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JWalker\Downloads\"/>
    </mc:Choice>
  </mc:AlternateContent>
  <xr:revisionPtr revIDLastSave="0" documentId="13_ncr:1_{403FA3B1-84D9-4D03-96E6-02BE4CB728CF}" xr6:coauthVersionLast="47" xr6:coauthVersionMax="47" xr10:uidLastSave="{00000000-0000-0000-0000-000000000000}"/>
  <bookViews>
    <workbookView xWindow="-120" yWindow="-120" windowWidth="29040" windowHeight="15840" tabRatio="885" activeTab="1" xr2:uid="{8BC656CC-9BB6-4688-8127-07D4F67C7DAD}"/>
  </bookViews>
  <sheets>
    <sheet name="0. Table of Contents" sheetId="26" r:id="rId1"/>
    <sheet name="1. Sharing Summary" sheetId="23" r:id="rId2"/>
    <sheet name="2. Forbearance thresholds" sheetId="15" r:id="rId3"/>
    <sheet name="3. Supply analysis (Actual)" sheetId="10" r:id="rId4"/>
    <sheet name="4. Supply analysis(WorkingCopy)" sheetId="17" r:id="rId5"/>
    <sheet name="5. Supply (No precip forecast)" sheetId="11" r:id="rId6"/>
    <sheet name="6. ET calcs" sheetId="16" r:id="rId7"/>
    <sheet name="7. Demand type &amp; reach" sheetId="4" r:id="rId8"/>
    <sheet name="8. Demand data categorization" sheetId="3" r:id="rId9"/>
    <sheet name="9. AgreementExport" sheetId="18" r:id="rId10"/>
    <sheet name="10. AgreementTargets" sheetId="19" r:id="rId11"/>
    <sheet name="11. TransferExport" sheetId="20" r:id="rId12"/>
    <sheet name="12. eWRIMS_Export" sheetId="24" r:id="rId13"/>
    <sheet name="13. Updated Demand" sheetId="25" r:id="rId14"/>
  </sheets>
  <definedNames>
    <definedName name="_xlnm._FilterDatabase" localSheetId="1" hidden="1">'1. Sharing Summary'!$A$1:$S$134</definedName>
    <definedName name="_xlnm._FilterDatabase" localSheetId="8" hidden="1">'8. Demand data categorization'!$A$1:$AV$2413</definedName>
    <definedName name="listone" localSheetId="8">'8. Demand data categorization'!$A$2:$A$2413</definedName>
    <definedName name="listone">#REF!</definedName>
    <definedName name="listtwo">#REF!</definedName>
  </definedNames>
  <calcPr calcId="191028"/>
  <pivotCaches>
    <pivotCache cacheId="0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49" i="23" l="1"/>
  <c r="AC49" i="23"/>
  <c r="L49" i="23"/>
  <c r="M49" i="23"/>
  <c r="D49" i="23"/>
  <c r="E49" i="23"/>
  <c r="F49" i="23"/>
  <c r="G49" i="23"/>
  <c r="B49" i="23"/>
  <c r="C49" i="23"/>
  <c r="E30" i="10"/>
  <c r="F30" i="10"/>
  <c r="AB70" i="23"/>
  <c r="AB11" i="23"/>
  <c r="AB116" i="23"/>
  <c r="AB4" i="23"/>
  <c r="AB53" i="23"/>
  <c r="AB15" i="23"/>
  <c r="AB93" i="23"/>
  <c r="AB130" i="23"/>
  <c r="AB94" i="23"/>
  <c r="AB129" i="23"/>
  <c r="AB80" i="23"/>
  <c r="AB47" i="23"/>
  <c r="AB57" i="23"/>
  <c r="AB58" i="23"/>
  <c r="AB104" i="23"/>
  <c r="AB59" i="23"/>
  <c r="AB60" i="23"/>
  <c r="AB109" i="23"/>
  <c r="AB98" i="23"/>
  <c r="AB20" i="23"/>
  <c r="AB5" i="23"/>
  <c r="AB6" i="23"/>
  <c r="AB8" i="23"/>
  <c r="AB9" i="23"/>
  <c r="AB118" i="23"/>
  <c r="AB119" i="23"/>
  <c r="AB120" i="23"/>
  <c r="AB121" i="23"/>
  <c r="AB75" i="23"/>
  <c r="AB76" i="23"/>
  <c r="AB77" i="23"/>
  <c r="AB83" i="23"/>
  <c r="AB84" i="23"/>
  <c r="AB85" i="23"/>
  <c r="AB86" i="23"/>
  <c r="AB87" i="23"/>
  <c r="AB125" i="23"/>
  <c r="AB126" i="23"/>
  <c r="AB127" i="23"/>
  <c r="AB42" i="23"/>
  <c r="AB43" i="23"/>
  <c r="AB44" i="23"/>
  <c r="AB45" i="23"/>
  <c r="AB122" i="23"/>
  <c r="AB133" i="23"/>
  <c r="AB14" i="23"/>
  <c r="AB66" i="23"/>
  <c r="AB46" i="23"/>
  <c r="AB99" i="23"/>
  <c r="AB21" i="23"/>
  <c r="AB78" i="23"/>
  <c r="AB88" i="23"/>
  <c r="AB81" i="23"/>
  <c r="AB110" i="23"/>
  <c r="AB10" i="23"/>
  <c r="AB111" i="23"/>
  <c r="AB48" i="23"/>
  <c r="AB112" i="23"/>
  <c r="AB113" i="23"/>
  <c r="AB106" i="23"/>
  <c r="AB107" i="23"/>
  <c r="AC96" i="23"/>
  <c r="AC97" i="23"/>
  <c r="AC95" i="23"/>
  <c r="AC2" i="23"/>
  <c r="AC89" i="23"/>
  <c r="AC90" i="23"/>
  <c r="AC35" i="23"/>
  <c r="AC36" i="23"/>
  <c r="AC25" i="23"/>
  <c r="AC26" i="23"/>
  <c r="AC123" i="23"/>
  <c r="AC115" i="23"/>
  <c r="AC54" i="23"/>
  <c r="AC71" i="23"/>
  <c r="AC12" i="23"/>
  <c r="AC7" i="23"/>
  <c r="AC52" i="23"/>
  <c r="AC117" i="23"/>
  <c r="AC132" i="23"/>
  <c r="AC31" i="23"/>
  <c r="AC22" i="23"/>
  <c r="AC13" i="23"/>
  <c r="AC23" i="23"/>
  <c r="AC37" i="23"/>
  <c r="AC38" i="23"/>
  <c r="AC39" i="23"/>
  <c r="AC40" i="23"/>
  <c r="AC41" i="23"/>
  <c r="AC61" i="23"/>
  <c r="AC50" i="23"/>
  <c r="AC32" i="23"/>
  <c r="AC33" i="23"/>
  <c r="AC34" i="23"/>
  <c r="AC62" i="23"/>
  <c r="AC63" i="23"/>
  <c r="AC64" i="23"/>
  <c r="AC65" i="23"/>
  <c r="AC27" i="23"/>
  <c r="AC67" i="23"/>
  <c r="AC131" i="23"/>
  <c r="AC128" i="23"/>
  <c r="AC91" i="23"/>
  <c r="AC92" i="23"/>
  <c r="AC73" i="23"/>
  <c r="AC30" i="23"/>
  <c r="AC124" i="23"/>
  <c r="AC134" i="23"/>
  <c r="AC114" i="23"/>
  <c r="AC19" i="23"/>
  <c r="AC101" i="23"/>
  <c r="AC28" i="23"/>
  <c r="AC100" i="23"/>
  <c r="AC102" i="23"/>
  <c r="AC74" i="23"/>
  <c r="AC29" i="23"/>
  <c r="AC82" i="23"/>
  <c r="AC16" i="23"/>
  <c r="AC17" i="23"/>
  <c r="AC18" i="23"/>
  <c r="AC79" i="23"/>
  <c r="AC108" i="23"/>
  <c r="AC55" i="23"/>
  <c r="AC3" i="23"/>
  <c r="AC56" i="23"/>
  <c r="AC103" i="23"/>
  <c r="AC70" i="23"/>
  <c r="AC11" i="23"/>
  <c r="AC116" i="23"/>
  <c r="AC4" i="23"/>
  <c r="AC53" i="23"/>
  <c r="AC15" i="23"/>
  <c r="AC93" i="23"/>
  <c r="AC130" i="23"/>
  <c r="AC94" i="23"/>
  <c r="AC129" i="23"/>
  <c r="AC80" i="23"/>
  <c r="AC47" i="23"/>
  <c r="AC57" i="23"/>
  <c r="AC58" i="23"/>
  <c r="AC104" i="23"/>
  <c r="AC59" i="23"/>
  <c r="AC60" i="23"/>
  <c r="AC109" i="23"/>
  <c r="AC98" i="23"/>
  <c r="AC20" i="23"/>
  <c r="AC5" i="23"/>
  <c r="AC6" i="23"/>
  <c r="AC8" i="23"/>
  <c r="AC9" i="23"/>
  <c r="AC118" i="23"/>
  <c r="AC119" i="23"/>
  <c r="AC120" i="23"/>
  <c r="AC121" i="23"/>
  <c r="AC75" i="23"/>
  <c r="AC76" i="23"/>
  <c r="AC77" i="23"/>
  <c r="AC83" i="23"/>
  <c r="AC84" i="23"/>
  <c r="AC85" i="23"/>
  <c r="AC86" i="23"/>
  <c r="AC87" i="23"/>
  <c r="AC125" i="23"/>
  <c r="AC126" i="23"/>
  <c r="AC127" i="23"/>
  <c r="AC42" i="23"/>
  <c r="AC43" i="23"/>
  <c r="AC44" i="23"/>
  <c r="AC45" i="23"/>
  <c r="AC122" i="23"/>
  <c r="AC133" i="23"/>
  <c r="AC14" i="23"/>
  <c r="AC66" i="23"/>
  <c r="AC46" i="23"/>
  <c r="AC99" i="23"/>
  <c r="AC21" i="23"/>
  <c r="AC78" i="23"/>
  <c r="AC88" i="23"/>
  <c r="AC81" i="23"/>
  <c r="AC110" i="23"/>
  <c r="AC10" i="23"/>
  <c r="AC111" i="23"/>
  <c r="AC48" i="23"/>
  <c r="AC112" i="23"/>
  <c r="AC113" i="23"/>
  <c r="AC106" i="23"/>
  <c r="AC107" i="23"/>
  <c r="AC72" i="23"/>
  <c r="AB96" i="23"/>
  <c r="AB97" i="23"/>
  <c r="AB95" i="23"/>
  <c r="AB2" i="23"/>
  <c r="AB89" i="23"/>
  <c r="AB90" i="23"/>
  <c r="AB35" i="23"/>
  <c r="AB36" i="23"/>
  <c r="AB25" i="23"/>
  <c r="AB26" i="23"/>
  <c r="AB123" i="23"/>
  <c r="AB115" i="23"/>
  <c r="AB54" i="23"/>
  <c r="AB71" i="23"/>
  <c r="AB12" i="23"/>
  <c r="AB7" i="23"/>
  <c r="AB52" i="23"/>
  <c r="AB117" i="23"/>
  <c r="AB132" i="23"/>
  <c r="AB31" i="23"/>
  <c r="AB22" i="23"/>
  <c r="AB13" i="23"/>
  <c r="AB23" i="23"/>
  <c r="AB37" i="23"/>
  <c r="AB38" i="23"/>
  <c r="AB39" i="23"/>
  <c r="AB40" i="23"/>
  <c r="AB41" i="23"/>
  <c r="AB61" i="23"/>
  <c r="AB50" i="23"/>
  <c r="AB32" i="23"/>
  <c r="AB33" i="23"/>
  <c r="AB34" i="23"/>
  <c r="AB62" i="23"/>
  <c r="AB63" i="23"/>
  <c r="AB64" i="23"/>
  <c r="AB65" i="23"/>
  <c r="AB27" i="23"/>
  <c r="AB67" i="23"/>
  <c r="AB131" i="23"/>
  <c r="AB128" i="23"/>
  <c r="AB91" i="23"/>
  <c r="AB92" i="23"/>
  <c r="AB73" i="23"/>
  <c r="AB30" i="23"/>
  <c r="AB124" i="23"/>
  <c r="AB134" i="23"/>
  <c r="AB114" i="23"/>
  <c r="AB19" i="23"/>
  <c r="AB101" i="23"/>
  <c r="AB28" i="23"/>
  <c r="AB100" i="23"/>
  <c r="AB102" i="23"/>
  <c r="AB74" i="23"/>
  <c r="AB29" i="23"/>
  <c r="AB82" i="23"/>
  <c r="AB16" i="23"/>
  <c r="AB17" i="23"/>
  <c r="AB18" i="23"/>
  <c r="AB79" i="23"/>
  <c r="AB108" i="23"/>
  <c r="AB55" i="23"/>
  <c r="AB3" i="23"/>
  <c r="AB56" i="23"/>
  <c r="AB103" i="23"/>
  <c r="AB72" i="23"/>
  <c r="M96" i="23"/>
  <c r="M97" i="23"/>
  <c r="M95" i="23"/>
  <c r="M2" i="23"/>
  <c r="M89" i="23"/>
  <c r="M90" i="23"/>
  <c r="M35" i="23"/>
  <c r="M36" i="23"/>
  <c r="M25" i="23"/>
  <c r="M26" i="23"/>
  <c r="M123" i="23"/>
  <c r="M115" i="23"/>
  <c r="M54" i="23"/>
  <c r="M71" i="23"/>
  <c r="M12" i="23"/>
  <c r="M7" i="23"/>
  <c r="M52" i="23"/>
  <c r="M117" i="23"/>
  <c r="M132" i="23"/>
  <c r="M31" i="23"/>
  <c r="M22" i="23"/>
  <c r="M13" i="23"/>
  <c r="M23" i="23"/>
  <c r="M37" i="23"/>
  <c r="M38" i="23"/>
  <c r="M39" i="23"/>
  <c r="M40" i="23"/>
  <c r="M41" i="23"/>
  <c r="M61" i="23"/>
  <c r="M50" i="23"/>
  <c r="M32" i="23"/>
  <c r="M33" i="23"/>
  <c r="M34" i="23"/>
  <c r="M62" i="23"/>
  <c r="M63" i="23"/>
  <c r="M64" i="23"/>
  <c r="M65" i="23"/>
  <c r="M27" i="23"/>
  <c r="M67" i="23"/>
  <c r="M131" i="23"/>
  <c r="M128" i="23"/>
  <c r="M91" i="23"/>
  <c r="M92" i="23"/>
  <c r="M73" i="23"/>
  <c r="M30" i="23"/>
  <c r="M124" i="23"/>
  <c r="M134" i="23"/>
  <c r="M114" i="23"/>
  <c r="M19" i="23"/>
  <c r="M101" i="23"/>
  <c r="M28" i="23"/>
  <c r="M100" i="23"/>
  <c r="M102" i="23"/>
  <c r="M74" i="23"/>
  <c r="M29" i="23"/>
  <c r="M82" i="23"/>
  <c r="M16" i="23"/>
  <c r="M17" i="23"/>
  <c r="M18" i="23"/>
  <c r="M79" i="23"/>
  <c r="M108" i="23"/>
  <c r="M55" i="23"/>
  <c r="M3" i="23"/>
  <c r="M56" i="23"/>
  <c r="M103" i="23"/>
  <c r="M135" i="23"/>
  <c r="M70" i="23"/>
  <c r="M11" i="23"/>
  <c r="M116" i="23"/>
  <c r="M4" i="23"/>
  <c r="M53" i="23"/>
  <c r="M24" i="23"/>
  <c r="M15" i="23"/>
  <c r="M68" i="23"/>
  <c r="M93" i="23"/>
  <c r="M130" i="23"/>
  <c r="M94" i="23"/>
  <c r="M129" i="23"/>
  <c r="M80" i="23"/>
  <c r="M47" i="23"/>
  <c r="M57" i="23"/>
  <c r="M58" i="23"/>
  <c r="M104" i="23"/>
  <c r="M59" i="23"/>
  <c r="M105" i="23"/>
  <c r="M60" i="23"/>
  <c r="M109" i="23"/>
  <c r="M98" i="23"/>
  <c r="M20" i="23"/>
  <c r="M5" i="23"/>
  <c r="M6" i="23"/>
  <c r="M8" i="23"/>
  <c r="M9" i="23"/>
  <c r="M118" i="23"/>
  <c r="M119" i="23"/>
  <c r="M120" i="23"/>
  <c r="M121" i="23"/>
  <c r="M75" i="23"/>
  <c r="M76" i="23"/>
  <c r="M77" i="23"/>
  <c r="M83" i="23"/>
  <c r="M84" i="23"/>
  <c r="M85" i="23"/>
  <c r="M86" i="23"/>
  <c r="M87" i="23"/>
  <c r="M125" i="23"/>
  <c r="M126" i="23"/>
  <c r="M127" i="23"/>
  <c r="M42" i="23"/>
  <c r="M43" i="23"/>
  <c r="M44" i="23"/>
  <c r="M45" i="23"/>
  <c r="M122" i="23"/>
  <c r="M133" i="23"/>
  <c r="M14" i="23"/>
  <c r="M51" i="23"/>
  <c r="M66" i="23"/>
  <c r="M69" i="23"/>
  <c r="M46" i="23"/>
  <c r="M99" i="23"/>
  <c r="M21" i="23"/>
  <c r="M78" i="23"/>
  <c r="M88" i="23"/>
  <c r="M81" i="23"/>
  <c r="M110" i="23"/>
  <c r="M10" i="23"/>
  <c r="M111" i="23"/>
  <c r="M48" i="23"/>
  <c r="M112" i="23"/>
  <c r="M113" i="23"/>
  <c r="M106" i="23"/>
  <c r="M107" i="23"/>
  <c r="M72" i="23"/>
  <c r="L96" i="23"/>
  <c r="L97" i="23"/>
  <c r="L95" i="23"/>
  <c r="L2" i="23"/>
  <c r="L89" i="23"/>
  <c r="L90" i="23"/>
  <c r="L35" i="23"/>
  <c r="O35" i="23" s="1"/>
  <c r="L36" i="23"/>
  <c r="N36" i="23" s="1"/>
  <c r="L25" i="23"/>
  <c r="L26" i="23"/>
  <c r="L123" i="23"/>
  <c r="L115" i="23"/>
  <c r="L54" i="23"/>
  <c r="L71" i="23"/>
  <c r="L12" i="23"/>
  <c r="N12" i="23" s="1"/>
  <c r="L7" i="23"/>
  <c r="L52" i="23"/>
  <c r="L117" i="23"/>
  <c r="N117" i="23" s="1"/>
  <c r="L132" i="23"/>
  <c r="L31" i="23"/>
  <c r="O31" i="23" s="1"/>
  <c r="L22" i="23"/>
  <c r="L13" i="23"/>
  <c r="L23" i="23"/>
  <c r="L37" i="23"/>
  <c r="L38" i="23"/>
  <c r="L39" i="23"/>
  <c r="L40" i="23"/>
  <c r="L41" i="23"/>
  <c r="L61" i="23"/>
  <c r="L50" i="23"/>
  <c r="N50" i="23" s="1"/>
  <c r="L32" i="23"/>
  <c r="N32" i="23" s="1"/>
  <c r="L33" i="23"/>
  <c r="L34" i="23"/>
  <c r="L62" i="23"/>
  <c r="L63" i="23"/>
  <c r="L64" i="23"/>
  <c r="L65" i="23"/>
  <c r="L27" i="23"/>
  <c r="L67" i="23"/>
  <c r="N67" i="23" s="1"/>
  <c r="L131" i="23"/>
  <c r="N131" i="23" s="1"/>
  <c r="L128" i="23"/>
  <c r="L91" i="23"/>
  <c r="P91" i="23" s="1"/>
  <c r="L92" i="23"/>
  <c r="L73" i="23"/>
  <c r="O73" i="23" s="1"/>
  <c r="L30" i="23"/>
  <c r="L124" i="23"/>
  <c r="L134" i="23"/>
  <c r="L114" i="23"/>
  <c r="L19" i="23"/>
  <c r="L101" i="23"/>
  <c r="L28" i="23"/>
  <c r="L100" i="23"/>
  <c r="L102" i="23"/>
  <c r="L74" i="23"/>
  <c r="P74" i="23" s="1"/>
  <c r="L29" i="23"/>
  <c r="N29" i="23" s="1"/>
  <c r="L82" i="23"/>
  <c r="L16" i="23"/>
  <c r="L17" i="23"/>
  <c r="L18" i="23"/>
  <c r="L79" i="23"/>
  <c r="L108" i="23"/>
  <c r="L55" i="23"/>
  <c r="L3" i="23"/>
  <c r="P3" i="23" s="1"/>
  <c r="L56" i="23"/>
  <c r="L103" i="23"/>
  <c r="L135" i="23"/>
  <c r="N135" i="23" s="1"/>
  <c r="L70" i="23"/>
  <c r="O70" i="23" s="1"/>
  <c r="L11" i="23"/>
  <c r="L116" i="23"/>
  <c r="L4" i="23"/>
  <c r="L53" i="23"/>
  <c r="L24" i="23"/>
  <c r="L15" i="23"/>
  <c r="L68" i="23"/>
  <c r="Q68" i="23" s="1"/>
  <c r="L93" i="23"/>
  <c r="O93" i="23" s="1"/>
  <c r="L130" i="23"/>
  <c r="L94" i="23"/>
  <c r="O94" i="23" s="1"/>
  <c r="L129" i="23"/>
  <c r="O129" i="23" s="1"/>
  <c r="L80" i="23"/>
  <c r="P80" i="23" s="1"/>
  <c r="L47" i="23"/>
  <c r="L57" i="23"/>
  <c r="L58" i="23"/>
  <c r="L104" i="23"/>
  <c r="L59" i="23"/>
  <c r="L105" i="23"/>
  <c r="L60" i="23"/>
  <c r="N60" i="23" s="1"/>
  <c r="L109" i="23"/>
  <c r="L98" i="23"/>
  <c r="L20" i="23"/>
  <c r="N20" i="23" s="1"/>
  <c r="L5" i="23"/>
  <c r="L6" i="23"/>
  <c r="P6" i="23" s="1"/>
  <c r="L8" i="23"/>
  <c r="L9" i="23"/>
  <c r="L118" i="23"/>
  <c r="L119" i="23"/>
  <c r="L120" i="23"/>
  <c r="L121" i="23"/>
  <c r="L75" i="23"/>
  <c r="L76" i="23"/>
  <c r="L77" i="23"/>
  <c r="L83" i="23"/>
  <c r="O83" i="23" s="1"/>
  <c r="L84" i="23"/>
  <c r="P84" i="23" s="1"/>
  <c r="L85" i="23"/>
  <c r="L86" i="23"/>
  <c r="L87" i="23"/>
  <c r="L125" i="23"/>
  <c r="L126" i="23"/>
  <c r="L127" i="23"/>
  <c r="L42" i="23"/>
  <c r="O42" i="23" s="1"/>
  <c r="L43" i="23"/>
  <c r="P43" i="23" s="1"/>
  <c r="L44" i="23"/>
  <c r="L45" i="23"/>
  <c r="L122" i="23"/>
  <c r="N122" i="23" s="1"/>
  <c r="L133" i="23"/>
  <c r="L14" i="23"/>
  <c r="O14" i="23" s="1"/>
  <c r="L51" i="23"/>
  <c r="L66" i="23"/>
  <c r="L69" i="23"/>
  <c r="O69" i="23" s="1"/>
  <c r="L46" i="23"/>
  <c r="L99" i="23"/>
  <c r="L21" i="23"/>
  <c r="L78" i="23"/>
  <c r="L88" i="23"/>
  <c r="L81" i="23"/>
  <c r="O81" i="23" s="1"/>
  <c r="L110" i="23"/>
  <c r="L10" i="23"/>
  <c r="S10" i="23" s="1"/>
  <c r="L111" i="23"/>
  <c r="L48" i="23"/>
  <c r="L112" i="23"/>
  <c r="L113" i="23"/>
  <c r="L106" i="23"/>
  <c r="L107" i="23"/>
  <c r="P107" i="23" s="1"/>
  <c r="L72" i="23"/>
  <c r="F29" i="10"/>
  <c r="E29" i="10"/>
  <c r="D29" i="10"/>
  <c r="C29" i="10"/>
  <c r="B29" i="10"/>
  <c r="Y11" i="11"/>
  <c r="B3" i="16"/>
  <c r="D4" i="10"/>
  <c r="E4" i="10"/>
  <c r="F4" i="10"/>
  <c r="C4" i="10"/>
  <c r="B31" i="10"/>
  <c r="C31" i="10"/>
  <c r="D31" i="10"/>
  <c r="AG2418" i="3"/>
  <c r="AF2418" i="3"/>
  <c r="AE2418" i="3"/>
  <c r="AD2418" i="3"/>
  <c r="AF2416" i="3"/>
  <c r="AE2416" i="3"/>
  <c r="AD2416" i="3"/>
  <c r="AG2416" i="3"/>
  <c r="E51" i="23"/>
  <c r="D51" i="23"/>
  <c r="F51" i="23"/>
  <c r="G51" i="23"/>
  <c r="D66" i="23"/>
  <c r="E66" i="23"/>
  <c r="F66" i="23"/>
  <c r="G66" i="23"/>
  <c r="D69" i="23"/>
  <c r="E69" i="23"/>
  <c r="F69" i="23"/>
  <c r="G69" i="23"/>
  <c r="D105" i="23"/>
  <c r="E105" i="23"/>
  <c r="F105" i="23"/>
  <c r="G105" i="23"/>
  <c r="F135" i="23"/>
  <c r="G135" i="23"/>
  <c r="F70" i="23"/>
  <c r="G70" i="23"/>
  <c r="F11" i="23"/>
  <c r="G11" i="23"/>
  <c r="F116" i="23"/>
  <c r="G116" i="23"/>
  <c r="F4" i="23"/>
  <c r="G4" i="23"/>
  <c r="F53" i="23"/>
  <c r="G53" i="23"/>
  <c r="F24" i="23"/>
  <c r="G24" i="23"/>
  <c r="F15" i="23"/>
  <c r="G15" i="23"/>
  <c r="F68" i="23"/>
  <c r="G68" i="23"/>
  <c r="E135" i="23"/>
  <c r="E70" i="23"/>
  <c r="E11" i="23"/>
  <c r="E116" i="23"/>
  <c r="E4" i="23"/>
  <c r="E53" i="23"/>
  <c r="E24" i="23"/>
  <c r="E15" i="23"/>
  <c r="E68" i="23"/>
  <c r="D135" i="23"/>
  <c r="D70" i="23"/>
  <c r="D11" i="23"/>
  <c r="D116" i="23"/>
  <c r="D4" i="23"/>
  <c r="D53" i="23"/>
  <c r="D24" i="23"/>
  <c r="D15" i="23"/>
  <c r="D68" i="23"/>
  <c r="Z15" i="3"/>
  <c r="AJ15" i="3" s="1"/>
  <c r="AA15" i="3"/>
  <c r="AB15" i="3"/>
  <c r="AC15" i="3"/>
  <c r="AD15" i="3"/>
  <c r="AE15" i="3"/>
  <c r="AF15" i="3"/>
  <c r="AG15" i="3"/>
  <c r="AH15" i="3"/>
  <c r="AI15" i="3"/>
  <c r="Z16" i="3"/>
  <c r="AA16" i="3"/>
  <c r="AJ16" i="3" s="1"/>
  <c r="AB16" i="3"/>
  <c r="AC16" i="3"/>
  <c r="AD16" i="3"/>
  <c r="AE16" i="3"/>
  <c r="AF16" i="3"/>
  <c r="AG16" i="3"/>
  <c r="AH16" i="3"/>
  <c r="AI16" i="3"/>
  <c r="Z17" i="3"/>
  <c r="AA17" i="3"/>
  <c r="AJ17" i="3" s="1"/>
  <c r="AB17" i="3"/>
  <c r="AC17" i="3"/>
  <c r="AD17" i="3"/>
  <c r="AE17" i="3"/>
  <c r="AF17" i="3"/>
  <c r="AG17" i="3"/>
  <c r="AH17" i="3"/>
  <c r="AI17" i="3"/>
  <c r="Z18" i="3"/>
  <c r="AA18" i="3"/>
  <c r="AB18" i="3"/>
  <c r="AC18" i="3"/>
  <c r="AJ18" i="3" s="1"/>
  <c r="AD18" i="3"/>
  <c r="AE18" i="3"/>
  <c r="AF18" i="3"/>
  <c r="AG18" i="3"/>
  <c r="AH18" i="3"/>
  <c r="AI18" i="3"/>
  <c r="Z19" i="3"/>
  <c r="AJ19" i="3" s="1"/>
  <c r="AA19" i="3"/>
  <c r="AB19" i="3"/>
  <c r="AC19" i="3"/>
  <c r="AD19" i="3"/>
  <c r="AE19" i="3"/>
  <c r="AF19" i="3"/>
  <c r="AG19" i="3"/>
  <c r="AH19" i="3"/>
  <c r="AI19" i="3"/>
  <c r="Z20" i="3"/>
  <c r="AJ20" i="3" s="1"/>
  <c r="AA20" i="3"/>
  <c r="AB20" i="3"/>
  <c r="AC20" i="3"/>
  <c r="AD20" i="3"/>
  <c r="AE20" i="3"/>
  <c r="AF20" i="3"/>
  <c r="AG20" i="3"/>
  <c r="AH20" i="3"/>
  <c r="AI20" i="3"/>
  <c r="Z21" i="3"/>
  <c r="AA21" i="3"/>
  <c r="AB21" i="3"/>
  <c r="AC21" i="3"/>
  <c r="AD21" i="3"/>
  <c r="AE21" i="3"/>
  <c r="AF21" i="3"/>
  <c r="AG21" i="3"/>
  <c r="AH21" i="3"/>
  <c r="AI21" i="3"/>
  <c r="AJ21" i="3"/>
  <c r="Z22" i="3"/>
  <c r="AA22" i="3"/>
  <c r="AB22" i="3"/>
  <c r="AC22" i="3"/>
  <c r="AJ22" i="3" s="1"/>
  <c r="AD22" i="3"/>
  <c r="AE22" i="3"/>
  <c r="AF22" i="3"/>
  <c r="AG22" i="3"/>
  <c r="AH22" i="3"/>
  <c r="AI22" i="3"/>
  <c r="Z23" i="3"/>
  <c r="AJ23" i="3" s="1"/>
  <c r="AA23" i="3"/>
  <c r="AB23" i="3"/>
  <c r="AC23" i="3"/>
  <c r="AD23" i="3"/>
  <c r="AE23" i="3"/>
  <c r="AF23" i="3"/>
  <c r="AG23" i="3"/>
  <c r="AH23" i="3"/>
  <c r="AI23" i="3"/>
  <c r="Z24" i="3"/>
  <c r="AA24" i="3"/>
  <c r="AB24" i="3"/>
  <c r="AC24" i="3"/>
  <c r="AD24" i="3"/>
  <c r="AE24" i="3"/>
  <c r="AF24" i="3"/>
  <c r="AG24" i="3"/>
  <c r="AH24" i="3"/>
  <c r="AI24" i="3"/>
  <c r="Z25" i="3"/>
  <c r="AA25" i="3"/>
  <c r="AB25" i="3"/>
  <c r="AC25" i="3"/>
  <c r="AD25" i="3"/>
  <c r="AE25" i="3"/>
  <c r="AF25" i="3"/>
  <c r="AG25" i="3"/>
  <c r="AH25" i="3"/>
  <c r="AI25" i="3"/>
  <c r="Z26" i="3"/>
  <c r="AA26" i="3"/>
  <c r="AB26" i="3"/>
  <c r="AC26" i="3"/>
  <c r="AD26" i="3"/>
  <c r="AE26" i="3"/>
  <c r="AF26" i="3"/>
  <c r="AG26" i="3"/>
  <c r="AH26" i="3"/>
  <c r="AI26" i="3"/>
  <c r="Z27" i="3"/>
  <c r="AA27" i="3"/>
  <c r="AB27" i="3"/>
  <c r="AC27" i="3"/>
  <c r="AD27" i="3"/>
  <c r="AE27" i="3"/>
  <c r="AF27" i="3"/>
  <c r="AG27" i="3"/>
  <c r="AH27" i="3"/>
  <c r="AI27" i="3"/>
  <c r="AJ27" i="3"/>
  <c r="Z28" i="3"/>
  <c r="AJ28" i="3" s="1"/>
  <c r="AA28" i="3"/>
  <c r="AB28" i="3"/>
  <c r="AC28" i="3"/>
  <c r="AD28" i="3"/>
  <c r="AE28" i="3"/>
  <c r="AF28" i="3"/>
  <c r="AG28" i="3"/>
  <c r="AH28" i="3"/>
  <c r="AI28" i="3"/>
  <c r="Z29" i="3"/>
  <c r="AA29" i="3"/>
  <c r="AB29" i="3"/>
  <c r="AC29" i="3"/>
  <c r="AD29" i="3"/>
  <c r="AE29" i="3"/>
  <c r="AF29" i="3"/>
  <c r="AG29" i="3"/>
  <c r="AH29" i="3"/>
  <c r="AI29" i="3"/>
  <c r="Z30" i="3"/>
  <c r="AA30" i="3"/>
  <c r="AB30" i="3"/>
  <c r="AC30" i="3"/>
  <c r="AD30" i="3"/>
  <c r="AE30" i="3"/>
  <c r="AF30" i="3"/>
  <c r="AG30" i="3"/>
  <c r="AH30" i="3"/>
  <c r="AI30" i="3"/>
  <c r="Z31" i="3"/>
  <c r="AJ31" i="3" s="1"/>
  <c r="AA31" i="3"/>
  <c r="AB31" i="3"/>
  <c r="AC31" i="3"/>
  <c r="AD31" i="3"/>
  <c r="AE31" i="3"/>
  <c r="AF31" i="3"/>
  <c r="AG31" i="3"/>
  <c r="AH31" i="3"/>
  <c r="AI31" i="3"/>
  <c r="Z32" i="3"/>
  <c r="AJ32" i="3" s="1"/>
  <c r="AA32" i="3"/>
  <c r="AB32" i="3"/>
  <c r="AC32" i="3"/>
  <c r="AD32" i="3"/>
  <c r="AE32" i="3"/>
  <c r="AF32" i="3"/>
  <c r="AG32" i="3"/>
  <c r="AH32" i="3"/>
  <c r="AI32" i="3"/>
  <c r="Z33" i="3"/>
  <c r="AA33" i="3"/>
  <c r="AB33" i="3"/>
  <c r="AC33" i="3"/>
  <c r="AD33" i="3"/>
  <c r="AE33" i="3"/>
  <c r="AF33" i="3"/>
  <c r="AG33" i="3"/>
  <c r="AH33" i="3"/>
  <c r="AI33" i="3"/>
  <c r="Z34" i="3"/>
  <c r="AA34" i="3"/>
  <c r="AB34" i="3"/>
  <c r="AC34" i="3"/>
  <c r="AD34" i="3"/>
  <c r="AE34" i="3"/>
  <c r="AF34" i="3"/>
  <c r="AG34" i="3"/>
  <c r="AH34" i="3"/>
  <c r="AI34" i="3"/>
  <c r="Z35" i="3"/>
  <c r="AA35" i="3"/>
  <c r="AB35" i="3"/>
  <c r="AC35" i="3"/>
  <c r="AD35" i="3"/>
  <c r="AE35" i="3"/>
  <c r="AF35" i="3"/>
  <c r="AG35" i="3"/>
  <c r="AH35" i="3"/>
  <c r="AI35" i="3"/>
  <c r="AJ35" i="3"/>
  <c r="Z36" i="3"/>
  <c r="AA36" i="3"/>
  <c r="AB36" i="3"/>
  <c r="AC36" i="3"/>
  <c r="AD36" i="3"/>
  <c r="AE36" i="3"/>
  <c r="AF36" i="3"/>
  <c r="AG36" i="3"/>
  <c r="AH36" i="3"/>
  <c r="AI36" i="3"/>
  <c r="Z37" i="3"/>
  <c r="AA37" i="3"/>
  <c r="AJ37" i="3" s="1"/>
  <c r="AB37" i="3"/>
  <c r="AC37" i="3"/>
  <c r="AD37" i="3"/>
  <c r="AE37" i="3"/>
  <c r="AF37" i="3"/>
  <c r="AG37" i="3"/>
  <c r="AH37" i="3"/>
  <c r="AI37" i="3"/>
  <c r="Z38" i="3"/>
  <c r="AA38" i="3"/>
  <c r="AB38" i="3"/>
  <c r="AC38" i="3"/>
  <c r="AD38" i="3"/>
  <c r="AE38" i="3"/>
  <c r="AF38" i="3"/>
  <c r="AG38" i="3"/>
  <c r="AH38" i="3"/>
  <c r="AI38" i="3"/>
  <c r="Z39" i="3"/>
  <c r="AA39" i="3"/>
  <c r="AB39" i="3"/>
  <c r="AC39" i="3"/>
  <c r="AD39" i="3"/>
  <c r="AE39" i="3"/>
  <c r="AF39" i="3"/>
  <c r="AG39" i="3"/>
  <c r="AH39" i="3"/>
  <c r="AI39" i="3"/>
  <c r="Z40" i="3"/>
  <c r="AJ40" i="3" s="1"/>
  <c r="AA40" i="3"/>
  <c r="AB40" i="3"/>
  <c r="AC40" i="3"/>
  <c r="AD40" i="3"/>
  <c r="AE40" i="3"/>
  <c r="AF40" i="3"/>
  <c r="AG40" i="3"/>
  <c r="AH40" i="3"/>
  <c r="AI40" i="3"/>
  <c r="Z41" i="3"/>
  <c r="AA41" i="3"/>
  <c r="AB41" i="3"/>
  <c r="AC41" i="3"/>
  <c r="AD41" i="3"/>
  <c r="AE41" i="3"/>
  <c r="AF41" i="3"/>
  <c r="AG41" i="3"/>
  <c r="AH41" i="3"/>
  <c r="AI41" i="3"/>
  <c r="Z42" i="3"/>
  <c r="AA42" i="3"/>
  <c r="AB42" i="3"/>
  <c r="AC42" i="3"/>
  <c r="AD42" i="3"/>
  <c r="AE42" i="3"/>
  <c r="AF42" i="3"/>
  <c r="AG42" i="3"/>
  <c r="AH42" i="3"/>
  <c r="AI42" i="3"/>
  <c r="Z43" i="3"/>
  <c r="AA43" i="3"/>
  <c r="AB43" i="3"/>
  <c r="AC43" i="3"/>
  <c r="AD43" i="3"/>
  <c r="AE43" i="3"/>
  <c r="AF43" i="3"/>
  <c r="AG43" i="3"/>
  <c r="AH43" i="3"/>
  <c r="AI43" i="3"/>
  <c r="AJ43" i="3"/>
  <c r="Z44" i="3"/>
  <c r="AJ44" i="3" s="1"/>
  <c r="AA44" i="3"/>
  <c r="AB44" i="3"/>
  <c r="AC44" i="3"/>
  <c r="AD44" i="3"/>
  <c r="AE44" i="3"/>
  <c r="AF44" i="3"/>
  <c r="AG44" i="3"/>
  <c r="AH44" i="3"/>
  <c r="AI44" i="3"/>
  <c r="Z45" i="3"/>
  <c r="AA45" i="3"/>
  <c r="AB45" i="3"/>
  <c r="AC45" i="3"/>
  <c r="AD45" i="3"/>
  <c r="AE45" i="3"/>
  <c r="AF45" i="3"/>
  <c r="AG45" i="3"/>
  <c r="AH45" i="3"/>
  <c r="AI45" i="3"/>
  <c r="Z46" i="3"/>
  <c r="AA46" i="3"/>
  <c r="AB46" i="3"/>
  <c r="AC46" i="3"/>
  <c r="AD46" i="3"/>
  <c r="AE46" i="3"/>
  <c r="AF46" i="3"/>
  <c r="AG46" i="3"/>
  <c r="AH46" i="3"/>
  <c r="AI46" i="3"/>
  <c r="Z47" i="3"/>
  <c r="AA47" i="3"/>
  <c r="AB47" i="3"/>
  <c r="AC47" i="3"/>
  <c r="AD47" i="3"/>
  <c r="AE47" i="3"/>
  <c r="AF47" i="3"/>
  <c r="AG47" i="3"/>
  <c r="AH47" i="3"/>
  <c r="AI47" i="3"/>
  <c r="Z48" i="3"/>
  <c r="AJ48" i="3" s="1"/>
  <c r="AA48" i="3"/>
  <c r="AB48" i="3"/>
  <c r="AC48" i="3"/>
  <c r="AD48" i="3"/>
  <c r="AE48" i="3"/>
  <c r="AF48" i="3"/>
  <c r="AG48" i="3"/>
  <c r="AH48" i="3"/>
  <c r="AI48" i="3"/>
  <c r="Z49" i="3"/>
  <c r="AA49" i="3"/>
  <c r="AB49" i="3"/>
  <c r="AC49" i="3"/>
  <c r="AD49" i="3"/>
  <c r="AE49" i="3"/>
  <c r="AF49" i="3"/>
  <c r="AG49" i="3"/>
  <c r="AH49" i="3"/>
  <c r="AI49" i="3"/>
  <c r="Z50" i="3"/>
  <c r="AJ50" i="3" s="1"/>
  <c r="AA50" i="3"/>
  <c r="AB50" i="3"/>
  <c r="AC50" i="3"/>
  <c r="AD50" i="3"/>
  <c r="AE50" i="3"/>
  <c r="AF50" i="3"/>
  <c r="AG50" i="3"/>
  <c r="AH50" i="3"/>
  <c r="AI50" i="3"/>
  <c r="Z51" i="3"/>
  <c r="AA51" i="3"/>
  <c r="AB51" i="3"/>
  <c r="AC51" i="3"/>
  <c r="AD51" i="3"/>
  <c r="AE51" i="3"/>
  <c r="AF51" i="3"/>
  <c r="AG51" i="3"/>
  <c r="AH51" i="3"/>
  <c r="AI51" i="3"/>
  <c r="AJ51" i="3"/>
  <c r="Z52" i="3"/>
  <c r="AA52" i="3"/>
  <c r="AB52" i="3"/>
  <c r="AC52" i="3"/>
  <c r="AD52" i="3"/>
  <c r="AE52" i="3"/>
  <c r="AF52" i="3"/>
  <c r="AG52" i="3"/>
  <c r="AH52" i="3"/>
  <c r="AI52" i="3"/>
  <c r="Z53" i="3"/>
  <c r="AA53" i="3"/>
  <c r="AJ53" i="3" s="1"/>
  <c r="AB53" i="3"/>
  <c r="AC53" i="3"/>
  <c r="AD53" i="3"/>
  <c r="AE53" i="3"/>
  <c r="AF53" i="3"/>
  <c r="AG53" i="3"/>
  <c r="AH53" i="3"/>
  <c r="AI53" i="3"/>
  <c r="Z54" i="3"/>
  <c r="AA54" i="3"/>
  <c r="AB54" i="3"/>
  <c r="AC54" i="3"/>
  <c r="AD54" i="3"/>
  <c r="AE54" i="3"/>
  <c r="AF54" i="3"/>
  <c r="AG54" i="3"/>
  <c r="AH54" i="3"/>
  <c r="AI54" i="3"/>
  <c r="Z55" i="3"/>
  <c r="AJ55" i="3" s="1"/>
  <c r="AA55" i="3"/>
  <c r="AB55" i="3"/>
  <c r="AC55" i="3"/>
  <c r="AD55" i="3"/>
  <c r="AE55" i="3"/>
  <c r="AF55" i="3"/>
  <c r="AG55" i="3"/>
  <c r="AH55" i="3"/>
  <c r="AI55" i="3"/>
  <c r="Z56" i="3"/>
  <c r="AA56" i="3"/>
  <c r="AB56" i="3"/>
  <c r="AC56" i="3"/>
  <c r="AD56" i="3"/>
  <c r="AE56" i="3"/>
  <c r="AF56" i="3"/>
  <c r="AG56" i="3"/>
  <c r="AH56" i="3"/>
  <c r="AI56" i="3"/>
  <c r="Z57" i="3"/>
  <c r="AA57" i="3"/>
  <c r="AB57" i="3"/>
  <c r="AC57" i="3"/>
  <c r="AD57" i="3"/>
  <c r="AE57" i="3"/>
  <c r="AF57" i="3"/>
  <c r="AG57" i="3"/>
  <c r="AH57" i="3"/>
  <c r="AI57" i="3"/>
  <c r="Z58" i="3"/>
  <c r="AA58" i="3"/>
  <c r="AB58" i="3"/>
  <c r="AC58" i="3"/>
  <c r="AD58" i="3"/>
  <c r="AE58" i="3"/>
  <c r="AF58" i="3"/>
  <c r="AG58" i="3"/>
  <c r="AH58" i="3"/>
  <c r="AI58" i="3"/>
  <c r="Z59" i="3"/>
  <c r="AA59" i="3"/>
  <c r="AB59" i="3"/>
  <c r="AC59" i="3"/>
  <c r="AD59" i="3"/>
  <c r="AE59" i="3"/>
  <c r="AF59" i="3"/>
  <c r="AG59" i="3"/>
  <c r="AH59" i="3"/>
  <c r="AI59" i="3"/>
  <c r="AJ59" i="3"/>
  <c r="Z60" i="3"/>
  <c r="AJ60" i="3" s="1"/>
  <c r="AA60" i="3"/>
  <c r="AB60" i="3"/>
  <c r="AC60" i="3"/>
  <c r="AD60" i="3"/>
  <c r="AE60" i="3"/>
  <c r="AF60" i="3"/>
  <c r="AG60" i="3"/>
  <c r="AH60" i="3"/>
  <c r="AI60" i="3"/>
  <c r="Z61" i="3"/>
  <c r="AA61" i="3"/>
  <c r="AB61" i="3"/>
  <c r="AC61" i="3"/>
  <c r="AD61" i="3"/>
  <c r="AE61" i="3"/>
  <c r="AF61" i="3"/>
  <c r="AG61" i="3"/>
  <c r="AH61" i="3"/>
  <c r="AI61" i="3"/>
  <c r="Z62" i="3"/>
  <c r="AA62" i="3"/>
  <c r="AB62" i="3"/>
  <c r="AC62" i="3"/>
  <c r="AD62" i="3"/>
  <c r="AE62" i="3"/>
  <c r="AF62" i="3"/>
  <c r="AG62" i="3"/>
  <c r="AH62" i="3"/>
  <c r="AI62" i="3"/>
  <c r="Z63" i="3"/>
  <c r="AJ63" i="3" s="1"/>
  <c r="AA63" i="3"/>
  <c r="AB63" i="3"/>
  <c r="AC63" i="3"/>
  <c r="AD63" i="3"/>
  <c r="AE63" i="3"/>
  <c r="AF63" i="3"/>
  <c r="AG63" i="3"/>
  <c r="AH63" i="3"/>
  <c r="AI63" i="3"/>
  <c r="Z64" i="3"/>
  <c r="AJ64" i="3" s="1"/>
  <c r="AA64" i="3"/>
  <c r="AB64" i="3"/>
  <c r="AC64" i="3"/>
  <c r="AD64" i="3"/>
  <c r="AE64" i="3"/>
  <c r="AF64" i="3"/>
  <c r="AG64" i="3"/>
  <c r="AH64" i="3"/>
  <c r="AI64" i="3"/>
  <c r="Z65" i="3"/>
  <c r="AA65" i="3"/>
  <c r="AB65" i="3"/>
  <c r="AC65" i="3"/>
  <c r="AD65" i="3"/>
  <c r="AE65" i="3"/>
  <c r="AF65" i="3"/>
  <c r="AG65" i="3"/>
  <c r="AH65" i="3"/>
  <c r="AI65" i="3"/>
  <c r="Z66" i="3"/>
  <c r="AJ66" i="3" s="1"/>
  <c r="AA66" i="3"/>
  <c r="AB66" i="3"/>
  <c r="AC66" i="3"/>
  <c r="AD66" i="3"/>
  <c r="AE66" i="3"/>
  <c r="AF66" i="3"/>
  <c r="AG66" i="3"/>
  <c r="AH66" i="3"/>
  <c r="AI66" i="3"/>
  <c r="Z67" i="3"/>
  <c r="AA67" i="3"/>
  <c r="AB67" i="3"/>
  <c r="AC67" i="3"/>
  <c r="AD67" i="3"/>
  <c r="AE67" i="3"/>
  <c r="AF67" i="3"/>
  <c r="AG67" i="3"/>
  <c r="AH67" i="3"/>
  <c r="AI67" i="3"/>
  <c r="AJ67" i="3"/>
  <c r="Z68" i="3"/>
  <c r="AA68" i="3"/>
  <c r="AB68" i="3"/>
  <c r="AC68" i="3"/>
  <c r="AD68" i="3"/>
  <c r="AE68" i="3"/>
  <c r="AF68" i="3"/>
  <c r="AG68" i="3"/>
  <c r="AH68" i="3"/>
  <c r="AI68" i="3"/>
  <c r="Z69" i="3"/>
  <c r="AA69" i="3"/>
  <c r="AJ69" i="3" s="1"/>
  <c r="AB69" i="3"/>
  <c r="AC69" i="3"/>
  <c r="AD69" i="3"/>
  <c r="AE69" i="3"/>
  <c r="AF69" i="3"/>
  <c r="AG69" i="3"/>
  <c r="AH69" i="3"/>
  <c r="AI69" i="3"/>
  <c r="Z70" i="3"/>
  <c r="AA70" i="3"/>
  <c r="AB70" i="3"/>
  <c r="AC70" i="3"/>
  <c r="AD70" i="3"/>
  <c r="AE70" i="3"/>
  <c r="AF70" i="3"/>
  <c r="AG70" i="3"/>
  <c r="AH70" i="3"/>
  <c r="AI70" i="3"/>
  <c r="Z71" i="3"/>
  <c r="AA71" i="3"/>
  <c r="AB71" i="3"/>
  <c r="AC71" i="3"/>
  <c r="AD71" i="3"/>
  <c r="AE71" i="3"/>
  <c r="AF71" i="3"/>
  <c r="AG71" i="3"/>
  <c r="AH71" i="3"/>
  <c r="AI71" i="3"/>
  <c r="Z72" i="3"/>
  <c r="AA72" i="3"/>
  <c r="AB72" i="3"/>
  <c r="AC72" i="3"/>
  <c r="AD72" i="3"/>
  <c r="AE72" i="3"/>
  <c r="AF72" i="3"/>
  <c r="AG72" i="3"/>
  <c r="AH72" i="3"/>
  <c r="AI72" i="3"/>
  <c r="Z73" i="3"/>
  <c r="AA73" i="3"/>
  <c r="AB73" i="3"/>
  <c r="AC73" i="3"/>
  <c r="AD73" i="3"/>
  <c r="AE73" i="3"/>
  <c r="AF73" i="3"/>
  <c r="AG73" i="3"/>
  <c r="AH73" i="3"/>
  <c r="AI73" i="3"/>
  <c r="Z74" i="3"/>
  <c r="AA74" i="3"/>
  <c r="AB74" i="3"/>
  <c r="AC74" i="3"/>
  <c r="AD74" i="3"/>
  <c r="AE74" i="3"/>
  <c r="AF74" i="3"/>
  <c r="AG74" i="3"/>
  <c r="AH74" i="3"/>
  <c r="AI74" i="3"/>
  <c r="Z75" i="3"/>
  <c r="AA75" i="3"/>
  <c r="AB75" i="3"/>
  <c r="AC75" i="3"/>
  <c r="AD75" i="3"/>
  <c r="AE75" i="3"/>
  <c r="AF75" i="3"/>
  <c r="AG75" i="3"/>
  <c r="AH75" i="3"/>
  <c r="AI75" i="3"/>
  <c r="AJ75" i="3"/>
  <c r="Z76" i="3"/>
  <c r="AJ76" i="3" s="1"/>
  <c r="AA76" i="3"/>
  <c r="AB76" i="3"/>
  <c r="AC76" i="3"/>
  <c r="AD76" i="3"/>
  <c r="AE76" i="3"/>
  <c r="AF76" i="3"/>
  <c r="AG76" i="3"/>
  <c r="AH76" i="3"/>
  <c r="AI76" i="3"/>
  <c r="Z77" i="3"/>
  <c r="AA77" i="3"/>
  <c r="AJ77" i="3" s="1"/>
  <c r="AB77" i="3"/>
  <c r="AC77" i="3"/>
  <c r="AD77" i="3"/>
  <c r="AE77" i="3"/>
  <c r="AF77" i="3"/>
  <c r="AG77" i="3"/>
  <c r="AH77" i="3"/>
  <c r="AI77" i="3"/>
  <c r="Z78" i="3"/>
  <c r="AA78" i="3"/>
  <c r="AB78" i="3"/>
  <c r="AC78" i="3"/>
  <c r="AD78" i="3"/>
  <c r="AE78" i="3"/>
  <c r="AF78" i="3"/>
  <c r="AG78" i="3"/>
  <c r="AH78" i="3"/>
  <c r="AI78" i="3"/>
  <c r="Z79" i="3"/>
  <c r="AA79" i="3"/>
  <c r="AB79" i="3"/>
  <c r="AC79" i="3"/>
  <c r="AD79" i="3"/>
  <c r="AE79" i="3"/>
  <c r="AF79" i="3"/>
  <c r="AG79" i="3"/>
  <c r="AH79" i="3"/>
  <c r="AI79" i="3"/>
  <c r="Z80" i="3"/>
  <c r="AJ80" i="3" s="1"/>
  <c r="AA80" i="3"/>
  <c r="AB80" i="3"/>
  <c r="AC80" i="3"/>
  <c r="AD80" i="3"/>
  <c r="AE80" i="3"/>
  <c r="AF80" i="3"/>
  <c r="AG80" i="3"/>
  <c r="AH80" i="3"/>
  <c r="AI80" i="3"/>
  <c r="Z81" i="3"/>
  <c r="AA81" i="3"/>
  <c r="AB81" i="3"/>
  <c r="AC81" i="3"/>
  <c r="AD81" i="3"/>
  <c r="AE81" i="3"/>
  <c r="AF81" i="3"/>
  <c r="AG81" i="3"/>
  <c r="AH81" i="3"/>
  <c r="AI81" i="3"/>
  <c r="Z82" i="3"/>
  <c r="AJ82" i="3" s="1"/>
  <c r="AA82" i="3"/>
  <c r="AB82" i="3"/>
  <c r="AC82" i="3"/>
  <c r="AD82" i="3"/>
  <c r="AE82" i="3"/>
  <c r="AF82" i="3"/>
  <c r="AG82" i="3"/>
  <c r="AH82" i="3"/>
  <c r="AI82" i="3"/>
  <c r="Z83" i="3"/>
  <c r="AA83" i="3"/>
  <c r="AB83" i="3"/>
  <c r="AC83" i="3"/>
  <c r="AD83" i="3"/>
  <c r="AE83" i="3"/>
  <c r="AF83" i="3"/>
  <c r="AG83" i="3"/>
  <c r="AH83" i="3"/>
  <c r="AI83" i="3"/>
  <c r="AJ83" i="3"/>
  <c r="Z84" i="3"/>
  <c r="AA84" i="3"/>
  <c r="AB84" i="3"/>
  <c r="AC84" i="3"/>
  <c r="AD84" i="3"/>
  <c r="AE84" i="3"/>
  <c r="AF84" i="3"/>
  <c r="AG84" i="3"/>
  <c r="AH84" i="3"/>
  <c r="AI84" i="3"/>
  <c r="Z85" i="3"/>
  <c r="AA85" i="3"/>
  <c r="AJ85" i="3" s="1"/>
  <c r="AB85" i="3"/>
  <c r="AC85" i="3"/>
  <c r="AD85" i="3"/>
  <c r="AE85" i="3"/>
  <c r="AF85" i="3"/>
  <c r="AG85" i="3"/>
  <c r="AH85" i="3"/>
  <c r="AI85" i="3"/>
  <c r="Z86" i="3"/>
  <c r="AA86" i="3"/>
  <c r="AB86" i="3"/>
  <c r="AC86" i="3"/>
  <c r="AD86" i="3"/>
  <c r="AE86" i="3"/>
  <c r="AF86" i="3"/>
  <c r="AG86" i="3"/>
  <c r="AH86" i="3"/>
  <c r="AI86" i="3"/>
  <c r="Z87" i="3"/>
  <c r="AJ87" i="3" s="1"/>
  <c r="AA87" i="3"/>
  <c r="AB87" i="3"/>
  <c r="AC87" i="3"/>
  <c r="AD87" i="3"/>
  <c r="AE87" i="3"/>
  <c r="AF87" i="3"/>
  <c r="AG87" i="3"/>
  <c r="AH87" i="3"/>
  <c r="AI87" i="3"/>
  <c r="Z88" i="3"/>
  <c r="AA88" i="3"/>
  <c r="AB88" i="3"/>
  <c r="AC88" i="3"/>
  <c r="AD88" i="3"/>
  <c r="AE88" i="3"/>
  <c r="AF88" i="3"/>
  <c r="AG88" i="3"/>
  <c r="AH88" i="3"/>
  <c r="AI88" i="3"/>
  <c r="Z89" i="3"/>
  <c r="AA89" i="3"/>
  <c r="AB89" i="3"/>
  <c r="AC89" i="3"/>
  <c r="AD89" i="3"/>
  <c r="AE89" i="3"/>
  <c r="AF89" i="3"/>
  <c r="AG89" i="3"/>
  <c r="AH89" i="3"/>
  <c r="AI89" i="3"/>
  <c r="Z90" i="3"/>
  <c r="AA90" i="3"/>
  <c r="AB90" i="3"/>
  <c r="AC90" i="3"/>
  <c r="AD90" i="3"/>
  <c r="AE90" i="3"/>
  <c r="AJ90" i="3" s="1"/>
  <c r="AF90" i="3"/>
  <c r="AG90" i="3"/>
  <c r="AH90" i="3"/>
  <c r="AI90" i="3"/>
  <c r="Z91" i="3"/>
  <c r="AA91" i="3"/>
  <c r="AB91" i="3"/>
  <c r="AC91" i="3"/>
  <c r="AD91" i="3"/>
  <c r="AE91" i="3"/>
  <c r="AF91" i="3"/>
  <c r="AG91" i="3"/>
  <c r="AH91" i="3"/>
  <c r="AI91" i="3"/>
  <c r="AJ91" i="3"/>
  <c r="Z92" i="3"/>
  <c r="AJ92" i="3" s="1"/>
  <c r="AA92" i="3"/>
  <c r="AB92" i="3"/>
  <c r="AC92" i="3"/>
  <c r="AD92" i="3"/>
  <c r="AE92" i="3"/>
  <c r="AF92" i="3"/>
  <c r="AG92" i="3"/>
  <c r="AH92" i="3"/>
  <c r="AI92" i="3"/>
  <c r="Z93" i="3"/>
  <c r="AA93" i="3"/>
  <c r="AB93" i="3"/>
  <c r="AC93" i="3"/>
  <c r="AD93" i="3"/>
  <c r="AE93" i="3"/>
  <c r="AF93" i="3"/>
  <c r="AG93" i="3"/>
  <c r="AH93" i="3"/>
  <c r="AI93" i="3"/>
  <c r="Z94" i="3"/>
  <c r="AA94" i="3"/>
  <c r="AB94" i="3"/>
  <c r="AC94" i="3"/>
  <c r="AD94" i="3"/>
  <c r="AE94" i="3"/>
  <c r="AF94" i="3"/>
  <c r="AG94" i="3"/>
  <c r="AH94" i="3"/>
  <c r="AI94" i="3"/>
  <c r="Z95" i="3"/>
  <c r="AJ95" i="3" s="1"/>
  <c r="AA95" i="3"/>
  <c r="AB95" i="3"/>
  <c r="AC95" i="3"/>
  <c r="AD95" i="3"/>
  <c r="AE95" i="3"/>
  <c r="AF95" i="3"/>
  <c r="AG95" i="3"/>
  <c r="AH95" i="3"/>
  <c r="AI95" i="3"/>
  <c r="Z96" i="3"/>
  <c r="AJ96" i="3" s="1"/>
  <c r="AA96" i="3"/>
  <c r="AB96" i="3"/>
  <c r="AC96" i="3"/>
  <c r="AD96" i="3"/>
  <c r="AE96" i="3"/>
  <c r="AF96" i="3"/>
  <c r="AG96" i="3"/>
  <c r="AH96" i="3"/>
  <c r="AI96" i="3"/>
  <c r="Z97" i="3"/>
  <c r="AA97" i="3"/>
  <c r="AB97" i="3"/>
  <c r="AC97" i="3"/>
  <c r="AD97" i="3"/>
  <c r="AE97" i="3"/>
  <c r="AF97" i="3"/>
  <c r="AG97" i="3"/>
  <c r="AH97" i="3"/>
  <c r="AI97" i="3"/>
  <c r="Z98" i="3"/>
  <c r="AA98" i="3"/>
  <c r="AB98" i="3"/>
  <c r="AC98" i="3"/>
  <c r="AD98" i="3"/>
  <c r="AE98" i="3"/>
  <c r="AJ98" i="3" s="1"/>
  <c r="AF98" i="3"/>
  <c r="AG98" i="3"/>
  <c r="AH98" i="3"/>
  <c r="AI98" i="3"/>
  <c r="Z99" i="3"/>
  <c r="AA99" i="3"/>
  <c r="AB99" i="3"/>
  <c r="AC99" i="3"/>
  <c r="AD99" i="3"/>
  <c r="AE99" i="3"/>
  <c r="AF99" i="3"/>
  <c r="AG99" i="3"/>
  <c r="AH99" i="3"/>
  <c r="AI99" i="3"/>
  <c r="AJ99" i="3"/>
  <c r="Z100" i="3"/>
  <c r="AA100" i="3"/>
  <c r="AB100" i="3"/>
  <c r="AC100" i="3"/>
  <c r="AD100" i="3"/>
  <c r="AE100" i="3"/>
  <c r="AF100" i="3"/>
  <c r="AG100" i="3"/>
  <c r="AH100" i="3"/>
  <c r="AI100" i="3"/>
  <c r="Z101" i="3"/>
  <c r="AA101" i="3"/>
  <c r="AJ101" i="3" s="1"/>
  <c r="AB101" i="3"/>
  <c r="AC101" i="3"/>
  <c r="AD101" i="3"/>
  <c r="AE101" i="3"/>
  <c r="AF101" i="3"/>
  <c r="AG101" i="3"/>
  <c r="AH101" i="3"/>
  <c r="AI101" i="3"/>
  <c r="Z102" i="3"/>
  <c r="AA102" i="3"/>
  <c r="AB102" i="3"/>
  <c r="AC102" i="3"/>
  <c r="AD102" i="3"/>
  <c r="AE102" i="3"/>
  <c r="AF102" i="3"/>
  <c r="AG102" i="3"/>
  <c r="AH102" i="3"/>
  <c r="AI102" i="3"/>
  <c r="Z103" i="3"/>
  <c r="AA103" i="3"/>
  <c r="AB103" i="3"/>
  <c r="AC103" i="3"/>
  <c r="AD103" i="3"/>
  <c r="AE103" i="3"/>
  <c r="AF103" i="3"/>
  <c r="AG103" i="3"/>
  <c r="AH103" i="3"/>
  <c r="AI103" i="3"/>
  <c r="Z104" i="3"/>
  <c r="AJ104" i="3" s="1"/>
  <c r="AA104" i="3"/>
  <c r="AB104" i="3"/>
  <c r="AC104" i="3"/>
  <c r="AD104" i="3"/>
  <c r="AE104" i="3"/>
  <c r="AF104" i="3"/>
  <c r="AG104" i="3"/>
  <c r="AH104" i="3"/>
  <c r="AI104" i="3"/>
  <c r="Z105" i="3"/>
  <c r="AA105" i="3"/>
  <c r="AB105" i="3"/>
  <c r="AC105" i="3"/>
  <c r="AD105" i="3"/>
  <c r="AE105" i="3"/>
  <c r="AF105" i="3"/>
  <c r="AG105" i="3"/>
  <c r="AH105" i="3"/>
  <c r="AI105" i="3"/>
  <c r="Z106" i="3"/>
  <c r="AA106" i="3"/>
  <c r="AB106" i="3"/>
  <c r="AC106" i="3"/>
  <c r="AD106" i="3"/>
  <c r="AE106" i="3"/>
  <c r="AJ106" i="3" s="1"/>
  <c r="AF106" i="3"/>
  <c r="AG106" i="3"/>
  <c r="AH106" i="3"/>
  <c r="AI106" i="3"/>
  <c r="Z107" i="3"/>
  <c r="AA107" i="3"/>
  <c r="AB107" i="3"/>
  <c r="AC107" i="3"/>
  <c r="AD107" i="3"/>
  <c r="AE107" i="3"/>
  <c r="AF107" i="3"/>
  <c r="AG107" i="3"/>
  <c r="AH107" i="3"/>
  <c r="AI107" i="3"/>
  <c r="AJ107" i="3"/>
  <c r="Z108" i="3"/>
  <c r="AJ108" i="3" s="1"/>
  <c r="AA108" i="3"/>
  <c r="AB108" i="3"/>
  <c r="AC108" i="3"/>
  <c r="AD108" i="3"/>
  <c r="AE108" i="3"/>
  <c r="AF108" i="3"/>
  <c r="AG108" i="3"/>
  <c r="AH108" i="3"/>
  <c r="AI108" i="3"/>
  <c r="Z109" i="3"/>
  <c r="AA109" i="3"/>
  <c r="AB109" i="3"/>
  <c r="AC109" i="3"/>
  <c r="AD109" i="3"/>
  <c r="AE109" i="3"/>
  <c r="AF109" i="3"/>
  <c r="AG109" i="3"/>
  <c r="AH109" i="3"/>
  <c r="AI109" i="3"/>
  <c r="Z110" i="3"/>
  <c r="AA110" i="3"/>
  <c r="AB110" i="3"/>
  <c r="AC110" i="3"/>
  <c r="AD110" i="3"/>
  <c r="AE110" i="3"/>
  <c r="AF110" i="3"/>
  <c r="AG110" i="3"/>
  <c r="AH110" i="3"/>
  <c r="AI110" i="3"/>
  <c r="Z111" i="3"/>
  <c r="AA111" i="3"/>
  <c r="AB111" i="3"/>
  <c r="AC111" i="3"/>
  <c r="AD111" i="3"/>
  <c r="AE111" i="3"/>
  <c r="AF111" i="3"/>
  <c r="AG111" i="3"/>
  <c r="AH111" i="3"/>
  <c r="AI111" i="3"/>
  <c r="Z112" i="3"/>
  <c r="AJ112" i="3" s="1"/>
  <c r="AA112" i="3"/>
  <c r="AB112" i="3"/>
  <c r="AC112" i="3"/>
  <c r="AD112" i="3"/>
  <c r="AE112" i="3"/>
  <c r="AF112" i="3"/>
  <c r="AG112" i="3"/>
  <c r="AH112" i="3"/>
  <c r="AI112" i="3"/>
  <c r="Z113" i="3"/>
  <c r="AA113" i="3"/>
  <c r="AB113" i="3"/>
  <c r="AC113" i="3"/>
  <c r="AD113" i="3"/>
  <c r="AE113" i="3"/>
  <c r="AF113" i="3"/>
  <c r="AG113" i="3"/>
  <c r="AH113" i="3"/>
  <c r="AI113" i="3"/>
  <c r="Z114" i="3"/>
  <c r="AA114" i="3"/>
  <c r="AB114" i="3"/>
  <c r="AC114" i="3"/>
  <c r="AD114" i="3"/>
  <c r="AE114" i="3"/>
  <c r="AJ114" i="3" s="1"/>
  <c r="AF114" i="3"/>
  <c r="AG114" i="3"/>
  <c r="AH114" i="3"/>
  <c r="AI114" i="3"/>
  <c r="Z115" i="3"/>
  <c r="AA115" i="3"/>
  <c r="AB115" i="3"/>
  <c r="AC115" i="3"/>
  <c r="AD115" i="3"/>
  <c r="AE115" i="3"/>
  <c r="AF115" i="3"/>
  <c r="AG115" i="3"/>
  <c r="AH115" i="3"/>
  <c r="AI115" i="3"/>
  <c r="AJ115" i="3"/>
  <c r="Z116" i="3"/>
  <c r="AA116" i="3"/>
  <c r="AB116" i="3"/>
  <c r="AC116" i="3"/>
  <c r="AD116" i="3"/>
  <c r="AE116" i="3"/>
  <c r="AF116" i="3"/>
  <c r="AG116" i="3"/>
  <c r="AH116" i="3"/>
  <c r="AI116" i="3"/>
  <c r="Z117" i="3"/>
  <c r="AA117" i="3"/>
  <c r="AJ117" i="3" s="1"/>
  <c r="AB117" i="3"/>
  <c r="AC117" i="3"/>
  <c r="AD117" i="3"/>
  <c r="AE117" i="3"/>
  <c r="AF117" i="3"/>
  <c r="AG117" i="3"/>
  <c r="AH117" i="3"/>
  <c r="AI117" i="3"/>
  <c r="Z118" i="3"/>
  <c r="AA118" i="3"/>
  <c r="AB118" i="3"/>
  <c r="AC118" i="3"/>
  <c r="AD118" i="3"/>
  <c r="AE118" i="3"/>
  <c r="AF118" i="3"/>
  <c r="AG118" i="3"/>
  <c r="AH118" i="3"/>
  <c r="AI118" i="3"/>
  <c r="Z119" i="3"/>
  <c r="AJ119" i="3" s="1"/>
  <c r="AA119" i="3"/>
  <c r="AB119" i="3"/>
  <c r="AC119" i="3"/>
  <c r="AD119" i="3"/>
  <c r="AE119" i="3"/>
  <c r="AF119" i="3"/>
  <c r="AG119" i="3"/>
  <c r="AH119" i="3"/>
  <c r="AI119" i="3"/>
  <c r="Z120" i="3"/>
  <c r="AA120" i="3"/>
  <c r="AB120" i="3"/>
  <c r="AC120" i="3"/>
  <c r="AD120" i="3"/>
  <c r="AE120" i="3"/>
  <c r="AF120" i="3"/>
  <c r="AG120" i="3"/>
  <c r="AH120" i="3"/>
  <c r="AI120" i="3"/>
  <c r="Z121" i="3"/>
  <c r="AA121" i="3"/>
  <c r="AB121" i="3"/>
  <c r="AC121" i="3"/>
  <c r="AD121" i="3"/>
  <c r="AE121" i="3"/>
  <c r="AF121" i="3"/>
  <c r="AG121" i="3"/>
  <c r="AH121" i="3"/>
  <c r="AI121" i="3"/>
  <c r="Z122" i="3"/>
  <c r="AA122" i="3"/>
  <c r="AB122" i="3"/>
  <c r="AC122" i="3"/>
  <c r="AD122" i="3"/>
  <c r="AE122" i="3"/>
  <c r="AJ122" i="3" s="1"/>
  <c r="AF122" i="3"/>
  <c r="AG122" i="3"/>
  <c r="AH122" i="3"/>
  <c r="AI122" i="3"/>
  <c r="Z123" i="3"/>
  <c r="AA123" i="3"/>
  <c r="AB123" i="3"/>
  <c r="AC123" i="3"/>
  <c r="AD123" i="3"/>
  <c r="AE123" i="3"/>
  <c r="AF123" i="3"/>
  <c r="AG123" i="3"/>
  <c r="AH123" i="3"/>
  <c r="AI123" i="3"/>
  <c r="AJ123" i="3"/>
  <c r="Z124" i="3"/>
  <c r="AJ124" i="3" s="1"/>
  <c r="AA124" i="3"/>
  <c r="AB124" i="3"/>
  <c r="AC124" i="3"/>
  <c r="AD124" i="3"/>
  <c r="AE124" i="3"/>
  <c r="AF124" i="3"/>
  <c r="AG124" i="3"/>
  <c r="AH124" i="3"/>
  <c r="AI124" i="3"/>
  <c r="Z125" i="3"/>
  <c r="AA125" i="3"/>
  <c r="AB125" i="3"/>
  <c r="AC125" i="3"/>
  <c r="AD125" i="3"/>
  <c r="AE125" i="3"/>
  <c r="AF125" i="3"/>
  <c r="AG125" i="3"/>
  <c r="AH125" i="3"/>
  <c r="AI125" i="3"/>
  <c r="Z126" i="3"/>
  <c r="AA126" i="3"/>
  <c r="AB126" i="3"/>
  <c r="AC126" i="3"/>
  <c r="AD126" i="3"/>
  <c r="AE126" i="3"/>
  <c r="AF126" i="3"/>
  <c r="AG126" i="3"/>
  <c r="AH126" i="3"/>
  <c r="AI126" i="3"/>
  <c r="Z127" i="3"/>
  <c r="AJ127" i="3" s="1"/>
  <c r="AA127" i="3"/>
  <c r="AB127" i="3"/>
  <c r="AC127" i="3"/>
  <c r="AD127" i="3"/>
  <c r="AE127" i="3"/>
  <c r="AF127" i="3"/>
  <c r="AG127" i="3"/>
  <c r="AH127" i="3"/>
  <c r="AI127" i="3"/>
  <c r="Z128" i="3"/>
  <c r="AJ128" i="3" s="1"/>
  <c r="AA128" i="3"/>
  <c r="AB128" i="3"/>
  <c r="AC128" i="3"/>
  <c r="AD128" i="3"/>
  <c r="AE128" i="3"/>
  <c r="AF128" i="3"/>
  <c r="AG128" i="3"/>
  <c r="AH128" i="3"/>
  <c r="AI128" i="3"/>
  <c r="Z129" i="3"/>
  <c r="AA129" i="3"/>
  <c r="AB129" i="3"/>
  <c r="AC129" i="3"/>
  <c r="AD129" i="3"/>
  <c r="AE129" i="3"/>
  <c r="AF129" i="3"/>
  <c r="AG129" i="3"/>
  <c r="AH129" i="3"/>
  <c r="AI129" i="3"/>
  <c r="Z130" i="3"/>
  <c r="AA130" i="3"/>
  <c r="AB130" i="3"/>
  <c r="AC130" i="3"/>
  <c r="AD130" i="3"/>
  <c r="AE130" i="3"/>
  <c r="AJ130" i="3" s="1"/>
  <c r="AF130" i="3"/>
  <c r="AG130" i="3"/>
  <c r="AH130" i="3"/>
  <c r="AI130" i="3"/>
  <c r="Z131" i="3"/>
  <c r="AA131" i="3"/>
  <c r="AB131" i="3"/>
  <c r="AC131" i="3"/>
  <c r="AD131" i="3"/>
  <c r="AE131" i="3"/>
  <c r="AF131" i="3"/>
  <c r="AG131" i="3"/>
  <c r="AH131" i="3"/>
  <c r="AI131" i="3"/>
  <c r="AJ131" i="3"/>
  <c r="Z132" i="3"/>
  <c r="AJ132" i="3" s="1"/>
  <c r="AA132" i="3"/>
  <c r="AB132" i="3"/>
  <c r="AC132" i="3"/>
  <c r="AD132" i="3"/>
  <c r="AE132" i="3"/>
  <c r="AF132" i="3"/>
  <c r="AG132" i="3"/>
  <c r="AH132" i="3"/>
  <c r="AI132" i="3"/>
  <c r="Z133" i="3"/>
  <c r="AA133" i="3"/>
  <c r="AJ133" i="3" s="1"/>
  <c r="AB133" i="3"/>
  <c r="AC133" i="3"/>
  <c r="AD133" i="3"/>
  <c r="AE133" i="3"/>
  <c r="AF133" i="3"/>
  <c r="AG133" i="3"/>
  <c r="AH133" i="3"/>
  <c r="AI133" i="3"/>
  <c r="Z134" i="3"/>
  <c r="AA134" i="3"/>
  <c r="AB134" i="3"/>
  <c r="AC134" i="3"/>
  <c r="AD134" i="3"/>
  <c r="AE134" i="3"/>
  <c r="AF134" i="3"/>
  <c r="AG134" i="3"/>
  <c r="AH134" i="3"/>
  <c r="AI134" i="3"/>
  <c r="Z135" i="3"/>
  <c r="AA135" i="3"/>
  <c r="AB135" i="3"/>
  <c r="AC135" i="3"/>
  <c r="AD135" i="3"/>
  <c r="AE135" i="3"/>
  <c r="AF135" i="3"/>
  <c r="AG135" i="3"/>
  <c r="AH135" i="3"/>
  <c r="AI135" i="3"/>
  <c r="Z136" i="3"/>
  <c r="AA136" i="3"/>
  <c r="AB136" i="3"/>
  <c r="AC136" i="3"/>
  <c r="AD136" i="3"/>
  <c r="AE136" i="3"/>
  <c r="AF136" i="3"/>
  <c r="AG136" i="3"/>
  <c r="AH136" i="3"/>
  <c r="AI136" i="3"/>
  <c r="Z137" i="3"/>
  <c r="AA137" i="3"/>
  <c r="AB137" i="3"/>
  <c r="AC137" i="3"/>
  <c r="AD137" i="3"/>
  <c r="AE137" i="3"/>
  <c r="AF137" i="3"/>
  <c r="AG137" i="3"/>
  <c r="AH137" i="3"/>
  <c r="AI137" i="3"/>
  <c r="Z138" i="3"/>
  <c r="AA138" i="3"/>
  <c r="AB138" i="3"/>
  <c r="AC138" i="3"/>
  <c r="AD138" i="3"/>
  <c r="AE138" i="3"/>
  <c r="AJ138" i="3" s="1"/>
  <c r="AF138" i="3"/>
  <c r="AG138" i="3"/>
  <c r="AH138" i="3"/>
  <c r="AI138" i="3"/>
  <c r="Z139" i="3"/>
  <c r="AA139" i="3"/>
  <c r="AB139" i="3"/>
  <c r="AC139" i="3"/>
  <c r="AD139" i="3"/>
  <c r="AE139" i="3"/>
  <c r="AF139" i="3"/>
  <c r="AG139" i="3"/>
  <c r="AH139" i="3"/>
  <c r="AI139" i="3"/>
  <c r="AJ139" i="3"/>
  <c r="Z140" i="3"/>
  <c r="AJ140" i="3" s="1"/>
  <c r="AA140" i="3"/>
  <c r="AB140" i="3"/>
  <c r="AC140" i="3"/>
  <c r="AD140" i="3"/>
  <c r="AE140" i="3"/>
  <c r="AF140" i="3"/>
  <c r="AG140" i="3"/>
  <c r="AH140" i="3"/>
  <c r="AI140" i="3"/>
  <c r="Z141" i="3"/>
  <c r="AA141" i="3"/>
  <c r="AJ141" i="3" s="1"/>
  <c r="AB141" i="3"/>
  <c r="AC141" i="3"/>
  <c r="AD141" i="3"/>
  <c r="AE141" i="3"/>
  <c r="AF141" i="3"/>
  <c r="AG141" i="3"/>
  <c r="AH141" i="3"/>
  <c r="AI141" i="3"/>
  <c r="Z142" i="3"/>
  <c r="AA142" i="3"/>
  <c r="AB142" i="3"/>
  <c r="AC142" i="3"/>
  <c r="AD142" i="3"/>
  <c r="AE142" i="3"/>
  <c r="AF142" i="3"/>
  <c r="AG142" i="3"/>
  <c r="AH142" i="3"/>
  <c r="AI142" i="3"/>
  <c r="Z143" i="3"/>
  <c r="AA143" i="3"/>
  <c r="AB143" i="3"/>
  <c r="AC143" i="3"/>
  <c r="AD143" i="3"/>
  <c r="AE143" i="3"/>
  <c r="AF143" i="3"/>
  <c r="AG143" i="3"/>
  <c r="AH143" i="3"/>
  <c r="AI143" i="3"/>
  <c r="Z144" i="3"/>
  <c r="AJ144" i="3" s="1"/>
  <c r="AA144" i="3"/>
  <c r="AB144" i="3"/>
  <c r="AC144" i="3"/>
  <c r="AD144" i="3"/>
  <c r="AE144" i="3"/>
  <c r="AF144" i="3"/>
  <c r="AG144" i="3"/>
  <c r="AH144" i="3"/>
  <c r="AI144" i="3"/>
  <c r="Z145" i="3"/>
  <c r="AA145" i="3"/>
  <c r="AB145" i="3"/>
  <c r="AC145" i="3"/>
  <c r="AD145" i="3"/>
  <c r="AE145" i="3"/>
  <c r="AF145" i="3"/>
  <c r="AG145" i="3"/>
  <c r="AH145" i="3"/>
  <c r="AI145" i="3"/>
  <c r="Z146" i="3"/>
  <c r="AA146" i="3"/>
  <c r="AB146" i="3"/>
  <c r="AC146" i="3"/>
  <c r="AD146" i="3"/>
  <c r="AE146" i="3"/>
  <c r="AJ146" i="3" s="1"/>
  <c r="AF146" i="3"/>
  <c r="AG146" i="3"/>
  <c r="AH146" i="3"/>
  <c r="AI146" i="3"/>
  <c r="Z147" i="3"/>
  <c r="AA147" i="3"/>
  <c r="AB147" i="3"/>
  <c r="AC147" i="3"/>
  <c r="AD147" i="3"/>
  <c r="AE147" i="3"/>
  <c r="AF147" i="3"/>
  <c r="AG147" i="3"/>
  <c r="AH147" i="3"/>
  <c r="AI147" i="3"/>
  <c r="AJ147" i="3"/>
  <c r="Z148" i="3"/>
  <c r="AA148" i="3"/>
  <c r="AB148" i="3"/>
  <c r="AC148" i="3"/>
  <c r="AD148" i="3"/>
  <c r="AE148" i="3"/>
  <c r="AF148" i="3"/>
  <c r="AG148" i="3"/>
  <c r="AH148" i="3"/>
  <c r="AI148" i="3"/>
  <c r="Z149" i="3"/>
  <c r="AA149" i="3"/>
  <c r="AJ149" i="3" s="1"/>
  <c r="AB149" i="3"/>
  <c r="AC149" i="3"/>
  <c r="AD149" i="3"/>
  <c r="AE149" i="3"/>
  <c r="AF149" i="3"/>
  <c r="AG149" i="3"/>
  <c r="AH149" i="3"/>
  <c r="AI149" i="3"/>
  <c r="Z150" i="3"/>
  <c r="AA150" i="3"/>
  <c r="AB150" i="3"/>
  <c r="AC150" i="3"/>
  <c r="AD150" i="3"/>
  <c r="AE150" i="3"/>
  <c r="AF150" i="3"/>
  <c r="AG150" i="3"/>
  <c r="AH150" i="3"/>
  <c r="AI150" i="3"/>
  <c r="Z151" i="3"/>
  <c r="AJ151" i="3" s="1"/>
  <c r="AA151" i="3"/>
  <c r="AB151" i="3"/>
  <c r="AC151" i="3"/>
  <c r="AD151" i="3"/>
  <c r="AE151" i="3"/>
  <c r="AF151" i="3"/>
  <c r="AG151" i="3"/>
  <c r="AH151" i="3"/>
  <c r="AI151" i="3"/>
  <c r="Z152" i="3"/>
  <c r="AA152" i="3"/>
  <c r="AB152" i="3"/>
  <c r="AC152" i="3"/>
  <c r="AD152" i="3"/>
  <c r="AE152" i="3"/>
  <c r="AF152" i="3"/>
  <c r="AG152" i="3"/>
  <c r="AH152" i="3"/>
  <c r="AI152" i="3"/>
  <c r="Z153" i="3"/>
  <c r="AA153" i="3"/>
  <c r="AB153" i="3"/>
  <c r="AC153" i="3"/>
  <c r="AD153" i="3"/>
  <c r="AE153" i="3"/>
  <c r="AF153" i="3"/>
  <c r="AG153" i="3"/>
  <c r="AH153" i="3"/>
  <c r="AI153" i="3"/>
  <c r="Z154" i="3"/>
  <c r="AA154" i="3"/>
  <c r="AB154" i="3"/>
  <c r="AC154" i="3"/>
  <c r="AJ154" i="3" s="1"/>
  <c r="AD154" i="3"/>
  <c r="AE154" i="3"/>
  <c r="AF154" i="3"/>
  <c r="AG154" i="3"/>
  <c r="AH154" i="3"/>
  <c r="AI154" i="3"/>
  <c r="Z155" i="3"/>
  <c r="AA155" i="3"/>
  <c r="AB155" i="3"/>
  <c r="AC155" i="3"/>
  <c r="AD155" i="3"/>
  <c r="AE155" i="3"/>
  <c r="AF155" i="3"/>
  <c r="AG155" i="3"/>
  <c r="AH155" i="3"/>
  <c r="AI155" i="3"/>
  <c r="AJ155" i="3"/>
  <c r="Z156" i="3"/>
  <c r="AJ156" i="3" s="1"/>
  <c r="AA156" i="3"/>
  <c r="AB156" i="3"/>
  <c r="AC156" i="3"/>
  <c r="AD156" i="3"/>
  <c r="AE156" i="3"/>
  <c r="AF156" i="3"/>
  <c r="AG156" i="3"/>
  <c r="AH156" i="3"/>
  <c r="AI156" i="3"/>
  <c r="Z157" i="3"/>
  <c r="AA157" i="3"/>
  <c r="AB157" i="3"/>
  <c r="AC157" i="3"/>
  <c r="AD157" i="3"/>
  <c r="AJ157" i="3" s="1"/>
  <c r="AE157" i="3"/>
  <c r="AF157" i="3"/>
  <c r="AG157" i="3"/>
  <c r="AH157" i="3"/>
  <c r="AI157" i="3"/>
  <c r="Z158" i="3"/>
  <c r="AA158" i="3"/>
  <c r="AB158" i="3"/>
  <c r="AC158" i="3"/>
  <c r="AD158" i="3"/>
  <c r="AE158" i="3"/>
  <c r="AF158" i="3"/>
  <c r="AG158" i="3"/>
  <c r="AH158" i="3"/>
  <c r="AI158" i="3"/>
  <c r="Z159" i="3"/>
  <c r="AJ159" i="3" s="1"/>
  <c r="AA159" i="3"/>
  <c r="AB159" i="3"/>
  <c r="AC159" i="3"/>
  <c r="AD159" i="3"/>
  <c r="AE159" i="3"/>
  <c r="AF159" i="3"/>
  <c r="AG159" i="3"/>
  <c r="AH159" i="3"/>
  <c r="AI159" i="3"/>
  <c r="Z160" i="3"/>
  <c r="AJ160" i="3" s="1"/>
  <c r="AA160" i="3"/>
  <c r="AB160" i="3"/>
  <c r="AC160" i="3"/>
  <c r="AD160" i="3"/>
  <c r="AE160" i="3"/>
  <c r="AF160" i="3"/>
  <c r="AG160" i="3"/>
  <c r="AH160" i="3"/>
  <c r="AI160" i="3"/>
  <c r="Z161" i="3"/>
  <c r="AA161" i="3"/>
  <c r="AB161" i="3"/>
  <c r="AC161" i="3"/>
  <c r="AD161" i="3"/>
  <c r="AE161" i="3"/>
  <c r="AF161" i="3"/>
  <c r="AG161" i="3"/>
  <c r="AH161" i="3"/>
  <c r="AI161" i="3"/>
  <c r="Z162" i="3"/>
  <c r="AA162" i="3"/>
  <c r="AB162" i="3"/>
  <c r="AC162" i="3"/>
  <c r="AD162" i="3"/>
  <c r="AE162" i="3"/>
  <c r="AJ162" i="3" s="1"/>
  <c r="AF162" i="3"/>
  <c r="AG162" i="3"/>
  <c r="AH162" i="3"/>
  <c r="AI162" i="3"/>
  <c r="Z163" i="3"/>
  <c r="AA163" i="3"/>
  <c r="AB163" i="3"/>
  <c r="AC163" i="3"/>
  <c r="AD163" i="3"/>
  <c r="AE163" i="3"/>
  <c r="AF163" i="3"/>
  <c r="AG163" i="3"/>
  <c r="AH163" i="3"/>
  <c r="AI163" i="3"/>
  <c r="AJ163" i="3"/>
  <c r="Z164" i="3"/>
  <c r="AA164" i="3"/>
  <c r="AB164" i="3"/>
  <c r="AC164" i="3"/>
  <c r="AD164" i="3"/>
  <c r="AE164" i="3"/>
  <c r="AF164" i="3"/>
  <c r="AG164" i="3"/>
  <c r="AH164" i="3"/>
  <c r="AI164" i="3"/>
  <c r="Z165" i="3"/>
  <c r="AA165" i="3"/>
  <c r="AJ165" i="3" s="1"/>
  <c r="AB165" i="3"/>
  <c r="AC165" i="3"/>
  <c r="AD165" i="3"/>
  <c r="AE165" i="3"/>
  <c r="AF165" i="3"/>
  <c r="AG165" i="3"/>
  <c r="AH165" i="3"/>
  <c r="AI165" i="3"/>
  <c r="Z166" i="3"/>
  <c r="AA166" i="3"/>
  <c r="AB166" i="3"/>
  <c r="AC166" i="3"/>
  <c r="AD166" i="3"/>
  <c r="AE166" i="3"/>
  <c r="AF166" i="3"/>
  <c r="AG166" i="3"/>
  <c r="AH166" i="3"/>
  <c r="AI166" i="3"/>
  <c r="Z167" i="3"/>
  <c r="AA167" i="3"/>
  <c r="AB167" i="3"/>
  <c r="AC167" i="3"/>
  <c r="AD167" i="3"/>
  <c r="AE167" i="3"/>
  <c r="AF167" i="3"/>
  <c r="AG167" i="3"/>
  <c r="AH167" i="3"/>
  <c r="AI167" i="3"/>
  <c r="Z168" i="3"/>
  <c r="AJ168" i="3" s="1"/>
  <c r="AA168" i="3"/>
  <c r="AB168" i="3"/>
  <c r="AC168" i="3"/>
  <c r="AD168" i="3"/>
  <c r="AE168" i="3"/>
  <c r="AF168" i="3"/>
  <c r="AG168" i="3"/>
  <c r="AH168" i="3"/>
  <c r="AI168" i="3"/>
  <c r="Z169" i="3"/>
  <c r="AA169" i="3"/>
  <c r="AB169" i="3"/>
  <c r="AC169" i="3"/>
  <c r="AD169" i="3"/>
  <c r="AE169" i="3"/>
  <c r="AF169" i="3"/>
  <c r="AG169" i="3"/>
  <c r="AH169" i="3"/>
  <c r="AI169" i="3"/>
  <c r="Z170" i="3"/>
  <c r="AA170" i="3"/>
  <c r="AB170" i="3"/>
  <c r="AC170" i="3"/>
  <c r="AD170" i="3"/>
  <c r="AE170" i="3"/>
  <c r="AJ170" i="3" s="1"/>
  <c r="AF170" i="3"/>
  <c r="AG170" i="3"/>
  <c r="AH170" i="3"/>
  <c r="AI170" i="3"/>
  <c r="Z171" i="3"/>
  <c r="AA171" i="3"/>
  <c r="AB171" i="3"/>
  <c r="AC171" i="3"/>
  <c r="AD171" i="3"/>
  <c r="AE171" i="3"/>
  <c r="AF171" i="3"/>
  <c r="AG171" i="3"/>
  <c r="AH171" i="3"/>
  <c r="AI171" i="3"/>
  <c r="AJ171" i="3"/>
  <c r="Z172" i="3"/>
  <c r="AJ172" i="3" s="1"/>
  <c r="AA172" i="3"/>
  <c r="AB172" i="3"/>
  <c r="AC172" i="3"/>
  <c r="AD172" i="3"/>
  <c r="AE172" i="3"/>
  <c r="AF172" i="3"/>
  <c r="AG172" i="3"/>
  <c r="AH172" i="3"/>
  <c r="AI172" i="3"/>
  <c r="Z173" i="3"/>
  <c r="AA173" i="3"/>
  <c r="AB173" i="3"/>
  <c r="AC173" i="3"/>
  <c r="AD173" i="3"/>
  <c r="AE173" i="3"/>
  <c r="AF173" i="3"/>
  <c r="AG173" i="3"/>
  <c r="AH173" i="3"/>
  <c r="AI173" i="3"/>
  <c r="Z174" i="3"/>
  <c r="AA174" i="3"/>
  <c r="AB174" i="3"/>
  <c r="AC174" i="3"/>
  <c r="AD174" i="3"/>
  <c r="AE174" i="3"/>
  <c r="AF174" i="3"/>
  <c r="AG174" i="3"/>
  <c r="AH174" i="3"/>
  <c r="AI174" i="3"/>
  <c r="Z175" i="3"/>
  <c r="AA175" i="3"/>
  <c r="AB175" i="3"/>
  <c r="AC175" i="3"/>
  <c r="AD175" i="3"/>
  <c r="AE175" i="3"/>
  <c r="AF175" i="3"/>
  <c r="AG175" i="3"/>
  <c r="AH175" i="3"/>
  <c r="AI175" i="3"/>
  <c r="Z176" i="3"/>
  <c r="AJ176" i="3" s="1"/>
  <c r="AA176" i="3"/>
  <c r="AB176" i="3"/>
  <c r="AC176" i="3"/>
  <c r="AD176" i="3"/>
  <c r="AE176" i="3"/>
  <c r="AF176" i="3"/>
  <c r="AG176" i="3"/>
  <c r="AH176" i="3"/>
  <c r="AI176" i="3"/>
  <c r="Z177" i="3"/>
  <c r="AA177" i="3"/>
  <c r="AB177" i="3"/>
  <c r="AC177" i="3"/>
  <c r="AD177" i="3"/>
  <c r="AE177" i="3"/>
  <c r="AF177" i="3"/>
  <c r="AG177" i="3"/>
  <c r="AH177" i="3"/>
  <c r="AI177" i="3"/>
  <c r="Z178" i="3"/>
  <c r="AA178" i="3"/>
  <c r="AB178" i="3"/>
  <c r="AC178" i="3"/>
  <c r="AD178" i="3"/>
  <c r="AE178" i="3"/>
  <c r="AJ178" i="3" s="1"/>
  <c r="AF178" i="3"/>
  <c r="AG178" i="3"/>
  <c r="AH178" i="3"/>
  <c r="AI178" i="3"/>
  <c r="Z179" i="3"/>
  <c r="AA179" i="3"/>
  <c r="AB179" i="3"/>
  <c r="AC179" i="3"/>
  <c r="AD179" i="3"/>
  <c r="AE179" i="3"/>
  <c r="AF179" i="3"/>
  <c r="AG179" i="3"/>
  <c r="AH179" i="3"/>
  <c r="AI179" i="3"/>
  <c r="AJ179" i="3"/>
  <c r="Z180" i="3"/>
  <c r="AA180" i="3"/>
  <c r="AB180" i="3"/>
  <c r="AC180" i="3"/>
  <c r="AD180" i="3"/>
  <c r="AE180" i="3"/>
  <c r="AF180" i="3"/>
  <c r="AG180" i="3"/>
  <c r="AH180" i="3"/>
  <c r="AI180" i="3"/>
  <c r="Z181" i="3"/>
  <c r="AA181" i="3"/>
  <c r="AJ181" i="3" s="1"/>
  <c r="AB181" i="3"/>
  <c r="AC181" i="3"/>
  <c r="AD181" i="3"/>
  <c r="AE181" i="3"/>
  <c r="AF181" i="3"/>
  <c r="AG181" i="3"/>
  <c r="AH181" i="3"/>
  <c r="AI181" i="3"/>
  <c r="Z182" i="3"/>
  <c r="AA182" i="3"/>
  <c r="AB182" i="3"/>
  <c r="AC182" i="3"/>
  <c r="AD182" i="3"/>
  <c r="AE182" i="3"/>
  <c r="AF182" i="3"/>
  <c r="AG182" i="3"/>
  <c r="AH182" i="3"/>
  <c r="AI182" i="3"/>
  <c r="Z183" i="3"/>
  <c r="AJ183" i="3" s="1"/>
  <c r="AA183" i="3"/>
  <c r="AB183" i="3"/>
  <c r="AC183" i="3"/>
  <c r="AD183" i="3"/>
  <c r="AE183" i="3"/>
  <c r="AF183" i="3"/>
  <c r="AG183" i="3"/>
  <c r="AH183" i="3"/>
  <c r="AI183" i="3"/>
  <c r="Z184" i="3"/>
  <c r="AA184" i="3"/>
  <c r="AB184" i="3"/>
  <c r="AC184" i="3"/>
  <c r="AD184" i="3"/>
  <c r="AE184" i="3"/>
  <c r="AF184" i="3"/>
  <c r="AG184" i="3"/>
  <c r="AH184" i="3"/>
  <c r="AI184" i="3"/>
  <c r="Z185" i="3"/>
  <c r="AA185" i="3"/>
  <c r="AB185" i="3"/>
  <c r="AC185" i="3"/>
  <c r="AD185" i="3"/>
  <c r="AE185" i="3"/>
  <c r="AF185" i="3"/>
  <c r="AG185" i="3"/>
  <c r="AH185" i="3"/>
  <c r="AI185" i="3"/>
  <c r="Z186" i="3"/>
  <c r="AA186" i="3"/>
  <c r="AB186" i="3"/>
  <c r="AC186" i="3"/>
  <c r="AD186" i="3"/>
  <c r="AE186" i="3"/>
  <c r="AJ186" i="3" s="1"/>
  <c r="AF186" i="3"/>
  <c r="AG186" i="3"/>
  <c r="AH186" i="3"/>
  <c r="AI186" i="3"/>
  <c r="Z187" i="3"/>
  <c r="AA187" i="3"/>
  <c r="AB187" i="3"/>
  <c r="AC187" i="3"/>
  <c r="AD187" i="3"/>
  <c r="AE187" i="3"/>
  <c r="AF187" i="3"/>
  <c r="AG187" i="3"/>
  <c r="AH187" i="3"/>
  <c r="AI187" i="3"/>
  <c r="AJ187" i="3"/>
  <c r="Z188" i="3"/>
  <c r="AJ188" i="3" s="1"/>
  <c r="AA188" i="3"/>
  <c r="AB188" i="3"/>
  <c r="AC188" i="3"/>
  <c r="AD188" i="3"/>
  <c r="AE188" i="3"/>
  <c r="AF188" i="3"/>
  <c r="AG188" i="3"/>
  <c r="AH188" i="3"/>
  <c r="AI188" i="3"/>
  <c r="Z189" i="3"/>
  <c r="AA189" i="3"/>
  <c r="AB189" i="3"/>
  <c r="AC189" i="3"/>
  <c r="AD189" i="3"/>
  <c r="AE189" i="3"/>
  <c r="AF189" i="3"/>
  <c r="AG189" i="3"/>
  <c r="AH189" i="3"/>
  <c r="AI189" i="3"/>
  <c r="Z190" i="3"/>
  <c r="AA190" i="3"/>
  <c r="AB190" i="3"/>
  <c r="AC190" i="3"/>
  <c r="AD190" i="3"/>
  <c r="AE190" i="3"/>
  <c r="AF190" i="3"/>
  <c r="AG190" i="3"/>
  <c r="AH190" i="3"/>
  <c r="AI190" i="3"/>
  <c r="Z191" i="3"/>
  <c r="AJ191" i="3" s="1"/>
  <c r="AA191" i="3"/>
  <c r="AB191" i="3"/>
  <c r="AC191" i="3"/>
  <c r="AD191" i="3"/>
  <c r="AE191" i="3"/>
  <c r="AF191" i="3"/>
  <c r="AG191" i="3"/>
  <c r="AH191" i="3"/>
  <c r="AI191" i="3"/>
  <c r="Z192" i="3"/>
  <c r="AJ192" i="3" s="1"/>
  <c r="AA192" i="3"/>
  <c r="AB192" i="3"/>
  <c r="AC192" i="3"/>
  <c r="AD192" i="3"/>
  <c r="AE192" i="3"/>
  <c r="AF192" i="3"/>
  <c r="AG192" i="3"/>
  <c r="AH192" i="3"/>
  <c r="AI192" i="3"/>
  <c r="Z193" i="3"/>
  <c r="AA193" i="3"/>
  <c r="AB193" i="3"/>
  <c r="AC193" i="3"/>
  <c r="AD193" i="3"/>
  <c r="AE193" i="3"/>
  <c r="AF193" i="3"/>
  <c r="AG193" i="3"/>
  <c r="AH193" i="3"/>
  <c r="AI193" i="3"/>
  <c r="Z194" i="3"/>
  <c r="AA194" i="3"/>
  <c r="AB194" i="3"/>
  <c r="AC194" i="3"/>
  <c r="AD194" i="3"/>
  <c r="AE194" i="3"/>
  <c r="AJ194" i="3" s="1"/>
  <c r="AF194" i="3"/>
  <c r="AG194" i="3"/>
  <c r="AH194" i="3"/>
  <c r="AI194" i="3"/>
  <c r="Z195" i="3"/>
  <c r="AA195" i="3"/>
  <c r="AB195" i="3"/>
  <c r="AC195" i="3"/>
  <c r="AD195" i="3"/>
  <c r="AE195" i="3"/>
  <c r="AF195" i="3"/>
  <c r="AG195" i="3"/>
  <c r="AH195" i="3"/>
  <c r="AI195" i="3"/>
  <c r="AJ195" i="3"/>
  <c r="Z196" i="3"/>
  <c r="AJ196" i="3" s="1"/>
  <c r="AA196" i="3"/>
  <c r="AB196" i="3"/>
  <c r="AC196" i="3"/>
  <c r="AD196" i="3"/>
  <c r="AE196" i="3"/>
  <c r="AF196" i="3"/>
  <c r="AG196" i="3"/>
  <c r="AH196" i="3"/>
  <c r="AI196" i="3"/>
  <c r="Z197" i="3"/>
  <c r="AA197" i="3"/>
  <c r="AJ197" i="3" s="1"/>
  <c r="AB197" i="3"/>
  <c r="AC197" i="3"/>
  <c r="AD197" i="3"/>
  <c r="AE197" i="3"/>
  <c r="AF197" i="3"/>
  <c r="AG197" i="3"/>
  <c r="AH197" i="3"/>
  <c r="AI197" i="3"/>
  <c r="Z198" i="3"/>
  <c r="AA198" i="3"/>
  <c r="AB198" i="3"/>
  <c r="AC198" i="3"/>
  <c r="AD198" i="3"/>
  <c r="AE198" i="3"/>
  <c r="AF198" i="3"/>
  <c r="AG198" i="3"/>
  <c r="AH198" i="3"/>
  <c r="AI198" i="3"/>
  <c r="Z199" i="3"/>
  <c r="AA199" i="3"/>
  <c r="AB199" i="3"/>
  <c r="AC199" i="3"/>
  <c r="AD199" i="3"/>
  <c r="AE199" i="3"/>
  <c r="AF199" i="3"/>
  <c r="AG199" i="3"/>
  <c r="AH199" i="3"/>
  <c r="AI199" i="3"/>
  <c r="Z200" i="3"/>
  <c r="AA200" i="3"/>
  <c r="AB200" i="3"/>
  <c r="AC200" i="3"/>
  <c r="AD200" i="3"/>
  <c r="AE200" i="3"/>
  <c r="AF200" i="3"/>
  <c r="AG200" i="3"/>
  <c r="AH200" i="3"/>
  <c r="AI200" i="3"/>
  <c r="Z201" i="3"/>
  <c r="AA201" i="3"/>
  <c r="AB201" i="3"/>
  <c r="AC201" i="3"/>
  <c r="AD201" i="3"/>
  <c r="AE201" i="3"/>
  <c r="AF201" i="3"/>
  <c r="AG201" i="3"/>
  <c r="AH201" i="3"/>
  <c r="AI201" i="3"/>
  <c r="Z202" i="3"/>
  <c r="AA202" i="3"/>
  <c r="AB202" i="3"/>
  <c r="AC202" i="3"/>
  <c r="AD202" i="3"/>
  <c r="AE202" i="3"/>
  <c r="AJ202" i="3" s="1"/>
  <c r="AF202" i="3"/>
  <c r="AG202" i="3"/>
  <c r="AH202" i="3"/>
  <c r="AI202" i="3"/>
  <c r="Z203" i="3"/>
  <c r="AA203" i="3"/>
  <c r="AB203" i="3"/>
  <c r="AC203" i="3"/>
  <c r="AD203" i="3"/>
  <c r="AE203" i="3"/>
  <c r="AF203" i="3"/>
  <c r="AG203" i="3"/>
  <c r="AH203" i="3"/>
  <c r="AI203" i="3"/>
  <c r="AJ203" i="3"/>
  <c r="Z204" i="3"/>
  <c r="AJ204" i="3" s="1"/>
  <c r="AA204" i="3"/>
  <c r="AB204" i="3"/>
  <c r="AC204" i="3"/>
  <c r="AD204" i="3"/>
  <c r="AE204" i="3"/>
  <c r="AF204" i="3"/>
  <c r="AG204" i="3"/>
  <c r="AH204" i="3"/>
  <c r="AI204" i="3"/>
  <c r="Z205" i="3"/>
  <c r="AA205" i="3"/>
  <c r="AJ205" i="3" s="1"/>
  <c r="AB205" i="3"/>
  <c r="AC205" i="3"/>
  <c r="AD205" i="3"/>
  <c r="AE205" i="3"/>
  <c r="AF205" i="3"/>
  <c r="AG205" i="3"/>
  <c r="AH205" i="3"/>
  <c r="AI205" i="3"/>
  <c r="Z206" i="3"/>
  <c r="AA206" i="3"/>
  <c r="AB206" i="3"/>
  <c r="AC206" i="3"/>
  <c r="AD206" i="3"/>
  <c r="AE206" i="3"/>
  <c r="AF206" i="3"/>
  <c r="AG206" i="3"/>
  <c r="AH206" i="3"/>
  <c r="AI206" i="3"/>
  <c r="Z207" i="3"/>
  <c r="AA207" i="3"/>
  <c r="AB207" i="3"/>
  <c r="AC207" i="3"/>
  <c r="AD207" i="3"/>
  <c r="AE207" i="3"/>
  <c r="AF207" i="3"/>
  <c r="AG207" i="3"/>
  <c r="AH207" i="3"/>
  <c r="AI207" i="3"/>
  <c r="Z208" i="3"/>
  <c r="AJ208" i="3" s="1"/>
  <c r="AA208" i="3"/>
  <c r="AB208" i="3"/>
  <c r="AC208" i="3"/>
  <c r="AD208" i="3"/>
  <c r="AE208" i="3"/>
  <c r="AF208" i="3"/>
  <c r="AG208" i="3"/>
  <c r="AH208" i="3"/>
  <c r="AI208" i="3"/>
  <c r="Z209" i="3"/>
  <c r="AA209" i="3"/>
  <c r="AB209" i="3"/>
  <c r="AC209" i="3"/>
  <c r="AD209" i="3"/>
  <c r="AE209" i="3"/>
  <c r="AF209" i="3"/>
  <c r="AG209" i="3"/>
  <c r="AH209" i="3"/>
  <c r="AI209" i="3"/>
  <c r="Z210" i="3"/>
  <c r="AA210" i="3"/>
  <c r="AB210" i="3"/>
  <c r="AC210" i="3"/>
  <c r="AD210" i="3"/>
  <c r="AE210" i="3"/>
  <c r="AJ210" i="3" s="1"/>
  <c r="AF210" i="3"/>
  <c r="AG210" i="3"/>
  <c r="AH210" i="3"/>
  <c r="AI210" i="3"/>
  <c r="Z211" i="3"/>
  <c r="AA211" i="3"/>
  <c r="AB211" i="3"/>
  <c r="AC211" i="3"/>
  <c r="AD211" i="3"/>
  <c r="AE211" i="3"/>
  <c r="AF211" i="3"/>
  <c r="AG211" i="3"/>
  <c r="AH211" i="3"/>
  <c r="AI211" i="3"/>
  <c r="AJ211" i="3"/>
  <c r="Z212" i="3"/>
  <c r="AA212" i="3"/>
  <c r="AB212" i="3"/>
  <c r="AC212" i="3"/>
  <c r="AD212" i="3"/>
  <c r="AE212" i="3"/>
  <c r="AF212" i="3"/>
  <c r="AG212" i="3"/>
  <c r="AH212" i="3"/>
  <c r="AI212" i="3"/>
  <c r="Z213" i="3"/>
  <c r="AA213" i="3"/>
  <c r="AB213" i="3"/>
  <c r="AC213" i="3"/>
  <c r="AD213" i="3"/>
  <c r="AJ213" i="3" s="1"/>
  <c r="AE213" i="3"/>
  <c r="AF213" i="3"/>
  <c r="AG213" i="3"/>
  <c r="AH213" i="3"/>
  <c r="AI213" i="3"/>
  <c r="Z214" i="3"/>
  <c r="AA214" i="3"/>
  <c r="AB214" i="3"/>
  <c r="AC214" i="3"/>
  <c r="AD214" i="3"/>
  <c r="AE214" i="3"/>
  <c r="AF214" i="3"/>
  <c r="AG214" i="3"/>
  <c r="AH214" i="3"/>
  <c r="AI214" i="3"/>
  <c r="Z215" i="3"/>
  <c r="AJ215" i="3" s="1"/>
  <c r="AA215" i="3"/>
  <c r="AB215" i="3"/>
  <c r="AC215" i="3"/>
  <c r="AD215" i="3"/>
  <c r="AE215" i="3"/>
  <c r="AF215" i="3"/>
  <c r="AG215" i="3"/>
  <c r="AH215" i="3"/>
  <c r="AI215" i="3"/>
  <c r="Z216" i="3"/>
  <c r="AA216" i="3"/>
  <c r="AB216" i="3"/>
  <c r="AC216" i="3"/>
  <c r="AD216" i="3"/>
  <c r="AE216" i="3"/>
  <c r="AF216" i="3"/>
  <c r="AG216" i="3"/>
  <c r="AH216" i="3"/>
  <c r="AI216" i="3"/>
  <c r="Z217" i="3"/>
  <c r="AA217" i="3"/>
  <c r="AB217" i="3"/>
  <c r="AC217" i="3"/>
  <c r="AD217" i="3"/>
  <c r="AE217" i="3"/>
  <c r="AF217" i="3"/>
  <c r="AG217" i="3"/>
  <c r="AH217" i="3"/>
  <c r="AI217" i="3"/>
  <c r="Z218" i="3"/>
  <c r="AA218" i="3"/>
  <c r="AB218" i="3"/>
  <c r="AC218" i="3"/>
  <c r="AD218" i="3"/>
  <c r="AE218" i="3"/>
  <c r="AJ218" i="3" s="1"/>
  <c r="AF218" i="3"/>
  <c r="AG218" i="3"/>
  <c r="AH218" i="3"/>
  <c r="AI218" i="3"/>
  <c r="Z219" i="3"/>
  <c r="AA219" i="3"/>
  <c r="AB219" i="3"/>
  <c r="AC219" i="3"/>
  <c r="AD219" i="3"/>
  <c r="AE219" i="3"/>
  <c r="AF219" i="3"/>
  <c r="AG219" i="3"/>
  <c r="AH219" i="3"/>
  <c r="AI219" i="3"/>
  <c r="AJ219" i="3"/>
  <c r="Z220" i="3"/>
  <c r="AJ220" i="3" s="1"/>
  <c r="AA220" i="3"/>
  <c r="AB220" i="3"/>
  <c r="AC220" i="3"/>
  <c r="AD220" i="3"/>
  <c r="AE220" i="3"/>
  <c r="AF220" i="3"/>
  <c r="AG220" i="3"/>
  <c r="AH220" i="3"/>
  <c r="AI220" i="3"/>
  <c r="Z221" i="3"/>
  <c r="AA221" i="3"/>
  <c r="AB221" i="3"/>
  <c r="AC221" i="3"/>
  <c r="AD221" i="3"/>
  <c r="AJ221" i="3" s="1"/>
  <c r="AE221" i="3"/>
  <c r="AF221" i="3"/>
  <c r="AG221" i="3"/>
  <c r="AH221" i="3"/>
  <c r="AI221" i="3"/>
  <c r="Z222" i="3"/>
  <c r="AA222" i="3"/>
  <c r="AB222" i="3"/>
  <c r="AC222" i="3"/>
  <c r="AD222" i="3"/>
  <c r="AE222" i="3"/>
  <c r="AF222" i="3"/>
  <c r="AG222" i="3"/>
  <c r="AH222" i="3"/>
  <c r="AI222" i="3"/>
  <c r="Z223" i="3"/>
  <c r="AJ223" i="3" s="1"/>
  <c r="AA223" i="3"/>
  <c r="AB223" i="3"/>
  <c r="AC223" i="3"/>
  <c r="AD223" i="3"/>
  <c r="AE223" i="3"/>
  <c r="AF223" i="3"/>
  <c r="AG223" i="3"/>
  <c r="AH223" i="3"/>
  <c r="AI223" i="3"/>
  <c r="Z224" i="3"/>
  <c r="AJ224" i="3" s="1"/>
  <c r="AA224" i="3"/>
  <c r="AB224" i="3"/>
  <c r="AC224" i="3"/>
  <c r="AD224" i="3"/>
  <c r="AE224" i="3"/>
  <c r="AF224" i="3"/>
  <c r="AG224" i="3"/>
  <c r="AH224" i="3"/>
  <c r="AI224" i="3"/>
  <c r="Z225" i="3"/>
  <c r="AA225" i="3"/>
  <c r="AB225" i="3"/>
  <c r="AC225" i="3"/>
  <c r="AD225" i="3"/>
  <c r="AE225" i="3"/>
  <c r="AF225" i="3"/>
  <c r="AG225" i="3"/>
  <c r="AH225" i="3"/>
  <c r="AI225" i="3"/>
  <c r="Z226" i="3"/>
  <c r="AA226" i="3"/>
  <c r="AB226" i="3"/>
  <c r="AC226" i="3"/>
  <c r="AD226" i="3"/>
  <c r="AE226" i="3"/>
  <c r="AF226" i="3"/>
  <c r="AG226" i="3"/>
  <c r="AH226" i="3"/>
  <c r="AI226" i="3"/>
  <c r="Z227" i="3"/>
  <c r="AA227" i="3"/>
  <c r="AB227" i="3"/>
  <c r="AC227" i="3"/>
  <c r="AD227" i="3"/>
  <c r="AE227" i="3"/>
  <c r="AF227" i="3"/>
  <c r="AG227" i="3"/>
  <c r="AH227" i="3"/>
  <c r="AI227" i="3"/>
  <c r="AJ227" i="3"/>
  <c r="Z228" i="3"/>
  <c r="AJ228" i="3" s="1"/>
  <c r="AA228" i="3"/>
  <c r="AB228" i="3"/>
  <c r="AC228" i="3"/>
  <c r="AD228" i="3"/>
  <c r="AE228" i="3"/>
  <c r="AF228" i="3"/>
  <c r="AG228" i="3"/>
  <c r="AH228" i="3"/>
  <c r="AI228" i="3"/>
  <c r="Z229" i="3"/>
  <c r="AA229" i="3"/>
  <c r="AB229" i="3"/>
  <c r="AC229" i="3"/>
  <c r="AD229" i="3"/>
  <c r="AJ229" i="3" s="1"/>
  <c r="AE229" i="3"/>
  <c r="AF229" i="3"/>
  <c r="AG229" i="3"/>
  <c r="AH229" i="3"/>
  <c r="AI229" i="3"/>
  <c r="Z230" i="3"/>
  <c r="AA230" i="3"/>
  <c r="AB230" i="3"/>
  <c r="AC230" i="3"/>
  <c r="AD230" i="3"/>
  <c r="AE230" i="3"/>
  <c r="AF230" i="3"/>
  <c r="AG230" i="3"/>
  <c r="AH230" i="3"/>
  <c r="AI230" i="3"/>
  <c r="Z231" i="3"/>
  <c r="AA231" i="3"/>
  <c r="AB231" i="3"/>
  <c r="AC231" i="3"/>
  <c r="AD231" i="3"/>
  <c r="AE231" i="3"/>
  <c r="AF231" i="3"/>
  <c r="AG231" i="3"/>
  <c r="AH231" i="3"/>
  <c r="AI231" i="3"/>
  <c r="Z232" i="3"/>
  <c r="AJ232" i="3" s="1"/>
  <c r="AA232" i="3"/>
  <c r="AB232" i="3"/>
  <c r="AC232" i="3"/>
  <c r="AD232" i="3"/>
  <c r="AE232" i="3"/>
  <c r="AF232" i="3"/>
  <c r="AG232" i="3"/>
  <c r="AH232" i="3"/>
  <c r="AI232" i="3"/>
  <c r="Z233" i="3"/>
  <c r="AA233" i="3"/>
  <c r="AB233" i="3"/>
  <c r="AC233" i="3"/>
  <c r="AD233" i="3"/>
  <c r="AE233" i="3"/>
  <c r="AF233" i="3"/>
  <c r="AG233" i="3"/>
  <c r="AH233" i="3"/>
  <c r="AI233" i="3"/>
  <c r="Z234" i="3"/>
  <c r="AA234" i="3"/>
  <c r="AB234" i="3"/>
  <c r="AC234" i="3"/>
  <c r="AD234" i="3"/>
  <c r="AE234" i="3"/>
  <c r="AF234" i="3"/>
  <c r="AG234" i="3"/>
  <c r="AH234" i="3"/>
  <c r="AI234" i="3"/>
  <c r="Z235" i="3"/>
  <c r="AA235" i="3"/>
  <c r="AB235" i="3"/>
  <c r="AC235" i="3"/>
  <c r="AD235" i="3"/>
  <c r="AE235" i="3"/>
  <c r="AF235" i="3"/>
  <c r="AG235" i="3"/>
  <c r="AH235" i="3"/>
  <c r="AI235" i="3"/>
  <c r="AJ235" i="3"/>
  <c r="Z236" i="3"/>
  <c r="AJ236" i="3" s="1"/>
  <c r="AA236" i="3"/>
  <c r="AB236" i="3"/>
  <c r="AC236" i="3"/>
  <c r="AD236" i="3"/>
  <c r="AE236" i="3"/>
  <c r="AF236" i="3"/>
  <c r="AG236" i="3"/>
  <c r="AH236" i="3"/>
  <c r="AI236" i="3"/>
  <c r="Z237" i="3"/>
  <c r="AA237" i="3"/>
  <c r="AB237" i="3"/>
  <c r="AC237" i="3"/>
  <c r="AD237" i="3"/>
  <c r="AJ237" i="3" s="1"/>
  <c r="AE237" i="3"/>
  <c r="AF237" i="3"/>
  <c r="AG237" i="3"/>
  <c r="AH237" i="3"/>
  <c r="AI237" i="3"/>
  <c r="Z238" i="3"/>
  <c r="AA238" i="3"/>
  <c r="AB238" i="3"/>
  <c r="AC238" i="3"/>
  <c r="AD238" i="3"/>
  <c r="AE238" i="3"/>
  <c r="AF238" i="3"/>
  <c r="AG238" i="3"/>
  <c r="AH238" i="3"/>
  <c r="AI238" i="3"/>
  <c r="Z239" i="3"/>
  <c r="AA239" i="3"/>
  <c r="AB239" i="3"/>
  <c r="AC239" i="3"/>
  <c r="AD239" i="3"/>
  <c r="AE239" i="3"/>
  <c r="AF239" i="3"/>
  <c r="AG239" i="3"/>
  <c r="AH239" i="3"/>
  <c r="AI239" i="3"/>
  <c r="Z240" i="3"/>
  <c r="AA240" i="3"/>
  <c r="AB240" i="3"/>
  <c r="AC240" i="3"/>
  <c r="AD240" i="3"/>
  <c r="AE240" i="3"/>
  <c r="AF240" i="3"/>
  <c r="AG240" i="3"/>
  <c r="AH240" i="3"/>
  <c r="AI240" i="3"/>
  <c r="Z241" i="3"/>
  <c r="AA241" i="3"/>
  <c r="AB241" i="3"/>
  <c r="AC241" i="3"/>
  <c r="AD241" i="3"/>
  <c r="AE241" i="3"/>
  <c r="AF241" i="3"/>
  <c r="AG241" i="3"/>
  <c r="AH241" i="3"/>
  <c r="AI241" i="3"/>
  <c r="Z242" i="3"/>
  <c r="AA242" i="3"/>
  <c r="AB242" i="3"/>
  <c r="AC242" i="3"/>
  <c r="AJ242" i="3" s="1"/>
  <c r="AD242" i="3"/>
  <c r="AE242" i="3"/>
  <c r="AF242" i="3"/>
  <c r="AG242" i="3"/>
  <c r="AH242" i="3"/>
  <c r="AI242" i="3"/>
  <c r="Z243" i="3"/>
  <c r="AA243" i="3"/>
  <c r="AB243" i="3"/>
  <c r="AC243" i="3"/>
  <c r="AD243" i="3"/>
  <c r="AE243" i="3"/>
  <c r="AF243" i="3"/>
  <c r="AG243" i="3"/>
  <c r="AH243" i="3"/>
  <c r="AI243" i="3"/>
  <c r="AJ243" i="3"/>
  <c r="Z244" i="3"/>
  <c r="AA244" i="3"/>
  <c r="AB244" i="3"/>
  <c r="AC244" i="3"/>
  <c r="AD244" i="3"/>
  <c r="AE244" i="3"/>
  <c r="AF244" i="3"/>
  <c r="AG244" i="3"/>
  <c r="AH244" i="3"/>
  <c r="AI244" i="3"/>
  <c r="Z245" i="3"/>
  <c r="AA245" i="3"/>
  <c r="AB245" i="3"/>
  <c r="AC245" i="3"/>
  <c r="AD245" i="3"/>
  <c r="AJ245" i="3" s="1"/>
  <c r="AE245" i="3"/>
  <c r="AF245" i="3"/>
  <c r="AG245" i="3"/>
  <c r="AH245" i="3"/>
  <c r="AI245" i="3"/>
  <c r="Z246" i="3"/>
  <c r="AA246" i="3"/>
  <c r="AB246" i="3"/>
  <c r="AC246" i="3"/>
  <c r="AD246" i="3"/>
  <c r="AE246" i="3"/>
  <c r="AF246" i="3"/>
  <c r="AG246" i="3"/>
  <c r="AH246" i="3"/>
  <c r="AI246" i="3"/>
  <c r="Z247" i="3"/>
  <c r="AJ247" i="3" s="1"/>
  <c r="AA247" i="3"/>
  <c r="AB247" i="3"/>
  <c r="AC247" i="3"/>
  <c r="AD247" i="3"/>
  <c r="AE247" i="3"/>
  <c r="AF247" i="3"/>
  <c r="AG247" i="3"/>
  <c r="AH247" i="3"/>
  <c r="AI247" i="3"/>
  <c r="Z248" i="3"/>
  <c r="AA248" i="3"/>
  <c r="AB248" i="3"/>
  <c r="AC248" i="3"/>
  <c r="AD248" i="3"/>
  <c r="AE248" i="3"/>
  <c r="AF248" i="3"/>
  <c r="AG248" i="3"/>
  <c r="AH248" i="3"/>
  <c r="AI248" i="3"/>
  <c r="Z249" i="3"/>
  <c r="AA249" i="3"/>
  <c r="AB249" i="3"/>
  <c r="AC249" i="3"/>
  <c r="AD249" i="3"/>
  <c r="AE249" i="3"/>
  <c r="AF249" i="3"/>
  <c r="AG249" i="3"/>
  <c r="AH249" i="3"/>
  <c r="AI249" i="3"/>
  <c r="Z250" i="3"/>
  <c r="AA250" i="3"/>
  <c r="AB250" i="3"/>
  <c r="AC250" i="3"/>
  <c r="AD250" i="3"/>
  <c r="AE250" i="3"/>
  <c r="AJ250" i="3" s="1"/>
  <c r="AF250" i="3"/>
  <c r="AG250" i="3"/>
  <c r="AH250" i="3"/>
  <c r="AI250" i="3"/>
  <c r="Z251" i="3"/>
  <c r="AA251" i="3"/>
  <c r="AB251" i="3"/>
  <c r="AC251" i="3"/>
  <c r="AD251" i="3"/>
  <c r="AE251" i="3"/>
  <c r="AF251" i="3"/>
  <c r="AG251" i="3"/>
  <c r="AH251" i="3"/>
  <c r="AI251" i="3"/>
  <c r="AJ251" i="3"/>
  <c r="Z252" i="3"/>
  <c r="AJ252" i="3" s="1"/>
  <c r="AA252" i="3"/>
  <c r="AB252" i="3"/>
  <c r="AC252" i="3"/>
  <c r="AD252" i="3"/>
  <c r="AE252" i="3"/>
  <c r="AF252" i="3"/>
  <c r="AG252" i="3"/>
  <c r="AH252" i="3"/>
  <c r="AI252" i="3"/>
  <c r="Z253" i="3"/>
  <c r="AA253" i="3"/>
  <c r="AB253" i="3"/>
  <c r="AC253" i="3"/>
  <c r="AD253" i="3"/>
  <c r="AJ253" i="3" s="1"/>
  <c r="AE253" i="3"/>
  <c r="AF253" i="3"/>
  <c r="AG253" i="3"/>
  <c r="AH253" i="3"/>
  <c r="AI253" i="3"/>
  <c r="Z254" i="3"/>
  <c r="AA254" i="3"/>
  <c r="AB254" i="3"/>
  <c r="AC254" i="3"/>
  <c r="AD254" i="3"/>
  <c r="AE254" i="3"/>
  <c r="AF254" i="3"/>
  <c r="AG254" i="3"/>
  <c r="AH254" i="3"/>
  <c r="AI254" i="3"/>
  <c r="Z255" i="3"/>
  <c r="AJ255" i="3" s="1"/>
  <c r="AA255" i="3"/>
  <c r="AB255" i="3"/>
  <c r="AC255" i="3"/>
  <c r="AD255" i="3"/>
  <c r="AE255" i="3"/>
  <c r="AF255" i="3"/>
  <c r="AG255" i="3"/>
  <c r="AH255" i="3"/>
  <c r="AI255" i="3"/>
  <c r="Z256" i="3"/>
  <c r="AJ256" i="3" s="1"/>
  <c r="AA256" i="3"/>
  <c r="AB256" i="3"/>
  <c r="AC256" i="3"/>
  <c r="AD256" i="3"/>
  <c r="AE256" i="3"/>
  <c r="AF256" i="3"/>
  <c r="AG256" i="3"/>
  <c r="AH256" i="3"/>
  <c r="AI256" i="3"/>
  <c r="Z257" i="3"/>
  <c r="AA257" i="3"/>
  <c r="AB257" i="3"/>
  <c r="AC257" i="3"/>
  <c r="AD257" i="3"/>
  <c r="AE257" i="3"/>
  <c r="AF257" i="3"/>
  <c r="AG257" i="3"/>
  <c r="AH257" i="3"/>
  <c r="AI257" i="3"/>
  <c r="Z258" i="3"/>
  <c r="AA258" i="3"/>
  <c r="AB258" i="3"/>
  <c r="AC258" i="3"/>
  <c r="AD258" i="3"/>
  <c r="AE258" i="3"/>
  <c r="AJ258" i="3" s="1"/>
  <c r="AF258" i="3"/>
  <c r="AG258" i="3"/>
  <c r="AH258" i="3"/>
  <c r="AI258" i="3"/>
  <c r="Z259" i="3"/>
  <c r="AA259" i="3"/>
  <c r="AB259" i="3"/>
  <c r="AC259" i="3"/>
  <c r="AD259" i="3"/>
  <c r="AE259" i="3"/>
  <c r="AF259" i="3"/>
  <c r="AG259" i="3"/>
  <c r="AH259" i="3"/>
  <c r="AI259" i="3"/>
  <c r="AJ259" i="3"/>
  <c r="Z260" i="3"/>
  <c r="AJ260" i="3" s="1"/>
  <c r="AA260" i="3"/>
  <c r="AB260" i="3"/>
  <c r="AC260" i="3"/>
  <c r="AD260" i="3"/>
  <c r="AE260" i="3"/>
  <c r="AF260" i="3"/>
  <c r="AG260" i="3"/>
  <c r="AH260" i="3"/>
  <c r="AI260" i="3"/>
  <c r="Z261" i="3"/>
  <c r="AA261" i="3"/>
  <c r="AJ261" i="3" s="1"/>
  <c r="AB261" i="3"/>
  <c r="AC261" i="3"/>
  <c r="AD261" i="3"/>
  <c r="AE261" i="3"/>
  <c r="AF261" i="3"/>
  <c r="AG261" i="3"/>
  <c r="AH261" i="3"/>
  <c r="AI261" i="3"/>
  <c r="Z262" i="3"/>
  <c r="AA262" i="3"/>
  <c r="AB262" i="3"/>
  <c r="AC262" i="3"/>
  <c r="AD262" i="3"/>
  <c r="AE262" i="3"/>
  <c r="AF262" i="3"/>
  <c r="AG262" i="3"/>
  <c r="AH262" i="3"/>
  <c r="AI262" i="3"/>
  <c r="Z263" i="3"/>
  <c r="AA263" i="3"/>
  <c r="AB263" i="3"/>
  <c r="AC263" i="3"/>
  <c r="AD263" i="3"/>
  <c r="AE263" i="3"/>
  <c r="AF263" i="3"/>
  <c r="AG263" i="3"/>
  <c r="AH263" i="3"/>
  <c r="AI263" i="3"/>
  <c r="Z264" i="3"/>
  <c r="AJ264" i="3" s="1"/>
  <c r="AA264" i="3"/>
  <c r="AB264" i="3"/>
  <c r="AC264" i="3"/>
  <c r="AD264" i="3"/>
  <c r="AE264" i="3"/>
  <c r="AF264" i="3"/>
  <c r="AG264" i="3"/>
  <c r="AH264" i="3"/>
  <c r="AI264" i="3"/>
  <c r="Z265" i="3"/>
  <c r="AA265" i="3"/>
  <c r="AB265" i="3"/>
  <c r="AC265" i="3"/>
  <c r="AD265" i="3"/>
  <c r="AE265" i="3"/>
  <c r="AF265" i="3"/>
  <c r="AG265" i="3"/>
  <c r="AH265" i="3"/>
  <c r="AI265" i="3"/>
  <c r="Z266" i="3"/>
  <c r="AA266" i="3"/>
  <c r="AB266" i="3"/>
  <c r="AC266" i="3"/>
  <c r="AD266" i="3"/>
  <c r="AE266" i="3"/>
  <c r="AJ266" i="3" s="1"/>
  <c r="AF266" i="3"/>
  <c r="AG266" i="3"/>
  <c r="AH266" i="3"/>
  <c r="AI266" i="3"/>
  <c r="Z267" i="3"/>
  <c r="AA267" i="3"/>
  <c r="AB267" i="3"/>
  <c r="AC267" i="3"/>
  <c r="AD267" i="3"/>
  <c r="AE267" i="3"/>
  <c r="AF267" i="3"/>
  <c r="AG267" i="3"/>
  <c r="AH267" i="3"/>
  <c r="AI267" i="3"/>
  <c r="AJ267" i="3"/>
  <c r="Z268" i="3"/>
  <c r="AA268" i="3"/>
  <c r="AB268" i="3"/>
  <c r="AC268" i="3"/>
  <c r="AD268" i="3"/>
  <c r="AE268" i="3"/>
  <c r="AF268" i="3"/>
  <c r="AG268" i="3"/>
  <c r="AH268" i="3"/>
  <c r="AI268" i="3"/>
  <c r="Z269" i="3"/>
  <c r="AA269" i="3"/>
  <c r="AJ269" i="3" s="1"/>
  <c r="AB269" i="3"/>
  <c r="AC269" i="3"/>
  <c r="AD269" i="3"/>
  <c r="AE269" i="3"/>
  <c r="AF269" i="3"/>
  <c r="AG269" i="3"/>
  <c r="AH269" i="3"/>
  <c r="AI269" i="3"/>
  <c r="Z270" i="3"/>
  <c r="AA270" i="3"/>
  <c r="AB270" i="3"/>
  <c r="AC270" i="3"/>
  <c r="AD270" i="3"/>
  <c r="AE270" i="3"/>
  <c r="AF270" i="3"/>
  <c r="AG270" i="3"/>
  <c r="AH270" i="3"/>
  <c r="AI270" i="3"/>
  <c r="Z271" i="3"/>
  <c r="AA271" i="3"/>
  <c r="AB271" i="3"/>
  <c r="AC271" i="3"/>
  <c r="AD271" i="3"/>
  <c r="AE271" i="3"/>
  <c r="AF271" i="3"/>
  <c r="AG271" i="3"/>
  <c r="AH271" i="3"/>
  <c r="AI271" i="3"/>
  <c r="Z272" i="3"/>
  <c r="AJ272" i="3" s="1"/>
  <c r="AA272" i="3"/>
  <c r="AB272" i="3"/>
  <c r="AC272" i="3"/>
  <c r="AD272" i="3"/>
  <c r="AE272" i="3"/>
  <c r="AF272" i="3"/>
  <c r="AG272" i="3"/>
  <c r="AH272" i="3"/>
  <c r="AI272" i="3"/>
  <c r="Z273" i="3"/>
  <c r="AA273" i="3"/>
  <c r="AB273" i="3"/>
  <c r="AC273" i="3"/>
  <c r="AD273" i="3"/>
  <c r="AE273" i="3"/>
  <c r="AF273" i="3"/>
  <c r="AG273" i="3"/>
  <c r="AH273" i="3"/>
  <c r="AI273" i="3"/>
  <c r="Z274" i="3"/>
  <c r="AA274" i="3"/>
  <c r="AB274" i="3"/>
  <c r="AC274" i="3"/>
  <c r="AD274" i="3"/>
  <c r="AE274" i="3"/>
  <c r="AJ274" i="3" s="1"/>
  <c r="AF274" i="3"/>
  <c r="AG274" i="3"/>
  <c r="AH274" i="3"/>
  <c r="AI274" i="3"/>
  <c r="Z275" i="3"/>
  <c r="AA275" i="3"/>
  <c r="AB275" i="3"/>
  <c r="AC275" i="3"/>
  <c r="AD275" i="3"/>
  <c r="AE275" i="3"/>
  <c r="AF275" i="3"/>
  <c r="AG275" i="3"/>
  <c r="AH275" i="3"/>
  <c r="AI275" i="3"/>
  <c r="AJ275" i="3"/>
  <c r="Z276" i="3"/>
  <c r="AA276" i="3"/>
  <c r="AB276" i="3"/>
  <c r="AC276" i="3"/>
  <c r="AD276" i="3"/>
  <c r="AE276" i="3"/>
  <c r="AF276" i="3"/>
  <c r="AG276" i="3"/>
  <c r="AH276" i="3"/>
  <c r="AI276" i="3"/>
  <c r="Z277" i="3"/>
  <c r="AA277" i="3"/>
  <c r="AB277" i="3"/>
  <c r="AC277" i="3"/>
  <c r="AD277" i="3"/>
  <c r="AJ277" i="3" s="1"/>
  <c r="AE277" i="3"/>
  <c r="AF277" i="3"/>
  <c r="AG277" i="3"/>
  <c r="AH277" i="3"/>
  <c r="AI277" i="3"/>
  <c r="Z278" i="3"/>
  <c r="AA278" i="3"/>
  <c r="AB278" i="3"/>
  <c r="AC278" i="3"/>
  <c r="AD278" i="3"/>
  <c r="AE278" i="3"/>
  <c r="AF278" i="3"/>
  <c r="AG278" i="3"/>
  <c r="AH278" i="3"/>
  <c r="AI278" i="3"/>
  <c r="Z279" i="3"/>
  <c r="AJ279" i="3" s="1"/>
  <c r="AA279" i="3"/>
  <c r="AB279" i="3"/>
  <c r="AC279" i="3"/>
  <c r="AD279" i="3"/>
  <c r="AE279" i="3"/>
  <c r="AF279" i="3"/>
  <c r="AG279" i="3"/>
  <c r="AH279" i="3"/>
  <c r="AI279" i="3"/>
  <c r="Z280" i="3"/>
  <c r="AA280" i="3"/>
  <c r="AB280" i="3"/>
  <c r="AC280" i="3"/>
  <c r="AD280" i="3"/>
  <c r="AE280" i="3"/>
  <c r="AF280" i="3"/>
  <c r="AG280" i="3"/>
  <c r="AH280" i="3"/>
  <c r="AI280" i="3"/>
  <c r="Z281" i="3"/>
  <c r="AA281" i="3"/>
  <c r="AB281" i="3"/>
  <c r="AC281" i="3"/>
  <c r="AD281" i="3"/>
  <c r="AE281" i="3"/>
  <c r="AF281" i="3"/>
  <c r="AG281" i="3"/>
  <c r="AH281" i="3"/>
  <c r="AI281" i="3"/>
  <c r="Z282" i="3"/>
  <c r="AA282" i="3"/>
  <c r="AB282" i="3"/>
  <c r="AC282" i="3"/>
  <c r="AD282" i="3"/>
  <c r="AE282" i="3"/>
  <c r="AJ282" i="3" s="1"/>
  <c r="AF282" i="3"/>
  <c r="AG282" i="3"/>
  <c r="AH282" i="3"/>
  <c r="AI282" i="3"/>
  <c r="Z283" i="3"/>
  <c r="AA283" i="3"/>
  <c r="AB283" i="3"/>
  <c r="AC283" i="3"/>
  <c r="AD283" i="3"/>
  <c r="AE283" i="3"/>
  <c r="AF283" i="3"/>
  <c r="AG283" i="3"/>
  <c r="AH283" i="3"/>
  <c r="AI283" i="3"/>
  <c r="AJ283" i="3"/>
  <c r="Z284" i="3"/>
  <c r="AJ284" i="3" s="1"/>
  <c r="AA284" i="3"/>
  <c r="AB284" i="3"/>
  <c r="AC284" i="3"/>
  <c r="AD284" i="3"/>
  <c r="AE284" i="3"/>
  <c r="AF284" i="3"/>
  <c r="AG284" i="3"/>
  <c r="AH284" i="3"/>
  <c r="AI284" i="3"/>
  <c r="Z285" i="3"/>
  <c r="AA285" i="3"/>
  <c r="AB285" i="3"/>
  <c r="AC285" i="3"/>
  <c r="AD285" i="3"/>
  <c r="AJ285" i="3" s="1"/>
  <c r="AE285" i="3"/>
  <c r="AF285" i="3"/>
  <c r="AG285" i="3"/>
  <c r="AH285" i="3"/>
  <c r="AI285" i="3"/>
  <c r="Z286" i="3"/>
  <c r="AA286" i="3"/>
  <c r="AB286" i="3"/>
  <c r="AC286" i="3"/>
  <c r="AD286" i="3"/>
  <c r="AE286" i="3"/>
  <c r="AF286" i="3"/>
  <c r="AG286" i="3"/>
  <c r="AH286" i="3"/>
  <c r="AI286" i="3"/>
  <c r="Z287" i="3"/>
  <c r="AJ287" i="3" s="1"/>
  <c r="AA287" i="3"/>
  <c r="AB287" i="3"/>
  <c r="AC287" i="3"/>
  <c r="AD287" i="3"/>
  <c r="AE287" i="3"/>
  <c r="AF287" i="3"/>
  <c r="AG287" i="3"/>
  <c r="AH287" i="3"/>
  <c r="AI287" i="3"/>
  <c r="Z288" i="3"/>
  <c r="AJ288" i="3" s="1"/>
  <c r="AA288" i="3"/>
  <c r="AB288" i="3"/>
  <c r="AC288" i="3"/>
  <c r="AD288" i="3"/>
  <c r="AE288" i="3"/>
  <c r="AF288" i="3"/>
  <c r="AG288" i="3"/>
  <c r="AH288" i="3"/>
  <c r="AI288" i="3"/>
  <c r="Z289" i="3"/>
  <c r="AA289" i="3"/>
  <c r="AB289" i="3"/>
  <c r="AC289" i="3"/>
  <c r="AD289" i="3"/>
  <c r="AE289" i="3"/>
  <c r="AF289" i="3"/>
  <c r="AG289" i="3"/>
  <c r="AH289" i="3"/>
  <c r="AI289" i="3"/>
  <c r="Z290" i="3"/>
  <c r="AA290" i="3"/>
  <c r="AB290" i="3"/>
  <c r="AC290" i="3"/>
  <c r="AD290" i="3"/>
  <c r="AE290" i="3"/>
  <c r="AJ290" i="3" s="1"/>
  <c r="AF290" i="3"/>
  <c r="AG290" i="3"/>
  <c r="AH290" i="3"/>
  <c r="AI290" i="3"/>
  <c r="Z291" i="3"/>
  <c r="AA291" i="3"/>
  <c r="AB291" i="3"/>
  <c r="AC291" i="3"/>
  <c r="AD291" i="3"/>
  <c r="AE291" i="3"/>
  <c r="AF291" i="3"/>
  <c r="AG291" i="3"/>
  <c r="AH291" i="3"/>
  <c r="AI291" i="3"/>
  <c r="AJ291" i="3"/>
  <c r="Z292" i="3"/>
  <c r="AJ292" i="3" s="1"/>
  <c r="AA292" i="3"/>
  <c r="AB292" i="3"/>
  <c r="AC292" i="3"/>
  <c r="AD292" i="3"/>
  <c r="AE292" i="3"/>
  <c r="AF292" i="3"/>
  <c r="AG292" i="3"/>
  <c r="AH292" i="3"/>
  <c r="AI292" i="3"/>
  <c r="Z293" i="3"/>
  <c r="AA293" i="3"/>
  <c r="AB293" i="3"/>
  <c r="AC293" i="3"/>
  <c r="AD293" i="3"/>
  <c r="AJ293" i="3" s="1"/>
  <c r="AE293" i="3"/>
  <c r="AF293" i="3"/>
  <c r="AG293" i="3"/>
  <c r="AH293" i="3"/>
  <c r="AI293" i="3"/>
  <c r="Z294" i="3"/>
  <c r="AA294" i="3"/>
  <c r="AB294" i="3"/>
  <c r="AC294" i="3"/>
  <c r="AD294" i="3"/>
  <c r="AE294" i="3"/>
  <c r="AF294" i="3"/>
  <c r="AG294" i="3"/>
  <c r="AH294" i="3"/>
  <c r="AI294" i="3"/>
  <c r="Z295" i="3"/>
  <c r="AA295" i="3"/>
  <c r="AB295" i="3"/>
  <c r="AC295" i="3"/>
  <c r="AD295" i="3"/>
  <c r="AE295" i="3"/>
  <c r="AF295" i="3"/>
  <c r="AG295" i="3"/>
  <c r="AH295" i="3"/>
  <c r="AI295" i="3"/>
  <c r="Z296" i="3"/>
  <c r="AJ296" i="3" s="1"/>
  <c r="AA296" i="3"/>
  <c r="AB296" i="3"/>
  <c r="AC296" i="3"/>
  <c r="AD296" i="3"/>
  <c r="AE296" i="3"/>
  <c r="AF296" i="3"/>
  <c r="AG296" i="3"/>
  <c r="AH296" i="3"/>
  <c r="AI296" i="3"/>
  <c r="Z297" i="3"/>
  <c r="AA297" i="3"/>
  <c r="AB297" i="3"/>
  <c r="AC297" i="3"/>
  <c r="AD297" i="3"/>
  <c r="AE297" i="3"/>
  <c r="AF297" i="3"/>
  <c r="AG297" i="3"/>
  <c r="AH297" i="3"/>
  <c r="AI297" i="3"/>
  <c r="Z298" i="3"/>
  <c r="AA298" i="3"/>
  <c r="AB298" i="3"/>
  <c r="AC298" i="3"/>
  <c r="AD298" i="3"/>
  <c r="AE298" i="3"/>
  <c r="AJ298" i="3" s="1"/>
  <c r="AF298" i="3"/>
  <c r="AG298" i="3"/>
  <c r="AH298" i="3"/>
  <c r="AI298" i="3"/>
  <c r="Z299" i="3"/>
  <c r="AA299" i="3"/>
  <c r="AB299" i="3"/>
  <c r="AC299" i="3"/>
  <c r="AD299" i="3"/>
  <c r="AE299" i="3"/>
  <c r="AF299" i="3"/>
  <c r="AG299" i="3"/>
  <c r="AH299" i="3"/>
  <c r="AI299" i="3"/>
  <c r="AJ299" i="3"/>
  <c r="Z300" i="3"/>
  <c r="AJ300" i="3" s="1"/>
  <c r="AA300" i="3"/>
  <c r="AB300" i="3"/>
  <c r="AC300" i="3"/>
  <c r="AD300" i="3"/>
  <c r="AE300" i="3"/>
  <c r="AF300" i="3"/>
  <c r="AG300" i="3"/>
  <c r="AH300" i="3"/>
  <c r="AI300" i="3"/>
  <c r="Z301" i="3"/>
  <c r="AA301" i="3"/>
  <c r="AB301" i="3"/>
  <c r="AC301" i="3"/>
  <c r="AD301" i="3"/>
  <c r="AJ301" i="3" s="1"/>
  <c r="AE301" i="3"/>
  <c r="AF301" i="3"/>
  <c r="AG301" i="3"/>
  <c r="AH301" i="3"/>
  <c r="AI301" i="3"/>
  <c r="Z302" i="3"/>
  <c r="AA302" i="3"/>
  <c r="AB302" i="3"/>
  <c r="AC302" i="3"/>
  <c r="AD302" i="3"/>
  <c r="AE302" i="3"/>
  <c r="AF302" i="3"/>
  <c r="AG302" i="3"/>
  <c r="AH302" i="3"/>
  <c r="AI302" i="3"/>
  <c r="Z303" i="3"/>
  <c r="AA303" i="3"/>
  <c r="AB303" i="3"/>
  <c r="AC303" i="3"/>
  <c r="AD303" i="3"/>
  <c r="AE303" i="3"/>
  <c r="AF303" i="3"/>
  <c r="AG303" i="3"/>
  <c r="AH303" i="3"/>
  <c r="AI303" i="3"/>
  <c r="Z304" i="3"/>
  <c r="AA304" i="3"/>
  <c r="AB304" i="3"/>
  <c r="AC304" i="3"/>
  <c r="AD304" i="3"/>
  <c r="AE304" i="3"/>
  <c r="AF304" i="3"/>
  <c r="AG304" i="3"/>
  <c r="AH304" i="3"/>
  <c r="AI304" i="3"/>
  <c r="Z305" i="3"/>
  <c r="AA305" i="3"/>
  <c r="AB305" i="3"/>
  <c r="AC305" i="3"/>
  <c r="AD305" i="3"/>
  <c r="AE305" i="3"/>
  <c r="AF305" i="3"/>
  <c r="AG305" i="3"/>
  <c r="AH305" i="3"/>
  <c r="AI305" i="3"/>
  <c r="Z306" i="3"/>
  <c r="AA306" i="3"/>
  <c r="AB306" i="3"/>
  <c r="AC306" i="3"/>
  <c r="AD306" i="3"/>
  <c r="AE306" i="3"/>
  <c r="AJ306" i="3" s="1"/>
  <c r="AF306" i="3"/>
  <c r="AG306" i="3"/>
  <c r="AH306" i="3"/>
  <c r="AI306" i="3"/>
  <c r="Z307" i="3"/>
  <c r="AA307" i="3"/>
  <c r="AB307" i="3"/>
  <c r="AC307" i="3"/>
  <c r="AD307" i="3"/>
  <c r="AE307" i="3"/>
  <c r="AF307" i="3"/>
  <c r="AG307" i="3"/>
  <c r="AH307" i="3"/>
  <c r="AI307" i="3"/>
  <c r="AJ307" i="3"/>
  <c r="Z308" i="3"/>
  <c r="AA308" i="3"/>
  <c r="AB308" i="3"/>
  <c r="AC308" i="3"/>
  <c r="AD308" i="3"/>
  <c r="AE308" i="3"/>
  <c r="AF308" i="3"/>
  <c r="AG308" i="3"/>
  <c r="AH308" i="3"/>
  <c r="AI308" i="3"/>
  <c r="Z309" i="3"/>
  <c r="AA309" i="3"/>
  <c r="AB309" i="3"/>
  <c r="AC309" i="3"/>
  <c r="AD309" i="3"/>
  <c r="AJ309" i="3" s="1"/>
  <c r="AE309" i="3"/>
  <c r="AF309" i="3"/>
  <c r="AG309" i="3"/>
  <c r="AH309" i="3"/>
  <c r="AI309" i="3"/>
  <c r="Z310" i="3"/>
  <c r="AA310" i="3"/>
  <c r="AB310" i="3"/>
  <c r="AC310" i="3"/>
  <c r="AD310" i="3"/>
  <c r="AE310" i="3"/>
  <c r="AF310" i="3"/>
  <c r="AG310" i="3"/>
  <c r="AH310" i="3"/>
  <c r="AI310" i="3"/>
  <c r="Z311" i="3"/>
  <c r="AJ311" i="3" s="1"/>
  <c r="AA311" i="3"/>
  <c r="AB311" i="3"/>
  <c r="AC311" i="3"/>
  <c r="AD311" i="3"/>
  <c r="AE311" i="3"/>
  <c r="AF311" i="3"/>
  <c r="AG311" i="3"/>
  <c r="AH311" i="3"/>
  <c r="AI311" i="3"/>
  <c r="Z312" i="3"/>
  <c r="AA312" i="3"/>
  <c r="AB312" i="3"/>
  <c r="AC312" i="3"/>
  <c r="AD312" i="3"/>
  <c r="AE312" i="3"/>
  <c r="AF312" i="3"/>
  <c r="AG312" i="3"/>
  <c r="AH312" i="3"/>
  <c r="AI312" i="3"/>
  <c r="Z313" i="3"/>
  <c r="AA313" i="3"/>
  <c r="AB313" i="3"/>
  <c r="AC313" i="3"/>
  <c r="AD313" i="3"/>
  <c r="AE313" i="3"/>
  <c r="AF313" i="3"/>
  <c r="AG313" i="3"/>
  <c r="AH313" i="3"/>
  <c r="AI313" i="3"/>
  <c r="Z314" i="3"/>
  <c r="AA314" i="3"/>
  <c r="AB314" i="3"/>
  <c r="AC314" i="3"/>
  <c r="AJ314" i="3" s="1"/>
  <c r="AD314" i="3"/>
  <c r="AE314" i="3"/>
  <c r="AF314" i="3"/>
  <c r="AG314" i="3"/>
  <c r="AH314" i="3"/>
  <c r="AI314" i="3"/>
  <c r="Z315" i="3"/>
  <c r="AA315" i="3"/>
  <c r="AB315" i="3"/>
  <c r="AC315" i="3"/>
  <c r="AD315" i="3"/>
  <c r="AE315" i="3"/>
  <c r="AF315" i="3"/>
  <c r="AG315" i="3"/>
  <c r="AH315" i="3"/>
  <c r="AI315" i="3"/>
  <c r="AJ315" i="3"/>
  <c r="Z316" i="3"/>
  <c r="AJ316" i="3" s="1"/>
  <c r="AA316" i="3"/>
  <c r="AB316" i="3"/>
  <c r="AC316" i="3"/>
  <c r="AD316" i="3"/>
  <c r="AE316" i="3"/>
  <c r="AF316" i="3"/>
  <c r="AG316" i="3"/>
  <c r="AH316" i="3"/>
  <c r="AI316" i="3"/>
  <c r="Z317" i="3"/>
  <c r="AA317" i="3"/>
  <c r="AB317" i="3"/>
  <c r="AC317" i="3"/>
  <c r="AD317" i="3"/>
  <c r="AJ317" i="3" s="1"/>
  <c r="AE317" i="3"/>
  <c r="AF317" i="3"/>
  <c r="AG317" i="3"/>
  <c r="AH317" i="3"/>
  <c r="AI317" i="3"/>
  <c r="Z318" i="3"/>
  <c r="AA318" i="3"/>
  <c r="AB318" i="3"/>
  <c r="AC318" i="3"/>
  <c r="AD318" i="3"/>
  <c r="AE318" i="3"/>
  <c r="AF318" i="3"/>
  <c r="AG318" i="3"/>
  <c r="AH318" i="3"/>
  <c r="AI318" i="3"/>
  <c r="Z319" i="3"/>
  <c r="AJ319" i="3" s="1"/>
  <c r="AA319" i="3"/>
  <c r="AB319" i="3"/>
  <c r="AC319" i="3"/>
  <c r="AD319" i="3"/>
  <c r="AE319" i="3"/>
  <c r="AF319" i="3"/>
  <c r="AG319" i="3"/>
  <c r="AH319" i="3"/>
  <c r="AI319" i="3"/>
  <c r="Z320" i="3"/>
  <c r="AJ320" i="3" s="1"/>
  <c r="AA320" i="3"/>
  <c r="AB320" i="3"/>
  <c r="AC320" i="3"/>
  <c r="AD320" i="3"/>
  <c r="AE320" i="3"/>
  <c r="AF320" i="3"/>
  <c r="AG320" i="3"/>
  <c r="AH320" i="3"/>
  <c r="AI320" i="3"/>
  <c r="Z321" i="3"/>
  <c r="AA321" i="3"/>
  <c r="AB321" i="3"/>
  <c r="AC321" i="3"/>
  <c r="AD321" i="3"/>
  <c r="AE321" i="3"/>
  <c r="AF321" i="3"/>
  <c r="AG321" i="3"/>
  <c r="AH321" i="3"/>
  <c r="AI321" i="3"/>
  <c r="Z322" i="3"/>
  <c r="AA322" i="3"/>
  <c r="AB322" i="3"/>
  <c r="AC322" i="3"/>
  <c r="AD322" i="3"/>
  <c r="AE322" i="3"/>
  <c r="AF322" i="3"/>
  <c r="AG322" i="3"/>
  <c r="AH322" i="3"/>
  <c r="AI322" i="3"/>
  <c r="Z323" i="3"/>
  <c r="AA323" i="3"/>
  <c r="AB323" i="3"/>
  <c r="AC323" i="3"/>
  <c r="AD323" i="3"/>
  <c r="AE323" i="3"/>
  <c r="AF323" i="3"/>
  <c r="AG323" i="3"/>
  <c r="AH323" i="3"/>
  <c r="AI323" i="3"/>
  <c r="AJ323" i="3"/>
  <c r="Z324" i="3"/>
  <c r="AJ324" i="3" s="1"/>
  <c r="AA324" i="3"/>
  <c r="AB324" i="3"/>
  <c r="AC324" i="3"/>
  <c r="AD324" i="3"/>
  <c r="AE324" i="3"/>
  <c r="AF324" i="3"/>
  <c r="AG324" i="3"/>
  <c r="AH324" i="3"/>
  <c r="AI324" i="3"/>
  <c r="Z325" i="3"/>
  <c r="AA325" i="3"/>
  <c r="AB325" i="3"/>
  <c r="AC325" i="3"/>
  <c r="AD325" i="3"/>
  <c r="AJ325" i="3" s="1"/>
  <c r="AE325" i="3"/>
  <c r="AF325" i="3"/>
  <c r="AG325" i="3"/>
  <c r="AH325" i="3"/>
  <c r="AI325" i="3"/>
  <c r="Z326" i="3"/>
  <c r="AA326" i="3"/>
  <c r="AB326" i="3"/>
  <c r="AC326" i="3"/>
  <c r="AD326" i="3"/>
  <c r="AE326" i="3"/>
  <c r="AF326" i="3"/>
  <c r="AG326" i="3"/>
  <c r="AH326" i="3"/>
  <c r="AI326" i="3"/>
  <c r="Z327" i="3"/>
  <c r="AA327" i="3"/>
  <c r="AB327" i="3"/>
  <c r="AC327" i="3"/>
  <c r="AD327" i="3"/>
  <c r="AE327" i="3"/>
  <c r="AF327" i="3"/>
  <c r="AG327" i="3"/>
  <c r="AH327" i="3"/>
  <c r="AI327" i="3"/>
  <c r="Z328" i="3"/>
  <c r="AJ328" i="3" s="1"/>
  <c r="AA328" i="3"/>
  <c r="AB328" i="3"/>
  <c r="AC328" i="3"/>
  <c r="AD328" i="3"/>
  <c r="AE328" i="3"/>
  <c r="AF328" i="3"/>
  <c r="AG328" i="3"/>
  <c r="AH328" i="3"/>
  <c r="AI328" i="3"/>
  <c r="Z329" i="3"/>
  <c r="AA329" i="3"/>
  <c r="AB329" i="3"/>
  <c r="AC329" i="3"/>
  <c r="AD329" i="3"/>
  <c r="AE329" i="3"/>
  <c r="AF329" i="3"/>
  <c r="AG329" i="3"/>
  <c r="AH329" i="3"/>
  <c r="AI329" i="3"/>
  <c r="Z330" i="3"/>
  <c r="AA330" i="3"/>
  <c r="AB330" i="3"/>
  <c r="AC330" i="3"/>
  <c r="AD330" i="3"/>
  <c r="AE330" i="3"/>
  <c r="AF330" i="3"/>
  <c r="AG330" i="3"/>
  <c r="AH330" i="3"/>
  <c r="AI330" i="3"/>
  <c r="Z331" i="3"/>
  <c r="AA331" i="3"/>
  <c r="AB331" i="3"/>
  <c r="AC331" i="3"/>
  <c r="AD331" i="3"/>
  <c r="AE331" i="3"/>
  <c r="AF331" i="3"/>
  <c r="AG331" i="3"/>
  <c r="AH331" i="3"/>
  <c r="AI331" i="3"/>
  <c r="AJ331" i="3"/>
  <c r="Z332" i="3"/>
  <c r="AA332" i="3"/>
  <c r="AB332" i="3"/>
  <c r="AC332" i="3"/>
  <c r="AD332" i="3"/>
  <c r="AE332" i="3"/>
  <c r="AF332" i="3"/>
  <c r="AG332" i="3"/>
  <c r="AH332" i="3"/>
  <c r="AI332" i="3"/>
  <c r="Z333" i="3"/>
  <c r="AA333" i="3"/>
  <c r="AB333" i="3"/>
  <c r="AC333" i="3"/>
  <c r="AD333" i="3"/>
  <c r="AJ333" i="3" s="1"/>
  <c r="AE333" i="3"/>
  <c r="AF333" i="3"/>
  <c r="AG333" i="3"/>
  <c r="AH333" i="3"/>
  <c r="AI333" i="3"/>
  <c r="Z334" i="3"/>
  <c r="AA334" i="3"/>
  <c r="AB334" i="3"/>
  <c r="AC334" i="3"/>
  <c r="AD334" i="3"/>
  <c r="AE334" i="3"/>
  <c r="AF334" i="3"/>
  <c r="AG334" i="3"/>
  <c r="AH334" i="3"/>
  <c r="AI334" i="3"/>
  <c r="Z335" i="3"/>
  <c r="AA335" i="3"/>
  <c r="AB335" i="3"/>
  <c r="AC335" i="3"/>
  <c r="AD335" i="3"/>
  <c r="AE335" i="3"/>
  <c r="AF335" i="3"/>
  <c r="AG335" i="3"/>
  <c r="AH335" i="3"/>
  <c r="AI335" i="3"/>
  <c r="Z336" i="3"/>
  <c r="AJ336" i="3" s="1"/>
  <c r="AA336" i="3"/>
  <c r="AB336" i="3"/>
  <c r="AC336" i="3"/>
  <c r="AD336" i="3"/>
  <c r="AE336" i="3"/>
  <c r="AF336" i="3"/>
  <c r="AG336" i="3"/>
  <c r="AH336" i="3"/>
  <c r="AI336" i="3"/>
  <c r="Z337" i="3"/>
  <c r="AA337" i="3"/>
  <c r="AB337" i="3"/>
  <c r="AC337" i="3"/>
  <c r="AD337" i="3"/>
  <c r="AE337" i="3"/>
  <c r="AF337" i="3"/>
  <c r="AG337" i="3"/>
  <c r="AH337" i="3"/>
  <c r="AI337" i="3"/>
  <c r="Z338" i="3"/>
  <c r="AA338" i="3"/>
  <c r="AB338" i="3"/>
  <c r="AC338" i="3"/>
  <c r="AJ338" i="3" s="1"/>
  <c r="AD338" i="3"/>
  <c r="AE338" i="3"/>
  <c r="AF338" i="3"/>
  <c r="AG338" i="3"/>
  <c r="AH338" i="3"/>
  <c r="AI338" i="3"/>
  <c r="Z339" i="3"/>
  <c r="AA339" i="3"/>
  <c r="AB339" i="3"/>
  <c r="AC339" i="3"/>
  <c r="AD339" i="3"/>
  <c r="AE339" i="3"/>
  <c r="AF339" i="3"/>
  <c r="AG339" i="3"/>
  <c r="AH339" i="3"/>
  <c r="AI339" i="3"/>
  <c r="AJ339" i="3"/>
  <c r="Z340" i="3"/>
  <c r="AA340" i="3"/>
  <c r="AB340" i="3"/>
  <c r="AC340" i="3"/>
  <c r="AD340" i="3"/>
  <c r="AE340" i="3"/>
  <c r="AF340" i="3"/>
  <c r="AG340" i="3"/>
  <c r="AH340" i="3"/>
  <c r="AI340" i="3"/>
  <c r="Z341" i="3"/>
  <c r="AA341" i="3"/>
  <c r="AB341" i="3"/>
  <c r="AC341" i="3"/>
  <c r="AD341" i="3"/>
  <c r="AJ341" i="3" s="1"/>
  <c r="AE341" i="3"/>
  <c r="AF341" i="3"/>
  <c r="AG341" i="3"/>
  <c r="AH341" i="3"/>
  <c r="AI341" i="3"/>
  <c r="Z342" i="3"/>
  <c r="AA342" i="3"/>
  <c r="AB342" i="3"/>
  <c r="AC342" i="3"/>
  <c r="AD342" i="3"/>
  <c r="AE342" i="3"/>
  <c r="AF342" i="3"/>
  <c r="AG342" i="3"/>
  <c r="AH342" i="3"/>
  <c r="AI342" i="3"/>
  <c r="Z343" i="3"/>
  <c r="AA343" i="3"/>
  <c r="AB343" i="3"/>
  <c r="AC343" i="3"/>
  <c r="AD343" i="3"/>
  <c r="AE343" i="3"/>
  <c r="AF343" i="3"/>
  <c r="AG343" i="3"/>
  <c r="AH343" i="3"/>
  <c r="AI343" i="3"/>
  <c r="Z344" i="3"/>
  <c r="AA344" i="3"/>
  <c r="AB344" i="3"/>
  <c r="AC344" i="3"/>
  <c r="AD344" i="3"/>
  <c r="AE344" i="3"/>
  <c r="AF344" i="3"/>
  <c r="AG344" i="3"/>
  <c r="AH344" i="3"/>
  <c r="AI344" i="3"/>
  <c r="Z345" i="3"/>
  <c r="AJ345" i="3" s="1"/>
  <c r="AA345" i="3"/>
  <c r="AB345" i="3"/>
  <c r="AC345" i="3"/>
  <c r="AD345" i="3"/>
  <c r="AE345" i="3"/>
  <c r="AF345" i="3"/>
  <c r="AG345" i="3"/>
  <c r="AH345" i="3"/>
  <c r="AI345" i="3"/>
  <c r="Z346" i="3"/>
  <c r="AA346" i="3"/>
  <c r="AB346" i="3"/>
  <c r="AC346" i="3"/>
  <c r="AD346" i="3"/>
  <c r="AE346" i="3"/>
  <c r="AF346" i="3"/>
  <c r="AG346" i="3"/>
  <c r="AH346" i="3"/>
  <c r="AI346" i="3"/>
  <c r="Z347" i="3"/>
  <c r="AA347" i="3"/>
  <c r="AB347" i="3"/>
  <c r="AC347" i="3"/>
  <c r="AD347" i="3"/>
  <c r="AJ347" i="3" s="1"/>
  <c r="AE347" i="3"/>
  <c r="AF347" i="3"/>
  <c r="AG347" i="3"/>
  <c r="AH347" i="3"/>
  <c r="AI347" i="3"/>
  <c r="Z348" i="3"/>
  <c r="AA348" i="3"/>
  <c r="AB348" i="3"/>
  <c r="AC348" i="3"/>
  <c r="AD348" i="3"/>
  <c r="AE348" i="3"/>
  <c r="AF348" i="3"/>
  <c r="AG348" i="3"/>
  <c r="AH348" i="3"/>
  <c r="AI348" i="3"/>
  <c r="Z349" i="3"/>
  <c r="AA349" i="3"/>
  <c r="AB349" i="3"/>
  <c r="AC349" i="3"/>
  <c r="AD349" i="3"/>
  <c r="AE349" i="3"/>
  <c r="AF349" i="3"/>
  <c r="AG349" i="3"/>
  <c r="AH349" i="3"/>
  <c r="AI349" i="3"/>
  <c r="Z350" i="3"/>
  <c r="AA350" i="3"/>
  <c r="AB350" i="3"/>
  <c r="AC350" i="3"/>
  <c r="AD350" i="3"/>
  <c r="AE350" i="3"/>
  <c r="AF350" i="3"/>
  <c r="AG350" i="3"/>
  <c r="AH350" i="3"/>
  <c r="AI350" i="3"/>
  <c r="Z351" i="3"/>
  <c r="AA351" i="3"/>
  <c r="AB351" i="3"/>
  <c r="AC351" i="3"/>
  <c r="AD351" i="3"/>
  <c r="AE351" i="3"/>
  <c r="AF351" i="3"/>
  <c r="AG351" i="3"/>
  <c r="AH351" i="3"/>
  <c r="AI351" i="3"/>
  <c r="Z352" i="3"/>
  <c r="AA352" i="3"/>
  <c r="AB352" i="3"/>
  <c r="AC352" i="3"/>
  <c r="AD352" i="3"/>
  <c r="AE352" i="3"/>
  <c r="AF352" i="3"/>
  <c r="AG352" i="3"/>
  <c r="AH352" i="3"/>
  <c r="AI352" i="3"/>
  <c r="Z353" i="3"/>
  <c r="AA353" i="3"/>
  <c r="AB353" i="3"/>
  <c r="AC353" i="3"/>
  <c r="AD353" i="3"/>
  <c r="AE353" i="3"/>
  <c r="AF353" i="3"/>
  <c r="AG353" i="3"/>
  <c r="AH353" i="3"/>
  <c r="AI353" i="3"/>
  <c r="AJ353" i="3"/>
  <c r="Z354" i="3"/>
  <c r="AA354" i="3"/>
  <c r="AB354" i="3"/>
  <c r="AC354" i="3"/>
  <c r="AD354" i="3"/>
  <c r="AE354" i="3"/>
  <c r="AF354" i="3"/>
  <c r="AG354" i="3"/>
  <c r="AH354" i="3"/>
  <c r="AI354" i="3"/>
  <c r="Z355" i="3"/>
  <c r="AA355" i="3"/>
  <c r="AB355" i="3"/>
  <c r="AC355" i="3"/>
  <c r="AD355" i="3"/>
  <c r="AE355" i="3"/>
  <c r="AF355" i="3"/>
  <c r="AG355" i="3"/>
  <c r="AH355" i="3"/>
  <c r="AI355" i="3"/>
  <c r="AJ355" i="3"/>
  <c r="Z356" i="3"/>
  <c r="AA356" i="3"/>
  <c r="AB356" i="3"/>
  <c r="AC356" i="3"/>
  <c r="AD356" i="3"/>
  <c r="AE356" i="3"/>
  <c r="AF356" i="3"/>
  <c r="AG356" i="3"/>
  <c r="AH356" i="3"/>
  <c r="AI356" i="3"/>
  <c r="Z357" i="3"/>
  <c r="AA357" i="3"/>
  <c r="AB357" i="3"/>
  <c r="AC357" i="3"/>
  <c r="AD357" i="3"/>
  <c r="AJ357" i="3" s="1"/>
  <c r="AE357" i="3"/>
  <c r="AF357" i="3"/>
  <c r="AG357" i="3"/>
  <c r="AH357" i="3"/>
  <c r="AI357" i="3"/>
  <c r="Z358" i="3"/>
  <c r="AA358" i="3"/>
  <c r="AB358" i="3"/>
  <c r="AC358" i="3"/>
  <c r="AD358" i="3"/>
  <c r="AE358" i="3"/>
  <c r="AF358" i="3"/>
  <c r="AG358" i="3"/>
  <c r="AH358" i="3"/>
  <c r="AI358" i="3"/>
  <c r="Z359" i="3"/>
  <c r="AA359" i="3"/>
  <c r="AB359" i="3"/>
  <c r="AC359" i="3"/>
  <c r="AD359" i="3"/>
  <c r="AE359" i="3"/>
  <c r="AF359" i="3"/>
  <c r="AG359" i="3"/>
  <c r="AH359" i="3"/>
  <c r="AI359" i="3"/>
  <c r="Z360" i="3"/>
  <c r="AA360" i="3"/>
  <c r="AB360" i="3"/>
  <c r="AC360" i="3"/>
  <c r="AD360" i="3"/>
  <c r="AE360" i="3"/>
  <c r="AF360" i="3"/>
  <c r="AG360" i="3"/>
  <c r="AH360" i="3"/>
  <c r="AI360" i="3"/>
  <c r="Z361" i="3"/>
  <c r="AJ361" i="3" s="1"/>
  <c r="AA361" i="3"/>
  <c r="AB361" i="3"/>
  <c r="AC361" i="3"/>
  <c r="AD361" i="3"/>
  <c r="AE361" i="3"/>
  <c r="AF361" i="3"/>
  <c r="AG361" i="3"/>
  <c r="AH361" i="3"/>
  <c r="AI361" i="3"/>
  <c r="Z362" i="3"/>
  <c r="AA362" i="3"/>
  <c r="AB362" i="3"/>
  <c r="AC362" i="3"/>
  <c r="AD362" i="3"/>
  <c r="AE362" i="3"/>
  <c r="AF362" i="3"/>
  <c r="AG362" i="3"/>
  <c r="AH362" i="3"/>
  <c r="AI362" i="3"/>
  <c r="Z363" i="3"/>
  <c r="AA363" i="3"/>
  <c r="AB363" i="3"/>
  <c r="AC363" i="3"/>
  <c r="AD363" i="3"/>
  <c r="AJ363" i="3" s="1"/>
  <c r="AE363" i="3"/>
  <c r="AF363" i="3"/>
  <c r="AG363" i="3"/>
  <c r="AH363" i="3"/>
  <c r="AI363" i="3"/>
  <c r="Z364" i="3"/>
  <c r="AJ364" i="3" s="1"/>
  <c r="AA364" i="3"/>
  <c r="AB364" i="3"/>
  <c r="AC364" i="3"/>
  <c r="AD364" i="3"/>
  <c r="AE364" i="3"/>
  <c r="AF364" i="3"/>
  <c r="AG364" i="3"/>
  <c r="AH364" i="3"/>
  <c r="AI364" i="3"/>
  <c r="Z365" i="3"/>
  <c r="AA365" i="3"/>
  <c r="AB365" i="3"/>
  <c r="AC365" i="3"/>
  <c r="AD365" i="3"/>
  <c r="AE365" i="3"/>
  <c r="AF365" i="3"/>
  <c r="AG365" i="3"/>
  <c r="AH365" i="3"/>
  <c r="AI365" i="3"/>
  <c r="Z366" i="3"/>
  <c r="AA366" i="3"/>
  <c r="AB366" i="3"/>
  <c r="AC366" i="3"/>
  <c r="AD366" i="3"/>
  <c r="AE366" i="3"/>
  <c r="AF366" i="3"/>
  <c r="AG366" i="3"/>
  <c r="AH366" i="3"/>
  <c r="AI366" i="3"/>
  <c r="Z367" i="3"/>
  <c r="AA367" i="3"/>
  <c r="AB367" i="3"/>
  <c r="AC367" i="3"/>
  <c r="AD367" i="3"/>
  <c r="AE367" i="3"/>
  <c r="AF367" i="3"/>
  <c r="AG367" i="3"/>
  <c r="AH367" i="3"/>
  <c r="AI367" i="3"/>
  <c r="Z368" i="3"/>
  <c r="AJ368" i="3" s="1"/>
  <c r="AA368" i="3"/>
  <c r="AB368" i="3"/>
  <c r="AC368" i="3"/>
  <c r="AD368" i="3"/>
  <c r="AE368" i="3"/>
  <c r="AF368" i="3"/>
  <c r="AG368" i="3"/>
  <c r="AH368" i="3"/>
  <c r="AI368" i="3"/>
  <c r="Z369" i="3"/>
  <c r="AA369" i="3"/>
  <c r="AB369" i="3"/>
  <c r="AC369" i="3"/>
  <c r="AD369" i="3"/>
  <c r="AE369" i="3"/>
  <c r="AF369" i="3"/>
  <c r="AG369" i="3"/>
  <c r="AH369" i="3"/>
  <c r="AI369" i="3"/>
  <c r="AJ369" i="3"/>
  <c r="Z370" i="3"/>
  <c r="AA370" i="3"/>
  <c r="AB370" i="3"/>
  <c r="AC370" i="3"/>
  <c r="AJ370" i="3" s="1"/>
  <c r="AD370" i="3"/>
  <c r="AE370" i="3"/>
  <c r="AF370" i="3"/>
  <c r="AG370" i="3"/>
  <c r="AH370" i="3"/>
  <c r="AI370" i="3"/>
  <c r="Z371" i="3"/>
  <c r="AA371" i="3"/>
  <c r="AB371" i="3"/>
  <c r="AC371" i="3"/>
  <c r="AD371" i="3"/>
  <c r="AE371" i="3"/>
  <c r="AF371" i="3"/>
  <c r="AG371" i="3"/>
  <c r="AH371" i="3"/>
  <c r="AI371" i="3"/>
  <c r="AJ371" i="3"/>
  <c r="Z372" i="3"/>
  <c r="AA372" i="3"/>
  <c r="AB372" i="3"/>
  <c r="AC372" i="3"/>
  <c r="AD372" i="3"/>
  <c r="AE372" i="3"/>
  <c r="AF372" i="3"/>
  <c r="AG372" i="3"/>
  <c r="AH372" i="3"/>
  <c r="AI372" i="3"/>
  <c r="Z373" i="3"/>
  <c r="AA373" i="3"/>
  <c r="AJ373" i="3" s="1"/>
  <c r="AB373" i="3"/>
  <c r="AC373" i="3"/>
  <c r="AD373" i="3"/>
  <c r="AE373" i="3"/>
  <c r="AF373" i="3"/>
  <c r="AG373" i="3"/>
  <c r="AH373" i="3"/>
  <c r="AI373" i="3"/>
  <c r="Z374" i="3"/>
  <c r="AA374" i="3"/>
  <c r="AB374" i="3"/>
  <c r="AC374" i="3"/>
  <c r="AD374" i="3"/>
  <c r="AE374" i="3"/>
  <c r="AF374" i="3"/>
  <c r="AG374" i="3"/>
  <c r="AH374" i="3"/>
  <c r="AI374" i="3"/>
  <c r="Z375" i="3"/>
  <c r="AA375" i="3"/>
  <c r="AB375" i="3"/>
  <c r="AC375" i="3"/>
  <c r="AD375" i="3"/>
  <c r="AE375" i="3"/>
  <c r="AF375" i="3"/>
  <c r="AG375" i="3"/>
  <c r="AH375" i="3"/>
  <c r="AI375" i="3"/>
  <c r="Z376" i="3"/>
  <c r="AA376" i="3"/>
  <c r="AB376" i="3"/>
  <c r="AC376" i="3"/>
  <c r="AD376" i="3"/>
  <c r="AE376" i="3"/>
  <c r="AF376" i="3"/>
  <c r="AG376" i="3"/>
  <c r="AH376" i="3"/>
  <c r="AI376" i="3"/>
  <c r="Z377" i="3"/>
  <c r="AJ377" i="3" s="1"/>
  <c r="AA377" i="3"/>
  <c r="AB377" i="3"/>
  <c r="AC377" i="3"/>
  <c r="AD377" i="3"/>
  <c r="AE377" i="3"/>
  <c r="AF377" i="3"/>
  <c r="AG377" i="3"/>
  <c r="AH377" i="3"/>
  <c r="AI377" i="3"/>
  <c r="Z378" i="3"/>
  <c r="AA378" i="3"/>
  <c r="AB378" i="3"/>
  <c r="AC378" i="3"/>
  <c r="AJ378" i="3" s="1"/>
  <c r="AD378" i="3"/>
  <c r="AE378" i="3"/>
  <c r="AF378" i="3"/>
  <c r="AG378" i="3"/>
  <c r="AH378" i="3"/>
  <c r="AI378" i="3"/>
  <c r="Z379" i="3"/>
  <c r="AA379" i="3"/>
  <c r="AB379" i="3"/>
  <c r="AC379" i="3"/>
  <c r="AD379" i="3"/>
  <c r="AE379" i="3"/>
  <c r="AF379" i="3"/>
  <c r="AG379" i="3"/>
  <c r="AH379" i="3"/>
  <c r="AI379" i="3"/>
  <c r="AJ379" i="3"/>
  <c r="Z380" i="3"/>
  <c r="AA380" i="3"/>
  <c r="AB380" i="3"/>
  <c r="AC380" i="3"/>
  <c r="AD380" i="3"/>
  <c r="AE380" i="3"/>
  <c r="AF380" i="3"/>
  <c r="AG380" i="3"/>
  <c r="AH380" i="3"/>
  <c r="AI380" i="3"/>
  <c r="Z381" i="3"/>
  <c r="AA381" i="3"/>
  <c r="AJ381" i="3" s="1"/>
  <c r="AB381" i="3"/>
  <c r="AC381" i="3"/>
  <c r="AD381" i="3"/>
  <c r="AE381" i="3"/>
  <c r="AF381" i="3"/>
  <c r="AG381" i="3"/>
  <c r="AH381" i="3"/>
  <c r="AI381" i="3"/>
  <c r="Z382" i="3"/>
  <c r="AA382" i="3"/>
  <c r="AB382" i="3"/>
  <c r="AC382" i="3"/>
  <c r="AD382" i="3"/>
  <c r="AE382" i="3"/>
  <c r="AF382" i="3"/>
  <c r="AG382" i="3"/>
  <c r="AH382" i="3"/>
  <c r="AI382" i="3"/>
  <c r="AJ382" i="3"/>
  <c r="Z383" i="3"/>
  <c r="AA383" i="3"/>
  <c r="AB383" i="3"/>
  <c r="AC383" i="3"/>
  <c r="AD383" i="3"/>
  <c r="AE383" i="3"/>
  <c r="AF383" i="3"/>
  <c r="AG383" i="3"/>
  <c r="AH383" i="3"/>
  <c r="AI383" i="3"/>
  <c r="Z384" i="3"/>
  <c r="AJ384" i="3" s="1"/>
  <c r="AA384" i="3"/>
  <c r="AB384" i="3"/>
  <c r="AC384" i="3"/>
  <c r="AD384" i="3"/>
  <c r="AE384" i="3"/>
  <c r="AF384" i="3"/>
  <c r="AG384" i="3"/>
  <c r="AH384" i="3"/>
  <c r="AI384" i="3"/>
  <c r="Z385" i="3"/>
  <c r="AA385" i="3"/>
  <c r="AB385" i="3"/>
  <c r="AC385" i="3"/>
  <c r="AD385" i="3"/>
  <c r="AE385" i="3"/>
  <c r="AJ385" i="3" s="1"/>
  <c r="AF385" i="3"/>
  <c r="AG385" i="3"/>
  <c r="AH385" i="3"/>
  <c r="AI385" i="3"/>
  <c r="Z386" i="3"/>
  <c r="AA386" i="3"/>
  <c r="AB386" i="3"/>
  <c r="AC386" i="3"/>
  <c r="AD386" i="3"/>
  <c r="AE386" i="3"/>
  <c r="AF386" i="3"/>
  <c r="AG386" i="3"/>
  <c r="AH386" i="3"/>
  <c r="AI386" i="3"/>
  <c r="AJ386" i="3"/>
  <c r="Z387" i="3"/>
  <c r="AJ387" i="3" s="1"/>
  <c r="AA387" i="3"/>
  <c r="AB387" i="3"/>
  <c r="AC387" i="3"/>
  <c r="AD387" i="3"/>
  <c r="AE387" i="3"/>
  <c r="AF387" i="3"/>
  <c r="AG387" i="3"/>
  <c r="AH387" i="3"/>
  <c r="AI387" i="3"/>
  <c r="Z388" i="3"/>
  <c r="AA388" i="3"/>
  <c r="AB388" i="3"/>
  <c r="AC388" i="3"/>
  <c r="AD388" i="3"/>
  <c r="AE388" i="3"/>
  <c r="AF388" i="3"/>
  <c r="AG388" i="3"/>
  <c r="AH388" i="3"/>
  <c r="AI388" i="3"/>
  <c r="Z389" i="3"/>
  <c r="AA389" i="3"/>
  <c r="AB389" i="3"/>
  <c r="AC389" i="3"/>
  <c r="AD389" i="3"/>
  <c r="AE389" i="3"/>
  <c r="AF389" i="3"/>
  <c r="AG389" i="3"/>
  <c r="AH389" i="3"/>
  <c r="AI389" i="3"/>
  <c r="AJ389" i="3"/>
  <c r="Z390" i="3"/>
  <c r="AJ390" i="3" s="1"/>
  <c r="AA390" i="3"/>
  <c r="AB390" i="3"/>
  <c r="AC390" i="3"/>
  <c r="AD390" i="3"/>
  <c r="AE390" i="3"/>
  <c r="AF390" i="3"/>
  <c r="AG390" i="3"/>
  <c r="AH390" i="3"/>
  <c r="AI390" i="3"/>
  <c r="Z391" i="3"/>
  <c r="AA391" i="3"/>
  <c r="AB391" i="3"/>
  <c r="AC391" i="3"/>
  <c r="AD391" i="3"/>
  <c r="AE391" i="3"/>
  <c r="AF391" i="3"/>
  <c r="AG391" i="3"/>
  <c r="AH391" i="3"/>
  <c r="AI391" i="3"/>
  <c r="Z392" i="3"/>
  <c r="AA392" i="3"/>
  <c r="AB392" i="3"/>
  <c r="AC392" i="3"/>
  <c r="AD392" i="3"/>
  <c r="AE392" i="3"/>
  <c r="AF392" i="3"/>
  <c r="AG392" i="3"/>
  <c r="AH392" i="3"/>
  <c r="AI392" i="3"/>
  <c r="AJ392" i="3"/>
  <c r="Z393" i="3"/>
  <c r="AA393" i="3"/>
  <c r="AB393" i="3"/>
  <c r="AC393" i="3"/>
  <c r="AD393" i="3"/>
  <c r="AE393" i="3"/>
  <c r="AF393" i="3"/>
  <c r="AG393" i="3"/>
  <c r="AH393" i="3"/>
  <c r="AI393" i="3"/>
  <c r="Z394" i="3"/>
  <c r="AA394" i="3"/>
  <c r="AB394" i="3"/>
  <c r="AC394" i="3"/>
  <c r="AJ394" i="3" s="1"/>
  <c r="AD394" i="3"/>
  <c r="AE394" i="3"/>
  <c r="AF394" i="3"/>
  <c r="AG394" i="3"/>
  <c r="AH394" i="3"/>
  <c r="AI394" i="3"/>
  <c r="Z395" i="3"/>
  <c r="AA395" i="3"/>
  <c r="AB395" i="3"/>
  <c r="AC395" i="3"/>
  <c r="AD395" i="3"/>
  <c r="AE395" i="3"/>
  <c r="AF395" i="3"/>
  <c r="AG395" i="3"/>
  <c r="AH395" i="3"/>
  <c r="AI395" i="3"/>
  <c r="Z396" i="3"/>
  <c r="AA396" i="3"/>
  <c r="AJ396" i="3" s="1"/>
  <c r="AB396" i="3"/>
  <c r="AC396" i="3"/>
  <c r="AD396" i="3"/>
  <c r="AE396" i="3"/>
  <c r="AF396" i="3"/>
  <c r="AG396" i="3"/>
  <c r="AH396" i="3"/>
  <c r="AI396" i="3"/>
  <c r="Z397" i="3"/>
  <c r="AA397" i="3"/>
  <c r="AB397" i="3"/>
  <c r="AC397" i="3"/>
  <c r="AJ397" i="3" s="1"/>
  <c r="AD397" i="3"/>
  <c r="AE397" i="3"/>
  <c r="AF397" i="3"/>
  <c r="AG397" i="3"/>
  <c r="AH397" i="3"/>
  <c r="AI397" i="3"/>
  <c r="Z398" i="3"/>
  <c r="AA398" i="3"/>
  <c r="AB398" i="3"/>
  <c r="AC398" i="3"/>
  <c r="AD398" i="3"/>
  <c r="AE398" i="3"/>
  <c r="AF398" i="3"/>
  <c r="AG398" i="3"/>
  <c r="AH398" i="3"/>
  <c r="AI398" i="3"/>
  <c r="Z399" i="3"/>
  <c r="AA399" i="3"/>
  <c r="AB399" i="3"/>
  <c r="AC399" i="3"/>
  <c r="AD399" i="3"/>
  <c r="AE399" i="3"/>
  <c r="AF399" i="3"/>
  <c r="AG399" i="3"/>
  <c r="AH399" i="3"/>
  <c r="AI399" i="3"/>
  <c r="Z400" i="3"/>
  <c r="AA400" i="3"/>
  <c r="AB400" i="3"/>
  <c r="AC400" i="3"/>
  <c r="AD400" i="3"/>
  <c r="AE400" i="3"/>
  <c r="AF400" i="3"/>
  <c r="AG400" i="3"/>
  <c r="AH400" i="3"/>
  <c r="AI400" i="3"/>
  <c r="Z401" i="3"/>
  <c r="AA401" i="3"/>
  <c r="AB401" i="3"/>
  <c r="AC401" i="3"/>
  <c r="AD401" i="3"/>
  <c r="AE401" i="3"/>
  <c r="AF401" i="3"/>
  <c r="AG401" i="3"/>
  <c r="AH401" i="3"/>
  <c r="AI401" i="3"/>
  <c r="Z402" i="3"/>
  <c r="AA402" i="3"/>
  <c r="AB402" i="3"/>
  <c r="AC402" i="3"/>
  <c r="AD402" i="3"/>
  <c r="AE402" i="3"/>
  <c r="AF402" i="3"/>
  <c r="AG402" i="3"/>
  <c r="AH402" i="3"/>
  <c r="AI402" i="3"/>
  <c r="Z403" i="3"/>
  <c r="AA403" i="3"/>
  <c r="AB403" i="3"/>
  <c r="AC403" i="3"/>
  <c r="AD403" i="3"/>
  <c r="AE403" i="3"/>
  <c r="AF403" i="3"/>
  <c r="AG403" i="3"/>
  <c r="AH403" i="3"/>
  <c r="AI403" i="3"/>
  <c r="AJ403" i="3"/>
  <c r="Z404" i="3"/>
  <c r="AJ404" i="3" s="1"/>
  <c r="AA404" i="3"/>
  <c r="AB404" i="3"/>
  <c r="AC404" i="3"/>
  <c r="AD404" i="3"/>
  <c r="AE404" i="3"/>
  <c r="AF404" i="3"/>
  <c r="AG404" i="3"/>
  <c r="AH404" i="3"/>
  <c r="AI404" i="3"/>
  <c r="Z405" i="3"/>
  <c r="AA405" i="3"/>
  <c r="AB405" i="3"/>
  <c r="AC405" i="3"/>
  <c r="AD405" i="3"/>
  <c r="AE405" i="3"/>
  <c r="AF405" i="3"/>
  <c r="AG405" i="3"/>
  <c r="AH405" i="3"/>
  <c r="AI405" i="3"/>
  <c r="Z406" i="3"/>
  <c r="AA406" i="3"/>
  <c r="AB406" i="3"/>
  <c r="AC406" i="3"/>
  <c r="AD406" i="3"/>
  <c r="AE406" i="3"/>
  <c r="AF406" i="3"/>
  <c r="AG406" i="3"/>
  <c r="AH406" i="3"/>
  <c r="AI406" i="3"/>
  <c r="Z407" i="3"/>
  <c r="AA407" i="3"/>
  <c r="AB407" i="3"/>
  <c r="AC407" i="3"/>
  <c r="AD407" i="3"/>
  <c r="AE407" i="3"/>
  <c r="AF407" i="3"/>
  <c r="AG407" i="3"/>
  <c r="AH407" i="3"/>
  <c r="AI407" i="3"/>
  <c r="Z408" i="3"/>
  <c r="AJ408" i="3" s="1"/>
  <c r="AA408" i="3"/>
  <c r="AB408" i="3"/>
  <c r="AC408" i="3"/>
  <c r="AD408" i="3"/>
  <c r="AE408" i="3"/>
  <c r="AF408" i="3"/>
  <c r="AG408" i="3"/>
  <c r="AH408" i="3"/>
  <c r="AI408" i="3"/>
  <c r="Z409" i="3"/>
  <c r="AA409" i="3"/>
  <c r="AB409" i="3"/>
  <c r="AC409" i="3"/>
  <c r="AD409" i="3"/>
  <c r="AE409" i="3"/>
  <c r="AF409" i="3"/>
  <c r="AG409" i="3"/>
  <c r="AH409" i="3"/>
  <c r="AI409" i="3"/>
  <c r="Z410" i="3"/>
  <c r="AJ410" i="3" s="1"/>
  <c r="AA410" i="3"/>
  <c r="AB410" i="3"/>
  <c r="AC410" i="3"/>
  <c r="AD410" i="3"/>
  <c r="AE410" i="3"/>
  <c r="AF410" i="3"/>
  <c r="AG410" i="3"/>
  <c r="AH410" i="3"/>
  <c r="AI410" i="3"/>
  <c r="Z411" i="3"/>
  <c r="AJ411" i="3" s="1"/>
  <c r="AA411" i="3"/>
  <c r="AB411" i="3"/>
  <c r="AC411" i="3"/>
  <c r="AD411" i="3"/>
  <c r="AE411" i="3"/>
  <c r="AF411" i="3"/>
  <c r="AG411" i="3"/>
  <c r="AH411" i="3"/>
  <c r="AI411" i="3"/>
  <c r="Z412" i="3"/>
  <c r="AA412" i="3"/>
  <c r="AB412" i="3"/>
  <c r="AC412" i="3"/>
  <c r="AD412" i="3"/>
  <c r="AE412" i="3"/>
  <c r="AF412" i="3"/>
  <c r="AG412" i="3"/>
  <c r="AH412" i="3"/>
  <c r="AI412" i="3"/>
  <c r="Z413" i="3"/>
  <c r="AA413" i="3"/>
  <c r="AB413" i="3"/>
  <c r="AC413" i="3"/>
  <c r="AD413" i="3"/>
  <c r="AE413" i="3"/>
  <c r="AJ413" i="3" s="1"/>
  <c r="AF413" i="3"/>
  <c r="AG413" i="3"/>
  <c r="AH413" i="3"/>
  <c r="AI413" i="3"/>
  <c r="Z414" i="3"/>
  <c r="AA414" i="3"/>
  <c r="AB414" i="3"/>
  <c r="AC414" i="3"/>
  <c r="AD414" i="3"/>
  <c r="AE414" i="3"/>
  <c r="AF414" i="3"/>
  <c r="AG414" i="3"/>
  <c r="AH414" i="3"/>
  <c r="AI414" i="3"/>
  <c r="AJ414" i="3"/>
  <c r="Z415" i="3"/>
  <c r="AA415" i="3"/>
  <c r="AB415" i="3"/>
  <c r="AC415" i="3"/>
  <c r="AD415" i="3"/>
  <c r="AE415" i="3"/>
  <c r="AF415" i="3"/>
  <c r="AG415" i="3"/>
  <c r="AH415" i="3"/>
  <c r="AI415" i="3"/>
  <c r="Z416" i="3"/>
  <c r="AA416" i="3"/>
  <c r="AB416" i="3"/>
  <c r="AC416" i="3"/>
  <c r="AD416" i="3"/>
  <c r="AE416" i="3"/>
  <c r="AJ416" i="3" s="1"/>
  <c r="AF416" i="3"/>
  <c r="AG416" i="3"/>
  <c r="AH416" i="3"/>
  <c r="AI416" i="3"/>
  <c r="Z417" i="3"/>
  <c r="AA417" i="3"/>
  <c r="AB417" i="3"/>
  <c r="AC417" i="3"/>
  <c r="AD417" i="3"/>
  <c r="AE417" i="3"/>
  <c r="AF417" i="3"/>
  <c r="AG417" i="3"/>
  <c r="AH417" i="3"/>
  <c r="AI417" i="3"/>
  <c r="AJ417" i="3"/>
  <c r="Z418" i="3"/>
  <c r="AJ418" i="3" s="1"/>
  <c r="AA418" i="3"/>
  <c r="AB418" i="3"/>
  <c r="AC418" i="3"/>
  <c r="AD418" i="3"/>
  <c r="AE418" i="3"/>
  <c r="AF418" i="3"/>
  <c r="AG418" i="3"/>
  <c r="AH418" i="3"/>
  <c r="AI418" i="3"/>
  <c r="Z419" i="3"/>
  <c r="AA419" i="3"/>
  <c r="AB419" i="3"/>
  <c r="AC419" i="3"/>
  <c r="AD419" i="3"/>
  <c r="AE419" i="3"/>
  <c r="AF419" i="3"/>
  <c r="AG419" i="3"/>
  <c r="AH419" i="3"/>
  <c r="AI419" i="3"/>
  <c r="Z420" i="3"/>
  <c r="AA420" i="3"/>
  <c r="AB420" i="3"/>
  <c r="AC420" i="3"/>
  <c r="AD420" i="3"/>
  <c r="AE420" i="3"/>
  <c r="AF420" i="3"/>
  <c r="AG420" i="3"/>
  <c r="AH420" i="3"/>
  <c r="AI420" i="3"/>
  <c r="Z421" i="3"/>
  <c r="AA421" i="3"/>
  <c r="AJ421" i="3" s="1"/>
  <c r="AB421" i="3"/>
  <c r="AC421" i="3"/>
  <c r="AD421" i="3"/>
  <c r="AE421" i="3"/>
  <c r="AF421" i="3"/>
  <c r="AG421" i="3"/>
  <c r="AH421" i="3"/>
  <c r="AI421" i="3"/>
  <c r="Z422" i="3"/>
  <c r="AJ422" i="3" s="1"/>
  <c r="AA422" i="3"/>
  <c r="AB422" i="3"/>
  <c r="AC422" i="3"/>
  <c r="AD422" i="3"/>
  <c r="AE422" i="3"/>
  <c r="AF422" i="3"/>
  <c r="AG422" i="3"/>
  <c r="AH422" i="3"/>
  <c r="AI422" i="3"/>
  <c r="Z423" i="3"/>
  <c r="AA423" i="3"/>
  <c r="AB423" i="3"/>
  <c r="AC423" i="3"/>
  <c r="AD423" i="3"/>
  <c r="AE423" i="3"/>
  <c r="AF423" i="3"/>
  <c r="AG423" i="3"/>
  <c r="AH423" i="3"/>
  <c r="AI423" i="3"/>
  <c r="Z424" i="3"/>
  <c r="AA424" i="3"/>
  <c r="AB424" i="3"/>
  <c r="AC424" i="3"/>
  <c r="AD424" i="3"/>
  <c r="AE424" i="3"/>
  <c r="AF424" i="3"/>
  <c r="AG424" i="3"/>
  <c r="AH424" i="3"/>
  <c r="AI424" i="3"/>
  <c r="Z425" i="3"/>
  <c r="AJ425" i="3" s="1"/>
  <c r="AA425" i="3"/>
  <c r="AB425" i="3"/>
  <c r="AC425" i="3"/>
  <c r="AD425" i="3"/>
  <c r="AE425" i="3"/>
  <c r="AF425" i="3"/>
  <c r="AG425" i="3"/>
  <c r="AH425" i="3"/>
  <c r="AI425" i="3"/>
  <c r="Z426" i="3"/>
  <c r="AA426" i="3"/>
  <c r="AB426" i="3"/>
  <c r="AC426" i="3"/>
  <c r="AD426" i="3"/>
  <c r="AE426" i="3"/>
  <c r="AF426" i="3"/>
  <c r="AG426" i="3"/>
  <c r="AH426" i="3"/>
  <c r="AI426" i="3"/>
  <c r="Z427" i="3"/>
  <c r="AA427" i="3"/>
  <c r="AB427" i="3"/>
  <c r="AC427" i="3"/>
  <c r="AD427" i="3"/>
  <c r="AE427" i="3"/>
  <c r="AJ427" i="3" s="1"/>
  <c r="AF427" i="3"/>
  <c r="AG427" i="3"/>
  <c r="AH427" i="3"/>
  <c r="AI427" i="3"/>
  <c r="Z428" i="3"/>
  <c r="AA428" i="3"/>
  <c r="AB428" i="3"/>
  <c r="AC428" i="3"/>
  <c r="AD428" i="3"/>
  <c r="AE428" i="3"/>
  <c r="AF428" i="3"/>
  <c r="AG428" i="3"/>
  <c r="AH428" i="3"/>
  <c r="AI428" i="3"/>
  <c r="AJ428" i="3"/>
  <c r="Z429" i="3"/>
  <c r="AA429" i="3"/>
  <c r="AB429" i="3"/>
  <c r="AC429" i="3"/>
  <c r="AD429" i="3"/>
  <c r="AE429" i="3"/>
  <c r="AF429" i="3"/>
  <c r="AG429" i="3"/>
  <c r="AH429" i="3"/>
  <c r="AI429" i="3"/>
  <c r="Z430" i="3"/>
  <c r="AA430" i="3"/>
  <c r="AJ430" i="3" s="1"/>
  <c r="AB430" i="3"/>
  <c r="AC430" i="3"/>
  <c r="AD430" i="3"/>
  <c r="AE430" i="3"/>
  <c r="AF430" i="3"/>
  <c r="AG430" i="3"/>
  <c r="AH430" i="3"/>
  <c r="AI430" i="3"/>
  <c r="Z431" i="3"/>
  <c r="AA431" i="3"/>
  <c r="AB431" i="3"/>
  <c r="AC431" i="3"/>
  <c r="AD431" i="3"/>
  <c r="AE431" i="3"/>
  <c r="AF431" i="3"/>
  <c r="AG431" i="3"/>
  <c r="AH431" i="3"/>
  <c r="AI431" i="3"/>
  <c r="Z432" i="3"/>
  <c r="AJ432" i="3" s="1"/>
  <c r="AA432" i="3"/>
  <c r="AB432" i="3"/>
  <c r="AC432" i="3"/>
  <c r="AD432" i="3"/>
  <c r="AE432" i="3"/>
  <c r="AF432" i="3"/>
  <c r="AG432" i="3"/>
  <c r="AH432" i="3"/>
  <c r="AI432" i="3"/>
  <c r="Z433" i="3"/>
  <c r="AA433" i="3"/>
  <c r="AJ433" i="3" s="1"/>
  <c r="AB433" i="3"/>
  <c r="AC433" i="3"/>
  <c r="AD433" i="3"/>
  <c r="AE433" i="3"/>
  <c r="AF433" i="3"/>
  <c r="AG433" i="3"/>
  <c r="AH433" i="3"/>
  <c r="AI433" i="3"/>
  <c r="Z434" i="3"/>
  <c r="AA434" i="3"/>
  <c r="AB434" i="3"/>
  <c r="AC434" i="3"/>
  <c r="AD434" i="3"/>
  <c r="AE434" i="3"/>
  <c r="AF434" i="3"/>
  <c r="AJ434" i="3" s="1"/>
  <c r="AG434" i="3"/>
  <c r="AH434" i="3"/>
  <c r="AI434" i="3"/>
  <c r="Z435" i="3"/>
  <c r="AJ435" i="3" s="1"/>
  <c r="AA435" i="3"/>
  <c r="AB435" i="3"/>
  <c r="AC435" i="3"/>
  <c r="AD435" i="3"/>
  <c r="AE435" i="3"/>
  <c r="AF435" i="3"/>
  <c r="AG435" i="3"/>
  <c r="AH435" i="3"/>
  <c r="AI435" i="3"/>
  <c r="Z436" i="3"/>
  <c r="AJ436" i="3" s="1"/>
  <c r="AA436" i="3"/>
  <c r="AB436" i="3"/>
  <c r="AC436" i="3"/>
  <c r="AD436" i="3"/>
  <c r="AE436" i="3"/>
  <c r="AF436" i="3"/>
  <c r="AG436" i="3"/>
  <c r="AH436" i="3"/>
  <c r="AI436" i="3"/>
  <c r="Z437" i="3"/>
  <c r="AA437" i="3"/>
  <c r="AJ437" i="3" s="1"/>
  <c r="AB437" i="3"/>
  <c r="AC437" i="3"/>
  <c r="AD437" i="3"/>
  <c r="AE437" i="3"/>
  <c r="AF437" i="3"/>
  <c r="AG437" i="3"/>
  <c r="AH437" i="3"/>
  <c r="AI437" i="3"/>
  <c r="Z438" i="3"/>
  <c r="AA438" i="3"/>
  <c r="AB438" i="3"/>
  <c r="AC438" i="3"/>
  <c r="AD438" i="3"/>
  <c r="AE438" i="3"/>
  <c r="AF438" i="3"/>
  <c r="AG438" i="3"/>
  <c r="AH438" i="3"/>
  <c r="AI438" i="3"/>
  <c r="AJ438" i="3"/>
  <c r="Z439" i="3"/>
  <c r="AA439" i="3"/>
  <c r="AB439" i="3"/>
  <c r="AC439" i="3"/>
  <c r="AD439" i="3"/>
  <c r="AE439" i="3"/>
  <c r="AF439" i="3"/>
  <c r="AG439" i="3"/>
  <c r="AH439" i="3"/>
  <c r="AI439" i="3"/>
  <c r="Z440" i="3"/>
  <c r="AA440" i="3"/>
  <c r="AB440" i="3"/>
  <c r="AC440" i="3"/>
  <c r="AD440" i="3"/>
  <c r="AE440" i="3"/>
  <c r="AF440" i="3"/>
  <c r="AG440" i="3"/>
  <c r="AH440" i="3"/>
  <c r="AI440" i="3"/>
  <c r="Z441" i="3"/>
  <c r="AA441" i="3"/>
  <c r="AB441" i="3"/>
  <c r="AC441" i="3"/>
  <c r="AD441" i="3"/>
  <c r="AE441" i="3"/>
  <c r="AJ441" i="3" s="1"/>
  <c r="AF441" i="3"/>
  <c r="AG441" i="3"/>
  <c r="AH441" i="3"/>
  <c r="AI441" i="3"/>
  <c r="Z442" i="3"/>
  <c r="AA442" i="3"/>
  <c r="AB442" i="3"/>
  <c r="AC442" i="3"/>
  <c r="AD442" i="3"/>
  <c r="AE442" i="3"/>
  <c r="AF442" i="3"/>
  <c r="AG442" i="3"/>
  <c r="AH442" i="3"/>
  <c r="AI442" i="3"/>
  <c r="AJ442" i="3"/>
  <c r="Z443" i="3"/>
  <c r="AJ443" i="3" s="1"/>
  <c r="AA443" i="3"/>
  <c r="AB443" i="3"/>
  <c r="AC443" i="3"/>
  <c r="AD443" i="3"/>
  <c r="AE443" i="3"/>
  <c r="AF443" i="3"/>
  <c r="AG443" i="3"/>
  <c r="AH443" i="3"/>
  <c r="AI443" i="3"/>
  <c r="Z444" i="3"/>
  <c r="AA444" i="3"/>
  <c r="AJ444" i="3" s="1"/>
  <c r="AB444" i="3"/>
  <c r="AC444" i="3"/>
  <c r="AD444" i="3"/>
  <c r="AE444" i="3"/>
  <c r="AF444" i="3"/>
  <c r="AG444" i="3"/>
  <c r="AH444" i="3"/>
  <c r="AI444" i="3"/>
  <c r="Z445" i="3"/>
  <c r="AA445" i="3"/>
  <c r="AB445" i="3"/>
  <c r="AC445" i="3"/>
  <c r="AD445" i="3"/>
  <c r="AE445" i="3"/>
  <c r="AF445" i="3"/>
  <c r="AG445" i="3"/>
  <c r="AH445" i="3"/>
  <c r="AI445" i="3"/>
  <c r="Z446" i="3"/>
  <c r="AJ446" i="3" s="1"/>
  <c r="AA446" i="3"/>
  <c r="AB446" i="3"/>
  <c r="AC446" i="3"/>
  <c r="AD446" i="3"/>
  <c r="AE446" i="3"/>
  <c r="AF446" i="3"/>
  <c r="AG446" i="3"/>
  <c r="AH446" i="3"/>
  <c r="AI446" i="3"/>
  <c r="Z447" i="3"/>
  <c r="AA447" i="3"/>
  <c r="AB447" i="3"/>
  <c r="AC447" i="3"/>
  <c r="AD447" i="3"/>
  <c r="AE447" i="3"/>
  <c r="AF447" i="3"/>
  <c r="AG447" i="3"/>
  <c r="AH447" i="3"/>
  <c r="AI447" i="3"/>
  <c r="Z448" i="3"/>
  <c r="AA448" i="3"/>
  <c r="AB448" i="3"/>
  <c r="AC448" i="3"/>
  <c r="AD448" i="3"/>
  <c r="AE448" i="3"/>
  <c r="AF448" i="3"/>
  <c r="AG448" i="3"/>
  <c r="AH448" i="3"/>
  <c r="AI448" i="3"/>
  <c r="Z449" i="3"/>
  <c r="AA449" i="3"/>
  <c r="AB449" i="3"/>
  <c r="AC449" i="3"/>
  <c r="AD449" i="3"/>
  <c r="AE449" i="3"/>
  <c r="AF449" i="3"/>
  <c r="AG449" i="3"/>
  <c r="AH449" i="3"/>
  <c r="AI449" i="3"/>
  <c r="Z450" i="3"/>
  <c r="AA450" i="3"/>
  <c r="AB450" i="3"/>
  <c r="AC450" i="3"/>
  <c r="AD450" i="3"/>
  <c r="AE450" i="3"/>
  <c r="AF450" i="3"/>
  <c r="AG450" i="3"/>
  <c r="AH450" i="3"/>
  <c r="AI450" i="3"/>
  <c r="Z451" i="3"/>
  <c r="AA451" i="3"/>
  <c r="AB451" i="3"/>
  <c r="AC451" i="3"/>
  <c r="AD451" i="3"/>
  <c r="AE451" i="3"/>
  <c r="AF451" i="3"/>
  <c r="AG451" i="3"/>
  <c r="AH451" i="3"/>
  <c r="AI451" i="3"/>
  <c r="Z452" i="3"/>
  <c r="AA452" i="3"/>
  <c r="AB452" i="3"/>
  <c r="AC452" i="3"/>
  <c r="AD452" i="3"/>
  <c r="AE452" i="3"/>
  <c r="AJ452" i="3" s="1"/>
  <c r="AF452" i="3"/>
  <c r="AG452" i="3"/>
  <c r="AH452" i="3"/>
  <c r="AI452" i="3"/>
  <c r="Z453" i="3"/>
  <c r="AA453" i="3"/>
  <c r="AB453" i="3"/>
  <c r="AC453" i="3"/>
  <c r="AD453" i="3"/>
  <c r="AE453" i="3"/>
  <c r="AF453" i="3"/>
  <c r="AG453" i="3"/>
  <c r="AH453" i="3"/>
  <c r="AI453" i="3"/>
  <c r="AJ453" i="3"/>
  <c r="Z454" i="3"/>
  <c r="AA454" i="3"/>
  <c r="AB454" i="3"/>
  <c r="AC454" i="3"/>
  <c r="AD454" i="3"/>
  <c r="AE454" i="3"/>
  <c r="AF454" i="3"/>
  <c r="AG454" i="3"/>
  <c r="AH454" i="3"/>
  <c r="AI454" i="3"/>
  <c r="Z455" i="3"/>
  <c r="AA455" i="3"/>
  <c r="AB455" i="3"/>
  <c r="AC455" i="3"/>
  <c r="AD455" i="3"/>
  <c r="AE455" i="3"/>
  <c r="AF455" i="3"/>
  <c r="AG455" i="3"/>
  <c r="AH455" i="3"/>
  <c r="AI455" i="3"/>
  <c r="Z456" i="3"/>
  <c r="AA456" i="3"/>
  <c r="AB456" i="3"/>
  <c r="AC456" i="3"/>
  <c r="AD456" i="3"/>
  <c r="AE456" i="3"/>
  <c r="AF456" i="3"/>
  <c r="AG456" i="3"/>
  <c r="AH456" i="3"/>
  <c r="AI456" i="3"/>
  <c r="AJ456" i="3"/>
  <c r="Z457" i="3"/>
  <c r="AA457" i="3"/>
  <c r="AB457" i="3"/>
  <c r="AC457" i="3"/>
  <c r="AD457" i="3"/>
  <c r="AE457" i="3"/>
  <c r="AF457" i="3"/>
  <c r="AG457" i="3"/>
  <c r="AH457" i="3"/>
  <c r="AI457" i="3"/>
  <c r="Z458" i="3"/>
  <c r="AA458" i="3"/>
  <c r="AB458" i="3"/>
  <c r="AC458" i="3"/>
  <c r="AJ458" i="3" s="1"/>
  <c r="AD458" i="3"/>
  <c r="AE458" i="3"/>
  <c r="AF458" i="3"/>
  <c r="AG458" i="3"/>
  <c r="AH458" i="3"/>
  <c r="AI458" i="3"/>
  <c r="Z459" i="3"/>
  <c r="AA459" i="3"/>
  <c r="AB459" i="3"/>
  <c r="AC459" i="3"/>
  <c r="AD459" i="3"/>
  <c r="AE459" i="3"/>
  <c r="AF459" i="3"/>
  <c r="AG459" i="3"/>
  <c r="AH459" i="3"/>
  <c r="AI459" i="3"/>
  <c r="Z460" i="3"/>
  <c r="AA460" i="3"/>
  <c r="AB460" i="3"/>
  <c r="AC460" i="3"/>
  <c r="AD460" i="3"/>
  <c r="AE460" i="3"/>
  <c r="AF460" i="3"/>
  <c r="AG460" i="3"/>
  <c r="AH460" i="3"/>
  <c r="AI460" i="3"/>
  <c r="Z461" i="3"/>
  <c r="AA461" i="3"/>
  <c r="AB461" i="3"/>
  <c r="AC461" i="3"/>
  <c r="AJ461" i="3" s="1"/>
  <c r="AD461" i="3"/>
  <c r="AE461" i="3"/>
  <c r="AF461" i="3"/>
  <c r="AG461" i="3"/>
  <c r="AH461" i="3"/>
  <c r="AI461" i="3"/>
  <c r="Z462" i="3"/>
  <c r="AA462" i="3"/>
  <c r="AB462" i="3"/>
  <c r="AC462" i="3"/>
  <c r="AD462" i="3"/>
  <c r="AE462" i="3"/>
  <c r="AF462" i="3"/>
  <c r="AG462" i="3"/>
  <c r="AH462" i="3"/>
  <c r="AI462" i="3"/>
  <c r="Z463" i="3"/>
  <c r="AA463" i="3"/>
  <c r="AB463" i="3"/>
  <c r="AC463" i="3"/>
  <c r="AD463" i="3"/>
  <c r="AE463" i="3"/>
  <c r="AF463" i="3"/>
  <c r="AG463" i="3"/>
  <c r="AH463" i="3"/>
  <c r="AI463" i="3"/>
  <c r="Z464" i="3"/>
  <c r="AA464" i="3"/>
  <c r="AB464" i="3"/>
  <c r="AC464" i="3"/>
  <c r="AD464" i="3"/>
  <c r="AE464" i="3"/>
  <c r="AF464" i="3"/>
  <c r="AG464" i="3"/>
  <c r="AH464" i="3"/>
  <c r="AI464" i="3"/>
  <c r="Z465" i="3"/>
  <c r="AA465" i="3"/>
  <c r="AB465" i="3"/>
  <c r="AC465" i="3"/>
  <c r="AD465" i="3"/>
  <c r="AE465" i="3"/>
  <c r="AF465" i="3"/>
  <c r="AG465" i="3"/>
  <c r="AH465" i="3"/>
  <c r="AI465" i="3"/>
  <c r="Z466" i="3"/>
  <c r="AA466" i="3"/>
  <c r="AB466" i="3"/>
  <c r="AC466" i="3"/>
  <c r="AD466" i="3"/>
  <c r="AE466" i="3"/>
  <c r="AF466" i="3"/>
  <c r="AG466" i="3"/>
  <c r="AH466" i="3"/>
  <c r="AI466" i="3"/>
  <c r="Z467" i="3"/>
  <c r="AA467" i="3"/>
  <c r="AB467" i="3"/>
  <c r="AC467" i="3"/>
  <c r="AD467" i="3"/>
  <c r="AE467" i="3"/>
  <c r="AF467" i="3"/>
  <c r="AG467" i="3"/>
  <c r="AH467" i="3"/>
  <c r="AI467" i="3"/>
  <c r="AJ467" i="3"/>
  <c r="Z468" i="3"/>
  <c r="AJ468" i="3" s="1"/>
  <c r="AA468" i="3"/>
  <c r="AB468" i="3"/>
  <c r="AC468" i="3"/>
  <c r="AD468" i="3"/>
  <c r="AE468" i="3"/>
  <c r="AF468" i="3"/>
  <c r="AG468" i="3"/>
  <c r="AH468" i="3"/>
  <c r="AI468" i="3"/>
  <c r="Z469" i="3"/>
  <c r="AA469" i="3"/>
  <c r="AB469" i="3"/>
  <c r="AC469" i="3"/>
  <c r="AD469" i="3"/>
  <c r="AE469" i="3"/>
  <c r="AF469" i="3"/>
  <c r="AG469" i="3"/>
  <c r="AH469" i="3"/>
  <c r="AI469" i="3"/>
  <c r="Z470" i="3"/>
  <c r="AA470" i="3"/>
  <c r="AB470" i="3"/>
  <c r="AC470" i="3"/>
  <c r="AD470" i="3"/>
  <c r="AE470" i="3"/>
  <c r="AF470" i="3"/>
  <c r="AG470" i="3"/>
  <c r="AH470" i="3"/>
  <c r="AI470" i="3"/>
  <c r="Z471" i="3"/>
  <c r="AA471" i="3"/>
  <c r="AB471" i="3"/>
  <c r="AC471" i="3"/>
  <c r="AD471" i="3"/>
  <c r="AE471" i="3"/>
  <c r="AF471" i="3"/>
  <c r="AG471" i="3"/>
  <c r="AH471" i="3"/>
  <c r="AI471" i="3"/>
  <c r="Z472" i="3"/>
  <c r="AA472" i="3"/>
  <c r="AB472" i="3"/>
  <c r="AC472" i="3"/>
  <c r="AD472" i="3"/>
  <c r="AE472" i="3"/>
  <c r="AF472" i="3"/>
  <c r="AG472" i="3"/>
  <c r="AH472" i="3"/>
  <c r="AI472" i="3"/>
  <c r="Z473" i="3"/>
  <c r="AA473" i="3"/>
  <c r="AB473" i="3"/>
  <c r="AC473" i="3"/>
  <c r="AD473" i="3"/>
  <c r="AE473" i="3"/>
  <c r="AF473" i="3"/>
  <c r="AG473" i="3"/>
  <c r="AH473" i="3"/>
  <c r="AI473" i="3"/>
  <c r="Z474" i="3"/>
  <c r="AJ474" i="3" s="1"/>
  <c r="AA474" i="3"/>
  <c r="AB474" i="3"/>
  <c r="AC474" i="3"/>
  <c r="AD474" i="3"/>
  <c r="AE474" i="3"/>
  <c r="AF474" i="3"/>
  <c r="AG474" i="3"/>
  <c r="AH474" i="3"/>
  <c r="AI474" i="3"/>
  <c r="Z475" i="3"/>
  <c r="AJ475" i="3" s="1"/>
  <c r="AA475" i="3"/>
  <c r="AB475" i="3"/>
  <c r="AC475" i="3"/>
  <c r="AD475" i="3"/>
  <c r="AE475" i="3"/>
  <c r="AF475" i="3"/>
  <c r="AG475" i="3"/>
  <c r="AH475" i="3"/>
  <c r="AI475" i="3"/>
  <c r="Z476" i="3"/>
  <c r="AA476" i="3"/>
  <c r="AB476" i="3"/>
  <c r="AC476" i="3"/>
  <c r="AD476" i="3"/>
  <c r="AE476" i="3"/>
  <c r="AF476" i="3"/>
  <c r="AG476" i="3"/>
  <c r="AH476" i="3"/>
  <c r="AI476" i="3"/>
  <c r="Z477" i="3"/>
  <c r="AA477" i="3"/>
  <c r="AB477" i="3"/>
  <c r="AC477" i="3"/>
  <c r="AD477" i="3"/>
  <c r="AE477" i="3"/>
  <c r="AJ477" i="3" s="1"/>
  <c r="AF477" i="3"/>
  <c r="AG477" i="3"/>
  <c r="AH477" i="3"/>
  <c r="AI477" i="3"/>
  <c r="Z478" i="3"/>
  <c r="AA478" i="3"/>
  <c r="AB478" i="3"/>
  <c r="AC478" i="3"/>
  <c r="AD478" i="3"/>
  <c r="AE478" i="3"/>
  <c r="AF478" i="3"/>
  <c r="AG478" i="3"/>
  <c r="AH478" i="3"/>
  <c r="AI478" i="3"/>
  <c r="AJ478" i="3"/>
  <c r="Z479" i="3"/>
  <c r="AA479" i="3"/>
  <c r="AB479" i="3"/>
  <c r="AC479" i="3"/>
  <c r="AD479" i="3"/>
  <c r="AE479" i="3"/>
  <c r="AF479" i="3"/>
  <c r="AG479" i="3"/>
  <c r="AH479" i="3"/>
  <c r="AI479" i="3"/>
  <c r="Z480" i="3"/>
  <c r="AA480" i="3"/>
  <c r="AB480" i="3"/>
  <c r="AC480" i="3"/>
  <c r="AD480" i="3"/>
  <c r="AE480" i="3"/>
  <c r="AJ480" i="3" s="1"/>
  <c r="AF480" i="3"/>
  <c r="AG480" i="3"/>
  <c r="AH480" i="3"/>
  <c r="AI480" i="3"/>
  <c r="Z481" i="3"/>
  <c r="AA481" i="3"/>
  <c r="AB481" i="3"/>
  <c r="AC481" i="3"/>
  <c r="AD481" i="3"/>
  <c r="AE481" i="3"/>
  <c r="AF481" i="3"/>
  <c r="AG481" i="3"/>
  <c r="AH481" i="3"/>
  <c r="AI481" i="3"/>
  <c r="AJ481" i="3"/>
  <c r="Z482" i="3"/>
  <c r="AJ482" i="3" s="1"/>
  <c r="AA482" i="3"/>
  <c r="AB482" i="3"/>
  <c r="AC482" i="3"/>
  <c r="AD482" i="3"/>
  <c r="AE482" i="3"/>
  <c r="AF482" i="3"/>
  <c r="AG482" i="3"/>
  <c r="AH482" i="3"/>
  <c r="AI482" i="3"/>
  <c r="Z483" i="3"/>
  <c r="AA483" i="3"/>
  <c r="AB483" i="3"/>
  <c r="AC483" i="3"/>
  <c r="AD483" i="3"/>
  <c r="AE483" i="3"/>
  <c r="AF483" i="3"/>
  <c r="AG483" i="3"/>
  <c r="AH483" i="3"/>
  <c r="AI483" i="3"/>
  <c r="Z484" i="3"/>
  <c r="AA484" i="3"/>
  <c r="AB484" i="3"/>
  <c r="AC484" i="3"/>
  <c r="AD484" i="3"/>
  <c r="AE484" i="3"/>
  <c r="AF484" i="3"/>
  <c r="AG484" i="3"/>
  <c r="AH484" i="3"/>
  <c r="AI484" i="3"/>
  <c r="Z485" i="3"/>
  <c r="AA485" i="3"/>
  <c r="AJ485" i="3" s="1"/>
  <c r="AB485" i="3"/>
  <c r="AC485" i="3"/>
  <c r="AD485" i="3"/>
  <c r="AE485" i="3"/>
  <c r="AF485" i="3"/>
  <c r="AG485" i="3"/>
  <c r="AH485" i="3"/>
  <c r="AI485" i="3"/>
  <c r="Z486" i="3"/>
  <c r="AJ486" i="3" s="1"/>
  <c r="AA486" i="3"/>
  <c r="AB486" i="3"/>
  <c r="AC486" i="3"/>
  <c r="AD486" i="3"/>
  <c r="AE486" i="3"/>
  <c r="AF486" i="3"/>
  <c r="AG486" i="3"/>
  <c r="AH486" i="3"/>
  <c r="AI486" i="3"/>
  <c r="Z487" i="3"/>
  <c r="AA487" i="3"/>
  <c r="AB487" i="3"/>
  <c r="AC487" i="3"/>
  <c r="AD487" i="3"/>
  <c r="AE487" i="3"/>
  <c r="AF487" i="3"/>
  <c r="AG487" i="3"/>
  <c r="AH487" i="3"/>
  <c r="AI487" i="3"/>
  <c r="Z488" i="3"/>
  <c r="AA488" i="3"/>
  <c r="AB488" i="3"/>
  <c r="AC488" i="3"/>
  <c r="AD488" i="3"/>
  <c r="AE488" i="3"/>
  <c r="AF488" i="3"/>
  <c r="AG488" i="3"/>
  <c r="AH488" i="3"/>
  <c r="AI488" i="3"/>
  <c r="Z489" i="3"/>
  <c r="AJ489" i="3" s="1"/>
  <c r="AA489" i="3"/>
  <c r="AB489" i="3"/>
  <c r="AC489" i="3"/>
  <c r="AD489" i="3"/>
  <c r="AE489" i="3"/>
  <c r="AF489" i="3"/>
  <c r="AG489" i="3"/>
  <c r="AH489" i="3"/>
  <c r="AI489" i="3"/>
  <c r="Z490" i="3"/>
  <c r="AA490" i="3"/>
  <c r="AB490" i="3"/>
  <c r="AC490" i="3"/>
  <c r="AD490" i="3"/>
  <c r="AE490" i="3"/>
  <c r="AF490" i="3"/>
  <c r="AG490" i="3"/>
  <c r="AH490" i="3"/>
  <c r="AI490" i="3"/>
  <c r="Z491" i="3"/>
  <c r="AA491" i="3"/>
  <c r="AB491" i="3"/>
  <c r="AC491" i="3"/>
  <c r="AD491" i="3"/>
  <c r="AE491" i="3"/>
  <c r="AJ491" i="3" s="1"/>
  <c r="AF491" i="3"/>
  <c r="AG491" i="3"/>
  <c r="AH491" i="3"/>
  <c r="AI491" i="3"/>
  <c r="Z492" i="3"/>
  <c r="AA492" i="3"/>
  <c r="AB492" i="3"/>
  <c r="AC492" i="3"/>
  <c r="AD492" i="3"/>
  <c r="AE492" i="3"/>
  <c r="AF492" i="3"/>
  <c r="AG492" i="3"/>
  <c r="AH492" i="3"/>
  <c r="AI492" i="3"/>
  <c r="AJ492" i="3"/>
  <c r="Z493" i="3"/>
  <c r="AA493" i="3"/>
  <c r="AB493" i="3"/>
  <c r="AC493" i="3"/>
  <c r="AD493" i="3"/>
  <c r="AE493" i="3"/>
  <c r="AF493" i="3"/>
  <c r="AG493" i="3"/>
  <c r="AH493" i="3"/>
  <c r="AI493" i="3"/>
  <c r="Z494" i="3"/>
  <c r="AA494" i="3"/>
  <c r="AJ494" i="3" s="1"/>
  <c r="AB494" i="3"/>
  <c r="AC494" i="3"/>
  <c r="AD494" i="3"/>
  <c r="AE494" i="3"/>
  <c r="AF494" i="3"/>
  <c r="AG494" i="3"/>
  <c r="AH494" i="3"/>
  <c r="AI494" i="3"/>
  <c r="Z495" i="3"/>
  <c r="AA495" i="3"/>
  <c r="AB495" i="3"/>
  <c r="AC495" i="3"/>
  <c r="AD495" i="3"/>
  <c r="AE495" i="3"/>
  <c r="AF495" i="3"/>
  <c r="AG495" i="3"/>
  <c r="AH495" i="3"/>
  <c r="AI495" i="3"/>
  <c r="Z496" i="3"/>
  <c r="AJ496" i="3" s="1"/>
  <c r="AA496" i="3"/>
  <c r="AB496" i="3"/>
  <c r="AC496" i="3"/>
  <c r="AD496" i="3"/>
  <c r="AE496" i="3"/>
  <c r="AF496" i="3"/>
  <c r="AG496" i="3"/>
  <c r="AH496" i="3"/>
  <c r="AI496" i="3"/>
  <c r="Z497" i="3"/>
  <c r="AA497" i="3"/>
  <c r="AJ497" i="3" s="1"/>
  <c r="AB497" i="3"/>
  <c r="AC497" i="3"/>
  <c r="AD497" i="3"/>
  <c r="AE497" i="3"/>
  <c r="AF497" i="3"/>
  <c r="AG497" i="3"/>
  <c r="AH497" i="3"/>
  <c r="AI497" i="3"/>
  <c r="Z498" i="3"/>
  <c r="AA498" i="3"/>
  <c r="AB498" i="3"/>
  <c r="AC498" i="3"/>
  <c r="AD498" i="3"/>
  <c r="AE498" i="3"/>
  <c r="AF498" i="3"/>
  <c r="AJ498" i="3" s="1"/>
  <c r="AG498" i="3"/>
  <c r="AH498" i="3"/>
  <c r="AI498" i="3"/>
  <c r="Z499" i="3"/>
  <c r="AJ499" i="3" s="1"/>
  <c r="AA499" i="3"/>
  <c r="AB499" i="3"/>
  <c r="AC499" i="3"/>
  <c r="AD499" i="3"/>
  <c r="AE499" i="3"/>
  <c r="AF499" i="3"/>
  <c r="AG499" i="3"/>
  <c r="AH499" i="3"/>
  <c r="AI499" i="3"/>
  <c r="Z500" i="3"/>
  <c r="AJ500" i="3" s="1"/>
  <c r="AA500" i="3"/>
  <c r="AB500" i="3"/>
  <c r="AC500" i="3"/>
  <c r="AD500" i="3"/>
  <c r="AE500" i="3"/>
  <c r="AF500" i="3"/>
  <c r="AG500" i="3"/>
  <c r="AH500" i="3"/>
  <c r="AI500" i="3"/>
  <c r="Z501" i="3"/>
  <c r="AA501" i="3"/>
  <c r="AJ501" i="3" s="1"/>
  <c r="AB501" i="3"/>
  <c r="AC501" i="3"/>
  <c r="AD501" i="3"/>
  <c r="AE501" i="3"/>
  <c r="AF501" i="3"/>
  <c r="AG501" i="3"/>
  <c r="AH501" i="3"/>
  <c r="AI501" i="3"/>
  <c r="Z502" i="3"/>
  <c r="AA502" i="3"/>
  <c r="AB502" i="3"/>
  <c r="AC502" i="3"/>
  <c r="AD502" i="3"/>
  <c r="AE502" i="3"/>
  <c r="AF502" i="3"/>
  <c r="AG502" i="3"/>
  <c r="AH502" i="3"/>
  <c r="AI502" i="3"/>
  <c r="AJ502" i="3"/>
  <c r="Z503" i="3"/>
  <c r="AA503" i="3"/>
  <c r="AB503" i="3"/>
  <c r="AC503" i="3"/>
  <c r="AD503" i="3"/>
  <c r="AE503" i="3"/>
  <c r="AF503" i="3"/>
  <c r="AG503" i="3"/>
  <c r="AH503" i="3"/>
  <c r="AI503" i="3"/>
  <c r="Z504" i="3"/>
  <c r="AA504" i="3"/>
  <c r="AB504" i="3"/>
  <c r="AC504" i="3"/>
  <c r="AD504" i="3"/>
  <c r="AE504" i="3"/>
  <c r="AF504" i="3"/>
  <c r="AG504" i="3"/>
  <c r="AH504" i="3"/>
  <c r="AI504" i="3"/>
  <c r="Z505" i="3"/>
  <c r="AA505" i="3"/>
  <c r="AB505" i="3"/>
  <c r="AC505" i="3"/>
  <c r="AD505" i="3"/>
  <c r="AE505" i="3"/>
  <c r="AJ505" i="3" s="1"/>
  <c r="AF505" i="3"/>
  <c r="AG505" i="3"/>
  <c r="AH505" i="3"/>
  <c r="AI505" i="3"/>
  <c r="Z506" i="3"/>
  <c r="AA506" i="3"/>
  <c r="AB506" i="3"/>
  <c r="AC506" i="3"/>
  <c r="AD506" i="3"/>
  <c r="AE506" i="3"/>
  <c r="AF506" i="3"/>
  <c r="AG506" i="3"/>
  <c r="AH506" i="3"/>
  <c r="AI506" i="3"/>
  <c r="AJ506" i="3"/>
  <c r="Z507" i="3"/>
  <c r="AJ507" i="3" s="1"/>
  <c r="AA507" i="3"/>
  <c r="AB507" i="3"/>
  <c r="AC507" i="3"/>
  <c r="AD507" i="3"/>
  <c r="AE507" i="3"/>
  <c r="AF507" i="3"/>
  <c r="AG507" i="3"/>
  <c r="AH507" i="3"/>
  <c r="AI507" i="3"/>
  <c r="Z508" i="3"/>
  <c r="AA508" i="3"/>
  <c r="AJ508" i="3" s="1"/>
  <c r="AB508" i="3"/>
  <c r="AC508" i="3"/>
  <c r="AD508" i="3"/>
  <c r="AE508" i="3"/>
  <c r="AF508" i="3"/>
  <c r="AG508" i="3"/>
  <c r="AH508" i="3"/>
  <c r="AI508" i="3"/>
  <c r="Z509" i="3"/>
  <c r="AA509" i="3"/>
  <c r="AB509" i="3"/>
  <c r="AC509" i="3"/>
  <c r="AD509" i="3"/>
  <c r="AE509" i="3"/>
  <c r="AF509" i="3"/>
  <c r="AG509" i="3"/>
  <c r="AH509" i="3"/>
  <c r="AI509" i="3"/>
  <c r="Z510" i="3"/>
  <c r="AJ510" i="3" s="1"/>
  <c r="AA510" i="3"/>
  <c r="AB510" i="3"/>
  <c r="AC510" i="3"/>
  <c r="AD510" i="3"/>
  <c r="AE510" i="3"/>
  <c r="AF510" i="3"/>
  <c r="AG510" i="3"/>
  <c r="AH510" i="3"/>
  <c r="AI510" i="3"/>
  <c r="Z511" i="3"/>
  <c r="AA511" i="3"/>
  <c r="AB511" i="3"/>
  <c r="AC511" i="3"/>
  <c r="AD511" i="3"/>
  <c r="AE511" i="3"/>
  <c r="AF511" i="3"/>
  <c r="AG511" i="3"/>
  <c r="AH511" i="3"/>
  <c r="AI511" i="3"/>
  <c r="Z512" i="3"/>
  <c r="AA512" i="3"/>
  <c r="AB512" i="3"/>
  <c r="AC512" i="3"/>
  <c r="AD512" i="3"/>
  <c r="AE512" i="3"/>
  <c r="AF512" i="3"/>
  <c r="AG512" i="3"/>
  <c r="AH512" i="3"/>
  <c r="AI512" i="3"/>
  <c r="Z513" i="3"/>
  <c r="AA513" i="3"/>
  <c r="AB513" i="3"/>
  <c r="AC513" i="3"/>
  <c r="AD513" i="3"/>
  <c r="AE513" i="3"/>
  <c r="AF513" i="3"/>
  <c r="AG513" i="3"/>
  <c r="AH513" i="3"/>
  <c r="AI513" i="3"/>
  <c r="Z514" i="3"/>
  <c r="AA514" i="3"/>
  <c r="AB514" i="3"/>
  <c r="AC514" i="3"/>
  <c r="AD514" i="3"/>
  <c r="AE514" i="3"/>
  <c r="AF514" i="3"/>
  <c r="AG514" i="3"/>
  <c r="AH514" i="3"/>
  <c r="AI514" i="3"/>
  <c r="Z515" i="3"/>
  <c r="AA515" i="3"/>
  <c r="AB515" i="3"/>
  <c r="AC515" i="3"/>
  <c r="AD515" i="3"/>
  <c r="AE515" i="3"/>
  <c r="AF515" i="3"/>
  <c r="AG515" i="3"/>
  <c r="AH515" i="3"/>
  <c r="AI515" i="3"/>
  <c r="Z516" i="3"/>
  <c r="AA516" i="3"/>
  <c r="AB516" i="3"/>
  <c r="AC516" i="3"/>
  <c r="AD516" i="3"/>
  <c r="AE516" i="3"/>
  <c r="AJ516" i="3" s="1"/>
  <c r="AF516" i="3"/>
  <c r="AG516" i="3"/>
  <c r="AH516" i="3"/>
  <c r="AI516" i="3"/>
  <c r="Z517" i="3"/>
  <c r="AA517" i="3"/>
  <c r="AB517" i="3"/>
  <c r="AC517" i="3"/>
  <c r="AD517" i="3"/>
  <c r="AE517" i="3"/>
  <c r="AF517" i="3"/>
  <c r="AG517" i="3"/>
  <c r="AH517" i="3"/>
  <c r="AI517" i="3"/>
  <c r="AJ517" i="3"/>
  <c r="Z518" i="3"/>
  <c r="AA518" i="3"/>
  <c r="AB518" i="3"/>
  <c r="AC518" i="3"/>
  <c r="AD518" i="3"/>
  <c r="AE518" i="3"/>
  <c r="AF518" i="3"/>
  <c r="AG518" i="3"/>
  <c r="AH518" i="3"/>
  <c r="AI518" i="3"/>
  <c r="Z519" i="3"/>
  <c r="AA519" i="3"/>
  <c r="AB519" i="3"/>
  <c r="AC519" i="3"/>
  <c r="AD519" i="3"/>
  <c r="AE519" i="3"/>
  <c r="AF519" i="3"/>
  <c r="AG519" i="3"/>
  <c r="AH519" i="3"/>
  <c r="AI519" i="3"/>
  <c r="Z520" i="3"/>
  <c r="AA520" i="3"/>
  <c r="AB520" i="3"/>
  <c r="AC520" i="3"/>
  <c r="AD520" i="3"/>
  <c r="AE520" i="3"/>
  <c r="AF520" i="3"/>
  <c r="AG520" i="3"/>
  <c r="AH520" i="3"/>
  <c r="AI520" i="3"/>
  <c r="AJ520" i="3"/>
  <c r="Z521" i="3"/>
  <c r="AA521" i="3"/>
  <c r="AB521" i="3"/>
  <c r="AC521" i="3"/>
  <c r="AD521" i="3"/>
  <c r="AE521" i="3"/>
  <c r="AF521" i="3"/>
  <c r="AG521" i="3"/>
  <c r="AH521" i="3"/>
  <c r="AI521" i="3"/>
  <c r="Z522" i="3"/>
  <c r="AA522" i="3"/>
  <c r="AB522" i="3"/>
  <c r="AC522" i="3"/>
  <c r="AJ522" i="3" s="1"/>
  <c r="AD522" i="3"/>
  <c r="AE522" i="3"/>
  <c r="AF522" i="3"/>
  <c r="AG522" i="3"/>
  <c r="AH522" i="3"/>
  <c r="AI522" i="3"/>
  <c r="Z523" i="3"/>
  <c r="AA523" i="3"/>
  <c r="AB523" i="3"/>
  <c r="AC523" i="3"/>
  <c r="AD523" i="3"/>
  <c r="AE523" i="3"/>
  <c r="AF523" i="3"/>
  <c r="AG523" i="3"/>
  <c r="AH523" i="3"/>
  <c r="AI523" i="3"/>
  <c r="Z524" i="3"/>
  <c r="AA524" i="3"/>
  <c r="AB524" i="3"/>
  <c r="AC524" i="3"/>
  <c r="AD524" i="3"/>
  <c r="AE524" i="3"/>
  <c r="AF524" i="3"/>
  <c r="AG524" i="3"/>
  <c r="AH524" i="3"/>
  <c r="AI524" i="3"/>
  <c r="Z525" i="3"/>
  <c r="AA525" i="3"/>
  <c r="AB525" i="3"/>
  <c r="AC525" i="3"/>
  <c r="AJ525" i="3" s="1"/>
  <c r="AD525" i="3"/>
  <c r="AE525" i="3"/>
  <c r="AF525" i="3"/>
  <c r="AG525" i="3"/>
  <c r="AH525" i="3"/>
  <c r="AI525" i="3"/>
  <c r="Z526" i="3"/>
  <c r="AA526" i="3"/>
  <c r="AB526" i="3"/>
  <c r="AC526" i="3"/>
  <c r="AD526" i="3"/>
  <c r="AE526" i="3"/>
  <c r="AF526" i="3"/>
  <c r="AG526" i="3"/>
  <c r="AH526" i="3"/>
  <c r="AI526" i="3"/>
  <c r="Z527" i="3"/>
  <c r="AA527" i="3"/>
  <c r="AB527" i="3"/>
  <c r="AC527" i="3"/>
  <c r="AD527" i="3"/>
  <c r="AE527" i="3"/>
  <c r="AF527" i="3"/>
  <c r="AG527" i="3"/>
  <c r="AH527" i="3"/>
  <c r="AI527" i="3"/>
  <c r="Z528" i="3"/>
  <c r="AA528" i="3"/>
  <c r="AB528" i="3"/>
  <c r="AC528" i="3"/>
  <c r="AD528" i="3"/>
  <c r="AE528" i="3"/>
  <c r="AF528" i="3"/>
  <c r="AG528" i="3"/>
  <c r="AH528" i="3"/>
  <c r="AI528" i="3"/>
  <c r="Z529" i="3"/>
  <c r="AA529" i="3"/>
  <c r="AB529" i="3"/>
  <c r="AC529" i="3"/>
  <c r="AD529" i="3"/>
  <c r="AE529" i="3"/>
  <c r="AF529" i="3"/>
  <c r="AG529" i="3"/>
  <c r="AH529" i="3"/>
  <c r="AI529" i="3"/>
  <c r="Z530" i="3"/>
  <c r="AJ530" i="3" s="1"/>
  <c r="AA530" i="3"/>
  <c r="AB530" i="3"/>
  <c r="AC530" i="3"/>
  <c r="AD530" i="3"/>
  <c r="AE530" i="3"/>
  <c r="AF530" i="3"/>
  <c r="AG530" i="3"/>
  <c r="AH530" i="3"/>
  <c r="AI530" i="3"/>
  <c r="Z531" i="3"/>
  <c r="AA531" i="3"/>
  <c r="AB531" i="3"/>
  <c r="AC531" i="3"/>
  <c r="AD531" i="3"/>
  <c r="AE531" i="3"/>
  <c r="AF531" i="3"/>
  <c r="AG531" i="3"/>
  <c r="AH531" i="3"/>
  <c r="AI531" i="3"/>
  <c r="AJ531" i="3"/>
  <c r="Z532" i="3"/>
  <c r="AJ532" i="3" s="1"/>
  <c r="AA532" i="3"/>
  <c r="AB532" i="3"/>
  <c r="AC532" i="3"/>
  <c r="AD532" i="3"/>
  <c r="AE532" i="3"/>
  <c r="AF532" i="3"/>
  <c r="AG532" i="3"/>
  <c r="AH532" i="3"/>
  <c r="AI532" i="3"/>
  <c r="Z533" i="3"/>
  <c r="AA533" i="3"/>
  <c r="AJ533" i="3" s="1"/>
  <c r="AB533" i="3"/>
  <c r="AC533" i="3"/>
  <c r="AD533" i="3"/>
  <c r="AE533" i="3"/>
  <c r="AF533" i="3"/>
  <c r="AG533" i="3"/>
  <c r="AH533" i="3"/>
  <c r="AI533" i="3"/>
  <c r="Z534" i="3"/>
  <c r="AA534" i="3"/>
  <c r="AB534" i="3"/>
  <c r="AC534" i="3"/>
  <c r="AD534" i="3"/>
  <c r="AE534" i="3"/>
  <c r="AF534" i="3"/>
  <c r="AG534" i="3"/>
  <c r="AH534" i="3"/>
  <c r="AI534" i="3"/>
  <c r="Z535" i="3"/>
  <c r="AA535" i="3"/>
  <c r="AB535" i="3"/>
  <c r="AC535" i="3"/>
  <c r="AD535" i="3"/>
  <c r="AE535" i="3"/>
  <c r="AF535" i="3"/>
  <c r="AG535" i="3"/>
  <c r="AH535" i="3"/>
  <c r="AI535" i="3"/>
  <c r="Z536" i="3"/>
  <c r="AA536" i="3"/>
  <c r="AB536" i="3"/>
  <c r="AC536" i="3"/>
  <c r="AD536" i="3"/>
  <c r="AE536" i="3"/>
  <c r="AF536" i="3"/>
  <c r="AG536" i="3"/>
  <c r="AH536" i="3"/>
  <c r="AI536" i="3"/>
  <c r="Z537" i="3"/>
  <c r="AA537" i="3"/>
  <c r="AB537" i="3"/>
  <c r="AC537" i="3"/>
  <c r="AD537" i="3"/>
  <c r="AE537" i="3"/>
  <c r="AF537" i="3"/>
  <c r="AG537" i="3"/>
  <c r="AH537" i="3"/>
  <c r="AI537" i="3"/>
  <c r="Z538" i="3"/>
  <c r="AJ538" i="3" s="1"/>
  <c r="AA538" i="3"/>
  <c r="AB538" i="3"/>
  <c r="AC538" i="3"/>
  <c r="AD538" i="3"/>
  <c r="AE538" i="3"/>
  <c r="AF538" i="3"/>
  <c r="AG538" i="3"/>
  <c r="AH538" i="3"/>
  <c r="AI538" i="3"/>
  <c r="Z539" i="3"/>
  <c r="AJ539" i="3" s="1"/>
  <c r="AA539" i="3"/>
  <c r="AB539" i="3"/>
  <c r="AC539" i="3"/>
  <c r="AD539" i="3"/>
  <c r="AE539" i="3"/>
  <c r="AF539" i="3"/>
  <c r="AG539" i="3"/>
  <c r="AH539" i="3"/>
  <c r="AI539" i="3"/>
  <c r="Z540" i="3"/>
  <c r="AA540" i="3"/>
  <c r="AB540" i="3"/>
  <c r="AC540" i="3"/>
  <c r="AD540" i="3"/>
  <c r="AE540" i="3"/>
  <c r="AF540" i="3"/>
  <c r="AG540" i="3"/>
  <c r="AH540" i="3"/>
  <c r="AI540" i="3"/>
  <c r="Z541" i="3"/>
  <c r="AA541" i="3"/>
  <c r="AB541" i="3"/>
  <c r="AC541" i="3"/>
  <c r="AD541" i="3"/>
  <c r="AE541" i="3"/>
  <c r="AJ541" i="3" s="1"/>
  <c r="AF541" i="3"/>
  <c r="AG541" i="3"/>
  <c r="AH541" i="3"/>
  <c r="AI541" i="3"/>
  <c r="Z542" i="3"/>
  <c r="AA542" i="3"/>
  <c r="AB542" i="3"/>
  <c r="AC542" i="3"/>
  <c r="AD542" i="3"/>
  <c r="AE542" i="3"/>
  <c r="AF542" i="3"/>
  <c r="AG542" i="3"/>
  <c r="AH542" i="3"/>
  <c r="AI542" i="3"/>
  <c r="AJ542" i="3"/>
  <c r="Z543" i="3"/>
  <c r="AA543" i="3"/>
  <c r="AB543" i="3"/>
  <c r="AC543" i="3"/>
  <c r="AD543" i="3"/>
  <c r="AE543" i="3"/>
  <c r="AF543" i="3"/>
  <c r="AG543" i="3"/>
  <c r="AH543" i="3"/>
  <c r="AI543" i="3"/>
  <c r="Z544" i="3"/>
  <c r="AA544" i="3"/>
  <c r="AB544" i="3"/>
  <c r="AC544" i="3"/>
  <c r="AD544" i="3"/>
  <c r="AE544" i="3"/>
  <c r="AJ544" i="3" s="1"/>
  <c r="AF544" i="3"/>
  <c r="AG544" i="3"/>
  <c r="AH544" i="3"/>
  <c r="AI544" i="3"/>
  <c r="Z545" i="3"/>
  <c r="AA545" i="3"/>
  <c r="AB545" i="3"/>
  <c r="AC545" i="3"/>
  <c r="AD545" i="3"/>
  <c r="AE545" i="3"/>
  <c r="AF545" i="3"/>
  <c r="AG545" i="3"/>
  <c r="AH545" i="3"/>
  <c r="AI545" i="3"/>
  <c r="AJ545" i="3"/>
  <c r="Z546" i="3"/>
  <c r="AJ546" i="3" s="1"/>
  <c r="AA546" i="3"/>
  <c r="AB546" i="3"/>
  <c r="AC546" i="3"/>
  <c r="AD546" i="3"/>
  <c r="AE546" i="3"/>
  <c r="AF546" i="3"/>
  <c r="AG546" i="3"/>
  <c r="AH546" i="3"/>
  <c r="AI546" i="3"/>
  <c r="Z547" i="3"/>
  <c r="AA547" i="3"/>
  <c r="AB547" i="3"/>
  <c r="AC547" i="3"/>
  <c r="AD547" i="3"/>
  <c r="AE547" i="3"/>
  <c r="AF547" i="3"/>
  <c r="AG547" i="3"/>
  <c r="AH547" i="3"/>
  <c r="AI547" i="3"/>
  <c r="Z548" i="3"/>
  <c r="AA548" i="3"/>
  <c r="AB548" i="3"/>
  <c r="AC548" i="3"/>
  <c r="AD548" i="3"/>
  <c r="AE548" i="3"/>
  <c r="AF548" i="3"/>
  <c r="AG548" i="3"/>
  <c r="AH548" i="3"/>
  <c r="AI548" i="3"/>
  <c r="Z549" i="3"/>
  <c r="AA549" i="3"/>
  <c r="AJ549" i="3" s="1"/>
  <c r="AB549" i="3"/>
  <c r="AC549" i="3"/>
  <c r="AD549" i="3"/>
  <c r="AE549" i="3"/>
  <c r="AF549" i="3"/>
  <c r="AG549" i="3"/>
  <c r="AH549" i="3"/>
  <c r="AI549" i="3"/>
  <c r="Z550" i="3"/>
  <c r="AJ550" i="3" s="1"/>
  <c r="AA550" i="3"/>
  <c r="AB550" i="3"/>
  <c r="AC550" i="3"/>
  <c r="AD550" i="3"/>
  <c r="AE550" i="3"/>
  <c r="AF550" i="3"/>
  <c r="AG550" i="3"/>
  <c r="AH550" i="3"/>
  <c r="AI550" i="3"/>
  <c r="Z551" i="3"/>
  <c r="AA551" i="3"/>
  <c r="AB551" i="3"/>
  <c r="AC551" i="3"/>
  <c r="AD551" i="3"/>
  <c r="AE551" i="3"/>
  <c r="AF551" i="3"/>
  <c r="AG551" i="3"/>
  <c r="AH551" i="3"/>
  <c r="AI551" i="3"/>
  <c r="Z552" i="3"/>
  <c r="AA552" i="3"/>
  <c r="AB552" i="3"/>
  <c r="AC552" i="3"/>
  <c r="AD552" i="3"/>
  <c r="AE552" i="3"/>
  <c r="AF552" i="3"/>
  <c r="AG552" i="3"/>
  <c r="AH552" i="3"/>
  <c r="AI552" i="3"/>
  <c r="Z553" i="3"/>
  <c r="AJ553" i="3" s="1"/>
  <c r="AA553" i="3"/>
  <c r="AB553" i="3"/>
  <c r="AC553" i="3"/>
  <c r="AD553" i="3"/>
  <c r="AE553" i="3"/>
  <c r="AF553" i="3"/>
  <c r="AG553" i="3"/>
  <c r="AH553" i="3"/>
  <c r="AI553" i="3"/>
  <c r="Z554" i="3"/>
  <c r="AA554" i="3"/>
  <c r="AB554" i="3"/>
  <c r="AC554" i="3"/>
  <c r="AD554" i="3"/>
  <c r="AE554" i="3"/>
  <c r="AF554" i="3"/>
  <c r="AG554" i="3"/>
  <c r="AH554" i="3"/>
  <c r="AI554" i="3"/>
  <c r="Z555" i="3"/>
  <c r="AA555" i="3"/>
  <c r="AB555" i="3"/>
  <c r="AC555" i="3"/>
  <c r="AD555" i="3"/>
  <c r="AE555" i="3"/>
  <c r="AJ555" i="3" s="1"/>
  <c r="AF555" i="3"/>
  <c r="AG555" i="3"/>
  <c r="AH555" i="3"/>
  <c r="AI555" i="3"/>
  <c r="Z556" i="3"/>
  <c r="AA556" i="3"/>
  <c r="AB556" i="3"/>
  <c r="AC556" i="3"/>
  <c r="AD556" i="3"/>
  <c r="AE556" i="3"/>
  <c r="AF556" i="3"/>
  <c r="AG556" i="3"/>
  <c r="AH556" i="3"/>
  <c r="AI556" i="3"/>
  <c r="AJ556" i="3"/>
  <c r="Z557" i="3"/>
  <c r="AA557" i="3"/>
  <c r="AB557" i="3"/>
  <c r="AC557" i="3"/>
  <c r="AD557" i="3"/>
  <c r="AE557" i="3"/>
  <c r="AF557" i="3"/>
  <c r="AG557" i="3"/>
  <c r="AH557" i="3"/>
  <c r="AI557" i="3"/>
  <c r="Z558" i="3"/>
  <c r="AA558" i="3"/>
  <c r="AB558" i="3"/>
  <c r="AC558" i="3"/>
  <c r="AD558" i="3"/>
  <c r="AE558" i="3"/>
  <c r="AF558" i="3"/>
  <c r="AG558" i="3"/>
  <c r="AH558" i="3"/>
  <c r="AI558" i="3"/>
  <c r="Z559" i="3"/>
  <c r="AA559" i="3"/>
  <c r="AB559" i="3"/>
  <c r="AC559" i="3"/>
  <c r="AD559" i="3"/>
  <c r="AE559" i="3"/>
  <c r="AF559" i="3"/>
  <c r="AG559" i="3"/>
  <c r="AH559" i="3"/>
  <c r="AI559" i="3"/>
  <c r="Z560" i="3"/>
  <c r="AJ560" i="3" s="1"/>
  <c r="AA560" i="3"/>
  <c r="AB560" i="3"/>
  <c r="AC560" i="3"/>
  <c r="AD560" i="3"/>
  <c r="AE560" i="3"/>
  <c r="AF560" i="3"/>
  <c r="AG560" i="3"/>
  <c r="AH560" i="3"/>
  <c r="AI560" i="3"/>
  <c r="Z561" i="3"/>
  <c r="AA561" i="3"/>
  <c r="AJ561" i="3" s="1"/>
  <c r="AB561" i="3"/>
  <c r="AC561" i="3"/>
  <c r="AD561" i="3"/>
  <c r="AE561" i="3"/>
  <c r="AF561" i="3"/>
  <c r="AG561" i="3"/>
  <c r="AH561" i="3"/>
  <c r="AI561" i="3"/>
  <c r="Z562" i="3"/>
  <c r="AA562" i="3"/>
  <c r="AB562" i="3"/>
  <c r="AC562" i="3"/>
  <c r="AD562" i="3"/>
  <c r="AE562" i="3"/>
  <c r="AF562" i="3"/>
  <c r="AJ562" i="3" s="1"/>
  <c r="AG562" i="3"/>
  <c r="AH562" i="3"/>
  <c r="AI562" i="3"/>
  <c r="Z563" i="3"/>
  <c r="AJ563" i="3" s="1"/>
  <c r="AA563" i="3"/>
  <c r="AB563" i="3"/>
  <c r="AC563" i="3"/>
  <c r="AD563" i="3"/>
  <c r="AE563" i="3"/>
  <c r="AF563" i="3"/>
  <c r="AG563" i="3"/>
  <c r="AH563" i="3"/>
  <c r="AI563" i="3"/>
  <c r="Z564" i="3"/>
  <c r="AJ564" i="3" s="1"/>
  <c r="AA564" i="3"/>
  <c r="AB564" i="3"/>
  <c r="AC564" i="3"/>
  <c r="AD564" i="3"/>
  <c r="AE564" i="3"/>
  <c r="AF564" i="3"/>
  <c r="AG564" i="3"/>
  <c r="AH564" i="3"/>
  <c r="AI564" i="3"/>
  <c r="Z565" i="3"/>
  <c r="AA565" i="3"/>
  <c r="AJ565" i="3" s="1"/>
  <c r="AB565" i="3"/>
  <c r="AC565" i="3"/>
  <c r="AD565" i="3"/>
  <c r="AE565" i="3"/>
  <c r="AF565" i="3"/>
  <c r="AG565" i="3"/>
  <c r="AH565" i="3"/>
  <c r="AI565" i="3"/>
  <c r="Z566" i="3"/>
  <c r="AA566" i="3"/>
  <c r="AB566" i="3"/>
  <c r="AC566" i="3"/>
  <c r="AD566" i="3"/>
  <c r="AE566" i="3"/>
  <c r="AF566" i="3"/>
  <c r="AG566" i="3"/>
  <c r="AH566" i="3"/>
  <c r="AI566" i="3"/>
  <c r="AJ566" i="3"/>
  <c r="Z567" i="3"/>
  <c r="AA567" i="3"/>
  <c r="AB567" i="3"/>
  <c r="AC567" i="3"/>
  <c r="AD567" i="3"/>
  <c r="AE567" i="3"/>
  <c r="AF567" i="3"/>
  <c r="AG567" i="3"/>
  <c r="AH567" i="3"/>
  <c r="AI567" i="3"/>
  <c r="Z568" i="3"/>
  <c r="AA568" i="3"/>
  <c r="AB568" i="3"/>
  <c r="AC568" i="3"/>
  <c r="AD568" i="3"/>
  <c r="AE568" i="3"/>
  <c r="AF568" i="3"/>
  <c r="AG568" i="3"/>
  <c r="AH568" i="3"/>
  <c r="AI568" i="3"/>
  <c r="Z569" i="3"/>
  <c r="AA569" i="3"/>
  <c r="AB569" i="3"/>
  <c r="AC569" i="3"/>
  <c r="AD569" i="3"/>
  <c r="AE569" i="3"/>
  <c r="AJ569" i="3" s="1"/>
  <c r="AF569" i="3"/>
  <c r="AG569" i="3"/>
  <c r="AH569" i="3"/>
  <c r="AI569" i="3"/>
  <c r="Z570" i="3"/>
  <c r="AA570" i="3"/>
  <c r="AB570" i="3"/>
  <c r="AC570" i="3"/>
  <c r="AD570" i="3"/>
  <c r="AE570" i="3"/>
  <c r="AF570" i="3"/>
  <c r="AG570" i="3"/>
  <c r="AH570" i="3"/>
  <c r="AI570" i="3"/>
  <c r="AJ570" i="3"/>
  <c r="Z571" i="3"/>
  <c r="AJ571" i="3" s="1"/>
  <c r="AA571" i="3"/>
  <c r="AB571" i="3"/>
  <c r="AC571" i="3"/>
  <c r="AD571" i="3"/>
  <c r="AE571" i="3"/>
  <c r="AF571" i="3"/>
  <c r="AG571" i="3"/>
  <c r="AH571" i="3"/>
  <c r="AI571" i="3"/>
  <c r="Z572" i="3"/>
  <c r="AA572" i="3"/>
  <c r="AJ572" i="3" s="1"/>
  <c r="AB572" i="3"/>
  <c r="AC572" i="3"/>
  <c r="AD572" i="3"/>
  <c r="AE572" i="3"/>
  <c r="AF572" i="3"/>
  <c r="AG572" i="3"/>
  <c r="AH572" i="3"/>
  <c r="AI572" i="3"/>
  <c r="Z573" i="3"/>
  <c r="AA573" i="3"/>
  <c r="AB573" i="3"/>
  <c r="AC573" i="3"/>
  <c r="AD573" i="3"/>
  <c r="AE573" i="3"/>
  <c r="AF573" i="3"/>
  <c r="AG573" i="3"/>
  <c r="AH573" i="3"/>
  <c r="AI573" i="3"/>
  <c r="Z574" i="3"/>
  <c r="AJ574" i="3" s="1"/>
  <c r="AA574" i="3"/>
  <c r="AB574" i="3"/>
  <c r="AC574" i="3"/>
  <c r="AD574" i="3"/>
  <c r="AE574" i="3"/>
  <c r="AF574" i="3"/>
  <c r="AG574" i="3"/>
  <c r="AH574" i="3"/>
  <c r="AI574" i="3"/>
  <c r="Z575" i="3"/>
  <c r="AA575" i="3"/>
  <c r="AB575" i="3"/>
  <c r="AC575" i="3"/>
  <c r="AD575" i="3"/>
  <c r="AE575" i="3"/>
  <c r="AF575" i="3"/>
  <c r="AG575" i="3"/>
  <c r="AH575" i="3"/>
  <c r="AI575" i="3"/>
  <c r="Z576" i="3"/>
  <c r="AA576" i="3"/>
  <c r="AB576" i="3"/>
  <c r="AC576" i="3"/>
  <c r="AD576" i="3"/>
  <c r="AE576" i="3"/>
  <c r="AF576" i="3"/>
  <c r="AG576" i="3"/>
  <c r="AH576" i="3"/>
  <c r="AI576" i="3"/>
  <c r="Z577" i="3"/>
  <c r="AA577" i="3"/>
  <c r="AB577" i="3"/>
  <c r="AC577" i="3"/>
  <c r="AD577" i="3"/>
  <c r="AE577" i="3"/>
  <c r="AF577" i="3"/>
  <c r="AG577" i="3"/>
  <c r="AH577" i="3"/>
  <c r="AI577" i="3"/>
  <c r="Z578" i="3"/>
  <c r="AA578" i="3"/>
  <c r="AB578" i="3"/>
  <c r="AC578" i="3"/>
  <c r="AD578" i="3"/>
  <c r="AE578" i="3"/>
  <c r="AF578" i="3"/>
  <c r="AG578" i="3"/>
  <c r="AH578" i="3"/>
  <c r="AI578" i="3"/>
  <c r="Z579" i="3"/>
  <c r="AA579" i="3"/>
  <c r="AB579" i="3"/>
  <c r="AC579" i="3"/>
  <c r="AD579" i="3"/>
  <c r="AE579" i="3"/>
  <c r="AF579" i="3"/>
  <c r="AG579" i="3"/>
  <c r="AH579" i="3"/>
  <c r="AI579" i="3"/>
  <c r="Z580" i="3"/>
  <c r="AA580" i="3"/>
  <c r="AB580" i="3"/>
  <c r="AC580" i="3"/>
  <c r="AD580" i="3"/>
  <c r="AE580" i="3"/>
  <c r="AJ580" i="3" s="1"/>
  <c r="AF580" i="3"/>
  <c r="AG580" i="3"/>
  <c r="AH580" i="3"/>
  <c r="AI580" i="3"/>
  <c r="Z581" i="3"/>
  <c r="AA581" i="3"/>
  <c r="AB581" i="3"/>
  <c r="AC581" i="3"/>
  <c r="AD581" i="3"/>
  <c r="AE581" i="3"/>
  <c r="AF581" i="3"/>
  <c r="AG581" i="3"/>
  <c r="AH581" i="3"/>
  <c r="AI581" i="3"/>
  <c r="AJ581" i="3"/>
  <c r="Z582" i="3"/>
  <c r="AA582" i="3"/>
  <c r="AB582" i="3"/>
  <c r="AC582" i="3"/>
  <c r="AD582" i="3"/>
  <c r="AE582" i="3"/>
  <c r="AF582" i="3"/>
  <c r="AG582" i="3"/>
  <c r="AH582" i="3"/>
  <c r="AI582" i="3"/>
  <c r="Z583" i="3"/>
  <c r="AA583" i="3"/>
  <c r="AB583" i="3"/>
  <c r="AC583" i="3"/>
  <c r="AD583" i="3"/>
  <c r="AE583" i="3"/>
  <c r="AF583" i="3"/>
  <c r="AG583" i="3"/>
  <c r="AH583" i="3"/>
  <c r="AI583" i="3"/>
  <c r="Z584" i="3"/>
  <c r="AA584" i="3"/>
  <c r="AB584" i="3"/>
  <c r="AC584" i="3"/>
  <c r="AD584" i="3"/>
  <c r="AE584" i="3"/>
  <c r="AF584" i="3"/>
  <c r="AG584" i="3"/>
  <c r="AH584" i="3"/>
  <c r="AI584" i="3"/>
  <c r="AJ584" i="3"/>
  <c r="Z585" i="3"/>
  <c r="AA585" i="3"/>
  <c r="AB585" i="3"/>
  <c r="AC585" i="3"/>
  <c r="AD585" i="3"/>
  <c r="AE585" i="3"/>
  <c r="AF585" i="3"/>
  <c r="AG585" i="3"/>
  <c r="AH585" i="3"/>
  <c r="AI585" i="3"/>
  <c r="Z586" i="3"/>
  <c r="AA586" i="3"/>
  <c r="AB586" i="3"/>
  <c r="AC586" i="3"/>
  <c r="AJ586" i="3" s="1"/>
  <c r="AD586" i="3"/>
  <c r="AE586" i="3"/>
  <c r="AF586" i="3"/>
  <c r="AG586" i="3"/>
  <c r="AH586" i="3"/>
  <c r="AI586" i="3"/>
  <c r="Z587" i="3"/>
  <c r="AA587" i="3"/>
  <c r="AB587" i="3"/>
  <c r="AC587" i="3"/>
  <c r="AD587" i="3"/>
  <c r="AE587" i="3"/>
  <c r="AF587" i="3"/>
  <c r="AG587" i="3"/>
  <c r="AH587" i="3"/>
  <c r="AI587" i="3"/>
  <c r="Z588" i="3"/>
  <c r="AA588" i="3"/>
  <c r="AB588" i="3"/>
  <c r="AC588" i="3"/>
  <c r="AD588" i="3"/>
  <c r="AE588" i="3"/>
  <c r="AF588" i="3"/>
  <c r="AG588" i="3"/>
  <c r="AH588" i="3"/>
  <c r="AI588" i="3"/>
  <c r="Z589" i="3"/>
  <c r="AA589" i="3"/>
  <c r="AB589" i="3"/>
  <c r="AC589" i="3"/>
  <c r="AJ589" i="3" s="1"/>
  <c r="AD589" i="3"/>
  <c r="AE589" i="3"/>
  <c r="AF589" i="3"/>
  <c r="AG589" i="3"/>
  <c r="AH589" i="3"/>
  <c r="AI589" i="3"/>
  <c r="Z590" i="3"/>
  <c r="AA590" i="3"/>
  <c r="AB590" i="3"/>
  <c r="AC590" i="3"/>
  <c r="AD590" i="3"/>
  <c r="AE590" i="3"/>
  <c r="AF590" i="3"/>
  <c r="AG590" i="3"/>
  <c r="AH590" i="3"/>
  <c r="AI590" i="3"/>
  <c r="Z591" i="3"/>
  <c r="AA591" i="3"/>
  <c r="AB591" i="3"/>
  <c r="AC591" i="3"/>
  <c r="AD591" i="3"/>
  <c r="AE591" i="3"/>
  <c r="AF591" i="3"/>
  <c r="AG591" i="3"/>
  <c r="AH591" i="3"/>
  <c r="AI591" i="3"/>
  <c r="Z592" i="3"/>
  <c r="AA592" i="3"/>
  <c r="AB592" i="3"/>
  <c r="AC592" i="3"/>
  <c r="AD592" i="3"/>
  <c r="AE592" i="3"/>
  <c r="AF592" i="3"/>
  <c r="AG592" i="3"/>
  <c r="AH592" i="3"/>
  <c r="AI592" i="3"/>
  <c r="Z593" i="3"/>
  <c r="AA593" i="3"/>
  <c r="AB593" i="3"/>
  <c r="AC593" i="3"/>
  <c r="AD593" i="3"/>
  <c r="AE593" i="3"/>
  <c r="AF593" i="3"/>
  <c r="AG593" i="3"/>
  <c r="AH593" i="3"/>
  <c r="AI593" i="3"/>
  <c r="Z594" i="3"/>
  <c r="AA594" i="3"/>
  <c r="AB594" i="3"/>
  <c r="AC594" i="3"/>
  <c r="AD594" i="3"/>
  <c r="AE594" i="3"/>
  <c r="AJ594" i="3" s="1"/>
  <c r="AF594" i="3"/>
  <c r="AG594" i="3"/>
  <c r="AH594" i="3"/>
  <c r="AI594" i="3"/>
  <c r="Z595" i="3"/>
  <c r="AA595" i="3"/>
  <c r="AB595" i="3"/>
  <c r="AC595" i="3"/>
  <c r="AD595" i="3"/>
  <c r="AE595" i="3"/>
  <c r="AF595" i="3"/>
  <c r="AG595" i="3"/>
  <c r="AH595" i="3"/>
  <c r="AI595" i="3"/>
  <c r="AJ595" i="3"/>
  <c r="Z596" i="3"/>
  <c r="AJ596" i="3" s="1"/>
  <c r="AA596" i="3"/>
  <c r="AB596" i="3"/>
  <c r="AC596" i="3"/>
  <c r="AD596" i="3"/>
  <c r="AE596" i="3"/>
  <c r="AF596" i="3"/>
  <c r="AG596" i="3"/>
  <c r="AH596" i="3"/>
  <c r="AI596" i="3"/>
  <c r="Z597" i="3"/>
  <c r="AA597" i="3"/>
  <c r="AJ597" i="3" s="1"/>
  <c r="AB597" i="3"/>
  <c r="AC597" i="3"/>
  <c r="AD597" i="3"/>
  <c r="AE597" i="3"/>
  <c r="AF597" i="3"/>
  <c r="AG597" i="3"/>
  <c r="AH597" i="3"/>
  <c r="AI597" i="3"/>
  <c r="Z598" i="3"/>
  <c r="AA598" i="3"/>
  <c r="AB598" i="3"/>
  <c r="AC598" i="3"/>
  <c r="AD598" i="3"/>
  <c r="AE598" i="3"/>
  <c r="AF598" i="3"/>
  <c r="AG598" i="3"/>
  <c r="AH598" i="3"/>
  <c r="AI598" i="3"/>
  <c r="Z599" i="3"/>
  <c r="AA599" i="3"/>
  <c r="AB599" i="3"/>
  <c r="AC599" i="3"/>
  <c r="AD599" i="3"/>
  <c r="AE599" i="3"/>
  <c r="AF599" i="3"/>
  <c r="AG599" i="3"/>
  <c r="AH599" i="3"/>
  <c r="AI599" i="3"/>
  <c r="Z600" i="3"/>
  <c r="AA600" i="3"/>
  <c r="AB600" i="3"/>
  <c r="AC600" i="3"/>
  <c r="AD600" i="3"/>
  <c r="AE600" i="3"/>
  <c r="AF600" i="3"/>
  <c r="AG600" i="3"/>
  <c r="AH600" i="3"/>
  <c r="AI600" i="3"/>
  <c r="Z601" i="3"/>
  <c r="AA601" i="3"/>
  <c r="AB601" i="3"/>
  <c r="AC601" i="3"/>
  <c r="AD601" i="3"/>
  <c r="AE601" i="3"/>
  <c r="AF601" i="3"/>
  <c r="AG601" i="3"/>
  <c r="AH601" i="3"/>
  <c r="AI601" i="3"/>
  <c r="Z602" i="3"/>
  <c r="AJ602" i="3" s="1"/>
  <c r="AA602" i="3"/>
  <c r="AB602" i="3"/>
  <c r="AC602" i="3"/>
  <c r="AD602" i="3"/>
  <c r="AE602" i="3"/>
  <c r="AF602" i="3"/>
  <c r="AG602" i="3"/>
  <c r="AH602" i="3"/>
  <c r="AI602" i="3"/>
  <c r="Z603" i="3"/>
  <c r="AJ603" i="3" s="1"/>
  <c r="AA603" i="3"/>
  <c r="AB603" i="3"/>
  <c r="AC603" i="3"/>
  <c r="AD603" i="3"/>
  <c r="AE603" i="3"/>
  <c r="AF603" i="3"/>
  <c r="AG603" i="3"/>
  <c r="AH603" i="3"/>
  <c r="AI603" i="3"/>
  <c r="Z604" i="3"/>
  <c r="AA604" i="3"/>
  <c r="AB604" i="3"/>
  <c r="AC604" i="3"/>
  <c r="AD604" i="3"/>
  <c r="AE604" i="3"/>
  <c r="AF604" i="3"/>
  <c r="AG604" i="3"/>
  <c r="AH604" i="3"/>
  <c r="AI604" i="3"/>
  <c r="Z605" i="3"/>
  <c r="AA605" i="3"/>
  <c r="AB605" i="3"/>
  <c r="AC605" i="3"/>
  <c r="AD605" i="3"/>
  <c r="AE605" i="3"/>
  <c r="AJ605" i="3" s="1"/>
  <c r="AF605" i="3"/>
  <c r="AG605" i="3"/>
  <c r="AH605" i="3"/>
  <c r="AI605" i="3"/>
  <c r="Z606" i="3"/>
  <c r="AA606" i="3"/>
  <c r="AB606" i="3"/>
  <c r="AC606" i="3"/>
  <c r="AD606" i="3"/>
  <c r="AE606" i="3"/>
  <c r="AF606" i="3"/>
  <c r="AG606" i="3"/>
  <c r="AH606" i="3"/>
  <c r="AI606" i="3"/>
  <c r="AJ606" i="3"/>
  <c r="Z607" i="3"/>
  <c r="AA607" i="3"/>
  <c r="AB607" i="3"/>
  <c r="AC607" i="3"/>
  <c r="AD607" i="3"/>
  <c r="AE607" i="3"/>
  <c r="AF607" i="3"/>
  <c r="AG607" i="3"/>
  <c r="AH607" i="3"/>
  <c r="AI607" i="3"/>
  <c r="Z608" i="3"/>
  <c r="AA608" i="3"/>
  <c r="AB608" i="3"/>
  <c r="AC608" i="3"/>
  <c r="AD608" i="3"/>
  <c r="AE608" i="3"/>
  <c r="AJ608" i="3" s="1"/>
  <c r="AF608" i="3"/>
  <c r="AG608" i="3"/>
  <c r="AH608" i="3"/>
  <c r="AI608" i="3"/>
  <c r="Z609" i="3"/>
  <c r="AA609" i="3"/>
  <c r="AB609" i="3"/>
  <c r="AC609" i="3"/>
  <c r="AD609" i="3"/>
  <c r="AE609" i="3"/>
  <c r="AF609" i="3"/>
  <c r="AG609" i="3"/>
  <c r="AH609" i="3"/>
  <c r="AI609" i="3"/>
  <c r="AJ609" i="3"/>
  <c r="Z610" i="3"/>
  <c r="AJ610" i="3" s="1"/>
  <c r="AA610" i="3"/>
  <c r="AB610" i="3"/>
  <c r="AC610" i="3"/>
  <c r="AD610" i="3"/>
  <c r="AE610" i="3"/>
  <c r="AF610" i="3"/>
  <c r="AG610" i="3"/>
  <c r="AH610" i="3"/>
  <c r="AI610" i="3"/>
  <c r="Z611" i="3"/>
  <c r="AA611" i="3"/>
  <c r="AB611" i="3"/>
  <c r="AC611" i="3"/>
  <c r="AD611" i="3"/>
  <c r="AE611" i="3"/>
  <c r="AF611" i="3"/>
  <c r="AG611" i="3"/>
  <c r="AH611" i="3"/>
  <c r="AI611" i="3"/>
  <c r="Z612" i="3"/>
  <c r="AA612" i="3"/>
  <c r="AB612" i="3"/>
  <c r="AC612" i="3"/>
  <c r="AD612" i="3"/>
  <c r="AE612" i="3"/>
  <c r="AF612" i="3"/>
  <c r="AG612" i="3"/>
  <c r="AH612" i="3"/>
  <c r="AI612" i="3"/>
  <c r="Z613" i="3"/>
  <c r="AA613" i="3"/>
  <c r="AJ613" i="3" s="1"/>
  <c r="AB613" i="3"/>
  <c r="AC613" i="3"/>
  <c r="AD613" i="3"/>
  <c r="AE613" i="3"/>
  <c r="AF613" i="3"/>
  <c r="AG613" i="3"/>
  <c r="AH613" i="3"/>
  <c r="AI613" i="3"/>
  <c r="Z614" i="3"/>
  <c r="AJ614" i="3" s="1"/>
  <c r="AA614" i="3"/>
  <c r="AB614" i="3"/>
  <c r="AC614" i="3"/>
  <c r="AD614" i="3"/>
  <c r="AE614" i="3"/>
  <c r="AF614" i="3"/>
  <c r="AG614" i="3"/>
  <c r="AH614" i="3"/>
  <c r="AI614" i="3"/>
  <c r="Z615" i="3"/>
  <c r="AA615" i="3"/>
  <c r="AB615" i="3"/>
  <c r="AC615" i="3"/>
  <c r="AD615" i="3"/>
  <c r="AE615" i="3"/>
  <c r="AF615" i="3"/>
  <c r="AG615" i="3"/>
  <c r="AH615" i="3"/>
  <c r="AI615" i="3"/>
  <c r="Z616" i="3"/>
  <c r="AA616" i="3"/>
  <c r="AB616" i="3"/>
  <c r="AC616" i="3"/>
  <c r="AD616" i="3"/>
  <c r="AE616" i="3"/>
  <c r="AF616" i="3"/>
  <c r="AG616" i="3"/>
  <c r="AH616" i="3"/>
  <c r="AI616" i="3"/>
  <c r="Z617" i="3"/>
  <c r="AJ617" i="3" s="1"/>
  <c r="AA617" i="3"/>
  <c r="AB617" i="3"/>
  <c r="AC617" i="3"/>
  <c r="AD617" i="3"/>
  <c r="AE617" i="3"/>
  <c r="AF617" i="3"/>
  <c r="AG617" i="3"/>
  <c r="AH617" i="3"/>
  <c r="AI617" i="3"/>
  <c r="Z618" i="3"/>
  <c r="AA618" i="3"/>
  <c r="AB618" i="3"/>
  <c r="AC618" i="3"/>
  <c r="AD618" i="3"/>
  <c r="AE618" i="3"/>
  <c r="AF618" i="3"/>
  <c r="AG618" i="3"/>
  <c r="AH618" i="3"/>
  <c r="AI618" i="3"/>
  <c r="Z619" i="3"/>
  <c r="AA619" i="3"/>
  <c r="AB619" i="3"/>
  <c r="AC619" i="3"/>
  <c r="AD619" i="3"/>
  <c r="AE619" i="3"/>
  <c r="AJ619" i="3" s="1"/>
  <c r="AF619" i="3"/>
  <c r="AG619" i="3"/>
  <c r="AH619" i="3"/>
  <c r="AI619" i="3"/>
  <c r="Z620" i="3"/>
  <c r="AA620" i="3"/>
  <c r="AB620" i="3"/>
  <c r="AC620" i="3"/>
  <c r="AD620" i="3"/>
  <c r="AE620" i="3"/>
  <c r="AF620" i="3"/>
  <c r="AG620" i="3"/>
  <c r="AH620" i="3"/>
  <c r="AI620" i="3"/>
  <c r="AJ620" i="3"/>
  <c r="Z621" i="3"/>
  <c r="AA621" i="3"/>
  <c r="AB621" i="3"/>
  <c r="AC621" i="3"/>
  <c r="AD621" i="3"/>
  <c r="AE621" i="3"/>
  <c r="AF621" i="3"/>
  <c r="AG621" i="3"/>
  <c r="AH621" i="3"/>
  <c r="AI621" i="3"/>
  <c r="Z622" i="3"/>
  <c r="AA622" i="3"/>
  <c r="AB622" i="3"/>
  <c r="AC622" i="3"/>
  <c r="AD622" i="3"/>
  <c r="AE622" i="3"/>
  <c r="AF622" i="3"/>
  <c r="AG622" i="3"/>
  <c r="AH622" i="3"/>
  <c r="AI622" i="3"/>
  <c r="Z623" i="3"/>
  <c r="AA623" i="3"/>
  <c r="AB623" i="3"/>
  <c r="AC623" i="3"/>
  <c r="AD623" i="3"/>
  <c r="AE623" i="3"/>
  <c r="AF623" i="3"/>
  <c r="AG623" i="3"/>
  <c r="AH623" i="3"/>
  <c r="AI623" i="3"/>
  <c r="Z624" i="3"/>
  <c r="AJ624" i="3" s="1"/>
  <c r="AA624" i="3"/>
  <c r="AB624" i="3"/>
  <c r="AC624" i="3"/>
  <c r="AD624" i="3"/>
  <c r="AE624" i="3"/>
  <c r="AF624" i="3"/>
  <c r="AG624" i="3"/>
  <c r="AH624" i="3"/>
  <c r="AI624" i="3"/>
  <c r="Z625" i="3"/>
  <c r="AA625" i="3"/>
  <c r="AJ625" i="3" s="1"/>
  <c r="AB625" i="3"/>
  <c r="AC625" i="3"/>
  <c r="AD625" i="3"/>
  <c r="AE625" i="3"/>
  <c r="AF625" i="3"/>
  <c r="AG625" i="3"/>
  <c r="AH625" i="3"/>
  <c r="AI625" i="3"/>
  <c r="Z626" i="3"/>
  <c r="AA626" i="3"/>
  <c r="AB626" i="3"/>
  <c r="AC626" i="3"/>
  <c r="AD626" i="3"/>
  <c r="AE626" i="3"/>
  <c r="AF626" i="3"/>
  <c r="AJ626" i="3" s="1"/>
  <c r="AG626" i="3"/>
  <c r="AH626" i="3"/>
  <c r="AI626" i="3"/>
  <c r="Z627" i="3"/>
  <c r="AJ627" i="3" s="1"/>
  <c r="AA627" i="3"/>
  <c r="AB627" i="3"/>
  <c r="AC627" i="3"/>
  <c r="AD627" i="3"/>
  <c r="AE627" i="3"/>
  <c r="AF627" i="3"/>
  <c r="AG627" i="3"/>
  <c r="AH627" i="3"/>
  <c r="AI627" i="3"/>
  <c r="Z628" i="3"/>
  <c r="AJ628" i="3" s="1"/>
  <c r="AA628" i="3"/>
  <c r="AB628" i="3"/>
  <c r="AC628" i="3"/>
  <c r="AD628" i="3"/>
  <c r="AE628" i="3"/>
  <c r="AF628" i="3"/>
  <c r="AG628" i="3"/>
  <c r="AH628" i="3"/>
  <c r="AI628" i="3"/>
  <c r="Z629" i="3"/>
  <c r="AA629" i="3"/>
  <c r="AJ629" i="3" s="1"/>
  <c r="AB629" i="3"/>
  <c r="AC629" i="3"/>
  <c r="AD629" i="3"/>
  <c r="AE629" i="3"/>
  <c r="AF629" i="3"/>
  <c r="AG629" i="3"/>
  <c r="AH629" i="3"/>
  <c r="AI629" i="3"/>
  <c r="Z630" i="3"/>
  <c r="AA630" i="3"/>
  <c r="AB630" i="3"/>
  <c r="AC630" i="3"/>
  <c r="AD630" i="3"/>
  <c r="AE630" i="3"/>
  <c r="AF630" i="3"/>
  <c r="AG630" i="3"/>
  <c r="AH630" i="3"/>
  <c r="AI630" i="3"/>
  <c r="AJ630" i="3"/>
  <c r="Z631" i="3"/>
  <c r="AA631" i="3"/>
  <c r="AB631" i="3"/>
  <c r="AC631" i="3"/>
  <c r="AD631" i="3"/>
  <c r="AE631" i="3"/>
  <c r="AF631" i="3"/>
  <c r="AG631" i="3"/>
  <c r="AH631" i="3"/>
  <c r="AI631" i="3"/>
  <c r="Z632" i="3"/>
  <c r="AA632" i="3"/>
  <c r="AB632" i="3"/>
  <c r="AC632" i="3"/>
  <c r="AD632" i="3"/>
  <c r="AE632" i="3"/>
  <c r="AF632" i="3"/>
  <c r="AG632" i="3"/>
  <c r="AH632" i="3"/>
  <c r="AI632" i="3"/>
  <c r="Z633" i="3"/>
  <c r="AA633" i="3"/>
  <c r="AB633" i="3"/>
  <c r="AC633" i="3"/>
  <c r="AD633" i="3"/>
  <c r="AE633" i="3"/>
  <c r="AJ633" i="3" s="1"/>
  <c r="AF633" i="3"/>
  <c r="AG633" i="3"/>
  <c r="AH633" i="3"/>
  <c r="AI633" i="3"/>
  <c r="Z634" i="3"/>
  <c r="AA634" i="3"/>
  <c r="AB634" i="3"/>
  <c r="AC634" i="3"/>
  <c r="AD634" i="3"/>
  <c r="AE634" i="3"/>
  <c r="AF634" i="3"/>
  <c r="AG634" i="3"/>
  <c r="AH634" i="3"/>
  <c r="AI634" i="3"/>
  <c r="AJ634" i="3"/>
  <c r="Z635" i="3"/>
  <c r="AJ635" i="3" s="1"/>
  <c r="AA635" i="3"/>
  <c r="AB635" i="3"/>
  <c r="AC635" i="3"/>
  <c r="AD635" i="3"/>
  <c r="AE635" i="3"/>
  <c r="AF635" i="3"/>
  <c r="AG635" i="3"/>
  <c r="AH635" i="3"/>
  <c r="AI635" i="3"/>
  <c r="Z636" i="3"/>
  <c r="AA636" i="3"/>
  <c r="AJ636" i="3" s="1"/>
  <c r="AB636" i="3"/>
  <c r="AC636" i="3"/>
  <c r="AD636" i="3"/>
  <c r="AE636" i="3"/>
  <c r="AF636" i="3"/>
  <c r="AG636" i="3"/>
  <c r="AH636" i="3"/>
  <c r="AI636" i="3"/>
  <c r="Z637" i="3"/>
  <c r="AA637" i="3"/>
  <c r="AB637" i="3"/>
  <c r="AC637" i="3"/>
  <c r="AD637" i="3"/>
  <c r="AE637" i="3"/>
  <c r="AF637" i="3"/>
  <c r="AG637" i="3"/>
  <c r="AH637" i="3"/>
  <c r="AI637" i="3"/>
  <c r="Z638" i="3"/>
  <c r="AJ638" i="3" s="1"/>
  <c r="AA638" i="3"/>
  <c r="AB638" i="3"/>
  <c r="AC638" i="3"/>
  <c r="AD638" i="3"/>
  <c r="AE638" i="3"/>
  <c r="AF638" i="3"/>
  <c r="AG638" i="3"/>
  <c r="AH638" i="3"/>
  <c r="AI638" i="3"/>
  <c r="Z639" i="3"/>
  <c r="AA639" i="3"/>
  <c r="AB639" i="3"/>
  <c r="AC639" i="3"/>
  <c r="AD639" i="3"/>
  <c r="AE639" i="3"/>
  <c r="AF639" i="3"/>
  <c r="AG639" i="3"/>
  <c r="AH639" i="3"/>
  <c r="AI639" i="3"/>
  <c r="Z640" i="3"/>
  <c r="AA640" i="3"/>
  <c r="AB640" i="3"/>
  <c r="AC640" i="3"/>
  <c r="AD640" i="3"/>
  <c r="AE640" i="3"/>
  <c r="AF640" i="3"/>
  <c r="AG640" i="3"/>
  <c r="AH640" i="3"/>
  <c r="AI640" i="3"/>
  <c r="Z641" i="3"/>
  <c r="AA641" i="3"/>
  <c r="AB641" i="3"/>
  <c r="AC641" i="3"/>
  <c r="AD641" i="3"/>
  <c r="AE641" i="3"/>
  <c r="AF641" i="3"/>
  <c r="AG641" i="3"/>
  <c r="AH641" i="3"/>
  <c r="AI641" i="3"/>
  <c r="Z642" i="3"/>
  <c r="AA642" i="3"/>
  <c r="AB642" i="3"/>
  <c r="AC642" i="3"/>
  <c r="AD642" i="3"/>
  <c r="AE642" i="3"/>
  <c r="AF642" i="3"/>
  <c r="AG642" i="3"/>
  <c r="AH642" i="3"/>
  <c r="AI642" i="3"/>
  <c r="Z643" i="3"/>
  <c r="AA643" i="3"/>
  <c r="AB643" i="3"/>
  <c r="AC643" i="3"/>
  <c r="AD643" i="3"/>
  <c r="AE643" i="3"/>
  <c r="AF643" i="3"/>
  <c r="AG643" i="3"/>
  <c r="AH643" i="3"/>
  <c r="AI643" i="3"/>
  <c r="Z644" i="3"/>
  <c r="AA644" i="3"/>
  <c r="AB644" i="3"/>
  <c r="AC644" i="3"/>
  <c r="AD644" i="3"/>
  <c r="AE644" i="3"/>
  <c r="AJ644" i="3" s="1"/>
  <c r="AF644" i="3"/>
  <c r="AG644" i="3"/>
  <c r="AH644" i="3"/>
  <c r="AI644" i="3"/>
  <c r="Z645" i="3"/>
  <c r="AA645" i="3"/>
  <c r="AB645" i="3"/>
  <c r="AC645" i="3"/>
  <c r="AD645" i="3"/>
  <c r="AE645" i="3"/>
  <c r="AF645" i="3"/>
  <c r="AG645" i="3"/>
  <c r="AH645" i="3"/>
  <c r="AI645" i="3"/>
  <c r="AJ645" i="3"/>
  <c r="Z646" i="3"/>
  <c r="AA646" i="3"/>
  <c r="AB646" i="3"/>
  <c r="AC646" i="3"/>
  <c r="AD646" i="3"/>
  <c r="AE646" i="3"/>
  <c r="AF646" i="3"/>
  <c r="AG646" i="3"/>
  <c r="AH646" i="3"/>
  <c r="AI646" i="3"/>
  <c r="Z647" i="3"/>
  <c r="AA647" i="3"/>
  <c r="AB647" i="3"/>
  <c r="AC647" i="3"/>
  <c r="AD647" i="3"/>
  <c r="AE647" i="3"/>
  <c r="AF647" i="3"/>
  <c r="AG647" i="3"/>
  <c r="AH647" i="3"/>
  <c r="AI647" i="3"/>
  <c r="Z648" i="3"/>
  <c r="AA648" i="3"/>
  <c r="AB648" i="3"/>
  <c r="AC648" i="3"/>
  <c r="AD648" i="3"/>
  <c r="AE648" i="3"/>
  <c r="AF648" i="3"/>
  <c r="AG648" i="3"/>
  <c r="AH648" i="3"/>
  <c r="AI648" i="3"/>
  <c r="AJ648" i="3"/>
  <c r="Z649" i="3"/>
  <c r="AA649" i="3"/>
  <c r="AB649" i="3"/>
  <c r="AC649" i="3"/>
  <c r="AD649" i="3"/>
  <c r="AE649" i="3"/>
  <c r="AF649" i="3"/>
  <c r="AG649" i="3"/>
  <c r="AH649" i="3"/>
  <c r="AI649" i="3"/>
  <c r="Z650" i="3"/>
  <c r="AA650" i="3"/>
  <c r="AB650" i="3"/>
  <c r="AC650" i="3"/>
  <c r="AJ650" i="3" s="1"/>
  <c r="AD650" i="3"/>
  <c r="AE650" i="3"/>
  <c r="AF650" i="3"/>
  <c r="AG650" i="3"/>
  <c r="AH650" i="3"/>
  <c r="AI650" i="3"/>
  <c r="Z651" i="3"/>
  <c r="AA651" i="3"/>
  <c r="AB651" i="3"/>
  <c r="AC651" i="3"/>
  <c r="AD651" i="3"/>
  <c r="AE651" i="3"/>
  <c r="AF651" i="3"/>
  <c r="AG651" i="3"/>
  <c r="AH651" i="3"/>
  <c r="AI651" i="3"/>
  <c r="Z652" i="3"/>
  <c r="AA652" i="3"/>
  <c r="AB652" i="3"/>
  <c r="AC652" i="3"/>
  <c r="AD652" i="3"/>
  <c r="AE652" i="3"/>
  <c r="AF652" i="3"/>
  <c r="AG652" i="3"/>
  <c r="AH652" i="3"/>
  <c r="AI652" i="3"/>
  <c r="Z653" i="3"/>
  <c r="AA653" i="3"/>
  <c r="AB653" i="3"/>
  <c r="AC653" i="3"/>
  <c r="AJ653" i="3" s="1"/>
  <c r="AD653" i="3"/>
  <c r="AE653" i="3"/>
  <c r="AF653" i="3"/>
  <c r="AG653" i="3"/>
  <c r="AH653" i="3"/>
  <c r="AI653" i="3"/>
  <c r="Z654" i="3"/>
  <c r="AA654" i="3"/>
  <c r="AB654" i="3"/>
  <c r="AC654" i="3"/>
  <c r="AD654" i="3"/>
  <c r="AE654" i="3"/>
  <c r="AF654" i="3"/>
  <c r="AG654" i="3"/>
  <c r="AH654" i="3"/>
  <c r="AI654" i="3"/>
  <c r="Z655" i="3"/>
  <c r="AA655" i="3"/>
  <c r="AB655" i="3"/>
  <c r="AC655" i="3"/>
  <c r="AD655" i="3"/>
  <c r="AE655" i="3"/>
  <c r="AF655" i="3"/>
  <c r="AG655" i="3"/>
  <c r="AH655" i="3"/>
  <c r="AI655" i="3"/>
  <c r="Z656" i="3"/>
  <c r="AA656" i="3"/>
  <c r="AB656" i="3"/>
  <c r="AC656" i="3"/>
  <c r="AD656" i="3"/>
  <c r="AE656" i="3"/>
  <c r="AF656" i="3"/>
  <c r="AG656" i="3"/>
  <c r="AH656" i="3"/>
  <c r="AI656" i="3"/>
  <c r="Z657" i="3"/>
  <c r="AA657" i="3"/>
  <c r="AB657" i="3"/>
  <c r="AC657" i="3"/>
  <c r="AD657" i="3"/>
  <c r="AE657" i="3"/>
  <c r="AF657" i="3"/>
  <c r="AG657" i="3"/>
  <c r="AH657" i="3"/>
  <c r="AI657" i="3"/>
  <c r="Z658" i="3"/>
  <c r="AA658" i="3"/>
  <c r="AB658" i="3"/>
  <c r="AC658" i="3"/>
  <c r="AD658" i="3"/>
  <c r="AE658" i="3"/>
  <c r="AJ658" i="3" s="1"/>
  <c r="AF658" i="3"/>
  <c r="AG658" i="3"/>
  <c r="AH658" i="3"/>
  <c r="AI658" i="3"/>
  <c r="Z659" i="3"/>
  <c r="AA659" i="3"/>
  <c r="AB659" i="3"/>
  <c r="AC659" i="3"/>
  <c r="AD659" i="3"/>
  <c r="AE659" i="3"/>
  <c r="AF659" i="3"/>
  <c r="AG659" i="3"/>
  <c r="AH659" i="3"/>
  <c r="AI659" i="3"/>
  <c r="AJ659" i="3"/>
  <c r="Z660" i="3"/>
  <c r="AJ660" i="3" s="1"/>
  <c r="AA660" i="3"/>
  <c r="AB660" i="3"/>
  <c r="AC660" i="3"/>
  <c r="AD660" i="3"/>
  <c r="AE660" i="3"/>
  <c r="AF660" i="3"/>
  <c r="AG660" i="3"/>
  <c r="AH660" i="3"/>
  <c r="AI660" i="3"/>
  <c r="Z661" i="3"/>
  <c r="AA661" i="3"/>
  <c r="AJ661" i="3" s="1"/>
  <c r="AB661" i="3"/>
  <c r="AC661" i="3"/>
  <c r="AD661" i="3"/>
  <c r="AE661" i="3"/>
  <c r="AF661" i="3"/>
  <c r="AG661" i="3"/>
  <c r="AH661" i="3"/>
  <c r="AI661" i="3"/>
  <c r="Z662" i="3"/>
  <c r="AA662" i="3"/>
  <c r="AB662" i="3"/>
  <c r="AC662" i="3"/>
  <c r="AD662" i="3"/>
  <c r="AE662" i="3"/>
  <c r="AF662" i="3"/>
  <c r="AG662" i="3"/>
  <c r="AH662" i="3"/>
  <c r="AI662" i="3"/>
  <c r="Z663" i="3"/>
  <c r="AA663" i="3"/>
  <c r="AB663" i="3"/>
  <c r="AC663" i="3"/>
  <c r="AD663" i="3"/>
  <c r="AE663" i="3"/>
  <c r="AF663" i="3"/>
  <c r="AG663" i="3"/>
  <c r="AH663" i="3"/>
  <c r="AI663" i="3"/>
  <c r="Z664" i="3"/>
  <c r="AA664" i="3"/>
  <c r="AB664" i="3"/>
  <c r="AC664" i="3"/>
  <c r="AD664" i="3"/>
  <c r="AE664" i="3"/>
  <c r="AF664" i="3"/>
  <c r="AG664" i="3"/>
  <c r="AH664" i="3"/>
  <c r="AI664" i="3"/>
  <c r="Z665" i="3"/>
  <c r="AA665" i="3"/>
  <c r="AB665" i="3"/>
  <c r="AC665" i="3"/>
  <c r="AD665" i="3"/>
  <c r="AE665" i="3"/>
  <c r="AF665" i="3"/>
  <c r="AG665" i="3"/>
  <c r="AH665" i="3"/>
  <c r="AI665" i="3"/>
  <c r="Z666" i="3"/>
  <c r="AJ666" i="3" s="1"/>
  <c r="AA666" i="3"/>
  <c r="AB666" i="3"/>
  <c r="AC666" i="3"/>
  <c r="AD666" i="3"/>
  <c r="AE666" i="3"/>
  <c r="AF666" i="3"/>
  <c r="AG666" i="3"/>
  <c r="AH666" i="3"/>
  <c r="AI666" i="3"/>
  <c r="Z667" i="3"/>
  <c r="AJ667" i="3" s="1"/>
  <c r="AA667" i="3"/>
  <c r="AB667" i="3"/>
  <c r="AC667" i="3"/>
  <c r="AD667" i="3"/>
  <c r="AE667" i="3"/>
  <c r="AF667" i="3"/>
  <c r="AG667" i="3"/>
  <c r="AH667" i="3"/>
  <c r="AI667" i="3"/>
  <c r="Z668" i="3"/>
  <c r="AA668" i="3"/>
  <c r="AB668" i="3"/>
  <c r="AC668" i="3"/>
  <c r="AD668" i="3"/>
  <c r="AE668" i="3"/>
  <c r="AF668" i="3"/>
  <c r="AG668" i="3"/>
  <c r="AH668" i="3"/>
  <c r="AI668" i="3"/>
  <c r="Z669" i="3"/>
  <c r="AA669" i="3"/>
  <c r="AB669" i="3"/>
  <c r="AC669" i="3"/>
  <c r="AD669" i="3"/>
  <c r="AE669" i="3"/>
  <c r="AJ669" i="3" s="1"/>
  <c r="AF669" i="3"/>
  <c r="AG669" i="3"/>
  <c r="AH669" i="3"/>
  <c r="AI669" i="3"/>
  <c r="Z670" i="3"/>
  <c r="AA670" i="3"/>
  <c r="AB670" i="3"/>
  <c r="AC670" i="3"/>
  <c r="AD670" i="3"/>
  <c r="AE670" i="3"/>
  <c r="AF670" i="3"/>
  <c r="AG670" i="3"/>
  <c r="AH670" i="3"/>
  <c r="AI670" i="3"/>
  <c r="AJ670" i="3"/>
  <c r="Z671" i="3"/>
  <c r="AA671" i="3"/>
  <c r="AB671" i="3"/>
  <c r="AC671" i="3"/>
  <c r="AD671" i="3"/>
  <c r="AE671" i="3"/>
  <c r="AF671" i="3"/>
  <c r="AG671" i="3"/>
  <c r="AH671" i="3"/>
  <c r="AI671" i="3"/>
  <c r="Z672" i="3"/>
  <c r="AA672" i="3"/>
  <c r="AB672" i="3"/>
  <c r="AC672" i="3"/>
  <c r="AD672" i="3"/>
  <c r="AE672" i="3"/>
  <c r="AJ672" i="3" s="1"/>
  <c r="AF672" i="3"/>
  <c r="AG672" i="3"/>
  <c r="AH672" i="3"/>
  <c r="AI672" i="3"/>
  <c r="Z673" i="3"/>
  <c r="AA673" i="3"/>
  <c r="AB673" i="3"/>
  <c r="AC673" i="3"/>
  <c r="AD673" i="3"/>
  <c r="AE673" i="3"/>
  <c r="AF673" i="3"/>
  <c r="AG673" i="3"/>
  <c r="AH673" i="3"/>
  <c r="AI673" i="3"/>
  <c r="AJ673" i="3"/>
  <c r="Z674" i="3"/>
  <c r="AJ674" i="3" s="1"/>
  <c r="AA674" i="3"/>
  <c r="AB674" i="3"/>
  <c r="AC674" i="3"/>
  <c r="AD674" i="3"/>
  <c r="AE674" i="3"/>
  <c r="AF674" i="3"/>
  <c r="AG674" i="3"/>
  <c r="AH674" i="3"/>
  <c r="AI674" i="3"/>
  <c r="Z675" i="3"/>
  <c r="AA675" i="3"/>
  <c r="AB675" i="3"/>
  <c r="AC675" i="3"/>
  <c r="AD675" i="3"/>
  <c r="AE675" i="3"/>
  <c r="AF675" i="3"/>
  <c r="AG675" i="3"/>
  <c r="AH675" i="3"/>
  <c r="AI675" i="3"/>
  <c r="Z676" i="3"/>
  <c r="AA676" i="3"/>
  <c r="AB676" i="3"/>
  <c r="AC676" i="3"/>
  <c r="AD676" i="3"/>
  <c r="AE676" i="3"/>
  <c r="AF676" i="3"/>
  <c r="AG676" i="3"/>
  <c r="AH676" i="3"/>
  <c r="AI676" i="3"/>
  <c r="Z677" i="3"/>
  <c r="AA677" i="3"/>
  <c r="AJ677" i="3" s="1"/>
  <c r="AB677" i="3"/>
  <c r="AC677" i="3"/>
  <c r="AD677" i="3"/>
  <c r="AE677" i="3"/>
  <c r="AF677" i="3"/>
  <c r="AG677" i="3"/>
  <c r="AH677" i="3"/>
  <c r="AI677" i="3"/>
  <c r="Z678" i="3"/>
  <c r="AA678" i="3"/>
  <c r="AB678" i="3"/>
  <c r="AC678" i="3"/>
  <c r="AJ678" i="3" s="1"/>
  <c r="AD678" i="3"/>
  <c r="AE678" i="3"/>
  <c r="AF678" i="3"/>
  <c r="AG678" i="3"/>
  <c r="AH678" i="3"/>
  <c r="AI678" i="3"/>
  <c r="Z679" i="3"/>
  <c r="AA679" i="3"/>
  <c r="AB679" i="3"/>
  <c r="AC679" i="3"/>
  <c r="AD679" i="3"/>
  <c r="AE679" i="3"/>
  <c r="AF679" i="3"/>
  <c r="AG679" i="3"/>
  <c r="AH679" i="3"/>
  <c r="AI679" i="3"/>
  <c r="Z680" i="3"/>
  <c r="AA680" i="3"/>
  <c r="AB680" i="3"/>
  <c r="AC680" i="3"/>
  <c r="AD680" i="3"/>
  <c r="AE680" i="3"/>
  <c r="AF680" i="3"/>
  <c r="AG680" i="3"/>
  <c r="AH680" i="3"/>
  <c r="AI680" i="3"/>
  <c r="Z681" i="3"/>
  <c r="AA681" i="3"/>
  <c r="AB681" i="3"/>
  <c r="AC681" i="3"/>
  <c r="AJ681" i="3" s="1"/>
  <c r="AD681" i="3"/>
  <c r="AE681" i="3"/>
  <c r="AF681" i="3"/>
  <c r="AG681" i="3"/>
  <c r="AH681" i="3"/>
  <c r="AI681" i="3"/>
  <c r="Z682" i="3"/>
  <c r="AA682" i="3"/>
  <c r="AB682" i="3"/>
  <c r="AC682" i="3"/>
  <c r="AD682" i="3"/>
  <c r="AE682" i="3"/>
  <c r="AF682" i="3"/>
  <c r="AG682" i="3"/>
  <c r="AH682" i="3"/>
  <c r="AI682" i="3"/>
  <c r="Z683" i="3"/>
  <c r="AA683" i="3"/>
  <c r="AB683" i="3"/>
  <c r="AC683" i="3"/>
  <c r="AD683" i="3"/>
  <c r="AJ683" i="3" s="1"/>
  <c r="AE683" i="3"/>
  <c r="AF683" i="3"/>
  <c r="AG683" i="3"/>
  <c r="AH683" i="3"/>
  <c r="AI683" i="3"/>
  <c r="Z684" i="3"/>
  <c r="AA684" i="3"/>
  <c r="AB684" i="3"/>
  <c r="AC684" i="3"/>
  <c r="AD684" i="3"/>
  <c r="AE684" i="3"/>
  <c r="AF684" i="3"/>
  <c r="AG684" i="3"/>
  <c r="AH684" i="3"/>
  <c r="AI684" i="3"/>
  <c r="AJ684" i="3"/>
  <c r="Z685" i="3"/>
  <c r="AA685" i="3"/>
  <c r="AB685" i="3"/>
  <c r="AC685" i="3"/>
  <c r="AD685" i="3"/>
  <c r="AE685" i="3"/>
  <c r="AF685" i="3"/>
  <c r="AG685" i="3"/>
  <c r="AH685" i="3"/>
  <c r="AI685" i="3"/>
  <c r="Z686" i="3"/>
  <c r="AA686" i="3"/>
  <c r="AB686" i="3"/>
  <c r="AC686" i="3"/>
  <c r="AD686" i="3"/>
  <c r="AE686" i="3"/>
  <c r="AF686" i="3"/>
  <c r="AG686" i="3"/>
  <c r="AH686" i="3"/>
  <c r="AI686" i="3"/>
  <c r="Z687" i="3"/>
  <c r="AA687" i="3"/>
  <c r="AB687" i="3"/>
  <c r="AC687" i="3"/>
  <c r="AD687" i="3"/>
  <c r="AE687" i="3"/>
  <c r="AF687" i="3"/>
  <c r="AG687" i="3"/>
  <c r="AH687" i="3"/>
  <c r="AI687" i="3"/>
  <c r="Z688" i="3"/>
  <c r="AA688" i="3"/>
  <c r="AB688" i="3"/>
  <c r="AC688" i="3"/>
  <c r="AD688" i="3"/>
  <c r="AE688" i="3"/>
  <c r="AF688" i="3"/>
  <c r="AJ688" i="3" s="1"/>
  <c r="AG688" i="3"/>
  <c r="AH688" i="3"/>
  <c r="AI688" i="3"/>
  <c r="Z689" i="3"/>
  <c r="AA689" i="3"/>
  <c r="AJ689" i="3" s="1"/>
  <c r="AB689" i="3"/>
  <c r="AC689" i="3"/>
  <c r="AD689" i="3"/>
  <c r="AE689" i="3"/>
  <c r="AF689" i="3"/>
  <c r="AG689" i="3"/>
  <c r="AH689" i="3"/>
  <c r="AI689" i="3"/>
  <c r="Z690" i="3"/>
  <c r="AA690" i="3"/>
  <c r="AB690" i="3"/>
  <c r="AC690" i="3"/>
  <c r="AD690" i="3"/>
  <c r="AE690" i="3"/>
  <c r="AF690" i="3"/>
  <c r="AG690" i="3"/>
  <c r="AH690" i="3"/>
  <c r="AI690" i="3"/>
  <c r="Z691" i="3"/>
  <c r="AJ691" i="3" s="1"/>
  <c r="AA691" i="3"/>
  <c r="AB691" i="3"/>
  <c r="AC691" i="3"/>
  <c r="AD691" i="3"/>
  <c r="AE691" i="3"/>
  <c r="AF691" i="3"/>
  <c r="AG691" i="3"/>
  <c r="AH691" i="3"/>
  <c r="AI691" i="3"/>
  <c r="Z692" i="3"/>
  <c r="AA692" i="3"/>
  <c r="AB692" i="3"/>
  <c r="AC692" i="3"/>
  <c r="AJ692" i="3" s="1"/>
  <c r="AD692" i="3"/>
  <c r="AE692" i="3"/>
  <c r="AF692" i="3"/>
  <c r="AG692" i="3"/>
  <c r="AH692" i="3"/>
  <c r="AI692" i="3"/>
  <c r="Z693" i="3"/>
  <c r="AA693" i="3"/>
  <c r="AB693" i="3"/>
  <c r="AC693" i="3"/>
  <c r="AD693" i="3"/>
  <c r="AE693" i="3"/>
  <c r="AF693" i="3"/>
  <c r="AG693" i="3"/>
  <c r="AH693" i="3"/>
  <c r="AI693" i="3"/>
  <c r="Z694" i="3"/>
  <c r="AA694" i="3"/>
  <c r="AB694" i="3"/>
  <c r="AC694" i="3"/>
  <c r="AD694" i="3"/>
  <c r="AE694" i="3"/>
  <c r="AF694" i="3"/>
  <c r="AG694" i="3"/>
  <c r="AH694" i="3"/>
  <c r="AI694" i="3"/>
  <c r="Z695" i="3"/>
  <c r="AA695" i="3"/>
  <c r="AB695" i="3"/>
  <c r="AC695" i="3"/>
  <c r="AD695" i="3"/>
  <c r="AE695" i="3"/>
  <c r="AF695" i="3"/>
  <c r="AG695" i="3"/>
  <c r="AH695" i="3"/>
  <c r="AI695" i="3"/>
  <c r="AJ695" i="3"/>
  <c r="Z696" i="3"/>
  <c r="AA696" i="3"/>
  <c r="AB696" i="3"/>
  <c r="AC696" i="3"/>
  <c r="AD696" i="3"/>
  <c r="AE696" i="3"/>
  <c r="AF696" i="3"/>
  <c r="AG696" i="3"/>
  <c r="AH696" i="3"/>
  <c r="AI696" i="3"/>
  <c r="Z697" i="3"/>
  <c r="AA697" i="3"/>
  <c r="AB697" i="3"/>
  <c r="AC697" i="3"/>
  <c r="AJ697" i="3" s="1"/>
  <c r="AD697" i="3"/>
  <c r="AE697" i="3"/>
  <c r="AF697" i="3"/>
  <c r="AG697" i="3"/>
  <c r="AH697" i="3"/>
  <c r="AI697" i="3"/>
  <c r="Z698" i="3"/>
  <c r="AJ698" i="3" s="1"/>
  <c r="AA698" i="3"/>
  <c r="AB698" i="3"/>
  <c r="AC698" i="3"/>
  <c r="AD698" i="3"/>
  <c r="AE698" i="3"/>
  <c r="AF698" i="3"/>
  <c r="AG698" i="3"/>
  <c r="AH698" i="3"/>
  <c r="AI698" i="3"/>
  <c r="Z699" i="3"/>
  <c r="AA699" i="3"/>
  <c r="AB699" i="3"/>
  <c r="AC699" i="3"/>
  <c r="AD699" i="3"/>
  <c r="AE699" i="3"/>
  <c r="AF699" i="3"/>
  <c r="AG699" i="3"/>
  <c r="AH699" i="3"/>
  <c r="AI699" i="3"/>
  <c r="Z700" i="3"/>
  <c r="AA700" i="3"/>
  <c r="AB700" i="3"/>
  <c r="AC700" i="3"/>
  <c r="AJ700" i="3" s="1"/>
  <c r="AD700" i="3"/>
  <c r="AE700" i="3"/>
  <c r="AF700" i="3"/>
  <c r="AG700" i="3"/>
  <c r="AH700" i="3"/>
  <c r="AI700" i="3"/>
  <c r="Z701" i="3"/>
  <c r="AA701" i="3"/>
  <c r="AB701" i="3"/>
  <c r="AC701" i="3"/>
  <c r="AD701" i="3"/>
  <c r="AE701" i="3"/>
  <c r="AF701" i="3"/>
  <c r="AG701" i="3"/>
  <c r="AH701" i="3"/>
  <c r="AI701" i="3"/>
  <c r="Z702" i="3"/>
  <c r="AJ702" i="3" s="1"/>
  <c r="AA702" i="3"/>
  <c r="AB702" i="3"/>
  <c r="AC702" i="3"/>
  <c r="AD702" i="3"/>
  <c r="AE702" i="3"/>
  <c r="AF702" i="3"/>
  <c r="AG702" i="3"/>
  <c r="AH702" i="3"/>
  <c r="AI702" i="3"/>
  <c r="Z703" i="3"/>
  <c r="AA703" i="3"/>
  <c r="AB703" i="3"/>
  <c r="AC703" i="3"/>
  <c r="AD703" i="3"/>
  <c r="AE703" i="3"/>
  <c r="AF703" i="3"/>
  <c r="AG703" i="3"/>
  <c r="AH703" i="3"/>
  <c r="AI703" i="3"/>
  <c r="AJ703" i="3"/>
  <c r="Z704" i="3"/>
  <c r="AA704" i="3"/>
  <c r="AB704" i="3"/>
  <c r="AC704" i="3"/>
  <c r="AD704" i="3"/>
  <c r="AE704" i="3"/>
  <c r="AF704" i="3"/>
  <c r="AJ704" i="3" s="1"/>
  <c r="AG704" i="3"/>
  <c r="AH704" i="3"/>
  <c r="AI704" i="3"/>
  <c r="Z705" i="3"/>
  <c r="AA705" i="3"/>
  <c r="AB705" i="3"/>
  <c r="AC705" i="3"/>
  <c r="AD705" i="3"/>
  <c r="AE705" i="3"/>
  <c r="AF705" i="3"/>
  <c r="AG705" i="3"/>
  <c r="AH705" i="3"/>
  <c r="AI705" i="3"/>
  <c r="Z706" i="3"/>
  <c r="AJ706" i="3" s="1"/>
  <c r="AA706" i="3"/>
  <c r="AB706" i="3"/>
  <c r="AC706" i="3"/>
  <c r="AD706" i="3"/>
  <c r="AE706" i="3"/>
  <c r="AF706" i="3"/>
  <c r="AG706" i="3"/>
  <c r="AH706" i="3"/>
  <c r="AI706" i="3"/>
  <c r="Z707" i="3"/>
  <c r="AJ707" i="3" s="1"/>
  <c r="AA707" i="3"/>
  <c r="AB707" i="3"/>
  <c r="AC707" i="3"/>
  <c r="AD707" i="3"/>
  <c r="AE707" i="3"/>
  <c r="AF707" i="3"/>
  <c r="AG707" i="3"/>
  <c r="AH707" i="3"/>
  <c r="AI707" i="3"/>
  <c r="Z708" i="3"/>
  <c r="AA708" i="3"/>
  <c r="AB708" i="3"/>
  <c r="AC708" i="3"/>
  <c r="AJ708" i="3" s="1"/>
  <c r="AD708" i="3"/>
  <c r="AE708" i="3"/>
  <c r="AF708" i="3"/>
  <c r="AG708" i="3"/>
  <c r="AH708" i="3"/>
  <c r="AI708" i="3"/>
  <c r="Z709" i="3"/>
  <c r="AA709" i="3"/>
  <c r="AB709" i="3"/>
  <c r="AC709" i="3"/>
  <c r="AD709" i="3"/>
  <c r="AE709" i="3"/>
  <c r="AF709" i="3"/>
  <c r="AG709" i="3"/>
  <c r="AH709" i="3"/>
  <c r="AI709" i="3"/>
  <c r="Z710" i="3"/>
  <c r="AA710" i="3"/>
  <c r="AB710" i="3"/>
  <c r="AC710" i="3"/>
  <c r="AD710" i="3"/>
  <c r="AE710" i="3"/>
  <c r="AF710" i="3"/>
  <c r="AG710" i="3"/>
  <c r="AH710" i="3"/>
  <c r="AI710" i="3"/>
  <c r="Z711" i="3"/>
  <c r="AA711" i="3"/>
  <c r="AB711" i="3"/>
  <c r="AC711" i="3"/>
  <c r="AD711" i="3"/>
  <c r="AE711" i="3"/>
  <c r="AF711" i="3"/>
  <c r="AG711" i="3"/>
  <c r="AH711" i="3"/>
  <c r="AI711" i="3"/>
  <c r="AJ711" i="3"/>
  <c r="Z712" i="3"/>
  <c r="AA712" i="3"/>
  <c r="AB712" i="3"/>
  <c r="AC712" i="3"/>
  <c r="AD712" i="3"/>
  <c r="AE712" i="3"/>
  <c r="AF712" i="3"/>
  <c r="AJ712" i="3" s="1"/>
  <c r="AG712" i="3"/>
  <c r="AH712" i="3"/>
  <c r="AI712" i="3"/>
  <c r="Z713" i="3"/>
  <c r="AA713" i="3"/>
  <c r="AB713" i="3"/>
  <c r="AC713" i="3"/>
  <c r="AJ713" i="3" s="1"/>
  <c r="AD713" i="3"/>
  <c r="AE713" i="3"/>
  <c r="AF713" i="3"/>
  <c r="AG713" i="3"/>
  <c r="AH713" i="3"/>
  <c r="AI713" i="3"/>
  <c r="Z714" i="3"/>
  <c r="AA714" i="3"/>
  <c r="AB714" i="3"/>
  <c r="AC714" i="3"/>
  <c r="AD714" i="3"/>
  <c r="AE714" i="3"/>
  <c r="AF714" i="3"/>
  <c r="AG714" i="3"/>
  <c r="AH714" i="3"/>
  <c r="AI714" i="3"/>
  <c r="Z715" i="3"/>
  <c r="AJ715" i="3" s="1"/>
  <c r="AA715" i="3"/>
  <c r="AB715" i="3"/>
  <c r="AC715" i="3"/>
  <c r="AD715" i="3"/>
  <c r="AE715" i="3"/>
  <c r="AF715" i="3"/>
  <c r="AG715" i="3"/>
  <c r="AH715" i="3"/>
  <c r="AI715" i="3"/>
  <c r="Z716" i="3"/>
  <c r="AA716" i="3"/>
  <c r="AB716" i="3"/>
  <c r="AC716" i="3"/>
  <c r="AJ716" i="3" s="1"/>
  <c r="AD716" i="3"/>
  <c r="AE716" i="3"/>
  <c r="AF716" i="3"/>
  <c r="AG716" i="3"/>
  <c r="AH716" i="3"/>
  <c r="AI716" i="3"/>
  <c r="Z717" i="3"/>
  <c r="AA717" i="3"/>
  <c r="AB717" i="3"/>
  <c r="AC717" i="3"/>
  <c r="AD717" i="3"/>
  <c r="AE717" i="3"/>
  <c r="AF717" i="3"/>
  <c r="AG717" i="3"/>
  <c r="AH717" i="3"/>
  <c r="AI717" i="3"/>
  <c r="Z718" i="3"/>
  <c r="AJ718" i="3" s="1"/>
  <c r="AA718" i="3"/>
  <c r="AB718" i="3"/>
  <c r="AC718" i="3"/>
  <c r="AD718" i="3"/>
  <c r="AE718" i="3"/>
  <c r="AF718" i="3"/>
  <c r="AG718" i="3"/>
  <c r="AH718" i="3"/>
  <c r="AI718" i="3"/>
  <c r="Z719" i="3"/>
  <c r="AA719" i="3"/>
  <c r="AB719" i="3"/>
  <c r="AC719" i="3"/>
  <c r="AD719" i="3"/>
  <c r="AE719" i="3"/>
  <c r="AF719" i="3"/>
  <c r="AG719" i="3"/>
  <c r="AH719" i="3"/>
  <c r="AI719" i="3"/>
  <c r="AJ719" i="3"/>
  <c r="Z720" i="3"/>
  <c r="AA720" i="3"/>
  <c r="AB720" i="3"/>
  <c r="AC720" i="3"/>
  <c r="AD720" i="3"/>
  <c r="AE720" i="3"/>
  <c r="AF720" i="3"/>
  <c r="AG720" i="3"/>
  <c r="AH720" i="3"/>
  <c r="AI720" i="3"/>
  <c r="Z721" i="3"/>
  <c r="AA721" i="3"/>
  <c r="AB721" i="3"/>
  <c r="AC721" i="3"/>
  <c r="AJ721" i="3" s="1"/>
  <c r="AD721" i="3"/>
  <c r="AE721" i="3"/>
  <c r="AF721" i="3"/>
  <c r="AG721" i="3"/>
  <c r="AH721" i="3"/>
  <c r="AI721" i="3"/>
  <c r="Z722" i="3"/>
  <c r="AJ722" i="3" s="1"/>
  <c r="AA722" i="3"/>
  <c r="AB722" i="3"/>
  <c r="AC722" i="3"/>
  <c r="AD722" i="3"/>
  <c r="AE722" i="3"/>
  <c r="AF722" i="3"/>
  <c r="AG722" i="3"/>
  <c r="AH722" i="3"/>
  <c r="AI722" i="3"/>
  <c r="Z723" i="3"/>
  <c r="AA723" i="3"/>
  <c r="AB723" i="3"/>
  <c r="AC723" i="3"/>
  <c r="AD723" i="3"/>
  <c r="AE723" i="3"/>
  <c r="AF723" i="3"/>
  <c r="AG723" i="3"/>
  <c r="AH723" i="3"/>
  <c r="AI723" i="3"/>
  <c r="Z724" i="3"/>
  <c r="AA724" i="3"/>
  <c r="AB724" i="3"/>
  <c r="AC724" i="3"/>
  <c r="AJ724" i="3" s="1"/>
  <c r="AD724" i="3"/>
  <c r="AE724" i="3"/>
  <c r="AF724" i="3"/>
  <c r="AG724" i="3"/>
  <c r="AH724" i="3"/>
  <c r="AI724" i="3"/>
  <c r="Z725" i="3"/>
  <c r="AA725" i="3"/>
  <c r="AB725" i="3"/>
  <c r="AC725" i="3"/>
  <c r="AD725" i="3"/>
  <c r="AE725" i="3"/>
  <c r="AF725" i="3"/>
  <c r="AG725" i="3"/>
  <c r="AH725" i="3"/>
  <c r="AI725" i="3"/>
  <c r="Z726" i="3"/>
  <c r="AJ726" i="3" s="1"/>
  <c r="AA726" i="3"/>
  <c r="AB726" i="3"/>
  <c r="AC726" i="3"/>
  <c r="AD726" i="3"/>
  <c r="AE726" i="3"/>
  <c r="AF726" i="3"/>
  <c r="AG726" i="3"/>
  <c r="AH726" i="3"/>
  <c r="AI726" i="3"/>
  <c r="Z727" i="3"/>
  <c r="AA727" i="3"/>
  <c r="AB727" i="3"/>
  <c r="AC727" i="3"/>
  <c r="AD727" i="3"/>
  <c r="AE727" i="3"/>
  <c r="AF727" i="3"/>
  <c r="AG727" i="3"/>
  <c r="AH727" i="3"/>
  <c r="AI727" i="3"/>
  <c r="AJ727" i="3"/>
  <c r="Z728" i="3"/>
  <c r="AA728" i="3"/>
  <c r="AB728" i="3"/>
  <c r="AC728" i="3"/>
  <c r="AD728" i="3"/>
  <c r="AE728" i="3"/>
  <c r="AF728" i="3"/>
  <c r="AJ728" i="3" s="1"/>
  <c r="AG728" i="3"/>
  <c r="AH728" i="3"/>
  <c r="AI728" i="3"/>
  <c r="Z729" i="3"/>
  <c r="AA729" i="3"/>
  <c r="AB729" i="3"/>
  <c r="AC729" i="3"/>
  <c r="AD729" i="3"/>
  <c r="AE729" i="3"/>
  <c r="AF729" i="3"/>
  <c r="AG729" i="3"/>
  <c r="AH729" i="3"/>
  <c r="AI729" i="3"/>
  <c r="Z730" i="3"/>
  <c r="AJ730" i="3" s="1"/>
  <c r="AA730" i="3"/>
  <c r="AB730" i="3"/>
  <c r="AC730" i="3"/>
  <c r="AD730" i="3"/>
  <c r="AE730" i="3"/>
  <c r="AF730" i="3"/>
  <c r="AG730" i="3"/>
  <c r="AH730" i="3"/>
  <c r="AI730" i="3"/>
  <c r="Z731" i="3"/>
  <c r="AJ731" i="3" s="1"/>
  <c r="AA731" i="3"/>
  <c r="AB731" i="3"/>
  <c r="AC731" i="3"/>
  <c r="AD731" i="3"/>
  <c r="AE731" i="3"/>
  <c r="AF731" i="3"/>
  <c r="AG731" i="3"/>
  <c r="AH731" i="3"/>
  <c r="AI731" i="3"/>
  <c r="Z732" i="3"/>
  <c r="AA732" i="3"/>
  <c r="AB732" i="3"/>
  <c r="AC732" i="3"/>
  <c r="AJ732" i="3" s="1"/>
  <c r="AD732" i="3"/>
  <c r="AE732" i="3"/>
  <c r="AF732" i="3"/>
  <c r="AG732" i="3"/>
  <c r="AH732" i="3"/>
  <c r="AI732" i="3"/>
  <c r="Z733" i="3"/>
  <c r="AA733" i="3"/>
  <c r="AB733" i="3"/>
  <c r="AC733" i="3"/>
  <c r="AD733" i="3"/>
  <c r="AE733" i="3"/>
  <c r="AF733" i="3"/>
  <c r="AG733" i="3"/>
  <c r="AH733" i="3"/>
  <c r="AI733" i="3"/>
  <c r="Z734" i="3"/>
  <c r="AJ734" i="3" s="1"/>
  <c r="AA734" i="3"/>
  <c r="AB734" i="3"/>
  <c r="AC734" i="3"/>
  <c r="AD734" i="3"/>
  <c r="AE734" i="3"/>
  <c r="AF734" i="3"/>
  <c r="AG734" i="3"/>
  <c r="AH734" i="3"/>
  <c r="AI734" i="3"/>
  <c r="Z735" i="3"/>
  <c r="AA735" i="3"/>
  <c r="AB735" i="3"/>
  <c r="AC735" i="3"/>
  <c r="AD735" i="3"/>
  <c r="AE735" i="3"/>
  <c r="AF735" i="3"/>
  <c r="AG735" i="3"/>
  <c r="AH735" i="3"/>
  <c r="AI735" i="3"/>
  <c r="AJ735" i="3"/>
  <c r="Z736" i="3"/>
  <c r="AA736" i="3"/>
  <c r="AB736" i="3"/>
  <c r="AC736" i="3"/>
  <c r="AD736" i="3"/>
  <c r="AE736" i="3"/>
  <c r="AF736" i="3"/>
  <c r="AG736" i="3"/>
  <c r="AH736" i="3"/>
  <c r="AI736" i="3"/>
  <c r="Z737" i="3"/>
  <c r="AA737" i="3"/>
  <c r="AB737" i="3"/>
  <c r="AC737" i="3"/>
  <c r="AJ737" i="3" s="1"/>
  <c r="AD737" i="3"/>
  <c r="AE737" i="3"/>
  <c r="AF737" i="3"/>
  <c r="AG737" i="3"/>
  <c r="AH737" i="3"/>
  <c r="AI737" i="3"/>
  <c r="Z738" i="3"/>
  <c r="AA738" i="3"/>
  <c r="AB738" i="3"/>
  <c r="AC738" i="3"/>
  <c r="AD738" i="3"/>
  <c r="AE738" i="3"/>
  <c r="AF738" i="3"/>
  <c r="AG738" i="3"/>
  <c r="AH738" i="3"/>
  <c r="AI738" i="3"/>
  <c r="Z739" i="3"/>
  <c r="AA739" i="3"/>
  <c r="AB739" i="3"/>
  <c r="AC739" i="3"/>
  <c r="AD739" i="3"/>
  <c r="AE739" i="3"/>
  <c r="AF739" i="3"/>
  <c r="AG739" i="3"/>
  <c r="AH739" i="3"/>
  <c r="AI739" i="3"/>
  <c r="Z740" i="3"/>
  <c r="AA740" i="3"/>
  <c r="AB740" i="3"/>
  <c r="AC740" i="3"/>
  <c r="AD740" i="3"/>
  <c r="AE740" i="3"/>
  <c r="AF740" i="3"/>
  <c r="AG740" i="3"/>
  <c r="AH740" i="3"/>
  <c r="AI740" i="3"/>
  <c r="AJ740" i="3"/>
  <c r="Z741" i="3"/>
  <c r="AA741" i="3"/>
  <c r="AB741" i="3"/>
  <c r="AC741" i="3"/>
  <c r="AD741" i="3"/>
  <c r="AE741" i="3"/>
  <c r="AF741" i="3"/>
  <c r="AG741" i="3"/>
  <c r="AH741" i="3"/>
  <c r="AI741" i="3"/>
  <c r="Z742" i="3"/>
  <c r="AA742" i="3"/>
  <c r="AB742" i="3"/>
  <c r="AC742" i="3"/>
  <c r="AD742" i="3"/>
  <c r="AE742" i="3"/>
  <c r="AF742" i="3"/>
  <c r="AG742" i="3"/>
  <c r="AH742" i="3"/>
  <c r="AI742" i="3"/>
  <c r="Z743" i="3"/>
  <c r="AA743" i="3"/>
  <c r="AJ743" i="3" s="1"/>
  <c r="AB743" i="3"/>
  <c r="AC743" i="3"/>
  <c r="AD743" i="3"/>
  <c r="AE743" i="3"/>
  <c r="AF743" i="3"/>
  <c r="AG743" i="3"/>
  <c r="AH743" i="3"/>
  <c r="AI743" i="3"/>
  <c r="Z744" i="3"/>
  <c r="AA744" i="3"/>
  <c r="AB744" i="3"/>
  <c r="AC744" i="3"/>
  <c r="AD744" i="3"/>
  <c r="AE744" i="3"/>
  <c r="AF744" i="3"/>
  <c r="AG744" i="3"/>
  <c r="AH744" i="3"/>
  <c r="AI744" i="3"/>
  <c r="AJ744" i="3"/>
  <c r="Z745" i="3"/>
  <c r="AA745" i="3"/>
  <c r="AB745" i="3"/>
  <c r="AC745" i="3"/>
  <c r="AD745" i="3"/>
  <c r="AE745" i="3"/>
  <c r="AF745" i="3"/>
  <c r="AG745" i="3"/>
  <c r="AH745" i="3"/>
  <c r="AI745" i="3"/>
  <c r="AJ745" i="3"/>
  <c r="Z746" i="3"/>
  <c r="AA746" i="3"/>
  <c r="AB746" i="3"/>
  <c r="AC746" i="3"/>
  <c r="AD746" i="3"/>
  <c r="AE746" i="3"/>
  <c r="AF746" i="3"/>
  <c r="AG746" i="3"/>
  <c r="AH746" i="3"/>
  <c r="AI746" i="3"/>
  <c r="Z747" i="3"/>
  <c r="AJ747" i="3" s="1"/>
  <c r="AA747" i="3"/>
  <c r="AB747" i="3"/>
  <c r="AC747" i="3"/>
  <c r="AD747" i="3"/>
  <c r="AE747" i="3"/>
  <c r="AF747" i="3"/>
  <c r="AG747" i="3"/>
  <c r="AH747" i="3"/>
  <c r="AI747" i="3"/>
  <c r="Z748" i="3"/>
  <c r="AA748" i="3"/>
  <c r="AJ748" i="3" s="1"/>
  <c r="AB748" i="3"/>
  <c r="AC748" i="3"/>
  <c r="AD748" i="3"/>
  <c r="AE748" i="3"/>
  <c r="AF748" i="3"/>
  <c r="AG748" i="3"/>
  <c r="AH748" i="3"/>
  <c r="AI748" i="3"/>
  <c r="Z749" i="3"/>
  <c r="AA749" i="3"/>
  <c r="AB749" i="3"/>
  <c r="AC749" i="3"/>
  <c r="AD749" i="3"/>
  <c r="AE749" i="3"/>
  <c r="AF749" i="3"/>
  <c r="AG749" i="3"/>
  <c r="AH749" i="3"/>
  <c r="AI749" i="3"/>
  <c r="Z750" i="3"/>
  <c r="AA750" i="3"/>
  <c r="AB750" i="3"/>
  <c r="AC750" i="3"/>
  <c r="AD750" i="3"/>
  <c r="AJ750" i="3" s="1"/>
  <c r="AE750" i="3"/>
  <c r="AF750" i="3"/>
  <c r="AG750" i="3"/>
  <c r="AH750" i="3"/>
  <c r="AI750" i="3"/>
  <c r="Z751" i="3"/>
  <c r="AJ751" i="3" s="1"/>
  <c r="AA751" i="3"/>
  <c r="AB751" i="3"/>
  <c r="AC751" i="3"/>
  <c r="AD751" i="3"/>
  <c r="AE751" i="3"/>
  <c r="AF751" i="3"/>
  <c r="AG751" i="3"/>
  <c r="AH751" i="3"/>
  <c r="AI751" i="3"/>
  <c r="Z752" i="3"/>
  <c r="AJ752" i="3" s="1"/>
  <c r="AA752" i="3"/>
  <c r="AB752" i="3"/>
  <c r="AC752" i="3"/>
  <c r="AD752" i="3"/>
  <c r="AE752" i="3"/>
  <c r="AF752" i="3"/>
  <c r="AG752" i="3"/>
  <c r="AH752" i="3"/>
  <c r="AI752" i="3"/>
  <c r="Z753" i="3"/>
  <c r="AA753" i="3"/>
  <c r="AJ753" i="3" s="1"/>
  <c r="AB753" i="3"/>
  <c r="AC753" i="3"/>
  <c r="AD753" i="3"/>
  <c r="AE753" i="3"/>
  <c r="AF753" i="3"/>
  <c r="AG753" i="3"/>
  <c r="AH753" i="3"/>
  <c r="AI753" i="3"/>
  <c r="Z754" i="3"/>
  <c r="AJ754" i="3" s="1"/>
  <c r="AA754" i="3"/>
  <c r="AB754" i="3"/>
  <c r="AC754" i="3"/>
  <c r="AD754" i="3"/>
  <c r="AE754" i="3"/>
  <c r="AF754" i="3"/>
  <c r="AG754" i="3"/>
  <c r="AH754" i="3"/>
  <c r="AI754" i="3"/>
  <c r="Z755" i="3"/>
  <c r="AA755" i="3"/>
  <c r="AB755" i="3"/>
  <c r="AC755" i="3"/>
  <c r="AD755" i="3"/>
  <c r="AE755" i="3"/>
  <c r="AF755" i="3"/>
  <c r="AG755" i="3"/>
  <c r="AH755" i="3"/>
  <c r="AI755" i="3"/>
  <c r="Z756" i="3"/>
  <c r="AJ756" i="3" s="1"/>
  <c r="AA756" i="3"/>
  <c r="AB756" i="3"/>
  <c r="AC756" i="3"/>
  <c r="AD756" i="3"/>
  <c r="AE756" i="3"/>
  <c r="AF756" i="3"/>
  <c r="AG756" i="3"/>
  <c r="AH756" i="3"/>
  <c r="AI756" i="3"/>
  <c r="Z757" i="3"/>
  <c r="AA757" i="3"/>
  <c r="AB757" i="3"/>
  <c r="AC757" i="3"/>
  <c r="AD757" i="3"/>
  <c r="AE757" i="3"/>
  <c r="AF757" i="3"/>
  <c r="AG757" i="3"/>
  <c r="AH757" i="3"/>
  <c r="AI757" i="3"/>
  <c r="Z758" i="3"/>
  <c r="AJ758" i="3" s="1"/>
  <c r="AA758" i="3"/>
  <c r="AB758" i="3"/>
  <c r="AC758" i="3"/>
  <c r="AD758" i="3"/>
  <c r="AE758" i="3"/>
  <c r="AF758" i="3"/>
  <c r="AG758" i="3"/>
  <c r="AH758" i="3"/>
  <c r="AI758" i="3"/>
  <c r="Z759" i="3"/>
  <c r="AJ759" i="3" s="1"/>
  <c r="AA759" i="3"/>
  <c r="AB759" i="3"/>
  <c r="AC759" i="3"/>
  <c r="AD759" i="3"/>
  <c r="AE759" i="3"/>
  <c r="AF759" i="3"/>
  <c r="AG759" i="3"/>
  <c r="AH759" i="3"/>
  <c r="AI759" i="3"/>
  <c r="Z760" i="3"/>
  <c r="AJ760" i="3" s="1"/>
  <c r="AA760" i="3"/>
  <c r="AB760" i="3"/>
  <c r="AC760" i="3"/>
  <c r="AD760" i="3"/>
  <c r="AE760" i="3"/>
  <c r="AF760" i="3"/>
  <c r="AG760" i="3"/>
  <c r="AH760" i="3"/>
  <c r="AI760" i="3"/>
  <c r="Z761" i="3"/>
  <c r="AA761" i="3"/>
  <c r="AB761" i="3"/>
  <c r="AC761" i="3"/>
  <c r="AD761" i="3"/>
  <c r="AE761" i="3"/>
  <c r="AF761" i="3"/>
  <c r="AG761" i="3"/>
  <c r="AH761" i="3"/>
  <c r="AI761" i="3"/>
  <c r="AJ761" i="3"/>
  <c r="Z762" i="3"/>
  <c r="AA762" i="3"/>
  <c r="AB762" i="3"/>
  <c r="AC762" i="3"/>
  <c r="AD762" i="3"/>
  <c r="AE762" i="3"/>
  <c r="AF762" i="3"/>
  <c r="AG762" i="3"/>
  <c r="AJ762" i="3" s="1"/>
  <c r="AH762" i="3"/>
  <c r="AI762" i="3"/>
  <c r="Z763" i="3"/>
  <c r="AA763" i="3"/>
  <c r="AB763" i="3"/>
  <c r="AC763" i="3"/>
  <c r="AD763" i="3"/>
  <c r="AE763" i="3"/>
  <c r="AF763" i="3"/>
  <c r="AG763" i="3"/>
  <c r="AH763" i="3"/>
  <c r="AI763" i="3"/>
  <c r="Z764" i="3"/>
  <c r="AA764" i="3"/>
  <c r="AB764" i="3"/>
  <c r="AC764" i="3"/>
  <c r="AD764" i="3"/>
  <c r="AE764" i="3"/>
  <c r="AF764" i="3"/>
  <c r="AG764" i="3"/>
  <c r="AH764" i="3"/>
  <c r="AI764" i="3"/>
  <c r="AJ764" i="3"/>
  <c r="Z765" i="3"/>
  <c r="AA765" i="3"/>
  <c r="AB765" i="3"/>
  <c r="AC765" i="3"/>
  <c r="AD765" i="3"/>
  <c r="AE765" i="3"/>
  <c r="AF765" i="3"/>
  <c r="AG765" i="3"/>
  <c r="AJ765" i="3" s="1"/>
  <c r="AH765" i="3"/>
  <c r="AI765" i="3"/>
  <c r="Z766" i="3"/>
  <c r="AA766" i="3"/>
  <c r="AB766" i="3"/>
  <c r="AC766" i="3"/>
  <c r="AD766" i="3"/>
  <c r="AJ766" i="3" s="1"/>
  <c r="AE766" i="3"/>
  <c r="AF766" i="3"/>
  <c r="AG766" i="3"/>
  <c r="AH766" i="3"/>
  <c r="AI766" i="3"/>
  <c r="Z767" i="3"/>
  <c r="AA767" i="3"/>
  <c r="AJ767" i="3" s="1"/>
  <c r="AB767" i="3"/>
  <c r="AC767" i="3"/>
  <c r="AD767" i="3"/>
  <c r="AE767" i="3"/>
  <c r="AF767" i="3"/>
  <c r="AG767" i="3"/>
  <c r="AH767" i="3"/>
  <c r="AI767" i="3"/>
  <c r="Z768" i="3"/>
  <c r="AJ768" i="3" s="1"/>
  <c r="AA768" i="3"/>
  <c r="AB768" i="3"/>
  <c r="AC768" i="3"/>
  <c r="AD768" i="3"/>
  <c r="AE768" i="3"/>
  <c r="AF768" i="3"/>
  <c r="AG768" i="3"/>
  <c r="AH768" i="3"/>
  <c r="AI768" i="3"/>
  <c r="Z769" i="3"/>
  <c r="AA769" i="3"/>
  <c r="AJ769" i="3" s="1"/>
  <c r="AB769" i="3"/>
  <c r="AC769" i="3"/>
  <c r="AD769" i="3"/>
  <c r="AE769" i="3"/>
  <c r="AF769" i="3"/>
  <c r="AG769" i="3"/>
  <c r="AH769" i="3"/>
  <c r="AI769" i="3"/>
  <c r="Z770" i="3"/>
  <c r="AJ770" i="3" s="1"/>
  <c r="AA770" i="3"/>
  <c r="AB770" i="3"/>
  <c r="AC770" i="3"/>
  <c r="AD770" i="3"/>
  <c r="AE770" i="3"/>
  <c r="AF770" i="3"/>
  <c r="AG770" i="3"/>
  <c r="AH770" i="3"/>
  <c r="AI770" i="3"/>
  <c r="Z771" i="3"/>
  <c r="AA771" i="3"/>
  <c r="AB771" i="3"/>
  <c r="AC771" i="3"/>
  <c r="AD771" i="3"/>
  <c r="AE771" i="3"/>
  <c r="AF771" i="3"/>
  <c r="AG771" i="3"/>
  <c r="AH771" i="3"/>
  <c r="AI771" i="3"/>
  <c r="Z772" i="3"/>
  <c r="AJ772" i="3" s="1"/>
  <c r="AA772" i="3"/>
  <c r="AB772" i="3"/>
  <c r="AC772" i="3"/>
  <c r="AD772" i="3"/>
  <c r="AE772" i="3"/>
  <c r="AF772" i="3"/>
  <c r="AG772" i="3"/>
  <c r="AH772" i="3"/>
  <c r="AI772" i="3"/>
  <c r="Z773" i="3"/>
  <c r="AJ773" i="3" s="1"/>
  <c r="AA773" i="3"/>
  <c r="AB773" i="3"/>
  <c r="AC773" i="3"/>
  <c r="AD773" i="3"/>
  <c r="AE773" i="3"/>
  <c r="AF773" i="3"/>
  <c r="AG773" i="3"/>
  <c r="AH773" i="3"/>
  <c r="AI773" i="3"/>
  <c r="Z774" i="3"/>
  <c r="AJ774" i="3" s="1"/>
  <c r="AA774" i="3"/>
  <c r="AB774" i="3"/>
  <c r="AC774" i="3"/>
  <c r="AD774" i="3"/>
  <c r="AE774" i="3"/>
  <c r="AF774" i="3"/>
  <c r="AG774" i="3"/>
  <c r="AH774" i="3"/>
  <c r="AI774" i="3"/>
  <c r="Z775" i="3"/>
  <c r="AA775" i="3"/>
  <c r="AB775" i="3"/>
  <c r="AC775" i="3"/>
  <c r="AD775" i="3"/>
  <c r="AE775" i="3"/>
  <c r="AF775" i="3"/>
  <c r="AG775" i="3"/>
  <c r="AH775" i="3"/>
  <c r="AI775" i="3"/>
  <c r="AJ775" i="3"/>
  <c r="Z776" i="3"/>
  <c r="AA776" i="3"/>
  <c r="AB776" i="3"/>
  <c r="AC776" i="3"/>
  <c r="AD776" i="3"/>
  <c r="AE776" i="3"/>
  <c r="AF776" i="3"/>
  <c r="AG776" i="3"/>
  <c r="AJ776" i="3" s="1"/>
  <c r="AH776" i="3"/>
  <c r="AI776" i="3"/>
  <c r="Z777" i="3"/>
  <c r="AA777" i="3"/>
  <c r="AJ777" i="3" s="1"/>
  <c r="AB777" i="3"/>
  <c r="AC777" i="3"/>
  <c r="AD777" i="3"/>
  <c r="AE777" i="3"/>
  <c r="AF777" i="3"/>
  <c r="AG777" i="3"/>
  <c r="AH777" i="3"/>
  <c r="AI777" i="3"/>
  <c r="Z778" i="3"/>
  <c r="AA778" i="3"/>
  <c r="AJ778" i="3" s="1"/>
  <c r="AB778" i="3"/>
  <c r="AC778" i="3"/>
  <c r="AD778" i="3"/>
  <c r="AE778" i="3"/>
  <c r="AF778" i="3"/>
  <c r="AG778" i="3"/>
  <c r="AH778" i="3"/>
  <c r="AI778" i="3"/>
  <c r="Z779" i="3"/>
  <c r="AA779" i="3"/>
  <c r="AB779" i="3"/>
  <c r="AC779" i="3"/>
  <c r="AD779" i="3"/>
  <c r="AE779" i="3"/>
  <c r="AF779" i="3"/>
  <c r="AG779" i="3"/>
  <c r="AH779" i="3"/>
  <c r="AI779" i="3"/>
  <c r="Z780" i="3"/>
  <c r="AA780" i="3"/>
  <c r="AJ780" i="3" s="1"/>
  <c r="AB780" i="3"/>
  <c r="AC780" i="3"/>
  <c r="AD780" i="3"/>
  <c r="AE780" i="3"/>
  <c r="AF780" i="3"/>
  <c r="AG780" i="3"/>
  <c r="AH780" i="3"/>
  <c r="AI780" i="3"/>
  <c r="Z781" i="3"/>
  <c r="AA781" i="3"/>
  <c r="AJ781" i="3" s="1"/>
  <c r="AB781" i="3"/>
  <c r="AC781" i="3"/>
  <c r="AD781" i="3"/>
  <c r="AE781" i="3"/>
  <c r="AF781" i="3"/>
  <c r="AG781" i="3"/>
  <c r="AH781" i="3"/>
  <c r="AI781" i="3"/>
  <c r="Z782" i="3"/>
  <c r="AJ782" i="3" s="1"/>
  <c r="AA782" i="3"/>
  <c r="AB782" i="3"/>
  <c r="AC782" i="3"/>
  <c r="AD782" i="3"/>
  <c r="AE782" i="3"/>
  <c r="AF782" i="3"/>
  <c r="AG782" i="3"/>
  <c r="AH782" i="3"/>
  <c r="AI782" i="3"/>
  <c r="Z783" i="3"/>
  <c r="AJ783" i="3" s="1"/>
  <c r="AA783" i="3"/>
  <c r="AB783" i="3"/>
  <c r="AC783" i="3"/>
  <c r="AD783" i="3"/>
  <c r="AE783" i="3"/>
  <c r="AF783" i="3"/>
  <c r="AG783" i="3"/>
  <c r="AH783" i="3"/>
  <c r="AI783" i="3"/>
  <c r="Z784" i="3"/>
  <c r="AJ784" i="3" s="1"/>
  <c r="AA784" i="3"/>
  <c r="AB784" i="3"/>
  <c r="AC784" i="3"/>
  <c r="AD784" i="3"/>
  <c r="AE784" i="3"/>
  <c r="AF784" i="3"/>
  <c r="AG784" i="3"/>
  <c r="AH784" i="3"/>
  <c r="AI784" i="3"/>
  <c r="Z785" i="3"/>
  <c r="AA785" i="3"/>
  <c r="AB785" i="3"/>
  <c r="AC785" i="3"/>
  <c r="AD785" i="3"/>
  <c r="AE785" i="3"/>
  <c r="AJ785" i="3" s="1"/>
  <c r="AF785" i="3"/>
  <c r="AG785" i="3"/>
  <c r="AH785" i="3"/>
  <c r="AI785" i="3"/>
  <c r="Z786" i="3"/>
  <c r="AA786" i="3"/>
  <c r="AB786" i="3"/>
  <c r="AC786" i="3"/>
  <c r="AD786" i="3"/>
  <c r="AE786" i="3"/>
  <c r="AF786" i="3"/>
  <c r="AG786" i="3"/>
  <c r="AH786" i="3"/>
  <c r="AI786" i="3"/>
  <c r="AJ786" i="3"/>
  <c r="Z787" i="3"/>
  <c r="AA787" i="3"/>
  <c r="AB787" i="3"/>
  <c r="AC787" i="3"/>
  <c r="AD787" i="3"/>
  <c r="AE787" i="3"/>
  <c r="AF787" i="3"/>
  <c r="AG787" i="3"/>
  <c r="AH787" i="3"/>
  <c r="AI787" i="3"/>
  <c r="Z788" i="3"/>
  <c r="AJ788" i="3" s="1"/>
  <c r="AA788" i="3"/>
  <c r="AB788" i="3"/>
  <c r="AC788" i="3"/>
  <c r="AD788" i="3"/>
  <c r="AE788" i="3"/>
  <c r="AF788" i="3"/>
  <c r="AG788" i="3"/>
  <c r="AH788" i="3"/>
  <c r="AI788" i="3"/>
  <c r="Z789" i="3"/>
  <c r="AA789" i="3"/>
  <c r="AB789" i="3"/>
  <c r="AC789" i="3"/>
  <c r="AD789" i="3"/>
  <c r="AE789" i="3"/>
  <c r="AF789" i="3"/>
  <c r="AG789" i="3"/>
  <c r="AH789" i="3"/>
  <c r="AI789" i="3"/>
  <c r="AJ789" i="3"/>
  <c r="Z790" i="3"/>
  <c r="AA790" i="3"/>
  <c r="AB790" i="3"/>
  <c r="AC790" i="3"/>
  <c r="AD790" i="3"/>
  <c r="AE790" i="3"/>
  <c r="AF790" i="3"/>
  <c r="AG790" i="3"/>
  <c r="AJ790" i="3" s="1"/>
  <c r="AH790" i="3"/>
  <c r="AI790" i="3"/>
  <c r="Z791" i="3"/>
  <c r="AA791" i="3"/>
  <c r="AJ791" i="3" s="1"/>
  <c r="AB791" i="3"/>
  <c r="AC791" i="3"/>
  <c r="AD791" i="3"/>
  <c r="AE791" i="3"/>
  <c r="AF791" i="3"/>
  <c r="AG791" i="3"/>
  <c r="AH791" i="3"/>
  <c r="AI791" i="3"/>
  <c r="Z792" i="3"/>
  <c r="AA792" i="3"/>
  <c r="AJ792" i="3" s="1"/>
  <c r="AB792" i="3"/>
  <c r="AC792" i="3"/>
  <c r="AD792" i="3"/>
  <c r="AE792" i="3"/>
  <c r="AF792" i="3"/>
  <c r="AG792" i="3"/>
  <c r="AH792" i="3"/>
  <c r="AI792" i="3"/>
  <c r="Z793" i="3"/>
  <c r="AA793" i="3"/>
  <c r="AJ793" i="3" s="1"/>
  <c r="AB793" i="3"/>
  <c r="AC793" i="3"/>
  <c r="AD793" i="3"/>
  <c r="AE793" i="3"/>
  <c r="AF793" i="3"/>
  <c r="AG793" i="3"/>
  <c r="AH793" i="3"/>
  <c r="AI793" i="3"/>
  <c r="Z794" i="3"/>
  <c r="AJ794" i="3" s="1"/>
  <c r="AA794" i="3"/>
  <c r="AB794" i="3"/>
  <c r="AC794" i="3"/>
  <c r="AD794" i="3"/>
  <c r="AE794" i="3"/>
  <c r="AF794" i="3"/>
  <c r="AG794" i="3"/>
  <c r="AH794" i="3"/>
  <c r="AI794" i="3"/>
  <c r="Z795" i="3"/>
  <c r="AA795" i="3"/>
  <c r="AB795" i="3"/>
  <c r="AC795" i="3"/>
  <c r="AD795" i="3"/>
  <c r="AE795" i="3"/>
  <c r="AF795" i="3"/>
  <c r="AG795" i="3"/>
  <c r="AH795" i="3"/>
  <c r="AI795" i="3"/>
  <c r="Z796" i="3"/>
  <c r="AJ796" i="3" s="1"/>
  <c r="AA796" i="3"/>
  <c r="AB796" i="3"/>
  <c r="AC796" i="3"/>
  <c r="AD796" i="3"/>
  <c r="AE796" i="3"/>
  <c r="AF796" i="3"/>
  <c r="AG796" i="3"/>
  <c r="AH796" i="3"/>
  <c r="AI796" i="3"/>
  <c r="Z797" i="3"/>
  <c r="AJ797" i="3" s="1"/>
  <c r="AA797" i="3"/>
  <c r="AB797" i="3"/>
  <c r="AC797" i="3"/>
  <c r="AD797" i="3"/>
  <c r="AE797" i="3"/>
  <c r="AF797" i="3"/>
  <c r="AG797" i="3"/>
  <c r="AH797" i="3"/>
  <c r="AI797" i="3"/>
  <c r="Z798" i="3"/>
  <c r="AJ798" i="3" s="1"/>
  <c r="AA798" i="3"/>
  <c r="AB798" i="3"/>
  <c r="AC798" i="3"/>
  <c r="AD798" i="3"/>
  <c r="AE798" i="3"/>
  <c r="AF798" i="3"/>
  <c r="AG798" i="3"/>
  <c r="AH798" i="3"/>
  <c r="AI798" i="3"/>
  <c r="Z799" i="3"/>
  <c r="AJ799" i="3" s="1"/>
  <c r="AA799" i="3"/>
  <c r="AB799" i="3"/>
  <c r="AC799" i="3"/>
  <c r="AD799" i="3"/>
  <c r="AE799" i="3"/>
  <c r="AF799" i="3"/>
  <c r="AG799" i="3"/>
  <c r="AH799" i="3"/>
  <c r="AI799" i="3"/>
  <c r="Z800" i="3"/>
  <c r="AA800" i="3"/>
  <c r="AB800" i="3"/>
  <c r="AC800" i="3"/>
  <c r="AD800" i="3"/>
  <c r="AE800" i="3"/>
  <c r="AF800" i="3"/>
  <c r="AG800" i="3"/>
  <c r="AH800" i="3"/>
  <c r="AI800" i="3"/>
  <c r="AJ800" i="3"/>
  <c r="Z801" i="3"/>
  <c r="AA801" i="3"/>
  <c r="AB801" i="3"/>
  <c r="AC801" i="3"/>
  <c r="AD801" i="3"/>
  <c r="AE801" i="3"/>
  <c r="AF801" i="3"/>
  <c r="AG801" i="3"/>
  <c r="AJ801" i="3" s="1"/>
  <c r="AH801" i="3"/>
  <c r="AI801" i="3"/>
  <c r="Z802" i="3"/>
  <c r="AA802" i="3"/>
  <c r="AB802" i="3"/>
  <c r="AC802" i="3"/>
  <c r="AD802" i="3"/>
  <c r="AJ802" i="3" s="1"/>
  <c r="AE802" i="3"/>
  <c r="AF802" i="3"/>
  <c r="AG802" i="3"/>
  <c r="AH802" i="3"/>
  <c r="AI802" i="3"/>
  <c r="Z803" i="3"/>
  <c r="AA803" i="3"/>
  <c r="AB803" i="3"/>
  <c r="AC803" i="3"/>
  <c r="AD803" i="3"/>
  <c r="AE803" i="3"/>
  <c r="AF803" i="3"/>
  <c r="AG803" i="3"/>
  <c r="AH803" i="3"/>
  <c r="AI803" i="3"/>
  <c r="Z804" i="3"/>
  <c r="AA804" i="3"/>
  <c r="AB804" i="3"/>
  <c r="AC804" i="3"/>
  <c r="AD804" i="3"/>
  <c r="AE804" i="3"/>
  <c r="AF804" i="3"/>
  <c r="AG804" i="3"/>
  <c r="AH804" i="3"/>
  <c r="AI804" i="3"/>
  <c r="AJ804" i="3"/>
  <c r="Z805" i="3"/>
  <c r="AA805" i="3"/>
  <c r="AB805" i="3"/>
  <c r="AC805" i="3"/>
  <c r="AD805" i="3"/>
  <c r="AE805" i="3"/>
  <c r="AJ805" i="3" s="1"/>
  <c r="AF805" i="3"/>
  <c r="AG805" i="3"/>
  <c r="AH805" i="3"/>
  <c r="AI805" i="3"/>
  <c r="Z806" i="3"/>
  <c r="AA806" i="3"/>
  <c r="AB806" i="3"/>
  <c r="AC806" i="3"/>
  <c r="AD806" i="3"/>
  <c r="AJ806" i="3" s="1"/>
  <c r="AE806" i="3"/>
  <c r="AF806" i="3"/>
  <c r="AG806" i="3"/>
  <c r="AH806" i="3"/>
  <c r="AI806" i="3"/>
  <c r="Z807" i="3"/>
  <c r="AJ807" i="3" s="1"/>
  <c r="AA807" i="3"/>
  <c r="AB807" i="3"/>
  <c r="AC807" i="3"/>
  <c r="AD807" i="3"/>
  <c r="AE807" i="3"/>
  <c r="AF807" i="3"/>
  <c r="AG807" i="3"/>
  <c r="AH807" i="3"/>
  <c r="AI807" i="3"/>
  <c r="Z808" i="3"/>
  <c r="AJ808" i="3" s="1"/>
  <c r="AA808" i="3"/>
  <c r="AB808" i="3"/>
  <c r="AC808" i="3"/>
  <c r="AD808" i="3"/>
  <c r="AE808" i="3"/>
  <c r="AF808" i="3"/>
  <c r="AG808" i="3"/>
  <c r="AH808" i="3"/>
  <c r="AI808" i="3"/>
  <c r="Z809" i="3"/>
  <c r="AA809" i="3"/>
  <c r="AJ809" i="3" s="1"/>
  <c r="AB809" i="3"/>
  <c r="AC809" i="3"/>
  <c r="AD809" i="3"/>
  <c r="AE809" i="3"/>
  <c r="AF809" i="3"/>
  <c r="AG809" i="3"/>
  <c r="AH809" i="3"/>
  <c r="AI809" i="3"/>
  <c r="Z810" i="3"/>
  <c r="AJ810" i="3" s="1"/>
  <c r="AA810" i="3"/>
  <c r="AB810" i="3"/>
  <c r="AC810" i="3"/>
  <c r="AD810" i="3"/>
  <c r="AE810" i="3"/>
  <c r="AF810" i="3"/>
  <c r="AG810" i="3"/>
  <c r="AH810" i="3"/>
  <c r="AI810" i="3"/>
  <c r="Z811" i="3"/>
  <c r="AA811" i="3"/>
  <c r="AB811" i="3"/>
  <c r="AC811" i="3"/>
  <c r="AD811" i="3"/>
  <c r="AE811" i="3"/>
  <c r="AF811" i="3"/>
  <c r="AG811" i="3"/>
  <c r="AH811" i="3"/>
  <c r="AI811" i="3"/>
  <c r="Z812" i="3"/>
  <c r="AJ812" i="3" s="1"/>
  <c r="AA812" i="3"/>
  <c r="AB812" i="3"/>
  <c r="AC812" i="3"/>
  <c r="AD812" i="3"/>
  <c r="AE812" i="3"/>
  <c r="AF812" i="3"/>
  <c r="AG812" i="3"/>
  <c r="AH812" i="3"/>
  <c r="AI812" i="3"/>
  <c r="Z813" i="3"/>
  <c r="AJ813" i="3" s="1"/>
  <c r="AA813" i="3"/>
  <c r="AB813" i="3"/>
  <c r="AC813" i="3"/>
  <c r="AD813" i="3"/>
  <c r="AE813" i="3"/>
  <c r="AF813" i="3"/>
  <c r="AG813" i="3"/>
  <c r="AH813" i="3"/>
  <c r="AI813" i="3"/>
  <c r="Z814" i="3"/>
  <c r="AA814" i="3"/>
  <c r="AB814" i="3"/>
  <c r="AC814" i="3"/>
  <c r="AD814" i="3"/>
  <c r="AE814" i="3"/>
  <c r="AF814" i="3"/>
  <c r="AG814" i="3"/>
  <c r="AH814" i="3"/>
  <c r="AI814" i="3"/>
  <c r="AJ814" i="3"/>
  <c r="Z815" i="3"/>
  <c r="AA815" i="3"/>
  <c r="AB815" i="3"/>
  <c r="AC815" i="3"/>
  <c r="AD815" i="3"/>
  <c r="AE815" i="3"/>
  <c r="AF815" i="3"/>
  <c r="AG815" i="3"/>
  <c r="AJ815" i="3" s="1"/>
  <c r="AH815" i="3"/>
  <c r="AI815" i="3"/>
  <c r="Z816" i="3"/>
  <c r="AA816" i="3"/>
  <c r="AB816" i="3"/>
  <c r="AC816" i="3"/>
  <c r="AD816" i="3"/>
  <c r="AJ816" i="3" s="1"/>
  <c r="AE816" i="3"/>
  <c r="AF816" i="3"/>
  <c r="AG816" i="3"/>
  <c r="AH816" i="3"/>
  <c r="AI816" i="3"/>
  <c r="Z817" i="3"/>
  <c r="AA817" i="3"/>
  <c r="AJ817" i="3" s="1"/>
  <c r="AB817" i="3"/>
  <c r="AC817" i="3"/>
  <c r="AD817" i="3"/>
  <c r="AE817" i="3"/>
  <c r="AF817" i="3"/>
  <c r="AG817" i="3"/>
  <c r="AH817" i="3"/>
  <c r="AI817" i="3"/>
  <c r="Z818" i="3"/>
  <c r="AJ818" i="3" s="1"/>
  <c r="AA818" i="3"/>
  <c r="AB818" i="3"/>
  <c r="AC818" i="3"/>
  <c r="AD818" i="3"/>
  <c r="AE818" i="3"/>
  <c r="AF818" i="3"/>
  <c r="AG818" i="3"/>
  <c r="AH818" i="3"/>
  <c r="AI818" i="3"/>
  <c r="Z819" i="3"/>
  <c r="AJ819" i="3" s="1"/>
  <c r="AA819" i="3"/>
  <c r="AB819" i="3"/>
  <c r="AC819" i="3"/>
  <c r="AD819" i="3"/>
  <c r="AE819" i="3"/>
  <c r="AF819" i="3"/>
  <c r="AG819" i="3"/>
  <c r="AH819" i="3"/>
  <c r="AI819" i="3"/>
  <c r="Z820" i="3"/>
  <c r="AJ820" i="3" s="1"/>
  <c r="AA820" i="3"/>
  <c r="AB820" i="3"/>
  <c r="AC820" i="3"/>
  <c r="AD820" i="3"/>
  <c r="AE820" i="3"/>
  <c r="AF820" i="3"/>
  <c r="AG820" i="3"/>
  <c r="AH820" i="3"/>
  <c r="AI820" i="3"/>
  <c r="Z821" i="3"/>
  <c r="AJ821" i="3" s="1"/>
  <c r="AA821" i="3"/>
  <c r="AB821" i="3"/>
  <c r="AC821" i="3"/>
  <c r="AD821" i="3"/>
  <c r="AE821" i="3"/>
  <c r="AF821" i="3"/>
  <c r="AG821" i="3"/>
  <c r="AH821" i="3"/>
  <c r="AI821" i="3"/>
  <c r="Z822" i="3"/>
  <c r="AA822" i="3"/>
  <c r="AB822" i="3"/>
  <c r="AC822" i="3"/>
  <c r="AD822" i="3"/>
  <c r="AE822" i="3"/>
  <c r="AF822" i="3"/>
  <c r="AG822" i="3"/>
  <c r="AH822" i="3"/>
  <c r="AI822" i="3"/>
  <c r="AJ822" i="3"/>
  <c r="Z823" i="3"/>
  <c r="AA823" i="3"/>
  <c r="AB823" i="3"/>
  <c r="AC823" i="3"/>
  <c r="AD823" i="3"/>
  <c r="AE823" i="3"/>
  <c r="AF823" i="3"/>
  <c r="AG823" i="3"/>
  <c r="AJ823" i="3" s="1"/>
  <c r="AH823" i="3"/>
  <c r="AI823" i="3"/>
  <c r="Z824" i="3"/>
  <c r="AA824" i="3"/>
  <c r="AB824" i="3"/>
  <c r="AC824" i="3"/>
  <c r="AD824" i="3"/>
  <c r="AJ824" i="3" s="1"/>
  <c r="AE824" i="3"/>
  <c r="AF824" i="3"/>
  <c r="AG824" i="3"/>
  <c r="AH824" i="3"/>
  <c r="AI824" i="3"/>
  <c r="Z825" i="3"/>
  <c r="AA825" i="3"/>
  <c r="AJ825" i="3" s="1"/>
  <c r="AB825" i="3"/>
  <c r="AC825" i="3"/>
  <c r="AD825" i="3"/>
  <c r="AE825" i="3"/>
  <c r="AF825" i="3"/>
  <c r="AG825" i="3"/>
  <c r="AH825" i="3"/>
  <c r="AI825" i="3"/>
  <c r="Z826" i="3"/>
  <c r="AJ826" i="3" s="1"/>
  <c r="AA826" i="3"/>
  <c r="AB826" i="3"/>
  <c r="AC826" i="3"/>
  <c r="AD826" i="3"/>
  <c r="AE826" i="3"/>
  <c r="AF826" i="3"/>
  <c r="AG826" i="3"/>
  <c r="AH826" i="3"/>
  <c r="AI826" i="3"/>
  <c r="Z827" i="3"/>
  <c r="AJ827" i="3" s="1"/>
  <c r="AA827" i="3"/>
  <c r="AB827" i="3"/>
  <c r="AC827" i="3"/>
  <c r="AD827" i="3"/>
  <c r="AE827" i="3"/>
  <c r="AF827" i="3"/>
  <c r="AG827" i="3"/>
  <c r="AH827" i="3"/>
  <c r="AI827" i="3"/>
  <c r="Z828" i="3"/>
  <c r="AJ828" i="3" s="1"/>
  <c r="AA828" i="3"/>
  <c r="AB828" i="3"/>
  <c r="AC828" i="3"/>
  <c r="AD828" i="3"/>
  <c r="AE828" i="3"/>
  <c r="AF828" i="3"/>
  <c r="AG828" i="3"/>
  <c r="AH828" i="3"/>
  <c r="AI828" i="3"/>
  <c r="Z829" i="3"/>
  <c r="AJ829" i="3" s="1"/>
  <c r="AA829" i="3"/>
  <c r="AB829" i="3"/>
  <c r="AC829" i="3"/>
  <c r="AD829" i="3"/>
  <c r="AE829" i="3"/>
  <c r="AF829" i="3"/>
  <c r="AG829" i="3"/>
  <c r="AH829" i="3"/>
  <c r="AI829" i="3"/>
  <c r="Z830" i="3"/>
  <c r="AA830" i="3"/>
  <c r="AB830" i="3"/>
  <c r="AC830" i="3"/>
  <c r="AD830" i="3"/>
  <c r="AE830" i="3"/>
  <c r="AF830" i="3"/>
  <c r="AG830" i="3"/>
  <c r="AH830" i="3"/>
  <c r="AI830" i="3"/>
  <c r="AJ830" i="3"/>
  <c r="Z831" i="3"/>
  <c r="AA831" i="3"/>
  <c r="AB831" i="3"/>
  <c r="AC831" i="3"/>
  <c r="AD831" i="3"/>
  <c r="AE831" i="3"/>
  <c r="AF831" i="3"/>
  <c r="AG831" i="3"/>
  <c r="AJ831" i="3" s="1"/>
  <c r="AH831" i="3"/>
  <c r="AI831" i="3"/>
  <c r="Z832" i="3"/>
  <c r="AA832" i="3"/>
  <c r="AB832" i="3"/>
  <c r="AC832" i="3"/>
  <c r="AD832" i="3"/>
  <c r="AJ832" i="3" s="1"/>
  <c r="AE832" i="3"/>
  <c r="AF832" i="3"/>
  <c r="AG832" i="3"/>
  <c r="AH832" i="3"/>
  <c r="AI832" i="3"/>
  <c r="Z833" i="3"/>
  <c r="AA833" i="3"/>
  <c r="AJ833" i="3" s="1"/>
  <c r="AB833" i="3"/>
  <c r="AC833" i="3"/>
  <c r="AD833" i="3"/>
  <c r="AE833" i="3"/>
  <c r="AF833" i="3"/>
  <c r="AG833" i="3"/>
  <c r="AH833" i="3"/>
  <c r="AI833" i="3"/>
  <c r="Z834" i="3"/>
  <c r="AJ834" i="3" s="1"/>
  <c r="AA834" i="3"/>
  <c r="AB834" i="3"/>
  <c r="AC834" i="3"/>
  <c r="AD834" i="3"/>
  <c r="AE834" i="3"/>
  <c r="AF834" i="3"/>
  <c r="AG834" i="3"/>
  <c r="AH834" i="3"/>
  <c r="AI834" i="3"/>
  <c r="Z835" i="3"/>
  <c r="AJ835" i="3" s="1"/>
  <c r="AA835" i="3"/>
  <c r="AB835" i="3"/>
  <c r="AC835" i="3"/>
  <c r="AD835" i="3"/>
  <c r="AE835" i="3"/>
  <c r="AF835" i="3"/>
  <c r="AG835" i="3"/>
  <c r="AH835" i="3"/>
  <c r="AI835" i="3"/>
  <c r="Z836" i="3"/>
  <c r="AJ836" i="3" s="1"/>
  <c r="AA836" i="3"/>
  <c r="AB836" i="3"/>
  <c r="AC836" i="3"/>
  <c r="AD836" i="3"/>
  <c r="AE836" i="3"/>
  <c r="AF836" i="3"/>
  <c r="AG836" i="3"/>
  <c r="AH836" i="3"/>
  <c r="AI836" i="3"/>
  <c r="Z837" i="3"/>
  <c r="AJ837" i="3" s="1"/>
  <c r="AA837" i="3"/>
  <c r="AB837" i="3"/>
  <c r="AC837" i="3"/>
  <c r="AD837" i="3"/>
  <c r="AE837" i="3"/>
  <c r="AF837" i="3"/>
  <c r="AG837" i="3"/>
  <c r="AH837" i="3"/>
  <c r="AI837" i="3"/>
  <c r="Z838" i="3"/>
  <c r="AA838" i="3"/>
  <c r="AB838" i="3"/>
  <c r="AC838" i="3"/>
  <c r="AD838" i="3"/>
  <c r="AE838" i="3"/>
  <c r="AF838" i="3"/>
  <c r="AG838" i="3"/>
  <c r="AH838" i="3"/>
  <c r="AI838" i="3"/>
  <c r="AJ838" i="3"/>
  <c r="Z839" i="3"/>
  <c r="AA839" i="3"/>
  <c r="AB839" i="3"/>
  <c r="AC839" i="3"/>
  <c r="AD839" i="3"/>
  <c r="AE839" i="3"/>
  <c r="AF839" i="3"/>
  <c r="AG839" i="3"/>
  <c r="AJ839" i="3" s="1"/>
  <c r="AH839" i="3"/>
  <c r="AI839" i="3"/>
  <c r="Z840" i="3"/>
  <c r="AA840" i="3"/>
  <c r="AB840" i="3"/>
  <c r="AC840" i="3"/>
  <c r="AD840" i="3"/>
  <c r="AJ840" i="3" s="1"/>
  <c r="AE840" i="3"/>
  <c r="AF840" i="3"/>
  <c r="AG840" i="3"/>
  <c r="AH840" i="3"/>
  <c r="AI840" i="3"/>
  <c r="Z841" i="3"/>
  <c r="AA841" i="3"/>
  <c r="AJ841" i="3" s="1"/>
  <c r="AB841" i="3"/>
  <c r="AC841" i="3"/>
  <c r="AD841" i="3"/>
  <c r="AE841" i="3"/>
  <c r="AF841" i="3"/>
  <c r="AG841" i="3"/>
  <c r="AH841" i="3"/>
  <c r="AI841" i="3"/>
  <c r="Z842" i="3"/>
  <c r="AJ842" i="3" s="1"/>
  <c r="AA842" i="3"/>
  <c r="AB842" i="3"/>
  <c r="AC842" i="3"/>
  <c r="AD842" i="3"/>
  <c r="AE842" i="3"/>
  <c r="AF842" i="3"/>
  <c r="AG842" i="3"/>
  <c r="AH842" i="3"/>
  <c r="AI842" i="3"/>
  <c r="Z843" i="3"/>
  <c r="AJ843" i="3" s="1"/>
  <c r="AA843" i="3"/>
  <c r="AB843" i="3"/>
  <c r="AC843" i="3"/>
  <c r="AD843" i="3"/>
  <c r="AE843" i="3"/>
  <c r="AF843" i="3"/>
  <c r="AG843" i="3"/>
  <c r="AH843" i="3"/>
  <c r="AI843" i="3"/>
  <c r="Z844" i="3"/>
  <c r="AJ844" i="3" s="1"/>
  <c r="AA844" i="3"/>
  <c r="AB844" i="3"/>
  <c r="AC844" i="3"/>
  <c r="AD844" i="3"/>
  <c r="AE844" i="3"/>
  <c r="AF844" i="3"/>
  <c r="AG844" i="3"/>
  <c r="AH844" i="3"/>
  <c r="AI844" i="3"/>
  <c r="Z845" i="3"/>
  <c r="AJ845" i="3" s="1"/>
  <c r="AA845" i="3"/>
  <c r="AB845" i="3"/>
  <c r="AC845" i="3"/>
  <c r="AD845" i="3"/>
  <c r="AE845" i="3"/>
  <c r="AF845" i="3"/>
  <c r="AG845" i="3"/>
  <c r="AH845" i="3"/>
  <c r="AI845" i="3"/>
  <c r="Z846" i="3"/>
  <c r="AA846" i="3"/>
  <c r="AB846" i="3"/>
  <c r="AC846" i="3"/>
  <c r="AD846" i="3"/>
  <c r="AE846" i="3"/>
  <c r="AF846" i="3"/>
  <c r="AG846" i="3"/>
  <c r="AH846" i="3"/>
  <c r="AI846" i="3"/>
  <c r="AJ846" i="3"/>
  <c r="Z847" i="3"/>
  <c r="AA847" i="3"/>
  <c r="AB847" i="3"/>
  <c r="AC847" i="3"/>
  <c r="AD847" i="3"/>
  <c r="AE847" i="3"/>
  <c r="AF847" i="3"/>
  <c r="AG847" i="3"/>
  <c r="AJ847" i="3" s="1"/>
  <c r="AH847" i="3"/>
  <c r="AI847" i="3"/>
  <c r="Z848" i="3"/>
  <c r="AA848" i="3"/>
  <c r="AB848" i="3"/>
  <c r="AC848" i="3"/>
  <c r="AD848" i="3"/>
  <c r="AJ848" i="3" s="1"/>
  <c r="AE848" i="3"/>
  <c r="AF848" i="3"/>
  <c r="AG848" i="3"/>
  <c r="AH848" i="3"/>
  <c r="AI848" i="3"/>
  <c r="Z849" i="3"/>
  <c r="AA849" i="3"/>
  <c r="AJ849" i="3" s="1"/>
  <c r="AB849" i="3"/>
  <c r="AC849" i="3"/>
  <c r="AD849" i="3"/>
  <c r="AE849" i="3"/>
  <c r="AF849" i="3"/>
  <c r="AG849" i="3"/>
  <c r="AH849" i="3"/>
  <c r="AI849" i="3"/>
  <c r="Z850" i="3"/>
  <c r="AJ850" i="3" s="1"/>
  <c r="AA850" i="3"/>
  <c r="AB850" i="3"/>
  <c r="AC850" i="3"/>
  <c r="AD850" i="3"/>
  <c r="AE850" i="3"/>
  <c r="AF850" i="3"/>
  <c r="AG850" i="3"/>
  <c r="AH850" i="3"/>
  <c r="AI850" i="3"/>
  <c r="Z851" i="3"/>
  <c r="AA851" i="3"/>
  <c r="AB851" i="3"/>
  <c r="AC851" i="3"/>
  <c r="AD851" i="3"/>
  <c r="AE851" i="3"/>
  <c r="AF851" i="3"/>
  <c r="AG851" i="3"/>
  <c r="AH851" i="3"/>
  <c r="AI851" i="3"/>
  <c r="Z852" i="3"/>
  <c r="AA852" i="3"/>
  <c r="AB852" i="3"/>
  <c r="AC852" i="3"/>
  <c r="AD852" i="3"/>
  <c r="AE852" i="3"/>
  <c r="AF852" i="3"/>
  <c r="AG852" i="3"/>
  <c r="AH852" i="3"/>
  <c r="AI852" i="3"/>
  <c r="Z853" i="3"/>
  <c r="AJ853" i="3" s="1"/>
  <c r="AA853" i="3"/>
  <c r="AB853" i="3"/>
  <c r="AC853" i="3"/>
  <c r="AD853" i="3"/>
  <c r="AE853" i="3"/>
  <c r="AF853" i="3"/>
  <c r="AG853" i="3"/>
  <c r="AH853" i="3"/>
  <c r="AI853" i="3"/>
  <c r="Z854" i="3"/>
  <c r="AA854" i="3"/>
  <c r="AB854" i="3"/>
  <c r="AC854" i="3"/>
  <c r="AD854" i="3"/>
  <c r="AE854" i="3"/>
  <c r="AF854" i="3"/>
  <c r="AG854" i="3"/>
  <c r="AH854" i="3"/>
  <c r="AI854" i="3"/>
  <c r="AJ854" i="3"/>
  <c r="Z855" i="3"/>
  <c r="AA855" i="3"/>
  <c r="AB855" i="3"/>
  <c r="AC855" i="3"/>
  <c r="AD855" i="3"/>
  <c r="AE855" i="3"/>
  <c r="AF855" i="3"/>
  <c r="AG855" i="3"/>
  <c r="AJ855" i="3" s="1"/>
  <c r="AH855" i="3"/>
  <c r="AI855" i="3"/>
  <c r="Z856" i="3"/>
  <c r="AA856" i="3"/>
  <c r="AB856" i="3"/>
  <c r="AC856" i="3"/>
  <c r="AD856" i="3"/>
  <c r="AJ856" i="3" s="1"/>
  <c r="AE856" i="3"/>
  <c r="AF856" i="3"/>
  <c r="AG856" i="3"/>
  <c r="AH856" i="3"/>
  <c r="AI856" i="3"/>
  <c r="Z857" i="3"/>
  <c r="AA857" i="3"/>
  <c r="AB857" i="3"/>
  <c r="AC857" i="3"/>
  <c r="AD857" i="3"/>
  <c r="AE857" i="3"/>
  <c r="AF857" i="3"/>
  <c r="AG857" i="3"/>
  <c r="AH857" i="3"/>
  <c r="AI857" i="3"/>
  <c r="Z858" i="3"/>
  <c r="AA858" i="3"/>
  <c r="AB858" i="3"/>
  <c r="AC858" i="3"/>
  <c r="AD858" i="3"/>
  <c r="AE858" i="3"/>
  <c r="AF858" i="3"/>
  <c r="AG858" i="3"/>
  <c r="AH858" i="3"/>
  <c r="AI858" i="3"/>
  <c r="Z859" i="3"/>
  <c r="AA859" i="3"/>
  <c r="AB859" i="3"/>
  <c r="AC859" i="3"/>
  <c r="AD859" i="3"/>
  <c r="AE859" i="3"/>
  <c r="AF859" i="3"/>
  <c r="AG859" i="3"/>
  <c r="AH859" i="3"/>
  <c r="AI859" i="3"/>
  <c r="Z860" i="3"/>
  <c r="AA860" i="3"/>
  <c r="AB860" i="3"/>
  <c r="AC860" i="3"/>
  <c r="AD860" i="3"/>
  <c r="AE860" i="3"/>
  <c r="AF860" i="3"/>
  <c r="AG860" i="3"/>
  <c r="AH860" i="3"/>
  <c r="AI860" i="3"/>
  <c r="Z861" i="3"/>
  <c r="AJ861" i="3" s="1"/>
  <c r="AA861" i="3"/>
  <c r="AB861" i="3"/>
  <c r="AC861" i="3"/>
  <c r="AD861" i="3"/>
  <c r="AE861" i="3"/>
  <c r="AF861" i="3"/>
  <c r="AG861" i="3"/>
  <c r="AH861" i="3"/>
  <c r="AI861" i="3"/>
  <c r="Z862" i="3"/>
  <c r="AA862" i="3"/>
  <c r="AB862" i="3"/>
  <c r="AC862" i="3"/>
  <c r="AD862" i="3"/>
  <c r="AE862" i="3"/>
  <c r="AF862" i="3"/>
  <c r="AG862" i="3"/>
  <c r="AH862" i="3"/>
  <c r="AI862" i="3"/>
  <c r="AJ862" i="3"/>
  <c r="Z863" i="3"/>
  <c r="AA863" i="3"/>
  <c r="AB863" i="3"/>
  <c r="AC863" i="3"/>
  <c r="AD863" i="3"/>
  <c r="AE863" i="3"/>
  <c r="AF863" i="3"/>
  <c r="AG863" i="3"/>
  <c r="AJ863" i="3" s="1"/>
  <c r="AH863" i="3"/>
  <c r="AI863" i="3"/>
  <c r="Z864" i="3"/>
  <c r="AA864" i="3"/>
  <c r="AB864" i="3"/>
  <c r="AC864" i="3"/>
  <c r="AD864" i="3"/>
  <c r="AJ864" i="3" s="1"/>
  <c r="AE864" i="3"/>
  <c r="AF864" i="3"/>
  <c r="AG864" i="3"/>
  <c r="AH864" i="3"/>
  <c r="AI864" i="3"/>
  <c r="Z865" i="3"/>
  <c r="AA865" i="3"/>
  <c r="AB865" i="3"/>
  <c r="AC865" i="3"/>
  <c r="AD865" i="3"/>
  <c r="AE865" i="3"/>
  <c r="AF865" i="3"/>
  <c r="AG865" i="3"/>
  <c r="AH865" i="3"/>
  <c r="AI865" i="3"/>
  <c r="Z866" i="3"/>
  <c r="AJ866" i="3" s="1"/>
  <c r="AA866" i="3"/>
  <c r="AB866" i="3"/>
  <c r="AC866" i="3"/>
  <c r="AD866" i="3"/>
  <c r="AE866" i="3"/>
  <c r="AF866" i="3"/>
  <c r="AG866" i="3"/>
  <c r="AH866" i="3"/>
  <c r="AI866" i="3"/>
  <c r="Z867" i="3"/>
  <c r="AA867" i="3"/>
  <c r="AB867" i="3"/>
  <c r="AC867" i="3"/>
  <c r="AD867" i="3"/>
  <c r="AE867" i="3"/>
  <c r="AF867" i="3"/>
  <c r="AG867" i="3"/>
  <c r="AH867" i="3"/>
  <c r="AI867" i="3"/>
  <c r="Z868" i="3"/>
  <c r="AA868" i="3"/>
  <c r="AB868" i="3"/>
  <c r="AC868" i="3"/>
  <c r="AD868" i="3"/>
  <c r="AE868" i="3"/>
  <c r="AF868" i="3"/>
  <c r="AG868" i="3"/>
  <c r="AH868" i="3"/>
  <c r="AI868" i="3"/>
  <c r="Z869" i="3"/>
  <c r="AA869" i="3"/>
  <c r="AB869" i="3"/>
  <c r="AC869" i="3"/>
  <c r="AD869" i="3"/>
  <c r="AE869" i="3"/>
  <c r="AF869" i="3"/>
  <c r="AG869" i="3"/>
  <c r="AH869" i="3"/>
  <c r="AI869" i="3"/>
  <c r="Z870" i="3"/>
  <c r="AA870" i="3"/>
  <c r="AB870" i="3"/>
  <c r="AC870" i="3"/>
  <c r="AD870" i="3"/>
  <c r="AE870" i="3"/>
  <c r="AF870" i="3"/>
  <c r="AG870" i="3"/>
  <c r="AH870" i="3"/>
  <c r="AI870" i="3"/>
  <c r="AJ870" i="3"/>
  <c r="Z871" i="3"/>
  <c r="AA871" i="3"/>
  <c r="AB871" i="3"/>
  <c r="AC871" i="3"/>
  <c r="AD871" i="3"/>
  <c r="AE871" i="3"/>
  <c r="AF871" i="3"/>
  <c r="AG871" i="3"/>
  <c r="AJ871" i="3" s="1"/>
  <c r="AH871" i="3"/>
  <c r="AI871" i="3"/>
  <c r="Z872" i="3"/>
  <c r="AA872" i="3"/>
  <c r="AB872" i="3"/>
  <c r="AC872" i="3"/>
  <c r="AD872" i="3"/>
  <c r="AJ872" i="3" s="1"/>
  <c r="AE872" i="3"/>
  <c r="AF872" i="3"/>
  <c r="AG872" i="3"/>
  <c r="AH872" i="3"/>
  <c r="AI872" i="3"/>
  <c r="Z873" i="3"/>
  <c r="AA873" i="3"/>
  <c r="AB873" i="3"/>
  <c r="AC873" i="3"/>
  <c r="AD873" i="3"/>
  <c r="AE873" i="3"/>
  <c r="AF873" i="3"/>
  <c r="AG873" i="3"/>
  <c r="AH873" i="3"/>
  <c r="AI873" i="3"/>
  <c r="Z874" i="3"/>
  <c r="AJ874" i="3" s="1"/>
  <c r="AA874" i="3"/>
  <c r="AB874" i="3"/>
  <c r="AC874" i="3"/>
  <c r="AD874" i="3"/>
  <c r="AE874" i="3"/>
  <c r="AF874" i="3"/>
  <c r="AG874" i="3"/>
  <c r="AH874" i="3"/>
  <c r="AI874" i="3"/>
  <c r="Z875" i="3"/>
  <c r="AA875" i="3"/>
  <c r="AJ875" i="3" s="1"/>
  <c r="AB875" i="3"/>
  <c r="AC875" i="3"/>
  <c r="AD875" i="3"/>
  <c r="AE875" i="3"/>
  <c r="AF875" i="3"/>
  <c r="AG875" i="3"/>
  <c r="AH875" i="3"/>
  <c r="AI875" i="3"/>
  <c r="Z876" i="3"/>
  <c r="AA876" i="3"/>
  <c r="AB876" i="3"/>
  <c r="AC876" i="3"/>
  <c r="AD876" i="3"/>
  <c r="AE876" i="3"/>
  <c r="AF876" i="3"/>
  <c r="AG876" i="3"/>
  <c r="AH876" i="3"/>
  <c r="AI876" i="3"/>
  <c r="Z877" i="3"/>
  <c r="AA877" i="3"/>
  <c r="AB877" i="3"/>
  <c r="AC877" i="3"/>
  <c r="AD877" i="3"/>
  <c r="AE877" i="3"/>
  <c r="AF877" i="3"/>
  <c r="AG877" i="3"/>
  <c r="AH877" i="3"/>
  <c r="AI877" i="3"/>
  <c r="Z878" i="3"/>
  <c r="AA878" i="3"/>
  <c r="AB878" i="3"/>
  <c r="AC878" i="3"/>
  <c r="AD878" i="3"/>
  <c r="AE878" i="3"/>
  <c r="AF878" i="3"/>
  <c r="AG878" i="3"/>
  <c r="AH878" i="3"/>
  <c r="AI878" i="3"/>
  <c r="AJ878" i="3"/>
  <c r="Z879" i="3"/>
  <c r="AA879" i="3"/>
  <c r="AB879" i="3"/>
  <c r="AC879" i="3"/>
  <c r="AD879" i="3"/>
  <c r="AE879" i="3"/>
  <c r="AF879" i="3"/>
  <c r="AG879" i="3"/>
  <c r="AJ879" i="3" s="1"/>
  <c r="AH879" i="3"/>
  <c r="AI879" i="3"/>
  <c r="Z880" i="3"/>
  <c r="AA880" i="3"/>
  <c r="AB880" i="3"/>
  <c r="AC880" i="3"/>
  <c r="AD880" i="3"/>
  <c r="AJ880" i="3" s="1"/>
  <c r="AE880" i="3"/>
  <c r="AF880" i="3"/>
  <c r="AG880" i="3"/>
  <c r="AH880" i="3"/>
  <c r="AI880" i="3"/>
  <c r="Z881" i="3"/>
  <c r="AA881" i="3"/>
  <c r="AB881" i="3"/>
  <c r="AC881" i="3"/>
  <c r="AD881" i="3"/>
  <c r="AE881" i="3"/>
  <c r="AF881" i="3"/>
  <c r="AG881" i="3"/>
  <c r="AH881" i="3"/>
  <c r="AI881" i="3"/>
  <c r="Z882" i="3"/>
  <c r="AA882" i="3"/>
  <c r="AB882" i="3"/>
  <c r="AC882" i="3"/>
  <c r="AD882" i="3"/>
  <c r="AE882" i="3"/>
  <c r="AF882" i="3"/>
  <c r="AG882" i="3"/>
  <c r="AH882" i="3"/>
  <c r="AI882" i="3"/>
  <c r="Z883" i="3"/>
  <c r="AA883" i="3"/>
  <c r="AJ883" i="3" s="1"/>
  <c r="AB883" i="3"/>
  <c r="AC883" i="3"/>
  <c r="AD883" i="3"/>
  <c r="AE883" i="3"/>
  <c r="AF883" i="3"/>
  <c r="AG883" i="3"/>
  <c r="AH883" i="3"/>
  <c r="AI883" i="3"/>
  <c r="Z884" i="3"/>
  <c r="AA884" i="3"/>
  <c r="AB884" i="3"/>
  <c r="AC884" i="3"/>
  <c r="AD884" i="3"/>
  <c r="AE884" i="3"/>
  <c r="AF884" i="3"/>
  <c r="AG884" i="3"/>
  <c r="AH884" i="3"/>
  <c r="AI884" i="3"/>
  <c r="Z885" i="3"/>
  <c r="AJ885" i="3" s="1"/>
  <c r="AA885" i="3"/>
  <c r="AB885" i="3"/>
  <c r="AC885" i="3"/>
  <c r="AD885" i="3"/>
  <c r="AE885" i="3"/>
  <c r="AF885" i="3"/>
  <c r="AG885" i="3"/>
  <c r="AH885" i="3"/>
  <c r="AI885" i="3"/>
  <c r="Z886" i="3"/>
  <c r="AA886" i="3"/>
  <c r="AB886" i="3"/>
  <c r="AC886" i="3"/>
  <c r="AD886" i="3"/>
  <c r="AE886" i="3"/>
  <c r="AF886" i="3"/>
  <c r="AG886" i="3"/>
  <c r="AH886" i="3"/>
  <c r="AI886" i="3"/>
  <c r="AJ886" i="3"/>
  <c r="Z887" i="3"/>
  <c r="AA887" i="3"/>
  <c r="AB887" i="3"/>
  <c r="AC887" i="3"/>
  <c r="AD887" i="3"/>
  <c r="AE887" i="3"/>
  <c r="AF887" i="3"/>
  <c r="AG887" i="3"/>
  <c r="AJ887" i="3" s="1"/>
  <c r="AH887" i="3"/>
  <c r="AI887" i="3"/>
  <c r="Z888" i="3"/>
  <c r="AA888" i="3"/>
  <c r="AB888" i="3"/>
  <c r="AC888" i="3"/>
  <c r="AD888" i="3"/>
  <c r="AJ888" i="3" s="1"/>
  <c r="AE888" i="3"/>
  <c r="AF888" i="3"/>
  <c r="AG888" i="3"/>
  <c r="AH888" i="3"/>
  <c r="AI888" i="3"/>
  <c r="Z889" i="3"/>
  <c r="AA889" i="3"/>
  <c r="AB889" i="3"/>
  <c r="AC889" i="3"/>
  <c r="AD889" i="3"/>
  <c r="AE889" i="3"/>
  <c r="AF889" i="3"/>
  <c r="AG889" i="3"/>
  <c r="AH889" i="3"/>
  <c r="AI889" i="3"/>
  <c r="Z890" i="3"/>
  <c r="AJ890" i="3" s="1"/>
  <c r="AA890" i="3"/>
  <c r="AB890" i="3"/>
  <c r="AC890" i="3"/>
  <c r="AD890" i="3"/>
  <c r="AE890" i="3"/>
  <c r="AF890" i="3"/>
  <c r="AG890" i="3"/>
  <c r="AH890" i="3"/>
  <c r="AI890" i="3"/>
  <c r="Z891" i="3"/>
  <c r="AA891" i="3"/>
  <c r="AB891" i="3"/>
  <c r="AC891" i="3"/>
  <c r="AD891" i="3"/>
  <c r="AE891" i="3"/>
  <c r="AF891" i="3"/>
  <c r="AG891" i="3"/>
  <c r="AH891" i="3"/>
  <c r="AI891" i="3"/>
  <c r="Z892" i="3"/>
  <c r="AA892" i="3"/>
  <c r="AB892" i="3"/>
  <c r="AC892" i="3"/>
  <c r="AD892" i="3"/>
  <c r="AE892" i="3"/>
  <c r="AF892" i="3"/>
  <c r="AG892" i="3"/>
  <c r="AH892" i="3"/>
  <c r="AI892" i="3"/>
  <c r="Z893" i="3"/>
  <c r="AA893" i="3"/>
  <c r="AB893" i="3"/>
  <c r="AC893" i="3"/>
  <c r="AD893" i="3"/>
  <c r="AE893" i="3"/>
  <c r="AF893" i="3"/>
  <c r="AG893" i="3"/>
  <c r="AH893" i="3"/>
  <c r="AI893" i="3"/>
  <c r="Z894" i="3"/>
  <c r="AA894" i="3"/>
  <c r="AB894" i="3"/>
  <c r="AC894" i="3"/>
  <c r="AD894" i="3"/>
  <c r="AE894" i="3"/>
  <c r="AF894" i="3"/>
  <c r="AG894" i="3"/>
  <c r="AH894" i="3"/>
  <c r="AI894" i="3"/>
  <c r="AJ894" i="3"/>
  <c r="Z895" i="3"/>
  <c r="AA895" i="3"/>
  <c r="AB895" i="3"/>
  <c r="AC895" i="3"/>
  <c r="AD895" i="3"/>
  <c r="AE895" i="3"/>
  <c r="AF895" i="3"/>
  <c r="AG895" i="3"/>
  <c r="AJ895" i="3" s="1"/>
  <c r="AH895" i="3"/>
  <c r="AI895" i="3"/>
  <c r="Z896" i="3"/>
  <c r="AA896" i="3"/>
  <c r="AB896" i="3"/>
  <c r="AC896" i="3"/>
  <c r="AD896" i="3"/>
  <c r="AJ896" i="3" s="1"/>
  <c r="AE896" i="3"/>
  <c r="AF896" i="3"/>
  <c r="AG896" i="3"/>
  <c r="AH896" i="3"/>
  <c r="AI896" i="3"/>
  <c r="Z897" i="3"/>
  <c r="AA897" i="3"/>
  <c r="AB897" i="3"/>
  <c r="AC897" i="3"/>
  <c r="AD897" i="3"/>
  <c r="AE897" i="3"/>
  <c r="AF897" i="3"/>
  <c r="AG897" i="3"/>
  <c r="AH897" i="3"/>
  <c r="AI897" i="3"/>
  <c r="Z898" i="3"/>
  <c r="AJ898" i="3" s="1"/>
  <c r="AA898" i="3"/>
  <c r="AB898" i="3"/>
  <c r="AC898" i="3"/>
  <c r="AD898" i="3"/>
  <c r="AE898" i="3"/>
  <c r="AF898" i="3"/>
  <c r="AG898" i="3"/>
  <c r="AH898" i="3"/>
  <c r="AI898" i="3"/>
  <c r="Z899" i="3"/>
  <c r="AA899" i="3"/>
  <c r="AB899" i="3"/>
  <c r="AC899" i="3"/>
  <c r="AD899" i="3"/>
  <c r="AE899" i="3"/>
  <c r="AF899" i="3"/>
  <c r="AG899" i="3"/>
  <c r="AH899" i="3"/>
  <c r="AI899" i="3"/>
  <c r="Z900" i="3"/>
  <c r="AA900" i="3"/>
  <c r="AB900" i="3"/>
  <c r="AC900" i="3"/>
  <c r="AD900" i="3"/>
  <c r="AE900" i="3"/>
  <c r="AF900" i="3"/>
  <c r="AG900" i="3"/>
  <c r="AH900" i="3"/>
  <c r="AI900" i="3"/>
  <c r="Z901" i="3"/>
  <c r="AJ901" i="3" s="1"/>
  <c r="AA901" i="3"/>
  <c r="AB901" i="3"/>
  <c r="AC901" i="3"/>
  <c r="AD901" i="3"/>
  <c r="AE901" i="3"/>
  <c r="AF901" i="3"/>
  <c r="AG901" i="3"/>
  <c r="AH901" i="3"/>
  <c r="AI901" i="3"/>
  <c r="Z902" i="3"/>
  <c r="AA902" i="3"/>
  <c r="AB902" i="3"/>
  <c r="AC902" i="3"/>
  <c r="AD902" i="3"/>
  <c r="AE902" i="3"/>
  <c r="AF902" i="3"/>
  <c r="AG902" i="3"/>
  <c r="AH902" i="3"/>
  <c r="AI902" i="3"/>
  <c r="AJ902" i="3"/>
  <c r="Z903" i="3"/>
  <c r="AA903" i="3"/>
  <c r="AB903" i="3"/>
  <c r="AC903" i="3"/>
  <c r="AD903" i="3"/>
  <c r="AE903" i="3"/>
  <c r="AF903" i="3"/>
  <c r="AG903" i="3"/>
  <c r="AJ903" i="3" s="1"/>
  <c r="AH903" i="3"/>
  <c r="AI903" i="3"/>
  <c r="Z904" i="3"/>
  <c r="AA904" i="3"/>
  <c r="AB904" i="3"/>
  <c r="AC904" i="3"/>
  <c r="AD904" i="3"/>
  <c r="AJ904" i="3" s="1"/>
  <c r="AE904" i="3"/>
  <c r="AF904" i="3"/>
  <c r="AG904" i="3"/>
  <c r="AH904" i="3"/>
  <c r="AI904" i="3"/>
  <c r="Z905" i="3"/>
  <c r="AA905" i="3"/>
  <c r="AB905" i="3"/>
  <c r="AC905" i="3"/>
  <c r="AD905" i="3"/>
  <c r="AE905" i="3"/>
  <c r="AF905" i="3"/>
  <c r="AG905" i="3"/>
  <c r="AH905" i="3"/>
  <c r="AI905" i="3"/>
  <c r="Z906" i="3"/>
  <c r="AJ906" i="3" s="1"/>
  <c r="AA906" i="3"/>
  <c r="AB906" i="3"/>
  <c r="AC906" i="3"/>
  <c r="AD906" i="3"/>
  <c r="AE906" i="3"/>
  <c r="AF906" i="3"/>
  <c r="AG906" i="3"/>
  <c r="AH906" i="3"/>
  <c r="AI906" i="3"/>
  <c r="Z907" i="3"/>
  <c r="AA907" i="3"/>
  <c r="AJ907" i="3" s="1"/>
  <c r="AB907" i="3"/>
  <c r="AC907" i="3"/>
  <c r="AD907" i="3"/>
  <c r="AE907" i="3"/>
  <c r="AF907" i="3"/>
  <c r="AG907" i="3"/>
  <c r="AH907" i="3"/>
  <c r="AI907" i="3"/>
  <c r="Z908" i="3"/>
  <c r="AA908" i="3"/>
  <c r="AB908" i="3"/>
  <c r="AC908" i="3"/>
  <c r="AD908" i="3"/>
  <c r="AE908" i="3"/>
  <c r="AF908" i="3"/>
  <c r="AG908" i="3"/>
  <c r="AH908" i="3"/>
  <c r="AI908" i="3"/>
  <c r="Z909" i="3"/>
  <c r="AA909" i="3"/>
  <c r="AB909" i="3"/>
  <c r="AC909" i="3"/>
  <c r="AD909" i="3"/>
  <c r="AE909" i="3"/>
  <c r="AF909" i="3"/>
  <c r="AG909" i="3"/>
  <c r="AH909" i="3"/>
  <c r="AI909" i="3"/>
  <c r="Z910" i="3"/>
  <c r="AA910" i="3"/>
  <c r="AB910" i="3"/>
  <c r="AC910" i="3"/>
  <c r="AD910" i="3"/>
  <c r="AE910" i="3"/>
  <c r="AF910" i="3"/>
  <c r="AG910" i="3"/>
  <c r="AH910" i="3"/>
  <c r="AI910" i="3"/>
  <c r="AJ910" i="3"/>
  <c r="Z911" i="3"/>
  <c r="AA911" i="3"/>
  <c r="AB911" i="3"/>
  <c r="AC911" i="3"/>
  <c r="AD911" i="3"/>
  <c r="AE911" i="3"/>
  <c r="AF911" i="3"/>
  <c r="AG911" i="3"/>
  <c r="AJ911" i="3" s="1"/>
  <c r="AH911" i="3"/>
  <c r="AI911" i="3"/>
  <c r="Z912" i="3"/>
  <c r="AA912" i="3"/>
  <c r="AB912" i="3"/>
  <c r="AC912" i="3"/>
  <c r="AD912" i="3"/>
  <c r="AJ912" i="3" s="1"/>
  <c r="AE912" i="3"/>
  <c r="AF912" i="3"/>
  <c r="AG912" i="3"/>
  <c r="AH912" i="3"/>
  <c r="AI912" i="3"/>
  <c r="Z913" i="3"/>
  <c r="AA913" i="3"/>
  <c r="AB913" i="3"/>
  <c r="AC913" i="3"/>
  <c r="AD913" i="3"/>
  <c r="AE913" i="3"/>
  <c r="AF913" i="3"/>
  <c r="AG913" i="3"/>
  <c r="AH913" i="3"/>
  <c r="AI913" i="3"/>
  <c r="Z914" i="3"/>
  <c r="AA914" i="3"/>
  <c r="AB914" i="3"/>
  <c r="AC914" i="3"/>
  <c r="AD914" i="3"/>
  <c r="AE914" i="3"/>
  <c r="AF914" i="3"/>
  <c r="AG914" i="3"/>
  <c r="AH914" i="3"/>
  <c r="AI914" i="3"/>
  <c r="Z915" i="3"/>
  <c r="AA915" i="3"/>
  <c r="AB915" i="3"/>
  <c r="AC915" i="3"/>
  <c r="AD915" i="3"/>
  <c r="AE915" i="3"/>
  <c r="AF915" i="3"/>
  <c r="AG915" i="3"/>
  <c r="AH915" i="3"/>
  <c r="AI915" i="3"/>
  <c r="Z916" i="3"/>
  <c r="AA916" i="3"/>
  <c r="AB916" i="3"/>
  <c r="AC916" i="3"/>
  <c r="AD916" i="3"/>
  <c r="AE916" i="3"/>
  <c r="AF916" i="3"/>
  <c r="AG916" i="3"/>
  <c r="AH916" i="3"/>
  <c r="AI916" i="3"/>
  <c r="Z917" i="3"/>
  <c r="AJ917" i="3" s="1"/>
  <c r="AA917" i="3"/>
  <c r="AB917" i="3"/>
  <c r="AC917" i="3"/>
  <c r="AD917" i="3"/>
  <c r="AE917" i="3"/>
  <c r="AF917" i="3"/>
  <c r="AG917" i="3"/>
  <c r="AH917" i="3"/>
  <c r="AI917" i="3"/>
  <c r="Z918" i="3"/>
  <c r="AA918" i="3"/>
  <c r="AB918" i="3"/>
  <c r="AC918" i="3"/>
  <c r="AD918" i="3"/>
  <c r="AE918" i="3"/>
  <c r="AF918" i="3"/>
  <c r="AG918" i="3"/>
  <c r="AH918" i="3"/>
  <c r="AI918" i="3"/>
  <c r="AJ918" i="3"/>
  <c r="Z919" i="3"/>
  <c r="AA919" i="3"/>
  <c r="AB919" i="3"/>
  <c r="AC919" i="3"/>
  <c r="AD919" i="3"/>
  <c r="AE919" i="3"/>
  <c r="AF919" i="3"/>
  <c r="AG919" i="3"/>
  <c r="AJ919" i="3" s="1"/>
  <c r="AH919" i="3"/>
  <c r="AI919" i="3"/>
  <c r="Z920" i="3"/>
  <c r="AA920" i="3"/>
  <c r="AB920" i="3"/>
  <c r="AC920" i="3"/>
  <c r="AD920" i="3"/>
  <c r="AJ920" i="3" s="1"/>
  <c r="AE920" i="3"/>
  <c r="AF920" i="3"/>
  <c r="AG920" i="3"/>
  <c r="AH920" i="3"/>
  <c r="AI920" i="3"/>
  <c r="Z921" i="3"/>
  <c r="AA921" i="3"/>
  <c r="AB921" i="3"/>
  <c r="AC921" i="3"/>
  <c r="AD921" i="3"/>
  <c r="AE921" i="3"/>
  <c r="AF921" i="3"/>
  <c r="AG921" i="3"/>
  <c r="AH921" i="3"/>
  <c r="AI921" i="3"/>
  <c r="Z922" i="3"/>
  <c r="AA922" i="3"/>
  <c r="AB922" i="3"/>
  <c r="AC922" i="3"/>
  <c r="AD922" i="3"/>
  <c r="AE922" i="3"/>
  <c r="AF922" i="3"/>
  <c r="AG922" i="3"/>
  <c r="AH922" i="3"/>
  <c r="AI922" i="3"/>
  <c r="Z923" i="3"/>
  <c r="AA923" i="3"/>
  <c r="AB923" i="3"/>
  <c r="AC923" i="3"/>
  <c r="AD923" i="3"/>
  <c r="AE923" i="3"/>
  <c r="AF923" i="3"/>
  <c r="AG923" i="3"/>
  <c r="AH923" i="3"/>
  <c r="AI923" i="3"/>
  <c r="Z924" i="3"/>
  <c r="AA924" i="3"/>
  <c r="AB924" i="3"/>
  <c r="AC924" i="3"/>
  <c r="AD924" i="3"/>
  <c r="AE924" i="3"/>
  <c r="AF924" i="3"/>
  <c r="AG924" i="3"/>
  <c r="AH924" i="3"/>
  <c r="AI924" i="3"/>
  <c r="Z925" i="3"/>
  <c r="AJ925" i="3" s="1"/>
  <c r="AA925" i="3"/>
  <c r="AB925" i="3"/>
  <c r="AC925" i="3"/>
  <c r="AD925" i="3"/>
  <c r="AE925" i="3"/>
  <c r="AF925" i="3"/>
  <c r="AG925" i="3"/>
  <c r="AH925" i="3"/>
  <c r="AI925" i="3"/>
  <c r="Z926" i="3"/>
  <c r="AA926" i="3"/>
  <c r="AB926" i="3"/>
  <c r="AC926" i="3"/>
  <c r="AD926" i="3"/>
  <c r="AE926" i="3"/>
  <c r="AF926" i="3"/>
  <c r="AG926" i="3"/>
  <c r="AH926" i="3"/>
  <c r="AI926" i="3"/>
  <c r="AJ926" i="3"/>
  <c r="Z927" i="3"/>
  <c r="AA927" i="3"/>
  <c r="AB927" i="3"/>
  <c r="AC927" i="3"/>
  <c r="AD927" i="3"/>
  <c r="AE927" i="3"/>
  <c r="AF927" i="3"/>
  <c r="AG927" i="3"/>
  <c r="AJ927" i="3" s="1"/>
  <c r="AH927" i="3"/>
  <c r="AI927" i="3"/>
  <c r="Z928" i="3"/>
  <c r="AA928" i="3"/>
  <c r="AB928" i="3"/>
  <c r="AC928" i="3"/>
  <c r="AD928" i="3"/>
  <c r="AJ928" i="3" s="1"/>
  <c r="AE928" i="3"/>
  <c r="AF928" i="3"/>
  <c r="AG928" i="3"/>
  <c r="AH928" i="3"/>
  <c r="AI928" i="3"/>
  <c r="Z929" i="3"/>
  <c r="AA929" i="3"/>
  <c r="AB929" i="3"/>
  <c r="AC929" i="3"/>
  <c r="AD929" i="3"/>
  <c r="AE929" i="3"/>
  <c r="AF929" i="3"/>
  <c r="AG929" i="3"/>
  <c r="AH929" i="3"/>
  <c r="AI929" i="3"/>
  <c r="Z930" i="3"/>
  <c r="AJ930" i="3" s="1"/>
  <c r="AA930" i="3"/>
  <c r="AB930" i="3"/>
  <c r="AC930" i="3"/>
  <c r="AD930" i="3"/>
  <c r="AE930" i="3"/>
  <c r="AF930" i="3"/>
  <c r="AG930" i="3"/>
  <c r="AH930" i="3"/>
  <c r="AI930" i="3"/>
  <c r="Z931" i="3"/>
  <c r="AA931" i="3"/>
  <c r="AB931" i="3"/>
  <c r="AC931" i="3"/>
  <c r="AD931" i="3"/>
  <c r="AE931" i="3"/>
  <c r="AF931" i="3"/>
  <c r="AG931" i="3"/>
  <c r="AH931" i="3"/>
  <c r="AI931" i="3"/>
  <c r="Z932" i="3"/>
  <c r="AA932" i="3"/>
  <c r="AB932" i="3"/>
  <c r="AC932" i="3"/>
  <c r="AD932" i="3"/>
  <c r="AE932" i="3"/>
  <c r="AF932" i="3"/>
  <c r="AG932" i="3"/>
  <c r="AH932" i="3"/>
  <c r="AI932" i="3"/>
  <c r="Z933" i="3"/>
  <c r="AA933" i="3"/>
  <c r="AB933" i="3"/>
  <c r="AC933" i="3"/>
  <c r="AD933" i="3"/>
  <c r="AE933" i="3"/>
  <c r="AF933" i="3"/>
  <c r="AG933" i="3"/>
  <c r="AH933" i="3"/>
  <c r="AI933" i="3"/>
  <c r="Z934" i="3"/>
  <c r="AA934" i="3"/>
  <c r="AB934" i="3"/>
  <c r="AC934" i="3"/>
  <c r="AD934" i="3"/>
  <c r="AE934" i="3"/>
  <c r="AF934" i="3"/>
  <c r="AG934" i="3"/>
  <c r="AH934" i="3"/>
  <c r="AI934" i="3"/>
  <c r="AJ934" i="3"/>
  <c r="Z935" i="3"/>
  <c r="AA935" i="3"/>
  <c r="AB935" i="3"/>
  <c r="AC935" i="3"/>
  <c r="AD935" i="3"/>
  <c r="AE935" i="3"/>
  <c r="AF935" i="3"/>
  <c r="AG935" i="3"/>
  <c r="AJ935" i="3" s="1"/>
  <c r="AH935" i="3"/>
  <c r="AI935" i="3"/>
  <c r="Z936" i="3"/>
  <c r="AA936" i="3"/>
  <c r="AB936" i="3"/>
  <c r="AC936" i="3"/>
  <c r="AD936" i="3"/>
  <c r="AJ936" i="3" s="1"/>
  <c r="AE936" i="3"/>
  <c r="AF936" i="3"/>
  <c r="AG936" i="3"/>
  <c r="AH936" i="3"/>
  <c r="AI936" i="3"/>
  <c r="Z937" i="3"/>
  <c r="AA937" i="3"/>
  <c r="AB937" i="3"/>
  <c r="AC937" i="3"/>
  <c r="AD937" i="3"/>
  <c r="AE937" i="3"/>
  <c r="AF937" i="3"/>
  <c r="AG937" i="3"/>
  <c r="AH937" i="3"/>
  <c r="AI937" i="3"/>
  <c r="Z938" i="3"/>
  <c r="AJ938" i="3" s="1"/>
  <c r="AA938" i="3"/>
  <c r="AB938" i="3"/>
  <c r="AC938" i="3"/>
  <c r="AD938" i="3"/>
  <c r="AE938" i="3"/>
  <c r="AF938" i="3"/>
  <c r="AG938" i="3"/>
  <c r="AH938" i="3"/>
  <c r="AI938" i="3"/>
  <c r="Z939" i="3"/>
  <c r="AA939" i="3"/>
  <c r="AJ939" i="3" s="1"/>
  <c r="AB939" i="3"/>
  <c r="AC939" i="3"/>
  <c r="AD939" i="3"/>
  <c r="AE939" i="3"/>
  <c r="AF939" i="3"/>
  <c r="AG939" i="3"/>
  <c r="AH939" i="3"/>
  <c r="AI939" i="3"/>
  <c r="Z940" i="3"/>
  <c r="AA940" i="3"/>
  <c r="AB940" i="3"/>
  <c r="AC940" i="3"/>
  <c r="AD940" i="3"/>
  <c r="AE940" i="3"/>
  <c r="AF940" i="3"/>
  <c r="AG940" i="3"/>
  <c r="AH940" i="3"/>
  <c r="AI940" i="3"/>
  <c r="Z941" i="3"/>
  <c r="AA941" i="3"/>
  <c r="AB941" i="3"/>
  <c r="AC941" i="3"/>
  <c r="AD941" i="3"/>
  <c r="AE941" i="3"/>
  <c r="AF941" i="3"/>
  <c r="AG941" i="3"/>
  <c r="AH941" i="3"/>
  <c r="AI941" i="3"/>
  <c r="Z942" i="3"/>
  <c r="AA942" i="3"/>
  <c r="AB942" i="3"/>
  <c r="AC942" i="3"/>
  <c r="AD942" i="3"/>
  <c r="AE942" i="3"/>
  <c r="AF942" i="3"/>
  <c r="AG942" i="3"/>
  <c r="AH942" i="3"/>
  <c r="AI942" i="3"/>
  <c r="AJ942" i="3"/>
  <c r="Z943" i="3"/>
  <c r="AA943" i="3"/>
  <c r="AB943" i="3"/>
  <c r="AC943" i="3"/>
  <c r="AD943" i="3"/>
  <c r="AE943" i="3"/>
  <c r="AF943" i="3"/>
  <c r="AG943" i="3"/>
  <c r="AJ943" i="3" s="1"/>
  <c r="AH943" i="3"/>
  <c r="AI943" i="3"/>
  <c r="Z944" i="3"/>
  <c r="AA944" i="3"/>
  <c r="AB944" i="3"/>
  <c r="AC944" i="3"/>
  <c r="AD944" i="3"/>
  <c r="AJ944" i="3" s="1"/>
  <c r="AE944" i="3"/>
  <c r="AF944" i="3"/>
  <c r="AG944" i="3"/>
  <c r="AH944" i="3"/>
  <c r="AI944" i="3"/>
  <c r="Z945" i="3"/>
  <c r="AA945" i="3"/>
  <c r="AB945" i="3"/>
  <c r="AC945" i="3"/>
  <c r="AD945" i="3"/>
  <c r="AE945" i="3"/>
  <c r="AF945" i="3"/>
  <c r="AG945" i="3"/>
  <c r="AH945" i="3"/>
  <c r="AI945" i="3"/>
  <c r="Z946" i="3"/>
  <c r="AA946" i="3"/>
  <c r="AB946" i="3"/>
  <c r="AC946" i="3"/>
  <c r="AD946" i="3"/>
  <c r="AE946" i="3"/>
  <c r="AF946" i="3"/>
  <c r="AG946" i="3"/>
  <c r="AH946" i="3"/>
  <c r="AI946" i="3"/>
  <c r="Z947" i="3"/>
  <c r="AA947" i="3"/>
  <c r="AJ947" i="3" s="1"/>
  <c r="AB947" i="3"/>
  <c r="AC947" i="3"/>
  <c r="AD947" i="3"/>
  <c r="AE947" i="3"/>
  <c r="AF947" i="3"/>
  <c r="AG947" i="3"/>
  <c r="AH947" i="3"/>
  <c r="AI947" i="3"/>
  <c r="Z948" i="3"/>
  <c r="AA948" i="3"/>
  <c r="AB948" i="3"/>
  <c r="AC948" i="3"/>
  <c r="AD948" i="3"/>
  <c r="AE948" i="3"/>
  <c r="AF948" i="3"/>
  <c r="AG948" i="3"/>
  <c r="AH948" i="3"/>
  <c r="AI948" i="3"/>
  <c r="Z949" i="3"/>
  <c r="AJ949" i="3" s="1"/>
  <c r="AA949" i="3"/>
  <c r="AB949" i="3"/>
  <c r="AC949" i="3"/>
  <c r="AD949" i="3"/>
  <c r="AE949" i="3"/>
  <c r="AF949" i="3"/>
  <c r="AG949" i="3"/>
  <c r="AH949" i="3"/>
  <c r="AI949" i="3"/>
  <c r="Z950" i="3"/>
  <c r="AA950" i="3"/>
  <c r="AB950" i="3"/>
  <c r="AC950" i="3"/>
  <c r="AD950" i="3"/>
  <c r="AE950" i="3"/>
  <c r="AF950" i="3"/>
  <c r="AG950" i="3"/>
  <c r="AH950" i="3"/>
  <c r="AI950" i="3"/>
  <c r="AJ950" i="3"/>
  <c r="Z951" i="3"/>
  <c r="AA951" i="3"/>
  <c r="AB951" i="3"/>
  <c r="AC951" i="3"/>
  <c r="AD951" i="3"/>
  <c r="AE951" i="3"/>
  <c r="AF951" i="3"/>
  <c r="AG951" i="3"/>
  <c r="AJ951" i="3" s="1"/>
  <c r="AH951" i="3"/>
  <c r="AI951" i="3"/>
  <c r="Z952" i="3"/>
  <c r="AA952" i="3"/>
  <c r="AB952" i="3"/>
  <c r="AC952" i="3"/>
  <c r="AD952" i="3"/>
  <c r="AJ952" i="3" s="1"/>
  <c r="AE952" i="3"/>
  <c r="AF952" i="3"/>
  <c r="AG952" i="3"/>
  <c r="AH952" i="3"/>
  <c r="AI952" i="3"/>
  <c r="Z953" i="3"/>
  <c r="AA953" i="3"/>
  <c r="AB953" i="3"/>
  <c r="AC953" i="3"/>
  <c r="AD953" i="3"/>
  <c r="AE953" i="3"/>
  <c r="AF953" i="3"/>
  <c r="AG953" i="3"/>
  <c r="AH953" i="3"/>
  <c r="AI953" i="3"/>
  <c r="Z954" i="3"/>
  <c r="AJ954" i="3" s="1"/>
  <c r="AA954" i="3"/>
  <c r="AB954" i="3"/>
  <c r="AC954" i="3"/>
  <c r="AD954" i="3"/>
  <c r="AE954" i="3"/>
  <c r="AF954" i="3"/>
  <c r="AG954" i="3"/>
  <c r="AH954" i="3"/>
  <c r="AI954" i="3"/>
  <c r="Z955" i="3"/>
  <c r="AA955" i="3"/>
  <c r="AB955" i="3"/>
  <c r="AC955" i="3"/>
  <c r="AD955" i="3"/>
  <c r="AE955" i="3"/>
  <c r="AF955" i="3"/>
  <c r="AG955" i="3"/>
  <c r="AH955" i="3"/>
  <c r="AI955" i="3"/>
  <c r="Z956" i="3"/>
  <c r="AA956" i="3"/>
  <c r="AB956" i="3"/>
  <c r="AC956" i="3"/>
  <c r="AD956" i="3"/>
  <c r="AE956" i="3"/>
  <c r="AF956" i="3"/>
  <c r="AG956" i="3"/>
  <c r="AH956" i="3"/>
  <c r="AI956" i="3"/>
  <c r="Z957" i="3"/>
  <c r="AA957" i="3"/>
  <c r="AB957" i="3"/>
  <c r="AC957" i="3"/>
  <c r="AD957" i="3"/>
  <c r="AE957" i="3"/>
  <c r="AF957" i="3"/>
  <c r="AG957" i="3"/>
  <c r="AH957" i="3"/>
  <c r="AI957" i="3"/>
  <c r="Z958" i="3"/>
  <c r="AA958" i="3"/>
  <c r="AB958" i="3"/>
  <c r="AC958" i="3"/>
  <c r="AD958" i="3"/>
  <c r="AE958" i="3"/>
  <c r="AF958" i="3"/>
  <c r="AG958" i="3"/>
  <c r="AH958" i="3"/>
  <c r="AI958" i="3"/>
  <c r="AJ958" i="3"/>
  <c r="Z959" i="3"/>
  <c r="AA959" i="3"/>
  <c r="AB959" i="3"/>
  <c r="AC959" i="3"/>
  <c r="AD959" i="3"/>
  <c r="AE959" i="3"/>
  <c r="AF959" i="3"/>
  <c r="AG959" i="3"/>
  <c r="AJ959" i="3" s="1"/>
  <c r="AH959" i="3"/>
  <c r="AI959" i="3"/>
  <c r="Z960" i="3"/>
  <c r="AA960" i="3"/>
  <c r="AB960" i="3"/>
  <c r="AC960" i="3"/>
  <c r="AD960" i="3"/>
  <c r="AJ960" i="3" s="1"/>
  <c r="AE960" i="3"/>
  <c r="AF960" i="3"/>
  <c r="AG960" i="3"/>
  <c r="AH960" i="3"/>
  <c r="AI960" i="3"/>
  <c r="Z961" i="3"/>
  <c r="AA961" i="3"/>
  <c r="AB961" i="3"/>
  <c r="AC961" i="3"/>
  <c r="AD961" i="3"/>
  <c r="AE961" i="3"/>
  <c r="AF961" i="3"/>
  <c r="AG961" i="3"/>
  <c r="AH961" i="3"/>
  <c r="AI961" i="3"/>
  <c r="Z962" i="3"/>
  <c r="AJ962" i="3" s="1"/>
  <c r="AA962" i="3"/>
  <c r="AB962" i="3"/>
  <c r="AC962" i="3"/>
  <c r="AD962" i="3"/>
  <c r="AE962" i="3"/>
  <c r="AF962" i="3"/>
  <c r="AG962" i="3"/>
  <c r="AH962" i="3"/>
  <c r="AI962" i="3"/>
  <c r="Z963" i="3"/>
  <c r="AA963" i="3"/>
  <c r="AB963" i="3"/>
  <c r="AC963" i="3"/>
  <c r="AD963" i="3"/>
  <c r="AE963" i="3"/>
  <c r="AF963" i="3"/>
  <c r="AG963" i="3"/>
  <c r="AH963" i="3"/>
  <c r="AI963" i="3"/>
  <c r="Z964" i="3"/>
  <c r="AA964" i="3"/>
  <c r="AB964" i="3"/>
  <c r="AC964" i="3"/>
  <c r="AD964" i="3"/>
  <c r="AE964" i="3"/>
  <c r="AF964" i="3"/>
  <c r="AG964" i="3"/>
  <c r="AH964" i="3"/>
  <c r="AI964" i="3"/>
  <c r="Z965" i="3"/>
  <c r="AJ965" i="3" s="1"/>
  <c r="AA965" i="3"/>
  <c r="AB965" i="3"/>
  <c r="AC965" i="3"/>
  <c r="AD965" i="3"/>
  <c r="AE965" i="3"/>
  <c r="AF965" i="3"/>
  <c r="AG965" i="3"/>
  <c r="AH965" i="3"/>
  <c r="AI965" i="3"/>
  <c r="Z966" i="3"/>
  <c r="AA966" i="3"/>
  <c r="AB966" i="3"/>
  <c r="AC966" i="3"/>
  <c r="AD966" i="3"/>
  <c r="AE966" i="3"/>
  <c r="AF966" i="3"/>
  <c r="AG966" i="3"/>
  <c r="AH966" i="3"/>
  <c r="AI966" i="3"/>
  <c r="AJ966" i="3"/>
  <c r="Z967" i="3"/>
  <c r="AA967" i="3"/>
  <c r="AB967" i="3"/>
  <c r="AC967" i="3"/>
  <c r="AD967" i="3"/>
  <c r="AE967" i="3"/>
  <c r="AF967" i="3"/>
  <c r="AG967" i="3"/>
  <c r="AJ967" i="3" s="1"/>
  <c r="AH967" i="3"/>
  <c r="AI967" i="3"/>
  <c r="Z968" i="3"/>
  <c r="AA968" i="3"/>
  <c r="AB968" i="3"/>
  <c r="AC968" i="3"/>
  <c r="AD968" i="3"/>
  <c r="AJ968" i="3" s="1"/>
  <c r="AE968" i="3"/>
  <c r="AF968" i="3"/>
  <c r="AG968" i="3"/>
  <c r="AH968" i="3"/>
  <c r="AI968" i="3"/>
  <c r="Z969" i="3"/>
  <c r="AA969" i="3"/>
  <c r="AB969" i="3"/>
  <c r="AC969" i="3"/>
  <c r="AD969" i="3"/>
  <c r="AE969" i="3"/>
  <c r="AF969" i="3"/>
  <c r="AG969" i="3"/>
  <c r="AH969" i="3"/>
  <c r="AI969" i="3"/>
  <c r="Z970" i="3"/>
  <c r="AJ970" i="3" s="1"/>
  <c r="AA970" i="3"/>
  <c r="AB970" i="3"/>
  <c r="AC970" i="3"/>
  <c r="AD970" i="3"/>
  <c r="AE970" i="3"/>
  <c r="AF970" i="3"/>
  <c r="AG970" i="3"/>
  <c r="AH970" i="3"/>
  <c r="AI970" i="3"/>
  <c r="Z971" i="3"/>
  <c r="AA971" i="3"/>
  <c r="AJ971" i="3" s="1"/>
  <c r="AB971" i="3"/>
  <c r="AC971" i="3"/>
  <c r="AD971" i="3"/>
  <c r="AE971" i="3"/>
  <c r="AF971" i="3"/>
  <c r="AG971" i="3"/>
  <c r="AH971" i="3"/>
  <c r="AI971" i="3"/>
  <c r="Z972" i="3"/>
  <c r="AA972" i="3"/>
  <c r="AB972" i="3"/>
  <c r="AC972" i="3"/>
  <c r="AD972" i="3"/>
  <c r="AE972" i="3"/>
  <c r="AF972" i="3"/>
  <c r="AG972" i="3"/>
  <c r="AH972" i="3"/>
  <c r="AI972" i="3"/>
  <c r="Z973" i="3"/>
  <c r="AA973" i="3"/>
  <c r="AB973" i="3"/>
  <c r="AC973" i="3"/>
  <c r="AD973" i="3"/>
  <c r="AE973" i="3"/>
  <c r="AF973" i="3"/>
  <c r="AG973" i="3"/>
  <c r="AH973" i="3"/>
  <c r="AI973" i="3"/>
  <c r="Z974" i="3"/>
  <c r="AA974" i="3"/>
  <c r="AB974" i="3"/>
  <c r="AC974" i="3"/>
  <c r="AD974" i="3"/>
  <c r="AE974" i="3"/>
  <c r="AF974" i="3"/>
  <c r="AG974" i="3"/>
  <c r="AH974" i="3"/>
  <c r="AI974" i="3"/>
  <c r="AJ974" i="3"/>
  <c r="Z975" i="3"/>
  <c r="AA975" i="3"/>
  <c r="AB975" i="3"/>
  <c r="AC975" i="3"/>
  <c r="AD975" i="3"/>
  <c r="AE975" i="3"/>
  <c r="AF975" i="3"/>
  <c r="AG975" i="3"/>
  <c r="AJ975" i="3" s="1"/>
  <c r="AH975" i="3"/>
  <c r="AI975" i="3"/>
  <c r="Z976" i="3"/>
  <c r="AA976" i="3"/>
  <c r="AB976" i="3"/>
  <c r="AC976" i="3"/>
  <c r="AD976" i="3"/>
  <c r="AJ976" i="3" s="1"/>
  <c r="AE976" i="3"/>
  <c r="AF976" i="3"/>
  <c r="AG976" i="3"/>
  <c r="AH976" i="3"/>
  <c r="AI976" i="3"/>
  <c r="Z977" i="3"/>
  <c r="AA977" i="3"/>
  <c r="AB977" i="3"/>
  <c r="AC977" i="3"/>
  <c r="AD977" i="3"/>
  <c r="AE977" i="3"/>
  <c r="AF977" i="3"/>
  <c r="AG977" i="3"/>
  <c r="AH977" i="3"/>
  <c r="AI977" i="3"/>
  <c r="Z978" i="3"/>
  <c r="AA978" i="3"/>
  <c r="AB978" i="3"/>
  <c r="AC978" i="3"/>
  <c r="AD978" i="3"/>
  <c r="AE978" i="3"/>
  <c r="AF978" i="3"/>
  <c r="AG978" i="3"/>
  <c r="AH978" i="3"/>
  <c r="AI978" i="3"/>
  <c r="Z979" i="3"/>
  <c r="AA979" i="3"/>
  <c r="AB979" i="3"/>
  <c r="AC979" i="3"/>
  <c r="AD979" i="3"/>
  <c r="AE979" i="3"/>
  <c r="AF979" i="3"/>
  <c r="AG979" i="3"/>
  <c r="AH979" i="3"/>
  <c r="AI979" i="3"/>
  <c r="Z980" i="3"/>
  <c r="AA980" i="3"/>
  <c r="AB980" i="3"/>
  <c r="AC980" i="3"/>
  <c r="AD980" i="3"/>
  <c r="AE980" i="3"/>
  <c r="AF980" i="3"/>
  <c r="AG980" i="3"/>
  <c r="AH980" i="3"/>
  <c r="AI980" i="3"/>
  <c r="Z981" i="3"/>
  <c r="AJ981" i="3" s="1"/>
  <c r="AA981" i="3"/>
  <c r="AB981" i="3"/>
  <c r="AC981" i="3"/>
  <c r="AD981" i="3"/>
  <c r="AE981" i="3"/>
  <c r="AF981" i="3"/>
  <c r="AG981" i="3"/>
  <c r="AH981" i="3"/>
  <c r="AI981" i="3"/>
  <c r="Z982" i="3"/>
  <c r="AA982" i="3"/>
  <c r="AB982" i="3"/>
  <c r="AC982" i="3"/>
  <c r="AD982" i="3"/>
  <c r="AE982" i="3"/>
  <c r="AF982" i="3"/>
  <c r="AG982" i="3"/>
  <c r="AH982" i="3"/>
  <c r="AI982" i="3"/>
  <c r="AJ982" i="3"/>
  <c r="Z983" i="3"/>
  <c r="AA983" i="3"/>
  <c r="AB983" i="3"/>
  <c r="AC983" i="3"/>
  <c r="AD983" i="3"/>
  <c r="AE983" i="3"/>
  <c r="AF983" i="3"/>
  <c r="AG983" i="3"/>
  <c r="AJ983" i="3" s="1"/>
  <c r="AH983" i="3"/>
  <c r="AI983" i="3"/>
  <c r="Z984" i="3"/>
  <c r="AA984" i="3"/>
  <c r="AB984" i="3"/>
  <c r="AC984" i="3"/>
  <c r="AD984" i="3"/>
  <c r="AJ984" i="3" s="1"/>
  <c r="AE984" i="3"/>
  <c r="AF984" i="3"/>
  <c r="AG984" i="3"/>
  <c r="AH984" i="3"/>
  <c r="AI984" i="3"/>
  <c r="Z985" i="3"/>
  <c r="AA985" i="3"/>
  <c r="AB985" i="3"/>
  <c r="AC985" i="3"/>
  <c r="AD985" i="3"/>
  <c r="AE985" i="3"/>
  <c r="AF985" i="3"/>
  <c r="AG985" i="3"/>
  <c r="AH985" i="3"/>
  <c r="AI985" i="3"/>
  <c r="Z986" i="3"/>
  <c r="AA986" i="3"/>
  <c r="AB986" i="3"/>
  <c r="AC986" i="3"/>
  <c r="AD986" i="3"/>
  <c r="AE986" i="3"/>
  <c r="AF986" i="3"/>
  <c r="AG986" i="3"/>
  <c r="AH986" i="3"/>
  <c r="AI986" i="3"/>
  <c r="Z987" i="3"/>
  <c r="AA987" i="3"/>
  <c r="AB987" i="3"/>
  <c r="AC987" i="3"/>
  <c r="AD987" i="3"/>
  <c r="AE987" i="3"/>
  <c r="AF987" i="3"/>
  <c r="AG987" i="3"/>
  <c r="AH987" i="3"/>
  <c r="AI987" i="3"/>
  <c r="Z988" i="3"/>
  <c r="AA988" i="3"/>
  <c r="AB988" i="3"/>
  <c r="AC988" i="3"/>
  <c r="AD988" i="3"/>
  <c r="AE988" i="3"/>
  <c r="AF988" i="3"/>
  <c r="AG988" i="3"/>
  <c r="AH988" i="3"/>
  <c r="AI988" i="3"/>
  <c r="Z989" i="3"/>
  <c r="AJ989" i="3" s="1"/>
  <c r="AA989" i="3"/>
  <c r="AB989" i="3"/>
  <c r="AC989" i="3"/>
  <c r="AD989" i="3"/>
  <c r="AE989" i="3"/>
  <c r="AF989" i="3"/>
  <c r="AG989" i="3"/>
  <c r="AH989" i="3"/>
  <c r="AI989" i="3"/>
  <c r="Z990" i="3"/>
  <c r="AA990" i="3"/>
  <c r="AB990" i="3"/>
  <c r="AC990" i="3"/>
  <c r="AD990" i="3"/>
  <c r="AE990" i="3"/>
  <c r="AF990" i="3"/>
  <c r="AG990" i="3"/>
  <c r="AH990" i="3"/>
  <c r="AI990" i="3"/>
  <c r="AJ990" i="3"/>
  <c r="Z991" i="3"/>
  <c r="AA991" i="3"/>
  <c r="AB991" i="3"/>
  <c r="AC991" i="3"/>
  <c r="AD991" i="3"/>
  <c r="AE991" i="3"/>
  <c r="AF991" i="3"/>
  <c r="AG991" i="3"/>
  <c r="AJ991" i="3" s="1"/>
  <c r="AH991" i="3"/>
  <c r="AI991" i="3"/>
  <c r="Z992" i="3"/>
  <c r="AA992" i="3"/>
  <c r="AB992" i="3"/>
  <c r="AC992" i="3"/>
  <c r="AD992" i="3"/>
  <c r="AJ992" i="3" s="1"/>
  <c r="AE992" i="3"/>
  <c r="AF992" i="3"/>
  <c r="AG992" i="3"/>
  <c r="AH992" i="3"/>
  <c r="AI992" i="3"/>
  <c r="Z993" i="3"/>
  <c r="AA993" i="3"/>
  <c r="AB993" i="3"/>
  <c r="AC993" i="3"/>
  <c r="AD993" i="3"/>
  <c r="AE993" i="3"/>
  <c r="AF993" i="3"/>
  <c r="AG993" i="3"/>
  <c r="AH993" i="3"/>
  <c r="AI993" i="3"/>
  <c r="Z994" i="3"/>
  <c r="AJ994" i="3" s="1"/>
  <c r="AA994" i="3"/>
  <c r="AB994" i="3"/>
  <c r="AC994" i="3"/>
  <c r="AD994" i="3"/>
  <c r="AE994" i="3"/>
  <c r="AF994" i="3"/>
  <c r="AG994" i="3"/>
  <c r="AH994" i="3"/>
  <c r="AI994" i="3"/>
  <c r="Z995" i="3"/>
  <c r="AA995" i="3"/>
  <c r="AB995" i="3"/>
  <c r="AC995" i="3"/>
  <c r="AD995" i="3"/>
  <c r="AE995" i="3"/>
  <c r="AF995" i="3"/>
  <c r="AG995" i="3"/>
  <c r="AH995" i="3"/>
  <c r="AI995" i="3"/>
  <c r="Z996" i="3"/>
  <c r="AA996" i="3"/>
  <c r="AB996" i="3"/>
  <c r="AC996" i="3"/>
  <c r="AD996" i="3"/>
  <c r="AE996" i="3"/>
  <c r="AF996" i="3"/>
  <c r="AG996" i="3"/>
  <c r="AH996" i="3"/>
  <c r="AI996" i="3"/>
  <c r="Z997" i="3"/>
  <c r="AA997" i="3"/>
  <c r="AB997" i="3"/>
  <c r="AC997" i="3"/>
  <c r="AD997" i="3"/>
  <c r="AE997" i="3"/>
  <c r="AF997" i="3"/>
  <c r="AG997" i="3"/>
  <c r="AH997" i="3"/>
  <c r="AI997" i="3"/>
  <c r="Z998" i="3"/>
  <c r="AA998" i="3"/>
  <c r="AB998" i="3"/>
  <c r="AC998" i="3"/>
  <c r="AD998" i="3"/>
  <c r="AE998" i="3"/>
  <c r="AF998" i="3"/>
  <c r="AG998" i="3"/>
  <c r="AH998" i="3"/>
  <c r="AI998" i="3"/>
  <c r="AJ998" i="3"/>
  <c r="Z999" i="3"/>
  <c r="AA999" i="3"/>
  <c r="AB999" i="3"/>
  <c r="AC999" i="3"/>
  <c r="AD999" i="3"/>
  <c r="AE999" i="3"/>
  <c r="AF999" i="3"/>
  <c r="AG999" i="3"/>
  <c r="AJ999" i="3" s="1"/>
  <c r="AH999" i="3"/>
  <c r="AI999" i="3"/>
  <c r="Z1000" i="3"/>
  <c r="AA1000" i="3"/>
  <c r="AB1000" i="3"/>
  <c r="AC1000" i="3"/>
  <c r="AD1000" i="3"/>
  <c r="AJ1000" i="3" s="1"/>
  <c r="AE1000" i="3"/>
  <c r="AF1000" i="3"/>
  <c r="AG1000" i="3"/>
  <c r="AH1000" i="3"/>
  <c r="AI1000" i="3"/>
  <c r="Z1001" i="3"/>
  <c r="AA1001" i="3"/>
  <c r="AB1001" i="3"/>
  <c r="AC1001" i="3"/>
  <c r="AD1001" i="3"/>
  <c r="AE1001" i="3"/>
  <c r="AF1001" i="3"/>
  <c r="AG1001" i="3"/>
  <c r="AH1001" i="3"/>
  <c r="AI1001" i="3"/>
  <c r="Z1002" i="3"/>
  <c r="AJ1002" i="3" s="1"/>
  <c r="AA1002" i="3"/>
  <c r="AB1002" i="3"/>
  <c r="AC1002" i="3"/>
  <c r="AD1002" i="3"/>
  <c r="AE1002" i="3"/>
  <c r="AF1002" i="3"/>
  <c r="AG1002" i="3"/>
  <c r="AH1002" i="3"/>
  <c r="AI1002" i="3"/>
  <c r="Z1003" i="3"/>
  <c r="AA1003" i="3"/>
  <c r="AJ1003" i="3" s="1"/>
  <c r="AB1003" i="3"/>
  <c r="AC1003" i="3"/>
  <c r="AD1003" i="3"/>
  <c r="AE1003" i="3"/>
  <c r="AF1003" i="3"/>
  <c r="AG1003" i="3"/>
  <c r="AH1003" i="3"/>
  <c r="AI1003" i="3"/>
  <c r="Z1004" i="3"/>
  <c r="AA1004" i="3"/>
  <c r="AB1004" i="3"/>
  <c r="AC1004" i="3"/>
  <c r="AD1004" i="3"/>
  <c r="AE1004" i="3"/>
  <c r="AF1004" i="3"/>
  <c r="AG1004" i="3"/>
  <c r="AH1004" i="3"/>
  <c r="AI1004" i="3"/>
  <c r="Z1005" i="3"/>
  <c r="AA1005" i="3"/>
  <c r="AB1005" i="3"/>
  <c r="AC1005" i="3"/>
  <c r="AD1005" i="3"/>
  <c r="AE1005" i="3"/>
  <c r="AF1005" i="3"/>
  <c r="AG1005" i="3"/>
  <c r="AH1005" i="3"/>
  <c r="AI1005" i="3"/>
  <c r="Z1006" i="3"/>
  <c r="AA1006" i="3"/>
  <c r="AB1006" i="3"/>
  <c r="AC1006" i="3"/>
  <c r="AD1006" i="3"/>
  <c r="AE1006" i="3"/>
  <c r="AF1006" i="3"/>
  <c r="AG1006" i="3"/>
  <c r="AH1006" i="3"/>
  <c r="AI1006" i="3"/>
  <c r="AJ1006" i="3"/>
  <c r="Z1007" i="3"/>
  <c r="AA1007" i="3"/>
  <c r="AB1007" i="3"/>
  <c r="AC1007" i="3"/>
  <c r="AD1007" i="3"/>
  <c r="AE1007" i="3"/>
  <c r="AF1007" i="3"/>
  <c r="AG1007" i="3"/>
  <c r="AJ1007" i="3" s="1"/>
  <c r="AH1007" i="3"/>
  <c r="AI1007" i="3"/>
  <c r="Z1008" i="3"/>
  <c r="AA1008" i="3"/>
  <c r="AB1008" i="3"/>
  <c r="AC1008" i="3"/>
  <c r="AD1008" i="3"/>
  <c r="AJ1008" i="3" s="1"/>
  <c r="AE1008" i="3"/>
  <c r="AF1008" i="3"/>
  <c r="AG1008" i="3"/>
  <c r="AH1008" i="3"/>
  <c r="AI1008" i="3"/>
  <c r="Z1009" i="3"/>
  <c r="AA1009" i="3"/>
  <c r="AB1009" i="3"/>
  <c r="AC1009" i="3"/>
  <c r="AD1009" i="3"/>
  <c r="AE1009" i="3"/>
  <c r="AF1009" i="3"/>
  <c r="AG1009" i="3"/>
  <c r="AH1009" i="3"/>
  <c r="AI1009" i="3"/>
  <c r="Z1010" i="3"/>
  <c r="AA1010" i="3"/>
  <c r="AB1010" i="3"/>
  <c r="AC1010" i="3"/>
  <c r="AD1010" i="3"/>
  <c r="AE1010" i="3"/>
  <c r="AF1010" i="3"/>
  <c r="AG1010" i="3"/>
  <c r="AH1010" i="3"/>
  <c r="AI1010" i="3"/>
  <c r="Z1011" i="3"/>
  <c r="AA1011" i="3"/>
  <c r="AJ1011" i="3" s="1"/>
  <c r="AB1011" i="3"/>
  <c r="AC1011" i="3"/>
  <c r="AD1011" i="3"/>
  <c r="AE1011" i="3"/>
  <c r="AF1011" i="3"/>
  <c r="AG1011" i="3"/>
  <c r="AH1011" i="3"/>
  <c r="AI1011" i="3"/>
  <c r="Z1012" i="3"/>
  <c r="AA1012" i="3"/>
  <c r="AB1012" i="3"/>
  <c r="AC1012" i="3"/>
  <c r="AD1012" i="3"/>
  <c r="AE1012" i="3"/>
  <c r="AF1012" i="3"/>
  <c r="AG1012" i="3"/>
  <c r="AH1012" i="3"/>
  <c r="AI1012" i="3"/>
  <c r="Z1013" i="3"/>
  <c r="AJ1013" i="3" s="1"/>
  <c r="AA1013" i="3"/>
  <c r="AB1013" i="3"/>
  <c r="AC1013" i="3"/>
  <c r="AD1013" i="3"/>
  <c r="AE1013" i="3"/>
  <c r="AF1013" i="3"/>
  <c r="AG1013" i="3"/>
  <c r="AH1013" i="3"/>
  <c r="AI1013" i="3"/>
  <c r="Z1014" i="3"/>
  <c r="AA1014" i="3"/>
  <c r="AB1014" i="3"/>
  <c r="AC1014" i="3"/>
  <c r="AD1014" i="3"/>
  <c r="AE1014" i="3"/>
  <c r="AF1014" i="3"/>
  <c r="AG1014" i="3"/>
  <c r="AH1014" i="3"/>
  <c r="AI1014" i="3"/>
  <c r="AJ1014" i="3"/>
  <c r="Z1015" i="3"/>
  <c r="AA1015" i="3"/>
  <c r="AB1015" i="3"/>
  <c r="AC1015" i="3"/>
  <c r="AD1015" i="3"/>
  <c r="AE1015" i="3"/>
  <c r="AF1015" i="3"/>
  <c r="AG1015" i="3"/>
  <c r="AJ1015" i="3" s="1"/>
  <c r="AH1015" i="3"/>
  <c r="AI1015" i="3"/>
  <c r="Z1016" i="3"/>
  <c r="AA1016" i="3"/>
  <c r="AB1016" i="3"/>
  <c r="AC1016" i="3"/>
  <c r="AD1016" i="3"/>
  <c r="AJ1016" i="3" s="1"/>
  <c r="AE1016" i="3"/>
  <c r="AF1016" i="3"/>
  <c r="AG1016" i="3"/>
  <c r="AH1016" i="3"/>
  <c r="AI1016" i="3"/>
  <c r="Z1017" i="3"/>
  <c r="AA1017" i="3"/>
  <c r="AB1017" i="3"/>
  <c r="AC1017" i="3"/>
  <c r="AD1017" i="3"/>
  <c r="AE1017" i="3"/>
  <c r="AF1017" i="3"/>
  <c r="AG1017" i="3"/>
  <c r="AH1017" i="3"/>
  <c r="AI1017" i="3"/>
  <c r="Z1018" i="3"/>
  <c r="AJ1018" i="3" s="1"/>
  <c r="AA1018" i="3"/>
  <c r="AB1018" i="3"/>
  <c r="AC1018" i="3"/>
  <c r="AD1018" i="3"/>
  <c r="AE1018" i="3"/>
  <c r="AF1018" i="3"/>
  <c r="AG1018" i="3"/>
  <c r="AH1018" i="3"/>
  <c r="AI1018" i="3"/>
  <c r="Z1019" i="3"/>
  <c r="AA1019" i="3"/>
  <c r="AB1019" i="3"/>
  <c r="AC1019" i="3"/>
  <c r="AD1019" i="3"/>
  <c r="AE1019" i="3"/>
  <c r="AF1019" i="3"/>
  <c r="AG1019" i="3"/>
  <c r="AH1019" i="3"/>
  <c r="AI1019" i="3"/>
  <c r="Z1020" i="3"/>
  <c r="AA1020" i="3"/>
  <c r="AB1020" i="3"/>
  <c r="AC1020" i="3"/>
  <c r="AD1020" i="3"/>
  <c r="AE1020" i="3"/>
  <c r="AF1020" i="3"/>
  <c r="AG1020" i="3"/>
  <c r="AH1020" i="3"/>
  <c r="AI1020" i="3"/>
  <c r="Z1021" i="3"/>
  <c r="AA1021" i="3"/>
  <c r="AB1021" i="3"/>
  <c r="AC1021" i="3"/>
  <c r="AD1021" i="3"/>
  <c r="AE1021" i="3"/>
  <c r="AF1021" i="3"/>
  <c r="AG1021" i="3"/>
  <c r="AH1021" i="3"/>
  <c r="AI1021" i="3"/>
  <c r="Z1022" i="3"/>
  <c r="AA1022" i="3"/>
  <c r="AB1022" i="3"/>
  <c r="AC1022" i="3"/>
  <c r="AD1022" i="3"/>
  <c r="AE1022" i="3"/>
  <c r="AF1022" i="3"/>
  <c r="AG1022" i="3"/>
  <c r="AH1022" i="3"/>
  <c r="AI1022" i="3"/>
  <c r="AJ1022" i="3"/>
  <c r="Z1023" i="3"/>
  <c r="AA1023" i="3"/>
  <c r="AB1023" i="3"/>
  <c r="AC1023" i="3"/>
  <c r="AD1023" i="3"/>
  <c r="AE1023" i="3"/>
  <c r="AF1023" i="3"/>
  <c r="AG1023" i="3"/>
  <c r="AJ1023" i="3" s="1"/>
  <c r="AH1023" i="3"/>
  <c r="AI1023" i="3"/>
  <c r="Z1024" i="3"/>
  <c r="AA1024" i="3"/>
  <c r="AB1024" i="3"/>
  <c r="AC1024" i="3"/>
  <c r="AD1024" i="3"/>
  <c r="AJ1024" i="3" s="1"/>
  <c r="AE1024" i="3"/>
  <c r="AF1024" i="3"/>
  <c r="AG1024" i="3"/>
  <c r="AH1024" i="3"/>
  <c r="AI1024" i="3"/>
  <c r="Z1025" i="3"/>
  <c r="AA1025" i="3"/>
  <c r="AB1025" i="3"/>
  <c r="AC1025" i="3"/>
  <c r="AD1025" i="3"/>
  <c r="AE1025" i="3"/>
  <c r="AF1025" i="3"/>
  <c r="AG1025" i="3"/>
  <c r="AH1025" i="3"/>
  <c r="AI1025" i="3"/>
  <c r="Z1026" i="3"/>
  <c r="AJ1026" i="3" s="1"/>
  <c r="AA1026" i="3"/>
  <c r="AB1026" i="3"/>
  <c r="AC1026" i="3"/>
  <c r="AD1026" i="3"/>
  <c r="AE1026" i="3"/>
  <c r="AF1026" i="3"/>
  <c r="AG1026" i="3"/>
  <c r="AH1026" i="3"/>
  <c r="AI1026" i="3"/>
  <c r="Z1027" i="3"/>
  <c r="AA1027" i="3"/>
  <c r="AB1027" i="3"/>
  <c r="AC1027" i="3"/>
  <c r="AD1027" i="3"/>
  <c r="AE1027" i="3"/>
  <c r="AF1027" i="3"/>
  <c r="AG1027" i="3"/>
  <c r="AH1027" i="3"/>
  <c r="AI1027" i="3"/>
  <c r="Z1028" i="3"/>
  <c r="AA1028" i="3"/>
  <c r="AB1028" i="3"/>
  <c r="AC1028" i="3"/>
  <c r="AD1028" i="3"/>
  <c r="AE1028" i="3"/>
  <c r="AF1028" i="3"/>
  <c r="AG1028" i="3"/>
  <c r="AH1028" i="3"/>
  <c r="AI1028" i="3"/>
  <c r="Z1029" i="3"/>
  <c r="AJ1029" i="3" s="1"/>
  <c r="AA1029" i="3"/>
  <c r="AB1029" i="3"/>
  <c r="AC1029" i="3"/>
  <c r="AD1029" i="3"/>
  <c r="AE1029" i="3"/>
  <c r="AF1029" i="3"/>
  <c r="AG1029" i="3"/>
  <c r="AH1029" i="3"/>
  <c r="AI1029" i="3"/>
  <c r="Z1030" i="3"/>
  <c r="AA1030" i="3"/>
  <c r="AB1030" i="3"/>
  <c r="AC1030" i="3"/>
  <c r="AD1030" i="3"/>
  <c r="AE1030" i="3"/>
  <c r="AF1030" i="3"/>
  <c r="AG1030" i="3"/>
  <c r="AH1030" i="3"/>
  <c r="AI1030" i="3"/>
  <c r="AJ1030" i="3"/>
  <c r="Z1031" i="3"/>
  <c r="AA1031" i="3"/>
  <c r="AB1031" i="3"/>
  <c r="AC1031" i="3"/>
  <c r="AD1031" i="3"/>
  <c r="AE1031" i="3"/>
  <c r="AF1031" i="3"/>
  <c r="AG1031" i="3"/>
  <c r="AH1031" i="3"/>
  <c r="AI1031" i="3"/>
  <c r="Z1032" i="3"/>
  <c r="AA1032" i="3"/>
  <c r="AB1032" i="3"/>
  <c r="AC1032" i="3"/>
  <c r="AD1032" i="3"/>
  <c r="AJ1032" i="3" s="1"/>
  <c r="AE1032" i="3"/>
  <c r="AF1032" i="3"/>
  <c r="AG1032" i="3"/>
  <c r="AH1032" i="3"/>
  <c r="AI1032" i="3"/>
  <c r="Z1033" i="3"/>
  <c r="AA1033" i="3"/>
  <c r="AB1033" i="3"/>
  <c r="AC1033" i="3"/>
  <c r="AD1033" i="3"/>
  <c r="AE1033" i="3"/>
  <c r="AF1033" i="3"/>
  <c r="AG1033" i="3"/>
  <c r="AH1033" i="3"/>
  <c r="AI1033" i="3"/>
  <c r="Z1034" i="3"/>
  <c r="AJ1034" i="3" s="1"/>
  <c r="AA1034" i="3"/>
  <c r="AB1034" i="3"/>
  <c r="AC1034" i="3"/>
  <c r="AD1034" i="3"/>
  <c r="AE1034" i="3"/>
  <c r="AF1034" i="3"/>
  <c r="AG1034" i="3"/>
  <c r="AH1034" i="3"/>
  <c r="AI1034" i="3"/>
  <c r="Z1035" i="3"/>
  <c r="AA1035" i="3"/>
  <c r="AJ1035" i="3" s="1"/>
  <c r="AB1035" i="3"/>
  <c r="AC1035" i="3"/>
  <c r="AD1035" i="3"/>
  <c r="AE1035" i="3"/>
  <c r="AF1035" i="3"/>
  <c r="AG1035" i="3"/>
  <c r="AH1035" i="3"/>
  <c r="AI1035" i="3"/>
  <c r="Z1036" i="3"/>
  <c r="AA1036" i="3"/>
  <c r="AB1036" i="3"/>
  <c r="AC1036" i="3"/>
  <c r="AD1036" i="3"/>
  <c r="AE1036" i="3"/>
  <c r="AF1036" i="3"/>
  <c r="AG1036" i="3"/>
  <c r="AH1036" i="3"/>
  <c r="AI1036" i="3"/>
  <c r="Z1037" i="3"/>
  <c r="AA1037" i="3"/>
  <c r="AB1037" i="3"/>
  <c r="AC1037" i="3"/>
  <c r="AD1037" i="3"/>
  <c r="AE1037" i="3"/>
  <c r="AF1037" i="3"/>
  <c r="AG1037" i="3"/>
  <c r="AH1037" i="3"/>
  <c r="AI1037" i="3"/>
  <c r="Z1038" i="3"/>
  <c r="AA1038" i="3"/>
  <c r="AB1038" i="3"/>
  <c r="AC1038" i="3"/>
  <c r="AD1038" i="3"/>
  <c r="AE1038" i="3"/>
  <c r="AF1038" i="3"/>
  <c r="AG1038" i="3"/>
  <c r="AH1038" i="3"/>
  <c r="AI1038" i="3"/>
  <c r="AJ1038" i="3"/>
  <c r="Z1039" i="3"/>
  <c r="AJ1039" i="3" s="1"/>
  <c r="AA1039" i="3"/>
  <c r="AB1039" i="3"/>
  <c r="AC1039" i="3"/>
  <c r="AD1039" i="3"/>
  <c r="AE1039" i="3"/>
  <c r="AF1039" i="3"/>
  <c r="AG1039" i="3"/>
  <c r="AH1039" i="3"/>
  <c r="AI1039" i="3"/>
  <c r="Z1040" i="3"/>
  <c r="AA1040" i="3"/>
  <c r="AB1040" i="3"/>
  <c r="AC1040" i="3"/>
  <c r="AD1040" i="3"/>
  <c r="AJ1040" i="3" s="1"/>
  <c r="AE1040" i="3"/>
  <c r="AF1040" i="3"/>
  <c r="AG1040" i="3"/>
  <c r="AH1040" i="3"/>
  <c r="AI1040" i="3"/>
  <c r="Z1041" i="3"/>
  <c r="AA1041" i="3"/>
  <c r="AB1041" i="3"/>
  <c r="AC1041" i="3"/>
  <c r="AD1041" i="3"/>
  <c r="AE1041" i="3"/>
  <c r="AF1041" i="3"/>
  <c r="AG1041" i="3"/>
  <c r="AH1041" i="3"/>
  <c r="AI1041" i="3"/>
  <c r="Z1042" i="3"/>
  <c r="AA1042" i="3"/>
  <c r="AB1042" i="3"/>
  <c r="AC1042" i="3"/>
  <c r="AD1042" i="3"/>
  <c r="AE1042" i="3"/>
  <c r="AF1042" i="3"/>
  <c r="AG1042" i="3"/>
  <c r="AH1042" i="3"/>
  <c r="AI1042" i="3"/>
  <c r="Z1043" i="3"/>
  <c r="AA1043" i="3"/>
  <c r="AB1043" i="3"/>
  <c r="AC1043" i="3"/>
  <c r="AD1043" i="3"/>
  <c r="AE1043" i="3"/>
  <c r="AF1043" i="3"/>
  <c r="AG1043" i="3"/>
  <c r="AH1043" i="3"/>
  <c r="AI1043" i="3"/>
  <c r="Z1044" i="3"/>
  <c r="AA1044" i="3"/>
  <c r="AB1044" i="3"/>
  <c r="AC1044" i="3"/>
  <c r="AD1044" i="3"/>
  <c r="AE1044" i="3"/>
  <c r="AF1044" i="3"/>
  <c r="AG1044" i="3"/>
  <c r="AH1044" i="3"/>
  <c r="AI1044" i="3"/>
  <c r="Z1045" i="3"/>
  <c r="AJ1045" i="3" s="1"/>
  <c r="AA1045" i="3"/>
  <c r="AB1045" i="3"/>
  <c r="AC1045" i="3"/>
  <c r="AD1045" i="3"/>
  <c r="AE1045" i="3"/>
  <c r="AF1045" i="3"/>
  <c r="AG1045" i="3"/>
  <c r="AH1045" i="3"/>
  <c r="AI1045" i="3"/>
  <c r="Z1046" i="3"/>
  <c r="AA1046" i="3"/>
  <c r="AB1046" i="3"/>
  <c r="AC1046" i="3"/>
  <c r="AD1046" i="3"/>
  <c r="AE1046" i="3"/>
  <c r="AF1046" i="3"/>
  <c r="AG1046" i="3"/>
  <c r="AH1046" i="3"/>
  <c r="AI1046" i="3"/>
  <c r="AJ1046" i="3"/>
  <c r="Z1047" i="3"/>
  <c r="AA1047" i="3"/>
  <c r="AB1047" i="3"/>
  <c r="AC1047" i="3"/>
  <c r="AD1047" i="3"/>
  <c r="AE1047" i="3"/>
  <c r="AF1047" i="3"/>
  <c r="AG1047" i="3"/>
  <c r="AH1047" i="3"/>
  <c r="AI1047" i="3"/>
  <c r="Z1048" i="3"/>
  <c r="AJ1048" i="3" s="1"/>
  <c r="AA1048" i="3"/>
  <c r="AB1048" i="3"/>
  <c r="AC1048" i="3"/>
  <c r="AD1048" i="3"/>
  <c r="AE1048" i="3"/>
  <c r="AF1048" i="3"/>
  <c r="AG1048" i="3"/>
  <c r="AH1048" i="3"/>
  <c r="AI1048" i="3"/>
  <c r="Z1049" i="3"/>
  <c r="AA1049" i="3"/>
  <c r="AB1049" i="3"/>
  <c r="AC1049" i="3"/>
  <c r="AD1049" i="3"/>
  <c r="AE1049" i="3"/>
  <c r="AF1049" i="3"/>
  <c r="AG1049" i="3"/>
  <c r="AH1049" i="3"/>
  <c r="AI1049" i="3"/>
  <c r="Z1050" i="3"/>
  <c r="AA1050" i="3"/>
  <c r="AJ1050" i="3" s="1"/>
  <c r="AB1050" i="3"/>
  <c r="AC1050" i="3"/>
  <c r="AD1050" i="3"/>
  <c r="AE1050" i="3"/>
  <c r="AF1050" i="3"/>
  <c r="AG1050" i="3"/>
  <c r="AH1050" i="3"/>
  <c r="AI1050" i="3"/>
  <c r="Z1051" i="3"/>
  <c r="AA1051" i="3"/>
  <c r="AB1051" i="3"/>
  <c r="AC1051" i="3"/>
  <c r="AD1051" i="3"/>
  <c r="AE1051" i="3"/>
  <c r="AF1051" i="3"/>
  <c r="AG1051" i="3"/>
  <c r="AH1051" i="3"/>
  <c r="AI1051" i="3"/>
  <c r="Z1052" i="3"/>
  <c r="AA1052" i="3"/>
  <c r="AB1052" i="3"/>
  <c r="AC1052" i="3"/>
  <c r="AD1052" i="3"/>
  <c r="AE1052" i="3"/>
  <c r="AF1052" i="3"/>
  <c r="AG1052" i="3"/>
  <c r="AH1052" i="3"/>
  <c r="AI1052" i="3"/>
  <c r="Z1053" i="3"/>
  <c r="AJ1053" i="3" s="1"/>
  <c r="AA1053" i="3"/>
  <c r="AB1053" i="3"/>
  <c r="AC1053" i="3"/>
  <c r="AD1053" i="3"/>
  <c r="AE1053" i="3"/>
  <c r="AF1053" i="3"/>
  <c r="AG1053" i="3"/>
  <c r="AH1053" i="3"/>
  <c r="AI1053" i="3"/>
  <c r="Z1054" i="3"/>
  <c r="AA1054" i="3"/>
  <c r="AB1054" i="3"/>
  <c r="AC1054" i="3"/>
  <c r="AD1054" i="3"/>
  <c r="AE1054" i="3"/>
  <c r="AF1054" i="3"/>
  <c r="AG1054" i="3"/>
  <c r="AH1054" i="3"/>
  <c r="AI1054" i="3"/>
  <c r="AJ1054" i="3"/>
  <c r="Z1055" i="3"/>
  <c r="AJ1055" i="3" s="1"/>
  <c r="AA1055" i="3"/>
  <c r="AB1055" i="3"/>
  <c r="AC1055" i="3"/>
  <c r="AD1055" i="3"/>
  <c r="AE1055" i="3"/>
  <c r="AF1055" i="3"/>
  <c r="AG1055" i="3"/>
  <c r="AH1055" i="3"/>
  <c r="AI1055" i="3"/>
  <c r="Z1056" i="3"/>
  <c r="AA1056" i="3"/>
  <c r="AB1056" i="3"/>
  <c r="AC1056" i="3"/>
  <c r="AD1056" i="3"/>
  <c r="AE1056" i="3"/>
  <c r="AF1056" i="3"/>
  <c r="AG1056" i="3"/>
  <c r="AH1056" i="3"/>
  <c r="AI1056" i="3"/>
  <c r="Z1057" i="3"/>
  <c r="AA1057" i="3"/>
  <c r="AB1057" i="3"/>
  <c r="AC1057" i="3"/>
  <c r="AD1057" i="3"/>
  <c r="AE1057" i="3"/>
  <c r="AF1057" i="3"/>
  <c r="AG1057" i="3"/>
  <c r="AH1057" i="3"/>
  <c r="AI1057" i="3"/>
  <c r="AJ1057" i="3"/>
  <c r="Z1058" i="3"/>
  <c r="AA1058" i="3"/>
  <c r="AB1058" i="3"/>
  <c r="AC1058" i="3"/>
  <c r="AD1058" i="3"/>
  <c r="AE1058" i="3"/>
  <c r="AF1058" i="3"/>
  <c r="AG1058" i="3"/>
  <c r="AH1058" i="3"/>
  <c r="AI1058" i="3"/>
  <c r="Z1059" i="3"/>
  <c r="AA1059" i="3"/>
  <c r="AJ1059" i="3" s="1"/>
  <c r="AB1059" i="3"/>
  <c r="AC1059" i="3"/>
  <c r="AD1059" i="3"/>
  <c r="AE1059" i="3"/>
  <c r="AF1059" i="3"/>
  <c r="AG1059" i="3"/>
  <c r="AH1059" i="3"/>
  <c r="AI1059" i="3"/>
  <c r="Z1060" i="3"/>
  <c r="AA1060" i="3"/>
  <c r="AB1060" i="3"/>
  <c r="AC1060" i="3"/>
  <c r="AD1060" i="3"/>
  <c r="AE1060" i="3"/>
  <c r="AF1060" i="3"/>
  <c r="AG1060" i="3"/>
  <c r="AH1060" i="3"/>
  <c r="AI1060" i="3"/>
  <c r="Z1061" i="3"/>
  <c r="AA1061" i="3"/>
  <c r="AB1061" i="3"/>
  <c r="AC1061" i="3"/>
  <c r="AD1061" i="3"/>
  <c r="AE1061" i="3"/>
  <c r="AF1061" i="3"/>
  <c r="AG1061" i="3"/>
  <c r="AH1061" i="3"/>
  <c r="AI1061" i="3"/>
  <c r="Z1062" i="3"/>
  <c r="AA1062" i="3"/>
  <c r="AB1062" i="3"/>
  <c r="AC1062" i="3"/>
  <c r="AJ1062" i="3" s="1"/>
  <c r="AD1062" i="3"/>
  <c r="AE1062" i="3"/>
  <c r="AF1062" i="3"/>
  <c r="AG1062" i="3"/>
  <c r="AH1062" i="3"/>
  <c r="AI1062" i="3"/>
  <c r="Z1063" i="3"/>
  <c r="AA1063" i="3"/>
  <c r="AB1063" i="3"/>
  <c r="AC1063" i="3"/>
  <c r="AD1063" i="3"/>
  <c r="AE1063" i="3"/>
  <c r="AF1063" i="3"/>
  <c r="AG1063" i="3"/>
  <c r="AH1063" i="3"/>
  <c r="AI1063" i="3"/>
  <c r="Z1064" i="3"/>
  <c r="AA1064" i="3"/>
  <c r="AB1064" i="3"/>
  <c r="AC1064" i="3"/>
  <c r="AD1064" i="3"/>
  <c r="AE1064" i="3"/>
  <c r="AF1064" i="3"/>
  <c r="AG1064" i="3"/>
  <c r="AH1064" i="3"/>
  <c r="AI1064" i="3"/>
  <c r="Z1065" i="3"/>
  <c r="AA1065" i="3"/>
  <c r="AB1065" i="3"/>
  <c r="AC1065" i="3"/>
  <c r="AD1065" i="3"/>
  <c r="AE1065" i="3"/>
  <c r="AF1065" i="3"/>
  <c r="AG1065" i="3"/>
  <c r="AH1065" i="3"/>
  <c r="AI1065" i="3"/>
  <c r="AJ1065" i="3"/>
  <c r="Z1066" i="3"/>
  <c r="AA1066" i="3"/>
  <c r="AJ1066" i="3" s="1"/>
  <c r="AB1066" i="3"/>
  <c r="AC1066" i="3"/>
  <c r="AD1066" i="3"/>
  <c r="AE1066" i="3"/>
  <c r="AF1066" i="3"/>
  <c r="AG1066" i="3"/>
  <c r="AH1066" i="3"/>
  <c r="AI1066" i="3"/>
  <c r="Z1067" i="3"/>
  <c r="AA1067" i="3"/>
  <c r="AB1067" i="3"/>
  <c r="AC1067" i="3"/>
  <c r="AD1067" i="3"/>
  <c r="AE1067" i="3"/>
  <c r="AF1067" i="3"/>
  <c r="AG1067" i="3"/>
  <c r="AH1067" i="3"/>
  <c r="AI1067" i="3"/>
  <c r="Z1068" i="3"/>
  <c r="AA1068" i="3"/>
  <c r="AB1068" i="3"/>
  <c r="AC1068" i="3"/>
  <c r="AD1068" i="3"/>
  <c r="AE1068" i="3"/>
  <c r="AF1068" i="3"/>
  <c r="AG1068" i="3"/>
  <c r="AH1068" i="3"/>
  <c r="AI1068" i="3"/>
  <c r="Z1069" i="3"/>
  <c r="AA1069" i="3"/>
  <c r="AB1069" i="3"/>
  <c r="AC1069" i="3"/>
  <c r="AD1069" i="3"/>
  <c r="AE1069" i="3"/>
  <c r="AF1069" i="3"/>
  <c r="AG1069" i="3"/>
  <c r="AH1069" i="3"/>
  <c r="AI1069" i="3"/>
  <c r="Z1070" i="3"/>
  <c r="AA1070" i="3"/>
  <c r="AB1070" i="3"/>
  <c r="AC1070" i="3"/>
  <c r="AD1070" i="3"/>
  <c r="AE1070" i="3"/>
  <c r="AF1070" i="3"/>
  <c r="AG1070" i="3"/>
  <c r="AH1070" i="3"/>
  <c r="AI1070" i="3"/>
  <c r="AJ1070" i="3"/>
  <c r="Z1071" i="3"/>
  <c r="AA1071" i="3"/>
  <c r="AB1071" i="3"/>
  <c r="AC1071" i="3"/>
  <c r="AD1071" i="3"/>
  <c r="AE1071" i="3"/>
  <c r="AF1071" i="3"/>
  <c r="AG1071" i="3"/>
  <c r="AH1071" i="3"/>
  <c r="AI1071" i="3"/>
  <c r="Z1072" i="3"/>
  <c r="AJ1072" i="3" s="1"/>
  <c r="AA1072" i="3"/>
  <c r="AB1072" i="3"/>
  <c r="AC1072" i="3"/>
  <c r="AD1072" i="3"/>
  <c r="AE1072" i="3"/>
  <c r="AF1072" i="3"/>
  <c r="AG1072" i="3"/>
  <c r="AH1072" i="3"/>
  <c r="AI1072" i="3"/>
  <c r="Z1073" i="3"/>
  <c r="AA1073" i="3"/>
  <c r="AB1073" i="3"/>
  <c r="AC1073" i="3"/>
  <c r="AD1073" i="3"/>
  <c r="AE1073" i="3"/>
  <c r="AF1073" i="3"/>
  <c r="AG1073" i="3"/>
  <c r="AH1073" i="3"/>
  <c r="AI1073" i="3"/>
  <c r="AJ1073" i="3" s="1"/>
  <c r="Z1074" i="3"/>
  <c r="AA1074" i="3"/>
  <c r="AB1074" i="3"/>
  <c r="AC1074" i="3"/>
  <c r="AD1074" i="3"/>
  <c r="AE1074" i="3"/>
  <c r="AF1074" i="3"/>
  <c r="AG1074" i="3"/>
  <c r="AH1074" i="3"/>
  <c r="AI1074" i="3"/>
  <c r="Z1075" i="3"/>
  <c r="AA1075" i="3"/>
  <c r="AJ1075" i="3" s="1"/>
  <c r="AB1075" i="3"/>
  <c r="AC1075" i="3"/>
  <c r="AD1075" i="3"/>
  <c r="AE1075" i="3"/>
  <c r="AF1075" i="3"/>
  <c r="AG1075" i="3"/>
  <c r="AH1075" i="3"/>
  <c r="AI1075" i="3"/>
  <c r="Z1076" i="3"/>
  <c r="AA1076" i="3"/>
  <c r="AB1076" i="3"/>
  <c r="AC1076" i="3"/>
  <c r="AD1076" i="3"/>
  <c r="AE1076" i="3"/>
  <c r="AF1076" i="3"/>
  <c r="AG1076" i="3"/>
  <c r="AH1076" i="3"/>
  <c r="AI1076" i="3"/>
  <c r="Z1077" i="3"/>
  <c r="AA1077" i="3"/>
  <c r="AB1077" i="3"/>
  <c r="AC1077" i="3"/>
  <c r="AD1077" i="3"/>
  <c r="AE1077" i="3"/>
  <c r="AF1077" i="3"/>
  <c r="AG1077" i="3"/>
  <c r="AH1077" i="3"/>
  <c r="AI1077" i="3"/>
  <c r="Z1078" i="3"/>
  <c r="AA1078" i="3"/>
  <c r="AB1078" i="3"/>
  <c r="AC1078" i="3"/>
  <c r="AJ1078" i="3" s="1"/>
  <c r="AD1078" i="3"/>
  <c r="AE1078" i="3"/>
  <c r="AF1078" i="3"/>
  <c r="AG1078" i="3"/>
  <c r="AH1078" i="3"/>
  <c r="AI1078" i="3"/>
  <c r="Z1079" i="3"/>
  <c r="AA1079" i="3"/>
  <c r="AB1079" i="3"/>
  <c r="AC1079" i="3"/>
  <c r="AD1079" i="3"/>
  <c r="AE1079" i="3"/>
  <c r="AF1079" i="3"/>
  <c r="AG1079" i="3"/>
  <c r="AH1079" i="3"/>
  <c r="AI1079" i="3"/>
  <c r="Z1080" i="3"/>
  <c r="AA1080" i="3"/>
  <c r="AB1080" i="3"/>
  <c r="AC1080" i="3"/>
  <c r="AD1080" i="3"/>
  <c r="AE1080" i="3"/>
  <c r="AF1080" i="3"/>
  <c r="AG1080" i="3"/>
  <c r="AH1080" i="3"/>
  <c r="AI1080" i="3"/>
  <c r="Z1081" i="3"/>
  <c r="AA1081" i="3"/>
  <c r="AJ1081" i="3" s="1"/>
  <c r="AB1081" i="3"/>
  <c r="AC1081" i="3"/>
  <c r="AD1081" i="3"/>
  <c r="AE1081" i="3"/>
  <c r="AF1081" i="3"/>
  <c r="AG1081" i="3"/>
  <c r="AH1081" i="3"/>
  <c r="AI1081" i="3"/>
  <c r="Z1082" i="3"/>
  <c r="AA1082" i="3"/>
  <c r="AJ1082" i="3" s="1"/>
  <c r="AB1082" i="3"/>
  <c r="AC1082" i="3"/>
  <c r="AD1082" i="3"/>
  <c r="AE1082" i="3"/>
  <c r="AF1082" i="3"/>
  <c r="AG1082" i="3"/>
  <c r="AH1082" i="3"/>
  <c r="AI1082" i="3"/>
  <c r="Z1083" i="3"/>
  <c r="AA1083" i="3"/>
  <c r="AB1083" i="3"/>
  <c r="AC1083" i="3"/>
  <c r="AD1083" i="3"/>
  <c r="AE1083" i="3"/>
  <c r="AF1083" i="3"/>
  <c r="AG1083" i="3"/>
  <c r="AH1083" i="3"/>
  <c r="AI1083" i="3"/>
  <c r="Z1084" i="3"/>
  <c r="AA1084" i="3"/>
  <c r="AB1084" i="3"/>
  <c r="AC1084" i="3"/>
  <c r="AD1084" i="3"/>
  <c r="AE1084" i="3"/>
  <c r="AF1084" i="3"/>
  <c r="AG1084" i="3"/>
  <c r="AH1084" i="3"/>
  <c r="AI1084" i="3"/>
  <c r="Z1085" i="3"/>
  <c r="AJ1085" i="3" s="1"/>
  <c r="AA1085" i="3"/>
  <c r="AB1085" i="3"/>
  <c r="AC1085" i="3"/>
  <c r="AD1085" i="3"/>
  <c r="AE1085" i="3"/>
  <c r="AF1085" i="3"/>
  <c r="AG1085" i="3"/>
  <c r="AH1085" i="3"/>
  <c r="AI1085" i="3"/>
  <c r="Z1086" i="3"/>
  <c r="AA1086" i="3"/>
  <c r="AB1086" i="3"/>
  <c r="AC1086" i="3"/>
  <c r="AJ1086" i="3" s="1"/>
  <c r="AD1086" i="3"/>
  <c r="AE1086" i="3"/>
  <c r="AF1086" i="3"/>
  <c r="AG1086" i="3"/>
  <c r="AH1086" i="3"/>
  <c r="AI1086" i="3"/>
  <c r="Z1087" i="3"/>
  <c r="AA1087" i="3"/>
  <c r="AB1087" i="3"/>
  <c r="AC1087" i="3"/>
  <c r="AD1087" i="3"/>
  <c r="AE1087" i="3"/>
  <c r="AF1087" i="3"/>
  <c r="AG1087" i="3"/>
  <c r="AH1087" i="3"/>
  <c r="AI1087" i="3"/>
  <c r="Z1088" i="3"/>
  <c r="AA1088" i="3"/>
  <c r="AB1088" i="3"/>
  <c r="AC1088" i="3"/>
  <c r="AD1088" i="3"/>
  <c r="AE1088" i="3"/>
  <c r="AF1088" i="3"/>
  <c r="AG1088" i="3"/>
  <c r="AH1088" i="3"/>
  <c r="AI1088" i="3"/>
  <c r="Z1089" i="3"/>
  <c r="AA1089" i="3"/>
  <c r="AB1089" i="3"/>
  <c r="AC1089" i="3"/>
  <c r="AD1089" i="3"/>
  <c r="AE1089" i="3"/>
  <c r="AF1089" i="3"/>
  <c r="AG1089" i="3"/>
  <c r="AH1089" i="3"/>
  <c r="AI1089" i="3"/>
  <c r="AJ1089" i="3"/>
  <c r="Z1090" i="3"/>
  <c r="AA1090" i="3"/>
  <c r="AB1090" i="3"/>
  <c r="AC1090" i="3"/>
  <c r="AD1090" i="3"/>
  <c r="AE1090" i="3"/>
  <c r="AF1090" i="3"/>
  <c r="AG1090" i="3"/>
  <c r="AH1090" i="3"/>
  <c r="AI1090" i="3"/>
  <c r="Z1091" i="3"/>
  <c r="AA1091" i="3"/>
  <c r="AJ1091" i="3" s="1"/>
  <c r="AB1091" i="3"/>
  <c r="AC1091" i="3"/>
  <c r="AD1091" i="3"/>
  <c r="AE1091" i="3"/>
  <c r="AF1091" i="3"/>
  <c r="AG1091" i="3"/>
  <c r="AH1091" i="3"/>
  <c r="AI1091" i="3"/>
  <c r="Z1092" i="3"/>
  <c r="AA1092" i="3"/>
  <c r="AB1092" i="3"/>
  <c r="AC1092" i="3"/>
  <c r="AD1092" i="3"/>
  <c r="AE1092" i="3"/>
  <c r="AF1092" i="3"/>
  <c r="AG1092" i="3"/>
  <c r="AH1092" i="3"/>
  <c r="AI1092" i="3"/>
  <c r="Z1093" i="3"/>
  <c r="AA1093" i="3"/>
  <c r="AB1093" i="3"/>
  <c r="AC1093" i="3"/>
  <c r="AD1093" i="3"/>
  <c r="AE1093" i="3"/>
  <c r="AF1093" i="3"/>
  <c r="AG1093" i="3"/>
  <c r="AH1093" i="3"/>
  <c r="AI1093" i="3"/>
  <c r="Z1094" i="3"/>
  <c r="AA1094" i="3"/>
  <c r="AB1094" i="3"/>
  <c r="AC1094" i="3"/>
  <c r="AD1094" i="3"/>
  <c r="AE1094" i="3"/>
  <c r="AF1094" i="3"/>
  <c r="AG1094" i="3"/>
  <c r="AH1094" i="3"/>
  <c r="AI1094" i="3"/>
  <c r="AJ1094" i="3"/>
  <c r="Z1095" i="3"/>
  <c r="AA1095" i="3"/>
  <c r="AB1095" i="3"/>
  <c r="AC1095" i="3"/>
  <c r="AD1095" i="3"/>
  <c r="AE1095" i="3"/>
  <c r="AF1095" i="3"/>
  <c r="AG1095" i="3"/>
  <c r="AH1095" i="3"/>
  <c r="AI1095" i="3"/>
  <c r="Z1096" i="3"/>
  <c r="AA1096" i="3"/>
  <c r="AB1096" i="3"/>
  <c r="AC1096" i="3"/>
  <c r="AD1096" i="3"/>
  <c r="AE1096" i="3"/>
  <c r="AF1096" i="3"/>
  <c r="AG1096" i="3"/>
  <c r="AH1096" i="3"/>
  <c r="AI1096" i="3"/>
  <c r="Z1097" i="3"/>
  <c r="AA1097" i="3"/>
  <c r="AB1097" i="3"/>
  <c r="AC1097" i="3"/>
  <c r="AD1097" i="3"/>
  <c r="AE1097" i="3"/>
  <c r="AF1097" i="3"/>
  <c r="AG1097" i="3"/>
  <c r="AH1097" i="3"/>
  <c r="AI1097" i="3"/>
  <c r="AJ1097" i="3"/>
  <c r="Z1098" i="3"/>
  <c r="AA1098" i="3"/>
  <c r="AJ1098" i="3" s="1"/>
  <c r="AB1098" i="3"/>
  <c r="AC1098" i="3"/>
  <c r="AD1098" i="3"/>
  <c r="AE1098" i="3"/>
  <c r="AF1098" i="3"/>
  <c r="AG1098" i="3"/>
  <c r="AH1098" i="3"/>
  <c r="AI1098" i="3"/>
  <c r="Z1099" i="3"/>
  <c r="AA1099" i="3"/>
  <c r="AB1099" i="3"/>
  <c r="AC1099" i="3"/>
  <c r="AD1099" i="3"/>
  <c r="AE1099" i="3"/>
  <c r="AF1099" i="3"/>
  <c r="AG1099" i="3"/>
  <c r="AH1099" i="3"/>
  <c r="AI1099" i="3"/>
  <c r="Z1100" i="3"/>
  <c r="AA1100" i="3"/>
  <c r="AB1100" i="3"/>
  <c r="AC1100" i="3"/>
  <c r="AD1100" i="3"/>
  <c r="AE1100" i="3"/>
  <c r="AF1100" i="3"/>
  <c r="AG1100" i="3"/>
  <c r="AH1100" i="3"/>
  <c r="AI1100" i="3"/>
  <c r="Z1101" i="3"/>
  <c r="AA1101" i="3"/>
  <c r="AB1101" i="3"/>
  <c r="AC1101" i="3"/>
  <c r="AD1101" i="3"/>
  <c r="AE1101" i="3"/>
  <c r="AF1101" i="3"/>
  <c r="AG1101" i="3"/>
  <c r="AH1101" i="3"/>
  <c r="AI1101" i="3"/>
  <c r="Z1102" i="3"/>
  <c r="AA1102" i="3"/>
  <c r="AB1102" i="3"/>
  <c r="AC1102" i="3"/>
  <c r="AD1102" i="3"/>
  <c r="AE1102" i="3"/>
  <c r="AF1102" i="3"/>
  <c r="AG1102" i="3"/>
  <c r="AH1102" i="3"/>
  <c r="AI1102" i="3"/>
  <c r="AJ1102" i="3"/>
  <c r="Z1103" i="3"/>
  <c r="AA1103" i="3"/>
  <c r="AB1103" i="3"/>
  <c r="AC1103" i="3"/>
  <c r="AD1103" i="3"/>
  <c r="AE1103" i="3"/>
  <c r="AF1103" i="3"/>
  <c r="AG1103" i="3"/>
  <c r="AH1103" i="3"/>
  <c r="AI1103" i="3"/>
  <c r="Z1104" i="3"/>
  <c r="AA1104" i="3"/>
  <c r="AB1104" i="3"/>
  <c r="AC1104" i="3"/>
  <c r="AD1104" i="3"/>
  <c r="AE1104" i="3"/>
  <c r="AF1104" i="3"/>
  <c r="AG1104" i="3"/>
  <c r="AH1104" i="3"/>
  <c r="AI1104" i="3"/>
  <c r="Z1105" i="3"/>
  <c r="AA1105" i="3"/>
  <c r="AJ1105" i="3" s="1"/>
  <c r="AB1105" i="3"/>
  <c r="AC1105" i="3"/>
  <c r="AD1105" i="3"/>
  <c r="AE1105" i="3"/>
  <c r="AF1105" i="3"/>
  <c r="AG1105" i="3"/>
  <c r="AH1105" i="3"/>
  <c r="AI1105" i="3"/>
  <c r="Z1106" i="3"/>
  <c r="AA1106" i="3"/>
  <c r="AB1106" i="3"/>
  <c r="AC1106" i="3"/>
  <c r="AD1106" i="3"/>
  <c r="AE1106" i="3"/>
  <c r="AF1106" i="3"/>
  <c r="AG1106" i="3"/>
  <c r="AH1106" i="3"/>
  <c r="AI1106" i="3"/>
  <c r="Z1107" i="3"/>
  <c r="AA1107" i="3"/>
  <c r="AB1107" i="3"/>
  <c r="AC1107" i="3"/>
  <c r="AD1107" i="3"/>
  <c r="AE1107" i="3"/>
  <c r="AF1107" i="3"/>
  <c r="AG1107" i="3"/>
  <c r="AH1107" i="3"/>
  <c r="AI1107" i="3"/>
  <c r="Z1108" i="3"/>
  <c r="AA1108" i="3"/>
  <c r="AB1108" i="3"/>
  <c r="AC1108" i="3"/>
  <c r="AD1108" i="3"/>
  <c r="AE1108" i="3"/>
  <c r="AF1108" i="3"/>
  <c r="AG1108" i="3"/>
  <c r="AH1108" i="3"/>
  <c r="AI1108" i="3"/>
  <c r="Z1109" i="3"/>
  <c r="AJ1109" i="3" s="1"/>
  <c r="AA1109" i="3"/>
  <c r="AB1109" i="3"/>
  <c r="AC1109" i="3"/>
  <c r="AD1109" i="3"/>
  <c r="AE1109" i="3"/>
  <c r="AF1109" i="3"/>
  <c r="AG1109" i="3"/>
  <c r="AH1109" i="3"/>
  <c r="AI1109" i="3"/>
  <c r="Z1110" i="3"/>
  <c r="AA1110" i="3"/>
  <c r="AB1110" i="3"/>
  <c r="AC1110" i="3"/>
  <c r="AJ1110" i="3" s="1"/>
  <c r="AD1110" i="3"/>
  <c r="AE1110" i="3"/>
  <c r="AF1110" i="3"/>
  <c r="AG1110" i="3"/>
  <c r="AH1110" i="3"/>
  <c r="AI1110" i="3"/>
  <c r="Z1111" i="3"/>
  <c r="AA1111" i="3"/>
  <c r="AB1111" i="3"/>
  <c r="AC1111" i="3"/>
  <c r="AD1111" i="3"/>
  <c r="AE1111" i="3"/>
  <c r="AF1111" i="3"/>
  <c r="AG1111" i="3"/>
  <c r="AH1111" i="3"/>
  <c r="AI1111" i="3"/>
  <c r="Z1112" i="3"/>
  <c r="AA1112" i="3"/>
  <c r="AB1112" i="3"/>
  <c r="AC1112" i="3"/>
  <c r="AD1112" i="3"/>
  <c r="AJ1112" i="3" s="1"/>
  <c r="AE1112" i="3"/>
  <c r="AF1112" i="3"/>
  <c r="AG1112" i="3"/>
  <c r="AH1112" i="3"/>
  <c r="AI1112" i="3"/>
  <c r="Z1113" i="3"/>
  <c r="AA1113" i="3"/>
  <c r="AJ1113" i="3" s="1"/>
  <c r="AB1113" i="3"/>
  <c r="AC1113" i="3"/>
  <c r="AD1113" i="3"/>
  <c r="AE1113" i="3"/>
  <c r="AF1113" i="3"/>
  <c r="AG1113" i="3"/>
  <c r="AH1113" i="3"/>
  <c r="AI1113" i="3"/>
  <c r="Z1114" i="3"/>
  <c r="AA1114" i="3"/>
  <c r="AJ1114" i="3" s="1"/>
  <c r="AB1114" i="3"/>
  <c r="AC1114" i="3"/>
  <c r="AD1114" i="3"/>
  <c r="AE1114" i="3"/>
  <c r="AF1114" i="3"/>
  <c r="AG1114" i="3"/>
  <c r="AH1114" i="3"/>
  <c r="AI1114" i="3"/>
  <c r="Z1115" i="3"/>
  <c r="AA1115" i="3"/>
  <c r="AB1115" i="3"/>
  <c r="AC1115" i="3"/>
  <c r="AD1115" i="3"/>
  <c r="AE1115" i="3"/>
  <c r="AF1115" i="3"/>
  <c r="AG1115" i="3"/>
  <c r="AH1115" i="3"/>
  <c r="AI1115" i="3"/>
  <c r="Z1116" i="3"/>
  <c r="AA1116" i="3"/>
  <c r="AB1116" i="3"/>
  <c r="AC1116" i="3"/>
  <c r="AD1116" i="3"/>
  <c r="AE1116" i="3"/>
  <c r="AF1116" i="3"/>
  <c r="AG1116" i="3"/>
  <c r="AH1116" i="3"/>
  <c r="AI1116" i="3"/>
  <c r="Z1117" i="3"/>
  <c r="AA1117" i="3"/>
  <c r="AB1117" i="3"/>
  <c r="AC1117" i="3"/>
  <c r="AD1117" i="3"/>
  <c r="AE1117" i="3"/>
  <c r="AF1117" i="3"/>
  <c r="AG1117" i="3"/>
  <c r="AH1117" i="3"/>
  <c r="AI1117" i="3"/>
  <c r="Z1118" i="3"/>
  <c r="AA1118" i="3"/>
  <c r="AB1118" i="3"/>
  <c r="AC1118" i="3"/>
  <c r="AJ1118" i="3" s="1"/>
  <c r="AD1118" i="3"/>
  <c r="AE1118" i="3"/>
  <c r="AF1118" i="3"/>
  <c r="AG1118" i="3"/>
  <c r="AH1118" i="3"/>
  <c r="AI1118" i="3"/>
  <c r="Z1119" i="3"/>
  <c r="AA1119" i="3"/>
  <c r="AB1119" i="3"/>
  <c r="AC1119" i="3"/>
  <c r="AD1119" i="3"/>
  <c r="AE1119" i="3"/>
  <c r="AF1119" i="3"/>
  <c r="AG1119" i="3"/>
  <c r="AH1119" i="3"/>
  <c r="AI1119" i="3"/>
  <c r="Z1120" i="3"/>
  <c r="AA1120" i="3"/>
  <c r="AB1120" i="3"/>
  <c r="AC1120" i="3"/>
  <c r="AD1120" i="3"/>
  <c r="AJ1120" i="3" s="1"/>
  <c r="AE1120" i="3"/>
  <c r="AF1120" i="3"/>
  <c r="AG1120" i="3"/>
  <c r="AH1120" i="3"/>
  <c r="AI1120" i="3"/>
  <c r="Z1121" i="3"/>
  <c r="AA1121" i="3"/>
  <c r="AB1121" i="3"/>
  <c r="AC1121" i="3"/>
  <c r="AD1121" i="3"/>
  <c r="AE1121" i="3"/>
  <c r="AF1121" i="3"/>
  <c r="AG1121" i="3"/>
  <c r="AH1121" i="3"/>
  <c r="AI1121" i="3"/>
  <c r="AJ1121" i="3"/>
  <c r="Z1122" i="3"/>
  <c r="AA1122" i="3"/>
  <c r="AB1122" i="3"/>
  <c r="AC1122" i="3"/>
  <c r="AD1122" i="3"/>
  <c r="AE1122" i="3"/>
  <c r="AF1122" i="3"/>
  <c r="AG1122" i="3"/>
  <c r="AH1122" i="3"/>
  <c r="AI1122" i="3"/>
  <c r="Z1123" i="3"/>
  <c r="AA1123" i="3"/>
  <c r="AJ1123" i="3" s="1"/>
  <c r="AB1123" i="3"/>
  <c r="AC1123" i="3"/>
  <c r="AD1123" i="3"/>
  <c r="AE1123" i="3"/>
  <c r="AF1123" i="3"/>
  <c r="AG1123" i="3"/>
  <c r="AH1123" i="3"/>
  <c r="AI1123" i="3"/>
  <c r="Z1124" i="3"/>
  <c r="AA1124" i="3"/>
  <c r="AB1124" i="3"/>
  <c r="AC1124" i="3"/>
  <c r="AD1124" i="3"/>
  <c r="AE1124" i="3"/>
  <c r="AF1124" i="3"/>
  <c r="AG1124" i="3"/>
  <c r="AH1124" i="3"/>
  <c r="AI1124" i="3"/>
  <c r="Z1125" i="3"/>
  <c r="AA1125" i="3"/>
  <c r="AB1125" i="3"/>
  <c r="AC1125" i="3"/>
  <c r="AD1125" i="3"/>
  <c r="AE1125" i="3"/>
  <c r="AF1125" i="3"/>
  <c r="AG1125" i="3"/>
  <c r="AH1125" i="3"/>
  <c r="AI1125" i="3"/>
  <c r="Z1126" i="3"/>
  <c r="AA1126" i="3"/>
  <c r="AB1126" i="3"/>
  <c r="AC1126" i="3"/>
  <c r="AD1126" i="3"/>
  <c r="AE1126" i="3"/>
  <c r="AF1126" i="3"/>
  <c r="AG1126" i="3"/>
  <c r="AH1126" i="3"/>
  <c r="AI1126" i="3"/>
  <c r="AJ1126" i="3"/>
  <c r="Z1127" i="3"/>
  <c r="AA1127" i="3"/>
  <c r="AB1127" i="3"/>
  <c r="AC1127" i="3"/>
  <c r="AD1127" i="3"/>
  <c r="AE1127" i="3"/>
  <c r="AF1127" i="3"/>
  <c r="AG1127" i="3"/>
  <c r="AH1127" i="3"/>
  <c r="AI1127" i="3"/>
  <c r="Z1128" i="3"/>
  <c r="AA1128" i="3"/>
  <c r="AB1128" i="3"/>
  <c r="AC1128" i="3"/>
  <c r="AD1128" i="3"/>
  <c r="AE1128" i="3"/>
  <c r="AF1128" i="3"/>
  <c r="AG1128" i="3"/>
  <c r="AH1128" i="3"/>
  <c r="AI1128" i="3"/>
  <c r="Z1129" i="3"/>
  <c r="AA1129" i="3"/>
  <c r="AB1129" i="3"/>
  <c r="AC1129" i="3"/>
  <c r="AD1129" i="3"/>
  <c r="AE1129" i="3"/>
  <c r="AF1129" i="3"/>
  <c r="AG1129" i="3"/>
  <c r="AH1129" i="3"/>
  <c r="AI1129" i="3"/>
  <c r="AJ1129" i="3"/>
  <c r="Z1130" i="3"/>
  <c r="AA1130" i="3"/>
  <c r="AJ1130" i="3" s="1"/>
  <c r="AB1130" i="3"/>
  <c r="AC1130" i="3"/>
  <c r="AD1130" i="3"/>
  <c r="AE1130" i="3"/>
  <c r="AF1130" i="3"/>
  <c r="AG1130" i="3"/>
  <c r="AH1130" i="3"/>
  <c r="AI1130" i="3"/>
  <c r="Z1131" i="3"/>
  <c r="AA1131" i="3"/>
  <c r="AB1131" i="3"/>
  <c r="AC1131" i="3"/>
  <c r="AD1131" i="3"/>
  <c r="AE1131" i="3"/>
  <c r="AF1131" i="3"/>
  <c r="AG1131" i="3"/>
  <c r="AH1131" i="3"/>
  <c r="AI1131" i="3"/>
  <c r="Z1132" i="3"/>
  <c r="AA1132" i="3"/>
  <c r="AB1132" i="3"/>
  <c r="AC1132" i="3"/>
  <c r="AD1132" i="3"/>
  <c r="AE1132" i="3"/>
  <c r="AF1132" i="3"/>
  <c r="AG1132" i="3"/>
  <c r="AH1132" i="3"/>
  <c r="AI1132" i="3"/>
  <c r="Z1133" i="3"/>
  <c r="AA1133" i="3"/>
  <c r="AB1133" i="3"/>
  <c r="AC1133" i="3"/>
  <c r="AD1133" i="3"/>
  <c r="AE1133" i="3"/>
  <c r="AF1133" i="3"/>
  <c r="AG1133" i="3"/>
  <c r="AH1133" i="3"/>
  <c r="AI1133" i="3"/>
  <c r="Z1134" i="3"/>
  <c r="AA1134" i="3"/>
  <c r="AB1134" i="3"/>
  <c r="AC1134" i="3"/>
  <c r="AD1134" i="3"/>
  <c r="AE1134" i="3"/>
  <c r="AF1134" i="3"/>
  <c r="AG1134" i="3"/>
  <c r="AH1134" i="3"/>
  <c r="AI1134" i="3"/>
  <c r="AJ1134" i="3"/>
  <c r="Z1135" i="3"/>
  <c r="AA1135" i="3"/>
  <c r="AB1135" i="3"/>
  <c r="AC1135" i="3"/>
  <c r="AD1135" i="3"/>
  <c r="AE1135" i="3"/>
  <c r="AF1135" i="3"/>
  <c r="AG1135" i="3"/>
  <c r="AH1135" i="3"/>
  <c r="AI1135" i="3"/>
  <c r="Z1136" i="3"/>
  <c r="AA1136" i="3"/>
  <c r="AB1136" i="3"/>
  <c r="AC1136" i="3"/>
  <c r="AD1136" i="3"/>
  <c r="AE1136" i="3"/>
  <c r="AF1136" i="3"/>
  <c r="AG1136" i="3"/>
  <c r="AH1136" i="3"/>
  <c r="AI1136" i="3"/>
  <c r="Z1137" i="3"/>
  <c r="AA1137" i="3"/>
  <c r="AJ1137" i="3" s="1"/>
  <c r="AB1137" i="3"/>
  <c r="AC1137" i="3"/>
  <c r="AD1137" i="3"/>
  <c r="AE1137" i="3"/>
  <c r="AF1137" i="3"/>
  <c r="AG1137" i="3"/>
  <c r="AH1137" i="3"/>
  <c r="AI1137" i="3"/>
  <c r="Z1138" i="3"/>
  <c r="AA1138" i="3"/>
  <c r="AB1138" i="3"/>
  <c r="AC1138" i="3"/>
  <c r="AD1138" i="3"/>
  <c r="AE1138" i="3"/>
  <c r="AF1138" i="3"/>
  <c r="AG1138" i="3"/>
  <c r="AH1138" i="3"/>
  <c r="AI1138" i="3"/>
  <c r="Z1139" i="3"/>
  <c r="AA1139" i="3"/>
  <c r="AB1139" i="3"/>
  <c r="AC1139" i="3"/>
  <c r="AD1139" i="3"/>
  <c r="AE1139" i="3"/>
  <c r="AF1139" i="3"/>
  <c r="AG1139" i="3"/>
  <c r="AH1139" i="3"/>
  <c r="AI1139" i="3"/>
  <c r="Z1140" i="3"/>
  <c r="AA1140" i="3"/>
  <c r="AB1140" i="3"/>
  <c r="AC1140" i="3"/>
  <c r="AD1140" i="3"/>
  <c r="AE1140" i="3"/>
  <c r="AF1140" i="3"/>
  <c r="AG1140" i="3"/>
  <c r="AH1140" i="3"/>
  <c r="AI1140" i="3"/>
  <c r="Z1141" i="3"/>
  <c r="AJ1141" i="3" s="1"/>
  <c r="AA1141" i="3"/>
  <c r="AB1141" i="3"/>
  <c r="AC1141" i="3"/>
  <c r="AD1141" i="3"/>
  <c r="AE1141" i="3"/>
  <c r="AF1141" i="3"/>
  <c r="AG1141" i="3"/>
  <c r="AH1141" i="3"/>
  <c r="AI1141" i="3"/>
  <c r="Z1142" i="3"/>
  <c r="AA1142" i="3"/>
  <c r="AB1142" i="3"/>
  <c r="AC1142" i="3"/>
  <c r="AJ1142" i="3" s="1"/>
  <c r="AD1142" i="3"/>
  <c r="AE1142" i="3"/>
  <c r="AF1142" i="3"/>
  <c r="AG1142" i="3"/>
  <c r="AH1142" i="3"/>
  <c r="AI1142" i="3"/>
  <c r="Z1143" i="3"/>
  <c r="AA1143" i="3"/>
  <c r="AB1143" i="3"/>
  <c r="AC1143" i="3"/>
  <c r="AD1143" i="3"/>
  <c r="AE1143" i="3"/>
  <c r="AF1143" i="3"/>
  <c r="AG1143" i="3"/>
  <c r="AH1143" i="3"/>
  <c r="AI1143" i="3"/>
  <c r="Z1144" i="3"/>
  <c r="AA1144" i="3"/>
  <c r="AB1144" i="3"/>
  <c r="AC1144" i="3"/>
  <c r="AD1144" i="3"/>
  <c r="AJ1144" i="3" s="1"/>
  <c r="AE1144" i="3"/>
  <c r="AF1144" i="3"/>
  <c r="AG1144" i="3"/>
  <c r="AH1144" i="3"/>
  <c r="AI1144" i="3"/>
  <c r="Z1145" i="3"/>
  <c r="AA1145" i="3"/>
  <c r="AJ1145" i="3" s="1"/>
  <c r="AB1145" i="3"/>
  <c r="AC1145" i="3"/>
  <c r="AD1145" i="3"/>
  <c r="AE1145" i="3"/>
  <c r="AF1145" i="3"/>
  <c r="AG1145" i="3"/>
  <c r="AH1145" i="3"/>
  <c r="AI1145" i="3"/>
  <c r="Z1146" i="3"/>
  <c r="AA1146" i="3"/>
  <c r="AB1146" i="3"/>
  <c r="AC1146" i="3"/>
  <c r="AD1146" i="3"/>
  <c r="AE1146" i="3"/>
  <c r="AF1146" i="3"/>
  <c r="AG1146" i="3"/>
  <c r="AH1146" i="3"/>
  <c r="AI1146" i="3"/>
  <c r="Z1147" i="3"/>
  <c r="AA1147" i="3"/>
  <c r="AB1147" i="3"/>
  <c r="AC1147" i="3"/>
  <c r="AD1147" i="3"/>
  <c r="AE1147" i="3"/>
  <c r="AF1147" i="3"/>
  <c r="AG1147" i="3"/>
  <c r="AH1147" i="3"/>
  <c r="AI1147" i="3"/>
  <c r="Z1148" i="3"/>
  <c r="AA1148" i="3"/>
  <c r="AB1148" i="3"/>
  <c r="AC1148" i="3"/>
  <c r="AD1148" i="3"/>
  <c r="AE1148" i="3"/>
  <c r="AF1148" i="3"/>
  <c r="AG1148" i="3"/>
  <c r="AH1148" i="3"/>
  <c r="AI1148" i="3"/>
  <c r="Z1149" i="3"/>
  <c r="AA1149" i="3"/>
  <c r="AB1149" i="3"/>
  <c r="AC1149" i="3"/>
  <c r="AD1149" i="3"/>
  <c r="AE1149" i="3"/>
  <c r="AF1149" i="3"/>
  <c r="AG1149" i="3"/>
  <c r="AH1149" i="3"/>
  <c r="AI1149" i="3"/>
  <c r="Z1150" i="3"/>
  <c r="AA1150" i="3"/>
  <c r="AB1150" i="3"/>
  <c r="AC1150" i="3"/>
  <c r="AJ1150" i="3" s="1"/>
  <c r="AD1150" i="3"/>
  <c r="AE1150" i="3"/>
  <c r="AF1150" i="3"/>
  <c r="AG1150" i="3"/>
  <c r="AH1150" i="3"/>
  <c r="AI1150" i="3"/>
  <c r="Z1151" i="3"/>
  <c r="AA1151" i="3"/>
  <c r="AB1151" i="3"/>
  <c r="AC1151" i="3"/>
  <c r="AD1151" i="3"/>
  <c r="AE1151" i="3"/>
  <c r="AF1151" i="3"/>
  <c r="AG1151" i="3"/>
  <c r="AH1151" i="3"/>
  <c r="AI1151" i="3"/>
  <c r="Z1152" i="3"/>
  <c r="AA1152" i="3"/>
  <c r="AB1152" i="3"/>
  <c r="AC1152" i="3"/>
  <c r="AD1152" i="3"/>
  <c r="AJ1152" i="3" s="1"/>
  <c r="AE1152" i="3"/>
  <c r="AF1152" i="3"/>
  <c r="AG1152" i="3"/>
  <c r="AH1152" i="3"/>
  <c r="AI1152" i="3"/>
  <c r="Z1153" i="3"/>
  <c r="AA1153" i="3"/>
  <c r="AB1153" i="3"/>
  <c r="AC1153" i="3"/>
  <c r="AD1153" i="3"/>
  <c r="AE1153" i="3"/>
  <c r="AF1153" i="3"/>
  <c r="AG1153" i="3"/>
  <c r="AH1153" i="3"/>
  <c r="AI1153" i="3"/>
  <c r="AJ1153" i="3"/>
  <c r="Z1154" i="3"/>
  <c r="AA1154" i="3"/>
  <c r="AB1154" i="3"/>
  <c r="AC1154" i="3"/>
  <c r="AD1154" i="3"/>
  <c r="AE1154" i="3"/>
  <c r="AF1154" i="3"/>
  <c r="AG1154" i="3"/>
  <c r="AH1154" i="3"/>
  <c r="AI1154" i="3"/>
  <c r="Z1155" i="3"/>
  <c r="AA1155" i="3"/>
  <c r="AJ1155" i="3" s="1"/>
  <c r="AB1155" i="3"/>
  <c r="AC1155" i="3"/>
  <c r="AD1155" i="3"/>
  <c r="AE1155" i="3"/>
  <c r="AF1155" i="3"/>
  <c r="AG1155" i="3"/>
  <c r="AH1155" i="3"/>
  <c r="AI1155" i="3"/>
  <c r="Z1156" i="3"/>
  <c r="AA1156" i="3"/>
  <c r="AB1156" i="3"/>
  <c r="AC1156" i="3"/>
  <c r="AD1156" i="3"/>
  <c r="AE1156" i="3"/>
  <c r="AF1156" i="3"/>
  <c r="AG1156" i="3"/>
  <c r="AH1156" i="3"/>
  <c r="AI1156" i="3"/>
  <c r="Z1157" i="3"/>
  <c r="AA1157" i="3"/>
  <c r="AB1157" i="3"/>
  <c r="AC1157" i="3"/>
  <c r="AD1157" i="3"/>
  <c r="AE1157" i="3"/>
  <c r="AF1157" i="3"/>
  <c r="AG1157" i="3"/>
  <c r="AH1157" i="3"/>
  <c r="AI1157" i="3"/>
  <c r="Z1158" i="3"/>
  <c r="AA1158" i="3"/>
  <c r="AB1158" i="3"/>
  <c r="AC1158" i="3"/>
  <c r="AD1158" i="3"/>
  <c r="AE1158" i="3"/>
  <c r="AF1158" i="3"/>
  <c r="AG1158" i="3"/>
  <c r="AH1158" i="3"/>
  <c r="AI1158" i="3"/>
  <c r="AJ1158" i="3"/>
  <c r="Z1159" i="3"/>
  <c r="AA1159" i="3"/>
  <c r="AB1159" i="3"/>
  <c r="AC1159" i="3"/>
  <c r="AD1159" i="3"/>
  <c r="AE1159" i="3"/>
  <c r="AF1159" i="3"/>
  <c r="AG1159" i="3"/>
  <c r="AH1159" i="3"/>
  <c r="AI1159" i="3"/>
  <c r="Z1160" i="3"/>
  <c r="AA1160" i="3"/>
  <c r="AB1160" i="3"/>
  <c r="AC1160" i="3"/>
  <c r="AD1160" i="3"/>
  <c r="AE1160" i="3"/>
  <c r="AF1160" i="3"/>
  <c r="AG1160" i="3"/>
  <c r="AH1160" i="3"/>
  <c r="AI1160" i="3"/>
  <c r="Z1161" i="3"/>
  <c r="AA1161" i="3"/>
  <c r="AB1161" i="3"/>
  <c r="AC1161" i="3"/>
  <c r="AD1161" i="3"/>
  <c r="AJ1161" i="3" s="1"/>
  <c r="AE1161" i="3"/>
  <c r="AF1161" i="3"/>
  <c r="AG1161" i="3"/>
  <c r="AH1161" i="3"/>
  <c r="AI1161" i="3"/>
  <c r="Z1162" i="3"/>
  <c r="AJ1162" i="3" s="1"/>
  <c r="AA1162" i="3"/>
  <c r="AB1162" i="3"/>
  <c r="AC1162" i="3"/>
  <c r="AD1162" i="3"/>
  <c r="AE1162" i="3"/>
  <c r="AF1162" i="3"/>
  <c r="AG1162" i="3"/>
  <c r="AH1162" i="3"/>
  <c r="AI1162" i="3"/>
  <c r="Z1163" i="3"/>
  <c r="AA1163" i="3"/>
  <c r="AB1163" i="3"/>
  <c r="AC1163" i="3"/>
  <c r="AD1163" i="3"/>
  <c r="AE1163" i="3"/>
  <c r="AF1163" i="3"/>
  <c r="AG1163" i="3"/>
  <c r="AH1163" i="3"/>
  <c r="AI1163" i="3"/>
  <c r="Z1164" i="3"/>
  <c r="AA1164" i="3"/>
  <c r="AB1164" i="3"/>
  <c r="AC1164" i="3"/>
  <c r="AD1164" i="3"/>
  <c r="AE1164" i="3"/>
  <c r="AF1164" i="3"/>
  <c r="AG1164" i="3"/>
  <c r="AH1164" i="3"/>
  <c r="AI1164" i="3"/>
  <c r="Z1165" i="3"/>
  <c r="AA1165" i="3"/>
  <c r="AB1165" i="3"/>
  <c r="AC1165" i="3"/>
  <c r="AD1165" i="3"/>
  <c r="AE1165" i="3"/>
  <c r="AF1165" i="3"/>
  <c r="AG1165" i="3"/>
  <c r="AH1165" i="3"/>
  <c r="AI1165" i="3"/>
  <c r="Z1166" i="3"/>
  <c r="AA1166" i="3"/>
  <c r="AB1166" i="3"/>
  <c r="AC1166" i="3"/>
  <c r="AD1166" i="3"/>
  <c r="AE1166" i="3"/>
  <c r="AJ1166" i="3" s="1"/>
  <c r="AF1166" i="3"/>
  <c r="AG1166" i="3"/>
  <c r="AH1166" i="3"/>
  <c r="AI1166" i="3"/>
  <c r="Z1167" i="3"/>
  <c r="AA1167" i="3"/>
  <c r="AB1167" i="3"/>
  <c r="AC1167" i="3"/>
  <c r="AD1167" i="3"/>
  <c r="AE1167" i="3"/>
  <c r="AF1167" i="3"/>
  <c r="AG1167" i="3"/>
  <c r="AH1167" i="3"/>
  <c r="AI1167" i="3"/>
  <c r="AJ1167" i="3"/>
  <c r="Z1168" i="3"/>
  <c r="AA1168" i="3"/>
  <c r="AB1168" i="3"/>
  <c r="AC1168" i="3"/>
  <c r="AD1168" i="3"/>
  <c r="AE1168" i="3"/>
  <c r="AF1168" i="3"/>
  <c r="AG1168" i="3"/>
  <c r="AH1168" i="3"/>
  <c r="AI1168" i="3"/>
  <c r="Z1169" i="3"/>
  <c r="AA1169" i="3"/>
  <c r="AB1169" i="3"/>
  <c r="AC1169" i="3"/>
  <c r="AD1169" i="3"/>
  <c r="AE1169" i="3"/>
  <c r="AF1169" i="3"/>
  <c r="AG1169" i="3"/>
  <c r="AH1169" i="3"/>
  <c r="AI1169" i="3"/>
  <c r="AJ1169" i="3"/>
  <c r="Z1170" i="3"/>
  <c r="AA1170" i="3"/>
  <c r="AB1170" i="3"/>
  <c r="AC1170" i="3"/>
  <c r="AD1170" i="3"/>
  <c r="AE1170" i="3"/>
  <c r="AF1170" i="3"/>
  <c r="AG1170" i="3"/>
  <c r="AH1170" i="3"/>
  <c r="AI1170" i="3"/>
  <c r="Z1171" i="3"/>
  <c r="AA1171" i="3"/>
  <c r="AB1171" i="3"/>
  <c r="AC1171" i="3"/>
  <c r="AD1171" i="3"/>
  <c r="AE1171" i="3"/>
  <c r="AF1171" i="3"/>
  <c r="AG1171" i="3"/>
  <c r="AH1171" i="3"/>
  <c r="AI1171" i="3"/>
  <c r="Z1172" i="3"/>
  <c r="AA1172" i="3"/>
  <c r="AJ1172" i="3" s="1"/>
  <c r="AB1172" i="3"/>
  <c r="AC1172" i="3"/>
  <c r="AD1172" i="3"/>
  <c r="AE1172" i="3"/>
  <c r="AF1172" i="3"/>
  <c r="AG1172" i="3"/>
  <c r="AH1172" i="3"/>
  <c r="AI1172" i="3"/>
  <c r="Z1173" i="3"/>
  <c r="AA1173" i="3"/>
  <c r="AB1173" i="3"/>
  <c r="AC1173" i="3"/>
  <c r="AD1173" i="3"/>
  <c r="AE1173" i="3"/>
  <c r="AF1173" i="3"/>
  <c r="AG1173" i="3"/>
  <c r="AH1173" i="3"/>
  <c r="AI1173" i="3"/>
  <c r="Z1174" i="3"/>
  <c r="AA1174" i="3"/>
  <c r="AB1174" i="3"/>
  <c r="AC1174" i="3"/>
  <c r="AJ1174" i="3" s="1"/>
  <c r="AD1174" i="3"/>
  <c r="AE1174" i="3"/>
  <c r="AF1174" i="3"/>
  <c r="AG1174" i="3"/>
  <c r="AH1174" i="3"/>
  <c r="AI1174" i="3"/>
  <c r="Z1175" i="3"/>
  <c r="AA1175" i="3"/>
  <c r="AJ1175" i="3" s="1"/>
  <c r="AB1175" i="3"/>
  <c r="AC1175" i="3"/>
  <c r="AD1175" i="3"/>
  <c r="AE1175" i="3"/>
  <c r="AF1175" i="3"/>
  <c r="AG1175" i="3"/>
  <c r="AH1175" i="3"/>
  <c r="AI1175" i="3"/>
  <c r="Z1176" i="3"/>
  <c r="AJ1176" i="3" s="1"/>
  <c r="AA1176" i="3"/>
  <c r="AB1176" i="3"/>
  <c r="AC1176" i="3"/>
  <c r="AD1176" i="3"/>
  <c r="AE1176" i="3"/>
  <c r="AF1176" i="3"/>
  <c r="AG1176" i="3"/>
  <c r="AH1176" i="3"/>
  <c r="AI1176" i="3"/>
  <c r="Z1177" i="3"/>
  <c r="AA1177" i="3"/>
  <c r="AB1177" i="3"/>
  <c r="AC1177" i="3"/>
  <c r="AJ1177" i="3" s="1"/>
  <c r="AD1177" i="3"/>
  <c r="AE1177" i="3"/>
  <c r="AF1177" i="3"/>
  <c r="AG1177" i="3"/>
  <c r="AH1177" i="3"/>
  <c r="AI1177" i="3"/>
  <c r="Z1178" i="3"/>
  <c r="AJ1178" i="3" s="1"/>
  <c r="AA1178" i="3"/>
  <c r="AB1178" i="3"/>
  <c r="AC1178" i="3"/>
  <c r="AD1178" i="3"/>
  <c r="AE1178" i="3"/>
  <c r="AF1178" i="3"/>
  <c r="AG1178" i="3"/>
  <c r="AH1178" i="3"/>
  <c r="AI1178" i="3"/>
  <c r="Z1179" i="3"/>
  <c r="AA1179" i="3"/>
  <c r="AB1179" i="3"/>
  <c r="AC1179" i="3"/>
  <c r="AD1179" i="3"/>
  <c r="AE1179" i="3"/>
  <c r="AF1179" i="3"/>
  <c r="AG1179" i="3"/>
  <c r="AH1179" i="3"/>
  <c r="AI1179" i="3"/>
  <c r="Z1180" i="3"/>
  <c r="AJ1180" i="3" s="1"/>
  <c r="AA1180" i="3"/>
  <c r="AB1180" i="3"/>
  <c r="AC1180" i="3"/>
  <c r="AD1180" i="3"/>
  <c r="AE1180" i="3"/>
  <c r="AF1180" i="3"/>
  <c r="AG1180" i="3"/>
  <c r="AH1180" i="3"/>
  <c r="AI1180" i="3"/>
  <c r="Z1181" i="3"/>
  <c r="AA1181" i="3"/>
  <c r="AB1181" i="3"/>
  <c r="AC1181" i="3"/>
  <c r="AD1181" i="3"/>
  <c r="AE1181" i="3"/>
  <c r="AF1181" i="3"/>
  <c r="AG1181" i="3"/>
  <c r="AH1181" i="3"/>
  <c r="AI1181" i="3"/>
  <c r="Z1182" i="3"/>
  <c r="AJ1182" i="3" s="1"/>
  <c r="AA1182" i="3"/>
  <c r="AB1182" i="3"/>
  <c r="AC1182" i="3"/>
  <c r="AD1182" i="3"/>
  <c r="AE1182" i="3"/>
  <c r="AF1182" i="3"/>
  <c r="AG1182" i="3"/>
  <c r="AH1182" i="3"/>
  <c r="AI1182" i="3"/>
  <c r="Z1183" i="3"/>
  <c r="AJ1183" i="3" s="1"/>
  <c r="AA1183" i="3"/>
  <c r="AB1183" i="3"/>
  <c r="AC1183" i="3"/>
  <c r="AD1183" i="3"/>
  <c r="AE1183" i="3"/>
  <c r="AF1183" i="3"/>
  <c r="AG1183" i="3"/>
  <c r="AH1183" i="3"/>
  <c r="AI1183" i="3"/>
  <c r="Z1184" i="3"/>
  <c r="AJ1184" i="3" s="1"/>
  <c r="AA1184" i="3"/>
  <c r="AB1184" i="3"/>
  <c r="AC1184" i="3"/>
  <c r="AD1184" i="3"/>
  <c r="AE1184" i="3"/>
  <c r="AF1184" i="3"/>
  <c r="AG1184" i="3"/>
  <c r="AH1184" i="3"/>
  <c r="AI1184" i="3"/>
  <c r="Z1185" i="3"/>
  <c r="AA1185" i="3"/>
  <c r="AB1185" i="3"/>
  <c r="AC1185" i="3"/>
  <c r="AD1185" i="3"/>
  <c r="AE1185" i="3"/>
  <c r="AJ1185" i="3" s="1"/>
  <c r="AF1185" i="3"/>
  <c r="AG1185" i="3"/>
  <c r="AH1185" i="3"/>
  <c r="AI1185" i="3"/>
  <c r="Z1186" i="3"/>
  <c r="AA1186" i="3"/>
  <c r="AB1186" i="3"/>
  <c r="AC1186" i="3"/>
  <c r="AD1186" i="3"/>
  <c r="AE1186" i="3"/>
  <c r="AF1186" i="3"/>
  <c r="AG1186" i="3"/>
  <c r="AH1186" i="3"/>
  <c r="AI1186" i="3"/>
  <c r="AJ1186" i="3"/>
  <c r="Z1187" i="3"/>
  <c r="AA1187" i="3"/>
  <c r="AB1187" i="3"/>
  <c r="AC1187" i="3"/>
  <c r="AD1187" i="3"/>
  <c r="AE1187" i="3"/>
  <c r="AF1187" i="3"/>
  <c r="AG1187" i="3"/>
  <c r="AH1187" i="3"/>
  <c r="AI1187" i="3"/>
  <c r="Z1188" i="3"/>
  <c r="AA1188" i="3"/>
  <c r="AB1188" i="3"/>
  <c r="AC1188" i="3"/>
  <c r="AD1188" i="3"/>
  <c r="AE1188" i="3"/>
  <c r="AF1188" i="3"/>
  <c r="AG1188" i="3"/>
  <c r="AH1188" i="3"/>
  <c r="AI1188" i="3"/>
  <c r="AJ1188" i="3"/>
  <c r="Z1189" i="3"/>
  <c r="AA1189" i="3"/>
  <c r="AB1189" i="3"/>
  <c r="AC1189" i="3"/>
  <c r="AD1189" i="3"/>
  <c r="AE1189" i="3"/>
  <c r="AF1189" i="3"/>
  <c r="AG1189" i="3"/>
  <c r="AH1189" i="3"/>
  <c r="AI1189" i="3"/>
  <c r="Z1190" i="3"/>
  <c r="AJ1190" i="3" s="1"/>
  <c r="AA1190" i="3"/>
  <c r="AB1190" i="3"/>
  <c r="AC1190" i="3"/>
  <c r="AD1190" i="3"/>
  <c r="AE1190" i="3"/>
  <c r="AF1190" i="3"/>
  <c r="AG1190" i="3"/>
  <c r="AH1190" i="3"/>
  <c r="AI1190" i="3"/>
  <c r="Z1191" i="3"/>
  <c r="AA1191" i="3"/>
  <c r="AB1191" i="3"/>
  <c r="AC1191" i="3"/>
  <c r="AD1191" i="3"/>
  <c r="AE1191" i="3"/>
  <c r="AJ1191" i="3" s="1"/>
  <c r="AF1191" i="3"/>
  <c r="AG1191" i="3"/>
  <c r="AH1191" i="3"/>
  <c r="AI1191" i="3"/>
  <c r="Z1192" i="3"/>
  <c r="AA1192" i="3"/>
  <c r="AB1192" i="3"/>
  <c r="AC1192" i="3"/>
  <c r="AD1192" i="3"/>
  <c r="AE1192" i="3"/>
  <c r="AF1192" i="3"/>
  <c r="AG1192" i="3"/>
  <c r="AH1192" i="3"/>
  <c r="AI1192" i="3"/>
  <c r="AJ1192" i="3"/>
  <c r="Z1193" i="3"/>
  <c r="AJ1193" i="3" s="1"/>
  <c r="AA1193" i="3"/>
  <c r="AB1193" i="3"/>
  <c r="AC1193" i="3"/>
  <c r="AD1193" i="3"/>
  <c r="AE1193" i="3"/>
  <c r="AF1193" i="3"/>
  <c r="AG1193" i="3"/>
  <c r="AH1193" i="3"/>
  <c r="AI1193" i="3"/>
  <c r="Z1194" i="3"/>
  <c r="AA1194" i="3"/>
  <c r="AJ1194" i="3" s="1"/>
  <c r="AB1194" i="3"/>
  <c r="AC1194" i="3"/>
  <c r="AD1194" i="3"/>
  <c r="AE1194" i="3"/>
  <c r="AF1194" i="3"/>
  <c r="AG1194" i="3"/>
  <c r="AH1194" i="3"/>
  <c r="AI1194" i="3"/>
  <c r="Z1195" i="3"/>
  <c r="AA1195" i="3"/>
  <c r="AJ1195" i="3" s="1"/>
  <c r="AB1195" i="3"/>
  <c r="AC1195" i="3"/>
  <c r="AD1195" i="3"/>
  <c r="AE1195" i="3"/>
  <c r="AF1195" i="3"/>
  <c r="AG1195" i="3"/>
  <c r="AH1195" i="3"/>
  <c r="AI1195" i="3"/>
  <c r="Z1196" i="3"/>
  <c r="AJ1196" i="3" s="1"/>
  <c r="AA1196" i="3"/>
  <c r="AB1196" i="3"/>
  <c r="AC1196" i="3"/>
  <c r="AD1196" i="3"/>
  <c r="AE1196" i="3"/>
  <c r="AF1196" i="3"/>
  <c r="AG1196" i="3"/>
  <c r="AH1196" i="3"/>
  <c r="AI1196" i="3"/>
  <c r="Z1197" i="3"/>
  <c r="AA1197" i="3"/>
  <c r="AB1197" i="3"/>
  <c r="AC1197" i="3"/>
  <c r="AD1197" i="3"/>
  <c r="AE1197" i="3"/>
  <c r="AF1197" i="3"/>
  <c r="AG1197" i="3"/>
  <c r="AH1197" i="3"/>
  <c r="AI1197" i="3"/>
  <c r="Z1198" i="3"/>
  <c r="AA1198" i="3"/>
  <c r="AJ1198" i="3" s="1"/>
  <c r="AB1198" i="3"/>
  <c r="AC1198" i="3"/>
  <c r="AD1198" i="3"/>
  <c r="AE1198" i="3"/>
  <c r="AF1198" i="3"/>
  <c r="AG1198" i="3"/>
  <c r="AH1198" i="3"/>
  <c r="AI1198" i="3"/>
  <c r="Z1199" i="3"/>
  <c r="AJ1199" i="3" s="1"/>
  <c r="AA1199" i="3"/>
  <c r="AB1199" i="3"/>
  <c r="AC1199" i="3"/>
  <c r="AD1199" i="3"/>
  <c r="AE1199" i="3"/>
  <c r="AF1199" i="3"/>
  <c r="AG1199" i="3"/>
  <c r="AH1199" i="3"/>
  <c r="AI1199" i="3"/>
  <c r="Z1200" i="3"/>
  <c r="AJ1200" i="3" s="1"/>
  <c r="AA1200" i="3"/>
  <c r="AB1200" i="3"/>
  <c r="AC1200" i="3"/>
  <c r="AD1200" i="3"/>
  <c r="AE1200" i="3"/>
  <c r="AF1200" i="3"/>
  <c r="AG1200" i="3"/>
  <c r="AH1200" i="3"/>
  <c r="AI1200" i="3"/>
  <c r="Z1201" i="3"/>
  <c r="AJ1201" i="3" s="1"/>
  <c r="AA1201" i="3"/>
  <c r="AB1201" i="3"/>
  <c r="AC1201" i="3"/>
  <c r="AD1201" i="3"/>
  <c r="AE1201" i="3"/>
  <c r="AF1201" i="3"/>
  <c r="AG1201" i="3"/>
  <c r="AH1201" i="3"/>
  <c r="AI1201" i="3"/>
  <c r="Z1202" i="3"/>
  <c r="AA1202" i="3"/>
  <c r="AB1202" i="3"/>
  <c r="AC1202" i="3"/>
  <c r="AD1202" i="3"/>
  <c r="AE1202" i="3"/>
  <c r="AJ1202" i="3" s="1"/>
  <c r="AF1202" i="3"/>
  <c r="AG1202" i="3"/>
  <c r="AH1202" i="3"/>
  <c r="AI1202" i="3"/>
  <c r="Z1203" i="3"/>
  <c r="AA1203" i="3"/>
  <c r="AB1203" i="3"/>
  <c r="AC1203" i="3"/>
  <c r="AD1203" i="3"/>
  <c r="AE1203" i="3"/>
  <c r="AF1203" i="3"/>
  <c r="AG1203" i="3"/>
  <c r="AH1203" i="3"/>
  <c r="AI1203" i="3"/>
  <c r="AJ1203" i="3"/>
  <c r="Z1204" i="3"/>
  <c r="AA1204" i="3"/>
  <c r="AJ1204" i="3" s="1"/>
  <c r="AB1204" i="3"/>
  <c r="AC1204" i="3"/>
  <c r="AD1204" i="3"/>
  <c r="AE1204" i="3"/>
  <c r="AF1204" i="3"/>
  <c r="AG1204" i="3"/>
  <c r="AH1204" i="3"/>
  <c r="AI1204" i="3"/>
  <c r="Z1205" i="3"/>
  <c r="AA1205" i="3"/>
  <c r="AB1205" i="3"/>
  <c r="AC1205" i="3"/>
  <c r="AD1205" i="3"/>
  <c r="AE1205" i="3"/>
  <c r="AF1205" i="3"/>
  <c r="AG1205" i="3"/>
  <c r="AH1205" i="3"/>
  <c r="AI1205" i="3"/>
  <c r="Z1206" i="3"/>
  <c r="AA1206" i="3"/>
  <c r="AB1206" i="3"/>
  <c r="AC1206" i="3"/>
  <c r="AD1206" i="3"/>
  <c r="AE1206" i="3"/>
  <c r="AF1206" i="3"/>
  <c r="AG1206" i="3"/>
  <c r="AH1206" i="3"/>
  <c r="AI1206" i="3"/>
  <c r="AJ1206" i="3"/>
  <c r="Z1207" i="3"/>
  <c r="AA1207" i="3"/>
  <c r="AJ1207" i="3" s="1"/>
  <c r="AB1207" i="3"/>
  <c r="AC1207" i="3"/>
  <c r="AD1207" i="3"/>
  <c r="AE1207" i="3"/>
  <c r="AF1207" i="3"/>
  <c r="AG1207" i="3"/>
  <c r="AH1207" i="3"/>
  <c r="AI1207" i="3"/>
  <c r="Z1208" i="3"/>
  <c r="AJ1208" i="3" s="1"/>
  <c r="AA1208" i="3"/>
  <c r="AB1208" i="3"/>
  <c r="AC1208" i="3"/>
  <c r="AD1208" i="3"/>
  <c r="AE1208" i="3"/>
  <c r="AF1208" i="3"/>
  <c r="AG1208" i="3"/>
  <c r="AH1208" i="3"/>
  <c r="AI1208" i="3"/>
  <c r="Z1209" i="3"/>
  <c r="AJ1209" i="3" s="1"/>
  <c r="AA1209" i="3"/>
  <c r="AB1209" i="3"/>
  <c r="AC1209" i="3"/>
  <c r="AD1209" i="3"/>
  <c r="AE1209" i="3"/>
  <c r="AF1209" i="3"/>
  <c r="AG1209" i="3"/>
  <c r="AH1209" i="3"/>
  <c r="AI1209" i="3"/>
  <c r="Z1210" i="3"/>
  <c r="AJ1210" i="3" s="1"/>
  <c r="AA1210" i="3"/>
  <c r="AB1210" i="3"/>
  <c r="AC1210" i="3"/>
  <c r="AD1210" i="3"/>
  <c r="AE1210" i="3"/>
  <c r="AF1210" i="3"/>
  <c r="AG1210" i="3"/>
  <c r="AH1210" i="3"/>
  <c r="AI1210" i="3"/>
  <c r="Z1211" i="3"/>
  <c r="AA1211" i="3"/>
  <c r="AJ1211" i="3" s="1"/>
  <c r="AB1211" i="3"/>
  <c r="AC1211" i="3"/>
  <c r="AD1211" i="3"/>
  <c r="AE1211" i="3"/>
  <c r="AF1211" i="3"/>
  <c r="AG1211" i="3"/>
  <c r="AH1211" i="3"/>
  <c r="AI1211" i="3"/>
  <c r="Z1212" i="3"/>
  <c r="AJ1212" i="3" s="1"/>
  <c r="AA1212" i="3"/>
  <c r="AB1212" i="3"/>
  <c r="AC1212" i="3"/>
  <c r="AD1212" i="3"/>
  <c r="AE1212" i="3"/>
  <c r="AF1212" i="3"/>
  <c r="AG1212" i="3"/>
  <c r="AH1212" i="3"/>
  <c r="AI1212" i="3"/>
  <c r="Z1213" i="3"/>
  <c r="AA1213" i="3"/>
  <c r="AB1213" i="3"/>
  <c r="AC1213" i="3"/>
  <c r="AD1213" i="3"/>
  <c r="AE1213" i="3"/>
  <c r="AF1213" i="3"/>
  <c r="AG1213" i="3"/>
  <c r="AH1213" i="3"/>
  <c r="AI1213" i="3"/>
  <c r="Z1214" i="3"/>
  <c r="AJ1214" i="3" s="1"/>
  <c r="AA1214" i="3"/>
  <c r="AB1214" i="3"/>
  <c r="AC1214" i="3"/>
  <c r="AD1214" i="3"/>
  <c r="AE1214" i="3"/>
  <c r="AF1214" i="3"/>
  <c r="AG1214" i="3"/>
  <c r="AH1214" i="3"/>
  <c r="AI1214" i="3"/>
  <c r="Z1215" i="3"/>
  <c r="AJ1215" i="3" s="1"/>
  <c r="AA1215" i="3"/>
  <c r="AB1215" i="3"/>
  <c r="AC1215" i="3"/>
  <c r="AD1215" i="3"/>
  <c r="AE1215" i="3"/>
  <c r="AF1215" i="3"/>
  <c r="AG1215" i="3"/>
  <c r="AH1215" i="3"/>
  <c r="AI1215" i="3"/>
  <c r="Z1216" i="3"/>
  <c r="AA1216" i="3"/>
  <c r="AB1216" i="3"/>
  <c r="AC1216" i="3"/>
  <c r="AD1216" i="3"/>
  <c r="AE1216" i="3"/>
  <c r="AJ1216" i="3" s="1"/>
  <c r="AF1216" i="3"/>
  <c r="AG1216" i="3"/>
  <c r="AH1216" i="3"/>
  <c r="AI1216" i="3"/>
  <c r="Z1217" i="3"/>
  <c r="AA1217" i="3"/>
  <c r="AB1217" i="3"/>
  <c r="AC1217" i="3"/>
  <c r="AD1217" i="3"/>
  <c r="AE1217" i="3"/>
  <c r="AF1217" i="3"/>
  <c r="AG1217" i="3"/>
  <c r="AH1217" i="3"/>
  <c r="AI1217" i="3"/>
  <c r="AJ1217" i="3"/>
  <c r="Z1218" i="3"/>
  <c r="AA1218" i="3"/>
  <c r="AJ1218" i="3" s="1"/>
  <c r="AB1218" i="3"/>
  <c r="AC1218" i="3"/>
  <c r="AD1218" i="3"/>
  <c r="AE1218" i="3"/>
  <c r="AF1218" i="3"/>
  <c r="AG1218" i="3"/>
  <c r="AH1218" i="3"/>
  <c r="AI1218" i="3"/>
  <c r="Z1219" i="3"/>
  <c r="AA1219" i="3"/>
  <c r="AJ1219" i="3" s="1"/>
  <c r="AB1219" i="3"/>
  <c r="AC1219" i="3"/>
  <c r="AD1219" i="3"/>
  <c r="AE1219" i="3"/>
  <c r="AF1219" i="3"/>
  <c r="AG1219" i="3"/>
  <c r="AH1219" i="3"/>
  <c r="AI1219" i="3"/>
  <c r="Z1220" i="3"/>
  <c r="AJ1220" i="3" s="1"/>
  <c r="AA1220" i="3"/>
  <c r="AB1220" i="3"/>
  <c r="AC1220" i="3"/>
  <c r="AD1220" i="3"/>
  <c r="AE1220" i="3"/>
  <c r="AF1220" i="3"/>
  <c r="AG1220" i="3"/>
  <c r="AH1220" i="3"/>
  <c r="AI1220" i="3"/>
  <c r="Z1221" i="3"/>
  <c r="AA1221" i="3"/>
  <c r="AB1221" i="3"/>
  <c r="AC1221" i="3"/>
  <c r="AD1221" i="3"/>
  <c r="AE1221" i="3"/>
  <c r="AF1221" i="3"/>
  <c r="AG1221" i="3"/>
  <c r="AH1221" i="3"/>
  <c r="AI1221" i="3"/>
  <c r="Z1222" i="3"/>
  <c r="AA1222" i="3"/>
  <c r="AJ1222" i="3" s="1"/>
  <c r="AB1222" i="3"/>
  <c r="AC1222" i="3"/>
  <c r="AD1222" i="3"/>
  <c r="AE1222" i="3"/>
  <c r="AF1222" i="3"/>
  <c r="AG1222" i="3"/>
  <c r="AH1222" i="3"/>
  <c r="AI1222" i="3"/>
  <c r="Z1223" i="3"/>
  <c r="AJ1223" i="3" s="1"/>
  <c r="AA1223" i="3"/>
  <c r="AB1223" i="3"/>
  <c r="AC1223" i="3"/>
  <c r="AD1223" i="3"/>
  <c r="AE1223" i="3"/>
  <c r="AF1223" i="3"/>
  <c r="AG1223" i="3"/>
  <c r="AH1223" i="3"/>
  <c r="AI1223" i="3"/>
  <c r="Z1224" i="3"/>
  <c r="AJ1224" i="3" s="1"/>
  <c r="AA1224" i="3"/>
  <c r="AB1224" i="3"/>
  <c r="AC1224" i="3"/>
  <c r="AD1224" i="3"/>
  <c r="AE1224" i="3"/>
  <c r="AF1224" i="3"/>
  <c r="AG1224" i="3"/>
  <c r="AH1224" i="3"/>
  <c r="AI1224" i="3"/>
  <c r="Z1225" i="3"/>
  <c r="AJ1225" i="3" s="1"/>
  <c r="AA1225" i="3"/>
  <c r="AB1225" i="3"/>
  <c r="AC1225" i="3"/>
  <c r="AD1225" i="3"/>
  <c r="AE1225" i="3"/>
  <c r="AF1225" i="3"/>
  <c r="AG1225" i="3"/>
  <c r="AH1225" i="3"/>
  <c r="AI1225" i="3"/>
  <c r="Z1226" i="3"/>
  <c r="AJ1226" i="3" s="1"/>
  <c r="AA1226" i="3"/>
  <c r="AB1226" i="3"/>
  <c r="AC1226" i="3"/>
  <c r="AD1226" i="3"/>
  <c r="AE1226" i="3"/>
  <c r="AF1226" i="3"/>
  <c r="AG1226" i="3"/>
  <c r="AH1226" i="3"/>
  <c r="AI1226" i="3"/>
  <c r="Z1227" i="3"/>
  <c r="AA1227" i="3"/>
  <c r="AB1227" i="3"/>
  <c r="AC1227" i="3"/>
  <c r="AD1227" i="3"/>
  <c r="AE1227" i="3"/>
  <c r="AJ1227" i="3" s="1"/>
  <c r="AF1227" i="3"/>
  <c r="AG1227" i="3"/>
  <c r="AH1227" i="3"/>
  <c r="AI1227" i="3"/>
  <c r="Z1228" i="3"/>
  <c r="AA1228" i="3"/>
  <c r="AB1228" i="3"/>
  <c r="AC1228" i="3"/>
  <c r="AD1228" i="3"/>
  <c r="AE1228" i="3"/>
  <c r="AF1228" i="3"/>
  <c r="AG1228" i="3"/>
  <c r="AH1228" i="3"/>
  <c r="AI1228" i="3"/>
  <c r="AJ1228" i="3"/>
  <c r="Z1229" i="3"/>
  <c r="AA1229" i="3"/>
  <c r="AB1229" i="3"/>
  <c r="AC1229" i="3"/>
  <c r="AD1229" i="3"/>
  <c r="AE1229" i="3"/>
  <c r="AF1229" i="3"/>
  <c r="AG1229" i="3"/>
  <c r="AH1229" i="3"/>
  <c r="AI1229" i="3"/>
  <c r="Z1230" i="3"/>
  <c r="AA1230" i="3"/>
  <c r="AB1230" i="3"/>
  <c r="AC1230" i="3"/>
  <c r="AD1230" i="3"/>
  <c r="AE1230" i="3"/>
  <c r="AJ1230" i="3" s="1"/>
  <c r="AF1230" i="3"/>
  <c r="AG1230" i="3"/>
  <c r="AH1230" i="3"/>
  <c r="AI1230" i="3"/>
  <c r="Z1231" i="3"/>
  <c r="AA1231" i="3"/>
  <c r="AB1231" i="3"/>
  <c r="AC1231" i="3"/>
  <c r="AD1231" i="3"/>
  <c r="AE1231" i="3"/>
  <c r="AF1231" i="3"/>
  <c r="AG1231" i="3"/>
  <c r="AH1231" i="3"/>
  <c r="AI1231" i="3"/>
  <c r="AJ1231" i="3"/>
  <c r="Z1232" i="3"/>
  <c r="AA1232" i="3"/>
  <c r="AB1232" i="3"/>
  <c r="AC1232" i="3"/>
  <c r="AJ1232" i="3" s="1"/>
  <c r="AD1232" i="3"/>
  <c r="AE1232" i="3"/>
  <c r="AF1232" i="3"/>
  <c r="AG1232" i="3"/>
  <c r="AH1232" i="3"/>
  <c r="AI1232" i="3"/>
  <c r="Z1233" i="3"/>
  <c r="AA1233" i="3"/>
  <c r="AJ1233" i="3" s="1"/>
  <c r="AB1233" i="3"/>
  <c r="AC1233" i="3"/>
  <c r="AD1233" i="3"/>
  <c r="AE1233" i="3"/>
  <c r="AF1233" i="3"/>
  <c r="AG1233" i="3"/>
  <c r="AH1233" i="3"/>
  <c r="AI1233" i="3"/>
  <c r="Z1234" i="3"/>
  <c r="AJ1234" i="3" s="1"/>
  <c r="AA1234" i="3"/>
  <c r="AB1234" i="3"/>
  <c r="AC1234" i="3"/>
  <c r="AD1234" i="3"/>
  <c r="AE1234" i="3"/>
  <c r="AF1234" i="3"/>
  <c r="AG1234" i="3"/>
  <c r="AH1234" i="3"/>
  <c r="AI1234" i="3"/>
  <c r="Z1235" i="3"/>
  <c r="AA1235" i="3"/>
  <c r="AB1235" i="3"/>
  <c r="AC1235" i="3"/>
  <c r="AJ1235" i="3" s="1"/>
  <c r="AD1235" i="3"/>
  <c r="AE1235" i="3"/>
  <c r="AF1235" i="3"/>
  <c r="AG1235" i="3"/>
  <c r="AH1235" i="3"/>
  <c r="AI1235" i="3"/>
  <c r="Z1236" i="3"/>
  <c r="AJ1236" i="3" s="1"/>
  <c r="AA1236" i="3"/>
  <c r="AB1236" i="3"/>
  <c r="AC1236" i="3"/>
  <c r="AD1236" i="3"/>
  <c r="AE1236" i="3"/>
  <c r="AF1236" i="3"/>
  <c r="AG1236" i="3"/>
  <c r="AH1236" i="3"/>
  <c r="AI1236" i="3"/>
  <c r="Z1237" i="3"/>
  <c r="AA1237" i="3"/>
  <c r="AB1237" i="3"/>
  <c r="AC1237" i="3"/>
  <c r="AD1237" i="3"/>
  <c r="AE1237" i="3"/>
  <c r="AF1237" i="3"/>
  <c r="AG1237" i="3"/>
  <c r="AH1237" i="3"/>
  <c r="AI1237" i="3"/>
  <c r="Z1238" i="3"/>
  <c r="AJ1238" i="3" s="1"/>
  <c r="AA1238" i="3"/>
  <c r="AB1238" i="3"/>
  <c r="AC1238" i="3"/>
  <c r="AD1238" i="3"/>
  <c r="AE1238" i="3"/>
  <c r="AF1238" i="3"/>
  <c r="AG1238" i="3"/>
  <c r="AH1238" i="3"/>
  <c r="AI1238" i="3"/>
  <c r="Z1239" i="3"/>
  <c r="AJ1239" i="3" s="1"/>
  <c r="AA1239" i="3"/>
  <c r="AB1239" i="3"/>
  <c r="AC1239" i="3"/>
  <c r="AD1239" i="3"/>
  <c r="AE1239" i="3"/>
  <c r="AF1239" i="3"/>
  <c r="AG1239" i="3"/>
  <c r="AH1239" i="3"/>
  <c r="AI1239" i="3"/>
  <c r="Z1240" i="3"/>
  <c r="AJ1240" i="3" s="1"/>
  <c r="AA1240" i="3"/>
  <c r="AB1240" i="3"/>
  <c r="AC1240" i="3"/>
  <c r="AD1240" i="3"/>
  <c r="AE1240" i="3"/>
  <c r="AF1240" i="3"/>
  <c r="AG1240" i="3"/>
  <c r="AH1240" i="3"/>
  <c r="AI1240" i="3"/>
  <c r="Z1241" i="3"/>
  <c r="AA1241" i="3"/>
  <c r="AB1241" i="3"/>
  <c r="AC1241" i="3"/>
  <c r="AD1241" i="3"/>
  <c r="AE1241" i="3"/>
  <c r="AJ1241" i="3" s="1"/>
  <c r="AF1241" i="3"/>
  <c r="AG1241" i="3"/>
  <c r="AH1241" i="3"/>
  <c r="AI1241" i="3"/>
  <c r="Z1242" i="3"/>
  <c r="AA1242" i="3"/>
  <c r="AB1242" i="3"/>
  <c r="AC1242" i="3"/>
  <c r="AD1242" i="3"/>
  <c r="AE1242" i="3"/>
  <c r="AF1242" i="3"/>
  <c r="AG1242" i="3"/>
  <c r="AH1242" i="3"/>
  <c r="AI1242" i="3"/>
  <c r="AJ1242" i="3"/>
  <c r="Z1243" i="3"/>
  <c r="AA1243" i="3"/>
  <c r="AJ1243" i="3" s="1"/>
  <c r="AB1243" i="3"/>
  <c r="AC1243" i="3"/>
  <c r="AD1243" i="3"/>
  <c r="AE1243" i="3"/>
  <c r="AF1243" i="3"/>
  <c r="AG1243" i="3"/>
  <c r="AH1243" i="3"/>
  <c r="AI1243" i="3"/>
  <c r="Z1244" i="3"/>
  <c r="AA1244" i="3"/>
  <c r="AJ1244" i="3" s="1"/>
  <c r="AB1244" i="3"/>
  <c r="AC1244" i="3"/>
  <c r="AD1244" i="3"/>
  <c r="AE1244" i="3"/>
  <c r="AF1244" i="3"/>
  <c r="AG1244" i="3"/>
  <c r="AH1244" i="3"/>
  <c r="AI1244" i="3"/>
  <c r="Z1245" i="3"/>
  <c r="AJ1245" i="3" s="1"/>
  <c r="AA1245" i="3"/>
  <c r="AB1245" i="3"/>
  <c r="AC1245" i="3"/>
  <c r="AD1245" i="3"/>
  <c r="AE1245" i="3"/>
  <c r="AF1245" i="3"/>
  <c r="AG1245" i="3"/>
  <c r="AH1245" i="3"/>
  <c r="AI1245" i="3"/>
  <c r="Z1246" i="3"/>
  <c r="AJ1246" i="3" s="1"/>
  <c r="AA1246" i="3"/>
  <c r="AB1246" i="3"/>
  <c r="AC1246" i="3"/>
  <c r="AD1246" i="3"/>
  <c r="AE1246" i="3"/>
  <c r="AF1246" i="3"/>
  <c r="AG1246" i="3"/>
  <c r="AH1246" i="3"/>
  <c r="AI1246" i="3"/>
  <c r="Z1247" i="3"/>
  <c r="AJ1247" i="3" s="1"/>
  <c r="AA1247" i="3"/>
  <c r="AB1247" i="3"/>
  <c r="AC1247" i="3"/>
  <c r="AD1247" i="3"/>
  <c r="AE1247" i="3"/>
  <c r="AF1247" i="3"/>
  <c r="AG1247" i="3"/>
  <c r="AH1247" i="3"/>
  <c r="AI1247" i="3"/>
  <c r="Z1248" i="3"/>
  <c r="AJ1248" i="3" s="1"/>
  <c r="AA1248" i="3"/>
  <c r="AB1248" i="3"/>
  <c r="AC1248" i="3"/>
  <c r="AD1248" i="3"/>
  <c r="AE1248" i="3"/>
  <c r="AF1248" i="3"/>
  <c r="AG1248" i="3"/>
  <c r="AH1248" i="3"/>
  <c r="AI1248" i="3"/>
  <c r="Z1249" i="3"/>
  <c r="AA1249" i="3"/>
  <c r="AB1249" i="3"/>
  <c r="AC1249" i="3"/>
  <c r="AD1249" i="3"/>
  <c r="AE1249" i="3"/>
  <c r="AJ1249" i="3" s="1"/>
  <c r="AF1249" i="3"/>
  <c r="AG1249" i="3"/>
  <c r="AH1249" i="3"/>
  <c r="AI1249" i="3"/>
  <c r="Z1250" i="3"/>
  <c r="AA1250" i="3"/>
  <c r="AB1250" i="3"/>
  <c r="AC1250" i="3"/>
  <c r="AD1250" i="3"/>
  <c r="AE1250" i="3"/>
  <c r="AF1250" i="3"/>
  <c r="AG1250" i="3"/>
  <c r="AH1250" i="3"/>
  <c r="AI1250" i="3"/>
  <c r="AJ1250" i="3"/>
  <c r="Z1251" i="3"/>
  <c r="AA1251" i="3"/>
  <c r="AJ1251" i="3" s="1"/>
  <c r="AB1251" i="3"/>
  <c r="AC1251" i="3"/>
  <c r="AD1251" i="3"/>
  <c r="AE1251" i="3"/>
  <c r="AF1251" i="3"/>
  <c r="AG1251" i="3"/>
  <c r="AH1251" i="3"/>
  <c r="AI1251" i="3"/>
  <c r="Z1252" i="3"/>
  <c r="AA1252" i="3"/>
  <c r="AJ1252" i="3" s="1"/>
  <c r="AB1252" i="3"/>
  <c r="AC1252" i="3"/>
  <c r="AD1252" i="3"/>
  <c r="AE1252" i="3"/>
  <c r="AF1252" i="3"/>
  <c r="AG1252" i="3"/>
  <c r="AH1252" i="3"/>
  <c r="AI1252" i="3"/>
  <c r="Z1253" i="3"/>
  <c r="AJ1253" i="3" s="1"/>
  <c r="AA1253" i="3"/>
  <c r="AB1253" i="3"/>
  <c r="AC1253" i="3"/>
  <c r="AD1253" i="3"/>
  <c r="AE1253" i="3"/>
  <c r="AF1253" i="3"/>
  <c r="AG1253" i="3"/>
  <c r="AH1253" i="3"/>
  <c r="AI1253" i="3"/>
  <c r="Z1254" i="3"/>
  <c r="AJ1254" i="3" s="1"/>
  <c r="AA1254" i="3"/>
  <c r="AB1254" i="3"/>
  <c r="AC1254" i="3"/>
  <c r="AD1254" i="3"/>
  <c r="AE1254" i="3"/>
  <c r="AF1254" i="3"/>
  <c r="AG1254" i="3"/>
  <c r="AH1254" i="3"/>
  <c r="AI1254" i="3"/>
  <c r="Z1255" i="3"/>
  <c r="AJ1255" i="3" s="1"/>
  <c r="AA1255" i="3"/>
  <c r="AB1255" i="3"/>
  <c r="AC1255" i="3"/>
  <c r="AD1255" i="3"/>
  <c r="AE1255" i="3"/>
  <c r="AF1255" i="3"/>
  <c r="AG1255" i="3"/>
  <c r="AH1255" i="3"/>
  <c r="AI1255" i="3"/>
  <c r="Z1256" i="3"/>
  <c r="AJ1256" i="3" s="1"/>
  <c r="AA1256" i="3"/>
  <c r="AB1256" i="3"/>
  <c r="AC1256" i="3"/>
  <c r="AD1256" i="3"/>
  <c r="AE1256" i="3"/>
  <c r="AF1256" i="3"/>
  <c r="AG1256" i="3"/>
  <c r="AH1256" i="3"/>
  <c r="AI1256" i="3"/>
  <c r="Z1257" i="3"/>
  <c r="AA1257" i="3"/>
  <c r="AB1257" i="3"/>
  <c r="AC1257" i="3"/>
  <c r="AD1257" i="3"/>
  <c r="AE1257" i="3"/>
  <c r="AJ1257" i="3" s="1"/>
  <c r="AF1257" i="3"/>
  <c r="AG1257" i="3"/>
  <c r="AH1257" i="3"/>
  <c r="AI1257" i="3"/>
  <c r="Z1258" i="3"/>
  <c r="AA1258" i="3"/>
  <c r="AB1258" i="3"/>
  <c r="AC1258" i="3"/>
  <c r="AD1258" i="3"/>
  <c r="AE1258" i="3"/>
  <c r="AF1258" i="3"/>
  <c r="AG1258" i="3"/>
  <c r="AH1258" i="3"/>
  <c r="AI1258" i="3"/>
  <c r="AJ1258" i="3"/>
  <c r="Z1259" i="3"/>
  <c r="AA1259" i="3"/>
  <c r="AJ1259" i="3" s="1"/>
  <c r="AB1259" i="3"/>
  <c r="AC1259" i="3"/>
  <c r="AD1259" i="3"/>
  <c r="AE1259" i="3"/>
  <c r="AF1259" i="3"/>
  <c r="AG1259" i="3"/>
  <c r="AH1259" i="3"/>
  <c r="AI1259" i="3"/>
  <c r="Z1260" i="3"/>
  <c r="AA1260" i="3"/>
  <c r="AJ1260" i="3" s="1"/>
  <c r="AB1260" i="3"/>
  <c r="AC1260" i="3"/>
  <c r="AD1260" i="3"/>
  <c r="AE1260" i="3"/>
  <c r="AF1260" i="3"/>
  <c r="AG1260" i="3"/>
  <c r="AH1260" i="3"/>
  <c r="AI1260" i="3"/>
  <c r="Z1261" i="3"/>
  <c r="AJ1261" i="3" s="1"/>
  <c r="AA1261" i="3"/>
  <c r="AB1261" i="3"/>
  <c r="AC1261" i="3"/>
  <c r="AD1261" i="3"/>
  <c r="AE1261" i="3"/>
  <c r="AF1261" i="3"/>
  <c r="AG1261" i="3"/>
  <c r="AH1261" i="3"/>
  <c r="AI1261" i="3"/>
  <c r="Z1262" i="3"/>
  <c r="AJ1262" i="3" s="1"/>
  <c r="AA1262" i="3"/>
  <c r="AB1262" i="3"/>
  <c r="AC1262" i="3"/>
  <c r="AD1262" i="3"/>
  <c r="AE1262" i="3"/>
  <c r="AF1262" i="3"/>
  <c r="AG1262" i="3"/>
  <c r="AH1262" i="3"/>
  <c r="AI1262" i="3"/>
  <c r="Z1263" i="3"/>
  <c r="AJ1263" i="3" s="1"/>
  <c r="AA1263" i="3"/>
  <c r="AB1263" i="3"/>
  <c r="AC1263" i="3"/>
  <c r="AD1263" i="3"/>
  <c r="AE1263" i="3"/>
  <c r="AF1263" i="3"/>
  <c r="AG1263" i="3"/>
  <c r="AH1263" i="3"/>
  <c r="AI1263" i="3"/>
  <c r="Z1264" i="3"/>
  <c r="AJ1264" i="3" s="1"/>
  <c r="AA1264" i="3"/>
  <c r="AB1264" i="3"/>
  <c r="AC1264" i="3"/>
  <c r="AD1264" i="3"/>
  <c r="AE1264" i="3"/>
  <c r="AF1264" i="3"/>
  <c r="AG1264" i="3"/>
  <c r="AH1264" i="3"/>
  <c r="AI1264" i="3"/>
  <c r="Z1265" i="3"/>
  <c r="AA1265" i="3"/>
  <c r="AB1265" i="3"/>
  <c r="AC1265" i="3"/>
  <c r="AD1265" i="3"/>
  <c r="AE1265" i="3"/>
  <c r="AJ1265" i="3" s="1"/>
  <c r="AF1265" i="3"/>
  <c r="AG1265" i="3"/>
  <c r="AH1265" i="3"/>
  <c r="AI1265" i="3"/>
  <c r="Z1266" i="3"/>
  <c r="AA1266" i="3"/>
  <c r="AB1266" i="3"/>
  <c r="AC1266" i="3"/>
  <c r="AD1266" i="3"/>
  <c r="AE1266" i="3"/>
  <c r="AF1266" i="3"/>
  <c r="AG1266" i="3"/>
  <c r="AH1266" i="3"/>
  <c r="AI1266" i="3"/>
  <c r="AJ1266" i="3"/>
  <c r="Z1267" i="3"/>
  <c r="AA1267" i="3"/>
  <c r="AJ1267" i="3" s="1"/>
  <c r="AB1267" i="3"/>
  <c r="AC1267" i="3"/>
  <c r="AD1267" i="3"/>
  <c r="AE1267" i="3"/>
  <c r="AF1267" i="3"/>
  <c r="AG1267" i="3"/>
  <c r="AH1267" i="3"/>
  <c r="AI1267" i="3"/>
  <c r="Z1268" i="3"/>
  <c r="AA1268" i="3"/>
  <c r="AJ1268" i="3" s="1"/>
  <c r="AB1268" i="3"/>
  <c r="AC1268" i="3"/>
  <c r="AD1268" i="3"/>
  <c r="AE1268" i="3"/>
  <c r="AF1268" i="3"/>
  <c r="AG1268" i="3"/>
  <c r="AH1268" i="3"/>
  <c r="AI1268" i="3"/>
  <c r="Z1269" i="3"/>
  <c r="AJ1269" i="3" s="1"/>
  <c r="AA1269" i="3"/>
  <c r="AB1269" i="3"/>
  <c r="AC1269" i="3"/>
  <c r="AD1269" i="3"/>
  <c r="AE1269" i="3"/>
  <c r="AF1269" i="3"/>
  <c r="AG1269" i="3"/>
  <c r="AH1269" i="3"/>
  <c r="AI1269" i="3"/>
  <c r="Z1270" i="3"/>
  <c r="AJ1270" i="3" s="1"/>
  <c r="AA1270" i="3"/>
  <c r="AB1270" i="3"/>
  <c r="AC1270" i="3"/>
  <c r="AD1270" i="3"/>
  <c r="AE1270" i="3"/>
  <c r="AF1270" i="3"/>
  <c r="AG1270" i="3"/>
  <c r="AH1270" i="3"/>
  <c r="AI1270" i="3"/>
  <c r="Z1271" i="3"/>
  <c r="AJ1271" i="3" s="1"/>
  <c r="AA1271" i="3"/>
  <c r="AB1271" i="3"/>
  <c r="AC1271" i="3"/>
  <c r="AD1271" i="3"/>
  <c r="AE1271" i="3"/>
  <c r="AF1271" i="3"/>
  <c r="AG1271" i="3"/>
  <c r="AH1271" i="3"/>
  <c r="AI1271" i="3"/>
  <c r="Z1272" i="3"/>
  <c r="AJ1272" i="3" s="1"/>
  <c r="AA1272" i="3"/>
  <c r="AB1272" i="3"/>
  <c r="AC1272" i="3"/>
  <c r="AD1272" i="3"/>
  <c r="AE1272" i="3"/>
  <c r="AF1272" i="3"/>
  <c r="AG1272" i="3"/>
  <c r="AH1272" i="3"/>
  <c r="AI1272" i="3"/>
  <c r="Z1273" i="3"/>
  <c r="AA1273" i="3"/>
  <c r="AB1273" i="3"/>
  <c r="AC1273" i="3"/>
  <c r="AD1273" i="3"/>
  <c r="AE1273" i="3"/>
  <c r="AJ1273" i="3" s="1"/>
  <c r="AF1273" i="3"/>
  <c r="AG1273" i="3"/>
  <c r="AH1273" i="3"/>
  <c r="AI1273" i="3"/>
  <c r="Z1274" i="3"/>
  <c r="AA1274" i="3"/>
  <c r="AB1274" i="3"/>
  <c r="AC1274" i="3"/>
  <c r="AD1274" i="3"/>
  <c r="AE1274" i="3"/>
  <c r="AF1274" i="3"/>
  <c r="AG1274" i="3"/>
  <c r="AH1274" i="3"/>
  <c r="AI1274" i="3"/>
  <c r="AJ1274" i="3"/>
  <c r="Z1275" i="3"/>
  <c r="AA1275" i="3"/>
  <c r="AJ1275" i="3" s="1"/>
  <c r="AB1275" i="3"/>
  <c r="AC1275" i="3"/>
  <c r="AD1275" i="3"/>
  <c r="AE1275" i="3"/>
  <c r="AF1275" i="3"/>
  <c r="AG1275" i="3"/>
  <c r="AH1275" i="3"/>
  <c r="AI1275" i="3"/>
  <c r="Z1276" i="3"/>
  <c r="AA1276" i="3"/>
  <c r="AJ1276" i="3" s="1"/>
  <c r="AB1276" i="3"/>
  <c r="AC1276" i="3"/>
  <c r="AD1276" i="3"/>
  <c r="AE1276" i="3"/>
  <c r="AF1276" i="3"/>
  <c r="AG1276" i="3"/>
  <c r="AH1276" i="3"/>
  <c r="AI1276" i="3"/>
  <c r="Z1277" i="3"/>
  <c r="AJ1277" i="3" s="1"/>
  <c r="AA1277" i="3"/>
  <c r="AB1277" i="3"/>
  <c r="AC1277" i="3"/>
  <c r="AD1277" i="3"/>
  <c r="AE1277" i="3"/>
  <c r="AF1277" i="3"/>
  <c r="AG1277" i="3"/>
  <c r="AH1277" i="3"/>
  <c r="AI1277" i="3"/>
  <c r="Z1278" i="3"/>
  <c r="AJ1278" i="3" s="1"/>
  <c r="AA1278" i="3"/>
  <c r="AB1278" i="3"/>
  <c r="AC1278" i="3"/>
  <c r="AD1278" i="3"/>
  <c r="AE1278" i="3"/>
  <c r="AF1278" i="3"/>
  <c r="AG1278" i="3"/>
  <c r="AH1278" i="3"/>
  <c r="AI1278" i="3"/>
  <c r="Z1279" i="3"/>
  <c r="AJ1279" i="3" s="1"/>
  <c r="AA1279" i="3"/>
  <c r="AB1279" i="3"/>
  <c r="AC1279" i="3"/>
  <c r="AD1279" i="3"/>
  <c r="AE1279" i="3"/>
  <c r="AF1279" i="3"/>
  <c r="AG1279" i="3"/>
  <c r="AH1279" i="3"/>
  <c r="AI1279" i="3"/>
  <c r="Z1280" i="3"/>
  <c r="AJ1280" i="3" s="1"/>
  <c r="AA1280" i="3"/>
  <c r="AB1280" i="3"/>
  <c r="AC1280" i="3"/>
  <c r="AD1280" i="3"/>
  <c r="AE1280" i="3"/>
  <c r="AF1280" i="3"/>
  <c r="AG1280" i="3"/>
  <c r="AH1280" i="3"/>
  <c r="AI1280" i="3"/>
  <c r="Z1281" i="3"/>
  <c r="AA1281" i="3"/>
  <c r="AB1281" i="3"/>
  <c r="AC1281" i="3"/>
  <c r="AD1281" i="3"/>
  <c r="AE1281" i="3"/>
  <c r="AJ1281" i="3" s="1"/>
  <c r="AF1281" i="3"/>
  <c r="AG1281" i="3"/>
  <c r="AH1281" i="3"/>
  <c r="AI1281" i="3"/>
  <c r="Z1282" i="3"/>
  <c r="AA1282" i="3"/>
  <c r="AB1282" i="3"/>
  <c r="AC1282" i="3"/>
  <c r="AD1282" i="3"/>
  <c r="AE1282" i="3"/>
  <c r="AF1282" i="3"/>
  <c r="AG1282" i="3"/>
  <c r="AH1282" i="3"/>
  <c r="AI1282" i="3"/>
  <c r="AJ1282" i="3"/>
  <c r="Z1283" i="3"/>
  <c r="AA1283" i="3"/>
  <c r="AJ1283" i="3" s="1"/>
  <c r="AB1283" i="3"/>
  <c r="AC1283" i="3"/>
  <c r="AD1283" i="3"/>
  <c r="AE1283" i="3"/>
  <c r="AF1283" i="3"/>
  <c r="AG1283" i="3"/>
  <c r="AH1283" i="3"/>
  <c r="AI1283" i="3"/>
  <c r="Z1284" i="3"/>
  <c r="AA1284" i="3"/>
  <c r="AJ1284" i="3" s="1"/>
  <c r="AB1284" i="3"/>
  <c r="AC1284" i="3"/>
  <c r="AD1284" i="3"/>
  <c r="AE1284" i="3"/>
  <c r="AF1284" i="3"/>
  <c r="AG1284" i="3"/>
  <c r="AH1284" i="3"/>
  <c r="AI1284" i="3"/>
  <c r="Z1285" i="3"/>
  <c r="AJ1285" i="3" s="1"/>
  <c r="AA1285" i="3"/>
  <c r="AB1285" i="3"/>
  <c r="AC1285" i="3"/>
  <c r="AD1285" i="3"/>
  <c r="AE1285" i="3"/>
  <c r="AF1285" i="3"/>
  <c r="AG1285" i="3"/>
  <c r="AH1285" i="3"/>
  <c r="AI1285" i="3"/>
  <c r="Z1286" i="3"/>
  <c r="AJ1286" i="3" s="1"/>
  <c r="AA1286" i="3"/>
  <c r="AB1286" i="3"/>
  <c r="AC1286" i="3"/>
  <c r="AD1286" i="3"/>
  <c r="AE1286" i="3"/>
  <c r="AF1286" i="3"/>
  <c r="AG1286" i="3"/>
  <c r="AH1286" i="3"/>
  <c r="AI1286" i="3"/>
  <c r="Z1287" i="3"/>
  <c r="AJ1287" i="3" s="1"/>
  <c r="AA1287" i="3"/>
  <c r="AB1287" i="3"/>
  <c r="AC1287" i="3"/>
  <c r="AD1287" i="3"/>
  <c r="AE1287" i="3"/>
  <c r="AF1287" i="3"/>
  <c r="AG1287" i="3"/>
  <c r="AH1287" i="3"/>
  <c r="AI1287" i="3"/>
  <c r="Z1288" i="3"/>
  <c r="AJ1288" i="3" s="1"/>
  <c r="AA1288" i="3"/>
  <c r="AB1288" i="3"/>
  <c r="AC1288" i="3"/>
  <c r="AD1288" i="3"/>
  <c r="AE1288" i="3"/>
  <c r="AF1288" i="3"/>
  <c r="AG1288" i="3"/>
  <c r="AH1288" i="3"/>
  <c r="AI1288" i="3"/>
  <c r="Z1289" i="3"/>
  <c r="AA1289" i="3"/>
  <c r="AB1289" i="3"/>
  <c r="AC1289" i="3"/>
  <c r="AD1289" i="3"/>
  <c r="AE1289" i="3"/>
  <c r="AJ1289" i="3" s="1"/>
  <c r="AF1289" i="3"/>
  <c r="AG1289" i="3"/>
  <c r="AH1289" i="3"/>
  <c r="AI1289" i="3"/>
  <c r="Z1290" i="3"/>
  <c r="AA1290" i="3"/>
  <c r="AB1290" i="3"/>
  <c r="AC1290" i="3"/>
  <c r="AD1290" i="3"/>
  <c r="AE1290" i="3"/>
  <c r="AF1290" i="3"/>
  <c r="AG1290" i="3"/>
  <c r="AH1290" i="3"/>
  <c r="AI1290" i="3"/>
  <c r="AJ1290" i="3"/>
  <c r="Z1291" i="3"/>
  <c r="AA1291" i="3"/>
  <c r="AJ1291" i="3" s="1"/>
  <c r="AB1291" i="3"/>
  <c r="AC1291" i="3"/>
  <c r="AD1291" i="3"/>
  <c r="AE1291" i="3"/>
  <c r="AF1291" i="3"/>
  <c r="AG1291" i="3"/>
  <c r="AH1291" i="3"/>
  <c r="AI1291" i="3"/>
  <c r="Z1292" i="3"/>
  <c r="AA1292" i="3"/>
  <c r="AJ1292" i="3" s="1"/>
  <c r="AB1292" i="3"/>
  <c r="AC1292" i="3"/>
  <c r="AD1292" i="3"/>
  <c r="AE1292" i="3"/>
  <c r="AF1292" i="3"/>
  <c r="AG1292" i="3"/>
  <c r="AH1292" i="3"/>
  <c r="AI1292" i="3"/>
  <c r="Z1293" i="3"/>
  <c r="AJ1293" i="3" s="1"/>
  <c r="AA1293" i="3"/>
  <c r="AB1293" i="3"/>
  <c r="AC1293" i="3"/>
  <c r="AD1293" i="3"/>
  <c r="AE1293" i="3"/>
  <c r="AF1293" i="3"/>
  <c r="AG1293" i="3"/>
  <c r="AH1293" i="3"/>
  <c r="AI1293" i="3"/>
  <c r="Z1294" i="3"/>
  <c r="AJ1294" i="3" s="1"/>
  <c r="AA1294" i="3"/>
  <c r="AB1294" i="3"/>
  <c r="AC1294" i="3"/>
  <c r="AD1294" i="3"/>
  <c r="AE1294" i="3"/>
  <c r="AF1294" i="3"/>
  <c r="AG1294" i="3"/>
  <c r="AH1294" i="3"/>
  <c r="AI1294" i="3"/>
  <c r="Z1295" i="3"/>
  <c r="AJ1295" i="3" s="1"/>
  <c r="AA1295" i="3"/>
  <c r="AB1295" i="3"/>
  <c r="AC1295" i="3"/>
  <c r="AD1295" i="3"/>
  <c r="AE1295" i="3"/>
  <c r="AF1295" i="3"/>
  <c r="AG1295" i="3"/>
  <c r="AH1295" i="3"/>
  <c r="AI1295" i="3"/>
  <c r="Z1296" i="3"/>
  <c r="AA1296" i="3"/>
  <c r="AB1296" i="3"/>
  <c r="AC1296" i="3"/>
  <c r="AD1296" i="3"/>
  <c r="AE1296" i="3"/>
  <c r="AF1296" i="3"/>
  <c r="AG1296" i="3"/>
  <c r="AH1296" i="3"/>
  <c r="AI1296" i="3"/>
  <c r="Z1297" i="3"/>
  <c r="AA1297" i="3"/>
  <c r="AB1297" i="3"/>
  <c r="AC1297" i="3"/>
  <c r="AD1297" i="3"/>
  <c r="AE1297" i="3"/>
  <c r="AJ1297" i="3" s="1"/>
  <c r="AF1297" i="3"/>
  <c r="AG1297" i="3"/>
  <c r="AH1297" i="3"/>
  <c r="AI1297" i="3"/>
  <c r="Z1298" i="3"/>
  <c r="AA1298" i="3"/>
  <c r="AB1298" i="3"/>
  <c r="AC1298" i="3"/>
  <c r="AD1298" i="3"/>
  <c r="AE1298" i="3"/>
  <c r="AF1298" i="3"/>
  <c r="AG1298" i="3"/>
  <c r="AH1298" i="3"/>
  <c r="AI1298" i="3"/>
  <c r="AJ1298" i="3"/>
  <c r="Z1299" i="3"/>
  <c r="AA1299" i="3"/>
  <c r="AJ1299" i="3" s="1"/>
  <c r="AB1299" i="3"/>
  <c r="AC1299" i="3"/>
  <c r="AD1299" i="3"/>
  <c r="AE1299" i="3"/>
  <c r="AF1299" i="3"/>
  <c r="AG1299" i="3"/>
  <c r="AH1299" i="3"/>
  <c r="AI1299" i="3"/>
  <c r="Z1300" i="3"/>
  <c r="AA1300" i="3"/>
  <c r="AB1300" i="3"/>
  <c r="AC1300" i="3"/>
  <c r="AD1300" i="3"/>
  <c r="AE1300" i="3"/>
  <c r="AF1300" i="3"/>
  <c r="AG1300" i="3"/>
  <c r="AH1300" i="3"/>
  <c r="AI1300" i="3"/>
  <c r="Z1301" i="3"/>
  <c r="AA1301" i="3"/>
  <c r="AB1301" i="3"/>
  <c r="AC1301" i="3"/>
  <c r="AD1301" i="3"/>
  <c r="AE1301" i="3"/>
  <c r="AF1301" i="3"/>
  <c r="AG1301" i="3"/>
  <c r="AH1301" i="3"/>
  <c r="AI1301" i="3"/>
  <c r="Z1302" i="3"/>
  <c r="AA1302" i="3"/>
  <c r="AB1302" i="3"/>
  <c r="AC1302" i="3"/>
  <c r="AD1302" i="3"/>
  <c r="AE1302" i="3"/>
  <c r="AF1302" i="3"/>
  <c r="AG1302" i="3"/>
  <c r="AH1302" i="3"/>
  <c r="AI1302" i="3"/>
  <c r="Z1303" i="3"/>
  <c r="AJ1303" i="3" s="1"/>
  <c r="AA1303" i="3"/>
  <c r="AB1303" i="3"/>
  <c r="AC1303" i="3"/>
  <c r="AD1303" i="3"/>
  <c r="AE1303" i="3"/>
  <c r="AF1303" i="3"/>
  <c r="AG1303" i="3"/>
  <c r="AH1303" i="3"/>
  <c r="AI1303" i="3"/>
  <c r="Z1304" i="3"/>
  <c r="AA1304" i="3"/>
  <c r="AB1304" i="3"/>
  <c r="AC1304" i="3"/>
  <c r="AD1304" i="3"/>
  <c r="AE1304" i="3"/>
  <c r="AF1304" i="3"/>
  <c r="AG1304" i="3"/>
  <c r="AH1304" i="3"/>
  <c r="AI1304" i="3"/>
  <c r="Z1305" i="3"/>
  <c r="AA1305" i="3"/>
  <c r="AB1305" i="3"/>
  <c r="AC1305" i="3"/>
  <c r="AD1305" i="3"/>
  <c r="AE1305" i="3"/>
  <c r="AJ1305" i="3" s="1"/>
  <c r="AF1305" i="3"/>
  <c r="AG1305" i="3"/>
  <c r="AH1305" i="3"/>
  <c r="AI1305" i="3"/>
  <c r="Z1306" i="3"/>
  <c r="AA1306" i="3"/>
  <c r="AB1306" i="3"/>
  <c r="AC1306" i="3"/>
  <c r="AD1306" i="3"/>
  <c r="AE1306" i="3"/>
  <c r="AF1306" i="3"/>
  <c r="AG1306" i="3"/>
  <c r="AH1306" i="3"/>
  <c r="AI1306" i="3"/>
  <c r="AJ1306" i="3"/>
  <c r="Z1307" i="3"/>
  <c r="AA1307" i="3"/>
  <c r="AB1307" i="3"/>
  <c r="AC1307" i="3"/>
  <c r="AD1307" i="3"/>
  <c r="AE1307" i="3"/>
  <c r="AF1307" i="3"/>
  <c r="AG1307" i="3"/>
  <c r="AH1307" i="3"/>
  <c r="AI1307" i="3"/>
  <c r="Z1308" i="3"/>
  <c r="AA1308" i="3"/>
  <c r="AB1308" i="3"/>
  <c r="AC1308" i="3"/>
  <c r="AD1308" i="3"/>
  <c r="AE1308" i="3"/>
  <c r="AF1308" i="3"/>
  <c r="AG1308" i="3"/>
  <c r="AH1308" i="3"/>
  <c r="AI1308" i="3"/>
  <c r="Z1309" i="3"/>
  <c r="AJ1309" i="3" s="1"/>
  <c r="AA1309" i="3"/>
  <c r="AB1309" i="3"/>
  <c r="AC1309" i="3"/>
  <c r="AD1309" i="3"/>
  <c r="AE1309" i="3"/>
  <c r="AF1309" i="3"/>
  <c r="AG1309" i="3"/>
  <c r="AH1309" i="3"/>
  <c r="AI1309" i="3"/>
  <c r="Z1310" i="3"/>
  <c r="AA1310" i="3"/>
  <c r="AB1310" i="3"/>
  <c r="AC1310" i="3"/>
  <c r="AD1310" i="3"/>
  <c r="AE1310" i="3"/>
  <c r="AF1310" i="3"/>
  <c r="AG1310" i="3"/>
  <c r="AH1310" i="3"/>
  <c r="AI1310" i="3"/>
  <c r="Z1311" i="3"/>
  <c r="AJ1311" i="3" s="1"/>
  <c r="AA1311" i="3"/>
  <c r="AB1311" i="3"/>
  <c r="AC1311" i="3"/>
  <c r="AD1311" i="3"/>
  <c r="AE1311" i="3"/>
  <c r="AF1311" i="3"/>
  <c r="AG1311" i="3"/>
  <c r="AH1311" i="3"/>
  <c r="AI1311" i="3"/>
  <c r="Z1312" i="3"/>
  <c r="AA1312" i="3"/>
  <c r="AB1312" i="3"/>
  <c r="AC1312" i="3"/>
  <c r="AD1312" i="3"/>
  <c r="AE1312" i="3"/>
  <c r="AF1312" i="3"/>
  <c r="AG1312" i="3"/>
  <c r="AH1312" i="3"/>
  <c r="AI1312" i="3"/>
  <c r="Z1313" i="3"/>
  <c r="AA1313" i="3"/>
  <c r="AB1313" i="3"/>
  <c r="AC1313" i="3"/>
  <c r="AD1313" i="3"/>
  <c r="AE1313" i="3"/>
  <c r="AJ1313" i="3" s="1"/>
  <c r="AF1313" i="3"/>
  <c r="AG1313" i="3"/>
  <c r="AH1313" i="3"/>
  <c r="AI1313" i="3"/>
  <c r="Z1314" i="3"/>
  <c r="AA1314" i="3"/>
  <c r="AB1314" i="3"/>
  <c r="AC1314" i="3"/>
  <c r="AD1314" i="3"/>
  <c r="AE1314" i="3"/>
  <c r="AF1314" i="3"/>
  <c r="AG1314" i="3"/>
  <c r="AH1314" i="3"/>
  <c r="AI1314" i="3"/>
  <c r="AJ1314" i="3"/>
  <c r="Z1315" i="3"/>
  <c r="AA1315" i="3"/>
  <c r="AB1315" i="3"/>
  <c r="AC1315" i="3"/>
  <c r="AD1315" i="3"/>
  <c r="AE1315" i="3"/>
  <c r="AF1315" i="3"/>
  <c r="AG1315" i="3"/>
  <c r="AH1315" i="3"/>
  <c r="AI1315" i="3"/>
  <c r="Z1316" i="3"/>
  <c r="AA1316" i="3"/>
  <c r="AJ1316" i="3" s="1"/>
  <c r="AB1316" i="3"/>
  <c r="AC1316" i="3"/>
  <c r="AD1316" i="3"/>
  <c r="AE1316" i="3"/>
  <c r="AF1316" i="3"/>
  <c r="AG1316" i="3"/>
  <c r="AH1316" i="3"/>
  <c r="AI1316" i="3"/>
  <c r="Z1317" i="3"/>
  <c r="AA1317" i="3"/>
  <c r="AB1317" i="3"/>
  <c r="AC1317" i="3"/>
  <c r="AD1317" i="3"/>
  <c r="AE1317" i="3"/>
  <c r="AF1317" i="3"/>
  <c r="AG1317" i="3"/>
  <c r="AH1317" i="3"/>
  <c r="AI1317" i="3"/>
  <c r="Z1318" i="3"/>
  <c r="AJ1318" i="3" s="1"/>
  <c r="AA1318" i="3"/>
  <c r="AB1318" i="3"/>
  <c r="AC1318" i="3"/>
  <c r="AD1318" i="3"/>
  <c r="AE1318" i="3"/>
  <c r="AF1318" i="3"/>
  <c r="AG1318" i="3"/>
  <c r="AH1318" i="3"/>
  <c r="AI1318" i="3"/>
  <c r="Z1319" i="3"/>
  <c r="AA1319" i="3"/>
  <c r="AB1319" i="3"/>
  <c r="AC1319" i="3"/>
  <c r="AD1319" i="3"/>
  <c r="AE1319" i="3"/>
  <c r="AF1319" i="3"/>
  <c r="AG1319" i="3"/>
  <c r="AH1319" i="3"/>
  <c r="AI1319" i="3"/>
  <c r="Z1320" i="3"/>
  <c r="AA1320" i="3"/>
  <c r="AB1320" i="3"/>
  <c r="AC1320" i="3"/>
  <c r="AD1320" i="3"/>
  <c r="AE1320" i="3"/>
  <c r="AF1320" i="3"/>
  <c r="AG1320" i="3"/>
  <c r="AH1320" i="3"/>
  <c r="AI1320" i="3"/>
  <c r="Z1321" i="3"/>
  <c r="AA1321" i="3"/>
  <c r="AB1321" i="3"/>
  <c r="AC1321" i="3"/>
  <c r="AD1321" i="3"/>
  <c r="AE1321" i="3"/>
  <c r="AJ1321" i="3" s="1"/>
  <c r="AF1321" i="3"/>
  <c r="AG1321" i="3"/>
  <c r="AH1321" i="3"/>
  <c r="AI1321" i="3"/>
  <c r="Z1322" i="3"/>
  <c r="AA1322" i="3"/>
  <c r="AB1322" i="3"/>
  <c r="AC1322" i="3"/>
  <c r="AD1322" i="3"/>
  <c r="AE1322" i="3"/>
  <c r="AF1322" i="3"/>
  <c r="AG1322" i="3"/>
  <c r="AH1322" i="3"/>
  <c r="AI1322" i="3"/>
  <c r="AJ1322" i="3"/>
  <c r="Z1323" i="3"/>
  <c r="AA1323" i="3"/>
  <c r="AJ1323" i="3" s="1"/>
  <c r="AB1323" i="3"/>
  <c r="AC1323" i="3"/>
  <c r="AD1323" i="3"/>
  <c r="AE1323" i="3"/>
  <c r="AF1323" i="3"/>
  <c r="AG1323" i="3"/>
  <c r="AH1323" i="3"/>
  <c r="AI1323" i="3"/>
  <c r="Z1324" i="3"/>
  <c r="AA1324" i="3"/>
  <c r="AB1324" i="3"/>
  <c r="AC1324" i="3"/>
  <c r="AD1324" i="3"/>
  <c r="AE1324" i="3"/>
  <c r="AF1324" i="3"/>
  <c r="AG1324" i="3"/>
  <c r="AH1324" i="3"/>
  <c r="AI1324" i="3"/>
  <c r="Z1325" i="3"/>
  <c r="AA1325" i="3"/>
  <c r="AB1325" i="3"/>
  <c r="AC1325" i="3"/>
  <c r="AD1325" i="3"/>
  <c r="AE1325" i="3"/>
  <c r="AF1325" i="3"/>
  <c r="AG1325" i="3"/>
  <c r="AH1325" i="3"/>
  <c r="AI1325" i="3"/>
  <c r="Z1326" i="3"/>
  <c r="AJ1326" i="3" s="1"/>
  <c r="AA1326" i="3"/>
  <c r="AB1326" i="3"/>
  <c r="AC1326" i="3"/>
  <c r="AD1326" i="3"/>
  <c r="AE1326" i="3"/>
  <c r="AF1326" i="3"/>
  <c r="AG1326" i="3"/>
  <c r="AH1326" i="3"/>
  <c r="AI1326" i="3"/>
  <c r="Z1327" i="3"/>
  <c r="AA1327" i="3"/>
  <c r="AB1327" i="3"/>
  <c r="AC1327" i="3"/>
  <c r="AD1327" i="3"/>
  <c r="AE1327" i="3"/>
  <c r="AF1327" i="3"/>
  <c r="AG1327" i="3"/>
  <c r="AH1327" i="3"/>
  <c r="AI1327" i="3"/>
  <c r="Z1328" i="3"/>
  <c r="AA1328" i="3"/>
  <c r="AB1328" i="3"/>
  <c r="AC1328" i="3"/>
  <c r="AD1328" i="3"/>
  <c r="AE1328" i="3"/>
  <c r="AF1328" i="3"/>
  <c r="AG1328" i="3"/>
  <c r="AH1328" i="3"/>
  <c r="AI1328" i="3"/>
  <c r="Z1329" i="3"/>
  <c r="AA1329" i="3"/>
  <c r="AB1329" i="3"/>
  <c r="AC1329" i="3"/>
  <c r="AD1329" i="3"/>
  <c r="AE1329" i="3"/>
  <c r="AJ1329" i="3" s="1"/>
  <c r="AF1329" i="3"/>
  <c r="AG1329" i="3"/>
  <c r="AH1329" i="3"/>
  <c r="AI1329" i="3"/>
  <c r="Z1330" i="3"/>
  <c r="AA1330" i="3"/>
  <c r="AB1330" i="3"/>
  <c r="AC1330" i="3"/>
  <c r="AD1330" i="3"/>
  <c r="AE1330" i="3"/>
  <c r="AF1330" i="3"/>
  <c r="AG1330" i="3"/>
  <c r="AH1330" i="3"/>
  <c r="AI1330" i="3"/>
  <c r="AJ1330" i="3"/>
  <c r="Z1331" i="3"/>
  <c r="AA1331" i="3"/>
  <c r="AJ1331" i="3" s="1"/>
  <c r="AB1331" i="3"/>
  <c r="AC1331" i="3"/>
  <c r="AD1331" i="3"/>
  <c r="AE1331" i="3"/>
  <c r="AF1331" i="3"/>
  <c r="AG1331" i="3"/>
  <c r="AH1331" i="3"/>
  <c r="AI1331" i="3"/>
  <c r="Z1332" i="3"/>
  <c r="AA1332" i="3"/>
  <c r="AJ1332" i="3" s="1"/>
  <c r="AB1332" i="3"/>
  <c r="AC1332" i="3"/>
  <c r="AD1332" i="3"/>
  <c r="AE1332" i="3"/>
  <c r="AF1332" i="3"/>
  <c r="AG1332" i="3"/>
  <c r="AH1332" i="3"/>
  <c r="AI1332" i="3"/>
  <c r="Z1333" i="3"/>
  <c r="AA1333" i="3"/>
  <c r="AB1333" i="3"/>
  <c r="AC1333" i="3"/>
  <c r="AD1333" i="3"/>
  <c r="AE1333" i="3"/>
  <c r="AF1333" i="3"/>
  <c r="AG1333" i="3"/>
  <c r="AH1333" i="3"/>
  <c r="AI1333" i="3"/>
  <c r="Z1334" i="3"/>
  <c r="AA1334" i="3"/>
  <c r="AB1334" i="3"/>
  <c r="AC1334" i="3"/>
  <c r="AD1334" i="3"/>
  <c r="AE1334" i="3"/>
  <c r="AF1334" i="3"/>
  <c r="AG1334" i="3"/>
  <c r="AH1334" i="3"/>
  <c r="AI1334" i="3"/>
  <c r="Z1335" i="3"/>
  <c r="AA1335" i="3"/>
  <c r="AB1335" i="3"/>
  <c r="AC1335" i="3"/>
  <c r="AD1335" i="3"/>
  <c r="AE1335" i="3"/>
  <c r="AF1335" i="3"/>
  <c r="AG1335" i="3"/>
  <c r="AH1335" i="3"/>
  <c r="AI1335" i="3"/>
  <c r="Z1336" i="3"/>
  <c r="AA1336" i="3"/>
  <c r="AB1336" i="3"/>
  <c r="AC1336" i="3"/>
  <c r="AD1336" i="3"/>
  <c r="AE1336" i="3"/>
  <c r="AF1336" i="3"/>
  <c r="AG1336" i="3"/>
  <c r="AH1336" i="3"/>
  <c r="AI1336" i="3"/>
  <c r="Z1337" i="3"/>
  <c r="AA1337" i="3"/>
  <c r="AB1337" i="3"/>
  <c r="AC1337" i="3"/>
  <c r="AD1337" i="3"/>
  <c r="AE1337" i="3"/>
  <c r="AJ1337" i="3" s="1"/>
  <c r="AF1337" i="3"/>
  <c r="AG1337" i="3"/>
  <c r="AH1337" i="3"/>
  <c r="AI1337" i="3"/>
  <c r="Z1338" i="3"/>
  <c r="AA1338" i="3"/>
  <c r="AB1338" i="3"/>
  <c r="AC1338" i="3"/>
  <c r="AD1338" i="3"/>
  <c r="AE1338" i="3"/>
  <c r="AF1338" i="3"/>
  <c r="AG1338" i="3"/>
  <c r="AH1338" i="3"/>
  <c r="AI1338" i="3"/>
  <c r="AJ1338" i="3"/>
  <c r="Z1339" i="3"/>
  <c r="AA1339" i="3"/>
  <c r="AB1339" i="3"/>
  <c r="AC1339" i="3"/>
  <c r="AD1339" i="3"/>
  <c r="AE1339" i="3"/>
  <c r="AF1339" i="3"/>
  <c r="AG1339" i="3"/>
  <c r="AH1339" i="3"/>
  <c r="AI1339" i="3"/>
  <c r="Z1340" i="3"/>
  <c r="AA1340" i="3"/>
  <c r="AJ1340" i="3" s="1"/>
  <c r="AB1340" i="3"/>
  <c r="AC1340" i="3"/>
  <c r="AD1340" i="3"/>
  <c r="AE1340" i="3"/>
  <c r="AF1340" i="3"/>
  <c r="AG1340" i="3"/>
  <c r="AH1340" i="3"/>
  <c r="AI1340" i="3"/>
  <c r="Z1341" i="3"/>
  <c r="AJ1341" i="3" s="1"/>
  <c r="AA1341" i="3"/>
  <c r="AB1341" i="3"/>
  <c r="AC1341" i="3"/>
  <c r="AD1341" i="3"/>
  <c r="AE1341" i="3"/>
  <c r="AF1341" i="3"/>
  <c r="AG1341" i="3"/>
  <c r="AH1341" i="3"/>
  <c r="AI1341" i="3"/>
  <c r="Z1342" i="3"/>
  <c r="AA1342" i="3"/>
  <c r="AB1342" i="3"/>
  <c r="AC1342" i="3"/>
  <c r="AD1342" i="3"/>
  <c r="AE1342" i="3"/>
  <c r="AF1342" i="3"/>
  <c r="AG1342" i="3"/>
  <c r="AH1342" i="3"/>
  <c r="AI1342" i="3"/>
  <c r="Z1343" i="3"/>
  <c r="AJ1343" i="3" s="1"/>
  <c r="AA1343" i="3"/>
  <c r="AB1343" i="3"/>
  <c r="AC1343" i="3"/>
  <c r="AD1343" i="3"/>
  <c r="AE1343" i="3"/>
  <c r="AF1343" i="3"/>
  <c r="AG1343" i="3"/>
  <c r="AH1343" i="3"/>
  <c r="AI1343" i="3"/>
  <c r="Z1344" i="3"/>
  <c r="AA1344" i="3"/>
  <c r="AB1344" i="3"/>
  <c r="AC1344" i="3"/>
  <c r="AD1344" i="3"/>
  <c r="AE1344" i="3"/>
  <c r="AF1344" i="3"/>
  <c r="AG1344" i="3"/>
  <c r="AH1344" i="3"/>
  <c r="AI1344" i="3"/>
  <c r="Z1345" i="3"/>
  <c r="AA1345" i="3"/>
  <c r="AB1345" i="3"/>
  <c r="AC1345" i="3"/>
  <c r="AD1345" i="3"/>
  <c r="AE1345" i="3"/>
  <c r="AJ1345" i="3" s="1"/>
  <c r="AF1345" i="3"/>
  <c r="AG1345" i="3"/>
  <c r="AH1345" i="3"/>
  <c r="AI1345" i="3"/>
  <c r="Z1346" i="3"/>
  <c r="AA1346" i="3"/>
  <c r="AB1346" i="3"/>
  <c r="AC1346" i="3"/>
  <c r="AD1346" i="3"/>
  <c r="AE1346" i="3"/>
  <c r="AF1346" i="3"/>
  <c r="AG1346" i="3"/>
  <c r="AH1346" i="3"/>
  <c r="AI1346" i="3"/>
  <c r="AJ1346" i="3"/>
  <c r="Z1347" i="3"/>
  <c r="AA1347" i="3"/>
  <c r="AB1347" i="3"/>
  <c r="AC1347" i="3"/>
  <c r="AD1347" i="3"/>
  <c r="AE1347" i="3"/>
  <c r="AF1347" i="3"/>
  <c r="AG1347" i="3"/>
  <c r="AH1347" i="3"/>
  <c r="AI1347" i="3"/>
  <c r="Z1348" i="3"/>
  <c r="AA1348" i="3"/>
  <c r="AJ1348" i="3" s="1"/>
  <c r="AB1348" i="3"/>
  <c r="AC1348" i="3"/>
  <c r="AD1348" i="3"/>
  <c r="AE1348" i="3"/>
  <c r="AF1348" i="3"/>
  <c r="AG1348" i="3"/>
  <c r="AH1348" i="3"/>
  <c r="AI1348" i="3"/>
  <c r="Z1349" i="3"/>
  <c r="AA1349" i="3"/>
  <c r="AB1349" i="3"/>
  <c r="AC1349" i="3"/>
  <c r="AD1349" i="3"/>
  <c r="AE1349" i="3"/>
  <c r="AF1349" i="3"/>
  <c r="AG1349" i="3"/>
  <c r="AH1349" i="3"/>
  <c r="AI1349" i="3"/>
  <c r="Z1350" i="3"/>
  <c r="AJ1350" i="3" s="1"/>
  <c r="AA1350" i="3"/>
  <c r="AB1350" i="3"/>
  <c r="AC1350" i="3"/>
  <c r="AD1350" i="3"/>
  <c r="AE1350" i="3"/>
  <c r="AF1350" i="3"/>
  <c r="AG1350" i="3"/>
  <c r="AH1350" i="3"/>
  <c r="AI1350" i="3"/>
  <c r="Z1351" i="3"/>
  <c r="AA1351" i="3"/>
  <c r="AB1351" i="3"/>
  <c r="AC1351" i="3"/>
  <c r="AD1351" i="3"/>
  <c r="AE1351" i="3"/>
  <c r="AF1351" i="3"/>
  <c r="AG1351" i="3"/>
  <c r="AH1351" i="3"/>
  <c r="AI1351" i="3"/>
  <c r="Z1352" i="3"/>
  <c r="AA1352" i="3"/>
  <c r="AB1352" i="3"/>
  <c r="AC1352" i="3"/>
  <c r="AD1352" i="3"/>
  <c r="AE1352" i="3"/>
  <c r="AF1352" i="3"/>
  <c r="AG1352" i="3"/>
  <c r="AH1352" i="3"/>
  <c r="AI1352" i="3"/>
  <c r="Z1353" i="3"/>
  <c r="AA1353" i="3"/>
  <c r="AB1353" i="3"/>
  <c r="AC1353" i="3"/>
  <c r="AD1353" i="3"/>
  <c r="AE1353" i="3"/>
  <c r="AJ1353" i="3" s="1"/>
  <c r="AF1353" i="3"/>
  <c r="AG1353" i="3"/>
  <c r="AH1353" i="3"/>
  <c r="AI1353" i="3"/>
  <c r="Z1354" i="3"/>
  <c r="AA1354" i="3"/>
  <c r="AB1354" i="3"/>
  <c r="AC1354" i="3"/>
  <c r="AD1354" i="3"/>
  <c r="AE1354" i="3"/>
  <c r="AF1354" i="3"/>
  <c r="AG1354" i="3"/>
  <c r="AH1354" i="3"/>
  <c r="AI1354" i="3"/>
  <c r="AJ1354" i="3"/>
  <c r="Z1355" i="3"/>
  <c r="AA1355" i="3"/>
  <c r="AJ1355" i="3" s="1"/>
  <c r="AB1355" i="3"/>
  <c r="AC1355" i="3"/>
  <c r="AD1355" i="3"/>
  <c r="AE1355" i="3"/>
  <c r="AF1355" i="3"/>
  <c r="AG1355" i="3"/>
  <c r="AH1355" i="3"/>
  <c r="AI1355" i="3"/>
  <c r="Z1356" i="3"/>
  <c r="AA1356" i="3"/>
  <c r="AB1356" i="3"/>
  <c r="AC1356" i="3"/>
  <c r="AD1356" i="3"/>
  <c r="AE1356" i="3"/>
  <c r="AF1356" i="3"/>
  <c r="AG1356" i="3"/>
  <c r="AH1356" i="3"/>
  <c r="AI1356" i="3"/>
  <c r="Z1357" i="3"/>
  <c r="AA1357" i="3"/>
  <c r="AB1357" i="3"/>
  <c r="AC1357" i="3"/>
  <c r="AD1357" i="3"/>
  <c r="AE1357" i="3"/>
  <c r="AF1357" i="3"/>
  <c r="AG1357" i="3"/>
  <c r="AH1357" i="3"/>
  <c r="AI1357" i="3"/>
  <c r="Z1358" i="3"/>
  <c r="AJ1358" i="3" s="1"/>
  <c r="AA1358" i="3"/>
  <c r="AB1358" i="3"/>
  <c r="AC1358" i="3"/>
  <c r="AD1358" i="3"/>
  <c r="AE1358" i="3"/>
  <c r="AF1358" i="3"/>
  <c r="AG1358" i="3"/>
  <c r="AH1358" i="3"/>
  <c r="AI1358" i="3"/>
  <c r="Z1359" i="3"/>
  <c r="AA1359" i="3"/>
  <c r="AB1359" i="3"/>
  <c r="AC1359" i="3"/>
  <c r="AD1359" i="3"/>
  <c r="AE1359" i="3"/>
  <c r="AF1359" i="3"/>
  <c r="AG1359" i="3"/>
  <c r="AH1359" i="3"/>
  <c r="AI1359" i="3"/>
  <c r="Z1360" i="3"/>
  <c r="AA1360" i="3"/>
  <c r="AB1360" i="3"/>
  <c r="AC1360" i="3"/>
  <c r="AD1360" i="3"/>
  <c r="AE1360" i="3"/>
  <c r="AF1360" i="3"/>
  <c r="AG1360" i="3"/>
  <c r="AH1360" i="3"/>
  <c r="AI1360" i="3"/>
  <c r="Z1361" i="3"/>
  <c r="AA1361" i="3"/>
  <c r="AB1361" i="3"/>
  <c r="AC1361" i="3"/>
  <c r="AD1361" i="3"/>
  <c r="AE1361" i="3"/>
  <c r="AJ1361" i="3" s="1"/>
  <c r="AF1361" i="3"/>
  <c r="AG1361" i="3"/>
  <c r="AH1361" i="3"/>
  <c r="AI1361" i="3"/>
  <c r="Z1362" i="3"/>
  <c r="AA1362" i="3"/>
  <c r="AB1362" i="3"/>
  <c r="AC1362" i="3"/>
  <c r="AD1362" i="3"/>
  <c r="AE1362" i="3"/>
  <c r="AF1362" i="3"/>
  <c r="AG1362" i="3"/>
  <c r="AH1362" i="3"/>
  <c r="AI1362" i="3"/>
  <c r="AJ1362" i="3"/>
  <c r="Z1363" i="3"/>
  <c r="AA1363" i="3"/>
  <c r="AJ1363" i="3" s="1"/>
  <c r="AB1363" i="3"/>
  <c r="AC1363" i="3"/>
  <c r="AD1363" i="3"/>
  <c r="AE1363" i="3"/>
  <c r="AF1363" i="3"/>
  <c r="AG1363" i="3"/>
  <c r="AH1363" i="3"/>
  <c r="AI1363" i="3"/>
  <c r="Z1364" i="3"/>
  <c r="AA1364" i="3"/>
  <c r="AB1364" i="3"/>
  <c r="AC1364" i="3"/>
  <c r="AD1364" i="3"/>
  <c r="AE1364" i="3"/>
  <c r="AF1364" i="3"/>
  <c r="AG1364" i="3"/>
  <c r="AH1364" i="3"/>
  <c r="AI1364" i="3"/>
  <c r="Z1365" i="3"/>
  <c r="AA1365" i="3"/>
  <c r="AB1365" i="3"/>
  <c r="AC1365" i="3"/>
  <c r="AD1365" i="3"/>
  <c r="AE1365" i="3"/>
  <c r="AF1365" i="3"/>
  <c r="AG1365" i="3"/>
  <c r="AH1365" i="3"/>
  <c r="AI1365" i="3"/>
  <c r="Z1366" i="3"/>
  <c r="AA1366" i="3"/>
  <c r="AB1366" i="3"/>
  <c r="AC1366" i="3"/>
  <c r="AD1366" i="3"/>
  <c r="AE1366" i="3"/>
  <c r="AF1366" i="3"/>
  <c r="AG1366" i="3"/>
  <c r="AH1366" i="3"/>
  <c r="AI1366" i="3"/>
  <c r="Z1367" i="3"/>
  <c r="AJ1367" i="3" s="1"/>
  <c r="AA1367" i="3"/>
  <c r="AB1367" i="3"/>
  <c r="AC1367" i="3"/>
  <c r="AD1367" i="3"/>
  <c r="AE1367" i="3"/>
  <c r="AF1367" i="3"/>
  <c r="AG1367" i="3"/>
  <c r="AH1367" i="3"/>
  <c r="AI1367" i="3"/>
  <c r="Z1368" i="3"/>
  <c r="AA1368" i="3"/>
  <c r="AB1368" i="3"/>
  <c r="AC1368" i="3"/>
  <c r="AD1368" i="3"/>
  <c r="AE1368" i="3"/>
  <c r="AF1368" i="3"/>
  <c r="AG1368" i="3"/>
  <c r="AH1368" i="3"/>
  <c r="AI1368" i="3"/>
  <c r="Z1369" i="3"/>
  <c r="AA1369" i="3"/>
  <c r="AB1369" i="3"/>
  <c r="AC1369" i="3"/>
  <c r="AD1369" i="3"/>
  <c r="AE1369" i="3"/>
  <c r="AJ1369" i="3" s="1"/>
  <c r="AF1369" i="3"/>
  <c r="AG1369" i="3"/>
  <c r="AH1369" i="3"/>
  <c r="AI1369" i="3"/>
  <c r="Z1370" i="3"/>
  <c r="AA1370" i="3"/>
  <c r="AB1370" i="3"/>
  <c r="AC1370" i="3"/>
  <c r="AD1370" i="3"/>
  <c r="AE1370" i="3"/>
  <c r="AF1370" i="3"/>
  <c r="AG1370" i="3"/>
  <c r="AH1370" i="3"/>
  <c r="AI1370" i="3"/>
  <c r="AJ1370" i="3"/>
  <c r="Z1371" i="3"/>
  <c r="AA1371" i="3"/>
  <c r="AB1371" i="3"/>
  <c r="AC1371" i="3"/>
  <c r="AD1371" i="3"/>
  <c r="AE1371" i="3"/>
  <c r="AF1371" i="3"/>
  <c r="AG1371" i="3"/>
  <c r="AH1371" i="3"/>
  <c r="AI1371" i="3"/>
  <c r="Z1372" i="3"/>
  <c r="AA1372" i="3"/>
  <c r="AB1372" i="3"/>
  <c r="AC1372" i="3"/>
  <c r="AD1372" i="3"/>
  <c r="AE1372" i="3"/>
  <c r="AF1372" i="3"/>
  <c r="AG1372" i="3"/>
  <c r="AH1372" i="3"/>
  <c r="AI1372" i="3"/>
  <c r="Z1373" i="3"/>
  <c r="AJ1373" i="3" s="1"/>
  <c r="AA1373" i="3"/>
  <c r="AB1373" i="3"/>
  <c r="AC1373" i="3"/>
  <c r="AD1373" i="3"/>
  <c r="AE1373" i="3"/>
  <c r="AF1373" i="3"/>
  <c r="AG1373" i="3"/>
  <c r="AH1373" i="3"/>
  <c r="AI1373" i="3"/>
  <c r="Z1374" i="3"/>
  <c r="AA1374" i="3"/>
  <c r="AB1374" i="3"/>
  <c r="AC1374" i="3"/>
  <c r="AD1374" i="3"/>
  <c r="AE1374" i="3"/>
  <c r="AF1374" i="3"/>
  <c r="AG1374" i="3"/>
  <c r="AH1374" i="3"/>
  <c r="AI1374" i="3"/>
  <c r="Z1375" i="3"/>
  <c r="AJ1375" i="3" s="1"/>
  <c r="AA1375" i="3"/>
  <c r="AB1375" i="3"/>
  <c r="AC1375" i="3"/>
  <c r="AD1375" i="3"/>
  <c r="AE1375" i="3"/>
  <c r="AF1375" i="3"/>
  <c r="AG1375" i="3"/>
  <c r="AH1375" i="3"/>
  <c r="AI1375" i="3"/>
  <c r="Z1376" i="3"/>
  <c r="AA1376" i="3"/>
  <c r="AB1376" i="3"/>
  <c r="AC1376" i="3"/>
  <c r="AD1376" i="3"/>
  <c r="AE1376" i="3"/>
  <c r="AF1376" i="3"/>
  <c r="AG1376" i="3"/>
  <c r="AH1376" i="3"/>
  <c r="AI1376" i="3"/>
  <c r="Z1377" i="3"/>
  <c r="AA1377" i="3"/>
  <c r="AB1377" i="3"/>
  <c r="AC1377" i="3"/>
  <c r="AD1377" i="3"/>
  <c r="AE1377" i="3"/>
  <c r="AJ1377" i="3" s="1"/>
  <c r="AF1377" i="3"/>
  <c r="AG1377" i="3"/>
  <c r="AH1377" i="3"/>
  <c r="AI1377" i="3"/>
  <c r="Z1378" i="3"/>
  <c r="AA1378" i="3"/>
  <c r="AB1378" i="3"/>
  <c r="AC1378" i="3"/>
  <c r="AD1378" i="3"/>
  <c r="AE1378" i="3"/>
  <c r="AF1378" i="3"/>
  <c r="AG1378" i="3"/>
  <c r="AH1378" i="3"/>
  <c r="AI1378" i="3"/>
  <c r="AJ1378" i="3"/>
  <c r="Z1379" i="3"/>
  <c r="AA1379" i="3"/>
  <c r="AB1379" i="3"/>
  <c r="AC1379" i="3"/>
  <c r="AD1379" i="3"/>
  <c r="AE1379" i="3"/>
  <c r="AF1379" i="3"/>
  <c r="AG1379" i="3"/>
  <c r="AH1379" i="3"/>
  <c r="AI1379" i="3"/>
  <c r="Z1380" i="3"/>
  <c r="AA1380" i="3"/>
  <c r="AJ1380" i="3" s="1"/>
  <c r="AB1380" i="3"/>
  <c r="AC1380" i="3"/>
  <c r="AD1380" i="3"/>
  <c r="AE1380" i="3"/>
  <c r="AF1380" i="3"/>
  <c r="AG1380" i="3"/>
  <c r="AH1380" i="3"/>
  <c r="AI1380" i="3"/>
  <c r="Z1381" i="3"/>
  <c r="AA1381" i="3"/>
  <c r="AB1381" i="3"/>
  <c r="AC1381" i="3"/>
  <c r="AD1381" i="3"/>
  <c r="AE1381" i="3"/>
  <c r="AF1381" i="3"/>
  <c r="AG1381" i="3"/>
  <c r="AH1381" i="3"/>
  <c r="AI1381" i="3"/>
  <c r="Z1382" i="3"/>
  <c r="AJ1382" i="3" s="1"/>
  <c r="AA1382" i="3"/>
  <c r="AB1382" i="3"/>
  <c r="AC1382" i="3"/>
  <c r="AD1382" i="3"/>
  <c r="AE1382" i="3"/>
  <c r="AF1382" i="3"/>
  <c r="AG1382" i="3"/>
  <c r="AH1382" i="3"/>
  <c r="AI1382" i="3"/>
  <c r="Z1383" i="3"/>
  <c r="AA1383" i="3"/>
  <c r="AB1383" i="3"/>
  <c r="AC1383" i="3"/>
  <c r="AD1383" i="3"/>
  <c r="AE1383" i="3"/>
  <c r="AF1383" i="3"/>
  <c r="AG1383" i="3"/>
  <c r="AH1383" i="3"/>
  <c r="AI1383" i="3"/>
  <c r="Z1384" i="3"/>
  <c r="AA1384" i="3"/>
  <c r="AB1384" i="3"/>
  <c r="AC1384" i="3"/>
  <c r="AD1384" i="3"/>
  <c r="AE1384" i="3"/>
  <c r="AF1384" i="3"/>
  <c r="AG1384" i="3"/>
  <c r="AH1384" i="3"/>
  <c r="AI1384" i="3"/>
  <c r="Z1385" i="3"/>
  <c r="AA1385" i="3"/>
  <c r="AB1385" i="3"/>
  <c r="AC1385" i="3"/>
  <c r="AD1385" i="3"/>
  <c r="AE1385" i="3"/>
  <c r="AJ1385" i="3" s="1"/>
  <c r="AF1385" i="3"/>
  <c r="AG1385" i="3"/>
  <c r="AH1385" i="3"/>
  <c r="AI1385" i="3"/>
  <c r="Z1386" i="3"/>
  <c r="AA1386" i="3"/>
  <c r="AB1386" i="3"/>
  <c r="AC1386" i="3"/>
  <c r="AD1386" i="3"/>
  <c r="AE1386" i="3"/>
  <c r="AF1386" i="3"/>
  <c r="AG1386" i="3"/>
  <c r="AH1386" i="3"/>
  <c r="AI1386" i="3"/>
  <c r="AJ1386" i="3"/>
  <c r="Z1387" i="3"/>
  <c r="AA1387" i="3"/>
  <c r="AB1387" i="3"/>
  <c r="AC1387" i="3"/>
  <c r="AD1387" i="3"/>
  <c r="AE1387" i="3"/>
  <c r="AF1387" i="3"/>
  <c r="AG1387" i="3"/>
  <c r="AH1387" i="3"/>
  <c r="AI1387" i="3"/>
  <c r="Z1388" i="3"/>
  <c r="AA1388" i="3"/>
  <c r="AB1388" i="3"/>
  <c r="AC1388" i="3"/>
  <c r="AD1388" i="3"/>
  <c r="AE1388" i="3"/>
  <c r="AF1388" i="3"/>
  <c r="AG1388" i="3"/>
  <c r="AH1388" i="3"/>
  <c r="AI1388" i="3"/>
  <c r="Z1389" i="3"/>
  <c r="AA1389" i="3"/>
  <c r="AB1389" i="3"/>
  <c r="AC1389" i="3"/>
  <c r="AD1389" i="3"/>
  <c r="AE1389" i="3"/>
  <c r="AF1389" i="3"/>
  <c r="AG1389" i="3"/>
  <c r="AH1389" i="3"/>
  <c r="AI1389" i="3"/>
  <c r="Z1390" i="3"/>
  <c r="AJ1390" i="3" s="1"/>
  <c r="AA1390" i="3"/>
  <c r="AB1390" i="3"/>
  <c r="AC1390" i="3"/>
  <c r="AD1390" i="3"/>
  <c r="AE1390" i="3"/>
  <c r="AF1390" i="3"/>
  <c r="AG1390" i="3"/>
  <c r="AH1390" i="3"/>
  <c r="AI1390" i="3"/>
  <c r="Z1391" i="3"/>
  <c r="AA1391" i="3"/>
  <c r="AB1391" i="3"/>
  <c r="AC1391" i="3"/>
  <c r="AD1391" i="3"/>
  <c r="AE1391" i="3"/>
  <c r="AF1391" i="3"/>
  <c r="AG1391" i="3"/>
  <c r="AH1391" i="3"/>
  <c r="AI1391" i="3"/>
  <c r="Z1392" i="3"/>
  <c r="AA1392" i="3"/>
  <c r="AB1392" i="3"/>
  <c r="AC1392" i="3"/>
  <c r="AD1392" i="3"/>
  <c r="AE1392" i="3"/>
  <c r="AF1392" i="3"/>
  <c r="AG1392" i="3"/>
  <c r="AH1392" i="3"/>
  <c r="AI1392" i="3"/>
  <c r="Z1393" i="3"/>
  <c r="AA1393" i="3"/>
  <c r="AB1393" i="3"/>
  <c r="AC1393" i="3"/>
  <c r="AD1393" i="3"/>
  <c r="AE1393" i="3"/>
  <c r="AJ1393" i="3" s="1"/>
  <c r="AF1393" i="3"/>
  <c r="AG1393" i="3"/>
  <c r="AH1393" i="3"/>
  <c r="AI1393" i="3"/>
  <c r="Z1394" i="3"/>
  <c r="AA1394" i="3"/>
  <c r="AB1394" i="3"/>
  <c r="AC1394" i="3"/>
  <c r="AD1394" i="3"/>
  <c r="AE1394" i="3"/>
  <c r="AF1394" i="3"/>
  <c r="AG1394" i="3"/>
  <c r="AH1394" i="3"/>
  <c r="AI1394" i="3"/>
  <c r="AJ1394" i="3"/>
  <c r="Z1395" i="3"/>
  <c r="AA1395" i="3"/>
  <c r="AJ1395" i="3" s="1"/>
  <c r="AB1395" i="3"/>
  <c r="AC1395" i="3"/>
  <c r="AD1395" i="3"/>
  <c r="AE1395" i="3"/>
  <c r="AF1395" i="3"/>
  <c r="AG1395" i="3"/>
  <c r="AH1395" i="3"/>
  <c r="AI1395" i="3"/>
  <c r="Z1396" i="3"/>
  <c r="AA1396" i="3"/>
  <c r="AB1396" i="3"/>
  <c r="AC1396" i="3"/>
  <c r="AD1396" i="3"/>
  <c r="AE1396" i="3"/>
  <c r="AF1396" i="3"/>
  <c r="AG1396" i="3"/>
  <c r="AH1396" i="3"/>
  <c r="AI1396" i="3"/>
  <c r="Z1397" i="3"/>
  <c r="AA1397" i="3"/>
  <c r="AB1397" i="3"/>
  <c r="AC1397" i="3"/>
  <c r="AD1397" i="3"/>
  <c r="AE1397" i="3"/>
  <c r="AF1397" i="3"/>
  <c r="AG1397" i="3"/>
  <c r="AH1397" i="3"/>
  <c r="AI1397" i="3"/>
  <c r="Z1398" i="3"/>
  <c r="AA1398" i="3"/>
  <c r="AB1398" i="3"/>
  <c r="AC1398" i="3"/>
  <c r="AD1398" i="3"/>
  <c r="AE1398" i="3"/>
  <c r="AF1398" i="3"/>
  <c r="AG1398" i="3"/>
  <c r="AH1398" i="3"/>
  <c r="AI1398" i="3"/>
  <c r="Z1399" i="3"/>
  <c r="AA1399" i="3"/>
  <c r="AB1399" i="3"/>
  <c r="AC1399" i="3"/>
  <c r="AD1399" i="3"/>
  <c r="AE1399" i="3"/>
  <c r="AF1399" i="3"/>
  <c r="AG1399" i="3"/>
  <c r="AH1399" i="3"/>
  <c r="AI1399" i="3"/>
  <c r="Z1400" i="3"/>
  <c r="AA1400" i="3"/>
  <c r="AB1400" i="3"/>
  <c r="AC1400" i="3"/>
  <c r="AD1400" i="3"/>
  <c r="AE1400" i="3"/>
  <c r="AF1400" i="3"/>
  <c r="AG1400" i="3"/>
  <c r="AH1400" i="3"/>
  <c r="AI1400" i="3"/>
  <c r="Z1401" i="3"/>
  <c r="AA1401" i="3"/>
  <c r="AB1401" i="3"/>
  <c r="AC1401" i="3"/>
  <c r="AD1401" i="3"/>
  <c r="AE1401" i="3"/>
  <c r="AJ1401" i="3" s="1"/>
  <c r="AF1401" i="3"/>
  <c r="AG1401" i="3"/>
  <c r="AH1401" i="3"/>
  <c r="AI1401" i="3"/>
  <c r="Z1402" i="3"/>
  <c r="AA1402" i="3"/>
  <c r="AB1402" i="3"/>
  <c r="AC1402" i="3"/>
  <c r="AD1402" i="3"/>
  <c r="AE1402" i="3"/>
  <c r="AF1402" i="3"/>
  <c r="AG1402" i="3"/>
  <c r="AH1402" i="3"/>
  <c r="AI1402" i="3"/>
  <c r="AJ1402" i="3"/>
  <c r="Z1403" i="3"/>
  <c r="AA1403" i="3"/>
  <c r="AB1403" i="3"/>
  <c r="AC1403" i="3"/>
  <c r="AD1403" i="3"/>
  <c r="AE1403" i="3"/>
  <c r="AF1403" i="3"/>
  <c r="AG1403" i="3"/>
  <c r="AH1403" i="3"/>
  <c r="AI1403" i="3"/>
  <c r="Z1404" i="3"/>
  <c r="AA1404" i="3"/>
  <c r="AJ1404" i="3" s="1"/>
  <c r="AB1404" i="3"/>
  <c r="AC1404" i="3"/>
  <c r="AD1404" i="3"/>
  <c r="AE1404" i="3"/>
  <c r="AF1404" i="3"/>
  <c r="AG1404" i="3"/>
  <c r="AH1404" i="3"/>
  <c r="AI1404" i="3"/>
  <c r="Z1405" i="3"/>
  <c r="AJ1405" i="3" s="1"/>
  <c r="AA1405" i="3"/>
  <c r="AB1405" i="3"/>
  <c r="AC1405" i="3"/>
  <c r="AD1405" i="3"/>
  <c r="AE1405" i="3"/>
  <c r="AF1405" i="3"/>
  <c r="AG1405" i="3"/>
  <c r="AH1405" i="3"/>
  <c r="AI1405" i="3"/>
  <c r="Z1406" i="3"/>
  <c r="AA1406" i="3"/>
  <c r="AB1406" i="3"/>
  <c r="AC1406" i="3"/>
  <c r="AD1406" i="3"/>
  <c r="AE1406" i="3"/>
  <c r="AF1406" i="3"/>
  <c r="AG1406" i="3"/>
  <c r="AH1406" i="3"/>
  <c r="AI1406" i="3"/>
  <c r="Z1407" i="3"/>
  <c r="AJ1407" i="3" s="1"/>
  <c r="AA1407" i="3"/>
  <c r="AB1407" i="3"/>
  <c r="AC1407" i="3"/>
  <c r="AD1407" i="3"/>
  <c r="AE1407" i="3"/>
  <c r="AF1407" i="3"/>
  <c r="AG1407" i="3"/>
  <c r="AH1407" i="3"/>
  <c r="AI1407" i="3"/>
  <c r="Z1408" i="3"/>
  <c r="AA1408" i="3"/>
  <c r="AB1408" i="3"/>
  <c r="AC1408" i="3"/>
  <c r="AD1408" i="3"/>
  <c r="AE1408" i="3"/>
  <c r="AF1408" i="3"/>
  <c r="AG1408" i="3"/>
  <c r="AH1408" i="3"/>
  <c r="AI1408" i="3"/>
  <c r="Z1409" i="3"/>
  <c r="AA1409" i="3"/>
  <c r="AB1409" i="3"/>
  <c r="AC1409" i="3"/>
  <c r="AD1409" i="3"/>
  <c r="AE1409" i="3"/>
  <c r="AJ1409" i="3" s="1"/>
  <c r="AF1409" i="3"/>
  <c r="AG1409" i="3"/>
  <c r="AH1409" i="3"/>
  <c r="AI1409" i="3"/>
  <c r="Z1410" i="3"/>
  <c r="AA1410" i="3"/>
  <c r="AB1410" i="3"/>
  <c r="AC1410" i="3"/>
  <c r="AD1410" i="3"/>
  <c r="AE1410" i="3"/>
  <c r="AF1410" i="3"/>
  <c r="AG1410" i="3"/>
  <c r="AH1410" i="3"/>
  <c r="AI1410" i="3"/>
  <c r="AJ1410" i="3"/>
  <c r="Z1411" i="3"/>
  <c r="AA1411" i="3"/>
  <c r="AB1411" i="3"/>
  <c r="AC1411" i="3"/>
  <c r="AD1411" i="3"/>
  <c r="AE1411" i="3"/>
  <c r="AF1411" i="3"/>
  <c r="AG1411" i="3"/>
  <c r="AH1411" i="3"/>
  <c r="AI1411" i="3"/>
  <c r="Z1412" i="3"/>
  <c r="AA1412" i="3"/>
  <c r="AJ1412" i="3" s="1"/>
  <c r="AB1412" i="3"/>
  <c r="AC1412" i="3"/>
  <c r="AD1412" i="3"/>
  <c r="AE1412" i="3"/>
  <c r="AF1412" i="3"/>
  <c r="AG1412" i="3"/>
  <c r="AH1412" i="3"/>
  <c r="AI1412" i="3"/>
  <c r="Z1413" i="3"/>
  <c r="AA1413" i="3"/>
  <c r="AB1413" i="3"/>
  <c r="AC1413" i="3"/>
  <c r="AD1413" i="3"/>
  <c r="AE1413" i="3"/>
  <c r="AF1413" i="3"/>
  <c r="AG1413" i="3"/>
  <c r="AH1413" i="3"/>
  <c r="AI1413" i="3"/>
  <c r="Z1414" i="3"/>
  <c r="AA1414" i="3"/>
  <c r="AB1414" i="3"/>
  <c r="AC1414" i="3"/>
  <c r="AD1414" i="3"/>
  <c r="AE1414" i="3"/>
  <c r="AF1414" i="3"/>
  <c r="AG1414" i="3"/>
  <c r="AH1414" i="3"/>
  <c r="AI1414" i="3"/>
  <c r="Z1415" i="3"/>
  <c r="AA1415" i="3"/>
  <c r="AB1415" i="3"/>
  <c r="AC1415" i="3"/>
  <c r="AD1415" i="3"/>
  <c r="AE1415" i="3"/>
  <c r="AF1415" i="3"/>
  <c r="AG1415" i="3"/>
  <c r="AH1415" i="3"/>
  <c r="AI1415" i="3"/>
  <c r="Z1416" i="3"/>
  <c r="AA1416" i="3"/>
  <c r="AB1416" i="3"/>
  <c r="AC1416" i="3"/>
  <c r="AD1416" i="3"/>
  <c r="AE1416" i="3"/>
  <c r="AF1416" i="3"/>
  <c r="AG1416" i="3"/>
  <c r="AH1416" i="3"/>
  <c r="AI1416" i="3"/>
  <c r="Z1417" i="3"/>
  <c r="AA1417" i="3"/>
  <c r="AB1417" i="3"/>
  <c r="AC1417" i="3"/>
  <c r="AD1417" i="3"/>
  <c r="AE1417" i="3"/>
  <c r="AJ1417" i="3" s="1"/>
  <c r="AF1417" i="3"/>
  <c r="AG1417" i="3"/>
  <c r="AH1417" i="3"/>
  <c r="AI1417" i="3"/>
  <c r="Z1418" i="3"/>
  <c r="AA1418" i="3"/>
  <c r="AB1418" i="3"/>
  <c r="AC1418" i="3"/>
  <c r="AD1418" i="3"/>
  <c r="AE1418" i="3"/>
  <c r="AF1418" i="3"/>
  <c r="AG1418" i="3"/>
  <c r="AH1418" i="3"/>
  <c r="AI1418" i="3"/>
  <c r="AJ1418" i="3"/>
  <c r="Z1419" i="3"/>
  <c r="AA1419" i="3"/>
  <c r="AJ1419" i="3" s="1"/>
  <c r="AB1419" i="3"/>
  <c r="AC1419" i="3"/>
  <c r="AD1419" i="3"/>
  <c r="AE1419" i="3"/>
  <c r="AF1419" i="3"/>
  <c r="AG1419" i="3"/>
  <c r="AH1419" i="3"/>
  <c r="AI1419" i="3"/>
  <c r="Z1420" i="3"/>
  <c r="AA1420" i="3"/>
  <c r="AB1420" i="3"/>
  <c r="AC1420" i="3"/>
  <c r="AD1420" i="3"/>
  <c r="AE1420" i="3"/>
  <c r="AF1420" i="3"/>
  <c r="AG1420" i="3"/>
  <c r="AH1420" i="3"/>
  <c r="AI1420" i="3"/>
  <c r="Z1421" i="3"/>
  <c r="AA1421" i="3"/>
  <c r="AB1421" i="3"/>
  <c r="AC1421" i="3"/>
  <c r="AD1421" i="3"/>
  <c r="AE1421" i="3"/>
  <c r="AF1421" i="3"/>
  <c r="AG1421" i="3"/>
  <c r="AH1421" i="3"/>
  <c r="AI1421" i="3"/>
  <c r="Z1422" i="3"/>
  <c r="AJ1422" i="3" s="1"/>
  <c r="AA1422" i="3"/>
  <c r="AB1422" i="3"/>
  <c r="AC1422" i="3"/>
  <c r="AD1422" i="3"/>
  <c r="AE1422" i="3"/>
  <c r="AF1422" i="3"/>
  <c r="AG1422" i="3"/>
  <c r="AH1422" i="3"/>
  <c r="AI1422" i="3"/>
  <c r="Z1423" i="3"/>
  <c r="AA1423" i="3"/>
  <c r="AB1423" i="3"/>
  <c r="AC1423" i="3"/>
  <c r="AD1423" i="3"/>
  <c r="AE1423" i="3"/>
  <c r="AF1423" i="3"/>
  <c r="AG1423" i="3"/>
  <c r="AH1423" i="3"/>
  <c r="AI1423" i="3"/>
  <c r="Z1424" i="3"/>
  <c r="AA1424" i="3"/>
  <c r="AB1424" i="3"/>
  <c r="AC1424" i="3"/>
  <c r="AD1424" i="3"/>
  <c r="AE1424" i="3"/>
  <c r="AF1424" i="3"/>
  <c r="AG1424" i="3"/>
  <c r="AH1424" i="3"/>
  <c r="AI1424" i="3"/>
  <c r="Z1425" i="3"/>
  <c r="AA1425" i="3"/>
  <c r="AB1425" i="3"/>
  <c r="AC1425" i="3"/>
  <c r="AD1425" i="3"/>
  <c r="AE1425" i="3"/>
  <c r="AJ1425" i="3" s="1"/>
  <c r="AF1425" i="3"/>
  <c r="AG1425" i="3"/>
  <c r="AH1425" i="3"/>
  <c r="AI1425" i="3"/>
  <c r="Z1426" i="3"/>
  <c r="AA1426" i="3"/>
  <c r="AB1426" i="3"/>
  <c r="AC1426" i="3"/>
  <c r="AD1426" i="3"/>
  <c r="AE1426" i="3"/>
  <c r="AF1426" i="3"/>
  <c r="AG1426" i="3"/>
  <c r="AH1426" i="3"/>
  <c r="AI1426" i="3"/>
  <c r="AJ1426" i="3"/>
  <c r="Z1427" i="3"/>
  <c r="AA1427" i="3"/>
  <c r="AJ1427" i="3" s="1"/>
  <c r="AB1427" i="3"/>
  <c r="AC1427" i="3"/>
  <c r="AD1427" i="3"/>
  <c r="AE1427" i="3"/>
  <c r="AF1427" i="3"/>
  <c r="AG1427" i="3"/>
  <c r="AH1427" i="3"/>
  <c r="AI1427" i="3"/>
  <c r="Z1428" i="3"/>
  <c r="AA1428" i="3"/>
  <c r="AB1428" i="3"/>
  <c r="AC1428" i="3"/>
  <c r="AD1428" i="3"/>
  <c r="AE1428" i="3"/>
  <c r="AF1428" i="3"/>
  <c r="AG1428" i="3"/>
  <c r="AH1428" i="3"/>
  <c r="AI1428" i="3"/>
  <c r="Z1429" i="3"/>
  <c r="AA1429" i="3"/>
  <c r="AB1429" i="3"/>
  <c r="AC1429" i="3"/>
  <c r="AD1429" i="3"/>
  <c r="AE1429" i="3"/>
  <c r="AF1429" i="3"/>
  <c r="AG1429" i="3"/>
  <c r="AH1429" i="3"/>
  <c r="AI1429" i="3"/>
  <c r="Z1430" i="3"/>
  <c r="AA1430" i="3"/>
  <c r="AB1430" i="3"/>
  <c r="AC1430" i="3"/>
  <c r="AD1430" i="3"/>
  <c r="AE1430" i="3"/>
  <c r="AF1430" i="3"/>
  <c r="AG1430" i="3"/>
  <c r="AH1430" i="3"/>
  <c r="AI1430" i="3"/>
  <c r="Z1431" i="3"/>
  <c r="AJ1431" i="3" s="1"/>
  <c r="AA1431" i="3"/>
  <c r="AB1431" i="3"/>
  <c r="AC1431" i="3"/>
  <c r="AD1431" i="3"/>
  <c r="AE1431" i="3"/>
  <c r="AF1431" i="3"/>
  <c r="AG1431" i="3"/>
  <c r="AH1431" i="3"/>
  <c r="AI1431" i="3"/>
  <c r="Z1432" i="3"/>
  <c r="AA1432" i="3"/>
  <c r="AB1432" i="3"/>
  <c r="AC1432" i="3"/>
  <c r="AD1432" i="3"/>
  <c r="AE1432" i="3"/>
  <c r="AF1432" i="3"/>
  <c r="AG1432" i="3"/>
  <c r="AH1432" i="3"/>
  <c r="AI1432" i="3"/>
  <c r="Z1433" i="3"/>
  <c r="AA1433" i="3"/>
  <c r="AB1433" i="3"/>
  <c r="AC1433" i="3"/>
  <c r="AD1433" i="3"/>
  <c r="AE1433" i="3"/>
  <c r="AJ1433" i="3" s="1"/>
  <c r="AF1433" i="3"/>
  <c r="AG1433" i="3"/>
  <c r="AH1433" i="3"/>
  <c r="AI1433" i="3"/>
  <c r="Z1434" i="3"/>
  <c r="AA1434" i="3"/>
  <c r="AB1434" i="3"/>
  <c r="AC1434" i="3"/>
  <c r="AD1434" i="3"/>
  <c r="AE1434" i="3"/>
  <c r="AF1434" i="3"/>
  <c r="AG1434" i="3"/>
  <c r="AH1434" i="3"/>
  <c r="AI1434" i="3"/>
  <c r="AJ1434" i="3"/>
  <c r="Z1435" i="3"/>
  <c r="AA1435" i="3"/>
  <c r="AB1435" i="3"/>
  <c r="AC1435" i="3"/>
  <c r="AD1435" i="3"/>
  <c r="AE1435" i="3"/>
  <c r="AF1435" i="3"/>
  <c r="AG1435" i="3"/>
  <c r="AH1435" i="3"/>
  <c r="AI1435" i="3"/>
  <c r="Z1436" i="3"/>
  <c r="AA1436" i="3"/>
  <c r="AB1436" i="3"/>
  <c r="AC1436" i="3"/>
  <c r="AD1436" i="3"/>
  <c r="AE1436" i="3"/>
  <c r="AF1436" i="3"/>
  <c r="AG1436" i="3"/>
  <c r="AH1436" i="3"/>
  <c r="AI1436" i="3"/>
  <c r="Z1437" i="3"/>
  <c r="AJ1437" i="3" s="1"/>
  <c r="AA1437" i="3"/>
  <c r="AB1437" i="3"/>
  <c r="AC1437" i="3"/>
  <c r="AD1437" i="3"/>
  <c r="AE1437" i="3"/>
  <c r="AF1437" i="3"/>
  <c r="AG1437" i="3"/>
  <c r="AH1437" i="3"/>
  <c r="AI1437" i="3"/>
  <c r="Z1438" i="3"/>
  <c r="AA1438" i="3"/>
  <c r="AB1438" i="3"/>
  <c r="AC1438" i="3"/>
  <c r="AD1438" i="3"/>
  <c r="AE1438" i="3"/>
  <c r="AF1438" i="3"/>
  <c r="AG1438" i="3"/>
  <c r="AH1438" i="3"/>
  <c r="AI1438" i="3"/>
  <c r="Z1439" i="3"/>
  <c r="AJ1439" i="3" s="1"/>
  <c r="AA1439" i="3"/>
  <c r="AB1439" i="3"/>
  <c r="AC1439" i="3"/>
  <c r="AD1439" i="3"/>
  <c r="AE1439" i="3"/>
  <c r="AF1439" i="3"/>
  <c r="AG1439" i="3"/>
  <c r="AH1439" i="3"/>
  <c r="AI1439" i="3"/>
  <c r="Z1440" i="3"/>
  <c r="AA1440" i="3"/>
  <c r="AB1440" i="3"/>
  <c r="AC1440" i="3"/>
  <c r="AD1440" i="3"/>
  <c r="AE1440" i="3"/>
  <c r="AF1440" i="3"/>
  <c r="AG1440" i="3"/>
  <c r="AH1440" i="3"/>
  <c r="AI1440" i="3"/>
  <c r="Z1441" i="3"/>
  <c r="AA1441" i="3"/>
  <c r="AB1441" i="3"/>
  <c r="AC1441" i="3"/>
  <c r="AD1441" i="3"/>
  <c r="AE1441" i="3"/>
  <c r="AJ1441" i="3" s="1"/>
  <c r="AF1441" i="3"/>
  <c r="AG1441" i="3"/>
  <c r="AH1441" i="3"/>
  <c r="AI1441" i="3"/>
  <c r="Z1442" i="3"/>
  <c r="AA1442" i="3"/>
  <c r="AB1442" i="3"/>
  <c r="AC1442" i="3"/>
  <c r="AD1442" i="3"/>
  <c r="AE1442" i="3"/>
  <c r="AF1442" i="3"/>
  <c r="AG1442" i="3"/>
  <c r="AH1442" i="3"/>
  <c r="AI1442" i="3"/>
  <c r="AJ1442" i="3"/>
  <c r="Z1443" i="3"/>
  <c r="AA1443" i="3"/>
  <c r="AB1443" i="3"/>
  <c r="AC1443" i="3"/>
  <c r="AD1443" i="3"/>
  <c r="AE1443" i="3"/>
  <c r="AF1443" i="3"/>
  <c r="AG1443" i="3"/>
  <c r="AH1443" i="3"/>
  <c r="AI1443" i="3"/>
  <c r="Z1444" i="3"/>
  <c r="AA1444" i="3"/>
  <c r="AJ1444" i="3" s="1"/>
  <c r="AB1444" i="3"/>
  <c r="AC1444" i="3"/>
  <c r="AD1444" i="3"/>
  <c r="AE1444" i="3"/>
  <c r="AF1444" i="3"/>
  <c r="AG1444" i="3"/>
  <c r="AH1444" i="3"/>
  <c r="AI1444" i="3"/>
  <c r="Z1445" i="3"/>
  <c r="AA1445" i="3"/>
  <c r="AB1445" i="3"/>
  <c r="AC1445" i="3"/>
  <c r="AD1445" i="3"/>
  <c r="AE1445" i="3"/>
  <c r="AF1445" i="3"/>
  <c r="AG1445" i="3"/>
  <c r="AH1445" i="3"/>
  <c r="AI1445" i="3"/>
  <c r="Z1446" i="3"/>
  <c r="AA1446" i="3"/>
  <c r="AB1446" i="3"/>
  <c r="AC1446" i="3"/>
  <c r="AD1446" i="3"/>
  <c r="AE1446" i="3"/>
  <c r="AF1446" i="3"/>
  <c r="AJ1446" i="3" s="1"/>
  <c r="AG1446" i="3"/>
  <c r="AH1446" i="3"/>
  <c r="AI1446" i="3"/>
  <c r="Z1447" i="3"/>
  <c r="AA1447" i="3"/>
  <c r="AB1447" i="3"/>
  <c r="AC1447" i="3"/>
  <c r="AD1447" i="3"/>
  <c r="AE1447" i="3"/>
  <c r="AF1447" i="3"/>
  <c r="AG1447" i="3"/>
  <c r="AH1447" i="3"/>
  <c r="AI1447" i="3"/>
  <c r="Z1448" i="3"/>
  <c r="AA1448" i="3"/>
  <c r="AB1448" i="3"/>
  <c r="AC1448" i="3"/>
  <c r="AD1448" i="3"/>
  <c r="AE1448" i="3"/>
  <c r="AF1448" i="3"/>
  <c r="AG1448" i="3"/>
  <c r="AH1448" i="3"/>
  <c r="AI1448" i="3"/>
  <c r="Z1449" i="3"/>
  <c r="AA1449" i="3"/>
  <c r="AJ1449" i="3" s="1"/>
  <c r="AB1449" i="3"/>
  <c r="AC1449" i="3"/>
  <c r="AD1449" i="3"/>
  <c r="AE1449" i="3"/>
  <c r="AF1449" i="3"/>
  <c r="AG1449" i="3"/>
  <c r="AH1449" i="3"/>
  <c r="AI1449" i="3"/>
  <c r="Z1450" i="3"/>
  <c r="AA1450" i="3"/>
  <c r="AB1450" i="3"/>
  <c r="AC1450" i="3"/>
  <c r="AD1450" i="3"/>
  <c r="AE1450" i="3"/>
  <c r="AF1450" i="3"/>
  <c r="AG1450" i="3"/>
  <c r="AH1450" i="3"/>
  <c r="AI1450" i="3"/>
  <c r="AJ1450" i="3"/>
  <c r="Z1451" i="3"/>
  <c r="AA1451" i="3"/>
  <c r="AB1451" i="3"/>
  <c r="AC1451" i="3"/>
  <c r="AD1451" i="3"/>
  <c r="AE1451" i="3"/>
  <c r="AF1451" i="3"/>
  <c r="AG1451" i="3"/>
  <c r="AH1451" i="3"/>
  <c r="AI1451" i="3"/>
  <c r="Z1452" i="3"/>
  <c r="AJ1452" i="3" s="1"/>
  <c r="AA1452" i="3"/>
  <c r="AB1452" i="3"/>
  <c r="AC1452" i="3"/>
  <c r="AD1452" i="3"/>
  <c r="AE1452" i="3"/>
  <c r="AF1452" i="3"/>
  <c r="AG1452" i="3"/>
  <c r="AH1452" i="3"/>
  <c r="AI1452" i="3"/>
  <c r="Z1453" i="3"/>
  <c r="AA1453" i="3"/>
  <c r="AB1453" i="3"/>
  <c r="AC1453" i="3"/>
  <c r="AD1453" i="3"/>
  <c r="AE1453" i="3"/>
  <c r="AF1453" i="3"/>
  <c r="AG1453" i="3"/>
  <c r="AH1453" i="3"/>
  <c r="AI1453" i="3"/>
  <c r="Z1454" i="3"/>
  <c r="AA1454" i="3"/>
  <c r="AB1454" i="3"/>
  <c r="AC1454" i="3"/>
  <c r="AD1454" i="3"/>
  <c r="AE1454" i="3"/>
  <c r="AF1454" i="3"/>
  <c r="AG1454" i="3"/>
  <c r="AH1454" i="3"/>
  <c r="AI1454" i="3"/>
  <c r="Z1455" i="3"/>
  <c r="AA1455" i="3"/>
  <c r="AB1455" i="3"/>
  <c r="AC1455" i="3"/>
  <c r="AD1455" i="3"/>
  <c r="AE1455" i="3"/>
  <c r="AF1455" i="3"/>
  <c r="AG1455" i="3"/>
  <c r="AH1455" i="3"/>
  <c r="AI1455" i="3"/>
  <c r="Z1456" i="3"/>
  <c r="AA1456" i="3"/>
  <c r="AB1456" i="3"/>
  <c r="AC1456" i="3"/>
  <c r="AD1456" i="3"/>
  <c r="AE1456" i="3"/>
  <c r="AF1456" i="3"/>
  <c r="AG1456" i="3"/>
  <c r="AH1456" i="3"/>
  <c r="AI1456" i="3"/>
  <c r="Z1457" i="3"/>
  <c r="AA1457" i="3"/>
  <c r="AB1457" i="3"/>
  <c r="AC1457" i="3"/>
  <c r="AD1457" i="3"/>
  <c r="AE1457" i="3"/>
  <c r="AF1457" i="3"/>
  <c r="AG1457" i="3"/>
  <c r="AH1457" i="3"/>
  <c r="AI1457" i="3"/>
  <c r="Z1458" i="3"/>
  <c r="AA1458" i="3"/>
  <c r="AB1458" i="3"/>
  <c r="AC1458" i="3"/>
  <c r="AD1458" i="3"/>
  <c r="AE1458" i="3"/>
  <c r="AJ1458" i="3" s="1"/>
  <c r="AF1458" i="3"/>
  <c r="AG1458" i="3"/>
  <c r="AH1458" i="3"/>
  <c r="AI1458" i="3"/>
  <c r="Z1459" i="3"/>
  <c r="AA1459" i="3"/>
  <c r="AB1459" i="3"/>
  <c r="AC1459" i="3"/>
  <c r="AD1459" i="3"/>
  <c r="AE1459" i="3"/>
  <c r="AF1459" i="3"/>
  <c r="AG1459" i="3"/>
  <c r="AH1459" i="3"/>
  <c r="AI1459" i="3"/>
  <c r="AJ1459" i="3"/>
  <c r="Z1460" i="3"/>
  <c r="AA1460" i="3"/>
  <c r="AB1460" i="3"/>
  <c r="AC1460" i="3"/>
  <c r="AD1460" i="3"/>
  <c r="AE1460" i="3"/>
  <c r="AF1460" i="3"/>
  <c r="AG1460" i="3"/>
  <c r="AH1460" i="3"/>
  <c r="AI1460" i="3"/>
  <c r="Z1461" i="3"/>
  <c r="AA1461" i="3"/>
  <c r="AB1461" i="3"/>
  <c r="AC1461" i="3"/>
  <c r="AD1461" i="3"/>
  <c r="AE1461" i="3"/>
  <c r="AF1461" i="3"/>
  <c r="AG1461" i="3"/>
  <c r="AH1461" i="3"/>
  <c r="AI1461" i="3"/>
  <c r="Z1462" i="3"/>
  <c r="AA1462" i="3"/>
  <c r="AB1462" i="3"/>
  <c r="AC1462" i="3"/>
  <c r="AD1462" i="3"/>
  <c r="AE1462" i="3"/>
  <c r="AF1462" i="3"/>
  <c r="AG1462" i="3"/>
  <c r="AH1462" i="3"/>
  <c r="AI1462" i="3"/>
  <c r="Z1463" i="3"/>
  <c r="AA1463" i="3"/>
  <c r="AB1463" i="3"/>
  <c r="AC1463" i="3"/>
  <c r="AD1463" i="3"/>
  <c r="AE1463" i="3"/>
  <c r="AF1463" i="3"/>
  <c r="AG1463" i="3"/>
  <c r="AH1463" i="3"/>
  <c r="AI1463" i="3"/>
  <c r="Z1464" i="3"/>
  <c r="AA1464" i="3"/>
  <c r="AB1464" i="3"/>
  <c r="AC1464" i="3"/>
  <c r="AD1464" i="3"/>
  <c r="AE1464" i="3"/>
  <c r="AF1464" i="3"/>
  <c r="AG1464" i="3"/>
  <c r="AH1464" i="3"/>
  <c r="AI1464" i="3"/>
  <c r="Z1465" i="3"/>
  <c r="AA1465" i="3"/>
  <c r="AB1465" i="3"/>
  <c r="AC1465" i="3"/>
  <c r="AD1465" i="3"/>
  <c r="AE1465" i="3"/>
  <c r="AF1465" i="3"/>
  <c r="AG1465" i="3"/>
  <c r="AH1465" i="3"/>
  <c r="AI1465" i="3"/>
  <c r="Z1466" i="3"/>
  <c r="AA1466" i="3"/>
  <c r="AB1466" i="3"/>
  <c r="AC1466" i="3"/>
  <c r="AD1466" i="3"/>
  <c r="AE1466" i="3"/>
  <c r="AF1466" i="3"/>
  <c r="AG1466" i="3"/>
  <c r="AH1466" i="3"/>
  <c r="AI1466" i="3"/>
  <c r="AJ1466" i="3"/>
  <c r="Z1467" i="3"/>
  <c r="AA1467" i="3"/>
  <c r="AB1467" i="3"/>
  <c r="AC1467" i="3"/>
  <c r="AD1467" i="3"/>
  <c r="AE1467" i="3"/>
  <c r="AF1467" i="3"/>
  <c r="AG1467" i="3"/>
  <c r="AJ1467" i="3" s="1"/>
  <c r="AH1467" i="3"/>
  <c r="AI1467" i="3"/>
  <c r="Z1468" i="3"/>
  <c r="AA1468" i="3"/>
  <c r="AB1468" i="3"/>
  <c r="AC1468" i="3"/>
  <c r="AD1468" i="3"/>
  <c r="AE1468" i="3"/>
  <c r="AF1468" i="3"/>
  <c r="AG1468" i="3"/>
  <c r="AH1468" i="3"/>
  <c r="AI1468" i="3"/>
  <c r="Z1469" i="3"/>
  <c r="AA1469" i="3"/>
  <c r="AB1469" i="3"/>
  <c r="AC1469" i="3"/>
  <c r="AD1469" i="3"/>
  <c r="AE1469" i="3"/>
  <c r="AF1469" i="3"/>
  <c r="AG1469" i="3"/>
  <c r="AH1469" i="3"/>
  <c r="AI1469" i="3"/>
  <c r="Z1470" i="3"/>
  <c r="AA1470" i="3"/>
  <c r="AB1470" i="3"/>
  <c r="AC1470" i="3"/>
  <c r="AD1470" i="3"/>
  <c r="AE1470" i="3"/>
  <c r="AF1470" i="3"/>
  <c r="AG1470" i="3"/>
  <c r="AH1470" i="3"/>
  <c r="AI1470" i="3"/>
  <c r="Z1471" i="3"/>
  <c r="AA1471" i="3"/>
  <c r="AB1471" i="3"/>
  <c r="AC1471" i="3"/>
  <c r="AD1471" i="3"/>
  <c r="AE1471" i="3"/>
  <c r="AF1471" i="3"/>
  <c r="AG1471" i="3"/>
  <c r="AH1471" i="3"/>
  <c r="AI1471" i="3"/>
  <c r="Z1472" i="3"/>
  <c r="AA1472" i="3"/>
  <c r="AB1472" i="3"/>
  <c r="AC1472" i="3"/>
  <c r="AD1472" i="3"/>
  <c r="AE1472" i="3"/>
  <c r="AF1472" i="3"/>
  <c r="AG1472" i="3"/>
  <c r="AH1472" i="3"/>
  <c r="AI1472" i="3"/>
  <c r="Z1473" i="3"/>
  <c r="AA1473" i="3"/>
  <c r="AB1473" i="3"/>
  <c r="AC1473" i="3"/>
  <c r="AD1473" i="3"/>
  <c r="AE1473" i="3"/>
  <c r="AF1473" i="3"/>
  <c r="AG1473" i="3"/>
  <c r="AH1473" i="3"/>
  <c r="AI1473" i="3"/>
  <c r="Z1474" i="3"/>
  <c r="AA1474" i="3"/>
  <c r="AB1474" i="3"/>
  <c r="AC1474" i="3"/>
  <c r="AD1474" i="3"/>
  <c r="AE1474" i="3"/>
  <c r="AJ1474" i="3" s="1"/>
  <c r="AF1474" i="3"/>
  <c r="AG1474" i="3"/>
  <c r="AH1474" i="3"/>
  <c r="AI1474" i="3"/>
  <c r="Z1475" i="3"/>
  <c r="AA1475" i="3"/>
  <c r="AB1475" i="3"/>
  <c r="AC1475" i="3"/>
  <c r="AD1475" i="3"/>
  <c r="AE1475" i="3"/>
  <c r="AF1475" i="3"/>
  <c r="AG1475" i="3"/>
  <c r="AH1475" i="3"/>
  <c r="AI1475" i="3"/>
  <c r="AJ1475" i="3"/>
  <c r="Z1476" i="3"/>
  <c r="AA1476" i="3"/>
  <c r="AB1476" i="3"/>
  <c r="AC1476" i="3"/>
  <c r="AD1476" i="3"/>
  <c r="AE1476" i="3"/>
  <c r="AF1476" i="3"/>
  <c r="AG1476" i="3"/>
  <c r="AH1476" i="3"/>
  <c r="AI1476" i="3"/>
  <c r="Z1477" i="3"/>
  <c r="AJ1477" i="3" s="1"/>
  <c r="AA1477" i="3"/>
  <c r="AB1477" i="3"/>
  <c r="AC1477" i="3"/>
  <c r="AD1477" i="3"/>
  <c r="AE1477" i="3"/>
  <c r="AF1477" i="3"/>
  <c r="AG1477" i="3"/>
  <c r="AH1477" i="3"/>
  <c r="AI1477" i="3"/>
  <c r="Z1478" i="3"/>
  <c r="AA1478" i="3"/>
  <c r="AB1478" i="3"/>
  <c r="AC1478" i="3"/>
  <c r="AD1478" i="3"/>
  <c r="AE1478" i="3"/>
  <c r="AF1478" i="3"/>
  <c r="AG1478" i="3"/>
  <c r="AH1478" i="3"/>
  <c r="AI1478" i="3"/>
  <c r="Z1479" i="3"/>
  <c r="AA1479" i="3"/>
  <c r="AJ1479" i="3" s="1"/>
  <c r="AB1479" i="3"/>
  <c r="AC1479" i="3"/>
  <c r="AD1479" i="3"/>
  <c r="AE1479" i="3"/>
  <c r="AF1479" i="3"/>
  <c r="AG1479" i="3"/>
  <c r="AH1479" i="3"/>
  <c r="AI1479" i="3"/>
  <c r="Z1480" i="3"/>
  <c r="AA1480" i="3"/>
  <c r="AB1480" i="3"/>
  <c r="AC1480" i="3"/>
  <c r="AD1480" i="3"/>
  <c r="AE1480" i="3"/>
  <c r="AF1480" i="3"/>
  <c r="AG1480" i="3"/>
  <c r="AH1480" i="3"/>
  <c r="AI1480" i="3"/>
  <c r="Z1481" i="3"/>
  <c r="AA1481" i="3"/>
  <c r="AB1481" i="3"/>
  <c r="AC1481" i="3"/>
  <c r="AD1481" i="3"/>
  <c r="AE1481" i="3"/>
  <c r="AF1481" i="3"/>
  <c r="AG1481" i="3"/>
  <c r="AH1481" i="3"/>
  <c r="AI1481" i="3"/>
  <c r="Z1482" i="3"/>
  <c r="AA1482" i="3"/>
  <c r="AB1482" i="3"/>
  <c r="AC1482" i="3"/>
  <c r="AD1482" i="3"/>
  <c r="AE1482" i="3"/>
  <c r="AF1482" i="3"/>
  <c r="AG1482" i="3"/>
  <c r="AH1482" i="3"/>
  <c r="AI1482" i="3"/>
  <c r="AJ1482" i="3"/>
  <c r="Z1483" i="3"/>
  <c r="AA1483" i="3"/>
  <c r="AB1483" i="3"/>
  <c r="AC1483" i="3"/>
  <c r="AD1483" i="3"/>
  <c r="AE1483" i="3"/>
  <c r="AF1483" i="3"/>
  <c r="AG1483" i="3"/>
  <c r="AJ1483" i="3" s="1"/>
  <c r="AH1483" i="3"/>
  <c r="AI1483" i="3"/>
  <c r="Z1484" i="3"/>
  <c r="AJ1484" i="3" s="1"/>
  <c r="AA1484" i="3"/>
  <c r="AB1484" i="3"/>
  <c r="AC1484" i="3"/>
  <c r="AD1484" i="3"/>
  <c r="AE1484" i="3"/>
  <c r="AF1484" i="3"/>
  <c r="AG1484" i="3"/>
  <c r="AH1484" i="3"/>
  <c r="AI1484" i="3"/>
  <c r="Z1485" i="3"/>
  <c r="AA1485" i="3"/>
  <c r="AB1485" i="3"/>
  <c r="AC1485" i="3"/>
  <c r="AD1485" i="3"/>
  <c r="AE1485" i="3"/>
  <c r="AF1485" i="3"/>
  <c r="AG1485" i="3"/>
  <c r="AH1485" i="3"/>
  <c r="AI1485" i="3"/>
  <c r="Z1486" i="3"/>
  <c r="AA1486" i="3"/>
  <c r="AB1486" i="3"/>
  <c r="AC1486" i="3"/>
  <c r="AD1486" i="3"/>
  <c r="AE1486" i="3"/>
  <c r="AF1486" i="3"/>
  <c r="AG1486" i="3"/>
  <c r="AH1486" i="3"/>
  <c r="AI1486" i="3"/>
  <c r="Z1487" i="3"/>
  <c r="AA1487" i="3"/>
  <c r="AB1487" i="3"/>
  <c r="AC1487" i="3"/>
  <c r="AD1487" i="3"/>
  <c r="AE1487" i="3"/>
  <c r="AF1487" i="3"/>
  <c r="AG1487" i="3"/>
  <c r="AH1487" i="3"/>
  <c r="AI1487" i="3"/>
  <c r="Z1488" i="3"/>
  <c r="AA1488" i="3"/>
  <c r="AB1488" i="3"/>
  <c r="AC1488" i="3"/>
  <c r="AD1488" i="3"/>
  <c r="AE1488" i="3"/>
  <c r="AF1488" i="3"/>
  <c r="AG1488" i="3"/>
  <c r="AH1488" i="3"/>
  <c r="AI1488" i="3"/>
  <c r="Z1489" i="3"/>
  <c r="AA1489" i="3"/>
  <c r="AB1489" i="3"/>
  <c r="AC1489" i="3"/>
  <c r="AD1489" i="3"/>
  <c r="AE1489" i="3"/>
  <c r="AF1489" i="3"/>
  <c r="AG1489" i="3"/>
  <c r="AH1489" i="3"/>
  <c r="AI1489" i="3"/>
  <c r="Z1490" i="3"/>
  <c r="AA1490" i="3"/>
  <c r="AB1490" i="3"/>
  <c r="AC1490" i="3"/>
  <c r="AD1490" i="3"/>
  <c r="AE1490" i="3"/>
  <c r="AJ1490" i="3" s="1"/>
  <c r="AF1490" i="3"/>
  <c r="AG1490" i="3"/>
  <c r="AH1490" i="3"/>
  <c r="AI1490" i="3"/>
  <c r="Z1491" i="3"/>
  <c r="AA1491" i="3"/>
  <c r="AB1491" i="3"/>
  <c r="AC1491" i="3"/>
  <c r="AD1491" i="3"/>
  <c r="AE1491" i="3"/>
  <c r="AF1491" i="3"/>
  <c r="AG1491" i="3"/>
  <c r="AH1491" i="3"/>
  <c r="AI1491" i="3"/>
  <c r="AJ1491" i="3"/>
  <c r="Z1492" i="3"/>
  <c r="AJ1492" i="3" s="1"/>
  <c r="AA1492" i="3"/>
  <c r="AB1492" i="3"/>
  <c r="AC1492" i="3"/>
  <c r="AD1492" i="3"/>
  <c r="AE1492" i="3"/>
  <c r="AF1492" i="3"/>
  <c r="AG1492" i="3"/>
  <c r="AH1492" i="3"/>
  <c r="AI1492" i="3"/>
  <c r="Z1493" i="3"/>
  <c r="AA1493" i="3"/>
  <c r="AB1493" i="3"/>
  <c r="AC1493" i="3"/>
  <c r="AD1493" i="3"/>
  <c r="AE1493" i="3"/>
  <c r="AF1493" i="3"/>
  <c r="AG1493" i="3"/>
  <c r="AH1493" i="3"/>
  <c r="AI1493" i="3"/>
  <c r="Z1494" i="3"/>
  <c r="AA1494" i="3"/>
  <c r="AB1494" i="3"/>
  <c r="AC1494" i="3"/>
  <c r="AD1494" i="3"/>
  <c r="AE1494" i="3"/>
  <c r="AF1494" i="3"/>
  <c r="AG1494" i="3"/>
  <c r="AH1494" i="3"/>
  <c r="AI1494" i="3"/>
  <c r="Z1495" i="3"/>
  <c r="AJ1495" i="3" s="1"/>
  <c r="AA1495" i="3"/>
  <c r="AB1495" i="3"/>
  <c r="AC1495" i="3"/>
  <c r="AD1495" i="3"/>
  <c r="AE1495" i="3"/>
  <c r="AF1495" i="3"/>
  <c r="AG1495" i="3"/>
  <c r="AH1495" i="3"/>
  <c r="AI1495" i="3"/>
  <c r="Z1496" i="3"/>
  <c r="AA1496" i="3"/>
  <c r="AB1496" i="3"/>
  <c r="AC1496" i="3"/>
  <c r="AD1496" i="3"/>
  <c r="AE1496" i="3"/>
  <c r="AF1496" i="3"/>
  <c r="AG1496" i="3"/>
  <c r="AH1496" i="3"/>
  <c r="AI1496" i="3"/>
  <c r="Z1497" i="3"/>
  <c r="AA1497" i="3"/>
  <c r="AB1497" i="3"/>
  <c r="AC1497" i="3"/>
  <c r="AD1497" i="3"/>
  <c r="AE1497" i="3"/>
  <c r="AF1497" i="3"/>
  <c r="AG1497" i="3"/>
  <c r="AH1497" i="3"/>
  <c r="AI1497" i="3"/>
  <c r="Z1498" i="3"/>
  <c r="AA1498" i="3"/>
  <c r="AB1498" i="3"/>
  <c r="AC1498" i="3"/>
  <c r="AD1498" i="3"/>
  <c r="AE1498" i="3"/>
  <c r="AF1498" i="3"/>
  <c r="AG1498" i="3"/>
  <c r="AH1498" i="3"/>
  <c r="AI1498" i="3"/>
  <c r="AJ1498" i="3"/>
  <c r="Z1499" i="3"/>
  <c r="AA1499" i="3"/>
  <c r="AB1499" i="3"/>
  <c r="AC1499" i="3"/>
  <c r="AD1499" i="3"/>
  <c r="AE1499" i="3"/>
  <c r="AF1499" i="3"/>
  <c r="AG1499" i="3"/>
  <c r="AJ1499" i="3" s="1"/>
  <c r="AH1499" i="3"/>
  <c r="AI1499" i="3"/>
  <c r="Z1500" i="3"/>
  <c r="AA1500" i="3"/>
  <c r="AB1500" i="3"/>
  <c r="AC1500" i="3"/>
  <c r="AD1500" i="3"/>
  <c r="AE1500" i="3"/>
  <c r="AF1500" i="3"/>
  <c r="AG1500" i="3"/>
  <c r="AH1500" i="3"/>
  <c r="AI1500" i="3"/>
  <c r="Z1501" i="3"/>
  <c r="AA1501" i="3"/>
  <c r="AB1501" i="3"/>
  <c r="AC1501" i="3"/>
  <c r="AD1501" i="3"/>
  <c r="AE1501" i="3"/>
  <c r="AF1501" i="3"/>
  <c r="AG1501" i="3"/>
  <c r="AH1501" i="3"/>
  <c r="AI1501" i="3"/>
  <c r="Z1502" i="3"/>
  <c r="AA1502" i="3"/>
  <c r="AB1502" i="3"/>
  <c r="AC1502" i="3"/>
  <c r="AD1502" i="3"/>
  <c r="AE1502" i="3"/>
  <c r="AF1502" i="3"/>
  <c r="AG1502" i="3"/>
  <c r="AH1502" i="3"/>
  <c r="AI1502" i="3"/>
  <c r="Z1503" i="3"/>
  <c r="AA1503" i="3"/>
  <c r="AB1503" i="3"/>
  <c r="AC1503" i="3"/>
  <c r="AD1503" i="3"/>
  <c r="AE1503" i="3"/>
  <c r="AF1503" i="3"/>
  <c r="AG1503" i="3"/>
  <c r="AH1503" i="3"/>
  <c r="AI1503" i="3"/>
  <c r="Z1504" i="3"/>
  <c r="AA1504" i="3"/>
  <c r="AB1504" i="3"/>
  <c r="AC1504" i="3"/>
  <c r="AD1504" i="3"/>
  <c r="AE1504" i="3"/>
  <c r="AF1504" i="3"/>
  <c r="AG1504" i="3"/>
  <c r="AH1504" i="3"/>
  <c r="AI1504" i="3"/>
  <c r="Z1505" i="3"/>
  <c r="AA1505" i="3"/>
  <c r="AB1505" i="3"/>
  <c r="AC1505" i="3"/>
  <c r="AD1505" i="3"/>
  <c r="AE1505" i="3"/>
  <c r="AF1505" i="3"/>
  <c r="AG1505" i="3"/>
  <c r="AH1505" i="3"/>
  <c r="AI1505" i="3"/>
  <c r="Z1506" i="3"/>
  <c r="AA1506" i="3"/>
  <c r="AB1506" i="3"/>
  <c r="AC1506" i="3"/>
  <c r="AD1506" i="3"/>
  <c r="AE1506" i="3"/>
  <c r="AJ1506" i="3" s="1"/>
  <c r="AF1506" i="3"/>
  <c r="AG1506" i="3"/>
  <c r="AH1506" i="3"/>
  <c r="AI1506" i="3"/>
  <c r="Z1507" i="3"/>
  <c r="AA1507" i="3"/>
  <c r="AB1507" i="3"/>
  <c r="AC1507" i="3"/>
  <c r="AD1507" i="3"/>
  <c r="AE1507" i="3"/>
  <c r="AF1507" i="3"/>
  <c r="AG1507" i="3"/>
  <c r="AH1507" i="3"/>
  <c r="AI1507" i="3"/>
  <c r="AJ1507" i="3"/>
  <c r="Z1508" i="3"/>
  <c r="AA1508" i="3"/>
  <c r="AB1508" i="3"/>
  <c r="AC1508" i="3"/>
  <c r="AD1508" i="3"/>
  <c r="AE1508" i="3"/>
  <c r="AF1508" i="3"/>
  <c r="AG1508" i="3"/>
  <c r="AH1508" i="3"/>
  <c r="AI1508" i="3"/>
  <c r="Z1509" i="3"/>
  <c r="AJ1509" i="3" s="1"/>
  <c r="AA1509" i="3"/>
  <c r="AB1509" i="3"/>
  <c r="AC1509" i="3"/>
  <c r="AD1509" i="3"/>
  <c r="AE1509" i="3"/>
  <c r="AF1509" i="3"/>
  <c r="AG1509" i="3"/>
  <c r="AH1509" i="3"/>
  <c r="AI1509" i="3"/>
  <c r="Z1510" i="3"/>
  <c r="AA1510" i="3"/>
  <c r="AB1510" i="3"/>
  <c r="AC1510" i="3"/>
  <c r="AD1510" i="3"/>
  <c r="AE1510" i="3"/>
  <c r="AF1510" i="3"/>
  <c r="AG1510" i="3"/>
  <c r="AH1510" i="3"/>
  <c r="AI1510" i="3"/>
  <c r="Z1511" i="3"/>
  <c r="AJ1511" i="3" s="1"/>
  <c r="AA1511" i="3"/>
  <c r="AB1511" i="3"/>
  <c r="AC1511" i="3"/>
  <c r="AD1511" i="3"/>
  <c r="AE1511" i="3"/>
  <c r="AF1511" i="3"/>
  <c r="AG1511" i="3"/>
  <c r="AH1511" i="3"/>
  <c r="AI1511" i="3"/>
  <c r="Z1512" i="3"/>
  <c r="AA1512" i="3"/>
  <c r="AB1512" i="3"/>
  <c r="AC1512" i="3"/>
  <c r="AD1512" i="3"/>
  <c r="AE1512" i="3"/>
  <c r="AF1512" i="3"/>
  <c r="AG1512" i="3"/>
  <c r="AH1512" i="3"/>
  <c r="AI1512" i="3"/>
  <c r="Z1513" i="3"/>
  <c r="AA1513" i="3"/>
  <c r="AB1513" i="3"/>
  <c r="AC1513" i="3"/>
  <c r="AD1513" i="3"/>
  <c r="AE1513" i="3"/>
  <c r="AF1513" i="3"/>
  <c r="AG1513" i="3"/>
  <c r="AH1513" i="3"/>
  <c r="AI1513" i="3"/>
  <c r="Z1514" i="3"/>
  <c r="AA1514" i="3"/>
  <c r="AB1514" i="3"/>
  <c r="AC1514" i="3"/>
  <c r="AD1514" i="3"/>
  <c r="AE1514" i="3"/>
  <c r="AF1514" i="3"/>
  <c r="AG1514" i="3"/>
  <c r="AH1514" i="3"/>
  <c r="AI1514" i="3"/>
  <c r="AJ1514" i="3"/>
  <c r="Z1515" i="3"/>
  <c r="AA1515" i="3"/>
  <c r="AB1515" i="3"/>
  <c r="AC1515" i="3"/>
  <c r="AD1515" i="3"/>
  <c r="AE1515" i="3"/>
  <c r="AF1515" i="3"/>
  <c r="AG1515" i="3"/>
  <c r="AJ1515" i="3" s="1"/>
  <c r="AH1515" i="3"/>
  <c r="AI1515" i="3"/>
  <c r="Z1516" i="3"/>
  <c r="AJ1516" i="3" s="1"/>
  <c r="AA1516" i="3"/>
  <c r="AB1516" i="3"/>
  <c r="AC1516" i="3"/>
  <c r="AD1516" i="3"/>
  <c r="AE1516" i="3"/>
  <c r="AF1516" i="3"/>
  <c r="AG1516" i="3"/>
  <c r="AH1516" i="3"/>
  <c r="AI1516" i="3"/>
  <c r="Z1517" i="3"/>
  <c r="AA1517" i="3"/>
  <c r="AB1517" i="3"/>
  <c r="AC1517" i="3"/>
  <c r="AD1517" i="3"/>
  <c r="AE1517" i="3"/>
  <c r="AF1517" i="3"/>
  <c r="AG1517" i="3"/>
  <c r="AH1517" i="3"/>
  <c r="AI1517" i="3"/>
  <c r="Z1518" i="3"/>
  <c r="AA1518" i="3"/>
  <c r="AB1518" i="3"/>
  <c r="AC1518" i="3"/>
  <c r="AD1518" i="3"/>
  <c r="AE1518" i="3"/>
  <c r="AF1518" i="3"/>
  <c r="AG1518" i="3"/>
  <c r="AH1518" i="3"/>
  <c r="AI1518" i="3"/>
  <c r="Z1519" i="3"/>
  <c r="AA1519" i="3"/>
  <c r="AB1519" i="3"/>
  <c r="AC1519" i="3"/>
  <c r="AD1519" i="3"/>
  <c r="AE1519" i="3"/>
  <c r="AF1519" i="3"/>
  <c r="AG1519" i="3"/>
  <c r="AH1519" i="3"/>
  <c r="AI1519" i="3"/>
  <c r="Z1520" i="3"/>
  <c r="AA1520" i="3"/>
  <c r="AB1520" i="3"/>
  <c r="AC1520" i="3"/>
  <c r="AD1520" i="3"/>
  <c r="AE1520" i="3"/>
  <c r="AF1520" i="3"/>
  <c r="AG1520" i="3"/>
  <c r="AH1520" i="3"/>
  <c r="AI1520" i="3"/>
  <c r="Z1521" i="3"/>
  <c r="AA1521" i="3"/>
  <c r="AB1521" i="3"/>
  <c r="AC1521" i="3"/>
  <c r="AD1521" i="3"/>
  <c r="AE1521" i="3"/>
  <c r="AF1521" i="3"/>
  <c r="AG1521" i="3"/>
  <c r="AH1521" i="3"/>
  <c r="AI1521" i="3"/>
  <c r="Z1522" i="3"/>
  <c r="AA1522" i="3"/>
  <c r="AB1522" i="3"/>
  <c r="AC1522" i="3"/>
  <c r="AD1522" i="3"/>
  <c r="AE1522" i="3"/>
  <c r="AJ1522" i="3" s="1"/>
  <c r="AF1522" i="3"/>
  <c r="AG1522" i="3"/>
  <c r="AH1522" i="3"/>
  <c r="AI1522" i="3"/>
  <c r="Z1523" i="3"/>
  <c r="AA1523" i="3"/>
  <c r="AB1523" i="3"/>
  <c r="AC1523" i="3"/>
  <c r="AD1523" i="3"/>
  <c r="AE1523" i="3"/>
  <c r="AF1523" i="3"/>
  <c r="AG1523" i="3"/>
  <c r="AH1523" i="3"/>
  <c r="AI1523" i="3"/>
  <c r="AJ1523" i="3"/>
  <c r="Z1524" i="3"/>
  <c r="AJ1524" i="3" s="1"/>
  <c r="AA1524" i="3"/>
  <c r="AB1524" i="3"/>
  <c r="AC1524" i="3"/>
  <c r="AD1524" i="3"/>
  <c r="AE1524" i="3"/>
  <c r="AF1524" i="3"/>
  <c r="AG1524" i="3"/>
  <c r="AH1524" i="3"/>
  <c r="AI1524" i="3"/>
  <c r="Z1525" i="3"/>
  <c r="AA1525" i="3"/>
  <c r="AB1525" i="3"/>
  <c r="AC1525" i="3"/>
  <c r="AD1525" i="3"/>
  <c r="AE1525" i="3"/>
  <c r="AF1525" i="3"/>
  <c r="AG1525" i="3"/>
  <c r="AH1525" i="3"/>
  <c r="AI1525" i="3"/>
  <c r="Z1526" i="3"/>
  <c r="AA1526" i="3"/>
  <c r="AB1526" i="3"/>
  <c r="AC1526" i="3"/>
  <c r="AD1526" i="3"/>
  <c r="AE1526" i="3"/>
  <c r="AF1526" i="3"/>
  <c r="AG1526" i="3"/>
  <c r="AH1526" i="3"/>
  <c r="AI1526" i="3"/>
  <c r="Z1527" i="3"/>
  <c r="AJ1527" i="3" s="1"/>
  <c r="AA1527" i="3"/>
  <c r="AB1527" i="3"/>
  <c r="AC1527" i="3"/>
  <c r="AD1527" i="3"/>
  <c r="AE1527" i="3"/>
  <c r="AF1527" i="3"/>
  <c r="AG1527" i="3"/>
  <c r="AH1527" i="3"/>
  <c r="AI1527" i="3"/>
  <c r="Z1528" i="3"/>
  <c r="AA1528" i="3"/>
  <c r="AB1528" i="3"/>
  <c r="AC1528" i="3"/>
  <c r="AD1528" i="3"/>
  <c r="AE1528" i="3"/>
  <c r="AF1528" i="3"/>
  <c r="AG1528" i="3"/>
  <c r="AH1528" i="3"/>
  <c r="AI1528" i="3"/>
  <c r="Z1529" i="3"/>
  <c r="AA1529" i="3"/>
  <c r="AB1529" i="3"/>
  <c r="AC1529" i="3"/>
  <c r="AD1529" i="3"/>
  <c r="AE1529" i="3"/>
  <c r="AF1529" i="3"/>
  <c r="AG1529" i="3"/>
  <c r="AH1529" i="3"/>
  <c r="AI1529" i="3"/>
  <c r="Z1530" i="3"/>
  <c r="AA1530" i="3"/>
  <c r="AB1530" i="3"/>
  <c r="AC1530" i="3"/>
  <c r="AD1530" i="3"/>
  <c r="AE1530" i="3"/>
  <c r="AF1530" i="3"/>
  <c r="AG1530" i="3"/>
  <c r="AH1530" i="3"/>
  <c r="AI1530" i="3"/>
  <c r="AJ1530" i="3"/>
  <c r="Z1531" i="3"/>
  <c r="AA1531" i="3"/>
  <c r="AB1531" i="3"/>
  <c r="AC1531" i="3"/>
  <c r="AD1531" i="3"/>
  <c r="AE1531" i="3"/>
  <c r="AF1531" i="3"/>
  <c r="AG1531" i="3"/>
  <c r="AJ1531" i="3" s="1"/>
  <c r="AH1531" i="3"/>
  <c r="AI1531" i="3"/>
  <c r="Z1532" i="3"/>
  <c r="AA1532" i="3"/>
  <c r="AB1532" i="3"/>
  <c r="AC1532" i="3"/>
  <c r="AD1532" i="3"/>
  <c r="AE1532" i="3"/>
  <c r="AF1532" i="3"/>
  <c r="AG1532" i="3"/>
  <c r="AH1532" i="3"/>
  <c r="AI1532" i="3"/>
  <c r="Z1533" i="3"/>
  <c r="AA1533" i="3"/>
  <c r="AB1533" i="3"/>
  <c r="AC1533" i="3"/>
  <c r="AD1533" i="3"/>
  <c r="AE1533" i="3"/>
  <c r="AF1533" i="3"/>
  <c r="AG1533" i="3"/>
  <c r="AH1533" i="3"/>
  <c r="AI1533" i="3"/>
  <c r="Z1534" i="3"/>
  <c r="AA1534" i="3"/>
  <c r="AB1534" i="3"/>
  <c r="AC1534" i="3"/>
  <c r="AD1534" i="3"/>
  <c r="AE1534" i="3"/>
  <c r="AF1534" i="3"/>
  <c r="AG1534" i="3"/>
  <c r="AH1534" i="3"/>
  <c r="AI1534" i="3"/>
  <c r="Z1535" i="3"/>
  <c r="AA1535" i="3"/>
  <c r="AB1535" i="3"/>
  <c r="AC1535" i="3"/>
  <c r="AD1535" i="3"/>
  <c r="AE1535" i="3"/>
  <c r="AF1535" i="3"/>
  <c r="AG1535" i="3"/>
  <c r="AH1535" i="3"/>
  <c r="AI1535" i="3"/>
  <c r="Z1536" i="3"/>
  <c r="AA1536" i="3"/>
  <c r="AB1536" i="3"/>
  <c r="AC1536" i="3"/>
  <c r="AD1536" i="3"/>
  <c r="AE1536" i="3"/>
  <c r="AF1536" i="3"/>
  <c r="AG1536" i="3"/>
  <c r="AH1536" i="3"/>
  <c r="AI1536" i="3"/>
  <c r="Z1537" i="3"/>
  <c r="AA1537" i="3"/>
  <c r="AB1537" i="3"/>
  <c r="AC1537" i="3"/>
  <c r="AD1537" i="3"/>
  <c r="AE1537" i="3"/>
  <c r="AF1537" i="3"/>
  <c r="AG1537" i="3"/>
  <c r="AH1537" i="3"/>
  <c r="AI1537" i="3"/>
  <c r="Z1538" i="3"/>
  <c r="AA1538" i="3"/>
  <c r="AB1538" i="3"/>
  <c r="AC1538" i="3"/>
  <c r="AD1538" i="3"/>
  <c r="AE1538" i="3"/>
  <c r="AJ1538" i="3" s="1"/>
  <c r="AF1538" i="3"/>
  <c r="AG1538" i="3"/>
  <c r="AH1538" i="3"/>
  <c r="AI1538" i="3"/>
  <c r="Z1539" i="3"/>
  <c r="AA1539" i="3"/>
  <c r="AB1539" i="3"/>
  <c r="AC1539" i="3"/>
  <c r="AD1539" i="3"/>
  <c r="AE1539" i="3"/>
  <c r="AF1539" i="3"/>
  <c r="AG1539" i="3"/>
  <c r="AH1539" i="3"/>
  <c r="AI1539" i="3"/>
  <c r="AJ1539" i="3"/>
  <c r="Z1540" i="3"/>
  <c r="AA1540" i="3"/>
  <c r="AB1540" i="3"/>
  <c r="AC1540" i="3"/>
  <c r="AD1540" i="3"/>
  <c r="AE1540" i="3"/>
  <c r="AF1540" i="3"/>
  <c r="AG1540" i="3"/>
  <c r="AH1540" i="3"/>
  <c r="AI1540" i="3"/>
  <c r="Z1541" i="3"/>
  <c r="AJ1541" i="3" s="1"/>
  <c r="AA1541" i="3"/>
  <c r="AB1541" i="3"/>
  <c r="AC1541" i="3"/>
  <c r="AD1541" i="3"/>
  <c r="AE1541" i="3"/>
  <c r="AF1541" i="3"/>
  <c r="AG1541" i="3"/>
  <c r="AH1541" i="3"/>
  <c r="AI1541" i="3"/>
  <c r="Z1542" i="3"/>
  <c r="AA1542" i="3"/>
  <c r="AB1542" i="3"/>
  <c r="AC1542" i="3"/>
  <c r="AD1542" i="3"/>
  <c r="AE1542" i="3"/>
  <c r="AF1542" i="3"/>
  <c r="AG1542" i="3"/>
  <c r="AH1542" i="3"/>
  <c r="AI1542" i="3"/>
  <c r="Z1543" i="3"/>
  <c r="AJ1543" i="3" s="1"/>
  <c r="AA1543" i="3"/>
  <c r="AB1543" i="3"/>
  <c r="AC1543" i="3"/>
  <c r="AD1543" i="3"/>
  <c r="AE1543" i="3"/>
  <c r="AF1543" i="3"/>
  <c r="AG1543" i="3"/>
  <c r="AH1543" i="3"/>
  <c r="AI1543" i="3"/>
  <c r="Z1544" i="3"/>
  <c r="AA1544" i="3"/>
  <c r="AB1544" i="3"/>
  <c r="AC1544" i="3"/>
  <c r="AD1544" i="3"/>
  <c r="AE1544" i="3"/>
  <c r="AF1544" i="3"/>
  <c r="AG1544" i="3"/>
  <c r="AH1544" i="3"/>
  <c r="AI1544" i="3"/>
  <c r="Z1545" i="3"/>
  <c r="AA1545" i="3"/>
  <c r="AB1545" i="3"/>
  <c r="AC1545" i="3"/>
  <c r="AD1545" i="3"/>
  <c r="AE1545" i="3"/>
  <c r="AF1545" i="3"/>
  <c r="AG1545" i="3"/>
  <c r="AH1545" i="3"/>
  <c r="AI1545" i="3"/>
  <c r="Z1546" i="3"/>
  <c r="AA1546" i="3"/>
  <c r="AB1546" i="3"/>
  <c r="AC1546" i="3"/>
  <c r="AD1546" i="3"/>
  <c r="AE1546" i="3"/>
  <c r="AF1546" i="3"/>
  <c r="AG1546" i="3"/>
  <c r="AH1546" i="3"/>
  <c r="AI1546" i="3"/>
  <c r="AJ1546" i="3"/>
  <c r="Z1547" i="3"/>
  <c r="AA1547" i="3"/>
  <c r="AB1547" i="3"/>
  <c r="AC1547" i="3"/>
  <c r="AD1547" i="3"/>
  <c r="AE1547" i="3"/>
  <c r="AF1547" i="3"/>
  <c r="AG1547" i="3"/>
  <c r="AJ1547" i="3" s="1"/>
  <c r="AH1547" i="3"/>
  <c r="AI1547" i="3"/>
  <c r="Z1548" i="3"/>
  <c r="AJ1548" i="3" s="1"/>
  <c r="AA1548" i="3"/>
  <c r="AB1548" i="3"/>
  <c r="AC1548" i="3"/>
  <c r="AD1548" i="3"/>
  <c r="AE1548" i="3"/>
  <c r="AF1548" i="3"/>
  <c r="AG1548" i="3"/>
  <c r="AH1548" i="3"/>
  <c r="AI1548" i="3"/>
  <c r="Z1549" i="3"/>
  <c r="AA1549" i="3"/>
  <c r="AB1549" i="3"/>
  <c r="AC1549" i="3"/>
  <c r="AD1549" i="3"/>
  <c r="AE1549" i="3"/>
  <c r="AF1549" i="3"/>
  <c r="AG1549" i="3"/>
  <c r="AH1549" i="3"/>
  <c r="AI1549" i="3"/>
  <c r="Z1550" i="3"/>
  <c r="AA1550" i="3"/>
  <c r="AB1550" i="3"/>
  <c r="AC1550" i="3"/>
  <c r="AD1550" i="3"/>
  <c r="AE1550" i="3"/>
  <c r="AF1550" i="3"/>
  <c r="AG1550" i="3"/>
  <c r="AH1550" i="3"/>
  <c r="AI1550" i="3"/>
  <c r="Z1551" i="3"/>
  <c r="AA1551" i="3"/>
  <c r="AB1551" i="3"/>
  <c r="AC1551" i="3"/>
  <c r="AD1551" i="3"/>
  <c r="AE1551" i="3"/>
  <c r="AF1551" i="3"/>
  <c r="AG1551" i="3"/>
  <c r="AH1551" i="3"/>
  <c r="AI1551" i="3"/>
  <c r="Z1552" i="3"/>
  <c r="AA1552" i="3"/>
  <c r="AB1552" i="3"/>
  <c r="AC1552" i="3"/>
  <c r="AD1552" i="3"/>
  <c r="AE1552" i="3"/>
  <c r="AF1552" i="3"/>
  <c r="AG1552" i="3"/>
  <c r="AH1552" i="3"/>
  <c r="AI1552" i="3"/>
  <c r="Z1553" i="3"/>
  <c r="AA1553" i="3"/>
  <c r="AB1553" i="3"/>
  <c r="AC1553" i="3"/>
  <c r="AD1553" i="3"/>
  <c r="AE1553" i="3"/>
  <c r="AF1553" i="3"/>
  <c r="AG1553" i="3"/>
  <c r="AH1553" i="3"/>
  <c r="AI1553" i="3"/>
  <c r="Z1554" i="3"/>
  <c r="AA1554" i="3"/>
  <c r="AB1554" i="3"/>
  <c r="AC1554" i="3"/>
  <c r="AD1554" i="3"/>
  <c r="AE1554" i="3"/>
  <c r="AJ1554" i="3" s="1"/>
  <c r="AF1554" i="3"/>
  <c r="AG1554" i="3"/>
  <c r="AH1554" i="3"/>
  <c r="AI1554" i="3"/>
  <c r="Z1555" i="3"/>
  <c r="AA1555" i="3"/>
  <c r="AB1555" i="3"/>
  <c r="AC1555" i="3"/>
  <c r="AD1555" i="3"/>
  <c r="AE1555" i="3"/>
  <c r="AF1555" i="3"/>
  <c r="AG1555" i="3"/>
  <c r="AH1555" i="3"/>
  <c r="AI1555" i="3"/>
  <c r="AJ1555" i="3"/>
  <c r="Z1556" i="3"/>
  <c r="AJ1556" i="3" s="1"/>
  <c r="AA1556" i="3"/>
  <c r="AB1556" i="3"/>
  <c r="AC1556" i="3"/>
  <c r="AD1556" i="3"/>
  <c r="AE1556" i="3"/>
  <c r="AF1556" i="3"/>
  <c r="AG1556" i="3"/>
  <c r="AH1556" i="3"/>
  <c r="AI1556" i="3"/>
  <c r="Z1557" i="3"/>
  <c r="AA1557" i="3"/>
  <c r="AB1557" i="3"/>
  <c r="AC1557" i="3"/>
  <c r="AD1557" i="3"/>
  <c r="AE1557" i="3"/>
  <c r="AF1557" i="3"/>
  <c r="AG1557" i="3"/>
  <c r="AH1557" i="3"/>
  <c r="AI1557" i="3"/>
  <c r="Z1558" i="3"/>
  <c r="AA1558" i="3"/>
  <c r="AB1558" i="3"/>
  <c r="AC1558" i="3"/>
  <c r="AD1558" i="3"/>
  <c r="AE1558" i="3"/>
  <c r="AF1558" i="3"/>
  <c r="AG1558" i="3"/>
  <c r="AH1558" i="3"/>
  <c r="AI1558" i="3"/>
  <c r="Z1559" i="3"/>
  <c r="AJ1559" i="3" s="1"/>
  <c r="AA1559" i="3"/>
  <c r="AB1559" i="3"/>
  <c r="AC1559" i="3"/>
  <c r="AD1559" i="3"/>
  <c r="AE1559" i="3"/>
  <c r="AF1559" i="3"/>
  <c r="AG1559" i="3"/>
  <c r="AH1559" i="3"/>
  <c r="AI1559" i="3"/>
  <c r="Z1560" i="3"/>
  <c r="AA1560" i="3"/>
  <c r="AB1560" i="3"/>
  <c r="AC1560" i="3"/>
  <c r="AD1560" i="3"/>
  <c r="AE1560" i="3"/>
  <c r="AF1560" i="3"/>
  <c r="AG1560" i="3"/>
  <c r="AH1560" i="3"/>
  <c r="AI1560" i="3"/>
  <c r="Z1561" i="3"/>
  <c r="AA1561" i="3"/>
  <c r="AB1561" i="3"/>
  <c r="AC1561" i="3"/>
  <c r="AD1561" i="3"/>
  <c r="AE1561" i="3"/>
  <c r="AF1561" i="3"/>
  <c r="AG1561" i="3"/>
  <c r="AH1561" i="3"/>
  <c r="AI1561" i="3"/>
  <c r="Z1562" i="3"/>
  <c r="AA1562" i="3"/>
  <c r="AB1562" i="3"/>
  <c r="AC1562" i="3"/>
  <c r="AD1562" i="3"/>
  <c r="AE1562" i="3"/>
  <c r="AF1562" i="3"/>
  <c r="AG1562" i="3"/>
  <c r="AH1562" i="3"/>
  <c r="AI1562" i="3"/>
  <c r="AJ1562" i="3"/>
  <c r="Z1563" i="3"/>
  <c r="AA1563" i="3"/>
  <c r="AB1563" i="3"/>
  <c r="AC1563" i="3"/>
  <c r="AD1563" i="3"/>
  <c r="AE1563" i="3"/>
  <c r="AF1563" i="3"/>
  <c r="AG1563" i="3"/>
  <c r="AJ1563" i="3" s="1"/>
  <c r="AH1563" i="3"/>
  <c r="AI1563" i="3"/>
  <c r="Z1564" i="3"/>
  <c r="AA1564" i="3"/>
  <c r="AB1564" i="3"/>
  <c r="AC1564" i="3"/>
  <c r="AD1564" i="3"/>
  <c r="AE1564" i="3"/>
  <c r="AF1564" i="3"/>
  <c r="AG1564" i="3"/>
  <c r="AH1564" i="3"/>
  <c r="AI1564" i="3"/>
  <c r="Z1565" i="3"/>
  <c r="AA1565" i="3"/>
  <c r="AB1565" i="3"/>
  <c r="AC1565" i="3"/>
  <c r="AD1565" i="3"/>
  <c r="AE1565" i="3"/>
  <c r="AF1565" i="3"/>
  <c r="AG1565" i="3"/>
  <c r="AH1565" i="3"/>
  <c r="AI1565" i="3"/>
  <c r="Z1566" i="3"/>
  <c r="AA1566" i="3"/>
  <c r="AB1566" i="3"/>
  <c r="AC1566" i="3"/>
  <c r="AD1566" i="3"/>
  <c r="AE1566" i="3"/>
  <c r="AF1566" i="3"/>
  <c r="AG1566" i="3"/>
  <c r="AH1566" i="3"/>
  <c r="AI1566" i="3"/>
  <c r="Z1567" i="3"/>
  <c r="AA1567" i="3"/>
  <c r="AB1567" i="3"/>
  <c r="AC1567" i="3"/>
  <c r="AD1567" i="3"/>
  <c r="AE1567" i="3"/>
  <c r="AF1567" i="3"/>
  <c r="AG1567" i="3"/>
  <c r="AH1567" i="3"/>
  <c r="AI1567" i="3"/>
  <c r="Z1568" i="3"/>
  <c r="AA1568" i="3"/>
  <c r="AB1568" i="3"/>
  <c r="AC1568" i="3"/>
  <c r="AD1568" i="3"/>
  <c r="AE1568" i="3"/>
  <c r="AF1568" i="3"/>
  <c r="AG1568" i="3"/>
  <c r="AH1568" i="3"/>
  <c r="AI1568" i="3"/>
  <c r="Z1569" i="3"/>
  <c r="AA1569" i="3"/>
  <c r="AB1569" i="3"/>
  <c r="AC1569" i="3"/>
  <c r="AD1569" i="3"/>
  <c r="AE1569" i="3"/>
  <c r="AF1569" i="3"/>
  <c r="AG1569" i="3"/>
  <c r="AH1569" i="3"/>
  <c r="AI1569" i="3"/>
  <c r="Z1570" i="3"/>
  <c r="AA1570" i="3"/>
  <c r="AB1570" i="3"/>
  <c r="AC1570" i="3"/>
  <c r="AD1570" i="3"/>
  <c r="AE1570" i="3"/>
  <c r="AF1570" i="3"/>
  <c r="AG1570" i="3"/>
  <c r="AH1570" i="3"/>
  <c r="AI1570" i="3"/>
  <c r="AJ1570" i="3"/>
  <c r="Z1571" i="3"/>
  <c r="AA1571" i="3"/>
  <c r="AB1571" i="3"/>
  <c r="AC1571" i="3"/>
  <c r="AD1571" i="3"/>
  <c r="AE1571" i="3"/>
  <c r="AF1571" i="3"/>
  <c r="AG1571" i="3"/>
  <c r="AJ1571" i="3" s="1"/>
  <c r="AH1571" i="3"/>
  <c r="AI1571" i="3"/>
  <c r="Z1572" i="3"/>
  <c r="AA1572" i="3"/>
  <c r="AB1572" i="3"/>
  <c r="AC1572" i="3"/>
  <c r="AD1572" i="3"/>
  <c r="AE1572" i="3"/>
  <c r="AF1572" i="3"/>
  <c r="AG1572" i="3"/>
  <c r="AH1572" i="3"/>
  <c r="AI1572" i="3"/>
  <c r="Z1573" i="3"/>
  <c r="AJ1573" i="3" s="1"/>
  <c r="AA1573" i="3"/>
  <c r="AB1573" i="3"/>
  <c r="AC1573" i="3"/>
  <c r="AD1573" i="3"/>
  <c r="AE1573" i="3"/>
  <c r="AF1573" i="3"/>
  <c r="AG1573" i="3"/>
  <c r="AH1573" i="3"/>
  <c r="AI1573" i="3"/>
  <c r="Z1574" i="3"/>
  <c r="AA1574" i="3"/>
  <c r="AB1574" i="3"/>
  <c r="AC1574" i="3"/>
  <c r="AD1574" i="3"/>
  <c r="AE1574" i="3"/>
  <c r="AF1574" i="3"/>
  <c r="AG1574" i="3"/>
  <c r="AH1574" i="3"/>
  <c r="AI1574" i="3"/>
  <c r="Z1575" i="3"/>
  <c r="AJ1575" i="3" s="1"/>
  <c r="AA1575" i="3"/>
  <c r="AB1575" i="3"/>
  <c r="AC1575" i="3"/>
  <c r="AD1575" i="3"/>
  <c r="AE1575" i="3"/>
  <c r="AF1575" i="3"/>
  <c r="AG1575" i="3"/>
  <c r="AH1575" i="3"/>
  <c r="AI1575" i="3"/>
  <c r="Z1576" i="3"/>
  <c r="AA1576" i="3"/>
  <c r="AB1576" i="3"/>
  <c r="AC1576" i="3"/>
  <c r="AD1576" i="3"/>
  <c r="AE1576" i="3"/>
  <c r="AF1576" i="3"/>
  <c r="AG1576" i="3"/>
  <c r="AH1576" i="3"/>
  <c r="AI1576" i="3"/>
  <c r="Z1577" i="3"/>
  <c r="AA1577" i="3"/>
  <c r="AB1577" i="3"/>
  <c r="AC1577" i="3"/>
  <c r="AD1577" i="3"/>
  <c r="AE1577" i="3"/>
  <c r="AF1577" i="3"/>
  <c r="AG1577" i="3"/>
  <c r="AH1577" i="3"/>
  <c r="AI1577" i="3"/>
  <c r="Z1578" i="3"/>
  <c r="AA1578" i="3"/>
  <c r="AB1578" i="3"/>
  <c r="AC1578" i="3"/>
  <c r="AD1578" i="3"/>
  <c r="AE1578" i="3"/>
  <c r="AF1578" i="3"/>
  <c r="AG1578" i="3"/>
  <c r="AH1578" i="3"/>
  <c r="AI1578" i="3"/>
  <c r="AJ1578" i="3"/>
  <c r="Z1579" i="3"/>
  <c r="AA1579" i="3"/>
  <c r="AB1579" i="3"/>
  <c r="AC1579" i="3"/>
  <c r="AD1579" i="3"/>
  <c r="AE1579" i="3"/>
  <c r="AF1579" i="3"/>
  <c r="AG1579" i="3"/>
  <c r="AJ1579" i="3" s="1"/>
  <c r="AH1579" i="3"/>
  <c r="AI1579" i="3"/>
  <c r="Z1580" i="3"/>
  <c r="AJ1580" i="3" s="1"/>
  <c r="AA1580" i="3"/>
  <c r="AB1580" i="3"/>
  <c r="AC1580" i="3"/>
  <c r="AD1580" i="3"/>
  <c r="AE1580" i="3"/>
  <c r="AF1580" i="3"/>
  <c r="AG1580" i="3"/>
  <c r="AH1580" i="3"/>
  <c r="AI1580" i="3"/>
  <c r="Z1581" i="3"/>
  <c r="AA1581" i="3"/>
  <c r="AB1581" i="3"/>
  <c r="AC1581" i="3"/>
  <c r="AD1581" i="3"/>
  <c r="AE1581" i="3"/>
  <c r="AF1581" i="3"/>
  <c r="AG1581" i="3"/>
  <c r="AH1581" i="3"/>
  <c r="AI1581" i="3"/>
  <c r="Z1582" i="3"/>
  <c r="AA1582" i="3"/>
  <c r="AB1582" i="3"/>
  <c r="AC1582" i="3"/>
  <c r="AD1582" i="3"/>
  <c r="AE1582" i="3"/>
  <c r="AF1582" i="3"/>
  <c r="AG1582" i="3"/>
  <c r="AH1582" i="3"/>
  <c r="AI1582" i="3"/>
  <c r="Z1583" i="3"/>
  <c r="AA1583" i="3"/>
  <c r="AB1583" i="3"/>
  <c r="AC1583" i="3"/>
  <c r="AD1583" i="3"/>
  <c r="AE1583" i="3"/>
  <c r="AF1583" i="3"/>
  <c r="AG1583" i="3"/>
  <c r="AH1583" i="3"/>
  <c r="AI1583" i="3"/>
  <c r="Z1584" i="3"/>
  <c r="AA1584" i="3"/>
  <c r="AB1584" i="3"/>
  <c r="AC1584" i="3"/>
  <c r="AD1584" i="3"/>
  <c r="AE1584" i="3"/>
  <c r="AF1584" i="3"/>
  <c r="AG1584" i="3"/>
  <c r="AH1584" i="3"/>
  <c r="AI1584" i="3"/>
  <c r="Z1585" i="3"/>
  <c r="AA1585" i="3"/>
  <c r="AB1585" i="3"/>
  <c r="AC1585" i="3"/>
  <c r="AD1585" i="3"/>
  <c r="AE1585" i="3"/>
  <c r="AF1585" i="3"/>
  <c r="AG1585" i="3"/>
  <c r="AH1585" i="3"/>
  <c r="AI1585" i="3"/>
  <c r="Z1586" i="3"/>
  <c r="AA1586" i="3"/>
  <c r="AB1586" i="3"/>
  <c r="AC1586" i="3"/>
  <c r="AD1586" i="3"/>
  <c r="AE1586" i="3"/>
  <c r="AJ1586" i="3" s="1"/>
  <c r="AF1586" i="3"/>
  <c r="AG1586" i="3"/>
  <c r="AH1586" i="3"/>
  <c r="AI1586" i="3"/>
  <c r="Z1587" i="3"/>
  <c r="AA1587" i="3"/>
  <c r="AB1587" i="3"/>
  <c r="AC1587" i="3"/>
  <c r="AD1587" i="3"/>
  <c r="AE1587" i="3"/>
  <c r="AF1587" i="3"/>
  <c r="AG1587" i="3"/>
  <c r="AH1587" i="3"/>
  <c r="AI1587" i="3"/>
  <c r="AJ1587" i="3"/>
  <c r="Z1588" i="3"/>
  <c r="AJ1588" i="3" s="1"/>
  <c r="AA1588" i="3"/>
  <c r="AB1588" i="3"/>
  <c r="AC1588" i="3"/>
  <c r="AD1588" i="3"/>
  <c r="AE1588" i="3"/>
  <c r="AF1588" i="3"/>
  <c r="AG1588" i="3"/>
  <c r="AH1588" i="3"/>
  <c r="AI1588" i="3"/>
  <c r="Z1589" i="3"/>
  <c r="AA1589" i="3"/>
  <c r="AB1589" i="3"/>
  <c r="AC1589" i="3"/>
  <c r="AD1589" i="3"/>
  <c r="AE1589" i="3"/>
  <c r="AF1589" i="3"/>
  <c r="AG1589" i="3"/>
  <c r="AH1589" i="3"/>
  <c r="AI1589" i="3"/>
  <c r="Z1590" i="3"/>
  <c r="AA1590" i="3"/>
  <c r="AB1590" i="3"/>
  <c r="AC1590" i="3"/>
  <c r="AD1590" i="3"/>
  <c r="AE1590" i="3"/>
  <c r="AF1590" i="3"/>
  <c r="AG1590" i="3"/>
  <c r="AH1590" i="3"/>
  <c r="AI1590" i="3"/>
  <c r="AJ1590" i="3"/>
  <c r="Z1591" i="3"/>
  <c r="AA1591" i="3"/>
  <c r="AB1591" i="3"/>
  <c r="AC1591" i="3"/>
  <c r="AD1591" i="3"/>
  <c r="AE1591" i="3"/>
  <c r="AF1591" i="3"/>
  <c r="AG1591" i="3"/>
  <c r="AH1591" i="3"/>
  <c r="AI1591" i="3"/>
  <c r="Z1592" i="3"/>
  <c r="AA1592" i="3"/>
  <c r="AB1592" i="3"/>
  <c r="AC1592" i="3"/>
  <c r="AD1592" i="3"/>
  <c r="AE1592" i="3"/>
  <c r="AF1592" i="3"/>
  <c r="AG1592" i="3"/>
  <c r="AH1592" i="3"/>
  <c r="AI1592" i="3"/>
  <c r="AJ1592" i="3"/>
  <c r="Z1593" i="3"/>
  <c r="AA1593" i="3"/>
  <c r="AB1593" i="3"/>
  <c r="AC1593" i="3"/>
  <c r="AD1593" i="3"/>
  <c r="AE1593" i="3"/>
  <c r="AF1593" i="3"/>
  <c r="AG1593" i="3"/>
  <c r="AH1593" i="3"/>
  <c r="AI1593" i="3"/>
  <c r="Z1594" i="3"/>
  <c r="AA1594" i="3"/>
  <c r="AB1594" i="3"/>
  <c r="AC1594" i="3"/>
  <c r="AD1594" i="3"/>
  <c r="AJ1594" i="3" s="1"/>
  <c r="AE1594" i="3"/>
  <c r="AF1594" i="3"/>
  <c r="AG1594" i="3"/>
  <c r="AH1594" i="3"/>
  <c r="AI1594" i="3"/>
  <c r="Z1595" i="3"/>
  <c r="AA1595" i="3"/>
  <c r="AB1595" i="3"/>
  <c r="AC1595" i="3"/>
  <c r="AD1595" i="3"/>
  <c r="AE1595" i="3"/>
  <c r="AJ1595" i="3" s="1"/>
  <c r="AF1595" i="3"/>
  <c r="AG1595" i="3"/>
  <c r="AH1595" i="3"/>
  <c r="AI1595" i="3"/>
  <c r="Z1596" i="3"/>
  <c r="AA1596" i="3"/>
  <c r="AB1596" i="3"/>
  <c r="AC1596" i="3"/>
  <c r="AD1596" i="3"/>
  <c r="AE1596" i="3"/>
  <c r="AF1596" i="3"/>
  <c r="AG1596" i="3"/>
  <c r="AH1596" i="3"/>
  <c r="AI1596" i="3"/>
  <c r="AJ1596" i="3"/>
  <c r="Z1597" i="3"/>
  <c r="AA1597" i="3"/>
  <c r="AB1597" i="3"/>
  <c r="AC1597" i="3"/>
  <c r="AD1597" i="3"/>
  <c r="AE1597" i="3"/>
  <c r="AF1597" i="3"/>
  <c r="AG1597" i="3"/>
  <c r="AH1597" i="3"/>
  <c r="AI1597" i="3"/>
  <c r="Z1598" i="3"/>
  <c r="AA1598" i="3"/>
  <c r="AB1598" i="3"/>
  <c r="AC1598" i="3"/>
  <c r="AD1598" i="3"/>
  <c r="AE1598" i="3"/>
  <c r="AF1598" i="3"/>
  <c r="AG1598" i="3"/>
  <c r="AH1598" i="3"/>
  <c r="AI1598" i="3"/>
  <c r="AJ1598" i="3"/>
  <c r="Z1599" i="3"/>
  <c r="AA1599" i="3"/>
  <c r="AB1599" i="3"/>
  <c r="AC1599" i="3"/>
  <c r="AD1599" i="3"/>
  <c r="AE1599" i="3"/>
  <c r="AF1599" i="3"/>
  <c r="AG1599" i="3"/>
  <c r="AH1599" i="3"/>
  <c r="AI1599" i="3"/>
  <c r="Z1600" i="3"/>
  <c r="AA1600" i="3"/>
  <c r="AB1600" i="3"/>
  <c r="AC1600" i="3"/>
  <c r="AD1600" i="3"/>
  <c r="AE1600" i="3"/>
  <c r="AF1600" i="3"/>
  <c r="AG1600" i="3"/>
  <c r="AH1600" i="3"/>
  <c r="AI1600" i="3"/>
  <c r="Z1601" i="3"/>
  <c r="AA1601" i="3"/>
  <c r="AB1601" i="3"/>
  <c r="AC1601" i="3"/>
  <c r="AD1601" i="3"/>
  <c r="AE1601" i="3"/>
  <c r="AJ1601" i="3" s="1"/>
  <c r="AF1601" i="3"/>
  <c r="AG1601" i="3"/>
  <c r="AH1601" i="3"/>
  <c r="AI1601" i="3"/>
  <c r="Z1602" i="3"/>
  <c r="AA1602" i="3"/>
  <c r="AB1602" i="3"/>
  <c r="AC1602" i="3"/>
  <c r="AD1602" i="3"/>
  <c r="AE1602" i="3"/>
  <c r="AF1602" i="3"/>
  <c r="AG1602" i="3"/>
  <c r="AH1602" i="3"/>
  <c r="AI1602" i="3"/>
  <c r="AJ1602" i="3"/>
  <c r="Z1603" i="3"/>
  <c r="AA1603" i="3"/>
  <c r="AJ1603" i="3" s="1"/>
  <c r="AB1603" i="3"/>
  <c r="AC1603" i="3"/>
  <c r="AD1603" i="3"/>
  <c r="AE1603" i="3"/>
  <c r="AF1603" i="3"/>
  <c r="AG1603" i="3"/>
  <c r="AH1603" i="3"/>
  <c r="AI1603" i="3"/>
  <c r="Z1604" i="3"/>
  <c r="AA1604" i="3"/>
  <c r="AB1604" i="3"/>
  <c r="AC1604" i="3"/>
  <c r="AD1604" i="3"/>
  <c r="AJ1604" i="3" s="1"/>
  <c r="AE1604" i="3"/>
  <c r="AF1604" i="3"/>
  <c r="AG1604" i="3"/>
  <c r="AH1604" i="3"/>
  <c r="AI1604" i="3"/>
  <c r="Z1605" i="3"/>
  <c r="AA1605" i="3"/>
  <c r="AB1605" i="3"/>
  <c r="AC1605" i="3"/>
  <c r="AD1605" i="3"/>
  <c r="AE1605" i="3"/>
  <c r="AF1605" i="3"/>
  <c r="AG1605" i="3"/>
  <c r="AH1605" i="3"/>
  <c r="AI1605" i="3"/>
  <c r="Z1606" i="3"/>
  <c r="AA1606" i="3"/>
  <c r="AJ1606" i="3" s="1"/>
  <c r="AB1606" i="3"/>
  <c r="AC1606" i="3"/>
  <c r="AD1606" i="3"/>
  <c r="AE1606" i="3"/>
  <c r="AF1606" i="3"/>
  <c r="AG1606" i="3"/>
  <c r="AH1606" i="3"/>
  <c r="AI1606" i="3"/>
  <c r="Z1607" i="3"/>
  <c r="AA1607" i="3"/>
  <c r="AB1607" i="3"/>
  <c r="AC1607" i="3"/>
  <c r="AD1607" i="3"/>
  <c r="AE1607" i="3"/>
  <c r="AF1607" i="3"/>
  <c r="AG1607" i="3"/>
  <c r="AH1607" i="3"/>
  <c r="AI1607" i="3"/>
  <c r="Z1608" i="3"/>
  <c r="AA1608" i="3"/>
  <c r="AB1608" i="3"/>
  <c r="AC1608" i="3"/>
  <c r="AD1608" i="3"/>
  <c r="AE1608" i="3"/>
  <c r="AF1608" i="3"/>
  <c r="AG1608" i="3"/>
  <c r="AH1608" i="3"/>
  <c r="AI1608" i="3"/>
  <c r="AJ1608" i="3"/>
  <c r="Z1609" i="3"/>
  <c r="AA1609" i="3"/>
  <c r="AB1609" i="3"/>
  <c r="AC1609" i="3"/>
  <c r="AD1609" i="3"/>
  <c r="AE1609" i="3"/>
  <c r="AF1609" i="3"/>
  <c r="AG1609" i="3"/>
  <c r="AH1609" i="3"/>
  <c r="AI1609" i="3"/>
  <c r="Z1610" i="3"/>
  <c r="AA1610" i="3"/>
  <c r="AB1610" i="3"/>
  <c r="AC1610" i="3"/>
  <c r="AD1610" i="3"/>
  <c r="AJ1610" i="3" s="1"/>
  <c r="AE1610" i="3"/>
  <c r="AF1610" i="3"/>
  <c r="AG1610" i="3"/>
  <c r="AH1610" i="3"/>
  <c r="AI1610" i="3"/>
  <c r="Z1611" i="3"/>
  <c r="AA1611" i="3"/>
  <c r="AB1611" i="3"/>
  <c r="AC1611" i="3"/>
  <c r="AD1611" i="3"/>
  <c r="AE1611" i="3"/>
  <c r="AF1611" i="3"/>
  <c r="AG1611" i="3"/>
  <c r="AH1611" i="3"/>
  <c r="AI1611" i="3"/>
  <c r="Z1612" i="3"/>
  <c r="AJ1612" i="3" s="1"/>
  <c r="AA1612" i="3"/>
  <c r="AB1612" i="3"/>
  <c r="AC1612" i="3"/>
  <c r="AD1612" i="3"/>
  <c r="AE1612" i="3"/>
  <c r="AF1612" i="3"/>
  <c r="AG1612" i="3"/>
  <c r="AH1612" i="3"/>
  <c r="AI1612" i="3"/>
  <c r="Z1613" i="3"/>
  <c r="AA1613" i="3"/>
  <c r="AB1613" i="3"/>
  <c r="AC1613" i="3"/>
  <c r="AD1613" i="3"/>
  <c r="AE1613" i="3"/>
  <c r="AF1613" i="3"/>
  <c r="AG1613" i="3"/>
  <c r="AH1613" i="3"/>
  <c r="AI1613" i="3"/>
  <c r="Z1614" i="3"/>
  <c r="AA1614" i="3"/>
  <c r="AB1614" i="3"/>
  <c r="AC1614" i="3"/>
  <c r="AD1614" i="3"/>
  <c r="AE1614" i="3"/>
  <c r="AF1614" i="3"/>
  <c r="AG1614" i="3"/>
  <c r="AH1614" i="3"/>
  <c r="AI1614" i="3"/>
  <c r="Z1615" i="3"/>
  <c r="AA1615" i="3"/>
  <c r="AB1615" i="3"/>
  <c r="AC1615" i="3"/>
  <c r="AD1615" i="3"/>
  <c r="AE1615" i="3"/>
  <c r="AF1615" i="3"/>
  <c r="AG1615" i="3"/>
  <c r="AH1615" i="3"/>
  <c r="AI1615" i="3"/>
  <c r="Z1616" i="3"/>
  <c r="AA1616" i="3"/>
  <c r="AB1616" i="3"/>
  <c r="AC1616" i="3"/>
  <c r="AD1616" i="3"/>
  <c r="AJ1616" i="3" s="1"/>
  <c r="AE1616" i="3"/>
  <c r="AF1616" i="3"/>
  <c r="AG1616" i="3"/>
  <c r="AH1616" i="3"/>
  <c r="AI1616" i="3"/>
  <c r="Z1617" i="3"/>
  <c r="AA1617" i="3"/>
  <c r="AB1617" i="3"/>
  <c r="AC1617" i="3"/>
  <c r="AD1617" i="3"/>
  <c r="AE1617" i="3"/>
  <c r="AF1617" i="3"/>
  <c r="AG1617" i="3"/>
  <c r="AH1617" i="3"/>
  <c r="AI1617" i="3"/>
  <c r="Z1618" i="3"/>
  <c r="AJ1618" i="3" s="1"/>
  <c r="AA1618" i="3"/>
  <c r="AB1618" i="3"/>
  <c r="AC1618" i="3"/>
  <c r="AD1618" i="3"/>
  <c r="AE1618" i="3"/>
  <c r="AF1618" i="3"/>
  <c r="AG1618" i="3"/>
  <c r="AH1618" i="3"/>
  <c r="AI1618" i="3"/>
  <c r="Z1619" i="3"/>
  <c r="AA1619" i="3"/>
  <c r="AB1619" i="3"/>
  <c r="AC1619" i="3"/>
  <c r="AD1619" i="3"/>
  <c r="AE1619" i="3"/>
  <c r="AF1619" i="3"/>
  <c r="AG1619" i="3"/>
  <c r="AH1619" i="3"/>
  <c r="AI1619" i="3"/>
  <c r="Z1620" i="3"/>
  <c r="AA1620" i="3"/>
  <c r="AB1620" i="3"/>
  <c r="AC1620" i="3"/>
  <c r="AD1620" i="3"/>
  <c r="AE1620" i="3"/>
  <c r="AF1620" i="3"/>
  <c r="AG1620" i="3"/>
  <c r="AH1620" i="3"/>
  <c r="AI1620" i="3"/>
  <c r="Z1621" i="3"/>
  <c r="AA1621" i="3"/>
  <c r="AB1621" i="3"/>
  <c r="AC1621" i="3"/>
  <c r="AD1621" i="3"/>
  <c r="AE1621" i="3"/>
  <c r="AF1621" i="3"/>
  <c r="AG1621" i="3"/>
  <c r="AH1621" i="3"/>
  <c r="AI1621" i="3"/>
  <c r="Z1622" i="3"/>
  <c r="AJ1622" i="3" s="1"/>
  <c r="AA1622" i="3"/>
  <c r="AB1622" i="3"/>
  <c r="AC1622" i="3"/>
  <c r="AD1622" i="3"/>
  <c r="AE1622" i="3"/>
  <c r="AF1622" i="3"/>
  <c r="AG1622" i="3"/>
  <c r="AH1622" i="3"/>
  <c r="AI1622" i="3"/>
  <c r="Z1623" i="3"/>
  <c r="AA1623" i="3"/>
  <c r="AB1623" i="3"/>
  <c r="AC1623" i="3"/>
  <c r="AD1623" i="3"/>
  <c r="AE1623" i="3"/>
  <c r="AF1623" i="3"/>
  <c r="AG1623" i="3"/>
  <c r="AH1623" i="3"/>
  <c r="AI1623" i="3"/>
  <c r="Z1624" i="3"/>
  <c r="AA1624" i="3"/>
  <c r="AB1624" i="3"/>
  <c r="AC1624" i="3"/>
  <c r="AD1624" i="3"/>
  <c r="AE1624" i="3"/>
  <c r="AF1624" i="3"/>
  <c r="AG1624" i="3"/>
  <c r="AH1624" i="3"/>
  <c r="AI1624" i="3"/>
  <c r="Z1625" i="3"/>
  <c r="AA1625" i="3"/>
  <c r="AB1625" i="3"/>
  <c r="AC1625" i="3"/>
  <c r="AD1625" i="3"/>
  <c r="AE1625" i="3"/>
  <c r="AF1625" i="3"/>
  <c r="AG1625" i="3"/>
  <c r="AH1625" i="3"/>
  <c r="AI1625" i="3"/>
  <c r="Z1626" i="3"/>
  <c r="AA1626" i="3"/>
  <c r="AB1626" i="3"/>
  <c r="AC1626" i="3"/>
  <c r="AD1626" i="3"/>
  <c r="AE1626" i="3"/>
  <c r="AF1626" i="3"/>
  <c r="AG1626" i="3"/>
  <c r="AH1626" i="3"/>
  <c r="AI1626" i="3"/>
  <c r="Z1627" i="3"/>
  <c r="AA1627" i="3"/>
  <c r="AJ1627" i="3" s="1"/>
  <c r="AB1627" i="3"/>
  <c r="AC1627" i="3"/>
  <c r="AD1627" i="3"/>
  <c r="AE1627" i="3"/>
  <c r="AF1627" i="3"/>
  <c r="AG1627" i="3"/>
  <c r="AH1627" i="3"/>
  <c r="AI1627" i="3"/>
  <c r="Z1628" i="3"/>
  <c r="AA1628" i="3"/>
  <c r="AB1628" i="3"/>
  <c r="AC1628" i="3"/>
  <c r="AD1628" i="3"/>
  <c r="AE1628" i="3"/>
  <c r="AF1628" i="3"/>
  <c r="AG1628" i="3"/>
  <c r="AH1628" i="3"/>
  <c r="AI1628" i="3"/>
  <c r="AJ1628" i="3"/>
  <c r="Z1629" i="3"/>
  <c r="AA1629" i="3"/>
  <c r="AB1629" i="3"/>
  <c r="AC1629" i="3"/>
  <c r="AD1629" i="3"/>
  <c r="AE1629" i="3"/>
  <c r="AF1629" i="3"/>
  <c r="AG1629" i="3"/>
  <c r="AH1629" i="3"/>
  <c r="AI1629" i="3"/>
  <c r="Z1630" i="3"/>
  <c r="AA1630" i="3"/>
  <c r="AJ1630" i="3" s="1"/>
  <c r="AB1630" i="3"/>
  <c r="AC1630" i="3"/>
  <c r="AD1630" i="3"/>
  <c r="AE1630" i="3"/>
  <c r="AF1630" i="3"/>
  <c r="AG1630" i="3"/>
  <c r="AH1630" i="3"/>
  <c r="AI1630" i="3"/>
  <c r="Z1631" i="3"/>
  <c r="AA1631" i="3"/>
  <c r="AB1631" i="3"/>
  <c r="AC1631" i="3"/>
  <c r="AD1631" i="3"/>
  <c r="AE1631" i="3"/>
  <c r="AF1631" i="3"/>
  <c r="AG1631" i="3"/>
  <c r="AH1631" i="3"/>
  <c r="AI1631" i="3"/>
  <c r="Z1632" i="3"/>
  <c r="AA1632" i="3"/>
  <c r="AB1632" i="3"/>
  <c r="AC1632" i="3"/>
  <c r="AD1632" i="3"/>
  <c r="AE1632" i="3"/>
  <c r="AF1632" i="3"/>
  <c r="AG1632" i="3"/>
  <c r="AH1632" i="3"/>
  <c r="AI1632" i="3"/>
  <c r="Z1633" i="3"/>
  <c r="AA1633" i="3"/>
  <c r="AB1633" i="3"/>
  <c r="AC1633" i="3"/>
  <c r="AD1633" i="3"/>
  <c r="AE1633" i="3"/>
  <c r="AF1633" i="3"/>
  <c r="AG1633" i="3"/>
  <c r="AH1633" i="3"/>
  <c r="AI1633" i="3"/>
  <c r="Z1634" i="3"/>
  <c r="AA1634" i="3"/>
  <c r="AB1634" i="3"/>
  <c r="AC1634" i="3"/>
  <c r="AD1634" i="3"/>
  <c r="AE1634" i="3"/>
  <c r="AF1634" i="3"/>
  <c r="AG1634" i="3"/>
  <c r="AH1634" i="3"/>
  <c r="AI1634" i="3"/>
  <c r="AJ1634" i="3"/>
  <c r="Z1635" i="3"/>
  <c r="AA1635" i="3"/>
  <c r="AJ1635" i="3" s="1"/>
  <c r="AB1635" i="3"/>
  <c r="AC1635" i="3"/>
  <c r="AD1635" i="3"/>
  <c r="AE1635" i="3"/>
  <c r="AF1635" i="3"/>
  <c r="AG1635" i="3"/>
  <c r="AH1635" i="3"/>
  <c r="AI1635" i="3"/>
  <c r="Z1636" i="3"/>
  <c r="AA1636" i="3"/>
  <c r="AB1636" i="3"/>
  <c r="AC1636" i="3"/>
  <c r="AD1636" i="3"/>
  <c r="AJ1636" i="3" s="1"/>
  <c r="AE1636" i="3"/>
  <c r="AF1636" i="3"/>
  <c r="AG1636" i="3"/>
  <c r="AH1636" i="3"/>
  <c r="AI1636" i="3"/>
  <c r="Z1637" i="3"/>
  <c r="AA1637" i="3"/>
  <c r="AB1637" i="3"/>
  <c r="AC1637" i="3"/>
  <c r="AD1637" i="3"/>
  <c r="AE1637" i="3"/>
  <c r="AF1637" i="3"/>
  <c r="AG1637" i="3"/>
  <c r="AH1637" i="3"/>
  <c r="AI1637" i="3"/>
  <c r="Z1638" i="3"/>
  <c r="AA1638" i="3"/>
  <c r="AJ1638" i="3" s="1"/>
  <c r="AB1638" i="3"/>
  <c r="AC1638" i="3"/>
  <c r="AD1638" i="3"/>
  <c r="AE1638" i="3"/>
  <c r="AF1638" i="3"/>
  <c r="AG1638" i="3"/>
  <c r="AH1638" i="3"/>
  <c r="AI1638" i="3"/>
  <c r="Z1639" i="3"/>
  <c r="AA1639" i="3"/>
  <c r="AB1639" i="3"/>
  <c r="AC1639" i="3"/>
  <c r="AD1639" i="3"/>
  <c r="AE1639" i="3"/>
  <c r="AF1639" i="3"/>
  <c r="AG1639" i="3"/>
  <c r="AH1639" i="3"/>
  <c r="AI1639" i="3"/>
  <c r="AJ1639" i="3"/>
  <c r="Z1640" i="3"/>
  <c r="AJ1640" i="3" s="1"/>
  <c r="AA1640" i="3"/>
  <c r="AB1640" i="3"/>
  <c r="AC1640" i="3"/>
  <c r="AD1640" i="3"/>
  <c r="AE1640" i="3"/>
  <c r="AF1640" i="3"/>
  <c r="AG1640" i="3"/>
  <c r="AH1640" i="3"/>
  <c r="AI1640" i="3"/>
  <c r="Z1641" i="3"/>
  <c r="AJ1641" i="3" s="1"/>
  <c r="AA1641" i="3"/>
  <c r="AB1641" i="3"/>
  <c r="AC1641" i="3"/>
  <c r="AD1641" i="3"/>
  <c r="AE1641" i="3"/>
  <c r="AF1641" i="3"/>
  <c r="AG1641" i="3"/>
  <c r="AH1641" i="3"/>
  <c r="AI1641" i="3"/>
  <c r="Z1642" i="3"/>
  <c r="AJ1642" i="3" s="1"/>
  <c r="AA1642" i="3"/>
  <c r="AB1642" i="3"/>
  <c r="AC1642" i="3"/>
  <c r="AD1642" i="3"/>
  <c r="AE1642" i="3"/>
  <c r="AF1642" i="3"/>
  <c r="AG1642" i="3"/>
  <c r="AH1642" i="3"/>
  <c r="AI1642" i="3"/>
  <c r="Z1643" i="3"/>
  <c r="AA1643" i="3"/>
  <c r="AB1643" i="3"/>
  <c r="AC1643" i="3"/>
  <c r="AD1643" i="3"/>
  <c r="AE1643" i="3"/>
  <c r="AF1643" i="3"/>
  <c r="AG1643" i="3"/>
  <c r="AH1643" i="3"/>
  <c r="AI1643" i="3"/>
  <c r="AJ1643" i="3"/>
  <c r="Z1644" i="3"/>
  <c r="AA1644" i="3"/>
  <c r="AB1644" i="3"/>
  <c r="AC1644" i="3"/>
  <c r="AJ1644" i="3" s="1"/>
  <c r="AD1644" i="3"/>
  <c r="AE1644" i="3"/>
  <c r="AF1644" i="3"/>
  <c r="AG1644" i="3"/>
  <c r="AH1644" i="3"/>
  <c r="AI1644" i="3"/>
  <c r="Z1645" i="3"/>
  <c r="AA1645" i="3"/>
  <c r="AB1645" i="3"/>
  <c r="AC1645" i="3"/>
  <c r="AD1645" i="3"/>
  <c r="AE1645" i="3"/>
  <c r="AF1645" i="3"/>
  <c r="AG1645" i="3"/>
  <c r="AH1645" i="3"/>
  <c r="AI1645" i="3"/>
  <c r="Z1646" i="3"/>
  <c r="AA1646" i="3"/>
  <c r="AB1646" i="3"/>
  <c r="AC1646" i="3"/>
  <c r="AD1646" i="3"/>
  <c r="AE1646" i="3"/>
  <c r="AF1646" i="3"/>
  <c r="AG1646" i="3"/>
  <c r="AH1646" i="3"/>
  <c r="AI1646" i="3"/>
  <c r="Z1647" i="3"/>
  <c r="AA1647" i="3"/>
  <c r="AB1647" i="3"/>
  <c r="AC1647" i="3"/>
  <c r="AD1647" i="3"/>
  <c r="AE1647" i="3"/>
  <c r="AF1647" i="3"/>
  <c r="AG1647" i="3"/>
  <c r="AH1647" i="3"/>
  <c r="AI1647" i="3"/>
  <c r="Z1648" i="3"/>
  <c r="AA1648" i="3"/>
  <c r="AB1648" i="3"/>
  <c r="AC1648" i="3"/>
  <c r="AD1648" i="3"/>
  <c r="AE1648" i="3"/>
  <c r="AF1648" i="3"/>
  <c r="AG1648" i="3"/>
  <c r="AH1648" i="3"/>
  <c r="AI1648" i="3"/>
  <c r="AJ1648" i="3"/>
  <c r="Z1649" i="3"/>
  <c r="AA1649" i="3"/>
  <c r="AB1649" i="3"/>
  <c r="AC1649" i="3"/>
  <c r="AD1649" i="3"/>
  <c r="AE1649" i="3"/>
  <c r="AF1649" i="3"/>
  <c r="AG1649" i="3"/>
  <c r="AH1649" i="3"/>
  <c r="AI1649" i="3"/>
  <c r="Z1650" i="3"/>
  <c r="AA1650" i="3"/>
  <c r="AB1650" i="3"/>
  <c r="AC1650" i="3"/>
  <c r="AD1650" i="3"/>
  <c r="AJ1650" i="3" s="1"/>
  <c r="AE1650" i="3"/>
  <c r="AF1650" i="3"/>
  <c r="AG1650" i="3"/>
  <c r="AH1650" i="3"/>
  <c r="AI1650" i="3"/>
  <c r="Z1651" i="3"/>
  <c r="AA1651" i="3"/>
  <c r="AB1651" i="3"/>
  <c r="AC1651" i="3"/>
  <c r="AD1651" i="3"/>
  <c r="AE1651" i="3"/>
  <c r="AF1651" i="3"/>
  <c r="AG1651" i="3"/>
  <c r="AH1651" i="3"/>
  <c r="AI1651" i="3"/>
  <c r="Z1652" i="3"/>
  <c r="AJ1652" i="3" s="1"/>
  <c r="AA1652" i="3"/>
  <c r="AB1652" i="3"/>
  <c r="AC1652" i="3"/>
  <c r="AD1652" i="3"/>
  <c r="AE1652" i="3"/>
  <c r="AF1652" i="3"/>
  <c r="AG1652" i="3"/>
  <c r="AH1652" i="3"/>
  <c r="AI1652" i="3"/>
  <c r="Z1653" i="3"/>
  <c r="AA1653" i="3"/>
  <c r="AB1653" i="3"/>
  <c r="AC1653" i="3"/>
  <c r="AD1653" i="3"/>
  <c r="AE1653" i="3"/>
  <c r="AF1653" i="3"/>
  <c r="AG1653" i="3"/>
  <c r="AH1653" i="3"/>
  <c r="AI1653" i="3"/>
  <c r="Z1654" i="3"/>
  <c r="AA1654" i="3"/>
  <c r="AB1654" i="3"/>
  <c r="AC1654" i="3"/>
  <c r="AD1654" i="3"/>
  <c r="AE1654" i="3"/>
  <c r="AF1654" i="3"/>
  <c r="AG1654" i="3"/>
  <c r="AH1654" i="3"/>
  <c r="AI1654" i="3"/>
  <c r="Z1655" i="3"/>
  <c r="AA1655" i="3"/>
  <c r="AB1655" i="3"/>
  <c r="AC1655" i="3"/>
  <c r="AD1655" i="3"/>
  <c r="AE1655" i="3"/>
  <c r="AF1655" i="3"/>
  <c r="AG1655" i="3"/>
  <c r="AH1655" i="3"/>
  <c r="AI1655" i="3"/>
  <c r="Z1656" i="3"/>
  <c r="AA1656" i="3"/>
  <c r="AB1656" i="3"/>
  <c r="AC1656" i="3"/>
  <c r="AD1656" i="3"/>
  <c r="AE1656" i="3"/>
  <c r="AF1656" i="3"/>
  <c r="AG1656" i="3"/>
  <c r="AH1656" i="3"/>
  <c r="AI1656" i="3"/>
  <c r="Z1657" i="3"/>
  <c r="AA1657" i="3"/>
  <c r="AB1657" i="3"/>
  <c r="AC1657" i="3"/>
  <c r="AD1657" i="3"/>
  <c r="AE1657" i="3"/>
  <c r="AF1657" i="3"/>
  <c r="AG1657" i="3"/>
  <c r="AH1657" i="3"/>
  <c r="AI1657" i="3"/>
  <c r="Z1658" i="3"/>
  <c r="AA1658" i="3"/>
  <c r="AB1658" i="3"/>
  <c r="AC1658" i="3"/>
  <c r="AD1658" i="3"/>
  <c r="AE1658" i="3"/>
  <c r="AJ1658" i="3" s="1"/>
  <c r="AF1658" i="3"/>
  <c r="AG1658" i="3"/>
  <c r="AH1658" i="3"/>
  <c r="AI1658" i="3"/>
  <c r="Z1659" i="3"/>
  <c r="AA1659" i="3"/>
  <c r="AB1659" i="3"/>
  <c r="AC1659" i="3"/>
  <c r="AD1659" i="3"/>
  <c r="AE1659" i="3"/>
  <c r="AF1659" i="3"/>
  <c r="AG1659" i="3"/>
  <c r="AH1659" i="3"/>
  <c r="AI1659" i="3"/>
  <c r="AJ1659" i="3"/>
  <c r="Z1660" i="3"/>
  <c r="AA1660" i="3"/>
  <c r="AB1660" i="3"/>
  <c r="AC1660" i="3"/>
  <c r="AD1660" i="3"/>
  <c r="AE1660" i="3"/>
  <c r="AF1660" i="3"/>
  <c r="AG1660" i="3"/>
  <c r="AH1660" i="3"/>
  <c r="AI1660" i="3"/>
  <c r="Z1661" i="3"/>
  <c r="AA1661" i="3"/>
  <c r="AB1661" i="3"/>
  <c r="AC1661" i="3"/>
  <c r="AD1661" i="3"/>
  <c r="AE1661" i="3"/>
  <c r="AF1661" i="3"/>
  <c r="AG1661" i="3"/>
  <c r="AH1661" i="3"/>
  <c r="AI1661" i="3"/>
  <c r="Z1662" i="3"/>
  <c r="AA1662" i="3"/>
  <c r="AB1662" i="3"/>
  <c r="AC1662" i="3"/>
  <c r="AD1662" i="3"/>
  <c r="AE1662" i="3"/>
  <c r="AF1662" i="3"/>
  <c r="AG1662" i="3"/>
  <c r="AH1662" i="3"/>
  <c r="AI1662" i="3"/>
  <c r="AJ1662" i="3"/>
  <c r="Z1663" i="3"/>
  <c r="AA1663" i="3"/>
  <c r="AB1663" i="3"/>
  <c r="AC1663" i="3"/>
  <c r="AD1663" i="3"/>
  <c r="AE1663" i="3"/>
  <c r="AF1663" i="3"/>
  <c r="AG1663" i="3"/>
  <c r="AH1663" i="3"/>
  <c r="AI1663" i="3"/>
  <c r="Z1664" i="3"/>
  <c r="AA1664" i="3"/>
  <c r="AB1664" i="3"/>
  <c r="AC1664" i="3"/>
  <c r="AD1664" i="3"/>
  <c r="AJ1664" i="3" s="1"/>
  <c r="AE1664" i="3"/>
  <c r="AF1664" i="3"/>
  <c r="AG1664" i="3"/>
  <c r="AH1664" i="3"/>
  <c r="AI1664" i="3"/>
  <c r="Z1665" i="3"/>
  <c r="AA1665" i="3"/>
  <c r="AB1665" i="3"/>
  <c r="AC1665" i="3"/>
  <c r="AD1665" i="3"/>
  <c r="AE1665" i="3"/>
  <c r="AF1665" i="3"/>
  <c r="AG1665" i="3"/>
  <c r="AH1665" i="3"/>
  <c r="AI1665" i="3"/>
  <c r="Z1666" i="3"/>
  <c r="AA1666" i="3"/>
  <c r="AB1666" i="3"/>
  <c r="AC1666" i="3"/>
  <c r="AD1666" i="3"/>
  <c r="AE1666" i="3"/>
  <c r="AF1666" i="3"/>
  <c r="AG1666" i="3"/>
  <c r="AH1666" i="3"/>
  <c r="AI1666" i="3"/>
  <c r="Z1667" i="3"/>
  <c r="AA1667" i="3"/>
  <c r="AB1667" i="3"/>
  <c r="AC1667" i="3"/>
  <c r="AD1667" i="3"/>
  <c r="AE1667" i="3"/>
  <c r="AF1667" i="3"/>
  <c r="AG1667" i="3"/>
  <c r="AH1667" i="3"/>
  <c r="AI1667" i="3"/>
  <c r="Z1668" i="3"/>
  <c r="AA1668" i="3"/>
  <c r="AB1668" i="3"/>
  <c r="AC1668" i="3"/>
  <c r="AD1668" i="3"/>
  <c r="AE1668" i="3"/>
  <c r="AF1668" i="3"/>
  <c r="AG1668" i="3"/>
  <c r="AH1668" i="3"/>
  <c r="AI1668" i="3"/>
  <c r="Z1669" i="3"/>
  <c r="AA1669" i="3"/>
  <c r="AB1669" i="3"/>
  <c r="AC1669" i="3"/>
  <c r="AJ1669" i="3" s="1"/>
  <c r="AD1669" i="3"/>
  <c r="AE1669" i="3"/>
  <c r="AF1669" i="3"/>
  <c r="AG1669" i="3"/>
  <c r="AH1669" i="3"/>
  <c r="AI1669" i="3"/>
  <c r="Z1670" i="3"/>
  <c r="AA1670" i="3"/>
  <c r="AB1670" i="3"/>
  <c r="AC1670" i="3"/>
  <c r="AD1670" i="3"/>
  <c r="AE1670" i="3"/>
  <c r="AF1670" i="3"/>
  <c r="AG1670" i="3"/>
  <c r="AH1670" i="3"/>
  <c r="AI1670" i="3"/>
  <c r="AJ1670" i="3"/>
  <c r="Z1671" i="3"/>
  <c r="AA1671" i="3"/>
  <c r="AB1671" i="3"/>
  <c r="AC1671" i="3"/>
  <c r="AD1671" i="3"/>
  <c r="AE1671" i="3"/>
  <c r="AF1671" i="3"/>
  <c r="AG1671" i="3"/>
  <c r="AH1671" i="3"/>
  <c r="AI1671" i="3"/>
  <c r="Z1672" i="3"/>
  <c r="AA1672" i="3"/>
  <c r="AB1672" i="3"/>
  <c r="AC1672" i="3"/>
  <c r="AD1672" i="3"/>
  <c r="AJ1672" i="3" s="1"/>
  <c r="AE1672" i="3"/>
  <c r="AF1672" i="3"/>
  <c r="AG1672" i="3"/>
  <c r="AH1672" i="3"/>
  <c r="AI1672" i="3"/>
  <c r="Z1673" i="3"/>
  <c r="AJ1673" i="3" s="1"/>
  <c r="AA1673" i="3"/>
  <c r="AB1673" i="3"/>
  <c r="AC1673" i="3"/>
  <c r="AD1673" i="3"/>
  <c r="AE1673" i="3"/>
  <c r="AF1673" i="3"/>
  <c r="AG1673" i="3"/>
  <c r="AH1673" i="3"/>
  <c r="AI1673" i="3"/>
  <c r="Z1674" i="3"/>
  <c r="AJ1674" i="3" s="1"/>
  <c r="AA1674" i="3"/>
  <c r="AB1674" i="3"/>
  <c r="AC1674" i="3"/>
  <c r="AD1674" i="3"/>
  <c r="AE1674" i="3"/>
  <c r="AF1674" i="3"/>
  <c r="AG1674" i="3"/>
  <c r="AH1674" i="3"/>
  <c r="AI1674" i="3"/>
  <c r="Z1675" i="3"/>
  <c r="AJ1675" i="3" s="1"/>
  <c r="AA1675" i="3"/>
  <c r="AB1675" i="3"/>
  <c r="AC1675" i="3"/>
  <c r="AD1675" i="3"/>
  <c r="AE1675" i="3"/>
  <c r="AF1675" i="3"/>
  <c r="AG1675" i="3"/>
  <c r="AH1675" i="3"/>
  <c r="AI1675" i="3"/>
  <c r="Z1676" i="3"/>
  <c r="AA1676" i="3"/>
  <c r="AB1676" i="3"/>
  <c r="AC1676" i="3"/>
  <c r="AD1676" i="3"/>
  <c r="AE1676" i="3"/>
  <c r="AF1676" i="3"/>
  <c r="AG1676" i="3"/>
  <c r="AH1676" i="3"/>
  <c r="AI1676" i="3"/>
  <c r="Z1677" i="3"/>
  <c r="AA1677" i="3"/>
  <c r="AB1677" i="3"/>
  <c r="AC1677" i="3"/>
  <c r="AD1677" i="3"/>
  <c r="AE1677" i="3"/>
  <c r="AF1677" i="3"/>
  <c r="AG1677" i="3"/>
  <c r="AH1677" i="3"/>
  <c r="AI1677" i="3"/>
  <c r="Z1678" i="3"/>
  <c r="AA1678" i="3"/>
  <c r="AB1678" i="3"/>
  <c r="AC1678" i="3"/>
  <c r="AD1678" i="3"/>
  <c r="AE1678" i="3"/>
  <c r="AF1678" i="3"/>
  <c r="AG1678" i="3"/>
  <c r="AH1678" i="3"/>
  <c r="AI1678" i="3"/>
  <c r="AJ1678" i="3"/>
  <c r="Z1679" i="3"/>
  <c r="AA1679" i="3"/>
  <c r="AB1679" i="3"/>
  <c r="AC1679" i="3"/>
  <c r="AD1679" i="3"/>
  <c r="AE1679" i="3"/>
  <c r="AF1679" i="3"/>
  <c r="AG1679" i="3"/>
  <c r="AH1679" i="3"/>
  <c r="AI1679" i="3"/>
  <c r="Z1680" i="3"/>
  <c r="AA1680" i="3"/>
  <c r="AB1680" i="3"/>
  <c r="AC1680" i="3"/>
  <c r="AD1680" i="3"/>
  <c r="AJ1680" i="3" s="1"/>
  <c r="AE1680" i="3"/>
  <c r="AF1680" i="3"/>
  <c r="AG1680" i="3"/>
  <c r="AH1680" i="3"/>
  <c r="AI1680" i="3"/>
  <c r="Z1681" i="3"/>
  <c r="AA1681" i="3"/>
  <c r="AB1681" i="3"/>
  <c r="AC1681" i="3"/>
  <c r="AD1681" i="3"/>
  <c r="AE1681" i="3"/>
  <c r="AF1681" i="3"/>
  <c r="AG1681" i="3"/>
  <c r="AH1681" i="3"/>
  <c r="AI1681" i="3"/>
  <c r="Z1682" i="3"/>
  <c r="AJ1682" i="3" s="1"/>
  <c r="AA1682" i="3"/>
  <c r="AB1682" i="3"/>
  <c r="AC1682" i="3"/>
  <c r="AD1682" i="3"/>
  <c r="AE1682" i="3"/>
  <c r="AF1682" i="3"/>
  <c r="AG1682" i="3"/>
  <c r="AH1682" i="3"/>
  <c r="AI1682" i="3"/>
  <c r="Z1683" i="3"/>
  <c r="AA1683" i="3"/>
  <c r="AB1683" i="3"/>
  <c r="AC1683" i="3"/>
  <c r="AD1683" i="3"/>
  <c r="AE1683" i="3"/>
  <c r="AF1683" i="3"/>
  <c r="AG1683" i="3"/>
  <c r="AH1683" i="3"/>
  <c r="AI1683" i="3"/>
  <c r="Z1684" i="3"/>
  <c r="AA1684" i="3"/>
  <c r="AB1684" i="3"/>
  <c r="AC1684" i="3"/>
  <c r="AD1684" i="3"/>
  <c r="AE1684" i="3"/>
  <c r="AF1684" i="3"/>
  <c r="AG1684" i="3"/>
  <c r="AH1684" i="3"/>
  <c r="AI1684" i="3"/>
  <c r="Z1685" i="3"/>
  <c r="AA1685" i="3"/>
  <c r="AB1685" i="3"/>
  <c r="AC1685" i="3"/>
  <c r="AD1685" i="3"/>
  <c r="AE1685" i="3"/>
  <c r="AF1685" i="3"/>
  <c r="AG1685" i="3"/>
  <c r="AH1685" i="3"/>
  <c r="AI1685" i="3"/>
  <c r="Z1686" i="3"/>
  <c r="AA1686" i="3"/>
  <c r="AB1686" i="3"/>
  <c r="AC1686" i="3"/>
  <c r="AD1686" i="3"/>
  <c r="AE1686" i="3"/>
  <c r="AF1686" i="3"/>
  <c r="AG1686" i="3"/>
  <c r="AH1686" i="3"/>
  <c r="AI1686" i="3"/>
  <c r="AJ1686" i="3"/>
  <c r="Z1687" i="3"/>
  <c r="AA1687" i="3"/>
  <c r="AB1687" i="3"/>
  <c r="AC1687" i="3"/>
  <c r="AD1687" i="3"/>
  <c r="AE1687" i="3"/>
  <c r="AF1687" i="3"/>
  <c r="AG1687" i="3"/>
  <c r="AH1687" i="3"/>
  <c r="AI1687" i="3"/>
  <c r="Z1688" i="3"/>
  <c r="AA1688" i="3"/>
  <c r="AB1688" i="3"/>
  <c r="AC1688" i="3"/>
  <c r="AD1688" i="3"/>
  <c r="AJ1688" i="3" s="1"/>
  <c r="AE1688" i="3"/>
  <c r="AF1688" i="3"/>
  <c r="AG1688" i="3"/>
  <c r="AH1688" i="3"/>
  <c r="AI1688" i="3"/>
  <c r="Z1689" i="3"/>
  <c r="AJ1689" i="3" s="1"/>
  <c r="AA1689" i="3"/>
  <c r="AB1689" i="3"/>
  <c r="AC1689" i="3"/>
  <c r="AD1689" i="3"/>
  <c r="AE1689" i="3"/>
  <c r="AF1689" i="3"/>
  <c r="AG1689" i="3"/>
  <c r="AH1689" i="3"/>
  <c r="AI1689" i="3"/>
  <c r="Z1690" i="3"/>
  <c r="AA1690" i="3"/>
  <c r="AB1690" i="3"/>
  <c r="AC1690" i="3"/>
  <c r="AD1690" i="3"/>
  <c r="AE1690" i="3"/>
  <c r="AF1690" i="3"/>
  <c r="AG1690" i="3"/>
  <c r="AH1690" i="3"/>
  <c r="AI1690" i="3"/>
  <c r="Z1691" i="3"/>
  <c r="AJ1691" i="3" s="1"/>
  <c r="AA1691" i="3"/>
  <c r="AB1691" i="3"/>
  <c r="AC1691" i="3"/>
  <c r="AD1691" i="3"/>
  <c r="AE1691" i="3"/>
  <c r="AF1691" i="3"/>
  <c r="AG1691" i="3"/>
  <c r="AH1691" i="3"/>
  <c r="AI1691" i="3"/>
  <c r="Z1692" i="3"/>
  <c r="AA1692" i="3"/>
  <c r="AB1692" i="3"/>
  <c r="AC1692" i="3"/>
  <c r="AD1692" i="3"/>
  <c r="AE1692" i="3"/>
  <c r="AF1692" i="3"/>
  <c r="AG1692" i="3"/>
  <c r="AH1692" i="3"/>
  <c r="AI1692" i="3"/>
  <c r="Z1693" i="3"/>
  <c r="AA1693" i="3"/>
  <c r="AB1693" i="3"/>
  <c r="AC1693" i="3"/>
  <c r="AJ1693" i="3" s="1"/>
  <c r="AD1693" i="3"/>
  <c r="AE1693" i="3"/>
  <c r="AF1693" i="3"/>
  <c r="AG1693" i="3"/>
  <c r="AH1693" i="3"/>
  <c r="AI1693" i="3"/>
  <c r="Z1694" i="3"/>
  <c r="AA1694" i="3"/>
  <c r="AB1694" i="3"/>
  <c r="AC1694" i="3"/>
  <c r="AD1694" i="3"/>
  <c r="AE1694" i="3"/>
  <c r="AF1694" i="3"/>
  <c r="AG1694" i="3"/>
  <c r="AH1694" i="3"/>
  <c r="AI1694" i="3"/>
  <c r="AJ1694" i="3"/>
  <c r="Z1695" i="3"/>
  <c r="AA1695" i="3"/>
  <c r="AB1695" i="3"/>
  <c r="AC1695" i="3"/>
  <c r="AD1695" i="3"/>
  <c r="AE1695" i="3"/>
  <c r="AF1695" i="3"/>
  <c r="AG1695" i="3"/>
  <c r="AH1695" i="3"/>
  <c r="AI1695" i="3"/>
  <c r="Z1696" i="3"/>
  <c r="AA1696" i="3"/>
  <c r="AB1696" i="3"/>
  <c r="AC1696" i="3"/>
  <c r="AD1696" i="3"/>
  <c r="AJ1696" i="3" s="1"/>
  <c r="AE1696" i="3"/>
  <c r="AF1696" i="3"/>
  <c r="AG1696" i="3"/>
  <c r="AH1696" i="3"/>
  <c r="AI1696" i="3"/>
  <c r="Z1697" i="3"/>
  <c r="AA1697" i="3"/>
  <c r="AB1697" i="3"/>
  <c r="AC1697" i="3"/>
  <c r="AD1697" i="3"/>
  <c r="AE1697" i="3"/>
  <c r="AF1697" i="3"/>
  <c r="AG1697" i="3"/>
  <c r="AH1697" i="3"/>
  <c r="AI1697" i="3"/>
  <c r="Z1698" i="3"/>
  <c r="AA1698" i="3"/>
  <c r="AB1698" i="3"/>
  <c r="AC1698" i="3"/>
  <c r="AD1698" i="3"/>
  <c r="AE1698" i="3"/>
  <c r="AF1698" i="3"/>
  <c r="AG1698" i="3"/>
  <c r="AH1698" i="3"/>
  <c r="AI1698" i="3"/>
  <c r="Z1699" i="3"/>
  <c r="AA1699" i="3"/>
  <c r="AB1699" i="3"/>
  <c r="AC1699" i="3"/>
  <c r="AD1699" i="3"/>
  <c r="AE1699" i="3"/>
  <c r="AF1699" i="3"/>
  <c r="AG1699" i="3"/>
  <c r="AH1699" i="3"/>
  <c r="AI1699" i="3"/>
  <c r="Z1700" i="3"/>
  <c r="AA1700" i="3"/>
  <c r="AB1700" i="3"/>
  <c r="AC1700" i="3"/>
  <c r="AD1700" i="3"/>
  <c r="AE1700" i="3"/>
  <c r="AF1700" i="3"/>
  <c r="AG1700" i="3"/>
  <c r="AH1700" i="3"/>
  <c r="AI1700" i="3"/>
  <c r="Z1701" i="3"/>
  <c r="AA1701" i="3"/>
  <c r="AB1701" i="3"/>
  <c r="AC1701" i="3"/>
  <c r="AJ1701" i="3" s="1"/>
  <c r="AD1701" i="3"/>
  <c r="AE1701" i="3"/>
  <c r="AF1701" i="3"/>
  <c r="AG1701" i="3"/>
  <c r="AH1701" i="3"/>
  <c r="AI1701" i="3"/>
  <c r="Z1702" i="3"/>
  <c r="AA1702" i="3"/>
  <c r="AB1702" i="3"/>
  <c r="AC1702" i="3"/>
  <c r="AD1702" i="3"/>
  <c r="AE1702" i="3"/>
  <c r="AF1702" i="3"/>
  <c r="AG1702" i="3"/>
  <c r="AH1702" i="3"/>
  <c r="AI1702" i="3"/>
  <c r="AJ1702" i="3"/>
  <c r="Z1703" i="3"/>
  <c r="AA1703" i="3"/>
  <c r="AB1703" i="3"/>
  <c r="AC1703" i="3"/>
  <c r="AD1703" i="3"/>
  <c r="AE1703" i="3"/>
  <c r="AF1703" i="3"/>
  <c r="AG1703" i="3"/>
  <c r="AH1703" i="3"/>
  <c r="AI1703" i="3"/>
  <c r="Z1704" i="3"/>
  <c r="AA1704" i="3"/>
  <c r="AB1704" i="3"/>
  <c r="AC1704" i="3"/>
  <c r="AD1704" i="3"/>
  <c r="AJ1704" i="3" s="1"/>
  <c r="AE1704" i="3"/>
  <c r="AF1704" i="3"/>
  <c r="AG1704" i="3"/>
  <c r="AH1704" i="3"/>
  <c r="AI1704" i="3"/>
  <c r="Z1705" i="3"/>
  <c r="AJ1705" i="3" s="1"/>
  <c r="AA1705" i="3"/>
  <c r="AB1705" i="3"/>
  <c r="AC1705" i="3"/>
  <c r="AD1705" i="3"/>
  <c r="AE1705" i="3"/>
  <c r="AF1705" i="3"/>
  <c r="AG1705" i="3"/>
  <c r="AH1705" i="3"/>
  <c r="AI1705" i="3"/>
  <c r="Z1706" i="3"/>
  <c r="AA1706" i="3"/>
  <c r="AB1706" i="3"/>
  <c r="AC1706" i="3"/>
  <c r="AD1706" i="3"/>
  <c r="AE1706" i="3"/>
  <c r="AF1706" i="3"/>
  <c r="AG1706" i="3"/>
  <c r="AH1706" i="3"/>
  <c r="AI1706" i="3"/>
  <c r="Z1707" i="3"/>
  <c r="AA1707" i="3"/>
  <c r="AB1707" i="3"/>
  <c r="AC1707" i="3"/>
  <c r="AD1707" i="3"/>
  <c r="AE1707" i="3"/>
  <c r="AF1707" i="3"/>
  <c r="AG1707" i="3"/>
  <c r="AH1707" i="3"/>
  <c r="AI1707" i="3"/>
  <c r="Z1708" i="3"/>
  <c r="AA1708" i="3"/>
  <c r="AB1708" i="3"/>
  <c r="AC1708" i="3"/>
  <c r="AD1708" i="3"/>
  <c r="AE1708" i="3"/>
  <c r="AF1708" i="3"/>
  <c r="AG1708" i="3"/>
  <c r="AH1708" i="3"/>
  <c r="AI1708" i="3"/>
  <c r="Z1709" i="3"/>
  <c r="AA1709" i="3"/>
  <c r="AB1709" i="3"/>
  <c r="AC1709" i="3"/>
  <c r="AJ1709" i="3" s="1"/>
  <c r="AD1709" i="3"/>
  <c r="AE1709" i="3"/>
  <c r="AF1709" i="3"/>
  <c r="AG1709" i="3"/>
  <c r="AH1709" i="3"/>
  <c r="AI1709" i="3"/>
  <c r="Z1710" i="3"/>
  <c r="AA1710" i="3"/>
  <c r="AB1710" i="3"/>
  <c r="AC1710" i="3"/>
  <c r="AD1710" i="3"/>
  <c r="AE1710" i="3"/>
  <c r="AF1710" i="3"/>
  <c r="AG1710" i="3"/>
  <c r="AH1710" i="3"/>
  <c r="AI1710" i="3"/>
  <c r="AJ1710" i="3"/>
  <c r="Z1711" i="3"/>
  <c r="AA1711" i="3"/>
  <c r="AJ1711" i="3" s="1"/>
  <c r="AB1711" i="3"/>
  <c r="AC1711" i="3"/>
  <c r="AD1711" i="3"/>
  <c r="AE1711" i="3"/>
  <c r="AF1711" i="3"/>
  <c r="AG1711" i="3"/>
  <c r="AH1711" i="3"/>
  <c r="AI1711" i="3"/>
  <c r="Z1712" i="3"/>
  <c r="AA1712" i="3"/>
  <c r="AB1712" i="3"/>
  <c r="AC1712" i="3"/>
  <c r="AD1712" i="3"/>
  <c r="AJ1712" i="3" s="1"/>
  <c r="AE1712" i="3"/>
  <c r="AF1712" i="3"/>
  <c r="AG1712" i="3"/>
  <c r="AH1712" i="3"/>
  <c r="AI1712" i="3"/>
  <c r="Z1713" i="3"/>
  <c r="AA1713" i="3"/>
  <c r="AB1713" i="3"/>
  <c r="AC1713" i="3"/>
  <c r="AD1713" i="3"/>
  <c r="AE1713" i="3"/>
  <c r="AF1713" i="3"/>
  <c r="AG1713" i="3"/>
  <c r="AH1713" i="3"/>
  <c r="AI1713" i="3"/>
  <c r="Z1714" i="3"/>
  <c r="AA1714" i="3"/>
  <c r="AB1714" i="3"/>
  <c r="AC1714" i="3"/>
  <c r="AD1714" i="3"/>
  <c r="AE1714" i="3"/>
  <c r="AF1714" i="3"/>
  <c r="AG1714" i="3"/>
  <c r="AH1714" i="3"/>
  <c r="AI1714" i="3"/>
  <c r="Z1715" i="3"/>
  <c r="AA1715" i="3"/>
  <c r="AB1715" i="3"/>
  <c r="AC1715" i="3"/>
  <c r="AD1715" i="3"/>
  <c r="AE1715" i="3"/>
  <c r="AF1715" i="3"/>
  <c r="AG1715" i="3"/>
  <c r="AH1715" i="3"/>
  <c r="AI1715" i="3"/>
  <c r="Z1716" i="3"/>
  <c r="AA1716" i="3"/>
  <c r="AB1716" i="3"/>
  <c r="AC1716" i="3"/>
  <c r="AD1716" i="3"/>
  <c r="AE1716" i="3"/>
  <c r="AF1716" i="3"/>
  <c r="AG1716" i="3"/>
  <c r="AH1716" i="3"/>
  <c r="AI1716" i="3"/>
  <c r="Z1717" i="3"/>
  <c r="AA1717" i="3"/>
  <c r="AB1717" i="3"/>
  <c r="AC1717" i="3"/>
  <c r="AD1717" i="3"/>
  <c r="AE1717" i="3"/>
  <c r="AF1717" i="3"/>
  <c r="AG1717" i="3"/>
  <c r="AH1717" i="3"/>
  <c r="AI1717" i="3"/>
  <c r="Z1718" i="3"/>
  <c r="AA1718" i="3"/>
  <c r="AB1718" i="3"/>
  <c r="AC1718" i="3"/>
  <c r="AD1718" i="3"/>
  <c r="AE1718" i="3"/>
  <c r="AF1718" i="3"/>
  <c r="AG1718" i="3"/>
  <c r="AH1718" i="3"/>
  <c r="AI1718" i="3"/>
  <c r="AJ1718" i="3"/>
  <c r="Z1719" i="3"/>
  <c r="AA1719" i="3"/>
  <c r="AJ1719" i="3" s="1"/>
  <c r="AB1719" i="3"/>
  <c r="AC1719" i="3"/>
  <c r="AD1719" i="3"/>
  <c r="AE1719" i="3"/>
  <c r="AF1719" i="3"/>
  <c r="AG1719" i="3"/>
  <c r="AH1719" i="3"/>
  <c r="AI1719" i="3"/>
  <c r="Z1720" i="3"/>
  <c r="AA1720" i="3"/>
  <c r="AB1720" i="3"/>
  <c r="AC1720" i="3"/>
  <c r="AD1720" i="3"/>
  <c r="AJ1720" i="3" s="1"/>
  <c r="AE1720" i="3"/>
  <c r="AF1720" i="3"/>
  <c r="AG1720" i="3"/>
  <c r="AH1720" i="3"/>
  <c r="AI1720" i="3"/>
  <c r="Z1721" i="3"/>
  <c r="AJ1721" i="3" s="1"/>
  <c r="AA1721" i="3"/>
  <c r="AB1721" i="3"/>
  <c r="AC1721" i="3"/>
  <c r="AD1721" i="3"/>
  <c r="AE1721" i="3"/>
  <c r="AF1721" i="3"/>
  <c r="AG1721" i="3"/>
  <c r="AH1721" i="3"/>
  <c r="AI1721" i="3"/>
  <c r="Z1722" i="3"/>
  <c r="AA1722" i="3"/>
  <c r="AB1722" i="3"/>
  <c r="AC1722" i="3"/>
  <c r="AD1722" i="3"/>
  <c r="AE1722" i="3"/>
  <c r="AF1722" i="3"/>
  <c r="AG1722" i="3"/>
  <c r="AH1722" i="3"/>
  <c r="AI1722" i="3"/>
  <c r="Z1723" i="3"/>
  <c r="AJ1723" i="3" s="1"/>
  <c r="AA1723" i="3"/>
  <c r="AB1723" i="3"/>
  <c r="AC1723" i="3"/>
  <c r="AD1723" i="3"/>
  <c r="AE1723" i="3"/>
  <c r="AF1723" i="3"/>
  <c r="AG1723" i="3"/>
  <c r="AH1723" i="3"/>
  <c r="AI1723" i="3"/>
  <c r="Z1724" i="3"/>
  <c r="AA1724" i="3"/>
  <c r="AB1724" i="3"/>
  <c r="AC1724" i="3"/>
  <c r="AD1724" i="3"/>
  <c r="AE1724" i="3"/>
  <c r="AF1724" i="3"/>
  <c r="AG1724" i="3"/>
  <c r="AH1724" i="3"/>
  <c r="AI1724" i="3"/>
  <c r="Z1725" i="3"/>
  <c r="AA1725" i="3"/>
  <c r="AB1725" i="3"/>
  <c r="AC1725" i="3"/>
  <c r="AD1725" i="3"/>
  <c r="AE1725" i="3"/>
  <c r="AF1725" i="3"/>
  <c r="AG1725" i="3"/>
  <c r="AH1725" i="3"/>
  <c r="AI1725" i="3"/>
  <c r="Z1726" i="3"/>
  <c r="AA1726" i="3"/>
  <c r="AB1726" i="3"/>
  <c r="AC1726" i="3"/>
  <c r="AD1726" i="3"/>
  <c r="AE1726" i="3"/>
  <c r="AF1726" i="3"/>
  <c r="AG1726" i="3"/>
  <c r="AH1726" i="3"/>
  <c r="AI1726" i="3"/>
  <c r="AJ1726" i="3"/>
  <c r="Z1727" i="3"/>
  <c r="AA1727" i="3"/>
  <c r="AB1727" i="3"/>
  <c r="AC1727" i="3"/>
  <c r="AD1727" i="3"/>
  <c r="AE1727" i="3"/>
  <c r="AF1727" i="3"/>
  <c r="AG1727" i="3"/>
  <c r="AH1727" i="3"/>
  <c r="AI1727" i="3"/>
  <c r="Z1728" i="3"/>
  <c r="AA1728" i="3"/>
  <c r="AB1728" i="3"/>
  <c r="AC1728" i="3"/>
  <c r="AD1728" i="3"/>
  <c r="AJ1728" i="3" s="1"/>
  <c r="AE1728" i="3"/>
  <c r="AF1728" i="3"/>
  <c r="AG1728" i="3"/>
  <c r="AH1728" i="3"/>
  <c r="AI1728" i="3"/>
  <c r="Z1729" i="3"/>
  <c r="AA1729" i="3"/>
  <c r="AB1729" i="3"/>
  <c r="AC1729" i="3"/>
  <c r="AD1729" i="3"/>
  <c r="AE1729" i="3"/>
  <c r="AF1729" i="3"/>
  <c r="AG1729" i="3"/>
  <c r="AH1729" i="3"/>
  <c r="AI1729" i="3"/>
  <c r="Z1730" i="3"/>
  <c r="AA1730" i="3"/>
  <c r="AB1730" i="3"/>
  <c r="AC1730" i="3"/>
  <c r="AD1730" i="3"/>
  <c r="AE1730" i="3"/>
  <c r="AF1730" i="3"/>
  <c r="AG1730" i="3"/>
  <c r="AH1730" i="3"/>
  <c r="AI1730" i="3"/>
  <c r="Z1731" i="3"/>
  <c r="AA1731" i="3"/>
  <c r="AB1731" i="3"/>
  <c r="AC1731" i="3"/>
  <c r="AD1731" i="3"/>
  <c r="AE1731" i="3"/>
  <c r="AF1731" i="3"/>
  <c r="AG1731" i="3"/>
  <c r="AH1731" i="3"/>
  <c r="AI1731" i="3"/>
  <c r="Z1732" i="3"/>
  <c r="AA1732" i="3"/>
  <c r="AB1732" i="3"/>
  <c r="AC1732" i="3"/>
  <c r="AD1732" i="3"/>
  <c r="AE1732" i="3"/>
  <c r="AF1732" i="3"/>
  <c r="AG1732" i="3"/>
  <c r="AH1732" i="3"/>
  <c r="AI1732" i="3"/>
  <c r="Z1733" i="3"/>
  <c r="AA1733" i="3"/>
  <c r="AB1733" i="3"/>
  <c r="AC1733" i="3"/>
  <c r="AD1733" i="3"/>
  <c r="AE1733" i="3"/>
  <c r="AF1733" i="3"/>
  <c r="AG1733" i="3"/>
  <c r="AH1733" i="3"/>
  <c r="AI1733" i="3"/>
  <c r="Z1734" i="3"/>
  <c r="AA1734" i="3"/>
  <c r="AB1734" i="3"/>
  <c r="AC1734" i="3"/>
  <c r="AD1734" i="3"/>
  <c r="AE1734" i="3"/>
  <c r="AF1734" i="3"/>
  <c r="AG1734" i="3"/>
  <c r="AH1734" i="3"/>
  <c r="AI1734" i="3"/>
  <c r="AJ1734" i="3"/>
  <c r="Z1735" i="3"/>
  <c r="AA1735" i="3"/>
  <c r="AB1735" i="3"/>
  <c r="AC1735" i="3"/>
  <c r="AD1735" i="3"/>
  <c r="AE1735" i="3"/>
  <c r="AF1735" i="3"/>
  <c r="AG1735" i="3"/>
  <c r="AH1735" i="3"/>
  <c r="AI1735" i="3"/>
  <c r="Z1736" i="3"/>
  <c r="AA1736" i="3"/>
  <c r="AB1736" i="3"/>
  <c r="AC1736" i="3"/>
  <c r="AD1736" i="3"/>
  <c r="AJ1736" i="3" s="1"/>
  <c r="AE1736" i="3"/>
  <c r="AF1736" i="3"/>
  <c r="AG1736" i="3"/>
  <c r="AH1736" i="3"/>
  <c r="AI1736" i="3"/>
  <c r="Z1737" i="3"/>
  <c r="AJ1737" i="3" s="1"/>
  <c r="AA1737" i="3"/>
  <c r="AB1737" i="3"/>
  <c r="AC1737" i="3"/>
  <c r="AD1737" i="3"/>
  <c r="AE1737" i="3"/>
  <c r="AF1737" i="3"/>
  <c r="AG1737" i="3"/>
  <c r="AH1737" i="3"/>
  <c r="AI1737" i="3"/>
  <c r="Z1738" i="3"/>
  <c r="AJ1738" i="3" s="1"/>
  <c r="AA1738" i="3"/>
  <c r="AB1738" i="3"/>
  <c r="AC1738" i="3"/>
  <c r="AD1738" i="3"/>
  <c r="AE1738" i="3"/>
  <c r="AF1738" i="3"/>
  <c r="AG1738" i="3"/>
  <c r="AH1738" i="3"/>
  <c r="AI1738" i="3"/>
  <c r="Z1739" i="3"/>
  <c r="AA1739" i="3"/>
  <c r="AB1739" i="3"/>
  <c r="AC1739" i="3"/>
  <c r="AD1739" i="3"/>
  <c r="AE1739" i="3"/>
  <c r="AF1739" i="3"/>
  <c r="AG1739" i="3"/>
  <c r="AH1739" i="3"/>
  <c r="AI1739" i="3"/>
  <c r="Z1740" i="3"/>
  <c r="AA1740" i="3"/>
  <c r="AB1740" i="3"/>
  <c r="AC1740" i="3"/>
  <c r="AD1740" i="3"/>
  <c r="AE1740" i="3"/>
  <c r="AF1740" i="3"/>
  <c r="AG1740" i="3"/>
  <c r="AH1740" i="3"/>
  <c r="AI1740" i="3"/>
  <c r="Z1741" i="3"/>
  <c r="AA1741" i="3"/>
  <c r="AB1741" i="3"/>
  <c r="AC1741" i="3"/>
  <c r="AD1741" i="3"/>
  <c r="AE1741" i="3"/>
  <c r="AJ1741" i="3" s="1"/>
  <c r="AF1741" i="3"/>
  <c r="AG1741" i="3"/>
  <c r="AH1741" i="3"/>
  <c r="AI1741" i="3"/>
  <c r="Z1742" i="3"/>
  <c r="AA1742" i="3"/>
  <c r="AB1742" i="3"/>
  <c r="AC1742" i="3"/>
  <c r="AD1742" i="3"/>
  <c r="AE1742" i="3"/>
  <c r="AF1742" i="3"/>
  <c r="AG1742" i="3"/>
  <c r="AH1742" i="3"/>
  <c r="AI1742" i="3"/>
  <c r="AJ1742" i="3"/>
  <c r="Z1743" i="3"/>
  <c r="AA1743" i="3"/>
  <c r="AB1743" i="3"/>
  <c r="AC1743" i="3"/>
  <c r="AD1743" i="3"/>
  <c r="AE1743" i="3"/>
  <c r="AF1743" i="3"/>
  <c r="AG1743" i="3"/>
  <c r="AH1743" i="3"/>
  <c r="AI1743" i="3"/>
  <c r="Z1744" i="3"/>
  <c r="AA1744" i="3"/>
  <c r="AB1744" i="3"/>
  <c r="AC1744" i="3"/>
  <c r="AD1744" i="3"/>
  <c r="AJ1744" i="3" s="1"/>
  <c r="AE1744" i="3"/>
  <c r="AF1744" i="3"/>
  <c r="AG1744" i="3"/>
  <c r="AH1744" i="3"/>
  <c r="AI1744" i="3"/>
  <c r="Z1745" i="3"/>
  <c r="AA1745" i="3"/>
  <c r="AB1745" i="3"/>
  <c r="AC1745" i="3"/>
  <c r="AD1745" i="3"/>
  <c r="AE1745" i="3"/>
  <c r="AF1745" i="3"/>
  <c r="AG1745" i="3"/>
  <c r="AH1745" i="3"/>
  <c r="AI1745" i="3"/>
  <c r="Z1746" i="3"/>
  <c r="AJ1746" i="3" s="1"/>
  <c r="AA1746" i="3"/>
  <c r="AB1746" i="3"/>
  <c r="AC1746" i="3"/>
  <c r="AD1746" i="3"/>
  <c r="AE1746" i="3"/>
  <c r="AF1746" i="3"/>
  <c r="AG1746" i="3"/>
  <c r="AH1746" i="3"/>
  <c r="AI1746" i="3"/>
  <c r="Z1747" i="3"/>
  <c r="AA1747" i="3"/>
  <c r="AB1747" i="3"/>
  <c r="AC1747" i="3"/>
  <c r="AD1747" i="3"/>
  <c r="AE1747" i="3"/>
  <c r="AF1747" i="3"/>
  <c r="AG1747" i="3"/>
  <c r="AH1747" i="3"/>
  <c r="AI1747" i="3"/>
  <c r="Z1748" i="3"/>
  <c r="AA1748" i="3"/>
  <c r="AB1748" i="3"/>
  <c r="AC1748" i="3"/>
  <c r="AD1748" i="3"/>
  <c r="AE1748" i="3"/>
  <c r="AF1748" i="3"/>
  <c r="AG1748" i="3"/>
  <c r="AH1748" i="3"/>
  <c r="AI1748" i="3"/>
  <c r="Z1749" i="3"/>
  <c r="AA1749" i="3"/>
  <c r="AB1749" i="3"/>
  <c r="AC1749" i="3"/>
  <c r="AD1749" i="3"/>
  <c r="AE1749" i="3"/>
  <c r="AJ1749" i="3" s="1"/>
  <c r="AF1749" i="3"/>
  <c r="AG1749" i="3"/>
  <c r="AH1749" i="3"/>
  <c r="AI1749" i="3"/>
  <c r="Z1750" i="3"/>
  <c r="AA1750" i="3"/>
  <c r="AB1750" i="3"/>
  <c r="AC1750" i="3"/>
  <c r="AD1750" i="3"/>
  <c r="AE1750" i="3"/>
  <c r="AF1750" i="3"/>
  <c r="AG1750" i="3"/>
  <c r="AH1750" i="3"/>
  <c r="AI1750" i="3"/>
  <c r="AJ1750" i="3"/>
  <c r="Z1751" i="3"/>
  <c r="AA1751" i="3"/>
  <c r="AJ1751" i="3" s="1"/>
  <c r="AB1751" i="3"/>
  <c r="AC1751" i="3"/>
  <c r="AD1751" i="3"/>
  <c r="AE1751" i="3"/>
  <c r="AF1751" i="3"/>
  <c r="AG1751" i="3"/>
  <c r="AH1751" i="3"/>
  <c r="AI1751" i="3"/>
  <c r="Z1752" i="3"/>
  <c r="AA1752" i="3"/>
  <c r="AB1752" i="3"/>
  <c r="AC1752" i="3"/>
  <c r="AD1752" i="3"/>
  <c r="AJ1752" i="3" s="1"/>
  <c r="AE1752" i="3"/>
  <c r="AF1752" i="3"/>
  <c r="AG1752" i="3"/>
  <c r="AH1752" i="3"/>
  <c r="AI1752" i="3"/>
  <c r="Z1753" i="3"/>
  <c r="AJ1753" i="3" s="1"/>
  <c r="AA1753" i="3"/>
  <c r="AB1753" i="3"/>
  <c r="AC1753" i="3"/>
  <c r="AD1753" i="3"/>
  <c r="AE1753" i="3"/>
  <c r="AF1753" i="3"/>
  <c r="AG1753" i="3"/>
  <c r="AH1753" i="3"/>
  <c r="AI1753" i="3"/>
  <c r="Z1754" i="3"/>
  <c r="AA1754" i="3"/>
  <c r="AB1754" i="3"/>
  <c r="AC1754" i="3"/>
  <c r="AD1754" i="3"/>
  <c r="AE1754" i="3"/>
  <c r="AF1754" i="3"/>
  <c r="AG1754" i="3"/>
  <c r="AH1754" i="3"/>
  <c r="AI1754" i="3"/>
  <c r="Z1755" i="3"/>
  <c r="AJ1755" i="3" s="1"/>
  <c r="AA1755" i="3"/>
  <c r="AB1755" i="3"/>
  <c r="AC1755" i="3"/>
  <c r="AD1755" i="3"/>
  <c r="AE1755" i="3"/>
  <c r="AF1755" i="3"/>
  <c r="AG1755" i="3"/>
  <c r="AH1755" i="3"/>
  <c r="AI1755" i="3"/>
  <c r="Z1756" i="3"/>
  <c r="AA1756" i="3"/>
  <c r="AB1756" i="3"/>
  <c r="AC1756" i="3"/>
  <c r="AD1756" i="3"/>
  <c r="AE1756" i="3"/>
  <c r="AF1756" i="3"/>
  <c r="AG1756" i="3"/>
  <c r="AH1756" i="3"/>
  <c r="AI1756" i="3"/>
  <c r="Z1757" i="3"/>
  <c r="AA1757" i="3"/>
  <c r="AB1757" i="3"/>
  <c r="AC1757" i="3"/>
  <c r="AD1757" i="3"/>
  <c r="AE1757" i="3"/>
  <c r="AJ1757" i="3" s="1"/>
  <c r="AF1757" i="3"/>
  <c r="AG1757" i="3"/>
  <c r="AH1757" i="3"/>
  <c r="AI1757" i="3"/>
  <c r="Z1758" i="3"/>
  <c r="AA1758" i="3"/>
  <c r="AB1758" i="3"/>
  <c r="AC1758" i="3"/>
  <c r="AD1758" i="3"/>
  <c r="AE1758" i="3"/>
  <c r="AF1758" i="3"/>
  <c r="AG1758" i="3"/>
  <c r="AH1758" i="3"/>
  <c r="AI1758" i="3"/>
  <c r="AJ1758" i="3"/>
  <c r="Z1759" i="3"/>
  <c r="AA1759" i="3"/>
  <c r="AB1759" i="3"/>
  <c r="AC1759" i="3"/>
  <c r="AD1759" i="3"/>
  <c r="AE1759" i="3"/>
  <c r="AF1759" i="3"/>
  <c r="AG1759" i="3"/>
  <c r="AH1759" i="3"/>
  <c r="AI1759" i="3"/>
  <c r="Z1760" i="3"/>
  <c r="AA1760" i="3"/>
  <c r="AB1760" i="3"/>
  <c r="AC1760" i="3"/>
  <c r="AD1760" i="3"/>
  <c r="AJ1760" i="3" s="1"/>
  <c r="AE1760" i="3"/>
  <c r="AF1760" i="3"/>
  <c r="AG1760" i="3"/>
  <c r="AH1760" i="3"/>
  <c r="AI1760" i="3"/>
  <c r="Z1761" i="3"/>
  <c r="AA1761" i="3"/>
  <c r="AB1761" i="3"/>
  <c r="AC1761" i="3"/>
  <c r="AD1761" i="3"/>
  <c r="AE1761" i="3"/>
  <c r="AF1761" i="3"/>
  <c r="AG1761" i="3"/>
  <c r="AH1761" i="3"/>
  <c r="AI1761" i="3"/>
  <c r="Z1762" i="3"/>
  <c r="AA1762" i="3"/>
  <c r="AB1762" i="3"/>
  <c r="AC1762" i="3"/>
  <c r="AD1762" i="3"/>
  <c r="AE1762" i="3"/>
  <c r="AF1762" i="3"/>
  <c r="AG1762" i="3"/>
  <c r="AH1762" i="3"/>
  <c r="AI1762" i="3"/>
  <c r="Z1763" i="3"/>
  <c r="AJ1763" i="3" s="1"/>
  <c r="AA1763" i="3"/>
  <c r="AB1763" i="3"/>
  <c r="AC1763" i="3"/>
  <c r="AD1763" i="3"/>
  <c r="AE1763" i="3"/>
  <c r="AF1763" i="3"/>
  <c r="AG1763" i="3"/>
  <c r="AH1763" i="3"/>
  <c r="AI1763" i="3"/>
  <c r="Z1764" i="3"/>
  <c r="AA1764" i="3"/>
  <c r="AB1764" i="3"/>
  <c r="AC1764" i="3"/>
  <c r="AD1764" i="3"/>
  <c r="AE1764" i="3"/>
  <c r="AF1764" i="3"/>
  <c r="AG1764" i="3"/>
  <c r="AH1764" i="3"/>
  <c r="AI1764" i="3"/>
  <c r="Z1765" i="3"/>
  <c r="AA1765" i="3"/>
  <c r="AB1765" i="3"/>
  <c r="AC1765" i="3"/>
  <c r="AD1765" i="3"/>
  <c r="AE1765" i="3"/>
  <c r="AJ1765" i="3" s="1"/>
  <c r="AF1765" i="3"/>
  <c r="AG1765" i="3"/>
  <c r="AH1765" i="3"/>
  <c r="AI1765" i="3"/>
  <c r="Z1766" i="3"/>
  <c r="AA1766" i="3"/>
  <c r="AB1766" i="3"/>
  <c r="AC1766" i="3"/>
  <c r="AD1766" i="3"/>
  <c r="AE1766" i="3"/>
  <c r="AF1766" i="3"/>
  <c r="AG1766" i="3"/>
  <c r="AH1766" i="3"/>
  <c r="AI1766" i="3"/>
  <c r="AJ1766" i="3"/>
  <c r="Z1767" i="3"/>
  <c r="AA1767" i="3"/>
  <c r="AB1767" i="3"/>
  <c r="AC1767" i="3"/>
  <c r="AD1767" i="3"/>
  <c r="AE1767" i="3"/>
  <c r="AF1767" i="3"/>
  <c r="AG1767" i="3"/>
  <c r="AH1767" i="3"/>
  <c r="AI1767" i="3"/>
  <c r="Z1768" i="3"/>
  <c r="AA1768" i="3"/>
  <c r="AB1768" i="3"/>
  <c r="AC1768" i="3"/>
  <c r="AD1768" i="3"/>
  <c r="AJ1768" i="3" s="1"/>
  <c r="AE1768" i="3"/>
  <c r="AF1768" i="3"/>
  <c r="AG1768" i="3"/>
  <c r="AH1768" i="3"/>
  <c r="AI1768" i="3"/>
  <c r="Z1769" i="3"/>
  <c r="AJ1769" i="3" s="1"/>
  <c r="AA1769" i="3"/>
  <c r="AB1769" i="3"/>
  <c r="AC1769" i="3"/>
  <c r="AD1769" i="3"/>
  <c r="AE1769" i="3"/>
  <c r="AF1769" i="3"/>
  <c r="AG1769" i="3"/>
  <c r="AH1769" i="3"/>
  <c r="AI1769" i="3"/>
  <c r="Z1770" i="3"/>
  <c r="AA1770" i="3"/>
  <c r="AB1770" i="3"/>
  <c r="AC1770" i="3"/>
  <c r="AD1770" i="3"/>
  <c r="AE1770" i="3"/>
  <c r="AF1770" i="3"/>
  <c r="AG1770" i="3"/>
  <c r="AH1770" i="3"/>
  <c r="AI1770" i="3"/>
  <c r="Z1771" i="3"/>
  <c r="AA1771" i="3"/>
  <c r="AB1771" i="3"/>
  <c r="AC1771" i="3"/>
  <c r="AD1771" i="3"/>
  <c r="AE1771" i="3"/>
  <c r="AF1771" i="3"/>
  <c r="AG1771" i="3"/>
  <c r="AH1771" i="3"/>
  <c r="AI1771" i="3"/>
  <c r="Z1772" i="3"/>
  <c r="AA1772" i="3"/>
  <c r="AB1772" i="3"/>
  <c r="AC1772" i="3"/>
  <c r="AD1772" i="3"/>
  <c r="AE1772" i="3"/>
  <c r="AF1772" i="3"/>
  <c r="AG1772" i="3"/>
  <c r="AH1772" i="3"/>
  <c r="AI1772" i="3"/>
  <c r="Z1773" i="3"/>
  <c r="AA1773" i="3"/>
  <c r="AB1773" i="3"/>
  <c r="AC1773" i="3"/>
  <c r="AD1773" i="3"/>
  <c r="AE1773" i="3"/>
  <c r="AJ1773" i="3" s="1"/>
  <c r="AF1773" i="3"/>
  <c r="AG1773" i="3"/>
  <c r="AH1773" i="3"/>
  <c r="AI1773" i="3"/>
  <c r="Z1774" i="3"/>
  <c r="AA1774" i="3"/>
  <c r="AB1774" i="3"/>
  <c r="AC1774" i="3"/>
  <c r="AD1774" i="3"/>
  <c r="AE1774" i="3"/>
  <c r="AF1774" i="3"/>
  <c r="AG1774" i="3"/>
  <c r="AH1774" i="3"/>
  <c r="AI1774" i="3"/>
  <c r="AJ1774" i="3"/>
  <c r="Z1775" i="3"/>
  <c r="AA1775" i="3"/>
  <c r="AJ1775" i="3" s="1"/>
  <c r="AB1775" i="3"/>
  <c r="AC1775" i="3"/>
  <c r="AD1775" i="3"/>
  <c r="AE1775" i="3"/>
  <c r="AF1775" i="3"/>
  <c r="AG1775" i="3"/>
  <c r="AH1775" i="3"/>
  <c r="AI1775" i="3"/>
  <c r="Z1776" i="3"/>
  <c r="AA1776" i="3"/>
  <c r="AB1776" i="3"/>
  <c r="AC1776" i="3"/>
  <c r="AD1776" i="3"/>
  <c r="AE1776" i="3"/>
  <c r="AF1776" i="3"/>
  <c r="AG1776" i="3"/>
  <c r="AH1776" i="3"/>
  <c r="AI1776" i="3"/>
  <c r="Z1777" i="3"/>
  <c r="AA1777" i="3"/>
  <c r="AB1777" i="3"/>
  <c r="AC1777" i="3"/>
  <c r="AD1777" i="3"/>
  <c r="AE1777" i="3"/>
  <c r="AF1777" i="3"/>
  <c r="AG1777" i="3"/>
  <c r="AH1777" i="3"/>
  <c r="AI1777" i="3"/>
  <c r="Z1778" i="3"/>
  <c r="AJ1778" i="3" s="1"/>
  <c r="AA1778" i="3"/>
  <c r="AB1778" i="3"/>
  <c r="AC1778" i="3"/>
  <c r="AD1778" i="3"/>
  <c r="AE1778" i="3"/>
  <c r="AF1778" i="3"/>
  <c r="AG1778" i="3"/>
  <c r="AH1778" i="3"/>
  <c r="AI1778" i="3"/>
  <c r="Z1779" i="3"/>
  <c r="AA1779" i="3"/>
  <c r="AB1779" i="3"/>
  <c r="AC1779" i="3"/>
  <c r="AD1779" i="3"/>
  <c r="AE1779" i="3"/>
  <c r="AF1779" i="3"/>
  <c r="AG1779" i="3"/>
  <c r="AH1779" i="3"/>
  <c r="AI1779" i="3"/>
  <c r="Z1780" i="3"/>
  <c r="AA1780" i="3"/>
  <c r="AB1780" i="3"/>
  <c r="AC1780" i="3"/>
  <c r="AD1780" i="3"/>
  <c r="AE1780" i="3"/>
  <c r="AF1780" i="3"/>
  <c r="AG1780" i="3"/>
  <c r="AH1780" i="3"/>
  <c r="AI1780" i="3"/>
  <c r="Z1781" i="3"/>
  <c r="AA1781" i="3"/>
  <c r="AB1781" i="3"/>
  <c r="AC1781" i="3"/>
  <c r="AD1781" i="3"/>
  <c r="AE1781" i="3"/>
  <c r="AJ1781" i="3" s="1"/>
  <c r="AF1781" i="3"/>
  <c r="AG1781" i="3"/>
  <c r="AH1781" i="3"/>
  <c r="AI1781" i="3"/>
  <c r="Z1782" i="3"/>
  <c r="AA1782" i="3"/>
  <c r="AB1782" i="3"/>
  <c r="AC1782" i="3"/>
  <c r="AD1782" i="3"/>
  <c r="AE1782" i="3"/>
  <c r="AF1782" i="3"/>
  <c r="AG1782" i="3"/>
  <c r="AH1782" i="3"/>
  <c r="AI1782" i="3"/>
  <c r="AJ1782" i="3"/>
  <c r="Z1783" i="3"/>
  <c r="AA1783" i="3"/>
  <c r="AJ1783" i="3" s="1"/>
  <c r="AB1783" i="3"/>
  <c r="AC1783" i="3"/>
  <c r="AD1783" i="3"/>
  <c r="AE1783" i="3"/>
  <c r="AF1783" i="3"/>
  <c r="AG1783" i="3"/>
  <c r="AH1783" i="3"/>
  <c r="AI1783" i="3"/>
  <c r="Z1784" i="3"/>
  <c r="AA1784" i="3"/>
  <c r="AB1784" i="3"/>
  <c r="AC1784" i="3"/>
  <c r="AD1784" i="3"/>
  <c r="AE1784" i="3"/>
  <c r="AF1784" i="3"/>
  <c r="AG1784" i="3"/>
  <c r="AH1784" i="3"/>
  <c r="AI1784" i="3"/>
  <c r="Z1785" i="3"/>
  <c r="AA1785" i="3"/>
  <c r="AB1785" i="3"/>
  <c r="AC1785" i="3"/>
  <c r="AD1785" i="3"/>
  <c r="AE1785" i="3"/>
  <c r="AF1785" i="3"/>
  <c r="AG1785" i="3"/>
  <c r="AH1785" i="3"/>
  <c r="AI1785" i="3"/>
  <c r="Z1786" i="3"/>
  <c r="AA1786" i="3"/>
  <c r="AB1786" i="3"/>
  <c r="AC1786" i="3"/>
  <c r="AD1786" i="3"/>
  <c r="AE1786" i="3"/>
  <c r="AF1786" i="3"/>
  <c r="AG1786" i="3"/>
  <c r="AH1786" i="3"/>
  <c r="AI1786" i="3"/>
  <c r="Z1787" i="3"/>
  <c r="AJ1787" i="3" s="1"/>
  <c r="AA1787" i="3"/>
  <c r="AB1787" i="3"/>
  <c r="AC1787" i="3"/>
  <c r="AD1787" i="3"/>
  <c r="AE1787" i="3"/>
  <c r="AF1787" i="3"/>
  <c r="AG1787" i="3"/>
  <c r="AH1787" i="3"/>
  <c r="AI1787" i="3"/>
  <c r="Z1788" i="3"/>
  <c r="AA1788" i="3"/>
  <c r="AB1788" i="3"/>
  <c r="AC1788" i="3"/>
  <c r="AD1788" i="3"/>
  <c r="AE1788" i="3"/>
  <c r="AF1788" i="3"/>
  <c r="AG1788" i="3"/>
  <c r="AH1788" i="3"/>
  <c r="AI1788" i="3"/>
  <c r="Z1789" i="3"/>
  <c r="AA1789" i="3"/>
  <c r="AB1789" i="3"/>
  <c r="AC1789" i="3"/>
  <c r="AD1789" i="3"/>
  <c r="AE1789" i="3"/>
  <c r="AJ1789" i="3" s="1"/>
  <c r="AF1789" i="3"/>
  <c r="AG1789" i="3"/>
  <c r="AH1789" i="3"/>
  <c r="AI1789" i="3"/>
  <c r="Z1790" i="3"/>
  <c r="AA1790" i="3"/>
  <c r="AB1790" i="3"/>
  <c r="AC1790" i="3"/>
  <c r="AD1790" i="3"/>
  <c r="AE1790" i="3"/>
  <c r="AF1790" i="3"/>
  <c r="AG1790" i="3"/>
  <c r="AH1790" i="3"/>
  <c r="AI1790" i="3"/>
  <c r="AJ1790" i="3"/>
  <c r="Z1791" i="3"/>
  <c r="AA1791" i="3"/>
  <c r="AB1791" i="3"/>
  <c r="AC1791" i="3"/>
  <c r="AD1791" i="3"/>
  <c r="AE1791" i="3"/>
  <c r="AF1791" i="3"/>
  <c r="AG1791" i="3"/>
  <c r="AH1791" i="3"/>
  <c r="AI1791" i="3"/>
  <c r="Z1792" i="3"/>
  <c r="AA1792" i="3"/>
  <c r="AJ1792" i="3" s="1"/>
  <c r="AB1792" i="3"/>
  <c r="AC1792" i="3"/>
  <c r="AD1792" i="3"/>
  <c r="AE1792" i="3"/>
  <c r="AF1792" i="3"/>
  <c r="AG1792" i="3"/>
  <c r="AH1792" i="3"/>
  <c r="AI1792" i="3"/>
  <c r="Z1793" i="3"/>
  <c r="AJ1793" i="3" s="1"/>
  <c r="AA1793" i="3"/>
  <c r="AB1793" i="3"/>
  <c r="AC1793" i="3"/>
  <c r="AD1793" i="3"/>
  <c r="AE1793" i="3"/>
  <c r="AF1793" i="3"/>
  <c r="AG1793" i="3"/>
  <c r="AH1793" i="3"/>
  <c r="AI1793" i="3"/>
  <c r="Z1794" i="3"/>
  <c r="AA1794" i="3"/>
  <c r="AB1794" i="3"/>
  <c r="AC1794" i="3"/>
  <c r="AD1794" i="3"/>
  <c r="AE1794" i="3"/>
  <c r="AF1794" i="3"/>
  <c r="AG1794" i="3"/>
  <c r="AH1794" i="3"/>
  <c r="AI1794" i="3"/>
  <c r="Z1795" i="3"/>
  <c r="AA1795" i="3"/>
  <c r="AB1795" i="3"/>
  <c r="AC1795" i="3"/>
  <c r="AD1795" i="3"/>
  <c r="AE1795" i="3"/>
  <c r="AF1795" i="3"/>
  <c r="AG1795" i="3"/>
  <c r="AH1795" i="3"/>
  <c r="AI1795" i="3"/>
  <c r="Z1796" i="3"/>
  <c r="AA1796" i="3"/>
  <c r="AB1796" i="3"/>
  <c r="AC1796" i="3"/>
  <c r="AD1796" i="3"/>
  <c r="AE1796" i="3"/>
  <c r="AF1796" i="3"/>
  <c r="AG1796" i="3"/>
  <c r="AH1796" i="3"/>
  <c r="AI1796" i="3"/>
  <c r="Z1797" i="3"/>
  <c r="AA1797" i="3"/>
  <c r="AB1797" i="3"/>
  <c r="AC1797" i="3"/>
  <c r="AD1797" i="3"/>
  <c r="AE1797" i="3"/>
  <c r="AJ1797" i="3" s="1"/>
  <c r="AF1797" i="3"/>
  <c r="AG1797" i="3"/>
  <c r="AH1797" i="3"/>
  <c r="AI1797" i="3"/>
  <c r="Z1798" i="3"/>
  <c r="AA1798" i="3"/>
  <c r="AB1798" i="3"/>
  <c r="AC1798" i="3"/>
  <c r="AD1798" i="3"/>
  <c r="AE1798" i="3"/>
  <c r="AF1798" i="3"/>
  <c r="AG1798" i="3"/>
  <c r="AH1798" i="3"/>
  <c r="AI1798" i="3"/>
  <c r="AJ1798" i="3"/>
  <c r="Z1799" i="3"/>
  <c r="AJ1799" i="3" s="1"/>
  <c r="AA1799" i="3"/>
  <c r="AB1799" i="3"/>
  <c r="AC1799" i="3"/>
  <c r="AD1799" i="3"/>
  <c r="AE1799" i="3"/>
  <c r="AF1799" i="3"/>
  <c r="AG1799" i="3"/>
  <c r="AH1799" i="3"/>
  <c r="AI1799" i="3"/>
  <c r="Z1800" i="3"/>
  <c r="AA1800" i="3"/>
  <c r="AJ1800" i="3" s="1"/>
  <c r="AB1800" i="3"/>
  <c r="AC1800" i="3"/>
  <c r="AD1800" i="3"/>
  <c r="AE1800" i="3"/>
  <c r="AF1800" i="3"/>
  <c r="AG1800" i="3"/>
  <c r="AH1800" i="3"/>
  <c r="AI1800" i="3"/>
  <c r="Z1801" i="3"/>
  <c r="AJ1801" i="3" s="1"/>
  <c r="AA1801" i="3"/>
  <c r="AB1801" i="3"/>
  <c r="AC1801" i="3"/>
  <c r="AD1801" i="3"/>
  <c r="AE1801" i="3"/>
  <c r="AF1801" i="3"/>
  <c r="AG1801" i="3"/>
  <c r="AH1801" i="3"/>
  <c r="AI1801" i="3"/>
  <c r="Z1802" i="3"/>
  <c r="AJ1802" i="3" s="1"/>
  <c r="AA1802" i="3"/>
  <c r="AB1802" i="3"/>
  <c r="AC1802" i="3"/>
  <c r="AD1802" i="3"/>
  <c r="AE1802" i="3"/>
  <c r="AF1802" i="3"/>
  <c r="AG1802" i="3"/>
  <c r="AH1802" i="3"/>
  <c r="AI1802" i="3"/>
  <c r="Z1803" i="3"/>
  <c r="AA1803" i="3"/>
  <c r="AB1803" i="3"/>
  <c r="AC1803" i="3"/>
  <c r="AD1803" i="3"/>
  <c r="AE1803" i="3"/>
  <c r="AF1803" i="3"/>
  <c r="AG1803" i="3"/>
  <c r="AH1803" i="3"/>
  <c r="AI1803" i="3"/>
  <c r="Z1804" i="3"/>
  <c r="AA1804" i="3"/>
  <c r="AB1804" i="3"/>
  <c r="AC1804" i="3"/>
  <c r="AD1804" i="3"/>
  <c r="AE1804" i="3"/>
  <c r="AF1804" i="3"/>
  <c r="AG1804" i="3"/>
  <c r="AH1804" i="3"/>
  <c r="AI1804" i="3"/>
  <c r="Z1805" i="3"/>
  <c r="AA1805" i="3"/>
  <c r="AB1805" i="3"/>
  <c r="AC1805" i="3"/>
  <c r="AD1805" i="3"/>
  <c r="AE1805" i="3"/>
  <c r="AJ1805" i="3" s="1"/>
  <c r="AF1805" i="3"/>
  <c r="AG1805" i="3"/>
  <c r="AH1805" i="3"/>
  <c r="AI1805" i="3"/>
  <c r="Z1806" i="3"/>
  <c r="AA1806" i="3"/>
  <c r="AB1806" i="3"/>
  <c r="AC1806" i="3"/>
  <c r="AD1806" i="3"/>
  <c r="AE1806" i="3"/>
  <c r="AF1806" i="3"/>
  <c r="AG1806" i="3"/>
  <c r="AH1806" i="3"/>
  <c r="AI1806" i="3"/>
  <c r="AJ1806" i="3"/>
  <c r="Z1807" i="3"/>
  <c r="AA1807" i="3"/>
  <c r="AB1807" i="3"/>
  <c r="AC1807" i="3"/>
  <c r="AD1807" i="3"/>
  <c r="AE1807" i="3"/>
  <c r="AF1807" i="3"/>
  <c r="AG1807" i="3"/>
  <c r="AH1807" i="3"/>
  <c r="AI1807" i="3"/>
  <c r="Z1808" i="3"/>
  <c r="AA1808" i="3"/>
  <c r="AB1808" i="3"/>
  <c r="AC1808" i="3"/>
  <c r="AD1808" i="3"/>
  <c r="AE1808" i="3"/>
  <c r="AF1808" i="3"/>
  <c r="AG1808" i="3"/>
  <c r="AH1808" i="3"/>
  <c r="AI1808" i="3"/>
  <c r="Z1809" i="3"/>
  <c r="AA1809" i="3"/>
  <c r="AB1809" i="3"/>
  <c r="AC1809" i="3"/>
  <c r="AD1809" i="3"/>
  <c r="AE1809" i="3"/>
  <c r="AF1809" i="3"/>
  <c r="AG1809" i="3"/>
  <c r="AH1809" i="3"/>
  <c r="AI1809" i="3"/>
  <c r="Z1810" i="3"/>
  <c r="AJ1810" i="3" s="1"/>
  <c r="AA1810" i="3"/>
  <c r="AB1810" i="3"/>
  <c r="AC1810" i="3"/>
  <c r="AD1810" i="3"/>
  <c r="AE1810" i="3"/>
  <c r="AF1810" i="3"/>
  <c r="AG1810" i="3"/>
  <c r="AH1810" i="3"/>
  <c r="AI1810" i="3"/>
  <c r="Z1811" i="3"/>
  <c r="AA1811" i="3"/>
  <c r="AB1811" i="3"/>
  <c r="AC1811" i="3"/>
  <c r="AD1811" i="3"/>
  <c r="AE1811" i="3"/>
  <c r="AF1811" i="3"/>
  <c r="AG1811" i="3"/>
  <c r="AH1811" i="3"/>
  <c r="AI1811" i="3"/>
  <c r="Z1812" i="3"/>
  <c r="AA1812" i="3"/>
  <c r="AB1812" i="3"/>
  <c r="AC1812" i="3"/>
  <c r="AD1812" i="3"/>
  <c r="AE1812" i="3"/>
  <c r="AF1812" i="3"/>
  <c r="AG1812" i="3"/>
  <c r="AH1812" i="3"/>
  <c r="AI1812" i="3"/>
  <c r="Z1813" i="3"/>
  <c r="AA1813" i="3"/>
  <c r="AB1813" i="3"/>
  <c r="AC1813" i="3"/>
  <c r="AD1813" i="3"/>
  <c r="AE1813" i="3"/>
  <c r="AJ1813" i="3" s="1"/>
  <c r="AF1813" i="3"/>
  <c r="AG1813" i="3"/>
  <c r="AH1813" i="3"/>
  <c r="AI1813" i="3"/>
  <c r="Z1814" i="3"/>
  <c r="AA1814" i="3"/>
  <c r="AB1814" i="3"/>
  <c r="AC1814" i="3"/>
  <c r="AD1814" i="3"/>
  <c r="AE1814" i="3"/>
  <c r="AF1814" i="3"/>
  <c r="AG1814" i="3"/>
  <c r="AH1814" i="3"/>
  <c r="AI1814" i="3"/>
  <c r="AJ1814" i="3"/>
  <c r="Z1815" i="3"/>
  <c r="AJ1815" i="3" s="1"/>
  <c r="AA1815" i="3"/>
  <c r="AB1815" i="3"/>
  <c r="AC1815" i="3"/>
  <c r="AD1815" i="3"/>
  <c r="AE1815" i="3"/>
  <c r="AF1815" i="3"/>
  <c r="AG1815" i="3"/>
  <c r="AH1815" i="3"/>
  <c r="AI1815" i="3"/>
  <c r="Z1816" i="3"/>
  <c r="AA1816" i="3"/>
  <c r="AB1816" i="3"/>
  <c r="AC1816" i="3"/>
  <c r="AD1816" i="3"/>
  <c r="AE1816" i="3"/>
  <c r="AF1816" i="3"/>
  <c r="AG1816" i="3"/>
  <c r="AH1816" i="3"/>
  <c r="AI1816" i="3"/>
  <c r="Z1817" i="3"/>
  <c r="AJ1817" i="3" s="1"/>
  <c r="AA1817" i="3"/>
  <c r="AB1817" i="3"/>
  <c r="AC1817" i="3"/>
  <c r="AD1817" i="3"/>
  <c r="AE1817" i="3"/>
  <c r="AF1817" i="3"/>
  <c r="AG1817" i="3"/>
  <c r="AH1817" i="3"/>
  <c r="AI1817" i="3"/>
  <c r="Z1818" i="3"/>
  <c r="AJ1818" i="3" s="1"/>
  <c r="AA1818" i="3"/>
  <c r="AB1818" i="3"/>
  <c r="AC1818" i="3"/>
  <c r="AD1818" i="3"/>
  <c r="AE1818" i="3"/>
  <c r="AF1818" i="3"/>
  <c r="AG1818" i="3"/>
  <c r="AH1818" i="3"/>
  <c r="AI1818" i="3"/>
  <c r="Z1819" i="3"/>
  <c r="AJ1819" i="3" s="1"/>
  <c r="AA1819" i="3"/>
  <c r="AB1819" i="3"/>
  <c r="AC1819" i="3"/>
  <c r="AD1819" i="3"/>
  <c r="AE1819" i="3"/>
  <c r="AF1819" i="3"/>
  <c r="AG1819" i="3"/>
  <c r="AH1819" i="3"/>
  <c r="AI1819" i="3"/>
  <c r="Z1820" i="3"/>
  <c r="AA1820" i="3"/>
  <c r="AB1820" i="3"/>
  <c r="AC1820" i="3"/>
  <c r="AD1820" i="3"/>
  <c r="AE1820" i="3"/>
  <c r="AF1820" i="3"/>
  <c r="AG1820" i="3"/>
  <c r="AH1820" i="3"/>
  <c r="AI1820" i="3"/>
  <c r="Z1821" i="3"/>
  <c r="AA1821" i="3"/>
  <c r="AB1821" i="3"/>
  <c r="AC1821" i="3"/>
  <c r="AD1821" i="3"/>
  <c r="AE1821" i="3"/>
  <c r="AJ1821" i="3" s="1"/>
  <c r="AF1821" i="3"/>
  <c r="AG1821" i="3"/>
  <c r="AH1821" i="3"/>
  <c r="AI1821" i="3"/>
  <c r="Z1822" i="3"/>
  <c r="AA1822" i="3"/>
  <c r="AB1822" i="3"/>
  <c r="AC1822" i="3"/>
  <c r="AD1822" i="3"/>
  <c r="AE1822" i="3"/>
  <c r="AF1822" i="3"/>
  <c r="AG1822" i="3"/>
  <c r="AH1822" i="3"/>
  <c r="AI1822" i="3"/>
  <c r="AJ1822" i="3"/>
  <c r="Z1823" i="3"/>
  <c r="AJ1823" i="3" s="1"/>
  <c r="AA1823" i="3"/>
  <c r="AB1823" i="3"/>
  <c r="AC1823" i="3"/>
  <c r="AD1823" i="3"/>
  <c r="AE1823" i="3"/>
  <c r="AF1823" i="3"/>
  <c r="AG1823" i="3"/>
  <c r="AH1823" i="3"/>
  <c r="AI1823" i="3"/>
  <c r="Z1824" i="3"/>
  <c r="AA1824" i="3"/>
  <c r="AJ1824" i="3" s="1"/>
  <c r="AB1824" i="3"/>
  <c r="AC1824" i="3"/>
  <c r="AD1824" i="3"/>
  <c r="AE1824" i="3"/>
  <c r="AF1824" i="3"/>
  <c r="AG1824" i="3"/>
  <c r="AH1824" i="3"/>
  <c r="AI1824" i="3"/>
  <c r="Z1825" i="3"/>
  <c r="AA1825" i="3"/>
  <c r="AB1825" i="3"/>
  <c r="AC1825" i="3"/>
  <c r="AD1825" i="3"/>
  <c r="AE1825" i="3"/>
  <c r="AF1825" i="3"/>
  <c r="AG1825" i="3"/>
  <c r="AH1825" i="3"/>
  <c r="AI1825" i="3"/>
  <c r="Z1826" i="3"/>
  <c r="AA1826" i="3"/>
  <c r="AB1826" i="3"/>
  <c r="AC1826" i="3"/>
  <c r="AD1826" i="3"/>
  <c r="AE1826" i="3"/>
  <c r="AF1826" i="3"/>
  <c r="AG1826" i="3"/>
  <c r="AH1826" i="3"/>
  <c r="AI1826" i="3"/>
  <c r="Z1827" i="3"/>
  <c r="AJ1827" i="3" s="1"/>
  <c r="AA1827" i="3"/>
  <c r="AB1827" i="3"/>
  <c r="AC1827" i="3"/>
  <c r="AD1827" i="3"/>
  <c r="AE1827" i="3"/>
  <c r="AF1827" i="3"/>
  <c r="AG1827" i="3"/>
  <c r="AH1827" i="3"/>
  <c r="AI1827" i="3"/>
  <c r="Z1828" i="3"/>
  <c r="AA1828" i="3"/>
  <c r="AB1828" i="3"/>
  <c r="AC1828" i="3"/>
  <c r="AD1828" i="3"/>
  <c r="AE1828" i="3"/>
  <c r="AF1828" i="3"/>
  <c r="AG1828" i="3"/>
  <c r="AH1828" i="3"/>
  <c r="AI1828" i="3"/>
  <c r="Z1829" i="3"/>
  <c r="AA1829" i="3"/>
  <c r="AB1829" i="3"/>
  <c r="AC1829" i="3"/>
  <c r="AD1829" i="3"/>
  <c r="AE1829" i="3"/>
  <c r="AJ1829" i="3" s="1"/>
  <c r="AF1829" i="3"/>
  <c r="AG1829" i="3"/>
  <c r="AH1829" i="3"/>
  <c r="AI1829" i="3"/>
  <c r="Z1830" i="3"/>
  <c r="AA1830" i="3"/>
  <c r="AB1830" i="3"/>
  <c r="AC1830" i="3"/>
  <c r="AD1830" i="3"/>
  <c r="AE1830" i="3"/>
  <c r="AF1830" i="3"/>
  <c r="AG1830" i="3"/>
  <c r="AH1830" i="3"/>
  <c r="AI1830" i="3"/>
  <c r="AJ1830" i="3"/>
  <c r="Z1831" i="3"/>
  <c r="AA1831" i="3"/>
  <c r="AB1831" i="3"/>
  <c r="AC1831" i="3"/>
  <c r="AD1831" i="3"/>
  <c r="AE1831" i="3"/>
  <c r="AF1831" i="3"/>
  <c r="AG1831" i="3"/>
  <c r="AH1831" i="3"/>
  <c r="AI1831" i="3"/>
  <c r="Z1832" i="3"/>
  <c r="AA1832" i="3"/>
  <c r="AB1832" i="3"/>
  <c r="AC1832" i="3"/>
  <c r="AD1832" i="3"/>
  <c r="AE1832" i="3"/>
  <c r="AF1832" i="3"/>
  <c r="AG1832" i="3"/>
  <c r="AH1832" i="3"/>
  <c r="AI1832" i="3"/>
  <c r="Z1833" i="3"/>
  <c r="AJ1833" i="3" s="1"/>
  <c r="AA1833" i="3"/>
  <c r="AB1833" i="3"/>
  <c r="AC1833" i="3"/>
  <c r="AD1833" i="3"/>
  <c r="AE1833" i="3"/>
  <c r="AF1833" i="3"/>
  <c r="AG1833" i="3"/>
  <c r="AH1833" i="3"/>
  <c r="AI1833" i="3"/>
  <c r="Z1834" i="3"/>
  <c r="AA1834" i="3"/>
  <c r="AB1834" i="3"/>
  <c r="AC1834" i="3"/>
  <c r="AD1834" i="3"/>
  <c r="AE1834" i="3"/>
  <c r="AF1834" i="3"/>
  <c r="AG1834" i="3"/>
  <c r="AH1834" i="3"/>
  <c r="AI1834" i="3"/>
  <c r="Z1835" i="3"/>
  <c r="AA1835" i="3"/>
  <c r="AB1835" i="3"/>
  <c r="AC1835" i="3"/>
  <c r="AD1835" i="3"/>
  <c r="AE1835" i="3"/>
  <c r="AF1835" i="3"/>
  <c r="AG1835" i="3"/>
  <c r="AH1835" i="3"/>
  <c r="AI1835" i="3"/>
  <c r="Z1836" i="3"/>
  <c r="AA1836" i="3"/>
  <c r="AB1836" i="3"/>
  <c r="AC1836" i="3"/>
  <c r="AD1836" i="3"/>
  <c r="AE1836" i="3"/>
  <c r="AF1836" i="3"/>
  <c r="AG1836" i="3"/>
  <c r="AH1836" i="3"/>
  <c r="AI1836" i="3"/>
  <c r="Z1837" i="3"/>
  <c r="AA1837" i="3"/>
  <c r="AB1837" i="3"/>
  <c r="AC1837" i="3"/>
  <c r="AD1837" i="3"/>
  <c r="AE1837" i="3"/>
  <c r="AJ1837" i="3" s="1"/>
  <c r="AF1837" i="3"/>
  <c r="AG1837" i="3"/>
  <c r="AH1837" i="3"/>
  <c r="AI1837" i="3"/>
  <c r="Z1838" i="3"/>
  <c r="AA1838" i="3"/>
  <c r="AB1838" i="3"/>
  <c r="AC1838" i="3"/>
  <c r="AD1838" i="3"/>
  <c r="AE1838" i="3"/>
  <c r="AF1838" i="3"/>
  <c r="AG1838" i="3"/>
  <c r="AH1838" i="3"/>
  <c r="AI1838" i="3"/>
  <c r="AJ1838" i="3"/>
  <c r="Z1839" i="3"/>
  <c r="AA1839" i="3"/>
  <c r="AB1839" i="3"/>
  <c r="AC1839" i="3"/>
  <c r="AD1839" i="3"/>
  <c r="AE1839" i="3"/>
  <c r="AF1839" i="3"/>
  <c r="AG1839" i="3"/>
  <c r="AH1839" i="3"/>
  <c r="AI1839" i="3"/>
  <c r="Z1840" i="3"/>
  <c r="AA1840" i="3"/>
  <c r="AB1840" i="3"/>
  <c r="AC1840" i="3"/>
  <c r="AD1840" i="3"/>
  <c r="AE1840" i="3"/>
  <c r="AF1840" i="3"/>
  <c r="AG1840" i="3"/>
  <c r="AH1840" i="3"/>
  <c r="AI1840" i="3"/>
  <c r="Z1841" i="3"/>
  <c r="AA1841" i="3"/>
  <c r="AB1841" i="3"/>
  <c r="AC1841" i="3"/>
  <c r="AD1841" i="3"/>
  <c r="AE1841" i="3"/>
  <c r="AF1841" i="3"/>
  <c r="AG1841" i="3"/>
  <c r="AH1841" i="3"/>
  <c r="AI1841" i="3"/>
  <c r="Z1842" i="3"/>
  <c r="AJ1842" i="3" s="1"/>
  <c r="AA1842" i="3"/>
  <c r="AB1842" i="3"/>
  <c r="AC1842" i="3"/>
  <c r="AD1842" i="3"/>
  <c r="AE1842" i="3"/>
  <c r="AF1842" i="3"/>
  <c r="AG1842" i="3"/>
  <c r="AH1842" i="3"/>
  <c r="AI1842" i="3"/>
  <c r="Z1843" i="3"/>
  <c r="AA1843" i="3"/>
  <c r="AB1843" i="3"/>
  <c r="AC1843" i="3"/>
  <c r="AD1843" i="3"/>
  <c r="AE1843" i="3"/>
  <c r="AF1843" i="3"/>
  <c r="AG1843" i="3"/>
  <c r="AH1843" i="3"/>
  <c r="AI1843" i="3"/>
  <c r="Z1844" i="3"/>
  <c r="AA1844" i="3"/>
  <c r="AB1844" i="3"/>
  <c r="AC1844" i="3"/>
  <c r="AD1844" i="3"/>
  <c r="AE1844" i="3"/>
  <c r="AF1844" i="3"/>
  <c r="AG1844" i="3"/>
  <c r="AH1844" i="3"/>
  <c r="AI1844" i="3"/>
  <c r="Z1845" i="3"/>
  <c r="AA1845" i="3"/>
  <c r="AB1845" i="3"/>
  <c r="AC1845" i="3"/>
  <c r="AD1845" i="3"/>
  <c r="AE1845" i="3"/>
  <c r="AJ1845" i="3" s="1"/>
  <c r="AF1845" i="3"/>
  <c r="AG1845" i="3"/>
  <c r="AH1845" i="3"/>
  <c r="AI1845" i="3"/>
  <c r="Z1846" i="3"/>
  <c r="AA1846" i="3"/>
  <c r="AB1846" i="3"/>
  <c r="AC1846" i="3"/>
  <c r="AD1846" i="3"/>
  <c r="AE1846" i="3"/>
  <c r="AF1846" i="3"/>
  <c r="AG1846" i="3"/>
  <c r="AH1846" i="3"/>
  <c r="AI1846" i="3"/>
  <c r="AJ1846" i="3"/>
  <c r="Z1847" i="3"/>
  <c r="AJ1847" i="3" s="1"/>
  <c r="AA1847" i="3"/>
  <c r="AB1847" i="3"/>
  <c r="AC1847" i="3"/>
  <c r="AD1847" i="3"/>
  <c r="AE1847" i="3"/>
  <c r="AF1847" i="3"/>
  <c r="AG1847" i="3"/>
  <c r="AH1847" i="3"/>
  <c r="AI1847" i="3"/>
  <c r="Z1848" i="3"/>
  <c r="AA1848" i="3"/>
  <c r="AB1848" i="3"/>
  <c r="AC1848" i="3"/>
  <c r="AD1848" i="3"/>
  <c r="AE1848" i="3"/>
  <c r="AF1848" i="3"/>
  <c r="AG1848" i="3"/>
  <c r="AH1848" i="3"/>
  <c r="AI1848" i="3"/>
  <c r="Z1849" i="3"/>
  <c r="AA1849" i="3"/>
  <c r="AB1849" i="3"/>
  <c r="AC1849" i="3"/>
  <c r="AD1849" i="3"/>
  <c r="AE1849" i="3"/>
  <c r="AF1849" i="3"/>
  <c r="AG1849" i="3"/>
  <c r="AH1849" i="3"/>
  <c r="AI1849" i="3"/>
  <c r="Z1850" i="3"/>
  <c r="AA1850" i="3"/>
  <c r="AB1850" i="3"/>
  <c r="AC1850" i="3"/>
  <c r="AD1850" i="3"/>
  <c r="AE1850" i="3"/>
  <c r="AF1850" i="3"/>
  <c r="AG1850" i="3"/>
  <c r="AH1850" i="3"/>
  <c r="AI1850" i="3"/>
  <c r="Z1851" i="3"/>
  <c r="AJ1851" i="3" s="1"/>
  <c r="AA1851" i="3"/>
  <c r="AB1851" i="3"/>
  <c r="AC1851" i="3"/>
  <c r="AD1851" i="3"/>
  <c r="AE1851" i="3"/>
  <c r="AF1851" i="3"/>
  <c r="AG1851" i="3"/>
  <c r="AH1851" i="3"/>
  <c r="AI1851" i="3"/>
  <c r="Z1852" i="3"/>
  <c r="AA1852" i="3"/>
  <c r="AB1852" i="3"/>
  <c r="AC1852" i="3"/>
  <c r="AD1852" i="3"/>
  <c r="AE1852" i="3"/>
  <c r="AF1852" i="3"/>
  <c r="AG1852" i="3"/>
  <c r="AH1852" i="3"/>
  <c r="AI1852" i="3"/>
  <c r="Z1853" i="3"/>
  <c r="AA1853" i="3"/>
  <c r="AB1853" i="3"/>
  <c r="AC1853" i="3"/>
  <c r="AD1853" i="3"/>
  <c r="AE1853" i="3"/>
  <c r="AJ1853" i="3" s="1"/>
  <c r="AF1853" i="3"/>
  <c r="AG1853" i="3"/>
  <c r="AH1853" i="3"/>
  <c r="AI1853" i="3"/>
  <c r="Z1854" i="3"/>
  <c r="AA1854" i="3"/>
  <c r="AB1854" i="3"/>
  <c r="AC1854" i="3"/>
  <c r="AD1854" i="3"/>
  <c r="AE1854" i="3"/>
  <c r="AF1854" i="3"/>
  <c r="AG1854" i="3"/>
  <c r="AH1854" i="3"/>
  <c r="AI1854" i="3"/>
  <c r="AJ1854" i="3"/>
  <c r="Z1855" i="3"/>
  <c r="AA1855" i="3"/>
  <c r="AB1855" i="3"/>
  <c r="AC1855" i="3"/>
  <c r="AD1855" i="3"/>
  <c r="AE1855" i="3"/>
  <c r="AF1855" i="3"/>
  <c r="AG1855" i="3"/>
  <c r="AH1855" i="3"/>
  <c r="AI1855" i="3"/>
  <c r="Z1856" i="3"/>
  <c r="AA1856" i="3"/>
  <c r="AJ1856" i="3" s="1"/>
  <c r="AB1856" i="3"/>
  <c r="AC1856" i="3"/>
  <c r="AD1856" i="3"/>
  <c r="AE1856" i="3"/>
  <c r="AF1856" i="3"/>
  <c r="AG1856" i="3"/>
  <c r="AH1856" i="3"/>
  <c r="AI1856" i="3"/>
  <c r="Z1857" i="3"/>
  <c r="AA1857" i="3"/>
  <c r="AB1857" i="3"/>
  <c r="AC1857" i="3"/>
  <c r="AD1857" i="3"/>
  <c r="AE1857" i="3"/>
  <c r="AF1857" i="3"/>
  <c r="AG1857" i="3"/>
  <c r="AH1857" i="3"/>
  <c r="AI1857" i="3"/>
  <c r="Z1858" i="3"/>
  <c r="AA1858" i="3"/>
  <c r="AB1858" i="3"/>
  <c r="AC1858" i="3"/>
  <c r="AD1858" i="3"/>
  <c r="AE1858" i="3"/>
  <c r="AF1858" i="3"/>
  <c r="AG1858" i="3"/>
  <c r="AH1858" i="3"/>
  <c r="AI1858" i="3"/>
  <c r="Z1859" i="3"/>
  <c r="AA1859" i="3"/>
  <c r="AB1859" i="3"/>
  <c r="AC1859" i="3"/>
  <c r="AD1859" i="3"/>
  <c r="AE1859" i="3"/>
  <c r="AF1859" i="3"/>
  <c r="AG1859" i="3"/>
  <c r="AH1859" i="3"/>
  <c r="AI1859" i="3"/>
  <c r="Z1860" i="3"/>
  <c r="AA1860" i="3"/>
  <c r="AB1860" i="3"/>
  <c r="AC1860" i="3"/>
  <c r="AD1860" i="3"/>
  <c r="AE1860" i="3"/>
  <c r="AF1860" i="3"/>
  <c r="AG1860" i="3"/>
  <c r="AH1860" i="3"/>
  <c r="AI1860" i="3"/>
  <c r="Z1861" i="3"/>
  <c r="AA1861" i="3"/>
  <c r="AB1861" i="3"/>
  <c r="AC1861" i="3"/>
  <c r="AD1861" i="3"/>
  <c r="AE1861" i="3"/>
  <c r="AJ1861" i="3" s="1"/>
  <c r="AF1861" i="3"/>
  <c r="AG1861" i="3"/>
  <c r="AH1861" i="3"/>
  <c r="AI1861" i="3"/>
  <c r="Z1862" i="3"/>
  <c r="AA1862" i="3"/>
  <c r="AB1862" i="3"/>
  <c r="AC1862" i="3"/>
  <c r="AD1862" i="3"/>
  <c r="AE1862" i="3"/>
  <c r="AF1862" i="3"/>
  <c r="AG1862" i="3"/>
  <c r="AH1862" i="3"/>
  <c r="AI1862" i="3"/>
  <c r="AJ1862" i="3"/>
  <c r="Z1863" i="3"/>
  <c r="AJ1863" i="3" s="1"/>
  <c r="AA1863" i="3"/>
  <c r="AB1863" i="3"/>
  <c r="AC1863" i="3"/>
  <c r="AD1863" i="3"/>
  <c r="AE1863" i="3"/>
  <c r="AF1863" i="3"/>
  <c r="AG1863" i="3"/>
  <c r="AH1863" i="3"/>
  <c r="AI1863" i="3"/>
  <c r="Z1864" i="3"/>
  <c r="AA1864" i="3"/>
  <c r="AJ1864" i="3" s="1"/>
  <c r="AB1864" i="3"/>
  <c r="AC1864" i="3"/>
  <c r="AD1864" i="3"/>
  <c r="AE1864" i="3"/>
  <c r="AF1864" i="3"/>
  <c r="AG1864" i="3"/>
  <c r="AH1864" i="3"/>
  <c r="AI1864" i="3"/>
  <c r="Z1865" i="3"/>
  <c r="AA1865" i="3"/>
  <c r="AB1865" i="3"/>
  <c r="AC1865" i="3"/>
  <c r="AD1865" i="3"/>
  <c r="AE1865" i="3"/>
  <c r="AF1865" i="3"/>
  <c r="AG1865" i="3"/>
  <c r="AH1865" i="3"/>
  <c r="AI1865" i="3"/>
  <c r="Z1866" i="3"/>
  <c r="AJ1866" i="3" s="1"/>
  <c r="AA1866" i="3"/>
  <c r="AB1866" i="3"/>
  <c r="AC1866" i="3"/>
  <c r="AD1866" i="3"/>
  <c r="AE1866" i="3"/>
  <c r="AF1866" i="3"/>
  <c r="AG1866" i="3"/>
  <c r="AH1866" i="3"/>
  <c r="AI1866" i="3"/>
  <c r="Z1867" i="3"/>
  <c r="AA1867" i="3"/>
  <c r="AB1867" i="3"/>
  <c r="AC1867" i="3"/>
  <c r="AD1867" i="3"/>
  <c r="AE1867" i="3"/>
  <c r="AF1867" i="3"/>
  <c r="AG1867" i="3"/>
  <c r="AH1867" i="3"/>
  <c r="AI1867" i="3"/>
  <c r="Z1868" i="3"/>
  <c r="AA1868" i="3"/>
  <c r="AB1868" i="3"/>
  <c r="AC1868" i="3"/>
  <c r="AD1868" i="3"/>
  <c r="AE1868" i="3"/>
  <c r="AF1868" i="3"/>
  <c r="AG1868" i="3"/>
  <c r="AH1868" i="3"/>
  <c r="AI1868" i="3"/>
  <c r="Z1869" i="3"/>
  <c r="AA1869" i="3"/>
  <c r="AB1869" i="3"/>
  <c r="AC1869" i="3"/>
  <c r="AD1869" i="3"/>
  <c r="AE1869" i="3"/>
  <c r="AJ1869" i="3" s="1"/>
  <c r="AF1869" i="3"/>
  <c r="AG1869" i="3"/>
  <c r="AH1869" i="3"/>
  <c r="AI1869" i="3"/>
  <c r="Z1870" i="3"/>
  <c r="AA1870" i="3"/>
  <c r="AB1870" i="3"/>
  <c r="AC1870" i="3"/>
  <c r="AD1870" i="3"/>
  <c r="AE1870" i="3"/>
  <c r="AF1870" i="3"/>
  <c r="AG1870" i="3"/>
  <c r="AH1870" i="3"/>
  <c r="AI1870" i="3"/>
  <c r="AJ1870" i="3"/>
  <c r="Z1871" i="3"/>
  <c r="AA1871" i="3"/>
  <c r="AB1871" i="3"/>
  <c r="AC1871" i="3"/>
  <c r="AD1871" i="3"/>
  <c r="AE1871" i="3"/>
  <c r="AF1871" i="3"/>
  <c r="AG1871" i="3"/>
  <c r="AH1871" i="3"/>
  <c r="AI1871" i="3"/>
  <c r="Z1872" i="3"/>
  <c r="AA1872" i="3"/>
  <c r="AJ1872" i="3" s="1"/>
  <c r="AB1872" i="3"/>
  <c r="AC1872" i="3"/>
  <c r="AD1872" i="3"/>
  <c r="AE1872" i="3"/>
  <c r="AF1872" i="3"/>
  <c r="AG1872" i="3"/>
  <c r="AH1872" i="3"/>
  <c r="AI1872" i="3"/>
  <c r="Z1873" i="3"/>
  <c r="AA1873" i="3"/>
  <c r="AB1873" i="3"/>
  <c r="AC1873" i="3"/>
  <c r="AD1873" i="3"/>
  <c r="AE1873" i="3"/>
  <c r="AF1873" i="3"/>
  <c r="AG1873" i="3"/>
  <c r="AH1873" i="3"/>
  <c r="AI1873" i="3"/>
  <c r="Z1874" i="3"/>
  <c r="AJ1874" i="3" s="1"/>
  <c r="AA1874" i="3"/>
  <c r="AB1874" i="3"/>
  <c r="AC1874" i="3"/>
  <c r="AD1874" i="3"/>
  <c r="AE1874" i="3"/>
  <c r="AF1874" i="3"/>
  <c r="AG1874" i="3"/>
  <c r="AH1874" i="3"/>
  <c r="AI1874" i="3"/>
  <c r="Z1875" i="3"/>
  <c r="AA1875" i="3"/>
  <c r="AB1875" i="3"/>
  <c r="AC1875" i="3"/>
  <c r="AD1875" i="3"/>
  <c r="AE1875" i="3"/>
  <c r="AF1875" i="3"/>
  <c r="AG1875" i="3"/>
  <c r="AH1875" i="3"/>
  <c r="AI1875" i="3"/>
  <c r="Z1876" i="3"/>
  <c r="AA1876" i="3"/>
  <c r="AB1876" i="3"/>
  <c r="AC1876" i="3"/>
  <c r="AD1876" i="3"/>
  <c r="AE1876" i="3"/>
  <c r="AF1876" i="3"/>
  <c r="AG1876" i="3"/>
  <c r="AH1876" i="3"/>
  <c r="AI1876" i="3"/>
  <c r="Z1877" i="3"/>
  <c r="AA1877" i="3"/>
  <c r="AB1877" i="3"/>
  <c r="AC1877" i="3"/>
  <c r="AD1877" i="3"/>
  <c r="AE1877" i="3"/>
  <c r="AJ1877" i="3" s="1"/>
  <c r="AF1877" i="3"/>
  <c r="AG1877" i="3"/>
  <c r="AH1877" i="3"/>
  <c r="AI1877" i="3"/>
  <c r="Z1878" i="3"/>
  <c r="AA1878" i="3"/>
  <c r="AB1878" i="3"/>
  <c r="AC1878" i="3"/>
  <c r="AD1878" i="3"/>
  <c r="AE1878" i="3"/>
  <c r="AF1878" i="3"/>
  <c r="AG1878" i="3"/>
  <c r="AH1878" i="3"/>
  <c r="AI1878" i="3"/>
  <c r="AJ1878" i="3"/>
  <c r="Z1879" i="3"/>
  <c r="AJ1879" i="3" s="1"/>
  <c r="AA1879" i="3"/>
  <c r="AB1879" i="3"/>
  <c r="AC1879" i="3"/>
  <c r="AD1879" i="3"/>
  <c r="AE1879" i="3"/>
  <c r="AF1879" i="3"/>
  <c r="AG1879" i="3"/>
  <c r="AH1879" i="3"/>
  <c r="AI1879" i="3"/>
  <c r="Z1880" i="3"/>
  <c r="AA1880" i="3"/>
  <c r="AB1880" i="3"/>
  <c r="AC1880" i="3"/>
  <c r="AD1880" i="3"/>
  <c r="AE1880" i="3"/>
  <c r="AF1880" i="3"/>
  <c r="AG1880" i="3"/>
  <c r="AH1880" i="3"/>
  <c r="AI1880" i="3"/>
  <c r="Z1881" i="3"/>
  <c r="AA1881" i="3"/>
  <c r="AB1881" i="3"/>
  <c r="AC1881" i="3"/>
  <c r="AD1881" i="3"/>
  <c r="AE1881" i="3"/>
  <c r="AF1881" i="3"/>
  <c r="AG1881" i="3"/>
  <c r="AH1881" i="3"/>
  <c r="AI1881" i="3"/>
  <c r="Z1882" i="3"/>
  <c r="AJ1882" i="3" s="1"/>
  <c r="AA1882" i="3"/>
  <c r="AB1882" i="3"/>
  <c r="AC1882" i="3"/>
  <c r="AD1882" i="3"/>
  <c r="AE1882" i="3"/>
  <c r="AF1882" i="3"/>
  <c r="AG1882" i="3"/>
  <c r="AH1882" i="3"/>
  <c r="AI1882" i="3"/>
  <c r="Z1883" i="3"/>
  <c r="AJ1883" i="3" s="1"/>
  <c r="AA1883" i="3"/>
  <c r="AB1883" i="3"/>
  <c r="AC1883" i="3"/>
  <c r="AD1883" i="3"/>
  <c r="AE1883" i="3"/>
  <c r="AF1883" i="3"/>
  <c r="AG1883" i="3"/>
  <c r="AH1883" i="3"/>
  <c r="AI1883" i="3"/>
  <c r="Z1884" i="3"/>
  <c r="AA1884" i="3"/>
  <c r="AB1884" i="3"/>
  <c r="AC1884" i="3"/>
  <c r="AD1884" i="3"/>
  <c r="AE1884" i="3"/>
  <c r="AF1884" i="3"/>
  <c r="AG1884" i="3"/>
  <c r="AH1884" i="3"/>
  <c r="AI1884" i="3"/>
  <c r="Z1885" i="3"/>
  <c r="AA1885" i="3"/>
  <c r="AB1885" i="3"/>
  <c r="AC1885" i="3"/>
  <c r="AD1885" i="3"/>
  <c r="AE1885" i="3"/>
  <c r="AJ1885" i="3" s="1"/>
  <c r="AF1885" i="3"/>
  <c r="AG1885" i="3"/>
  <c r="AH1885" i="3"/>
  <c r="AI1885" i="3"/>
  <c r="Z1886" i="3"/>
  <c r="AA1886" i="3"/>
  <c r="AB1886" i="3"/>
  <c r="AC1886" i="3"/>
  <c r="AD1886" i="3"/>
  <c r="AE1886" i="3"/>
  <c r="AF1886" i="3"/>
  <c r="AG1886" i="3"/>
  <c r="AH1886" i="3"/>
  <c r="AI1886" i="3"/>
  <c r="AJ1886" i="3"/>
  <c r="Z1887" i="3"/>
  <c r="AJ1887" i="3" s="1"/>
  <c r="AA1887" i="3"/>
  <c r="AB1887" i="3"/>
  <c r="AC1887" i="3"/>
  <c r="AD1887" i="3"/>
  <c r="AE1887" i="3"/>
  <c r="AF1887" i="3"/>
  <c r="AG1887" i="3"/>
  <c r="AH1887" i="3"/>
  <c r="AI1887" i="3"/>
  <c r="Z1888" i="3"/>
  <c r="AA1888" i="3"/>
  <c r="AJ1888" i="3" s="1"/>
  <c r="AB1888" i="3"/>
  <c r="AC1888" i="3"/>
  <c r="AD1888" i="3"/>
  <c r="AE1888" i="3"/>
  <c r="AF1888" i="3"/>
  <c r="AG1888" i="3"/>
  <c r="AH1888" i="3"/>
  <c r="AI1888" i="3"/>
  <c r="Z1889" i="3"/>
  <c r="AA1889" i="3"/>
  <c r="AB1889" i="3"/>
  <c r="AC1889" i="3"/>
  <c r="AD1889" i="3"/>
  <c r="AE1889" i="3"/>
  <c r="AF1889" i="3"/>
  <c r="AG1889" i="3"/>
  <c r="AH1889" i="3"/>
  <c r="AI1889" i="3"/>
  <c r="Z1890" i="3"/>
  <c r="AA1890" i="3"/>
  <c r="AB1890" i="3"/>
  <c r="AC1890" i="3"/>
  <c r="AD1890" i="3"/>
  <c r="AE1890" i="3"/>
  <c r="AF1890" i="3"/>
  <c r="AG1890" i="3"/>
  <c r="AH1890" i="3"/>
  <c r="AI1890" i="3"/>
  <c r="Z1891" i="3"/>
  <c r="AJ1891" i="3" s="1"/>
  <c r="AA1891" i="3"/>
  <c r="AB1891" i="3"/>
  <c r="AC1891" i="3"/>
  <c r="AD1891" i="3"/>
  <c r="AE1891" i="3"/>
  <c r="AF1891" i="3"/>
  <c r="AG1891" i="3"/>
  <c r="AH1891" i="3"/>
  <c r="AI1891" i="3"/>
  <c r="Z1892" i="3"/>
  <c r="AA1892" i="3"/>
  <c r="AB1892" i="3"/>
  <c r="AC1892" i="3"/>
  <c r="AD1892" i="3"/>
  <c r="AE1892" i="3"/>
  <c r="AF1892" i="3"/>
  <c r="AG1892" i="3"/>
  <c r="AH1892" i="3"/>
  <c r="AI1892" i="3"/>
  <c r="Z1893" i="3"/>
  <c r="AA1893" i="3"/>
  <c r="AB1893" i="3"/>
  <c r="AC1893" i="3"/>
  <c r="AD1893" i="3"/>
  <c r="AE1893" i="3"/>
  <c r="AJ1893" i="3" s="1"/>
  <c r="AF1893" i="3"/>
  <c r="AG1893" i="3"/>
  <c r="AH1893" i="3"/>
  <c r="AI1893" i="3"/>
  <c r="Z1894" i="3"/>
  <c r="AA1894" i="3"/>
  <c r="AB1894" i="3"/>
  <c r="AC1894" i="3"/>
  <c r="AD1894" i="3"/>
  <c r="AE1894" i="3"/>
  <c r="AF1894" i="3"/>
  <c r="AG1894" i="3"/>
  <c r="AH1894" i="3"/>
  <c r="AI1894" i="3"/>
  <c r="AJ1894" i="3"/>
  <c r="Z1895" i="3"/>
  <c r="AA1895" i="3"/>
  <c r="AB1895" i="3"/>
  <c r="AC1895" i="3"/>
  <c r="AD1895" i="3"/>
  <c r="AE1895" i="3"/>
  <c r="AF1895" i="3"/>
  <c r="AG1895" i="3"/>
  <c r="AH1895" i="3"/>
  <c r="AI1895" i="3"/>
  <c r="Z1896" i="3"/>
  <c r="AA1896" i="3"/>
  <c r="AB1896" i="3"/>
  <c r="AC1896" i="3"/>
  <c r="AD1896" i="3"/>
  <c r="AE1896" i="3"/>
  <c r="AF1896" i="3"/>
  <c r="AG1896" i="3"/>
  <c r="AH1896" i="3"/>
  <c r="AI1896" i="3"/>
  <c r="Z1897" i="3"/>
  <c r="AA1897" i="3"/>
  <c r="AB1897" i="3"/>
  <c r="AC1897" i="3"/>
  <c r="AD1897" i="3"/>
  <c r="AE1897" i="3"/>
  <c r="AF1897" i="3"/>
  <c r="AG1897" i="3"/>
  <c r="AH1897" i="3"/>
  <c r="AI1897" i="3"/>
  <c r="Z1898" i="3"/>
  <c r="AA1898" i="3"/>
  <c r="AB1898" i="3"/>
  <c r="AC1898" i="3"/>
  <c r="AD1898" i="3"/>
  <c r="AE1898" i="3"/>
  <c r="AF1898" i="3"/>
  <c r="AG1898" i="3"/>
  <c r="AH1898" i="3"/>
  <c r="AI1898" i="3"/>
  <c r="Z1899" i="3"/>
  <c r="AJ1899" i="3" s="1"/>
  <c r="AA1899" i="3"/>
  <c r="AB1899" i="3"/>
  <c r="AC1899" i="3"/>
  <c r="AD1899" i="3"/>
  <c r="AE1899" i="3"/>
  <c r="AF1899" i="3"/>
  <c r="AG1899" i="3"/>
  <c r="AH1899" i="3"/>
  <c r="AI1899" i="3"/>
  <c r="Z1900" i="3"/>
  <c r="AA1900" i="3"/>
  <c r="AB1900" i="3"/>
  <c r="AC1900" i="3"/>
  <c r="AD1900" i="3"/>
  <c r="AE1900" i="3"/>
  <c r="AF1900" i="3"/>
  <c r="AG1900" i="3"/>
  <c r="AH1900" i="3"/>
  <c r="AI1900" i="3"/>
  <c r="Z1901" i="3"/>
  <c r="AA1901" i="3"/>
  <c r="AB1901" i="3"/>
  <c r="AC1901" i="3"/>
  <c r="AD1901" i="3"/>
  <c r="AE1901" i="3"/>
  <c r="AJ1901" i="3" s="1"/>
  <c r="AF1901" i="3"/>
  <c r="AG1901" i="3"/>
  <c r="AH1901" i="3"/>
  <c r="AI1901" i="3"/>
  <c r="Z1902" i="3"/>
  <c r="AA1902" i="3"/>
  <c r="AB1902" i="3"/>
  <c r="AC1902" i="3"/>
  <c r="AD1902" i="3"/>
  <c r="AE1902" i="3"/>
  <c r="AF1902" i="3"/>
  <c r="AG1902" i="3"/>
  <c r="AH1902" i="3"/>
  <c r="AI1902" i="3"/>
  <c r="AJ1902" i="3"/>
  <c r="Z1903" i="3"/>
  <c r="AA1903" i="3"/>
  <c r="AB1903" i="3"/>
  <c r="AC1903" i="3"/>
  <c r="AD1903" i="3"/>
  <c r="AE1903" i="3"/>
  <c r="AF1903" i="3"/>
  <c r="AG1903" i="3"/>
  <c r="AH1903" i="3"/>
  <c r="AI1903" i="3"/>
  <c r="Z1904" i="3"/>
  <c r="AA1904" i="3"/>
  <c r="AB1904" i="3"/>
  <c r="AC1904" i="3"/>
  <c r="AD1904" i="3"/>
  <c r="AE1904" i="3"/>
  <c r="AF1904" i="3"/>
  <c r="AG1904" i="3"/>
  <c r="AH1904" i="3"/>
  <c r="AI1904" i="3"/>
  <c r="Z1905" i="3"/>
  <c r="AA1905" i="3"/>
  <c r="AB1905" i="3"/>
  <c r="AC1905" i="3"/>
  <c r="AD1905" i="3"/>
  <c r="AE1905" i="3"/>
  <c r="AF1905" i="3"/>
  <c r="AG1905" i="3"/>
  <c r="AH1905" i="3"/>
  <c r="AI1905" i="3"/>
  <c r="Z1906" i="3"/>
  <c r="AJ1906" i="3" s="1"/>
  <c r="AA1906" i="3"/>
  <c r="AB1906" i="3"/>
  <c r="AC1906" i="3"/>
  <c r="AD1906" i="3"/>
  <c r="AE1906" i="3"/>
  <c r="AF1906" i="3"/>
  <c r="AG1906" i="3"/>
  <c r="AH1906" i="3"/>
  <c r="AI1906" i="3"/>
  <c r="Z1907" i="3"/>
  <c r="AA1907" i="3"/>
  <c r="AB1907" i="3"/>
  <c r="AC1907" i="3"/>
  <c r="AD1907" i="3"/>
  <c r="AE1907" i="3"/>
  <c r="AF1907" i="3"/>
  <c r="AG1907" i="3"/>
  <c r="AH1907" i="3"/>
  <c r="AI1907" i="3"/>
  <c r="Z1908" i="3"/>
  <c r="AA1908" i="3"/>
  <c r="AB1908" i="3"/>
  <c r="AC1908" i="3"/>
  <c r="AD1908" i="3"/>
  <c r="AE1908" i="3"/>
  <c r="AF1908" i="3"/>
  <c r="AG1908" i="3"/>
  <c r="AH1908" i="3"/>
  <c r="AI1908" i="3"/>
  <c r="Z1909" i="3"/>
  <c r="AA1909" i="3"/>
  <c r="AB1909" i="3"/>
  <c r="AC1909" i="3"/>
  <c r="AD1909" i="3"/>
  <c r="AE1909" i="3"/>
  <c r="AJ1909" i="3" s="1"/>
  <c r="AF1909" i="3"/>
  <c r="AG1909" i="3"/>
  <c r="AH1909" i="3"/>
  <c r="AI1909" i="3"/>
  <c r="Z1910" i="3"/>
  <c r="AA1910" i="3"/>
  <c r="AB1910" i="3"/>
  <c r="AC1910" i="3"/>
  <c r="AD1910" i="3"/>
  <c r="AE1910" i="3"/>
  <c r="AF1910" i="3"/>
  <c r="AG1910" i="3"/>
  <c r="AH1910" i="3"/>
  <c r="AI1910" i="3"/>
  <c r="AJ1910" i="3"/>
  <c r="Z1911" i="3"/>
  <c r="AJ1911" i="3" s="1"/>
  <c r="AA1911" i="3"/>
  <c r="AB1911" i="3"/>
  <c r="AC1911" i="3"/>
  <c r="AD1911" i="3"/>
  <c r="AE1911" i="3"/>
  <c r="AF1911" i="3"/>
  <c r="AG1911" i="3"/>
  <c r="AH1911" i="3"/>
  <c r="AI1911" i="3"/>
  <c r="Z1912" i="3"/>
  <c r="AA1912" i="3"/>
  <c r="AB1912" i="3"/>
  <c r="AC1912" i="3"/>
  <c r="AD1912" i="3"/>
  <c r="AE1912" i="3"/>
  <c r="AF1912" i="3"/>
  <c r="AG1912" i="3"/>
  <c r="AH1912" i="3"/>
  <c r="AI1912" i="3"/>
  <c r="Z1913" i="3"/>
  <c r="AA1913" i="3"/>
  <c r="AB1913" i="3"/>
  <c r="AC1913" i="3"/>
  <c r="AD1913" i="3"/>
  <c r="AE1913" i="3"/>
  <c r="AF1913" i="3"/>
  <c r="AG1913" i="3"/>
  <c r="AH1913" i="3"/>
  <c r="AI1913" i="3"/>
  <c r="Z1914" i="3"/>
  <c r="AA1914" i="3"/>
  <c r="AB1914" i="3"/>
  <c r="AC1914" i="3"/>
  <c r="AD1914" i="3"/>
  <c r="AE1914" i="3"/>
  <c r="AF1914" i="3"/>
  <c r="AG1914" i="3"/>
  <c r="AH1914" i="3"/>
  <c r="AI1914" i="3"/>
  <c r="Z1915" i="3"/>
  <c r="AJ1915" i="3" s="1"/>
  <c r="AA1915" i="3"/>
  <c r="AB1915" i="3"/>
  <c r="AC1915" i="3"/>
  <c r="AD1915" i="3"/>
  <c r="AE1915" i="3"/>
  <c r="AF1915" i="3"/>
  <c r="AG1915" i="3"/>
  <c r="AH1915" i="3"/>
  <c r="AI1915" i="3"/>
  <c r="Z1916" i="3"/>
  <c r="AA1916" i="3"/>
  <c r="AB1916" i="3"/>
  <c r="AC1916" i="3"/>
  <c r="AD1916" i="3"/>
  <c r="AE1916" i="3"/>
  <c r="AF1916" i="3"/>
  <c r="AG1916" i="3"/>
  <c r="AH1916" i="3"/>
  <c r="AI1916" i="3"/>
  <c r="Z1917" i="3"/>
  <c r="AA1917" i="3"/>
  <c r="AB1917" i="3"/>
  <c r="AC1917" i="3"/>
  <c r="AD1917" i="3"/>
  <c r="AE1917" i="3"/>
  <c r="AJ1917" i="3" s="1"/>
  <c r="AF1917" i="3"/>
  <c r="AG1917" i="3"/>
  <c r="AH1917" i="3"/>
  <c r="AI1917" i="3"/>
  <c r="Z1918" i="3"/>
  <c r="AA1918" i="3"/>
  <c r="AB1918" i="3"/>
  <c r="AC1918" i="3"/>
  <c r="AD1918" i="3"/>
  <c r="AE1918" i="3"/>
  <c r="AF1918" i="3"/>
  <c r="AG1918" i="3"/>
  <c r="AH1918" i="3"/>
  <c r="AI1918" i="3"/>
  <c r="AJ1918" i="3"/>
  <c r="Z1919" i="3"/>
  <c r="AA1919" i="3"/>
  <c r="AB1919" i="3"/>
  <c r="AC1919" i="3"/>
  <c r="AD1919" i="3"/>
  <c r="AE1919" i="3"/>
  <c r="AF1919" i="3"/>
  <c r="AG1919" i="3"/>
  <c r="AH1919" i="3"/>
  <c r="AI1919" i="3"/>
  <c r="Z1920" i="3"/>
  <c r="AA1920" i="3"/>
  <c r="AJ1920" i="3" s="1"/>
  <c r="AB1920" i="3"/>
  <c r="AC1920" i="3"/>
  <c r="AD1920" i="3"/>
  <c r="AE1920" i="3"/>
  <c r="AF1920" i="3"/>
  <c r="AG1920" i="3"/>
  <c r="AH1920" i="3"/>
  <c r="AI1920" i="3"/>
  <c r="Z1921" i="3"/>
  <c r="AA1921" i="3"/>
  <c r="AB1921" i="3"/>
  <c r="AC1921" i="3"/>
  <c r="AD1921" i="3"/>
  <c r="AE1921" i="3"/>
  <c r="AF1921" i="3"/>
  <c r="AG1921" i="3"/>
  <c r="AH1921" i="3"/>
  <c r="AI1921" i="3"/>
  <c r="Z1922" i="3"/>
  <c r="AA1922" i="3"/>
  <c r="AB1922" i="3"/>
  <c r="AC1922" i="3"/>
  <c r="AD1922" i="3"/>
  <c r="AE1922" i="3"/>
  <c r="AF1922" i="3"/>
  <c r="AG1922" i="3"/>
  <c r="AH1922" i="3"/>
  <c r="AI1922" i="3"/>
  <c r="Z1923" i="3"/>
  <c r="AA1923" i="3"/>
  <c r="AB1923" i="3"/>
  <c r="AC1923" i="3"/>
  <c r="AD1923" i="3"/>
  <c r="AE1923" i="3"/>
  <c r="AF1923" i="3"/>
  <c r="AG1923" i="3"/>
  <c r="AH1923" i="3"/>
  <c r="AI1923" i="3"/>
  <c r="Z1924" i="3"/>
  <c r="AA1924" i="3"/>
  <c r="AB1924" i="3"/>
  <c r="AC1924" i="3"/>
  <c r="AD1924" i="3"/>
  <c r="AE1924" i="3"/>
  <c r="AF1924" i="3"/>
  <c r="AG1924" i="3"/>
  <c r="AH1924" i="3"/>
  <c r="AI1924" i="3"/>
  <c r="Z1925" i="3"/>
  <c r="AA1925" i="3"/>
  <c r="AB1925" i="3"/>
  <c r="AC1925" i="3"/>
  <c r="AD1925" i="3"/>
  <c r="AE1925" i="3"/>
  <c r="AJ1925" i="3" s="1"/>
  <c r="AF1925" i="3"/>
  <c r="AG1925" i="3"/>
  <c r="AH1925" i="3"/>
  <c r="AI1925" i="3"/>
  <c r="Z1926" i="3"/>
  <c r="AA1926" i="3"/>
  <c r="AB1926" i="3"/>
  <c r="AC1926" i="3"/>
  <c r="AD1926" i="3"/>
  <c r="AE1926" i="3"/>
  <c r="AF1926" i="3"/>
  <c r="AG1926" i="3"/>
  <c r="AH1926" i="3"/>
  <c r="AI1926" i="3"/>
  <c r="AJ1926" i="3"/>
  <c r="Z1927" i="3"/>
  <c r="AA1927" i="3"/>
  <c r="AB1927" i="3"/>
  <c r="AC1927" i="3"/>
  <c r="AD1927" i="3"/>
  <c r="AE1927" i="3"/>
  <c r="AF1927" i="3"/>
  <c r="AG1927" i="3"/>
  <c r="AH1927" i="3"/>
  <c r="AI1927" i="3"/>
  <c r="Z1928" i="3"/>
  <c r="AA1928" i="3"/>
  <c r="AB1928" i="3"/>
  <c r="AC1928" i="3"/>
  <c r="AD1928" i="3"/>
  <c r="AE1928" i="3"/>
  <c r="AF1928" i="3"/>
  <c r="AG1928" i="3"/>
  <c r="AH1928" i="3"/>
  <c r="AI1928" i="3"/>
  <c r="Z1929" i="3"/>
  <c r="AA1929" i="3"/>
  <c r="AJ1929" i="3" s="1"/>
  <c r="AB1929" i="3"/>
  <c r="AC1929" i="3"/>
  <c r="AD1929" i="3"/>
  <c r="AE1929" i="3"/>
  <c r="AF1929" i="3"/>
  <c r="AG1929" i="3"/>
  <c r="AH1929" i="3"/>
  <c r="AI1929" i="3"/>
  <c r="Z1930" i="3"/>
  <c r="AA1930" i="3"/>
  <c r="AB1930" i="3"/>
  <c r="AC1930" i="3"/>
  <c r="AD1930" i="3"/>
  <c r="AE1930" i="3"/>
  <c r="AF1930" i="3"/>
  <c r="AG1930" i="3"/>
  <c r="AH1930" i="3"/>
  <c r="AI1930" i="3"/>
  <c r="Z1931" i="3"/>
  <c r="AA1931" i="3"/>
  <c r="AB1931" i="3"/>
  <c r="AC1931" i="3"/>
  <c r="AD1931" i="3"/>
  <c r="AE1931" i="3"/>
  <c r="AF1931" i="3"/>
  <c r="AG1931" i="3"/>
  <c r="AH1931" i="3"/>
  <c r="AI1931" i="3"/>
  <c r="Z1932" i="3"/>
  <c r="AA1932" i="3"/>
  <c r="AB1932" i="3"/>
  <c r="AC1932" i="3"/>
  <c r="AD1932" i="3"/>
  <c r="AE1932" i="3"/>
  <c r="AF1932" i="3"/>
  <c r="AG1932" i="3"/>
  <c r="AH1932" i="3"/>
  <c r="AI1932" i="3"/>
  <c r="Z1933" i="3"/>
  <c r="AA1933" i="3"/>
  <c r="AB1933" i="3"/>
  <c r="AC1933" i="3"/>
  <c r="AD1933" i="3"/>
  <c r="AE1933" i="3"/>
  <c r="AJ1933" i="3" s="1"/>
  <c r="AF1933" i="3"/>
  <c r="AG1933" i="3"/>
  <c r="AH1933" i="3"/>
  <c r="AI1933" i="3"/>
  <c r="Z1934" i="3"/>
  <c r="AA1934" i="3"/>
  <c r="AB1934" i="3"/>
  <c r="AJ1934" i="3" s="1"/>
  <c r="AC1934" i="3"/>
  <c r="AD1934" i="3"/>
  <c r="AE1934" i="3"/>
  <c r="AF1934" i="3"/>
  <c r="AG1934" i="3"/>
  <c r="AH1934" i="3"/>
  <c r="AI1934" i="3"/>
  <c r="Z1935" i="3"/>
  <c r="AA1935" i="3"/>
  <c r="AB1935" i="3"/>
  <c r="AC1935" i="3"/>
  <c r="AD1935" i="3"/>
  <c r="AJ1935" i="3" s="1"/>
  <c r="AE1935" i="3"/>
  <c r="AF1935" i="3"/>
  <c r="AG1935" i="3"/>
  <c r="AH1935" i="3"/>
  <c r="AI1935" i="3"/>
  <c r="Z1936" i="3"/>
  <c r="AA1936" i="3"/>
  <c r="AB1936" i="3"/>
  <c r="AC1936" i="3"/>
  <c r="AD1936" i="3"/>
  <c r="AE1936" i="3"/>
  <c r="AF1936" i="3"/>
  <c r="AG1936" i="3"/>
  <c r="AH1936" i="3"/>
  <c r="AI1936" i="3"/>
  <c r="Z1937" i="3"/>
  <c r="AA1937" i="3"/>
  <c r="AB1937" i="3"/>
  <c r="AJ1937" i="3" s="1"/>
  <c r="AC1937" i="3"/>
  <c r="AD1937" i="3"/>
  <c r="AE1937" i="3"/>
  <c r="AF1937" i="3"/>
  <c r="AG1937" i="3"/>
  <c r="AH1937" i="3"/>
  <c r="AI1937" i="3"/>
  <c r="Z1938" i="3"/>
  <c r="AA1938" i="3"/>
  <c r="AB1938" i="3"/>
  <c r="AC1938" i="3"/>
  <c r="AD1938" i="3"/>
  <c r="AE1938" i="3"/>
  <c r="AF1938" i="3"/>
  <c r="AG1938" i="3"/>
  <c r="AH1938" i="3"/>
  <c r="AI1938" i="3"/>
  <c r="Z1939" i="3"/>
  <c r="AA1939" i="3"/>
  <c r="AB1939" i="3"/>
  <c r="AC1939" i="3"/>
  <c r="AD1939" i="3"/>
  <c r="AE1939" i="3"/>
  <c r="AJ1939" i="3" s="1"/>
  <c r="AF1939" i="3"/>
  <c r="AG1939" i="3"/>
  <c r="AH1939" i="3"/>
  <c r="AI1939" i="3"/>
  <c r="Z1940" i="3"/>
  <c r="AA1940" i="3"/>
  <c r="AB1940" i="3"/>
  <c r="AC1940" i="3"/>
  <c r="AD1940" i="3"/>
  <c r="AE1940" i="3"/>
  <c r="AF1940" i="3"/>
  <c r="AG1940" i="3"/>
  <c r="AH1940" i="3"/>
  <c r="AI1940" i="3"/>
  <c r="AJ1940" i="3"/>
  <c r="Z1941" i="3"/>
  <c r="AJ1941" i="3" s="1"/>
  <c r="AA1941" i="3"/>
  <c r="AB1941" i="3"/>
  <c r="AC1941" i="3"/>
  <c r="AD1941" i="3"/>
  <c r="AE1941" i="3"/>
  <c r="AF1941" i="3"/>
  <c r="AG1941" i="3"/>
  <c r="AH1941" i="3"/>
  <c r="AI1941" i="3"/>
  <c r="Z1942" i="3"/>
  <c r="AA1942" i="3"/>
  <c r="AJ1942" i="3" s="1"/>
  <c r="AB1942" i="3"/>
  <c r="AC1942" i="3"/>
  <c r="AD1942" i="3"/>
  <c r="AE1942" i="3"/>
  <c r="AF1942" i="3"/>
  <c r="AG1942" i="3"/>
  <c r="AH1942" i="3"/>
  <c r="AI1942" i="3"/>
  <c r="Z1943" i="3"/>
  <c r="AA1943" i="3"/>
  <c r="AJ1943" i="3" s="1"/>
  <c r="AB1943" i="3"/>
  <c r="AC1943" i="3"/>
  <c r="AD1943" i="3"/>
  <c r="AE1943" i="3"/>
  <c r="AF1943" i="3"/>
  <c r="AG1943" i="3"/>
  <c r="AH1943" i="3"/>
  <c r="AI1943" i="3"/>
  <c r="Z1944" i="3"/>
  <c r="AA1944" i="3"/>
  <c r="AB1944" i="3"/>
  <c r="AC1944" i="3"/>
  <c r="AD1944" i="3"/>
  <c r="AE1944" i="3"/>
  <c r="AF1944" i="3"/>
  <c r="AG1944" i="3"/>
  <c r="AH1944" i="3"/>
  <c r="AI1944" i="3"/>
  <c r="Z1945" i="3"/>
  <c r="AA1945" i="3"/>
  <c r="AJ1945" i="3" s="1"/>
  <c r="AB1945" i="3"/>
  <c r="AC1945" i="3"/>
  <c r="AD1945" i="3"/>
  <c r="AE1945" i="3"/>
  <c r="AF1945" i="3"/>
  <c r="AG1945" i="3"/>
  <c r="AH1945" i="3"/>
  <c r="AI1945" i="3"/>
  <c r="Z1946" i="3"/>
  <c r="AA1946" i="3"/>
  <c r="AB1946" i="3"/>
  <c r="AC1946" i="3"/>
  <c r="AD1946" i="3"/>
  <c r="AE1946" i="3"/>
  <c r="AF1946" i="3"/>
  <c r="AG1946" i="3"/>
  <c r="AH1946" i="3"/>
  <c r="AI1946" i="3"/>
  <c r="Z1947" i="3"/>
  <c r="AJ1947" i="3" s="1"/>
  <c r="AA1947" i="3"/>
  <c r="AB1947" i="3"/>
  <c r="AC1947" i="3"/>
  <c r="AD1947" i="3"/>
  <c r="AE1947" i="3"/>
  <c r="AF1947" i="3"/>
  <c r="AG1947" i="3"/>
  <c r="AH1947" i="3"/>
  <c r="AI1947" i="3"/>
  <c r="Z1948" i="3"/>
  <c r="AA1948" i="3"/>
  <c r="AJ1948" i="3" s="1"/>
  <c r="AB1948" i="3"/>
  <c r="AC1948" i="3"/>
  <c r="AD1948" i="3"/>
  <c r="AE1948" i="3"/>
  <c r="AF1948" i="3"/>
  <c r="AG1948" i="3"/>
  <c r="AH1948" i="3"/>
  <c r="AI1948" i="3"/>
  <c r="Z1949" i="3"/>
  <c r="AJ1949" i="3" s="1"/>
  <c r="AA1949" i="3"/>
  <c r="AB1949" i="3"/>
  <c r="AC1949" i="3"/>
  <c r="AD1949" i="3"/>
  <c r="AE1949" i="3"/>
  <c r="AF1949" i="3"/>
  <c r="AG1949" i="3"/>
  <c r="AH1949" i="3"/>
  <c r="AI1949" i="3"/>
  <c r="Z1950" i="3"/>
  <c r="AJ1950" i="3" s="1"/>
  <c r="AA1950" i="3"/>
  <c r="AB1950" i="3"/>
  <c r="AC1950" i="3"/>
  <c r="AD1950" i="3"/>
  <c r="AE1950" i="3"/>
  <c r="AF1950" i="3"/>
  <c r="AG1950" i="3"/>
  <c r="AH1950" i="3"/>
  <c r="AI1950" i="3"/>
  <c r="Z1951" i="3"/>
  <c r="AJ1951" i="3" s="1"/>
  <c r="AA1951" i="3"/>
  <c r="AB1951" i="3"/>
  <c r="AC1951" i="3"/>
  <c r="AD1951" i="3"/>
  <c r="AE1951" i="3"/>
  <c r="AF1951" i="3"/>
  <c r="AG1951" i="3"/>
  <c r="AH1951" i="3"/>
  <c r="AI1951" i="3"/>
  <c r="Z1952" i="3"/>
  <c r="AA1952" i="3"/>
  <c r="AJ1952" i="3" s="1"/>
  <c r="AB1952" i="3"/>
  <c r="AC1952" i="3"/>
  <c r="AD1952" i="3"/>
  <c r="AE1952" i="3"/>
  <c r="AF1952" i="3"/>
  <c r="AG1952" i="3"/>
  <c r="AH1952" i="3"/>
  <c r="AI1952" i="3"/>
  <c r="Z1953" i="3"/>
  <c r="AA1953" i="3"/>
  <c r="AB1953" i="3"/>
  <c r="AC1953" i="3"/>
  <c r="AD1953" i="3"/>
  <c r="AE1953" i="3"/>
  <c r="AF1953" i="3"/>
  <c r="AG1953" i="3"/>
  <c r="AH1953" i="3"/>
  <c r="AI1953" i="3"/>
  <c r="AJ1953" i="3"/>
  <c r="Z1954" i="3"/>
  <c r="AA1954" i="3"/>
  <c r="AB1954" i="3"/>
  <c r="AC1954" i="3"/>
  <c r="AD1954" i="3"/>
  <c r="AE1954" i="3"/>
  <c r="AF1954" i="3"/>
  <c r="AG1954" i="3"/>
  <c r="AH1954" i="3"/>
  <c r="AI1954" i="3"/>
  <c r="Z1955" i="3"/>
  <c r="AJ1955" i="3" s="1"/>
  <c r="AA1955" i="3"/>
  <c r="AB1955" i="3"/>
  <c r="AC1955" i="3"/>
  <c r="AD1955" i="3"/>
  <c r="AE1955" i="3"/>
  <c r="AF1955" i="3"/>
  <c r="AG1955" i="3"/>
  <c r="AH1955" i="3"/>
  <c r="AI1955" i="3"/>
  <c r="Z1956" i="3"/>
  <c r="AA1956" i="3"/>
  <c r="AB1956" i="3"/>
  <c r="AC1956" i="3"/>
  <c r="AD1956" i="3"/>
  <c r="AE1956" i="3"/>
  <c r="AJ1956" i="3" s="1"/>
  <c r="AF1956" i="3"/>
  <c r="AG1956" i="3"/>
  <c r="AH1956" i="3"/>
  <c r="AI1956" i="3"/>
  <c r="Z1957" i="3"/>
  <c r="AA1957" i="3"/>
  <c r="AB1957" i="3"/>
  <c r="AJ1957" i="3" s="1"/>
  <c r="AC1957" i="3"/>
  <c r="AD1957" i="3"/>
  <c r="AE1957" i="3"/>
  <c r="AF1957" i="3"/>
  <c r="AG1957" i="3"/>
  <c r="AH1957" i="3"/>
  <c r="AI1957" i="3"/>
  <c r="Z1958" i="3"/>
  <c r="AJ1958" i="3" s="1"/>
  <c r="AA1958" i="3"/>
  <c r="AB1958" i="3"/>
  <c r="AC1958" i="3"/>
  <c r="AD1958" i="3"/>
  <c r="AE1958" i="3"/>
  <c r="AF1958" i="3"/>
  <c r="AG1958" i="3"/>
  <c r="AH1958" i="3"/>
  <c r="AI1958" i="3"/>
  <c r="Z1959" i="3"/>
  <c r="AA1959" i="3"/>
  <c r="AJ1959" i="3" s="1"/>
  <c r="AB1959" i="3"/>
  <c r="AC1959" i="3"/>
  <c r="AD1959" i="3"/>
  <c r="AE1959" i="3"/>
  <c r="AF1959" i="3"/>
  <c r="AG1959" i="3"/>
  <c r="AH1959" i="3"/>
  <c r="AI1959" i="3"/>
  <c r="Z1960" i="3"/>
  <c r="AA1960" i="3"/>
  <c r="AJ1960" i="3" s="1"/>
  <c r="AB1960" i="3"/>
  <c r="AC1960" i="3"/>
  <c r="AD1960" i="3"/>
  <c r="AE1960" i="3"/>
  <c r="AF1960" i="3"/>
  <c r="AG1960" i="3"/>
  <c r="AH1960" i="3"/>
  <c r="AI1960" i="3"/>
  <c r="Z1961" i="3"/>
  <c r="AJ1961" i="3" s="1"/>
  <c r="AA1961" i="3"/>
  <c r="AB1961" i="3"/>
  <c r="AC1961" i="3"/>
  <c r="AD1961" i="3"/>
  <c r="AE1961" i="3"/>
  <c r="AF1961" i="3"/>
  <c r="AG1961" i="3"/>
  <c r="AH1961" i="3"/>
  <c r="AI1961" i="3"/>
  <c r="Z1962" i="3"/>
  <c r="AA1962" i="3"/>
  <c r="AB1962" i="3"/>
  <c r="AC1962" i="3"/>
  <c r="AD1962" i="3"/>
  <c r="AE1962" i="3"/>
  <c r="AF1962" i="3"/>
  <c r="AG1962" i="3"/>
  <c r="AH1962" i="3"/>
  <c r="AI1962" i="3"/>
  <c r="Z1963" i="3"/>
  <c r="AA1963" i="3"/>
  <c r="AJ1963" i="3" s="1"/>
  <c r="AB1963" i="3"/>
  <c r="AC1963" i="3"/>
  <c r="AD1963" i="3"/>
  <c r="AE1963" i="3"/>
  <c r="AF1963" i="3"/>
  <c r="AG1963" i="3"/>
  <c r="AH1963" i="3"/>
  <c r="AI1963" i="3"/>
  <c r="Z1964" i="3"/>
  <c r="AJ1964" i="3" s="1"/>
  <c r="AA1964" i="3"/>
  <c r="AB1964" i="3"/>
  <c r="AC1964" i="3"/>
  <c r="AD1964" i="3"/>
  <c r="AE1964" i="3"/>
  <c r="AF1964" i="3"/>
  <c r="AG1964" i="3"/>
  <c r="AH1964" i="3"/>
  <c r="AI1964" i="3"/>
  <c r="Z1965" i="3"/>
  <c r="AJ1965" i="3" s="1"/>
  <c r="AA1965" i="3"/>
  <c r="AB1965" i="3"/>
  <c r="AC1965" i="3"/>
  <c r="AD1965" i="3"/>
  <c r="AE1965" i="3"/>
  <c r="AF1965" i="3"/>
  <c r="AG1965" i="3"/>
  <c r="AH1965" i="3"/>
  <c r="AI1965" i="3"/>
  <c r="Z1966" i="3"/>
  <c r="AJ1966" i="3" s="1"/>
  <c r="AA1966" i="3"/>
  <c r="AB1966" i="3"/>
  <c r="AC1966" i="3"/>
  <c r="AD1966" i="3"/>
  <c r="AE1966" i="3"/>
  <c r="AF1966" i="3"/>
  <c r="AG1966" i="3"/>
  <c r="AH1966" i="3"/>
  <c r="AI1966" i="3"/>
  <c r="Z1967" i="3"/>
  <c r="AA1967" i="3"/>
  <c r="AB1967" i="3"/>
  <c r="AC1967" i="3"/>
  <c r="AD1967" i="3"/>
  <c r="AE1967" i="3"/>
  <c r="AJ1967" i="3" s="1"/>
  <c r="AF1967" i="3"/>
  <c r="AG1967" i="3"/>
  <c r="AH1967" i="3"/>
  <c r="AI1967" i="3"/>
  <c r="Z1968" i="3"/>
  <c r="AA1968" i="3"/>
  <c r="AB1968" i="3"/>
  <c r="AJ1968" i="3" s="1"/>
  <c r="AC1968" i="3"/>
  <c r="AD1968" i="3"/>
  <c r="AE1968" i="3"/>
  <c r="AF1968" i="3"/>
  <c r="AG1968" i="3"/>
  <c r="AH1968" i="3"/>
  <c r="AI1968" i="3"/>
  <c r="Z1969" i="3"/>
  <c r="AJ1969" i="3" s="1"/>
  <c r="AA1969" i="3"/>
  <c r="AB1969" i="3"/>
  <c r="AC1969" i="3"/>
  <c r="AD1969" i="3"/>
  <c r="AE1969" i="3"/>
  <c r="AF1969" i="3"/>
  <c r="AG1969" i="3"/>
  <c r="AH1969" i="3"/>
  <c r="AI1969" i="3"/>
  <c r="Z1970" i="3"/>
  <c r="AA1970" i="3"/>
  <c r="AB1970" i="3"/>
  <c r="AC1970" i="3"/>
  <c r="AD1970" i="3"/>
  <c r="AE1970" i="3"/>
  <c r="AF1970" i="3"/>
  <c r="AG1970" i="3"/>
  <c r="AH1970" i="3"/>
  <c r="AI1970" i="3"/>
  <c r="Z1971" i="3"/>
  <c r="AA1971" i="3"/>
  <c r="AB1971" i="3"/>
  <c r="AJ1971" i="3" s="1"/>
  <c r="AC1971" i="3"/>
  <c r="AD1971" i="3"/>
  <c r="AE1971" i="3"/>
  <c r="AF1971" i="3"/>
  <c r="AG1971" i="3"/>
  <c r="AH1971" i="3"/>
  <c r="AI1971" i="3"/>
  <c r="Z1972" i="3"/>
  <c r="AJ1972" i="3" s="1"/>
  <c r="AA1972" i="3"/>
  <c r="AB1972" i="3"/>
  <c r="AC1972" i="3"/>
  <c r="AD1972" i="3"/>
  <c r="AE1972" i="3"/>
  <c r="AF1972" i="3"/>
  <c r="AG1972" i="3"/>
  <c r="AH1972" i="3"/>
  <c r="AI1972" i="3"/>
  <c r="Z1973" i="3"/>
  <c r="AA1973" i="3"/>
  <c r="AJ1973" i="3" s="1"/>
  <c r="AB1973" i="3"/>
  <c r="AC1973" i="3"/>
  <c r="AD1973" i="3"/>
  <c r="AE1973" i="3"/>
  <c r="AF1973" i="3"/>
  <c r="AG1973" i="3"/>
  <c r="AH1973" i="3"/>
  <c r="AI1973" i="3"/>
  <c r="Z1974" i="3"/>
  <c r="AA1974" i="3"/>
  <c r="AJ1974" i="3" s="1"/>
  <c r="AB1974" i="3"/>
  <c r="AC1974" i="3"/>
  <c r="AD1974" i="3"/>
  <c r="AE1974" i="3"/>
  <c r="AF1974" i="3"/>
  <c r="AG1974" i="3"/>
  <c r="AH1974" i="3"/>
  <c r="AI1974" i="3"/>
  <c r="Z1975" i="3"/>
  <c r="AJ1975" i="3" s="1"/>
  <c r="AA1975" i="3"/>
  <c r="AB1975" i="3"/>
  <c r="AC1975" i="3"/>
  <c r="AD1975" i="3"/>
  <c r="AE1975" i="3"/>
  <c r="AF1975" i="3"/>
  <c r="AG1975" i="3"/>
  <c r="AH1975" i="3"/>
  <c r="AI1975" i="3"/>
  <c r="Z1976" i="3"/>
  <c r="AJ1976" i="3" s="1"/>
  <c r="AA1976" i="3"/>
  <c r="AB1976" i="3"/>
  <c r="AC1976" i="3"/>
  <c r="AD1976" i="3"/>
  <c r="AE1976" i="3"/>
  <c r="AF1976" i="3"/>
  <c r="AG1976" i="3"/>
  <c r="AH1976" i="3"/>
  <c r="AI1976" i="3"/>
  <c r="Z1977" i="3"/>
  <c r="AJ1977" i="3" s="1"/>
  <c r="AA1977" i="3"/>
  <c r="AB1977" i="3"/>
  <c r="AC1977" i="3"/>
  <c r="AD1977" i="3"/>
  <c r="AE1977" i="3"/>
  <c r="AF1977" i="3"/>
  <c r="AG1977" i="3"/>
  <c r="AH1977" i="3"/>
  <c r="AI1977" i="3"/>
  <c r="Z1978" i="3"/>
  <c r="AA1978" i="3"/>
  <c r="AB1978" i="3"/>
  <c r="AC1978" i="3"/>
  <c r="AD1978" i="3"/>
  <c r="AE1978" i="3"/>
  <c r="AJ1978" i="3" s="1"/>
  <c r="AF1978" i="3"/>
  <c r="AG1978" i="3"/>
  <c r="AH1978" i="3"/>
  <c r="AI1978" i="3"/>
  <c r="Z1979" i="3"/>
  <c r="AA1979" i="3"/>
  <c r="AB1979" i="3"/>
  <c r="AJ1979" i="3" s="1"/>
  <c r="AC1979" i="3"/>
  <c r="AD1979" i="3"/>
  <c r="AE1979" i="3"/>
  <c r="AF1979" i="3"/>
  <c r="AG1979" i="3"/>
  <c r="AH1979" i="3"/>
  <c r="AI1979" i="3"/>
  <c r="Z1980" i="3"/>
  <c r="AJ1980" i="3" s="1"/>
  <c r="AA1980" i="3"/>
  <c r="AB1980" i="3"/>
  <c r="AC1980" i="3"/>
  <c r="AD1980" i="3"/>
  <c r="AE1980" i="3"/>
  <c r="AF1980" i="3"/>
  <c r="AG1980" i="3"/>
  <c r="AH1980" i="3"/>
  <c r="AI1980" i="3"/>
  <c r="Z1981" i="3"/>
  <c r="AA1981" i="3"/>
  <c r="AJ1981" i="3" s="1"/>
  <c r="AB1981" i="3"/>
  <c r="AC1981" i="3"/>
  <c r="AD1981" i="3"/>
  <c r="AE1981" i="3"/>
  <c r="AF1981" i="3"/>
  <c r="AG1981" i="3"/>
  <c r="AH1981" i="3"/>
  <c r="AI1981" i="3"/>
  <c r="Z1982" i="3"/>
  <c r="AA1982" i="3"/>
  <c r="AJ1982" i="3" s="1"/>
  <c r="AB1982" i="3"/>
  <c r="AC1982" i="3"/>
  <c r="AD1982" i="3"/>
  <c r="AE1982" i="3"/>
  <c r="AF1982" i="3"/>
  <c r="AG1982" i="3"/>
  <c r="AH1982" i="3"/>
  <c r="AI1982" i="3"/>
  <c r="Z1983" i="3"/>
  <c r="AJ1983" i="3" s="1"/>
  <c r="AA1983" i="3"/>
  <c r="AB1983" i="3"/>
  <c r="AC1983" i="3"/>
  <c r="AD1983" i="3"/>
  <c r="AE1983" i="3"/>
  <c r="AF1983" i="3"/>
  <c r="AG1983" i="3"/>
  <c r="AH1983" i="3"/>
  <c r="AI1983" i="3"/>
  <c r="Z1984" i="3"/>
  <c r="AJ1984" i="3" s="1"/>
  <c r="AA1984" i="3"/>
  <c r="AB1984" i="3"/>
  <c r="AC1984" i="3"/>
  <c r="AD1984" i="3"/>
  <c r="AE1984" i="3"/>
  <c r="AF1984" i="3"/>
  <c r="AG1984" i="3"/>
  <c r="AH1984" i="3"/>
  <c r="AI1984" i="3"/>
  <c r="Z1985" i="3"/>
  <c r="AJ1985" i="3" s="1"/>
  <c r="AA1985" i="3"/>
  <c r="AB1985" i="3"/>
  <c r="AC1985" i="3"/>
  <c r="AD1985" i="3"/>
  <c r="AE1985" i="3"/>
  <c r="AF1985" i="3"/>
  <c r="AG1985" i="3"/>
  <c r="AH1985" i="3"/>
  <c r="AI1985" i="3"/>
  <c r="Z1986" i="3"/>
  <c r="AA1986" i="3"/>
  <c r="AB1986" i="3"/>
  <c r="AC1986" i="3"/>
  <c r="AD1986" i="3"/>
  <c r="AE1986" i="3"/>
  <c r="AJ1986" i="3" s="1"/>
  <c r="AF1986" i="3"/>
  <c r="AG1986" i="3"/>
  <c r="AH1986" i="3"/>
  <c r="AI1986" i="3"/>
  <c r="Z1987" i="3"/>
  <c r="AA1987" i="3"/>
  <c r="AB1987" i="3"/>
  <c r="AJ1987" i="3" s="1"/>
  <c r="AC1987" i="3"/>
  <c r="AD1987" i="3"/>
  <c r="AE1987" i="3"/>
  <c r="AF1987" i="3"/>
  <c r="AG1987" i="3"/>
  <c r="AH1987" i="3"/>
  <c r="AI1987" i="3"/>
  <c r="Z1988" i="3"/>
  <c r="AJ1988" i="3" s="1"/>
  <c r="AA1988" i="3"/>
  <c r="AB1988" i="3"/>
  <c r="AC1988" i="3"/>
  <c r="AD1988" i="3"/>
  <c r="AE1988" i="3"/>
  <c r="AF1988" i="3"/>
  <c r="AG1988" i="3"/>
  <c r="AH1988" i="3"/>
  <c r="AI1988" i="3"/>
  <c r="Z1989" i="3"/>
  <c r="AA1989" i="3"/>
  <c r="AJ1989" i="3" s="1"/>
  <c r="AB1989" i="3"/>
  <c r="AC1989" i="3"/>
  <c r="AD1989" i="3"/>
  <c r="AE1989" i="3"/>
  <c r="AF1989" i="3"/>
  <c r="AG1989" i="3"/>
  <c r="AH1989" i="3"/>
  <c r="AI1989" i="3"/>
  <c r="Z1990" i="3"/>
  <c r="AA1990" i="3"/>
  <c r="AJ1990" i="3" s="1"/>
  <c r="AB1990" i="3"/>
  <c r="AC1990" i="3"/>
  <c r="AD1990" i="3"/>
  <c r="AE1990" i="3"/>
  <c r="AF1990" i="3"/>
  <c r="AG1990" i="3"/>
  <c r="AH1990" i="3"/>
  <c r="AI1990" i="3"/>
  <c r="Z1991" i="3"/>
  <c r="AJ1991" i="3" s="1"/>
  <c r="AA1991" i="3"/>
  <c r="AB1991" i="3"/>
  <c r="AC1991" i="3"/>
  <c r="AD1991" i="3"/>
  <c r="AE1991" i="3"/>
  <c r="AF1991" i="3"/>
  <c r="AG1991" i="3"/>
  <c r="AH1991" i="3"/>
  <c r="AI1991" i="3"/>
  <c r="Z1992" i="3"/>
  <c r="AJ1992" i="3" s="1"/>
  <c r="AA1992" i="3"/>
  <c r="AB1992" i="3"/>
  <c r="AC1992" i="3"/>
  <c r="AD1992" i="3"/>
  <c r="AE1992" i="3"/>
  <c r="AF1992" i="3"/>
  <c r="AG1992" i="3"/>
  <c r="AH1992" i="3"/>
  <c r="AI1992" i="3"/>
  <c r="Z1993" i="3"/>
  <c r="AJ1993" i="3" s="1"/>
  <c r="AA1993" i="3"/>
  <c r="AB1993" i="3"/>
  <c r="AC1993" i="3"/>
  <c r="AD1993" i="3"/>
  <c r="AE1993" i="3"/>
  <c r="AF1993" i="3"/>
  <c r="AG1993" i="3"/>
  <c r="AH1993" i="3"/>
  <c r="AI1993" i="3"/>
  <c r="Z1994" i="3"/>
  <c r="AA1994" i="3"/>
  <c r="AB1994" i="3"/>
  <c r="AC1994" i="3"/>
  <c r="AD1994" i="3"/>
  <c r="AE1994" i="3"/>
  <c r="AJ1994" i="3" s="1"/>
  <c r="AF1994" i="3"/>
  <c r="AG1994" i="3"/>
  <c r="AH1994" i="3"/>
  <c r="AI1994" i="3"/>
  <c r="Z1995" i="3"/>
  <c r="AA1995" i="3"/>
  <c r="AB1995" i="3"/>
  <c r="AJ1995" i="3" s="1"/>
  <c r="AC1995" i="3"/>
  <c r="AD1995" i="3"/>
  <c r="AE1995" i="3"/>
  <c r="AF1995" i="3"/>
  <c r="AG1995" i="3"/>
  <c r="AH1995" i="3"/>
  <c r="AI1995" i="3"/>
  <c r="Z1996" i="3"/>
  <c r="AJ1996" i="3" s="1"/>
  <c r="AA1996" i="3"/>
  <c r="AB1996" i="3"/>
  <c r="AC1996" i="3"/>
  <c r="AD1996" i="3"/>
  <c r="AE1996" i="3"/>
  <c r="AF1996" i="3"/>
  <c r="AG1996" i="3"/>
  <c r="AH1996" i="3"/>
  <c r="AI1996" i="3"/>
  <c r="Z1997" i="3"/>
  <c r="AA1997" i="3"/>
  <c r="AJ1997" i="3" s="1"/>
  <c r="AB1997" i="3"/>
  <c r="AC1997" i="3"/>
  <c r="AD1997" i="3"/>
  <c r="AE1997" i="3"/>
  <c r="AF1997" i="3"/>
  <c r="AG1997" i="3"/>
  <c r="AH1997" i="3"/>
  <c r="AI1997" i="3"/>
  <c r="Z1998" i="3"/>
  <c r="AA1998" i="3"/>
  <c r="AJ1998" i="3" s="1"/>
  <c r="AB1998" i="3"/>
  <c r="AC1998" i="3"/>
  <c r="AD1998" i="3"/>
  <c r="AE1998" i="3"/>
  <c r="AF1998" i="3"/>
  <c r="AG1998" i="3"/>
  <c r="AH1998" i="3"/>
  <c r="AI1998" i="3"/>
  <c r="Z1999" i="3"/>
  <c r="AJ1999" i="3" s="1"/>
  <c r="AA1999" i="3"/>
  <c r="AB1999" i="3"/>
  <c r="AC1999" i="3"/>
  <c r="AD1999" i="3"/>
  <c r="AE1999" i="3"/>
  <c r="AF1999" i="3"/>
  <c r="AG1999" i="3"/>
  <c r="AH1999" i="3"/>
  <c r="AI1999" i="3"/>
  <c r="Z2000" i="3"/>
  <c r="AJ2000" i="3" s="1"/>
  <c r="AA2000" i="3"/>
  <c r="AB2000" i="3"/>
  <c r="AC2000" i="3"/>
  <c r="AD2000" i="3"/>
  <c r="AE2000" i="3"/>
  <c r="AF2000" i="3"/>
  <c r="AG2000" i="3"/>
  <c r="AH2000" i="3"/>
  <c r="AI2000" i="3"/>
  <c r="Z2001" i="3"/>
  <c r="AJ2001" i="3" s="1"/>
  <c r="AA2001" i="3"/>
  <c r="AB2001" i="3"/>
  <c r="AC2001" i="3"/>
  <c r="AD2001" i="3"/>
  <c r="AE2001" i="3"/>
  <c r="AF2001" i="3"/>
  <c r="AG2001" i="3"/>
  <c r="AH2001" i="3"/>
  <c r="AI2001" i="3"/>
  <c r="Z2002" i="3"/>
  <c r="AA2002" i="3"/>
  <c r="AB2002" i="3"/>
  <c r="AC2002" i="3"/>
  <c r="AD2002" i="3"/>
  <c r="AE2002" i="3"/>
  <c r="AJ2002" i="3" s="1"/>
  <c r="AF2002" i="3"/>
  <c r="AG2002" i="3"/>
  <c r="AH2002" i="3"/>
  <c r="AI2002" i="3"/>
  <c r="Z2003" i="3"/>
  <c r="AA2003" i="3"/>
  <c r="AB2003" i="3"/>
  <c r="AJ2003" i="3" s="1"/>
  <c r="AC2003" i="3"/>
  <c r="AD2003" i="3"/>
  <c r="AE2003" i="3"/>
  <c r="AF2003" i="3"/>
  <c r="AG2003" i="3"/>
  <c r="AH2003" i="3"/>
  <c r="AI2003" i="3"/>
  <c r="Z2004" i="3"/>
  <c r="AJ2004" i="3" s="1"/>
  <c r="AA2004" i="3"/>
  <c r="AB2004" i="3"/>
  <c r="AC2004" i="3"/>
  <c r="AD2004" i="3"/>
  <c r="AE2004" i="3"/>
  <c r="AF2004" i="3"/>
  <c r="AG2004" i="3"/>
  <c r="AH2004" i="3"/>
  <c r="AI2004" i="3"/>
  <c r="Z2005" i="3"/>
  <c r="AA2005" i="3"/>
  <c r="AJ2005" i="3" s="1"/>
  <c r="AB2005" i="3"/>
  <c r="AC2005" i="3"/>
  <c r="AD2005" i="3"/>
  <c r="AE2005" i="3"/>
  <c r="AF2005" i="3"/>
  <c r="AG2005" i="3"/>
  <c r="AH2005" i="3"/>
  <c r="AI2005" i="3"/>
  <c r="Z2006" i="3"/>
  <c r="AA2006" i="3"/>
  <c r="AJ2006" i="3" s="1"/>
  <c r="AB2006" i="3"/>
  <c r="AC2006" i="3"/>
  <c r="AD2006" i="3"/>
  <c r="AE2006" i="3"/>
  <c r="AF2006" i="3"/>
  <c r="AG2006" i="3"/>
  <c r="AH2006" i="3"/>
  <c r="AI2006" i="3"/>
  <c r="Z2007" i="3"/>
  <c r="AJ2007" i="3" s="1"/>
  <c r="AA2007" i="3"/>
  <c r="AB2007" i="3"/>
  <c r="AC2007" i="3"/>
  <c r="AD2007" i="3"/>
  <c r="AE2007" i="3"/>
  <c r="AF2007" i="3"/>
  <c r="AG2007" i="3"/>
  <c r="AH2007" i="3"/>
  <c r="AI2007" i="3"/>
  <c r="Z2008" i="3"/>
  <c r="AJ2008" i="3" s="1"/>
  <c r="AA2008" i="3"/>
  <c r="AB2008" i="3"/>
  <c r="AC2008" i="3"/>
  <c r="AD2008" i="3"/>
  <c r="AE2008" i="3"/>
  <c r="AF2008" i="3"/>
  <c r="AG2008" i="3"/>
  <c r="AH2008" i="3"/>
  <c r="AI2008" i="3"/>
  <c r="Z2009" i="3"/>
  <c r="AJ2009" i="3" s="1"/>
  <c r="AA2009" i="3"/>
  <c r="AB2009" i="3"/>
  <c r="AC2009" i="3"/>
  <c r="AD2009" i="3"/>
  <c r="AE2009" i="3"/>
  <c r="AF2009" i="3"/>
  <c r="AG2009" i="3"/>
  <c r="AH2009" i="3"/>
  <c r="AI2009" i="3"/>
  <c r="Z2010" i="3"/>
  <c r="AA2010" i="3"/>
  <c r="AB2010" i="3"/>
  <c r="AC2010" i="3"/>
  <c r="AD2010" i="3"/>
  <c r="AE2010" i="3"/>
  <c r="AJ2010" i="3" s="1"/>
  <c r="AF2010" i="3"/>
  <c r="AG2010" i="3"/>
  <c r="AH2010" i="3"/>
  <c r="AI2010" i="3"/>
  <c r="Z2011" i="3"/>
  <c r="AA2011" i="3"/>
  <c r="AB2011" i="3"/>
  <c r="AJ2011" i="3" s="1"/>
  <c r="AC2011" i="3"/>
  <c r="AD2011" i="3"/>
  <c r="AE2011" i="3"/>
  <c r="AF2011" i="3"/>
  <c r="AG2011" i="3"/>
  <c r="AH2011" i="3"/>
  <c r="AI2011" i="3"/>
  <c r="Z2012" i="3"/>
  <c r="AJ2012" i="3" s="1"/>
  <c r="AA2012" i="3"/>
  <c r="AB2012" i="3"/>
  <c r="AC2012" i="3"/>
  <c r="AD2012" i="3"/>
  <c r="AE2012" i="3"/>
  <c r="AF2012" i="3"/>
  <c r="AG2012" i="3"/>
  <c r="AH2012" i="3"/>
  <c r="AI2012" i="3"/>
  <c r="Z2013" i="3"/>
  <c r="AA2013" i="3"/>
  <c r="AJ2013" i="3" s="1"/>
  <c r="AB2013" i="3"/>
  <c r="AC2013" i="3"/>
  <c r="AD2013" i="3"/>
  <c r="AE2013" i="3"/>
  <c r="AF2013" i="3"/>
  <c r="AG2013" i="3"/>
  <c r="AH2013" i="3"/>
  <c r="AI2013" i="3"/>
  <c r="Z2014" i="3"/>
  <c r="AA2014" i="3"/>
  <c r="AJ2014" i="3" s="1"/>
  <c r="AB2014" i="3"/>
  <c r="AC2014" i="3"/>
  <c r="AD2014" i="3"/>
  <c r="AE2014" i="3"/>
  <c r="AF2014" i="3"/>
  <c r="AG2014" i="3"/>
  <c r="AH2014" i="3"/>
  <c r="AI2014" i="3"/>
  <c r="Z2015" i="3"/>
  <c r="AJ2015" i="3" s="1"/>
  <c r="AA2015" i="3"/>
  <c r="AB2015" i="3"/>
  <c r="AC2015" i="3"/>
  <c r="AD2015" i="3"/>
  <c r="AE2015" i="3"/>
  <c r="AF2015" i="3"/>
  <c r="AG2015" i="3"/>
  <c r="AH2015" i="3"/>
  <c r="AI2015" i="3"/>
  <c r="Z2016" i="3"/>
  <c r="AJ2016" i="3" s="1"/>
  <c r="AA2016" i="3"/>
  <c r="AB2016" i="3"/>
  <c r="AC2016" i="3"/>
  <c r="AD2016" i="3"/>
  <c r="AE2016" i="3"/>
  <c r="AF2016" i="3"/>
  <c r="AG2016" i="3"/>
  <c r="AH2016" i="3"/>
  <c r="AI2016" i="3"/>
  <c r="Z2017" i="3"/>
  <c r="AJ2017" i="3" s="1"/>
  <c r="AA2017" i="3"/>
  <c r="AB2017" i="3"/>
  <c r="AC2017" i="3"/>
  <c r="AD2017" i="3"/>
  <c r="AE2017" i="3"/>
  <c r="AF2017" i="3"/>
  <c r="AG2017" i="3"/>
  <c r="AH2017" i="3"/>
  <c r="AI2017" i="3"/>
  <c r="Z2018" i="3"/>
  <c r="AA2018" i="3"/>
  <c r="AB2018" i="3"/>
  <c r="AC2018" i="3"/>
  <c r="AD2018" i="3"/>
  <c r="AE2018" i="3"/>
  <c r="AJ2018" i="3" s="1"/>
  <c r="AF2018" i="3"/>
  <c r="AG2018" i="3"/>
  <c r="AH2018" i="3"/>
  <c r="AI2018" i="3"/>
  <c r="Z2019" i="3"/>
  <c r="AA2019" i="3"/>
  <c r="AB2019" i="3"/>
  <c r="AJ2019" i="3" s="1"/>
  <c r="AC2019" i="3"/>
  <c r="AD2019" i="3"/>
  <c r="AE2019" i="3"/>
  <c r="AF2019" i="3"/>
  <c r="AG2019" i="3"/>
  <c r="AH2019" i="3"/>
  <c r="AI2019" i="3"/>
  <c r="Z2020" i="3"/>
  <c r="AJ2020" i="3" s="1"/>
  <c r="AA2020" i="3"/>
  <c r="AB2020" i="3"/>
  <c r="AC2020" i="3"/>
  <c r="AD2020" i="3"/>
  <c r="AE2020" i="3"/>
  <c r="AF2020" i="3"/>
  <c r="AG2020" i="3"/>
  <c r="AH2020" i="3"/>
  <c r="AI2020" i="3"/>
  <c r="Z2021" i="3"/>
  <c r="AA2021" i="3"/>
  <c r="AJ2021" i="3" s="1"/>
  <c r="AB2021" i="3"/>
  <c r="AC2021" i="3"/>
  <c r="AD2021" i="3"/>
  <c r="AE2021" i="3"/>
  <c r="AF2021" i="3"/>
  <c r="AG2021" i="3"/>
  <c r="AH2021" i="3"/>
  <c r="AI2021" i="3"/>
  <c r="Z2022" i="3"/>
  <c r="AA2022" i="3"/>
  <c r="AJ2022" i="3" s="1"/>
  <c r="AB2022" i="3"/>
  <c r="AC2022" i="3"/>
  <c r="AD2022" i="3"/>
  <c r="AE2022" i="3"/>
  <c r="AF2022" i="3"/>
  <c r="AG2022" i="3"/>
  <c r="AH2022" i="3"/>
  <c r="AI2022" i="3"/>
  <c r="Z2023" i="3"/>
  <c r="AJ2023" i="3" s="1"/>
  <c r="AA2023" i="3"/>
  <c r="AB2023" i="3"/>
  <c r="AC2023" i="3"/>
  <c r="AD2023" i="3"/>
  <c r="AE2023" i="3"/>
  <c r="AF2023" i="3"/>
  <c r="AG2023" i="3"/>
  <c r="AH2023" i="3"/>
  <c r="AI2023" i="3"/>
  <c r="Z2024" i="3"/>
  <c r="AJ2024" i="3" s="1"/>
  <c r="AA2024" i="3"/>
  <c r="AB2024" i="3"/>
  <c r="AC2024" i="3"/>
  <c r="AD2024" i="3"/>
  <c r="AE2024" i="3"/>
  <c r="AF2024" i="3"/>
  <c r="AG2024" i="3"/>
  <c r="AH2024" i="3"/>
  <c r="AI2024" i="3"/>
  <c r="Z2025" i="3"/>
  <c r="AJ2025" i="3" s="1"/>
  <c r="AA2025" i="3"/>
  <c r="AB2025" i="3"/>
  <c r="AC2025" i="3"/>
  <c r="AD2025" i="3"/>
  <c r="AE2025" i="3"/>
  <c r="AF2025" i="3"/>
  <c r="AG2025" i="3"/>
  <c r="AH2025" i="3"/>
  <c r="AI2025" i="3"/>
  <c r="Z2026" i="3"/>
  <c r="AA2026" i="3"/>
  <c r="AB2026" i="3"/>
  <c r="AC2026" i="3"/>
  <c r="AD2026" i="3"/>
  <c r="AE2026" i="3"/>
  <c r="AJ2026" i="3" s="1"/>
  <c r="AF2026" i="3"/>
  <c r="AG2026" i="3"/>
  <c r="AH2026" i="3"/>
  <c r="AI2026" i="3"/>
  <c r="Z2027" i="3"/>
  <c r="AA2027" i="3"/>
  <c r="AB2027" i="3"/>
  <c r="AJ2027" i="3" s="1"/>
  <c r="AC2027" i="3"/>
  <c r="AD2027" i="3"/>
  <c r="AE2027" i="3"/>
  <c r="AF2027" i="3"/>
  <c r="AG2027" i="3"/>
  <c r="AH2027" i="3"/>
  <c r="AI2027" i="3"/>
  <c r="Z2028" i="3"/>
  <c r="AJ2028" i="3" s="1"/>
  <c r="AA2028" i="3"/>
  <c r="AB2028" i="3"/>
  <c r="AC2028" i="3"/>
  <c r="AD2028" i="3"/>
  <c r="AE2028" i="3"/>
  <c r="AF2028" i="3"/>
  <c r="AG2028" i="3"/>
  <c r="AH2028" i="3"/>
  <c r="AI2028" i="3"/>
  <c r="Z2029" i="3"/>
  <c r="AA2029" i="3"/>
  <c r="AJ2029" i="3" s="1"/>
  <c r="AB2029" i="3"/>
  <c r="AC2029" i="3"/>
  <c r="AD2029" i="3"/>
  <c r="AE2029" i="3"/>
  <c r="AF2029" i="3"/>
  <c r="AG2029" i="3"/>
  <c r="AH2029" i="3"/>
  <c r="AI2029" i="3"/>
  <c r="Z2030" i="3"/>
  <c r="AA2030" i="3"/>
  <c r="AJ2030" i="3" s="1"/>
  <c r="AB2030" i="3"/>
  <c r="AC2030" i="3"/>
  <c r="AD2030" i="3"/>
  <c r="AE2030" i="3"/>
  <c r="AF2030" i="3"/>
  <c r="AG2030" i="3"/>
  <c r="AH2030" i="3"/>
  <c r="AI2030" i="3"/>
  <c r="Z2031" i="3"/>
  <c r="AJ2031" i="3" s="1"/>
  <c r="AA2031" i="3"/>
  <c r="AB2031" i="3"/>
  <c r="AC2031" i="3"/>
  <c r="AD2031" i="3"/>
  <c r="AE2031" i="3"/>
  <c r="AF2031" i="3"/>
  <c r="AG2031" i="3"/>
  <c r="AH2031" i="3"/>
  <c r="AI2031" i="3"/>
  <c r="Z2032" i="3"/>
  <c r="AJ2032" i="3" s="1"/>
  <c r="AA2032" i="3"/>
  <c r="AB2032" i="3"/>
  <c r="AC2032" i="3"/>
  <c r="AD2032" i="3"/>
  <c r="AE2032" i="3"/>
  <c r="AF2032" i="3"/>
  <c r="AG2032" i="3"/>
  <c r="AH2032" i="3"/>
  <c r="AI2032" i="3"/>
  <c r="Z2033" i="3"/>
  <c r="AJ2033" i="3" s="1"/>
  <c r="AA2033" i="3"/>
  <c r="AB2033" i="3"/>
  <c r="AC2033" i="3"/>
  <c r="AD2033" i="3"/>
  <c r="AE2033" i="3"/>
  <c r="AF2033" i="3"/>
  <c r="AG2033" i="3"/>
  <c r="AH2033" i="3"/>
  <c r="AI2033" i="3"/>
  <c r="Z2034" i="3"/>
  <c r="AA2034" i="3"/>
  <c r="AB2034" i="3"/>
  <c r="AC2034" i="3"/>
  <c r="AD2034" i="3"/>
  <c r="AE2034" i="3"/>
  <c r="AJ2034" i="3" s="1"/>
  <c r="AF2034" i="3"/>
  <c r="AG2034" i="3"/>
  <c r="AH2034" i="3"/>
  <c r="AI2034" i="3"/>
  <c r="Z2035" i="3"/>
  <c r="AA2035" i="3"/>
  <c r="AB2035" i="3"/>
  <c r="AJ2035" i="3" s="1"/>
  <c r="AC2035" i="3"/>
  <c r="AD2035" i="3"/>
  <c r="AE2035" i="3"/>
  <c r="AF2035" i="3"/>
  <c r="AG2035" i="3"/>
  <c r="AH2035" i="3"/>
  <c r="AI2035" i="3"/>
  <c r="Z2036" i="3"/>
  <c r="AJ2036" i="3" s="1"/>
  <c r="AA2036" i="3"/>
  <c r="AB2036" i="3"/>
  <c r="AC2036" i="3"/>
  <c r="AD2036" i="3"/>
  <c r="AE2036" i="3"/>
  <c r="AF2036" i="3"/>
  <c r="AG2036" i="3"/>
  <c r="AH2036" i="3"/>
  <c r="AI2036" i="3"/>
  <c r="Z2037" i="3"/>
  <c r="AA2037" i="3"/>
  <c r="AJ2037" i="3" s="1"/>
  <c r="AB2037" i="3"/>
  <c r="AC2037" i="3"/>
  <c r="AD2037" i="3"/>
  <c r="AE2037" i="3"/>
  <c r="AF2037" i="3"/>
  <c r="AG2037" i="3"/>
  <c r="AH2037" i="3"/>
  <c r="AI2037" i="3"/>
  <c r="Z2038" i="3"/>
  <c r="AA2038" i="3"/>
  <c r="AJ2038" i="3" s="1"/>
  <c r="AB2038" i="3"/>
  <c r="AC2038" i="3"/>
  <c r="AD2038" i="3"/>
  <c r="AE2038" i="3"/>
  <c r="AF2038" i="3"/>
  <c r="AG2038" i="3"/>
  <c r="AH2038" i="3"/>
  <c r="AI2038" i="3"/>
  <c r="Z2039" i="3"/>
  <c r="AJ2039" i="3" s="1"/>
  <c r="AA2039" i="3"/>
  <c r="AB2039" i="3"/>
  <c r="AC2039" i="3"/>
  <c r="AD2039" i="3"/>
  <c r="AE2039" i="3"/>
  <c r="AF2039" i="3"/>
  <c r="AG2039" i="3"/>
  <c r="AH2039" i="3"/>
  <c r="AI2039" i="3"/>
  <c r="Z2040" i="3"/>
  <c r="AJ2040" i="3" s="1"/>
  <c r="AA2040" i="3"/>
  <c r="AB2040" i="3"/>
  <c r="AC2040" i="3"/>
  <c r="AD2040" i="3"/>
  <c r="AE2040" i="3"/>
  <c r="AF2040" i="3"/>
  <c r="AG2040" i="3"/>
  <c r="AH2040" i="3"/>
  <c r="AI2040" i="3"/>
  <c r="Z2041" i="3"/>
  <c r="AJ2041" i="3" s="1"/>
  <c r="AA2041" i="3"/>
  <c r="AB2041" i="3"/>
  <c r="AC2041" i="3"/>
  <c r="AD2041" i="3"/>
  <c r="AE2041" i="3"/>
  <c r="AF2041" i="3"/>
  <c r="AG2041" i="3"/>
  <c r="AH2041" i="3"/>
  <c r="AI2041" i="3"/>
  <c r="Z2042" i="3"/>
  <c r="AA2042" i="3"/>
  <c r="AB2042" i="3"/>
  <c r="AC2042" i="3"/>
  <c r="AD2042" i="3"/>
  <c r="AE2042" i="3"/>
  <c r="AJ2042" i="3" s="1"/>
  <c r="AF2042" i="3"/>
  <c r="AG2042" i="3"/>
  <c r="AH2042" i="3"/>
  <c r="AI2042" i="3"/>
  <c r="Z2043" i="3"/>
  <c r="AA2043" i="3"/>
  <c r="AB2043" i="3"/>
  <c r="AJ2043" i="3" s="1"/>
  <c r="AC2043" i="3"/>
  <c r="AD2043" i="3"/>
  <c r="AE2043" i="3"/>
  <c r="AF2043" i="3"/>
  <c r="AG2043" i="3"/>
  <c r="AH2043" i="3"/>
  <c r="AI2043" i="3"/>
  <c r="Z2044" i="3"/>
  <c r="AJ2044" i="3" s="1"/>
  <c r="AA2044" i="3"/>
  <c r="AB2044" i="3"/>
  <c r="AC2044" i="3"/>
  <c r="AD2044" i="3"/>
  <c r="AE2044" i="3"/>
  <c r="AF2044" i="3"/>
  <c r="AG2044" i="3"/>
  <c r="AH2044" i="3"/>
  <c r="AI2044" i="3"/>
  <c r="Z2045" i="3"/>
  <c r="AA2045" i="3"/>
  <c r="AJ2045" i="3" s="1"/>
  <c r="AB2045" i="3"/>
  <c r="AC2045" i="3"/>
  <c r="AD2045" i="3"/>
  <c r="AE2045" i="3"/>
  <c r="AF2045" i="3"/>
  <c r="AG2045" i="3"/>
  <c r="AH2045" i="3"/>
  <c r="AI2045" i="3"/>
  <c r="Z2046" i="3"/>
  <c r="AA2046" i="3"/>
  <c r="AJ2046" i="3" s="1"/>
  <c r="AB2046" i="3"/>
  <c r="AC2046" i="3"/>
  <c r="AD2046" i="3"/>
  <c r="AE2046" i="3"/>
  <c r="AF2046" i="3"/>
  <c r="AG2046" i="3"/>
  <c r="AH2046" i="3"/>
  <c r="AI2046" i="3"/>
  <c r="Z2047" i="3"/>
  <c r="AJ2047" i="3" s="1"/>
  <c r="AA2047" i="3"/>
  <c r="AB2047" i="3"/>
  <c r="AC2047" i="3"/>
  <c r="AD2047" i="3"/>
  <c r="AE2047" i="3"/>
  <c r="AF2047" i="3"/>
  <c r="AG2047" i="3"/>
  <c r="AH2047" i="3"/>
  <c r="AI2047" i="3"/>
  <c r="Z2048" i="3"/>
  <c r="AJ2048" i="3" s="1"/>
  <c r="AA2048" i="3"/>
  <c r="AB2048" i="3"/>
  <c r="AC2048" i="3"/>
  <c r="AD2048" i="3"/>
  <c r="AE2048" i="3"/>
  <c r="AF2048" i="3"/>
  <c r="AG2048" i="3"/>
  <c r="AH2048" i="3"/>
  <c r="AI2048" i="3"/>
  <c r="Z2049" i="3"/>
  <c r="AJ2049" i="3" s="1"/>
  <c r="AA2049" i="3"/>
  <c r="AB2049" i="3"/>
  <c r="AC2049" i="3"/>
  <c r="AD2049" i="3"/>
  <c r="AE2049" i="3"/>
  <c r="AF2049" i="3"/>
  <c r="AG2049" i="3"/>
  <c r="AH2049" i="3"/>
  <c r="AI2049" i="3"/>
  <c r="Z2050" i="3"/>
  <c r="AA2050" i="3"/>
  <c r="AB2050" i="3"/>
  <c r="AC2050" i="3"/>
  <c r="AD2050" i="3"/>
  <c r="AE2050" i="3"/>
  <c r="AJ2050" i="3" s="1"/>
  <c r="AF2050" i="3"/>
  <c r="AG2050" i="3"/>
  <c r="AH2050" i="3"/>
  <c r="AI2050" i="3"/>
  <c r="Z2051" i="3"/>
  <c r="AA2051" i="3"/>
  <c r="AB2051" i="3"/>
  <c r="AJ2051" i="3" s="1"/>
  <c r="AC2051" i="3"/>
  <c r="AD2051" i="3"/>
  <c r="AE2051" i="3"/>
  <c r="AF2051" i="3"/>
  <c r="AG2051" i="3"/>
  <c r="AH2051" i="3"/>
  <c r="AI2051" i="3"/>
  <c r="Z2052" i="3"/>
  <c r="AJ2052" i="3" s="1"/>
  <c r="AA2052" i="3"/>
  <c r="AB2052" i="3"/>
  <c r="AC2052" i="3"/>
  <c r="AD2052" i="3"/>
  <c r="AE2052" i="3"/>
  <c r="AF2052" i="3"/>
  <c r="AG2052" i="3"/>
  <c r="AH2052" i="3"/>
  <c r="AI2052" i="3"/>
  <c r="Z2053" i="3"/>
  <c r="AA2053" i="3"/>
  <c r="AJ2053" i="3" s="1"/>
  <c r="AB2053" i="3"/>
  <c r="AC2053" i="3"/>
  <c r="AD2053" i="3"/>
  <c r="AE2053" i="3"/>
  <c r="AF2053" i="3"/>
  <c r="AG2053" i="3"/>
  <c r="AH2053" i="3"/>
  <c r="AI2053" i="3"/>
  <c r="Z2054" i="3"/>
  <c r="AA2054" i="3"/>
  <c r="AJ2054" i="3" s="1"/>
  <c r="AB2054" i="3"/>
  <c r="AC2054" i="3"/>
  <c r="AD2054" i="3"/>
  <c r="AE2054" i="3"/>
  <c r="AF2054" i="3"/>
  <c r="AG2054" i="3"/>
  <c r="AH2054" i="3"/>
  <c r="AI2054" i="3"/>
  <c r="Z2055" i="3"/>
  <c r="AJ2055" i="3" s="1"/>
  <c r="AA2055" i="3"/>
  <c r="AB2055" i="3"/>
  <c r="AC2055" i="3"/>
  <c r="AD2055" i="3"/>
  <c r="AE2055" i="3"/>
  <c r="AF2055" i="3"/>
  <c r="AG2055" i="3"/>
  <c r="AH2055" i="3"/>
  <c r="AI2055" i="3"/>
  <c r="Z2056" i="3"/>
  <c r="AJ2056" i="3" s="1"/>
  <c r="AA2056" i="3"/>
  <c r="AB2056" i="3"/>
  <c r="AC2056" i="3"/>
  <c r="AD2056" i="3"/>
  <c r="AE2056" i="3"/>
  <c r="AF2056" i="3"/>
  <c r="AG2056" i="3"/>
  <c r="AH2056" i="3"/>
  <c r="AI2056" i="3"/>
  <c r="Z2057" i="3"/>
  <c r="AJ2057" i="3" s="1"/>
  <c r="AA2057" i="3"/>
  <c r="AB2057" i="3"/>
  <c r="AC2057" i="3"/>
  <c r="AD2057" i="3"/>
  <c r="AE2057" i="3"/>
  <c r="AF2057" i="3"/>
  <c r="AG2057" i="3"/>
  <c r="AH2057" i="3"/>
  <c r="AI2057" i="3"/>
  <c r="Z2058" i="3"/>
  <c r="AA2058" i="3"/>
  <c r="AB2058" i="3"/>
  <c r="AC2058" i="3"/>
  <c r="AD2058" i="3"/>
  <c r="AE2058" i="3"/>
  <c r="AJ2058" i="3" s="1"/>
  <c r="AF2058" i="3"/>
  <c r="AG2058" i="3"/>
  <c r="AH2058" i="3"/>
  <c r="AI2058" i="3"/>
  <c r="Z2059" i="3"/>
  <c r="AA2059" i="3"/>
  <c r="AB2059" i="3"/>
  <c r="AJ2059" i="3" s="1"/>
  <c r="AC2059" i="3"/>
  <c r="AD2059" i="3"/>
  <c r="AE2059" i="3"/>
  <c r="AF2059" i="3"/>
  <c r="AG2059" i="3"/>
  <c r="AH2059" i="3"/>
  <c r="AI2059" i="3"/>
  <c r="Z2060" i="3"/>
  <c r="AJ2060" i="3" s="1"/>
  <c r="AA2060" i="3"/>
  <c r="AB2060" i="3"/>
  <c r="AC2060" i="3"/>
  <c r="AD2060" i="3"/>
  <c r="AE2060" i="3"/>
  <c r="AF2060" i="3"/>
  <c r="AG2060" i="3"/>
  <c r="AH2060" i="3"/>
  <c r="AI2060" i="3"/>
  <c r="Z2061" i="3"/>
  <c r="AA2061" i="3"/>
  <c r="AJ2061" i="3" s="1"/>
  <c r="AB2061" i="3"/>
  <c r="AC2061" i="3"/>
  <c r="AD2061" i="3"/>
  <c r="AE2061" i="3"/>
  <c r="AF2061" i="3"/>
  <c r="AG2061" i="3"/>
  <c r="AH2061" i="3"/>
  <c r="AI2061" i="3"/>
  <c r="Z2062" i="3"/>
  <c r="AA2062" i="3"/>
  <c r="AJ2062" i="3" s="1"/>
  <c r="AB2062" i="3"/>
  <c r="AC2062" i="3"/>
  <c r="AD2062" i="3"/>
  <c r="AE2062" i="3"/>
  <c r="AF2062" i="3"/>
  <c r="AG2062" i="3"/>
  <c r="AH2062" i="3"/>
  <c r="AI2062" i="3"/>
  <c r="Z2063" i="3"/>
  <c r="AJ2063" i="3" s="1"/>
  <c r="AA2063" i="3"/>
  <c r="AB2063" i="3"/>
  <c r="AC2063" i="3"/>
  <c r="AD2063" i="3"/>
  <c r="AE2063" i="3"/>
  <c r="AF2063" i="3"/>
  <c r="AG2063" i="3"/>
  <c r="AH2063" i="3"/>
  <c r="AI2063" i="3"/>
  <c r="Z2064" i="3"/>
  <c r="AJ2064" i="3" s="1"/>
  <c r="AA2064" i="3"/>
  <c r="AB2064" i="3"/>
  <c r="AC2064" i="3"/>
  <c r="AD2064" i="3"/>
  <c r="AE2064" i="3"/>
  <c r="AF2064" i="3"/>
  <c r="AG2064" i="3"/>
  <c r="AH2064" i="3"/>
  <c r="AI2064" i="3"/>
  <c r="Z2065" i="3"/>
  <c r="AJ2065" i="3" s="1"/>
  <c r="AA2065" i="3"/>
  <c r="AB2065" i="3"/>
  <c r="AC2065" i="3"/>
  <c r="AD2065" i="3"/>
  <c r="AE2065" i="3"/>
  <c r="AF2065" i="3"/>
  <c r="AG2065" i="3"/>
  <c r="AH2065" i="3"/>
  <c r="AI2065" i="3"/>
  <c r="Z2066" i="3"/>
  <c r="AA2066" i="3"/>
  <c r="AB2066" i="3"/>
  <c r="AC2066" i="3"/>
  <c r="AD2066" i="3"/>
  <c r="AE2066" i="3"/>
  <c r="AJ2066" i="3" s="1"/>
  <c r="AF2066" i="3"/>
  <c r="AG2066" i="3"/>
  <c r="AH2066" i="3"/>
  <c r="AI2066" i="3"/>
  <c r="Z2067" i="3"/>
  <c r="AA2067" i="3"/>
  <c r="AB2067" i="3"/>
  <c r="AJ2067" i="3" s="1"/>
  <c r="AC2067" i="3"/>
  <c r="AD2067" i="3"/>
  <c r="AE2067" i="3"/>
  <c r="AF2067" i="3"/>
  <c r="AG2067" i="3"/>
  <c r="AH2067" i="3"/>
  <c r="AI2067" i="3"/>
  <c r="Z2068" i="3"/>
  <c r="AJ2068" i="3" s="1"/>
  <c r="AA2068" i="3"/>
  <c r="AB2068" i="3"/>
  <c r="AC2068" i="3"/>
  <c r="AD2068" i="3"/>
  <c r="AE2068" i="3"/>
  <c r="AF2068" i="3"/>
  <c r="AG2068" i="3"/>
  <c r="AH2068" i="3"/>
  <c r="AI2068" i="3"/>
  <c r="Z2069" i="3"/>
  <c r="AA2069" i="3"/>
  <c r="AJ2069" i="3" s="1"/>
  <c r="AB2069" i="3"/>
  <c r="AC2069" i="3"/>
  <c r="AD2069" i="3"/>
  <c r="AE2069" i="3"/>
  <c r="AF2069" i="3"/>
  <c r="AG2069" i="3"/>
  <c r="AH2069" i="3"/>
  <c r="AI2069" i="3"/>
  <c r="Z2070" i="3"/>
  <c r="AA2070" i="3"/>
  <c r="AJ2070" i="3" s="1"/>
  <c r="AB2070" i="3"/>
  <c r="AC2070" i="3"/>
  <c r="AD2070" i="3"/>
  <c r="AE2070" i="3"/>
  <c r="AF2070" i="3"/>
  <c r="AG2070" i="3"/>
  <c r="AH2070" i="3"/>
  <c r="AI2070" i="3"/>
  <c r="Z2071" i="3"/>
  <c r="AJ2071" i="3" s="1"/>
  <c r="AA2071" i="3"/>
  <c r="AB2071" i="3"/>
  <c r="AC2071" i="3"/>
  <c r="AD2071" i="3"/>
  <c r="AE2071" i="3"/>
  <c r="AF2071" i="3"/>
  <c r="AG2071" i="3"/>
  <c r="AH2071" i="3"/>
  <c r="AI2071" i="3"/>
  <c r="Z2072" i="3"/>
  <c r="AJ2072" i="3" s="1"/>
  <c r="AA2072" i="3"/>
  <c r="AB2072" i="3"/>
  <c r="AC2072" i="3"/>
  <c r="AD2072" i="3"/>
  <c r="AE2072" i="3"/>
  <c r="AF2072" i="3"/>
  <c r="AG2072" i="3"/>
  <c r="AH2072" i="3"/>
  <c r="AI2072" i="3"/>
  <c r="Z2073" i="3"/>
  <c r="AJ2073" i="3" s="1"/>
  <c r="AA2073" i="3"/>
  <c r="AB2073" i="3"/>
  <c r="AC2073" i="3"/>
  <c r="AD2073" i="3"/>
  <c r="AE2073" i="3"/>
  <c r="AF2073" i="3"/>
  <c r="AG2073" i="3"/>
  <c r="AH2073" i="3"/>
  <c r="AI2073" i="3"/>
  <c r="Z2074" i="3"/>
  <c r="AA2074" i="3"/>
  <c r="AB2074" i="3"/>
  <c r="AC2074" i="3"/>
  <c r="AD2074" i="3"/>
  <c r="AE2074" i="3"/>
  <c r="AJ2074" i="3" s="1"/>
  <c r="AF2074" i="3"/>
  <c r="AG2074" i="3"/>
  <c r="AH2074" i="3"/>
  <c r="AI2074" i="3"/>
  <c r="Z2075" i="3"/>
  <c r="AA2075" i="3"/>
  <c r="AB2075" i="3"/>
  <c r="AJ2075" i="3" s="1"/>
  <c r="AC2075" i="3"/>
  <c r="AD2075" i="3"/>
  <c r="AE2075" i="3"/>
  <c r="AF2075" i="3"/>
  <c r="AG2075" i="3"/>
  <c r="AH2075" i="3"/>
  <c r="AI2075" i="3"/>
  <c r="Z2076" i="3"/>
  <c r="AJ2076" i="3" s="1"/>
  <c r="AA2076" i="3"/>
  <c r="AB2076" i="3"/>
  <c r="AC2076" i="3"/>
  <c r="AD2076" i="3"/>
  <c r="AE2076" i="3"/>
  <c r="AF2076" i="3"/>
  <c r="AG2076" i="3"/>
  <c r="AH2076" i="3"/>
  <c r="AI2076" i="3"/>
  <c r="Z2077" i="3"/>
  <c r="AA2077" i="3"/>
  <c r="AJ2077" i="3" s="1"/>
  <c r="AB2077" i="3"/>
  <c r="AC2077" i="3"/>
  <c r="AD2077" i="3"/>
  <c r="AE2077" i="3"/>
  <c r="AF2077" i="3"/>
  <c r="AG2077" i="3"/>
  <c r="AH2077" i="3"/>
  <c r="AI2077" i="3"/>
  <c r="Z2078" i="3"/>
  <c r="AA2078" i="3"/>
  <c r="AJ2078" i="3" s="1"/>
  <c r="AB2078" i="3"/>
  <c r="AC2078" i="3"/>
  <c r="AD2078" i="3"/>
  <c r="AE2078" i="3"/>
  <c r="AF2078" i="3"/>
  <c r="AG2078" i="3"/>
  <c r="AH2078" i="3"/>
  <c r="AI2078" i="3"/>
  <c r="Z2079" i="3"/>
  <c r="AJ2079" i="3" s="1"/>
  <c r="AA2079" i="3"/>
  <c r="AB2079" i="3"/>
  <c r="AC2079" i="3"/>
  <c r="AD2079" i="3"/>
  <c r="AE2079" i="3"/>
  <c r="AF2079" i="3"/>
  <c r="AG2079" i="3"/>
  <c r="AH2079" i="3"/>
  <c r="AI2079" i="3"/>
  <c r="Z2080" i="3"/>
  <c r="AJ2080" i="3" s="1"/>
  <c r="AA2080" i="3"/>
  <c r="AB2080" i="3"/>
  <c r="AC2080" i="3"/>
  <c r="AD2080" i="3"/>
  <c r="AE2080" i="3"/>
  <c r="AF2080" i="3"/>
  <c r="AG2080" i="3"/>
  <c r="AH2080" i="3"/>
  <c r="AI2080" i="3"/>
  <c r="Z2081" i="3"/>
  <c r="AJ2081" i="3" s="1"/>
  <c r="AA2081" i="3"/>
  <c r="AB2081" i="3"/>
  <c r="AC2081" i="3"/>
  <c r="AD2081" i="3"/>
  <c r="AE2081" i="3"/>
  <c r="AF2081" i="3"/>
  <c r="AG2081" i="3"/>
  <c r="AH2081" i="3"/>
  <c r="AI2081" i="3"/>
  <c r="Z2082" i="3"/>
  <c r="AA2082" i="3"/>
  <c r="AB2082" i="3"/>
  <c r="AC2082" i="3"/>
  <c r="AD2082" i="3"/>
  <c r="AE2082" i="3"/>
  <c r="AJ2082" i="3" s="1"/>
  <c r="AF2082" i="3"/>
  <c r="AG2082" i="3"/>
  <c r="AH2082" i="3"/>
  <c r="AI2082" i="3"/>
  <c r="Z2083" i="3"/>
  <c r="AA2083" i="3"/>
  <c r="AB2083" i="3"/>
  <c r="AJ2083" i="3" s="1"/>
  <c r="AC2083" i="3"/>
  <c r="AD2083" i="3"/>
  <c r="AE2083" i="3"/>
  <c r="AF2083" i="3"/>
  <c r="AG2083" i="3"/>
  <c r="AH2083" i="3"/>
  <c r="AI2083" i="3"/>
  <c r="Z2084" i="3"/>
  <c r="AJ2084" i="3" s="1"/>
  <c r="AA2084" i="3"/>
  <c r="AB2084" i="3"/>
  <c r="AC2084" i="3"/>
  <c r="AD2084" i="3"/>
  <c r="AE2084" i="3"/>
  <c r="AF2084" i="3"/>
  <c r="AG2084" i="3"/>
  <c r="AH2084" i="3"/>
  <c r="AI2084" i="3"/>
  <c r="Z2085" i="3"/>
  <c r="AA2085" i="3"/>
  <c r="AJ2085" i="3" s="1"/>
  <c r="AB2085" i="3"/>
  <c r="AC2085" i="3"/>
  <c r="AD2085" i="3"/>
  <c r="AE2085" i="3"/>
  <c r="AF2085" i="3"/>
  <c r="AG2085" i="3"/>
  <c r="AH2085" i="3"/>
  <c r="AI2085" i="3"/>
  <c r="Z2086" i="3"/>
  <c r="AA2086" i="3"/>
  <c r="AJ2086" i="3" s="1"/>
  <c r="AB2086" i="3"/>
  <c r="AC2086" i="3"/>
  <c r="AD2086" i="3"/>
  <c r="AE2086" i="3"/>
  <c r="AF2086" i="3"/>
  <c r="AG2086" i="3"/>
  <c r="AH2086" i="3"/>
  <c r="AI2086" i="3"/>
  <c r="Z2087" i="3"/>
  <c r="AJ2087" i="3" s="1"/>
  <c r="AA2087" i="3"/>
  <c r="AB2087" i="3"/>
  <c r="AC2087" i="3"/>
  <c r="AD2087" i="3"/>
  <c r="AE2087" i="3"/>
  <c r="AF2087" i="3"/>
  <c r="AG2087" i="3"/>
  <c r="AH2087" i="3"/>
  <c r="AI2087" i="3"/>
  <c r="Z2088" i="3"/>
  <c r="AJ2088" i="3" s="1"/>
  <c r="AA2088" i="3"/>
  <c r="AB2088" i="3"/>
  <c r="AC2088" i="3"/>
  <c r="AD2088" i="3"/>
  <c r="AE2088" i="3"/>
  <c r="AF2088" i="3"/>
  <c r="AG2088" i="3"/>
  <c r="AH2088" i="3"/>
  <c r="AI2088" i="3"/>
  <c r="Z2089" i="3"/>
  <c r="AJ2089" i="3" s="1"/>
  <c r="AA2089" i="3"/>
  <c r="AB2089" i="3"/>
  <c r="AC2089" i="3"/>
  <c r="AD2089" i="3"/>
  <c r="AE2089" i="3"/>
  <c r="AF2089" i="3"/>
  <c r="AG2089" i="3"/>
  <c r="AH2089" i="3"/>
  <c r="AI2089" i="3"/>
  <c r="Z2090" i="3"/>
  <c r="AA2090" i="3"/>
  <c r="AB2090" i="3"/>
  <c r="AC2090" i="3"/>
  <c r="AD2090" i="3"/>
  <c r="AE2090" i="3"/>
  <c r="AJ2090" i="3" s="1"/>
  <c r="AF2090" i="3"/>
  <c r="AG2090" i="3"/>
  <c r="AH2090" i="3"/>
  <c r="AI2090" i="3"/>
  <c r="Z2091" i="3"/>
  <c r="AA2091" i="3"/>
  <c r="AB2091" i="3"/>
  <c r="AJ2091" i="3" s="1"/>
  <c r="AC2091" i="3"/>
  <c r="AD2091" i="3"/>
  <c r="AE2091" i="3"/>
  <c r="AF2091" i="3"/>
  <c r="AG2091" i="3"/>
  <c r="AH2091" i="3"/>
  <c r="AI2091" i="3"/>
  <c r="Z2092" i="3"/>
  <c r="AJ2092" i="3" s="1"/>
  <c r="AA2092" i="3"/>
  <c r="AB2092" i="3"/>
  <c r="AC2092" i="3"/>
  <c r="AD2092" i="3"/>
  <c r="AE2092" i="3"/>
  <c r="AF2092" i="3"/>
  <c r="AG2092" i="3"/>
  <c r="AH2092" i="3"/>
  <c r="AI2092" i="3"/>
  <c r="Z2093" i="3"/>
  <c r="AA2093" i="3"/>
  <c r="AJ2093" i="3" s="1"/>
  <c r="AB2093" i="3"/>
  <c r="AC2093" i="3"/>
  <c r="AD2093" i="3"/>
  <c r="AE2093" i="3"/>
  <c r="AF2093" i="3"/>
  <c r="AG2093" i="3"/>
  <c r="AH2093" i="3"/>
  <c r="AI2093" i="3"/>
  <c r="Z2094" i="3"/>
  <c r="AA2094" i="3"/>
  <c r="AJ2094" i="3" s="1"/>
  <c r="AB2094" i="3"/>
  <c r="AC2094" i="3"/>
  <c r="AD2094" i="3"/>
  <c r="AE2094" i="3"/>
  <c r="AF2094" i="3"/>
  <c r="AG2094" i="3"/>
  <c r="AH2094" i="3"/>
  <c r="AI2094" i="3"/>
  <c r="Z2095" i="3"/>
  <c r="AJ2095" i="3" s="1"/>
  <c r="AA2095" i="3"/>
  <c r="AB2095" i="3"/>
  <c r="AC2095" i="3"/>
  <c r="AD2095" i="3"/>
  <c r="AE2095" i="3"/>
  <c r="AF2095" i="3"/>
  <c r="AG2095" i="3"/>
  <c r="AH2095" i="3"/>
  <c r="AI2095" i="3"/>
  <c r="Z2096" i="3"/>
  <c r="AJ2096" i="3" s="1"/>
  <c r="AA2096" i="3"/>
  <c r="AB2096" i="3"/>
  <c r="AC2096" i="3"/>
  <c r="AD2096" i="3"/>
  <c r="AE2096" i="3"/>
  <c r="AF2096" i="3"/>
  <c r="AG2096" i="3"/>
  <c r="AH2096" i="3"/>
  <c r="AI2096" i="3"/>
  <c r="Z2097" i="3"/>
  <c r="AJ2097" i="3" s="1"/>
  <c r="AA2097" i="3"/>
  <c r="AB2097" i="3"/>
  <c r="AC2097" i="3"/>
  <c r="AD2097" i="3"/>
  <c r="AE2097" i="3"/>
  <c r="AF2097" i="3"/>
  <c r="AG2097" i="3"/>
  <c r="AH2097" i="3"/>
  <c r="AI2097" i="3"/>
  <c r="Z2098" i="3"/>
  <c r="AA2098" i="3"/>
  <c r="AB2098" i="3"/>
  <c r="AC2098" i="3"/>
  <c r="AD2098" i="3"/>
  <c r="AE2098" i="3"/>
  <c r="AJ2098" i="3" s="1"/>
  <c r="AF2098" i="3"/>
  <c r="AG2098" i="3"/>
  <c r="AH2098" i="3"/>
  <c r="AI2098" i="3"/>
  <c r="Z2099" i="3"/>
  <c r="AA2099" i="3"/>
  <c r="AB2099" i="3"/>
  <c r="AJ2099" i="3" s="1"/>
  <c r="AC2099" i="3"/>
  <c r="AD2099" i="3"/>
  <c r="AE2099" i="3"/>
  <c r="AF2099" i="3"/>
  <c r="AG2099" i="3"/>
  <c r="AH2099" i="3"/>
  <c r="AI2099" i="3"/>
  <c r="Z2100" i="3"/>
  <c r="AJ2100" i="3" s="1"/>
  <c r="AA2100" i="3"/>
  <c r="AB2100" i="3"/>
  <c r="AC2100" i="3"/>
  <c r="AD2100" i="3"/>
  <c r="AE2100" i="3"/>
  <c r="AF2100" i="3"/>
  <c r="AG2100" i="3"/>
  <c r="AH2100" i="3"/>
  <c r="AI2100" i="3"/>
  <c r="Z2101" i="3"/>
  <c r="AA2101" i="3"/>
  <c r="AJ2101" i="3" s="1"/>
  <c r="AB2101" i="3"/>
  <c r="AC2101" i="3"/>
  <c r="AD2101" i="3"/>
  <c r="AE2101" i="3"/>
  <c r="AF2101" i="3"/>
  <c r="AG2101" i="3"/>
  <c r="AH2101" i="3"/>
  <c r="AI2101" i="3"/>
  <c r="Z2102" i="3"/>
  <c r="AA2102" i="3"/>
  <c r="AJ2102" i="3" s="1"/>
  <c r="AB2102" i="3"/>
  <c r="AC2102" i="3"/>
  <c r="AD2102" i="3"/>
  <c r="AE2102" i="3"/>
  <c r="AF2102" i="3"/>
  <c r="AG2102" i="3"/>
  <c r="AH2102" i="3"/>
  <c r="AI2102" i="3"/>
  <c r="Z2103" i="3"/>
  <c r="AJ2103" i="3" s="1"/>
  <c r="AA2103" i="3"/>
  <c r="AB2103" i="3"/>
  <c r="AC2103" i="3"/>
  <c r="AD2103" i="3"/>
  <c r="AE2103" i="3"/>
  <c r="AF2103" i="3"/>
  <c r="AG2103" i="3"/>
  <c r="AH2103" i="3"/>
  <c r="AI2103" i="3"/>
  <c r="Z2104" i="3"/>
  <c r="AJ2104" i="3" s="1"/>
  <c r="AA2104" i="3"/>
  <c r="AB2104" i="3"/>
  <c r="AC2104" i="3"/>
  <c r="AD2104" i="3"/>
  <c r="AE2104" i="3"/>
  <c r="AF2104" i="3"/>
  <c r="AG2104" i="3"/>
  <c r="AH2104" i="3"/>
  <c r="AI2104" i="3"/>
  <c r="Z2105" i="3"/>
  <c r="AJ2105" i="3" s="1"/>
  <c r="AA2105" i="3"/>
  <c r="AB2105" i="3"/>
  <c r="AC2105" i="3"/>
  <c r="AD2105" i="3"/>
  <c r="AE2105" i="3"/>
  <c r="AF2105" i="3"/>
  <c r="AG2105" i="3"/>
  <c r="AH2105" i="3"/>
  <c r="AI2105" i="3"/>
  <c r="Z2106" i="3"/>
  <c r="AA2106" i="3"/>
  <c r="AB2106" i="3"/>
  <c r="AC2106" i="3"/>
  <c r="AD2106" i="3"/>
  <c r="AE2106" i="3"/>
  <c r="AJ2106" i="3" s="1"/>
  <c r="AF2106" i="3"/>
  <c r="AG2106" i="3"/>
  <c r="AH2106" i="3"/>
  <c r="AI2106" i="3"/>
  <c r="Z2107" i="3"/>
  <c r="AA2107" i="3"/>
  <c r="AB2107" i="3"/>
  <c r="AJ2107" i="3" s="1"/>
  <c r="AC2107" i="3"/>
  <c r="AD2107" i="3"/>
  <c r="AE2107" i="3"/>
  <c r="AF2107" i="3"/>
  <c r="AG2107" i="3"/>
  <c r="AH2107" i="3"/>
  <c r="AI2107" i="3"/>
  <c r="Z2108" i="3"/>
  <c r="AJ2108" i="3" s="1"/>
  <c r="AA2108" i="3"/>
  <c r="AB2108" i="3"/>
  <c r="AC2108" i="3"/>
  <c r="AD2108" i="3"/>
  <c r="AE2108" i="3"/>
  <c r="AF2108" i="3"/>
  <c r="AG2108" i="3"/>
  <c r="AH2108" i="3"/>
  <c r="AI2108" i="3"/>
  <c r="Z2109" i="3"/>
  <c r="AA2109" i="3"/>
  <c r="AJ2109" i="3" s="1"/>
  <c r="AB2109" i="3"/>
  <c r="AC2109" i="3"/>
  <c r="AD2109" i="3"/>
  <c r="AE2109" i="3"/>
  <c r="AF2109" i="3"/>
  <c r="AG2109" i="3"/>
  <c r="AH2109" i="3"/>
  <c r="AI2109" i="3"/>
  <c r="Z2110" i="3"/>
  <c r="AA2110" i="3"/>
  <c r="AJ2110" i="3" s="1"/>
  <c r="AB2110" i="3"/>
  <c r="AC2110" i="3"/>
  <c r="AD2110" i="3"/>
  <c r="AE2110" i="3"/>
  <c r="AF2110" i="3"/>
  <c r="AG2110" i="3"/>
  <c r="AH2110" i="3"/>
  <c r="AI2110" i="3"/>
  <c r="Z2111" i="3"/>
  <c r="AJ2111" i="3" s="1"/>
  <c r="AA2111" i="3"/>
  <c r="AB2111" i="3"/>
  <c r="AC2111" i="3"/>
  <c r="AD2111" i="3"/>
  <c r="AE2111" i="3"/>
  <c r="AF2111" i="3"/>
  <c r="AG2111" i="3"/>
  <c r="AH2111" i="3"/>
  <c r="AI2111" i="3"/>
  <c r="Z2112" i="3"/>
  <c r="AJ2112" i="3" s="1"/>
  <c r="AA2112" i="3"/>
  <c r="AB2112" i="3"/>
  <c r="AC2112" i="3"/>
  <c r="AD2112" i="3"/>
  <c r="AE2112" i="3"/>
  <c r="AF2112" i="3"/>
  <c r="AG2112" i="3"/>
  <c r="AH2112" i="3"/>
  <c r="AI2112" i="3"/>
  <c r="Z2113" i="3"/>
  <c r="AJ2113" i="3" s="1"/>
  <c r="AA2113" i="3"/>
  <c r="AB2113" i="3"/>
  <c r="AC2113" i="3"/>
  <c r="AD2113" i="3"/>
  <c r="AE2113" i="3"/>
  <c r="AF2113" i="3"/>
  <c r="AG2113" i="3"/>
  <c r="AH2113" i="3"/>
  <c r="AI2113" i="3"/>
  <c r="Z2114" i="3"/>
  <c r="AA2114" i="3"/>
  <c r="AB2114" i="3"/>
  <c r="AC2114" i="3"/>
  <c r="AD2114" i="3"/>
  <c r="AE2114" i="3"/>
  <c r="AJ2114" i="3" s="1"/>
  <c r="AF2114" i="3"/>
  <c r="AG2114" i="3"/>
  <c r="AH2114" i="3"/>
  <c r="AI2114" i="3"/>
  <c r="Z2115" i="3"/>
  <c r="AA2115" i="3"/>
  <c r="AB2115" i="3"/>
  <c r="AJ2115" i="3" s="1"/>
  <c r="AC2115" i="3"/>
  <c r="AD2115" i="3"/>
  <c r="AE2115" i="3"/>
  <c r="AF2115" i="3"/>
  <c r="AG2115" i="3"/>
  <c r="AH2115" i="3"/>
  <c r="AI2115" i="3"/>
  <c r="Z2116" i="3"/>
  <c r="AJ2116" i="3" s="1"/>
  <c r="AA2116" i="3"/>
  <c r="AB2116" i="3"/>
  <c r="AC2116" i="3"/>
  <c r="AD2116" i="3"/>
  <c r="AE2116" i="3"/>
  <c r="AF2116" i="3"/>
  <c r="AG2116" i="3"/>
  <c r="AH2116" i="3"/>
  <c r="AI2116" i="3"/>
  <c r="Z2117" i="3"/>
  <c r="AA2117" i="3"/>
  <c r="AJ2117" i="3" s="1"/>
  <c r="AB2117" i="3"/>
  <c r="AC2117" i="3"/>
  <c r="AD2117" i="3"/>
  <c r="AE2117" i="3"/>
  <c r="AF2117" i="3"/>
  <c r="AG2117" i="3"/>
  <c r="AH2117" i="3"/>
  <c r="AI2117" i="3"/>
  <c r="Z2118" i="3"/>
  <c r="AA2118" i="3"/>
  <c r="AJ2118" i="3" s="1"/>
  <c r="AB2118" i="3"/>
  <c r="AC2118" i="3"/>
  <c r="AD2118" i="3"/>
  <c r="AE2118" i="3"/>
  <c r="AF2118" i="3"/>
  <c r="AG2118" i="3"/>
  <c r="AH2118" i="3"/>
  <c r="AI2118" i="3"/>
  <c r="Z2119" i="3"/>
  <c r="AJ2119" i="3" s="1"/>
  <c r="AA2119" i="3"/>
  <c r="AB2119" i="3"/>
  <c r="AC2119" i="3"/>
  <c r="AD2119" i="3"/>
  <c r="AE2119" i="3"/>
  <c r="AF2119" i="3"/>
  <c r="AG2119" i="3"/>
  <c r="AH2119" i="3"/>
  <c r="AI2119" i="3"/>
  <c r="Z2120" i="3"/>
  <c r="AJ2120" i="3" s="1"/>
  <c r="AA2120" i="3"/>
  <c r="AB2120" i="3"/>
  <c r="AC2120" i="3"/>
  <c r="AD2120" i="3"/>
  <c r="AE2120" i="3"/>
  <c r="AF2120" i="3"/>
  <c r="AG2120" i="3"/>
  <c r="AH2120" i="3"/>
  <c r="AI2120" i="3"/>
  <c r="Z2121" i="3"/>
  <c r="AJ2121" i="3" s="1"/>
  <c r="AA2121" i="3"/>
  <c r="AB2121" i="3"/>
  <c r="AC2121" i="3"/>
  <c r="AD2121" i="3"/>
  <c r="AE2121" i="3"/>
  <c r="AF2121" i="3"/>
  <c r="AG2121" i="3"/>
  <c r="AH2121" i="3"/>
  <c r="AI2121" i="3"/>
  <c r="Z2122" i="3"/>
  <c r="AA2122" i="3"/>
  <c r="AB2122" i="3"/>
  <c r="AC2122" i="3"/>
  <c r="AD2122" i="3"/>
  <c r="AE2122" i="3"/>
  <c r="AJ2122" i="3" s="1"/>
  <c r="AF2122" i="3"/>
  <c r="AG2122" i="3"/>
  <c r="AH2122" i="3"/>
  <c r="AI2122" i="3"/>
  <c r="Z2123" i="3"/>
  <c r="AA2123" i="3"/>
  <c r="AB2123" i="3"/>
  <c r="AJ2123" i="3" s="1"/>
  <c r="AC2123" i="3"/>
  <c r="AD2123" i="3"/>
  <c r="AE2123" i="3"/>
  <c r="AF2123" i="3"/>
  <c r="AG2123" i="3"/>
  <c r="AH2123" i="3"/>
  <c r="AI2123" i="3"/>
  <c r="Z2124" i="3"/>
  <c r="AJ2124" i="3" s="1"/>
  <c r="AA2124" i="3"/>
  <c r="AB2124" i="3"/>
  <c r="AC2124" i="3"/>
  <c r="AD2124" i="3"/>
  <c r="AE2124" i="3"/>
  <c r="AF2124" i="3"/>
  <c r="AG2124" i="3"/>
  <c r="AH2124" i="3"/>
  <c r="AI2124" i="3"/>
  <c r="Z2125" i="3"/>
  <c r="AA2125" i="3"/>
  <c r="AJ2125" i="3" s="1"/>
  <c r="AB2125" i="3"/>
  <c r="AC2125" i="3"/>
  <c r="AD2125" i="3"/>
  <c r="AE2125" i="3"/>
  <c r="AF2125" i="3"/>
  <c r="AG2125" i="3"/>
  <c r="AH2125" i="3"/>
  <c r="AI2125" i="3"/>
  <c r="Z2126" i="3"/>
  <c r="AA2126" i="3"/>
  <c r="AJ2126" i="3" s="1"/>
  <c r="AB2126" i="3"/>
  <c r="AC2126" i="3"/>
  <c r="AD2126" i="3"/>
  <c r="AE2126" i="3"/>
  <c r="AF2126" i="3"/>
  <c r="AG2126" i="3"/>
  <c r="AH2126" i="3"/>
  <c r="AI2126" i="3"/>
  <c r="Z2127" i="3"/>
  <c r="AJ2127" i="3" s="1"/>
  <c r="AA2127" i="3"/>
  <c r="AB2127" i="3"/>
  <c r="AC2127" i="3"/>
  <c r="AD2127" i="3"/>
  <c r="AE2127" i="3"/>
  <c r="AF2127" i="3"/>
  <c r="AG2127" i="3"/>
  <c r="AH2127" i="3"/>
  <c r="AI2127" i="3"/>
  <c r="Z2128" i="3"/>
  <c r="AJ2128" i="3" s="1"/>
  <c r="AA2128" i="3"/>
  <c r="AB2128" i="3"/>
  <c r="AC2128" i="3"/>
  <c r="AD2128" i="3"/>
  <c r="AE2128" i="3"/>
  <c r="AF2128" i="3"/>
  <c r="AG2128" i="3"/>
  <c r="AH2128" i="3"/>
  <c r="AI2128" i="3"/>
  <c r="Z2129" i="3"/>
  <c r="AJ2129" i="3" s="1"/>
  <c r="AA2129" i="3"/>
  <c r="AB2129" i="3"/>
  <c r="AC2129" i="3"/>
  <c r="AD2129" i="3"/>
  <c r="AE2129" i="3"/>
  <c r="AF2129" i="3"/>
  <c r="AG2129" i="3"/>
  <c r="AH2129" i="3"/>
  <c r="AI2129" i="3"/>
  <c r="Z2130" i="3"/>
  <c r="AA2130" i="3"/>
  <c r="AB2130" i="3"/>
  <c r="AC2130" i="3"/>
  <c r="AD2130" i="3"/>
  <c r="AE2130" i="3"/>
  <c r="AJ2130" i="3" s="1"/>
  <c r="AF2130" i="3"/>
  <c r="AG2130" i="3"/>
  <c r="AH2130" i="3"/>
  <c r="AI2130" i="3"/>
  <c r="Z2131" i="3"/>
  <c r="AA2131" i="3"/>
  <c r="AB2131" i="3"/>
  <c r="AJ2131" i="3" s="1"/>
  <c r="AC2131" i="3"/>
  <c r="AD2131" i="3"/>
  <c r="AE2131" i="3"/>
  <c r="AF2131" i="3"/>
  <c r="AG2131" i="3"/>
  <c r="AH2131" i="3"/>
  <c r="AI2131" i="3"/>
  <c r="Z2132" i="3"/>
  <c r="AJ2132" i="3" s="1"/>
  <c r="AA2132" i="3"/>
  <c r="AB2132" i="3"/>
  <c r="AC2132" i="3"/>
  <c r="AD2132" i="3"/>
  <c r="AE2132" i="3"/>
  <c r="AF2132" i="3"/>
  <c r="AG2132" i="3"/>
  <c r="AH2132" i="3"/>
  <c r="AI2132" i="3"/>
  <c r="Z2133" i="3"/>
  <c r="AA2133" i="3"/>
  <c r="AJ2133" i="3" s="1"/>
  <c r="AB2133" i="3"/>
  <c r="AC2133" i="3"/>
  <c r="AD2133" i="3"/>
  <c r="AE2133" i="3"/>
  <c r="AF2133" i="3"/>
  <c r="AG2133" i="3"/>
  <c r="AH2133" i="3"/>
  <c r="AI2133" i="3"/>
  <c r="Z2134" i="3"/>
  <c r="AA2134" i="3"/>
  <c r="AJ2134" i="3" s="1"/>
  <c r="AB2134" i="3"/>
  <c r="AC2134" i="3"/>
  <c r="AD2134" i="3"/>
  <c r="AE2134" i="3"/>
  <c r="AF2134" i="3"/>
  <c r="AG2134" i="3"/>
  <c r="AH2134" i="3"/>
  <c r="AI2134" i="3"/>
  <c r="Z2135" i="3"/>
  <c r="AJ2135" i="3" s="1"/>
  <c r="AA2135" i="3"/>
  <c r="AB2135" i="3"/>
  <c r="AC2135" i="3"/>
  <c r="AD2135" i="3"/>
  <c r="AE2135" i="3"/>
  <c r="AF2135" i="3"/>
  <c r="AG2135" i="3"/>
  <c r="AH2135" i="3"/>
  <c r="AI2135" i="3"/>
  <c r="Z2136" i="3"/>
  <c r="AJ2136" i="3" s="1"/>
  <c r="AA2136" i="3"/>
  <c r="AB2136" i="3"/>
  <c r="AC2136" i="3"/>
  <c r="AD2136" i="3"/>
  <c r="AE2136" i="3"/>
  <c r="AF2136" i="3"/>
  <c r="AG2136" i="3"/>
  <c r="AH2136" i="3"/>
  <c r="AI2136" i="3"/>
  <c r="Z2137" i="3"/>
  <c r="AJ2137" i="3" s="1"/>
  <c r="AA2137" i="3"/>
  <c r="AB2137" i="3"/>
  <c r="AC2137" i="3"/>
  <c r="AD2137" i="3"/>
  <c r="AE2137" i="3"/>
  <c r="AF2137" i="3"/>
  <c r="AG2137" i="3"/>
  <c r="AH2137" i="3"/>
  <c r="AI2137" i="3"/>
  <c r="Z2138" i="3"/>
  <c r="AA2138" i="3"/>
  <c r="AB2138" i="3"/>
  <c r="AC2138" i="3"/>
  <c r="AD2138" i="3"/>
  <c r="AE2138" i="3"/>
  <c r="AJ2138" i="3" s="1"/>
  <c r="AF2138" i="3"/>
  <c r="AG2138" i="3"/>
  <c r="AH2138" i="3"/>
  <c r="AI2138" i="3"/>
  <c r="Z2139" i="3"/>
  <c r="AA2139" i="3"/>
  <c r="AB2139" i="3"/>
  <c r="AJ2139" i="3" s="1"/>
  <c r="AC2139" i="3"/>
  <c r="AD2139" i="3"/>
  <c r="AE2139" i="3"/>
  <c r="AF2139" i="3"/>
  <c r="AG2139" i="3"/>
  <c r="AH2139" i="3"/>
  <c r="AI2139" i="3"/>
  <c r="Z2140" i="3"/>
  <c r="AJ2140" i="3" s="1"/>
  <c r="AA2140" i="3"/>
  <c r="AB2140" i="3"/>
  <c r="AC2140" i="3"/>
  <c r="AD2140" i="3"/>
  <c r="AE2140" i="3"/>
  <c r="AF2140" i="3"/>
  <c r="AG2140" i="3"/>
  <c r="AH2140" i="3"/>
  <c r="AI2140" i="3"/>
  <c r="Z2141" i="3"/>
  <c r="AA2141" i="3"/>
  <c r="AJ2141" i="3" s="1"/>
  <c r="AB2141" i="3"/>
  <c r="AC2141" i="3"/>
  <c r="AD2141" i="3"/>
  <c r="AE2141" i="3"/>
  <c r="AF2141" i="3"/>
  <c r="AG2141" i="3"/>
  <c r="AH2141" i="3"/>
  <c r="AI2141" i="3"/>
  <c r="Z2142" i="3"/>
  <c r="AA2142" i="3"/>
  <c r="AJ2142" i="3" s="1"/>
  <c r="AB2142" i="3"/>
  <c r="AC2142" i="3"/>
  <c r="AD2142" i="3"/>
  <c r="AE2142" i="3"/>
  <c r="AF2142" i="3"/>
  <c r="AG2142" i="3"/>
  <c r="AH2142" i="3"/>
  <c r="AI2142" i="3"/>
  <c r="Z2143" i="3"/>
  <c r="AJ2143" i="3" s="1"/>
  <c r="AA2143" i="3"/>
  <c r="AB2143" i="3"/>
  <c r="AC2143" i="3"/>
  <c r="AD2143" i="3"/>
  <c r="AE2143" i="3"/>
  <c r="AF2143" i="3"/>
  <c r="AG2143" i="3"/>
  <c r="AH2143" i="3"/>
  <c r="AI2143" i="3"/>
  <c r="Z2144" i="3"/>
  <c r="AJ2144" i="3" s="1"/>
  <c r="AA2144" i="3"/>
  <c r="AB2144" i="3"/>
  <c r="AC2144" i="3"/>
  <c r="AD2144" i="3"/>
  <c r="AE2144" i="3"/>
  <c r="AF2144" i="3"/>
  <c r="AG2144" i="3"/>
  <c r="AH2144" i="3"/>
  <c r="AI2144" i="3"/>
  <c r="Z2145" i="3"/>
  <c r="AJ2145" i="3" s="1"/>
  <c r="AA2145" i="3"/>
  <c r="AB2145" i="3"/>
  <c r="AC2145" i="3"/>
  <c r="AD2145" i="3"/>
  <c r="AE2145" i="3"/>
  <c r="AF2145" i="3"/>
  <c r="AG2145" i="3"/>
  <c r="AH2145" i="3"/>
  <c r="AI2145" i="3"/>
  <c r="Z2146" i="3"/>
  <c r="AA2146" i="3"/>
  <c r="AB2146" i="3"/>
  <c r="AC2146" i="3"/>
  <c r="AD2146" i="3"/>
  <c r="AE2146" i="3"/>
  <c r="AJ2146" i="3" s="1"/>
  <c r="AF2146" i="3"/>
  <c r="AG2146" i="3"/>
  <c r="AH2146" i="3"/>
  <c r="AI2146" i="3"/>
  <c r="Z2147" i="3"/>
  <c r="AA2147" i="3"/>
  <c r="AB2147" i="3"/>
  <c r="AJ2147" i="3" s="1"/>
  <c r="AC2147" i="3"/>
  <c r="AD2147" i="3"/>
  <c r="AE2147" i="3"/>
  <c r="AF2147" i="3"/>
  <c r="AG2147" i="3"/>
  <c r="AH2147" i="3"/>
  <c r="AI2147" i="3"/>
  <c r="Z2148" i="3"/>
  <c r="AJ2148" i="3" s="1"/>
  <c r="AA2148" i="3"/>
  <c r="AB2148" i="3"/>
  <c r="AC2148" i="3"/>
  <c r="AD2148" i="3"/>
  <c r="AE2148" i="3"/>
  <c r="AF2148" i="3"/>
  <c r="AG2148" i="3"/>
  <c r="AH2148" i="3"/>
  <c r="AI2148" i="3"/>
  <c r="Z2149" i="3"/>
  <c r="AA2149" i="3"/>
  <c r="AJ2149" i="3" s="1"/>
  <c r="AB2149" i="3"/>
  <c r="AC2149" i="3"/>
  <c r="AD2149" i="3"/>
  <c r="AE2149" i="3"/>
  <c r="AF2149" i="3"/>
  <c r="AG2149" i="3"/>
  <c r="AH2149" i="3"/>
  <c r="AI2149" i="3"/>
  <c r="Z2150" i="3"/>
  <c r="AA2150" i="3"/>
  <c r="AJ2150" i="3" s="1"/>
  <c r="AB2150" i="3"/>
  <c r="AC2150" i="3"/>
  <c r="AD2150" i="3"/>
  <c r="AE2150" i="3"/>
  <c r="AF2150" i="3"/>
  <c r="AG2150" i="3"/>
  <c r="AH2150" i="3"/>
  <c r="AI2150" i="3"/>
  <c r="Z2151" i="3"/>
  <c r="AJ2151" i="3" s="1"/>
  <c r="AA2151" i="3"/>
  <c r="AB2151" i="3"/>
  <c r="AC2151" i="3"/>
  <c r="AD2151" i="3"/>
  <c r="AE2151" i="3"/>
  <c r="AF2151" i="3"/>
  <c r="AG2151" i="3"/>
  <c r="AH2151" i="3"/>
  <c r="AI2151" i="3"/>
  <c r="Z2152" i="3"/>
  <c r="AJ2152" i="3" s="1"/>
  <c r="AA2152" i="3"/>
  <c r="AB2152" i="3"/>
  <c r="AC2152" i="3"/>
  <c r="AD2152" i="3"/>
  <c r="AE2152" i="3"/>
  <c r="AF2152" i="3"/>
  <c r="AG2152" i="3"/>
  <c r="AH2152" i="3"/>
  <c r="AI2152" i="3"/>
  <c r="Z2153" i="3"/>
  <c r="AJ2153" i="3" s="1"/>
  <c r="AA2153" i="3"/>
  <c r="AB2153" i="3"/>
  <c r="AC2153" i="3"/>
  <c r="AD2153" i="3"/>
  <c r="AE2153" i="3"/>
  <c r="AF2153" i="3"/>
  <c r="AG2153" i="3"/>
  <c r="AH2153" i="3"/>
  <c r="AI2153" i="3"/>
  <c r="Z2154" i="3"/>
  <c r="AA2154" i="3"/>
  <c r="AB2154" i="3"/>
  <c r="AC2154" i="3"/>
  <c r="AD2154" i="3"/>
  <c r="AE2154" i="3"/>
  <c r="AJ2154" i="3" s="1"/>
  <c r="AF2154" i="3"/>
  <c r="AG2154" i="3"/>
  <c r="AH2154" i="3"/>
  <c r="AI2154" i="3"/>
  <c r="Z2155" i="3"/>
  <c r="AA2155" i="3"/>
  <c r="AB2155" i="3"/>
  <c r="AJ2155" i="3" s="1"/>
  <c r="AC2155" i="3"/>
  <c r="AD2155" i="3"/>
  <c r="AE2155" i="3"/>
  <c r="AF2155" i="3"/>
  <c r="AG2155" i="3"/>
  <c r="AH2155" i="3"/>
  <c r="AI2155" i="3"/>
  <c r="Z2156" i="3"/>
  <c r="AJ2156" i="3" s="1"/>
  <c r="AA2156" i="3"/>
  <c r="AB2156" i="3"/>
  <c r="AC2156" i="3"/>
  <c r="AD2156" i="3"/>
  <c r="AE2156" i="3"/>
  <c r="AF2156" i="3"/>
  <c r="AG2156" i="3"/>
  <c r="AH2156" i="3"/>
  <c r="AI2156" i="3"/>
  <c r="Z2157" i="3"/>
  <c r="AA2157" i="3"/>
  <c r="AJ2157" i="3" s="1"/>
  <c r="AB2157" i="3"/>
  <c r="AC2157" i="3"/>
  <c r="AD2157" i="3"/>
  <c r="AE2157" i="3"/>
  <c r="AF2157" i="3"/>
  <c r="AG2157" i="3"/>
  <c r="AH2157" i="3"/>
  <c r="AI2157" i="3"/>
  <c r="Z2158" i="3"/>
  <c r="AA2158" i="3"/>
  <c r="AJ2158" i="3" s="1"/>
  <c r="AB2158" i="3"/>
  <c r="AC2158" i="3"/>
  <c r="AD2158" i="3"/>
  <c r="AE2158" i="3"/>
  <c r="AF2158" i="3"/>
  <c r="AG2158" i="3"/>
  <c r="AH2158" i="3"/>
  <c r="AI2158" i="3"/>
  <c r="Z2159" i="3"/>
  <c r="AJ2159" i="3" s="1"/>
  <c r="AA2159" i="3"/>
  <c r="AB2159" i="3"/>
  <c r="AC2159" i="3"/>
  <c r="AD2159" i="3"/>
  <c r="AE2159" i="3"/>
  <c r="AF2159" i="3"/>
  <c r="AG2159" i="3"/>
  <c r="AH2159" i="3"/>
  <c r="AI2159" i="3"/>
  <c r="Z2160" i="3"/>
  <c r="AJ2160" i="3" s="1"/>
  <c r="AA2160" i="3"/>
  <c r="AB2160" i="3"/>
  <c r="AC2160" i="3"/>
  <c r="AD2160" i="3"/>
  <c r="AE2160" i="3"/>
  <c r="AF2160" i="3"/>
  <c r="AG2160" i="3"/>
  <c r="AH2160" i="3"/>
  <c r="AI2160" i="3"/>
  <c r="Z2161" i="3"/>
  <c r="AJ2161" i="3" s="1"/>
  <c r="AA2161" i="3"/>
  <c r="AB2161" i="3"/>
  <c r="AC2161" i="3"/>
  <c r="AD2161" i="3"/>
  <c r="AE2161" i="3"/>
  <c r="AF2161" i="3"/>
  <c r="AG2161" i="3"/>
  <c r="AH2161" i="3"/>
  <c r="AI2161" i="3"/>
  <c r="Z2162" i="3"/>
  <c r="AA2162" i="3"/>
  <c r="AB2162" i="3"/>
  <c r="AC2162" i="3"/>
  <c r="AD2162" i="3"/>
  <c r="AE2162" i="3"/>
  <c r="AJ2162" i="3" s="1"/>
  <c r="AF2162" i="3"/>
  <c r="AG2162" i="3"/>
  <c r="AH2162" i="3"/>
  <c r="AI2162" i="3"/>
  <c r="Z2163" i="3"/>
  <c r="AA2163" i="3"/>
  <c r="AB2163" i="3"/>
  <c r="AJ2163" i="3" s="1"/>
  <c r="AC2163" i="3"/>
  <c r="AD2163" i="3"/>
  <c r="AE2163" i="3"/>
  <c r="AF2163" i="3"/>
  <c r="AG2163" i="3"/>
  <c r="AH2163" i="3"/>
  <c r="AI2163" i="3"/>
  <c r="Z2164" i="3"/>
  <c r="AJ2164" i="3" s="1"/>
  <c r="AA2164" i="3"/>
  <c r="AB2164" i="3"/>
  <c r="AC2164" i="3"/>
  <c r="AD2164" i="3"/>
  <c r="AE2164" i="3"/>
  <c r="AF2164" i="3"/>
  <c r="AG2164" i="3"/>
  <c r="AH2164" i="3"/>
  <c r="AI2164" i="3"/>
  <c r="Z2165" i="3"/>
  <c r="AA2165" i="3"/>
  <c r="AJ2165" i="3" s="1"/>
  <c r="AB2165" i="3"/>
  <c r="AC2165" i="3"/>
  <c r="AD2165" i="3"/>
  <c r="AE2165" i="3"/>
  <c r="AF2165" i="3"/>
  <c r="AG2165" i="3"/>
  <c r="AH2165" i="3"/>
  <c r="AI2165" i="3"/>
  <c r="Z2166" i="3"/>
  <c r="AA2166" i="3"/>
  <c r="AJ2166" i="3" s="1"/>
  <c r="AB2166" i="3"/>
  <c r="AC2166" i="3"/>
  <c r="AD2166" i="3"/>
  <c r="AE2166" i="3"/>
  <c r="AF2166" i="3"/>
  <c r="AG2166" i="3"/>
  <c r="AH2166" i="3"/>
  <c r="AI2166" i="3"/>
  <c r="Z2167" i="3"/>
  <c r="AJ2167" i="3" s="1"/>
  <c r="AA2167" i="3"/>
  <c r="AB2167" i="3"/>
  <c r="AC2167" i="3"/>
  <c r="AD2167" i="3"/>
  <c r="AE2167" i="3"/>
  <c r="AF2167" i="3"/>
  <c r="AG2167" i="3"/>
  <c r="AH2167" i="3"/>
  <c r="AI2167" i="3"/>
  <c r="Z2168" i="3"/>
  <c r="AJ2168" i="3" s="1"/>
  <c r="AA2168" i="3"/>
  <c r="AB2168" i="3"/>
  <c r="AC2168" i="3"/>
  <c r="AD2168" i="3"/>
  <c r="AE2168" i="3"/>
  <c r="AF2168" i="3"/>
  <c r="AG2168" i="3"/>
  <c r="AH2168" i="3"/>
  <c r="AI2168" i="3"/>
  <c r="Z2169" i="3"/>
  <c r="AJ2169" i="3" s="1"/>
  <c r="AA2169" i="3"/>
  <c r="AB2169" i="3"/>
  <c r="AC2169" i="3"/>
  <c r="AD2169" i="3"/>
  <c r="AE2169" i="3"/>
  <c r="AF2169" i="3"/>
  <c r="AG2169" i="3"/>
  <c r="AH2169" i="3"/>
  <c r="AI2169" i="3"/>
  <c r="Z2170" i="3"/>
  <c r="AA2170" i="3"/>
  <c r="AB2170" i="3"/>
  <c r="AC2170" i="3"/>
  <c r="AD2170" i="3"/>
  <c r="AE2170" i="3"/>
  <c r="AJ2170" i="3" s="1"/>
  <c r="AF2170" i="3"/>
  <c r="AG2170" i="3"/>
  <c r="AH2170" i="3"/>
  <c r="AI2170" i="3"/>
  <c r="Z2171" i="3"/>
  <c r="AA2171" i="3"/>
  <c r="AB2171" i="3"/>
  <c r="AJ2171" i="3" s="1"/>
  <c r="AC2171" i="3"/>
  <c r="AD2171" i="3"/>
  <c r="AE2171" i="3"/>
  <c r="AF2171" i="3"/>
  <c r="AG2171" i="3"/>
  <c r="AH2171" i="3"/>
  <c r="AI2171" i="3"/>
  <c r="Z2172" i="3"/>
  <c r="AJ2172" i="3" s="1"/>
  <c r="AA2172" i="3"/>
  <c r="AB2172" i="3"/>
  <c r="AC2172" i="3"/>
  <c r="AD2172" i="3"/>
  <c r="AE2172" i="3"/>
  <c r="AF2172" i="3"/>
  <c r="AG2172" i="3"/>
  <c r="AH2172" i="3"/>
  <c r="AI2172" i="3"/>
  <c r="Z2173" i="3"/>
  <c r="AA2173" i="3"/>
  <c r="AJ2173" i="3" s="1"/>
  <c r="AB2173" i="3"/>
  <c r="AC2173" i="3"/>
  <c r="AD2173" i="3"/>
  <c r="AE2173" i="3"/>
  <c r="AF2173" i="3"/>
  <c r="AG2173" i="3"/>
  <c r="AH2173" i="3"/>
  <c r="AI2173" i="3"/>
  <c r="Z2174" i="3"/>
  <c r="AA2174" i="3"/>
  <c r="AJ2174" i="3" s="1"/>
  <c r="AB2174" i="3"/>
  <c r="AC2174" i="3"/>
  <c r="AD2174" i="3"/>
  <c r="AE2174" i="3"/>
  <c r="AF2174" i="3"/>
  <c r="AG2174" i="3"/>
  <c r="AH2174" i="3"/>
  <c r="AI2174" i="3"/>
  <c r="Z2175" i="3"/>
  <c r="AJ2175" i="3" s="1"/>
  <c r="AA2175" i="3"/>
  <c r="AB2175" i="3"/>
  <c r="AC2175" i="3"/>
  <c r="AD2175" i="3"/>
  <c r="AE2175" i="3"/>
  <c r="AF2175" i="3"/>
  <c r="AG2175" i="3"/>
  <c r="AH2175" i="3"/>
  <c r="AI2175" i="3"/>
  <c r="Z2176" i="3"/>
  <c r="AJ2176" i="3" s="1"/>
  <c r="AA2176" i="3"/>
  <c r="AB2176" i="3"/>
  <c r="AC2176" i="3"/>
  <c r="AD2176" i="3"/>
  <c r="AE2176" i="3"/>
  <c r="AF2176" i="3"/>
  <c r="AG2176" i="3"/>
  <c r="AH2176" i="3"/>
  <c r="AI2176" i="3"/>
  <c r="Z2177" i="3"/>
  <c r="AJ2177" i="3" s="1"/>
  <c r="AA2177" i="3"/>
  <c r="AB2177" i="3"/>
  <c r="AC2177" i="3"/>
  <c r="AD2177" i="3"/>
  <c r="AE2177" i="3"/>
  <c r="AF2177" i="3"/>
  <c r="AG2177" i="3"/>
  <c r="AH2177" i="3"/>
  <c r="AI2177" i="3"/>
  <c r="Z2178" i="3"/>
  <c r="AA2178" i="3"/>
  <c r="AB2178" i="3"/>
  <c r="AC2178" i="3"/>
  <c r="AD2178" i="3"/>
  <c r="AE2178" i="3"/>
  <c r="AJ2178" i="3" s="1"/>
  <c r="AF2178" i="3"/>
  <c r="AG2178" i="3"/>
  <c r="AH2178" i="3"/>
  <c r="AI2178" i="3"/>
  <c r="Z2179" i="3"/>
  <c r="AA2179" i="3"/>
  <c r="AB2179" i="3"/>
  <c r="AJ2179" i="3" s="1"/>
  <c r="AC2179" i="3"/>
  <c r="AD2179" i="3"/>
  <c r="AE2179" i="3"/>
  <c r="AF2179" i="3"/>
  <c r="AG2179" i="3"/>
  <c r="AH2179" i="3"/>
  <c r="AI2179" i="3"/>
  <c r="Z2180" i="3"/>
  <c r="AJ2180" i="3" s="1"/>
  <c r="AA2180" i="3"/>
  <c r="AB2180" i="3"/>
  <c r="AC2180" i="3"/>
  <c r="AD2180" i="3"/>
  <c r="AE2180" i="3"/>
  <c r="AF2180" i="3"/>
  <c r="AG2180" i="3"/>
  <c r="AH2180" i="3"/>
  <c r="AI2180" i="3"/>
  <c r="Z2181" i="3"/>
  <c r="AA2181" i="3"/>
  <c r="AJ2181" i="3" s="1"/>
  <c r="AB2181" i="3"/>
  <c r="AC2181" i="3"/>
  <c r="AD2181" i="3"/>
  <c r="AE2181" i="3"/>
  <c r="AF2181" i="3"/>
  <c r="AG2181" i="3"/>
  <c r="AH2181" i="3"/>
  <c r="AI2181" i="3"/>
  <c r="Z2182" i="3"/>
  <c r="AA2182" i="3"/>
  <c r="AJ2182" i="3" s="1"/>
  <c r="AB2182" i="3"/>
  <c r="AC2182" i="3"/>
  <c r="AD2182" i="3"/>
  <c r="AE2182" i="3"/>
  <c r="AF2182" i="3"/>
  <c r="AG2182" i="3"/>
  <c r="AH2182" i="3"/>
  <c r="AI2182" i="3"/>
  <c r="Z2183" i="3"/>
  <c r="AJ2183" i="3" s="1"/>
  <c r="AA2183" i="3"/>
  <c r="AB2183" i="3"/>
  <c r="AC2183" i="3"/>
  <c r="AD2183" i="3"/>
  <c r="AE2183" i="3"/>
  <c r="AF2183" i="3"/>
  <c r="AG2183" i="3"/>
  <c r="AH2183" i="3"/>
  <c r="AI2183" i="3"/>
  <c r="Z2184" i="3"/>
  <c r="AJ2184" i="3" s="1"/>
  <c r="AA2184" i="3"/>
  <c r="AB2184" i="3"/>
  <c r="AC2184" i="3"/>
  <c r="AD2184" i="3"/>
  <c r="AE2184" i="3"/>
  <c r="AF2184" i="3"/>
  <c r="AG2184" i="3"/>
  <c r="AH2184" i="3"/>
  <c r="AI2184" i="3"/>
  <c r="Z2185" i="3"/>
  <c r="AJ2185" i="3" s="1"/>
  <c r="AA2185" i="3"/>
  <c r="AB2185" i="3"/>
  <c r="AC2185" i="3"/>
  <c r="AD2185" i="3"/>
  <c r="AE2185" i="3"/>
  <c r="AF2185" i="3"/>
  <c r="AG2185" i="3"/>
  <c r="AH2185" i="3"/>
  <c r="AI2185" i="3"/>
  <c r="Z2186" i="3"/>
  <c r="AA2186" i="3"/>
  <c r="AB2186" i="3"/>
  <c r="AC2186" i="3"/>
  <c r="AD2186" i="3"/>
  <c r="AE2186" i="3"/>
  <c r="AJ2186" i="3" s="1"/>
  <c r="AF2186" i="3"/>
  <c r="AG2186" i="3"/>
  <c r="AH2186" i="3"/>
  <c r="AI2186" i="3"/>
  <c r="Z2187" i="3"/>
  <c r="AA2187" i="3"/>
  <c r="AB2187" i="3"/>
  <c r="AJ2187" i="3" s="1"/>
  <c r="AC2187" i="3"/>
  <c r="AD2187" i="3"/>
  <c r="AE2187" i="3"/>
  <c r="AF2187" i="3"/>
  <c r="AG2187" i="3"/>
  <c r="AH2187" i="3"/>
  <c r="AI2187" i="3"/>
  <c r="Z2188" i="3"/>
  <c r="AJ2188" i="3" s="1"/>
  <c r="AA2188" i="3"/>
  <c r="AB2188" i="3"/>
  <c r="AC2188" i="3"/>
  <c r="AD2188" i="3"/>
  <c r="AE2188" i="3"/>
  <c r="AF2188" i="3"/>
  <c r="AG2188" i="3"/>
  <c r="AH2188" i="3"/>
  <c r="AI2188" i="3"/>
  <c r="Z2189" i="3"/>
  <c r="AA2189" i="3"/>
  <c r="AJ2189" i="3" s="1"/>
  <c r="AB2189" i="3"/>
  <c r="AC2189" i="3"/>
  <c r="AD2189" i="3"/>
  <c r="AE2189" i="3"/>
  <c r="AF2189" i="3"/>
  <c r="AG2189" i="3"/>
  <c r="AH2189" i="3"/>
  <c r="AI2189" i="3"/>
  <c r="Z2190" i="3"/>
  <c r="AA2190" i="3"/>
  <c r="AJ2190" i="3" s="1"/>
  <c r="AB2190" i="3"/>
  <c r="AC2190" i="3"/>
  <c r="AD2190" i="3"/>
  <c r="AE2190" i="3"/>
  <c r="AF2190" i="3"/>
  <c r="AG2190" i="3"/>
  <c r="AH2190" i="3"/>
  <c r="AI2190" i="3"/>
  <c r="Z2191" i="3"/>
  <c r="AJ2191" i="3" s="1"/>
  <c r="AA2191" i="3"/>
  <c r="AB2191" i="3"/>
  <c r="AC2191" i="3"/>
  <c r="AD2191" i="3"/>
  <c r="AE2191" i="3"/>
  <c r="AF2191" i="3"/>
  <c r="AG2191" i="3"/>
  <c r="AH2191" i="3"/>
  <c r="AI2191" i="3"/>
  <c r="Z2192" i="3"/>
  <c r="AJ2192" i="3" s="1"/>
  <c r="AA2192" i="3"/>
  <c r="AB2192" i="3"/>
  <c r="AC2192" i="3"/>
  <c r="AD2192" i="3"/>
  <c r="AE2192" i="3"/>
  <c r="AF2192" i="3"/>
  <c r="AG2192" i="3"/>
  <c r="AH2192" i="3"/>
  <c r="AI2192" i="3"/>
  <c r="Z2193" i="3"/>
  <c r="AJ2193" i="3" s="1"/>
  <c r="AA2193" i="3"/>
  <c r="AB2193" i="3"/>
  <c r="AC2193" i="3"/>
  <c r="AD2193" i="3"/>
  <c r="AE2193" i="3"/>
  <c r="AF2193" i="3"/>
  <c r="AG2193" i="3"/>
  <c r="AH2193" i="3"/>
  <c r="AI2193" i="3"/>
  <c r="Z2194" i="3"/>
  <c r="AA2194" i="3"/>
  <c r="AB2194" i="3"/>
  <c r="AC2194" i="3"/>
  <c r="AD2194" i="3"/>
  <c r="AE2194" i="3"/>
  <c r="AJ2194" i="3" s="1"/>
  <c r="AF2194" i="3"/>
  <c r="AG2194" i="3"/>
  <c r="AH2194" i="3"/>
  <c r="AI2194" i="3"/>
  <c r="Z2195" i="3"/>
  <c r="AA2195" i="3"/>
  <c r="AB2195" i="3"/>
  <c r="AJ2195" i="3" s="1"/>
  <c r="AC2195" i="3"/>
  <c r="AD2195" i="3"/>
  <c r="AE2195" i="3"/>
  <c r="AF2195" i="3"/>
  <c r="AG2195" i="3"/>
  <c r="AH2195" i="3"/>
  <c r="AI2195" i="3"/>
  <c r="Z2196" i="3"/>
  <c r="AJ2196" i="3" s="1"/>
  <c r="AA2196" i="3"/>
  <c r="AB2196" i="3"/>
  <c r="AC2196" i="3"/>
  <c r="AD2196" i="3"/>
  <c r="AE2196" i="3"/>
  <c r="AF2196" i="3"/>
  <c r="AG2196" i="3"/>
  <c r="AH2196" i="3"/>
  <c r="AI2196" i="3"/>
  <c r="Z2197" i="3"/>
  <c r="AA2197" i="3"/>
  <c r="AJ2197" i="3" s="1"/>
  <c r="AB2197" i="3"/>
  <c r="AC2197" i="3"/>
  <c r="AD2197" i="3"/>
  <c r="AE2197" i="3"/>
  <c r="AF2197" i="3"/>
  <c r="AG2197" i="3"/>
  <c r="AH2197" i="3"/>
  <c r="AI2197" i="3"/>
  <c r="Z2198" i="3"/>
  <c r="AA2198" i="3"/>
  <c r="AJ2198" i="3" s="1"/>
  <c r="AB2198" i="3"/>
  <c r="AC2198" i="3"/>
  <c r="AD2198" i="3"/>
  <c r="AE2198" i="3"/>
  <c r="AF2198" i="3"/>
  <c r="AG2198" i="3"/>
  <c r="AH2198" i="3"/>
  <c r="AI2198" i="3"/>
  <c r="Z2199" i="3"/>
  <c r="AJ2199" i="3" s="1"/>
  <c r="AA2199" i="3"/>
  <c r="AB2199" i="3"/>
  <c r="AC2199" i="3"/>
  <c r="AD2199" i="3"/>
  <c r="AE2199" i="3"/>
  <c r="AF2199" i="3"/>
  <c r="AG2199" i="3"/>
  <c r="AH2199" i="3"/>
  <c r="AI2199" i="3"/>
  <c r="Z2200" i="3"/>
  <c r="AJ2200" i="3" s="1"/>
  <c r="AA2200" i="3"/>
  <c r="AB2200" i="3"/>
  <c r="AC2200" i="3"/>
  <c r="AD2200" i="3"/>
  <c r="AE2200" i="3"/>
  <c r="AF2200" i="3"/>
  <c r="AG2200" i="3"/>
  <c r="AH2200" i="3"/>
  <c r="AI2200" i="3"/>
  <c r="Z2201" i="3"/>
  <c r="AJ2201" i="3" s="1"/>
  <c r="AA2201" i="3"/>
  <c r="AB2201" i="3"/>
  <c r="AC2201" i="3"/>
  <c r="AD2201" i="3"/>
  <c r="AE2201" i="3"/>
  <c r="AF2201" i="3"/>
  <c r="AG2201" i="3"/>
  <c r="AH2201" i="3"/>
  <c r="AI2201" i="3"/>
  <c r="Z2202" i="3"/>
  <c r="AA2202" i="3"/>
  <c r="AB2202" i="3"/>
  <c r="AC2202" i="3"/>
  <c r="AD2202" i="3"/>
  <c r="AE2202" i="3"/>
  <c r="AJ2202" i="3" s="1"/>
  <c r="AF2202" i="3"/>
  <c r="AG2202" i="3"/>
  <c r="AH2202" i="3"/>
  <c r="AI2202" i="3"/>
  <c r="Z2203" i="3"/>
  <c r="AA2203" i="3"/>
  <c r="AB2203" i="3"/>
  <c r="AJ2203" i="3" s="1"/>
  <c r="AC2203" i="3"/>
  <c r="AD2203" i="3"/>
  <c r="AE2203" i="3"/>
  <c r="AF2203" i="3"/>
  <c r="AG2203" i="3"/>
  <c r="AH2203" i="3"/>
  <c r="AI2203" i="3"/>
  <c r="Z2204" i="3"/>
  <c r="AJ2204" i="3" s="1"/>
  <c r="AA2204" i="3"/>
  <c r="AB2204" i="3"/>
  <c r="AC2204" i="3"/>
  <c r="AD2204" i="3"/>
  <c r="AE2204" i="3"/>
  <c r="AF2204" i="3"/>
  <c r="AG2204" i="3"/>
  <c r="AH2204" i="3"/>
  <c r="AI2204" i="3"/>
  <c r="Z2205" i="3"/>
  <c r="AA2205" i="3"/>
  <c r="AJ2205" i="3" s="1"/>
  <c r="AB2205" i="3"/>
  <c r="AC2205" i="3"/>
  <c r="AD2205" i="3"/>
  <c r="AE2205" i="3"/>
  <c r="AF2205" i="3"/>
  <c r="AG2205" i="3"/>
  <c r="AH2205" i="3"/>
  <c r="AI2205" i="3"/>
  <c r="Z2206" i="3"/>
  <c r="AA2206" i="3"/>
  <c r="AJ2206" i="3" s="1"/>
  <c r="AB2206" i="3"/>
  <c r="AC2206" i="3"/>
  <c r="AD2206" i="3"/>
  <c r="AE2206" i="3"/>
  <c r="AF2206" i="3"/>
  <c r="AG2206" i="3"/>
  <c r="AH2206" i="3"/>
  <c r="AI2206" i="3"/>
  <c r="Z2207" i="3"/>
  <c r="AJ2207" i="3" s="1"/>
  <c r="AA2207" i="3"/>
  <c r="AB2207" i="3"/>
  <c r="AC2207" i="3"/>
  <c r="AD2207" i="3"/>
  <c r="AE2207" i="3"/>
  <c r="AF2207" i="3"/>
  <c r="AG2207" i="3"/>
  <c r="AH2207" i="3"/>
  <c r="AI2207" i="3"/>
  <c r="Z2208" i="3"/>
  <c r="AJ2208" i="3" s="1"/>
  <c r="AA2208" i="3"/>
  <c r="AB2208" i="3"/>
  <c r="AC2208" i="3"/>
  <c r="AD2208" i="3"/>
  <c r="AE2208" i="3"/>
  <c r="AF2208" i="3"/>
  <c r="AG2208" i="3"/>
  <c r="AH2208" i="3"/>
  <c r="AI2208" i="3"/>
  <c r="Z2209" i="3"/>
  <c r="AJ2209" i="3" s="1"/>
  <c r="AA2209" i="3"/>
  <c r="AB2209" i="3"/>
  <c r="AC2209" i="3"/>
  <c r="AD2209" i="3"/>
  <c r="AE2209" i="3"/>
  <c r="AF2209" i="3"/>
  <c r="AG2209" i="3"/>
  <c r="AH2209" i="3"/>
  <c r="AI2209" i="3"/>
  <c r="Z2210" i="3"/>
  <c r="AA2210" i="3"/>
  <c r="AB2210" i="3"/>
  <c r="AC2210" i="3"/>
  <c r="AD2210" i="3"/>
  <c r="AE2210" i="3"/>
  <c r="AJ2210" i="3" s="1"/>
  <c r="AF2210" i="3"/>
  <c r="AG2210" i="3"/>
  <c r="AH2210" i="3"/>
  <c r="AI2210" i="3"/>
  <c r="Z2211" i="3"/>
  <c r="AA2211" i="3"/>
  <c r="AB2211" i="3"/>
  <c r="AJ2211" i="3" s="1"/>
  <c r="AC2211" i="3"/>
  <c r="AD2211" i="3"/>
  <c r="AE2211" i="3"/>
  <c r="AF2211" i="3"/>
  <c r="AG2211" i="3"/>
  <c r="AH2211" i="3"/>
  <c r="AI2211" i="3"/>
  <c r="Z2212" i="3"/>
  <c r="AJ2212" i="3" s="1"/>
  <c r="AA2212" i="3"/>
  <c r="AB2212" i="3"/>
  <c r="AC2212" i="3"/>
  <c r="AD2212" i="3"/>
  <c r="AE2212" i="3"/>
  <c r="AF2212" i="3"/>
  <c r="AG2212" i="3"/>
  <c r="AH2212" i="3"/>
  <c r="AI2212" i="3"/>
  <c r="Z2213" i="3"/>
  <c r="AA2213" i="3"/>
  <c r="AJ2213" i="3" s="1"/>
  <c r="AB2213" i="3"/>
  <c r="AC2213" i="3"/>
  <c r="AD2213" i="3"/>
  <c r="AE2213" i="3"/>
  <c r="AF2213" i="3"/>
  <c r="AG2213" i="3"/>
  <c r="AH2213" i="3"/>
  <c r="AI2213" i="3"/>
  <c r="Z2214" i="3"/>
  <c r="AA2214" i="3"/>
  <c r="AJ2214" i="3" s="1"/>
  <c r="AB2214" i="3"/>
  <c r="AC2214" i="3"/>
  <c r="AD2214" i="3"/>
  <c r="AE2214" i="3"/>
  <c r="AF2214" i="3"/>
  <c r="AG2214" i="3"/>
  <c r="AH2214" i="3"/>
  <c r="AI2214" i="3"/>
  <c r="Z2215" i="3"/>
  <c r="AJ2215" i="3" s="1"/>
  <c r="AA2215" i="3"/>
  <c r="AB2215" i="3"/>
  <c r="AC2215" i="3"/>
  <c r="AD2215" i="3"/>
  <c r="AE2215" i="3"/>
  <c r="AF2215" i="3"/>
  <c r="AG2215" i="3"/>
  <c r="AH2215" i="3"/>
  <c r="AI2215" i="3"/>
  <c r="Z2216" i="3"/>
  <c r="AJ2216" i="3" s="1"/>
  <c r="AA2216" i="3"/>
  <c r="AB2216" i="3"/>
  <c r="AC2216" i="3"/>
  <c r="AD2216" i="3"/>
  <c r="AE2216" i="3"/>
  <c r="AF2216" i="3"/>
  <c r="AG2216" i="3"/>
  <c r="AH2216" i="3"/>
  <c r="AI2216" i="3"/>
  <c r="Z2217" i="3"/>
  <c r="AJ2217" i="3" s="1"/>
  <c r="AA2217" i="3"/>
  <c r="AB2217" i="3"/>
  <c r="AC2217" i="3"/>
  <c r="AD2217" i="3"/>
  <c r="AE2217" i="3"/>
  <c r="AF2217" i="3"/>
  <c r="AG2217" i="3"/>
  <c r="AH2217" i="3"/>
  <c r="AI2217" i="3"/>
  <c r="Z2218" i="3"/>
  <c r="AA2218" i="3"/>
  <c r="AB2218" i="3"/>
  <c r="AC2218" i="3"/>
  <c r="AD2218" i="3"/>
  <c r="AE2218" i="3"/>
  <c r="AJ2218" i="3" s="1"/>
  <c r="AF2218" i="3"/>
  <c r="AG2218" i="3"/>
  <c r="AH2218" i="3"/>
  <c r="AI2218" i="3"/>
  <c r="Z2219" i="3"/>
  <c r="AA2219" i="3"/>
  <c r="AB2219" i="3"/>
  <c r="AJ2219" i="3" s="1"/>
  <c r="AC2219" i="3"/>
  <c r="AD2219" i="3"/>
  <c r="AE2219" i="3"/>
  <c r="AF2219" i="3"/>
  <c r="AG2219" i="3"/>
  <c r="AH2219" i="3"/>
  <c r="AI2219" i="3"/>
  <c r="Z2220" i="3"/>
  <c r="AJ2220" i="3" s="1"/>
  <c r="AA2220" i="3"/>
  <c r="AB2220" i="3"/>
  <c r="AC2220" i="3"/>
  <c r="AD2220" i="3"/>
  <c r="AE2220" i="3"/>
  <c r="AF2220" i="3"/>
  <c r="AG2220" i="3"/>
  <c r="AH2220" i="3"/>
  <c r="AI2220" i="3"/>
  <c r="Z2221" i="3"/>
  <c r="AA2221" i="3"/>
  <c r="AJ2221" i="3" s="1"/>
  <c r="AB2221" i="3"/>
  <c r="AC2221" i="3"/>
  <c r="AD2221" i="3"/>
  <c r="AE2221" i="3"/>
  <c r="AF2221" i="3"/>
  <c r="AG2221" i="3"/>
  <c r="AH2221" i="3"/>
  <c r="AI2221" i="3"/>
  <c r="Z2222" i="3"/>
  <c r="AA2222" i="3"/>
  <c r="AJ2222" i="3" s="1"/>
  <c r="AB2222" i="3"/>
  <c r="AC2222" i="3"/>
  <c r="AD2222" i="3"/>
  <c r="AE2222" i="3"/>
  <c r="AF2222" i="3"/>
  <c r="AG2222" i="3"/>
  <c r="AH2222" i="3"/>
  <c r="AI2222" i="3"/>
  <c r="Z2223" i="3"/>
  <c r="AJ2223" i="3" s="1"/>
  <c r="AA2223" i="3"/>
  <c r="AB2223" i="3"/>
  <c r="AC2223" i="3"/>
  <c r="AD2223" i="3"/>
  <c r="AE2223" i="3"/>
  <c r="AF2223" i="3"/>
  <c r="AG2223" i="3"/>
  <c r="AH2223" i="3"/>
  <c r="AI2223" i="3"/>
  <c r="Z2224" i="3"/>
  <c r="AJ2224" i="3" s="1"/>
  <c r="AA2224" i="3"/>
  <c r="AB2224" i="3"/>
  <c r="AC2224" i="3"/>
  <c r="AD2224" i="3"/>
  <c r="AE2224" i="3"/>
  <c r="AF2224" i="3"/>
  <c r="AG2224" i="3"/>
  <c r="AH2224" i="3"/>
  <c r="AI2224" i="3"/>
  <c r="Z2225" i="3"/>
  <c r="AJ2225" i="3" s="1"/>
  <c r="AA2225" i="3"/>
  <c r="AB2225" i="3"/>
  <c r="AC2225" i="3"/>
  <c r="AD2225" i="3"/>
  <c r="AE2225" i="3"/>
  <c r="AF2225" i="3"/>
  <c r="AG2225" i="3"/>
  <c r="AH2225" i="3"/>
  <c r="AI2225" i="3"/>
  <c r="Z2226" i="3"/>
  <c r="AA2226" i="3"/>
  <c r="AB2226" i="3"/>
  <c r="AC2226" i="3"/>
  <c r="AD2226" i="3"/>
  <c r="AE2226" i="3"/>
  <c r="AJ2226" i="3" s="1"/>
  <c r="AF2226" i="3"/>
  <c r="AG2226" i="3"/>
  <c r="AH2226" i="3"/>
  <c r="AI2226" i="3"/>
  <c r="Z2227" i="3"/>
  <c r="AA2227" i="3"/>
  <c r="AB2227" i="3"/>
  <c r="AJ2227" i="3" s="1"/>
  <c r="AC2227" i="3"/>
  <c r="AD2227" i="3"/>
  <c r="AE2227" i="3"/>
  <c r="AF2227" i="3"/>
  <c r="AG2227" i="3"/>
  <c r="AH2227" i="3"/>
  <c r="AI2227" i="3"/>
  <c r="Z2228" i="3"/>
  <c r="AJ2228" i="3" s="1"/>
  <c r="AA2228" i="3"/>
  <c r="AB2228" i="3"/>
  <c r="AC2228" i="3"/>
  <c r="AD2228" i="3"/>
  <c r="AE2228" i="3"/>
  <c r="AF2228" i="3"/>
  <c r="AG2228" i="3"/>
  <c r="AH2228" i="3"/>
  <c r="AI2228" i="3"/>
  <c r="Z2229" i="3"/>
  <c r="AA2229" i="3"/>
  <c r="AJ2229" i="3" s="1"/>
  <c r="AB2229" i="3"/>
  <c r="AC2229" i="3"/>
  <c r="AD2229" i="3"/>
  <c r="AE2229" i="3"/>
  <c r="AF2229" i="3"/>
  <c r="AG2229" i="3"/>
  <c r="AH2229" i="3"/>
  <c r="AI2229" i="3"/>
  <c r="Z2230" i="3"/>
  <c r="AA2230" i="3"/>
  <c r="AJ2230" i="3" s="1"/>
  <c r="AB2230" i="3"/>
  <c r="AC2230" i="3"/>
  <c r="AD2230" i="3"/>
  <c r="AE2230" i="3"/>
  <c r="AF2230" i="3"/>
  <c r="AG2230" i="3"/>
  <c r="AH2230" i="3"/>
  <c r="AI2230" i="3"/>
  <c r="Z2231" i="3"/>
  <c r="AJ2231" i="3" s="1"/>
  <c r="AA2231" i="3"/>
  <c r="AB2231" i="3"/>
  <c r="AC2231" i="3"/>
  <c r="AD2231" i="3"/>
  <c r="AE2231" i="3"/>
  <c r="AF2231" i="3"/>
  <c r="AG2231" i="3"/>
  <c r="AH2231" i="3"/>
  <c r="AI2231" i="3"/>
  <c r="Z2232" i="3"/>
  <c r="AJ2232" i="3" s="1"/>
  <c r="AA2232" i="3"/>
  <c r="AB2232" i="3"/>
  <c r="AC2232" i="3"/>
  <c r="AD2232" i="3"/>
  <c r="AE2232" i="3"/>
  <c r="AF2232" i="3"/>
  <c r="AG2232" i="3"/>
  <c r="AH2232" i="3"/>
  <c r="AI2232" i="3"/>
  <c r="Z2233" i="3"/>
  <c r="AJ2233" i="3" s="1"/>
  <c r="AA2233" i="3"/>
  <c r="AB2233" i="3"/>
  <c r="AC2233" i="3"/>
  <c r="AD2233" i="3"/>
  <c r="AE2233" i="3"/>
  <c r="AF2233" i="3"/>
  <c r="AG2233" i="3"/>
  <c r="AH2233" i="3"/>
  <c r="AI2233" i="3"/>
  <c r="Z2234" i="3"/>
  <c r="AA2234" i="3"/>
  <c r="AB2234" i="3"/>
  <c r="AC2234" i="3"/>
  <c r="AD2234" i="3"/>
  <c r="AE2234" i="3"/>
  <c r="AJ2234" i="3" s="1"/>
  <c r="AF2234" i="3"/>
  <c r="AG2234" i="3"/>
  <c r="AH2234" i="3"/>
  <c r="AI2234" i="3"/>
  <c r="Z2235" i="3"/>
  <c r="AA2235" i="3"/>
  <c r="AB2235" i="3"/>
  <c r="AJ2235" i="3" s="1"/>
  <c r="AC2235" i="3"/>
  <c r="AD2235" i="3"/>
  <c r="AE2235" i="3"/>
  <c r="AF2235" i="3"/>
  <c r="AG2235" i="3"/>
  <c r="AH2235" i="3"/>
  <c r="AI2235" i="3"/>
  <c r="Z2236" i="3"/>
  <c r="AJ2236" i="3" s="1"/>
  <c r="AA2236" i="3"/>
  <c r="AB2236" i="3"/>
  <c r="AC2236" i="3"/>
  <c r="AD2236" i="3"/>
  <c r="AE2236" i="3"/>
  <c r="AF2236" i="3"/>
  <c r="AG2236" i="3"/>
  <c r="AH2236" i="3"/>
  <c r="AI2236" i="3"/>
  <c r="Z2237" i="3"/>
  <c r="AA2237" i="3"/>
  <c r="AJ2237" i="3" s="1"/>
  <c r="AB2237" i="3"/>
  <c r="AC2237" i="3"/>
  <c r="AD2237" i="3"/>
  <c r="AE2237" i="3"/>
  <c r="AF2237" i="3"/>
  <c r="AG2237" i="3"/>
  <c r="AH2237" i="3"/>
  <c r="AI2237" i="3"/>
  <c r="Z2238" i="3"/>
  <c r="AA2238" i="3"/>
  <c r="AJ2238" i="3" s="1"/>
  <c r="AB2238" i="3"/>
  <c r="AC2238" i="3"/>
  <c r="AD2238" i="3"/>
  <c r="AE2238" i="3"/>
  <c r="AF2238" i="3"/>
  <c r="AG2238" i="3"/>
  <c r="AH2238" i="3"/>
  <c r="AI2238" i="3"/>
  <c r="Z2239" i="3"/>
  <c r="AJ2239" i="3" s="1"/>
  <c r="AA2239" i="3"/>
  <c r="AB2239" i="3"/>
  <c r="AC2239" i="3"/>
  <c r="AD2239" i="3"/>
  <c r="AE2239" i="3"/>
  <c r="AF2239" i="3"/>
  <c r="AG2239" i="3"/>
  <c r="AH2239" i="3"/>
  <c r="AI2239" i="3"/>
  <c r="Z2240" i="3"/>
  <c r="AJ2240" i="3" s="1"/>
  <c r="AA2240" i="3"/>
  <c r="AB2240" i="3"/>
  <c r="AC2240" i="3"/>
  <c r="AD2240" i="3"/>
  <c r="AE2240" i="3"/>
  <c r="AF2240" i="3"/>
  <c r="AG2240" i="3"/>
  <c r="AH2240" i="3"/>
  <c r="AI2240" i="3"/>
  <c r="Z2241" i="3"/>
  <c r="AJ2241" i="3" s="1"/>
  <c r="AA2241" i="3"/>
  <c r="AB2241" i="3"/>
  <c r="AC2241" i="3"/>
  <c r="AD2241" i="3"/>
  <c r="AE2241" i="3"/>
  <c r="AF2241" i="3"/>
  <c r="AG2241" i="3"/>
  <c r="AH2241" i="3"/>
  <c r="AI2241" i="3"/>
  <c r="Z2242" i="3"/>
  <c r="AA2242" i="3"/>
  <c r="AB2242" i="3"/>
  <c r="AC2242" i="3"/>
  <c r="AD2242" i="3"/>
  <c r="AE2242" i="3"/>
  <c r="AJ2242" i="3" s="1"/>
  <c r="AF2242" i="3"/>
  <c r="AG2242" i="3"/>
  <c r="AH2242" i="3"/>
  <c r="AI2242" i="3"/>
  <c r="Z2243" i="3"/>
  <c r="AA2243" i="3"/>
  <c r="AB2243" i="3"/>
  <c r="AJ2243" i="3" s="1"/>
  <c r="AC2243" i="3"/>
  <c r="AD2243" i="3"/>
  <c r="AE2243" i="3"/>
  <c r="AF2243" i="3"/>
  <c r="AG2243" i="3"/>
  <c r="AH2243" i="3"/>
  <c r="AI2243" i="3"/>
  <c r="Z2244" i="3"/>
  <c r="AJ2244" i="3" s="1"/>
  <c r="AA2244" i="3"/>
  <c r="AB2244" i="3"/>
  <c r="AC2244" i="3"/>
  <c r="AD2244" i="3"/>
  <c r="AE2244" i="3"/>
  <c r="AF2244" i="3"/>
  <c r="AG2244" i="3"/>
  <c r="AH2244" i="3"/>
  <c r="AI2244" i="3"/>
  <c r="Z2245" i="3"/>
  <c r="AA2245" i="3"/>
  <c r="AJ2245" i="3" s="1"/>
  <c r="AB2245" i="3"/>
  <c r="AC2245" i="3"/>
  <c r="AD2245" i="3"/>
  <c r="AE2245" i="3"/>
  <c r="AF2245" i="3"/>
  <c r="AG2245" i="3"/>
  <c r="AH2245" i="3"/>
  <c r="AI2245" i="3"/>
  <c r="Z2246" i="3"/>
  <c r="AA2246" i="3"/>
  <c r="AJ2246" i="3" s="1"/>
  <c r="AB2246" i="3"/>
  <c r="AC2246" i="3"/>
  <c r="AD2246" i="3"/>
  <c r="AE2246" i="3"/>
  <c r="AF2246" i="3"/>
  <c r="AG2246" i="3"/>
  <c r="AH2246" i="3"/>
  <c r="AI2246" i="3"/>
  <c r="Z2247" i="3"/>
  <c r="AJ2247" i="3" s="1"/>
  <c r="AA2247" i="3"/>
  <c r="AB2247" i="3"/>
  <c r="AC2247" i="3"/>
  <c r="AD2247" i="3"/>
  <c r="AE2247" i="3"/>
  <c r="AF2247" i="3"/>
  <c r="AG2247" i="3"/>
  <c r="AH2247" i="3"/>
  <c r="AI2247" i="3"/>
  <c r="Z2248" i="3"/>
  <c r="AJ2248" i="3" s="1"/>
  <c r="AA2248" i="3"/>
  <c r="AB2248" i="3"/>
  <c r="AC2248" i="3"/>
  <c r="AD2248" i="3"/>
  <c r="AE2248" i="3"/>
  <c r="AF2248" i="3"/>
  <c r="AG2248" i="3"/>
  <c r="AH2248" i="3"/>
  <c r="AI2248" i="3"/>
  <c r="Z2249" i="3"/>
  <c r="AJ2249" i="3" s="1"/>
  <c r="AA2249" i="3"/>
  <c r="AB2249" i="3"/>
  <c r="AC2249" i="3"/>
  <c r="AD2249" i="3"/>
  <c r="AE2249" i="3"/>
  <c r="AF2249" i="3"/>
  <c r="AG2249" i="3"/>
  <c r="AH2249" i="3"/>
  <c r="AI2249" i="3"/>
  <c r="Z2250" i="3"/>
  <c r="AA2250" i="3"/>
  <c r="AB2250" i="3"/>
  <c r="AC2250" i="3"/>
  <c r="AD2250" i="3"/>
  <c r="AE2250" i="3"/>
  <c r="AJ2250" i="3" s="1"/>
  <c r="AF2250" i="3"/>
  <c r="AG2250" i="3"/>
  <c r="AH2250" i="3"/>
  <c r="AI2250" i="3"/>
  <c r="Z2251" i="3"/>
  <c r="AA2251" i="3"/>
  <c r="AB2251" i="3"/>
  <c r="AJ2251" i="3" s="1"/>
  <c r="AC2251" i="3"/>
  <c r="AD2251" i="3"/>
  <c r="AE2251" i="3"/>
  <c r="AF2251" i="3"/>
  <c r="AG2251" i="3"/>
  <c r="AH2251" i="3"/>
  <c r="AI2251" i="3"/>
  <c r="Z2252" i="3"/>
  <c r="AJ2252" i="3" s="1"/>
  <c r="AA2252" i="3"/>
  <c r="AB2252" i="3"/>
  <c r="AC2252" i="3"/>
  <c r="AD2252" i="3"/>
  <c r="AE2252" i="3"/>
  <c r="AF2252" i="3"/>
  <c r="AG2252" i="3"/>
  <c r="AH2252" i="3"/>
  <c r="AI2252" i="3"/>
  <c r="Z2253" i="3"/>
  <c r="AA2253" i="3"/>
  <c r="AJ2253" i="3" s="1"/>
  <c r="AB2253" i="3"/>
  <c r="AC2253" i="3"/>
  <c r="AD2253" i="3"/>
  <c r="AE2253" i="3"/>
  <c r="AF2253" i="3"/>
  <c r="AG2253" i="3"/>
  <c r="AH2253" i="3"/>
  <c r="AI2253" i="3"/>
  <c r="Z2254" i="3"/>
  <c r="AA2254" i="3"/>
  <c r="AJ2254" i="3" s="1"/>
  <c r="AB2254" i="3"/>
  <c r="AC2254" i="3"/>
  <c r="AD2254" i="3"/>
  <c r="AE2254" i="3"/>
  <c r="AF2254" i="3"/>
  <c r="AG2254" i="3"/>
  <c r="AH2254" i="3"/>
  <c r="AI2254" i="3"/>
  <c r="Z2255" i="3"/>
  <c r="AJ2255" i="3" s="1"/>
  <c r="AA2255" i="3"/>
  <c r="AB2255" i="3"/>
  <c r="AC2255" i="3"/>
  <c r="AD2255" i="3"/>
  <c r="AE2255" i="3"/>
  <c r="AF2255" i="3"/>
  <c r="AG2255" i="3"/>
  <c r="AH2255" i="3"/>
  <c r="AI2255" i="3"/>
  <c r="Z2256" i="3"/>
  <c r="AJ2256" i="3" s="1"/>
  <c r="AA2256" i="3"/>
  <c r="AB2256" i="3"/>
  <c r="AC2256" i="3"/>
  <c r="AD2256" i="3"/>
  <c r="AE2256" i="3"/>
  <c r="AF2256" i="3"/>
  <c r="AG2256" i="3"/>
  <c r="AH2256" i="3"/>
  <c r="AI2256" i="3"/>
  <c r="Z2257" i="3"/>
  <c r="AJ2257" i="3" s="1"/>
  <c r="AA2257" i="3"/>
  <c r="AB2257" i="3"/>
  <c r="AC2257" i="3"/>
  <c r="AD2257" i="3"/>
  <c r="AE2257" i="3"/>
  <c r="AF2257" i="3"/>
  <c r="AG2257" i="3"/>
  <c r="AH2257" i="3"/>
  <c r="AI2257" i="3"/>
  <c r="Z2258" i="3"/>
  <c r="AA2258" i="3"/>
  <c r="AB2258" i="3"/>
  <c r="AC2258" i="3"/>
  <c r="AD2258" i="3"/>
  <c r="AE2258" i="3"/>
  <c r="AJ2258" i="3" s="1"/>
  <c r="AF2258" i="3"/>
  <c r="AG2258" i="3"/>
  <c r="AH2258" i="3"/>
  <c r="AI2258" i="3"/>
  <c r="Z2259" i="3"/>
  <c r="AA2259" i="3"/>
  <c r="AB2259" i="3"/>
  <c r="AJ2259" i="3" s="1"/>
  <c r="AC2259" i="3"/>
  <c r="AD2259" i="3"/>
  <c r="AE2259" i="3"/>
  <c r="AF2259" i="3"/>
  <c r="AG2259" i="3"/>
  <c r="AH2259" i="3"/>
  <c r="AI2259" i="3"/>
  <c r="Z2260" i="3"/>
  <c r="AJ2260" i="3" s="1"/>
  <c r="AA2260" i="3"/>
  <c r="AB2260" i="3"/>
  <c r="AC2260" i="3"/>
  <c r="AD2260" i="3"/>
  <c r="AE2260" i="3"/>
  <c r="AF2260" i="3"/>
  <c r="AG2260" i="3"/>
  <c r="AH2260" i="3"/>
  <c r="AI2260" i="3"/>
  <c r="Z2261" i="3"/>
  <c r="AA2261" i="3"/>
  <c r="AJ2261" i="3" s="1"/>
  <c r="AB2261" i="3"/>
  <c r="AC2261" i="3"/>
  <c r="AD2261" i="3"/>
  <c r="AE2261" i="3"/>
  <c r="AF2261" i="3"/>
  <c r="AG2261" i="3"/>
  <c r="AH2261" i="3"/>
  <c r="AI2261" i="3"/>
  <c r="Z2262" i="3"/>
  <c r="AA2262" i="3"/>
  <c r="AJ2262" i="3" s="1"/>
  <c r="AB2262" i="3"/>
  <c r="AC2262" i="3"/>
  <c r="AD2262" i="3"/>
  <c r="AE2262" i="3"/>
  <c r="AF2262" i="3"/>
  <c r="AG2262" i="3"/>
  <c r="AH2262" i="3"/>
  <c r="AI2262" i="3"/>
  <c r="Z2263" i="3"/>
  <c r="AJ2263" i="3" s="1"/>
  <c r="AA2263" i="3"/>
  <c r="AB2263" i="3"/>
  <c r="AC2263" i="3"/>
  <c r="AD2263" i="3"/>
  <c r="AE2263" i="3"/>
  <c r="AF2263" i="3"/>
  <c r="AG2263" i="3"/>
  <c r="AH2263" i="3"/>
  <c r="AI2263" i="3"/>
  <c r="Z2264" i="3"/>
  <c r="AJ2264" i="3" s="1"/>
  <c r="AA2264" i="3"/>
  <c r="AB2264" i="3"/>
  <c r="AC2264" i="3"/>
  <c r="AD2264" i="3"/>
  <c r="AE2264" i="3"/>
  <c r="AF2264" i="3"/>
  <c r="AG2264" i="3"/>
  <c r="AH2264" i="3"/>
  <c r="AI2264" i="3"/>
  <c r="Z2265" i="3"/>
  <c r="AJ2265" i="3" s="1"/>
  <c r="AA2265" i="3"/>
  <c r="AB2265" i="3"/>
  <c r="AC2265" i="3"/>
  <c r="AD2265" i="3"/>
  <c r="AE2265" i="3"/>
  <c r="AF2265" i="3"/>
  <c r="AG2265" i="3"/>
  <c r="AH2265" i="3"/>
  <c r="AI2265" i="3"/>
  <c r="Z2266" i="3"/>
  <c r="AA2266" i="3"/>
  <c r="AB2266" i="3"/>
  <c r="AC2266" i="3"/>
  <c r="AD2266" i="3"/>
  <c r="AE2266" i="3"/>
  <c r="AJ2266" i="3" s="1"/>
  <c r="AF2266" i="3"/>
  <c r="AG2266" i="3"/>
  <c r="AH2266" i="3"/>
  <c r="AI2266" i="3"/>
  <c r="Z2267" i="3"/>
  <c r="AA2267" i="3"/>
  <c r="AB2267" i="3"/>
  <c r="AJ2267" i="3" s="1"/>
  <c r="AC2267" i="3"/>
  <c r="AD2267" i="3"/>
  <c r="AE2267" i="3"/>
  <c r="AF2267" i="3"/>
  <c r="AG2267" i="3"/>
  <c r="AH2267" i="3"/>
  <c r="AI2267" i="3"/>
  <c r="Z2268" i="3"/>
  <c r="AJ2268" i="3" s="1"/>
  <c r="AA2268" i="3"/>
  <c r="AB2268" i="3"/>
  <c r="AC2268" i="3"/>
  <c r="AD2268" i="3"/>
  <c r="AE2268" i="3"/>
  <c r="AF2268" i="3"/>
  <c r="AG2268" i="3"/>
  <c r="AH2268" i="3"/>
  <c r="AI2268" i="3"/>
  <c r="Z2269" i="3"/>
  <c r="AA2269" i="3"/>
  <c r="AJ2269" i="3" s="1"/>
  <c r="AB2269" i="3"/>
  <c r="AC2269" i="3"/>
  <c r="AD2269" i="3"/>
  <c r="AE2269" i="3"/>
  <c r="AF2269" i="3"/>
  <c r="AG2269" i="3"/>
  <c r="AH2269" i="3"/>
  <c r="AI2269" i="3"/>
  <c r="Z2270" i="3"/>
  <c r="AA2270" i="3"/>
  <c r="AJ2270" i="3" s="1"/>
  <c r="AB2270" i="3"/>
  <c r="AC2270" i="3"/>
  <c r="AD2270" i="3"/>
  <c r="AE2270" i="3"/>
  <c r="AF2270" i="3"/>
  <c r="AG2270" i="3"/>
  <c r="AH2270" i="3"/>
  <c r="AI2270" i="3"/>
  <c r="Z2271" i="3"/>
  <c r="AJ2271" i="3" s="1"/>
  <c r="AA2271" i="3"/>
  <c r="AB2271" i="3"/>
  <c r="AC2271" i="3"/>
  <c r="AD2271" i="3"/>
  <c r="AE2271" i="3"/>
  <c r="AF2271" i="3"/>
  <c r="AG2271" i="3"/>
  <c r="AH2271" i="3"/>
  <c r="AI2271" i="3"/>
  <c r="Z2272" i="3"/>
  <c r="AJ2272" i="3" s="1"/>
  <c r="AA2272" i="3"/>
  <c r="AB2272" i="3"/>
  <c r="AC2272" i="3"/>
  <c r="AD2272" i="3"/>
  <c r="AE2272" i="3"/>
  <c r="AF2272" i="3"/>
  <c r="AG2272" i="3"/>
  <c r="AH2272" i="3"/>
  <c r="AI2272" i="3"/>
  <c r="Z2273" i="3"/>
  <c r="AJ2273" i="3" s="1"/>
  <c r="AA2273" i="3"/>
  <c r="AB2273" i="3"/>
  <c r="AC2273" i="3"/>
  <c r="AD2273" i="3"/>
  <c r="AE2273" i="3"/>
  <c r="AF2273" i="3"/>
  <c r="AG2273" i="3"/>
  <c r="AH2273" i="3"/>
  <c r="AI2273" i="3"/>
  <c r="Z2274" i="3"/>
  <c r="AA2274" i="3"/>
  <c r="AB2274" i="3"/>
  <c r="AC2274" i="3"/>
  <c r="AD2274" i="3"/>
  <c r="AE2274" i="3"/>
  <c r="AJ2274" i="3" s="1"/>
  <c r="AF2274" i="3"/>
  <c r="AG2274" i="3"/>
  <c r="AH2274" i="3"/>
  <c r="AI2274" i="3"/>
  <c r="Z2275" i="3"/>
  <c r="AA2275" i="3"/>
  <c r="AB2275" i="3"/>
  <c r="AJ2275" i="3" s="1"/>
  <c r="AC2275" i="3"/>
  <c r="AD2275" i="3"/>
  <c r="AE2275" i="3"/>
  <c r="AF2275" i="3"/>
  <c r="AG2275" i="3"/>
  <c r="AH2275" i="3"/>
  <c r="AI2275" i="3"/>
  <c r="Z2276" i="3"/>
  <c r="AJ2276" i="3" s="1"/>
  <c r="AA2276" i="3"/>
  <c r="AB2276" i="3"/>
  <c r="AC2276" i="3"/>
  <c r="AD2276" i="3"/>
  <c r="AE2276" i="3"/>
  <c r="AF2276" i="3"/>
  <c r="AG2276" i="3"/>
  <c r="AH2276" i="3"/>
  <c r="AI2276" i="3"/>
  <c r="Z2277" i="3"/>
  <c r="AA2277" i="3"/>
  <c r="AJ2277" i="3" s="1"/>
  <c r="AB2277" i="3"/>
  <c r="AC2277" i="3"/>
  <c r="AD2277" i="3"/>
  <c r="AE2277" i="3"/>
  <c r="AF2277" i="3"/>
  <c r="AG2277" i="3"/>
  <c r="AH2277" i="3"/>
  <c r="AI2277" i="3"/>
  <c r="Z2278" i="3"/>
  <c r="AA2278" i="3"/>
  <c r="AJ2278" i="3" s="1"/>
  <c r="AB2278" i="3"/>
  <c r="AC2278" i="3"/>
  <c r="AD2278" i="3"/>
  <c r="AE2278" i="3"/>
  <c r="AF2278" i="3"/>
  <c r="AG2278" i="3"/>
  <c r="AH2278" i="3"/>
  <c r="AI2278" i="3"/>
  <c r="Z2279" i="3"/>
  <c r="AJ2279" i="3" s="1"/>
  <c r="AA2279" i="3"/>
  <c r="AB2279" i="3"/>
  <c r="AC2279" i="3"/>
  <c r="AD2279" i="3"/>
  <c r="AE2279" i="3"/>
  <c r="AF2279" i="3"/>
  <c r="AG2279" i="3"/>
  <c r="AH2279" i="3"/>
  <c r="AI2279" i="3"/>
  <c r="Z2280" i="3"/>
  <c r="AJ2280" i="3" s="1"/>
  <c r="AA2280" i="3"/>
  <c r="AB2280" i="3"/>
  <c r="AC2280" i="3"/>
  <c r="AD2280" i="3"/>
  <c r="AE2280" i="3"/>
  <c r="AF2280" i="3"/>
  <c r="AG2280" i="3"/>
  <c r="AH2280" i="3"/>
  <c r="AI2280" i="3"/>
  <c r="Z2281" i="3"/>
  <c r="AJ2281" i="3" s="1"/>
  <c r="AA2281" i="3"/>
  <c r="AB2281" i="3"/>
  <c r="AC2281" i="3"/>
  <c r="AD2281" i="3"/>
  <c r="AE2281" i="3"/>
  <c r="AF2281" i="3"/>
  <c r="AG2281" i="3"/>
  <c r="AH2281" i="3"/>
  <c r="AI2281" i="3"/>
  <c r="Z2282" i="3"/>
  <c r="AA2282" i="3"/>
  <c r="AB2282" i="3"/>
  <c r="AC2282" i="3"/>
  <c r="AD2282" i="3"/>
  <c r="AE2282" i="3"/>
  <c r="AJ2282" i="3" s="1"/>
  <c r="AF2282" i="3"/>
  <c r="AG2282" i="3"/>
  <c r="AH2282" i="3"/>
  <c r="AI2282" i="3"/>
  <c r="Z2283" i="3"/>
  <c r="AA2283" i="3"/>
  <c r="AB2283" i="3"/>
  <c r="AJ2283" i="3" s="1"/>
  <c r="AC2283" i="3"/>
  <c r="AD2283" i="3"/>
  <c r="AE2283" i="3"/>
  <c r="AF2283" i="3"/>
  <c r="AG2283" i="3"/>
  <c r="AH2283" i="3"/>
  <c r="AI2283" i="3"/>
  <c r="Z2284" i="3"/>
  <c r="AJ2284" i="3" s="1"/>
  <c r="AA2284" i="3"/>
  <c r="AB2284" i="3"/>
  <c r="AC2284" i="3"/>
  <c r="AD2284" i="3"/>
  <c r="AE2284" i="3"/>
  <c r="AF2284" i="3"/>
  <c r="AG2284" i="3"/>
  <c r="AH2284" i="3"/>
  <c r="AI2284" i="3"/>
  <c r="Z2285" i="3"/>
  <c r="AA2285" i="3"/>
  <c r="AJ2285" i="3" s="1"/>
  <c r="AB2285" i="3"/>
  <c r="AC2285" i="3"/>
  <c r="AD2285" i="3"/>
  <c r="AE2285" i="3"/>
  <c r="AF2285" i="3"/>
  <c r="AG2285" i="3"/>
  <c r="AH2285" i="3"/>
  <c r="AI2285" i="3"/>
  <c r="Z2286" i="3"/>
  <c r="AA2286" i="3"/>
  <c r="AJ2286" i="3" s="1"/>
  <c r="AB2286" i="3"/>
  <c r="AC2286" i="3"/>
  <c r="AD2286" i="3"/>
  <c r="AE2286" i="3"/>
  <c r="AF2286" i="3"/>
  <c r="AG2286" i="3"/>
  <c r="AH2286" i="3"/>
  <c r="AI2286" i="3"/>
  <c r="Z2287" i="3"/>
  <c r="AJ2287" i="3" s="1"/>
  <c r="AA2287" i="3"/>
  <c r="AB2287" i="3"/>
  <c r="AC2287" i="3"/>
  <c r="AD2287" i="3"/>
  <c r="AE2287" i="3"/>
  <c r="AF2287" i="3"/>
  <c r="AG2287" i="3"/>
  <c r="AH2287" i="3"/>
  <c r="AI2287" i="3"/>
  <c r="Z2288" i="3"/>
  <c r="AJ2288" i="3" s="1"/>
  <c r="AA2288" i="3"/>
  <c r="AB2288" i="3"/>
  <c r="AC2288" i="3"/>
  <c r="AD2288" i="3"/>
  <c r="AE2288" i="3"/>
  <c r="AF2288" i="3"/>
  <c r="AG2288" i="3"/>
  <c r="AH2288" i="3"/>
  <c r="AI2288" i="3"/>
  <c r="Z2289" i="3"/>
  <c r="AJ2289" i="3" s="1"/>
  <c r="AA2289" i="3"/>
  <c r="AB2289" i="3"/>
  <c r="AC2289" i="3"/>
  <c r="AD2289" i="3"/>
  <c r="AE2289" i="3"/>
  <c r="AF2289" i="3"/>
  <c r="AG2289" i="3"/>
  <c r="AH2289" i="3"/>
  <c r="AI2289" i="3"/>
  <c r="Z2290" i="3"/>
  <c r="AA2290" i="3"/>
  <c r="AB2290" i="3"/>
  <c r="AC2290" i="3"/>
  <c r="AD2290" i="3"/>
  <c r="AE2290" i="3"/>
  <c r="AJ2290" i="3" s="1"/>
  <c r="AF2290" i="3"/>
  <c r="AG2290" i="3"/>
  <c r="AH2290" i="3"/>
  <c r="AI2290" i="3"/>
  <c r="Z2291" i="3"/>
  <c r="AA2291" i="3"/>
  <c r="AB2291" i="3"/>
  <c r="AJ2291" i="3" s="1"/>
  <c r="AC2291" i="3"/>
  <c r="AD2291" i="3"/>
  <c r="AE2291" i="3"/>
  <c r="AF2291" i="3"/>
  <c r="AG2291" i="3"/>
  <c r="AH2291" i="3"/>
  <c r="AI2291" i="3"/>
  <c r="Z2292" i="3"/>
  <c r="AJ2292" i="3" s="1"/>
  <c r="AA2292" i="3"/>
  <c r="AB2292" i="3"/>
  <c r="AC2292" i="3"/>
  <c r="AD2292" i="3"/>
  <c r="AE2292" i="3"/>
  <c r="AF2292" i="3"/>
  <c r="AG2292" i="3"/>
  <c r="AH2292" i="3"/>
  <c r="AI2292" i="3"/>
  <c r="Z2293" i="3"/>
  <c r="AA2293" i="3"/>
  <c r="AJ2293" i="3" s="1"/>
  <c r="AB2293" i="3"/>
  <c r="AC2293" i="3"/>
  <c r="AD2293" i="3"/>
  <c r="AE2293" i="3"/>
  <c r="AF2293" i="3"/>
  <c r="AG2293" i="3"/>
  <c r="AH2293" i="3"/>
  <c r="AI2293" i="3"/>
  <c r="Z2294" i="3"/>
  <c r="AA2294" i="3"/>
  <c r="AJ2294" i="3" s="1"/>
  <c r="AB2294" i="3"/>
  <c r="AC2294" i="3"/>
  <c r="AD2294" i="3"/>
  <c r="AE2294" i="3"/>
  <c r="AF2294" i="3"/>
  <c r="AG2294" i="3"/>
  <c r="AH2294" i="3"/>
  <c r="AI2294" i="3"/>
  <c r="Z2295" i="3"/>
  <c r="AJ2295" i="3" s="1"/>
  <c r="AA2295" i="3"/>
  <c r="AB2295" i="3"/>
  <c r="AC2295" i="3"/>
  <c r="AD2295" i="3"/>
  <c r="AE2295" i="3"/>
  <c r="AF2295" i="3"/>
  <c r="AG2295" i="3"/>
  <c r="AH2295" i="3"/>
  <c r="AI2295" i="3"/>
  <c r="Z2296" i="3"/>
  <c r="AJ2296" i="3" s="1"/>
  <c r="AA2296" i="3"/>
  <c r="AB2296" i="3"/>
  <c r="AC2296" i="3"/>
  <c r="AD2296" i="3"/>
  <c r="AE2296" i="3"/>
  <c r="AF2296" i="3"/>
  <c r="AG2296" i="3"/>
  <c r="AH2296" i="3"/>
  <c r="AI2296" i="3"/>
  <c r="Z2297" i="3"/>
  <c r="AJ2297" i="3" s="1"/>
  <c r="AA2297" i="3"/>
  <c r="AB2297" i="3"/>
  <c r="AC2297" i="3"/>
  <c r="AD2297" i="3"/>
  <c r="AE2297" i="3"/>
  <c r="AF2297" i="3"/>
  <c r="AG2297" i="3"/>
  <c r="AH2297" i="3"/>
  <c r="AI2297" i="3"/>
  <c r="Z2298" i="3"/>
  <c r="AA2298" i="3"/>
  <c r="AB2298" i="3"/>
  <c r="AC2298" i="3"/>
  <c r="AD2298" i="3"/>
  <c r="AE2298" i="3"/>
  <c r="AJ2298" i="3" s="1"/>
  <c r="AF2298" i="3"/>
  <c r="AG2298" i="3"/>
  <c r="AH2298" i="3"/>
  <c r="AI2298" i="3"/>
  <c r="Z2299" i="3"/>
  <c r="AA2299" i="3"/>
  <c r="AB2299" i="3"/>
  <c r="AJ2299" i="3" s="1"/>
  <c r="AC2299" i="3"/>
  <c r="AD2299" i="3"/>
  <c r="AE2299" i="3"/>
  <c r="AF2299" i="3"/>
  <c r="AG2299" i="3"/>
  <c r="AH2299" i="3"/>
  <c r="AI2299" i="3"/>
  <c r="Z2300" i="3"/>
  <c r="AJ2300" i="3" s="1"/>
  <c r="AA2300" i="3"/>
  <c r="AB2300" i="3"/>
  <c r="AC2300" i="3"/>
  <c r="AD2300" i="3"/>
  <c r="AE2300" i="3"/>
  <c r="AF2300" i="3"/>
  <c r="AG2300" i="3"/>
  <c r="AH2300" i="3"/>
  <c r="AI2300" i="3"/>
  <c r="Z2301" i="3"/>
  <c r="AA2301" i="3"/>
  <c r="AJ2301" i="3" s="1"/>
  <c r="AB2301" i="3"/>
  <c r="AC2301" i="3"/>
  <c r="AD2301" i="3"/>
  <c r="AE2301" i="3"/>
  <c r="AF2301" i="3"/>
  <c r="AG2301" i="3"/>
  <c r="AH2301" i="3"/>
  <c r="AI2301" i="3"/>
  <c r="Z2302" i="3"/>
  <c r="AA2302" i="3"/>
  <c r="AJ2302" i="3" s="1"/>
  <c r="AB2302" i="3"/>
  <c r="AC2302" i="3"/>
  <c r="AD2302" i="3"/>
  <c r="AE2302" i="3"/>
  <c r="AF2302" i="3"/>
  <c r="AG2302" i="3"/>
  <c r="AH2302" i="3"/>
  <c r="AI2302" i="3"/>
  <c r="Z2303" i="3"/>
  <c r="AJ2303" i="3" s="1"/>
  <c r="AA2303" i="3"/>
  <c r="AB2303" i="3"/>
  <c r="AC2303" i="3"/>
  <c r="AD2303" i="3"/>
  <c r="AE2303" i="3"/>
  <c r="AF2303" i="3"/>
  <c r="AG2303" i="3"/>
  <c r="AH2303" i="3"/>
  <c r="AI2303" i="3"/>
  <c r="Z2304" i="3"/>
  <c r="AJ2304" i="3" s="1"/>
  <c r="AA2304" i="3"/>
  <c r="AB2304" i="3"/>
  <c r="AC2304" i="3"/>
  <c r="AD2304" i="3"/>
  <c r="AE2304" i="3"/>
  <c r="AF2304" i="3"/>
  <c r="AG2304" i="3"/>
  <c r="AH2304" i="3"/>
  <c r="AI2304" i="3"/>
  <c r="Z2305" i="3"/>
  <c r="AJ2305" i="3" s="1"/>
  <c r="AA2305" i="3"/>
  <c r="AB2305" i="3"/>
  <c r="AC2305" i="3"/>
  <c r="AD2305" i="3"/>
  <c r="AE2305" i="3"/>
  <c r="AF2305" i="3"/>
  <c r="AG2305" i="3"/>
  <c r="AH2305" i="3"/>
  <c r="AI2305" i="3"/>
  <c r="Z2306" i="3"/>
  <c r="AA2306" i="3"/>
  <c r="AB2306" i="3"/>
  <c r="AC2306" i="3"/>
  <c r="AD2306" i="3"/>
  <c r="AE2306" i="3"/>
  <c r="AJ2306" i="3" s="1"/>
  <c r="AF2306" i="3"/>
  <c r="AG2306" i="3"/>
  <c r="AH2306" i="3"/>
  <c r="AI2306" i="3"/>
  <c r="Z2307" i="3"/>
  <c r="AA2307" i="3"/>
  <c r="AB2307" i="3"/>
  <c r="AJ2307" i="3" s="1"/>
  <c r="AC2307" i="3"/>
  <c r="AD2307" i="3"/>
  <c r="AE2307" i="3"/>
  <c r="AF2307" i="3"/>
  <c r="AG2307" i="3"/>
  <c r="AH2307" i="3"/>
  <c r="AI2307" i="3"/>
  <c r="Z2308" i="3"/>
  <c r="AJ2308" i="3" s="1"/>
  <c r="AA2308" i="3"/>
  <c r="AB2308" i="3"/>
  <c r="AC2308" i="3"/>
  <c r="AD2308" i="3"/>
  <c r="AE2308" i="3"/>
  <c r="AF2308" i="3"/>
  <c r="AG2308" i="3"/>
  <c r="AH2308" i="3"/>
  <c r="AI2308" i="3"/>
  <c r="Z2309" i="3"/>
  <c r="AA2309" i="3"/>
  <c r="AJ2309" i="3" s="1"/>
  <c r="AB2309" i="3"/>
  <c r="AC2309" i="3"/>
  <c r="AD2309" i="3"/>
  <c r="AE2309" i="3"/>
  <c r="AF2309" i="3"/>
  <c r="AG2309" i="3"/>
  <c r="AH2309" i="3"/>
  <c r="AI2309" i="3"/>
  <c r="Z2310" i="3"/>
  <c r="AA2310" i="3"/>
  <c r="AJ2310" i="3" s="1"/>
  <c r="AB2310" i="3"/>
  <c r="AC2310" i="3"/>
  <c r="AD2310" i="3"/>
  <c r="AE2310" i="3"/>
  <c r="AF2310" i="3"/>
  <c r="AG2310" i="3"/>
  <c r="AH2310" i="3"/>
  <c r="AI2310" i="3"/>
  <c r="Z2311" i="3"/>
  <c r="AJ2311" i="3" s="1"/>
  <c r="AA2311" i="3"/>
  <c r="AB2311" i="3"/>
  <c r="AC2311" i="3"/>
  <c r="AD2311" i="3"/>
  <c r="AE2311" i="3"/>
  <c r="AF2311" i="3"/>
  <c r="AG2311" i="3"/>
  <c r="AH2311" i="3"/>
  <c r="AI2311" i="3"/>
  <c r="Z2312" i="3"/>
  <c r="AJ2312" i="3" s="1"/>
  <c r="AA2312" i="3"/>
  <c r="AB2312" i="3"/>
  <c r="AC2312" i="3"/>
  <c r="AD2312" i="3"/>
  <c r="AE2312" i="3"/>
  <c r="AF2312" i="3"/>
  <c r="AG2312" i="3"/>
  <c r="AH2312" i="3"/>
  <c r="AI2312" i="3"/>
  <c r="Z2313" i="3"/>
  <c r="AJ2313" i="3" s="1"/>
  <c r="AA2313" i="3"/>
  <c r="AB2313" i="3"/>
  <c r="AC2313" i="3"/>
  <c r="AD2313" i="3"/>
  <c r="AE2313" i="3"/>
  <c r="AF2313" i="3"/>
  <c r="AG2313" i="3"/>
  <c r="AH2313" i="3"/>
  <c r="AI2313" i="3"/>
  <c r="Z2314" i="3"/>
  <c r="AA2314" i="3"/>
  <c r="AB2314" i="3"/>
  <c r="AC2314" i="3"/>
  <c r="AD2314" i="3"/>
  <c r="AE2314" i="3"/>
  <c r="AJ2314" i="3" s="1"/>
  <c r="AF2314" i="3"/>
  <c r="AG2314" i="3"/>
  <c r="AH2314" i="3"/>
  <c r="AI2314" i="3"/>
  <c r="Z2315" i="3"/>
  <c r="AA2315" i="3"/>
  <c r="AB2315" i="3"/>
  <c r="AJ2315" i="3" s="1"/>
  <c r="AC2315" i="3"/>
  <c r="AD2315" i="3"/>
  <c r="AE2315" i="3"/>
  <c r="AF2315" i="3"/>
  <c r="AG2315" i="3"/>
  <c r="AH2315" i="3"/>
  <c r="AI2315" i="3"/>
  <c r="Z2316" i="3"/>
  <c r="AJ2316" i="3" s="1"/>
  <c r="AA2316" i="3"/>
  <c r="AB2316" i="3"/>
  <c r="AC2316" i="3"/>
  <c r="AD2316" i="3"/>
  <c r="AE2316" i="3"/>
  <c r="AF2316" i="3"/>
  <c r="AG2316" i="3"/>
  <c r="AH2316" i="3"/>
  <c r="AI2316" i="3"/>
  <c r="Z2317" i="3"/>
  <c r="AA2317" i="3"/>
  <c r="AJ2317" i="3" s="1"/>
  <c r="AB2317" i="3"/>
  <c r="AC2317" i="3"/>
  <c r="AD2317" i="3"/>
  <c r="AE2317" i="3"/>
  <c r="AF2317" i="3"/>
  <c r="AG2317" i="3"/>
  <c r="AH2317" i="3"/>
  <c r="AI2317" i="3"/>
  <c r="Z2318" i="3"/>
  <c r="AA2318" i="3"/>
  <c r="AJ2318" i="3" s="1"/>
  <c r="AB2318" i="3"/>
  <c r="AC2318" i="3"/>
  <c r="AD2318" i="3"/>
  <c r="AE2318" i="3"/>
  <c r="AF2318" i="3"/>
  <c r="AG2318" i="3"/>
  <c r="AH2318" i="3"/>
  <c r="AI2318" i="3"/>
  <c r="Z2319" i="3"/>
  <c r="AJ2319" i="3" s="1"/>
  <c r="AA2319" i="3"/>
  <c r="AB2319" i="3"/>
  <c r="AC2319" i="3"/>
  <c r="AD2319" i="3"/>
  <c r="AE2319" i="3"/>
  <c r="AF2319" i="3"/>
  <c r="AG2319" i="3"/>
  <c r="AH2319" i="3"/>
  <c r="AI2319" i="3"/>
  <c r="Z2320" i="3"/>
  <c r="AJ2320" i="3" s="1"/>
  <c r="AA2320" i="3"/>
  <c r="AB2320" i="3"/>
  <c r="AC2320" i="3"/>
  <c r="AD2320" i="3"/>
  <c r="AE2320" i="3"/>
  <c r="AF2320" i="3"/>
  <c r="AG2320" i="3"/>
  <c r="AH2320" i="3"/>
  <c r="AI2320" i="3"/>
  <c r="Z2321" i="3"/>
  <c r="AJ2321" i="3" s="1"/>
  <c r="AA2321" i="3"/>
  <c r="AB2321" i="3"/>
  <c r="AC2321" i="3"/>
  <c r="AD2321" i="3"/>
  <c r="AE2321" i="3"/>
  <c r="AF2321" i="3"/>
  <c r="AG2321" i="3"/>
  <c r="AH2321" i="3"/>
  <c r="AI2321" i="3"/>
  <c r="Z2322" i="3"/>
  <c r="AA2322" i="3"/>
  <c r="AB2322" i="3"/>
  <c r="AC2322" i="3"/>
  <c r="AD2322" i="3"/>
  <c r="AE2322" i="3"/>
  <c r="AJ2322" i="3" s="1"/>
  <c r="AF2322" i="3"/>
  <c r="AG2322" i="3"/>
  <c r="AH2322" i="3"/>
  <c r="AI2322" i="3"/>
  <c r="Z2323" i="3"/>
  <c r="AA2323" i="3"/>
  <c r="AB2323" i="3"/>
  <c r="AJ2323" i="3" s="1"/>
  <c r="AC2323" i="3"/>
  <c r="AD2323" i="3"/>
  <c r="AE2323" i="3"/>
  <c r="AF2323" i="3"/>
  <c r="AG2323" i="3"/>
  <c r="AH2323" i="3"/>
  <c r="AI2323" i="3"/>
  <c r="Z2324" i="3"/>
  <c r="AJ2324" i="3" s="1"/>
  <c r="AA2324" i="3"/>
  <c r="AB2324" i="3"/>
  <c r="AC2324" i="3"/>
  <c r="AD2324" i="3"/>
  <c r="AE2324" i="3"/>
  <c r="AF2324" i="3"/>
  <c r="AG2324" i="3"/>
  <c r="AH2324" i="3"/>
  <c r="AI2324" i="3"/>
  <c r="Z2325" i="3"/>
  <c r="AA2325" i="3"/>
  <c r="AJ2325" i="3" s="1"/>
  <c r="AB2325" i="3"/>
  <c r="AC2325" i="3"/>
  <c r="AD2325" i="3"/>
  <c r="AE2325" i="3"/>
  <c r="AF2325" i="3"/>
  <c r="AG2325" i="3"/>
  <c r="AH2325" i="3"/>
  <c r="AI2325" i="3"/>
  <c r="Z2326" i="3"/>
  <c r="AA2326" i="3"/>
  <c r="AJ2326" i="3" s="1"/>
  <c r="AB2326" i="3"/>
  <c r="AC2326" i="3"/>
  <c r="AD2326" i="3"/>
  <c r="AE2326" i="3"/>
  <c r="AF2326" i="3"/>
  <c r="AG2326" i="3"/>
  <c r="AH2326" i="3"/>
  <c r="AI2326" i="3"/>
  <c r="Z2327" i="3"/>
  <c r="AJ2327" i="3" s="1"/>
  <c r="AA2327" i="3"/>
  <c r="AB2327" i="3"/>
  <c r="AC2327" i="3"/>
  <c r="AD2327" i="3"/>
  <c r="AE2327" i="3"/>
  <c r="AF2327" i="3"/>
  <c r="AG2327" i="3"/>
  <c r="AH2327" i="3"/>
  <c r="AI2327" i="3"/>
  <c r="Z2328" i="3"/>
  <c r="AJ2328" i="3" s="1"/>
  <c r="AA2328" i="3"/>
  <c r="AB2328" i="3"/>
  <c r="AC2328" i="3"/>
  <c r="AD2328" i="3"/>
  <c r="AE2328" i="3"/>
  <c r="AF2328" i="3"/>
  <c r="AG2328" i="3"/>
  <c r="AH2328" i="3"/>
  <c r="AI2328" i="3"/>
  <c r="Z2329" i="3"/>
  <c r="AJ2329" i="3" s="1"/>
  <c r="AA2329" i="3"/>
  <c r="AB2329" i="3"/>
  <c r="AC2329" i="3"/>
  <c r="AD2329" i="3"/>
  <c r="AE2329" i="3"/>
  <c r="AF2329" i="3"/>
  <c r="AG2329" i="3"/>
  <c r="AH2329" i="3"/>
  <c r="AI2329" i="3"/>
  <c r="Z2330" i="3"/>
  <c r="AA2330" i="3"/>
  <c r="AB2330" i="3"/>
  <c r="AC2330" i="3"/>
  <c r="AD2330" i="3"/>
  <c r="AE2330" i="3"/>
  <c r="AJ2330" i="3" s="1"/>
  <c r="AF2330" i="3"/>
  <c r="AG2330" i="3"/>
  <c r="AH2330" i="3"/>
  <c r="AI2330" i="3"/>
  <c r="Z2331" i="3"/>
  <c r="AA2331" i="3"/>
  <c r="AB2331" i="3"/>
  <c r="AJ2331" i="3" s="1"/>
  <c r="AC2331" i="3"/>
  <c r="AD2331" i="3"/>
  <c r="AE2331" i="3"/>
  <c r="AF2331" i="3"/>
  <c r="AG2331" i="3"/>
  <c r="AH2331" i="3"/>
  <c r="AI2331" i="3"/>
  <c r="Z2332" i="3"/>
  <c r="AJ2332" i="3" s="1"/>
  <c r="AA2332" i="3"/>
  <c r="AB2332" i="3"/>
  <c r="AC2332" i="3"/>
  <c r="AD2332" i="3"/>
  <c r="AE2332" i="3"/>
  <c r="AF2332" i="3"/>
  <c r="AG2332" i="3"/>
  <c r="AH2332" i="3"/>
  <c r="AI2332" i="3"/>
  <c r="Z2333" i="3"/>
  <c r="AA2333" i="3"/>
  <c r="AJ2333" i="3" s="1"/>
  <c r="AB2333" i="3"/>
  <c r="AC2333" i="3"/>
  <c r="AD2333" i="3"/>
  <c r="AE2333" i="3"/>
  <c r="AF2333" i="3"/>
  <c r="AG2333" i="3"/>
  <c r="AH2333" i="3"/>
  <c r="AI2333" i="3"/>
  <c r="Z2334" i="3"/>
  <c r="AA2334" i="3"/>
  <c r="AJ2334" i="3" s="1"/>
  <c r="AB2334" i="3"/>
  <c r="AC2334" i="3"/>
  <c r="AD2334" i="3"/>
  <c r="AE2334" i="3"/>
  <c r="AF2334" i="3"/>
  <c r="AG2334" i="3"/>
  <c r="AH2334" i="3"/>
  <c r="AI2334" i="3"/>
  <c r="Z2335" i="3"/>
  <c r="AJ2335" i="3" s="1"/>
  <c r="AA2335" i="3"/>
  <c r="AB2335" i="3"/>
  <c r="AC2335" i="3"/>
  <c r="AD2335" i="3"/>
  <c r="AE2335" i="3"/>
  <c r="AF2335" i="3"/>
  <c r="AG2335" i="3"/>
  <c r="AH2335" i="3"/>
  <c r="AI2335" i="3"/>
  <c r="Z2336" i="3"/>
  <c r="AJ2336" i="3" s="1"/>
  <c r="AA2336" i="3"/>
  <c r="AB2336" i="3"/>
  <c r="AC2336" i="3"/>
  <c r="AD2336" i="3"/>
  <c r="AE2336" i="3"/>
  <c r="AF2336" i="3"/>
  <c r="AG2336" i="3"/>
  <c r="AH2336" i="3"/>
  <c r="AI2336" i="3"/>
  <c r="Z2337" i="3"/>
  <c r="AJ2337" i="3" s="1"/>
  <c r="AA2337" i="3"/>
  <c r="AB2337" i="3"/>
  <c r="AC2337" i="3"/>
  <c r="AD2337" i="3"/>
  <c r="AE2337" i="3"/>
  <c r="AF2337" i="3"/>
  <c r="AG2337" i="3"/>
  <c r="AH2337" i="3"/>
  <c r="AI2337" i="3"/>
  <c r="Z2338" i="3"/>
  <c r="AA2338" i="3"/>
  <c r="AB2338" i="3"/>
  <c r="AC2338" i="3"/>
  <c r="AD2338" i="3"/>
  <c r="AE2338" i="3"/>
  <c r="AJ2338" i="3" s="1"/>
  <c r="AF2338" i="3"/>
  <c r="AG2338" i="3"/>
  <c r="AH2338" i="3"/>
  <c r="AI2338" i="3"/>
  <c r="Z2339" i="3"/>
  <c r="AA2339" i="3"/>
  <c r="AB2339" i="3"/>
  <c r="AJ2339" i="3" s="1"/>
  <c r="AC2339" i="3"/>
  <c r="AD2339" i="3"/>
  <c r="AE2339" i="3"/>
  <c r="AF2339" i="3"/>
  <c r="AG2339" i="3"/>
  <c r="AH2339" i="3"/>
  <c r="AI2339" i="3"/>
  <c r="Z2340" i="3"/>
  <c r="AJ2340" i="3" s="1"/>
  <c r="AA2340" i="3"/>
  <c r="AB2340" i="3"/>
  <c r="AC2340" i="3"/>
  <c r="AD2340" i="3"/>
  <c r="AE2340" i="3"/>
  <c r="AF2340" i="3"/>
  <c r="AG2340" i="3"/>
  <c r="AH2340" i="3"/>
  <c r="AI2340" i="3"/>
  <c r="Z2341" i="3"/>
  <c r="AA2341" i="3"/>
  <c r="AJ2341" i="3" s="1"/>
  <c r="AB2341" i="3"/>
  <c r="AC2341" i="3"/>
  <c r="AD2341" i="3"/>
  <c r="AE2341" i="3"/>
  <c r="AF2341" i="3"/>
  <c r="AG2341" i="3"/>
  <c r="AH2341" i="3"/>
  <c r="AI2341" i="3"/>
  <c r="Z2342" i="3"/>
  <c r="AA2342" i="3"/>
  <c r="AJ2342" i="3" s="1"/>
  <c r="AB2342" i="3"/>
  <c r="AC2342" i="3"/>
  <c r="AD2342" i="3"/>
  <c r="AE2342" i="3"/>
  <c r="AF2342" i="3"/>
  <c r="AG2342" i="3"/>
  <c r="AH2342" i="3"/>
  <c r="AI2342" i="3"/>
  <c r="Z2343" i="3"/>
  <c r="AJ2343" i="3" s="1"/>
  <c r="AA2343" i="3"/>
  <c r="AB2343" i="3"/>
  <c r="AC2343" i="3"/>
  <c r="AD2343" i="3"/>
  <c r="AE2343" i="3"/>
  <c r="AF2343" i="3"/>
  <c r="AG2343" i="3"/>
  <c r="AH2343" i="3"/>
  <c r="AI2343" i="3"/>
  <c r="Z2344" i="3"/>
  <c r="AJ2344" i="3" s="1"/>
  <c r="AA2344" i="3"/>
  <c r="AB2344" i="3"/>
  <c r="AC2344" i="3"/>
  <c r="AD2344" i="3"/>
  <c r="AE2344" i="3"/>
  <c r="AF2344" i="3"/>
  <c r="AG2344" i="3"/>
  <c r="AH2344" i="3"/>
  <c r="AI2344" i="3"/>
  <c r="Z2345" i="3"/>
  <c r="AJ2345" i="3" s="1"/>
  <c r="AA2345" i="3"/>
  <c r="AB2345" i="3"/>
  <c r="AC2345" i="3"/>
  <c r="AD2345" i="3"/>
  <c r="AE2345" i="3"/>
  <c r="AF2345" i="3"/>
  <c r="AG2345" i="3"/>
  <c r="AH2345" i="3"/>
  <c r="AI2345" i="3"/>
  <c r="Z2346" i="3"/>
  <c r="AA2346" i="3"/>
  <c r="AB2346" i="3"/>
  <c r="AC2346" i="3"/>
  <c r="AD2346" i="3"/>
  <c r="AE2346" i="3"/>
  <c r="AJ2346" i="3" s="1"/>
  <c r="AF2346" i="3"/>
  <c r="AG2346" i="3"/>
  <c r="AH2346" i="3"/>
  <c r="AI2346" i="3"/>
  <c r="Z2347" i="3"/>
  <c r="AA2347" i="3"/>
  <c r="AB2347" i="3"/>
  <c r="AJ2347" i="3" s="1"/>
  <c r="AC2347" i="3"/>
  <c r="AD2347" i="3"/>
  <c r="AE2347" i="3"/>
  <c r="AF2347" i="3"/>
  <c r="AG2347" i="3"/>
  <c r="AH2347" i="3"/>
  <c r="AI2347" i="3"/>
  <c r="Z2348" i="3"/>
  <c r="AJ2348" i="3" s="1"/>
  <c r="AA2348" i="3"/>
  <c r="AB2348" i="3"/>
  <c r="AC2348" i="3"/>
  <c r="AD2348" i="3"/>
  <c r="AE2348" i="3"/>
  <c r="AF2348" i="3"/>
  <c r="AG2348" i="3"/>
  <c r="AH2348" i="3"/>
  <c r="AI2348" i="3"/>
  <c r="Z2349" i="3"/>
  <c r="AA2349" i="3"/>
  <c r="AB2349" i="3"/>
  <c r="AC2349" i="3"/>
  <c r="AD2349" i="3"/>
  <c r="AE2349" i="3"/>
  <c r="AF2349" i="3"/>
  <c r="AG2349" i="3"/>
  <c r="AH2349" i="3"/>
  <c r="AI2349" i="3"/>
  <c r="Z2350" i="3"/>
  <c r="AA2350" i="3"/>
  <c r="AJ2350" i="3" s="1"/>
  <c r="AB2350" i="3"/>
  <c r="AC2350" i="3"/>
  <c r="AD2350" i="3"/>
  <c r="AE2350" i="3"/>
  <c r="AF2350" i="3"/>
  <c r="AG2350" i="3"/>
  <c r="AH2350" i="3"/>
  <c r="AI2350" i="3"/>
  <c r="Z2351" i="3"/>
  <c r="AJ2351" i="3" s="1"/>
  <c r="AA2351" i="3"/>
  <c r="AB2351" i="3"/>
  <c r="AC2351" i="3"/>
  <c r="AD2351" i="3"/>
  <c r="AE2351" i="3"/>
  <c r="AF2351" i="3"/>
  <c r="AG2351" i="3"/>
  <c r="AH2351" i="3"/>
  <c r="AI2351" i="3"/>
  <c r="Z2352" i="3"/>
  <c r="AJ2352" i="3" s="1"/>
  <c r="AA2352" i="3"/>
  <c r="AB2352" i="3"/>
  <c r="AC2352" i="3"/>
  <c r="AD2352" i="3"/>
  <c r="AE2352" i="3"/>
  <c r="AF2352" i="3"/>
  <c r="AG2352" i="3"/>
  <c r="AH2352" i="3"/>
  <c r="AI2352" i="3"/>
  <c r="Z2353" i="3"/>
  <c r="AA2353" i="3"/>
  <c r="AB2353" i="3"/>
  <c r="AC2353" i="3"/>
  <c r="AD2353" i="3"/>
  <c r="AE2353" i="3"/>
  <c r="AF2353" i="3"/>
  <c r="AG2353" i="3"/>
  <c r="AH2353" i="3"/>
  <c r="AI2353" i="3"/>
  <c r="Z2354" i="3"/>
  <c r="AA2354" i="3"/>
  <c r="AB2354" i="3"/>
  <c r="AC2354" i="3"/>
  <c r="AD2354" i="3"/>
  <c r="AE2354" i="3"/>
  <c r="AJ2354" i="3" s="1"/>
  <c r="AF2354" i="3"/>
  <c r="AG2354" i="3"/>
  <c r="AH2354" i="3"/>
  <c r="AI2354" i="3"/>
  <c r="Z2355" i="3"/>
  <c r="AA2355" i="3"/>
  <c r="AB2355" i="3"/>
  <c r="AC2355" i="3"/>
  <c r="AD2355" i="3"/>
  <c r="AE2355" i="3"/>
  <c r="AF2355" i="3"/>
  <c r="AG2355" i="3"/>
  <c r="AH2355" i="3"/>
  <c r="AI2355" i="3"/>
  <c r="AJ2355" i="3"/>
  <c r="Z2356" i="3"/>
  <c r="AA2356" i="3"/>
  <c r="AB2356" i="3"/>
  <c r="AC2356" i="3"/>
  <c r="AD2356" i="3"/>
  <c r="AE2356" i="3"/>
  <c r="AF2356" i="3"/>
  <c r="AG2356" i="3"/>
  <c r="AH2356" i="3"/>
  <c r="AI2356" i="3"/>
  <c r="Z2357" i="3"/>
  <c r="AA2357" i="3"/>
  <c r="AB2357" i="3"/>
  <c r="AC2357" i="3"/>
  <c r="AD2357" i="3"/>
  <c r="AE2357" i="3"/>
  <c r="AF2357" i="3"/>
  <c r="AG2357" i="3"/>
  <c r="AH2357" i="3"/>
  <c r="AI2357" i="3"/>
  <c r="Z2358" i="3"/>
  <c r="AA2358" i="3"/>
  <c r="AB2358" i="3"/>
  <c r="AC2358" i="3"/>
  <c r="AD2358" i="3"/>
  <c r="AE2358" i="3"/>
  <c r="AF2358" i="3"/>
  <c r="AG2358" i="3"/>
  <c r="AH2358" i="3"/>
  <c r="AI2358" i="3"/>
  <c r="Z2359" i="3"/>
  <c r="AA2359" i="3"/>
  <c r="AB2359" i="3"/>
  <c r="AC2359" i="3"/>
  <c r="AD2359" i="3"/>
  <c r="AE2359" i="3"/>
  <c r="AF2359" i="3"/>
  <c r="AG2359" i="3"/>
  <c r="AH2359" i="3"/>
  <c r="AI2359" i="3"/>
  <c r="Z2360" i="3"/>
  <c r="AJ2360" i="3" s="1"/>
  <c r="AA2360" i="3"/>
  <c r="AB2360" i="3"/>
  <c r="AC2360" i="3"/>
  <c r="AD2360" i="3"/>
  <c r="AE2360" i="3"/>
  <c r="AF2360" i="3"/>
  <c r="AG2360" i="3"/>
  <c r="AH2360" i="3"/>
  <c r="AI2360" i="3"/>
  <c r="Z2361" i="3"/>
  <c r="AA2361" i="3"/>
  <c r="AB2361" i="3"/>
  <c r="AC2361" i="3"/>
  <c r="AD2361" i="3"/>
  <c r="AE2361" i="3"/>
  <c r="AF2361" i="3"/>
  <c r="AG2361" i="3"/>
  <c r="AH2361" i="3"/>
  <c r="AI2361" i="3"/>
  <c r="Z2362" i="3"/>
  <c r="AA2362" i="3"/>
  <c r="AB2362" i="3"/>
  <c r="AC2362" i="3"/>
  <c r="AD2362" i="3"/>
  <c r="AE2362" i="3"/>
  <c r="AF2362" i="3"/>
  <c r="AG2362" i="3"/>
  <c r="AH2362" i="3"/>
  <c r="AI2362" i="3"/>
  <c r="Z2363" i="3"/>
  <c r="AA2363" i="3"/>
  <c r="AB2363" i="3"/>
  <c r="AC2363" i="3"/>
  <c r="AD2363" i="3"/>
  <c r="AE2363" i="3"/>
  <c r="AF2363" i="3"/>
  <c r="AG2363" i="3"/>
  <c r="AH2363" i="3"/>
  <c r="AI2363" i="3"/>
  <c r="AJ2363" i="3"/>
  <c r="Z2364" i="3"/>
  <c r="AA2364" i="3"/>
  <c r="AB2364" i="3"/>
  <c r="AC2364" i="3"/>
  <c r="AD2364" i="3"/>
  <c r="AE2364" i="3"/>
  <c r="AF2364" i="3"/>
  <c r="AG2364" i="3"/>
  <c r="AH2364" i="3"/>
  <c r="AI2364" i="3"/>
  <c r="Z2365" i="3"/>
  <c r="AA2365" i="3"/>
  <c r="AJ2365" i="3" s="1"/>
  <c r="AB2365" i="3"/>
  <c r="AC2365" i="3"/>
  <c r="AD2365" i="3"/>
  <c r="AE2365" i="3"/>
  <c r="AF2365" i="3"/>
  <c r="AG2365" i="3"/>
  <c r="AH2365" i="3"/>
  <c r="AI2365" i="3"/>
  <c r="Z2366" i="3"/>
  <c r="AA2366" i="3"/>
  <c r="AB2366" i="3"/>
  <c r="AC2366" i="3"/>
  <c r="AD2366" i="3"/>
  <c r="AE2366" i="3"/>
  <c r="AF2366" i="3"/>
  <c r="AG2366" i="3"/>
  <c r="AH2366" i="3"/>
  <c r="AI2366" i="3"/>
  <c r="Z2367" i="3"/>
  <c r="AJ2367" i="3" s="1"/>
  <c r="AA2367" i="3"/>
  <c r="AB2367" i="3"/>
  <c r="AC2367" i="3"/>
  <c r="AD2367" i="3"/>
  <c r="AE2367" i="3"/>
  <c r="AF2367" i="3"/>
  <c r="AG2367" i="3"/>
  <c r="AH2367" i="3"/>
  <c r="AI2367" i="3"/>
  <c r="Z2368" i="3"/>
  <c r="AA2368" i="3"/>
  <c r="AB2368" i="3"/>
  <c r="AC2368" i="3"/>
  <c r="AD2368" i="3"/>
  <c r="AE2368" i="3"/>
  <c r="AF2368" i="3"/>
  <c r="AG2368" i="3"/>
  <c r="AH2368" i="3"/>
  <c r="AI2368" i="3"/>
  <c r="Z2369" i="3"/>
  <c r="AA2369" i="3"/>
  <c r="AB2369" i="3"/>
  <c r="AC2369" i="3"/>
  <c r="AD2369" i="3"/>
  <c r="AE2369" i="3"/>
  <c r="AF2369" i="3"/>
  <c r="AG2369" i="3"/>
  <c r="AH2369" i="3"/>
  <c r="AI2369" i="3"/>
  <c r="Z2370" i="3"/>
  <c r="AA2370" i="3"/>
  <c r="AB2370" i="3"/>
  <c r="AJ2370" i="3" s="1"/>
  <c r="AC2370" i="3"/>
  <c r="AD2370" i="3"/>
  <c r="AE2370" i="3"/>
  <c r="AF2370" i="3"/>
  <c r="AG2370" i="3"/>
  <c r="AH2370" i="3"/>
  <c r="AI2370" i="3"/>
  <c r="Z2371" i="3"/>
  <c r="AA2371" i="3"/>
  <c r="AB2371" i="3"/>
  <c r="AC2371" i="3"/>
  <c r="AD2371" i="3"/>
  <c r="AE2371" i="3"/>
  <c r="AF2371" i="3"/>
  <c r="AG2371" i="3"/>
  <c r="AH2371" i="3"/>
  <c r="AI2371" i="3"/>
  <c r="AJ2371" i="3"/>
  <c r="Z2372" i="3"/>
  <c r="AA2372" i="3"/>
  <c r="AB2372" i="3"/>
  <c r="AC2372" i="3"/>
  <c r="AD2372" i="3"/>
  <c r="AE2372" i="3"/>
  <c r="AF2372" i="3"/>
  <c r="AG2372" i="3"/>
  <c r="AH2372" i="3"/>
  <c r="AI2372" i="3"/>
  <c r="Z2373" i="3"/>
  <c r="AA2373" i="3"/>
  <c r="AB2373" i="3"/>
  <c r="AC2373" i="3"/>
  <c r="AD2373" i="3"/>
  <c r="AE2373" i="3"/>
  <c r="AF2373" i="3"/>
  <c r="AG2373" i="3"/>
  <c r="AH2373" i="3"/>
  <c r="AI2373" i="3"/>
  <c r="Z2374" i="3"/>
  <c r="AA2374" i="3"/>
  <c r="AB2374" i="3"/>
  <c r="AC2374" i="3"/>
  <c r="AD2374" i="3"/>
  <c r="AE2374" i="3"/>
  <c r="AF2374" i="3"/>
  <c r="AG2374" i="3"/>
  <c r="AH2374" i="3"/>
  <c r="AI2374" i="3"/>
  <c r="Z2375" i="3"/>
  <c r="AJ2375" i="3" s="1"/>
  <c r="AA2375" i="3"/>
  <c r="AB2375" i="3"/>
  <c r="AC2375" i="3"/>
  <c r="AD2375" i="3"/>
  <c r="AE2375" i="3"/>
  <c r="AF2375" i="3"/>
  <c r="AG2375" i="3"/>
  <c r="AH2375" i="3"/>
  <c r="AI2375" i="3"/>
  <c r="Z2376" i="3"/>
  <c r="AA2376" i="3"/>
  <c r="AB2376" i="3"/>
  <c r="AC2376" i="3"/>
  <c r="AJ2376" i="3" s="1"/>
  <c r="AD2376" i="3"/>
  <c r="AE2376" i="3"/>
  <c r="AF2376" i="3"/>
  <c r="AG2376" i="3"/>
  <c r="AH2376" i="3"/>
  <c r="AI2376" i="3"/>
  <c r="Z2377" i="3"/>
  <c r="AA2377" i="3"/>
  <c r="AB2377" i="3"/>
  <c r="AC2377" i="3"/>
  <c r="AD2377" i="3"/>
  <c r="AE2377" i="3"/>
  <c r="AF2377" i="3"/>
  <c r="AG2377" i="3"/>
  <c r="AH2377" i="3"/>
  <c r="AI2377" i="3"/>
  <c r="Z2378" i="3"/>
  <c r="AJ2378" i="3" s="1"/>
  <c r="AA2378" i="3"/>
  <c r="AB2378" i="3"/>
  <c r="AC2378" i="3"/>
  <c r="AD2378" i="3"/>
  <c r="AE2378" i="3"/>
  <c r="AF2378" i="3"/>
  <c r="AG2378" i="3"/>
  <c r="AH2378" i="3"/>
  <c r="AI2378" i="3"/>
  <c r="Z2379" i="3"/>
  <c r="AA2379" i="3"/>
  <c r="AB2379" i="3"/>
  <c r="AC2379" i="3"/>
  <c r="AD2379" i="3"/>
  <c r="AE2379" i="3"/>
  <c r="AF2379" i="3"/>
  <c r="AG2379" i="3"/>
  <c r="AH2379" i="3"/>
  <c r="AI2379" i="3"/>
  <c r="AJ2379" i="3"/>
  <c r="Z2380" i="3"/>
  <c r="AA2380" i="3"/>
  <c r="AB2380" i="3"/>
  <c r="AC2380" i="3"/>
  <c r="AD2380" i="3"/>
  <c r="AE2380" i="3"/>
  <c r="AF2380" i="3"/>
  <c r="AG2380" i="3"/>
  <c r="AH2380" i="3"/>
  <c r="AI2380" i="3"/>
  <c r="Z2381" i="3"/>
  <c r="AA2381" i="3"/>
  <c r="AB2381" i="3"/>
  <c r="AC2381" i="3"/>
  <c r="AD2381" i="3"/>
  <c r="AE2381" i="3"/>
  <c r="AF2381" i="3"/>
  <c r="AG2381" i="3"/>
  <c r="AH2381" i="3"/>
  <c r="AI2381" i="3"/>
  <c r="Z2382" i="3"/>
  <c r="AA2382" i="3"/>
  <c r="AB2382" i="3"/>
  <c r="AC2382" i="3"/>
  <c r="AD2382" i="3"/>
  <c r="AE2382" i="3"/>
  <c r="AF2382" i="3"/>
  <c r="AG2382" i="3"/>
  <c r="AH2382" i="3"/>
  <c r="AI2382" i="3"/>
  <c r="Z2383" i="3"/>
  <c r="AA2383" i="3"/>
  <c r="AB2383" i="3"/>
  <c r="AC2383" i="3"/>
  <c r="AD2383" i="3"/>
  <c r="AE2383" i="3"/>
  <c r="AF2383" i="3"/>
  <c r="AG2383" i="3"/>
  <c r="AH2383" i="3"/>
  <c r="AI2383" i="3"/>
  <c r="Z2384" i="3"/>
  <c r="AA2384" i="3"/>
  <c r="AB2384" i="3"/>
  <c r="AC2384" i="3"/>
  <c r="AJ2384" i="3" s="1"/>
  <c r="AD2384" i="3"/>
  <c r="AE2384" i="3"/>
  <c r="AF2384" i="3"/>
  <c r="AG2384" i="3"/>
  <c r="AH2384" i="3"/>
  <c r="AI2384" i="3"/>
  <c r="Z2385" i="3"/>
  <c r="AA2385" i="3"/>
  <c r="AB2385" i="3"/>
  <c r="AC2385" i="3"/>
  <c r="AD2385" i="3"/>
  <c r="AE2385" i="3"/>
  <c r="AF2385" i="3"/>
  <c r="AG2385" i="3"/>
  <c r="AH2385" i="3"/>
  <c r="AI2385" i="3"/>
  <c r="Z2386" i="3"/>
  <c r="AA2386" i="3"/>
  <c r="AB2386" i="3"/>
  <c r="AC2386" i="3"/>
  <c r="AD2386" i="3"/>
  <c r="AE2386" i="3"/>
  <c r="AF2386" i="3"/>
  <c r="AG2386" i="3"/>
  <c r="AH2386" i="3"/>
  <c r="AI2386" i="3"/>
  <c r="Z2387" i="3"/>
  <c r="AA2387" i="3"/>
  <c r="AB2387" i="3"/>
  <c r="AC2387" i="3"/>
  <c r="AD2387" i="3"/>
  <c r="AE2387" i="3"/>
  <c r="AF2387" i="3"/>
  <c r="AG2387" i="3"/>
  <c r="AH2387" i="3"/>
  <c r="AI2387" i="3"/>
  <c r="AJ2387" i="3"/>
  <c r="Z2388" i="3"/>
  <c r="AJ2388" i="3" s="1"/>
  <c r="AA2388" i="3"/>
  <c r="AB2388" i="3"/>
  <c r="AC2388" i="3"/>
  <c r="AD2388" i="3"/>
  <c r="AE2388" i="3"/>
  <c r="AF2388" i="3"/>
  <c r="AG2388" i="3"/>
  <c r="AH2388" i="3"/>
  <c r="AI2388" i="3"/>
  <c r="Z2389" i="3"/>
  <c r="AA2389" i="3"/>
  <c r="AJ2389" i="3" s="1"/>
  <c r="AB2389" i="3"/>
  <c r="AC2389" i="3"/>
  <c r="AD2389" i="3"/>
  <c r="AE2389" i="3"/>
  <c r="AF2389" i="3"/>
  <c r="AG2389" i="3"/>
  <c r="AH2389" i="3"/>
  <c r="AI2389" i="3"/>
  <c r="Z2390" i="3"/>
  <c r="AA2390" i="3"/>
  <c r="AB2390" i="3"/>
  <c r="AC2390" i="3"/>
  <c r="AD2390" i="3"/>
  <c r="AE2390" i="3"/>
  <c r="AF2390" i="3"/>
  <c r="AG2390" i="3"/>
  <c r="AH2390" i="3"/>
  <c r="AI2390" i="3"/>
  <c r="Z2391" i="3"/>
  <c r="AA2391" i="3"/>
  <c r="AB2391" i="3"/>
  <c r="AC2391" i="3"/>
  <c r="AD2391" i="3"/>
  <c r="AE2391" i="3"/>
  <c r="AF2391" i="3"/>
  <c r="AG2391" i="3"/>
  <c r="AH2391" i="3"/>
  <c r="AI2391" i="3"/>
  <c r="Z2392" i="3"/>
  <c r="AA2392" i="3"/>
  <c r="AB2392" i="3"/>
  <c r="AC2392" i="3"/>
  <c r="AJ2392" i="3" s="1"/>
  <c r="AD2392" i="3"/>
  <c r="AE2392" i="3"/>
  <c r="AF2392" i="3"/>
  <c r="AG2392" i="3"/>
  <c r="AH2392" i="3"/>
  <c r="AI2392" i="3"/>
  <c r="Z2393" i="3"/>
  <c r="AA2393" i="3"/>
  <c r="AB2393" i="3"/>
  <c r="AC2393" i="3"/>
  <c r="AD2393" i="3"/>
  <c r="AE2393" i="3"/>
  <c r="AF2393" i="3"/>
  <c r="AG2393" i="3"/>
  <c r="AH2393" i="3"/>
  <c r="AI2393" i="3"/>
  <c r="Z2394" i="3"/>
  <c r="AJ2394" i="3" s="1"/>
  <c r="AA2394" i="3"/>
  <c r="AB2394" i="3"/>
  <c r="AC2394" i="3"/>
  <c r="AD2394" i="3"/>
  <c r="AE2394" i="3"/>
  <c r="AF2394" i="3"/>
  <c r="AG2394" i="3"/>
  <c r="AH2394" i="3"/>
  <c r="AI2394" i="3"/>
  <c r="Z2395" i="3"/>
  <c r="AA2395" i="3"/>
  <c r="AB2395" i="3"/>
  <c r="AJ2395" i="3" s="1"/>
  <c r="AC2395" i="3"/>
  <c r="AD2395" i="3"/>
  <c r="AE2395" i="3"/>
  <c r="AF2395" i="3"/>
  <c r="AG2395" i="3"/>
  <c r="AH2395" i="3"/>
  <c r="AI2395" i="3"/>
  <c r="Z2396" i="3"/>
  <c r="AA2396" i="3"/>
  <c r="AB2396" i="3"/>
  <c r="AC2396" i="3"/>
  <c r="AD2396" i="3"/>
  <c r="AE2396" i="3"/>
  <c r="AF2396" i="3"/>
  <c r="AG2396" i="3"/>
  <c r="AH2396" i="3"/>
  <c r="AI2396" i="3"/>
  <c r="Z2397" i="3"/>
  <c r="AA2397" i="3"/>
  <c r="AJ2397" i="3" s="1"/>
  <c r="AB2397" i="3"/>
  <c r="AC2397" i="3"/>
  <c r="AD2397" i="3"/>
  <c r="AE2397" i="3"/>
  <c r="AF2397" i="3"/>
  <c r="AG2397" i="3"/>
  <c r="AH2397" i="3"/>
  <c r="AI2397" i="3"/>
  <c r="Z2398" i="3"/>
  <c r="AA2398" i="3"/>
  <c r="AB2398" i="3"/>
  <c r="AC2398" i="3"/>
  <c r="AD2398" i="3"/>
  <c r="AE2398" i="3"/>
  <c r="AF2398" i="3"/>
  <c r="AG2398" i="3"/>
  <c r="AH2398" i="3"/>
  <c r="AI2398" i="3"/>
  <c r="Z2399" i="3"/>
  <c r="AA2399" i="3"/>
  <c r="AB2399" i="3"/>
  <c r="AC2399" i="3"/>
  <c r="AD2399" i="3"/>
  <c r="AE2399" i="3"/>
  <c r="AF2399" i="3"/>
  <c r="AG2399" i="3"/>
  <c r="AH2399" i="3"/>
  <c r="AI2399" i="3"/>
  <c r="Z2400" i="3"/>
  <c r="AA2400" i="3"/>
  <c r="AB2400" i="3"/>
  <c r="AC2400" i="3"/>
  <c r="AJ2400" i="3" s="1"/>
  <c r="AD2400" i="3"/>
  <c r="AE2400" i="3"/>
  <c r="AF2400" i="3"/>
  <c r="AG2400" i="3"/>
  <c r="AH2400" i="3"/>
  <c r="AI2400" i="3"/>
  <c r="Z2401" i="3"/>
  <c r="AA2401" i="3"/>
  <c r="AB2401" i="3"/>
  <c r="AC2401" i="3"/>
  <c r="AD2401" i="3"/>
  <c r="AE2401" i="3"/>
  <c r="AF2401" i="3"/>
  <c r="AG2401" i="3"/>
  <c r="AH2401" i="3"/>
  <c r="AI2401" i="3"/>
  <c r="Z2402" i="3"/>
  <c r="AJ2402" i="3" s="1"/>
  <c r="AA2402" i="3"/>
  <c r="AB2402" i="3"/>
  <c r="AC2402" i="3"/>
  <c r="AD2402" i="3"/>
  <c r="AE2402" i="3"/>
  <c r="AF2402" i="3"/>
  <c r="AG2402" i="3"/>
  <c r="AH2402" i="3"/>
  <c r="AI2402" i="3"/>
  <c r="Z2403" i="3"/>
  <c r="AA2403" i="3"/>
  <c r="AB2403" i="3"/>
  <c r="AC2403" i="3"/>
  <c r="AD2403" i="3"/>
  <c r="AE2403" i="3"/>
  <c r="AF2403" i="3"/>
  <c r="AG2403" i="3"/>
  <c r="AH2403" i="3"/>
  <c r="AI2403" i="3"/>
  <c r="AJ2403" i="3"/>
  <c r="Z2404" i="3"/>
  <c r="AA2404" i="3"/>
  <c r="AB2404" i="3"/>
  <c r="AC2404" i="3"/>
  <c r="AD2404" i="3"/>
  <c r="AE2404" i="3"/>
  <c r="AF2404" i="3"/>
  <c r="AG2404" i="3"/>
  <c r="AH2404" i="3"/>
  <c r="AI2404" i="3"/>
  <c r="Z2405" i="3"/>
  <c r="AA2405" i="3"/>
  <c r="AB2405" i="3"/>
  <c r="AC2405" i="3"/>
  <c r="AD2405" i="3"/>
  <c r="AE2405" i="3"/>
  <c r="AF2405" i="3"/>
  <c r="AG2405" i="3"/>
  <c r="AH2405" i="3"/>
  <c r="AI2405" i="3"/>
  <c r="Z2406" i="3"/>
  <c r="AA2406" i="3"/>
  <c r="AB2406" i="3"/>
  <c r="AC2406" i="3"/>
  <c r="AD2406" i="3"/>
  <c r="AE2406" i="3"/>
  <c r="AF2406" i="3"/>
  <c r="AG2406" i="3"/>
  <c r="AH2406" i="3"/>
  <c r="AI2406" i="3"/>
  <c r="Z2407" i="3"/>
  <c r="AJ2407" i="3" s="1"/>
  <c r="AA2407" i="3"/>
  <c r="AB2407" i="3"/>
  <c r="AC2407" i="3"/>
  <c r="AD2407" i="3"/>
  <c r="AE2407" i="3"/>
  <c r="AF2407" i="3"/>
  <c r="AG2407" i="3"/>
  <c r="AH2407" i="3"/>
  <c r="AI2407" i="3"/>
  <c r="Z2408" i="3"/>
  <c r="AA2408" i="3"/>
  <c r="AB2408" i="3"/>
  <c r="AC2408" i="3"/>
  <c r="AD2408" i="3"/>
  <c r="AE2408" i="3"/>
  <c r="AF2408" i="3"/>
  <c r="AG2408" i="3"/>
  <c r="AH2408" i="3"/>
  <c r="AI2408" i="3"/>
  <c r="Z2409" i="3"/>
  <c r="AA2409" i="3"/>
  <c r="AB2409" i="3"/>
  <c r="AC2409" i="3"/>
  <c r="AD2409" i="3"/>
  <c r="AE2409" i="3"/>
  <c r="AF2409" i="3"/>
  <c r="AG2409" i="3"/>
  <c r="AH2409" i="3"/>
  <c r="AI2409" i="3"/>
  <c r="Z2411" i="3"/>
  <c r="AA2411" i="3"/>
  <c r="AB2411" i="3"/>
  <c r="AC2411" i="3"/>
  <c r="AD2411" i="3"/>
  <c r="AE2411" i="3"/>
  <c r="AF2411" i="3"/>
  <c r="AG2411" i="3"/>
  <c r="AH2411" i="3"/>
  <c r="AI2411" i="3"/>
  <c r="AJ2411" i="3"/>
  <c r="Z2412" i="3"/>
  <c r="AJ2412" i="3" s="1"/>
  <c r="AA2412" i="3"/>
  <c r="AB2412" i="3"/>
  <c r="AC2412" i="3"/>
  <c r="AD2412" i="3"/>
  <c r="AE2412" i="3"/>
  <c r="AF2412" i="3"/>
  <c r="AG2412" i="3"/>
  <c r="AH2412" i="3"/>
  <c r="AI2412" i="3"/>
  <c r="Z2413" i="3"/>
  <c r="AA2413" i="3"/>
  <c r="AB2413" i="3"/>
  <c r="AC2413" i="3"/>
  <c r="AD2413" i="3"/>
  <c r="AE2413" i="3"/>
  <c r="AF2413" i="3"/>
  <c r="AG2413" i="3"/>
  <c r="AH2413" i="3"/>
  <c r="AI2413" i="3"/>
  <c r="Z3" i="3"/>
  <c r="AA3" i="3"/>
  <c r="AJ3" i="3" s="1"/>
  <c r="AB3" i="3"/>
  <c r="AC3" i="3"/>
  <c r="AD3" i="3"/>
  <c r="AE3" i="3"/>
  <c r="AF3" i="3"/>
  <c r="AG3" i="3"/>
  <c r="AH3" i="3"/>
  <c r="AI3" i="3"/>
  <c r="Z4" i="3"/>
  <c r="AJ4" i="3" s="1"/>
  <c r="AA4" i="3"/>
  <c r="AB4" i="3"/>
  <c r="AC4" i="3"/>
  <c r="AD4" i="3"/>
  <c r="AE4" i="3"/>
  <c r="AF4" i="3"/>
  <c r="AG4" i="3"/>
  <c r="AH4" i="3"/>
  <c r="AI4" i="3"/>
  <c r="Z5" i="3"/>
  <c r="AJ5" i="3" s="1"/>
  <c r="AA5" i="3"/>
  <c r="AB5" i="3"/>
  <c r="AC5" i="3"/>
  <c r="AD5" i="3"/>
  <c r="AE5" i="3"/>
  <c r="AF5" i="3"/>
  <c r="AG5" i="3"/>
  <c r="AH5" i="3"/>
  <c r="AI5" i="3"/>
  <c r="Z6" i="3"/>
  <c r="AJ6" i="3" s="1"/>
  <c r="AA6" i="3"/>
  <c r="AB6" i="3"/>
  <c r="AC6" i="3"/>
  <c r="AD6" i="3"/>
  <c r="AE6" i="3"/>
  <c r="AF6" i="3"/>
  <c r="AG6" i="3"/>
  <c r="AH6" i="3"/>
  <c r="AI6" i="3"/>
  <c r="Z7" i="3"/>
  <c r="AA7" i="3"/>
  <c r="AB7" i="3"/>
  <c r="AC7" i="3"/>
  <c r="AD7" i="3"/>
  <c r="AE7" i="3"/>
  <c r="AF7" i="3"/>
  <c r="AG7" i="3"/>
  <c r="AH7" i="3"/>
  <c r="AI7" i="3"/>
  <c r="AJ7" i="3"/>
  <c r="Z8" i="3"/>
  <c r="AJ8" i="3" s="1"/>
  <c r="AA8" i="3"/>
  <c r="AB8" i="3"/>
  <c r="AC8" i="3"/>
  <c r="AD8" i="3"/>
  <c r="AE8" i="3"/>
  <c r="AF8" i="3"/>
  <c r="AG8" i="3"/>
  <c r="AH8" i="3"/>
  <c r="AI8" i="3"/>
  <c r="Z9" i="3"/>
  <c r="AA9" i="3"/>
  <c r="AJ9" i="3" s="1"/>
  <c r="AB9" i="3"/>
  <c r="AC9" i="3"/>
  <c r="AD9" i="3"/>
  <c r="AE9" i="3"/>
  <c r="AF9" i="3"/>
  <c r="AG9" i="3"/>
  <c r="AH9" i="3"/>
  <c r="AI9" i="3"/>
  <c r="Z10" i="3"/>
  <c r="AA10" i="3"/>
  <c r="AJ10" i="3" s="1"/>
  <c r="AB10" i="3"/>
  <c r="AC10" i="3"/>
  <c r="AD10" i="3"/>
  <c r="AE10" i="3"/>
  <c r="AF10" i="3"/>
  <c r="AG10" i="3"/>
  <c r="AH10" i="3"/>
  <c r="AI10" i="3"/>
  <c r="Z11" i="3"/>
  <c r="AJ11" i="3" s="1"/>
  <c r="AA11" i="3"/>
  <c r="AB11" i="3"/>
  <c r="AC11" i="3"/>
  <c r="AD11" i="3"/>
  <c r="AE11" i="3"/>
  <c r="AF11" i="3"/>
  <c r="AG11" i="3"/>
  <c r="AH11" i="3"/>
  <c r="AI11" i="3"/>
  <c r="Z12" i="3"/>
  <c r="AA12" i="3"/>
  <c r="AB12" i="3"/>
  <c r="AJ12" i="3" s="1"/>
  <c r="AC12" i="3"/>
  <c r="AD12" i="3"/>
  <c r="AE12" i="3"/>
  <c r="AF12" i="3"/>
  <c r="AG12" i="3"/>
  <c r="AH12" i="3"/>
  <c r="AI12" i="3"/>
  <c r="Z13" i="3"/>
  <c r="AA13" i="3"/>
  <c r="AB13" i="3"/>
  <c r="AC13" i="3"/>
  <c r="AJ13" i="3" s="1"/>
  <c r="AD13" i="3"/>
  <c r="AE13" i="3"/>
  <c r="AF13" i="3"/>
  <c r="AG13" i="3"/>
  <c r="AH13" i="3"/>
  <c r="AI13" i="3"/>
  <c r="Z14" i="3"/>
  <c r="AA14" i="3"/>
  <c r="AB14" i="3"/>
  <c r="AC14" i="3"/>
  <c r="AJ14" i="3" s="1"/>
  <c r="AD14" i="3"/>
  <c r="AE14" i="3"/>
  <c r="AF14" i="3"/>
  <c r="AG14" i="3"/>
  <c r="AH14" i="3"/>
  <c r="AI14" i="3"/>
  <c r="AJ2" i="3"/>
  <c r="AI2" i="3"/>
  <c r="AH2" i="3"/>
  <c r="AG2" i="3"/>
  <c r="AF2" i="3"/>
  <c r="AE2" i="3"/>
  <c r="AD2" i="3"/>
  <c r="AC2" i="3"/>
  <c r="AB2" i="3"/>
  <c r="AA2" i="3"/>
  <c r="Z2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106" i="3"/>
  <c r="Y107" i="3"/>
  <c r="Y108" i="3"/>
  <c r="Y109" i="3"/>
  <c r="Y110" i="3"/>
  <c r="Y111" i="3"/>
  <c r="Y112" i="3"/>
  <c r="Y113" i="3"/>
  <c r="Y114" i="3"/>
  <c r="Y115" i="3"/>
  <c r="Y116" i="3"/>
  <c r="Y117" i="3"/>
  <c r="Y118" i="3"/>
  <c r="Y119" i="3"/>
  <c r="Y120" i="3"/>
  <c r="Y121" i="3"/>
  <c r="Y122" i="3"/>
  <c r="Y123" i="3"/>
  <c r="Y124" i="3"/>
  <c r="Y125" i="3"/>
  <c r="Y126" i="3"/>
  <c r="Y127" i="3"/>
  <c r="Y128" i="3"/>
  <c r="Y129" i="3"/>
  <c r="Y130" i="3"/>
  <c r="Y131" i="3"/>
  <c r="Y132" i="3"/>
  <c r="Y133" i="3"/>
  <c r="Y134" i="3"/>
  <c r="Y135" i="3"/>
  <c r="Y136" i="3"/>
  <c r="Y137" i="3"/>
  <c r="Y138" i="3"/>
  <c r="Y139" i="3"/>
  <c r="Y140" i="3"/>
  <c r="Y141" i="3"/>
  <c r="Y142" i="3"/>
  <c r="Y143" i="3"/>
  <c r="Y144" i="3"/>
  <c r="Y145" i="3"/>
  <c r="Y146" i="3"/>
  <c r="Y147" i="3"/>
  <c r="Y148" i="3"/>
  <c r="Y149" i="3"/>
  <c r="Y150" i="3"/>
  <c r="Y151" i="3"/>
  <c r="Y152" i="3"/>
  <c r="Y153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179" i="3"/>
  <c r="Y180" i="3"/>
  <c r="Y181" i="3"/>
  <c r="Y182" i="3"/>
  <c r="Y183" i="3"/>
  <c r="Y184" i="3"/>
  <c r="Y185" i="3"/>
  <c r="Y186" i="3"/>
  <c r="Y187" i="3"/>
  <c r="Y188" i="3"/>
  <c r="Y189" i="3"/>
  <c r="Y190" i="3"/>
  <c r="Y191" i="3"/>
  <c r="Y192" i="3"/>
  <c r="Y193" i="3"/>
  <c r="Y194" i="3"/>
  <c r="Y195" i="3"/>
  <c r="Y196" i="3"/>
  <c r="Y197" i="3"/>
  <c r="Y198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8" i="3"/>
  <c r="Y219" i="3"/>
  <c r="Y220" i="3"/>
  <c r="Y221" i="3"/>
  <c r="Y222" i="3"/>
  <c r="Y223" i="3"/>
  <c r="Y224" i="3"/>
  <c r="Y225" i="3"/>
  <c r="Y226" i="3"/>
  <c r="Y227" i="3"/>
  <c r="Y228" i="3"/>
  <c r="Y229" i="3"/>
  <c r="Y230" i="3"/>
  <c r="Y231" i="3"/>
  <c r="Y232" i="3"/>
  <c r="Y233" i="3"/>
  <c r="Y234" i="3"/>
  <c r="Y235" i="3"/>
  <c r="Y236" i="3"/>
  <c r="Y237" i="3"/>
  <c r="Y238" i="3"/>
  <c r="Y239" i="3"/>
  <c r="Y240" i="3"/>
  <c r="Y241" i="3"/>
  <c r="Y242" i="3"/>
  <c r="Y243" i="3"/>
  <c r="Y244" i="3"/>
  <c r="Y245" i="3"/>
  <c r="Y246" i="3"/>
  <c r="Y247" i="3"/>
  <c r="Y248" i="3"/>
  <c r="Y249" i="3"/>
  <c r="Y250" i="3"/>
  <c r="Y251" i="3"/>
  <c r="Y252" i="3"/>
  <c r="Y253" i="3"/>
  <c r="Y254" i="3"/>
  <c r="Y255" i="3"/>
  <c r="Y256" i="3"/>
  <c r="Y257" i="3"/>
  <c r="Y258" i="3"/>
  <c r="Y259" i="3"/>
  <c r="Y260" i="3"/>
  <c r="Y261" i="3"/>
  <c r="Y262" i="3"/>
  <c r="Y263" i="3"/>
  <c r="Y264" i="3"/>
  <c r="Y265" i="3"/>
  <c r="Y266" i="3"/>
  <c r="Y267" i="3"/>
  <c r="Y268" i="3"/>
  <c r="Y269" i="3"/>
  <c r="Y270" i="3"/>
  <c r="Y271" i="3"/>
  <c r="Y272" i="3"/>
  <c r="Y273" i="3"/>
  <c r="Y274" i="3"/>
  <c r="Y275" i="3"/>
  <c r="Y276" i="3"/>
  <c r="Y277" i="3"/>
  <c r="Y278" i="3"/>
  <c r="Y279" i="3"/>
  <c r="Y280" i="3"/>
  <c r="Y281" i="3"/>
  <c r="Y282" i="3"/>
  <c r="Y283" i="3"/>
  <c r="Y284" i="3"/>
  <c r="Y285" i="3"/>
  <c r="Y286" i="3"/>
  <c r="Y287" i="3"/>
  <c r="Y288" i="3"/>
  <c r="Y289" i="3"/>
  <c r="Y290" i="3"/>
  <c r="Y291" i="3"/>
  <c r="Y292" i="3"/>
  <c r="Y293" i="3"/>
  <c r="Y294" i="3"/>
  <c r="Y295" i="3"/>
  <c r="Y296" i="3"/>
  <c r="Y297" i="3"/>
  <c r="Y298" i="3"/>
  <c r="Y299" i="3"/>
  <c r="Y300" i="3"/>
  <c r="Y301" i="3"/>
  <c r="Y302" i="3"/>
  <c r="Y303" i="3"/>
  <c r="Y304" i="3"/>
  <c r="Y305" i="3"/>
  <c r="Y306" i="3"/>
  <c r="Y307" i="3"/>
  <c r="Y308" i="3"/>
  <c r="Y309" i="3"/>
  <c r="Y310" i="3"/>
  <c r="Y311" i="3"/>
  <c r="Y312" i="3"/>
  <c r="Y313" i="3"/>
  <c r="Y314" i="3"/>
  <c r="Y315" i="3"/>
  <c r="Y316" i="3"/>
  <c r="Y317" i="3"/>
  <c r="Y318" i="3"/>
  <c r="Y319" i="3"/>
  <c r="Y320" i="3"/>
  <c r="Y321" i="3"/>
  <c r="Y322" i="3"/>
  <c r="Y323" i="3"/>
  <c r="Y324" i="3"/>
  <c r="Y325" i="3"/>
  <c r="Y326" i="3"/>
  <c r="Y327" i="3"/>
  <c r="Y328" i="3"/>
  <c r="Y329" i="3"/>
  <c r="Y330" i="3"/>
  <c r="Y331" i="3"/>
  <c r="Y332" i="3"/>
  <c r="Y333" i="3"/>
  <c r="Y334" i="3"/>
  <c r="Y335" i="3"/>
  <c r="Y336" i="3"/>
  <c r="Y337" i="3"/>
  <c r="Y338" i="3"/>
  <c r="Y339" i="3"/>
  <c r="Y340" i="3"/>
  <c r="Y341" i="3"/>
  <c r="Y342" i="3"/>
  <c r="Y343" i="3"/>
  <c r="Y344" i="3"/>
  <c r="Y345" i="3"/>
  <c r="Y346" i="3"/>
  <c r="Y347" i="3"/>
  <c r="Y348" i="3"/>
  <c r="Y349" i="3"/>
  <c r="Y350" i="3"/>
  <c r="Y351" i="3"/>
  <c r="Y352" i="3"/>
  <c r="Y353" i="3"/>
  <c r="Y354" i="3"/>
  <c r="Y355" i="3"/>
  <c r="Y356" i="3"/>
  <c r="Y357" i="3"/>
  <c r="Y358" i="3"/>
  <c r="Y359" i="3"/>
  <c r="Y360" i="3"/>
  <c r="Y361" i="3"/>
  <c r="Y362" i="3"/>
  <c r="Y363" i="3"/>
  <c r="Y364" i="3"/>
  <c r="Y365" i="3"/>
  <c r="Y366" i="3"/>
  <c r="Y367" i="3"/>
  <c r="Y368" i="3"/>
  <c r="Y369" i="3"/>
  <c r="Y370" i="3"/>
  <c r="Y371" i="3"/>
  <c r="Y372" i="3"/>
  <c r="Y373" i="3"/>
  <c r="Y374" i="3"/>
  <c r="Y375" i="3"/>
  <c r="Y376" i="3"/>
  <c r="Y377" i="3"/>
  <c r="Y378" i="3"/>
  <c r="Y379" i="3"/>
  <c r="Y380" i="3"/>
  <c r="Y381" i="3"/>
  <c r="Y382" i="3"/>
  <c r="Y383" i="3"/>
  <c r="Y384" i="3"/>
  <c r="Y385" i="3"/>
  <c r="Y386" i="3"/>
  <c r="Y387" i="3"/>
  <c r="Y388" i="3"/>
  <c r="Y389" i="3"/>
  <c r="Y390" i="3"/>
  <c r="Y391" i="3"/>
  <c r="Y392" i="3"/>
  <c r="Y393" i="3"/>
  <c r="Y394" i="3"/>
  <c r="Y395" i="3"/>
  <c r="Y396" i="3"/>
  <c r="Y397" i="3"/>
  <c r="Y398" i="3"/>
  <c r="Y399" i="3"/>
  <c r="Y400" i="3"/>
  <c r="Y401" i="3"/>
  <c r="Y402" i="3"/>
  <c r="Y403" i="3"/>
  <c r="Y404" i="3"/>
  <c r="Y405" i="3"/>
  <c r="Y406" i="3"/>
  <c r="Y407" i="3"/>
  <c r="Y408" i="3"/>
  <c r="Y409" i="3"/>
  <c r="Y410" i="3"/>
  <c r="Y411" i="3"/>
  <c r="Y412" i="3"/>
  <c r="Y413" i="3"/>
  <c r="Y414" i="3"/>
  <c r="Y415" i="3"/>
  <c r="Y416" i="3"/>
  <c r="Y417" i="3"/>
  <c r="Y418" i="3"/>
  <c r="Y419" i="3"/>
  <c r="Y420" i="3"/>
  <c r="Y421" i="3"/>
  <c r="Y422" i="3"/>
  <c r="Y423" i="3"/>
  <c r="Y424" i="3"/>
  <c r="Y425" i="3"/>
  <c r="Y426" i="3"/>
  <c r="Y427" i="3"/>
  <c r="Y428" i="3"/>
  <c r="Y429" i="3"/>
  <c r="Y430" i="3"/>
  <c r="Y431" i="3"/>
  <c r="Y432" i="3"/>
  <c r="Y433" i="3"/>
  <c r="Y434" i="3"/>
  <c r="Y435" i="3"/>
  <c r="Y436" i="3"/>
  <c r="Y437" i="3"/>
  <c r="Y438" i="3"/>
  <c r="Y439" i="3"/>
  <c r="Y440" i="3"/>
  <c r="Y441" i="3"/>
  <c r="Y442" i="3"/>
  <c r="Y443" i="3"/>
  <c r="Y444" i="3"/>
  <c r="Y445" i="3"/>
  <c r="Y446" i="3"/>
  <c r="Y447" i="3"/>
  <c r="Y448" i="3"/>
  <c r="Y449" i="3"/>
  <c r="Y450" i="3"/>
  <c r="Y451" i="3"/>
  <c r="Y452" i="3"/>
  <c r="Y453" i="3"/>
  <c r="Y454" i="3"/>
  <c r="Y455" i="3"/>
  <c r="Y456" i="3"/>
  <c r="Y457" i="3"/>
  <c r="Y458" i="3"/>
  <c r="Y459" i="3"/>
  <c r="Y460" i="3"/>
  <c r="Y461" i="3"/>
  <c r="Y462" i="3"/>
  <c r="Y463" i="3"/>
  <c r="Y464" i="3"/>
  <c r="Y465" i="3"/>
  <c r="Y466" i="3"/>
  <c r="Y467" i="3"/>
  <c r="Y468" i="3"/>
  <c r="Y469" i="3"/>
  <c r="Y470" i="3"/>
  <c r="Y471" i="3"/>
  <c r="Y472" i="3"/>
  <c r="Y473" i="3"/>
  <c r="Y474" i="3"/>
  <c r="Y475" i="3"/>
  <c r="Y476" i="3"/>
  <c r="Y477" i="3"/>
  <c r="Y478" i="3"/>
  <c r="Y479" i="3"/>
  <c r="Y480" i="3"/>
  <c r="Y481" i="3"/>
  <c r="Y482" i="3"/>
  <c r="Y483" i="3"/>
  <c r="Y484" i="3"/>
  <c r="Y485" i="3"/>
  <c r="Y486" i="3"/>
  <c r="Y487" i="3"/>
  <c r="Y488" i="3"/>
  <c r="Y489" i="3"/>
  <c r="Y490" i="3"/>
  <c r="Y491" i="3"/>
  <c r="Y492" i="3"/>
  <c r="Y493" i="3"/>
  <c r="Y494" i="3"/>
  <c r="Y495" i="3"/>
  <c r="Y496" i="3"/>
  <c r="Y497" i="3"/>
  <c r="Y498" i="3"/>
  <c r="Y499" i="3"/>
  <c r="Y500" i="3"/>
  <c r="Y501" i="3"/>
  <c r="Y502" i="3"/>
  <c r="Y503" i="3"/>
  <c r="Y504" i="3"/>
  <c r="Y505" i="3"/>
  <c r="Y506" i="3"/>
  <c r="Y507" i="3"/>
  <c r="Y508" i="3"/>
  <c r="Y509" i="3"/>
  <c r="Y510" i="3"/>
  <c r="Y511" i="3"/>
  <c r="Y512" i="3"/>
  <c r="Y513" i="3"/>
  <c r="Y514" i="3"/>
  <c r="Y515" i="3"/>
  <c r="Y516" i="3"/>
  <c r="Y517" i="3"/>
  <c r="Y518" i="3"/>
  <c r="Y519" i="3"/>
  <c r="Y520" i="3"/>
  <c r="Y521" i="3"/>
  <c r="Y522" i="3"/>
  <c r="Y523" i="3"/>
  <c r="Y524" i="3"/>
  <c r="Y525" i="3"/>
  <c r="Y526" i="3"/>
  <c r="Y527" i="3"/>
  <c r="Y528" i="3"/>
  <c r="Y529" i="3"/>
  <c r="Y530" i="3"/>
  <c r="Y531" i="3"/>
  <c r="Y532" i="3"/>
  <c r="Y533" i="3"/>
  <c r="Y534" i="3"/>
  <c r="Y535" i="3"/>
  <c r="Y536" i="3"/>
  <c r="Y537" i="3"/>
  <c r="Y538" i="3"/>
  <c r="Y539" i="3"/>
  <c r="Y540" i="3"/>
  <c r="Y541" i="3"/>
  <c r="Y542" i="3"/>
  <c r="Y543" i="3"/>
  <c r="Y544" i="3"/>
  <c r="Y545" i="3"/>
  <c r="Y546" i="3"/>
  <c r="Y547" i="3"/>
  <c r="Y548" i="3"/>
  <c r="Y549" i="3"/>
  <c r="Y550" i="3"/>
  <c r="Y551" i="3"/>
  <c r="Y552" i="3"/>
  <c r="Y553" i="3"/>
  <c r="Y554" i="3"/>
  <c r="Y555" i="3"/>
  <c r="Y556" i="3"/>
  <c r="Y557" i="3"/>
  <c r="Y558" i="3"/>
  <c r="Y559" i="3"/>
  <c r="Y560" i="3"/>
  <c r="Y561" i="3"/>
  <c r="Y562" i="3"/>
  <c r="Y563" i="3"/>
  <c r="Y564" i="3"/>
  <c r="Y565" i="3"/>
  <c r="Y566" i="3"/>
  <c r="Y567" i="3"/>
  <c r="Y568" i="3"/>
  <c r="Y569" i="3"/>
  <c r="Y570" i="3"/>
  <c r="Y571" i="3"/>
  <c r="Y572" i="3"/>
  <c r="Y573" i="3"/>
  <c r="Y574" i="3"/>
  <c r="Y575" i="3"/>
  <c r="Y576" i="3"/>
  <c r="Y577" i="3"/>
  <c r="Y578" i="3"/>
  <c r="Y579" i="3"/>
  <c r="Y580" i="3"/>
  <c r="Y581" i="3"/>
  <c r="Y582" i="3"/>
  <c r="Y583" i="3"/>
  <c r="Y584" i="3"/>
  <c r="Y585" i="3"/>
  <c r="Y586" i="3"/>
  <c r="Y587" i="3"/>
  <c r="Y588" i="3"/>
  <c r="Y589" i="3"/>
  <c r="Y590" i="3"/>
  <c r="Y591" i="3"/>
  <c r="Y592" i="3"/>
  <c r="Y593" i="3"/>
  <c r="Y594" i="3"/>
  <c r="Y595" i="3"/>
  <c r="Y596" i="3"/>
  <c r="Y597" i="3"/>
  <c r="Y598" i="3"/>
  <c r="Y599" i="3"/>
  <c r="Y600" i="3"/>
  <c r="Y601" i="3"/>
  <c r="Y602" i="3"/>
  <c r="Y603" i="3"/>
  <c r="Y604" i="3"/>
  <c r="Y605" i="3"/>
  <c r="Y606" i="3"/>
  <c r="Y607" i="3"/>
  <c r="Y608" i="3"/>
  <c r="Y609" i="3"/>
  <c r="Y610" i="3"/>
  <c r="Y611" i="3"/>
  <c r="Y612" i="3"/>
  <c r="Y613" i="3"/>
  <c r="Y614" i="3"/>
  <c r="Y615" i="3"/>
  <c r="Y616" i="3"/>
  <c r="Y617" i="3"/>
  <c r="Y618" i="3"/>
  <c r="Y619" i="3"/>
  <c r="Y620" i="3"/>
  <c r="Y621" i="3"/>
  <c r="Y622" i="3"/>
  <c r="Y623" i="3"/>
  <c r="Y624" i="3"/>
  <c r="Y625" i="3"/>
  <c r="Y626" i="3"/>
  <c r="Y627" i="3"/>
  <c r="Y628" i="3"/>
  <c r="Y629" i="3"/>
  <c r="Y630" i="3"/>
  <c r="Y631" i="3"/>
  <c r="Y632" i="3"/>
  <c r="Y633" i="3"/>
  <c r="Y634" i="3"/>
  <c r="Y635" i="3"/>
  <c r="Y636" i="3"/>
  <c r="Y637" i="3"/>
  <c r="Y638" i="3"/>
  <c r="Y639" i="3"/>
  <c r="Y640" i="3"/>
  <c r="Y641" i="3"/>
  <c r="Y642" i="3"/>
  <c r="Y643" i="3"/>
  <c r="Y644" i="3"/>
  <c r="Y645" i="3"/>
  <c r="Y646" i="3"/>
  <c r="Y647" i="3"/>
  <c r="Y648" i="3"/>
  <c r="Y649" i="3"/>
  <c r="Y650" i="3"/>
  <c r="Y651" i="3"/>
  <c r="Y652" i="3"/>
  <c r="Y653" i="3"/>
  <c r="Y654" i="3"/>
  <c r="Y655" i="3"/>
  <c r="Y656" i="3"/>
  <c r="Y657" i="3"/>
  <c r="Y658" i="3"/>
  <c r="Y659" i="3"/>
  <c r="Y660" i="3"/>
  <c r="Y661" i="3"/>
  <c r="Y662" i="3"/>
  <c r="Y663" i="3"/>
  <c r="Y664" i="3"/>
  <c r="Y665" i="3"/>
  <c r="Y666" i="3"/>
  <c r="Y667" i="3"/>
  <c r="Y668" i="3"/>
  <c r="Y669" i="3"/>
  <c r="Y670" i="3"/>
  <c r="Y671" i="3"/>
  <c r="Y672" i="3"/>
  <c r="Y673" i="3"/>
  <c r="Y674" i="3"/>
  <c r="Y675" i="3"/>
  <c r="Y676" i="3"/>
  <c r="Y677" i="3"/>
  <c r="Y678" i="3"/>
  <c r="Y679" i="3"/>
  <c r="Y680" i="3"/>
  <c r="Y681" i="3"/>
  <c r="Y682" i="3"/>
  <c r="Y683" i="3"/>
  <c r="Y684" i="3"/>
  <c r="Y685" i="3"/>
  <c r="Y686" i="3"/>
  <c r="Y687" i="3"/>
  <c r="Y688" i="3"/>
  <c r="Y689" i="3"/>
  <c r="Y690" i="3"/>
  <c r="Y691" i="3"/>
  <c r="Y692" i="3"/>
  <c r="Y693" i="3"/>
  <c r="Y694" i="3"/>
  <c r="Y695" i="3"/>
  <c r="Y696" i="3"/>
  <c r="Y697" i="3"/>
  <c r="Y698" i="3"/>
  <c r="Y699" i="3"/>
  <c r="Y700" i="3"/>
  <c r="Y701" i="3"/>
  <c r="Y702" i="3"/>
  <c r="Y703" i="3"/>
  <c r="Y704" i="3"/>
  <c r="Y705" i="3"/>
  <c r="Y706" i="3"/>
  <c r="Y707" i="3"/>
  <c r="Y708" i="3"/>
  <c r="Y709" i="3"/>
  <c r="Y710" i="3"/>
  <c r="Y711" i="3"/>
  <c r="Y712" i="3"/>
  <c r="Y713" i="3"/>
  <c r="Y714" i="3"/>
  <c r="Y715" i="3"/>
  <c r="Y716" i="3"/>
  <c r="Y717" i="3"/>
  <c r="Y718" i="3"/>
  <c r="Y719" i="3"/>
  <c r="Y720" i="3"/>
  <c r="Y721" i="3"/>
  <c r="Y722" i="3"/>
  <c r="Y723" i="3"/>
  <c r="Y724" i="3"/>
  <c r="Y725" i="3"/>
  <c r="Y726" i="3"/>
  <c r="Y727" i="3"/>
  <c r="Y728" i="3"/>
  <c r="Y729" i="3"/>
  <c r="Y730" i="3"/>
  <c r="Y731" i="3"/>
  <c r="Y732" i="3"/>
  <c r="Y733" i="3"/>
  <c r="Y734" i="3"/>
  <c r="Y735" i="3"/>
  <c r="Y736" i="3"/>
  <c r="Y737" i="3"/>
  <c r="Y738" i="3"/>
  <c r="Y739" i="3"/>
  <c r="Y740" i="3"/>
  <c r="Y741" i="3"/>
  <c r="Y742" i="3"/>
  <c r="Y743" i="3"/>
  <c r="Y744" i="3"/>
  <c r="Y745" i="3"/>
  <c r="Y746" i="3"/>
  <c r="Y747" i="3"/>
  <c r="Y748" i="3"/>
  <c r="Y749" i="3"/>
  <c r="Y750" i="3"/>
  <c r="Y751" i="3"/>
  <c r="Y752" i="3"/>
  <c r="Y753" i="3"/>
  <c r="Y754" i="3"/>
  <c r="Y755" i="3"/>
  <c r="Y756" i="3"/>
  <c r="Y757" i="3"/>
  <c r="Y758" i="3"/>
  <c r="Y759" i="3"/>
  <c r="Y760" i="3"/>
  <c r="Y761" i="3"/>
  <c r="Y762" i="3"/>
  <c r="Y763" i="3"/>
  <c r="Y764" i="3"/>
  <c r="Y765" i="3"/>
  <c r="Y766" i="3"/>
  <c r="Y767" i="3"/>
  <c r="Y768" i="3"/>
  <c r="Y769" i="3"/>
  <c r="Y770" i="3"/>
  <c r="Y771" i="3"/>
  <c r="Y772" i="3"/>
  <c r="Y773" i="3"/>
  <c r="Y774" i="3"/>
  <c r="Y775" i="3"/>
  <c r="Y776" i="3"/>
  <c r="Y777" i="3"/>
  <c r="Y778" i="3"/>
  <c r="Y779" i="3"/>
  <c r="Y780" i="3"/>
  <c r="Y781" i="3"/>
  <c r="Y782" i="3"/>
  <c r="Y783" i="3"/>
  <c r="Y784" i="3"/>
  <c r="Y785" i="3"/>
  <c r="Y786" i="3"/>
  <c r="Y787" i="3"/>
  <c r="Y788" i="3"/>
  <c r="Y789" i="3"/>
  <c r="Y790" i="3"/>
  <c r="Y791" i="3"/>
  <c r="Y792" i="3"/>
  <c r="Y793" i="3"/>
  <c r="Y794" i="3"/>
  <c r="Y795" i="3"/>
  <c r="Y796" i="3"/>
  <c r="Y797" i="3"/>
  <c r="Y798" i="3"/>
  <c r="Y799" i="3"/>
  <c r="Y800" i="3"/>
  <c r="Y801" i="3"/>
  <c r="Y802" i="3"/>
  <c r="Y803" i="3"/>
  <c r="Y804" i="3"/>
  <c r="Y805" i="3"/>
  <c r="Y806" i="3"/>
  <c r="Y807" i="3"/>
  <c r="Y808" i="3"/>
  <c r="Y809" i="3"/>
  <c r="Y810" i="3"/>
  <c r="Y811" i="3"/>
  <c r="Y812" i="3"/>
  <c r="Y813" i="3"/>
  <c r="Y814" i="3"/>
  <c r="Y815" i="3"/>
  <c r="Y816" i="3"/>
  <c r="Y817" i="3"/>
  <c r="Y818" i="3"/>
  <c r="Y819" i="3"/>
  <c r="Y820" i="3"/>
  <c r="Y821" i="3"/>
  <c r="Y822" i="3"/>
  <c r="Y823" i="3"/>
  <c r="Y824" i="3"/>
  <c r="Y825" i="3"/>
  <c r="Y826" i="3"/>
  <c r="Y827" i="3"/>
  <c r="Y828" i="3"/>
  <c r="Y829" i="3"/>
  <c r="Y830" i="3"/>
  <c r="Y831" i="3"/>
  <c r="Y832" i="3"/>
  <c r="Y833" i="3"/>
  <c r="Y834" i="3"/>
  <c r="Y835" i="3"/>
  <c r="Y836" i="3"/>
  <c r="Y837" i="3"/>
  <c r="Y838" i="3"/>
  <c r="Y839" i="3"/>
  <c r="Y840" i="3"/>
  <c r="Y841" i="3"/>
  <c r="Y842" i="3"/>
  <c r="Y843" i="3"/>
  <c r="Y844" i="3"/>
  <c r="Y845" i="3"/>
  <c r="Y846" i="3"/>
  <c r="Y847" i="3"/>
  <c r="Y848" i="3"/>
  <c r="Y849" i="3"/>
  <c r="Y850" i="3"/>
  <c r="Y851" i="3"/>
  <c r="Y852" i="3"/>
  <c r="Y853" i="3"/>
  <c r="Y854" i="3"/>
  <c r="Y855" i="3"/>
  <c r="Y856" i="3"/>
  <c r="Y857" i="3"/>
  <c r="Y858" i="3"/>
  <c r="Y859" i="3"/>
  <c r="Y860" i="3"/>
  <c r="Y861" i="3"/>
  <c r="Y862" i="3"/>
  <c r="Y863" i="3"/>
  <c r="Y864" i="3"/>
  <c r="Y865" i="3"/>
  <c r="Y866" i="3"/>
  <c r="Y867" i="3"/>
  <c r="Y868" i="3"/>
  <c r="Y869" i="3"/>
  <c r="Y870" i="3"/>
  <c r="Y871" i="3"/>
  <c r="Y872" i="3"/>
  <c r="Y873" i="3"/>
  <c r="Y874" i="3"/>
  <c r="Y875" i="3"/>
  <c r="Y876" i="3"/>
  <c r="Y877" i="3"/>
  <c r="Y878" i="3"/>
  <c r="Y879" i="3"/>
  <c r="Y880" i="3"/>
  <c r="Y881" i="3"/>
  <c r="Y882" i="3"/>
  <c r="Y883" i="3"/>
  <c r="Y884" i="3"/>
  <c r="Y885" i="3"/>
  <c r="Y886" i="3"/>
  <c r="Y887" i="3"/>
  <c r="Y888" i="3"/>
  <c r="Y889" i="3"/>
  <c r="Y890" i="3"/>
  <c r="Y891" i="3"/>
  <c r="Y892" i="3"/>
  <c r="Y893" i="3"/>
  <c r="Y894" i="3"/>
  <c r="Y895" i="3"/>
  <c r="Y896" i="3"/>
  <c r="Y897" i="3"/>
  <c r="Y898" i="3"/>
  <c r="Y899" i="3"/>
  <c r="Y900" i="3"/>
  <c r="Y901" i="3"/>
  <c r="Y902" i="3"/>
  <c r="Y903" i="3"/>
  <c r="Y904" i="3"/>
  <c r="Y905" i="3"/>
  <c r="Y906" i="3"/>
  <c r="Y907" i="3"/>
  <c r="Y908" i="3"/>
  <c r="Y909" i="3"/>
  <c r="Y910" i="3"/>
  <c r="Y911" i="3"/>
  <c r="Y912" i="3"/>
  <c r="Y913" i="3"/>
  <c r="Y914" i="3"/>
  <c r="Y915" i="3"/>
  <c r="Y916" i="3"/>
  <c r="Y917" i="3"/>
  <c r="Y918" i="3"/>
  <c r="Y919" i="3"/>
  <c r="Y920" i="3"/>
  <c r="Y921" i="3"/>
  <c r="Y922" i="3"/>
  <c r="Y923" i="3"/>
  <c r="Y924" i="3"/>
  <c r="Y925" i="3"/>
  <c r="Y926" i="3"/>
  <c r="Y927" i="3"/>
  <c r="Y928" i="3"/>
  <c r="Y929" i="3"/>
  <c r="Y930" i="3"/>
  <c r="Y931" i="3"/>
  <c r="Y932" i="3"/>
  <c r="Y933" i="3"/>
  <c r="Y934" i="3"/>
  <c r="Y935" i="3"/>
  <c r="Y936" i="3"/>
  <c r="Y937" i="3"/>
  <c r="Y938" i="3"/>
  <c r="Y939" i="3"/>
  <c r="Y940" i="3"/>
  <c r="Y941" i="3"/>
  <c r="Y942" i="3"/>
  <c r="Y943" i="3"/>
  <c r="Y944" i="3"/>
  <c r="Y945" i="3"/>
  <c r="Y946" i="3"/>
  <c r="Y947" i="3"/>
  <c r="Y948" i="3"/>
  <c r="Y949" i="3"/>
  <c r="Y950" i="3"/>
  <c r="Y951" i="3"/>
  <c r="Y952" i="3"/>
  <c r="Y953" i="3"/>
  <c r="Y954" i="3"/>
  <c r="Y955" i="3"/>
  <c r="Y956" i="3"/>
  <c r="Y957" i="3"/>
  <c r="Y958" i="3"/>
  <c r="Y959" i="3"/>
  <c r="Y960" i="3"/>
  <c r="Y961" i="3"/>
  <c r="Y962" i="3"/>
  <c r="Y963" i="3"/>
  <c r="Y964" i="3"/>
  <c r="Y965" i="3"/>
  <c r="Y966" i="3"/>
  <c r="Y967" i="3"/>
  <c r="Y968" i="3"/>
  <c r="Y969" i="3"/>
  <c r="Y970" i="3"/>
  <c r="Y971" i="3"/>
  <c r="Y972" i="3"/>
  <c r="Y973" i="3"/>
  <c r="Y974" i="3"/>
  <c r="Y975" i="3"/>
  <c r="Y976" i="3"/>
  <c r="Y977" i="3"/>
  <c r="Y978" i="3"/>
  <c r="Y979" i="3"/>
  <c r="Y980" i="3"/>
  <c r="Y981" i="3"/>
  <c r="Y982" i="3"/>
  <c r="Y983" i="3"/>
  <c r="Y984" i="3"/>
  <c r="Y985" i="3"/>
  <c r="Y986" i="3"/>
  <c r="Y987" i="3"/>
  <c r="Y988" i="3"/>
  <c r="Y989" i="3"/>
  <c r="Y990" i="3"/>
  <c r="Y991" i="3"/>
  <c r="Y992" i="3"/>
  <c r="Y993" i="3"/>
  <c r="Y994" i="3"/>
  <c r="Y995" i="3"/>
  <c r="Y996" i="3"/>
  <c r="Y997" i="3"/>
  <c r="Y998" i="3"/>
  <c r="Y999" i="3"/>
  <c r="Y1000" i="3"/>
  <c r="Y1001" i="3"/>
  <c r="Y1002" i="3"/>
  <c r="Y1003" i="3"/>
  <c r="Y1004" i="3"/>
  <c r="Y1005" i="3"/>
  <c r="Y1006" i="3"/>
  <c r="Y1007" i="3"/>
  <c r="Y1008" i="3"/>
  <c r="Y1009" i="3"/>
  <c r="Y1010" i="3"/>
  <c r="Y1011" i="3"/>
  <c r="Y1012" i="3"/>
  <c r="Y1013" i="3"/>
  <c r="Y1014" i="3"/>
  <c r="Y1015" i="3"/>
  <c r="Y1016" i="3"/>
  <c r="Y1017" i="3"/>
  <c r="Y1018" i="3"/>
  <c r="Y1019" i="3"/>
  <c r="Y1020" i="3"/>
  <c r="Y1021" i="3"/>
  <c r="Y1022" i="3"/>
  <c r="Y1023" i="3"/>
  <c r="Y1024" i="3"/>
  <c r="Y1025" i="3"/>
  <c r="Y1026" i="3"/>
  <c r="Y1027" i="3"/>
  <c r="Y1028" i="3"/>
  <c r="Y1029" i="3"/>
  <c r="Y1030" i="3"/>
  <c r="Y1031" i="3"/>
  <c r="Y1032" i="3"/>
  <c r="Y1033" i="3"/>
  <c r="Y1034" i="3"/>
  <c r="Y1035" i="3"/>
  <c r="Y1036" i="3"/>
  <c r="Y1037" i="3"/>
  <c r="Y1038" i="3"/>
  <c r="Y1039" i="3"/>
  <c r="Y1040" i="3"/>
  <c r="Y1041" i="3"/>
  <c r="Y1042" i="3"/>
  <c r="Y1043" i="3"/>
  <c r="Y1044" i="3"/>
  <c r="Y1045" i="3"/>
  <c r="Y1046" i="3"/>
  <c r="Y1047" i="3"/>
  <c r="Y1048" i="3"/>
  <c r="Y1049" i="3"/>
  <c r="Y1050" i="3"/>
  <c r="Y1051" i="3"/>
  <c r="Y1052" i="3"/>
  <c r="Y1053" i="3"/>
  <c r="Y1054" i="3"/>
  <c r="Y1055" i="3"/>
  <c r="Y1056" i="3"/>
  <c r="Y1057" i="3"/>
  <c r="Y1058" i="3"/>
  <c r="Y1059" i="3"/>
  <c r="Y1060" i="3"/>
  <c r="Y1061" i="3"/>
  <c r="Y1062" i="3"/>
  <c r="Y1063" i="3"/>
  <c r="Y1064" i="3"/>
  <c r="Y1065" i="3"/>
  <c r="Y1066" i="3"/>
  <c r="Y1067" i="3"/>
  <c r="Y1068" i="3"/>
  <c r="Y1069" i="3"/>
  <c r="Y1070" i="3"/>
  <c r="Y1071" i="3"/>
  <c r="Y1072" i="3"/>
  <c r="Y1073" i="3"/>
  <c r="Y1074" i="3"/>
  <c r="Y1075" i="3"/>
  <c r="Y1076" i="3"/>
  <c r="Y1077" i="3"/>
  <c r="Y1078" i="3"/>
  <c r="Y1079" i="3"/>
  <c r="Y1080" i="3"/>
  <c r="Y1081" i="3"/>
  <c r="Y1082" i="3"/>
  <c r="Y1083" i="3"/>
  <c r="Y1084" i="3"/>
  <c r="Y1085" i="3"/>
  <c r="Y1086" i="3"/>
  <c r="Y1087" i="3"/>
  <c r="Y1088" i="3"/>
  <c r="Y1089" i="3"/>
  <c r="Y1090" i="3"/>
  <c r="Y1091" i="3"/>
  <c r="Y1092" i="3"/>
  <c r="Y1093" i="3"/>
  <c r="Y1094" i="3"/>
  <c r="Y1095" i="3"/>
  <c r="Y1096" i="3"/>
  <c r="Y1097" i="3"/>
  <c r="Y1098" i="3"/>
  <c r="Y1099" i="3"/>
  <c r="Y1100" i="3"/>
  <c r="Y1101" i="3"/>
  <c r="Y1102" i="3"/>
  <c r="Y1103" i="3"/>
  <c r="Y1104" i="3"/>
  <c r="Y1105" i="3"/>
  <c r="Y1106" i="3"/>
  <c r="Y1107" i="3"/>
  <c r="Y1108" i="3"/>
  <c r="Y1109" i="3"/>
  <c r="Y1110" i="3"/>
  <c r="Y1111" i="3"/>
  <c r="Y1112" i="3"/>
  <c r="Y1113" i="3"/>
  <c r="Y1114" i="3"/>
  <c r="Y1115" i="3"/>
  <c r="Y1116" i="3"/>
  <c r="Y1117" i="3"/>
  <c r="Y1118" i="3"/>
  <c r="Y1119" i="3"/>
  <c r="Y1120" i="3"/>
  <c r="Y1121" i="3"/>
  <c r="Y1122" i="3"/>
  <c r="Y1123" i="3"/>
  <c r="Y1124" i="3"/>
  <c r="Y1125" i="3"/>
  <c r="Y1126" i="3"/>
  <c r="Y1127" i="3"/>
  <c r="Y1128" i="3"/>
  <c r="Y1129" i="3"/>
  <c r="Y1130" i="3"/>
  <c r="Y1131" i="3"/>
  <c r="Y1132" i="3"/>
  <c r="Y1133" i="3"/>
  <c r="Y1134" i="3"/>
  <c r="Y1135" i="3"/>
  <c r="Y1136" i="3"/>
  <c r="Y1137" i="3"/>
  <c r="Y1138" i="3"/>
  <c r="Y1139" i="3"/>
  <c r="Y1140" i="3"/>
  <c r="Y1141" i="3"/>
  <c r="Y1142" i="3"/>
  <c r="Y1143" i="3"/>
  <c r="Y1144" i="3"/>
  <c r="Y1145" i="3"/>
  <c r="Y1146" i="3"/>
  <c r="Y1147" i="3"/>
  <c r="Y1148" i="3"/>
  <c r="Y1149" i="3"/>
  <c r="Y1150" i="3"/>
  <c r="Y1151" i="3"/>
  <c r="Y1152" i="3"/>
  <c r="Y1153" i="3"/>
  <c r="Y1154" i="3"/>
  <c r="Y1155" i="3"/>
  <c r="Y1156" i="3"/>
  <c r="Y1157" i="3"/>
  <c r="Y1158" i="3"/>
  <c r="Y1159" i="3"/>
  <c r="Y1160" i="3"/>
  <c r="Y1161" i="3"/>
  <c r="Y1162" i="3"/>
  <c r="Y1163" i="3"/>
  <c r="Y1164" i="3"/>
  <c r="Y1165" i="3"/>
  <c r="Y1166" i="3"/>
  <c r="Y1167" i="3"/>
  <c r="Y1168" i="3"/>
  <c r="Y1169" i="3"/>
  <c r="Y1170" i="3"/>
  <c r="Y1171" i="3"/>
  <c r="Y1172" i="3"/>
  <c r="Y1173" i="3"/>
  <c r="Y1174" i="3"/>
  <c r="Y1175" i="3"/>
  <c r="Y1176" i="3"/>
  <c r="Y1177" i="3"/>
  <c r="Y1178" i="3"/>
  <c r="Y1179" i="3"/>
  <c r="Y1180" i="3"/>
  <c r="Y1181" i="3"/>
  <c r="Y1182" i="3"/>
  <c r="Y1183" i="3"/>
  <c r="Y1184" i="3"/>
  <c r="Y1185" i="3"/>
  <c r="Y1186" i="3"/>
  <c r="Y1187" i="3"/>
  <c r="Y1188" i="3"/>
  <c r="Y1189" i="3"/>
  <c r="Y1190" i="3"/>
  <c r="Y1191" i="3"/>
  <c r="Y1192" i="3"/>
  <c r="Y1193" i="3"/>
  <c r="Y1194" i="3"/>
  <c r="Y1195" i="3"/>
  <c r="Y1196" i="3"/>
  <c r="Y1197" i="3"/>
  <c r="Y1198" i="3"/>
  <c r="Y1199" i="3"/>
  <c r="Y1200" i="3"/>
  <c r="Y1201" i="3"/>
  <c r="Y1202" i="3"/>
  <c r="Y1203" i="3"/>
  <c r="Y1204" i="3"/>
  <c r="Y1205" i="3"/>
  <c r="Y1206" i="3"/>
  <c r="Y1207" i="3"/>
  <c r="Y1208" i="3"/>
  <c r="Y1209" i="3"/>
  <c r="Y1210" i="3"/>
  <c r="Y1211" i="3"/>
  <c r="Y1212" i="3"/>
  <c r="Y1213" i="3"/>
  <c r="Y1214" i="3"/>
  <c r="Y1215" i="3"/>
  <c r="Y1216" i="3"/>
  <c r="Y1217" i="3"/>
  <c r="Y1218" i="3"/>
  <c r="Y1219" i="3"/>
  <c r="Y1220" i="3"/>
  <c r="Y1221" i="3"/>
  <c r="Y1222" i="3"/>
  <c r="Y1223" i="3"/>
  <c r="Y1224" i="3"/>
  <c r="Y1225" i="3"/>
  <c r="Y1226" i="3"/>
  <c r="Y1227" i="3"/>
  <c r="Y1228" i="3"/>
  <c r="Y1229" i="3"/>
  <c r="Y1230" i="3"/>
  <c r="Y1231" i="3"/>
  <c r="Y1232" i="3"/>
  <c r="Y1233" i="3"/>
  <c r="Y1234" i="3"/>
  <c r="Y1235" i="3"/>
  <c r="Y1236" i="3"/>
  <c r="Y1237" i="3"/>
  <c r="Y1238" i="3"/>
  <c r="Y1239" i="3"/>
  <c r="Y1240" i="3"/>
  <c r="Y1241" i="3"/>
  <c r="Y1242" i="3"/>
  <c r="Y1243" i="3"/>
  <c r="Y1244" i="3"/>
  <c r="Y1245" i="3"/>
  <c r="Y1246" i="3"/>
  <c r="Y1247" i="3"/>
  <c r="Y1248" i="3"/>
  <c r="Y1249" i="3"/>
  <c r="Y1250" i="3"/>
  <c r="Y1251" i="3"/>
  <c r="Y1252" i="3"/>
  <c r="Y1253" i="3"/>
  <c r="Y1254" i="3"/>
  <c r="Y1255" i="3"/>
  <c r="Y1256" i="3"/>
  <c r="Y1257" i="3"/>
  <c r="Y1258" i="3"/>
  <c r="Y1259" i="3"/>
  <c r="Y1260" i="3"/>
  <c r="Y1261" i="3"/>
  <c r="Y1262" i="3"/>
  <c r="Y1263" i="3"/>
  <c r="Y1264" i="3"/>
  <c r="Y1265" i="3"/>
  <c r="Y1266" i="3"/>
  <c r="Y1267" i="3"/>
  <c r="Y1268" i="3"/>
  <c r="Y1269" i="3"/>
  <c r="Y1270" i="3"/>
  <c r="Y1271" i="3"/>
  <c r="Y1272" i="3"/>
  <c r="Y1273" i="3"/>
  <c r="Y1274" i="3"/>
  <c r="Y1275" i="3"/>
  <c r="Y1276" i="3"/>
  <c r="Y1277" i="3"/>
  <c r="Y1278" i="3"/>
  <c r="Y1279" i="3"/>
  <c r="Y1280" i="3"/>
  <c r="Y1281" i="3"/>
  <c r="Y1282" i="3"/>
  <c r="Y1283" i="3"/>
  <c r="Y1284" i="3"/>
  <c r="Y1285" i="3"/>
  <c r="Y1286" i="3"/>
  <c r="Y1287" i="3"/>
  <c r="Y1288" i="3"/>
  <c r="Y1289" i="3"/>
  <c r="Y1290" i="3"/>
  <c r="Y1291" i="3"/>
  <c r="Y1292" i="3"/>
  <c r="Y1293" i="3"/>
  <c r="Y1294" i="3"/>
  <c r="Y1295" i="3"/>
  <c r="Y1296" i="3"/>
  <c r="Y1297" i="3"/>
  <c r="Y1298" i="3"/>
  <c r="Y1299" i="3"/>
  <c r="Y1300" i="3"/>
  <c r="Y1301" i="3"/>
  <c r="Y1302" i="3"/>
  <c r="Y1303" i="3"/>
  <c r="Y1304" i="3"/>
  <c r="Y1305" i="3"/>
  <c r="Y1306" i="3"/>
  <c r="Y1307" i="3"/>
  <c r="Y1308" i="3"/>
  <c r="Y1309" i="3"/>
  <c r="Y1310" i="3"/>
  <c r="Y1311" i="3"/>
  <c r="Y1312" i="3"/>
  <c r="Y1313" i="3"/>
  <c r="Y1314" i="3"/>
  <c r="Y1315" i="3"/>
  <c r="Y1316" i="3"/>
  <c r="Y1317" i="3"/>
  <c r="Y1318" i="3"/>
  <c r="Y1319" i="3"/>
  <c r="Y1320" i="3"/>
  <c r="Y1321" i="3"/>
  <c r="Y1322" i="3"/>
  <c r="Y1323" i="3"/>
  <c r="Y1324" i="3"/>
  <c r="Y1325" i="3"/>
  <c r="Y1326" i="3"/>
  <c r="Y1327" i="3"/>
  <c r="Y1328" i="3"/>
  <c r="Y1329" i="3"/>
  <c r="Y1330" i="3"/>
  <c r="Y1331" i="3"/>
  <c r="Y1332" i="3"/>
  <c r="Y1333" i="3"/>
  <c r="Y1334" i="3"/>
  <c r="Y1335" i="3"/>
  <c r="Y1336" i="3"/>
  <c r="Y1337" i="3"/>
  <c r="Y1338" i="3"/>
  <c r="Y1339" i="3"/>
  <c r="Y1340" i="3"/>
  <c r="Y1341" i="3"/>
  <c r="Y1342" i="3"/>
  <c r="Y1343" i="3"/>
  <c r="Y1344" i="3"/>
  <c r="Y1345" i="3"/>
  <c r="Y1346" i="3"/>
  <c r="Y1347" i="3"/>
  <c r="Y1348" i="3"/>
  <c r="Y1349" i="3"/>
  <c r="Y1350" i="3"/>
  <c r="Y1351" i="3"/>
  <c r="Y1352" i="3"/>
  <c r="Y1353" i="3"/>
  <c r="Y1354" i="3"/>
  <c r="Y1355" i="3"/>
  <c r="Y1356" i="3"/>
  <c r="Y1357" i="3"/>
  <c r="Y1358" i="3"/>
  <c r="Y1359" i="3"/>
  <c r="Y1360" i="3"/>
  <c r="Y1361" i="3"/>
  <c r="Y1362" i="3"/>
  <c r="Y1363" i="3"/>
  <c r="Y1364" i="3"/>
  <c r="Y1365" i="3"/>
  <c r="Y1366" i="3"/>
  <c r="Y1367" i="3"/>
  <c r="Y1368" i="3"/>
  <c r="Y1369" i="3"/>
  <c r="Y1370" i="3"/>
  <c r="Y1371" i="3"/>
  <c r="Y1372" i="3"/>
  <c r="Y1373" i="3"/>
  <c r="Y1374" i="3"/>
  <c r="Y1375" i="3"/>
  <c r="Y1376" i="3"/>
  <c r="Y1377" i="3"/>
  <c r="Y1378" i="3"/>
  <c r="Y1379" i="3"/>
  <c r="Y1380" i="3"/>
  <c r="Y1381" i="3"/>
  <c r="Y1382" i="3"/>
  <c r="Y1383" i="3"/>
  <c r="Y1384" i="3"/>
  <c r="Y1385" i="3"/>
  <c r="Y1386" i="3"/>
  <c r="Y1387" i="3"/>
  <c r="Y1388" i="3"/>
  <c r="Y1389" i="3"/>
  <c r="Y1390" i="3"/>
  <c r="Y1391" i="3"/>
  <c r="Y1392" i="3"/>
  <c r="Y1393" i="3"/>
  <c r="Y1394" i="3"/>
  <c r="Y1395" i="3"/>
  <c r="Y1396" i="3"/>
  <c r="Y1397" i="3"/>
  <c r="Y1398" i="3"/>
  <c r="Y1399" i="3"/>
  <c r="Y1400" i="3"/>
  <c r="Y1401" i="3"/>
  <c r="Y1402" i="3"/>
  <c r="Y1403" i="3"/>
  <c r="Y1404" i="3"/>
  <c r="Y1405" i="3"/>
  <c r="Y1406" i="3"/>
  <c r="Y1407" i="3"/>
  <c r="Y1408" i="3"/>
  <c r="Y1409" i="3"/>
  <c r="Y1410" i="3"/>
  <c r="Y1411" i="3"/>
  <c r="Y1412" i="3"/>
  <c r="Y1413" i="3"/>
  <c r="Y1414" i="3"/>
  <c r="Y1415" i="3"/>
  <c r="Y1416" i="3"/>
  <c r="Y1417" i="3"/>
  <c r="Y1418" i="3"/>
  <c r="Y1419" i="3"/>
  <c r="Y1420" i="3"/>
  <c r="Y1421" i="3"/>
  <c r="Y1422" i="3"/>
  <c r="Y1423" i="3"/>
  <c r="Y1424" i="3"/>
  <c r="Y1425" i="3"/>
  <c r="Y1426" i="3"/>
  <c r="Y1427" i="3"/>
  <c r="Y1428" i="3"/>
  <c r="Y1429" i="3"/>
  <c r="Y1430" i="3"/>
  <c r="Y1431" i="3"/>
  <c r="Y1432" i="3"/>
  <c r="Y1433" i="3"/>
  <c r="Y1434" i="3"/>
  <c r="Y1435" i="3"/>
  <c r="Y1436" i="3"/>
  <c r="Y1437" i="3"/>
  <c r="Y1438" i="3"/>
  <c r="Y1439" i="3"/>
  <c r="Y1440" i="3"/>
  <c r="Y1441" i="3"/>
  <c r="Y1442" i="3"/>
  <c r="Y1443" i="3"/>
  <c r="Y1444" i="3"/>
  <c r="Y1445" i="3"/>
  <c r="Y1446" i="3"/>
  <c r="Y1447" i="3"/>
  <c r="Y1448" i="3"/>
  <c r="Y1449" i="3"/>
  <c r="Y1450" i="3"/>
  <c r="Y1451" i="3"/>
  <c r="Y1452" i="3"/>
  <c r="Y1453" i="3"/>
  <c r="Y1454" i="3"/>
  <c r="Y1455" i="3"/>
  <c r="Y1456" i="3"/>
  <c r="Y1457" i="3"/>
  <c r="Y1458" i="3"/>
  <c r="Y1459" i="3"/>
  <c r="Y1460" i="3"/>
  <c r="Y1461" i="3"/>
  <c r="Y1462" i="3"/>
  <c r="Y1463" i="3"/>
  <c r="Y1464" i="3"/>
  <c r="Y1465" i="3"/>
  <c r="Y1466" i="3"/>
  <c r="Y1467" i="3"/>
  <c r="Y1468" i="3"/>
  <c r="Y1469" i="3"/>
  <c r="Y1470" i="3"/>
  <c r="Y1471" i="3"/>
  <c r="Y1472" i="3"/>
  <c r="Y1473" i="3"/>
  <c r="Y1474" i="3"/>
  <c r="Y1475" i="3"/>
  <c r="Y1476" i="3"/>
  <c r="Y1477" i="3"/>
  <c r="Y1478" i="3"/>
  <c r="Y1479" i="3"/>
  <c r="Y1480" i="3"/>
  <c r="Y1481" i="3"/>
  <c r="Y1482" i="3"/>
  <c r="Y1483" i="3"/>
  <c r="Y1484" i="3"/>
  <c r="Y1485" i="3"/>
  <c r="Y1486" i="3"/>
  <c r="Y1487" i="3"/>
  <c r="Y1488" i="3"/>
  <c r="Y1489" i="3"/>
  <c r="Y1490" i="3"/>
  <c r="Y1491" i="3"/>
  <c r="Y1492" i="3"/>
  <c r="Y1493" i="3"/>
  <c r="Y1494" i="3"/>
  <c r="Y1495" i="3"/>
  <c r="Y1496" i="3"/>
  <c r="Y1497" i="3"/>
  <c r="Y1498" i="3"/>
  <c r="Y1499" i="3"/>
  <c r="Y1500" i="3"/>
  <c r="Y1501" i="3"/>
  <c r="Y1502" i="3"/>
  <c r="Y1503" i="3"/>
  <c r="Y1504" i="3"/>
  <c r="Y1505" i="3"/>
  <c r="Y1506" i="3"/>
  <c r="Y1507" i="3"/>
  <c r="Y1508" i="3"/>
  <c r="Y1509" i="3"/>
  <c r="Y1510" i="3"/>
  <c r="Y1511" i="3"/>
  <c r="Y1512" i="3"/>
  <c r="Y1513" i="3"/>
  <c r="Y1514" i="3"/>
  <c r="Y1515" i="3"/>
  <c r="Y1516" i="3"/>
  <c r="Y1517" i="3"/>
  <c r="Y1518" i="3"/>
  <c r="Y1519" i="3"/>
  <c r="Y1520" i="3"/>
  <c r="Y1521" i="3"/>
  <c r="Y1522" i="3"/>
  <c r="Y1523" i="3"/>
  <c r="Y1524" i="3"/>
  <c r="Y1525" i="3"/>
  <c r="Y1526" i="3"/>
  <c r="Y1527" i="3"/>
  <c r="Y1528" i="3"/>
  <c r="Y1529" i="3"/>
  <c r="Y1530" i="3"/>
  <c r="Y1531" i="3"/>
  <c r="Y1532" i="3"/>
  <c r="Y1533" i="3"/>
  <c r="Y1534" i="3"/>
  <c r="Y1535" i="3"/>
  <c r="Y1536" i="3"/>
  <c r="Y1537" i="3"/>
  <c r="Y1538" i="3"/>
  <c r="Y1539" i="3"/>
  <c r="Y1540" i="3"/>
  <c r="Y1541" i="3"/>
  <c r="Y1542" i="3"/>
  <c r="Y1543" i="3"/>
  <c r="Y1544" i="3"/>
  <c r="Y1545" i="3"/>
  <c r="Y1546" i="3"/>
  <c r="Y1547" i="3"/>
  <c r="Y1548" i="3"/>
  <c r="Y1549" i="3"/>
  <c r="Y1550" i="3"/>
  <c r="Y1551" i="3"/>
  <c r="Y1552" i="3"/>
  <c r="Y1553" i="3"/>
  <c r="Y1554" i="3"/>
  <c r="Y1555" i="3"/>
  <c r="Y1556" i="3"/>
  <c r="Y1557" i="3"/>
  <c r="Y1558" i="3"/>
  <c r="Y1559" i="3"/>
  <c r="Y1560" i="3"/>
  <c r="Y1561" i="3"/>
  <c r="Y1562" i="3"/>
  <c r="Y1563" i="3"/>
  <c r="Y1564" i="3"/>
  <c r="Y1565" i="3"/>
  <c r="Y1566" i="3"/>
  <c r="Y1567" i="3"/>
  <c r="Y1568" i="3"/>
  <c r="Y1569" i="3"/>
  <c r="Y1570" i="3"/>
  <c r="Y1571" i="3"/>
  <c r="Y1572" i="3"/>
  <c r="Y1573" i="3"/>
  <c r="Y1574" i="3"/>
  <c r="Y1575" i="3"/>
  <c r="Y1576" i="3"/>
  <c r="Y1577" i="3"/>
  <c r="Y1578" i="3"/>
  <c r="Y1579" i="3"/>
  <c r="Y1580" i="3"/>
  <c r="Y1581" i="3"/>
  <c r="Y1582" i="3"/>
  <c r="Y1583" i="3"/>
  <c r="Y1584" i="3"/>
  <c r="Y1585" i="3"/>
  <c r="Y1586" i="3"/>
  <c r="Y1587" i="3"/>
  <c r="Y1588" i="3"/>
  <c r="Y1589" i="3"/>
  <c r="Y1590" i="3"/>
  <c r="Y1591" i="3"/>
  <c r="Y1592" i="3"/>
  <c r="Y1593" i="3"/>
  <c r="Y1594" i="3"/>
  <c r="Y1595" i="3"/>
  <c r="Y1596" i="3"/>
  <c r="Y1597" i="3"/>
  <c r="Y1598" i="3"/>
  <c r="Y1599" i="3"/>
  <c r="Y1600" i="3"/>
  <c r="Y1601" i="3"/>
  <c r="Y1602" i="3"/>
  <c r="Y1603" i="3"/>
  <c r="Y1604" i="3"/>
  <c r="Y1605" i="3"/>
  <c r="Y1606" i="3"/>
  <c r="Y1607" i="3"/>
  <c r="Y1608" i="3"/>
  <c r="Y1609" i="3"/>
  <c r="Y1610" i="3"/>
  <c r="Y1611" i="3"/>
  <c r="Y1612" i="3"/>
  <c r="Y1613" i="3"/>
  <c r="Y1614" i="3"/>
  <c r="Y1615" i="3"/>
  <c r="Y1616" i="3"/>
  <c r="Y1617" i="3"/>
  <c r="Y1618" i="3"/>
  <c r="Y1619" i="3"/>
  <c r="Y1620" i="3"/>
  <c r="Y1621" i="3"/>
  <c r="Y1622" i="3"/>
  <c r="Y1623" i="3"/>
  <c r="Y1624" i="3"/>
  <c r="Y1625" i="3"/>
  <c r="Y1626" i="3"/>
  <c r="Y1627" i="3"/>
  <c r="Y1628" i="3"/>
  <c r="Y1629" i="3"/>
  <c r="Y1630" i="3"/>
  <c r="Y1631" i="3"/>
  <c r="Y1632" i="3"/>
  <c r="Y1633" i="3"/>
  <c r="Y1634" i="3"/>
  <c r="Y1635" i="3"/>
  <c r="Y1636" i="3"/>
  <c r="Y1637" i="3"/>
  <c r="Y1638" i="3"/>
  <c r="Y1639" i="3"/>
  <c r="Y1640" i="3"/>
  <c r="Y1641" i="3"/>
  <c r="Y1642" i="3"/>
  <c r="Y1643" i="3"/>
  <c r="Y1644" i="3"/>
  <c r="Y1645" i="3"/>
  <c r="Y1646" i="3"/>
  <c r="Y1647" i="3"/>
  <c r="Y1648" i="3"/>
  <c r="Y1649" i="3"/>
  <c r="Y1650" i="3"/>
  <c r="Y1651" i="3"/>
  <c r="Y1652" i="3"/>
  <c r="Y1653" i="3"/>
  <c r="Y1654" i="3"/>
  <c r="Y1655" i="3"/>
  <c r="Y1656" i="3"/>
  <c r="Y1657" i="3"/>
  <c r="Y1658" i="3"/>
  <c r="Y1659" i="3"/>
  <c r="Y1660" i="3"/>
  <c r="Y1661" i="3"/>
  <c r="Y1662" i="3"/>
  <c r="Y1663" i="3"/>
  <c r="Y1664" i="3"/>
  <c r="Y1665" i="3"/>
  <c r="Y1666" i="3"/>
  <c r="Y1667" i="3"/>
  <c r="Y1668" i="3"/>
  <c r="Y1669" i="3"/>
  <c r="Y1670" i="3"/>
  <c r="Y1671" i="3"/>
  <c r="Y1672" i="3"/>
  <c r="Y1673" i="3"/>
  <c r="Y1674" i="3"/>
  <c r="Y1675" i="3"/>
  <c r="Y1676" i="3"/>
  <c r="Y1677" i="3"/>
  <c r="Y1678" i="3"/>
  <c r="Y1679" i="3"/>
  <c r="Y1680" i="3"/>
  <c r="Y1681" i="3"/>
  <c r="Y1682" i="3"/>
  <c r="Y1683" i="3"/>
  <c r="Y1684" i="3"/>
  <c r="Y1685" i="3"/>
  <c r="Y1686" i="3"/>
  <c r="Y1687" i="3"/>
  <c r="Y1688" i="3"/>
  <c r="Y1689" i="3"/>
  <c r="Y1690" i="3"/>
  <c r="Y1691" i="3"/>
  <c r="Y1692" i="3"/>
  <c r="Y1693" i="3"/>
  <c r="Y1694" i="3"/>
  <c r="Y1695" i="3"/>
  <c r="Y1696" i="3"/>
  <c r="Y1697" i="3"/>
  <c r="Y1698" i="3"/>
  <c r="Y1699" i="3"/>
  <c r="Y1700" i="3"/>
  <c r="Y1701" i="3"/>
  <c r="Y1702" i="3"/>
  <c r="Y1703" i="3"/>
  <c r="Y1704" i="3"/>
  <c r="Y1705" i="3"/>
  <c r="Y1706" i="3"/>
  <c r="Y1707" i="3"/>
  <c r="Y1708" i="3"/>
  <c r="Y1709" i="3"/>
  <c r="Y1710" i="3"/>
  <c r="Y1711" i="3"/>
  <c r="Y1712" i="3"/>
  <c r="Y1713" i="3"/>
  <c r="Y1714" i="3"/>
  <c r="Y1715" i="3"/>
  <c r="Y1716" i="3"/>
  <c r="Y1717" i="3"/>
  <c r="Y1718" i="3"/>
  <c r="Y1719" i="3"/>
  <c r="Y1720" i="3"/>
  <c r="Y1721" i="3"/>
  <c r="Y1722" i="3"/>
  <c r="Y1723" i="3"/>
  <c r="Y1724" i="3"/>
  <c r="Y1725" i="3"/>
  <c r="Y1726" i="3"/>
  <c r="Y1727" i="3"/>
  <c r="Y1728" i="3"/>
  <c r="Y1729" i="3"/>
  <c r="Y1730" i="3"/>
  <c r="Y1731" i="3"/>
  <c r="Y1732" i="3"/>
  <c r="Y1733" i="3"/>
  <c r="Y1734" i="3"/>
  <c r="Y1735" i="3"/>
  <c r="Y1736" i="3"/>
  <c r="Y1737" i="3"/>
  <c r="Y1738" i="3"/>
  <c r="Y1739" i="3"/>
  <c r="Y1740" i="3"/>
  <c r="Y1741" i="3"/>
  <c r="Y1742" i="3"/>
  <c r="Y1743" i="3"/>
  <c r="Y1744" i="3"/>
  <c r="Y1745" i="3"/>
  <c r="Y1746" i="3"/>
  <c r="Y1747" i="3"/>
  <c r="Y1748" i="3"/>
  <c r="Y1749" i="3"/>
  <c r="Y1750" i="3"/>
  <c r="Y1751" i="3"/>
  <c r="Y1752" i="3"/>
  <c r="Y1753" i="3"/>
  <c r="Y1754" i="3"/>
  <c r="Y1755" i="3"/>
  <c r="Y1756" i="3"/>
  <c r="Y1757" i="3"/>
  <c r="Y1758" i="3"/>
  <c r="Y1759" i="3"/>
  <c r="Y1760" i="3"/>
  <c r="Y1761" i="3"/>
  <c r="Y1762" i="3"/>
  <c r="Y1763" i="3"/>
  <c r="Y1764" i="3"/>
  <c r="Y1765" i="3"/>
  <c r="Y1766" i="3"/>
  <c r="Y1767" i="3"/>
  <c r="Y1768" i="3"/>
  <c r="Y1769" i="3"/>
  <c r="Y1770" i="3"/>
  <c r="Y1771" i="3"/>
  <c r="Y1772" i="3"/>
  <c r="Y1773" i="3"/>
  <c r="Y1774" i="3"/>
  <c r="Y1775" i="3"/>
  <c r="Y1776" i="3"/>
  <c r="Y1777" i="3"/>
  <c r="Y1778" i="3"/>
  <c r="Y1779" i="3"/>
  <c r="Y1780" i="3"/>
  <c r="Y1781" i="3"/>
  <c r="Y1782" i="3"/>
  <c r="Y1783" i="3"/>
  <c r="Y1784" i="3"/>
  <c r="Y1785" i="3"/>
  <c r="Y1786" i="3"/>
  <c r="Y1787" i="3"/>
  <c r="Y1788" i="3"/>
  <c r="Y1789" i="3"/>
  <c r="Y1790" i="3"/>
  <c r="Y1791" i="3"/>
  <c r="Y1792" i="3"/>
  <c r="Y1793" i="3"/>
  <c r="Y1794" i="3"/>
  <c r="Y1795" i="3"/>
  <c r="Y1796" i="3"/>
  <c r="Y1797" i="3"/>
  <c r="Y1798" i="3"/>
  <c r="Y1799" i="3"/>
  <c r="Y1800" i="3"/>
  <c r="Y1801" i="3"/>
  <c r="Y1802" i="3"/>
  <c r="Y1803" i="3"/>
  <c r="Y1804" i="3"/>
  <c r="Y1805" i="3"/>
  <c r="Y1806" i="3"/>
  <c r="Y1807" i="3"/>
  <c r="Y1808" i="3"/>
  <c r="Y1809" i="3"/>
  <c r="Y1810" i="3"/>
  <c r="Y1811" i="3"/>
  <c r="Y1812" i="3"/>
  <c r="Y1813" i="3"/>
  <c r="Y1814" i="3"/>
  <c r="Y1815" i="3"/>
  <c r="Y1816" i="3"/>
  <c r="Y1817" i="3"/>
  <c r="Y1818" i="3"/>
  <c r="Y1819" i="3"/>
  <c r="Y1820" i="3"/>
  <c r="Y1821" i="3"/>
  <c r="Y1822" i="3"/>
  <c r="Y1823" i="3"/>
  <c r="Y1824" i="3"/>
  <c r="Y1825" i="3"/>
  <c r="Y1826" i="3"/>
  <c r="Y1827" i="3"/>
  <c r="Y1828" i="3"/>
  <c r="Y1829" i="3"/>
  <c r="Y1830" i="3"/>
  <c r="Y1831" i="3"/>
  <c r="Y1832" i="3"/>
  <c r="Y1833" i="3"/>
  <c r="Y1834" i="3"/>
  <c r="Y1835" i="3"/>
  <c r="Y1836" i="3"/>
  <c r="Y1837" i="3"/>
  <c r="Y1838" i="3"/>
  <c r="Y1839" i="3"/>
  <c r="Y1840" i="3"/>
  <c r="Y1841" i="3"/>
  <c r="Y1842" i="3"/>
  <c r="Y1843" i="3"/>
  <c r="Y1844" i="3"/>
  <c r="Y1845" i="3"/>
  <c r="Y1846" i="3"/>
  <c r="Y1847" i="3"/>
  <c r="Y1848" i="3"/>
  <c r="Y1849" i="3"/>
  <c r="Y1850" i="3"/>
  <c r="Y1851" i="3"/>
  <c r="Y1852" i="3"/>
  <c r="Y1853" i="3"/>
  <c r="Y1854" i="3"/>
  <c r="Y1855" i="3"/>
  <c r="Y1856" i="3"/>
  <c r="Y1857" i="3"/>
  <c r="Y1858" i="3"/>
  <c r="Y1859" i="3"/>
  <c r="Y1860" i="3"/>
  <c r="Y1861" i="3"/>
  <c r="Y1862" i="3"/>
  <c r="Y1863" i="3"/>
  <c r="Y1864" i="3"/>
  <c r="Y1865" i="3"/>
  <c r="Y1866" i="3"/>
  <c r="Y1867" i="3"/>
  <c r="Y1868" i="3"/>
  <c r="Y1869" i="3"/>
  <c r="Y1870" i="3"/>
  <c r="Y1871" i="3"/>
  <c r="Y1872" i="3"/>
  <c r="Y1873" i="3"/>
  <c r="Y1874" i="3"/>
  <c r="Y1875" i="3"/>
  <c r="Y1876" i="3"/>
  <c r="Y1877" i="3"/>
  <c r="Y1878" i="3"/>
  <c r="Y1879" i="3"/>
  <c r="Y1880" i="3"/>
  <c r="Y1881" i="3"/>
  <c r="Y1882" i="3"/>
  <c r="Y1883" i="3"/>
  <c r="Y1884" i="3"/>
  <c r="Y1885" i="3"/>
  <c r="Y1886" i="3"/>
  <c r="Y1887" i="3"/>
  <c r="Y1888" i="3"/>
  <c r="Y1889" i="3"/>
  <c r="Y1890" i="3"/>
  <c r="Y1891" i="3"/>
  <c r="Y1892" i="3"/>
  <c r="Y1893" i="3"/>
  <c r="Y1894" i="3"/>
  <c r="Y1895" i="3"/>
  <c r="Y1896" i="3"/>
  <c r="Y1897" i="3"/>
  <c r="Y1898" i="3"/>
  <c r="Y1899" i="3"/>
  <c r="Y1900" i="3"/>
  <c r="Y1901" i="3"/>
  <c r="Y1902" i="3"/>
  <c r="Y1903" i="3"/>
  <c r="Y1904" i="3"/>
  <c r="Y1905" i="3"/>
  <c r="Y1906" i="3"/>
  <c r="Y1907" i="3"/>
  <c r="Y1908" i="3"/>
  <c r="Y1909" i="3"/>
  <c r="Y1910" i="3"/>
  <c r="Y1911" i="3"/>
  <c r="Y1912" i="3"/>
  <c r="Y1913" i="3"/>
  <c r="Y1914" i="3"/>
  <c r="Y1915" i="3"/>
  <c r="Y1916" i="3"/>
  <c r="Y1917" i="3"/>
  <c r="Y1918" i="3"/>
  <c r="Y1919" i="3"/>
  <c r="Y1920" i="3"/>
  <c r="Y1921" i="3"/>
  <c r="Y1922" i="3"/>
  <c r="Y1923" i="3"/>
  <c r="Y1924" i="3"/>
  <c r="Y1925" i="3"/>
  <c r="Y1926" i="3"/>
  <c r="Y1927" i="3"/>
  <c r="Y1928" i="3"/>
  <c r="Y1929" i="3"/>
  <c r="Y1930" i="3"/>
  <c r="Y1931" i="3"/>
  <c r="Y1932" i="3"/>
  <c r="Y1933" i="3"/>
  <c r="Y1934" i="3"/>
  <c r="Y1935" i="3"/>
  <c r="Y1936" i="3"/>
  <c r="Y1937" i="3"/>
  <c r="Y1938" i="3"/>
  <c r="Y1939" i="3"/>
  <c r="Y1940" i="3"/>
  <c r="Y1941" i="3"/>
  <c r="Y1942" i="3"/>
  <c r="Y1943" i="3"/>
  <c r="Y1944" i="3"/>
  <c r="Y1945" i="3"/>
  <c r="Y1946" i="3"/>
  <c r="Y1947" i="3"/>
  <c r="Y1948" i="3"/>
  <c r="Y1949" i="3"/>
  <c r="Y1950" i="3"/>
  <c r="Y1951" i="3"/>
  <c r="Y1952" i="3"/>
  <c r="Y1953" i="3"/>
  <c r="Y1954" i="3"/>
  <c r="Y1955" i="3"/>
  <c r="Y1956" i="3"/>
  <c r="Y1957" i="3"/>
  <c r="Y1958" i="3"/>
  <c r="Y1959" i="3"/>
  <c r="Y1960" i="3"/>
  <c r="Y1961" i="3"/>
  <c r="Y1962" i="3"/>
  <c r="Y1963" i="3"/>
  <c r="Y1964" i="3"/>
  <c r="Y1965" i="3"/>
  <c r="Y1966" i="3"/>
  <c r="Y1967" i="3"/>
  <c r="Y1968" i="3"/>
  <c r="Y1969" i="3"/>
  <c r="Y1970" i="3"/>
  <c r="Y1971" i="3"/>
  <c r="Y1972" i="3"/>
  <c r="Y1973" i="3"/>
  <c r="Y1974" i="3"/>
  <c r="Y1975" i="3"/>
  <c r="Y1976" i="3"/>
  <c r="Y1977" i="3"/>
  <c r="Y1978" i="3"/>
  <c r="Y1979" i="3"/>
  <c r="Y1980" i="3"/>
  <c r="Y1981" i="3"/>
  <c r="Y1982" i="3"/>
  <c r="Y1983" i="3"/>
  <c r="Y1984" i="3"/>
  <c r="Y1985" i="3"/>
  <c r="Y1986" i="3"/>
  <c r="Y1987" i="3"/>
  <c r="Y1988" i="3"/>
  <c r="Y1989" i="3"/>
  <c r="Y1990" i="3"/>
  <c r="Y1991" i="3"/>
  <c r="Y1992" i="3"/>
  <c r="Y1993" i="3"/>
  <c r="Y1994" i="3"/>
  <c r="Y1995" i="3"/>
  <c r="Y1996" i="3"/>
  <c r="Y1997" i="3"/>
  <c r="Y1998" i="3"/>
  <c r="Y1999" i="3"/>
  <c r="Y2000" i="3"/>
  <c r="Y2001" i="3"/>
  <c r="Y2002" i="3"/>
  <c r="Y2003" i="3"/>
  <c r="Y2004" i="3"/>
  <c r="Y2005" i="3"/>
  <c r="Y2006" i="3"/>
  <c r="Y2007" i="3"/>
  <c r="Y2008" i="3"/>
  <c r="Y2009" i="3"/>
  <c r="Y2010" i="3"/>
  <c r="Y2011" i="3"/>
  <c r="Y2012" i="3"/>
  <c r="Y2013" i="3"/>
  <c r="Y2014" i="3"/>
  <c r="Y2015" i="3"/>
  <c r="Y2016" i="3"/>
  <c r="Y2017" i="3"/>
  <c r="Y2018" i="3"/>
  <c r="Y2019" i="3"/>
  <c r="Y2020" i="3"/>
  <c r="Y2021" i="3"/>
  <c r="Y2022" i="3"/>
  <c r="Y2023" i="3"/>
  <c r="Y2024" i="3"/>
  <c r="Y2025" i="3"/>
  <c r="Y2026" i="3"/>
  <c r="Y2027" i="3"/>
  <c r="Y2028" i="3"/>
  <c r="Y2029" i="3"/>
  <c r="Y2030" i="3"/>
  <c r="Y2031" i="3"/>
  <c r="Y2032" i="3"/>
  <c r="Y2033" i="3"/>
  <c r="Y2034" i="3"/>
  <c r="Y2035" i="3"/>
  <c r="Y2036" i="3"/>
  <c r="Y2037" i="3"/>
  <c r="Y2038" i="3"/>
  <c r="Y2039" i="3"/>
  <c r="Y2040" i="3"/>
  <c r="Y2041" i="3"/>
  <c r="Y2042" i="3"/>
  <c r="Y2043" i="3"/>
  <c r="Y2044" i="3"/>
  <c r="Y2045" i="3"/>
  <c r="Y2046" i="3"/>
  <c r="Y2047" i="3"/>
  <c r="Y2048" i="3"/>
  <c r="Y2049" i="3"/>
  <c r="Y2050" i="3"/>
  <c r="Y2051" i="3"/>
  <c r="Y2052" i="3"/>
  <c r="Y2053" i="3"/>
  <c r="Y2054" i="3"/>
  <c r="Y2055" i="3"/>
  <c r="Y2056" i="3"/>
  <c r="Y2057" i="3"/>
  <c r="Y2058" i="3"/>
  <c r="Y2059" i="3"/>
  <c r="Y2060" i="3"/>
  <c r="Y2061" i="3"/>
  <c r="Y2062" i="3"/>
  <c r="Y2063" i="3"/>
  <c r="Y2064" i="3"/>
  <c r="Y2065" i="3"/>
  <c r="Y2066" i="3"/>
  <c r="Y2067" i="3"/>
  <c r="Y2068" i="3"/>
  <c r="Y2069" i="3"/>
  <c r="Y2070" i="3"/>
  <c r="Y2071" i="3"/>
  <c r="Y2072" i="3"/>
  <c r="Y2073" i="3"/>
  <c r="Y2074" i="3"/>
  <c r="Y2075" i="3"/>
  <c r="Y2076" i="3"/>
  <c r="Y2077" i="3"/>
  <c r="Y2078" i="3"/>
  <c r="Y2079" i="3"/>
  <c r="Y2080" i="3"/>
  <c r="Y2081" i="3"/>
  <c r="Y2082" i="3"/>
  <c r="Y2083" i="3"/>
  <c r="Y2084" i="3"/>
  <c r="Y2085" i="3"/>
  <c r="Y2086" i="3"/>
  <c r="Y2087" i="3"/>
  <c r="Y2088" i="3"/>
  <c r="Y2089" i="3"/>
  <c r="Y2090" i="3"/>
  <c r="Y2091" i="3"/>
  <c r="Y2092" i="3"/>
  <c r="Y2093" i="3"/>
  <c r="Y2094" i="3"/>
  <c r="Y2095" i="3"/>
  <c r="Y2096" i="3"/>
  <c r="Y2097" i="3"/>
  <c r="Y2098" i="3"/>
  <c r="Y2099" i="3"/>
  <c r="Y2100" i="3"/>
  <c r="Y2101" i="3"/>
  <c r="Y2102" i="3"/>
  <c r="Y2103" i="3"/>
  <c r="Y2104" i="3"/>
  <c r="Y2105" i="3"/>
  <c r="Y2106" i="3"/>
  <c r="Y2107" i="3"/>
  <c r="Y2108" i="3"/>
  <c r="Y2109" i="3"/>
  <c r="Y2110" i="3"/>
  <c r="Y2111" i="3"/>
  <c r="Y2112" i="3"/>
  <c r="Y2113" i="3"/>
  <c r="Y2114" i="3"/>
  <c r="Y2115" i="3"/>
  <c r="Y2116" i="3"/>
  <c r="Y2117" i="3"/>
  <c r="Y2118" i="3"/>
  <c r="Y2119" i="3"/>
  <c r="Y2120" i="3"/>
  <c r="Y2121" i="3"/>
  <c r="Y2122" i="3"/>
  <c r="Y2123" i="3"/>
  <c r="Y2124" i="3"/>
  <c r="Y2125" i="3"/>
  <c r="Y2126" i="3"/>
  <c r="Y2127" i="3"/>
  <c r="Y2128" i="3"/>
  <c r="Y2129" i="3"/>
  <c r="Y2130" i="3"/>
  <c r="Y2131" i="3"/>
  <c r="Y2132" i="3"/>
  <c r="Y2133" i="3"/>
  <c r="Y2134" i="3"/>
  <c r="Y2135" i="3"/>
  <c r="Y2136" i="3"/>
  <c r="Y2137" i="3"/>
  <c r="Y2138" i="3"/>
  <c r="Y2139" i="3"/>
  <c r="Y2140" i="3"/>
  <c r="Y2141" i="3"/>
  <c r="Y2142" i="3"/>
  <c r="Y2143" i="3"/>
  <c r="Y2144" i="3"/>
  <c r="Y2145" i="3"/>
  <c r="Y2146" i="3"/>
  <c r="Y2147" i="3"/>
  <c r="Y2148" i="3"/>
  <c r="Y2149" i="3"/>
  <c r="Y2150" i="3"/>
  <c r="Y2151" i="3"/>
  <c r="Y2152" i="3"/>
  <c r="Y2153" i="3"/>
  <c r="Y2154" i="3"/>
  <c r="Y2155" i="3"/>
  <c r="Y2156" i="3"/>
  <c r="Y2157" i="3"/>
  <c r="Y2158" i="3"/>
  <c r="Y2159" i="3"/>
  <c r="Y2160" i="3"/>
  <c r="Y2161" i="3"/>
  <c r="Y2162" i="3"/>
  <c r="Y2163" i="3"/>
  <c r="Y2164" i="3"/>
  <c r="Y2165" i="3"/>
  <c r="Y2166" i="3"/>
  <c r="Y2167" i="3"/>
  <c r="Y2168" i="3"/>
  <c r="Y2169" i="3"/>
  <c r="Y2170" i="3"/>
  <c r="Y2171" i="3"/>
  <c r="Y2172" i="3"/>
  <c r="Y2173" i="3"/>
  <c r="Y2174" i="3"/>
  <c r="Y2175" i="3"/>
  <c r="Y2176" i="3"/>
  <c r="Y2177" i="3"/>
  <c r="Y2178" i="3"/>
  <c r="Y2179" i="3"/>
  <c r="Y2180" i="3"/>
  <c r="Y2181" i="3"/>
  <c r="Y2182" i="3"/>
  <c r="Y2183" i="3"/>
  <c r="Y2184" i="3"/>
  <c r="Y2185" i="3"/>
  <c r="Y2186" i="3"/>
  <c r="Y2187" i="3"/>
  <c r="Y2188" i="3"/>
  <c r="Y2189" i="3"/>
  <c r="Y2190" i="3"/>
  <c r="Y2191" i="3"/>
  <c r="Y2192" i="3"/>
  <c r="Y2193" i="3"/>
  <c r="Y2194" i="3"/>
  <c r="Y2195" i="3"/>
  <c r="Y2196" i="3"/>
  <c r="Y2197" i="3"/>
  <c r="Y2198" i="3"/>
  <c r="Y2199" i="3"/>
  <c r="Y2200" i="3"/>
  <c r="Y2201" i="3"/>
  <c r="Y2202" i="3"/>
  <c r="Y2203" i="3"/>
  <c r="Y2204" i="3"/>
  <c r="Y2205" i="3"/>
  <c r="Y2206" i="3"/>
  <c r="Y2207" i="3"/>
  <c r="Y2208" i="3"/>
  <c r="Y2209" i="3"/>
  <c r="Y2210" i="3"/>
  <c r="Y2211" i="3"/>
  <c r="Y2212" i="3"/>
  <c r="Y2213" i="3"/>
  <c r="Y2214" i="3"/>
  <c r="Y2215" i="3"/>
  <c r="Y2216" i="3"/>
  <c r="Y2217" i="3"/>
  <c r="Y2218" i="3"/>
  <c r="Y2219" i="3"/>
  <c r="Y2220" i="3"/>
  <c r="Y2221" i="3"/>
  <c r="Y2222" i="3"/>
  <c r="Y2223" i="3"/>
  <c r="Y2224" i="3"/>
  <c r="Y2225" i="3"/>
  <c r="Y2226" i="3"/>
  <c r="Y2227" i="3"/>
  <c r="Y2228" i="3"/>
  <c r="Y2229" i="3"/>
  <c r="Y2230" i="3"/>
  <c r="Y2231" i="3"/>
  <c r="Y2232" i="3"/>
  <c r="Y2233" i="3"/>
  <c r="Y2234" i="3"/>
  <c r="Y2235" i="3"/>
  <c r="Y2236" i="3"/>
  <c r="Y2237" i="3"/>
  <c r="Y2238" i="3"/>
  <c r="Y2239" i="3"/>
  <c r="Y2240" i="3"/>
  <c r="Y2241" i="3"/>
  <c r="Y2242" i="3"/>
  <c r="Y2243" i="3"/>
  <c r="Y2244" i="3"/>
  <c r="Y2245" i="3"/>
  <c r="Y2246" i="3"/>
  <c r="Y2247" i="3"/>
  <c r="Y2248" i="3"/>
  <c r="Y2249" i="3"/>
  <c r="Y2250" i="3"/>
  <c r="Y2251" i="3"/>
  <c r="Y2252" i="3"/>
  <c r="Y2253" i="3"/>
  <c r="Y2254" i="3"/>
  <c r="Y2255" i="3"/>
  <c r="Y2256" i="3"/>
  <c r="Y2257" i="3"/>
  <c r="Y2258" i="3"/>
  <c r="Y2259" i="3"/>
  <c r="Y2260" i="3"/>
  <c r="Y2261" i="3"/>
  <c r="Y2262" i="3"/>
  <c r="Y2263" i="3"/>
  <c r="Y2264" i="3"/>
  <c r="Y2265" i="3"/>
  <c r="Y2266" i="3"/>
  <c r="Y2267" i="3"/>
  <c r="Y2268" i="3"/>
  <c r="Y2269" i="3"/>
  <c r="Y2270" i="3"/>
  <c r="Y2271" i="3"/>
  <c r="Y2272" i="3"/>
  <c r="Y2273" i="3"/>
  <c r="Y2274" i="3"/>
  <c r="Y2275" i="3"/>
  <c r="Y2276" i="3"/>
  <c r="Y2277" i="3"/>
  <c r="Y2278" i="3"/>
  <c r="Y2279" i="3"/>
  <c r="Y2280" i="3"/>
  <c r="Y2281" i="3"/>
  <c r="Y2282" i="3"/>
  <c r="Y2283" i="3"/>
  <c r="Y2284" i="3"/>
  <c r="Y2285" i="3"/>
  <c r="Y2286" i="3"/>
  <c r="Y2287" i="3"/>
  <c r="Y2288" i="3"/>
  <c r="Y2289" i="3"/>
  <c r="Y2290" i="3"/>
  <c r="Y2291" i="3"/>
  <c r="Y2292" i="3"/>
  <c r="Y2293" i="3"/>
  <c r="Y2294" i="3"/>
  <c r="Y2295" i="3"/>
  <c r="Y2296" i="3"/>
  <c r="Y2297" i="3"/>
  <c r="Y2298" i="3"/>
  <c r="Y2299" i="3"/>
  <c r="Y2300" i="3"/>
  <c r="Y2301" i="3"/>
  <c r="Y2302" i="3"/>
  <c r="Y2303" i="3"/>
  <c r="Y2304" i="3"/>
  <c r="Y2305" i="3"/>
  <c r="Y2306" i="3"/>
  <c r="Y2307" i="3"/>
  <c r="Y2308" i="3"/>
  <c r="Y2309" i="3"/>
  <c r="Y2310" i="3"/>
  <c r="Y2311" i="3"/>
  <c r="Y2312" i="3"/>
  <c r="Y2313" i="3"/>
  <c r="Y2314" i="3"/>
  <c r="Y2315" i="3"/>
  <c r="Y2316" i="3"/>
  <c r="Y2317" i="3"/>
  <c r="Y2318" i="3"/>
  <c r="Y2319" i="3"/>
  <c r="Y2320" i="3"/>
  <c r="Y2321" i="3"/>
  <c r="Y2322" i="3"/>
  <c r="Y2323" i="3"/>
  <c r="Y2324" i="3"/>
  <c r="Y2325" i="3"/>
  <c r="Y2326" i="3"/>
  <c r="Y2327" i="3"/>
  <c r="Y2328" i="3"/>
  <c r="Y2329" i="3"/>
  <c r="Y2330" i="3"/>
  <c r="Y2331" i="3"/>
  <c r="Y2332" i="3"/>
  <c r="Y2333" i="3"/>
  <c r="Y2334" i="3"/>
  <c r="Y2335" i="3"/>
  <c r="Y2336" i="3"/>
  <c r="Y2337" i="3"/>
  <c r="Y2338" i="3"/>
  <c r="Y2339" i="3"/>
  <c r="Y2340" i="3"/>
  <c r="Y2341" i="3"/>
  <c r="Y2342" i="3"/>
  <c r="Y2343" i="3"/>
  <c r="Y2344" i="3"/>
  <c r="Y2345" i="3"/>
  <c r="Y2346" i="3"/>
  <c r="Y2347" i="3"/>
  <c r="Y2348" i="3"/>
  <c r="Y2349" i="3"/>
  <c r="Y2350" i="3"/>
  <c r="Y2351" i="3"/>
  <c r="Y2352" i="3"/>
  <c r="Y2353" i="3"/>
  <c r="Y2354" i="3"/>
  <c r="Y2355" i="3"/>
  <c r="Y2356" i="3"/>
  <c r="Y2357" i="3"/>
  <c r="Y2358" i="3"/>
  <c r="Y2359" i="3"/>
  <c r="Y2360" i="3"/>
  <c r="Y2361" i="3"/>
  <c r="Y2362" i="3"/>
  <c r="Y2363" i="3"/>
  <c r="Y2364" i="3"/>
  <c r="Y2365" i="3"/>
  <c r="Y2366" i="3"/>
  <c r="Y2367" i="3"/>
  <c r="Y2368" i="3"/>
  <c r="Y2369" i="3"/>
  <c r="Y2370" i="3"/>
  <c r="Y2371" i="3"/>
  <c r="Y2372" i="3"/>
  <c r="Y2373" i="3"/>
  <c r="Y2374" i="3"/>
  <c r="Y2375" i="3"/>
  <c r="Y2376" i="3"/>
  <c r="Y2377" i="3"/>
  <c r="Y2378" i="3"/>
  <c r="Y2379" i="3"/>
  <c r="Y2380" i="3"/>
  <c r="Y2381" i="3"/>
  <c r="Y2382" i="3"/>
  <c r="Y2383" i="3"/>
  <c r="Y2384" i="3"/>
  <c r="Y2385" i="3"/>
  <c r="Y2386" i="3"/>
  <c r="Y2387" i="3"/>
  <c r="Y2388" i="3"/>
  <c r="Y2389" i="3"/>
  <c r="Y2390" i="3"/>
  <c r="Y2391" i="3"/>
  <c r="Y2392" i="3"/>
  <c r="Y2393" i="3"/>
  <c r="Y2394" i="3"/>
  <c r="Y2395" i="3"/>
  <c r="Y2396" i="3"/>
  <c r="Y2397" i="3"/>
  <c r="Y2398" i="3"/>
  <c r="Y2399" i="3"/>
  <c r="Y2400" i="3"/>
  <c r="Y2401" i="3"/>
  <c r="Y2402" i="3"/>
  <c r="Y2403" i="3"/>
  <c r="Y2404" i="3"/>
  <c r="Y2405" i="3"/>
  <c r="Y2406" i="3"/>
  <c r="Y2407" i="3"/>
  <c r="Y2408" i="3"/>
  <c r="Y2409" i="3"/>
  <c r="Y2411" i="3"/>
  <c r="Y2412" i="3"/>
  <c r="Y2413" i="3"/>
  <c r="Y3" i="3"/>
  <c r="Y4" i="3"/>
  <c r="Y5" i="3"/>
  <c r="Y6" i="3"/>
  <c r="Y7" i="3"/>
  <c r="Y8" i="3"/>
  <c r="Y9" i="3"/>
  <c r="Y10" i="3"/>
  <c r="Y11" i="3"/>
  <c r="Y12" i="3"/>
  <c r="Y13" i="3"/>
  <c r="Y14" i="3"/>
  <c r="Y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1507" i="3"/>
  <c r="X1508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1541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5" i="3"/>
  <c r="X1966" i="3"/>
  <c r="X1967" i="3"/>
  <c r="X1968" i="3"/>
  <c r="X1969" i="3"/>
  <c r="X1970" i="3"/>
  <c r="X1971" i="3"/>
  <c r="X1972" i="3"/>
  <c r="X1973" i="3"/>
  <c r="X1974" i="3"/>
  <c r="X1975" i="3"/>
  <c r="X1976" i="3"/>
  <c r="X1977" i="3"/>
  <c r="X1978" i="3"/>
  <c r="X1979" i="3"/>
  <c r="X1980" i="3"/>
  <c r="X1981" i="3"/>
  <c r="X1982" i="3"/>
  <c r="X1983" i="3"/>
  <c r="X1984" i="3"/>
  <c r="X1985" i="3"/>
  <c r="X1986" i="3"/>
  <c r="X1987" i="3"/>
  <c r="X1988" i="3"/>
  <c r="X1989" i="3"/>
  <c r="X1990" i="3"/>
  <c r="X1991" i="3"/>
  <c r="X1992" i="3"/>
  <c r="X1993" i="3"/>
  <c r="X1994" i="3"/>
  <c r="X1995" i="3"/>
  <c r="X1996" i="3"/>
  <c r="X1997" i="3"/>
  <c r="X1998" i="3"/>
  <c r="X1999" i="3"/>
  <c r="X2000" i="3"/>
  <c r="X2001" i="3"/>
  <c r="X2002" i="3"/>
  <c r="X2003" i="3"/>
  <c r="X2004" i="3"/>
  <c r="X2005" i="3"/>
  <c r="X2006" i="3"/>
  <c r="X2007" i="3"/>
  <c r="X2008" i="3"/>
  <c r="X2009" i="3"/>
  <c r="X2010" i="3"/>
  <c r="X2011" i="3"/>
  <c r="X2012" i="3"/>
  <c r="X2013" i="3"/>
  <c r="X2014" i="3"/>
  <c r="X2015" i="3"/>
  <c r="X2016" i="3"/>
  <c r="X2017" i="3"/>
  <c r="X2018" i="3"/>
  <c r="X2019" i="3"/>
  <c r="X2020" i="3"/>
  <c r="X2021" i="3"/>
  <c r="X2022" i="3"/>
  <c r="X2023" i="3"/>
  <c r="X2024" i="3"/>
  <c r="X2025" i="3"/>
  <c r="X2026" i="3"/>
  <c r="X2027" i="3"/>
  <c r="X2028" i="3"/>
  <c r="X2029" i="3"/>
  <c r="X2030" i="3"/>
  <c r="X2031" i="3"/>
  <c r="X2032" i="3"/>
  <c r="X2033" i="3"/>
  <c r="X2034" i="3"/>
  <c r="X2035" i="3"/>
  <c r="X2036" i="3"/>
  <c r="X2037" i="3"/>
  <c r="X2038" i="3"/>
  <c r="X2039" i="3"/>
  <c r="X2040" i="3"/>
  <c r="X2041" i="3"/>
  <c r="X2042" i="3"/>
  <c r="X2043" i="3"/>
  <c r="X2044" i="3"/>
  <c r="X2045" i="3"/>
  <c r="X2046" i="3"/>
  <c r="X2047" i="3"/>
  <c r="X2048" i="3"/>
  <c r="X2049" i="3"/>
  <c r="X2050" i="3"/>
  <c r="X2051" i="3"/>
  <c r="X2052" i="3"/>
  <c r="X2053" i="3"/>
  <c r="X2054" i="3"/>
  <c r="X2055" i="3"/>
  <c r="X2056" i="3"/>
  <c r="X2057" i="3"/>
  <c r="X2058" i="3"/>
  <c r="X2059" i="3"/>
  <c r="X2060" i="3"/>
  <c r="X2061" i="3"/>
  <c r="X2062" i="3"/>
  <c r="X2063" i="3"/>
  <c r="X2064" i="3"/>
  <c r="X2065" i="3"/>
  <c r="X2066" i="3"/>
  <c r="X2067" i="3"/>
  <c r="X2068" i="3"/>
  <c r="X2069" i="3"/>
  <c r="X2070" i="3"/>
  <c r="X2071" i="3"/>
  <c r="X2072" i="3"/>
  <c r="X2073" i="3"/>
  <c r="X2074" i="3"/>
  <c r="X2075" i="3"/>
  <c r="X2076" i="3"/>
  <c r="X2077" i="3"/>
  <c r="X2078" i="3"/>
  <c r="X2079" i="3"/>
  <c r="X2080" i="3"/>
  <c r="X2081" i="3"/>
  <c r="X2082" i="3"/>
  <c r="X2083" i="3"/>
  <c r="X2084" i="3"/>
  <c r="X2085" i="3"/>
  <c r="X2086" i="3"/>
  <c r="X2087" i="3"/>
  <c r="X2088" i="3"/>
  <c r="X2089" i="3"/>
  <c r="X2090" i="3"/>
  <c r="X2091" i="3"/>
  <c r="X2092" i="3"/>
  <c r="X2093" i="3"/>
  <c r="X2094" i="3"/>
  <c r="X2095" i="3"/>
  <c r="X2096" i="3"/>
  <c r="X2097" i="3"/>
  <c r="X2098" i="3"/>
  <c r="X2099" i="3"/>
  <c r="X2100" i="3"/>
  <c r="X2101" i="3"/>
  <c r="X2102" i="3"/>
  <c r="X2103" i="3"/>
  <c r="X2104" i="3"/>
  <c r="X2105" i="3"/>
  <c r="X2106" i="3"/>
  <c r="X2107" i="3"/>
  <c r="X2108" i="3"/>
  <c r="X2109" i="3"/>
  <c r="X2110" i="3"/>
  <c r="X2111" i="3"/>
  <c r="X2112" i="3"/>
  <c r="X2113" i="3"/>
  <c r="X2114" i="3"/>
  <c r="X2115" i="3"/>
  <c r="X2116" i="3"/>
  <c r="X2117" i="3"/>
  <c r="X2118" i="3"/>
  <c r="X2119" i="3"/>
  <c r="X2120" i="3"/>
  <c r="X2121" i="3"/>
  <c r="X2122" i="3"/>
  <c r="X2123" i="3"/>
  <c r="X2124" i="3"/>
  <c r="X2125" i="3"/>
  <c r="X2126" i="3"/>
  <c r="X2127" i="3"/>
  <c r="X2128" i="3"/>
  <c r="X2129" i="3"/>
  <c r="X2130" i="3"/>
  <c r="X2131" i="3"/>
  <c r="X2132" i="3"/>
  <c r="X2133" i="3"/>
  <c r="X2134" i="3"/>
  <c r="X2135" i="3"/>
  <c r="X2136" i="3"/>
  <c r="X2137" i="3"/>
  <c r="X2138" i="3"/>
  <c r="X2139" i="3"/>
  <c r="X2140" i="3"/>
  <c r="X2141" i="3"/>
  <c r="X2142" i="3"/>
  <c r="X2143" i="3"/>
  <c r="X2144" i="3"/>
  <c r="X2145" i="3"/>
  <c r="X2146" i="3"/>
  <c r="X2147" i="3"/>
  <c r="X2148" i="3"/>
  <c r="X2149" i="3"/>
  <c r="X2150" i="3"/>
  <c r="X2151" i="3"/>
  <c r="X2152" i="3"/>
  <c r="X2153" i="3"/>
  <c r="X2154" i="3"/>
  <c r="X2155" i="3"/>
  <c r="X2156" i="3"/>
  <c r="X2157" i="3"/>
  <c r="X2158" i="3"/>
  <c r="X2159" i="3"/>
  <c r="X2160" i="3"/>
  <c r="X2161" i="3"/>
  <c r="X2162" i="3"/>
  <c r="X2163" i="3"/>
  <c r="X2164" i="3"/>
  <c r="X2165" i="3"/>
  <c r="X2166" i="3"/>
  <c r="X2167" i="3"/>
  <c r="X2168" i="3"/>
  <c r="X2169" i="3"/>
  <c r="X2170" i="3"/>
  <c r="X2171" i="3"/>
  <c r="X2172" i="3"/>
  <c r="X2173" i="3"/>
  <c r="X2174" i="3"/>
  <c r="X2175" i="3"/>
  <c r="X2176" i="3"/>
  <c r="X2177" i="3"/>
  <c r="X2178" i="3"/>
  <c r="X2179" i="3"/>
  <c r="X2180" i="3"/>
  <c r="X2181" i="3"/>
  <c r="X2182" i="3"/>
  <c r="X2183" i="3"/>
  <c r="X2184" i="3"/>
  <c r="X2185" i="3"/>
  <c r="X2186" i="3"/>
  <c r="X2187" i="3"/>
  <c r="X2188" i="3"/>
  <c r="X2189" i="3"/>
  <c r="X2190" i="3"/>
  <c r="X2191" i="3"/>
  <c r="X2192" i="3"/>
  <c r="X2193" i="3"/>
  <c r="X2194" i="3"/>
  <c r="X2195" i="3"/>
  <c r="X2196" i="3"/>
  <c r="X2197" i="3"/>
  <c r="X2198" i="3"/>
  <c r="X2199" i="3"/>
  <c r="X2200" i="3"/>
  <c r="X2201" i="3"/>
  <c r="X2202" i="3"/>
  <c r="X2203" i="3"/>
  <c r="X2204" i="3"/>
  <c r="X2205" i="3"/>
  <c r="X2206" i="3"/>
  <c r="X2207" i="3"/>
  <c r="X2208" i="3"/>
  <c r="X2209" i="3"/>
  <c r="X2210" i="3"/>
  <c r="X2211" i="3"/>
  <c r="X2212" i="3"/>
  <c r="X2213" i="3"/>
  <c r="X2214" i="3"/>
  <c r="X2215" i="3"/>
  <c r="X2216" i="3"/>
  <c r="X2217" i="3"/>
  <c r="X2218" i="3"/>
  <c r="X2219" i="3"/>
  <c r="X2220" i="3"/>
  <c r="X2221" i="3"/>
  <c r="X2222" i="3"/>
  <c r="X2223" i="3"/>
  <c r="X2224" i="3"/>
  <c r="X2225" i="3"/>
  <c r="X2226" i="3"/>
  <c r="X2227" i="3"/>
  <c r="X2228" i="3"/>
  <c r="X2229" i="3"/>
  <c r="X2230" i="3"/>
  <c r="X2231" i="3"/>
  <c r="X2232" i="3"/>
  <c r="X2233" i="3"/>
  <c r="X2234" i="3"/>
  <c r="X2235" i="3"/>
  <c r="X2236" i="3"/>
  <c r="X2237" i="3"/>
  <c r="X2238" i="3"/>
  <c r="X2239" i="3"/>
  <c r="X2240" i="3"/>
  <c r="X2241" i="3"/>
  <c r="X2242" i="3"/>
  <c r="X2243" i="3"/>
  <c r="X2244" i="3"/>
  <c r="X2245" i="3"/>
  <c r="X2246" i="3"/>
  <c r="X2247" i="3"/>
  <c r="X2248" i="3"/>
  <c r="X2249" i="3"/>
  <c r="X2250" i="3"/>
  <c r="X2251" i="3"/>
  <c r="X2252" i="3"/>
  <c r="X2253" i="3"/>
  <c r="X2254" i="3"/>
  <c r="X2255" i="3"/>
  <c r="X2256" i="3"/>
  <c r="X2257" i="3"/>
  <c r="X2258" i="3"/>
  <c r="X2259" i="3"/>
  <c r="X2260" i="3"/>
  <c r="X2261" i="3"/>
  <c r="X2262" i="3"/>
  <c r="X2263" i="3"/>
  <c r="X2264" i="3"/>
  <c r="X2265" i="3"/>
  <c r="X2266" i="3"/>
  <c r="X2267" i="3"/>
  <c r="X2268" i="3"/>
  <c r="X2269" i="3"/>
  <c r="X2270" i="3"/>
  <c r="X2271" i="3"/>
  <c r="X2272" i="3"/>
  <c r="X2273" i="3"/>
  <c r="X2274" i="3"/>
  <c r="X2275" i="3"/>
  <c r="X2276" i="3"/>
  <c r="X2277" i="3"/>
  <c r="X2278" i="3"/>
  <c r="X2279" i="3"/>
  <c r="X2280" i="3"/>
  <c r="X2281" i="3"/>
  <c r="X2282" i="3"/>
  <c r="X2283" i="3"/>
  <c r="X2284" i="3"/>
  <c r="X2285" i="3"/>
  <c r="X2286" i="3"/>
  <c r="X2287" i="3"/>
  <c r="X2288" i="3"/>
  <c r="X2289" i="3"/>
  <c r="X2290" i="3"/>
  <c r="X2291" i="3"/>
  <c r="X2292" i="3"/>
  <c r="X2293" i="3"/>
  <c r="X2294" i="3"/>
  <c r="X2295" i="3"/>
  <c r="X2296" i="3"/>
  <c r="X2297" i="3"/>
  <c r="X2298" i="3"/>
  <c r="X2299" i="3"/>
  <c r="X2300" i="3"/>
  <c r="X2301" i="3"/>
  <c r="X2302" i="3"/>
  <c r="X2303" i="3"/>
  <c r="X2304" i="3"/>
  <c r="X2305" i="3"/>
  <c r="X2306" i="3"/>
  <c r="X2307" i="3"/>
  <c r="X2308" i="3"/>
  <c r="X2309" i="3"/>
  <c r="X2310" i="3"/>
  <c r="X2311" i="3"/>
  <c r="X2312" i="3"/>
  <c r="X2313" i="3"/>
  <c r="X2314" i="3"/>
  <c r="X2315" i="3"/>
  <c r="X2316" i="3"/>
  <c r="X2317" i="3"/>
  <c r="X2318" i="3"/>
  <c r="X2319" i="3"/>
  <c r="X2320" i="3"/>
  <c r="X2321" i="3"/>
  <c r="X2322" i="3"/>
  <c r="X2323" i="3"/>
  <c r="X2324" i="3"/>
  <c r="X2325" i="3"/>
  <c r="X2326" i="3"/>
  <c r="X2327" i="3"/>
  <c r="X2328" i="3"/>
  <c r="X2329" i="3"/>
  <c r="X2330" i="3"/>
  <c r="X2331" i="3"/>
  <c r="X2332" i="3"/>
  <c r="X2333" i="3"/>
  <c r="X2334" i="3"/>
  <c r="X2335" i="3"/>
  <c r="X2336" i="3"/>
  <c r="X2337" i="3"/>
  <c r="X2338" i="3"/>
  <c r="X2339" i="3"/>
  <c r="X2340" i="3"/>
  <c r="X2341" i="3"/>
  <c r="X2342" i="3"/>
  <c r="X2343" i="3"/>
  <c r="X2344" i="3"/>
  <c r="X2345" i="3"/>
  <c r="X2346" i="3"/>
  <c r="X2347" i="3"/>
  <c r="X2348" i="3"/>
  <c r="X2349" i="3"/>
  <c r="X2350" i="3"/>
  <c r="X2351" i="3"/>
  <c r="X2352" i="3"/>
  <c r="X2353" i="3"/>
  <c r="X2354" i="3"/>
  <c r="X2355" i="3"/>
  <c r="X2356" i="3"/>
  <c r="X2357" i="3"/>
  <c r="X2358" i="3"/>
  <c r="X2359" i="3"/>
  <c r="X2360" i="3"/>
  <c r="X2361" i="3"/>
  <c r="X2362" i="3"/>
  <c r="X2363" i="3"/>
  <c r="X2364" i="3"/>
  <c r="X2365" i="3"/>
  <c r="X2366" i="3"/>
  <c r="X2367" i="3"/>
  <c r="X2368" i="3"/>
  <c r="X2369" i="3"/>
  <c r="X2370" i="3"/>
  <c r="X2371" i="3"/>
  <c r="X2372" i="3"/>
  <c r="X2373" i="3"/>
  <c r="X2374" i="3"/>
  <c r="X2375" i="3"/>
  <c r="X2376" i="3"/>
  <c r="X2377" i="3"/>
  <c r="X2378" i="3"/>
  <c r="X2379" i="3"/>
  <c r="X2380" i="3"/>
  <c r="X2381" i="3"/>
  <c r="X2382" i="3"/>
  <c r="X2383" i="3"/>
  <c r="X2384" i="3"/>
  <c r="X2385" i="3"/>
  <c r="X2386" i="3"/>
  <c r="X2387" i="3"/>
  <c r="X2388" i="3"/>
  <c r="X2389" i="3"/>
  <c r="X2390" i="3"/>
  <c r="X2391" i="3"/>
  <c r="X2392" i="3"/>
  <c r="X2393" i="3"/>
  <c r="X2394" i="3"/>
  <c r="X2395" i="3"/>
  <c r="X2396" i="3"/>
  <c r="X2397" i="3"/>
  <c r="X2398" i="3"/>
  <c r="X2399" i="3"/>
  <c r="X2400" i="3"/>
  <c r="X2401" i="3"/>
  <c r="X2402" i="3"/>
  <c r="X2403" i="3"/>
  <c r="X2404" i="3"/>
  <c r="X2405" i="3"/>
  <c r="X2406" i="3"/>
  <c r="X2407" i="3"/>
  <c r="X2408" i="3"/>
  <c r="X2409" i="3"/>
  <c r="X2411" i="3"/>
  <c r="X2412" i="3"/>
  <c r="X2413" i="3"/>
  <c r="X12" i="3"/>
  <c r="X11" i="3"/>
  <c r="X10" i="3"/>
  <c r="X9" i="3"/>
  <c r="X8" i="3"/>
  <c r="X7" i="3"/>
  <c r="X6" i="3"/>
  <c r="X5" i="3"/>
  <c r="X4" i="3"/>
  <c r="X3" i="3"/>
  <c r="X2" i="3"/>
  <c r="M1350" i="3"/>
  <c r="M1351" i="3"/>
  <c r="M1352" i="3"/>
  <c r="M1353" i="3"/>
  <c r="M1354" i="3"/>
  <c r="M1355" i="3"/>
  <c r="M1356" i="3"/>
  <c r="M1357" i="3"/>
  <c r="M1358" i="3"/>
  <c r="M1359" i="3"/>
  <c r="M1360" i="3"/>
  <c r="M1361" i="3"/>
  <c r="M1362" i="3"/>
  <c r="M1363" i="3"/>
  <c r="M1364" i="3"/>
  <c r="M1365" i="3"/>
  <c r="M1366" i="3"/>
  <c r="M1367" i="3"/>
  <c r="M1368" i="3"/>
  <c r="M1369" i="3"/>
  <c r="M1370" i="3"/>
  <c r="M1371" i="3"/>
  <c r="M1372" i="3"/>
  <c r="M1373" i="3"/>
  <c r="M1374" i="3"/>
  <c r="M1375" i="3"/>
  <c r="M1376" i="3"/>
  <c r="M1377" i="3"/>
  <c r="M1378" i="3"/>
  <c r="M1379" i="3"/>
  <c r="M1380" i="3"/>
  <c r="M1381" i="3"/>
  <c r="M1382" i="3"/>
  <c r="M1383" i="3"/>
  <c r="M1384" i="3"/>
  <c r="M1385" i="3"/>
  <c r="M1386" i="3"/>
  <c r="M1387" i="3"/>
  <c r="M1388" i="3"/>
  <c r="M1389" i="3"/>
  <c r="M1390" i="3"/>
  <c r="M1391" i="3"/>
  <c r="M1392" i="3"/>
  <c r="M1393" i="3"/>
  <c r="M1349" i="3"/>
  <c r="B12" i="23"/>
  <c r="AD12" i="23" s="1"/>
  <c r="C12" i="23"/>
  <c r="B72" i="23"/>
  <c r="AD72" i="23" s="1"/>
  <c r="D72" i="23"/>
  <c r="E72" i="23"/>
  <c r="F72" i="23"/>
  <c r="G72" i="23"/>
  <c r="C72" i="23"/>
  <c r="M2" i="3"/>
  <c r="Q78" i="23" l="1"/>
  <c r="N85" i="23"/>
  <c r="N82" i="23"/>
  <c r="N33" i="23"/>
  <c r="AD49" i="23"/>
  <c r="K49" i="23"/>
  <c r="J49" i="23"/>
  <c r="O126" i="23"/>
  <c r="N119" i="23"/>
  <c r="P104" i="23"/>
  <c r="O53" i="23"/>
  <c r="O79" i="23"/>
  <c r="N114" i="23"/>
  <c r="O64" i="23"/>
  <c r="N37" i="23"/>
  <c r="Q115" i="23"/>
  <c r="P96" i="23"/>
  <c r="P118" i="23"/>
  <c r="O4" i="23"/>
  <c r="N134" i="23"/>
  <c r="N23" i="23"/>
  <c r="N121" i="23"/>
  <c r="P105" i="23"/>
  <c r="N15" i="23"/>
  <c r="P55" i="23"/>
  <c r="N101" i="23"/>
  <c r="N27" i="23"/>
  <c r="P39" i="23"/>
  <c r="O71" i="23"/>
  <c r="N95" i="23"/>
  <c r="O99" i="23"/>
  <c r="N120" i="23"/>
  <c r="P24" i="23"/>
  <c r="P19" i="23"/>
  <c r="N38" i="23"/>
  <c r="P97" i="23"/>
  <c r="U112" i="23"/>
  <c r="N87" i="23"/>
  <c r="O9" i="23"/>
  <c r="P57" i="23"/>
  <c r="O116" i="23"/>
  <c r="N17" i="23"/>
  <c r="P124" i="23"/>
  <c r="P62" i="23"/>
  <c r="N13" i="23"/>
  <c r="N26" i="23"/>
  <c r="U48" i="23"/>
  <c r="N86" i="23"/>
  <c r="P47" i="23"/>
  <c r="N16" i="23"/>
  <c r="N34" i="23"/>
  <c r="P25" i="23"/>
  <c r="N49" i="23"/>
  <c r="V49" i="23"/>
  <c r="U49" i="23"/>
  <c r="T49" i="23"/>
  <c r="S49" i="23"/>
  <c r="N45" i="23"/>
  <c r="N98" i="23"/>
  <c r="P103" i="23"/>
  <c r="N128" i="23"/>
  <c r="P52" i="23"/>
  <c r="N44" i="23"/>
  <c r="O76" i="23"/>
  <c r="N109" i="23"/>
  <c r="P56" i="23"/>
  <c r="O100" i="23"/>
  <c r="O41" i="23"/>
  <c r="P7" i="23"/>
  <c r="Q89" i="23"/>
  <c r="Q49" i="23"/>
  <c r="P49" i="23"/>
  <c r="O49" i="23"/>
  <c r="O46" i="23"/>
  <c r="T72" i="23"/>
  <c r="O110" i="23"/>
  <c r="Q133" i="23"/>
  <c r="Q125" i="23"/>
  <c r="Q75" i="23"/>
  <c r="Q5" i="23"/>
  <c r="Q58" i="23"/>
  <c r="Q18" i="23"/>
  <c r="Q28" i="23"/>
  <c r="Q92" i="23"/>
  <c r="Q63" i="23"/>
  <c r="Q40" i="23"/>
  <c r="P132" i="23"/>
  <c r="P123" i="23"/>
  <c r="P2" i="23"/>
  <c r="O51" i="23"/>
  <c r="O127" i="23"/>
  <c r="O77" i="23"/>
  <c r="P8" i="23"/>
  <c r="P59" i="23"/>
  <c r="O130" i="23"/>
  <c r="O11" i="23"/>
  <c r="P108" i="23"/>
  <c r="P102" i="23"/>
  <c r="P30" i="23"/>
  <c r="O65" i="23"/>
  <c r="O61" i="23"/>
  <c r="O22" i="23"/>
  <c r="O54" i="23"/>
  <c r="O90" i="23"/>
  <c r="O88" i="23"/>
  <c r="S133" i="23"/>
  <c r="S84" i="23"/>
  <c r="S118" i="23"/>
  <c r="S105" i="23"/>
  <c r="S15" i="23"/>
  <c r="S135" i="23"/>
  <c r="S16" i="23"/>
  <c r="S19" i="23"/>
  <c r="S27" i="23"/>
  <c r="S50" i="23"/>
  <c r="S13" i="23"/>
  <c r="S90" i="23"/>
  <c r="T13" i="23"/>
  <c r="T90" i="23"/>
  <c r="T91" i="23"/>
  <c r="T33" i="23"/>
  <c r="T37" i="23"/>
  <c r="T29" i="23"/>
  <c r="T134" i="23"/>
  <c r="T4" i="23"/>
  <c r="T3" i="23"/>
  <c r="T104" i="23"/>
  <c r="T86" i="23"/>
  <c r="T120" i="23"/>
  <c r="T88" i="23"/>
  <c r="U13" i="23"/>
  <c r="U117" i="23"/>
  <c r="U25" i="23"/>
  <c r="U90" i="23"/>
  <c r="U97" i="23"/>
  <c r="U30" i="23"/>
  <c r="U27" i="23"/>
  <c r="U62" i="23"/>
  <c r="U50" i="23"/>
  <c r="U39" i="23"/>
  <c r="U55" i="23"/>
  <c r="U16" i="23"/>
  <c r="U102" i="23"/>
  <c r="U19" i="23"/>
  <c r="U129" i="23"/>
  <c r="U53" i="23"/>
  <c r="U70" i="23"/>
  <c r="U56" i="23"/>
  <c r="U78" i="23"/>
  <c r="U51" i="23"/>
  <c r="U127" i="23"/>
  <c r="U86" i="23"/>
  <c r="U77" i="23"/>
  <c r="U120" i="23"/>
  <c r="U8" i="23"/>
  <c r="U98" i="23"/>
  <c r="U104" i="23"/>
  <c r="S88" i="23"/>
  <c r="S122" i="23"/>
  <c r="S83" i="23"/>
  <c r="S9" i="23"/>
  <c r="S59" i="23"/>
  <c r="S24" i="23"/>
  <c r="S103" i="23"/>
  <c r="S82" i="23"/>
  <c r="S114" i="23"/>
  <c r="S65" i="23"/>
  <c r="S61" i="23"/>
  <c r="S22" i="23"/>
  <c r="S115" i="23"/>
  <c r="S89" i="23"/>
  <c r="T22" i="23"/>
  <c r="T115" i="23"/>
  <c r="T89" i="23"/>
  <c r="T128" i="23"/>
  <c r="T32" i="23"/>
  <c r="T23" i="23"/>
  <c r="T74" i="23"/>
  <c r="T124" i="23"/>
  <c r="T116" i="23"/>
  <c r="T6" i="23"/>
  <c r="T58" i="23"/>
  <c r="T85" i="23"/>
  <c r="T119" i="23"/>
  <c r="T78" i="23"/>
  <c r="T112" i="23"/>
  <c r="V22" i="23"/>
  <c r="V7" i="23"/>
  <c r="V115" i="23"/>
  <c r="V89" i="23"/>
  <c r="V96" i="23"/>
  <c r="V92" i="23"/>
  <c r="V65" i="23"/>
  <c r="V34" i="23"/>
  <c r="V61" i="23"/>
  <c r="V38" i="23"/>
  <c r="V108" i="23"/>
  <c r="V82" i="23"/>
  <c r="V100" i="23"/>
  <c r="V114" i="23"/>
  <c r="V130" i="23"/>
  <c r="V4" i="23"/>
  <c r="V10" i="23"/>
  <c r="V14" i="23"/>
  <c r="V126" i="23"/>
  <c r="V85" i="23"/>
  <c r="V76" i="23"/>
  <c r="V119" i="23"/>
  <c r="V6" i="23"/>
  <c r="V109" i="23"/>
  <c r="V58" i="23"/>
  <c r="S78" i="23"/>
  <c r="S127" i="23"/>
  <c r="S77" i="23"/>
  <c r="S8" i="23"/>
  <c r="S104" i="23"/>
  <c r="S53" i="23"/>
  <c r="S56" i="23"/>
  <c r="S29" i="23"/>
  <c r="S134" i="23"/>
  <c r="S64" i="23"/>
  <c r="S41" i="23"/>
  <c r="S31" i="23"/>
  <c r="S123" i="23"/>
  <c r="S2" i="23"/>
  <c r="T31" i="23"/>
  <c r="T123" i="23"/>
  <c r="T2" i="23"/>
  <c r="T27" i="23"/>
  <c r="T50" i="23"/>
  <c r="T55" i="23"/>
  <c r="T102" i="23"/>
  <c r="T11" i="23"/>
  <c r="T5" i="23"/>
  <c r="T57" i="23"/>
  <c r="T84" i="23"/>
  <c r="T118" i="23"/>
  <c r="T48" i="23"/>
  <c r="U22" i="23"/>
  <c r="U7" i="23"/>
  <c r="U115" i="23"/>
  <c r="U89" i="23"/>
  <c r="U96" i="23"/>
  <c r="U92" i="23"/>
  <c r="U65" i="23"/>
  <c r="U34" i="23"/>
  <c r="U61" i="23"/>
  <c r="U38" i="23"/>
  <c r="U108" i="23"/>
  <c r="U82" i="23"/>
  <c r="U100" i="23"/>
  <c r="U114" i="23"/>
  <c r="U130" i="23"/>
  <c r="U4" i="23"/>
  <c r="U10" i="23"/>
  <c r="U14" i="23"/>
  <c r="U126" i="23"/>
  <c r="U85" i="23"/>
  <c r="U76" i="23"/>
  <c r="U119" i="23"/>
  <c r="U6" i="23"/>
  <c r="U109" i="23"/>
  <c r="U58" i="23"/>
  <c r="S126" i="23"/>
  <c r="S76" i="23"/>
  <c r="S6" i="23"/>
  <c r="S58" i="23"/>
  <c r="S4" i="23"/>
  <c r="S3" i="23"/>
  <c r="S74" i="23"/>
  <c r="S124" i="23"/>
  <c r="S63" i="23"/>
  <c r="S40" i="23"/>
  <c r="S132" i="23"/>
  <c r="S26" i="23"/>
  <c r="S95" i="23"/>
  <c r="T132" i="23"/>
  <c r="T26" i="23"/>
  <c r="T95" i="23"/>
  <c r="T65" i="23"/>
  <c r="T61" i="23"/>
  <c r="T108" i="23"/>
  <c r="T100" i="23"/>
  <c r="T129" i="23"/>
  <c r="T70" i="23"/>
  <c r="T122" i="23"/>
  <c r="T83" i="23"/>
  <c r="T9" i="23"/>
  <c r="T99" i="23"/>
  <c r="V72" i="23"/>
  <c r="V31" i="23"/>
  <c r="V12" i="23"/>
  <c r="V123" i="23"/>
  <c r="V36" i="23"/>
  <c r="V2" i="23"/>
  <c r="V134" i="23"/>
  <c r="V91" i="23"/>
  <c r="V64" i="23"/>
  <c r="V33" i="23"/>
  <c r="V41" i="23"/>
  <c r="V37" i="23"/>
  <c r="V18" i="23"/>
  <c r="V29" i="23"/>
  <c r="V28" i="23"/>
  <c r="V57" i="23"/>
  <c r="V15" i="23"/>
  <c r="V116" i="23"/>
  <c r="V135" i="23"/>
  <c r="V112" i="23"/>
  <c r="V99" i="23"/>
  <c r="V133" i="23"/>
  <c r="V125" i="23"/>
  <c r="V84" i="23"/>
  <c r="V75" i="23"/>
  <c r="V118" i="23"/>
  <c r="V5" i="23"/>
  <c r="V105" i="23"/>
  <c r="S112" i="23"/>
  <c r="S99" i="23"/>
  <c r="S125" i="23"/>
  <c r="S75" i="23"/>
  <c r="S5" i="23"/>
  <c r="S57" i="23"/>
  <c r="S116" i="23"/>
  <c r="S55" i="23"/>
  <c r="S102" i="23"/>
  <c r="S30" i="23"/>
  <c r="S62" i="23"/>
  <c r="S39" i="23"/>
  <c r="S117" i="23"/>
  <c r="S25" i="23"/>
  <c r="S97" i="23"/>
  <c r="T117" i="23"/>
  <c r="T25" i="23"/>
  <c r="T97" i="23"/>
  <c r="T64" i="23"/>
  <c r="T41" i="23"/>
  <c r="T18" i="23"/>
  <c r="T28" i="23"/>
  <c r="T130" i="23"/>
  <c r="T98" i="23"/>
  <c r="T127" i="23"/>
  <c r="T77" i="23"/>
  <c r="T8" i="23"/>
  <c r="T46" i="23"/>
  <c r="U72" i="23"/>
  <c r="U31" i="23"/>
  <c r="U12" i="23"/>
  <c r="U123" i="23"/>
  <c r="U36" i="23"/>
  <c r="U2" i="23"/>
  <c r="U134" i="23"/>
  <c r="U91" i="23"/>
  <c r="U64" i="23"/>
  <c r="U33" i="23"/>
  <c r="U41" i="23"/>
  <c r="U37" i="23"/>
  <c r="U18" i="23"/>
  <c r="U29" i="23"/>
  <c r="U28" i="23"/>
  <c r="U57" i="23"/>
  <c r="U15" i="23"/>
  <c r="U116" i="23"/>
  <c r="U135" i="23"/>
  <c r="U99" i="23"/>
  <c r="U133" i="23"/>
  <c r="U125" i="23"/>
  <c r="U84" i="23"/>
  <c r="U75" i="23"/>
  <c r="U118" i="23"/>
  <c r="U5" i="23"/>
  <c r="U105" i="23"/>
  <c r="S48" i="23"/>
  <c r="S46" i="23"/>
  <c r="S87" i="23"/>
  <c r="S121" i="23"/>
  <c r="S11" i="23"/>
  <c r="S108" i="23"/>
  <c r="S100" i="23"/>
  <c r="S92" i="23"/>
  <c r="S34" i="23"/>
  <c r="S38" i="23"/>
  <c r="S7" i="23"/>
  <c r="S96" i="23"/>
  <c r="T7" i="23"/>
  <c r="T96" i="23"/>
  <c r="T63" i="23"/>
  <c r="T40" i="23"/>
  <c r="T17" i="23"/>
  <c r="T101" i="23"/>
  <c r="T15" i="23"/>
  <c r="T135" i="23"/>
  <c r="T109" i="23"/>
  <c r="T126" i="23"/>
  <c r="T76" i="23"/>
  <c r="T51" i="23"/>
  <c r="V23" i="23"/>
  <c r="V132" i="23"/>
  <c r="V71" i="23"/>
  <c r="V26" i="23"/>
  <c r="V35" i="23"/>
  <c r="V95" i="23"/>
  <c r="V124" i="23"/>
  <c r="V128" i="23"/>
  <c r="V63" i="23"/>
  <c r="V32" i="23"/>
  <c r="V40" i="23"/>
  <c r="V3" i="23"/>
  <c r="V17" i="23"/>
  <c r="V74" i="23"/>
  <c r="V101" i="23"/>
  <c r="V24" i="23"/>
  <c r="V11" i="23"/>
  <c r="V103" i="23"/>
  <c r="V48" i="23"/>
  <c r="V88" i="23"/>
  <c r="V46" i="23"/>
  <c r="V122" i="23"/>
  <c r="V87" i="23"/>
  <c r="V83" i="23"/>
  <c r="V121" i="23"/>
  <c r="V9" i="23"/>
  <c r="V59" i="23"/>
  <c r="S51" i="23"/>
  <c r="S86" i="23"/>
  <c r="S120" i="23"/>
  <c r="S98" i="23"/>
  <c r="S129" i="23"/>
  <c r="S70" i="23"/>
  <c r="S18" i="23"/>
  <c r="S28" i="23"/>
  <c r="S91" i="23"/>
  <c r="S33" i="23"/>
  <c r="S37" i="23"/>
  <c r="S12" i="23"/>
  <c r="S36" i="23"/>
  <c r="S72" i="23"/>
  <c r="T12" i="23"/>
  <c r="T36" i="23"/>
  <c r="T30" i="23"/>
  <c r="T62" i="23"/>
  <c r="T39" i="23"/>
  <c r="T16" i="23"/>
  <c r="T19" i="23"/>
  <c r="T24" i="23"/>
  <c r="T103" i="23"/>
  <c r="T105" i="23"/>
  <c r="T125" i="23"/>
  <c r="T75" i="23"/>
  <c r="T10" i="23"/>
  <c r="T14" i="23"/>
  <c r="U23" i="23"/>
  <c r="U132" i="23"/>
  <c r="U71" i="23"/>
  <c r="U26" i="23"/>
  <c r="U35" i="23"/>
  <c r="U95" i="23"/>
  <c r="U124" i="23"/>
  <c r="U128" i="23"/>
  <c r="U63" i="23"/>
  <c r="U32" i="23"/>
  <c r="U40" i="23"/>
  <c r="U3" i="23"/>
  <c r="U17" i="23"/>
  <c r="U74" i="23"/>
  <c r="U101" i="23"/>
  <c r="U24" i="23"/>
  <c r="U11" i="23"/>
  <c r="U103" i="23"/>
  <c r="U88" i="23"/>
  <c r="U46" i="23"/>
  <c r="U122" i="23"/>
  <c r="U87" i="23"/>
  <c r="U83" i="23"/>
  <c r="U121" i="23"/>
  <c r="U9" i="23"/>
  <c r="U59" i="23"/>
  <c r="S14" i="23"/>
  <c r="S85" i="23"/>
  <c r="S119" i="23"/>
  <c r="S109" i="23"/>
  <c r="S130" i="23"/>
  <c r="S17" i="23"/>
  <c r="S101" i="23"/>
  <c r="S128" i="23"/>
  <c r="S32" i="23"/>
  <c r="S23" i="23"/>
  <c r="S71" i="23"/>
  <c r="S35" i="23"/>
  <c r="T71" i="23"/>
  <c r="T35" i="23"/>
  <c r="T92" i="23"/>
  <c r="T34" i="23"/>
  <c r="T38" i="23"/>
  <c r="T82" i="23"/>
  <c r="T114" i="23"/>
  <c r="T53" i="23"/>
  <c r="T56" i="23"/>
  <c r="T59" i="23"/>
  <c r="T87" i="23"/>
  <c r="T121" i="23"/>
  <c r="T133" i="23"/>
  <c r="V13" i="23"/>
  <c r="V117" i="23"/>
  <c r="V25" i="23"/>
  <c r="V90" i="23"/>
  <c r="V97" i="23"/>
  <c r="V30" i="23"/>
  <c r="V27" i="23"/>
  <c r="V62" i="23"/>
  <c r="V50" i="23"/>
  <c r="V39" i="23"/>
  <c r="V55" i="23"/>
  <c r="V16" i="23"/>
  <c r="V102" i="23"/>
  <c r="V19" i="23"/>
  <c r="V129" i="23"/>
  <c r="V53" i="23"/>
  <c r="V70" i="23"/>
  <c r="V56" i="23"/>
  <c r="V78" i="23"/>
  <c r="V51" i="23"/>
  <c r="V127" i="23"/>
  <c r="V86" i="23"/>
  <c r="V77" i="23"/>
  <c r="V120" i="23"/>
  <c r="V8" i="23"/>
  <c r="V98" i="23"/>
  <c r="V104" i="23"/>
  <c r="P21" i="23"/>
  <c r="P26" i="23"/>
  <c r="N19" i="23"/>
  <c r="P117" i="23"/>
  <c r="P23" i="23"/>
  <c r="P71" i="23"/>
  <c r="N102" i="23"/>
  <c r="P35" i="23"/>
  <c r="P95" i="23"/>
  <c r="P72" i="23"/>
  <c r="O72" i="23"/>
  <c r="N72" i="23"/>
  <c r="Q72" i="23"/>
  <c r="O106" i="23"/>
  <c r="Q106" i="23"/>
  <c r="P106" i="23"/>
  <c r="N106" i="23"/>
  <c r="Q113" i="23"/>
  <c r="P113" i="23"/>
  <c r="N113" i="23"/>
  <c r="O113" i="23"/>
  <c r="P112" i="23"/>
  <c r="N112" i="23"/>
  <c r="O112" i="23"/>
  <c r="Q112" i="23"/>
  <c r="P48" i="23"/>
  <c r="N48" i="23"/>
  <c r="O48" i="23"/>
  <c r="Q48" i="23"/>
  <c r="N111" i="23"/>
  <c r="O111" i="23"/>
  <c r="Q111" i="23"/>
  <c r="P111" i="23"/>
  <c r="O10" i="23"/>
  <c r="Q10" i="23"/>
  <c r="P10" i="23"/>
  <c r="N10" i="23"/>
  <c r="N71" i="23"/>
  <c r="N35" i="23"/>
  <c r="N52" i="23"/>
  <c r="N65" i="23"/>
  <c r="N61" i="23"/>
  <c r="N22" i="23"/>
  <c r="N74" i="23"/>
  <c r="N108" i="23"/>
  <c r="N24" i="23"/>
  <c r="N103" i="23"/>
  <c r="N58" i="23"/>
  <c r="N105" i="23"/>
  <c r="N84" i="23"/>
  <c r="N118" i="23"/>
  <c r="N43" i="23"/>
  <c r="N99" i="23"/>
  <c r="O78" i="23"/>
  <c r="O133" i="23"/>
  <c r="O125" i="23"/>
  <c r="O75" i="23"/>
  <c r="O5" i="23"/>
  <c r="O58" i="23"/>
  <c r="O68" i="23"/>
  <c r="O18" i="23"/>
  <c r="O28" i="23"/>
  <c r="O92" i="23"/>
  <c r="O63" i="23"/>
  <c r="O40" i="23"/>
  <c r="O115" i="23"/>
  <c r="O89" i="23"/>
  <c r="P12" i="23"/>
  <c r="P36" i="23"/>
  <c r="P37" i="23"/>
  <c r="P128" i="23"/>
  <c r="P34" i="23"/>
  <c r="P38" i="23"/>
  <c r="P73" i="23"/>
  <c r="P79" i="23"/>
  <c r="P100" i="23"/>
  <c r="P53" i="23"/>
  <c r="P5" i="23"/>
  <c r="P58" i="23"/>
  <c r="P42" i="23"/>
  <c r="P83" i="23"/>
  <c r="P9" i="23"/>
  <c r="P99" i="23"/>
  <c r="Q21" i="23"/>
  <c r="Q122" i="23"/>
  <c r="Q87" i="23"/>
  <c r="Q121" i="23"/>
  <c r="Q20" i="23"/>
  <c r="Q57" i="23"/>
  <c r="Q15" i="23"/>
  <c r="Q135" i="23"/>
  <c r="Q17" i="23"/>
  <c r="Q101" i="23"/>
  <c r="Q91" i="23"/>
  <c r="Q62" i="23"/>
  <c r="Q39" i="23"/>
  <c r="Q132" i="23"/>
  <c r="Q123" i="23"/>
  <c r="Q2" i="23"/>
  <c r="N54" i="23"/>
  <c r="N90" i="23"/>
  <c r="N31" i="23"/>
  <c r="N64" i="23"/>
  <c r="N41" i="23"/>
  <c r="N124" i="23"/>
  <c r="N79" i="23"/>
  <c r="N53" i="23"/>
  <c r="N56" i="23"/>
  <c r="N57" i="23"/>
  <c r="N59" i="23"/>
  <c r="N83" i="23"/>
  <c r="N9" i="23"/>
  <c r="N42" i="23"/>
  <c r="N46" i="23"/>
  <c r="O21" i="23"/>
  <c r="O122" i="23"/>
  <c r="O87" i="23"/>
  <c r="O121" i="23"/>
  <c r="O20" i="23"/>
  <c r="O57" i="23"/>
  <c r="O15" i="23"/>
  <c r="O135" i="23"/>
  <c r="O17" i="23"/>
  <c r="O101" i="23"/>
  <c r="O91" i="23"/>
  <c r="O62" i="23"/>
  <c r="O39" i="23"/>
  <c r="O132" i="23"/>
  <c r="O123" i="23"/>
  <c r="O2" i="23"/>
  <c r="P131" i="23"/>
  <c r="P33" i="23"/>
  <c r="P28" i="23"/>
  <c r="P92" i="23"/>
  <c r="P18" i="23"/>
  <c r="P129" i="23"/>
  <c r="P4" i="23"/>
  <c r="P20" i="23"/>
  <c r="P127" i="23"/>
  <c r="P77" i="23"/>
  <c r="P46" i="23"/>
  <c r="Q99" i="23"/>
  <c r="Q45" i="23"/>
  <c r="Q86" i="23"/>
  <c r="Q120" i="23"/>
  <c r="Q98" i="23"/>
  <c r="Q47" i="23"/>
  <c r="Q24" i="23"/>
  <c r="Q103" i="23"/>
  <c r="Q16" i="23"/>
  <c r="Q19" i="23"/>
  <c r="Q128" i="23"/>
  <c r="Q34" i="23"/>
  <c r="Q38" i="23"/>
  <c r="Q117" i="23"/>
  <c r="Q26" i="23"/>
  <c r="Q95" i="23"/>
  <c r="N115" i="23"/>
  <c r="N89" i="23"/>
  <c r="N63" i="23"/>
  <c r="N40" i="23"/>
  <c r="N30" i="23"/>
  <c r="N100" i="23"/>
  <c r="N18" i="23"/>
  <c r="N4" i="23"/>
  <c r="N3" i="23"/>
  <c r="N47" i="23"/>
  <c r="N127" i="23"/>
  <c r="N77" i="23"/>
  <c r="N8" i="23"/>
  <c r="N69" i="23"/>
  <c r="O45" i="23"/>
  <c r="O86" i="23"/>
  <c r="O120" i="23"/>
  <c r="O98" i="23"/>
  <c r="O47" i="23"/>
  <c r="O24" i="23"/>
  <c r="O103" i="23"/>
  <c r="O16" i="23"/>
  <c r="O19" i="23"/>
  <c r="O128" i="23"/>
  <c r="O34" i="23"/>
  <c r="O38" i="23"/>
  <c r="O117" i="23"/>
  <c r="O26" i="23"/>
  <c r="O95" i="23"/>
  <c r="P54" i="23"/>
  <c r="P90" i="23"/>
  <c r="P13" i="23"/>
  <c r="P67" i="23"/>
  <c r="P32" i="23"/>
  <c r="P101" i="23"/>
  <c r="P135" i="23"/>
  <c r="P17" i="23"/>
  <c r="P94" i="23"/>
  <c r="P116" i="23"/>
  <c r="P98" i="23"/>
  <c r="P126" i="23"/>
  <c r="P76" i="23"/>
  <c r="P69" i="23"/>
  <c r="Q46" i="23"/>
  <c r="Q44" i="23"/>
  <c r="Q85" i="23"/>
  <c r="Q119" i="23"/>
  <c r="Q109" i="23"/>
  <c r="Q80" i="23"/>
  <c r="Q53" i="23"/>
  <c r="Q56" i="23"/>
  <c r="Q82" i="23"/>
  <c r="Q114" i="23"/>
  <c r="Q131" i="23"/>
  <c r="Q33" i="23"/>
  <c r="Q37" i="23"/>
  <c r="Q52" i="23"/>
  <c r="Q25" i="23"/>
  <c r="Q97" i="23"/>
  <c r="N123" i="23"/>
  <c r="N2" i="23"/>
  <c r="N132" i="23"/>
  <c r="N62" i="23"/>
  <c r="N39" i="23"/>
  <c r="N73" i="23"/>
  <c r="N28" i="23"/>
  <c r="N116" i="23"/>
  <c r="N55" i="23"/>
  <c r="N80" i="23"/>
  <c r="N126" i="23"/>
  <c r="N76" i="23"/>
  <c r="N6" i="23"/>
  <c r="N110" i="23"/>
  <c r="O44" i="23"/>
  <c r="O85" i="23"/>
  <c r="O119" i="23"/>
  <c r="O109" i="23"/>
  <c r="O80" i="23"/>
  <c r="O56" i="23"/>
  <c r="O82" i="23"/>
  <c r="O114" i="23"/>
  <c r="O131" i="23"/>
  <c r="O33" i="23"/>
  <c r="O37" i="23"/>
  <c r="O52" i="23"/>
  <c r="O25" i="23"/>
  <c r="O97" i="23"/>
  <c r="P115" i="23"/>
  <c r="P89" i="23"/>
  <c r="P22" i="23"/>
  <c r="P27" i="23"/>
  <c r="P50" i="23"/>
  <c r="P16" i="23"/>
  <c r="P130" i="23"/>
  <c r="P11" i="23"/>
  <c r="P109" i="23"/>
  <c r="P125" i="23"/>
  <c r="P75" i="23"/>
  <c r="P110" i="23"/>
  <c r="Q69" i="23"/>
  <c r="Q43" i="23"/>
  <c r="Q84" i="23"/>
  <c r="Q118" i="23"/>
  <c r="Q60" i="23"/>
  <c r="Q129" i="23"/>
  <c r="Q4" i="23"/>
  <c r="Q3" i="23"/>
  <c r="Q29" i="23"/>
  <c r="Q134" i="23"/>
  <c r="Q67" i="23"/>
  <c r="Q32" i="23"/>
  <c r="Q23" i="23"/>
  <c r="Q7" i="23"/>
  <c r="Q96" i="23"/>
  <c r="N92" i="23"/>
  <c r="N11" i="23"/>
  <c r="N129" i="23"/>
  <c r="N125" i="23"/>
  <c r="N75" i="23"/>
  <c r="N5" i="23"/>
  <c r="N81" i="23"/>
  <c r="N51" i="23"/>
  <c r="O43" i="23"/>
  <c r="O84" i="23"/>
  <c r="O118" i="23"/>
  <c r="O60" i="23"/>
  <c r="O3" i="23"/>
  <c r="O29" i="23"/>
  <c r="O134" i="23"/>
  <c r="O67" i="23"/>
  <c r="O32" i="23"/>
  <c r="O23" i="23"/>
  <c r="O7" i="23"/>
  <c r="O96" i="23"/>
  <c r="P31" i="23"/>
  <c r="P65" i="23"/>
  <c r="P61" i="23"/>
  <c r="P114" i="23"/>
  <c r="P82" i="23"/>
  <c r="P93" i="23"/>
  <c r="P70" i="23"/>
  <c r="P60" i="23"/>
  <c r="P122" i="23"/>
  <c r="P87" i="23"/>
  <c r="P121" i="23"/>
  <c r="P81" i="23"/>
  <c r="P51" i="23"/>
  <c r="Q110" i="23"/>
  <c r="Q42" i="23"/>
  <c r="Q83" i="23"/>
  <c r="Q9" i="23"/>
  <c r="Q105" i="23"/>
  <c r="Q94" i="23"/>
  <c r="Q116" i="23"/>
  <c r="Q55" i="23"/>
  <c r="Q74" i="23"/>
  <c r="Q124" i="23"/>
  <c r="Q27" i="23"/>
  <c r="Q50" i="23"/>
  <c r="Q13" i="23"/>
  <c r="Q12" i="23"/>
  <c r="Q36" i="23"/>
  <c r="N25" i="23"/>
  <c r="N97" i="23"/>
  <c r="N91" i="23"/>
  <c r="N93" i="23"/>
  <c r="N70" i="23"/>
  <c r="N94" i="23"/>
  <c r="N88" i="23"/>
  <c r="N14" i="23"/>
  <c r="O105" i="23"/>
  <c r="O55" i="23"/>
  <c r="O74" i="23"/>
  <c r="O124" i="23"/>
  <c r="O27" i="23"/>
  <c r="O50" i="23"/>
  <c r="O13" i="23"/>
  <c r="O12" i="23"/>
  <c r="O36" i="23"/>
  <c r="P64" i="23"/>
  <c r="P41" i="23"/>
  <c r="P134" i="23"/>
  <c r="P29" i="23"/>
  <c r="P68" i="23"/>
  <c r="P45" i="23"/>
  <c r="P86" i="23"/>
  <c r="P120" i="23"/>
  <c r="P88" i="23"/>
  <c r="P14" i="23"/>
  <c r="Q107" i="23"/>
  <c r="Q81" i="23"/>
  <c r="Q51" i="23"/>
  <c r="Q127" i="23"/>
  <c r="Q77" i="23"/>
  <c r="Q8" i="23"/>
  <c r="Q59" i="23"/>
  <c r="Q130" i="23"/>
  <c r="Q11" i="23"/>
  <c r="Q108" i="23"/>
  <c r="Q102" i="23"/>
  <c r="Q30" i="23"/>
  <c r="Q65" i="23"/>
  <c r="Q61" i="23"/>
  <c r="Q22" i="23"/>
  <c r="Q71" i="23"/>
  <c r="Q35" i="23"/>
  <c r="N7" i="23"/>
  <c r="N96" i="23"/>
  <c r="N68" i="23"/>
  <c r="N130" i="23"/>
  <c r="N78" i="23"/>
  <c r="N133" i="23"/>
  <c r="O107" i="23"/>
  <c r="O8" i="23"/>
  <c r="O59" i="23"/>
  <c r="O108" i="23"/>
  <c r="O102" i="23"/>
  <c r="O30" i="23"/>
  <c r="P63" i="23"/>
  <c r="P40" i="23"/>
  <c r="P15" i="23"/>
  <c r="P44" i="23"/>
  <c r="P85" i="23"/>
  <c r="P119" i="23"/>
  <c r="P78" i="23"/>
  <c r="P133" i="23"/>
  <c r="Q88" i="23"/>
  <c r="Q14" i="23"/>
  <c r="Q126" i="23"/>
  <c r="Q76" i="23"/>
  <c r="Q6" i="23"/>
  <c r="Q104" i="23"/>
  <c r="Q93" i="23"/>
  <c r="Q70" i="23"/>
  <c r="Q79" i="23"/>
  <c r="Q100" i="23"/>
  <c r="Q73" i="23"/>
  <c r="Q64" i="23"/>
  <c r="Q41" i="23"/>
  <c r="Q31" i="23"/>
  <c r="Q54" i="23"/>
  <c r="Q90" i="23"/>
  <c r="N104" i="23"/>
  <c r="N21" i="23"/>
  <c r="N107" i="23"/>
  <c r="O6" i="23"/>
  <c r="O104" i="23"/>
  <c r="AJ2406" i="3"/>
  <c r="AJ2399" i="3"/>
  <c r="AJ2380" i="3"/>
  <c r="AJ2369" i="3"/>
  <c r="AJ2357" i="3"/>
  <c r="AJ2377" i="3"/>
  <c r="AJ2413" i="3"/>
  <c r="AJ2398" i="3"/>
  <c r="AJ2391" i="3"/>
  <c r="AJ2372" i="3"/>
  <c r="AJ2361" i="3"/>
  <c r="AJ2349" i="3"/>
  <c r="AJ2405" i="3"/>
  <c r="AJ2390" i="3"/>
  <c r="AJ2383" i="3"/>
  <c r="AJ2368" i="3"/>
  <c r="AJ2364" i="3"/>
  <c r="AJ2353" i="3"/>
  <c r="AJ2409" i="3"/>
  <c r="AJ2408" i="3"/>
  <c r="AJ2382" i="3"/>
  <c r="AJ2356" i="3"/>
  <c r="AJ2401" i="3"/>
  <c r="AJ2386" i="3"/>
  <c r="AJ2374" i="3"/>
  <c r="AJ2404" i="3"/>
  <c r="AJ2393" i="3"/>
  <c r="AJ2381" i="3"/>
  <c r="AJ2366" i="3"/>
  <c r="AJ2362" i="3"/>
  <c r="AJ2359" i="3"/>
  <c r="AJ2396" i="3"/>
  <c r="AJ2385" i="3"/>
  <c r="AJ2373" i="3"/>
  <c r="AJ2358" i="3"/>
  <c r="AJ1954" i="3"/>
  <c r="AJ1927" i="3"/>
  <c r="AJ1924" i="3"/>
  <c r="AJ1912" i="3"/>
  <c r="AJ1897" i="3"/>
  <c r="AJ1890" i="3"/>
  <c r="AJ1875" i="3"/>
  <c r="AJ1871" i="3"/>
  <c r="AJ1860" i="3"/>
  <c r="AJ1848" i="3"/>
  <c r="AJ1841" i="3"/>
  <c r="AJ1826" i="3"/>
  <c r="AJ1811" i="3"/>
  <c r="AJ1807" i="3"/>
  <c r="AJ1796" i="3"/>
  <c r="AJ1784" i="3"/>
  <c r="AJ1777" i="3"/>
  <c r="AJ1762" i="3"/>
  <c r="AJ1747" i="3"/>
  <c r="AJ1735" i="3"/>
  <c r="AJ1732" i="3"/>
  <c r="AJ1713" i="3"/>
  <c r="AJ1698" i="3"/>
  <c r="AJ1683" i="3"/>
  <c r="AJ1671" i="3"/>
  <c r="AJ1668" i="3"/>
  <c r="AJ1660" i="3"/>
  <c r="AJ1657" i="3"/>
  <c r="AJ1619" i="3"/>
  <c r="AJ1611" i="3"/>
  <c r="AJ1962" i="3"/>
  <c r="AJ1936" i="3"/>
  <c r="AJ1930" i="3"/>
  <c r="AJ1916" i="3"/>
  <c r="AJ1904" i="3"/>
  <c r="AJ1889" i="3"/>
  <c r="AJ1867" i="3"/>
  <c r="AJ1852" i="3"/>
  <c r="AJ1840" i="3"/>
  <c r="AJ1803" i="3"/>
  <c r="AJ1788" i="3"/>
  <c r="AJ1776" i="3"/>
  <c r="AJ1754" i="3"/>
  <c r="AJ1739" i="3"/>
  <c r="AJ1727" i="3"/>
  <c r="AJ1724" i="3"/>
  <c r="AJ1690" i="3"/>
  <c r="AJ1685" i="3"/>
  <c r="AJ1663" i="3"/>
  <c r="AJ1623" i="3"/>
  <c r="AJ1600" i="3"/>
  <c r="AJ1545" i="3"/>
  <c r="AJ1481" i="3"/>
  <c r="AJ1913" i="3"/>
  <c r="AJ1970" i="3"/>
  <c r="AJ1923" i="3"/>
  <c r="AJ1919" i="3"/>
  <c r="AJ1908" i="3"/>
  <c r="AJ1896" i="3"/>
  <c r="AJ1881" i="3"/>
  <c r="AJ1859" i="3"/>
  <c r="AJ1855" i="3"/>
  <c r="AJ1844" i="3"/>
  <c r="AJ1832" i="3"/>
  <c r="AJ1825" i="3"/>
  <c r="AJ1795" i="3"/>
  <c r="AJ1791" i="3"/>
  <c r="AJ1780" i="3"/>
  <c r="AJ1761" i="3"/>
  <c r="AJ1731" i="3"/>
  <c r="AJ1716" i="3"/>
  <c r="AJ1697" i="3"/>
  <c r="AJ1677" i="3"/>
  <c r="AJ1667" i="3"/>
  <c r="AJ1656" i="3"/>
  <c r="AJ1647" i="3"/>
  <c r="AJ1614" i="3"/>
  <c r="AJ1552" i="3"/>
  <c r="AJ1488" i="3"/>
  <c r="AJ1944" i="3"/>
  <c r="AJ1900" i="3"/>
  <c r="AJ1873" i="3"/>
  <c r="AJ1836" i="3"/>
  <c r="AJ1772" i="3"/>
  <c r="AJ1733" i="3"/>
  <c r="AJ1708" i="3"/>
  <c r="AJ1651" i="3"/>
  <c r="AJ1633" i="3"/>
  <c r="AJ1626" i="3"/>
  <c r="AJ1922" i="3"/>
  <c r="AJ1907" i="3"/>
  <c r="AJ1903" i="3"/>
  <c r="AJ1892" i="3"/>
  <c r="AJ1880" i="3"/>
  <c r="AJ1865" i="3"/>
  <c r="AJ1858" i="3"/>
  <c r="AJ1843" i="3"/>
  <c r="AJ1839" i="3"/>
  <c r="AJ1828" i="3"/>
  <c r="AJ1816" i="3"/>
  <c r="AJ1809" i="3"/>
  <c r="AJ1794" i="3"/>
  <c r="AJ1779" i="3"/>
  <c r="AJ1767" i="3"/>
  <c r="AJ1764" i="3"/>
  <c r="AJ1745" i="3"/>
  <c r="AJ1730" i="3"/>
  <c r="AJ1725" i="3"/>
  <c r="AJ1715" i="3"/>
  <c r="AJ1703" i="3"/>
  <c r="AJ1700" i="3"/>
  <c r="AJ1681" i="3"/>
  <c r="AJ1666" i="3"/>
  <c r="AJ1655" i="3"/>
  <c r="AJ1617" i="3"/>
  <c r="AJ1609" i="3"/>
  <c r="AJ1938" i="3"/>
  <c r="AJ1932" i="3"/>
  <c r="AJ1928" i="3"/>
  <c r="AJ1921" i="3"/>
  <c r="AJ1914" i="3"/>
  <c r="AJ1895" i="3"/>
  <c r="AJ1884" i="3"/>
  <c r="AJ1857" i="3"/>
  <c r="AJ1850" i="3"/>
  <c r="AJ1835" i="3"/>
  <c r="AJ1831" i="3"/>
  <c r="AJ1820" i="3"/>
  <c r="AJ1808" i="3"/>
  <c r="AJ1786" i="3"/>
  <c r="AJ1771" i="3"/>
  <c r="AJ1759" i="3"/>
  <c r="AJ1756" i="3"/>
  <c r="AJ1722" i="3"/>
  <c r="AJ1717" i="3"/>
  <c r="AJ1707" i="3"/>
  <c r="AJ1695" i="3"/>
  <c r="AJ1692" i="3"/>
  <c r="AJ1625" i="3"/>
  <c r="AJ1577" i="3"/>
  <c r="AJ1513" i="3"/>
  <c r="AJ1876" i="3"/>
  <c r="AJ1812" i="3"/>
  <c r="AJ1748" i="3"/>
  <c r="AJ1729" i="3"/>
  <c r="AJ1714" i="3"/>
  <c r="AJ1699" i="3"/>
  <c r="AJ1687" i="3"/>
  <c r="AJ1684" i="3"/>
  <c r="AJ1665" i="3"/>
  <c r="AJ1654" i="3"/>
  <c r="AJ1632" i="3"/>
  <c r="AJ1584" i="3"/>
  <c r="AJ1520" i="3"/>
  <c r="AJ1456" i="3"/>
  <c r="AJ1946" i="3"/>
  <c r="AJ1931" i="3"/>
  <c r="AJ1905" i="3"/>
  <c r="AJ1898" i="3"/>
  <c r="AJ1868" i="3"/>
  <c r="AJ1849" i="3"/>
  <c r="AJ1834" i="3"/>
  <c r="AJ1804" i="3"/>
  <c r="AJ1785" i="3"/>
  <c r="AJ1770" i="3"/>
  <c r="AJ1743" i="3"/>
  <c r="AJ1740" i="3"/>
  <c r="AJ1706" i="3"/>
  <c r="AJ1679" i="3"/>
  <c r="AJ1676" i="3"/>
  <c r="AJ1649" i="3"/>
  <c r="AJ1646" i="3"/>
  <c r="AJ1624" i="3"/>
  <c r="AJ1620" i="3"/>
  <c r="AJ1645" i="3"/>
  <c r="AJ1631" i="3"/>
  <c r="AJ1599" i="3"/>
  <c r="AJ1593" i="3"/>
  <c r="AJ1583" i="3"/>
  <c r="AJ1576" i="3"/>
  <c r="AJ1572" i="3"/>
  <c r="AJ1569" i="3"/>
  <c r="AJ1565" i="3"/>
  <c r="AJ1551" i="3"/>
  <c r="AJ1544" i="3"/>
  <c r="AJ1540" i="3"/>
  <c r="AJ1537" i="3"/>
  <c r="AJ1533" i="3"/>
  <c r="AJ1519" i="3"/>
  <c r="AJ1512" i="3"/>
  <c r="AJ1508" i="3"/>
  <c r="AJ1505" i="3"/>
  <c r="AJ1501" i="3"/>
  <c r="AJ1487" i="3"/>
  <c r="AJ1480" i="3"/>
  <c r="AJ1476" i="3"/>
  <c r="AJ1473" i="3"/>
  <c r="AJ1469" i="3"/>
  <c r="AJ1443" i="3"/>
  <c r="AJ1440" i="3"/>
  <c r="AJ1428" i="3"/>
  <c r="AJ1421" i="3"/>
  <c r="AJ1406" i="3"/>
  <c r="AJ1391" i="3"/>
  <c r="AJ1379" i="3"/>
  <c r="AJ1376" i="3"/>
  <c r="AJ1364" i="3"/>
  <c r="AJ1357" i="3"/>
  <c r="AJ1342" i="3"/>
  <c r="AJ1327" i="3"/>
  <c r="AJ1315" i="3"/>
  <c r="AJ1312" i="3"/>
  <c r="AJ1300" i="3"/>
  <c r="AJ1653" i="3"/>
  <c r="AJ1613" i="3"/>
  <c r="AJ1582" i="3"/>
  <c r="AJ1550" i="3"/>
  <c r="AJ1518" i="3"/>
  <c r="AJ1486" i="3"/>
  <c r="AJ1454" i="3"/>
  <c r="AJ1447" i="3"/>
  <c r="AJ1435" i="3"/>
  <c r="AJ1432" i="3"/>
  <c r="AJ1420" i="3"/>
  <c r="AJ1413" i="3"/>
  <c r="AJ1398" i="3"/>
  <c r="AJ1383" i="3"/>
  <c r="AJ1371" i="3"/>
  <c r="AJ1368" i="3"/>
  <c r="AJ1356" i="3"/>
  <c r="AJ1349" i="3"/>
  <c r="AJ1334" i="3"/>
  <c r="AJ1319" i="3"/>
  <c r="AJ1307" i="3"/>
  <c r="AJ1304" i="3"/>
  <c r="AJ1661" i="3"/>
  <c r="AJ1607" i="3"/>
  <c r="AJ1589" i="3"/>
  <c r="AJ1568" i="3"/>
  <c r="AJ1564" i="3"/>
  <c r="AJ1561" i="3"/>
  <c r="AJ1557" i="3"/>
  <c r="AJ1536" i="3"/>
  <c r="AJ1532" i="3"/>
  <c r="AJ1529" i="3"/>
  <c r="AJ1525" i="3"/>
  <c r="AJ1504" i="3"/>
  <c r="AJ1500" i="3"/>
  <c r="AJ1497" i="3"/>
  <c r="AJ1493" i="3"/>
  <c r="AJ1472" i="3"/>
  <c r="AJ1468" i="3"/>
  <c r="AJ1465" i="3"/>
  <c r="AJ1461" i="3"/>
  <c r="AJ1424" i="3"/>
  <c r="AJ1360" i="3"/>
  <c r="AJ1296" i="3"/>
  <c r="AJ1621" i="3"/>
  <c r="AJ1574" i="3"/>
  <c r="AJ1542" i="3"/>
  <c r="AJ1510" i="3"/>
  <c r="AJ1478" i="3"/>
  <c r="AJ1471" i="3"/>
  <c r="AJ1416" i="3"/>
  <c r="AJ1397" i="3"/>
  <c r="AJ1352" i="3"/>
  <c r="AJ1333" i="3"/>
  <c r="AJ1615" i="3"/>
  <c r="AJ1585" i="3"/>
  <c r="AJ1581" i="3"/>
  <c r="AJ1567" i="3"/>
  <c r="AJ1560" i="3"/>
  <c r="AJ1553" i="3"/>
  <c r="AJ1549" i="3"/>
  <c r="AJ1535" i="3"/>
  <c r="AJ1528" i="3"/>
  <c r="AJ1521" i="3"/>
  <c r="AJ1517" i="3"/>
  <c r="AJ1503" i="3"/>
  <c r="AJ1496" i="3"/>
  <c r="AJ1489" i="3"/>
  <c r="AJ1485" i="3"/>
  <c r="AJ1464" i="3"/>
  <c r="AJ1460" i="3"/>
  <c r="AJ1457" i="3"/>
  <c r="AJ1453" i="3"/>
  <c r="AJ1438" i="3"/>
  <c r="AJ1423" i="3"/>
  <c r="AJ1411" i="3"/>
  <c r="AJ1408" i="3"/>
  <c r="AJ1396" i="3"/>
  <c r="AJ1389" i="3"/>
  <c r="AJ1374" i="3"/>
  <c r="AJ1359" i="3"/>
  <c r="AJ1347" i="3"/>
  <c r="AJ1344" i="3"/>
  <c r="AJ1325" i="3"/>
  <c r="AJ1310" i="3"/>
  <c r="AJ1629" i="3"/>
  <c r="AJ1597" i="3"/>
  <c r="AJ1591" i="3"/>
  <c r="AJ1566" i="3"/>
  <c r="AJ1534" i="3"/>
  <c r="AJ1502" i="3"/>
  <c r="AJ1470" i="3"/>
  <c r="AJ1463" i="3"/>
  <c r="AJ1445" i="3"/>
  <c r="AJ1430" i="3"/>
  <c r="AJ1415" i="3"/>
  <c r="AJ1403" i="3"/>
  <c r="AJ1400" i="3"/>
  <c r="AJ1388" i="3"/>
  <c r="AJ1381" i="3"/>
  <c r="AJ1366" i="3"/>
  <c r="AJ1351" i="3"/>
  <c r="AJ1339" i="3"/>
  <c r="AJ1336" i="3"/>
  <c r="AJ1324" i="3"/>
  <c r="AJ1317" i="3"/>
  <c r="AJ1302" i="3"/>
  <c r="AJ1392" i="3"/>
  <c r="AJ1328" i="3"/>
  <c r="AJ1637" i="3"/>
  <c r="AJ1605" i="3"/>
  <c r="AJ1558" i="3"/>
  <c r="AJ1526" i="3"/>
  <c r="AJ1494" i="3"/>
  <c r="AJ1462" i="3"/>
  <c r="AJ1455" i="3"/>
  <c r="AJ1451" i="3"/>
  <c r="AJ1448" i="3"/>
  <c r="AJ1436" i="3"/>
  <c r="AJ1429" i="3"/>
  <c r="AJ1414" i="3"/>
  <c r="AJ1399" i="3"/>
  <c r="AJ1387" i="3"/>
  <c r="AJ1384" i="3"/>
  <c r="AJ1372" i="3"/>
  <c r="AJ1365" i="3"/>
  <c r="AJ1335" i="3"/>
  <c r="AJ1320" i="3"/>
  <c r="AJ1308" i="3"/>
  <c r="AJ1301" i="3"/>
  <c r="AJ1229" i="3"/>
  <c r="AJ1159" i="3"/>
  <c r="AJ1136" i="3"/>
  <c r="AJ1127" i="3"/>
  <c r="AJ1104" i="3"/>
  <c r="AJ1095" i="3"/>
  <c r="AJ1088" i="3"/>
  <c r="AJ1063" i="3"/>
  <c r="AJ1056" i="3"/>
  <c r="AJ1033" i="3"/>
  <c r="AJ996" i="3"/>
  <c r="AJ969" i="3"/>
  <c r="AJ932" i="3"/>
  <c r="AJ905" i="3"/>
  <c r="AJ868" i="3"/>
  <c r="AJ1237" i="3"/>
  <c r="AJ1181" i="3"/>
  <c r="AJ1148" i="3"/>
  <c r="AJ1116" i="3"/>
  <c r="AJ1084" i="3"/>
  <c r="AJ1077" i="3"/>
  <c r="AJ1052" i="3"/>
  <c r="AJ1037" i="3"/>
  <c r="AJ1025" i="3"/>
  <c r="AJ995" i="3"/>
  <c r="AJ988" i="3"/>
  <c r="AJ973" i="3"/>
  <c r="AJ961" i="3"/>
  <c r="AJ931" i="3"/>
  <c r="AJ924" i="3"/>
  <c r="AJ909" i="3"/>
  <c r="AJ897" i="3"/>
  <c r="AJ867" i="3"/>
  <c r="AJ860" i="3"/>
  <c r="AJ1160" i="3"/>
  <c r="AJ1151" i="3"/>
  <c r="AJ1147" i="3"/>
  <c r="AJ1128" i="3"/>
  <c r="AJ1122" i="3"/>
  <c r="AJ1119" i="3"/>
  <c r="AJ1115" i="3"/>
  <c r="AJ1090" i="3"/>
  <c r="AJ1087" i="3"/>
  <c r="AJ1083" i="3"/>
  <c r="AJ1080" i="3"/>
  <c r="AJ1058" i="3"/>
  <c r="AJ1051" i="3"/>
  <c r="AJ1044" i="3"/>
  <c r="AJ1017" i="3"/>
  <c r="AJ1010" i="3"/>
  <c r="AJ987" i="3"/>
  <c r="AJ980" i="3"/>
  <c r="AJ953" i="3"/>
  <c r="AJ946" i="3"/>
  <c r="AJ923" i="3"/>
  <c r="AJ916" i="3"/>
  <c r="AJ889" i="3"/>
  <c r="AJ882" i="3"/>
  <c r="AJ859" i="3"/>
  <c r="AJ852" i="3"/>
  <c r="AJ1189" i="3"/>
  <c r="AJ1171" i="3"/>
  <c r="AJ1165" i="3"/>
  <c r="AJ1154" i="3"/>
  <c r="AJ1140" i="3"/>
  <c r="AJ1133" i="3"/>
  <c r="AJ1108" i="3"/>
  <c r="AJ1101" i="3"/>
  <c r="AJ1076" i="3"/>
  <c r="AJ1069" i="3"/>
  <c r="AJ1047" i="3"/>
  <c r="AJ1043" i="3"/>
  <c r="AJ1036" i="3"/>
  <c r="AJ1021" i="3"/>
  <c r="AJ1009" i="3"/>
  <c r="AJ979" i="3"/>
  <c r="AJ972" i="3"/>
  <c r="AJ957" i="3"/>
  <c r="AJ945" i="3"/>
  <c r="AJ915" i="3"/>
  <c r="AJ908" i="3"/>
  <c r="AJ893" i="3"/>
  <c r="AJ881" i="3"/>
  <c r="AJ851" i="3"/>
  <c r="AJ1197" i="3"/>
  <c r="AJ1143" i="3"/>
  <c r="AJ1139" i="3"/>
  <c r="AJ1111" i="3"/>
  <c r="AJ1107" i="3"/>
  <c r="AJ1079" i="3"/>
  <c r="AJ1028" i="3"/>
  <c r="AJ1001" i="3"/>
  <c r="AJ964" i="3"/>
  <c r="AJ937" i="3"/>
  <c r="AJ900" i="3"/>
  <c r="AJ873" i="3"/>
  <c r="AJ1205" i="3"/>
  <c r="AJ1179" i="3"/>
  <c r="AJ1164" i="3"/>
  <c r="AJ1157" i="3"/>
  <c r="AJ1146" i="3"/>
  <c r="AJ1132" i="3"/>
  <c r="AJ1125" i="3"/>
  <c r="AJ1100" i="3"/>
  <c r="AJ1093" i="3"/>
  <c r="AJ1068" i="3"/>
  <c r="AJ1061" i="3"/>
  <c r="AJ1031" i="3"/>
  <c r="AJ1027" i="3"/>
  <c r="AJ1020" i="3"/>
  <c r="AJ1005" i="3"/>
  <c r="AJ993" i="3"/>
  <c r="AJ986" i="3"/>
  <c r="AJ963" i="3"/>
  <c r="AJ956" i="3"/>
  <c r="AJ941" i="3"/>
  <c r="AJ929" i="3"/>
  <c r="AJ922" i="3"/>
  <c r="AJ899" i="3"/>
  <c r="AJ892" i="3"/>
  <c r="AJ877" i="3"/>
  <c r="AJ865" i="3"/>
  <c r="AJ858" i="3"/>
  <c r="AJ1213" i="3"/>
  <c r="AJ1170" i="3"/>
  <c r="AJ1163" i="3"/>
  <c r="AJ1135" i="3"/>
  <c r="AJ1131" i="3"/>
  <c r="AJ1106" i="3"/>
  <c r="AJ1103" i="3"/>
  <c r="AJ1099" i="3"/>
  <c r="AJ1096" i="3"/>
  <c r="AJ1074" i="3"/>
  <c r="AJ1071" i="3"/>
  <c r="AJ1067" i="3"/>
  <c r="AJ1064" i="3"/>
  <c r="AJ1049" i="3"/>
  <c r="AJ1042" i="3"/>
  <c r="AJ1019" i="3"/>
  <c r="AJ1012" i="3"/>
  <c r="AJ997" i="3"/>
  <c r="AJ985" i="3"/>
  <c r="AJ978" i="3"/>
  <c r="AJ955" i="3"/>
  <c r="AJ948" i="3"/>
  <c r="AJ933" i="3"/>
  <c r="AJ921" i="3"/>
  <c r="AJ914" i="3"/>
  <c r="AJ891" i="3"/>
  <c r="AJ884" i="3"/>
  <c r="AJ869" i="3"/>
  <c r="AJ857" i="3"/>
  <c r="AJ1221" i="3"/>
  <c r="AJ1187" i="3"/>
  <c r="AJ1173" i="3"/>
  <c r="AJ1168" i="3"/>
  <c r="AJ1156" i="3"/>
  <c r="AJ1149" i="3"/>
  <c r="AJ1138" i="3"/>
  <c r="AJ1124" i="3"/>
  <c r="AJ1117" i="3"/>
  <c r="AJ1092" i="3"/>
  <c r="AJ1060" i="3"/>
  <c r="AJ1041" i="3"/>
  <c r="AJ1004" i="3"/>
  <c r="AJ977" i="3"/>
  <c r="AJ940" i="3"/>
  <c r="AJ913" i="3"/>
  <c r="AJ876" i="3"/>
  <c r="AJ803" i="3"/>
  <c r="AJ733" i="3"/>
  <c r="AJ714" i="3"/>
  <c r="AJ705" i="3"/>
  <c r="AJ699" i="3"/>
  <c r="AJ680" i="3"/>
  <c r="AJ646" i="3"/>
  <c r="AJ616" i="3"/>
  <c r="AJ582" i="3"/>
  <c r="AJ552" i="3"/>
  <c r="AJ518" i="3"/>
  <c r="AJ488" i="3"/>
  <c r="AJ454" i="3"/>
  <c r="AJ811" i="3"/>
  <c r="AJ755" i="3"/>
  <c r="AJ746" i="3"/>
  <c r="AJ725" i="3"/>
  <c r="AJ710" i="3"/>
  <c r="AJ696" i="3"/>
  <c r="AJ685" i="3"/>
  <c r="AJ675" i="3"/>
  <c r="AJ664" i="3"/>
  <c r="AJ657" i="3"/>
  <c r="AJ649" i="3"/>
  <c r="AJ642" i="3"/>
  <c r="AJ621" i="3"/>
  <c r="AJ611" i="3"/>
  <c r="AJ600" i="3"/>
  <c r="AJ593" i="3"/>
  <c r="AJ585" i="3"/>
  <c r="AJ578" i="3"/>
  <c r="AJ557" i="3"/>
  <c r="AJ547" i="3"/>
  <c r="AJ536" i="3"/>
  <c r="AJ529" i="3"/>
  <c r="AJ521" i="3"/>
  <c r="AJ514" i="3"/>
  <c r="AJ493" i="3"/>
  <c r="AJ483" i="3"/>
  <c r="AJ472" i="3"/>
  <c r="AJ465" i="3"/>
  <c r="AJ457" i="3"/>
  <c r="AJ450" i="3"/>
  <c r="AJ429" i="3"/>
  <c r="AJ419" i="3"/>
  <c r="AJ401" i="3"/>
  <c r="AJ393" i="3"/>
  <c r="AJ749" i="3"/>
  <c r="AJ717" i="3"/>
  <c r="AJ686" i="3"/>
  <c r="AJ679" i="3"/>
  <c r="AJ668" i="3"/>
  <c r="AJ637" i="3"/>
  <c r="AJ622" i="3"/>
  <c r="AJ615" i="3"/>
  <c r="AJ604" i="3"/>
  <c r="AJ573" i="3"/>
  <c r="AJ558" i="3"/>
  <c r="AJ551" i="3"/>
  <c r="AJ540" i="3"/>
  <c r="AJ509" i="3"/>
  <c r="AJ487" i="3"/>
  <c r="AJ476" i="3"/>
  <c r="AJ445" i="3"/>
  <c r="AJ423" i="3"/>
  <c r="AJ412" i="3"/>
  <c r="AJ763" i="3"/>
  <c r="AJ739" i="3"/>
  <c r="AJ736" i="3"/>
  <c r="AJ709" i="3"/>
  <c r="AJ694" i="3"/>
  <c r="AJ690" i="3"/>
  <c r="AJ656" i="3"/>
  <c r="AJ652" i="3"/>
  <c r="AJ641" i="3"/>
  <c r="AJ592" i="3"/>
  <c r="AJ588" i="3"/>
  <c r="AJ577" i="3"/>
  <c r="AJ528" i="3"/>
  <c r="AJ524" i="3"/>
  <c r="AJ513" i="3"/>
  <c r="AJ464" i="3"/>
  <c r="AJ460" i="3"/>
  <c r="AJ449" i="3"/>
  <c r="AJ400" i="3"/>
  <c r="AJ771" i="3"/>
  <c r="AJ757" i="3"/>
  <c r="AJ742" i="3"/>
  <c r="AJ701" i="3"/>
  <c r="AJ682" i="3"/>
  <c r="AJ651" i="3"/>
  <c r="AJ640" i="3"/>
  <c r="AJ618" i="3"/>
  <c r="AJ587" i="3"/>
  <c r="AJ576" i="3"/>
  <c r="AJ554" i="3"/>
  <c r="AJ523" i="3"/>
  <c r="AJ512" i="3"/>
  <c r="AJ490" i="3"/>
  <c r="AJ459" i="3"/>
  <c r="AJ448" i="3"/>
  <c r="AJ426" i="3"/>
  <c r="AJ395" i="3"/>
  <c r="AJ779" i="3"/>
  <c r="AJ738" i="3"/>
  <c r="AJ729" i="3"/>
  <c r="AJ723" i="3"/>
  <c r="AJ720" i="3"/>
  <c r="AJ693" i="3"/>
  <c r="AJ662" i="3"/>
  <c r="AJ598" i="3"/>
  <c r="AJ534" i="3"/>
  <c r="AJ470" i="3"/>
  <c r="AJ406" i="3"/>
  <c r="AJ787" i="3"/>
  <c r="AJ741" i="3"/>
  <c r="AJ632" i="3"/>
  <c r="AJ568" i="3"/>
  <c r="AJ504" i="3"/>
  <c r="AJ440" i="3"/>
  <c r="AJ795" i="3"/>
  <c r="AJ676" i="3"/>
  <c r="AJ665" i="3"/>
  <c r="AJ654" i="3"/>
  <c r="AJ643" i="3"/>
  <c r="AJ612" i="3"/>
  <c r="AJ601" i="3"/>
  <c r="AJ590" i="3"/>
  <c r="AJ579" i="3"/>
  <c r="AJ548" i="3"/>
  <c r="AJ537" i="3"/>
  <c r="AJ526" i="3"/>
  <c r="AJ515" i="3"/>
  <c r="AJ484" i="3"/>
  <c r="AJ473" i="3"/>
  <c r="AJ469" i="3"/>
  <c r="AJ466" i="3"/>
  <c r="AJ462" i="3"/>
  <c r="AJ451" i="3"/>
  <c r="AJ424" i="3"/>
  <c r="AJ420" i="3"/>
  <c r="AJ409" i="3"/>
  <c r="AJ405" i="3"/>
  <c r="AJ402" i="3"/>
  <c r="AJ398" i="3"/>
  <c r="AJ631" i="3"/>
  <c r="AJ567" i="3"/>
  <c r="AJ503" i="3"/>
  <c r="AJ439" i="3"/>
  <c r="AJ383" i="3"/>
  <c r="AJ380" i="3"/>
  <c r="AJ367" i="3"/>
  <c r="AJ365" i="3"/>
  <c r="AJ362" i="3"/>
  <c r="AJ360" i="3"/>
  <c r="AJ356" i="3"/>
  <c r="AJ334" i="3"/>
  <c r="AJ327" i="3"/>
  <c r="AJ322" i="3"/>
  <c r="AJ312" i="3"/>
  <c r="AJ308" i="3"/>
  <c r="AJ297" i="3"/>
  <c r="AJ270" i="3"/>
  <c r="AJ263" i="3"/>
  <c r="AJ248" i="3"/>
  <c r="AJ244" i="3"/>
  <c r="AJ233" i="3"/>
  <c r="AJ206" i="3"/>
  <c r="AJ199" i="3"/>
  <c r="AJ184" i="3"/>
  <c r="AJ180" i="3"/>
  <c r="AJ169" i="3"/>
  <c r="AJ142" i="3"/>
  <c r="AJ135" i="3"/>
  <c r="AJ120" i="3"/>
  <c r="AJ116" i="3"/>
  <c r="AJ105" i="3"/>
  <c r="AJ93" i="3"/>
  <c r="AJ78" i="3"/>
  <c r="AJ71" i="3"/>
  <c r="AJ56" i="3"/>
  <c r="AJ52" i="3"/>
  <c r="AJ41" i="3"/>
  <c r="AJ29" i="3"/>
  <c r="AJ26" i="3"/>
  <c r="AJ639" i="3"/>
  <c r="AJ575" i="3"/>
  <c r="AJ511" i="3"/>
  <c r="AJ447" i="3"/>
  <c r="AJ366" i="3"/>
  <c r="AJ326" i="3"/>
  <c r="AJ304" i="3"/>
  <c r="AJ289" i="3"/>
  <c r="AJ262" i="3"/>
  <c r="AJ240" i="3"/>
  <c r="AJ225" i="3"/>
  <c r="AJ198" i="3"/>
  <c r="AJ161" i="3"/>
  <c r="AJ134" i="3"/>
  <c r="AJ97" i="3"/>
  <c r="AJ70" i="3"/>
  <c r="AJ33" i="3"/>
  <c r="AJ647" i="3"/>
  <c r="AJ583" i="3"/>
  <c r="AJ519" i="3"/>
  <c r="AJ455" i="3"/>
  <c r="AJ391" i="3"/>
  <c r="AJ388" i="3"/>
  <c r="AJ359" i="3"/>
  <c r="AJ354" i="3"/>
  <c r="AJ352" i="3"/>
  <c r="AJ348" i="3"/>
  <c r="AJ318" i="3"/>
  <c r="AJ281" i="3"/>
  <c r="AJ254" i="3"/>
  <c r="AJ217" i="3"/>
  <c r="AJ190" i="3"/>
  <c r="AJ164" i="3"/>
  <c r="AJ153" i="3"/>
  <c r="AJ126" i="3"/>
  <c r="AJ100" i="3"/>
  <c r="AJ89" i="3"/>
  <c r="AJ74" i="3"/>
  <c r="AJ62" i="3"/>
  <c r="AJ36" i="3"/>
  <c r="AJ25" i="3"/>
  <c r="AJ655" i="3"/>
  <c r="AJ591" i="3"/>
  <c r="AJ527" i="3"/>
  <c r="AJ463" i="3"/>
  <c r="AJ399" i="3"/>
  <c r="AJ376" i="3"/>
  <c r="AJ358" i="3"/>
  <c r="AJ337" i="3"/>
  <c r="AJ310" i="3"/>
  <c r="AJ303" i="3"/>
  <c r="AJ273" i="3"/>
  <c r="AJ246" i="3"/>
  <c r="AJ239" i="3"/>
  <c r="AJ234" i="3"/>
  <c r="AJ209" i="3"/>
  <c r="AJ182" i="3"/>
  <c r="AJ175" i="3"/>
  <c r="AJ145" i="3"/>
  <c r="AJ118" i="3"/>
  <c r="AJ111" i="3"/>
  <c r="AJ81" i="3"/>
  <c r="AJ54" i="3"/>
  <c r="AJ47" i="3"/>
  <c r="AJ663" i="3"/>
  <c r="AJ599" i="3"/>
  <c r="AJ535" i="3"/>
  <c r="AJ471" i="3"/>
  <c r="AJ407" i="3"/>
  <c r="AJ372" i="3"/>
  <c r="AJ351" i="3"/>
  <c r="AJ349" i="3"/>
  <c r="AJ346" i="3"/>
  <c r="AJ344" i="3"/>
  <c r="AJ340" i="3"/>
  <c r="AJ329" i="3"/>
  <c r="AJ302" i="3"/>
  <c r="AJ295" i="3"/>
  <c r="AJ280" i="3"/>
  <c r="AJ276" i="3"/>
  <c r="AJ265" i="3"/>
  <c r="AJ238" i="3"/>
  <c r="AJ231" i="3"/>
  <c r="AJ226" i="3"/>
  <c r="AJ216" i="3"/>
  <c r="AJ212" i="3"/>
  <c r="AJ201" i="3"/>
  <c r="AJ189" i="3"/>
  <c r="AJ174" i="3"/>
  <c r="AJ167" i="3"/>
  <c r="AJ152" i="3"/>
  <c r="AJ148" i="3"/>
  <c r="AJ137" i="3"/>
  <c r="AJ125" i="3"/>
  <c r="AJ110" i="3"/>
  <c r="AJ103" i="3"/>
  <c r="AJ88" i="3"/>
  <c r="AJ84" i="3"/>
  <c r="AJ73" i="3"/>
  <c r="AJ61" i="3"/>
  <c r="AJ58" i="3"/>
  <c r="AJ46" i="3"/>
  <c r="AJ39" i="3"/>
  <c r="AJ24" i="3"/>
  <c r="AJ671" i="3"/>
  <c r="AJ607" i="3"/>
  <c r="AJ543" i="3"/>
  <c r="AJ479" i="3"/>
  <c r="AJ415" i="3"/>
  <c r="AJ375" i="3"/>
  <c r="AJ350" i="3"/>
  <c r="AJ332" i="3"/>
  <c r="AJ321" i="3"/>
  <c r="AJ294" i="3"/>
  <c r="AJ268" i="3"/>
  <c r="AJ257" i="3"/>
  <c r="AJ230" i="3"/>
  <c r="AJ193" i="3"/>
  <c r="AJ166" i="3"/>
  <c r="AJ129" i="3"/>
  <c r="AJ102" i="3"/>
  <c r="AJ65" i="3"/>
  <c r="AJ38" i="3"/>
  <c r="AJ374" i="3"/>
  <c r="AJ343" i="3"/>
  <c r="AJ313" i="3"/>
  <c r="AJ286" i="3"/>
  <c r="AJ249" i="3"/>
  <c r="AJ222" i="3"/>
  <c r="AJ200" i="3"/>
  <c r="AJ185" i="3"/>
  <c r="AJ173" i="3"/>
  <c r="AJ158" i="3"/>
  <c r="AJ136" i="3"/>
  <c r="AJ121" i="3"/>
  <c r="AJ109" i="3"/>
  <c r="AJ94" i="3"/>
  <c r="AJ72" i="3"/>
  <c r="AJ68" i="3"/>
  <c r="AJ57" i="3"/>
  <c r="AJ45" i="3"/>
  <c r="AJ42" i="3"/>
  <c r="AJ30" i="3"/>
  <c r="AJ687" i="3"/>
  <c r="AJ623" i="3"/>
  <c r="AJ559" i="3"/>
  <c r="AJ495" i="3"/>
  <c r="AJ431" i="3"/>
  <c r="AJ342" i="3"/>
  <c r="AJ335" i="3"/>
  <c r="AJ330" i="3"/>
  <c r="AJ305" i="3"/>
  <c r="AJ278" i="3"/>
  <c r="AJ271" i="3"/>
  <c r="AJ241" i="3"/>
  <c r="AJ214" i="3"/>
  <c r="AJ207" i="3"/>
  <c r="AJ177" i="3"/>
  <c r="AJ150" i="3"/>
  <c r="AJ143" i="3"/>
  <c r="AJ113" i="3"/>
  <c r="AJ86" i="3"/>
  <c r="AJ79" i="3"/>
  <c r="AJ49" i="3"/>
  <c r="AJ34" i="3"/>
  <c r="E96" i="23"/>
  <c r="F96" i="23"/>
  <c r="G96" i="23"/>
  <c r="E97" i="23"/>
  <c r="F97" i="23"/>
  <c r="G97" i="23"/>
  <c r="E95" i="23"/>
  <c r="F95" i="23"/>
  <c r="G95" i="23"/>
  <c r="E2" i="23"/>
  <c r="F2" i="23"/>
  <c r="G2" i="23"/>
  <c r="E89" i="23"/>
  <c r="F89" i="23"/>
  <c r="G89" i="23"/>
  <c r="E90" i="23"/>
  <c r="F90" i="23"/>
  <c r="G90" i="23"/>
  <c r="E35" i="23"/>
  <c r="F35" i="23"/>
  <c r="G35" i="23"/>
  <c r="E36" i="23"/>
  <c r="F36" i="23"/>
  <c r="G36" i="23"/>
  <c r="E25" i="23"/>
  <c r="F25" i="23"/>
  <c r="G25" i="23"/>
  <c r="E26" i="23"/>
  <c r="F26" i="23"/>
  <c r="G26" i="23"/>
  <c r="E123" i="23"/>
  <c r="F123" i="23"/>
  <c r="G123" i="23"/>
  <c r="E115" i="23"/>
  <c r="F115" i="23"/>
  <c r="G115" i="23"/>
  <c r="E54" i="23"/>
  <c r="F54" i="23"/>
  <c r="G54" i="23"/>
  <c r="E71" i="23"/>
  <c r="F71" i="23"/>
  <c r="G71" i="23"/>
  <c r="E12" i="23"/>
  <c r="F12" i="23"/>
  <c r="G12" i="23"/>
  <c r="E7" i="23"/>
  <c r="F7" i="23"/>
  <c r="G7" i="23"/>
  <c r="E52" i="23"/>
  <c r="F52" i="23"/>
  <c r="G52" i="23"/>
  <c r="E117" i="23"/>
  <c r="F117" i="23"/>
  <c r="G117" i="23"/>
  <c r="E132" i="23"/>
  <c r="F132" i="23"/>
  <c r="G132" i="23"/>
  <c r="E31" i="23"/>
  <c r="F31" i="23"/>
  <c r="G31" i="23"/>
  <c r="E22" i="23"/>
  <c r="F22" i="23"/>
  <c r="G22" i="23"/>
  <c r="E13" i="23"/>
  <c r="F13" i="23"/>
  <c r="G13" i="23"/>
  <c r="E23" i="23"/>
  <c r="F23" i="23"/>
  <c r="G23" i="23"/>
  <c r="E37" i="23"/>
  <c r="F37" i="23"/>
  <c r="G37" i="23"/>
  <c r="E38" i="23"/>
  <c r="F38" i="23"/>
  <c r="G38" i="23"/>
  <c r="E39" i="23"/>
  <c r="F39" i="23"/>
  <c r="G39" i="23"/>
  <c r="E40" i="23"/>
  <c r="F40" i="23"/>
  <c r="G40" i="23"/>
  <c r="E41" i="23"/>
  <c r="F41" i="23"/>
  <c r="G41" i="23"/>
  <c r="E61" i="23"/>
  <c r="F61" i="23"/>
  <c r="G61" i="23"/>
  <c r="E50" i="23"/>
  <c r="F50" i="23"/>
  <c r="G50" i="23"/>
  <c r="E32" i="23"/>
  <c r="F32" i="23"/>
  <c r="G32" i="23"/>
  <c r="E33" i="23"/>
  <c r="F33" i="23"/>
  <c r="G33" i="23"/>
  <c r="E34" i="23"/>
  <c r="F34" i="23"/>
  <c r="G34" i="23"/>
  <c r="E62" i="23"/>
  <c r="F62" i="23"/>
  <c r="G62" i="23"/>
  <c r="E63" i="23"/>
  <c r="F63" i="23"/>
  <c r="G63" i="23"/>
  <c r="E64" i="23"/>
  <c r="F64" i="23"/>
  <c r="G64" i="23"/>
  <c r="E65" i="23"/>
  <c r="F65" i="23"/>
  <c r="G65" i="23"/>
  <c r="E27" i="23"/>
  <c r="F27" i="23"/>
  <c r="G27" i="23"/>
  <c r="E67" i="23"/>
  <c r="F67" i="23"/>
  <c r="G67" i="23"/>
  <c r="E131" i="23"/>
  <c r="F131" i="23"/>
  <c r="G131" i="23"/>
  <c r="E128" i="23"/>
  <c r="F128" i="23"/>
  <c r="G128" i="23"/>
  <c r="E91" i="23"/>
  <c r="F91" i="23"/>
  <c r="G91" i="23"/>
  <c r="E92" i="23"/>
  <c r="F92" i="23"/>
  <c r="G92" i="23"/>
  <c r="E73" i="23"/>
  <c r="F73" i="23"/>
  <c r="G73" i="23"/>
  <c r="E30" i="23"/>
  <c r="F30" i="23"/>
  <c r="G30" i="23"/>
  <c r="E124" i="23"/>
  <c r="F124" i="23"/>
  <c r="G124" i="23"/>
  <c r="E134" i="23"/>
  <c r="F134" i="23"/>
  <c r="G134" i="23"/>
  <c r="E114" i="23"/>
  <c r="F114" i="23"/>
  <c r="G114" i="23"/>
  <c r="E19" i="23"/>
  <c r="F19" i="23"/>
  <c r="G19" i="23"/>
  <c r="E101" i="23"/>
  <c r="F101" i="23"/>
  <c r="G101" i="23"/>
  <c r="E28" i="23"/>
  <c r="F28" i="23"/>
  <c r="G28" i="23"/>
  <c r="E100" i="23"/>
  <c r="F100" i="23"/>
  <c r="G100" i="23"/>
  <c r="E102" i="23"/>
  <c r="F102" i="23"/>
  <c r="G102" i="23"/>
  <c r="E74" i="23"/>
  <c r="F74" i="23"/>
  <c r="G74" i="23"/>
  <c r="E29" i="23"/>
  <c r="F29" i="23"/>
  <c r="G29" i="23"/>
  <c r="E82" i="23"/>
  <c r="F82" i="23"/>
  <c r="G82" i="23"/>
  <c r="E16" i="23"/>
  <c r="F16" i="23"/>
  <c r="G16" i="23"/>
  <c r="E17" i="23"/>
  <c r="F17" i="23"/>
  <c r="G17" i="23"/>
  <c r="E18" i="23"/>
  <c r="F18" i="23"/>
  <c r="G18" i="23"/>
  <c r="E79" i="23"/>
  <c r="F79" i="23"/>
  <c r="G79" i="23"/>
  <c r="E108" i="23"/>
  <c r="F108" i="23"/>
  <c r="G108" i="23"/>
  <c r="E55" i="23"/>
  <c r="F55" i="23"/>
  <c r="G55" i="23"/>
  <c r="E3" i="23"/>
  <c r="F3" i="23"/>
  <c r="G3" i="23"/>
  <c r="E56" i="23"/>
  <c r="F56" i="23"/>
  <c r="G56" i="23"/>
  <c r="E103" i="23"/>
  <c r="F103" i="23"/>
  <c r="G103" i="23"/>
  <c r="E93" i="23"/>
  <c r="F93" i="23"/>
  <c r="G93" i="23"/>
  <c r="E130" i="23"/>
  <c r="F130" i="23"/>
  <c r="G130" i="23"/>
  <c r="E94" i="23"/>
  <c r="F94" i="23"/>
  <c r="G94" i="23"/>
  <c r="E129" i="23"/>
  <c r="F129" i="23"/>
  <c r="G129" i="23"/>
  <c r="E80" i="23"/>
  <c r="F80" i="23"/>
  <c r="G80" i="23"/>
  <c r="E47" i="23"/>
  <c r="F47" i="23"/>
  <c r="G47" i="23"/>
  <c r="E57" i="23"/>
  <c r="F57" i="23"/>
  <c r="G57" i="23"/>
  <c r="E58" i="23"/>
  <c r="F58" i="23"/>
  <c r="G58" i="23"/>
  <c r="E104" i="23"/>
  <c r="F104" i="23"/>
  <c r="G104" i="23"/>
  <c r="E59" i="23"/>
  <c r="F59" i="23"/>
  <c r="G59" i="23"/>
  <c r="E60" i="23"/>
  <c r="F60" i="23"/>
  <c r="G60" i="23"/>
  <c r="E109" i="23"/>
  <c r="F109" i="23"/>
  <c r="G109" i="23"/>
  <c r="E98" i="23"/>
  <c r="F98" i="23"/>
  <c r="G98" i="23"/>
  <c r="E20" i="23"/>
  <c r="F20" i="23"/>
  <c r="G20" i="23"/>
  <c r="E5" i="23"/>
  <c r="F5" i="23"/>
  <c r="G5" i="23"/>
  <c r="E6" i="23"/>
  <c r="F6" i="23"/>
  <c r="G6" i="23"/>
  <c r="E8" i="23"/>
  <c r="F8" i="23"/>
  <c r="G8" i="23"/>
  <c r="E9" i="23"/>
  <c r="F9" i="23"/>
  <c r="G9" i="23"/>
  <c r="E118" i="23"/>
  <c r="F118" i="23"/>
  <c r="G118" i="23"/>
  <c r="E119" i="23"/>
  <c r="F119" i="23"/>
  <c r="G119" i="23"/>
  <c r="E120" i="23"/>
  <c r="F120" i="23"/>
  <c r="G120" i="23"/>
  <c r="E121" i="23"/>
  <c r="F121" i="23"/>
  <c r="G121" i="23"/>
  <c r="E75" i="23"/>
  <c r="F75" i="23"/>
  <c r="G75" i="23"/>
  <c r="E76" i="23"/>
  <c r="F76" i="23"/>
  <c r="G76" i="23"/>
  <c r="E77" i="23"/>
  <c r="F77" i="23"/>
  <c r="G77" i="23"/>
  <c r="E83" i="23"/>
  <c r="F83" i="23"/>
  <c r="G83" i="23"/>
  <c r="E84" i="23"/>
  <c r="F84" i="23"/>
  <c r="G84" i="23"/>
  <c r="E85" i="23"/>
  <c r="F85" i="23"/>
  <c r="G85" i="23"/>
  <c r="E86" i="23"/>
  <c r="F86" i="23"/>
  <c r="G86" i="23"/>
  <c r="E87" i="23"/>
  <c r="F87" i="23"/>
  <c r="G87" i="23"/>
  <c r="E125" i="23"/>
  <c r="F125" i="23"/>
  <c r="G125" i="23"/>
  <c r="E126" i="23"/>
  <c r="F126" i="23"/>
  <c r="G126" i="23"/>
  <c r="E127" i="23"/>
  <c r="F127" i="23"/>
  <c r="G127" i="23"/>
  <c r="E42" i="23"/>
  <c r="F42" i="23"/>
  <c r="G42" i="23"/>
  <c r="E43" i="23"/>
  <c r="F43" i="23"/>
  <c r="G43" i="23"/>
  <c r="E44" i="23"/>
  <c r="F44" i="23"/>
  <c r="G44" i="23"/>
  <c r="E45" i="23"/>
  <c r="F45" i="23"/>
  <c r="G45" i="23"/>
  <c r="E122" i="23"/>
  <c r="F122" i="23"/>
  <c r="G122" i="23"/>
  <c r="E133" i="23"/>
  <c r="F133" i="23"/>
  <c r="G133" i="23"/>
  <c r="E14" i="23"/>
  <c r="F14" i="23"/>
  <c r="G14" i="23"/>
  <c r="E46" i="23"/>
  <c r="F46" i="23"/>
  <c r="G46" i="23"/>
  <c r="E99" i="23"/>
  <c r="F99" i="23"/>
  <c r="G99" i="23"/>
  <c r="E21" i="23"/>
  <c r="F21" i="23"/>
  <c r="G21" i="23"/>
  <c r="E78" i="23"/>
  <c r="F78" i="23"/>
  <c r="G78" i="23"/>
  <c r="E88" i="23"/>
  <c r="F88" i="23"/>
  <c r="G88" i="23"/>
  <c r="E81" i="23"/>
  <c r="F81" i="23"/>
  <c r="G81" i="23"/>
  <c r="E110" i="23"/>
  <c r="F110" i="23"/>
  <c r="G110" i="23"/>
  <c r="E10" i="23"/>
  <c r="F10" i="23"/>
  <c r="G10" i="23"/>
  <c r="E111" i="23"/>
  <c r="F111" i="23"/>
  <c r="G111" i="23"/>
  <c r="E48" i="23"/>
  <c r="F48" i="23"/>
  <c r="G48" i="23"/>
  <c r="E112" i="23"/>
  <c r="F112" i="23"/>
  <c r="G112" i="23"/>
  <c r="E113" i="23"/>
  <c r="F113" i="23"/>
  <c r="G113" i="23"/>
  <c r="E106" i="23"/>
  <c r="F106" i="23"/>
  <c r="G106" i="23"/>
  <c r="E107" i="23"/>
  <c r="F107" i="23"/>
  <c r="G107" i="23"/>
  <c r="D65" i="23"/>
  <c r="D27" i="23"/>
  <c r="D67" i="23"/>
  <c r="D131" i="23"/>
  <c r="D128" i="23"/>
  <c r="D91" i="23"/>
  <c r="D92" i="23"/>
  <c r="D73" i="23"/>
  <c r="D30" i="23"/>
  <c r="D124" i="23"/>
  <c r="D134" i="23"/>
  <c r="D114" i="23"/>
  <c r="D19" i="23"/>
  <c r="D101" i="23"/>
  <c r="D28" i="23"/>
  <c r="D100" i="23"/>
  <c r="D102" i="23"/>
  <c r="D74" i="23"/>
  <c r="D29" i="23"/>
  <c r="D82" i="23"/>
  <c r="D16" i="23"/>
  <c r="D17" i="23"/>
  <c r="D18" i="23"/>
  <c r="D79" i="23"/>
  <c r="D108" i="23"/>
  <c r="D55" i="23"/>
  <c r="D3" i="23"/>
  <c r="D56" i="23"/>
  <c r="D103" i="23"/>
  <c r="D93" i="23"/>
  <c r="D130" i="23"/>
  <c r="D94" i="23"/>
  <c r="D129" i="23"/>
  <c r="D80" i="23"/>
  <c r="D47" i="23"/>
  <c r="D57" i="23"/>
  <c r="D58" i="23"/>
  <c r="D104" i="23"/>
  <c r="D59" i="23"/>
  <c r="D60" i="23"/>
  <c r="D109" i="23"/>
  <c r="D98" i="23"/>
  <c r="D20" i="23"/>
  <c r="D5" i="23"/>
  <c r="D6" i="23"/>
  <c r="D8" i="23"/>
  <c r="D9" i="23"/>
  <c r="D118" i="23"/>
  <c r="D119" i="23"/>
  <c r="D120" i="23"/>
  <c r="D121" i="23"/>
  <c r="D75" i="23"/>
  <c r="D76" i="23"/>
  <c r="D77" i="23"/>
  <c r="D83" i="23"/>
  <c r="D84" i="23"/>
  <c r="D85" i="23"/>
  <c r="D86" i="23"/>
  <c r="D87" i="23"/>
  <c r="D125" i="23"/>
  <c r="D126" i="23"/>
  <c r="D127" i="23"/>
  <c r="D42" i="23"/>
  <c r="D43" i="23"/>
  <c r="D44" i="23"/>
  <c r="D45" i="23"/>
  <c r="D122" i="23"/>
  <c r="D133" i="23"/>
  <c r="D14" i="23"/>
  <c r="D46" i="23"/>
  <c r="D99" i="23"/>
  <c r="D21" i="23"/>
  <c r="D78" i="23"/>
  <c r="D88" i="23"/>
  <c r="D81" i="23"/>
  <c r="D110" i="23"/>
  <c r="D10" i="23"/>
  <c r="D111" i="23"/>
  <c r="D48" i="23"/>
  <c r="D112" i="23"/>
  <c r="D113" i="23"/>
  <c r="D106" i="23"/>
  <c r="D107" i="23"/>
  <c r="D96" i="23"/>
  <c r="D97" i="23"/>
  <c r="D95" i="23"/>
  <c r="D2" i="23"/>
  <c r="D89" i="23"/>
  <c r="D90" i="23"/>
  <c r="D35" i="23"/>
  <c r="D36" i="23"/>
  <c r="D25" i="23"/>
  <c r="D26" i="23"/>
  <c r="D123" i="23"/>
  <c r="D115" i="23"/>
  <c r="D54" i="23"/>
  <c r="D71" i="23"/>
  <c r="D12" i="23"/>
  <c r="D7" i="23"/>
  <c r="D52" i="23"/>
  <c r="D117" i="23"/>
  <c r="D132" i="23"/>
  <c r="D31" i="23"/>
  <c r="D22" i="23"/>
  <c r="D13" i="23"/>
  <c r="D23" i="23"/>
  <c r="D37" i="23"/>
  <c r="D38" i="23"/>
  <c r="D39" i="23"/>
  <c r="D40" i="23"/>
  <c r="D41" i="23"/>
  <c r="D61" i="23"/>
  <c r="D50" i="23"/>
  <c r="D32" i="23"/>
  <c r="D33" i="23"/>
  <c r="D34" i="23"/>
  <c r="D62" i="23"/>
  <c r="D63" i="23"/>
  <c r="D64" i="23"/>
  <c r="C38" i="23"/>
  <c r="C39" i="23"/>
  <c r="C40" i="23"/>
  <c r="C41" i="23"/>
  <c r="C61" i="23"/>
  <c r="C50" i="23"/>
  <c r="C32" i="23"/>
  <c r="C33" i="23"/>
  <c r="C34" i="23"/>
  <c r="C62" i="23"/>
  <c r="C63" i="23"/>
  <c r="C64" i="23"/>
  <c r="C65" i="23"/>
  <c r="C27" i="23"/>
  <c r="C67" i="23"/>
  <c r="C131" i="23"/>
  <c r="C128" i="23"/>
  <c r="C91" i="23"/>
  <c r="C92" i="23"/>
  <c r="C73" i="23"/>
  <c r="C30" i="23"/>
  <c r="C124" i="23"/>
  <c r="C134" i="23"/>
  <c r="C114" i="23"/>
  <c r="C19" i="23"/>
  <c r="C101" i="23"/>
  <c r="C28" i="23"/>
  <c r="C100" i="23"/>
  <c r="C102" i="23"/>
  <c r="C74" i="23"/>
  <c r="C29" i="23"/>
  <c r="C82" i="23"/>
  <c r="C16" i="23"/>
  <c r="C17" i="23"/>
  <c r="C18" i="23"/>
  <c r="C79" i="23"/>
  <c r="C108" i="23"/>
  <c r="C55" i="23"/>
  <c r="C3" i="23"/>
  <c r="C56" i="23"/>
  <c r="C103" i="23"/>
  <c r="C135" i="23"/>
  <c r="C70" i="23"/>
  <c r="C11" i="23"/>
  <c r="C116" i="23"/>
  <c r="C4" i="23"/>
  <c r="C53" i="23"/>
  <c r="C15" i="23"/>
  <c r="C93" i="23"/>
  <c r="C130" i="23"/>
  <c r="C94" i="23"/>
  <c r="C129" i="23"/>
  <c r="C80" i="23"/>
  <c r="C47" i="23"/>
  <c r="C57" i="23"/>
  <c r="C58" i="23"/>
  <c r="C104" i="23"/>
  <c r="C59" i="23"/>
  <c r="C105" i="23"/>
  <c r="C60" i="23"/>
  <c r="C109" i="23"/>
  <c r="C98" i="23"/>
  <c r="C20" i="23"/>
  <c r="C5" i="23"/>
  <c r="C6" i="23"/>
  <c r="C8" i="23"/>
  <c r="C9" i="23"/>
  <c r="C118" i="23"/>
  <c r="C119" i="23"/>
  <c r="C120" i="23"/>
  <c r="C121" i="23"/>
  <c r="C75" i="23"/>
  <c r="C76" i="23"/>
  <c r="C77" i="23"/>
  <c r="C83" i="23"/>
  <c r="C84" i="23"/>
  <c r="C85" i="23"/>
  <c r="C86" i="23"/>
  <c r="C87" i="23"/>
  <c r="C125" i="23"/>
  <c r="C126" i="23"/>
  <c r="C127" i="23"/>
  <c r="C42" i="23"/>
  <c r="C43" i="23"/>
  <c r="C44" i="23"/>
  <c r="C45" i="23"/>
  <c r="C122" i="23"/>
  <c r="C133" i="23"/>
  <c r="C14" i="23"/>
  <c r="C66" i="23"/>
  <c r="C46" i="23"/>
  <c r="C99" i="23"/>
  <c r="C21" i="23"/>
  <c r="C78" i="23"/>
  <c r="C88" i="23"/>
  <c r="C81" i="23"/>
  <c r="C110" i="23"/>
  <c r="C10" i="23"/>
  <c r="C111" i="23"/>
  <c r="C48" i="23"/>
  <c r="C112" i="23"/>
  <c r="C113" i="23"/>
  <c r="C106" i="23"/>
  <c r="C107" i="23"/>
  <c r="C96" i="23"/>
  <c r="C97" i="23"/>
  <c r="C95" i="23"/>
  <c r="C2" i="23"/>
  <c r="C89" i="23"/>
  <c r="C90" i="23"/>
  <c r="C35" i="23"/>
  <c r="C36" i="23"/>
  <c r="C25" i="23"/>
  <c r="C26" i="23"/>
  <c r="C123" i="23"/>
  <c r="C115" i="23"/>
  <c r="C54" i="23"/>
  <c r="C71" i="23"/>
  <c r="C7" i="23"/>
  <c r="C52" i="23"/>
  <c r="C117" i="23"/>
  <c r="C132" i="23"/>
  <c r="C31" i="23"/>
  <c r="C22" i="23"/>
  <c r="C13" i="23"/>
  <c r="C23" i="23"/>
  <c r="C37" i="23"/>
  <c r="Z49" i="23" l="1"/>
  <c r="AA49" i="23"/>
  <c r="M1303" i="3"/>
  <c r="M1306" i="3"/>
  <c r="M1307" i="3"/>
  <c r="M1308" i="3"/>
  <c r="M1309" i="3"/>
  <c r="M1310" i="3"/>
  <c r="M1311" i="3"/>
  <c r="M1312" i="3"/>
  <c r="M1313" i="3"/>
  <c r="M1314" i="3"/>
  <c r="M1315" i="3"/>
  <c r="M1316" i="3"/>
  <c r="M1317" i="3"/>
  <c r="M1318" i="3"/>
  <c r="M1319" i="3"/>
  <c r="M1320" i="3"/>
  <c r="M1321" i="3"/>
  <c r="M1322" i="3"/>
  <c r="M1323" i="3"/>
  <c r="M1324" i="3"/>
  <c r="M1325" i="3"/>
  <c r="M1326" i="3"/>
  <c r="M1327" i="3"/>
  <c r="M1328" i="3"/>
  <c r="M1329" i="3"/>
  <c r="M1330" i="3"/>
  <c r="M1331" i="3"/>
  <c r="M1332" i="3"/>
  <c r="M1333" i="3"/>
  <c r="M1334" i="3"/>
  <c r="M1335" i="3"/>
  <c r="M1336" i="3"/>
  <c r="M1337" i="3"/>
  <c r="M1338" i="3"/>
  <c r="M1339" i="3"/>
  <c r="M1340" i="3"/>
  <c r="M1341" i="3"/>
  <c r="M1342" i="3"/>
  <c r="M1343" i="3"/>
  <c r="M1344" i="3"/>
  <c r="M1345" i="3"/>
  <c r="M1346" i="3"/>
  <c r="M1347" i="3"/>
  <c r="M1348" i="3"/>
  <c r="B123" i="23"/>
  <c r="AD123" i="23" s="1"/>
  <c r="B115" i="23"/>
  <c r="AD115" i="23" s="1"/>
  <c r="B54" i="23"/>
  <c r="B71" i="23"/>
  <c r="AD71" i="23" s="1"/>
  <c r="B7" i="23"/>
  <c r="AD7" i="23" s="1"/>
  <c r="B52" i="23"/>
  <c r="AD52" i="23" s="1"/>
  <c r="B117" i="23"/>
  <c r="AD117" i="23" s="1"/>
  <c r="B132" i="23"/>
  <c r="B31" i="23"/>
  <c r="AD31" i="23" s="1"/>
  <c r="B22" i="23"/>
  <c r="B13" i="23"/>
  <c r="AD13" i="23" s="1"/>
  <c r="B23" i="23"/>
  <c r="AD23" i="23" s="1"/>
  <c r="B37" i="23"/>
  <c r="AD37" i="23" s="1"/>
  <c r="B38" i="23"/>
  <c r="AD38" i="23" s="1"/>
  <c r="B39" i="23"/>
  <c r="AD39" i="23" s="1"/>
  <c r="B40" i="23"/>
  <c r="AD40" i="23" s="1"/>
  <c r="B41" i="23"/>
  <c r="AD41" i="23" s="1"/>
  <c r="B61" i="23"/>
  <c r="AD61" i="23" s="1"/>
  <c r="B50" i="23"/>
  <c r="AD50" i="23" s="1"/>
  <c r="B32" i="23"/>
  <c r="AD32" i="23" s="1"/>
  <c r="B33" i="23"/>
  <c r="AD33" i="23" s="1"/>
  <c r="B34" i="23"/>
  <c r="AD34" i="23" s="1"/>
  <c r="B62" i="23"/>
  <c r="AD62" i="23" s="1"/>
  <c r="B63" i="23"/>
  <c r="AD63" i="23" s="1"/>
  <c r="B64" i="23"/>
  <c r="AD64" i="23" s="1"/>
  <c r="B65" i="23"/>
  <c r="AD65" i="23" s="1"/>
  <c r="B27" i="23"/>
  <c r="AD27" i="23" s="1"/>
  <c r="B67" i="23"/>
  <c r="B131" i="23"/>
  <c r="AD131" i="23" s="1"/>
  <c r="B128" i="23"/>
  <c r="AD128" i="23" s="1"/>
  <c r="B91" i="23"/>
  <c r="AD91" i="23" s="1"/>
  <c r="B92" i="23"/>
  <c r="AD92" i="23" s="1"/>
  <c r="B73" i="23"/>
  <c r="AD73" i="23" s="1"/>
  <c r="B30" i="23"/>
  <c r="AD30" i="23" s="1"/>
  <c r="B124" i="23"/>
  <c r="AD124" i="23" s="1"/>
  <c r="B134" i="23"/>
  <c r="AD134" i="23" s="1"/>
  <c r="B114" i="23"/>
  <c r="AD114" i="23" s="1"/>
  <c r="B19" i="23"/>
  <c r="AD19" i="23" s="1"/>
  <c r="B101" i="23"/>
  <c r="AD101" i="23" s="1"/>
  <c r="B28" i="23"/>
  <c r="AD28" i="23" s="1"/>
  <c r="B100" i="23"/>
  <c r="AD100" i="23" s="1"/>
  <c r="B102" i="23"/>
  <c r="AD102" i="23" s="1"/>
  <c r="B74" i="23"/>
  <c r="AD74" i="23" s="1"/>
  <c r="B29" i="23"/>
  <c r="AD29" i="23" s="1"/>
  <c r="B82" i="23"/>
  <c r="AD82" i="23" s="1"/>
  <c r="B16" i="23"/>
  <c r="B17" i="23"/>
  <c r="AD17" i="23" s="1"/>
  <c r="B18" i="23"/>
  <c r="AD18" i="23" s="1"/>
  <c r="B79" i="23"/>
  <c r="AD79" i="23" s="1"/>
  <c r="B108" i="23"/>
  <c r="AD108" i="23" s="1"/>
  <c r="B55" i="23"/>
  <c r="AD55" i="23" s="1"/>
  <c r="B3" i="23"/>
  <c r="AD3" i="23" s="1"/>
  <c r="B56" i="23"/>
  <c r="AD56" i="23" s="1"/>
  <c r="B103" i="23"/>
  <c r="AD103" i="23" s="1"/>
  <c r="B135" i="23"/>
  <c r="AD135" i="23" s="1"/>
  <c r="B70" i="23"/>
  <c r="AD70" i="23" s="1"/>
  <c r="B11" i="23"/>
  <c r="AD11" i="23" s="1"/>
  <c r="B116" i="23"/>
  <c r="AD116" i="23" s="1"/>
  <c r="B4" i="23"/>
  <c r="AD4" i="23" s="1"/>
  <c r="B53" i="23"/>
  <c r="AD53" i="23" s="1"/>
  <c r="B24" i="23"/>
  <c r="AD24" i="23" s="1"/>
  <c r="B15" i="23"/>
  <c r="AD15" i="23" s="1"/>
  <c r="B68" i="23"/>
  <c r="AD68" i="23" s="1"/>
  <c r="B93" i="23"/>
  <c r="AD93" i="23" s="1"/>
  <c r="B130" i="23"/>
  <c r="AD130" i="23" s="1"/>
  <c r="B94" i="23"/>
  <c r="AD94" i="23" s="1"/>
  <c r="B129" i="23"/>
  <c r="AD129" i="23" s="1"/>
  <c r="B80" i="23"/>
  <c r="AD80" i="23" s="1"/>
  <c r="B47" i="23"/>
  <c r="AD47" i="23" s="1"/>
  <c r="B57" i="23"/>
  <c r="AD57" i="23" s="1"/>
  <c r="B58" i="23"/>
  <c r="AD58" i="23" s="1"/>
  <c r="B104" i="23"/>
  <c r="AD104" i="23" s="1"/>
  <c r="B59" i="23"/>
  <c r="AD59" i="23" s="1"/>
  <c r="B105" i="23"/>
  <c r="AD105" i="23" s="1"/>
  <c r="B60" i="23"/>
  <c r="AD60" i="23" s="1"/>
  <c r="B109" i="23"/>
  <c r="AD109" i="23" s="1"/>
  <c r="B98" i="23"/>
  <c r="AD98" i="23" s="1"/>
  <c r="B20" i="23"/>
  <c r="AD20" i="23" s="1"/>
  <c r="B5" i="23"/>
  <c r="AD5" i="23" s="1"/>
  <c r="B6" i="23"/>
  <c r="AD6" i="23" s="1"/>
  <c r="B8" i="23"/>
  <c r="AD8" i="23" s="1"/>
  <c r="B9" i="23"/>
  <c r="AD9" i="23" s="1"/>
  <c r="B118" i="23"/>
  <c r="AD118" i="23" s="1"/>
  <c r="B119" i="23"/>
  <c r="AD119" i="23" s="1"/>
  <c r="B120" i="23"/>
  <c r="AD120" i="23" s="1"/>
  <c r="B121" i="23"/>
  <c r="AD121" i="23" s="1"/>
  <c r="B75" i="23"/>
  <c r="AD75" i="23" s="1"/>
  <c r="B76" i="23"/>
  <c r="AD76" i="23" s="1"/>
  <c r="B77" i="23"/>
  <c r="AD77" i="23" s="1"/>
  <c r="B83" i="23"/>
  <c r="AD83" i="23" s="1"/>
  <c r="B84" i="23"/>
  <c r="AD84" i="23" s="1"/>
  <c r="B85" i="23"/>
  <c r="AD85" i="23" s="1"/>
  <c r="B86" i="23"/>
  <c r="AD86" i="23" s="1"/>
  <c r="B87" i="23"/>
  <c r="AD87" i="23" s="1"/>
  <c r="B125" i="23"/>
  <c r="AD125" i="23" s="1"/>
  <c r="B126" i="23"/>
  <c r="AD126" i="23" s="1"/>
  <c r="B127" i="23"/>
  <c r="AD127" i="23" s="1"/>
  <c r="B42" i="23"/>
  <c r="AD42" i="23" s="1"/>
  <c r="B43" i="23"/>
  <c r="AD43" i="23" s="1"/>
  <c r="B44" i="23"/>
  <c r="AD44" i="23" s="1"/>
  <c r="B45" i="23"/>
  <c r="AD45" i="23" s="1"/>
  <c r="B122" i="23"/>
  <c r="AD122" i="23" s="1"/>
  <c r="B133" i="23"/>
  <c r="AD133" i="23" s="1"/>
  <c r="B14" i="23"/>
  <c r="AD14" i="23" s="1"/>
  <c r="B51" i="23"/>
  <c r="AD51" i="23" s="1"/>
  <c r="B66" i="23"/>
  <c r="AD66" i="23" s="1"/>
  <c r="B69" i="23"/>
  <c r="AD69" i="23" s="1"/>
  <c r="B46" i="23"/>
  <c r="AD46" i="23" s="1"/>
  <c r="B99" i="23"/>
  <c r="AD99" i="23" s="1"/>
  <c r="B21" i="23"/>
  <c r="AD21" i="23" s="1"/>
  <c r="B78" i="23"/>
  <c r="AD78" i="23" s="1"/>
  <c r="B88" i="23"/>
  <c r="AD88" i="23" s="1"/>
  <c r="B81" i="23"/>
  <c r="AD81" i="23" s="1"/>
  <c r="B110" i="23"/>
  <c r="AD110" i="23" s="1"/>
  <c r="B10" i="23"/>
  <c r="AD10" i="23" s="1"/>
  <c r="B111" i="23"/>
  <c r="AD111" i="23" s="1"/>
  <c r="B48" i="23"/>
  <c r="AD48" i="23" s="1"/>
  <c r="B112" i="23"/>
  <c r="AD112" i="23" s="1"/>
  <c r="B113" i="23"/>
  <c r="AD113" i="23" s="1"/>
  <c r="B106" i="23"/>
  <c r="AD106" i="23" s="1"/>
  <c r="B107" i="23"/>
  <c r="AD107" i="23" s="1"/>
  <c r="B35" i="23"/>
  <c r="AD35" i="23" s="1"/>
  <c r="B36" i="23"/>
  <c r="AD36" i="23" s="1"/>
  <c r="B25" i="23"/>
  <c r="AD25" i="23" s="1"/>
  <c r="B26" i="23"/>
  <c r="B96" i="23"/>
  <c r="AD96" i="23" s="1"/>
  <c r="B97" i="23"/>
  <c r="AD97" i="23" s="1"/>
  <c r="B95" i="23"/>
  <c r="AD95" i="23" s="1"/>
  <c r="B2" i="23"/>
  <c r="AD2" i="23" s="1"/>
  <c r="B89" i="23"/>
  <c r="AD89" i="23" s="1"/>
  <c r="B90" i="23"/>
  <c r="AD90" i="23" s="1"/>
  <c r="B41" i="15"/>
  <c r="G3" i="16"/>
  <c r="G17" i="16"/>
  <c r="M32" i="17"/>
  <c r="L32" i="17"/>
  <c r="K32" i="17"/>
  <c r="J32" i="17"/>
  <c r="I32" i="17"/>
  <c r="K31" i="17"/>
  <c r="F31" i="17"/>
  <c r="M31" i="17" s="1"/>
  <c r="E31" i="17"/>
  <c r="L31" i="17" s="1"/>
  <c r="D31" i="17"/>
  <c r="C31" i="17"/>
  <c r="J31" i="17" s="1"/>
  <c r="B31" i="17"/>
  <c r="I31" i="17" s="1"/>
  <c r="F30" i="17"/>
  <c r="K17" i="16" s="1"/>
  <c r="E30" i="17"/>
  <c r="J17" i="16" s="1"/>
  <c r="D30" i="17"/>
  <c r="I17" i="16" s="1"/>
  <c r="C30" i="17"/>
  <c r="H17" i="16" s="1"/>
  <c r="B30" i="17"/>
  <c r="F29" i="17"/>
  <c r="K16" i="16" s="1"/>
  <c r="F13" i="17"/>
  <c r="M13" i="17" s="1"/>
  <c r="E13" i="17"/>
  <c r="L13" i="17" s="1"/>
  <c r="D13" i="17"/>
  <c r="K13" i="17" s="1"/>
  <c r="C13" i="17"/>
  <c r="J13" i="17" s="1"/>
  <c r="B13" i="17"/>
  <c r="I13" i="17" s="1"/>
  <c r="F12" i="17"/>
  <c r="M12" i="17" s="1"/>
  <c r="E12" i="17"/>
  <c r="L12" i="17" s="1"/>
  <c r="D12" i="17"/>
  <c r="K12" i="17" s="1"/>
  <c r="C12" i="17"/>
  <c r="J12" i="17" s="1"/>
  <c r="B12" i="17"/>
  <c r="I12" i="17" s="1"/>
  <c r="F11" i="17"/>
  <c r="M11" i="17" s="1"/>
  <c r="E11" i="17"/>
  <c r="L11" i="17" s="1"/>
  <c r="D11" i="17"/>
  <c r="K11" i="17" s="1"/>
  <c r="C11" i="17"/>
  <c r="J11" i="17" s="1"/>
  <c r="B11" i="17"/>
  <c r="I11" i="17" s="1"/>
  <c r="F10" i="17"/>
  <c r="M10" i="17" s="1"/>
  <c r="E10" i="17"/>
  <c r="L10" i="17" s="1"/>
  <c r="D10" i="17"/>
  <c r="K10" i="17" s="1"/>
  <c r="C10" i="17"/>
  <c r="J10" i="17" s="1"/>
  <c r="B10" i="17"/>
  <c r="I10" i="17" s="1"/>
  <c r="F9" i="17"/>
  <c r="M9" i="17" s="1"/>
  <c r="E9" i="17"/>
  <c r="L9" i="17" s="1"/>
  <c r="D9" i="17"/>
  <c r="K9" i="17" s="1"/>
  <c r="C9" i="17"/>
  <c r="J9" i="17" s="1"/>
  <c r="B9" i="17"/>
  <c r="I9" i="17" s="1"/>
  <c r="F8" i="17"/>
  <c r="M8" i="17" s="1"/>
  <c r="E8" i="17"/>
  <c r="L8" i="17" s="1"/>
  <c r="D8" i="17"/>
  <c r="K8" i="17" s="1"/>
  <c r="C8" i="17"/>
  <c r="J8" i="17" s="1"/>
  <c r="B8" i="17"/>
  <c r="I8" i="17" s="1"/>
  <c r="F7" i="17"/>
  <c r="M7" i="17" s="1"/>
  <c r="E7" i="17"/>
  <c r="L7" i="17" s="1"/>
  <c r="D7" i="17"/>
  <c r="K7" i="17" s="1"/>
  <c r="C7" i="17"/>
  <c r="J7" i="17" s="1"/>
  <c r="B7" i="17"/>
  <c r="I7" i="17" s="1"/>
  <c r="F6" i="17"/>
  <c r="M6" i="17" s="1"/>
  <c r="E6" i="17"/>
  <c r="L6" i="17" s="1"/>
  <c r="D6" i="17"/>
  <c r="K6" i="17" s="1"/>
  <c r="C6" i="17"/>
  <c r="J6" i="17" s="1"/>
  <c r="B6" i="17"/>
  <c r="I6" i="17" s="1"/>
  <c r="F5" i="17"/>
  <c r="M5" i="17" s="1"/>
  <c r="E5" i="17"/>
  <c r="L5" i="17" s="1"/>
  <c r="D5" i="17"/>
  <c r="K5" i="17" s="1"/>
  <c r="C5" i="17"/>
  <c r="J5" i="17" s="1"/>
  <c r="B5" i="17"/>
  <c r="B16" i="17" s="1"/>
  <c r="I16" i="17" s="1"/>
  <c r="F4" i="17"/>
  <c r="M4" i="17" s="1"/>
  <c r="E4" i="17"/>
  <c r="L4" i="17" s="1"/>
  <c r="D4" i="17"/>
  <c r="K4" i="17" s="1"/>
  <c r="C4" i="17"/>
  <c r="J4" i="17" s="1"/>
  <c r="B4" i="17"/>
  <c r="I4" i="17" s="1"/>
  <c r="E31" i="10"/>
  <c r="F31" i="10"/>
  <c r="K5" i="16"/>
  <c r="B30" i="10"/>
  <c r="G6" i="16" s="1"/>
  <c r="H5" i="16"/>
  <c r="I5" i="16"/>
  <c r="J5" i="16"/>
  <c r="J9" i="16" s="1"/>
  <c r="E34" i="10" s="1"/>
  <c r="E37" i="10" s="1"/>
  <c r="G5" i="16"/>
  <c r="D3" i="16"/>
  <c r="E3" i="16"/>
  <c r="L3" i="16"/>
  <c r="M3" i="16"/>
  <c r="C3" i="16"/>
  <c r="F3" i="16"/>
  <c r="H3" i="16"/>
  <c r="I3" i="16"/>
  <c r="J3" i="16"/>
  <c r="K3" i="16"/>
  <c r="K54" i="23" l="1"/>
  <c r="AD54" i="23"/>
  <c r="K22" i="23"/>
  <c r="AA22" i="23" s="1"/>
  <c r="AD22" i="23"/>
  <c r="K67" i="23"/>
  <c r="AD67" i="23"/>
  <c r="K132" i="23"/>
  <c r="AA132" i="23" s="1"/>
  <c r="AD132" i="23"/>
  <c r="K26" i="23"/>
  <c r="AA26" i="23" s="1"/>
  <c r="AD26" i="23"/>
  <c r="K16" i="23"/>
  <c r="AA16" i="23" s="1"/>
  <c r="AD16" i="23"/>
  <c r="K9" i="16"/>
  <c r="F34" i="10" s="1"/>
  <c r="F37" i="10" s="1"/>
  <c r="G9" i="16"/>
  <c r="G20" i="16"/>
  <c r="B34" i="17" s="1"/>
  <c r="B37" i="17" s="1"/>
  <c r="M29" i="17"/>
  <c r="I9" i="16"/>
  <c r="D34" i="10" s="1"/>
  <c r="D37" i="10" s="1"/>
  <c r="K20" i="16"/>
  <c r="F34" i="17" s="1"/>
  <c r="F37" i="17" s="1"/>
  <c r="H9" i="16"/>
  <c r="C34" i="10" s="1"/>
  <c r="C37" i="10" s="1"/>
  <c r="B34" i="10"/>
  <c r="B37" i="10" s="1"/>
  <c r="J20" i="16"/>
  <c r="E34" i="17" s="1"/>
  <c r="L34" i="17" s="1"/>
  <c r="L37" i="17" s="1"/>
  <c r="I20" i="16"/>
  <c r="D34" i="17" s="1"/>
  <c r="D37" i="17" s="1"/>
  <c r="H20" i="16"/>
  <c r="C34" i="17" s="1"/>
  <c r="C37" i="17" s="1"/>
  <c r="G10" i="16"/>
  <c r="B35" i="10" s="1"/>
  <c r="I35" i="10" s="1"/>
  <c r="C16" i="17"/>
  <c r="J16" i="17" s="1"/>
  <c r="I5" i="17"/>
  <c r="F11" i="15"/>
  <c r="C11" i="15"/>
  <c r="C37" i="15" s="1"/>
  <c r="E12" i="15"/>
  <c r="D6" i="15"/>
  <c r="E7" i="15"/>
  <c r="C4" i="15"/>
  <c r="C30" i="15" s="1"/>
  <c r="C9" i="15"/>
  <c r="C35" i="15" s="1"/>
  <c r="E4" i="15"/>
  <c r="F9" i="15"/>
  <c r="C5" i="15"/>
  <c r="C31" i="15" s="1"/>
  <c r="F8" i="15"/>
  <c r="D10" i="15"/>
  <c r="F5" i="15"/>
  <c r="E8" i="15"/>
  <c r="D5" i="15"/>
  <c r="D11" i="15"/>
  <c r="F6" i="15"/>
  <c r="C6" i="15"/>
  <c r="C32" i="15" s="1"/>
  <c r="D7" i="15"/>
  <c r="C10" i="15"/>
  <c r="C36" i="15" s="1"/>
  <c r="E5" i="15"/>
  <c r="F10" i="15"/>
  <c r="D8" i="15"/>
  <c r="E9" i="15"/>
  <c r="D12" i="15"/>
  <c r="F7" i="15"/>
  <c r="C7" i="15"/>
  <c r="C33" i="15" s="1"/>
  <c r="E10" i="15"/>
  <c r="D4" i="15"/>
  <c r="D30" i="15" s="1"/>
  <c r="C12" i="15"/>
  <c r="C38" i="15" s="1"/>
  <c r="D9" i="15"/>
  <c r="F12" i="15"/>
  <c r="E6" i="15"/>
  <c r="C8" i="15"/>
  <c r="C34" i="15" s="1"/>
  <c r="E11" i="15"/>
  <c r="F4" i="15"/>
  <c r="D3" i="15"/>
  <c r="C3" i="15"/>
  <c r="E3" i="15"/>
  <c r="F3" i="15"/>
  <c r="K72" i="23"/>
  <c r="AA72" i="23" s="1"/>
  <c r="K110" i="23"/>
  <c r="K81" i="23"/>
  <c r="K14" i="20" s="1"/>
  <c r="O14" i="20" s="1"/>
  <c r="V81" i="23" s="1"/>
  <c r="K94" i="23"/>
  <c r="K122" i="23"/>
  <c r="AA122" i="23" s="1"/>
  <c r="K20" i="23"/>
  <c r="K119" i="23"/>
  <c r="AA119" i="23" s="1"/>
  <c r="K107" i="23"/>
  <c r="K21" i="23"/>
  <c r="K45" i="23"/>
  <c r="K42" i="23"/>
  <c r="K11" i="20" s="1"/>
  <c r="O11" i="20" s="1"/>
  <c r="V42" i="23" s="1"/>
  <c r="K6" i="23"/>
  <c r="AA6" i="23" s="1"/>
  <c r="K58" i="23"/>
  <c r="AA58" i="23" s="1"/>
  <c r="K80" i="23"/>
  <c r="K15" i="20" s="1"/>
  <c r="O15" i="20" s="1"/>
  <c r="V80" i="23" s="1"/>
  <c r="K70" i="23"/>
  <c r="AA70" i="23" s="1"/>
  <c r="K134" i="23"/>
  <c r="AA134" i="23" s="1"/>
  <c r="K73" i="23"/>
  <c r="K10" i="20" s="1"/>
  <c r="O10" i="20" s="1"/>
  <c r="K27" i="23"/>
  <c r="AA27" i="23" s="1"/>
  <c r="K61" i="23"/>
  <c r="AA61" i="23" s="1"/>
  <c r="K129" i="23"/>
  <c r="AA129" i="23" s="1"/>
  <c r="K56" i="23"/>
  <c r="AA56" i="23" s="1"/>
  <c r="K108" i="23"/>
  <c r="AA108" i="23" s="1"/>
  <c r="K29" i="23"/>
  <c r="AA29" i="23" s="1"/>
  <c r="K124" i="23"/>
  <c r="AA124" i="23" s="1"/>
  <c r="K65" i="23"/>
  <c r="AA65" i="23" s="1"/>
  <c r="K62" i="23"/>
  <c r="AA62" i="23" s="1"/>
  <c r="K13" i="23"/>
  <c r="AA13" i="23" s="1"/>
  <c r="K52" i="23"/>
  <c r="K21" i="16"/>
  <c r="F35" i="17" s="1"/>
  <c r="D16" i="17"/>
  <c r="B17" i="17"/>
  <c r="E16" i="17"/>
  <c r="F16" i="17"/>
  <c r="K8" i="20" l="1"/>
  <c r="O8" i="20" s="1"/>
  <c r="K23" i="20"/>
  <c r="O23" i="20" s="1"/>
  <c r="K17" i="20"/>
  <c r="O17" i="20" s="1"/>
  <c r="V54" i="23" s="1"/>
  <c r="AA54" i="23" s="1"/>
  <c r="C41" i="15"/>
  <c r="V45" i="23"/>
  <c r="AA45" i="23" s="1"/>
  <c r="V73" i="23"/>
  <c r="AA73" i="23" s="1"/>
  <c r="K16" i="20"/>
  <c r="O16" i="20" s="1"/>
  <c r="C17" i="17"/>
  <c r="C18" i="17" s="1"/>
  <c r="AA80" i="23"/>
  <c r="AA42" i="23"/>
  <c r="AA81" i="23"/>
  <c r="M34" i="17"/>
  <c r="M37" i="17" s="1"/>
  <c r="I34" i="17"/>
  <c r="I37" i="17" s="1"/>
  <c r="E37" i="17"/>
  <c r="K34" i="17"/>
  <c r="K37" i="17" s="1"/>
  <c r="J34" i="17"/>
  <c r="J37" i="17" s="1"/>
  <c r="B38" i="10"/>
  <c r="M35" i="17"/>
  <c r="M38" i="17" s="1"/>
  <c r="F38" i="17"/>
  <c r="F17" i="17"/>
  <c r="M16" i="17"/>
  <c r="L16" i="17"/>
  <c r="E17" i="17"/>
  <c r="I17" i="17"/>
  <c r="B18" i="17"/>
  <c r="K16" i="17"/>
  <c r="D17" i="17"/>
  <c r="V94" i="23" l="1"/>
  <c r="AA94" i="23" s="1"/>
  <c r="V106" i="23"/>
  <c r="V107" i="23"/>
  <c r="AA107" i="23" s="1"/>
  <c r="J17" i="17"/>
  <c r="B19" i="17"/>
  <c r="I18" i="17"/>
  <c r="E18" i="17"/>
  <c r="L17" i="17"/>
  <c r="C19" i="17"/>
  <c r="J18" i="17"/>
  <c r="D18" i="17"/>
  <c r="K17" i="17"/>
  <c r="M17" i="17"/>
  <c r="F18" i="17"/>
  <c r="D19" i="17" l="1"/>
  <c r="K18" i="17"/>
  <c r="J19" i="17"/>
  <c r="C20" i="17"/>
  <c r="L18" i="17"/>
  <c r="E19" i="17"/>
  <c r="M18" i="17"/>
  <c r="F19" i="17"/>
  <c r="I19" i="17"/>
  <c r="B20" i="17"/>
  <c r="M19" i="17" l="1"/>
  <c r="F20" i="17"/>
  <c r="L19" i="17"/>
  <c r="E20" i="17"/>
  <c r="J20" i="17"/>
  <c r="C21" i="17"/>
  <c r="I20" i="17"/>
  <c r="B21" i="17"/>
  <c r="K19" i="17"/>
  <c r="D20" i="17"/>
  <c r="I21" i="17" l="1"/>
  <c r="B22" i="17"/>
  <c r="J21" i="17"/>
  <c r="C22" i="17"/>
  <c r="E21" i="17"/>
  <c r="L20" i="17"/>
  <c r="K20" i="17"/>
  <c r="D21" i="17"/>
  <c r="F21" i="17"/>
  <c r="M20" i="17"/>
  <c r="M21" i="17" l="1"/>
  <c r="F22" i="17"/>
  <c r="D22" i="17"/>
  <c r="K21" i="17"/>
  <c r="E22" i="17"/>
  <c r="L21" i="17"/>
  <c r="C23" i="17"/>
  <c r="J22" i="17"/>
  <c r="B23" i="17"/>
  <c r="I22" i="17"/>
  <c r="L22" i="17" l="1"/>
  <c r="E23" i="17"/>
  <c r="J23" i="17"/>
  <c r="C24" i="17"/>
  <c r="J24" i="17" s="1"/>
  <c r="D23" i="17"/>
  <c r="K22" i="17"/>
  <c r="M22" i="17"/>
  <c r="F23" i="17"/>
  <c r="I23" i="17"/>
  <c r="B24" i="17"/>
  <c r="I24" i="17" s="1"/>
  <c r="M23" i="17" l="1"/>
  <c r="F24" i="17"/>
  <c r="M24" i="17" s="1"/>
  <c r="K23" i="17"/>
  <c r="D24" i="17"/>
  <c r="K24" i="17" s="1"/>
  <c r="L23" i="17"/>
  <c r="E24" i="17"/>
  <c r="L24" i="17" s="1"/>
  <c r="I31" i="10" l="1"/>
  <c r="Y7" i="11"/>
  <c r="B29" i="17" s="1"/>
  <c r="C13" i="10"/>
  <c r="D13" i="10"/>
  <c r="E13" i="10"/>
  <c r="F13" i="10"/>
  <c r="B13" i="10"/>
  <c r="C12" i="10"/>
  <c r="D12" i="10"/>
  <c r="E12" i="10"/>
  <c r="F12" i="10"/>
  <c r="B12" i="10"/>
  <c r="C11" i="10"/>
  <c r="D11" i="10"/>
  <c r="E11" i="10"/>
  <c r="F11" i="10"/>
  <c r="B11" i="10"/>
  <c r="C10" i="10"/>
  <c r="D10" i="10"/>
  <c r="E10" i="10"/>
  <c r="F10" i="10"/>
  <c r="B10" i="10"/>
  <c r="C9" i="10"/>
  <c r="D9" i="10"/>
  <c r="E9" i="10"/>
  <c r="F9" i="10"/>
  <c r="B9" i="10"/>
  <c r="C8" i="10"/>
  <c r="D8" i="10"/>
  <c r="E8" i="10"/>
  <c r="F8" i="10"/>
  <c r="B8" i="10"/>
  <c r="C7" i="10"/>
  <c r="D7" i="10"/>
  <c r="E7" i="10"/>
  <c r="F7" i="10"/>
  <c r="B7" i="10"/>
  <c r="C6" i="10"/>
  <c r="D6" i="10"/>
  <c r="E6" i="10"/>
  <c r="F6" i="10"/>
  <c r="B6" i="10"/>
  <c r="C5" i="10"/>
  <c r="D5" i="10"/>
  <c r="E5" i="10"/>
  <c r="F5" i="10"/>
  <c r="B5" i="10"/>
  <c r="B4" i="10"/>
  <c r="M32" i="10"/>
  <c r="M31" i="10"/>
  <c r="M29" i="10"/>
  <c r="D30" i="10"/>
  <c r="I6" i="16" s="1"/>
  <c r="I10" i="16" s="1"/>
  <c r="D35" i="10" s="1"/>
  <c r="D38" i="10" s="1"/>
  <c r="C30" i="10"/>
  <c r="H6" i="16" s="1"/>
  <c r="H10" i="16" s="1"/>
  <c r="C35" i="10" s="1"/>
  <c r="C38" i="10" s="1"/>
  <c r="J6" i="16"/>
  <c r="J10" i="16" s="1"/>
  <c r="E35" i="10" s="1"/>
  <c r="Y8" i="11"/>
  <c r="C29" i="17" s="1"/>
  <c r="Y9" i="11"/>
  <c r="D29" i="17" s="1"/>
  <c r="Y10" i="11"/>
  <c r="E29" i="17" s="1"/>
  <c r="E38" i="10" l="1"/>
  <c r="L35" i="10"/>
  <c r="L38" i="10" s="1"/>
  <c r="L29" i="17"/>
  <c r="J16" i="16"/>
  <c r="J21" i="16" s="1"/>
  <c r="E35" i="17" s="1"/>
  <c r="K29" i="17"/>
  <c r="I16" i="16"/>
  <c r="I21" i="16" s="1"/>
  <c r="D35" i="17" s="1"/>
  <c r="I29" i="17"/>
  <c r="G16" i="16"/>
  <c r="G21" i="16" s="1"/>
  <c r="B35" i="17" s="1"/>
  <c r="J29" i="17"/>
  <c r="H16" i="16"/>
  <c r="H21" i="16" s="1"/>
  <c r="C35" i="17" s="1"/>
  <c r="K6" i="16"/>
  <c r="K10" i="16" s="1"/>
  <c r="F35" i="10" s="1"/>
  <c r="I34" i="10"/>
  <c r="I37" i="10" s="1"/>
  <c r="J35" i="10"/>
  <c r="K35" i="10"/>
  <c r="M34" i="10"/>
  <c r="M37" i="10" s="1"/>
  <c r="J13" i="10"/>
  <c r="L13" i="10"/>
  <c r="M13" i="10"/>
  <c r="I13" i="10"/>
  <c r="J11" i="10"/>
  <c r="K11" i="10"/>
  <c r="L11" i="10"/>
  <c r="M11" i="10"/>
  <c r="I11" i="10"/>
  <c r="J10" i="10"/>
  <c r="M10" i="10"/>
  <c r="I10" i="10"/>
  <c r="K7" i="10"/>
  <c r="I7" i="10"/>
  <c r="J6" i="10"/>
  <c r="K6" i="10"/>
  <c r="L6" i="10"/>
  <c r="I6" i="10"/>
  <c r="L32" i="10"/>
  <c r="K32" i="10"/>
  <c r="J32" i="10"/>
  <c r="I32" i="10"/>
  <c r="L29" i="10"/>
  <c r="K29" i="10"/>
  <c r="J29" i="10"/>
  <c r="I29" i="10"/>
  <c r="F16" i="10"/>
  <c r="F17" i="10" s="1"/>
  <c r="F18" i="10" s="1"/>
  <c r="B16" i="10"/>
  <c r="I16" i="10" s="1"/>
  <c r="K13" i="10"/>
  <c r="L12" i="10"/>
  <c r="L10" i="10"/>
  <c r="K10" i="10"/>
  <c r="L9" i="10"/>
  <c r="M7" i="10"/>
  <c r="L7" i="10"/>
  <c r="J7" i="10"/>
  <c r="M6" i="10"/>
  <c r="M5" i="10"/>
  <c r="I5" i="10"/>
  <c r="F38" i="10" l="1"/>
  <c r="M35" i="10"/>
  <c r="M38" i="10" s="1"/>
  <c r="I35" i="17"/>
  <c r="I38" i="17" s="1"/>
  <c r="B38" i="17"/>
  <c r="D38" i="17"/>
  <c r="K35" i="17"/>
  <c r="K38" i="17" s="1"/>
  <c r="E38" i="17"/>
  <c r="L35" i="17"/>
  <c r="L38" i="17" s="1"/>
  <c r="J35" i="17"/>
  <c r="J38" i="17" s="1"/>
  <c r="C38" i="17"/>
  <c r="L34" i="10"/>
  <c r="L37" i="10" s="1"/>
  <c r="K34" i="10"/>
  <c r="K37" i="10" s="1"/>
  <c r="J34" i="10"/>
  <c r="J37" i="10" s="1"/>
  <c r="M4" i="10"/>
  <c r="L4" i="10"/>
  <c r="E16" i="10"/>
  <c r="D16" i="10"/>
  <c r="K16" i="10" s="1"/>
  <c r="C16" i="10"/>
  <c r="J16" i="10" s="1"/>
  <c r="I8" i="10"/>
  <c r="M8" i="10"/>
  <c r="L8" i="10"/>
  <c r="K8" i="10"/>
  <c r="J8" i="10"/>
  <c r="I9" i="10"/>
  <c r="M9" i="10"/>
  <c r="K9" i="10"/>
  <c r="J9" i="10"/>
  <c r="I12" i="10"/>
  <c r="M12" i="10"/>
  <c r="K12" i="10"/>
  <c r="J12" i="10"/>
  <c r="L5" i="10"/>
  <c r="K5" i="10"/>
  <c r="K4" i="10"/>
  <c r="K31" i="10"/>
  <c r="K38" i="10" s="1"/>
  <c r="J4" i="10"/>
  <c r="J31" i="10"/>
  <c r="J38" i="10" s="1"/>
  <c r="I4" i="10"/>
  <c r="I38" i="10"/>
  <c r="L31" i="10"/>
  <c r="B17" i="10"/>
  <c r="I17" i="10" s="1"/>
  <c r="J5" i="10"/>
  <c r="M17" i="10"/>
  <c r="M16" i="10"/>
  <c r="C17" i="10" l="1"/>
  <c r="C18" i="10" s="1"/>
  <c r="D17" i="10"/>
  <c r="D18" i="10" s="1"/>
  <c r="L16" i="10"/>
  <c r="E17" i="10"/>
  <c r="E18" i="10" s="1"/>
  <c r="B18" i="10"/>
  <c r="K17" i="10"/>
  <c r="J17" i="10" l="1"/>
  <c r="L17" i="10"/>
  <c r="K74" i="23"/>
  <c r="AA74" i="23" s="1"/>
  <c r="K7" i="23"/>
  <c r="AA7" i="23" s="1"/>
  <c r="K60" i="23"/>
  <c r="K17" i="23"/>
  <c r="AA17" i="23" s="1"/>
  <c r="K93" i="23"/>
  <c r="K31" i="23"/>
  <c r="AA31" i="23" s="1"/>
  <c r="K12" i="23"/>
  <c r="AA12" i="23" s="1"/>
  <c r="K131" i="23"/>
  <c r="K18" i="23"/>
  <c r="AA18" i="23" s="1"/>
  <c r="J31" i="23"/>
  <c r="Z31" i="23" s="1"/>
  <c r="J12" i="23"/>
  <c r="Z12" i="23" s="1"/>
  <c r="J17" i="23"/>
  <c r="Z17" i="23" s="1"/>
  <c r="J18" i="23"/>
  <c r="Z18" i="23" s="1"/>
  <c r="F19" i="10"/>
  <c r="M18" i="10"/>
  <c r="E19" i="10"/>
  <c r="L18" i="10"/>
  <c r="B19" i="10"/>
  <c r="I18" i="10"/>
  <c r="K9" i="20" l="1"/>
  <c r="O9" i="20" s="1"/>
  <c r="V93" i="23" s="1"/>
  <c r="AA93" i="23" s="1"/>
  <c r="K24" i="20"/>
  <c r="O24" i="20" s="1"/>
  <c r="K13" i="20"/>
  <c r="O13" i="20" s="1"/>
  <c r="O7" i="20"/>
  <c r="V131" i="23" s="1"/>
  <c r="AA131" i="23" s="1"/>
  <c r="F20" i="10"/>
  <c r="M19" i="10"/>
  <c r="C19" i="10"/>
  <c r="J18" i="10"/>
  <c r="I19" i="10"/>
  <c r="B20" i="10"/>
  <c r="D19" i="10"/>
  <c r="K18" i="10"/>
  <c r="L19" i="10"/>
  <c r="E20" i="10"/>
  <c r="V79" i="23" l="1"/>
  <c r="V60" i="23"/>
  <c r="AA60" i="23" s="1"/>
  <c r="V52" i="23"/>
  <c r="AA52" i="23" s="1"/>
  <c r="K51" i="23"/>
  <c r="AA51" i="23" s="1"/>
  <c r="K69" i="23"/>
  <c r="K105" i="23"/>
  <c r="AA105" i="23" s="1"/>
  <c r="K68" i="23"/>
  <c r="K135" i="23"/>
  <c r="AA135" i="23" s="1"/>
  <c r="K24" i="23"/>
  <c r="AA24" i="23" s="1"/>
  <c r="K101" i="23"/>
  <c r="AA101" i="23" s="1"/>
  <c r="K104" i="23"/>
  <c r="AA104" i="23" s="1"/>
  <c r="K83" i="23"/>
  <c r="AA83" i="23" s="1"/>
  <c r="K130" i="23"/>
  <c r="AA130" i="23" s="1"/>
  <c r="K82" i="23"/>
  <c r="AA82" i="23" s="1"/>
  <c r="K87" i="23"/>
  <c r="AA87" i="23" s="1"/>
  <c r="K106" i="23"/>
  <c r="AA106" i="23" s="1"/>
  <c r="K19" i="23"/>
  <c r="AA19" i="23" s="1"/>
  <c r="K103" i="23"/>
  <c r="AA103" i="23" s="1"/>
  <c r="K118" i="23"/>
  <c r="AA118" i="23" s="1"/>
  <c r="K34" i="23"/>
  <c r="AA34" i="23" s="1"/>
  <c r="K114" i="23"/>
  <c r="AA114" i="23" s="1"/>
  <c r="K25" i="23"/>
  <c r="AA25" i="23" s="1"/>
  <c r="K57" i="23"/>
  <c r="AA57" i="23" s="1"/>
  <c r="K84" i="23"/>
  <c r="AA84" i="23" s="1"/>
  <c r="K38" i="23"/>
  <c r="AA38" i="23" s="1"/>
  <c r="K126" i="23"/>
  <c r="AA126" i="23" s="1"/>
  <c r="K98" i="23"/>
  <c r="AA98" i="23" s="1"/>
  <c r="K23" i="23"/>
  <c r="AA23" i="23" s="1"/>
  <c r="K120" i="23"/>
  <c r="AA120" i="23" s="1"/>
  <c r="K28" i="23"/>
  <c r="AA28" i="23" s="1"/>
  <c r="K127" i="23"/>
  <c r="AA127" i="23" s="1"/>
  <c r="K90" i="23"/>
  <c r="AA90" i="23" s="1"/>
  <c r="K41" i="23"/>
  <c r="AA41" i="23" s="1"/>
  <c r="K40" i="23"/>
  <c r="AA40" i="23" s="1"/>
  <c r="K47" i="23"/>
  <c r="K64" i="23"/>
  <c r="AA64" i="23" s="1"/>
  <c r="K36" i="23"/>
  <c r="AA36" i="23" s="1"/>
  <c r="K86" i="23"/>
  <c r="AA86" i="23" s="1"/>
  <c r="K97" i="23"/>
  <c r="AA97" i="23" s="1"/>
  <c r="K88" i="23"/>
  <c r="AA88" i="23" s="1"/>
  <c r="K121" i="23"/>
  <c r="AA121" i="23" s="1"/>
  <c r="K85" i="23"/>
  <c r="AA85" i="23" s="1"/>
  <c r="K48" i="23"/>
  <c r="AA48" i="23" s="1"/>
  <c r="K96" i="23"/>
  <c r="AA96" i="23" s="1"/>
  <c r="K77" i="23"/>
  <c r="AA77" i="23" s="1"/>
  <c r="E21" i="10"/>
  <c r="L20" i="10"/>
  <c r="D20" i="10"/>
  <c r="K19" i="10"/>
  <c r="I20" i="10"/>
  <c r="B21" i="10"/>
  <c r="C20" i="10"/>
  <c r="J19" i="10"/>
  <c r="F21" i="10"/>
  <c r="M20" i="10"/>
  <c r="K6" i="20" l="1"/>
  <c r="O6" i="20" s="1"/>
  <c r="V69" i="23" s="1"/>
  <c r="AA69" i="23" s="1"/>
  <c r="K5" i="20"/>
  <c r="O5" i="20" s="1"/>
  <c r="V68" i="23" s="1"/>
  <c r="AA68" i="23" s="1"/>
  <c r="K91" i="23"/>
  <c r="AA91" i="23" s="1"/>
  <c r="K15" i="23"/>
  <c r="AA15" i="23" s="1"/>
  <c r="K39" i="23"/>
  <c r="AA39" i="23" s="1"/>
  <c r="K79" i="23"/>
  <c r="AA79" i="23" s="1"/>
  <c r="K37" i="23"/>
  <c r="AA37" i="23" s="1"/>
  <c r="K78" i="23"/>
  <c r="AA78" i="23" s="1"/>
  <c r="K123" i="23"/>
  <c r="AA123" i="23" s="1"/>
  <c r="K9" i="23"/>
  <c r="AA9" i="23" s="1"/>
  <c r="K3" i="23"/>
  <c r="AA3" i="23" s="1"/>
  <c r="K43" i="23"/>
  <c r="K12" i="20" s="1"/>
  <c r="O12" i="20" s="1"/>
  <c r="K102" i="23"/>
  <c r="AA102" i="23" s="1"/>
  <c r="K55" i="23"/>
  <c r="AA55" i="23" s="1"/>
  <c r="K71" i="23"/>
  <c r="AA71" i="23" s="1"/>
  <c r="K46" i="23"/>
  <c r="AA46" i="23" s="1"/>
  <c r="K66" i="23"/>
  <c r="K10" i="23"/>
  <c r="AA10" i="23" s="1"/>
  <c r="K44" i="23"/>
  <c r="K11" i="23"/>
  <c r="AA11" i="23" s="1"/>
  <c r="K4" i="23"/>
  <c r="AA4" i="23" s="1"/>
  <c r="K109" i="23"/>
  <c r="AA109" i="23" s="1"/>
  <c r="K50" i="23"/>
  <c r="AA50" i="23" s="1"/>
  <c r="K2" i="23"/>
  <c r="AA2" i="23" s="1"/>
  <c r="K75" i="23"/>
  <c r="AA75" i="23" s="1"/>
  <c r="K30" i="23"/>
  <c r="AA30" i="23" s="1"/>
  <c r="K8" i="23"/>
  <c r="AA8" i="23" s="1"/>
  <c r="K133" i="23"/>
  <c r="AA133" i="23" s="1"/>
  <c r="K14" i="23"/>
  <c r="AA14" i="23" s="1"/>
  <c r="K35" i="23"/>
  <c r="AA35" i="23" s="1"/>
  <c r="K53" i="23"/>
  <c r="AA53" i="23" s="1"/>
  <c r="K76" i="23"/>
  <c r="AA76" i="23" s="1"/>
  <c r="K92" i="23"/>
  <c r="AA92" i="23" s="1"/>
  <c r="K100" i="23"/>
  <c r="AA100" i="23" s="1"/>
  <c r="K89" i="23"/>
  <c r="AA89" i="23" s="1"/>
  <c r="K125" i="23"/>
  <c r="AA125" i="23" s="1"/>
  <c r="K95" i="23"/>
  <c r="AA95" i="23" s="1"/>
  <c r="K113" i="23"/>
  <c r="K33" i="23"/>
  <c r="AA33" i="23" s="1"/>
  <c r="K111" i="23"/>
  <c r="K5" i="23"/>
  <c r="AA5" i="23" s="1"/>
  <c r="K112" i="23"/>
  <c r="AA112" i="23" s="1"/>
  <c r="K115" i="23"/>
  <c r="AA115" i="23" s="1"/>
  <c r="K32" i="23"/>
  <c r="AA32" i="23" s="1"/>
  <c r="K59" i="23"/>
  <c r="AA59" i="23" s="1"/>
  <c r="K99" i="23"/>
  <c r="AA99" i="23" s="1"/>
  <c r="K63" i="23"/>
  <c r="AA63" i="23" s="1"/>
  <c r="K116" i="23"/>
  <c r="AA116" i="23" s="1"/>
  <c r="K128" i="23"/>
  <c r="AA128" i="23" s="1"/>
  <c r="K117" i="23"/>
  <c r="AA117" i="23" s="1"/>
  <c r="L21" i="10"/>
  <c r="E22" i="10"/>
  <c r="M21" i="10"/>
  <c r="F22" i="10"/>
  <c r="J20" i="10"/>
  <c r="C21" i="10"/>
  <c r="I21" i="10"/>
  <c r="B22" i="10"/>
  <c r="K20" i="10"/>
  <c r="D21" i="10"/>
  <c r="K18" i="20" l="1"/>
  <c r="O18" i="20" s="1"/>
  <c r="K20" i="20"/>
  <c r="O20" i="20" s="1"/>
  <c r="V21" i="23" s="1"/>
  <c r="AA21" i="23" s="1"/>
  <c r="K22" i="20"/>
  <c r="O22" i="20" s="1"/>
  <c r="V110" i="23" s="1"/>
  <c r="AA110" i="23" s="1"/>
  <c r="K19" i="20"/>
  <c r="O19" i="20" s="1"/>
  <c r="V113" i="23" s="1"/>
  <c r="AA113" i="23" s="1"/>
  <c r="K21" i="20"/>
  <c r="O21" i="20" s="1"/>
  <c r="V20" i="23" s="1"/>
  <c r="AA20" i="23" s="1"/>
  <c r="V44" i="23"/>
  <c r="AA44" i="23" s="1"/>
  <c r="V43" i="23"/>
  <c r="AA43" i="23" s="1"/>
  <c r="K3" i="20"/>
  <c r="K4" i="20"/>
  <c r="K21" i="10"/>
  <c r="D22" i="10"/>
  <c r="B23" i="10"/>
  <c r="B24" i="10" s="1"/>
  <c r="I22" i="10"/>
  <c r="M22" i="10"/>
  <c r="F23" i="10"/>
  <c r="L22" i="10"/>
  <c r="E23" i="10"/>
  <c r="J21" i="10"/>
  <c r="C22" i="10"/>
  <c r="V111" i="23" l="1"/>
  <c r="AA111" i="23" s="1"/>
  <c r="V47" i="23"/>
  <c r="AA47" i="23" s="1"/>
  <c r="O3" i="20"/>
  <c r="G4" i="20"/>
  <c r="E24" i="10"/>
  <c r="L23" i="10"/>
  <c r="C23" i="10"/>
  <c r="J22" i="10"/>
  <c r="I23" i="10"/>
  <c r="M23" i="10"/>
  <c r="F24" i="10"/>
  <c r="K22" i="10"/>
  <c r="D23" i="10"/>
  <c r="O4" i="20" l="1"/>
  <c r="Q66" i="23"/>
  <c r="V67" i="23"/>
  <c r="AA67" i="23" s="1"/>
  <c r="V66" i="23"/>
  <c r="AA66" i="23" s="1"/>
  <c r="D24" i="10"/>
  <c r="K23" i="10"/>
  <c r="M24" i="10"/>
  <c r="I24" i="10"/>
  <c r="C24" i="10"/>
  <c r="J23" i="10"/>
  <c r="L24" i="10"/>
  <c r="J24" i="10" l="1"/>
  <c r="K24" i="10"/>
  <c r="K936" i="3" l="1"/>
  <c r="H1392" i="3"/>
  <c r="H1391" i="3"/>
  <c r="H1389" i="3"/>
  <c r="H1390" i="3"/>
  <c r="H1385" i="3"/>
  <c r="H1386" i="3"/>
  <c r="H1387" i="3"/>
  <c r="H1388" i="3"/>
  <c r="H1383" i="3"/>
  <c r="H1384" i="3"/>
  <c r="H1282" i="3"/>
  <c r="H1381" i="3"/>
  <c r="H1380" i="3"/>
  <c r="H1376" i="3"/>
  <c r="H1377" i="3"/>
  <c r="H1378" i="3"/>
  <c r="H1379" i="3"/>
  <c r="H1374" i="3"/>
  <c r="H1434" i="3"/>
  <c r="H1373" i="3"/>
  <c r="H1476" i="3"/>
  <c r="H1371" i="3"/>
  <c r="H1368" i="3"/>
  <c r="H1369" i="3"/>
  <c r="H1477" i="3"/>
  <c r="H1366" i="3"/>
  <c r="H1367" i="3"/>
  <c r="H1365" i="3"/>
  <c r="H1362" i="3"/>
  <c r="H1303" i="3"/>
  <c r="H1234" i="3"/>
  <c r="H1358" i="3"/>
  <c r="H1359" i="3"/>
  <c r="H1360" i="3"/>
  <c r="H1361" i="3"/>
  <c r="H1350" i="3"/>
  <c r="H1351" i="3"/>
  <c r="H1352" i="3"/>
  <c r="H1353" i="3"/>
  <c r="H1354" i="3"/>
  <c r="H1355" i="3"/>
  <c r="H1356" i="3"/>
  <c r="H1251" i="3"/>
  <c r="H1357" i="3"/>
  <c r="H1304" i="3"/>
  <c r="H1305" i="3"/>
  <c r="H178" i="3"/>
  <c r="H179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714" i="3"/>
  <c r="H715" i="3"/>
  <c r="H716" i="3"/>
  <c r="H1334" i="3"/>
  <c r="H1335" i="3"/>
  <c r="H1336" i="3"/>
  <c r="H1337" i="3"/>
  <c r="H1338" i="3"/>
  <c r="H1339" i="3"/>
  <c r="H1340" i="3"/>
  <c r="H1341" i="3"/>
  <c r="H2410" i="3"/>
  <c r="H1342" i="3"/>
  <c r="H1343" i="3"/>
  <c r="H1344" i="3"/>
  <c r="H1345" i="3"/>
  <c r="H1346" i="3"/>
  <c r="H1347" i="3"/>
  <c r="H1348" i="3"/>
  <c r="H1349" i="3"/>
  <c r="H1283" i="3"/>
  <c r="H1280" i="3"/>
  <c r="H822" i="3"/>
  <c r="H1281" i="3"/>
  <c r="H1269" i="3"/>
  <c r="H1284" i="3"/>
  <c r="H1285" i="3"/>
  <c r="H1256" i="3"/>
  <c r="H1236" i="3"/>
  <c r="H1286" i="3"/>
  <c r="H1272" i="3"/>
  <c r="H1276" i="3"/>
  <c r="H1052" i="3"/>
  <c r="H1287" i="3"/>
  <c r="H1248" i="3"/>
  <c r="H1263" i="3"/>
  <c r="H1279" i="3"/>
  <c r="H1241" i="3"/>
  <c r="H1246" i="3"/>
  <c r="H1288" i="3"/>
  <c r="H1265" i="3"/>
  <c r="H1254" i="3"/>
  <c r="H1261" i="3"/>
  <c r="H1262" i="3"/>
  <c r="H1270" i="3"/>
  <c r="H1289" i="3"/>
  <c r="H1273" i="3"/>
  <c r="H1244" i="3"/>
  <c r="H1290" i="3"/>
  <c r="H1291" i="3"/>
  <c r="H1266" i="3"/>
  <c r="H1292" i="3"/>
  <c r="H1474" i="3"/>
  <c r="H1293" i="3"/>
  <c r="H1271" i="3"/>
  <c r="H1267" i="3"/>
  <c r="H1294" i="3"/>
  <c r="H1295" i="3"/>
  <c r="H1253" i="3"/>
  <c r="H1264" i="3"/>
  <c r="H1296" i="3"/>
  <c r="H1274" i="3"/>
  <c r="H1275" i="3"/>
  <c r="H1257" i="3"/>
  <c r="H1239" i="3"/>
  <c r="H1245" i="3"/>
  <c r="H1237" i="3"/>
  <c r="H1250" i="3"/>
  <c r="H1259" i="3"/>
  <c r="H1297" i="3"/>
  <c r="H1243" i="3"/>
  <c r="H1278" i="3"/>
  <c r="H1240" i="3"/>
  <c r="H1238" i="3"/>
  <c r="H1277" i="3"/>
  <c r="H1242" i="3"/>
  <c r="H1268" i="3"/>
  <c r="H1298" i="3"/>
  <c r="H1299" i="3"/>
  <c r="H1258" i="3"/>
  <c r="H867" i="3"/>
  <c r="H1235" i="3"/>
  <c r="H1247" i="3"/>
  <c r="H1249" i="3"/>
  <c r="H1300" i="3"/>
  <c r="H1255" i="3"/>
  <c r="H930" i="3"/>
  <c r="H1301" i="3"/>
  <c r="H1302" i="3"/>
  <c r="H1214" i="3"/>
  <c r="H1221" i="3"/>
  <c r="H1222" i="3"/>
  <c r="H1223" i="3"/>
  <c r="H1224" i="3"/>
  <c r="H1217" i="3"/>
  <c r="H1225" i="3"/>
  <c r="H1213" i="3"/>
  <c r="H1220" i="3"/>
  <c r="H1215" i="3"/>
  <c r="H1092" i="3"/>
  <c r="H1226" i="3"/>
  <c r="H1227" i="3"/>
  <c r="H1210" i="3"/>
  <c r="H1228" i="3"/>
  <c r="H1229" i="3"/>
  <c r="H1230" i="3"/>
  <c r="H1211" i="3"/>
  <c r="H1212" i="3"/>
  <c r="H1219" i="3"/>
  <c r="H1231" i="3"/>
  <c r="H1232" i="3"/>
  <c r="H1233" i="3"/>
  <c r="H1216" i="3"/>
  <c r="H1218" i="3"/>
  <c r="H1193" i="3"/>
  <c r="H1194" i="3"/>
  <c r="H1184" i="3"/>
  <c r="H1195" i="3"/>
  <c r="H1190" i="3"/>
  <c r="H1196" i="3"/>
  <c r="H1192" i="3"/>
  <c r="H1197" i="3"/>
  <c r="H1198" i="3"/>
  <c r="H1191" i="3"/>
  <c r="H1199" i="3"/>
  <c r="H1180" i="3"/>
  <c r="H1200" i="3"/>
  <c r="H1201" i="3"/>
  <c r="H1181" i="3"/>
  <c r="H1202" i="3"/>
  <c r="H1203" i="3"/>
  <c r="H1204" i="3"/>
  <c r="H1182" i="3"/>
  <c r="H1189" i="3"/>
  <c r="H1205" i="3"/>
  <c r="H1186" i="3"/>
  <c r="H1187" i="3"/>
  <c r="H1185" i="3"/>
  <c r="H1206" i="3"/>
  <c r="H1207" i="3"/>
  <c r="H1183" i="3"/>
  <c r="H1188" i="3"/>
  <c r="H1208" i="3"/>
  <c r="H1157" i="3"/>
  <c r="H1167" i="3"/>
  <c r="H1168" i="3"/>
  <c r="H1155" i="3"/>
  <c r="H1165" i="3"/>
  <c r="H1169" i="3"/>
  <c r="H1170" i="3"/>
  <c r="H1171" i="3"/>
  <c r="H1159" i="3"/>
  <c r="H1412" i="3"/>
  <c r="H1172" i="3"/>
  <c r="H1163" i="3"/>
  <c r="H1173" i="3"/>
  <c r="H1166" i="3"/>
  <c r="H1154" i="3"/>
  <c r="H1158" i="3"/>
  <c r="H1161" i="3"/>
  <c r="H1174" i="3"/>
  <c r="H1175" i="3"/>
  <c r="H1162" i="3"/>
  <c r="H1164" i="3"/>
  <c r="H931" i="3"/>
  <c r="H1176" i="3"/>
  <c r="H1177" i="3"/>
  <c r="H1178" i="3"/>
  <c r="H1179" i="3"/>
  <c r="H1156" i="3"/>
  <c r="H1160" i="3"/>
  <c r="H1137" i="3"/>
  <c r="H1142" i="3"/>
  <c r="H1143" i="3"/>
  <c r="H1121" i="3"/>
  <c r="H1144" i="3"/>
  <c r="H1123" i="3"/>
  <c r="H1136" i="3"/>
  <c r="H1145" i="3"/>
  <c r="H1139" i="3"/>
  <c r="H1146" i="3"/>
  <c r="H1127" i="3"/>
  <c r="H1133" i="3"/>
  <c r="H1413" i="3"/>
  <c r="H1135" i="3"/>
  <c r="H1131" i="3"/>
  <c r="H1130" i="3"/>
  <c r="H1124" i="3"/>
  <c r="H1122" i="3"/>
  <c r="H1128" i="3"/>
  <c r="H1126" i="3"/>
  <c r="H954" i="3"/>
  <c r="H1147" i="3"/>
  <c r="H1148" i="3"/>
  <c r="H1149" i="3"/>
  <c r="H1150" i="3"/>
  <c r="H1132" i="3"/>
  <c r="H1134" i="3"/>
  <c r="H1151" i="3"/>
  <c r="H1478" i="3"/>
  <c r="H1152" i="3"/>
  <c r="H1138" i="3"/>
  <c r="H1125" i="3"/>
  <c r="H1153" i="3"/>
  <c r="H1093" i="3"/>
  <c r="H1094" i="3"/>
  <c r="H1095" i="3"/>
  <c r="H1096" i="3"/>
  <c r="H1097" i="3"/>
  <c r="H1098" i="3"/>
  <c r="H1099" i="3"/>
  <c r="H735" i="3"/>
  <c r="H1100" i="3"/>
  <c r="H1101" i="3"/>
  <c r="H1102" i="3"/>
  <c r="H1103" i="3"/>
  <c r="H1104" i="3"/>
  <c r="H551" i="3"/>
  <c r="H1105" i="3"/>
  <c r="H1106" i="3"/>
  <c r="H1129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072" i="3"/>
  <c r="H1073" i="3"/>
  <c r="H1074" i="3"/>
  <c r="H1075" i="3"/>
  <c r="H1076" i="3"/>
  <c r="H1417" i="3"/>
  <c r="H1077" i="3"/>
  <c r="H1078" i="3"/>
  <c r="H1079" i="3"/>
  <c r="H1080" i="3"/>
  <c r="H68" i="3"/>
  <c r="H1081" i="3"/>
  <c r="H932" i="3"/>
  <c r="H1082" i="3"/>
  <c r="H1083" i="3"/>
  <c r="H1084" i="3"/>
  <c r="H1382" i="3"/>
  <c r="H1085" i="3"/>
  <c r="H445" i="3"/>
  <c r="H1086" i="3"/>
  <c r="H1087" i="3"/>
  <c r="H1088" i="3"/>
  <c r="H1089" i="3"/>
  <c r="H1363" i="3"/>
  <c r="H1090" i="3"/>
  <c r="H1053" i="3"/>
  <c r="H1054" i="3"/>
  <c r="H1364" i="3"/>
  <c r="H1479" i="3"/>
  <c r="H1055" i="3"/>
  <c r="H1056" i="3"/>
  <c r="H1057" i="3"/>
  <c r="H1058" i="3"/>
  <c r="H1059" i="3"/>
  <c r="H1060" i="3"/>
  <c r="H1061" i="3"/>
  <c r="H1062" i="3"/>
  <c r="H1063" i="3"/>
  <c r="H1064" i="3"/>
  <c r="H1065" i="3"/>
  <c r="H736" i="3"/>
  <c r="H801" i="3"/>
  <c r="H1066" i="3"/>
  <c r="H1067" i="3"/>
  <c r="H1068" i="3"/>
  <c r="H1069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23" i="3"/>
  <c r="H1024" i="3"/>
  <c r="H1025" i="3"/>
  <c r="H1006" i="3"/>
  <c r="H1007" i="3"/>
  <c r="H1008" i="3"/>
  <c r="H1009" i="3"/>
  <c r="H1010" i="3"/>
  <c r="H1011" i="3"/>
  <c r="H1012" i="3"/>
  <c r="H1013" i="3"/>
  <c r="H1026" i="3"/>
  <c r="H1014" i="3"/>
  <c r="H1015" i="3"/>
  <c r="H1016" i="3"/>
  <c r="H1027" i="3"/>
  <c r="H1017" i="3"/>
  <c r="H1018" i="3"/>
  <c r="H1019" i="3"/>
  <c r="H985" i="3"/>
  <c r="H1028" i="3"/>
  <c r="H1029" i="3"/>
  <c r="H986" i="3"/>
  <c r="H987" i="3"/>
  <c r="H988" i="3"/>
  <c r="H1030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31" i="3"/>
  <c r="H855" i="3"/>
  <c r="H1001" i="3"/>
  <c r="H955" i="3"/>
  <c r="H1032" i="3"/>
  <c r="H956" i="3"/>
  <c r="H1020" i="3"/>
  <c r="H957" i="3"/>
  <c r="H958" i="3"/>
  <c r="H959" i="3"/>
  <c r="H960" i="3"/>
  <c r="H961" i="3"/>
  <c r="H962" i="3"/>
  <c r="H1021" i="3"/>
  <c r="H102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1002" i="3"/>
  <c r="H975" i="3"/>
  <c r="H976" i="3"/>
  <c r="H977" i="3"/>
  <c r="H1481" i="3"/>
  <c r="H1003" i="3"/>
  <c r="H978" i="3"/>
  <c r="H933" i="3"/>
  <c r="H934" i="3"/>
  <c r="H935" i="3"/>
  <c r="H936" i="3"/>
  <c r="H937" i="3"/>
  <c r="H938" i="3"/>
  <c r="H939" i="3"/>
  <c r="H1004" i="3"/>
  <c r="H1005" i="3"/>
  <c r="H940" i="3"/>
  <c r="H941" i="3"/>
  <c r="H942" i="3"/>
  <c r="H943" i="3"/>
  <c r="H944" i="3"/>
  <c r="H979" i="3"/>
  <c r="H945" i="3"/>
  <c r="H946" i="3"/>
  <c r="H947" i="3"/>
  <c r="H948" i="3"/>
  <c r="H949" i="3"/>
  <c r="H950" i="3"/>
  <c r="H951" i="3"/>
  <c r="H1209" i="3"/>
  <c r="H695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103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884" i="3"/>
  <c r="H885" i="3"/>
  <c r="H886" i="3"/>
  <c r="H1034" i="3"/>
  <c r="H980" i="3"/>
  <c r="H887" i="3"/>
  <c r="H981" i="3"/>
  <c r="H888" i="3"/>
  <c r="H889" i="3"/>
  <c r="H929" i="3"/>
  <c r="H982" i="3"/>
  <c r="H890" i="3"/>
  <c r="H891" i="3"/>
  <c r="H892" i="3"/>
  <c r="H893" i="3"/>
  <c r="H894" i="3"/>
  <c r="H696" i="3"/>
  <c r="H868" i="3"/>
  <c r="H869" i="3"/>
  <c r="H870" i="3"/>
  <c r="H802" i="3"/>
  <c r="H871" i="3"/>
  <c r="H872" i="3"/>
  <c r="H873" i="3"/>
  <c r="H874" i="3"/>
  <c r="H875" i="3"/>
  <c r="H838" i="3"/>
  <c r="H876" i="3"/>
  <c r="H877" i="3"/>
  <c r="H878" i="3"/>
  <c r="H879" i="3"/>
  <c r="H880" i="3"/>
  <c r="H881" i="3"/>
  <c r="H856" i="3"/>
  <c r="H857" i="3"/>
  <c r="H858" i="3"/>
  <c r="H859" i="3"/>
  <c r="H860" i="3"/>
  <c r="H861" i="3"/>
  <c r="H862" i="3"/>
  <c r="H863" i="3"/>
  <c r="H864" i="3"/>
  <c r="H865" i="3"/>
  <c r="H866" i="3"/>
  <c r="H839" i="3"/>
  <c r="H840" i="3"/>
  <c r="H841" i="3"/>
  <c r="H842" i="3"/>
  <c r="H843" i="3"/>
  <c r="H844" i="3"/>
  <c r="H845" i="3"/>
  <c r="H983" i="3"/>
  <c r="H846" i="3"/>
  <c r="H847" i="3"/>
  <c r="H895" i="3"/>
  <c r="H848" i="3"/>
  <c r="H849" i="3"/>
  <c r="H850" i="3"/>
  <c r="H896" i="3"/>
  <c r="H851" i="3"/>
  <c r="H823" i="3"/>
  <c r="H824" i="3"/>
  <c r="H825" i="3"/>
  <c r="H826" i="3"/>
  <c r="H827" i="3"/>
  <c r="H828" i="3"/>
  <c r="H829" i="3"/>
  <c r="H830" i="3"/>
  <c r="H831" i="3"/>
  <c r="H832" i="3"/>
  <c r="H833" i="3"/>
  <c r="H1488" i="3"/>
  <c r="H882" i="3"/>
  <c r="H834" i="3"/>
  <c r="H835" i="3"/>
  <c r="H836" i="3"/>
  <c r="H803" i="3"/>
  <c r="H804" i="3"/>
  <c r="H805" i="3"/>
  <c r="H806" i="3"/>
  <c r="H807" i="3"/>
  <c r="H1070" i="3"/>
  <c r="H1482" i="3"/>
  <c r="H808" i="3"/>
  <c r="H809" i="3"/>
  <c r="H852" i="3"/>
  <c r="H810" i="3"/>
  <c r="H811" i="3"/>
  <c r="H812" i="3"/>
  <c r="H813" i="3"/>
  <c r="H1252" i="3"/>
  <c r="H814" i="3"/>
  <c r="H815" i="3"/>
  <c r="H816" i="3"/>
  <c r="H817" i="3"/>
  <c r="H818" i="3"/>
  <c r="H819" i="3"/>
  <c r="H1480" i="3"/>
  <c r="H771" i="3"/>
  <c r="H772" i="3"/>
  <c r="H773" i="3"/>
  <c r="H774" i="3"/>
  <c r="H775" i="3"/>
  <c r="H446" i="3"/>
  <c r="H776" i="3"/>
  <c r="H777" i="3"/>
  <c r="H778" i="3"/>
  <c r="H853" i="3"/>
  <c r="H779" i="3"/>
  <c r="H780" i="3"/>
  <c r="H781" i="3"/>
  <c r="H782" i="3"/>
  <c r="H783" i="3"/>
  <c r="H784" i="3"/>
  <c r="H785" i="3"/>
  <c r="H786" i="3"/>
  <c r="H787" i="3"/>
  <c r="H788" i="3"/>
  <c r="H206" i="3"/>
  <c r="H789" i="3"/>
  <c r="H790" i="3"/>
  <c r="H791" i="3"/>
  <c r="H792" i="3"/>
  <c r="H1483" i="3"/>
  <c r="H793" i="3"/>
  <c r="H794" i="3"/>
  <c r="H795" i="3"/>
  <c r="H640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1485" i="3"/>
  <c r="H1501" i="3"/>
  <c r="H756" i="3"/>
  <c r="H1502" i="3"/>
  <c r="H1484" i="3"/>
  <c r="H854" i="3"/>
  <c r="H757" i="3"/>
  <c r="H758" i="3"/>
  <c r="H759" i="3"/>
  <c r="H760" i="3"/>
  <c r="H761" i="3"/>
  <c r="H762" i="3"/>
  <c r="H763" i="3"/>
  <c r="H764" i="3"/>
  <c r="H765" i="3"/>
  <c r="H766" i="3"/>
  <c r="H767" i="3"/>
  <c r="H717" i="3"/>
  <c r="H718" i="3"/>
  <c r="H719" i="3"/>
  <c r="H720" i="3"/>
  <c r="H721" i="3"/>
  <c r="H722" i="3"/>
  <c r="H478" i="3"/>
  <c r="H723" i="3"/>
  <c r="H724" i="3"/>
  <c r="H725" i="3"/>
  <c r="H726" i="3"/>
  <c r="H727" i="3"/>
  <c r="H728" i="3"/>
  <c r="H729" i="3"/>
  <c r="H730" i="3"/>
  <c r="H731" i="3"/>
  <c r="H732" i="3"/>
  <c r="H733" i="3"/>
  <c r="H697" i="3"/>
  <c r="H796" i="3"/>
  <c r="H820" i="3"/>
  <c r="H698" i="3"/>
  <c r="H1260" i="3"/>
  <c r="H607" i="3"/>
  <c r="H699" i="3"/>
  <c r="H700" i="3"/>
  <c r="H701" i="3"/>
  <c r="H702" i="3"/>
  <c r="H703" i="3"/>
  <c r="H704" i="3"/>
  <c r="H705" i="3"/>
  <c r="H706" i="3"/>
  <c r="H797" i="3"/>
  <c r="H768" i="3"/>
  <c r="H707" i="3"/>
  <c r="H708" i="3"/>
  <c r="H709" i="3"/>
  <c r="H710" i="3"/>
  <c r="H641" i="3"/>
  <c r="H642" i="3"/>
  <c r="H643" i="3"/>
  <c r="H644" i="3"/>
  <c r="H645" i="3"/>
  <c r="H646" i="3"/>
  <c r="H647" i="3"/>
  <c r="H711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837" i="3"/>
  <c r="H685" i="3"/>
  <c r="H686" i="3"/>
  <c r="H687" i="3"/>
  <c r="H688" i="3"/>
  <c r="H689" i="3"/>
  <c r="H690" i="3"/>
  <c r="H691" i="3"/>
  <c r="H608" i="3"/>
  <c r="H609" i="3"/>
  <c r="H610" i="3"/>
  <c r="H611" i="3"/>
  <c r="H612" i="3"/>
  <c r="H613" i="3"/>
  <c r="H207" i="3"/>
  <c r="H614" i="3"/>
  <c r="H615" i="3"/>
  <c r="H616" i="3"/>
  <c r="H1490" i="3"/>
  <c r="H617" i="3"/>
  <c r="H163" i="3"/>
  <c r="H618" i="3"/>
  <c r="H619" i="3"/>
  <c r="H620" i="3"/>
  <c r="H621" i="3"/>
  <c r="H622" i="3"/>
  <c r="H623" i="3"/>
  <c r="H1486" i="3"/>
  <c r="H624" i="3"/>
  <c r="H625" i="3"/>
  <c r="H626" i="3"/>
  <c r="H712" i="3"/>
  <c r="H627" i="3"/>
  <c r="H628" i="3"/>
  <c r="H629" i="3"/>
  <c r="H821" i="3"/>
  <c r="H630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52" i="3"/>
  <c r="H553" i="3"/>
  <c r="H554" i="3"/>
  <c r="H479" i="3"/>
  <c r="H1503" i="3"/>
  <c r="H555" i="3"/>
  <c r="H556" i="3"/>
  <c r="H557" i="3"/>
  <c r="H558" i="3"/>
  <c r="H559" i="3"/>
  <c r="H560" i="3"/>
  <c r="H561" i="3"/>
  <c r="H562" i="3"/>
  <c r="H563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713" i="3"/>
  <c r="H692" i="3"/>
  <c r="H1504" i="3"/>
  <c r="H543" i="3"/>
  <c r="H544" i="3"/>
  <c r="H545" i="3"/>
  <c r="H546" i="3"/>
  <c r="H547" i="3"/>
  <c r="H512" i="3"/>
  <c r="H164" i="3"/>
  <c r="H513" i="3"/>
  <c r="H1489" i="3"/>
  <c r="H514" i="3"/>
  <c r="H515" i="3"/>
  <c r="H516" i="3"/>
  <c r="H548" i="3"/>
  <c r="H517" i="3"/>
  <c r="H518" i="3"/>
  <c r="H519" i="3"/>
  <c r="H520" i="3"/>
  <c r="H521" i="3"/>
  <c r="H522" i="3"/>
  <c r="H523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49" i="3"/>
  <c r="H491" i="3"/>
  <c r="H492" i="3"/>
  <c r="H493" i="3"/>
  <c r="H480" i="3"/>
  <c r="H481" i="3"/>
  <c r="H482" i="3"/>
  <c r="H377" i="3"/>
  <c r="H483" i="3"/>
  <c r="H484" i="3"/>
  <c r="H1505" i="3"/>
  <c r="H485" i="3"/>
  <c r="H486" i="3"/>
  <c r="H487" i="3"/>
  <c r="H488" i="3"/>
  <c r="H1372" i="3"/>
  <c r="H489" i="3"/>
  <c r="H460" i="3"/>
  <c r="H524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525" i="3"/>
  <c r="H475" i="3"/>
  <c r="H447" i="3"/>
  <c r="H448" i="3"/>
  <c r="H449" i="3"/>
  <c r="H450" i="3"/>
  <c r="H451" i="3"/>
  <c r="H1506" i="3"/>
  <c r="H452" i="3"/>
  <c r="H453" i="3"/>
  <c r="H454" i="3"/>
  <c r="H455" i="3"/>
  <c r="H494" i="3"/>
  <c r="H456" i="3"/>
  <c r="H457" i="3"/>
  <c r="H458" i="3"/>
  <c r="H459" i="3"/>
  <c r="H439" i="3"/>
  <c r="H440" i="3"/>
  <c r="H441" i="3"/>
  <c r="H442" i="3"/>
  <c r="H443" i="3"/>
  <c r="H444" i="3"/>
  <c r="H426" i="3"/>
  <c r="H427" i="3"/>
  <c r="H428" i="3"/>
  <c r="H429" i="3"/>
  <c r="H430" i="3"/>
  <c r="H431" i="3"/>
  <c r="H432" i="3"/>
  <c r="H433" i="3"/>
  <c r="H434" i="3"/>
  <c r="H43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76" i="3"/>
  <c r="H415" i="3"/>
  <c r="H416" i="3"/>
  <c r="H436" i="3"/>
  <c r="H437" i="3"/>
  <c r="H417" i="3"/>
  <c r="H418" i="3"/>
  <c r="H419" i="3"/>
  <c r="H420" i="3"/>
  <c r="H421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69" i="3"/>
  <c r="H370" i="3"/>
  <c r="H310" i="3"/>
  <c r="H422" i="3"/>
  <c r="H769" i="3"/>
  <c r="H371" i="3"/>
  <c r="H372" i="3"/>
  <c r="H352" i="3"/>
  <c r="H353" i="3"/>
  <c r="H354" i="3"/>
  <c r="H355" i="3"/>
  <c r="H373" i="3"/>
  <c r="H356" i="3"/>
  <c r="H357" i="3"/>
  <c r="H344" i="3"/>
  <c r="H345" i="3"/>
  <c r="H346" i="3"/>
  <c r="H347" i="3"/>
  <c r="H334" i="3"/>
  <c r="H335" i="3"/>
  <c r="H336" i="3"/>
  <c r="H337" i="3"/>
  <c r="H338" i="3"/>
  <c r="H339" i="3"/>
  <c r="H340" i="3"/>
  <c r="H341" i="3"/>
  <c r="H326" i="3"/>
  <c r="H327" i="3"/>
  <c r="H180" i="3"/>
  <c r="H1507" i="3"/>
  <c r="H328" i="3"/>
  <c r="H331" i="3"/>
  <c r="H358" i="3"/>
  <c r="H276" i="3"/>
  <c r="H277" i="3"/>
  <c r="H278" i="3"/>
  <c r="H279" i="3"/>
  <c r="H280" i="3"/>
  <c r="H281" i="3"/>
  <c r="H282" i="3"/>
  <c r="H283" i="3"/>
  <c r="H284" i="3"/>
  <c r="H254" i="3"/>
  <c r="H285" i="3"/>
  <c r="H286" i="3"/>
  <c r="H287" i="3"/>
  <c r="H288" i="3"/>
  <c r="H289" i="3"/>
  <c r="H290" i="3"/>
  <c r="H291" i="3"/>
  <c r="H292" i="3"/>
  <c r="H293" i="3"/>
  <c r="H438" i="3"/>
  <c r="H294" i="3"/>
  <c r="H295" i="3"/>
  <c r="H255" i="3"/>
  <c r="H256" i="3"/>
  <c r="H374" i="3"/>
  <c r="H257" i="3"/>
  <c r="H258" i="3"/>
  <c r="H296" i="3"/>
  <c r="H359" i="3"/>
  <c r="H348" i="3"/>
  <c r="H259" i="3"/>
  <c r="H240" i="3"/>
  <c r="H260" i="3"/>
  <c r="H241" i="3"/>
  <c r="H242" i="3"/>
  <c r="H243" i="3"/>
  <c r="H244" i="3"/>
  <c r="H261" i="3"/>
  <c r="H262" i="3"/>
  <c r="H263" i="3"/>
  <c r="H264" i="3"/>
  <c r="H265" i="3"/>
  <c r="H360" i="3"/>
  <c r="H361" i="3"/>
  <c r="H362" i="3"/>
  <c r="H363" i="3"/>
  <c r="H245" i="3"/>
  <c r="H364" i="3"/>
  <c r="H266" i="3"/>
  <c r="H267" i="3"/>
  <c r="H268" i="3"/>
  <c r="H269" i="3"/>
  <c r="H246" i="3"/>
  <c r="H247" i="3"/>
  <c r="H225" i="3"/>
  <c r="H248" i="3"/>
  <c r="H365" i="3"/>
  <c r="H249" i="3"/>
  <c r="H226" i="3"/>
  <c r="H423" i="3"/>
  <c r="H227" i="3"/>
  <c r="H228" i="3"/>
  <c r="H229" i="3"/>
  <c r="H230" i="3"/>
  <c r="H231" i="3"/>
  <c r="H366" i="3"/>
  <c r="H232" i="3"/>
  <c r="H208" i="3"/>
  <c r="H209" i="3"/>
  <c r="H233" i="3"/>
  <c r="H210" i="3"/>
  <c r="H234" i="3"/>
  <c r="H211" i="3"/>
  <c r="H181" i="3"/>
  <c r="H250" i="3"/>
  <c r="H212" i="3"/>
  <c r="H213" i="3"/>
  <c r="H182" i="3"/>
  <c r="H183" i="3"/>
  <c r="H214" i="3"/>
  <c r="H184" i="3"/>
  <c r="H185" i="3"/>
  <c r="H186" i="3"/>
  <c r="H187" i="3"/>
  <c r="H188" i="3"/>
  <c r="H1529" i="3"/>
  <c r="H235" i="3"/>
  <c r="H236" i="3"/>
  <c r="H189" i="3"/>
  <c r="H172" i="3"/>
  <c r="H1487" i="3"/>
  <c r="H173" i="3"/>
  <c r="H174" i="3"/>
  <c r="H190" i="3"/>
  <c r="H251" i="3"/>
  <c r="H237" i="3"/>
  <c r="H165" i="3"/>
  <c r="H150" i="3"/>
  <c r="H151" i="3"/>
  <c r="H152" i="3"/>
  <c r="H153" i="3"/>
  <c r="H154" i="3"/>
  <c r="H155" i="3"/>
  <c r="H156" i="3"/>
  <c r="H137" i="3"/>
  <c r="H367" i="3"/>
  <c r="H138" i="3"/>
  <c r="H139" i="3"/>
  <c r="H140" i="3"/>
  <c r="H141" i="3"/>
  <c r="H129" i="3"/>
  <c r="H130" i="3"/>
  <c r="H131" i="3"/>
  <c r="H132" i="3"/>
  <c r="H127" i="3"/>
  <c r="H128" i="3"/>
  <c r="H121" i="3"/>
  <c r="H122" i="3"/>
  <c r="H123" i="3"/>
  <c r="H124" i="3"/>
  <c r="H114" i="3"/>
  <c r="H115" i="3"/>
  <c r="H116" i="3"/>
  <c r="H117" i="3"/>
  <c r="H118" i="3"/>
  <c r="H119" i="3"/>
  <c r="H88" i="3"/>
  <c r="H89" i="3"/>
  <c r="H90" i="3"/>
  <c r="H91" i="3"/>
  <c r="H1493" i="3"/>
  <c r="H77" i="3"/>
  <c r="H55" i="3"/>
  <c r="H28" i="3"/>
  <c r="H29" i="3"/>
  <c r="H30" i="3"/>
  <c r="H31" i="3"/>
  <c r="H2" i="3"/>
  <c r="H3" i="3"/>
  <c r="H693" i="3"/>
  <c r="H631" i="3"/>
  <c r="H632" i="3"/>
  <c r="H633" i="3"/>
  <c r="H634" i="3"/>
  <c r="H605" i="3"/>
  <c r="H606" i="3"/>
  <c r="H588" i="3"/>
  <c r="H589" i="3"/>
  <c r="H375" i="3"/>
  <c r="H297" i="3"/>
  <c r="H311" i="3"/>
  <c r="H312" i="3"/>
  <c r="H313" i="3"/>
  <c r="H314" i="3"/>
  <c r="H315" i="3"/>
  <c r="H316" i="3"/>
  <c r="H317" i="3"/>
  <c r="H318" i="3"/>
  <c r="H319" i="3"/>
  <c r="H320" i="3"/>
  <c r="H1542" i="3"/>
  <c r="H321" i="3"/>
  <c r="H322" i="3"/>
  <c r="H424" i="3"/>
  <c r="H215" i="3"/>
  <c r="H425" i="3"/>
  <c r="H395" i="3"/>
  <c r="H166" i="3"/>
  <c r="H144" i="3"/>
  <c r="H133" i="3"/>
  <c r="H368" i="3"/>
  <c r="H349" i="3"/>
  <c r="H350" i="3"/>
  <c r="H351" i="3"/>
  <c r="H342" i="3"/>
  <c r="H343" i="3"/>
  <c r="H332" i="3"/>
  <c r="H333" i="3"/>
  <c r="H323" i="3"/>
  <c r="H298" i="3"/>
  <c r="H299" i="3"/>
  <c r="H32" i="3"/>
  <c r="H300" i="3"/>
  <c r="H635" i="3"/>
  <c r="H301" i="3"/>
  <c r="H92" i="3"/>
  <c r="H302" i="3"/>
  <c r="H303" i="3"/>
  <c r="H304" i="3"/>
  <c r="H270" i="3"/>
  <c r="H305" i="3"/>
  <c r="H271" i="3"/>
  <c r="H306" i="3"/>
  <c r="H307" i="3"/>
  <c r="H272" i="3"/>
  <c r="H273" i="3"/>
  <c r="H274" i="3"/>
  <c r="H275" i="3"/>
  <c r="H252" i="3"/>
  <c r="H253" i="3"/>
  <c r="H238" i="3"/>
  <c r="H61" i="3"/>
  <c r="H216" i="3"/>
  <c r="H217" i="3"/>
  <c r="H1491" i="3"/>
  <c r="H218" i="3"/>
  <c r="H219" i="3"/>
  <c r="H220" i="3"/>
  <c r="H191" i="3"/>
  <c r="H192" i="3"/>
  <c r="H193" i="3"/>
  <c r="H194" i="3"/>
  <c r="H195" i="3"/>
  <c r="H196" i="3"/>
  <c r="H197" i="3"/>
  <c r="H175" i="3"/>
  <c r="H176" i="3"/>
  <c r="H167" i="3"/>
  <c r="H62" i="3"/>
  <c r="H168" i="3"/>
  <c r="H1649" i="3"/>
  <c r="H169" i="3"/>
  <c r="H170" i="3"/>
  <c r="H157" i="3"/>
  <c r="H158" i="3"/>
  <c r="H159" i="3"/>
  <c r="H145" i="3"/>
  <c r="H146" i="3"/>
  <c r="H147" i="3"/>
  <c r="H148" i="3"/>
  <c r="H897" i="3"/>
  <c r="H142" i="3"/>
  <c r="H134" i="3"/>
  <c r="H898" i="3"/>
  <c r="H120" i="3"/>
  <c r="H93" i="3"/>
  <c r="H94" i="3"/>
  <c r="H95" i="3"/>
  <c r="H96" i="3"/>
  <c r="H1035" i="3"/>
  <c r="H97" i="3"/>
  <c r="H98" i="3"/>
  <c r="H99" i="3"/>
  <c r="H100" i="3"/>
  <c r="H69" i="3"/>
  <c r="H101" i="3"/>
  <c r="H102" i="3"/>
  <c r="H103" i="3"/>
  <c r="H63" i="3"/>
  <c r="H64" i="3"/>
  <c r="H104" i="3"/>
  <c r="H78" i="3"/>
  <c r="H79" i="3"/>
  <c r="H65" i="3"/>
  <c r="H80" i="3"/>
  <c r="H81" i="3"/>
  <c r="H82" i="3"/>
  <c r="H83" i="3"/>
  <c r="H84" i="3"/>
  <c r="H70" i="3"/>
  <c r="H71" i="3"/>
  <c r="H1036" i="3"/>
  <c r="H636" i="3"/>
  <c r="H56" i="3"/>
  <c r="H66" i="3"/>
  <c r="H324" i="3"/>
  <c r="H57" i="3"/>
  <c r="H67" i="3"/>
  <c r="H58" i="3"/>
  <c r="H59" i="3"/>
  <c r="H60" i="3"/>
  <c r="H33" i="3"/>
  <c r="H1492" i="3"/>
  <c r="H6" i="3"/>
  <c r="H7" i="3"/>
  <c r="H8" i="3"/>
  <c r="H9" i="3"/>
  <c r="H10" i="3"/>
  <c r="H105" i="3"/>
  <c r="H72" i="3"/>
  <c r="H73" i="3"/>
  <c r="H74" i="3"/>
  <c r="H34" i="3"/>
  <c r="H11" i="3"/>
  <c r="H35" i="3"/>
  <c r="H36" i="3"/>
  <c r="H37" i="3"/>
  <c r="H38" i="3"/>
  <c r="H39" i="3"/>
  <c r="H40" i="3"/>
  <c r="H41" i="3"/>
  <c r="H42" i="3"/>
  <c r="H325" i="3"/>
  <c r="H43" i="3"/>
  <c r="H44" i="3"/>
  <c r="H45" i="3"/>
  <c r="H1494" i="3"/>
  <c r="H46" i="3"/>
  <c r="H47" i="3"/>
  <c r="H48" i="3"/>
  <c r="H49" i="3"/>
  <c r="H50" i="3"/>
  <c r="H5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4" i="3"/>
  <c r="H25" i="3"/>
  <c r="H5" i="3"/>
  <c r="H221" i="3"/>
  <c r="H222" i="3"/>
  <c r="H223" i="3"/>
  <c r="H198" i="3"/>
  <c r="H199" i="3"/>
  <c r="H200" i="3"/>
  <c r="H201" i="3"/>
  <c r="H75" i="3"/>
  <c r="H202" i="3"/>
  <c r="H85" i="3"/>
  <c r="H203" i="3"/>
  <c r="H160" i="3"/>
  <c r="H637" i="3"/>
  <c r="H177" i="3"/>
  <c r="H171" i="3"/>
  <c r="H1500" i="3"/>
  <c r="H161" i="3"/>
  <c r="H162" i="3"/>
  <c r="H149" i="3"/>
  <c r="H135" i="3"/>
  <c r="H136" i="3"/>
  <c r="H125" i="3"/>
  <c r="H126" i="3"/>
  <c r="H106" i="3"/>
  <c r="H107" i="3"/>
  <c r="H108" i="3"/>
  <c r="H109" i="3"/>
  <c r="H110" i="3"/>
  <c r="H111" i="3"/>
  <c r="H112" i="3"/>
  <c r="H1497" i="3"/>
  <c r="H86" i="3"/>
  <c r="H308" i="3"/>
  <c r="H52" i="3"/>
  <c r="H26" i="3"/>
  <c r="H1508" i="3"/>
  <c r="H1394" i="3"/>
  <c r="H1395" i="3"/>
  <c r="H1396" i="3"/>
  <c r="H1397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43" i="3"/>
  <c r="H1522" i="3"/>
  <c r="H1523" i="3"/>
  <c r="H1460" i="3"/>
  <c r="H1524" i="3"/>
  <c r="H1525" i="3"/>
  <c r="H1526" i="3"/>
  <c r="H1527" i="3"/>
  <c r="H1528" i="3"/>
  <c r="H1495" i="3"/>
  <c r="H1530" i="3"/>
  <c r="H1531" i="3"/>
  <c r="H1532" i="3"/>
  <c r="H1533" i="3"/>
  <c r="H1534" i="3"/>
  <c r="H1535" i="3"/>
  <c r="H1536" i="3"/>
  <c r="H1537" i="3"/>
  <c r="H1538" i="3"/>
  <c r="H770" i="3"/>
  <c r="H1539" i="3"/>
  <c r="H1414" i="3"/>
  <c r="H1540" i="3"/>
  <c r="H1541" i="3"/>
  <c r="H1455" i="3"/>
  <c r="H1496" i="3"/>
  <c r="H952" i="3"/>
  <c r="H1543" i="3"/>
  <c r="H1457" i="3"/>
  <c r="H1448" i="3"/>
  <c r="H1449" i="3"/>
  <c r="H1544" i="3"/>
  <c r="H1545" i="3"/>
  <c r="H1546" i="3"/>
  <c r="H1547" i="3"/>
  <c r="H1548" i="3"/>
  <c r="H1549" i="3"/>
  <c r="H1550" i="3"/>
  <c r="H1551" i="3"/>
  <c r="H1552" i="3"/>
  <c r="H1553" i="3"/>
  <c r="H1466" i="3"/>
  <c r="H1554" i="3"/>
  <c r="H1555" i="3"/>
  <c r="H1556" i="3"/>
  <c r="H1557" i="3"/>
  <c r="H1436" i="3"/>
  <c r="H953" i="3"/>
  <c r="H1558" i="3"/>
  <c r="H1559" i="3"/>
  <c r="H1560" i="3"/>
  <c r="H1561" i="3"/>
  <c r="H239" i="3"/>
  <c r="H224" i="3"/>
  <c r="H1420" i="3"/>
  <c r="H1375" i="3"/>
  <c r="H1419" i="3"/>
  <c r="H76" i="3"/>
  <c r="H1562" i="3"/>
  <c r="H1563" i="3"/>
  <c r="H1468" i="3"/>
  <c r="H1469" i="3"/>
  <c r="H1470" i="3"/>
  <c r="H1447" i="3"/>
  <c r="H1564" i="3"/>
  <c r="H1565" i="3"/>
  <c r="H1566" i="3"/>
  <c r="H1407" i="3"/>
  <c r="H1437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438" i="3"/>
  <c r="H1464" i="3"/>
  <c r="H1594" i="3"/>
  <c r="H1595" i="3"/>
  <c r="H1596" i="3"/>
  <c r="H1452" i="3"/>
  <c r="H1597" i="3"/>
  <c r="H1598" i="3"/>
  <c r="H1599" i="3"/>
  <c r="H1600" i="3"/>
  <c r="H1601" i="3"/>
  <c r="H798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415" i="3"/>
  <c r="H1642" i="3"/>
  <c r="H1643" i="3"/>
  <c r="H1644" i="3"/>
  <c r="H1645" i="3"/>
  <c r="H1454" i="3"/>
  <c r="H1646" i="3"/>
  <c r="H1647" i="3"/>
  <c r="H53" i="3"/>
  <c r="H1648" i="3"/>
  <c r="H1498" i="3"/>
  <c r="H87" i="3"/>
  <c r="H1650" i="3"/>
  <c r="H1651" i="3"/>
  <c r="H1652" i="3"/>
  <c r="H1653" i="3"/>
  <c r="H1654" i="3"/>
  <c r="H1655" i="3"/>
  <c r="H1656" i="3"/>
  <c r="H1405" i="3"/>
  <c r="H1657" i="3"/>
  <c r="H1658" i="3"/>
  <c r="H1659" i="3"/>
  <c r="H1660" i="3"/>
  <c r="H1661" i="3"/>
  <c r="H1662" i="3"/>
  <c r="H1370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421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499" i="3"/>
  <c r="H1696" i="3"/>
  <c r="H1459" i="3"/>
  <c r="H1426" i="3"/>
  <c r="H1427" i="3"/>
  <c r="H1697" i="3"/>
  <c r="H1698" i="3"/>
  <c r="H1699" i="3"/>
  <c r="H1700" i="3"/>
  <c r="H984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475" i="3"/>
  <c r="H1719" i="3"/>
  <c r="H1465" i="3"/>
  <c r="H1720" i="3"/>
  <c r="H1721" i="3"/>
  <c r="H1722" i="3"/>
  <c r="H1723" i="3"/>
  <c r="H1724" i="3"/>
  <c r="H1725" i="3"/>
  <c r="H1726" i="3"/>
  <c r="H145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398" i="3"/>
  <c r="H1408" i="3"/>
  <c r="H1399" i="3"/>
  <c r="H1739" i="3"/>
  <c r="H1740" i="3"/>
  <c r="H1741" i="3"/>
  <c r="H1742" i="3"/>
  <c r="H1743" i="3"/>
  <c r="H1744" i="3"/>
  <c r="H1467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439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490" i="3"/>
  <c r="H309" i="3"/>
  <c r="H1783" i="3"/>
  <c r="H1784" i="3"/>
  <c r="H1785" i="3"/>
  <c r="H1786" i="3"/>
  <c r="H1787" i="3"/>
  <c r="H1788" i="3"/>
  <c r="H1789" i="3"/>
  <c r="H1440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564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694" i="3"/>
  <c r="H1890" i="3"/>
  <c r="H1891" i="3"/>
  <c r="H1120" i="3"/>
  <c r="H10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071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406" i="3"/>
  <c r="H1920" i="3"/>
  <c r="H883" i="3"/>
  <c r="H1441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403" i="3"/>
  <c r="H1418" i="3"/>
  <c r="H1933" i="3"/>
  <c r="H1461" i="3"/>
  <c r="H1462" i="3"/>
  <c r="H1934" i="3"/>
  <c r="H1935" i="3"/>
  <c r="H799" i="3"/>
  <c r="H800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734" i="3"/>
  <c r="H638" i="3"/>
  <c r="H1422" i="3"/>
  <c r="H1423" i="3"/>
  <c r="H1975" i="3"/>
  <c r="H1976" i="3"/>
  <c r="H1977" i="3"/>
  <c r="H1978" i="3"/>
  <c r="H1979" i="3"/>
  <c r="H1980" i="3"/>
  <c r="H1981" i="3"/>
  <c r="H1982" i="3"/>
  <c r="H1983" i="3"/>
  <c r="H1984" i="3"/>
  <c r="H1985" i="3"/>
  <c r="H1424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639" i="3"/>
  <c r="H2006" i="3"/>
  <c r="H2007" i="3"/>
  <c r="H2008" i="3"/>
  <c r="H2009" i="3"/>
  <c r="H1409" i="3"/>
  <c r="H1410" i="3"/>
  <c r="H2010" i="3"/>
  <c r="H1411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1400" i="3"/>
  <c r="H1401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1442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1473" i="3"/>
  <c r="H2080" i="3"/>
  <c r="H1416" i="3"/>
  <c r="H2081" i="3"/>
  <c r="H2082" i="3"/>
  <c r="H2083" i="3"/>
  <c r="H550" i="3"/>
  <c r="H526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477" i="3"/>
  <c r="H2131" i="3"/>
  <c r="H2132" i="3"/>
  <c r="H2133" i="3"/>
  <c r="H2134" i="3"/>
  <c r="H2135" i="3"/>
  <c r="H2136" i="3"/>
  <c r="H2137" i="3"/>
  <c r="H2138" i="3"/>
  <c r="H2139" i="3"/>
  <c r="H2140" i="3"/>
  <c r="H376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1450" i="3"/>
  <c r="H1451" i="3"/>
  <c r="H2176" i="3"/>
  <c r="H2177" i="3"/>
  <c r="H1428" i="3"/>
  <c r="H1429" i="3"/>
  <c r="H1430" i="3"/>
  <c r="H1431" i="3"/>
  <c r="H1432" i="3"/>
  <c r="H1433" i="3"/>
  <c r="H2178" i="3"/>
  <c r="H2179" i="3"/>
  <c r="H2180" i="3"/>
  <c r="H2181" i="3"/>
  <c r="H2182" i="3"/>
  <c r="H2183" i="3"/>
  <c r="H2184" i="3"/>
  <c r="H2185" i="3"/>
  <c r="H2186" i="3"/>
  <c r="H329" i="3"/>
  <c r="H2187" i="3"/>
  <c r="H2188" i="3"/>
  <c r="H2189" i="3"/>
  <c r="H330" i="3"/>
  <c r="H2190" i="3"/>
  <c r="H2191" i="3"/>
  <c r="H2192" i="3"/>
  <c r="H2193" i="3"/>
  <c r="H2194" i="3"/>
  <c r="H2195" i="3"/>
  <c r="H2196" i="3"/>
  <c r="H2197" i="3"/>
  <c r="H2198" i="3"/>
  <c r="H1443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1463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04" i="3"/>
  <c r="H2228" i="3"/>
  <c r="H113" i="3"/>
  <c r="H2229" i="3"/>
  <c r="H2230" i="3"/>
  <c r="H2231" i="3"/>
  <c r="H2232" i="3"/>
  <c r="H2233" i="3"/>
  <c r="H2234" i="3"/>
  <c r="H2235" i="3"/>
  <c r="H2236" i="3"/>
  <c r="H2237" i="3"/>
  <c r="H2238" i="3"/>
  <c r="H27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1435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1471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1472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1444" i="3"/>
  <c r="H2293" i="3"/>
  <c r="H2294" i="3"/>
  <c r="H2295" i="3"/>
  <c r="H1445" i="3"/>
  <c r="H2296" i="3"/>
  <c r="H2297" i="3"/>
  <c r="H2298" i="3"/>
  <c r="H2299" i="3"/>
  <c r="H2300" i="3"/>
  <c r="H1402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1425" i="3"/>
  <c r="H2313" i="3"/>
  <c r="H2314" i="3"/>
  <c r="H2315" i="3"/>
  <c r="H54" i="3"/>
  <c r="H2316" i="3"/>
  <c r="H2317" i="3"/>
  <c r="H2318" i="3"/>
  <c r="H205" i="3"/>
  <c r="H2319" i="3"/>
  <c r="H2320" i="3"/>
  <c r="H2321" i="3"/>
  <c r="H1695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1446" i="3"/>
  <c r="H2342" i="3"/>
  <c r="H2343" i="3"/>
  <c r="H2344" i="3"/>
  <c r="H2345" i="3"/>
  <c r="H2346" i="3"/>
  <c r="H2322" i="3"/>
  <c r="H2347" i="3"/>
  <c r="H2348" i="3"/>
  <c r="H2350" i="3"/>
  <c r="H2351" i="3"/>
  <c r="H2352" i="3"/>
  <c r="H2353" i="3"/>
  <c r="H2354" i="3"/>
  <c r="H2349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55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1458" i="3"/>
  <c r="H2383" i="3"/>
  <c r="H2384" i="3"/>
  <c r="H2385" i="3"/>
  <c r="H2386" i="3"/>
  <c r="H2387" i="3"/>
  <c r="H1404" i="3"/>
  <c r="H2388" i="3"/>
  <c r="H2389" i="3"/>
  <c r="H2390" i="3"/>
  <c r="H2391" i="3"/>
  <c r="H1453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370" i="3"/>
  <c r="H2409" i="3"/>
  <c r="H2411" i="3"/>
  <c r="H2412" i="3"/>
  <c r="H2413" i="3"/>
  <c r="H1393" i="3"/>
  <c r="G1393" i="3" l="1"/>
  <c r="G1392" i="3"/>
  <c r="G1391" i="3"/>
  <c r="G1389" i="3"/>
  <c r="G1390" i="3"/>
  <c r="G1385" i="3"/>
  <c r="G1386" i="3"/>
  <c r="G1387" i="3"/>
  <c r="G1388" i="3"/>
  <c r="G1383" i="3"/>
  <c r="G1384" i="3"/>
  <c r="G1282" i="3"/>
  <c r="G1381" i="3"/>
  <c r="G1380" i="3"/>
  <c r="G1376" i="3"/>
  <c r="G1377" i="3"/>
  <c r="G1378" i="3"/>
  <c r="G1379" i="3"/>
  <c r="G1374" i="3"/>
  <c r="G1434" i="3"/>
  <c r="G1373" i="3"/>
  <c r="G1476" i="3"/>
  <c r="G1371" i="3"/>
  <c r="G1368" i="3"/>
  <c r="G1369" i="3"/>
  <c r="G1477" i="3"/>
  <c r="G1366" i="3"/>
  <c r="G1367" i="3"/>
  <c r="G1365" i="3"/>
  <c r="G1362" i="3"/>
  <c r="G1303" i="3"/>
  <c r="G1363" i="3"/>
  <c r="G1358" i="3"/>
  <c r="G1359" i="3"/>
  <c r="G1360" i="3"/>
  <c r="G1361" i="3"/>
  <c r="G1350" i="3"/>
  <c r="G1351" i="3"/>
  <c r="G1352" i="3"/>
  <c r="G1353" i="3"/>
  <c r="G1354" i="3"/>
  <c r="G1355" i="3"/>
  <c r="G1356" i="3"/>
  <c r="G1251" i="3"/>
  <c r="G1357" i="3"/>
  <c r="G1304" i="3"/>
  <c r="G1305" i="3"/>
  <c r="G178" i="3"/>
  <c r="G179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714" i="3"/>
  <c r="G715" i="3"/>
  <c r="G716" i="3"/>
  <c r="G1334" i="3"/>
  <c r="G1335" i="3"/>
  <c r="G1336" i="3"/>
  <c r="G1337" i="3"/>
  <c r="G1338" i="3"/>
  <c r="G1339" i="3"/>
  <c r="G1340" i="3"/>
  <c r="G1341" i="3"/>
  <c r="G1252" i="3"/>
  <c r="G1342" i="3"/>
  <c r="G1343" i="3"/>
  <c r="G1344" i="3"/>
  <c r="G1345" i="3"/>
  <c r="G1346" i="3"/>
  <c r="G1347" i="3"/>
  <c r="G1348" i="3"/>
  <c r="G1349" i="3"/>
  <c r="G1283" i="3"/>
  <c r="G1280" i="3"/>
  <c r="G1234" i="3"/>
  <c r="G1281" i="3"/>
  <c r="G1269" i="3"/>
  <c r="G1284" i="3"/>
  <c r="G1285" i="3"/>
  <c r="G1256" i="3"/>
  <c r="G1236" i="3"/>
  <c r="G1286" i="3"/>
  <c r="G1272" i="3"/>
  <c r="G1276" i="3"/>
  <c r="G1260" i="3"/>
  <c r="G1287" i="3"/>
  <c r="G1248" i="3"/>
  <c r="G1263" i="3"/>
  <c r="G1279" i="3"/>
  <c r="G1241" i="3"/>
  <c r="G1246" i="3"/>
  <c r="G1288" i="3"/>
  <c r="G1265" i="3"/>
  <c r="G1254" i="3"/>
  <c r="G1261" i="3"/>
  <c r="G1262" i="3"/>
  <c r="G1270" i="3"/>
  <c r="G1289" i="3"/>
  <c r="G1273" i="3"/>
  <c r="G1244" i="3"/>
  <c r="G1290" i="3"/>
  <c r="G1291" i="3"/>
  <c r="G1266" i="3"/>
  <c r="G1292" i="3"/>
  <c r="G1474" i="3"/>
  <c r="G1293" i="3"/>
  <c r="G1271" i="3"/>
  <c r="G1267" i="3"/>
  <c r="G1294" i="3"/>
  <c r="G1295" i="3"/>
  <c r="G1253" i="3"/>
  <c r="G1264" i="3"/>
  <c r="G1296" i="3"/>
  <c r="G1274" i="3"/>
  <c r="G1275" i="3"/>
  <c r="G1257" i="3"/>
  <c r="G1239" i="3"/>
  <c r="G1245" i="3"/>
  <c r="G1237" i="3"/>
  <c r="G1250" i="3"/>
  <c r="G1259" i="3"/>
  <c r="G1297" i="3"/>
  <c r="G1243" i="3"/>
  <c r="G1278" i="3"/>
  <c r="G1240" i="3"/>
  <c r="G1238" i="3"/>
  <c r="G1277" i="3"/>
  <c r="G1242" i="3"/>
  <c r="G1268" i="3"/>
  <c r="G1298" i="3"/>
  <c r="G1299" i="3"/>
  <c r="G1258" i="3"/>
  <c r="G867" i="3"/>
  <c r="G1235" i="3"/>
  <c r="G1247" i="3"/>
  <c r="G1249" i="3"/>
  <c r="G1300" i="3"/>
  <c r="G1255" i="3"/>
  <c r="G930" i="3"/>
  <c r="G1301" i="3"/>
  <c r="G1302" i="3"/>
  <c r="G1214" i="3"/>
  <c r="G1221" i="3"/>
  <c r="G1222" i="3"/>
  <c r="G1223" i="3"/>
  <c r="G1224" i="3"/>
  <c r="G1217" i="3"/>
  <c r="G1225" i="3"/>
  <c r="G1213" i="3"/>
  <c r="G1220" i="3"/>
  <c r="G1215" i="3"/>
  <c r="G1209" i="3"/>
  <c r="G1226" i="3"/>
  <c r="G1227" i="3"/>
  <c r="G1210" i="3"/>
  <c r="G1228" i="3"/>
  <c r="G1229" i="3"/>
  <c r="G1230" i="3"/>
  <c r="G1211" i="3"/>
  <c r="G1212" i="3"/>
  <c r="G1219" i="3"/>
  <c r="G1231" i="3"/>
  <c r="G1232" i="3"/>
  <c r="G1233" i="3"/>
  <c r="G1216" i="3"/>
  <c r="G1218" i="3"/>
  <c r="G1193" i="3"/>
  <c r="G1194" i="3"/>
  <c r="G1184" i="3"/>
  <c r="G1195" i="3"/>
  <c r="G1190" i="3"/>
  <c r="G1196" i="3"/>
  <c r="G1192" i="3"/>
  <c r="G1197" i="3"/>
  <c r="G1198" i="3"/>
  <c r="G1191" i="3"/>
  <c r="G1199" i="3"/>
  <c r="G1180" i="3"/>
  <c r="G1200" i="3"/>
  <c r="G1201" i="3"/>
  <c r="G1181" i="3"/>
  <c r="G1202" i="3"/>
  <c r="G1203" i="3"/>
  <c r="G1204" i="3"/>
  <c r="G1182" i="3"/>
  <c r="G1189" i="3"/>
  <c r="G1205" i="3"/>
  <c r="G1186" i="3"/>
  <c r="G1187" i="3"/>
  <c r="G1185" i="3"/>
  <c r="G1206" i="3"/>
  <c r="G1207" i="3"/>
  <c r="G1183" i="3"/>
  <c r="G1188" i="3"/>
  <c r="G1208" i="3"/>
  <c r="G1157" i="3"/>
  <c r="G1167" i="3"/>
  <c r="G1168" i="3"/>
  <c r="G1155" i="3"/>
  <c r="G1165" i="3"/>
  <c r="G1169" i="3"/>
  <c r="G1170" i="3"/>
  <c r="G1171" i="3"/>
  <c r="G1159" i="3"/>
  <c r="G1412" i="3"/>
  <c r="G1172" i="3"/>
  <c r="G1163" i="3"/>
  <c r="G1173" i="3"/>
  <c r="G1166" i="3"/>
  <c r="G1154" i="3"/>
  <c r="G1158" i="3"/>
  <c r="G1161" i="3"/>
  <c r="G1174" i="3"/>
  <c r="G1175" i="3"/>
  <c r="G1162" i="3"/>
  <c r="G1164" i="3"/>
  <c r="G931" i="3"/>
  <c r="G1176" i="3"/>
  <c r="G1177" i="3"/>
  <c r="G1178" i="3"/>
  <c r="G1179" i="3"/>
  <c r="G1156" i="3"/>
  <c r="G1160" i="3"/>
  <c r="G1137" i="3"/>
  <c r="G1142" i="3"/>
  <c r="G1143" i="3"/>
  <c r="G1121" i="3"/>
  <c r="G1144" i="3"/>
  <c r="G1123" i="3"/>
  <c r="G1136" i="3"/>
  <c r="G1145" i="3"/>
  <c r="G1139" i="3"/>
  <c r="G1146" i="3"/>
  <c r="G1127" i="3"/>
  <c r="G1133" i="3"/>
  <c r="G1140" i="3"/>
  <c r="G1141" i="3"/>
  <c r="G1413" i="3"/>
  <c r="G1135" i="3"/>
  <c r="G1131" i="3"/>
  <c r="G1130" i="3"/>
  <c r="G1124" i="3"/>
  <c r="G1122" i="3"/>
  <c r="G1128" i="3"/>
  <c r="G1126" i="3"/>
  <c r="G954" i="3"/>
  <c r="G1147" i="3"/>
  <c r="G1148" i="3"/>
  <c r="G1149" i="3"/>
  <c r="G1150" i="3"/>
  <c r="G1132" i="3"/>
  <c r="G1134" i="3"/>
  <c r="G1151" i="3"/>
  <c r="G1129" i="3"/>
  <c r="G1152" i="3"/>
  <c r="G1138" i="3"/>
  <c r="G1125" i="3"/>
  <c r="G1153" i="3"/>
  <c r="G1093" i="3"/>
  <c r="G1094" i="3"/>
  <c r="G1095" i="3"/>
  <c r="G1096" i="3"/>
  <c r="G1097" i="3"/>
  <c r="G1098" i="3"/>
  <c r="G1099" i="3"/>
  <c r="G1092" i="3"/>
  <c r="G1100" i="3"/>
  <c r="G1101" i="3"/>
  <c r="G1102" i="3"/>
  <c r="G1103" i="3"/>
  <c r="G1104" i="3"/>
  <c r="G551" i="3"/>
  <c r="G1105" i="3"/>
  <c r="G1106" i="3"/>
  <c r="G1120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072" i="3"/>
  <c r="G1073" i="3"/>
  <c r="G1074" i="3"/>
  <c r="G1075" i="3"/>
  <c r="G1076" i="3"/>
  <c r="G1417" i="3"/>
  <c r="G1077" i="3"/>
  <c r="G1078" i="3"/>
  <c r="G1079" i="3"/>
  <c r="G1080" i="3"/>
  <c r="G68" i="3"/>
  <c r="G1081" i="3"/>
  <c r="G932" i="3"/>
  <c r="G1082" i="3"/>
  <c r="G1083" i="3"/>
  <c r="G1084" i="3"/>
  <c r="G1382" i="3"/>
  <c r="G1085" i="3"/>
  <c r="G445" i="3"/>
  <c r="G1086" i="3"/>
  <c r="G1087" i="3"/>
  <c r="G1088" i="3"/>
  <c r="G1089" i="3"/>
  <c r="G1091" i="3"/>
  <c r="G1090" i="3"/>
  <c r="G1053" i="3"/>
  <c r="G1054" i="3"/>
  <c r="G1364" i="3"/>
  <c r="G1052" i="3"/>
  <c r="G1055" i="3"/>
  <c r="G1056" i="3"/>
  <c r="G1057" i="3"/>
  <c r="G1058" i="3"/>
  <c r="G1059" i="3"/>
  <c r="G1060" i="3"/>
  <c r="G1061" i="3"/>
  <c r="G1062" i="3"/>
  <c r="G1063" i="3"/>
  <c r="G1064" i="3"/>
  <c r="G1065" i="3"/>
  <c r="G1071" i="3"/>
  <c r="G1070" i="3"/>
  <c r="G1066" i="3"/>
  <c r="G1067" i="3"/>
  <c r="G1068" i="3"/>
  <c r="G1069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23" i="3"/>
  <c r="G1024" i="3"/>
  <c r="G1025" i="3"/>
  <c r="G1006" i="3"/>
  <c r="G1007" i="3"/>
  <c r="G1008" i="3"/>
  <c r="G1009" i="3"/>
  <c r="G1010" i="3"/>
  <c r="G1011" i="3"/>
  <c r="G1012" i="3"/>
  <c r="G1013" i="3"/>
  <c r="G1026" i="3"/>
  <c r="G1014" i="3"/>
  <c r="G1015" i="3"/>
  <c r="G1016" i="3"/>
  <c r="G1027" i="3"/>
  <c r="G1017" i="3"/>
  <c r="G1018" i="3"/>
  <c r="G1019" i="3"/>
  <c r="G985" i="3"/>
  <c r="G1028" i="3"/>
  <c r="G1029" i="3"/>
  <c r="G986" i="3"/>
  <c r="G987" i="3"/>
  <c r="G988" i="3"/>
  <c r="G1030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31" i="3"/>
  <c r="G855" i="3"/>
  <c r="G1001" i="3"/>
  <c r="G955" i="3"/>
  <c r="G1032" i="3"/>
  <c r="G956" i="3"/>
  <c r="G1020" i="3"/>
  <c r="G957" i="3"/>
  <c r="G958" i="3"/>
  <c r="G959" i="3"/>
  <c r="G960" i="3"/>
  <c r="G961" i="3"/>
  <c r="G962" i="3"/>
  <c r="G1021" i="3"/>
  <c r="G102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1002" i="3"/>
  <c r="G975" i="3"/>
  <c r="G976" i="3"/>
  <c r="G977" i="3"/>
  <c r="G1481" i="3"/>
  <c r="G1003" i="3"/>
  <c r="G978" i="3"/>
  <c r="G933" i="3"/>
  <c r="G934" i="3"/>
  <c r="G935" i="3"/>
  <c r="G936" i="3"/>
  <c r="G937" i="3"/>
  <c r="G938" i="3"/>
  <c r="G939" i="3"/>
  <c r="G1004" i="3"/>
  <c r="G1005" i="3"/>
  <c r="G940" i="3"/>
  <c r="G941" i="3"/>
  <c r="G942" i="3"/>
  <c r="G943" i="3"/>
  <c r="G944" i="3"/>
  <c r="G979" i="3"/>
  <c r="G945" i="3"/>
  <c r="G946" i="3"/>
  <c r="G947" i="3"/>
  <c r="G948" i="3"/>
  <c r="G949" i="3"/>
  <c r="G950" i="3"/>
  <c r="G951" i="3"/>
  <c r="G953" i="3"/>
  <c r="G952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103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884" i="3"/>
  <c r="G885" i="3"/>
  <c r="G886" i="3"/>
  <c r="G1034" i="3"/>
  <c r="G980" i="3"/>
  <c r="G887" i="3"/>
  <c r="G981" i="3"/>
  <c r="G888" i="3"/>
  <c r="G889" i="3"/>
  <c r="G929" i="3"/>
  <c r="G982" i="3"/>
  <c r="G890" i="3"/>
  <c r="G891" i="3"/>
  <c r="G892" i="3"/>
  <c r="G893" i="3"/>
  <c r="G894" i="3"/>
  <c r="G882" i="3"/>
  <c r="G868" i="3"/>
  <c r="G869" i="3"/>
  <c r="G870" i="3"/>
  <c r="G883" i="3"/>
  <c r="G871" i="3"/>
  <c r="G872" i="3"/>
  <c r="G873" i="3"/>
  <c r="G874" i="3"/>
  <c r="G875" i="3"/>
  <c r="G838" i="3"/>
  <c r="G876" i="3"/>
  <c r="G877" i="3"/>
  <c r="G878" i="3"/>
  <c r="G879" i="3"/>
  <c r="G880" i="3"/>
  <c r="G881" i="3"/>
  <c r="G856" i="3"/>
  <c r="G857" i="3"/>
  <c r="G858" i="3"/>
  <c r="G859" i="3"/>
  <c r="G860" i="3"/>
  <c r="G861" i="3"/>
  <c r="G862" i="3"/>
  <c r="G863" i="3"/>
  <c r="G864" i="3"/>
  <c r="G865" i="3"/>
  <c r="G866" i="3"/>
  <c r="G839" i="3"/>
  <c r="G840" i="3"/>
  <c r="G841" i="3"/>
  <c r="G842" i="3"/>
  <c r="G843" i="3"/>
  <c r="G844" i="3"/>
  <c r="G845" i="3"/>
  <c r="G983" i="3"/>
  <c r="G846" i="3"/>
  <c r="G847" i="3"/>
  <c r="G895" i="3"/>
  <c r="G848" i="3"/>
  <c r="G849" i="3"/>
  <c r="G850" i="3"/>
  <c r="G896" i="3"/>
  <c r="G851" i="3"/>
  <c r="G823" i="3"/>
  <c r="G824" i="3"/>
  <c r="G822" i="3"/>
  <c r="G826" i="3"/>
  <c r="G827" i="3"/>
  <c r="G828" i="3"/>
  <c r="G829" i="3"/>
  <c r="G830" i="3"/>
  <c r="G831" i="3"/>
  <c r="G832" i="3"/>
  <c r="G833" i="3"/>
  <c r="G825" i="3"/>
  <c r="G837" i="3"/>
  <c r="G834" i="3"/>
  <c r="G835" i="3"/>
  <c r="G836" i="3"/>
  <c r="G803" i="3"/>
  <c r="G804" i="3"/>
  <c r="G805" i="3"/>
  <c r="G806" i="3"/>
  <c r="G807" i="3"/>
  <c r="G821" i="3"/>
  <c r="G801" i="3"/>
  <c r="G808" i="3"/>
  <c r="G809" i="3"/>
  <c r="G852" i="3"/>
  <c r="G810" i="3"/>
  <c r="G811" i="3"/>
  <c r="G812" i="3"/>
  <c r="G813" i="3"/>
  <c r="G802" i="3"/>
  <c r="G814" i="3"/>
  <c r="G815" i="3"/>
  <c r="G816" i="3"/>
  <c r="G817" i="3"/>
  <c r="G818" i="3"/>
  <c r="G819" i="3"/>
  <c r="G799" i="3"/>
  <c r="G771" i="3"/>
  <c r="G772" i="3"/>
  <c r="G773" i="3"/>
  <c r="G774" i="3"/>
  <c r="G775" i="3"/>
  <c r="G800" i="3"/>
  <c r="G776" i="3"/>
  <c r="G777" i="3"/>
  <c r="G778" i="3"/>
  <c r="G853" i="3"/>
  <c r="G779" i="3"/>
  <c r="G780" i="3"/>
  <c r="G781" i="3"/>
  <c r="G782" i="3"/>
  <c r="G783" i="3"/>
  <c r="G784" i="3"/>
  <c r="G785" i="3"/>
  <c r="G786" i="3"/>
  <c r="G787" i="3"/>
  <c r="G788" i="3"/>
  <c r="G206" i="3"/>
  <c r="G789" i="3"/>
  <c r="G790" i="3"/>
  <c r="G791" i="3"/>
  <c r="G792" i="3"/>
  <c r="G798" i="3"/>
  <c r="G793" i="3"/>
  <c r="G794" i="3"/>
  <c r="G795" i="3"/>
  <c r="G640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69" i="3"/>
  <c r="G770" i="3"/>
  <c r="G756" i="3"/>
  <c r="G736" i="3"/>
  <c r="G735" i="3"/>
  <c r="G854" i="3"/>
  <c r="G757" i="3"/>
  <c r="G758" i="3"/>
  <c r="G759" i="3"/>
  <c r="G760" i="3"/>
  <c r="G761" i="3"/>
  <c r="G762" i="3"/>
  <c r="G763" i="3"/>
  <c r="G764" i="3"/>
  <c r="G765" i="3"/>
  <c r="G766" i="3"/>
  <c r="G767" i="3"/>
  <c r="G717" i="3"/>
  <c r="G718" i="3"/>
  <c r="G719" i="3"/>
  <c r="G720" i="3"/>
  <c r="G721" i="3"/>
  <c r="G722" i="3"/>
  <c r="G734" i="3"/>
  <c r="G723" i="3"/>
  <c r="G724" i="3"/>
  <c r="G725" i="3"/>
  <c r="G726" i="3"/>
  <c r="G727" i="3"/>
  <c r="G728" i="3"/>
  <c r="G729" i="3"/>
  <c r="G730" i="3"/>
  <c r="G731" i="3"/>
  <c r="G732" i="3"/>
  <c r="G733" i="3"/>
  <c r="G697" i="3"/>
  <c r="G796" i="3"/>
  <c r="G820" i="3"/>
  <c r="G698" i="3"/>
  <c r="G696" i="3"/>
  <c r="G695" i="3"/>
  <c r="G699" i="3"/>
  <c r="G700" i="3"/>
  <c r="G701" i="3"/>
  <c r="G702" i="3"/>
  <c r="G703" i="3"/>
  <c r="G704" i="3"/>
  <c r="G705" i="3"/>
  <c r="G706" i="3"/>
  <c r="G797" i="3"/>
  <c r="G768" i="3"/>
  <c r="G707" i="3"/>
  <c r="G708" i="3"/>
  <c r="G709" i="3"/>
  <c r="G710" i="3"/>
  <c r="G641" i="3"/>
  <c r="G642" i="3"/>
  <c r="G643" i="3"/>
  <c r="G644" i="3"/>
  <c r="G645" i="3"/>
  <c r="G646" i="3"/>
  <c r="G647" i="3"/>
  <c r="G711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94" i="3"/>
  <c r="G685" i="3"/>
  <c r="G686" i="3"/>
  <c r="G687" i="3"/>
  <c r="G688" i="3"/>
  <c r="G689" i="3"/>
  <c r="G690" i="3"/>
  <c r="G691" i="3"/>
  <c r="G608" i="3"/>
  <c r="G609" i="3"/>
  <c r="G610" i="3"/>
  <c r="G611" i="3"/>
  <c r="G612" i="3"/>
  <c r="G613" i="3"/>
  <c r="G638" i="3"/>
  <c r="G614" i="3"/>
  <c r="G615" i="3"/>
  <c r="G616" i="3"/>
  <c r="G1490" i="3"/>
  <c r="G617" i="3"/>
  <c r="G639" i="3"/>
  <c r="G618" i="3"/>
  <c r="G619" i="3"/>
  <c r="G620" i="3"/>
  <c r="G621" i="3"/>
  <c r="G622" i="3"/>
  <c r="G623" i="3"/>
  <c r="G607" i="3"/>
  <c r="G624" i="3"/>
  <c r="G625" i="3"/>
  <c r="G626" i="3"/>
  <c r="G712" i="3"/>
  <c r="G627" i="3"/>
  <c r="G628" i="3"/>
  <c r="G629" i="3"/>
  <c r="G637" i="3"/>
  <c r="G630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52" i="3"/>
  <c r="G553" i="3"/>
  <c r="G554" i="3"/>
  <c r="G479" i="3"/>
  <c r="G564" i="3"/>
  <c r="G555" i="3"/>
  <c r="G556" i="3"/>
  <c r="G557" i="3"/>
  <c r="G558" i="3"/>
  <c r="G559" i="3"/>
  <c r="G560" i="3"/>
  <c r="G561" i="3"/>
  <c r="G562" i="3"/>
  <c r="G563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713" i="3"/>
  <c r="G692" i="3"/>
  <c r="G550" i="3"/>
  <c r="G543" i="3"/>
  <c r="G544" i="3"/>
  <c r="G545" i="3"/>
  <c r="G546" i="3"/>
  <c r="G547" i="3"/>
  <c r="G512" i="3"/>
  <c r="G526" i="3"/>
  <c r="G513" i="3"/>
  <c r="G525" i="3"/>
  <c r="G514" i="3"/>
  <c r="G515" i="3"/>
  <c r="G516" i="3"/>
  <c r="G548" i="3"/>
  <c r="G517" i="3"/>
  <c r="G518" i="3"/>
  <c r="G519" i="3"/>
  <c r="G520" i="3"/>
  <c r="G521" i="3"/>
  <c r="G522" i="3"/>
  <c r="G523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49" i="3"/>
  <c r="G491" i="3"/>
  <c r="G492" i="3"/>
  <c r="G493" i="3"/>
  <c r="G480" i="3"/>
  <c r="G481" i="3"/>
  <c r="G482" i="3"/>
  <c r="G377" i="3"/>
  <c r="G483" i="3"/>
  <c r="G484" i="3"/>
  <c r="G478" i="3"/>
  <c r="G485" i="3"/>
  <c r="G486" i="3"/>
  <c r="G487" i="3"/>
  <c r="G488" i="3"/>
  <c r="G1372" i="3"/>
  <c r="G489" i="3"/>
  <c r="G460" i="3"/>
  <c r="G524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7" i="3"/>
  <c r="G475" i="3"/>
  <c r="G447" i="3"/>
  <c r="G448" i="3"/>
  <c r="G449" i="3"/>
  <c r="G450" i="3"/>
  <c r="G451" i="3"/>
  <c r="G446" i="3"/>
  <c r="G452" i="3"/>
  <c r="G453" i="3"/>
  <c r="G454" i="3"/>
  <c r="G455" i="3"/>
  <c r="G494" i="3"/>
  <c r="G456" i="3"/>
  <c r="G457" i="3"/>
  <c r="G458" i="3"/>
  <c r="G459" i="3"/>
  <c r="G439" i="3"/>
  <c r="G440" i="3"/>
  <c r="G441" i="3"/>
  <c r="G442" i="3"/>
  <c r="G443" i="3"/>
  <c r="G444" i="3"/>
  <c r="G426" i="3"/>
  <c r="G427" i="3"/>
  <c r="G428" i="3"/>
  <c r="G429" i="3"/>
  <c r="G430" i="3"/>
  <c r="G431" i="3"/>
  <c r="G432" i="3"/>
  <c r="G433" i="3"/>
  <c r="G434" i="3"/>
  <c r="G43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76" i="3"/>
  <c r="G415" i="3"/>
  <c r="G416" i="3"/>
  <c r="G436" i="3"/>
  <c r="G437" i="3"/>
  <c r="G417" i="3"/>
  <c r="G418" i="3"/>
  <c r="G419" i="3"/>
  <c r="G420" i="3"/>
  <c r="G421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69" i="3"/>
  <c r="G370" i="3"/>
  <c r="G310" i="3"/>
  <c r="G422" i="3"/>
  <c r="G376" i="3"/>
  <c r="G371" i="3"/>
  <c r="G372" i="3"/>
  <c r="G352" i="3"/>
  <c r="G353" i="3"/>
  <c r="G354" i="3"/>
  <c r="G355" i="3"/>
  <c r="G373" i="3"/>
  <c r="G356" i="3"/>
  <c r="G357" i="3"/>
  <c r="G344" i="3"/>
  <c r="G345" i="3"/>
  <c r="G346" i="3"/>
  <c r="G347" i="3"/>
  <c r="G334" i="3"/>
  <c r="G335" i="3"/>
  <c r="G336" i="3"/>
  <c r="G337" i="3"/>
  <c r="G338" i="3"/>
  <c r="G339" i="3"/>
  <c r="G340" i="3"/>
  <c r="G341" i="3"/>
  <c r="G326" i="3"/>
  <c r="G327" i="3"/>
  <c r="G329" i="3"/>
  <c r="G330" i="3"/>
  <c r="G328" i="3"/>
  <c r="G331" i="3"/>
  <c r="G358" i="3"/>
  <c r="G276" i="3"/>
  <c r="G277" i="3"/>
  <c r="G278" i="3"/>
  <c r="G279" i="3"/>
  <c r="G280" i="3"/>
  <c r="G281" i="3"/>
  <c r="G282" i="3"/>
  <c r="G283" i="3"/>
  <c r="G284" i="3"/>
  <c r="G254" i="3"/>
  <c r="G285" i="3"/>
  <c r="G286" i="3"/>
  <c r="G287" i="3"/>
  <c r="G288" i="3"/>
  <c r="G289" i="3"/>
  <c r="G290" i="3"/>
  <c r="G291" i="3"/>
  <c r="G292" i="3"/>
  <c r="G293" i="3"/>
  <c r="G438" i="3"/>
  <c r="G294" i="3"/>
  <c r="G295" i="3"/>
  <c r="G255" i="3"/>
  <c r="G256" i="3"/>
  <c r="G374" i="3"/>
  <c r="G257" i="3"/>
  <c r="G258" i="3"/>
  <c r="G296" i="3"/>
  <c r="G359" i="3"/>
  <c r="G348" i="3"/>
  <c r="G259" i="3"/>
  <c r="G240" i="3"/>
  <c r="G260" i="3"/>
  <c r="G241" i="3"/>
  <c r="G242" i="3"/>
  <c r="G243" i="3"/>
  <c r="G244" i="3"/>
  <c r="G261" i="3"/>
  <c r="G262" i="3"/>
  <c r="G263" i="3"/>
  <c r="G264" i="3"/>
  <c r="G265" i="3"/>
  <c r="G360" i="3"/>
  <c r="G361" i="3"/>
  <c r="G362" i="3"/>
  <c r="G363" i="3"/>
  <c r="G245" i="3"/>
  <c r="G364" i="3"/>
  <c r="G266" i="3"/>
  <c r="G267" i="3"/>
  <c r="G268" i="3"/>
  <c r="G269" i="3"/>
  <c r="G246" i="3"/>
  <c r="G247" i="3"/>
  <c r="G225" i="3"/>
  <c r="G248" i="3"/>
  <c r="G365" i="3"/>
  <c r="G249" i="3"/>
  <c r="G226" i="3"/>
  <c r="G423" i="3"/>
  <c r="G227" i="3"/>
  <c r="G228" i="3"/>
  <c r="G229" i="3"/>
  <c r="G230" i="3"/>
  <c r="G231" i="3"/>
  <c r="G366" i="3"/>
  <c r="G232" i="3"/>
  <c r="G208" i="3"/>
  <c r="G209" i="3"/>
  <c r="G233" i="3"/>
  <c r="G210" i="3"/>
  <c r="G234" i="3"/>
  <c r="G211" i="3"/>
  <c r="G181" i="3"/>
  <c r="G250" i="3"/>
  <c r="G212" i="3"/>
  <c r="G213" i="3"/>
  <c r="G182" i="3"/>
  <c r="G183" i="3"/>
  <c r="G214" i="3"/>
  <c r="G184" i="3"/>
  <c r="G185" i="3"/>
  <c r="G186" i="3"/>
  <c r="G187" i="3"/>
  <c r="G188" i="3"/>
  <c r="G180" i="3"/>
  <c r="G235" i="3"/>
  <c r="G236" i="3"/>
  <c r="G189" i="3"/>
  <c r="G172" i="3"/>
  <c r="G204" i="3"/>
  <c r="G173" i="3"/>
  <c r="G174" i="3"/>
  <c r="G190" i="3"/>
  <c r="G251" i="3"/>
  <c r="G237" i="3"/>
  <c r="G165" i="3"/>
  <c r="G150" i="3"/>
  <c r="G151" i="3"/>
  <c r="G152" i="3"/>
  <c r="G153" i="3"/>
  <c r="G154" i="3"/>
  <c r="G155" i="3"/>
  <c r="G156" i="3"/>
  <c r="G137" i="3"/>
  <c r="G367" i="3"/>
  <c r="G138" i="3"/>
  <c r="G139" i="3"/>
  <c r="G140" i="3"/>
  <c r="G141" i="3"/>
  <c r="G129" i="3"/>
  <c r="G130" i="3"/>
  <c r="G131" i="3"/>
  <c r="G132" i="3"/>
  <c r="G127" i="3"/>
  <c r="G128" i="3"/>
  <c r="G121" i="3"/>
  <c r="G122" i="3"/>
  <c r="G123" i="3"/>
  <c r="G124" i="3"/>
  <c r="G114" i="3"/>
  <c r="G115" i="3"/>
  <c r="G116" i="3"/>
  <c r="G117" i="3"/>
  <c r="G118" i="3"/>
  <c r="G119" i="3"/>
  <c r="G88" i="3"/>
  <c r="G89" i="3"/>
  <c r="G90" i="3"/>
  <c r="G91" i="3"/>
  <c r="G113" i="3"/>
  <c r="G77" i="3"/>
  <c r="G55" i="3"/>
  <c r="G28" i="3"/>
  <c r="G29" i="3"/>
  <c r="G30" i="3"/>
  <c r="G31" i="3"/>
  <c r="G2" i="3"/>
  <c r="G3" i="3"/>
  <c r="G693" i="3"/>
  <c r="G631" i="3"/>
  <c r="G632" i="3"/>
  <c r="G633" i="3"/>
  <c r="G634" i="3"/>
  <c r="G605" i="3"/>
  <c r="G606" i="3"/>
  <c r="G588" i="3"/>
  <c r="G589" i="3"/>
  <c r="G375" i="3"/>
  <c r="G297" i="3"/>
  <c r="G311" i="3"/>
  <c r="G312" i="3"/>
  <c r="G313" i="3"/>
  <c r="G314" i="3"/>
  <c r="G315" i="3"/>
  <c r="G316" i="3"/>
  <c r="G317" i="3"/>
  <c r="G318" i="3"/>
  <c r="G319" i="3"/>
  <c r="G320" i="3"/>
  <c r="G325" i="3"/>
  <c r="G321" i="3"/>
  <c r="G322" i="3"/>
  <c r="G424" i="3"/>
  <c r="G215" i="3"/>
  <c r="G425" i="3"/>
  <c r="G395" i="3"/>
  <c r="G166" i="3"/>
  <c r="G144" i="3"/>
  <c r="G133" i="3"/>
  <c r="G368" i="3"/>
  <c r="G349" i="3"/>
  <c r="G350" i="3"/>
  <c r="G351" i="3"/>
  <c r="G342" i="3"/>
  <c r="G343" i="3"/>
  <c r="G332" i="3"/>
  <c r="G333" i="3"/>
  <c r="G323" i="3"/>
  <c r="G298" i="3"/>
  <c r="G299" i="3"/>
  <c r="G32" i="3"/>
  <c r="G300" i="3"/>
  <c r="G635" i="3"/>
  <c r="G301" i="3"/>
  <c r="G92" i="3"/>
  <c r="G302" i="3"/>
  <c r="G303" i="3"/>
  <c r="G304" i="3"/>
  <c r="G270" i="3"/>
  <c r="G305" i="3"/>
  <c r="G271" i="3"/>
  <c r="G306" i="3"/>
  <c r="G307" i="3"/>
  <c r="G272" i="3"/>
  <c r="G273" i="3"/>
  <c r="G274" i="3"/>
  <c r="G275" i="3"/>
  <c r="G252" i="3"/>
  <c r="G253" i="3"/>
  <c r="G238" i="3"/>
  <c r="G61" i="3"/>
  <c r="G216" i="3"/>
  <c r="G217" i="3"/>
  <c r="G207" i="3"/>
  <c r="G218" i="3"/>
  <c r="G219" i="3"/>
  <c r="G220" i="3"/>
  <c r="G191" i="3"/>
  <c r="G192" i="3"/>
  <c r="G193" i="3"/>
  <c r="G194" i="3"/>
  <c r="G195" i="3"/>
  <c r="G196" i="3"/>
  <c r="G197" i="3"/>
  <c r="G175" i="3"/>
  <c r="G176" i="3"/>
  <c r="G167" i="3"/>
  <c r="G62" i="3"/>
  <c r="G168" i="3"/>
  <c r="G163" i="3"/>
  <c r="G169" i="3"/>
  <c r="G170" i="3"/>
  <c r="G157" i="3"/>
  <c r="G158" i="3"/>
  <c r="G159" i="3"/>
  <c r="G145" i="3"/>
  <c r="G146" i="3"/>
  <c r="G147" i="3"/>
  <c r="G148" i="3"/>
  <c r="G897" i="3"/>
  <c r="G142" i="3"/>
  <c r="G134" i="3"/>
  <c r="G898" i="3"/>
  <c r="G120" i="3"/>
  <c r="G93" i="3"/>
  <c r="G94" i="3"/>
  <c r="G95" i="3"/>
  <c r="G96" i="3"/>
  <c r="G1035" i="3"/>
  <c r="G97" i="3"/>
  <c r="G98" i="3"/>
  <c r="G99" i="3"/>
  <c r="G100" i="3"/>
  <c r="G69" i="3"/>
  <c r="G101" i="3"/>
  <c r="G102" i="3"/>
  <c r="G103" i="3"/>
  <c r="G63" i="3"/>
  <c r="G64" i="3"/>
  <c r="G104" i="3"/>
  <c r="G78" i="3"/>
  <c r="G79" i="3"/>
  <c r="G65" i="3"/>
  <c r="G80" i="3"/>
  <c r="G81" i="3"/>
  <c r="G82" i="3"/>
  <c r="G83" i="3"/>
  <c r="G84" i="3"/>
  <c r="G70" i="3"/>
  <c r="G71" i="3"/>
  <c r="G1036" i="3"/>
  <c r="G636" i="3"/>
  <c r="G56" i="3"/>
  <c r="G66" i="3"/>
  <c r="G324" i="3"/>
  <c r="G57" i="3"/>
  <c r="G67" i="3"/>
  <c r="G58" i="3"/>
  <c r="G59" i="3"/>
  <c r="G60" i="3"/>
  <c r="G33" i="3"/>
  <c r="G27" i="3"/>
  <c r="G6" i="3"/>
  <c r="G7" i="3"/>
  <c r="G8" i="3"/>
  <c r="G9" i="3"/>
  <c r="G10" i="3"/>
  <c r="G105" i="3"/>
  <c r="G72" i="3"/>
  <c r="G73" i="3"/>
  <c r="G74" i="3"/>
  <c r="G34" i="3"/>
  <c r="G11" i="3"/>
  <c r="G35" i="3"/>
  <c r="G36" i="3"/>
  <c r="G37" i="3"/>
  <c r="G38" i="3"/>
  <c r="G39" i="3"/>
  <c r="G40" i="3"/>
  <c r="G41" i="3"/>
  <c r="G42" i="3"/>
  <c r="G53" i="3"/>
  <c r="G43" i="3"/>
  <c r="G44" i="3"/>
  <c r="G45" i="3"/>
  <c r="G54" i="3"/>
  <c r="G46" i="3"/>
  <c r="G47" i="3"/>
  <c r="G48" i="3"/>
  <c r="G49" i="3"/>
  <c r="G50" i="3"/>
  <c r="G5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4" i="3"/>
  <c r="G25" i="3"/>
  <c r="G5" i="3"/>
  <c r="G221" i="3"/>
  <c r="G222" i="3"/>
  <c r="G223" i="3"/>
  <c r="G198" i="3"/>
  <c r="G199" i="3"/>
  <c r="G200" i="3"/>
  <c r="G201" i="3"/>
  <c r="G75" i="3"/>
  <c r="G202" i="3"/>
  <c r="G85" i="3"/>
  <c r="G203" i="3"/>
  <c r="G160" i="3"/>
  <c r="G205" i="3"/>
  <c r="G177" i="3"/>
  <c r="G171" i="3"/>
  <c r="G164" i="3"/>
  <c r="G161" i="3"/>
  <c r="G162" i="3"/>
  <c r="G149" i="3"/>
  <c r="G135" i="3"/>
  <c r="G136" i="3"/>
  <c r="G125" i="3"/>
  <c r="G126" i="3"/>
  <c r="G106" i="3"/>
  <c r="G107" i="3"/>
  <c r="G108" i="3"/>
  <c r="G109" i="3"/>
  <c r="G110" i="3"/>
  <c r="G111" i="3"/>
  <c r="G112" i="3"/>
  <c r="G87" i="3"/>
  <c r="G86" i="3"/>
  <c r="G308" i="3"/>
  <c r="G52" i="3"/>
  <c r="G26" i="3"/>
  <c r="G1508" i="3"/>
  <c r="G1394" i="3"/>
  <c r="G1395" i="3"/>
  <c r="G1396" i="3"/>
  <c r="G1397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43" i="3"/>
  <c r="G1522" i="3"/>
  <c r="G1523" i="3"/>
  <c r="G1460" i="3"/>
  <c r="G1524" i="3"/>
  <c r="G1525" i="3"/>
  <c r="G1526" i="3"/>
  <c r="G1527" i="3"/>
  <c r="G1528" i="3"/>
  <c r="G1478" i="3"/>
  <c r="G1530" i="3"/>
  <c r="G1531" i="3"/>
  <c r="G1532" i="3"/>
  <c r="G1533" i="3"/>
  <c r="G1534" i="3"/>
  <c r="G1535" i="3"/>
  <c r="G1536" i="3"/>
  <c r="G1537" i="3"/>
  <c r="G1538" i="3"/>
  <c r="G1493" i="3"/>
  <c r="G1539" i="3"/>
  <c r="G1414" i="3"/>
  <c r="G1540" i="3"/>
  <c r="G1541" i="3"/>
  <c r="G1455" i="3"/>
  <c r="G1695" i="3"/>
  <c r="G1529" i="3"/>
  <c r="G1543" i="3"/>
  <c r="G1457" i="3"/>
  <c r="G1448" i="3"/>
  <c r="G1449" i="3"/>
  <c r="G1544" i="3"/>
  <c r="G1545" i="3"/>
  <c r="G1546" i="3"/>
  <c r="G1547" i="3"/>
  <c r="G1548" i="3"/>
  <c r="G1549" i="3"/>
  <c r="G1550" i="3"/>
  <c r="G1551" i="3"/>
  <c r="G1552" i="3"/>
  <c r="G1553" i="3"/>
  <c r="G1466" i="3"/>
  <c r="G1554" i="3"/>
  <c r="G1555" i="3"/>
  <c r="G1556" i="3"/>
  <c r="G1557" i="3"/>
  <c r="G1436" i="3"/>
  <c r="G1446" i="3"/>
  <c r="G1558" i="3"/>
  <c r="G1559" i="3"/>
  <c r="G1560" i="3"/>
  <c r="G1561" i="3"/>
  <c r="G239" i="3"/>
  <c r="G224" i="3"/>
  <c r="G1420" i="3"/>
  <c r="G1375" i="3"/>
  <c r="G1419" i="3"/>
  <c r="G76" i="3"/>
  <c r="G1562" i="3"/>
  <c r="G1563" i="3"/>
  <c r="G1468" i="3"/>
  <c r="G1469" i="3"/>
  <c r="G1470" i="3"/>
  <c r="G1447" i="3"/>
  <c r="G1564" i="3"/>
  <c r="G1565" i="3"/>
  <c r="G1566" i="3"/>
  <c r="G1407" i="3"/>
  <c r="G1437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438" i="3"/>
  <c r="G1464" i="3"/>
  <c r="G1594" i="3"/>
  <c r="G1595" i="3"/>
  <c r="G1596" i="3"/>
  <c r="G1452" i="3"/>
  <c r="G1597" i="3"/>
  <c r="G1598" i="3"/>
  <c r="G1599" i="3"/>
  <c r="G1600" i="3"/>
  <c r="G1601" i="3"/>
  <c r="G1480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415" i="3"/>
  <c r="G1642" i="3"/>
  <c r="G1643" i="3"/>
  <c r="G1644" i="3"/>
  <c r="G1645" i="3"/>
  <c r="G1454" i="3"/>
  <c r="G1646" i="3"/>
  <c r="G1647" i="3"/>
  <c r="G2410" i="3"/>
  <c r="G1648" i="3"/>
  <c r="G1483" i="3"/>
  <c r="G1542" i="3"/>
  <c r="G1650" i="3"/>
  <c r="G1651" i="3"/>
  <c r="G1652" i="3"/>
  <c r="G1653" i="3"/>
  <c r="G1654" i="3"/>
  <c r="G1655" i="3"/>
  <c r="G1656" i="3"/>
  <c r="G1405" i="3"/>
  <c r="G1657" i="3"/>
  <c r="G1658" i="3"/>
  <c r="G1659" i="3"/>
  <c r="G1660" i="3"/>
  <c r="G1661" i="3"/>
  <c r="G1662" i="3"/>
  <c r="G1370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421" i="3"/>
  <c r="G1484" i="3"/>
  <c r="G1684" i="3"/>
  <c r="G1685" i="3"/>
  <c r="G1686" i="3"/>
  <c r="G1687" i="3"/>
  <c r="G1688" i="3"/>
  <c r="G1689" i="3"/>
  <c r="G1690" i="3"/>
  <c r="G1691" i="3"/>
  <c r="G1692" i="3"/>
  <c r="G1693" i="3"/>
  <c r="G1694" i="3"/>
  <c r="G1496" i="3"/>
  <c r="G1696" i="3"/>
  <c r="G1459" i="3"/>
  <c r="G1426" i="3"/>
  <c r="G1427" i="3"/>
  <c r="G1697" i="3"/>
  <c r="G1698" i="3"/>
  <c r="G1699" i="3"/>
  <c r="G1700" i="3"/>
  <c r="G984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475" i="3"/>
  <c r="G1719" i="3"/>
  <c r="G1465" i="3"/>
  <c r="G1720" i="3"/>
  <c r="G1721" i="3"/>
  <c r="G1722" i="3"/>
  <c r="G1723" i="3"/>
  <c r="G1724" i="3"/>
  <c r="G1725" i="3"/>
  <c r="G1726" i="3"/>
  <c r="G145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398" i="3"/>
  <c r="G1408" i="3"/>
  <c r="G1399" i="3"/>
  <c r="G1739" i="3"/>
  <c r="G1740" i="3"/>
  <c r="G1741" i="3"/>
  <c r="G1742" i="3"/>
  <c r="G1743" i="3"/>
  <c r="G1744" i="3"/>
  <c r="G1467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439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490" i="3"/>
  <c r="G309" i="3"/>
  <c r="G1783" i="3"/>
  <c r="G1784" i="3"/>
  <c r="G1785" i="3"/>
  <c r="G1786" i="3"/>
  <c r="G1787" i="3"/>
  <c r="G1788" i="3"/>
  <c r="G1789" i="3"/>
  <c r="G1440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505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2322" i="3"/>
  <c r="G1890" i="3"/>
  <c r="G1891" i="3"/>
  <c r="G1502" i="3"/>
  <c r="G1507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486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406" i="3"/>
  <c r="G1920" i="3"/>
  <c r="G1487" i="3"/>
  <c r="G1441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403" i="3"/>
  <c r="G1418" i="3"/>
  <c r="G1933" i="3"/>
  <c r="G1461" i="3"/>
  <c r="G1462" i="3"/>
  <c r="G1934" i="3"/>
  <c r="G1935" i="3"/>
  <c r="G1482" i="3"/>
  <c r="G1501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504" i="3"/>
  <c r="G1506" i="3"/>
  <c r="G1422" i="3"/>
  <c r="G1423" i="3"/>
  <c r="G1975" i="3"/>
  <c r="G1976" i="3"/>
  <c r="G1977" i="3"/>
  <c r="G1978" i="3"/>
  <c r="G1979" i="3"/>
  <c r="G1980" i="3"/>
  <c r="G1981" i="3"/>
  <c r="G1982" i="3"/>
  <c r="G1983" i="3"/>
  <c r="G1984" i="3"/>
  <c r="G1985" i="3"/>
  <c r="G1424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1683" i="3"/>
  <c r="G2006" i="3"/>
  <c r="G2007" i="3"/>
  <c r="G2008" i="3"/>
  <c r="G2009" i="3"/>
  <c r="G1409" i="3"/>
  <c r="G1410" i="3"/>
  <c r="G2010" i="3"/>
  <c r="G1411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1400" i="3"/>
  <c r="G1401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1442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1473" i="3"/>
  <c r="G2080" i="3"/>
  <c r="G1416" i="3"/>
  <c r="G2081" i="3"/>
  <c r="G2082" i="3"/>
  <c r="G2083" i="3"/>
  <c r="G1495" i="3"/>
  <c r="G1494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1489" i="3"/>
  <c r="G2131" i="3"/>
  <c r="G2132" i="3"/>
  <c r="G2133" i="3"/>
  <c r="G2134" i="3"/>
  <c r="G2135" i="3"/>
  <c r="G2136" i="3"/>
  <c r="G2137" i="3"/>
  <c r="G2138" i="3"/>
  <c r="G2139" i="3"/>
  <c r="G2140" i="3"/>
  <c r="G1491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1450" i="3"/>
  <c r="G1451" i="3"/>
  <c r="G2176" i="3"/>
  <c r="G2177" i="3"/>
  <c r="G1428" i="3"/>
  <c r="G1429" i="3"/>
  <c r="G1430" i="3"/>
  <c r="G1431" i="3"/>
  <c r="G1432" i="3"/>
  <c r="G1433" i="3"/>
  <c r="G2178" i="3"/>
  <c r="G2179" i="3"/>
  <c r="G2180" i="3"/>
  <c r="G2181" i="3"/>
  <c r="G2182" i="3"/>
  <c r="G2183" i="3"/>
  <c r="G2184" i="3"/>
  <c r="G2185" i="3"/>
  <c r="G2186" i="3"/>
  <c r="G1503" i="3"/>
  <c r="G2187" i="3"/>
  <c r="G2188" i="3"/>
  <c r="G2189" i="3"/>
  <c r="G1485" i="3"/>
  <c r="G2190" i="3"/>
  <c r="G2191" i="3"/>
  <c r="G2192" i="3"/>
  <c r="G2193" i="3"/>
  <c r="G2194" i="3"/>
  <c r="G2195" i="3"/>
  <c r="G2196" i="3"/>
  <c r="G2197" i="3"/>
  <c r="G2198" i="3"/>
  <c r="G1443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1463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1488" i="3"/>
  <c r="G2228" i="3"/>
  <c r="G1492" i="3"/>
  <c r="G2229" i="3"/>
  <c r="G2230" i="3"/>
  <c r="G2231" i="3"/>
  <c r="G2232" i="3"/>
  <c r="G2233" i="3"/>
  <c r="G2234" i="3"/>
  <c r="G2235" i="3"/>
  <c r="G2236" i="3"/>
  <c r="G2237" i="3"/>
  <c r="G2238" i="3"/>
  <c r="G1479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1435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1471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1472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1444" i="3"/>
  <c r="G2293" i="3"/>
  <c r="G2294" i="3"/>
  <c r="G2295" i="3"/>
  <c r="G1445" i="3"/>
  <c r="G2296" i="3"/>
  <c r="G2297" i="3"/>
  <c r="G2298" i="3"/>
  <c r="G2299" i="3"/>
  <c r="G2300" i="3"/>
  <c r="G1402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1425" i="3"/>
  <c r="G2313" i="3"/>
  <c r="G2314" i="3"/>
  <c r="G2315" i="3"/>
  <c r="G1498" i="3"/>
  <c r="G2316" i="3"/>
  <c r="G2317" i="3"/>
  <c r="G2318" i="3"/>
  <c r="G2347" i="3"/>
  <c r="G2319" i="3"/>
  <c r="G2320" i="3"/>
  <c r="G2321" i="3"/>
  <c r="G1649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8" i="3"/>
  <c r="G2342" i="3"/>
  <c r="G2343" i="3"/>
  <c r="G2344" i="3"/>
  <c r="G2345" i="3"/>
  <c r="G2346" i="3"/>
  <c r="G1500" i="3"/>
  <c r="G2349" i="3"/>
  <c r="G1497" i="3"/>
  <c r="G2350" i="3"/>
  <c r="G2351" i="3"/>
  <c r="G2352" i="3"/>
  <c r="G2353" i="3"/>
  <c r="G2354" i="3"/>
  <c r="G1499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55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1458" i="3"/>
  <c r="G2383" i="3"/>
  <c r="G2384" i="3"/>
  <c r="G2385" i="3"/>
  <c r="G2386" i="3"/>
  <c r="G2387" i="3"/>
  <c r="G1404" i="3"/>
  <c r="G2388" i="3"/>
  <c r="G2389" i="3"/>
  <c r="G2390" i="3"/>
  <c r="G2391" i="3"/>
  <c r="G1453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370" i="3"/>
  <c r="G2409" i="3"/>
  <c r="G2411" i="3"/>
  <c r="G2412" i="3"/>
  <c r="G2413" i="3"/>
  <c r="F1392" i="3"/>
  <c r="F1391" i="3"/>
  <c r="F1389" i="3"/>
  <c r="F1390" i="3"/>
  <c r="F1385" i="3"/>
  <c r="F1386" i="3"/>
  <c r="F1387" i="3"/>
  <c r="F1388" i="3"/>
  <c r="F1383" i="3"/>
  <c r="F1384" i="3"/>
  <c r="F1282" i="3"/>
  <c r="F1381" i="3"/>
  <c r="F1380" i="3"/>
  <c r="F1376" i="3"/>
  <c r="F1377" i="3"/>
  <c r="F1378" i="3"/>
  <c r="F1379" i="3"/>
  <c r="F1374" i="3"/>
  <c r="F1434" i="3"/>
  <c r="F1373" i="3"/>
  <c r="F1476" i="3"/>
  <c r="F1371" i="3"/>
  <c r="F1368" i="3"/>
  <c r="F1369" i="3"/>
  <c r="F1477" i="3"/>
  <c r="F1366" i="3"/>
  <c r="F1367" i="3"/>
  <c r="F1365" i="3"/>
  <c r="F1362" i="3"/>
  <c r="F1303" i="3"/>
  <c r="F1363" i="3"/>
  <c r="F1358" i="3"/>
  <c r="F1359" i="3"/>
  <c r="F1360" i="3"/>
  <c r="F1361" i="3"/>
  <c r="F1350" i="3"/>
  <c r="F1351" i="3"/>
  <c r="F1352" i="3"/>
  <c r="F1353" i="3"/>
  <c r="F1354" i="3"/>
  <c r="F1355" i="3"/>
  <c r="F1356" i="3"/>
  <c r="F1251" i="3"/>
  <c r="F1357" i="3"/>
  <c r="F1304" i="3"/>
  <c r="F1305" i="3"/>
  <c r="F178" i="3"/>
  <c r="F179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714" i="3"/>
  <c r="F715" i="3"/>
  <c r="F716" i="3"/>
  <c r="F1334" i="3"/>
  <c r="F1335" i="3"/>
  <c r="F1336" i="3"/>
  <c r="F1337" i="3"/>
  <c r="F1338" i="3"/>
  <c r="F1339" i="3"/>
  <c r="F1340" i="3"/>
  <c r="F1341" i="3"/>
  <c r="F1252" i="3"/>
  <c r="F1342" i="3"/>
  <c r="F1343" i="3"/>
  <c r="F1344" i="3"/>
  <c r="F1345" i="3"/>
  <c r="F1346" i="3"/>
  <c r="F1347" i="3"/>
  <c r="F1348" i="3"/>
  <c r="F1349" i="3"/>
  <c r="F1283" i="3"/>
  <c r="F1280" i="3"/>
  <c r="F1234" i="3"/>
  <c r="F1281" i="3"/>
  <c r="F1269" i="3"/>
  <c r="F1284" i="3"/>
  <c r="F1285" i="3"/>
  <c r="F1256" i="3"/>
  <c r="F1236" i="3"/>
  <c r="F1286" i="3"/>
  <c r="F1272" i="3"/>
  <c r="F1276" i="3"/>
  <c r="F1260" i="3"/>
  <c r="F1287" i="3"/>
  <c r="F1248" i="3"/>
  <c r="F1263" i="3"/>
  <c r="F1279" i="3"/>
  <c r="F1241" i="3"/>
  <c r="F1246" i="3"/>
  <c r="F1288" i="3"/>
  <c r="F1265" i="3"/>
  <c r="F1254" i="3"/>
  <c r="F1261" i="3"/>
  <c r="F1262" i="3"/>
  <c r="F1270" i="3"/>
  <c r="F1289" i="3"/>
  <c r="F1273" i="3"/>
  <c r="F1244" i="3"/>
  <c r="F1290" i="3"/>
  <c r="F1291" i="3"/>
  <c r="F1266" i="3"/>
  <c r="F1292" i="3"/>
  <c r="F1474" i="3"/>
  <c r="F1293" i="3"/>
  <c r="F1271" i="3"/>
  <c r="F1267" i="3"/>
  <c r="F1294" i="3"/>
  <c r="F1295" i="3"/>
  <c r="F1253" i="3"/>
  <c r="F1264" i="3"/>
  <c r="F1296" i="3"/>
  <c r="F1274" i="3"/>
  <c r="F1275" i="3"/>
  <c r="F1257" i="3"/>
  <c r="F1239" i="3"/>
  <c r="F1245" i="3"/>
  <c r="F1237" i="3"/>
  <c r="F1250" i="3"/>
  <c r="F1259" i="3"/>
  <c r="F1297" i="3"/>
  <c r="F1243" i="3"/>
  <c r="F1278" i="3"/>
  <c r="F1240" i="3"/>
  <c r="F1238" i="3"/>
  <c r="F1277" i="3"/>
  <c r="F1242" i="3"/>
  <c r="F1268" i="3"/>
  <c r="F1298" i="3"/>
  <c r="F1299" i="3"/>
  <c r="F1258" i="3"/>
  <c r="F867" i="3"/>
  <c r="F1235" i="3"/>
  <c r="F1247" i="3"/>
  <c r="F1249" i="3"/>
  <c r="F1300" i="3"/>
  <c r="F1255" i="3"/>
  <c r="F930" i="3"/>
  <c r="F1301" i="3"/>
  <c r="F1302" i="3"/>
  <c r="F1214" i="3"/>
  <c r="F1221" i="3"/>
  <c r="F1222" i="3"/>
  <c r="F1223" i="3"/>
  <c r="F1224" i="3"/>
  <c r="F1217" i="3"/>
  <c r="F1225" i="3"/>
  <c r="F1213" i="3"/>
  <c r="F1220" i="3"/>
  <c r="F1215" i="3"/>
  <c r="F1209" i="3"/>
  <c r="F1226" i="3"/>
  <c r="F1227" i="3"/>
  <c r="F1210" i="3"/>
  <c r="F1228" i="3"/>
  <c r="F1229" i="3"/>
  <c r="F1230" i="3"/>
  <c r="F1211" i="3"/>
  <c r="F1212" i="3"/>
  <c r="F1219" i="3"/>
  <c r="F1231" i="3"/>
  <c r="F1232" i="3"/>
  <c r="F1233" i="3"/>
  <c r="F1216" i="3"/>
  <c r="F1218" i="3"/>
  <c r="F1193" i="3"/>
  <c r="F1194" i="3"/>
  <c r="F1184" i="3"/>
  <c r="F1195" i="3"/>
  <c r="F1190" i="3"/>
  <c r="F1196" i="3"/>
  <c r="F1192" i="3"/>
  <c r="F1197" i="3"/>
  <c r="F1198" i="3"/>
  <c r="F1191" i="3"/>
  <c r="F1199" i="3"/>
  <c r="F1180" i="3"/>
  <c r="F1200" i="3"/>
  <c r="F1201" i="3"/>
  <c r="F1181" i="3"/>
  <c r="F1202" i="3"/>
  <c r="F1203" i="3"/>
  <c r="F1204" i="3"/>
  <c r="F1182" i="3"/>
  <c r="F1189" i="3"/>
  <c r="F1205" i="3"/>
  <c r="F1186" i="3"/>
  <c r="F1187" i="3"/>
  <c r="F1185" i="3"/>
  <c r="F1206" i="3"/>
  <c r="F1207" i="3"/>
  <c r="F1183" i="3"/>
  <c r="F1188" i="3"/>
  <c r="F1208" i="3"/>
  <c r="F1157" i="3"/>
  <c r="F1167" i="3"/>
  <c r="F1168" i="3"/>
  <c r="F1155" i="3"/>
  <c r="F1165" i="3"/>
  <c r="F1169" i="3"/>
  <c r="F1170" i="3"/>
  <c r="F1171" i="3"/>
  <c r="F1159" i="3"/>
  <c r="F1412" i="3"/>
  <c r="F1172" i="3"/>
  <c r="F1163" i="3"/>
  <c r="F1173" i="3"/>
  <c r="F1166" i="3"/>
  <c r="F1154" i="3"/>
  <c r="F1158" i="3"/>
  <c r="F1161" i="3"/>
  <c r="F1174" i="3"/>
  <c r="F1175" i="3"/>
  <c r="F1162" i="3"/>
  <c r="F1164" i="3"/>
  <c r="F931" i="3"/>
  <c r="F1176" i="3"/>
  <c r="F1177" i="3"/>
  <c r="F1178" i="3"/>
  <c r="F1179" i="3"/>
  <c r="F1156" i="3"/>
  <c r="F1160" i="3"/>
  <c r="F1137" i="3"/>
  <c r="F1142" i="3"/>
  <c r="F1143" i="3"/>
  <c r="F1121" i="3"/>
  <c r="F1144" i="3"/>
  <c r="F1123" i="3"/>
  <c r="F1136" i="3"/>
  <c r="F1145" i="3"/>
  <c r="F1139" i="3"/>
  <c r="F1146" i="3"/>
  <c r="F1127" i="3"/>
  <c r="F1133" i="3"/>
  <c r="F1140" i="3"/>
  <c r="F1141" i="3"/>
  <c r="F1413" i="3"/>
  <c r="F1135" i="3"/>
  <c r="F1131" i="3"/>
  <c r="F1130" i="3"/>
  <c r="F1124" i="3"/>
  <c r="F1122" i="3"/>
  <c r="F1128" i="3"/>
  <c r="F1126" i="3"/>
  <c r="F954" i="3"/>
  <c r="F1147" i="3"/>
  <c r="F1148" i="3"/>
  <c r="F1149" i="3"/>
  <c r="F1150" i="3"/>
  <c r="F1132" i="3"/>
  <c r="F1134" i="3"/>
  <c r="F1151" i="3"/>
  <c r="F1129" i="3"/>
  <c r="F1152" i="3"/>
  <c r="F1138" i="3"/>
  <c r="F1125" i="3"/>
  <c r="F1153" i="3"/>
  <c r="F1093" i="3"/>
  <c r="F1094" i="3"/>
  <c r="F1095" i="3"/>
  <c r="F1096" i="3"/>
  <c r="F1097" i="3"/>
  <c r="F1098" i="3"/>
  <c r="F1099" i="3"/>
  <c r="F1092" i="3"/>
  <c r="F1100" i="3"/>
  <c r="F1101" i="3"/>
  <c r="F1102" i="3"/>
  <c r="F1103" i="3"/>
  <c r="F1104" i="3"/>
  <c r="F551" i="3"/>
  <c r="F1105" i="3"/>
  <c r="F1106" i="3"/>
  <c r="F1120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072" i="3"/>
  <c r="F1073" i="3"/>
  <c r="F1074" i="3"/>
  <c r="F1075" i="3"/>
  <c r="F1076" i="3"/>
  <c r="F1417" i="3"/>
  <c r="F1077" i="3"/>
  <c r="F1078" i="3"/>
  <c r="F1079" i="3"/>
  <c r="F1080" i="3"/>
  <c r="F68" i="3"/>
  <c r="F1081" i="3"/>
  <c r="F932" i="3"/>
  <c r="F1082" i="3"/>
  <c r="F1083" i="3"/>
  <c r="F1084" i="3"/>
  <c r="F1382" i="3"/>
  <c r="F1085" i="3"/>
  <c r="F445" i="3"/>
  <c r="F1086" i="3"/>
  <c r="F1087" i="3"/>
  <c r="F1088" i="3"/>
  <c r="F1089" i="3"/>
  <c r="F1091" i="3"/>
  <c r="F1090" i="3"/>
  <c r="F1053" i="3"/>
  <c r="F1054" i="3"/>
  <c r="F1364" i="3"/>
  <c r="F1052" i="3"/>
  <c r="F1055" i="3"/>
  <c r="F1056" i="3"/>
  <c r="F1057" i="3"/>
  <c r="F1058" i="3"/>
  <c r="F1059" i="3"/>
  <c r="F1060" i="3"/>
  <c r="F1061" i="3"/>
  <c r="F1062" i="3"/>
  <c r="F1063" i="3"/>
  <c r="F1064" i="3"/>
  <c r="F1065" i="3"/>
  <c r="F1071" i="3"/>
  <c r="F1070" i="3"/>
  <c r="F1066" i="3"/>
  <c r="F1067" i="3"/>
  <c r="F1068" i="3"/>
  <c r="F1069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23" i="3"/>
  <c r="F1024" i="3"/>
  <c r="F1025" i="3"/>
  <c r="F1006" i="3"/>
  <c r="F1007" i="3"/>
  <c r="F1008" i="3"/>
  <c r="F1009" i="3"/>
  <c r="F1010" i="3"/>
  <c r="F1011" i="3"/>
  <c r="F1012" i="3"/>
  <c r="F1013" i="3"/>
  <c r="F1026" i="3"/>
  <c r="F1014" i="3"/>
  <c r="F1015" i="3"/>
  <c r="F1016" i="3"/>
  <c r="F1027" i="3"/>
  <c r="F1017" i="3"/>
  <c r="F1018" i="3"/>
  <c r="F1019" i="3"/>
  <c r="F985" i="3"/>
  <c r="F1028" i="3"/>
  <c r="F1029" i="3"/>
  <c r="F986" i="3"/>
  <c r="F987" i="3"/>
  <c r="F988" i="3"/>
  <c r="F1030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31" i="3"/>
  <c r="F855" i="3"/>
  <c r="F1001" i="3"/>
  <c r="F955" i="3"/>
  <c r="F1032" i="3"/>
  <c r="F956" i="3"/>
  <c r="F1020" i="3"/>
  <c r="F957" i="3"/>
  <c r="F958" i="3"/>
  <c r="F959" i="3"/>
  <c r="F960" i="3"/>
  <c r="F961" i="3"/>
  <c r="F962" i="3"/>
  <c r="F1021" i="3"/>
  <c r="F102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1002" i="3"/>
  <c r="F975" i="3"/>
  <c r="F976" i="3"/>
  <c r="F977" i="3"/>
  <c r="F1481" i="3"/>
  <c r="F1003" i="3"/>
  <c r="F978" i="3"/>
  <c r="F933" i="3"/>
  <c r="F934" i="3"/>
  <c r="F935" i="3"/>
  <c r="F936" i="3"/>
  <c r="F937" i="3"/>
  <c r="F938" i="3"/>
  <c r="F939" i="3"/>
  <c r="F1004" i="3"/>
  <c r="F1005" i="3"/>
  <c r="F940" i="3"/>
  <c r="F941" i="3"/>
  <c r="F942" i="3"/>
  <c r="F943" i="3"/>
  <c r="F944" i="3"/>
  <c r="F979" i="3"/>
  <c r="F945" i="3"/>
  <c r="F946" i="3"/>
  <c r="F947" i="3"/>
  <c r="F948" i="3"/>
  <c r="F949" i="3"/>
  <c r="F950" i="3"/>
  <c r="F951" i="3"/>
  <c r="F953" i="3"/>
  <c r="F952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103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884" i="3"/>
  <c r="F885" i="3"/>
  <c r="F886" i="3"/>
  <c r="F1034" i="3"/>
  <c r="F980" i="3"/>
  <c r="F887" i="3"/>
  <c r="F981" i="3"/>
  <c r="F888" i="3"/>
  <c r="F889" i="3"/>
  <c r="F929" i="3"/>
  <c r="F982" i="3"/>
  <c r="F890" i="3"/>
  <c r="F891" i="3"/>
  <c r="F892" i="3"/>
  <c r="F893" i="3"/>
  <c r="F894" i="3"/>
  <c r="F882" i="3"/>
  <c r="F868" i="3"/>
  <c r="F869" i="3"/>
  <c r="F870" i="3"/>
  <c r="F883" i="3"/>
  <c r="F871" i="3"/>
  <c r="F872" i="3"/>
  <c r="F873" i="3"/>
  <c r="F874" i="3"/>
  <c r="F875" i="3"/>
  <c r="F838" i="3"/>
  <c r="F876" i="3"/>
  <c r="F877" i="3"/>
  <c r="F878" i="3"/>
  <c r="F879" i="3"/>
  <c r="F880" i="3"/>
  <c r="F881" i="3"/>
  <c r="F856" i="3"/>
  <c r="F857" i="3"/>
  <c r="F858" i="3"/>
  <c r="F859" i="3"/>
  <c r="F860" i="3"/>
  <c r="F861" i="3"/>
  <c r="F862" i="3"/>
  <c r="F863" i="3"/>
  <c r="F864" i="3"/>
  <c r="F865" i="3"/>
  <c r="F866" i="3"/>
  <c r="F839" i="3"/>
  <c r="F840" i="3"/>
  <c r="F841" i="3"/>
  <c r="F842" i="3"/>
  <c r="F843" i="3"/>
  <c r="F844" i="3"/>
  <c r="F845" i="3"/>
  <c r="F983" i="3"/>
  <c r="F846" i="3"/>
  <c r="F847" i="3"/>
  <c r="F895" i="3"/>
  <c r="F848" i="3"/>
  <c r="F849" i="3"/>
  <c r="F850" i="3"/>
  <c r="F896" i="3"/>
  <c r="F851" i="3"/>
  <c r="F823" i="3"/>
  <c r="F824" i="3"/>
  <c r="F822" i="3"/>
  <c r="F826" i="3"/>
  <c r="F827" i="3"/>
  <c r="F828" i="3"/>
  <c r="F829" i="3"/>
  <c r="F830" i="3"/>
  <c r="F831" i="3"/>
  <c r="F832" i="3"/>
  <c r="F833" i="3"/>
  <c r="F825" i="3"/>
  <c r="F837" i="3"/>
  <c r="F834" i="3"/>
  <c r="F835" i="3"/>
  <c r="F836" i="3"/>
  <c r="F803" i="3"/>
  <c r="F804" i="3"/>
  <c r="F805" i="3"/>
  <c r="F806" i="3"/>
  <c r="F807" i="3"/>
  <c r="F821" i="3"/>
  <c r="F801" i="3"/>
  <c r="F808" i="3"/>
  <c r="F809" i="3"/>
  <c r="F852" i="3"/>
  <c r="F810" i="3"/>
  <c r="F811" i="3"/>
  <c r="F812" i="3"/>
  <c r="F813" i="3"/>
  <c r="F802" i="3"/>
  <c r="F814" i="3"/>
  <c r="F815" i="3"/>
  <c r="F816" i="3"/>
  <c r="F817" i="3"/>
  <c r="F818" i="3"/>
  <c r="F819" i="3"/>
  <c r="F799" i="3"/>
  <c r="F771" i="3"/>
  <c r="F772" i="3"/>
  <c r="F773" i="3"/>
  <c r="F774" i="3"/>
  <c r="F775" i="3"/>
  <c r="F800" i="3"/>
  <c r="F776" i="3"/>
  <c r="F777" i="3"/>
  <c r="F778" i="3"/>
  <c r="F853" i="3"/>
  <c r="F779" i="3"/>
  <c r="F780" i="3"/>
  <c r="F781" i="3"/>
  <c r="F782" i="3"/>
  <c r="F783" i="3"/>
  <c r="F784" i="3"/>
  <c r="F785" i="3"/>
  <c r="F786" i="3"/>
  <c r="F787" i="3"/>
  <c r="F788" i="3"/>
  <c r="F206" i="3"/>
  <c r="F789" i="3"/>
  <c r="F790" i="3"/>
  <c r="F791" i="3"/>
  <c r="F792" i="3"/>
  <c r="F798" i="3"/>
  <c r="F793" i="3"/>
  <c r="F794" i="3"/>
  <c r="F795" i="3"/>
  <c r="F640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69" i="3"/>
  <c r="F770" i="3"/>
  <c r="F756" i="3"/>
  <c r="F736" i="3"/>
  <c r="F735" i="3"/>
  <c r="F854" i="3"/>
  <c r="F757" i="3"/>
  <c r="F758" i="3"/>
  <c r="F759" i="3"/>
  <c r="F760" i="3"/>
  <c r="F761" i="3"/>
  <c r="F762" i="3"/>
  <c r="F763" i="3"/>
  <c r="F764" i="3"/>
  <c r="F765" i="3"/>
  <c r="F766" i="3"/>
  <c r="F767" i="3"/>
  <c r="F717" i="3"/>
  <c r="F718" i="3"/>
  <c r="F719" i="3"/>
  <c r="F720" i="3"/>
  <c r="F721" i="3"/>
  <c r="F722" i="3"/>
  <c r="F734" i="3"/>
  <c r="F723" i="3"/>
  <c r="F724" i="3"/>
  <c r="F725" i="3"/>
  <c r="F726" i="3"/>
  <c r="F727" i="3"/>
  <c r="F728" i="3"/>
  <c r="F729" i="3"/>
  <c r="F730" i="3"/>
  <c r="F731" i="3"/>
  <c r="F732" i="3"/>
  <c r="F733" i="3"/>
  <c r="F697" i="3"/>
  <c r="F796" i="3"/>
  <c r="F820" i="3"/>
  <c r="F698" i="3"/>
  <c r="F696" i="3"/>
  <c r="F695" i="3"/>
  <c r="F699" i="3"/>
  <c r="F700" i="3"/>
  <c r="F701" i="3"/>
  <c r="F702" i="3"/>
  <c r="F703" i="3"/>
  <c r="F704" i="3"/>
  <c r="F705" i="3"/>
  <c r="F706" i="3"/>
  <c r="F797" i="3"/>
  <c r="F768" i="3"/>
  <c r="F707" i="3"/>
  <c r="F708" i="3"/>
  <c r="F709" i="3"/>
  <c r="F710" i="3"/>
  <c r="F641" i="3"/>
  <c r="F642" i="3"/>
  <c r="F643" i="3"/>
  <c r="F644" i="3"/>
  <c r="F645" i="3"/>
  <c r="F646" i="3"/>
  <c r="F647" i="3"/>
  <c r="F711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94" i="3"/>
  <c r="F685" i="3"/>
  <c r="F686" i="3"/>
  <c r="F687" i="3"/>
  <c r="F688" i="3"/>
  <c r="F689" i="3"/>
  <c r="F690" i="3"/>
  <c r="F691" i="3"/>
  <c r="F608" i="3"/>
  <c r="F609" i="3"/>
  <c r="F610" i="3"/>
  <c r="F611" i="3"/>
  <c r="F612" i="3"/>
  <c r="F613" i="3"/>
  <c r="F638" i="3"/>
  <c r="F614" i="3"/>
  <c r="F615" i="3"/>
  <c r="F616" i="3"/>
  <c r="F1490" i="3"/>
  <c r="F617" i="3"/>
  <c r="F639" i="3"/>
  <c r="F618" i="3"/>
  <c r="F619" i="3"/>
  <c r="F620" i="3"/>
  <c r="F621" i="3"/>
  <c r="F622" i="3"/>
  <c r="F623" i="3"/>
  <c r="F607" i="3"/>
  <c r="F624" i="3"/>
  <c r="F625" i="3"/>
  <c r="F626" i="3"/>
  <c r="F712" i="3"/>
  <c r="F627" i="3"/>
  <c r="F628" i="3"/>
  <c r="F629" i="3"/>
  <c r="F637" i="3"/>
  <c r="F630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52" i="3"/>
  <c r="F553" i="3"/>
  <c r="F554" i="3"/>
  <c r="F479" i="3"/>
  <c r="F564" i="3"/>
  <c r="F555" i="3"/>
  <c r="F556" i="3"/>
  <c r="F557" i="3"/>
  <c r="F558" i="3"/>
  <c r="F559" i="3"/>
  <c r="F560" i="3"/>
  <c r="F561" i="3"/>
  <c r="F562" i="3"/>
  <c r="F563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713" i="3"/>
  <c r="F692" i="3"/>
  <c r="F550" i="3"/>
  <c r="F543" i="3"/>
  <c r="F544" i="3"/>
  <c r="F545" i="3"/>
  <c r="F546" i="3"/>
  <c r="F547" i="3"/>
  <c r="F512" i="3"/>
  <c r="F526" i="3"/>
  <c r="F513" i="3"/>
  <c r="F525" i="3"/>
  <c r="F514" i="3"/>
  <c r="F515" i="3"/>
  <c r="F516" i="3"/>
  <c r="F548" i="3"/>
  <c r="F517" i="3"/>
  <c r="F518" i="3"/>
  <c r="F519" i="3"/>
  <c r="F520" i="3"/>
  <c r="F521" i="3"/>
  <c r="F522" i="3"/>
  <c r="F523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49" i="3"/>
  <c r="F491" i="3"/>
  <c r="F492" i="3"/>
  <c r="F493" i="3"/>
  <c r="F480" i="3"/>
  <c r="F481" i="3"/>
  <c r="F482" i="3"/>
  <c r="F377" i="3"/>
  <c r="F483" i="3"/>
  <c r="F484" i="3"/>
  <c r="F478" i="3"/>
  <c r="F485" i="3"/>
  <c r="F486" i="3"/>
  <c r="F487" i="3"/>
  <c r="F488" i="3"/>
  <c r="F1372" i="3"/>
  <c r="F489" i="3"/>
  <c r="F460" i="3"/>
  <c r="F524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7" i="3"/>
  <c r="F475" i="3"/>
  <c r="F447" i="3"/>
  <c r="F448" i="3"/>
  <c r="F449" i="3"/>
  <c r="F450" i="3"/>
  <c r="F451" i="3"/>
  <c r="F446" i="3"/>
  <c r="F452" i="3"/>
  <c r="F453" i="3"/>
  <c r="F454" i="3"/>
  <c r="F455" i="3"/>
  <c r="F494" i="3"/>
  <c r="F456" i="3"/>
  <c r="F457" i="3"/>
  <c r="F458" i="3"/>
  <c r="F459" i="3"/>
  <c r="F439" i="3"/>
  <c r="F440" i="3"/>
  <c r="F441" i="3"/>
  <c r="F442" i="3"/>
  <c r="F443" i="3"/>
  <c r="F444" i="3"/>
  <c r="F426" i="3"/>
  <c r="F427" i="3"/>
  <c r="F428" i="3"/>
  <c r="F429" i="3"/>
  <c r="F430" i="3"/>
  <c r="F431" i="3"/>
  <c r="F432" i="3"/>
  <c r="F433" i="3"/>
  <c r="F434" i="3"/>
  <c r="F43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76" i="3"/>
  <c r="F415" i="3"/>
  <c r="F416" i="3"/>
  <c r="F436" i="3"/>
  <c r="F437" i="3"/>
  <c r="F417" i="3"/>
  <c r="F418" i="3"/>
  <c r="F419" i="3"/>
  <c r="F420" i="3"/>
  <c r="F421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69" i="3"/>
  <c r="F370" i="3"/>
  <c r="F310" i="3"/>
  <c r="F422" i="3"/>
  <c r="F376" i="3"/>
  <c r="F371" i="3"/>
  <c r="F372" i="3"/>
  <c r="F352" i="3"/>
  <c r="F353" i="3"/>
  <c r="F354" i="3"/>
  <c r="F355" i="3"/>
  <c r="F373" i="3"/>
  <c r="F356" i="3"/>
  <c r="F357" i="3"/>
  <c r="F344" i="3"/>
  <c r="F345" i="3"/>
  <c r="F346" i="3"/>
  <c r="F347" i="3"/>
  <c r="F334" i="3"/>
  <c r="F335" i="3"/>
  <c r="F336" i="3"/>
  <c r="F337" i="3"/>
  <c r="F338" i="3"/>
  <c r="F339" i="3"/>
  <c r="F340" i="3"/>
  <c r="F341" i="3"/>
  <c r="F326" i="3"/>
  <c r="F327" i="3"/>
  <c r="F329" i="3"/>
  <c r="F330" i="3"/>
  <c r="F328" i="3"/>
  <c r="F331" i="3"/>
  <c r="F358" i="3"/>
  <c r="F276" i="3"/>
  <c r="F277" i="3"/>
  <c r="F278" i="3"/>
  <c r="F279" i="3"/>
  <c r="F280" i="3"/>
  <c r="F281" i="3"/>
  <c r="F282" i="3"/>
  <c r="F283" i="3"/>
  <c r="F284" i="3"/>
  <c r="F254" i="3"/>
  <c r="F285" i="3"/>
  <c r="F286" i="3"/>
  <c r="F287" i="3"/>
  <c r="F288" i="3"/>
  <c r="F289" i="3"/>
  <c r="F290" i="3"/>
  <c r="F291" i="3"/>
  <c r="F292" i="3"/>
  <c r="F293" i="3"/>
  <c r="F438" i="3"/>
  <c r="F294" i="3"/>
  <c r="F295" i="3"/>
  <c r="F255" i="3"/>
  <c r="F256" i="3"/>
  <c r="F374" i="3"/>
  <c r="F257" i="3"/>
  <c r="F258" i="3"/>
  <c r="F296" i="3"/>
  <c r="F359" i="3"/>
  <c r="F348" i="3"/>
  <c r="F259" i="3"/>
  <c r="F240" i="3"/>
  <c r="F260" i="3"/>
  <c r="F241" i="3"/>
  <c r="F242" i="3"/>
  <c r="F243" i="3"/>
  <c r="F244" i="3"/>
  <c r="F261" i="3"/>
  <c r="F262" i="3"/>
  <c r="F263" i="3"/>
  <c r="F264" i="3"/>
  <c r="F265" i="3"/>
  <c r="F360" i="3"/>
  <c r="F361" i="3"/>
  <c r="F362" i="3"/>
  <c r="F363" i="3"/>
  <c r="F245" i="3"/>
  <c r="F364" i="3"/>
  <c r="F266" i="3"/>
  <c r="F267" i="3"/>
  <c r="F268" i="3"/>
  <c r="F269" i="3"/>
  <c r="F246" i="3"/>
  <c r="F247" i="3"/>
  <c r="F225" i="3"/>
  <c r="F248" i="3"/>
  <c r="F365" i="3"/>
  <c r="F249" i="3"/>
  <c r="F226" i="3"/>
  <c r="F423" i="3"/>
  <c r="F227" i="3"/>
  <c r="F228" i="3"/>
  <c r="F229" i="3"/>
  <c r="F230" i="3"/>
  <c r="F231" i="3"/>
  <c r="F366" i="3"/>
  <c r="F232" i="3"/>
  <c r="F208" i="3"/>
  <c r="F209" i="3"/>
  <c r="F233" i="3"/>
  <c r="F210" i="3"/>
  <c r="F234" i="3"/>
  <c r="F211" i="3"/>
  <c r="F181" i="3"/>
  <c r="F250" i="3"/>
  <c r="F212" i="3"/>
  <c r="F213" i="3"/>
  <c r="F182" i="3"/>
  <c r="F183" i="3"/>
  <c r="F214" i="3"/>
  <c r="F184" i="3"/>
  <c r="F185" i="3"/>
  <c r="F186" i="3"/>
  <c r="F187" i="3"/>
  <c r="F188" i="3"/>
  <c r="F180" i="3"/>
  <c r="F235" i="3"/>
  <c r="F236" i="3"/>
  <c r="F189" i="3"/>
  <c r="F172" i="3"/>
  <c r="F204" i="3"/>
  <c r="F173" i="3"/>
  <c r="F174" i="3"/>
  <c r="F190" i="3"/>
  <c r="F251" i="3"/>
  <c r="F237" i="3"/>
  <c r="F165" i="3"/>
  <c r="F150" i="3"/>
  <c r="F151" i="3"/>
  <c r="F152" i="3"/>
  <c r="F153" i="3"/>
  <c r="F154" i="3"/>
  <c r="F155" i="3"/>
  <c r="F156" i="3"/>
  <c r="F137" i="3"/>
  <c r="F367" i="3"/>
  <c r="F138" i="3"/>
  <c r="F139" i="3"/>
  <c r="F140" i="3"/>
  <c r="F141" i="3"/>
  <c r="F129" i="3"/>
  <c r="F130" i="3"/>
  <c r="F131" i="3"/>
  <c r="F132" i="3"/>
  <c r="F127" i="3"/>
  <c r="F128" i="3"/>
  <c r="F121" i="3"/>
  <c r="F122" i="3"/>
  <c r="F123" i="3"/>
  <c r="F124" i="3"/>
  <c r="F114" i="3"/>
  <c r="F115" i="3"/>
  <c r="F116" i="3"/>
  <c r="F117" i="3"/>
  <c r="F118" i="3"/>
  <c r="F119" i="3"/>
  <c r="F88" i="3"/>
  <c r="F89" i="3"/>
  <c r="F90" i="3"/>
  <c r="F91" i="3"/>
  <c r="F113" i="3"/>
  <c r="F77" i="3"/>
  <c r="F55" i="3"/>
  <c r="F28" i="3"/>
  <c r="F29" i="3"/>
  <c r="F30" i="3"/>
  <c r="F31" i="3"/>
  <c r="F2" i="3"/>
  <c r="F3" i="3"/>
  <c r="F693" i="3"/>
  <c r="F631" i="3"/>
  <c r="F632" i="3"/>
  <c r="F633" i="3"/>
  <c r="F634" i="3"/>
  <c r="F605" i="3"/>
  <c r="F606" i="3"/>
  <c r="F588" i="3"/>
  <c r="F589" i="3"/>
  <c r="F375" i="3"/>
  <c r="F297" i="3"/>
  <c r="F311" i="3"/>
  <c r="F312" i="3"/>
  <c r="F313" i="3"/>
  <c r="F314" i="3"/>
  <c r="F315" i="3"/>
  <c r="F316" i="3"/>
  <c r="F317" i="3"/>
  <c r="F318" i="3"/>
  <c r="F319" i="3"/>
  <c r="F320" i="3"/>
  <c r="F325" i="3"/>
  <c r="F321" i="3"/>
  <c r="F322" i="3"/>
  <c r="F424" i="3"/>
  <c r="F215" i="3"/>
  <c r="F425" i="3"/>
  <c r="F395" i="3"/>
  <c r="F166" i="3"/>
  <c r="F144" i="3"/>
  <c r="F133" i="3"/>
  <c r="F368" i="3"/>
  <c r="F349" i="3"/>
  <c r="F350" i="3"/>
  <c r="F351" i="3"/>
  <c r="F342" i="3"/>
  <c r="F343" i="3"/>
  <c r="F332" i="3"/>
  <c r="F333" i="3"/>
  <c r="F323" i="3"/>
  <c r="F298" i="3"/>
  <c r="F299" i="3"/>
  <c r="F32" i="3"/>
  <c r="F300" i="3"/>
  <c r="F635" i="3"/>
  <c r="F301" i="3"/>
  <c r="F92" i="3"/>
  <c r="F302" i="3"/>
  <c r="F303" i="3"/>
  <c r="F304" i="3"/>
  <c r="F270" i="3"/>
  <c r="F305" i="3"/>
  <c r="F271" i="3"/>
  <c r="F306" i="3"/>
  <c r="F307" i="3"/>
  <c r="F272" i="3"/>
  <c r="F273" i="3"/>
  <c r="F274" i="3"/>
  <c r="F275" i="3"/>
  <c r="F252" i="3"/>
  <c r="F253" i="3"/>
  <c r="F238" i="3"/>
  <c r="F61" i="3"/>
  <c r="F216" i="3"/>
  <c r="F217" i="3"/>
  <c r="F207" i="3"/>
  <c r="F218" i="3"/>
  <c r="F219" i="3"/>
  <c r="F220" i="3"/>
  <c r="F191" i="3"/>
  <c r="F192" i="3"/>
  <c r="F193" i="3"/>
  <c r="F194" i="3"/>
  <c r="F195" i="3"/>
  <c r="F196" i="3"/>
  <c r="F197" i="3"/>
  <c r="F175" i="3"/>
  <c r="F176" i="3"/>
  <c r="F167" i="3"/>
  <c r="F62" i="3"/>
  <c r="F168" i="3"/>
  <c r="F163" i="3"/>
  <c r="F169" i="3"/>
  <c r="F170" i="3"/>
  <c r="F157" i="3"/>
  <c r="F158" i="3"/>
  <c r="F159" i="3"/>
  <c r="F145" i="3"/>
  <c r="F146" i="3"/>
  <c r="F147" i="3"/>
  <c r="F148" i="3"/>
  <c r="F897" i="3"/>
  <c r="F142" i="3"/>
  <c r="F134" i="3"/>
  <c r="F898" i="3"/>
  <c r="F120" i="3"/>
  <c r="F93" i="3"/>
  <c r="F94" i="3"/>
  <c r="F95" i="3"/>
  <c r="F96" i="3"/>
  <c r="F1035" i="3"/>
  <c r="F97" i="3"/>
  <c r="F98" i="3"/>
  <c r="F99" i="3"/>
  <c r="F100" i="3"/>
  <c r="F69" i="3"/>
  <c r="F101" i="3"/>
  <c r="F102" i="3"/>
  <c r="F103" i="3"/>
  <c r="F63" i="3"/>
  <c r="F64" i="3"/>
  <c r="F104" i="3"/>
  <c r="F78" i="3"/>
  <c r="F79" i="3"/>
  <c r="F65" i="3"/>
  <c r="F80" i="3"/>
  <c r="F81" i="3"/>
  <c r="F82" i="3"/>
  <c r="F83" i="3"/>
  <c r="F84" i="3"/>
  <c r="F70" i="3"/>
  <c r="F71" i="3"/>
  <c r="F1036" i="3"/>
  <c r="F636" i="3"/>
  <c r="F56" i="3"/>
  <c r="F66" i="3"/>
  <c r="F324" i="3"/>
  <c r="F57" i="3"/>
  <c r="F67" i="3"/>
  <c r="F58" i="3"/>
  <c r="F59" i="3"/>
  <c r="F60" i="3"/>
  <c r="F33" i="3"/>
  <c r="F27" i="3"/>
  <c r="F6" i="3"/>
  <c r="F7" i="3"/>
  <c r="F8" i="3"/>
  <c r="F9" i="3"/>
  <c r="F10" i="3"/>
  <c r="F105" i="3"/>
  <c r="F72" i="3"/>
  <c r="F73" i="3"/>
  <c r="F74" i="3"/>
  <c r="F34" i="3"/>
  <c r="F11" i="3"/>
  <c r="F35" i="3"/>
  <c r="F36" i="3"/>
  <c r="F37" i="3"/>
  <c r="F38" i="3"/>
  <c r="F39" i="3"/>
  <c r="F40" i="3"/>
  <c r="F41" i="3"/>
  <c r="F42" i="3"/>
  <c r="F53" i="3"/>
  <c r="F43" i="3"/>
  <c r="F44" i="3"/>
  <c r="F45" i="3"/>
  <c r="F54" i="3"/>
  <c r="F46" i="3"/>
  <c r="F47" i="3"/>
  <c r="F48" i="3"/>
  <c r="F49" i="3"/>
  <c r="F50" i="3"/>
  <c r="F5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4" i="3"/>
  <c r="F25" i="3"/>
  <c r="F5" i="3"/>
  <c r="F221" i="3"/>
  <c r="F222" i="3"/>
  <c r="F223" i="3"/>
  <c r="F198" i="3"/>
  <c r="F199" i="3"/>
  <c r="F200" i="3"/>
  <c r="F201" i="3"/>
  <c r="F75" i="3"/>
  <c r="F202" i="3"/>
  <c r="F85" i="3"/>
  <c r="F203" i="3"/>
  <c r="F160" i="3"/>
  <c r="F205" i="3"/>
  <c r="F177" i="3"/>
  <c r="F171" i="3"/>
  <c r="F164" i="3"/>
  <c r="F161" i="3"/>
  <c r="F162" i="3"/>
  <c r="F149" i="3"/>
  <c r="F135" i="3"/>
  <c r="F136" i="3"/>
  <c r="F125" i="3"/>
  <c r="F126" i="3"/>
  <c r="F106" i="3"/>
  <c r="F107" i="3"/>
  <c r="F108" i="3"/>
  <c r="F109" i="3"/>
  <c r="F110" i="3"/>
  <c r="F111" i="3"/>
  <c r="F112" i="3"/>
  <c r="F87" i="3"/>
  <c r="F86" i="3"/>
  <c r="F308" i="3"/>
  <c r="F52" i="3"/>
  <c r="F26" i="3"/>
  <c r="F1508" i="3"/>
  <c r="F1394" i="3"/>
  <c r="F1395" i="3"/>
  <c r="F1396" i="3"/>
  <c r="F1397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43" i="3"/>
  <c r="F1522" i="3"/>
  <c r="F1523" i="3"/>
  <c r="F1460" i="3"/>
  <c r="F1524" i="3"/>
  <c r="F1525" i="3"/>
  <c r="F1526" i="3"/>
  <c r="F1527" i="3"/>
  <c r="F1528" i="3"/>
  <c r="F1478" i="3"/>
  <c r="F1530" i="3"/>
  <c r="F1531" i="3"/>
  <c r="F1532" i="3"/>
  <c r="F1533" i="3"/>
  <c r="F1534" i="3"/>
  <c r="F1535" i="3"/>
  <c r="F1536" i="3"/>
  <c r="F1537" i="3"/>
  <c r="F1538" i="3"/>
  <c r="F1493" i="3"/>
  <c r="F1539" i="3"/>
  <c r="F1414" i="3"/>
  <c r="F1540" i="3"/>
  <c r="F1541" i="3"/>
  <c r="F1455" i="3"/>
  <c r="F1695" i="3"/>
  <c r="F1529" i="3"/>
  <c r="F1543" i="3"/>
  <c r="F1457" i="3"/>
  <c r="F1448" i="3"/>
  <c r="F1449" i="3"/>
  <c r="F1544" i="3"/>
  <c r="F1545" i="3"/>
  <c r="F1546" i="3"/>
  <c r="F1547" i="3"/>
  <c r="F1548" i="3"/>
  <c r="F1549" i="3"/>
  <c r="F1550" i="3"/>
  <c r="F1551" i="3"/>
  <c r="F1552" i="3"/>
  <c r="F1553" i="3"/>
  <c r="F1466" i="3"/>
  <c r="F1554" i="3"/>
  <c r="F1555" i="3"/>
  <c r="F1556" i="3"/>
  <c r="F1557" i="3"/>
  <c r="F1436" i="3"/>
  <c r="F1446" i="3"/>
  <c r="F1558" i="3"/>
  <c r="F1559" i="3"/>
  <c r="F1560" i="3"/>
  <c r="F1561" i="3"/>
  <c r="F239" i="3"/>
  <c r="F224" i="3"/>
  <c r="F1420" i="3"/>
  <c r="F1375" i="3"/>
  <c r="F1419" i="3"/>
  <c r="F76" i="3"/>
  <c r="F1562" i="3"/>
  <c r="F1563" i="3"/>
  <c r="F1468" i="3"/>
  <c r="F1469" i="3"/>
  <c r="F1470" i="3"/>
  <c r="F1447" i="3"/>
  <c r="F1564" i="3"/>
  <c r="F1565" i="3"/>
  <c r="F1566" i="3"/>
  <c r="F1407" i="3"/>
  <c r="F1437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438" i="3"/>
  <c r="F1464" i="3"/>
  <c r="F1594" i="3"/>
  <c r="F1595" i="3"/>
  <c r="F1596" i="3"/>
  <c r="F1452" i="3"/>
  <c r="F1597" i="3"/>
  <c r="F1598" i="3"/>
  <c r="F1599" i="3"/>
  <c r="F1600" i="3"/>
  <c r="F1601" i="3"/>
  <c r="F1480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415" i="3"/>
  <c r="F1642" i="3"/>
  <c r="F1643" i="3"/>
  <c r="F1644" i="3"/>
  <c r="F1645" i="3"/>
  <c r="F1454" i="3"/>
  <c r="F1646" i="3"/>
  <c r="F1647" i="3"/>
  <c r="F2410" i="3"/>
  <c r="F1648" i="3"/>
  <c r="F1483" i="3"/>
  <c r="F1542" i="3"/>
  <c r="F1650" i="3"/>
  <c r="F1651" i="3"/>
  <c r="F1652" i="3"/>
  <c r="F1653" i="3"/>
  <c r="F1654" i="3"/>
  <c r="F1655" i="3"/>
  <c r="F1656" i="3"/>
  <c r="F1405" i="3"/>
  <c r="F1657" i="3"/>
  <c r="F1658" i="3"/>
  <c r="F1659" i="3"/>
  <c r="F1660" i="3"/>
  <c r="F1661" i="3"/>
  <c r="F1662" i="3"/>
  <c r="F1370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421" i="3"/>
  <c r="F1484" i="3"/>
  <c r="F1684" i="3"/>
  <c r="F1685" i="3"/>
  <c r="F1686" i="3"/>
  <c r="F1687" i="3"/>
  <c r="F1688" i="3"/>
  <c r="F1689" i="3"/>
  <c r="F1690" i="3"/>
  <c r="F1691" i="3"/>
  <c r="F1692" i="3"/>
  <c r="F1693" i="3"/>
  <c r="F1694" i="3"/>
  <c r="F1496" i="3"/>
  <c r="F1696" i="3"/>
  <c r="F1459" i="3"/>
  <c r="F1426" i="3"/>
  <c r="F1427" i="3"/>
  <c r="F1697" i="3"/>
  <c r="F1698" i="3"/>
  <c r="F1699" i="3"/>
  <c r="F1700" i="3"/>
  <c r="F984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475" i="3"/>
  <c r="F1719" i="3"/>
  <c r="F1465" i="3"/>
  <c r="F1720" i="3"/>
  <c r="F1721" i="3"/>
  <c r="F1722" i="3"/>
  <c r="F1723" i="3"/>
  <c r="F1724" i="3"/>
  <c r="F1725" i="3"/>
  <c r="F1726" i="3"/>
  <c r="F145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398" i="3"/>
  <c r="F1408" i="3"/>
  <c r="F1399" i="3"/>
  <c r="F1739" i="3"/>
  <c r="F1740" i="3"/>
  <c r="F1741" i="3"/>
  <c r="F1742" i="3"/>
  <c r="F1743" i="3"/>
  <c r="F1744" i="3"/>
  <c r="F1467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439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490" i="3"/>
  <c r="F309" i="3"/>
  <c r="F1783" i="3"/>
  <c r="F1784" i="3"/>
  <c r="F1785" i="3"/>
  <c r="F1786" i="3"/>
  <c r="F1787" i="3"/>
  <c r="F1788" i="3"/>
  <c r="F1789" i="3"/>
  <c r="F1440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505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2322" i="3"/>
  <c r="F1890" i="3"/>
  <c r="F1891" i="3"/>
  <c r="F1502" i="3"/>
  <c r="F1507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486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406" i="3"/>
  <c r="F1920" i="3"/>
  <c r="F1487" i="3"/>
  <c r="F1441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403" i="3"/>
  <c r="F1418" i="3"/>
  <c r="F1933" i="3"/>
  <c r="F1461" i="3"/>
  <c r="F1462" i="3"/>
  <c r="F1934" i="3"/>
  <c r="F1935" i="3"/>
  <c r="F1482" i="3"/>
  <c r="F1501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504" i="3"/>
  <c r="F1506" i="3"/>
  <c r="F1422" i="3"/>
  <c r="F1423" i="3"/>
  <c r="F1975" i="3"/>
  <c r="F1976" i="3"/>
  <c r="F1977" i="3"/>
  <c r="F1978" i="3"/>
  <c r="F1979" i="3"/>
  <c r="F1980" i="3"/>
  <c r="F1981" i="3"/>
  <c r="F1982" i="3"/>
  <c r="F1983" i="3"/>
  <c r="F1984" i="3"/>
  <c r="F1985" i="3"/>
  <c r="F1424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1683" i="3"/>
  <c r="F2006" i="3"/>
  <c r="F2007" i="3"/>
  <c r="F2008" i="3"/>
  <c r="F2009" i="3"/>
  <c r="F1409" i="3"/>
  <c r="F1410" i="3"/>
  <c r="F2010" i="3"/>
  <c r="F1411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1400" i="3"/>
  <c r="F1401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1442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1473" i="3"/>
  <c r="F2080" i="3"/>
  <c r="F1416" i="3"/>
  <c r="F2081" i="3"/>
  <c r="F2082" i="3"/>
  <c r="F2083" i="3"/>
  <c r="F1495" i="3"/>
  <c r="F1494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1489" i="3"/>
  <c r="F2131" i="3"/>
  <c r="F2132" i="3"/>
  <c r="F2133" i="3"/>
  <c r="F2134" i="3"/>
  <c r="F2135" i="3"/>
  <c r="F2136" i="3"/>
  <c r="F2137" i="3"/>
  <c r="F2138" i="3"/>
  <c r="F2139" i="3"/>
  <c r="F2140" i="3"/>
  <c r="F1491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1450" i="3"/>
  <c r="F1451" i="3"/>
  <c r="F2176" i="3"/>
  <c r="F2177" i="3"/>
  <c r="F1428" i="3"/>
  <c r="F1429" i="3"/>
  <c r="F1430" i="3"/>
  <c r="F1431" i="3"/>
  <c r="F1432" i="3"/>
  <c r="F1433" i="3"/>
  <c r="F2178" i="3"/>
  <c r="F2179" i="3"/>
  <c r="F2180" i="3"/>
  <c r="F2181" i="3"/>
  <c r="F2182" i="3"/>
  <c r="F2183" i="3"/>
  <c r="F2184" i="3"/>
  <c r="F2185" i="3"/>
  <c r="F2186" i="3"/>
  <c r="F1503" i="3"/>
  <c r="F2187" i="3"/>
  <c r="F2188" i="3"/>
  <c r="F2189" i="3"/>
  <c r="F1485" i="3"/>
  <c r="F2190" i="3"/>
  <c r="F2191" i="3"/>
  <c r="F2192" i="3"/>
  <c r="F2193" i="3"/>
  <c r="F2194" i="3"/>
  <c r="F2195" i="3"/>
  <c r="F2196" i="3"/>
  <c r="F2197" i="3"/>
  <c r="F2198" i="3"/>
  <c r="F1443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1463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1488" i="3"/>
  <c r="F2228" i="3"/>
  <c r="F1492" i="3"/>
  <c r="F2229" i="3"/>
  <c r="F2230" i="3"/>
  <c r="F2231" i="3"/>
  <c r="F2232" i="3"/>
  <c r="F2233" i="3"/>
  <c r="F2234" i="3"/>
  <c r="F2235" i="3"/>
  <c r="F2236" i="3"/>
  <c r="F2237" i="3"/>
  <c r="F2238" i="3"/>
  <c r="F1479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1435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1471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1472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1444" i="3"/>
  <c r="F2293" i="3"/>
  <c r="F2294" i="3"/>
  <c r="F2295" i="3"/>
  <c r="F1445" i="3"/>
  <c r="F2296" i="3"/>
  <c r="F2297" i="3"/>
  <c r="F2298" i="3"/>
  <c r="F2299" i="3"/>
  <c r="F2300" i="3"/>
  <c r="F1402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1425" i="3"/>
  <c r="F2313" i="3"/>
  <c r="F2314" i="3"/>
  <c r="F2315" i="3"/>
  <c r="F1498" i="3"/>
  <c r="F2316" i="3"/>
  <c r="F2317" i="3"/>
  <c r="F2318" i="3"/>
  <c r="F2347" i="3"/>
  <c r="F2319" i="3"/>
  <c r="F2320" i="3"/>
  <c r="F2321" i="3"/>
  <c r="F1649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8" i="3"/>
  <c r="F2342" i="3"/>
  <c r="F2343" i="3"/>
  <c r="F2344" i="3"/>
  <c r="F2345" i="3"/>
  <c r="F2346" i="3"/>
  <c r="F1500" i="3"/>
  <c r="F2349" i="3"/>
  <c r="F1497" i="3"/>
  <c r="F2350" i="3"/>
  <c r="F2351" i="3"/>
  <c r="F2352" i="3"/>
  <c r="F2353" i="3"/>
  <c r="F2354" i="3"/>
  <c r="F1499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55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1458" i="3"/>
  <c r="F2383" i="3"/>
  <c r="F2384" i="3"/>
  <c r="F2385" i="3"/>
  <c r="F2386" i="3"/>
  <c r="F2387" i="3"/>
  <c r="F1404" i="3"/>
  <c r="F2388" i="3"/>
  <c r="F2389" i="3"/>
  <c r="F2390" i="3"/>
  <c r="F2391" i="3"/>
  <c r="F1453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370" i="3"/>
  <c r="F2409" i="3"/>
  <c r="F2411" i="3"/>
  <c r="F2412" i="3"/>
  <c r="F2413" i="3"/>
  <c r="F1393" i="3"/>
  <c r="I1392" i="3" l="1"/>
  <c r="I1391" i="3"/>
  <c r="I1389" i="3"/>
  <c r="I1390" i="3"/>
  <c r="I1385" i="3"/>
  <c r="I1386" i="3"/>
  <c r="I1387" i="3"/>
  <c r="I1388" i="3"/>
  <c r="I1383" i="3"/>
  <c r="I1384" i="3"/>
  <c r="I1235" i="3"/>
  <c r="I1381" i="3"/>
  <c r="I1380" i="3"/>
  <c r="I1376" i="3"/>
  <c r="I1377" i="3"/>
  <c r="I1378" i="3"/>
  <c r="I1379" i="3"/>
  <c r="I1374" i="3"/>
  <c r="I1434" i="3"/>
  <c r="I1373" i="3"/>
  <c r="I1476" i="3"/>
  <c r="I1371" i="3"/>
  <c r="I1368" i="3"/>
  <c r="I1369" i="3"/>
  <c r="I1477" i="3"/>
  <c r="I1366" i="3"/>
  <c r="I1367" i="3"/>
  <c r="I1365" i="3"/>
  <c r="I1362" i="3"/>
  <c r="I1303" i="3"/>
  <c r="I1363" i="3"/>
  <c r="I1358" i="3"/>
  <c r="I1359" i="3"/>
  <c r="I1360" i="3"/>
  <c r="I1361" i="3"/>
  <c r="I1350" i="3"/>
  <c r="I1351" i="3"/>
  <c r="I1352" i="3"/>
  <c r="I1353" i="3"/>
  <c r="I1354" i="3"/>
  <c r="I1355" i="3"/>
  <c r="I1356" i="3"/>
  <c r="I1051" i="3"/>
  <c r="I1357" i="3"/>
  <c r="I1304" i="3"/>
  <c r="I1305" i="3"/>
  <c r="I178" i="3"/>
  <c r="I179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714" i="3"/>
  <c r="I715" i="3"/>
  <c r="I716" i="3"/>
  <c r="I1334" i="3"/>
  <c r="I1335" i="3"/>
  <c r="I1336" i="3"/>
  <c r="I1337" i="3"/>
  <c r="I1338" i="3"/>
  <c r="I1339" i="3"/>
  <c r="I1340" i="3"/>
  <c r="I1341" i="3"/>
  <c r="I1131" i="3"/>
  <c r="I1342" i="3"/>
  <c r="I1343" i="3"/>
  <c r="I1344" i="3"/>
  <c r="I1345" i="3"/>
  <c r="I1346" i="3"/>
  <c r="I1347" i="3"/>
  <c r="I1348" i="3"/>
  <c r="I1349" i="3"/>
  <c r="I1282" i="3"/>
  <c r="I1251" i="3"/>
  <c r="I1252" i="3"/>
  <c r="I1283" i="3"/>
  <c r="I1280" i="3"/>
  <c r="I1234" i="3"/>
  <c r="I1281" i="3"/>
  <c r="I1269" i="3"/>
  <c r="I1284" i="3"/>
  <c r="I1285" i="3"/>
  <c r="I1256" i="3"/>
  <c r="I1236" i="3"/>
  <c r="I1286" i="3"/>
  <c r="I1272" i="3"/>
  <c r="I1276" i="3"/>
  <c r="I1260" i="3"/>
  <c r="I1287" i="3"/>
  <c r="I1248" i="3"/>
  <c r="I1263" i="3"/>
  <c r="I1279" i="3"/>
  <c r="I1241" i="3"/>
  <c r="I1246" i="3"/>
  <c r="I1288" i="3"/>
  <c r="I1265" i="3"/>
  <c r="I1254" i="3"/>
  <c r="I1261" i="3"/>
  <c r="I1262" i="3"/>
  <c r="I1270" i="3"/>
  <c r="I1289" i="3"/>
  <c r="I1273" i="3"/>
  <c r="I1244" i="3"/>
  <c r="I1130" i="3"/>
  <c r="I1474" i="3"/>
  <c r="I1266" i="3"/>
  <c r="I1292" i="3"/>
  <c r="I1293" i="3"/>
  <c r="I1271" i="3"/>
  <c r="I1267" i="3"/>
  <c r="I1294" i="3"/>
  <c r="I1295" i="3"/>
  <c r="I1253" i="3"/>
  <c r="I1264" i="3"/>
  <c r="I1296" i="3"/>
  <c r="I1243" i="3"/>
  <c r="I1274" i="3"/>
  <c r="I1257" i="3"/>
  <c r="I1239" i="3"/>
  <c r="I1245" i="3"/>
  <c r="I1237" i="3"/>
  <c r="I1250" i="3"/>
  <c r="I1259" i="3"/>
  <c r="I1297" i="3"/>
  <c r="I1278" i="3"/>
  <c r="I1240" i="3"/>
  <c r="I1238" i="3"/>
  <c r="I1299" i="3"/>
  <c r="I1277" i="3"/>
  <c r="I1242" i="3"/>
  <c r="I1247" i="3"/>
  <c r="I1249" i="3"/>
  <c r="I867" i="3"/>
  <c r="I1258" i="3"/>
  <c r="I1108" i="3"/>
  <c r="I1300" i="3"/>
  <c r="I1255" i="3"/>
  <c r="I1154" i="3"/>
  <c r="I930" i="3"/>
  <c r="I1301" i="3"/>
  <c r="I1302" i="3"/>
  <c r="I1214" i="3"/>
  <c r="I1221" i="3"/>
  <c r="I1222" i="3"/>
  <c r="I1223" i="3"/>
  <c r="I1224" i="3"/>
  <c r="I1217" i="3"/>
  <c r="I1225" i="3"/>
  <c r="I1213" i="3"/>
  <c r="I1220" i="3"/>
  <c r="I1215" i="3"/>
  <c r="I1209" i="3"/>
  <c r="I1226" i="3"/>
  <c r="I1227" i="3"/>
  <c r="I1210" i="3"/>
  <c r="I1228" i="3"/>
  <c r="I1229" i="3"/>
  <c r="I1230" i="3"/>
  <c r="I1211" i="3"/>
  <c r="I1212" i="3"/>
  <c r="I1219" i="3"/>
  <c r="I1231" i="3"/>
  <c r="I1232" i="3"/>
  <c r="I1233" i="3"/>
  <c r="I1216" i="3"/>
  <c r="I1218" i="3"/>
  <c r="I1193" i="3"/>
  <c r="I1194" i="3"/>
  <c r="I1184" i="3"/>
  <c r="I1195" i="3"/>
  <c r="I1190" i="3"/>
  <c r="I1196" i="3"/>
  <c r="I1192" i="3"/>
  <c r="I1197" i="3"/>
  <c r="I1198" i="3"/>
  <c r="I1191" i="3"/>
  <c r="I1199" i="3"/>
  <c r="I1180" i="3"/>
  <c r="I1200" i="3"/>
  <c r="I1201" i="3"/>
  <c r="I1181" i="3"/>
  <c r="I1202" i="3"/>
  <c r="I1203" i="3"/>
  <c r="I1204" i="3"/>
  <c r="I1182" i="3"/>
  <c r="I1189" i="3"/>
  <c r="I1205" i="3"/>
  <c r="I1186" i="3"/>
  <c r="I1187" i="3"/>
  <c r="I1185" i="3"/>
  <c r="I1206" i="3"/>
  <c r="I1207" i="3"/>
  <c r="I1183" i="3"/>
  <c r="I1188" i="3"/>
  <c r="I1208" i="3"/>
  <c r="I1157" i="3"/>
  <c r="I1167" i="3"/>
  <c r="I1168" i="3"/>
  <c r="I1155" i="3"/>
  <c r="I1165" i="3"/>
  <c r="I1169" i="3"/>
  <c r="I1170" i="3"/>
  <c r="I1171" i="3"/>
  <c r="I1159" i="3"/>
  <c r="I1412" i="3"/>
  <c r="I1163" i="3"/>
  <c r="I1173" i="3"/>
  <c r="I1166" i="3"/>
  <c r="I1077" i="3"/>
  <c r="I1158" i="3"/>
  <c r="I1161" i="3"/>
  <c r="I1174" i="3"/>
  <c r="I1175" i="3"/>
  <c r="I1162" i="3"/>
  <c r="I1164" i="3"/>
  <c r="I1176" i="3"/>
  <c r="I931" i="3"/>
  <c r="I1178" i="3"/>
  <c r="I1179" i="3"/>
  <c r="I1156" i="3"/>
  <c r="I1160" i="3"/>
  <c r="I1137" i="3"/>
  <c r="I1142" i="3"/>
  <c r="I1143" i="3"/>
  <c r="I1121" i="3"/>
  <c r="I1144" i="3"/>
  <c r="I1123" i="3"/>
  <c r="I1136" i="3"/>
  <c r="I1145" i="3"/>
  <c r="I1139" i="3"/>
  <c r="I1146" i="3"/>
  <c r="I1127" i="3"/>
  <c r="I1133" i="3"/>
  <c r="I1140" i="3"/>
  <c r="I1141" i="3"/>
  <c r="I1135" i="3"/>
  <c r="I1089" i="3"/>
  <c r="I1413" i="3"/>
  <c r="I1124" i="3"/>
  <c r="I1122" i="3"/>
  <c r="I1128" i="3"/>
  <c r="I1126" i="3"/>
  <c r="I1147" i="3"/>
  <c r="I1148" i="3"/>
  <c r="I1149" i="3"/>
  <c r="I954" i="3"/>
  <c r="I1132" i="3"/>
  <c r="I1134" i="3"/>
  <c r="I1151" i="3"/>
  <c r="I1129" i="3"/>
  <c r="I1152" i="3"/>
  <c r="I1138" i="3"/>
  <c r="I1125" i="3"/>
  <c r="I1153" i="3"/>
  <c r="I1061" i="3"/>
  <c r="I1094" i="3"/>
  <c r="I1095" i="3"/>
  <c r="I1096" i="3"/>
  <c r="I1097" i="3"/>
  <c r="I1098" i="3"/>
  <c r="I1099" i="3"/>
  <c r="I1092" i="3"/>
  <c r="I1100" i="3"/>
  <c r="I1101" i="3"/>
  <c r="I1102" i="3"/>
  <c r="I1103" i="3"/>
  <c r="I1104" i="3"/>
  <c r="I1105" i="3"/>
  <c r="I1106" i="3"/>
  <c r="I1120" i="3"/>
  <c r="I1107" i="3"/>
  <c r="I551" i="3"/>
  <c r="I1109" i="3"/>
  <c r="I1110" i="3"/>
  <c r="I1111" i="3"/>
  <c r="I1112" i="3"/>
  <c r="I1113" i="3"/>
  <c r="I1114" i="3"/>
  <c r="I1115" i="3"/>
  <c r="I1116" i="3"/>
  <c r="I1117" i="3"/>
  <c r="I1118" i="3"/>
  <c r="I1268" i="3"/>
  <c r="I1072" i="3"/>
  <c r="I1073" i="3"/>
  <c r="I1074" i="3"/>
  <c r="I1075" i="3"/>
  <c r="I1076" i="3"/>
  <c r="I1275" i="3"/>
  <c r="I1078" i="3"/>
  <c r="I1079" i="3"/>
  <c r="I1080" i="3"/>
  <c r="I1081" i="3"/>
  <c r="I1417" i="3"/>
  <c r="I1083" i="3"/>
  <c r="I1084" i="3"/>
  <c r="I1085" i="3"/>
  <c r="I1086" i="3"/>
  <c r="I68" i="3"/>
  <c r="I1088" i="3"/>
  <c r="I932" i="3"/>
  <c r="I1091" i="3"/>
  <c r="I1090" i="3"/>
  <c r="I1053" i="3"/>
  <c r="I1382" i="3"/>
  <c r="I1052" i="3"/>
  <c r="I445" i="3"/>
  <c r="I1056" i="3"/>
  <c r="I1057" i="3"/>
  <c r="I1058" i="3"/>
  <c r="I1059" i="3"/>
  <c r="I1060" i="3"/>
  <c r="I1119" i="3"/>
  <c r="I1062" i="3"/>
  <c r="I1063" i="3"/>
  <c r="I1364" i="3"/>
  <c r="I1065" i="3"/>
  <c r="I1071" i="3"/>
  <c r="I1070" i="3"/>
  <c r="I1066" i="3"/>
  <c r="I1067" i="3"/>
  <c r="I1068" i="3"/>
  <c r="I1069" i="3"/>
  <c r="I1037" i="3"/>
  <c r="I1038" i="3"/>
  <c r="I1039" i="3"/>
  <c r="I1040" i="3"/>
  <c r="I1290" i="3"/>
  <c r="I1042" i="3"/>
  <c r="I1043" i="3"/>
  <c r="I1044" i="3"/>
  <c r="I1291" i="3"/>
  <c r="I1046" i="3"/>
  <c r="I1047" i="3"/>
  <c r="I1048" i="3"/>
  <c r="I1049" i="3"/>
  <c r="I1050" i="3"/>
  <c r="I1023" i="3"/>
  <c r="I1024" i="3"/>
  <c r="I1025" i="3"/>
  <c r="I1026" i="3"/>
  <c r="I1027" i="3"/>
  <c r="I1028" i="3"/>
  <c r="I1029" i="3"/>
  <c r="I1030" i="3"/>
  <c r="I1031" i="3"/>
  <c r="I1032" i="3"/>
  <c r="I1033" i="3"/>
  <c r="I1172" i="3"/>
  <c r="I1035" i="3"/>
  <c r="I1036" i="3"/>
  <c r="I1177" i="3"/>
  <c r="I1006" i="3"/>
  <c r="I1007" i="3"/>
  <c r="I1008" i="3"/>
  <c r="I1009" i="3"/>
  <c r="I1010" i="3"/>
  <c r="I1011" i="3"/>
  <c r="I1012" i="3"/>
  <c r="I1013" i="3"/>
  <c r="I1150" i="3"/>
  <c r="I1014" i="3"/>
  <c r="I1015" i="3"/>
  <c r="I1016" i="3"/>
  <c r="I1082" i="3"/>
  <c r="I1017" i="3"/>
  <c r="I1018" i="3"/>
  <c r="I1019" i="3"/>
  <c r="I985" i="3"/>
  <c r="I1087" i="3"/>
  <c r="I1054" i="3"/>
  <c r="I986" i="3"/>
  <c r="I987" i="3"/>
  <c r="I988" i="3"/>
  <c r="I1055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34" i="3"/>
  <c r="I855" i="3"/>
  <c r="I1001" i="3"/>
  <c r="I955" i="3"/>
  <c r="I1298" i="3"/>
  <c r="I956" i="3"/>
  <c r="I1020" i="3"/>
  <c r="I957" i="3"/>
  <c r="I958" i="3"/>
  <c r="I959" i="3"/>
  <c r="I960" i="3"/>
  <c r="I961" i="3"/>
  <c r="I962" i="3"/>
  <c r="I1021" i="3"/>
  <c r="I102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1002" i="3"/>
  <c r="I975" i="3"/>
  <c r="I976" i="3"/>
  <c r="I977" i="3"/>
  <c r="I1481" i="3"/>
  <c r="I1003" i="3"/>
  <c r="I978" i="3"/>
  <c r="I933" i="3"/>
  <c r="I934" i="3"/>
  <c r="I935" i="3"/>
  <c r="I936" i="3"/>
  <c r="I937" i="3"/>
  <c r="I938" i="3"/>
  <c r="I939" i="3"/>
  <c r="I1004" i="3"/>
  <c r="I1005" i="3"/>
  <c r="I940" i="3"/>
  <c r="I941" i="3"/>
  <c r="I942" i="3"/>
  <c r="I943" i="3"/>
  <c r="I944" i="3"/>
  <c r="I979" i="3"/>
  <c r="I945" i="3"/>
  <c r="I946" i="3"/>
  <c r="I947" i="3"/>
  <c r="I948" i="3"/>
  <c r="I949" i="3"/>
  <c r="I950" i="3"/>
  <c r="I951" i="3"/>
  <c r="I953" i="3"/>
  <c r="I952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109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884" i="3"/>
  <c r="I885" i="3"/>
  <c r="I886" i="3"/>
  <c r="I1045" i="3"/>
  <c r="I980" i="3"/>
  <c r="I887" i="3"/>
  <c r="I981" i="3"/>
  <c r="I888" i="3"/>
  <c r="I889" i="3"/>
  <c r="I929" i="3"/>
  <c r="I982" i="3"/>
  <c r="I890" i="3"/>
  <c r="I891" i="3"/>
  <c r="I892" i="3"/>
  <c r="I893" i="3"/>
  <c r="I894" i="3"/>
  <c r="I882" i="3"/>
  <c r="I868" i="3"/>
  <c r="I869" i="3"/>
  <c r="I870" i="3"/>
  <c r="I883" i="3"/>
  <c r="I871" i="3"/>
  <c r="I872" i="3"/>
  <c r="I873" i="3"/>
  <c r="I874" i="3"/>
  <c r="I875" i="3"/>
  <c r="I838" i="3"/>
  <c r="I876" i="3"/>
  <c r="I877" i="3"/>
  <c r="I878" i="3"/>
  <c r="I879" i="3"/>
  <c r="I880" i="3"/>
  <c r="I881" i="3"/>
  <c r="I856" i="3"/>
  <c r="I857" i="3"/>
  <c r="I858" i="3"/>
  <c r="I859" i="3"/>
  <c r="I860" i="3"/>
  <c r="I861" i="3"/>
  <c r="I862" i="3"/>
  <c r="I863" i="3"/>
  <c r="I864" i="3"/>
  <c r="I865" i="3"/>
  <c r="I866" i="3"/>
  <c r="I839" i="3"/>
  <c r="I840" i="3"/>
  <c r="I841" i="3"/>
  <c r="I842" i="3"/>
  <c r="I843" i="3"/>
  <c r="I844" i="3"/>
  <c r="I845" i="3"/>
  <c r="I983" i="3"/>
  <c r="I846" i="3"/>
  <c r="I847" i="3"/>
  <c r="I895" i="3"/>
  <c r="I848" i="3"/>
  <c r="I849" i="3"/>
  <c r="I850" i="3"/>
  <c r="I896" i="3"/>
  <c r="I851" i="3"/>
  <c r="I823" i="3"/>
  <c r="I824" i="3"/>
  <c r="I822" i="3"/>
  <c r="I826" i="3"/>
  <c r="I827" i="3"/>
  <c r="I828" i="3"/>
  <c r="I829" i="3"/>
  <c r="I830" i="3"/>
  <c r="I831" i="3"/>
  <c r="I832" i="3"/>
  <c r="I833" i="3"/>
  <c r="I825" i="3"/>
  <c r="I837" i="3"/>
  <c r="I834" i="3"/>
  <c r="I835" i="3"/>
  <c r="I836" i="3"/>
  <c r="I803" i="3"/>
  <c r="I804" i="3"/>
  <c r="I805" i="3"/>
  <c r="I806" i="3"/>
  <c r="I807" i="3"/>
  <c r="I821" i="3"/>
  <c r="I801" i="3"/>
  <c r="I808" i="3"/>
  <c r="I809" i="3"/>
  <c r="I852" i="3"/>
  <c r="I810" i="3"/>
  <c r="I811" i="3"/>
  <c r="I812" i="3"/>
  <c r="I813" i="3"/>
  <c r="I802" i="3"/>
  <c r="I814" i="3"/>
  <c r="I815" i="3"/>
  <c r="I816" i="3"/>
  <c r="I817" i="3"/>
  <c r="I818" i="3"/>
  <c r="I819" i="3"/>
  <c r="I799" i="3"/>
  <c r="I771" i="3"/>
  <c r="I772" i="3"/>
  <c r="I773" i="3"/>
  <c r="I774" i="3"/>
  <c r="I775" i="3"/>
  <c r="I800" i="3"/>
  <c r="I776" i="3"/>
  <c r="I777" i="3"/>
  <c r="I778" i="3"/>
  <c r="I853" i="3"/>
  <c r="I779" i="3"/>
  <c r="I780" i="3"/>
  <c r="I781" i="3"/>
  <c r="I782" i="3"/>
  <c r="I783" i="3"/>
  <c r="I784" i="3"/>
  <c r="I785" i="3"/>
  <c r="I786" i="3"/>
  <c r="I787" i="3"/>
  <c r="I788" i="3"/>
  <c r="I206" i="3"/>
  <c r="I789" i="3"/>
  <c r="I790" i="3"/>
  <c r="I791" i="3"/>
  <c r="I792" i="3"/>
  <c r="I798" i="3"/>
  <c r="I793" i="3"/>
  <c r="I794" i="3"/>
  <c r="I795" i="3"/>
  <c r="I640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69" i="3"/>
  <c r="I770" i="3"/>
  <c r="I756" i="3"/>
  <c r="I736" i="3"/>
  <c r="I735" i="3"/>
  <c r="I854" i="3"/>
  <c r="I757" i="3"/>
  <c r="I758" i="3"/>
  <c r="I759" i="3"/>
  <c r="I760" i="3"/>
  <c r="I761" i="3"/>
  <c r="I762" i="3"/>
  <c r="I763" i="3"/>
  <c r="I764" i="3"/>
  <c r="I765" i="3"/>
  <c r="I766" i="3"/>
  <c r="I767" i="3"/>
  <c r="I717" i="3"/>
  <c r="I718" i="3"/>
  <c r="I719" i="3"/>
  <c r="I720" i="3"/>
  <c r="I721" i="3"/>
  <c r="I722" i="3"/>
  <c r="I734" i="3"/>
  <c r="I723" i="3"/>
  <c r="I724" i="3"/>
  <c r="I725" i="3"/>
  <c r="I726" i="3"/>
  <c r="I727" i="3"/>
  <c r="I728" i="3"/>
  <c r="I729" i="3"/>
  <c r="I730" i="3"/>
  <c r="I731" i="3"/>
  <c r="I732" i="3"/>
  <c r="I733" i="3"/>
  <c r="I697" i="3"/>
  <c r="I796" i="3"/>
  <c r="I820" i="3"/>
  <c r="I698" i="3"/>
  <c r="I696" i="3"/>
  <c r="I695" i="3"/>
  <c r="I699" i="3"/>
  <c r="I700" i="3"/>
  <c r="I701" i="3"/>
  <c r="I702" i="3"/>
  <c r="I703" i="3"/>
  <c r="I704" i="3"/>
  <c r="I705" i="3"/>
  <c r="I706" i="3"/>
  <c r="I797" i="3"/>
  <c r="I768" i="3"/>
  <c r="I707" i="3"/>
  <c r="I708" i="3"/>
  <c r="I709" i="3"/>
  <c r="I710" i="3"/>
  <c r="I641" i="3"/>
  <c r="I642" i="3"/>
  <c r="I643" i="3"/>
  <c r="I644" i="3"/>
  <c r="I645" i="3"/>
  <c r="I646" i="3"/>
  <c r="I647" i="3"/>
  <c r="I711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94" i="3"/>
  <c r="I685" i="3"/>
  <c r="I686" i="3"/>
  <c r="I687" i="3"/>
  <c r="I688" i="3"/>
  <c r="I689" i="3"/>
  <c r="I690" i="3"/>
  <c r="I691" i="3"/>
  <c r="I608" i="3"/>
  <c r="I609" i="3"/>
  <c r="I610" i="3"/>
  <c r="I611" i="3"/>
  <c r="I612" i="3"/>
  <c r="I613" i="3"/>
  <c r="I638" i="3"/>
  <c r="I614" i="3"/>
  <c r="I615" i="3"/>
  <c r="I616" i="3"/>
  <c r="I1490" i="3"/>
  <c r="I617" i="3"/>
  <c r="I639" i="3"/>
  <c r="I618" i="3"/>
  <c r="I619" i="3"/>
  <c r="I620" i="3"/>
  <c r="I621" i="3"/>
  <c r="I622" i="3"/>
  <c r="I623" i="3"/>
  <c r="I607" i="3"/>
  <c r="I624" i="3"/>
  <c r="I625" i="3"/>
  <c r="I626" i="3"/>
  <c r="I712" i="3"/>
  <c r="I627" i="3"/>
  <c r="I628" i="3"/>
  <c r="I629" i="3"/>
  <c r="I637" i="3"/>
  <c r="I630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52" i="3"/>
  <c r="I553" i="3"/>
  <c r="I554" i="3"/>
  <c r="I479" i="3"/>
  <c r="I564" i="3"/>
  <c r="I555" i="3"/>
  <c r="I556" i="3"/>
  <c r="I557" i="3"/>
  <c r="I558" i="3"/>
  <c r="I559" i="3"/>
  <c r="I560" i="3"/>
  <c r="I561" i="3"/>
  <c r="I562" i="3"/>
  <c r="I563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713" i="3"/>
  <c r="I692" i="3"/>
  <c r="I550" i="3"/>
  <c r="I543" i="3"/>
  <c r="I544" i="3"/>
  <c r="I545" i="3"/>
  <c r="I546" i="3"/>
  <c r="I547" i="3"/>
  <c r="I512" i="3"/>
  <c r="I526" i="3"/>
  <c r="I513" i="3"/>
  <c r="I525" i="3"/>
  <c r="I514" i="3"/>
  <c r="I515" i="3"/>
  <c r="I516" i="3"/>
  <c r="I548" i="3"/>
  <c r="I517" i="3"/>
  <c r="I518" i="3"/>
  <c r="I519" i="3"/>
  <c r="I520" i="3"/>
  <c r="I521" i="3"/>
  <c r="I522" i="3"/>
  <c r="I523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49" i="3"/>
  <c r="I491" i="3"/>
  <c r="I492" i="3"/>
  <c r="I493" i="3"/>
  <c r="I480" i="3"/>
  <c r="I481" i="3"/>
  <c r="I482" i="3"/>
  <c r="I377" i="3"/>
  <c r="I483" i="3"/>
  <c r="I484" i="3"/>
  <c r="I478" i="3"/>
  <c r="I485" i="3"/>
  <c r="I486" i="3"/>
  <c r="I487" i="3"/>
  <c r="I488" i="3"/>
  <c r="I1372" i="3"/>
  <c r="I489" i="3"/>
  <c r="I460" i="3"/>
  <c r="I524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7" i="3"/>
  <c r="I475" i="3"/>
  <c r="I447" i="3"/>
  <c r="I448" i="3"/>
  <c r="I449" i="3"/>
  <c r="I450" i="3"/>
  <c r="I451" i="3"/>
  <c r="I446" i="3"/>
  <c r="I452" i="3"/>
  <c r="I453" i="3"/>
  <c r="I454" i="3"/>
  <c r="I455" i="3"/>
  <c r="I494" i="3"/>
  <c r="I456" i="3"/>
  <c r="I457" i="3"/>
  <c r="I458" i="3"/>
  <c r="I459" i="3"/>
  <c r="I439" i="3"/>
  <c r="I440" i="3"/>
  <c r="I441" i="3"/>
  <c r="I442" i="3"/>
  <c r="I443" i="3"/>
  <c r="I444" i="3"/>
  <c r="I426" i="3"/>
  <c r="I427" i="3"/>
  <c r="I428" i="3"/>
  <c r="I429" i="3"/>
  <c r="I430" i="3"/>
  <c r="I431" i="3"/>
  <c r="I432" i="3"/>
  <c r="I433" i="3"/>
  <c r="I434" i="3"/>
  <c r="I43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76" i="3"/>
  <c r="I415" i="3"/>
  <c r="I416" i="3"/>
  <c r="I436" i="3"/>
  <c r="I437" i="3"/>
  <c r="I417" i="3"/>
  <c r="I418" i="3"/>
  <c r="I419" i="3"/>
  <c r="I420" i="3"/>
  <c r="I421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69" i="3"/>
  <c r="I370" i="3"/>
  <c r="I310" i="3"/>
  <c r="I422" i="3"/>
  <c r="I376" i="3"/>
  <c r="I371" i="3"/>
  <c r="I372" i="3"/>
  <c r="I352" i="3"/>
  <c r="I353" i="3"/>
  <c r="I354" i="3"/>
  <c r="I355" i="3"/>
  <c r="I373" i="3"/>
  <c r="I356" i="3"/>
  <c r="I357" i="3"/>
  <c r="I344" i="3"/>
  <c r="I345" i="3"/>
  <c r="I346" i="3"/>
  <c r="I347" i="3"/>
  <c r="I334" i="3"/>
  <c r="I335" i="3"/>
  <c r="I336" i="3"/>
  <c r="I337" i="3"/>
  <c r="I338" i="3"/>
  <c r="I339" i="3"/>
  <c r="I340" i="3"/>
  <c r="I341" i="3"/>
  <c r="I326" i="3"/>
  <c r="I327" i="3"/>
  <c r="I329" i="3"/>
  <c r="I330" i="3"/>
  <c r="I328" i="3"/>
  <c r="I331" i="3"/>
  <c r="I358" i="3"/>
  <c r="I276" i="3"/>
  <c r="I277" i="3"/>
  <c r="I278" i="3"/>
  <c r="I279" i="3"/>
  <c r="I280" i="3"/>
  <c r="I281" i="3"/>
  <c r="I282" i="3"/>
  <c r="I283" i="3"/>
  <c r="I284" i="3"/>
  <c r="I254" i="3"/>
  <c r="I285" i="3"/>
  <c r="I286" i="3"/>
  <c r="I287" i="3"/>
  <c r="I288" i="3"/>
  <c r="I289" i="3"/>
  <c r="I290" i="3"/>
  <c r="I291" i="3"/>
  <c r="I292" i="3"/>
  <c r="I293" i="3"/>
  <c r="I438" i="3"/>
  <c r="I294" i="3"/>
  <c r="I295" i="3"/>
  <c r="I255" i="3"/>
  <c r="I256" i="3"/>
  <c r="I374" i="3"/>
  <c r="I257" i="3"/>
  <c r="I258" i="3"/>
  <c r="I296" i="3"/>
  <c r="I359" i="3"/>
  <c r="I348" i="3"/>
  <c r="I259" i="3"/>
  <c r="I240" i="3"/>
  <c r="I260" i="3"/>
  <c r="I241" i="3"/>
  <c r="I242" i="3"/>
  <c r="I243" i="3"/>
  <c r="I244" i="3"/>
  <c r="I261" i="3"/>
  <c r="I262" i="3"/>
  <c r="I263" i="3"/>
  <c r="I264" i="3"/>
  <c r="I265" i="3"/>
  <c r="I360" i="3"/>
  <c r="I361" i="3"/>
  <c r="I362" i="3"/>
  <c r="I363" i="3"/>
  <c r="I245" i="3"/>
  <c r="I364" i="3"/>
  <c r="I266" i="3"/>
  <c r="I267" i="3"/>
  <c r="I268" i="3"/>
  <c r="I269" i="3"/>
  <c r="I246" i="3"/>
  <c r="I247" i="3"/>
  <c r="I225" i="3"/>
  <c r="I248" i="3"/>
  <c r="I365" i="3"/>
  <c r="I249" i="3"/>
  <c r="I226" i="3"/>
  <c r="I423" i="3"/>
  <c r="I227" i="3"/>
  <c r="I228" i="3"/>
  <c r="I229" i="3"/>
  <c r="I230" i="3"/>
  <c r="I231" i="3"/>
  <c r="I366" i="3"/>
  <c r="I232" i="3"/>
  <c r="I208" i="3"/>
  <c r="I209" i="3"/>
  <c r="I233" i="3"/>
  <c r="I210" i="3"/>
  <c r="I234" i="3"/>
  <c r="I211" i="3"/>
  <c r="I181" i="3"/>
  <c r="I250" i="3"/>
  <c r="I212" i="3"/>
  <c r="I213" i="3"/>
  <c r="I182" i="3"/>
  <c r="I183" i="3"/>
  <c r="I214" i="3"/>
  <c r="I184" i="3"/>
  <c r="I185" i="3"/>
  <c r="I186" i="3"/>
  <c r="I187" i="3"/>
  <c r="I188" i="3"/>
  <c r="I180" i="3"/>
  <c r="I235" i="3"/>
  <c r="I236" i="3"/>
  <c r="I189" i="3"/>
  <c r="I172" i="3"/>
  <c r="I204" i="3"/>
  <c r="I173" i="3"/>
  <c r="I174" i="3"/>
  <c r="I190" i="3"/>
  <c r="I251" i="3"/>
  <c r="I237" i="3"/>
  <c r="I165" i="3"/>
  <c r="I150" i="3"/>
  <c r="I151" i="3"/>
  <c r="I152" i="3"/>
  <c r="I153" i="3"/>
  <c r="I154" i="3"/>
  <c r="I155" i="3"/>
  <c r="I156" i="3"/>
  <c r="I137" i="3"/>
  <c r="I367" i="3"/>
  <c r="I138" i="3"/>
  <c r="I139" i="3"/>
  <c r="I140" i="3"/>
  <c r="I141" i="3"/>
  <c r="I129" i="3"/>
  <c r="I130" i="3"/>
  <c r="I131" i="3"/>
  <c r="I132" i="3"/>
  <c r="I127" i="3"/>
  <c r="I128" i="3"/>
  <c r="I121" i="3"/>
  <c r="I122" i="3"/>
  <c r="I123" i="3"/>
  <c r="I124" i="3"/>
  <c r="I114" i="3"/>
  <c r="I115" i="3"/>
  <c r="I116" i="3"/>
  <c r="I117" i="3"/>
  <c r="I118" i="3"/>
  <c r="I119" i="3"/>
  <c r="I88" i="3"/>
  <c r="I89" i="3"/>
  <c r="I90" i="3"/>
  <c r="I91" i="3"/>
  <c r="I113" i="3"/>
  <c r="I77" i="3"/>
  <c r="I55" i="3"/>
  <c r="I28" i="3"/>
  <c r="I29" i="3"/>
  <c r="I30" i="3"/>
  <c r="I31" i="3"/>
  <c r="I2" i="3"/>
  <c r="I3" i="3"/>
  <c r="I693" i="3"/>
  <c r="I631" i="3"/>
  <c r="I632" i="3"/>
  <c r="I633" i="3"/>
  <c r="I634" i="3"/>
  <c r="I605" i="3"/>
  <c r="I606" i="3"/>
  <c r="I588" i="3"/>
  <c r="I589" i="3"/>
  <c r="I375" i="3"/>
  <c r="I297" i="3"/>
  <c r="I311" i="3"/>
  <c r="I312" i="3"/>
  <c r="I313" i="3"/>
  <c r="I314" i="3"/>
  <c r="I315" i="3"/>
  <c r="I316" i="3"/>
  <c r="I317" i="3"/>
  <c r="I318" i="3"/>
  <c r="I319" i="3"/>
  <c r="I320" i="3"/>
  <c r="I325" i="3"/>
  <c r="I321" i="3"/>
  <c r="I322" i="3"/>
  <c r="I424" i="3"/>
  <c r="I215" i="3"/>
  <c r="I425" i="3"/>
  <c r="I395" i="3"/>
  <c r="I166" i="3"/>
  <c r="I144" i="3"/>
  <c r="I133" i="3"/>
  <c r="I368" i="3"/>
  <c r="I349" i="3"/>
  <c r="I350" i="3"/>
  <c r="I351" i="3"/>
  <c r="I342" i="3"/>
  <c r="I343" i="3"/>
  <c r="I332" i="3"/>
  <c r="I333" i="3"/>
  <c r="I323" i="3"/>
  <c r="I298" i="3"/>
  <c r="I299" i="3"/>
  <c r="I32" i="3"/>
  <c r="I300" i="3"/>
  <c r="I635" i="3"/>
  <c r="I301" i="3"/>
  <c r="I92" i="3"/>
  <c r="I302" i="3"/>
  <c r="I303" i="3"/>
  <c r="I304" i="3"/>
  <c r="I270" i="3"/>
  <c r="I305" i="3"/>
  <c r="I271" i="3"/>
  <c r="I306" i="3"/>
  <c r="I307" i="3"/>
  <c r="I272" i="3"/>
  <c r="I273" i="3"/>
  <c r="I274" i="3"/>
  <c r="I275" i="3"/>
  <c r="I252" i="3"/>
  <c r="I253" i="3"/>
  <c r="I238" i="3"/>
  <c r="I61" i="3"/>
  <c r="I216" i="3"/>
  <c r="I217" i="3"/>
  <c r="I207" i="3"/>
  <c r="I218" i="3"/>
  <c r="I219" i="3"/>
  <c r="I220" i="3"/>
  <c r="I191" i="3"/>
  <c r="I192" i="3"/>
  <c r="I193" i="3"/>
  <c r="I194" i="3"/>
  <c r="I195" i="3"/>
  <c r="I196" i="3"/>
  <c r="I197" i="3"/>
  <c r="I175" i="3"/>
  <c r="I176" i="3"/>
  <c r="I167" i="3"/>
  <c r="I62" i="3"/>
  <c r="I168" i="3"/>
  <c r="I163" i="3"/>
  <c r="I169" i="3"/>
  <c r="I170" i="3"/>
  <c r="I157" i="3"/>
  <c r="I158" i="3"/>
  <c r="I159" i="3"/>
  <c r="I145" i="3"/>
  <c r="I146" i="3"/>
  <c r="I147" i="3"/>
  <c r="I148" i="3"/>
  <c r="I897" i="3"/>
  <c r="I142" i="3"/>
  <c r="I134" i="3"/>
  <c r="I898" i="3"/>
  <c r="I120" i="3"/>
  <c r="I93" i="3"/>
  <c r="I94" i="3"/>
  <c r="I95" i="3"/>
  <c r="I96" i="3"/>
  <c r="I1064" i="3"/>
  <c r="I97" i="3"/>
  <c r="I98" i="3"/>
  <c r="I99" i="3"/>
  <c r="I100" i="3"/>
  <c r="I69" i="3"/>
  <c r="I101" i="3"/>
  <c r="I102" i="3"/>
  <c r="I103" i="3"/>
  <c r="I63" i="3"/>
  <c r="I64" i="3"/>
  <c r="I104" i="3"/>
  <c r="I78" i="3"/>
  <c r="I79" i="3"/>
  <c r="I65" i="3"/>
  <c r="I80" i="3"/>
  <c r="I81" i="3"/>
  <c r="I82" i="3"/>
  <c r="I83" i="3"/>
  <c r="I84" i="3"/>
  <c r="I70" i="3"/>
  <c r="I71" i="3"/>
  <c r="I1041" i="3"/>
  <c r="I636" i="3"/>
  <c r="I56" i="3"/>
  <c r="I66" i="3"/>
  <c r="I324" i="3"/>
  <c r="I57" i="3"/>
  <c r="I67" i="3"/>
  <c r="I58" i="3"/>
  <c r="I59" i="3"/>
  <c r="I60" i="3"/>
  <c r="I33" i="3"/>
  <c r="I27" i="3"/>
  <c r="I6" i="3"/>
  <c r="I7" i="3"/>
  <c r="I8" i="3"/>
  <c r="I9" i="3"/>
  <c r="I10" i="3"/>
  <c r="I105" i="3"/>
  <c r="I72" i="3"/>
  <c r="I73" i="3"/>
  <c r="I74" i="3"/>
  <c r="I34" i="3"/>
  <c r="I11" i="3"/>
  <c r="I35" i="3"/>
  <c r="I36" i="3"/>
  <c r="I37" i="3"/>
  <c r="I38" i="3"/>
  <c r="I39" i="3"/>
  <c r="I40" i="3"/>
  <c r="I41" i="3"/>
  <c r="I42" i="3"/>
  <c r="I53" i="3"/>
  <c r="I43" i="3"/>
  <c r="I44" i="3"/>
  <c r="I45" i="3"/>
  <c r="I54" i="3"/>
  <c r="I46" i="3"/>
  <c r="I47" i="3"/>
  <c r="I48" i="3"/>
  <c r="I49" i="3"/>
  <c r="I50" i="3"/>
  <c r="I5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4" i="3"/>
  <c r="I25" i="3"/>
  <c r="I5" i="3"/>
  <c r="I221" i="3"/>
  <c r="I222" i="3"/>
  <c r="I223" i="3"/>
  <c r="I198" i="3"/>
  <c r="I199" i="3"/>
  <c r="I200" i="3"/>
  <c r="I201" i="3"/>
  <c r="I75" i="3"/>
  <c r="I202" i="3"/>
  <c r="I85" i="3"/>
  <c r="I203" i="3"/>
  <c r="I160" i="3"/>
  <c r="I205" i="3"/>
  <c r="I177" i="3"/>
  <c r="I171" i="3"/>
  <c r="I164" i="3"/>
  <c r="I161" i="3"/>
  <c r="I162" i="3"/>
  <c r="I149" i="3"/>
  <c r="I135" i="3"/>
  <c r="I136" i="3"/>
  <c r="I125" i="3"/>
  <c r="I126" i="3"/>
  <c r="I106" i="3"/>
  <c r="I107" i="3"/>
  <c r="I108" i="3"/>
  <c r="I109" i="3"/>
  <c r="I110" i="3"/>
  <c r="I111" i="3"/>
  <c r="I112" i="3"/>
  <c r="I87" i="3"/>
  <c r="I86" i="3"/>
  <c r="I308" i="3"/>
  <c r="I52" i="3"/>
  <c r="I26" i="3"/>
  <c r="I1508" i="3"/>
  <c r="I1394" i="3"/>
  <c r="I1395" i="3"/>
  <c r="I1396" i="3"/>
  <c r="I1397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43" i="3"/>
  <c r="I1522" i="3"/>
  <c r="I1523" i="3"/>
  <c r="I1460" i="3"/>
  <c r="I1524" i="3"/>
  <c r="I1525" i="3"/>
  <c r="I1526" i="3"/>
  <c r="I1527" i="3"/>
  <c r="I1528" i="3"/>
  <c r="I1478" i="3"/>
  <c r="I1530" i="3"/>
  <c r="I1531" i="3"/>
  <c r="I1532" i="3"/>
  <c r="I1533" i="3"/>
  <c r="I1534" i="3"/>
  <c r="I1535" i="3"/>
  <c r="I1536" i="3"/>
  <c r="I1537" i="3"/>
  <c r="I1538" i="3"/>
  <c r="I1493" i="3"/>
  <c r="I1539" i="3"/>
  <c r="I1414" i="3"/>
  <c r="I1540" i="3"/>
  <c r="I1541" i="3"/>
  <c r="I1455" i="3"/>
  <c r="I1695" i="3"/>
  <c r="I1529" i="3"/>
  <c r="I1543" i="3"/>
  <c r="I1457" i="3"/>
  <c r="I1448" i="3"/>
  <c r="I1449" i="3"/>
  <c r="I1544" i="3"/>
  <c r="I1545" i="3"/>
  <c r="I1546" i="3"/>
  <c r="I1547" i="3"/>
  <c r="I1548" i="3"/>
  <c r="I1549" i="3"/>
  <c r="I1550" i="3"/>
  <c r="I1551" i="3"/>
  <c r="I1552" i="3"/>
  <c r="I1553" i="3"/>
  <c r="I1466" i="3"/>
  <c r="I1554" i="3"/>
  <c r="I1555" i="3"/>
  <c r="I1556" i="3"/>
  <c r="I1557" i="3"/>
  <c r="I1436" i="3"/>
  <c r="I1446" i="3"/>
  <c r="I1558" i="3"/>
  <c r="I1559" i="3"/>
  <c r="I1560" i="3"/>
  <c r="I1561" i="3"/>
  <c r="I239" i="3"/>
  <c r="I224" i="3"/>
  <c r="I1420" i="3"/>
  <c r="I1375" i="3"/>
  <c r="I1419" i="3"/>
  <c r="I76" i="3"/>
  <c r="I1562" i="3"/>
  <c r="I1563" i="3"/>
  <c r="I1468" i="3"/>
  <c r="I1469" i="3"/>
  <c r="I1470" i="3"/>
  <c r="I1447" i="3"/>
  <c r="I1564" i="3"/>
  <c r="I1565" i="3"/>
  <c r="I1566" i="3"/>
  <c r="I1407" i="3"/>
  <c r="I1437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438" i="3"/>
  <c r="I1464" i="3"/>
  <c r="I1594" i="3"/>
  <c r="I1595" i="3"/>
  <c r="I1596" i="3"/>
  <c r="I1452" i="3"/>
  <c r="I1597" i="3"/>
  <c r="I1598" i="3"/>
  <c r="I1599" i="3"/>
  <c r="I1600" i="3"/>
  <c r="I1601" i="3"/>
  <c r="I1480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415" i="3"/>
  <c r="I1642" i="3"/>
  <c r="I1643" i="3"/>
  <c r="I1644" i="3"/>
  <c r="I1645" i="3"/>
  <c r="I1454" i="3"/>
  <c r="I1646" i="3"/>
  <c r="I1647" i="3"/>
  <c r="I2410" i="3"/>
  <c r="I1648" i="3"/>
  <c r="I1483" i="3"/>
  <c r="I1542" i="3"/>
  <c r="I1650" i="3"/>
  <c r="I1651" i="3"/>
  <c r="I1652" i="3"/>
  <c r="I1653" i="3"/>
  <c r="I1654" i="3"/>
  <c r="I1655" i="3"/>
  <c r="I1656" i="3"/>
  <c r="I1405" i="3"/>
  <c r="I1657" i="3"/>
  <c r="I1658" i="3"/>
  <c r="I1659" i="3"/>
  <c r="I1660" i="3"/>
  <c r="I1661" i="3"/>
  <c r="I1662" i="3"/>
  <c r="I1370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421" i="3"/>
  <c r="I1484" i="3"/>
  <c r="I1684" i="3"/>
  <c r="I1685" i="3"/>
  <c r="I1686" i="3"/>
  <c r="I1687" i="3"/>
  <c r="I1688" i="3"/>
  <c r="I1689" i="3"/>
  <c r="I1690" i="3"/>
  <c r="I1691" i="3"/>
  <c r="I1692" i="3"/>
  <c r="I1693" i="3"/>
  <c r="I1694" i="3"/>
  <c r="I1496" i="3"/>
  <c r="I1696" i="3"/>
  <c r="I1459" i="3"/>
  <c r="I1426" i="3"/>
  <c r="I1427" i="3"/>
  <c r="I1697" i="3"/>
  <c r="I1698" i="3"/>
  <c r="I1699" i="3"/>
  <c r="I1700" i="3"/>
  <c r="I984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475" i="3"/>
  <c r="I1719" i="3"/>
  <c r="I1465" i="3"/>
  <c r="I1720" i="3"/>
  <c r="I1721" i="3"/>
  <c r="I1722" i="3"/>
  <c r="I1723" i="3"/>
  <c r="I1724" i="3"/>
  <c r="I1725" i="3"/>
  <c r="I1726" i="3"/>
  <c r="I145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398" i="3"/>
  <c r="I1408" i="3"/>
  <c r="I1399" i="3"/>
  <c r="I1739" i="3"/>
  <c r="I1740" i="3"/>
  <c r="I1741" i="3"/>
  <c r="I1742" i="3"/>
  <c r="I1743" i="3"/>
  <c r="I1744" i="3"/>
  <c r="I1467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439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490" i="3"/>
  <c r="I309" i="3"/>
  <c r="I1783" i="3"/>
  <c r="I1784" i="3"/>
  <c r="I1785" i="3"/>
  <c r="I1786" i="3"/>
  <c r="I1787" i="3"/>
  <c r="I1788" i="3"/>
  <c r="I1789" i="3"/>
  <c r="I1440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505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2322" i="3"/>
  <c r="I1890" i="3"/>
  <c r="I1891" i="3"/>
  <c r="I1502" i="3"/>
  <c r="I1507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486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406" i="3"/>
  <c r="I1920" i="3"/>
  <c r="I1487" i="3"/>
  <c r="I1441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403" i="3"/>
  <c r="I1418" i="3"/>
  <c r="I1933" i="3"/>
  <c r="I1461" i="3"/>
  <c r="I1462" i="3"/>
  <c r="I1934" i="3"/>
  <c r="I1935" i="3"/>
  <c r="I1482" i="3"/>
  <c r="I1501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504" i="3"/>
  <c r="I1506" i="3"/>
  <c r="I1422" i="3"/>
  <c r="I1423" i="3"/>
  <c r="I1975" i="3"/>
  <c r="I1976" i="3"/>
  <c r="I1977" i="3"/>
  <c r="I1978" i="3"/>
  <c r="I1979" i="3"/>
  <c r="I1980" i="3"/>
  <c r="I1981" i="3"/>
  <c r="I1982" i="3"/>
  <c r="I1983" i="3"/>
  <c r="I1984" i="3"/>
  <c r="I1985" i="3"/>
  <c r="I1424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1683" i="3"/>
  <c r="I2006" i="3"/>
  <c r="I2007" i="3"/>
  <c r="I2008" i="3"/>
  <c r="I2009" i="3"/>
  <c r="I1409" i="3"/>
  <c r="I1410" i="3"/>
  <c r="I2010" i="3"/>
  <c r="I1411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1400" i="3"/>
  <c r="I1401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1442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1473" i="3"/>
  <c r="I2080" i="3"/>
  <c r="I1416" i="3"/>
  <c r="I2081" i="3"/>
  <c r="I2082" i="3"/>
  <c r="I2083" i="3"/>
  <c r="I1495" i="3"/>
  <c r="I1494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1489" i="3"/>
  <c r="I2131" i="3"/>
  <c r="I2132" i="3"/>
  <c r="I2133" i="3"/>
  <c r="I2134" i="3"/>
  <c r="I2135" i="3"/>
  <c r="I2136" i="3"/>
  <c r="I2137" i="3"/>
  <c r="I2138" i="3"/>
  <c r="I2139" i="3"/>
  <c r="I2140" i="3"/>
  <c r="I1491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1450" i="3"/>
  <c r="I1451" i="3"/>
  <c r="I2176" i="3"/>
  <c r="I2177" i="3"/>
  <c r="I1428" i="3"/>
  <c r="I1429" i="3"/>
  <c r="I1430" i="3"/>
  <c r="I1431" i="3"/>
  <c r="I1432" i="3"/>
  <c r="I1433" i="3"/>
  <c r="I2178" i="3"/>
  <c r="I2179" i="3"/>
  <c r="I2180" i="3"/>
  <c r="I2181" i="3"/>
  <c r="I2182" i="3"/>
  <c r="I2183" i="3"/>
  <c r="I2184" i="3"/>
  <c r="I2185" i="3"/>
  <c r="I2186" i="3"/>
  <c r="I1503" i="3"/>
  <c r="I2187" i="3"/>
  <c r="I2188" i="3"/>
  <c r="I2189" i="3"/>
  <c r="I1485" i="3"/>
  <c r="I2190" i="3"/>
  <c r="I2191" i="3"/>
  <c r="I2192" i="3"/>
  <c r="I2193" i="3"/>
  <c r="I2194" i="3"/>
  <c r="I2195" i="3"/>
  <c r="I2196" i="3"/>
  <c r="I2197" i="3"/>
  <c r="I2198" i="3"/>
  <c r="I1443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1463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1488" i="3"/>
  <c r="I2228" i="3"/>
  <c r="I1492" i="3"/>
  <c r="I2229" i="3"/>
  <c r="I2230" i="3"/>
  <c r="I2231" i="3"/>
  <c r="I2232" i="3"/>
  <c r="I2233" i="3"/>
  <c r="I2234" i="3"/>
  <c r="I2235" i="3"/>
  <c r="I2236" i="3"/>
  <c r="I2237" i="3"/>
  <c r="I2238" i="3"/>
  <c r="I1479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1435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1471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1472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1444" i="3"/>
  <c r="I2293" i="3"/>
  <c r="I2294" i="3"/>
  <c r="I2295" i="3"/>
  <c r="I1445" i="3"/>
  <c r="I2296" i="3"/>
  <c r="I2297" i="3"/>
  <c r="I2298" i="3"/>
  <c r="I2299" i="3"/>
  <c r="I2300" i="3"/>
  <c r="I1402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1425" i="3"/>
  <c r="I2313" i="3"/>
  <c r="I2314" i="3"/>
  <c r="I2315" i="3"/>
  <c r="I1498" i="3"/>
  <c r="I2316" i="3"/>
  <c r="I2317" i="3"/>
  <c r="I2318" i="3"/>
  <c r="I2347" i="3"/>
  <c r="I2319" i="3"/>
  <c r="I2320" i="3"/>
  <c r="I2321" i="3"/>
  <c r="I1649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8" i="3"/>
  <c r="I2342" i="3"/>
  <c r="I2343" i="3"/>
  <c r="I2344" i="3"/>
  <c r="I2345" i="3"/>
  <c r="I2346" i="3"/>
  <c r="I1500" i="3"/>
  <c r="I2349" i="3"/>
  <c r="I1497" i="3"/>
  <c r="I2350" i="3"/>
  <c r="I2351" i="3"/>
  <c r="I2352" i="3"/>
  <c r="I2353" i="3"/>
  <c r="I2354" i="3"/>
  <c r="I1499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55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1458" i="3"/>
  <c r="I2383" i="3"/>
  <c r="I2384" i="3"/>
  <c r="I2385" i="3"/>
  <c r="I2386" i="3"/>
  <c r="I2387" i="3"/>
  <c r="I1404" i="3"/>
  <c r="I2388" i="3"/>
  <c r="I2389" i="3"/>
  <c r="I2390" i="3"/>
  <c r="I2391" i="3"/>
  <c r="I1453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370" i="3"/>
  <c r="I2409" i="3"/>
  <c r="I2411" i="3"/>
  <c r="I2412" i="3"/>
  <c r="I2413" i="3"/>
  <c r="I1393" i="3"/>
  <c r="E1393" i="3"/>
  <c r="D1391" i="3" l="1"/>
  <c r="L1392" i="3" l="1"/>
  <c r="L1391" i="3"/>
  <c r="L1389" i="3"/>
  <c r="L1390" i="3"/>
  <c r="L1385" i="3"/>
  <c r="L1386" i="3"/>
  <c r="L1387" i="3"/>
  <c r="L1388" i="3"/>
  <c r="L1383" i="3"/>
  <c r="L1384" i="3"/>
  <c r="L1235" i="3"/>
  <c r="M1235" i="3" s="1"/>
  <c r="L1381" i="3"/>
  <c r="L1380" i="3"/>
  <c r="L1376" i="3"/>
  <c r="L1377" i="3"/>
  <c r="L1378" i="3"/>
  <c r="L1379" i="3"/>
  <c r="L1374" i="3"/>
  <c r="L1434" i="3"/>
  <c r="L1373" i="3"/>
  <c r="L1476" i="3"/>
  <c r="M1476" i="3" s="1"/>
  <c r="L1371" i="3"/>
  <c r="L1368" i="3"/>
  <c r="L1369" i="3"/>
  <c r="L1477" i="3"/>
  <c r="M1477" i="3" s="1"/>
  <c r="L1366" i="3"/>
  <c r="L1367" i="3"/>
  <c r="L1365" i="3"/>
  <c r="L1362" i="3"/>
  <c r="L1303" i="3"/>
  <c r="L1363" i="3"/>
  <c r="L1358" i="3"/>
  <c r="L1359" i="3"/>
  <c r="L1360" i="3"/>
  <c r="L1361" i="3"/>
  <c r="L1350" i="3"/>
  <c r="L1351" i="3"/>
  <c r="L1352" i="3"/>
  <c r="L1353" i="3"/>
  <c r="L1354" i="3"/>
  <c r="L1355" i="3"/>
  <c r="L1356" i="3"/>
  <c r="L1051" i="3"/>
  <c r="M1051" i="3" s="1"/>
  <c r="L1357" i="3"/>
  <c r="L1304" i="3"/>
  <c r="L1305" i="3"/>
  <c r="L178" i="3"/>
  <c r="M178" i="3" s="1"/>
  <c r="L179" i="3"/>
  <c r="M179" i="3" s="1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714" i="3"/>
  <c r="M714" i="3" s="1"/>
  <c r="L715" i="3"/>
  <c r="M715" i="3" s="1"/>
  <c r="L716" i="3"/>
  <c r="M716" i="3" s="1"/>
  <c r="L1334" i="3"/>
  <c r="L1335" i="3"/>
  <c r="L1336" i="3"/>
  <c r="L1337" i="3"/>
  <c r="L1338" i="3"/>
  <c r="L1339" i="3"/>
  <c r="L1340" i="3"/>
  <c r="L1341" i="3"/>
  <c r="L1131" i="3"/>
  <c r="M1131" i="3" s="1"/>
  <c r="L1342" i="3"/>
  <c r="L1343" i="3"/>
  <c r="L1344" i="3"/>
  <c r="L1345" i="3"/>
  <c r="L1346" i="3"/>
  <c r="L1347" i="3"/>
  <c r="L1348" i="3"/>
  <c r="L1349" i="3"/>
  <c r="L1282" i="3"/>
  <c r="M1282" i="3" s="1"/>
  <c r="L1251" i="3"/>
  <c r="M1251" i="3" s="1"/>
  <c r="L1252" i="3"/>
  <c r="M1252" i="3" s="1"/>
  <c r="L1283" i="3"/>
  <c r="M1283" i="3" s="1"/>
  <c r="L1280" i="3"/>
  <c r="M1280" i="3" s="1"/>
  <c r="L1234" i="3"/>
  <c r="L1281" i="3"/>
  <c r="M1281" i="3" s="1"/>
  <c r="L1269" i="3"/>
  <c r="M1269" i="3" s="1"/>
  <c r="L1284" i="3"/>
  <c r="M1284" i="3" s="1"/>
  <c r="L1285" i="3"/>
  <c r="M1285" i="3" s="1"/>
  <c r="L1256" i="3"/>
  <c r="M1256" i="3" s="1"/>
  <c r="L1236" i="3"/>
  <c r="M1236" i="3" s="1"/>
  <c r="L1286" i="3"/>
  <c r="M1286" i="3" s="1"/>
  <c r="L1272" i="3"/>
  <c r="M1272" i="3" s="1"/>
  <c r="L1276" i="3"/>
  <c r="M1276" i="3" s="1"/>
  <c r="L1260" i="3"/>
  <c r="M1260" i="3" s="1"/>
  <c r="L1287" i="3"/>
  <c r="M1287" i="3" s="1"/>
  <c r="L1248" i="3"/>
  <c r="M1248" i="3" s="1"/>
  <c r="L1263" i="3"/>
  <c r="M1263" i="3" s="1"/>
  <c r="L1279" i="3"/>
  <c r="M1279" i="3" s="1"/>
  <c r="L1241" i="3"/>
  <c r="M1241" i="3" s="1"/>
  <c r="L1246" i="3"/>
  <c r="M1246" i="3" s="1"/>
  <c r="L1288" i="3"/>
  <c r="M1288" i="3" s="1"/>
  <c r="L1265" i="3"/>
  <c r="M1265" i="3" s="1"/>
  <c r="L1254" i="3"/>
  <c r="M1254" i="3" s="1"/>
  <c r="L1261" i="3"/>
  <c r="M1261" i="3" s="1"/>
  <c r="L1262" i="3"/>
  <c r="M1262" i="3" s="1"/>
  <c r="L1270" i="3"/>
  <c r="M1270" i="3" s="1"/>
  <c r="L1289" i="3"/>
  <c r="M1289" i="3" s="1"/>
  <c r="L1273" i="3"/>
  <c r="M1273" i="3" s="1"/>
  <c r="L1244" i="3"/>
  <c r="M1244" i="3" s="1"/>
  <c r="L1130" i="3"/>
  <c r="M1130" i="3" s="1"/>
  <c r="L1474" i="3"/>
  <c r="L1266" i="3"/>
  <c r="M1266" i="3" s="1"/>
  <c r="L1292" i="3"/>
  <c r="M1292" i="3" s="1"/>
  <c r="L1293" i="3"/>
  <c r="M1293" i="3" s="1"/>
  <c r="L1271" i="3"/>
  <c r="M1271" i="3" s="1"/>
  <c r="L1267" i="3"/>
  <c r="M1267" i="3" s="1"/>
  <c r="L1294" i="3"/>
  <c r="M1294" i="3" s="1"/>
  <c r="L1295" i="3"/>
  <c r="M1295" i="3" s="1"/>
  <c r="L1253" i="3"/>
  <c r="M1253" i="3" s="1"/>
  <c r="L1264" i="3"/>
  <c r="M1264" i="3" s="1"/>
  <c r="L1296" i="3"/>
  <c r="M1296" i="3" s="1"/>
  <c r="L1243" i="3"/>
  <c r="M1243" i="3" s="1"/>
  <c r="L1274" i="3"/>
  <c r="M1274" i="3" s="1"/>
  <c r="L1257" i="3"/>
  <c r="M1257" i="3" s="1"/>
  <c r="L1239" i="3"/>
  <c r="M1239" i="3" s="1"/>
  <c r="L1245" i="3"/>
  <c r="M1245" i="3" s="1"/>
  <c r="L1237" i="3"/>
  <c r="M1237" i="3" s="1"/>
  <c r="L1250" i="3"/>
  <c r="M1250" i="3" s="1"/>
  <c r="L1259" i="3"/>
  <c r="M1259" i="3" s="1"/>
  <c r="L1297" i="3"/>
  <c r="M1297" i="3" s="1"/>
  <c r="L1278" i="3"/>
  <c r="M1278" i="3" s="1"/>
  <c r="L1240" i="3"/>
  <c r="M1240" i="3" s="1"/>
  <c r="L1238" i="3"/>
  <c r="M1238" i="3" s="1"/>
  <c r="L1299" i="3"/>
  <c r="M1299" i="3" s="1"/>
  <c r="L1277" i="3"/>
  <c r="M1277" i="3" s="1"/>
  <c r="L1242" i="3"/>
  <c r="M1242" i="3" s="1"/>
  <c r="L1247" i="3"/>
  <c r="M1247" i="3" s="1"/>
  <c r="L1249" i="3"/>
  <c r="M1249" i="3" s="1"/>
  <c r="L867" i="3"/>
  <c r="M867" i="3" s="1"/>
  <c r="L1258" i="3"/>
  <c r="M1258" i="3" s="1"/>
  <c r="L1108" i="3"/>
  <c r="M1108" i="3" s="1"/>
  <c r="L1300" i="3"/>
  <c r="M1300" i="3" s="1"/>
  <c r="L1255" i="3"/>
  <c r="M1255" i="3" s="1"/>
  <c r="L1154" i="3"/>
  <c r="M1154" i="3" s="1"/>
  <c r="L930" i="3"/>
  <c r="M930" i="3" s="1"/>
  <c r="L1301" i="3"/>
  <c r="M1301" i="3" s="1"/>
  <c r="L1302" i="3"/>
  <c r="M1302" i="3" s="1"/>
  <c r="L1214" i="3"/>
  <c r="M1214" i="3" s="1"/>
  <c r="L1221" i="3"/>
  <c r="M1221" i="3" s="1"/>
  <c r="L1222" i="3"/>
  <c r="M1222" i="3" s="1"/>
  <c r="L1223" i="3"/>
  <c r="M1223" i="3" s="1"/>
  <c r="L1224" i="3"/>
  <c r="M1224" i="3" s="1"/>
  <c r="L1217" i="3"/>
  <c r="M1217" i="3" s="1"/>
  <c r="L1225" i="3"/>
  <c r="M1225" i="3" s="1"/>
  <c r="L1213" i="3"/>
  <c r="M1213" i="3" s="1"/>
  <c r="L1220" i="3"/>
  <c r="M1220" i="3" s="1"/>
  <c r="L1215" i="3"/>
  <c r="M1215" i="3" s="1"/>
  <c r="L1209" i="3"/>
  <c r="M1209" i="3" s="1"/>
  <c r="L1226" i="3"/>
  <c r="M1226" i="3" s="1"/>
  <c r="L1227" i="3"/>
  <c r="M1227" i="3" s="1"/>
  <c r="L1210" i="3"/>
  <c r="M1210" i="3" s="1"/>
  <c r="L1228" i="3"/>
  <c r="M1228" i="3" s="1"/>
  <c r="L1229" i="3"/>
  <c r="M1229" i="3" s="1"/>
  <c r="L1230" i="3"/>
  <c r="M1230" i="3" s="1"/>
  <c r="L1211" i="3"/>
  <c r="M1211" i="3" s="1"/>
  <c r="L1212" i="3"/>
  <c r="M1212" i="3" s="1"/>
  <c r="L1219" i="3"/>
  <c r="M1219" i="3" s="1"/>
  <c r="L1231" i="3"/>
  <c r="M1231" i="3" s="1"/>
  <c r="L1232" i="3"/>
  <c r="M1232" i="3" s="1"/>
  <c r="L1233" i="3"/>
  <c r="M1233" i="3" s="1"/>
  <c r="L1216" i="3"/>
  <c r="M1216" i="3" s="1"/>
  <c r="L1218" i="3"/>
  <c r="M1218" i="3" s="1"/>
  <c r="L1193" i="3"/>
  <c r="M1193" i="3" s="1"/>
  <c r="L1194" i="3"/>
  <c r="M1194" i="3" s="1"/>
  <c r="L1184" i="3"/>
  <c r="M1184" i="3" s="1"/>
  <c r="L1195" i="3"/>
  <c r="M1195" i="3" s="1"/>
  <c r="L1190" i="3"/>
  <c r="M1190" i="3" s="1"/>
  <c r="L1196" i="3"/>
  <c r="M1196" i="3" s="1"/>
  <c r="L1192" i="3"/>
  <c r="M1192" i="3" s="1"/>
  <c r="L1197" i="3"/>
  <c r="M1197" i="3" s="1"/>
  <c r="L1198" i="3"/>
  <c r="M1198" i="3" s="1"/>
  <c r="L1191" i="3"/>
  <c r="M1191" i="3" s="1"/>
  <c r="L1199" i="3"/>
  <c r="M1199" i="3" s="1"/>
  <c r="L1180" i="3"/>
  <c r="M1180" i="3" s="1"/>
  <c r="L1200" i="3"/>
  <c r="M1200" i="3" s="1"/>
  <c r="L1201" i="3"/>
  <c r="M1201" i="3" s="1"/>
  <c r="L1181" i="3"/>
  <c r="M1181" i="3" s="1"/>
  <c r="L1202" i="3"/>
  <c r="M1202" i="3" s="1"/>
  <c r="L1203" i="3"/>
  <c r="M1203" i="3" s="1"/>
  <c r="L1204" i="3"/>
  <c r="M1204" i="3" s="1"/>
  <c r="L1182" i="3"/>
  <c r="M1182" i="3" s="1"/>
  <c r="L1189" i="3"/>
  <c r="M1189" i="3" s="1"/>
  <c r="L1205" i="3"/>
  <c r="M1205" i="3" s="1"/>
  <c r="L1186" i="3"/>
  <c r="M1186" i="3" s="1"/>
  <c r="L1187" i="3"/>
  <c r="M1187" i="3" s="1"/>
  <c r="L1185" i="3"/>
  <c r="M1185" i="3" s="1"/>
  <c r="L1206" i="3"/>
  <c r="M1206" i="3" s="1"/>
  <c r="L1207" i="3"/>
  <c r="M1207" i="3" s="1"/>
  <c r="L1183" i="3"/>
  <c r="M1183" i="3" s="1"/>
  <c r="L1188" i="3"/>
  <c r="M1188" i="3" s="1"/>
  <c r="L1208" i="3"/>
  <c r="M1208" i="3" s="1"/>
  <c r="L1157" i="3"/>
  <c r="M1157" i="3" s="1"/>
  <c r="L1167" i="3"/>
  <c r="M1167" i="3" s="1"/>
  <c r="L1168" i="3"/>
  <c r="M1168" i="3" s="1"/>
  <c r="L1155" i="3"/>
  <c r="M1155" i="3" s="1"/>
  <c r="L1165" i="3"/>
  <c r="M1165" i="3" s="1"/>
  <c r="L1169" i="3"/>
  <c r="M1169" i="3" s="1"/>
  <c r="L1170" i="3"/>
  <c r="M1170" i="3" s="1"/>
  <c r="L1171" i="3"/>
  <c r="M1171" i="3" s="1"/>
  <c r="L1159" i="3"/>
  <c r="M1159" i="3" s="1"/>
  <c r="L1412" i="3"/>
  <c r="L1163" i="3"/>
  <c r="M1163" i="3" s="1"/>
  <c r="L1173" i="3"/>
  <c r="M1173" i="3" s="1"/>
  <c r="L1166" i="3"/>
  <c r="M1166" i="3" s="1"/>
  <c r="L1077" i="3"/>
  <c r="M1077" i="3" s="1"/>
  <c r="L1158" i="3"/>
  <c r="M1158" i="3" s="1"/>
  <c r="L1161" i="3"/>
  <c r="M1161" i="3" s="1"/>
  <c r="L1174" i="3"/>
  <c r="M1174" i="3" s="1"/>
  <c r="L1175" i="3"/>
  <c r="M1175" i="3" s="1"/>
  <c r="L1162" i="3"/>
  <c r="M1162" i="3" s="1"/>
  <c r="L1164" i="3"/>
  <c r="M1164" i="3" s="1"/>
  <c r="L1176" i="3"/>
  <c r="M1176" i="3" s="1"/>
  <c r="L931" i="3"/>
  <c r="M931" i="3" s="1"/>
  <c r="L1178" i="3"/>
  <c r="M1178" i="3" s="1"/>
  <c r="L1179" i="3"/>
  <c r="M1179" i="3" s="1"/>
  <c r="L1156" i="3"/>
  <c r="M1156" i="3" s="1"/>
  <c r="L1160" i="3"/>
  <c r="M1160" i="3" s="1"/>
  <c r="L1137" i="3"/>
  <c r="M1137" i="3" s="1"/>
  <c r="L1142" i="3"/>
  <c r="M1142" i="3" s="1"/>
  <c r="L1143" i="3"/>
  <c r="M1143" i="3" s="1"/>
  <c r="L1121" i="3"/>
  <c r="M1121" i="3" s="1"/>
  <c r="L1144" i="3"/>
  <c r="M1144" i="3" s="1"/>
  <c r="L1123" i="3"/>
  <c r="M1123" i="3" s="1"/>
  <c r="L1136" i="3"/>
  <c r="M1136" i="3" s="1"/>
  <c r="L1145" i="3"/>
  <c r="M1145" i="3" s="1"/>
  <c r="L1139" i="3"/>
  <c r="M1139" i="3" s="1"/>
  <c r="L1146" i="3"/>
  <c r="M1146" i="3" s="1"/>
  <c r="L1127" i="3"/>
  <c r="M1127" i="3" s="1"/>
  <c r="L1133" i="3"/>
  <c r="M1133" i="3" s="1"/>
  <c r="L1140" i="3"/>
  <c r="L1141" i="3"/>
  <c r="L1135" i="3"/>
  <c r="M1135" i="3" s="1"/>
  <c r="L1089" i="3"/>
  <c r="M1089" i="3" s="1"/>
  <c r="L1413" i="3"/>
  <c r="L1124" i="3"/>
  <c r="M1124" i="3" s="1"/>
  <c r="L1122" i="3"/>
  <c r="M1122" i="3" s="1"/>
  <c r="L1128" i="3"/>
  <c r="M1128" i="3" s="1"/>
  <c r="L1126" i="3"/>
  <c r="M1126" i="3" s="1"/>
  <c r="L1147" i="3"/>
  <c r="M1147" i="3" s="1"/>
  <c r="L1148" i="3"/>
  <c r="M1148" i="3" s="1"/>
  <c r="L1149" i="3"/>
  <c r="M1149" i="3" s="1"/>
  <c r="L954" i="3"/>
  <c r="M954" i="3" s="1"/>
  <c r="L1132" i="3"/>
  <c r="M1132" i="3" s="1"/>
  <c r="L1134" i="3"/>
  <c r="M1134" i="3" s="1"/>
  <c r="L1151" i="3"/>
  <c r="M1151" i="3" s="1"/>
  <c r="L1129" i="3"/>
  <c r="M1129" i="3" s="1"/>
  <c r="L1152" i="3"/>
  <c r="M1152" i="3" s="1"/>
  <c r="L1138" i="3"/>
  <c r="M1138" i="3" s="1"/>
  <c r="L1125" i="3"/>
  <c r="M1125" i="3" s="1"/>
  <c r="L1153" i="3"/>
  <c r="M1153" i="3" s="1"/>
  <c r="L1061" i="3"/>
  <c r="M1061" i="3" s="1"/>
  <c r="L1094" i="3"/>
  <c r="M1094" i="3" s="1"/>
  <c r="L1095" i="3"/>
  <c r="M1095" i="3" s="1"/>
  <c r="L1096" i="3"/>
  <c r="M1096" i="3" s="1"/>
  <c r="L1097" i="3"/>
  <c r="M1097" i="3" s="1"/>
  <c r="L1098" i="3"/>
  <c r="M1098" i="3" s="1"/>
  <c r="L1099" i="3"/>
  <c r="M1099" i="3" s="1"/>
  <c r="L1092" i="3"/>
  <c r="M1092" i="3" s="1"/>
  <c r="L1100" i="3"/>
  <c r="M1100" i="3" s="1"/>
  <c r="L1101" i="3"/>
  <c r="M1101" i="3" s="1"/>
  <c r="L1102" i="3"/>
  <c r="M1102" i="3" s="1"/>
  <c r="L1103" i="3"/>
  <c r="M1103" i="3" s="1"/>
  <c r="L1104" i="3"/>
  <c r="M1104" i="3" s="1"/>
  <c r="L1105" i="3"/>
  <c r="M1105" i="3" s="1"/>
  <c r="L1106" i="3"/>
  <c r="M1106" i="3" s="1"/>
  <c r="L1120" i="3"/>
  <c r="M1120" i="3" s="1"/>
  <c r="L1107" i="3"/>
  <c r="M1107" i="3" s="1"/>
  <c r="L551" i="3"/>
  <c r="M551" i="3" s="1"/>
  <c r="L1109" i="3"/>
  <c r="M1109" i="3" s="1"/>
  <c r="L1110" i="3"/>
  <c r="M1110" i="3" s="1"/>
  <c r="L1111" i="3"/>
  <c r="M1111" i="3" s="1"/>
  <c r="L1112" i="3"/>
  <c r="M1112" i="3" s="1"/>
  <c r="L1113" i="3"/>
  <c r="M1113" i="3" s="1"/>
  <c r="L1114" i="3"/>
  <c r="M1114" i="3" s="1"/>
  <c r="L1115" i="3"/>
  <c r="M1115" i="3" s="1"/>
  <c r="L1116" i="3"/>
  <c r="M1116" i="3" s="1"/>
  <c r="L1117" i="3"/>
  <c r="M1117" i="3" s="1"/>
  <c r="L1118" i="3"/>
  <c r="M1118" i="3" s="1"/>
  <c r="L1268" i="3"/>
  <c r="M1268" i="3" s="1"/>
  <c r="L1072" i="3"/>
  <c r="M1072" i="3" s="1"/>
  <c r="L1073" i="3"/>
  <c r="M1073" i="3" s="1"/>
  <c r="L1074" i="3"/>
  <c r="M1074" i="3" s="1"/>
  <c r="L1075" i="3"/>
  <c r="M1075" i="3" s="1"/>
  <c r="L1076" i="3"/>
  <c r="M1076" i="3" s="1"/>
  <c r="L1275" i="3"/>
  <c r="M1275" i="3" s="1"/>
  <c r="L1078" i="3"/>
  <c r="M1078" i="3" s="1"/>
  <c r="L1079" i="3"/>
  <c r="M1079" i="3" s="1"/>
  <c r="L1080" i="3"/>
  <c r="M1080" i="3" s="1"/>
  <c r="L1081" i="3"/>
  <c r="M1081" i="3" s="1"/>
  <c r="L1417" i="3"/>
  <c r="L1083" i="3"/>
  <c r="M1083" i="3" s="1"/>
  <c r="L1084" i="3"/>
  <c r="M1084" i="3" s="1"/>
  <c r="L1085" i="3"/>
  <c r="M1085" i="3" s="1"/>
  <c r="L1086" i="3"/>
  <c r="M1086" i="3" s="1"/>
  <c r="L68" i="3"/>
  <c r="M68" i="3" s="1"/>
  <c r="L1088" i="3"/>
  <c r="M1088" i="3" s="1"/>
  <c r="L932" i="3"/>
  <c r="M932" i="3" s="1"/>
  <c r="L1091" i="3"/>
  <c r="M1091" i="3" s="1"/>
  <c r="L1090" i="3"/>
  <c r="M1090" i="3" s="1"/>
  <c r="L1053" i="3"/>
  <c r="M1053" i="3" s="1"/>
  <c r="L1382" i="3"/>
  <c r="L1052" i="3"/>
  <c r="M1052" i="3" s="1"/>
  <c r="L445" i="3"/>
  <c r="M445" i="3" s="1"/>
  <c r="L1056" i="3"/>
  <c r="M1056" i="3" s="1"/>
  <c r="L1057" i="3"/>
  <c r="M1057" i="3" s="1"/>
  <c r="L1058" i="3"/>
  <c r="M1058" i="3" s="1"/>
  <c r="L1059" i="3"/>
  <c r="M1059" i="3" s="1"/>
  <c r="L1060" i="3"/>
  <c r="M1060" i="3" s="1"/>
  <c r="L1119" i="3"/>
  <c r="M1119" i="3" s="1"/>
  <c r="L1062" i="3"/>
  <c r="M1062" i="3" s="1"/>
  <c r="L1063" i="3"/>
  <c r="M1063" i="3" s="1"/>
  <c r="L1364" i="3"/>
  <c r="L1065" i="3"/>
  <c r="M1065" i="3" s="1"/>
  <c r="L1071" i="3"/>
  <c r="M1071" i="3" s="1"/>
  <c r="L1070" i="3"/>
  <c r="M1070" i="3" s="1"/>
  <c r="L1066" i="3"/>
  <c r="M1066" i="3" s="1"/>
  <c r="L1067" i="3"/>
  <c r="M1067" i="3" s="1"/>
  <c r="L1068" i="3"/>
  <c r="M1068" i="3" s="1"/>
  <c r="L1069" i="3"/>
  <c r="M1069" i="3" s="1"/>
  <c r="L1037" i="3"/>
  <c r="M1037" i="3" s="1"/>
  <c r="L1038" i="3"/>
  <c r="M1038" i="3" s="1"/>
  <c r="L1039" i="3"/>
  <c r="M1039" i="3" s="1"/>
  <c r="L1040" i="3"/>
  <c r="M1040" i="3" s="1"/>
  <c r="L1290" i="3"/>
  <c r="M1290" i="3" s="1"/>
  <c r="L1042" i="3"/>
  <c r="M1042" i="3" s="1"/>
  <c r="L1043" i="3"/>
  <c r="M1043" i="3" s="1"/>
  <c r="L1044" i="3"/>
  <c r="M1044" i="3" s="1"/>
  <c r="L1291" i="3"/>
  <c r="M1291" i="3" s="1"/>
  <c r="L1046" i="3"/>
  <c r="M1046" i="3" s="1"/>
  <c r="L1047" i="3"/>
  <c r="M1047" i="3" s="1"/>
  <c r="L1048" i="3"/>
  <c r="M1048" i="3" s="1"/>
  <c r="L1049" i="3"/>
  <c r="M1049" i="3" s="1"/>
  <c r="L1050" i="3"/>
  <c r="M1050" i="3" s="1"/>
  <c r="L1023" i="3"/>
  <c r="M1023" i="3" s="1"/>
  <c r="L1024" i="3"/>
  <c r="M1024" i="3" s="1"/>
  <c r="L1025" i="3"/>
  <c r="M1025" i="3" s="1"/>
  <c r="L1026" i="3"/>
  <c r="M1026" i="3" s="1"/>
  <c r="L1027" i="3"/>
  <c r="M1027" i="3" s="1"/>
  <c r="L1028" i="3"/>
  <c r="M1028" i="3" s="1"/>
  <c r="L1029" i="3"/>
  <c r="M1029" i="3" s="1"/>
  <c r="L1030" i="3"/>
  <c r="M1030" i="3" s="1"/>
  <c r="L1031" i="3"/>
  <c r="M1031" i="3" s="1"/>
  <c r="L1032" i="3"/>
  <c r="M1032" i="3" s="1"/>
  <c r="L1033" i="3"/>
  <c r="M1033" i="3" s="1"/>
  <c r="L1172" i="3"/>
  <c r="M1172" i="3" s="1"/>
  <c r="L1035" i="3"/>
  <c r="M1035" i="3" s="1"/>
  <c r="L1036" i="3"/>
  <c r="M1036" i="3" s="1"/>
  <c r="L1177" i="3"/>
  <c r="M1177" i="3" s="1"/>
  <c r="L1006" i="3"/>
  <c r="M1006" i="3" s="1"/>
  <c r="L1007" i="3"/>
  <c r="M1007" i="3" s="1"/>
  <c r="L1008" i="3"/>
  <c r="L1009" i="3"/>
  <c r="M1009" i="3" s="1"/>
  <c r="L1010" i="3"/>
  <c r="M1010" i="3" s="1"/>
  <c r="L1011" i="3"/>
  <c r="M1011" i="3" s="1"/>
  <c r="L1012" i="3"/>
  <c r="M1012" i="3" s="1"/>
  <c r="L1013" i="3"/>
  <c r="M1013" i="3" s="1"/>
  <c r="L1150" i="3"/>
  <c r="M1150" i="3" s="1"/>
  <c r="L1014" i="3"/>
  <c r="M1014" i="3" s="1"/>
  <c r="L1015" i="3"/>
  <c r="M1015" i="3" s="1"/>
  <c r="L1016" i="3"/>
  <c r="M1016" i="3" s="1"/>
  <c r="L1082" i="3"/>
  <c r="M1082" i="3" s="1"/>
  <c r="L1017" i="3"/>
  <c r="M1017" i="3" s="1"/>
  <c r="L1018" i="3"/>
  <c r="M1018" i="3" s="1"/>
  <c r="L1019" i="3"/>
  <c r="M1019" i="3" s="1"/>
  <c r="L985" i="3"/>
  <c r="M985" i="3" s="1"/>
  <c r="L1087" i="3"/>
  <c r="M1087" i="3" s="1"/>
  <c r="L1054" i="3"/>
  <c r="M1054" i="3" s="1"/>
  <c r="L986" i="3"/>
  <c r="M986" i="3" s="1"/>
  <c r="L987" i="3"/>
  <c r="M987" i="3" s="1"/>
  <c r="L988" i="3"/>
  <c r="M988" i="3" s="1"/>
  <c r="L1055" i="3"/>
  <c r="M1055" i="3" s="1"/>
  <c r="L989" i="3"/>
  <c r="M989" i="3" s="1"/>
  <c r="L990" i="3"/>
  <c r="M990" i="3" s="1"/>
  <c r="L991" i="3"/>
  <c r="M991" i="3" s="1"/>
  <c r="L992" i="3"/>
  <c r="M992" i="3" s="1"/>
  <c r="L993" i="3"/>
  <c r="M993" i="3" s="1"/>
  <c r="L994" i="3"/>
  <c r="M994" i="3" s="1"/>
  <c r="L995" i="3"/>
  <c r="M995" i="3" s="1"/>
  <c r="L996" i="3"/>
  <c r="M996" i="3" s="1"/>
  <c r="L997" i="3"/>
  <c r="M997" i="3" s="1"/>
  <c r="L998" i="3"/>
  <c r="M998" i="3" s="1"/>
  <c r="L999" i="3"/>
  <c r="M999" i="3" s="1"/>
  <c r="L1000" i="3"/>
  <c r="M1000" i="3" s="1"/>
  <c r="L1034" i="3"/>
  <c r="M1034" i="3" s="1"/>
  <c r="L855" i="3"/>
  <c r="M855" i="3" s="1"/>
  <c r="L1001" i="3"/>
  <c r="M1001" i="3" s="1"/>
  <c r="L955" i="3"/>
  <c r="M955" i="3" s="1"/>
  <c r="L1298" i="3"/>
  <c r="M1298" i="3" s="1"/>
  <c r="L956" i="3"/>
  <c r="M956" i="3" s="1"/>
  <c r="L1020" i="3"/>
  <c r="M1020" i="3" s="1"/>
  <c r="L957" i="3"/>
  <c r="M957" i="3" s="1"/>
  <c r="L958" i="3"/>
  <c r="M958" i="3" s="1"/>
  <c r="L959" i="3"/>
  <c r="M959" i="3" s="1"/>
  <c r="L960" i="3"/>
  <c r="M960" i="3" s="1"/>
  <c r="L961" i="3"/>
  <c r="M961" i="3" s="1"/>
  <c r="L962" i="3"/>
  <c r="M962" i="3" s="1"/>
  <c r="L1021" i="3"/>
  <c r="M1021" i="3" s="1"/>
  <c r="L1022" i="3"/>
  <c r="M1022" i="3" s="1"/>
  <c r="L963" i="3"/>
  <c r="M963" i="3" s="1"/>
  <c r="L964" i="3"/>
  <c r="M964" i="3" s="1"/>
  <c r="L965" i="3"/>
  <c r="M965" i="3" s="1"/>
  <c r="L966" i="3"/>
  <c r="M966" i="3" s="1"/>
  <c r="L967" i="3"/>
  <c r="M967" i="3" s="1"/>
  <c r="L968" i="3"/>
  <c r="M968" i="3" s="1"/>
  <c r="L969" i="3"/>
  <c r="M969" i="3" s="1"/>
  <c r="L970" i="3"/>
  <c r="M970" i="3" s="1"/>
  <c r="L971" i="3"/>
  <c r="M971" i="3" s="1"/>
  <c r="L972" i="3"/>
  <c r="M972" i="3" s="1"/>
  <c r="L973" i="3"/>
  <c r="M973" i="3" s="1"/>
  <c r="L974" i="3"/>
  <c r="M974" i="3" s="1"/>
  <c r="L1002" i="3"/>
  <c r="M1002" i="3" s="1"/>
  <c r="L975" i="3"/>
  <c r="M975" i="3" s="1"/>
  <c r="L976" i="3"/>
  <c r="M976" i="3" s="1"/>
  <c r="L977" i="3"/>
  <c r="M977" i="3" s="1"/>
  <c r="L1481" i="3"/>
  <c r="M1481" i="3" s="1"/>
  <c r="L1003" i="3"/>
  <c r="M1003" i="3" s="1"/>
  <c r="L978" i="3"/>
  <c r="M978" i="3" s="1"/>
  <c r="L933" i="3"/>
  <c r="M933" i="3" s="1"/>
  <c r="L934" i="3"/>
  <c r="M934" i="3" s="1"/>
  <c r="L935" i="3"/>
  <c r="M935" i="3" s="1"/>
  <c r="L936" i="3"/>
  <c r="M936" i="3" s="1"/>
  <c r="L937" i="3"/>
  <c r="M937" i="3" s="1"/>
  <c r="L938" i="3"/>
  <c r="M938" i="3" s="1"/>
  <c r="L939" i="3"/>
  <c r="M939" i="3" s="1"/>
  <c r="L1004" i="3"/>
  <c r="M1004" i="3" s="1"/>
  <c r="L1005" i="3"/>
  <c r="M1005" i="3" s="1"/>
  <c r="L940" i="3"/>
  <c r="M940" i="3" s="1"/>
  <c r="L941" i="3"/>
  <c r="M941" i="3" s="1"/>
  <c r="L942" i="3"/>
  <c r="M942" i="3" s="1"/>
  <c r="L943" i="3"/>
  <c r="M943" i="3" s="1"/>
  <c r="L944" i="3"/>
  <c r="M944" i="3" s="1"/>
  <c r="L979" i="3"/>
  <c r="M979" i="3" s="1"/>
  <c r="L945" i="3"/>
  <c r="M945" i="3" s="1"/>
  <c r="L946" i="3"/>
  <c r="M946" i="3" s="1"/>
  <c r="L947" i="3"/>
  <c r="M947" i="3" s="1"/>
  <c r="L948" i="3"/>
  <c r="M948" i="3" s="1"/>
  <c r="L949" i="3"/>
  <c r="M949" i="3" s="1"/>
  <c r="L950" i="3"/>
  <c r="M950" i="3" s="1"/>
  <c r="L951" i="3"/>
  <c r="M951" i="3" s="1"/>
  <c r="L953" i="3"/>
  <c r="M953" i="3" s="1"/>
  <c r="L952" i="3"/>
  <c r="M952" i="3" s="1"/>
  <c r="L899" i="3"/>
  <c r="M899" i="3" s="1"/>
  <c r="L900" i="3"/>
  <c r="M900" i="3" s="1"/>
  <c r="L901" i="3"/>
  <c r="M901" i="3" s="1"/>
  <c r="L902" i="3"/>
  <c r="M902" i="3" s="1"/>
  <c r="L903" i="3"/>
  <c r="M903" i="3" s="1"/>
  <c r="L904" i="3"/>
  <c r="M904" i="3" s="1"/>
  <c r="L905" i="3"/>
  <c r="M905" i="3" s="1"/>
  <c r="L906" i="3"/>
  <c r="M906" i="3" s="1"/>
  <c r="L907" i="3"/>
  <c r="M907" i="3" s="1"/>
  <c r="L908" i="3"/>
  <c r="M908" i="3" s="1"/>
  <c r="L909" i="3"/>
  <c r="M909" i="3" s="1"/>
  <c r="L910" i="3"/>
  <c r="M910" i="3" s="1"/>
  <c r="L911" i="3"/>
  <c r="M911" i="3" s="1"/>
  <c r="L912" i="3"/>
  <c r="M912" i="3" s="1"/>
  <c r="L913" i="3"/>
  <c r="M913" i="3" s="1"/>
  <c r="L1093" i="3"/>
  <c r="M1093" i="3" s="1"/>
  <c r="L914" i="3"/>
  <c r="M914" i="3" s="1"/>
  <c r="L915" i="3"/>
  <c r="M915" i="3" s="1"/>
  <c r="L916" i="3"/>
  <c r="M916" i="3" s="1"/>
  <c r="L917" i="3"/>
  <c r="M917" i="3" s="1"/>
  <c r="L918" i="3"/>
  <c r="M918" i="3" s="1"/>
  <c r="L919" i="3"/>
  <c r="M919" i="3" s="1"/>
  <c r="L920" i="3"/>
  <c r="M920" i="3" s="1"/>
  <c r="L921" i="3"/>
  <c r="M921" i="3" s="1"/>
  <c r="L922" i="3"/>
  <c r="M922" i="3" s="1"/>
  <c r="L923" i="3"/>
  <c r="M923" i="3" s="1"/>
  <c r="L924" i="3"/>
  <c r="M924" i="3" s="1"/>
  <c r="L925" i="3"/>
  <c r="M925" i="3" s="1"/>
  <c r="L926" i="3"/>
  <c r="M926" i="3" s="1"/>
  <c r="L927" i="3"/>
  <c r="M927" i="3" s="1"/>
  <c r="L928" i="3"/>
  <c r="M928" i="3" s="1"/>
  <c r="L884" i="3"/>
  <c r="M884" i="3" s="1"/>
  <c r="L885" i="3"/>
  <c r="M885" i="3" s="1"/>
  <c r="L886" i="3"/>
  <c r="M886" i="3" s="1"/>
  <c r="L1045" i="3"/>
  <c r="M1045" i="3" s="1"/>
  <c r="L980" i="3"/>
  <c r="M980" i="3" s="1"/>
  <c r="L887" i="3"/>
  <c r="M887" i="3" s="1"/>
  <c r="L981" i="3"/>
  <c r="M981" i="3" s="1"/>
  <c r="L888" i="3"/>
  <c r="M888" i="3" s="1"/>
  <c r="L889" i="3"/>
  <c r="M889" i="3" s="1"/>
  <c r="L929" i="3"/>
  <c r="M929" i="3" s="1"/>
  <c r="L982" i="3"/>
  <c r="M982" i="3" s="1"/>
  <c r="L890" i="3"/>
  <c r="M890" i="3" s="1"/>
  <c r="L891" i="3"/>
  <c r="M891" i="3" s="1"/>
  <c r="L892" i="3"/>
  <c r="M892" i="3" s="1"/>
  <c r="L893" i="3"/>
  <c r="M893" i="3" s="1"/>
  <c r="L894" i="3"/>
  <c r="M894" i="3" s="1"/>
  <c r="L882" i="3"/>
  <c r="M882" i="3" s="1"/>
  <c r="L868" i="3"/>
  <c r="M868" i="3" s="1"/>
  <c r="L869" i="3"/>
  <c r="M869" i="3" s="1"/>
  <c r="L870" i="3"/>
  <c r="M870" i="3" s="1"/>
  <c r="L883" i="3"/>
  <c r="M883" i="3" s="1"/>
  <c r="L871" i="3"/>
  <c r="M871" i="3" s="1"/>
  <c r="L872" i="3"/>
  <c r="M872" i="3" s="1"/>
  <c r="L873" i="3"/>
  <c r="M873" i="3" s="1"/>
  <c r="L874" i="3"/>
  <c r="M874" i="3" s="1"/>
  <c r="L875" i="3"/>
  <c r="M875" i="3" s="1"/>
  <c r="L838" i="3"/>
  <c r="M838" i="3" s="1"/>
  <c r="L876" i="3"/>
  <c r="M876" i="3" s="1"/>
  <c r="L877" i="3"/>
  <c r="M877" i="3" s="1"/>
  <c r="L878" i="3"/>
  <c r="M878" i="3" s="1"/>
  <c r="L879" i="3"/>
  <c r="M879" i="3" s="1"/>
  <c r="L880" i="3"/>
  <c r="M880" i="3" s="1"/>
  <c r="L881" i="3"/>
  <c r="M881" i="3" s="1"/>
  <c r="L856" i="3"/>
  <c r="M856" i="3" s="1"/>
  <c r="L857" i="3"/>
  <c r="M857" i="3" s="1"/>
  <c r="L858" i="3"/>
  <c r="M858" i="3" s="1"/>
  <c r="L859" i="3"/>
  <c r="M859" i="3" s="1"/>
  <c r="L860" i="3"/>
  <c r="M860" i="3" s="1"/>
  <c r="L861" i="3"/>
  <c r="M861" i="3" s="1"/>
  <c r="L862" i="3"/>
  <c r="M862" i="3" s="1"/>
  <c r="L863" i="3"/>
  <c r="M863" i="3" s="1"/>
  <c r="L864" i="3"/>
  <c r="M864" i="3" s="1"/>
  <c r="L865" i="3"/>
  <c r="M865" i="3" s="1"/>
  <c r="L866" i="3"/>
  <c r="M866" i="3" s="1"/>
  <c r="L839" i="3"/>
  <c r="M839" i="3" s="1"/>
  <c r="L840" i="3"/>
  <c r="M840" i="3" s="1"/>
  <c r="L841" i="3"/>
  <c r="M841" i="3" s="1"/>
  <c r="L842" i="3"/>
  <c r="M842" i="3" s="1"/>
  <c r="L843" i="3"/>
  <c r="M843" i="3" s="1"/>
  <c r="L844" i="3"/>
  <c r="M844" i="3" s="1"/>
  <c r="L845" i="3"/>
  <c r="M845" i="3" s="1"/>
  <c r="L983" i="3"/>
  <c r="M983" i="3" s="1"/>
  <c r="L846" i="3"/>
  <c r="M846" i="3" s="1"/>
  <c r="L847" i="3"/>
  <c r="M847" i="3" s="1"/>
  <c r="L895" i="3"/>
  <c r="M895" i="3" s="1"/>
  <c r="L848" i="3"/>
  <c r="M848" i="3" s="1"/>
  <c r="L849" i="3"/>
  <c r="M849" i="3" s="1"/>
  <c r="L850" i="3"/>
  <c r="M850" i="3" s="1"/>
  <c r="L896" i="3"/>
  <c r="M896" i="3" s="1"/>
  <c r="L851" i="3"/>
  <c r="M851" i="3" s="1"/>
  <c r="L823" i="3"/>
  <c r="M823" i="3" s="1"/>
  <c r="L824" i="3"/>
  <c r="M824" i="3" s="1"/>
  <c r="L822" i="3"/>
  <c r="M822" i="3" s="1"/>
  <c r="L826" i="3"/>
  <c r="M826" i="3" s="1"/>
  <c r="L827" i="3"/>
  <c r="M827" i="3" s="1"/>
  <c r="L828" i="3"/>
  <c r="M828" i="3" s="1"/>
  <c r="L829" i="3"/>
  <c r="M829" i="3" s="1"/>
  <c r="L830" i="3"/>
  <c r="M830" i="3" s="1"/>
  <c r="L831" i="3"/>
  <c r="M831" i="3" s="1"/>
  <c r="L832" i="3"/>
  <c r="M832" i="3" s="1"/>
  <c r="L833" i="3"/>
  <c r="M833" i="3" s="1"/>
  <c r="L825" i="3"/>
  <c r="M825" i="3" s="1"/>
  <c r="L837" i="3"/>
  <c r="M837" i="3" s="1"/>
  <c r="L834" i="3"/>
  <c r="M834" i="3" s="1"/>
  <c r="L835" i="3"/>
  <c r="M835" i="3" s="1"/>
  <c r="L836" i="3"/>
  <c r="M836" i="3" s="1"/>
  <c r="L803" i="3"/>
  <c r="M803" i="3" s="1"/>
  <c r="L804" i="3"/>
  <c r="M804" i="3" s="1"/>
  <c r="L805" i="3"/>
  <c r="M805" i="3" s="1"/>
  <c r="L806" i="3"/>
  <c r="M806" i="3" s="1"/>
  <c r="L807" i="3"/>
  <c r="M807" i="3" s="1"/>
  <c r="L821" i="3"/>
  <c r="M821" i="3" s="1"/>
  <c r="L801" i="3"/>
  <c r="M801" i="3" s="1"/>
  <c r="L808" i="3"/>
  <c r="M808" i="3" s="1"/>
  <c r="L809" i="3"/>
  <c r="M809" i="3" s="1"/>
  <c r="L852" i="3"/>
  <c r="M852" i="3" s="1"/>
  <c r="L810" i="3"/>
  <c r="M810" i="3" s="1"/>
  <c r="L811" i="3"/>
  <c r="M811" i="3" s="1"/>
  <c r="L812" i="3"/>
  <c r="M812" i="3" s="1"/>
  <c r="L813" i="3"/>
  <c r="M813" i="3" s="1"/>
  <c r="L802" i="3"/>
  <c r="M802" i="3" s="1"/>
  <c r="L814" i="3"/>
  <c r="M814" i="3" s="1"/>
  <c r="L815" i="3"/>
  <c r="M815" i="3" s="1"/>
  <c r="L816" i="3"/>
  <c r="M816" i="3" s="1"/>
  <c r="L817" i="3"/>
  <c r="M817" i="3" s="1"/>
  <c r="L818" i="3"/>
  <c r="M818" i="3" s="1"/>
  <c r="L819" i="3"/>
  <c r="M819" i="3" s="1"/>
  <c r="L799" i="3"/>
  <c r="M799" i="3" s="1"/>
  <c r="L771" i="3"/>
  <c r="M771" i="3" s="1"/>
  <c r="L772" i="3"/>
  <c r="M772" i="3" s="1"/>
  <c r="L773" i="3"/>
  <c r="M773" i="3" s="1"/>
  <c r="L774" i="3"/>
  <c r="M774" i="3" s="1"/>
  <c r="L775" i="3"/>
  <c r="M775" i="3" s="1"/>
  <c r="L800" i="3"/>
  <c r="M800" i="3" s="1"/>
  <c r="L776" i="3"/>
  <c r="M776" i="3" s="1"/>
  <c r="L777" i="3"/>
  <c r="M777" i="3" s="1"/>
  <c r="L778" i="3"/>
  <c r="M778" i="3" s="1"/>
  <c r="L853" i="3"/>
  <c r="M853" i="3" s="1"/>
  <c r="L779" i="3"/>
  <c r="M779" i="3" s="1"/>
  <c r="L780" i="3"/>
  <c r="M780" i="3" s="1"/>
  <c r="L781" i="3"/>
  <c r="M781" i="3" s="1"/>
  <c r="L782" i="3"/>
  <c r="M782" i="3" s="1"/>
  <c r="L783" i="3"/>
  <c r="M783" i="3" s="1"/>
  <c r="L784" i="3"/>
  <c r="M784" i="3" s="1"/>
  <c r="L785" i="3"/>
  <c r="M785" i="3" s="1"/>
  <c r="L786" i="3"/>
  <c r="M786" i="3" s="1"/>
  <c r="L787" i="3"/>
  <c r="M787" i="3" s="1"/>
  <c r="L788" i="3"/>
  <c r="M788" i="3" s="1"/>
  <c r="L206" i="3"/>
  <c r="M206" i="3" s="1"/>
  <c r="L789" i="3"/>
  <c r="M789" i="3" s="1"/>
  <c r="L790" i="3"/>
  <c r="M790" i="3" s="1"/>
  <c r="L791" i="3"/>
  <c r="M791" i="3" s="1"/>
  <c r="L792" i="3"/>
  <c r="M792" i="3" s="1"/>
  <c r="L798" i="3"/>
  <c r="M798" i="3" s="1"/>
  <c r="L793" i="3"/>
  <c r="M793" i="3" s="1"/>
  <c r="L794" i="3"/>
  <c r="M794" i="3" s="1"/>
  <c r="L795" i="3"/>
  <c r="M795" i="3" s="1"/>
  <c r="L640" i="3"/>
  <c r="M640" i="3" s="1"/>
  <c r="L737" i="3"/>
  <c r="M737" i="3" s="1"/>
  <c r="L738" i="3"/>
  <c r="M738" i="3" s="1"/>
  <c r="L739" i="3"/>
  <c r="M739" i="3" s="1"/>
  <c r="L740" i="3"/>
  <c r="M740" i="3" s="1"/>
  <c r="L741" i="3"/>
  <c r="M741" i="3" s="1"/>
  <c r="L742" i="3"/>
  <c r="M742" i="3" s="1"/>
  <c r="L743" i="3"/>
  <c r="M743" i="3" s="1"/>
  <c r="L744" i="3"/>
  <c r="M744" i="3" s="1"/>
  <c r="L745" i="3"/>
  <c r="M745" i="3" s="1"/>
  <c r="L746" i="3"/>
  <c r="M746" i="3" s="1"/>
  <c r="L747" i="3"/>
  <c r="M747" i="3" s="1"/>
  <c r="L748" i="3"/>
  <c r="M748" i="3" s="1"/>
  <c r="L749" i="3"/>
  <c r="M749" i="3" s="1"/>
  <c r="L750" i="3"/>
  <c r="M750" i="3" s="1"/>
  <c r="L751" i="3"/>
  <c r="M751" i="3" s="1"/>
  <c r="L752" i="3"/>
  <c r="M752" i="3" s="1"/>
  <c r="L753" i="3"/>
  <c r="M753" i="3" s="1"/>
  <c r="L754" i="3"/>
  <c r="M754" i="3" s="1"/>
  <c r="L755" i="3"/>
  <c r="M755" i="3" s="1"/>
  <c r="L769" i="3"/>
  <c r="M769" i="3" s="1"/>
  <c r="L770" i="3"/>
  <c r="M770" i="3" s="1"/>
  <c r="L756" i="3"/>
  <c r="M756" i="3" s="1"/>
  <c r="L736" i="3"/>
  <c r="M736" i="3" s="1"/>
  <c r="L735" i="3"/>
  <c r="M735" i="3" s="1"/>
  <c r="L854" i="3"/>
  <c r="M854" i="3" s="1"/>
  <c r="L757" i="3"/>
  <c r="M757" i="3" s="1"/>
  <c r="L758" i="3"/>
  <c r="M758" i="3" s="1"/>
  <c r="L759" i="3"/>
  <c r="M759" i="3" s="1"/>
  <c r="L760" i="3"/>
  <c r="M760" i="3" s="1"/>
  <c r="L761" i="3"/>
  <c r="M761" i="3" s="1"/>
  <c r="L762" i="3"/>
  <c r="M762" i="3" s="1"/>
  <c r="L763" i="3"/>
  <c r="M763" i="3" s="1"/>
  <c r="L764" i="3"/>
  <c r="M764" i="3" s="1"/>
  <c r="L765" i="3"/>
  <c r="M765" i="3" s="1"/>
  <c r="L766" i="3"/>
  <c r="M766" i="3" s="1"/>
  <c r="L767" i="3"/>
  <c r="M767" i="3" s="1"/>
  <c r="L717" i="3"/>
  <c r="M717" i="3" s="1"/>
  <c r="L718" i="3"/>
  <c r="M718" i="3" s="1"/>
  <c r="L719" i="3"/>
  <c r="M719" i="3" s="1"/>
  <c r="L720" i="3"/>
  <c r="M720" i="3" s="1"/>
  <c r="L721" i="3"/>
  <c r="M721" i="3" s="1"/>
  <c r="L722" i="3"/>
  <c r="M722" i="3" s="1"/>
  <c r="L734" i="3"/>
  <c r="M734" i="3" s="1"/>
  <c r="L723" i="3"/>
  <c r="M723" i="3" s="1"/>
  <c r="L724" i="3"/>
  <c r="M724" i="3" s="1"/>
  <c r="L725" i="3"/>
  <c r="M725" i="3" s="1"/>
  <c r="L726" i="3"/>
  <c r="M726" i="3" s="1"/>
  <c r="L727" i="3"/>
  <c r="M727" i="3" s="1"/>
  <c r="L728" i="3"/>
  <c r="M728" i="3" s="1"/>
  <c r="L729" i="3"/>
  <c r="M729" i="3" s="1"/>
  <c r="L730" i="3"/>
  <c r="M730" i="3" s="1"/>
  <c r="L731" i="3"/>
  <c r="M731" i="3" s="1"/>
  <c r="L732" i="3"/>
  <c r="M732" i="3" s="1"/>
  <c r="L733" i="3"/>
  <c r="M733" i="3" s="1"/>
  <c r="L697" i="3"/>
  <c r="M697" i="3" s="1"/>
  <c r="L796" i="3"/>
  <c r="M796" i="3" s="1"/>
  <c r="L820" i="3"/>
  <c r="M820" i="3" s="1"/>
  <c r="L698" i="3"/>
  <c r="M698" i="3" s="1"/>
  <c r="L696" i="3"/>
  <c r="M696" i="3" s="1"/>
  <c r="L695" i="3"/>
  <c r="M695" i="3" s="1"/>
  <c r="L699" i="3"/>
  <c r="M699" i="3" s="1"/>
  <c r="L700" i="3"/>
  <c r="M700" i="3" s="1"/>
  <c r="L701" i="3"/>
  <c r="M701" i="3" s="1"/>
  <c r="L702" i="3"/>
  <c r="M702" i="3" s="1"/>
  <c r="L703" i="3"/>
  <c r="M703" i="3" s="1"/>
  <c r="L704" i="3"/>
  <c r="M704" i="3" s="1"/>
  <c r="L705" i="3"/>
  <c r="M705" i="3" s="1"/>
  <c r="L706" i="3"/>
  <c r="M706" i="3" s="1"/>
  <c r="L797" i="3"/>
  <c r="M797" i="3" s="1"/>
  <c r="L768" i="3"/>
  <c r="M768" i="3" s="1"/>
  <c r="L707" i="3"/>
  <c r="M707" i="3" s="1"/>
  <c r="L708" i="3"/>
  <c r="M708" i="3" s="1"/>
  <c r="L709" i="3"/>
  <c r="M709" i="3" s="1"/>
  <c r="L710" i="3"/>
  <c r="M710" i="3" s="1"/>
  <c r="L641" i="3"/>
  <c r="M641" i="3" s="1"/>
  <c r="L642" i="3"/>
  <c r="M642" i="3" s="1"/>
  <c r="L643" i="3"/>
  <c r="M643" i="3" s="1"/>
  <c r="L644" i="3"/>
  <c r="M644" i="3" s="1"/>
  <c r="L645" i="3"/>
  <c r="M645" i="3" s="1"/>
  <c r="L646" i="3"/>
  <c r="M646" i="3" s="1"/>
  <c r="L647" i="3"/>
  <c r="M647" i="3" s="1"/>
  <c r="L711" i="3"/>
  <c r="M711" i="3" s="1"/>
  <c r="L648" i="3"/>
  <c r="M648" i="3" s="1"/>
  <c r="L649" i="3"/>
  <c r="M649" i="3" s="1"/>
  <c r="L650" i="3"/>
  <c r="M650" i="3" s="1"/>
  <c r="L651" i="3"/>
  <c r="M651" i="3" s="1"/>
  <c r="L652" i="3"/>
  <c r="M652" i="3" s="1"/>
  <c r="L653" i="3"/>
  <c r="M653" i="3" s="1"/>
  <c r="L654" i="3"/>
  <c r="M654" i="3" s="1"/>
  <c r="L655" i="3"/>
  <c r="M655" i="3" s="1"/>
  <c r="L656" i="3"/>
  <c r="M656" i="3" s="1"/>
  <c r="L657" i="3"/>
  <c r="M657" i="3" s="1"/>
  <c r="L658" i="3"/>
  <c r="M658" i="3" s="1"/>
  <c r="L659" i="3"/>
  <c r="M659" i="3" s="1"/>
  <c r="L660" i="3"/>
  <c r="M660" i="3" s="1"/>
  <c r="L661" i="3"/>
  <c r="M661" i="3" s="1"/>
  <c r="L662" i="3"/>
  <c r="M662" i="3" s="1"/>
  <c r="L663" i="3"/>
  <c r="M663" i="3" s="1"/>
  <c r="L664" i="3"/>
  <c r="M664" i="3" s="1"/>
  <c r="L665" i="3"/>
  <c r="M665" i="3" s="1"/>
  <c r="L666" i="3"/>
  <c r="M666" i="3" s="1"/>
  <c r="L667" i="3"/>
  <c r="M667" i="3" s="1"/>
  <c r="L668" i="3"/>
  <c r="M668" i="3" s="1"/>
  <c r="L669" i="3"/>
  <c r="M669" i="3" s="1"/>
  <c r="L670" i="3"/>
  <c r="M670" i="3" s="1"/>
  <c r="L671" i="3"/>
  <c r="M671" i="3" s="1"/>
  <c r="L672" i="3"/>
  <c r="M672" i="3" s="1"/>
  <c r="L673" i="3"/>
  <c r="M673" i="3" s="1"/>
  <c r="L674" i="3"/>
  <c r="M674" i="3" s="1"/>
  <c r="L675" i="3"/>
  <c r="M675" i="3" s="1"/>
  <c r="L676" i="3"/>
  <c r="M676" i="3" s="1"/>
  <c r="L677" i="3"/>
  <c r="M677" i="3" s="1"/>
  <c r="L678" i="3"/>
  <c r="M678" i="3" s="1"/>
  <c r="L679" i="3"/>
  <c r="M679" i="3" s="1"/>
  <c r="L680" i="3"/>
  <c r="M680" i="3" s="1"/>
  <c r="L681" i="3"/>
  <c r="M681" i="3" s="1"/>
  <c r="L682" i="3"/>
  <c r="M682" i="3" s="1"/>
  <c r="L683" i="3"/>
  <c r="M683" i="3" s="1"/>
  <c r="L684" i="3"/>
  <c r="M684" i="3" s="1"/>
  <c r="L694" i="3"/>
  <c r="M694" i="3" s="1"/>
  <c r="L685" i="3"/>
  <c r="M685" i="3" s="1"/>
  <c r="L686" i="3"/>
  <c r="M686" i="3" s="1"/>
  <c r="L687" i="3"/>
  <c r="M687" i="3" s="1"/>
  <c r="L688" i="3"/>
  <c r="M688" i="3" s="1"/>
  <c r="L689" i="3"/>
  <c r="M689" i="3" s="1"/>
  <c r="L690" i="3"/>
  <c r="M690" i="3" s="1"/>
  <c r="L691" i="3"/>
  <c r="M691" i="3" s="1"/>
  <c r="L608" i="3"/>
  <c r="M608" i="3" s="1"/>
  <c r="L609" i="3"/>
  <c r="M609" i="3" s="1"/>
  <c r="L610" i="3"/>
  <c r="M610" i="3" s="1"/>
  <c r="L611" i="3"/>
  <c r="M611" i="3" s="1"/>
  <c r="L612" i="3"/>
  <c r="M612" i="3" s="1"/>
  <c r="L613" i="3"/>
  <c r="M613" i="3" s="1"/>
  <c r="L638" i="3"/>
  <c r="M638" i="3" s="1"/>
  <c r="L614" i="3"/>
  <c r="M614" i="3" s="1"/>
  <c r="L615" i="3"/>
  <c r="M615" i="3" s="1"/>
  <c r="L616" i="3"/>
  <c r="M616" i="3" s="1"/>
  <c r="L1490" i="3"/>
  <c r="M1490" i="3" s="1"/>
  <c r="L617" i="3"/>
  <c r="M617" i="3" s="1"/>
  <c r="L639" i="3"/>
  <c r="M639" i="3" s="1"/>
  <c r="L618" i="3"/>
  <c r="M618" i="3" s="1"/>
  <c r="L619" i="3"/>
  <c r="M619" i="3" s="1"/>
  <c r="L620" i="3"/>
  <c r="M620" i="3" s="1"/>
  <c r="L621" i="3"/>
  <c r="M621" i="3" s="1"/>
  <c r="L622" i="3"/>
  <c r="M622" i="3" s="1"/>
  <c r="L623" i="3"/>
  <c r="M623" i="3" s="1"/>
  <c r="L607" i="3"/>
  <c r="M607" i="3" s="1"/>
  <c r="L624" i="3"/>
  <c r="M624" i="3" s="1"/>
  <c r="L625" i="3"/>
  <c r="M625" i="3" s="1"/>
  <c r="L626" i="3"/>
  <c r="M626" i="3" s="1"/>
  <c r="L712" i="3"/>
  <c r="M712" i="3" s="1"/>
  <c r="L627" i="3"/>
  <c r="M627" i="3" s="1"/>
  <c r="L628" i="3"/>
  <c r="M628" i="3" s="1"/>
  <c r="L629" i="3"/>
  <c r="M629" i="3" s="1"/>
  <c r="L637" i="3"/>
  <c r="M637" i="3" s="1"/>
  <c r="L630" i="3"/>
  <c r="M630" i="3" s="1"/>
  <c r="L590" i="3"/>
  <c r="M590" i="3" s="1"/>
  <c r="L591" i="3"/>
  <c r="M591" i="3" s="1"/>
  <c r="L592" i="3"/>
  <c r="M592" i="3" s="1"/>
  <c r="L593" i="3"/>
  <c r="M593" i="3" s="1"/>
  <c r="L594" i="3"/>
  <c r="M594" i="3" s="1"/>
  <c r="L595" i="3"/>
  <c r="M595" i="3" s="1"/>
  <c r="L596" i="3"/>
  <c r="M596" i="3" s="1"/>
  <c r="L597" i="3"/>
  <c r="M597" i="3" s="1"/>
  <c r="L598" i="3"/>
  <c r="M598" i="3" s="1"/>
  <c r="L599" i="3"/>
  <c r="M599" i="3" s="1"/>
  <c r="L600" i="3"/>
  <c r="M600" i="3" s="1"/>
  <c r="L601" i="3"/>
  <c r="M601" i="3" s="1"/>
  <c r="L602" i="3"/>
  <c r="M602" i="3" s="1"/>
  <c r="L603" i="3"/>
  <c r="M603" i="3" s="1"/>
  <c r="L604" i="3"/>
  <c r="M604" i="3" s="1"/>
  <c r="L565" i="3"/>
  <c r="M565" i="3" s="1"/>
  <c r="L566" i="3"/>
  <c r="M566" i="3" s="1"/>
  <c r="L567" i="3"/>
  <c r="M567" i="3" s="1"/>
  <c r="L568" i="3"/>
  <c r="M568" i="3" s="1"/>
  <c r="L569" i="3"/>
  <c r="M569" i="3" s="1"/>
  <c r="L570" i="3"/>
  <c r="M570" i="3" s="1"/>
  <c r="L571" i="3"/>
  <c r="M571" i="3" s="1"/>
  <c r="L572" i="3"/>
  <c r="M572" i="3" s="1"/>
  <c r="L573" i="3"/>
  <c r="M573" i="3" s="1"/>
  <c r="L574" i="3"/>
  <c r="M574" i="3" s="1"/>
  <c r="L575" i="3"/>
  <c r="M575" i="3" s="1"/>
  <c r="L576" i="3"/>
  <c r="M576" i="3" s="1"/>
  <c r="L577" i="3"/>
  <c r="M577" i="3" s="1"/>
  <c r="L578" i="3"/>
  <c r="M578" i="3" s="1"/>
  <c r="L579" i="3"/>
  <c r="M579" i="3" s="1"/>
  <c r="L580" i="3"/>
  <c r="M580" i="3" s="1"/>
  <c r="L581" i="3"/>
  <c r="M581" i="3" s="1"/>
  <c r="L582" i="3"/>
  <c r="M582" i="3" s="1"/>
  <c r="L583" i="3"/>
  <c r="M583" i="3" s="1"/>
  <c r="L584" i="3"/>
  <c r="M584" i="3" s="1"/>
  <c r="L585" i="3"/>
  <c r="M585" i="3" s="1"/>
  <c r="L586" i="3"/>
  <c r="M586" i="3" s="1"/>
  <c r="L587" i="3"/>
  <c r="M587" i="3" s="1"/>
  <c r="L552" i="3"/>
  <c r="M552" i="3" s="1"/>
  <c r="L553" i="3"/>
  <c r="M553" i="3" s="1"/>
  <c r="L554" i="3"/>
  <c r="M554" i="3" s="1"/>
  <c r="L479" i="3"/>
  <c r="M479" i="3" s="1"/>
  <c r="L564" i="3"/>
  <c r="M564" i="3" s="1"/>
  <c r="L555" i="3"/>
  <c r="M555" i="3" s="1"/>
  <c r="L556" i="3"/>
  <c r="M556" i="3" s="1"/>
  <c r="L557" i="3"/>
  <c r="M557" i="3" s="1"/>
  <c r="L558" i="3"/>
  <c r="M558" i="3" s="1"/>
  <c r="L559" i="3"/>
  <c r="M559" i="3" s="1"/>
  <c r="L560" i="3"/>
  <c r="M560" i="3" s="1"/>
  <c r="L561" i="3"/>
  <c r="M561" i="3" s="1"/>
  <c r="L562" i="3"/>
  <c r="M562" i="3" s="1"/>
  <c r="L563" i="3"/>
  <c r="M563" i="3" s="1"/>
  <c r="L527" i="3"/>
  <c r="M527" i="3" s="1"/>
  <c r="L528" i="3"/>
  <c r="M528" i="3" s="1"/>
  <c r="L529" i="3"/>
  <c r="M529" i="3" s="1"/>
  <c r="L530" i="3"/>
  <c r="M530" i="3" s="1"/>
  <c r="L531" i="3"/>
  <c r="M531" i="3" s="1"/>
  <c r="L532" i="3"/>
  <c r="M532" i="3" s="1"/>
  <c r="L533" i="3"/>
  <c r="M533" i="3" s="1"/>
  <c r="L534" i="3"/>
  <c r="M534" i="3" s="1"/>
  <c r="L535" i="3"/>
  <c r="M535" i="3" s="1"/>
  <c r="L536" i="3"/>
  <c r="M536" i="3" s="1"/>
  <c r="L537" i="3"/>
  <c r="M537" i="3" s="1"/>
  <c r="L538" i="3"/>
  <c r="M538" i="3" s="1"/>
  <c r="L539" i="3"/>
  <c r="M539" i="3" s="1"/>
  <c r="L540" i="3"/>
  <c r="M540" i="3" s="1"/>
  <c r="L541" i="3"/>
  <c r="M541" i="3" s="1"/>
  <c r="L542" i="3"/>
  <c r="M542" i="3" s="1"/>
  <c r="L713" i="3"/>
  <c r="M713" i="3" s="1"/>
  <c r="L692" i="3"/>
  <c r="M692" i="3" s="1"/>
  <c r="L550" i="3"/>
  <c r="M550" i="3" s="1"/>
  <c r="L543" i="3"/>
  <c r="M543" i="3" s="1"/>
  <c r="L544" i="3"/>
  <c r="M544" i="3" s="1"/>
  <c r="L545" i="3"/>
  <c r="M545" i="3" s="1"/>
  <c r="L546" i="3"/>
  <c r="M546" i="3" s="1"/>
  <c r="L547" i="3"/>
  <c r="M547" i="3" s="1"/>
  <c r="L512" i="3"/>
  <c r="M512" i="3" s="1"/>
  <c r="L526" i="3"/>
  <c r="M526" i="3" s="1"/>
  <c r="L513" i="3"/>
  <c r="M513" i="3" s="1"/>
  <c r="L525" i="3"/>
  <c r="M525" i="3" s="1"/>
  <c r="L514" i="3"/>
  <c r="M514" i="3" s="1"/>
  <c r="L515" i="3"/>
  <c r="M515" i="3" s="1"/>
  <c r="L516" i="3"/>
  <c r="M516" i="3" s="1"/>
  <c r="L548" i="3"/>
  <c r="M548" i="3" s="1"/>
  <c r="L517" i="3"/>
  <c r="M517" i="3" s="1"/>
  <c r="L518" i="3"/>
  <c r="M518" i="3" s="1"/>
  <c r="L519" i="3"/>
  <c r="M519" i="3" s="1"/>
  <c r="L520" i="3"/>
  <c r="M520" i="3" s="1"/>
  <c r="L521" i="3"/>
  <c r="M521" i="3" s="1"/>
  <c r="L522" i="3"/>
  <c r="M522" i="3" s="1"/>
  <c r="L523" i="3"/>
  <c r="M523" i="3" s="1"/>
  <c r="L495" i="3"/>
  <c r="M495" i="3" s="1"/>
  <c r="L496" i="3"/>
  <c r="M496" i="3" s="1"/>
  <c r="L497" i="3"/>
  <c r="M497" i="3" s="1"/>
  <c r="L498" i="3"/>
  <c r="M498" i="3" s="1"/>
  <c r="L499" i="3"/>
  <c r="M499" i="3" s="1"/>
  <c r="L500" i="3"/>
  <c r="M500" i="3" s="1"/>
  <c r="L501" i="3"/>
  <c r="M501" i="3" s="1"/>
  <c r="L502" i="3"/>
  <c r="M502" i="3" s="1"/>
  <c r="L503" i="3"/>
  <c r="M503" i="3" s="1"/>
  <c r="L504" i="3"/>
  <c r="M504" i="3" s="1"/>
  <c r="L505" i="3"/>
  <c r="M505" i="3" s="1"/>
  <c r="L506" i="3"/>
  <c r="M506" i="3" s="1"/>
  <c r="L507" i="3"/>
  <c r="M507" i="3" s="1"/>
  <c r="L508" i="3"/>
  <c r="M508" i="3" s="1"/>
  <c r="L509" i="3"/>
  <c r="M509" i="3" s="1"/>
  <c r="L510" i="3"/>
  <c r="M510" i="3" s="1"/>
  <c r="L511" i="3"/>
  <c r="M511" i="3" s="1"/>
  <c r="L549" i="3"/>
  <c r="M549" i="3" s="1"/>
  <c r="L491" i="3"/>
  <c r="M491" i="3" s="1"/>
  <c r="L492" i="3"/>
  <c r="M492" i="3" s="1"/>
  <c r="L493" i="3"/>
  <c r="M493" i="3" s="1"/>
  <c r="L480" i="3"/>
  <c r="M480" i="3" s="1"/>
  <c r="L481" i="3"/>
  <c r="M481" i="3" s="1"/>
  <c r="L482" i="3"/>
  <c r="M482" i="3" s="1"/>
  <c r="L377" i="3"/>
  <c r="M377" i="3" s="1"/>
  <c r="L483" i="3"/>
  <c r="M483" i="3" s="1"/>
  <c r="L484" i="3"/>
  <c r="M484" i="3" s="1"/>
  <c r="L478" i="3"/>
  <c r="M478" i="3" s="1"/>
  <c r="L485" i="3"/>
  <c r="M485" i="3" s="1"/>
  <c r="L486" i="3"/>
  <c r="M486" i="3" s="1"/>
  <c r="L487" i="3"/>
  <c r="M487" i="3" s="1"/>
  <c r="L488" i="3"/>
  <c r="M488" i="3" s="1"/>
  <c r="L1372" i="3"/>
  <c r="L489" i="3"/>
  <c r="M489" i="3" s="1"/>
  <c r="L460" i="3"/>
  <c r="M460" i="3" s="1"/>
  <c r="L524" i="3"/>
  <c r="M524" i="3" s="1"/>
  <c r="L461" i="3"/>
  <c r="M461" i="3" s="1"/>
  <c r="L462" i="3"/>
  <c r="M462" i="3" s="1"/>
  <c r="L463" i="3"/>
  <c r="M463" i="3" s="1"/>
  <c r="L464" i="3"/>
  <c r="M464" i="3" s="1"/>
  <c r="L465" i="3"/>
  <c r="M465" i="3" s="1"/>
  <c r="L466" i="3"/>
  <c r="M466" i="3" s="1"/>
  <c r="L467" i="3"/>
  <c r="M467" i="3" s="1"/>
  <c r="L468" i="3"/>
  <c r="M468" i="3" s="1"/>
  <c r="L469" i="3"/>
  <c r="M469" i="3" s="1"/>
  <c r="L470" i="3"/>
  <c r="M470" i="3" s="1"/>
  <c r="L471" i="3"/>
  <c r="M471" i="3" s="1"/>
  <c r="L472" i="3"/>
  <c r="M472" i="3" s="1"/>
  <c r="L473" i="3"/>
  <c r="M473" i="3" s="1"/>
  <c r="L474" i="3"/>
  <c r="M474" i="3" s="1"/>
  <c r="L477" i="3"/>
  <c r="M477" i="3" s="1"/>
  <c r="L475" i="3"/>
  <c r="M475" i="3" s="1"/>
  <c r="L447" i="3"/>
  <c r="M447" i="3" s="1"/>
  <c r="L448" i="3"/>
  <c r="M448" i="3" s="1"/>
  <c r="L449" i="3"/>
  <c r="M449" i="3" s="1"/>
  <c r="L450" i="3"/>
  <c r="M450" i="3" s="1"/>
  <c r="L451" i="3"/>
  <c r="M451" i="3" s="1"/>
  <c r="L446" i="3"/>
  <c r="M446" i="3" s="1"/>
  <c r="L452" i="3"/>
  <c r="M452" i="3" s="1"/>
  <c r="L453" i="3"/>
  <c r="M453" i="3" s="1"/>
  <c r="L454" i="3"/>
  <c r="M454" i="3" s="1"/>
  <c r="L455" i="3"/>
  <c r="M455" i="3" s="1"/>
  <c r="L494" i="3"/>
  <c r="M494" i="3" s="1"/>
  <c r="L456" i="3"/>
  <c r="M456" i="3" s="1"/>
  <c r="L457" i="3"/>
  <c r="M457" i="3" s="1"/>
  <c r="L458" i="3"/>
  <c r="M458" i="3" s="1"/>
  <c r="L459" i="3"/>
  <c r="M459" i="3" s="1"/>
  <c r="L439" i="3"/>
  <c r="M439" i="3" s="1"/>
  <c r="L440" i="3"/>
  <c r="M440" i="3" s="1"/>
  <c r="L441" i="3"/>
  <c r="M441" i="3" s="1"/>
  <c r="L442" i="3"/>
  <c r="M442" i="3" s="1"/>
  <c r="L443" i="3"/>
  <c r="M443" i="3" s="1"/>
  <c r="L444" i="3"/>
  <c r="M444" i="3" s="1"/>
  <c r="L426" i="3"/>
  <c r="M426" i="3" s="1"/>
  <c r="L427" i="3"/>
  <c r="M427" i="3" s="1"/>
  <c r="L428" i="3"/>
  <c r="M428" i="3" s="1"/>
  <c r="L429" i="3"/>
  <c r="M429" i="3" s="1"/>
  <c r="L430" i="3"/>
  <c r="M430" i="3" s="1"/>
  <c r="L431" i="3"/>
  <c r="M431" i="3" s="1"/>
  <c r="L432" i="3"/>
  <c r="M432" i="3" s="1"/>
  <c r="L433" i="3"/>
  <c r="M433" i="3" s="1"/>
  <c r="L434" i="3"/>
  <c r="M434" i="3" s="1"/>
  <c r="L435" i="3"/>
  <c r="M435" i="3" s="1"/>
  <c r="L396" i="3"/>
  <c r="M396" i="3" s="1"/>
  <c r="L397" i="3"/>
  <c r="M397" i="3" s="1"/>
  <c r="L398" i="3"/>
  <c r="M398" i="3" s="1"/>
  <c r="L399" i="3"/>
  <c r="M399" i="3" s="1"/>
  <c r="L400" i="3"/>
  <c r="M400" i="3" s="1"/>
  <c r="L401" i="3"/>
  <c r="M401" i="3" s="1"/>
  <c r="L402" i="3"/>
  <c r="M402" i="3" s="1"/>
  <c r="L403" i="3"/>
  <c r="M403" i="3" s="1"/>
  <c r="L404" i="3"/>
  <c r="M404" i="3" s="1"/>
  <c r="L405" i="3"/>
  <c r="M405" i="3" s="1"/>
  <c r="L406" i="3"/>
  <c r="M406" i="3" s="1"/>
  <c r="L407" i="3"/>
  <c r="M407" i="3" s="1"/>
  <c r="L408" i="3"/>
  <c r="M408" i="3" s="1"/>
  <c r="L409" i="3"/>
  <c r="M409" i="3" s="1"/>
  <c r="L410" i="3"/>
  <c r="M410" i="3" s="1"/>
  <c r="L411" i="3"/>
  <c r="M411" i="3" s="1"/>
  <c r="L412" i="3"/>
  <c r="M412" i="3" s="1"/>
  <c r="L413" i="3"/>
  <c r="M413" i="3" s="1"/>
  <c r="L414" i="3"/>
  <c r="M414" i="3" s="1"/>
  <c r="L476" i="3"/>
  <c r="M476" i="3" s="1"/>
  <c r="L415" i="3"/>
  <c r="M415" i="3" s="1"/>
  <c r="L416" i="3"/>
  <c r="M416" i="3" s="1"/>
  <c r="L436" i="3"/>
  <c r="M436" i="3" s="1"/>
  <c r="L437" i="3"/>
  <c r="M437" i="3" s="1"/>
  <c r="L417" i="3"/>
  <c r="M417" i="3" s="1"/>
  <c r="L418" i="3"/>
  <c r="M418" i="3" s="1"/>
  <c r="L419" i="3"/>
  <c r="M419" i="3" s="1"/>
  <c r="L420" i="3"/>
  <c r="M420" i="3" s="1"/>
  <c r="L421" i="3"/>
  <c r="M421" i="3" s="1"/>
  <c r="L378" i="3"/>
  <c r="M378" i="3" s="1"/>
  <c r="L379" i="3"/>
  <c r="M379" i="3" s="1"/>
  <c r="L380" i="3"/>
  <c r="M380" i="3" s="1"/>
  <c r="L381" i="3"/>
  <c r="M381" i="3" s="1"/>
  <c r="L382" i="3"/>
  <c r="M382" i="3" s="1"/>
  <c r="L383" i="3"/>
  <c r="M383" i="3" s="1"/>
  <c r="L384" i="3"/>
  <c r="M384" i="3" s="1"/>
  <c r="L385" i="3"/>
  <c r="M385" i="3" s="1"/>
  <c r="L386" i="3"/>
  <c r="M386" i="3" s="1"/>
  <c r="L387" i="3"/>
  <c r="M387" i="3" s="1"/>
  <c r="L388" i="3"/>
  <c r="M388" i="3" s="1"/>
  <c r="L389" i="3"/>
  <c r="M389" i="3" s="1"/>
  <c r="L390" i="3"/>
  <c r="M390" i="3" s="1"/>
  <c r="L391" i="3"/>
  <c r="M391" i="3" s="1"/>
  <c r="L392" i="3"/>
  <c r="M392" i="3" s="1"/>
  <c r="L393" i="3"/>
  <c r="M393" i="3" s="1"/>
  <c r="L394" i="3"/>
  <c r="M394" i="3" s="1"/>
  <c r="L369" i="3"/>
  <c r="M369" i="3" s="1"/>
  <c r="L370" i="3"/>
  <c r="M370" i="3" s="1"/>
  <c r="L310" i="3"/>
  <c r="M310" i="3" s="1"/>
  <c r="L422" i="3"/>
  <c r="M422" i="3" s="1"/>
  <c r="L376" i="3"/>
  <c r="M376" i="3" s="1"/>
  <c r="L371" i="3"/>
  <c r="M371" i="3" s="1"/>
  <c r="L372" i="3"/>
  <c r="M372" i="3" s="1"/>
  <c r="L352" i="3"/>
  <c r="M352" i="3" s="1"/>
  <c r="L353" i="3"/>
  <c r="M353" i="3" s="1"/>
  <c r="L354" i="3"/>
  <c r="M354" i="3" s="1"/>
  <c r="L355" i="3"/>
  <c r="M355" i="3" s="1"/>
  <c r="L373" i="3"/>
  <c r="M373" i="3" s="1"/>
  <c r="L356" i="3"/>
  <c r="M356" i="3" s="1"/>
  <c r="L357" i="3"/>
  <c r="M357" i="3" s="1"/>
  <c r="L344" i="3"/>
  <c r="M344" i="3" s="1"/>
  <c r="L345" i="3"/>
  <c r="M345" i="3" s="1"/>
  <c r="L346" i="3"/>
  <c r="M346" i="3" s="1"/>
  <c r="L347" i="3"/>
  <c r="M347" i="3" s="1"/>
  <c r="L334" i="3"/>
  <c r="M334" i="3" s="1"/>
  <c r="L335" i="3"/>
  <c r="M335" i="3" s="1"/>
  <c r="L336" i="3"/>
  <c r="M336" i="3" s="1"/>
  <c r="L337" i="3"/>
  <c r="M337" i="3" s="1"/>
  <c r="L338" i="3"/>
  <c r="M338" i="3" s="1"/>
  <c r="L339" i="3"/>
  <c r="M339" i="3" s="1"/>
  <c r="L340" i="3"/>
  <c r="M340" i="3" s="1"/>
  <c r="L341" i="3"/>
  <c r="M341" i="3" s="1"/>
  <c r="L326" i="3"/>
  <c r="M326" i="3" s="1"/>
  <c r="L327" i="3"/>
  <c r="M327" i="3" s="1"/>
  <c r="L329" i="3"/>
  <c r="M329" i="3" s="1"/>
  <c r="L330" i="3"/>
  <c r="M330" i="3" s="1"/>
  <c r="L328" i="3"/>
  <c r="M328" i="3" s="1"/>
  <c r="L331" i="3"/>
  <c r="M331" i="3" s="1"/>
  <c r="L358" i="3"/>
  <c r="M358" i="3" s="1"/>
  <c r="L276" i="3"/>
  <c r="M276" i="3" s="1"/>
  <c r="L277" i="3"/>
  <c r="M277" i="3" s="1"/>
  <c r="L278" i="3"/>
  <c r="M278" i="3" s="1"/>
  <c r="L279" i="3"/>
  <c r="M279" i="3" s="1"/>
  <c r="L280" i="3"/>
  <c r="M280" i="3" s="1"/>
  <c r="L281" i="3"/>
  <c r="M281" i="3" s="1"/>
  <c r="L282" i="3"/>
  <c r="M282" i="3" s="1"/>
  <c r="L283" i="3"/>
  <c r="M283" i="3" s="1"/>
  <c r="L284" i="3"/>
  <c r="M284" i="3" s="1"/>
  <c r="L254" i="3"/>
  <c r="M254" i="3" s="1"/>
  <c r="L285" i="3"/>
  <c r="M285" i="3" s="1"/>
  <c r="L286" i="3"/>
  <c r="M286" i="3" s="1"/>
  <c r="L287" i="3"/>
  <c r="M287" i="3" s="1"/>
  <c r="L288" i="3"/>
  <c r="M288" i="3" s="1"/>
  <c r="L289" i="3"/>
  <c r="M289" i="3" s="1"/>
  <c r="L290" i="3"/>
  <c r="M290" i="3" s="1"/>
  <c r="L291" i="3"/>
  <c r="M291" i="3" s="1"/>
  <c r="L292" i="3"/>
  <c r="M292" i="3" s="1"/>
  <c r="L293" i="3"/>
  <c r="M293" i="3" s="1"/>
  <c r="L438" i="3"/>
  <c r="M438" i="3" s="1"/>
  <c r="L294" i="3"/>
  <c r="M294" i="3" s="1"/>
  <c r="L295" i="3"/>
  <c r="M295" i="3" s="1"/>
  <c r="L255" i="3"/>
  <c r="M255" i="3" s="1"/>
  <c r="L256" i="3"/>
  <c r="M256" i="3" s="1"/>
  <c r="L374" i="3"/>
  <c r="M374" i="3" s="1"/>
  <c r="L257" i="3"/>
  <c r="M257" i="3" s="1"/>
  <c r="L258" i="3"/>
  <c r="M258" i="3" s="1"/>
  <c r="L296" i="3"/>
  <c r="M296" i="3" s="1"/>
  <c r="L359" i="3"/>
  <c r="M359" i="3" s="1"/>
  <c r="L348" i="3"/>
  <c r="M348" i="3" s="1"/>
  <c r="L259" i="3"/>
  <c r="M259" i="3" s="1"/>
  <c r="L240" i="3"/>
  <c r="M240" i="3" s="1"/>
  <c r="L260" i="3"/>
  <c r="M260" i="3" s="1"/>
  <c r="L241" i="3"/>
  <c r="M241" i="3" s="1"/>
  <c r="L242" i="3"/>
  <c r="M242" i="3" s="1"/>
  <c r="L243" i="3"/>
  <c r="M243" i="3" s="1"/>
  <c r="L244" i="3"/>
  <c r="M244" i="3" s="1"/>
  <c r="L261" i="3"/>
  <c r="M261" i="3" s="1"/>
  <c r="L262" i="3"/>
  <c r="M262" i="3" s="1"/>
  <c r="L263" i="3"/>
  <c r="M263" i="3" s="1"/>
  <c r="L264" i="3"/>
  <c r="M264" i="3" s="1"/>
  <c r="L265" i="3"/>
  <c r="M265" i="3" s="1"/>
  <c r="L360" i="3"/>
  <c r="M360" i="3" s="1"/>
  <c r="L361" i="3"/>
  <c r="M361" i="3" s="1"/>
  <c r="L362" i="3"/>
  <c r="M362" i="3" s="1"/>
  <c r="L363" i="3"/>
  <c r="M363" i="3" s="1"/>
  <c r="L245" i="3"/>
  <c r="M245" i="3" s="1"/>
  <c r="L364" i="3"/>
  <c r="M364" i="3" s="1"/>
  <c r="L266" i="3"/>
  <c r="M266" i="3" s="1"/>
  <c r="L267" i="3"/>
  <c r="M267" i="3" s="1"/>
  <c r="L268" i="3"/>
  <c r="M268" i="3" s="1"/>
  <c r="L269" i="3"/>
  <c r="M269" i="3" s="1"/>
  <c r="L246" i="3"/>
  <c r="M246" i="3" s="1"/>
  <c r="L247" i="3"/>
  <c r="M247" i="3" s="1"/>
  <c r="L225" i="3"/>
  <c r="M225" i="3" s="1"/>
  <c r="L248" i="3"/>
  <c r="M248" i="3" s="1"/>
  <c r="L365" i="3"/>
  <c r="M365" i="3" s="1"/>
  <c r="L249" i="3"/>
  <c r="M249" i="3" s="1"/>
  <c r="L226" i="3"/>
  <c r="M226" i="3" s="1"/>
  <c r="L423" i="3"/>
  <c r="M423" i="3" s="1"/>
  <c r="L227" i="3"/>
  <c r="M227" i="3" s="1"/>
  <c r="L228" i="3"/>
  <c r="M228" i="3" s="1"/>
  <c r="L229" i="3"/>
  <c r="M229" i="3" s="1"/>
  <c r="L230" i="3"/>
  <c r="M230" i="3" s="1"/>
  <c r="L231" i="3"/>
  <c r="M231" i="3" s="1"/>
  <c r="L366" i="3"/>
  <c r="M366" i="3" s="1"/>
  <c r="L232" i="3"/>
  <c r="M232" i="3" s="1"/>
  <c r="L208" i="3"/>
  <c r="M208" i="3" s="1"/>
  <c r="L209" i="3"/>
  <c r="M209" i="3" s="1"/>
  <c r="L233" i="3"/>
  <c r="M233" i="3" s="1"/>
  <c r="L210" i="3"/>
  <c r="M210" i="3" s="1"/>
  <c r="L234" i="3"/>
  <c r="M234" i="3" s="1"/>
  <c r="L211" i="3"/>
  <c r="M211" i="3" s="1"/>
  <c r="L181" i="3"/>
  <c r="M181" i="3" s="1"/>
  <c r="L250" i="3"/>
  <c r="M250" i="3" s="1"/>
  <c r="L212" i="3"/>
  <c r="M212" i="3" s="1"/>
  <c r="L213" i="3"/>
  <c r="M213" i="3" s="1"/>
  <c r="L182" i="3"/>
  <c r="M182" i="3" s="1"/>
  <c r="L183" i="3"/>
  <c r="M183" i="3" s="1"/>
  <c r="L214" i="3"/>
  <c r="M214" i="3" s="1"/>
  <c r="L184" i="3"/>
  <c r="M184" i="3" s="1"/>
  <c r="L185" i="3"/>
  <c r="M185" i="3" s="1"/>
  <c r="L186" i="3"/>
  <c r="M186" i="3" s="1"/>
  <c r="L187" i="3"/>
  <c r="M187" i="3" s="1"/>
  <c r="L188" i="3"/>
  <c r="M188" i="3" s="1"/>
  <c r="L180" i="3"/>
  <c r="M180" i="3" s="1"/>
  <c r="L235" i="3"/>
  <c r="M235" i="3" s="1"/>
  <c r="L236" i="3"/>
  <c r="M236" i="3" s="1"/>
  <c r="L189" i="3"/>
  <c r="M189" i="3" s="1"/>
  <c r="L172" i="3"/>
  <c r="M172" i="3" s="1"/>
  <c r="L204" i="3"/>
  <c r="M204" i="3" s="1"/>
  <c r="L173" i="3"/>
  <c r="M173" i="3" s="1"/>
  <c r="L174" i="3"/>
  <c r="M174" i="3" s="1"/>
  <c r="L190" i="3"/>
  <c r="M190" i="3" s="1"/>
  <c r="L251" i="3"/>
  <c r="M251" i="3" s="1"/>
  <c r="L237" i="3"/>
  <c r="M237" i="3" s="1"/>
  <c r="L165" i="3"/>
  <c r="M165" i="3" s="1"/>
  <c r="L150" i="3"/>
  <c r="M150" i="3" s="1"/>
  <c r="L151" i="3"/>
  <c r="M151" i="3" s="1"/>
  <c r="L152" i="3"/>
  <c r="M152" i="3" s="1"/>
  <c r="L153" i="3"/>
  <c r="M153" i="3" s="1"/>
  <c r="L154" i="3"/>
  <c r="M154" i="3" s="1"/>
  <c r="L155" i="3"/>
  <c r="M155" i="3" s="1"/>
  <c r="L156" i="3"/>
  <c r="M156" i="3" s="1"/>
  <c r="L137" i="3"/>
  <c r="M137" i="3" s="1"/>
  <c r="L367" i="3"/>
  <c r="M367" i="3" s="1"/>
  <c r="L138" i="3"/>
  <c r="M138" i="3" s="1"/>
  <c r="L139" i="3"/>
  <c r="M139" i="3" s="1"/>
  <c r="L140" i="3"/>
  <c r="M140" i="3" s="1"/>
  <c r="L141" i="3"/>
  <c r="M141" i="3" s="1"/>
  <c r="L129" i="3"/>
  <c r="M129" i="3" s="1"/>
  <c r="L130" i="3"/>
  <c r="M130" i="3" s="1"/>
  <c r="L131" i="3"/>
  <c r="M131" i="3" s="1"/>
  <c r="L132" i="3"/>
  <c r="M132" i="3" s="1"/>
  <c r="L127" i="3"/>
  <c r="M127" i="3" s="1"/>
  <c r="L128" i="3"/>
  <c r="M128" i="3" s="1"/>
  <c r="L121" i="3"/>
  <c r="M121" i="3" s="1"/>
  <c r="L122" i="3"/>
  <c r="M122" i="3" s="1"/>
  <c r="L123" i="3"/>
  <c r="M123" i="3" s="1"/>
  <c r="L124" i="3"/>
  <c r="M124" i="3" s="1"/>
  <c r="L114" i="3"/>
  <c r="M114" i="3" s="1"/>
  <c r="L115" i="3"/>
  <c r="M115" i="3" s="1"/>
  <c r="L116" i="3"/>
  <c r="M116" i="3" s="1"/>
  <c r="L117" i="3"/>
  <c r="M117" i="3" s="1"/>
  <c r="L118" i="3"/>
  <c r="M118" i="3" s="1"/>
  <c r="L119" i="3"/>
  <c r="M119" i="3" s="1"/>
  <c r="L88" i="3"/>
  <c r="M88" i="3" s="1"/>
  <c r="L89" i="3"/>
  <c r="M89" i="3" s="1"/>
  <c r="L90" i="3"/>
  <c r="M90" i="3" s="1"/>
  <c r="L91" i="3"/>
  <c r="M91" i="3" s="1"/>
  <c r="L113" i="3"/>
  <c r="M113" i="3" s="1"/>
  <c r="L77" i="3"/>
  <c r="M77" i="3" s="1"/>
  <c r="L55" i="3"/>
  <c r="M55" i="3" s="1"/>
  <c r="L28" i="3"/>
  <c r="M28" i="3" s="1"/>
  <c r="L29" i="3"/>
  <c r="M29" i="3" s="1"/>
  <c r="L30" i="3"/>
  <c r="M30" i="3" s="1"/>
  <c r="L31" i="3"/>
  <c r="M31" i="3" s="1"/>
  <c r="L2" i="3"/>
  <c r="L3" i="3"/>
  <c r="M3" i="3" s="1"/>
  <c r="L693" i="3"/>
  <c r="M693" i="3" s="1"/>
  <c r="L631" i="3"/>
  <c r="M631" i="3" s="1"/>
  <c r="L632" i="3"/>
  <c r="M632" i="3" s="1"/>
  <c r="L633" i="3"/>
  <c r="M633" i="3" s="1"/>
  <c r="L634" i="3"/>
  <c r="M634" i="3" s="1"/>
  <c r="L605" i="3"/>
  <c r="M605" i="3" s="1"/>
  <c r="L606" i="3"/>
  <c r="M606" i="3" s="1"/>
  <c r="L588" i="3"/>
  <c r="M588" i="3" s="1"/>
  <c r="L589" i="3"/>
  <c r="M589" i="3" s="1"/>
  <c r="L375" i="3"/>
  <c r="M375" i="3" s="1"/>
  <c r="L297" i="3"/>
  <c r="M297" i="3" s="1"/>
  <c r="L311" i="3"/>
  <c r="M311" i="3" s="1"/>
  <c r="L312" i="3"/>
  <c r="M312" i="3" s="1"/>
  <c r="L313" i="3"/>
  <c r="M313" i="3" s="1"/>
  <c r="L314" i="3"/>
  <c r="M314" i="3" s="1"/>
  <c r="L315" i="3"/>
  <c r="M315" i="3" s="1"/>
  <c r="L316" i="3"/>
  <c r="M316" i="3" s="1"/>
  <c r="L317" i="3"/>
  <c r="M317" i="3" s="1"/>
  <c r="L318" i="3"/>
  <c r="M318" i="3" s="1"/>
  <c r="L319" i="3"/>
  <c r="M319" i="3" s="1"/>
  <c r="L320" i="3"/>
  <c r="M320" i="3" s="1"/>
  <c r="L325" i="3"/>
  <c r="M325" i="3" s="1"/>
  <c r="L321" i="3"/>
  <c r="M321" i="3" s="1"/>
  <c r="L322" i="3"/>
  <c r="M322" i="3" s="1"/>
  <c r="L424" i="3"/>
  <c r="M424" i="3" s="1"/>
  <c r="L215" i="3"/>
  <c r="M215" i="3" s="1"/>
  <c r="L425" i="3"/>
  <c r="M425" i="3" s="1"/>
  <c r="L395" i="3"/>
  <c r="M395" i="3" s="1"/>
  <c r="L166" i="3"/>
  <c r="M166" i="3" s="1"/>
  <c r="L144" i="3"/>
  <c r="M144" i="3" s="1"/>
  <c r="L133" i="3"/>
  <c r="M133" i="3" s="1"/>
  <c r="L368" i="3"/>
  <c r="M368" i="3" s="1"/>
  <c r="L349" i="3"/>
  <c r="M349" i="3" s="1"/>
  <c r="L350" i="3"/>
  <c r="M350" i="3" s="1"/>
  <c r="L351" i="3"/>
  <c r="M351" i="3" s="1"/>
  <c r="L342" i="3"/>
  <c r="M342" i="3" s="1"/>
  <c r="L343" i="3"/>
  <c r="M343" i="3" s="1"/>
  <c r="L332" i="3"/>
  <c r="M332" i="3" s="1"/>
  <c r="L333" i="3"/>
  <c r="M333" i="3" s="1"/>
  <c r="L323" i="3"/>
  <c r="M323" i="3" s="1"/>
  <c r="L298" i="3"/>
  <c r="M298" i="3" s="1"/>
  <c r="L299" i="3"/>
  <c r="M299" i="3" s="1"/>
  <c r="L32" i="3"/>
  <c r="M32" i="3" s="1"/>
  <c r="L300" i="3"/>
  <c r="M300" i="3" s="1"/>
  <c r="L635" i="3"/>
  <c r="M635" i="3" s="1"/>
  <c r="L301" i="3"/>
  <c r="M301" i="3" s="1"/>
  <c r="L92" i="3"/>
  <c r="M92" i="3" s="1"/>
  <c r="L302" i="3"/>
  <c r="M302" i="3" s="1"/>
  <c r="L303" i="3"/>
  <c r="M303" i="3" s="1"/>
  <c r="L304" i="3"/>
  <c r="M304" i="3" s="1"/>
  <c r="L270" i="3"/>
  <c r="M270" i="3" s="1"/>
  <c r="L305" i="3"/>
  <c r="M305" i="3" s="1"/>
  <c r="L271" i="3"/>
  <c r="M271" i="3" s="1"/>
  <c r="L306" i="3"/>
  <c r="M306" i="3" s="1"/>
  <c r="L307" i="3"/>
  <c r="M307" i="3" s="1"/>
  <c r="L272" i="3"/>
  <c r="M272" i="3" s="1"/>
  <c r="L273" i="3"/>
  <c r="M273" i="3" s="1"/>
  <c r="L274" i="3"/>
  <c r="M274" i="3" s="1"/>
  <c r="L275" i="3"/>
  <c r="M275" i="3" s="1"/>
  <c r="L252" i="3"/>
  <c r="M252" i="3" s="1"/>
  <c r="L253" i="3"/>
  <c r="M253" i="3" s="1"/>
  <c r="L238" i="3"/>
  <c r="M238" i="3" s="1"/>
  <c r="L61" i="3"/>
  <c r="M61" i="3" s="1"/>
  <c r="L216" i="3"/>
  <c r="M216" i="3" s="1"/>
  <c r="L217" i="3"/>
  <c r="M217" i="3" s="1"/>
  <c r="L207" i="3"/>
  <c r="M207" i="3" s="1"/>
  <c r="L218" i="3"/>
  <c r="M218" i="3" s="1"/>
  <c r="L219" i="3"/>
  <c r="M219" i="3" s="1"/>
  <c r="L220" i="3"/>
  <c r="M220" i="3" s="1"/>
  <c r="L191" i="3"/>
  <c r="M191" i="3" s="1"/>
  <c r="L192" i="3"/>
  <c r="M192" i="3" s="1"/>
  <c r="L193" i="3"/>
  <c r="M193" i="3" s="1"/>
  <c r="L194" i="3"/>
  <c r="M194" i="3" s="1"/>
  <c r="L195" i="3"/>
  <c r="M195" i="3" s="1"/>
  <c r="L196" i="3"/>
  <c r="M196" i="3" s="1"/>
  <c r="L197" i="3"/>
  <c r="M197" i="3" s="1"/>
  <c r="L175" i="3"/>
  <c r="M175" i="3" s="1"/>
  <c r="L176" i="3"/>
  <c r="M176" i="3" s="1"/>
  <c r="L167" i="3"/>
  <c r="M167" i="3" s="1"/>
  <c r="L62" i="3"/>
  <c r="M62" i="3" s="1"/>
  <c r="L168" i="3"/>
  <c r="M168" i="3" s="1"/>
  <c r="L163" i="3"/>
  <c r="M163" i="3" s="1"/>
  <c r="L169" i="3"/>
  <c r="M169" i="3" s="1"/>
  <c r="L170" i="3"/>
  <c r="M170" i="3" s="1"/>
  <c r="L157" i="3"/>
  <c r="M157" i="3" s="1"/>
  <c r="L158" i="3"/>
  <c r="M158" i="3" s="1"/>
  <c r="L159" i="3"/>
  <c r="M159" i="3" s="1"/>
  <c r="L145" i="3"/>
  <c r="M145" i="3" s="1"/>
  <c r="L146" i="3"/>
  <c r="M146" i="3" s="1"/>
  <c r="L147" i="3"/>
  <c r="M147" i="3" s="1"/>
  <c r="L148" i="3"/>
  <c r="M148" i="3" s="1"/>
  <c r="L897" i="3"/>
  <c r="M897" i="3" s="1"/>
  <c r="L142" i="3"/>
  <c r="M142" i="3" s="1"/>
  <c r="L134" i="3"/>
  <c r="M134" i="3" s="1"/>
  <c r="L898" i="3"/>
  <c r="M898" i="3" s="1"/>
  <c r="L120" i="3"/>
  <c r="M120" i="3" s="1"/>
  <c r="L93" i="3"/>
  <c r="M93" i="3" s="1"/>
  <c r="L94" i="3"/>
  <c r="M94" i="3" s="1"/>
  <c r="L95" i="3"/>
  <c r="M95" i="3" s="1"/>
  <c r="L96" i="3"/>
  <c r="M96" i="3" s="1"/>
  <c r="L1064" i="3"/>
  <c r="M1064" i="3" s="1"/>
  <c r="L97" i="3"/>
  <c r="M97" i="3" s="1"/>
  <c r="L98" i="3"/>
  <c r="M98" i="3" s="1"/>
  <c r="L99" i="3"/>
  <c r="M99" i="3" s="1"/>
  <c r="L100" i="3"/>
  <c r="M100" i="3" s="1"/>
  <c r="L69" i="3"/>
  <c r="M69" i="3" s="1"/>
  <c r="L101" i="3"/>
  <c r="M101" i="3" s="1"/>
  <c r="L102" i="3"/>
  <c r="M102" i="3" s="1"/>
  <c r="L103" i="3"/>
  <c r="M103" i="3" s="1"/>
  <c r="L63" i="3"/>
  <c r="M63" i="3" s="1"/>
  <c r="L64" i="3"/>
  <c r="M64" i="3" s="1"/>
  <c r="L104" i="3"/>
  <c r="M104" i="3" s="1"/>
  <c r="L78" i="3"/>
  <c r="M78" i="3" s="1"/>
  <c r="L79" i="3"/>
  <c r="M79" i="3" s="1"/>
  <c r="L65" i="3"/>
  <c r="M65" i="3" s="1"/>
  <c r="L80" i="3"/>
  <c r="M80" i="3" s="1"/>
  <c r="L81" i="3"/>
  <c r="M81" i="3" s="1"/>
  <c r="L82" i="3"/>
  <c r="M82" i="3" s="1"/>
  <c r="L83" i="3"/>
  <c r="M83" i="3" s="1"/>
  <c r="L84" i="3"/>
  <c r="M84" i="3" s="1"/>
  <c r="L70" i="3"/>
  <c r="M70" i="3" s="1"/>
  <c r="L71" i="3"/>
  <c r="M71" i="3" s="1"/>
  <c r="L1041" i="3"/>
  <c r="M1041" i="3" s="1"/>
  <c r="L636" i="3"/>
  <c r="M636" i="3" s="1"/>
  <c r="L56" i="3"/>
  <c r="M56" i="3" s="1"/>
  <c r="L66" i="3"/>
  <c r="M66" i="3" s="1"/>
  <c r="L324" i="3"/>
  <c r="M324" i="3" s="1"/>
  <c r="L57" i="3"/>
  <c r="M57" i="3" s="1"/>
  <c r="L67" i="3"/>
  <c r="M67" i="3" s="1"/>
  <c r="L58" i="3"/>
  <c r="M58" i="3" s="1"/>
  <c r="L59" i="3"/>
  <c r="M59" i="3" s="1"/>
  <c r="L60" i="3"/>
  <c r="M60" i="3" s="1"/>
  <c r="L33" i="3"/>
  <c r="M33" i="3" s="1"/>
  <c r="L27" i="3"/>
  <c r="M27" i="3" s="1"/>
  <c r="L6" i="3"/>
  <c r="M6" i="3" s="1"/>
  <c r="L7" i="3"/>
  <c r="M7" i="3" s="1"/>
  <c r="L8" i="3"/>
  <c r="M8" i="3" s="1"/>
  <c r="L9" i="3"/>
  <c r="M9" i="3" s="1"/>
  <c r="L10" i="3"/>
  <c r="M10" i="3" s="1"/>
  <c r="L105" i="3"/>
  <c r="M105" i="3" s="1"/>
  <c r="L72" i="3"/>
  <c r="M72" i="3" s="1"/>
  <c r="L73" i="3"/>
  <c r="M73" i="3" s="1"/>
  <c r="L74" i="3"/>
  <c r="M74" i="3" s="1"/>
  <c r="L34" i="3"/>
  <c r="M34" i="3" s="1"/>
  <c r="L11" i="3"/>
  <c r="M11" i="3" s="1"/>
  <c r="L35" i="3"/>
  <c r="M35" i="3" s="1"/>
  <c r="L36" i="3"/>
  <c r="M36" i="3" s="1"/>
  <c r="L37" i="3"/>
  <c r="M37" i="3" s="1"/>
  <c r="L38" i="3"/>
  <c r="M38" i="3" s="1"/>
  <c r="L39" i="3"/>
  <c r="M39" i="3" s="1"/>
  <c r="L40" i="3"/>
  <c r="M40" i="3" s="1"/>
  <c r="L41" i="3"/>
  <c r="M41" i="3" s="1"/>
  <c r="L42" i="3"/>
  <c r="M42" i="3" s="1"/>
  <c r="L53" i="3"/>
  <c r="M53" i="3" s="1"/>
  <c r="L43" i="3"/>
  <c r="M43" i="3" s="1"/>
  <c r="L44" i="3"/>
  <c r="M44" i="3" s="1"/>
  <c r="L45" i="3"/>
  <c r="M45" i="3" s="1"/>
  <c r="L54" i="3"/>
  <c r="M54" i="3" s="1"/>
  <c r="L46" i="3"/>
  <c r="M46" i="3" s="1"/>
  <c r="L47" i="3"/>
  <c r="M47" i="3" s="1"/>
  <c r="L48" i="3"/>
  <c r="M48" i="3" s="1"/>
  <c r="L49" i="3"/>
  <c r="M49" i="3" s="1"/>
  <c r="L50" i="3"/>
  <c r="M50" i="3" s="1"/>
  <c r="L51" i="3"/>
  <c r="M51" i="3" s="1"/>
  <c r="L12" i="3"/>
  <c r="M12" i="3" s="1"/>
  <c r="L13" i="3"/>
  <c r="M13" i="3" s="1"/>
  <c r="L14" i="3"/>
  <c r="M14" i="3" s="1"/>
  <c r="L15" i="3"/>
  <c r="M15" i="3" s="1"/>
  <c r="L16" i="3"/>
  <c r="M16" i="3" s="1"/>
  <c r="L17" i="3"/>
  <c r="M17" i="3" s="1"/>
  <c r="L18" i="3"/>
  <c r="M18" i="3" s="1"/>
  <c r="L19" i="3"/>
  <c r="M19" i="3" s="1"/>
  <c r="L20" i="3"/>
  <c r="M20" i="3" s="1"/>
  <c r="L21" i="3"/>
  <c r="M21" i="3" s="1"/>
  <c r="L22" i="3"/>
  <c r="M22" i="3" s="1"/>
  <c r="L23" i="3"/>
  <c r="M23" i="3" s="1"/>
  <c r="L24" i="3"/>
  <c r="M24" i="3" s="1"/>
  <c r="L4" i="3"/>
  <c r="M4" i="3" s="1"/>
  <c r="L25" i="3"/>
  <c r="M25" i="3" s="1"/>
  <c r="L5" i="3"/>
  <c r="M5" i="3" s="1"/>
  <c r="L221" i="3"/>
  <c r="M221" i="3" s="1"/>
  <c r="L222" i="3"/>
  <c r="M222" i="3" s="1"/>
  <c r="L223" i="3"/>
  <c r="M223" i="3" s="1"/>
  <c r="L198" i="3"/>
  <c r="M198" i="3" s="1"/>
  <c r="L199" i="3"/>
  <c r="M199" i="3" s="1"/>
  <c r="L200" i="3"/>
  <c r="M200" i="3" s="1"/>
  <c r="L201" i="3"/>
  <c r="M201" i="3" s="1"/>
  <c r="L75" i="3"/>
  <c r="M75" i="3" s="1"/>
  <c r="L202" i="3"/>
  <c r="M202" i="3" s="1"/>
  <c r="L85" i="3"/>
  <c r="M85" i="3" s="1"/>
  <c r="L203" i="3"/>
  <c r="M203" i="3" s="1"/>
  <c r="L160" i="3"/>
  <c r="M160" i="3" s="1"/>
  <c r="L205" i="3"/>
  <c r="M205" i="3" s="1"/>
  <c r="L177" i="3"/>
  <c r="M177" i="3" s="1"/>
  <c r="L171" i="3"/>
  <c r="M171" i="3" s="1"/>
  <c r="L164" i="3"/>
  <c r="M164" i="3" s="1"/>
  <c r="L161" i="3"/>
  <c r="M161" i="3" s="1"/>
  <c r="L162" i="3"/>
  <c r="M162" i="3" s="1"/>
  <c r="L149" i="3"/>
  <c r="M149" i="3" s="1"/>
  <c r="L135" i="3"/>
  <c r="M135" i="3" s="1"/>
  <c r="L136" i="3"/>
  <c r="M136" i="3" s="1"/>
  <c r="L125" i="3"/>
  <c r="M125" i="3" s="1"/>
  <c r="L126" i="3"/>
  <c r="M126" i="3" s="1"/>
  <c r="L106" i="3"/>
  <c r="M106" i="3" s="1"/>
  <c r="L107" i="3"/>
  <c r="M107" i="3" s="1"/>
  <c r="L108" i="3"/>
  <c r="M108" i="3" s="1"/>
  <c r="L109" i="3"/>
  <c r="M109" i="3" s="1"/>
  <c r="L110" i="3"/>
  <c r="M110" i="3" s="1"/>
  <c r="L111" i="3"/>
  <c r="M111" i="3" s="1"/>
  <c r="L112" i="3"/>
  <c r="M112" i="3" s="1"/>
  <c r="L87" i="3"/>
  <c r="M87" i="3" s="1"/>
  <c r="L86" i="3"/>
  <c r="M86" i="3" s="1"/>
  <c r="L308" i="3"/>
  <c r="M308" i="3" s="1"/>
  <c r="L52" i="3"/>
  <c r="M52" i="3" s="1"/>
  <c r="L26" i="3"/>
  <c r="M26" i="3" s="1"/>
  <c r="L1508" i="3"/>
  <c r="M1508" i="3" s="1"/>
  <c r="L1394" i="3"/>
  <c r="L1395" i="3"/>
  <c r="L1396" i="3"/>
  <c r="L1397" i="3"/>
  <c r="L1509" i="3"/>
  <c r="M1509" i="3" s="1"/>
  <c r="L1510" i="3"/>
  <c r="M1510" i="3" s="1"/>
  <c r="L1511" i="3"/>
  <c r="M1511" i="3" s="1"/>
  <c r="L1512" i="3"/>
  <c r="M1512" i="3" s="1"/>
  <c r="L1513" i="3"/>
  <c r="M1513" i="3" s="1"/>
  <c r="L1514" i="3"/>
  <c r="M1514" i="3" s="1"/>
  <c r="L1515" i="3"/>
  <c r="M1515" i="3" s="1"/>
  <c r="L1516" i="3"/>
  <c r="M1516" i="3" s="1"/>
  <c r="L1517" i="3"/>
  <c r="M1517" i="3" s="1"/>
  <c r="L1518" i="3"/>
  <c r="M1518" i="3" s="1"/>
  <c r="L1519" i="3"/>
  <c r="M1519" i="3" s="1"/>
  <c r="L1520" i="3"/>
  <c r="M1520" i="3" s="1"/>
  <c r="L1521" i="3"/>
  <c r="M1521" i="3" s="1"/>
  <c r="L143" i="3"/>
  <c r="M143" i="3" s="1"/>
  <c r="L1522" i="3"/>
  <c r="M1522" i="3" s="1"/>
  <c r="L1523" i="3"/>
  <c r="M1523" i="3" s="1"/>
  <c r="L1460" i="3"/>
  <c r="L1524" i="3"/>
  <c r="M1524" i="3" s="1"/>
  <c r="L1525" i="3"/>
  <c r="M1525" i="3" s="1"/>
  <c r="L1526" i="3"/>
  <c r="M1526" i="3" s="1"/>
  <c r="L1527" i="3"/>
  <c r="M1527" i="3" s="1"/>
  <c r="L1528" i="3"/>
  <c r="M1528" i="3" s="1"/>
  <c r="L1478" i="3"/>
  <c r="M1478" i="3" s="1"/>
  <c r="L1530" i="3"/>
  <c r="M1530" i="3" s="1"/>
  <c r="L1531" i="3"/>
  <c r="M1531" i="3" s="1"/>
  <c r="L1532" i="3"/>
  <c r="M1532" i="3" s="1"/>
  <c r="L1533" i="3"/>
  <c r="M1533" i="3" s="1"/>
  <c r="L1534" i="3"/>
  <c r="M1534" i="3" s="1"/>
  <c r="L1535" i="3"/>
  <c r="M1535" i="3" s="1"/>
  <c r="L1536" i="3"/>
  <c r="M1536" i="3" s="1"/>
  <c r="L1537" i="3"/>
  <c r="M1537" i="3" s="1"/>
  <c r="L1538" i="3"/>
  <c r="M1538" i="3" s="1"/>
  <c r="L1493" i="3"/>
  <c r="M1493" i="3" s="1"/>
  <c r="L1539" i="3"/>
  <c r="M1539" i="3" s="1"/>
  <c r="L1414" i="3"/>
  <c r="L1540" i="3"/>
  <c r="M1540" i="3" s="1"/>
  <c r="L1541" i="3"/>
  <c r="M1541" i="3" s="1"/>
  <c r="L1455" i="3"/>
  <c r="L1695" i="3"/>
  <c r="M1695" i="3" s="1"/>
  <c r="L1529" i="3"/>
  <c r="M1529" i="3" s="1"/>
  <c r="L1543" i="3"/>
  <c r="M1543" i="3" s="1"/>
  <c r="L1457" i="3"/>
  <c r="L1448" i="3"/>
  <c r="L1449" i="3"/>
  <c r="L1544" i="3"/>
  <c r="M1544" i="3" s="1"/>
  <c r="L1545" i="3"/>
  <c r="M1545" i="3" s="1"/>
  <c r="L1546" i="3"/>
  <c r="M1546" i="3" s="1"/>
  <c r="L1547" i="3"/>
  <c r="M1547" i="3" s="1"/>
  <c r="L1548" i="3"/>
  <c r="M1548" i="3" s="1"/>
  <c r="L1549" i="3"/>
  <c r="M1549" i="3" s="1"/>
  <c r="L1550" i="3"/>
  <c r="M1550" i="3" s="1"/>
  <c r="L1551" i="3"/>
  <c r="M1551" i="3" s="1"/>
  <c r="L1552" i="3"/>
  <c r="M1552" i="3" s="1"/>
  <c r="L1553" i="3"/>
  <c r="M1553" i="3" s="1"/>
  <c r="L1466" i="3"/>
  <c r="L1554" i="3"/>
  <c r="M1554" i="3" s="1"/>
  <c r="L1555" i="3"/>
  <c r="M1555" i="3" s="1"/>
  <c r="L1556" i="3"/>
  <c r="M1556" i="3" s="1"/>
  <c r="L1557" i="3"/>
  <c r="M1557" i="3" s="1"/>
  <c r="L1436" i="3"/>
  <c r="L1446" i="3"/>
  <c r="L1558" i="3"/>
  <c r="M1558" i="3" s="1"/>
  <c r="L1559" i="3"/>
  <c r="M1559" i="3" s="1"/>
  <c r="L1560" i="3"/>
  <c r="M1560" i="3" s="1"/>
  <c r="L1561" i="3"/>
  <c r="M1561" i="3" s="1"/>
  <c r="L239" i="3"/>
  <c r="M239" i="3" s="1"/>
  <c r="L224" i="3"/>
  <c r="M224" i="3" s="1"/>
  <c r="L1420" i="3"/>
  <c r="L1375" i="3"/>
  <c r="L1419" i="3"/>
  <c r="L76" i="3"/>
  <c r="M76" i="3" s="1"/>
  <c r="L1562" i="3"/>
  <c r="M1562" i="3" s="1"/>
  <c r="L1563" i="3"/>
  <c r="M1563" i="3" s="1"/>
  <c r="L1468" i="3"/>
  <c r="L1469" i="3"/>
  <c r="L1470" i="3"/>
  <c r="L1447" i="3"/>
  <c r="L1564" i="3"/>
  <c r="M1564" i="3" s="1"/>
  <c r="L1565" i="3"/>
  <c r="M1565" i="3" s="1"/>
  <c r="L1566" i="3"/>
  <c r="M1566" i="3" s="1"/>
  <c r="L1407" i="3"/>
  <c r="L1437" i="3"/>
  <c r="L1567" i="3"/>
  <c r="M1567" i="3" s="1"/>
  <c r="L1568" i="3"/>
  <c r="M1568" i="3" s="1"/>
  <c r="L1569" i="3"/>
  <c r="M1569" i="3" s="1"/>
  <c r="L1570" i="3"/>
  <c r="M1570" i="3" s="1"/>
  <c r="L1571" i="3"/>
  <c r="M1571" i="3" s="1"/>
  <c r="L1572" i="3"/>
  <c r="M1572" i="3" s="1"/>
  <c r="L1573" i="3"/>
  <c r="M1573" i="3" s="1"/>
  <c r="L1574" i="3"/>
  <c r="M1574" i="3" s="1"/>
  <c r="L1575" i="3"/>
  <c r="M1575" i="3" s="1"/>
  <c r="L1576" i="3"/>
  <c r="M1576" i="3" s="1"/>
  <c r="L1577" i="3"/>
  <c r="M1577" i="3" s="1"/>
  <c r="L1578" i="3"/>
  <c r="M1578" i="3" s="1"/>
  <c r="L1579" i="3"/>
  <c r="M1579" i="3" s="1"/>
  <c r="L1580" i="3"/>
  <c r="M1580" i="3" s="1"/>
  <c r="L1581" i="3"/>
  <c r="M1581" i="3" s="1"/>
  <c r="L1582" i="3"/>
  <c r="M1582" i="3" s="1"/>
  <c r="L1583" i="3"/>
  <c r="M1583" i="3" s="1"/>
  <c r="L1584" i="3"/>
  <c r="M1584" i="3" s="1"/>
  <c r="L1585" i="3"/>
  <c r="M1585" i="3" s="1"/>
  <c r="L1586" i="3"/>
  <c r="M1586" i="3" s="1"/>
  <c r="L1587" i="3"/>
  <c r="M1587" i="3" s="1"/>
  <c r="L1588" i="3"/>
  <c r="M1588" i="3" s="1"/>
  <c r="L1589" i="3"/>
  <c r="M1589" i="3" s="1"/>
  <c r="L1590" i="3"/>
  <c r="M1590" i="3" s="1"/>
  <c r="L1591" i="3"/>
  <c r="M1591" i="3" s="1"/>
  <c r="L1592" i="3"/>
  <c r="M1592" i="3" s="1"/>
  <c r="L1593" i="3"/>
  <c r="M1593" i="3" s="1"/>
  <c r="L1438" i="3"/>
  <c r="L1464" i="3"/>
  <c r="L1594" i="3"/>
  <c r="M1594" i="3" s="1"/>
  <c r="L1595" i="3"/>
  <c r="M1595" i="3" s="1"/>
  <c r="L1596" i="3"/>
  <c r="M1596" i="3" s="1"/>
  <c r="L1452" i="3"/>
  <c r="L1597" i="3"/>
  <c r="M1597" i="3" s="1"/>
  <c r="L1598" i="3"/>
  <c r="M1598" i="3" s="1"/>
  <c r="L1599" i="3"/>
  <c r="M1599" i="3" s="1"/>
  <c r="L1600" i="3"/>
  <c r="M1600" i="3" s="1"/>
  <c r="L1601" i="3"/>
  <c r="M1601" i="3" s="1"/>
  <c r="L1480" i="3"/>
  <c r="M1480" i="3" s="1"/>
  <c r="L1602" i="3"/>
  <c r="M1602" i="3" s="1"/>
  <c r="L1603" i="3"/>
  <c r="M1603" i="3" s="1"/>
  <c r="L1604" i="3"/>
  <c r="M1604" i="3" s="1"/>
  <c r="L1605" i="3"/>
  <c r="M1605" i="3" s="1"/>
  <c r="L1606" i="3"/>
  <c r="M1606" i="3" s="1"/>
  <c r="L1607" i="3"/>
  <c r="M1607" i="3" s="1"/>
  <c r="L1608" i="3"/>
  <c r="M1608" i="3" s="1"/>
  <c r="L1609" i="3"/>
  <c r="M1609" i="3" s="1"/>
  <c r="L1610" i="3"/>
  <c r="M1610" i="3" s="1"/>
  <c r="L1611" i="3"/>
  <c r="M1611" i="3" s="1"/>
  <c r="L1612" i="3"/>
  <c r="M1612" i="3" s="1"/>
  <c r="L1613" i="3"/>
  <c r="M1613" i="3" s="1"/>
  <c r="L1614" i="3"/>
  <c r="M1614" i="3" s="1"/>
  <c r="L1615" i="3"/>
  <c r="M1615" i="3" s="1"/>
  <c r="L1616" i="3"/>
  <c r="M1616" i="3" s="1"/>
  <c r="L1617" i="3"/>
  <c r="M1617" i="3" s="1"/>
  <c r="L1618" i="3"/>
  <c r="M1618" i="3" s="1"/>
  <c r="L1619" i="3"/>
  <c r="M1619" i="3" s="1"/>
  <c r="L1620" i="3"/>
  <c r="M1620" i="3" s="1"/>
  <c r="L1621" i="3"/>
  <c r="M1621" i="3" s="1"/>
  <c r="L1622" i="3"/>
  <c r="M1622" i="3" s="1"/>
  <c r="L1623" i="3"/>
  <c r="M1623" i="3" s="1"/>
  <c r="L1624" i="3"/>
  <c r="M1624" i="3" s="1"/>
  <c r="L1625" i="3"/>
  <c r="M1625" i="3" s="1"/>
  <c r="L1626" i="3"/>
  <c r="M1626" i="3" s="1"/>
  <c r="L1627" i="3"/>
  <c r="M1627" i="3" s="1"/>
  <c r="L1628" i="3"/>
  <c r="M1628" i="3" s="1"/>
  <c r="L1629" i="3"/>
  <c r="M1629" i="3" s="1"/>
  <c r="L1630" i="3"/>
  <c r="M1630" i="3" s="1"/>
  <c r="L1631" i="3"/>
  <c r="M1631" i="3" s="1"/>
  <c r="L1632" i="3"/>
  <c r="M1632" i="3" s="1"/>
  <c r="L1633" i="3"/>
  <c r="M1633" i="3" s="1"/>
  <c r="L1634" i="3"/>
  <c r="M1634" i="3" s="1"/>
  <c r="L1635" i="3"/>
  <c r="M1635" i="3" s="1"/>
  <c r="L1636" i="3"/>
  <c r="M1636" i="3" s="1"/>
  <c r="L1637" i="3"/>
  <c r="M1637" i="3" s="1"/>
  <c r="L1638" i="3"/>
  <c r="M1638" i="3" s="1"/>
  <c r="L1639" i="3"/>
  <c r="M1639" i="3" s="1"/>
  <c r="L1640" i="3"/>
  <c r="M1640" i="3" s="1"/>
  <c r="L1641" i="3"/>
  <c r="M1641" i="3" s="1"/>
  <c r="L1415" i="3"/>
  <c r="L1642" i="3"/>
  <c r="M1642" i="3" s="1"/>
  <c r="L1643" i="3"/>
  <c r="M1643" i="3" s="1"/>
  <c r="L1644" i="3"/>
  <c r="M1644" i="3" s="1"/>
  <c r="L1645" i="3"/>
  <c r="M1645" i="3" s="1"/>
  <c r="L1454" i="3"/>
  <c r="L1646" i="3"/>
  <c r="M1646" i="3" s="1"/>
  <c r="L1647" i="3"/>
  <c r="M1647" i="3" s="1"/>
  <c r="L2410" i="3"/>
  <c r="M2410" i="3" s="1"/>
  <c r="L1648" i="3"/>
  <c r="M1648" i="3" s="1"/>
  <c r="L1483" i="3"/>
  <c r="M1483" i="3" s="1"/>
  <c r="L1542" i="3"/>
  <c r="M1542" i="3" s="1"/>
  <c r="L1650" i="3"/>
  <c r="M1650" i="3" s="1"/>
  <c r="L1651" i="3"/>
  <c r="M1651" i="3" s="1"/>
  <c r="L1652" i="3"/>
  <c r="M1652" i="3" s="1"/>
  <c r="L1653" i="3"/>
  <c r="M1653" i="3" s="1"/>
  <c r="L1654" i="3"/>
  <c r="M1654" i="3" s="1"/>
  <c r="L1655" i="3"/>
  <c r="M1655" i="3" s="1"/>
  <c r="L1656" i="3"/>
  <c r="M1656" i="3" s="1"/>
  <c r="L1405" i="3"/>
  <c r="L1657" i="3"/>
  <c r="M1657" i="3" s="1"/>
  <c r="L1658" i="3"/>
  <c r="M1658" i="3" s="1"/>
  <c r="L1659" i="3"/>
  <c r="M1659" i="3" s="1"/>
  <c r="L1660" i="3"/>
  <c r="M1660" i="3" s="1"/>
  <c r="L1661" i="3"/>
  <c r="M1661" i="3" s="1"/>
  <c r="L1662" i="3"/>
  <c r="M1662" i="3" s="1"/>
  <c r="L1370" i="3"/>
  <c r="L1663" i="3"/>
  <c r="M1663" i="3" s="1"/>
  <c r="L1664" i="3"/>
  <c r="M1664" i="3" s="1"/>
  <c r="L1665" i="3"/>
  <c r="M1665" i="3" s="1"/>
  <c r="L1666" i="3"/>
  <c r="M1666" i="3" s="1"/>
  <c r="L1667" i="3"/>
  <c r="M1667" i="3" s="1"/>
  <c r="L1668" i="3"/>
  <c r="M1668" i="3" s="1"/>
  <c r="L1669" i="3"/>
  <c r="M1669" i="3" s="1"/>
  <c r="L1670" i="3"/>
  <c r="M1670" i="3" s="1"/>
  <c r="L1671" i="3"/>
  <c r="M1671" i="3" s="1"/>
  <c r="L1672" i="3"/>
  <c r="M1672" i="3" s="1"/>
  <c r="L1673" i="3"/>
  <c r="M1673" i="3" s="1"/>
  <c r="L1674" i="3"/>
  <c r="M1674" i="3" s="1"/>
  <c r="L1675" i="3"/>
  <c r="M1675" i="3" s="1"/>
  <c r="L1676" i="3"/>
  <c r="M1676" i="3" s="1"/>
  <c r="L1677" i="3"/>
  <c r="M1677" i="3" s="1"/>
  <c r="L1678" i="3"/>
  <c r="M1678" i="3" s="1"/>
  <c r="L1679" i="3"/>
  <c r="M1679" i="3" s="1"/>
  <c r="L1680" i="3"/>
  <c r="M1680" i="3" s="1"/>
  <c r="L1681" i="3"/>
  <c r="M1681" i="3" s="1"/>
  <c r="L1682" i="3"/>
  <c r="M1682" i="3" s="1"/>
  <c r="L1421" i="3"/>
  <c r="L1484" i="3"/>
  <c r="M1484" i="3" s="1"/>
  <c r="L1684" i="3"/>
  <c r="M1684" i="3" s="1"/>
  <c r="L1685" i="3"/>
  <c r="M1685" i="3" s="1"/>
  <c r="L1686" i="3"/>
  <c r="M1686" i="3" s="1"/>
  <c r="L1687" i="3"/>
  <c r="M1687" i="3" s="1"/>
  <c r="L1688" i="3"/>
  <c r="M1688" i="3" s="1"/>
  <c r="L1689" i="3"/>
  <c r="M1689" i="3" s="1"/>
  <c r="L1690" i="3"/>
  <c r="M1690" i="3" s="1"/>
  <c r="L1691" i="3"/>
  <c r="M1691" i="3" s="1"/>
  <c r="L1692" i="3"/>
  <c r="M1692" i="3" s="1"/>
  <c r="L1693" i="3"/>
  <c r="M1693" i="3" s="1"/>
  <c r="L1694" i="3"/>
  <c r="M1694" i="3" s="1"/>
  <c r="L1496" i="3"/>
  <c r="M1496" i="3" s="1"/>
  <c r="L1696" i="3"/>
  <c r="M1696" i="3" s="1"/>
  <c r="L1459" i="3"/>
  <c r="L1426" i="3"/>
  <c r="L1427" i="3"/>
  <c r="L1697" i="3"/>
  <c r="M1697" i="3" s="1"/>
  <c r="L1698" i="3"/>
  <c r="M1698" i="3" s="1"/>
  <c r="L1699" i="3"/>
  <c r="M1699" i="3" s="1"/>
  <c r="L1700" i="3"/>
  <c r="M1700" i="3" s="1"/>
  <c r="L984" i="3"/>
  <c r="M984" i="3" s="1"/>
  <c r="L1701" i="3"/>
  <c r="M1701" i="3" s="1"/>
  <c r="L1702" i="3"/>
  <c r="M1702" i="3" s="1"/>
  <c r="L1703" i="3"/>
  <c r="M1703" i="3" s="1"/>
  <c r="L1704" i="3"/>
  <c r="M1704" i="3" s="1"/>
  <c r="L1705" i="3"/>
  <c r="M1705" i="3" s="1"/>
  <c r="L1706" i="3"/>
  <c r="M1706" i="3" s="1"/>
  <c r="L1707" i="3"/>
  <c r="M1707" i="3" s="1"/>
  <c r="L1708" i="3"/>
  <c r="M1708" i="3" s="1"/>
  <c r="L1709" i="3"/>
  <c r="M1709" i="3" s="1"/>
  <c r="L1710" i="3"/>
  <c r="M1710" i="3" s="1"/>
  <c r="L1711" i="3"/>
  <c r="M1711" i="3" s="1"/>
  <c r="L1712" i="3"/>
  <c r="M1712" i="3" s="1"/>
  <c r="L1713" i="3"/>
  <c r="M1713" i="3" s="1"/>
  <c r="L1714" i="3"/>
  <c r="M1714" i="3" s="1"/>
  <c r="L1715" i="3"/>
  <c r="M1715" i="3" s="1"/>
  <c r="L1716" i="3"/>
  <c r="M1716" i="3" s="1"/>
  <c r="L1717" i="3"/>
  <c r="M1717" i="3" s="1"/>
  <c r="L1718" i="3"/>
  <c r="M1718" i="3" s="1"/>
  <c r="L1475" i="3"/>
  <c r="L1719" i="3"/>
  <c r="M1719" i="3" s="1"/>
  <c r="L1465" i="3"/>
  <c r="L1720" i="3"/>
  <c r="M1720" i="3" s="1"/>
  <c r="L1721" i="3"/>
  <c r="M1721" i="3" s="1"/>
  <c r="L1722" i="3"/>
  <c r="M1722" i="3" s="1"/>
  <c r="L1723" i="3"/>
  <c r="M1723" i="3" s="1"/>
  <c r="L1724" i="3"/>
  <c r="M1724" i="3" s="1"/>
  <c r="L1725" i="3"/>
  <c r="M1725" i="3" s="1"/>
  <c r="L1726" i="3"/>
  <c r="M1726" i="3" s="1"/>
  <c r="L1456" i="3"/>
  <c r="L1727" i="3"/>
  <c r="M1727" i="3" s="1"/>
  <c r="L1728" i="3"/>
  <c r="M1728" i="3" s="1"/>
  <c r="L1729" i="3"/>
  <c r="M1729" i="3" s="1"/>
  <c r="L1730" i="3"/>
  <c r="M1730" i="3" s="1"/>
  <c r="L1731" i="3"/>
  <c r="M1731" i="3" s="1"/>
  <c r="L1732" i="3"/>
  <c r="M1732" i="3" s="1"/>
  <c r="L1733" i="3"/>
  <c r="M1733" i="3" s="1"/>
  <c r="L1734" i="3"/>
  <c r="M1734" i="3" s="1"/>
  <c r="L1735" i="3"/>
  <c r="M1735" i="3" s="1"/>
  <c r="L1736" i="3"/>
  <c r="M1736" i="3" s="1"/>
  <c r="L1737" i="3"/>
  <c r="M1737" i="3" s="1"/>
  <c r="L1738" i="3"/>
  <c r="M1738" i="3" s="1"/>
  <c r="L1398" i="3"/>
  <c r="L1408" i="3"/>
  <c r="L1399" i="3"/>
  <c r="L1739" i="3"/>
  <c r="M1739" i="3" s="1"/>
  <c r="L1740" i="3"/>
  <c r="M1740" i="3" s="1"/>
  <c r="L1741" i="3"/>
  <c r="M1741" i="3" s="1"/>
  <c r="L1742" i="3"/>
  <c r="M1742" i="3" s="1"/>
  <c r="L1743" i="3"/>
  <c r="M1743" i="3" s="1"/>
  <c r="L1744" i="3"/>
  <c r="M1744" i="3" s="1"/>
  <c r="L1467" i="3"/>
  <c r="L1745" i="3"/>
  <c r="M1745" i="3" s="1"/>
  <c r="L1746" i="3"/>
  <c r="M1746" i="3" s="1"/>
  <c r="L1747" i="3"/>
  <c r="M1747" i="3" s="1"/>
  <c r="L1748" i="3"/>
  <c r="M1748" i="3" s="1"/>
  <c r="L1749" i="3"/>
  <c r="M1749" i="3" s="1"/>
  <c r="L1750" i="3"/>
  <c r="M1750" i="3" s="1"/>
  <c r="L1751" i="3"/>
  <c r="M1751" i="3" s="1"/>
  <c r="L1752" i="3"/>
  <c r="M1752" i="3" s="1"/>
  <c r="L1753" i="3"/>
  <c r="M1753" i="3" s="1"/>
  <c r="L1754" i="3"/>
  <c r="M1754" i="3" s="1"/>
  <c r="L1755" i="3"/>
  <c r="M1755" i="3" s="1"/>
  <c r="L1756" i="3"/>
  <c r="M1756" i="3" s="1"/>
  <c r="L1757" i="3"/>
  <c r="M1757" i="3" s="1"/>
  <c r="L1758" i="3"/>
  <c r="M1758" i="3" s="1"/>
  <c r="L1759" i="3"/>
  <c r="M1759" i="3" s="1"/>
  <c r="L1760" i="3"/>
  <c r="M1760" i="3" s="1"/>
  <c r="L1761" i="3"/>
  <c r="M1761" i="3" s="1"/>
  <c r="L1762" i="3"/>
  <c r="M1762" i="3" s="1"/>
  <c r="L1763" i="3"/>
  <c r="M1763" i="3" s="1"/>
  <c r="L1764" i="3"/>
  <c r="M1764" i="3" s="1"/>
  <c r="L1765" i="3"/>
  <c r="M1765" i="3" s="1"/>
  <c r="L1439" i="3"/>
  <c r="L1766" i="3"/>
  <c r="M1766" i="3" s="1"/>
  <c r="L1767" i="3"/>
  <c r="M1767" i="3" s="1"/>
  <c r="L1768" i="3"/>
  <c r="M1768" i="3" s="1"/>
  <c r="L1769" i="3"/>
  <c r="M1769" i="3" s="1"/>
  <c r="L1770" i="3"/>
  <c r="M1770" i="3" s="1"/>
  <c r="L1771" i="3"/>
  <c r="M1771" i="3" s="1"/>
  <c r="L1772" i="3"/>
  <c r="M1772" i="3" s="1"/>
  <c r="L1773" i="3"/>
  <c r="M1773" i="3" s="1"/>
  <c r="L1774" i="3"/>
  <c r="M1774" i="3" s="1"/>
  <c r="L1775" i="3"/>
  <c r="M1775" i="3" s="1"/>
  <c r="L1776" i="3"/>
  <c r="M1776" i="3" s="1"/>
  <c r="L1777" i="3"/>
  <c r="M1777" i="3" s="1"/>
  <c r="L1778" i="3"/>
  <c r="M1778" i="3" s="1"/>
  <c r="L1779" i="3"/>
  <c r="M1779" i="3" s="1"/>
  <c r="L1780" i="3"/>
  <c r="M1780" i="3" s="1"/>
  <c r="L1781" i="3"/>
  <c r="M1781" i="3" s="1"/>
  <c r="L1782" i="3"/>
  <c r="M1782" i="3" s="1"/>
  <c r="L490" i="3"/>
  <c r="M490" i="3" s="1"/>
  <c r="L309" i="3"/>
  <c r="M309" i="3" s="1"/>
  <c r="L1783" i="3"/>
  <c r="M1783" i="3" s="1"/>
  <c r="L1784" i="3"/>
  <c r="M1784" i="3" s="1"/>
  <c r="L1785" i="3"/>
  <c r="M1785" i="3" s="1"/>
  <c r="L1786" i="3"/>
  <c r="M1786" i="3" s="1"/>
  <c r="L1787" i="3"/>
  <c r="M1787" i="3" s="1"/>
  <c r="L1788" i="3"/>
  <c r="M1788" i="3" s="1"/>
  <c r="L1789" i="3"/>
  <c r="M1789" i="3" s="1"/>
  <c r="L1440" i="3"/>
  <c r="L1790" i="3"/>
  <c r="M1790" i="3" s="1"/>
  <c r="L1791" i="3"/>
  <c r="M1791" i="3" s="1"/>
  <c r="L1792" i="3"/>
  <c r="M1792" i="3" s="1"/>
  <c r="L1793" i="3"/>
  <c r="M1793" i="3" s="1"/>
  <c r="L1794" i="3"/>
  <c r="M1794" i="3" s="1"/>
  <c r="L1795" i="3"/>
  <c r="M1795" i="3" s="1"/>
  <c r="L1796" i="3"/>
  <c r="M1796" i="3" s="1"/>
  <c r="L1797" i="3"/>
  <c r="M1797" i="3" s="1"/>
  <c r="L1798" i="3"/>
  <c r="M1798" i="3" s="1"/>
  <c r="L1799" i="3"/>
  <c r="M1799" i="3" s="1"/>
  <c r="L1800" i="3"/>
  <c r="M1800" i="3" s="1"/>
  <c r="L1801" i="3"/>
  <c r="M1801" i="3" s="1"/>
  <c r="L1802" i="3"/>
  <c r="M1802" i="3" s="1"/>
  <c r="L1803" i="3"/>
  <c r="M1803" i="3" s="1"/>
  <c r="L1804" i="3"/>
  <c r="M1804" i="3" s="1"/>
  <c r="L1805" i="3"/>
  <c r="M1805" i="3" s="1"/>
  <c r="L1806" i="3"/>
  <c r="M1806" i="3" s="1"/>
  <c r="L1807" i="3"/>
  <c r="M1807" i="3" s="1"/>
  <c r="L1808" i="3"/>
  <c r="M1808" i="3" s="1"/>
  <c r="L1809" i="3"/>
  <c r="M1809" i="3" s="1"/>
  <c r="L1810" i="3"/>
  <c r="M1810" i="3" s="1"/>
  <c r="L1811" i="3"/>
  <c r="M1811" i="3" s="1"/>
  <c r="L1812" i="3"/>
  <c r="M1812" i="3" s="1"/>
  <c r="L1813" i="3"/>
  <c r="M1813" i="3" s="1"/>
  <c r="L1814" i="3"/>
  <c r="M1814" i="3" s="1"/>
  <c r="L1815" i="3"/>
  <c r="M1815" i="3" s="1"/>
  <c r="L1816" i="3"/>
  <c r="M1816" i="3" s="1"/>
  <c r="L1817" i="3"/>
  <c r="M1817" i="3" s="1"/>
  <c r="L1818" i="3"/>
  <c r="M1818" i="3" s="1"/>
  <c r="L1819" i="3"/>
  <c r="M1819" i="3" s="1"/>
  <c r="L1820" i="3"/>
  <c r="M1820" i="3" s="1"/>
  <c r="L1821" i="3"/>
  <c r="M1821" i="3" s="1"/>
  <c r="L1822" i="3"/>
  <c r="M1822" i="3" s="1"/>
  <c r="L1823" i="3"/>
  <c r="M1823" i="3" s="1"/>
  <c r="L1824" i="3"/>
  <c r="M1824" i="3" s="1"/>
  <c r="L1825" i="3"/>
  <c r="M1825" i="3" s="1"/>
  <c r="L1826" i="3"/>
  <c r="M1826" i="3" s="1"/>
  <c r="L1827" i="3"/>
  <c r="M1827" i="3" s="1"/>
  <c r="L1828" i="3"/>
  <c r="M1828" i="3" s="1"/>
  <c r="L1829" i="3"/>
  <c r="M1829" i="3" s="1"/>
  <c r="L1830" i="3"/>
  <c r="M1830" i="3" s="1"/>
  <c r="L1831" i="3"/>
  <c r="M1831" i="3" s="1"/>
  <c r="L1832" i="3"/>
  <c r="M1832" i="3" s="1"/>
  <c r="L1833" i="3"/>
  <c r="M1833" i="3" s="1"/>
  <c r="L1834" i="3"/>
  <c r="M1834" i="3" s="1"/>
  <c r="L1835" i="3"/>
  <c r="M1835" i="3" s="1"/>
  <c r="L1836" i="3"/>
  <c r="M1836" i="3" s="1"/>
  <c r="L1837" i="3"/>
  <c r="M1837" i="3" s="1"/>
  <c r="L1838" i="3"/>
  <c r="M1838" i="3" s="1"/>
  <c r="L1839" i="3"/>
  <c r="M1839" i="3" s="1"/>
  <c r="L1840" i="3"/>
  <c r="M1840" i="3" s="1"/>
  <c r="L1841" i="3"/>
  <c r="M1841" i="3" s="1"/>
  <c r="L1842" i="3"/>
  <c r="M1842" i="3" s="1"/>
  <c r="L1843" i="3"/>
  <c r="M1843" i="3" s="1"/>
  <c r="L1844" i="3"/>
  <c r="M1844" i="3" s="1"/>
  <c r="L1845" i="3"/>
  <c r="M1845" i="3" s="1"/>
  <c r="L1846" i="3"/>
  <c r="M1846" i="3" s="1"/>
  <c r="L1847" i="3"/>
  <c r="M1847" i="3" s="1"/>
  <c r="L1848" i="3"/>
  <c r="M1848" i="3" s="1"/>
  <c r="L1849" i="3"/>
  <c r="M1849" i="3" s="1"/>
  <c r="L1850" i="3"/>
  <c r="M1850" i="3" s="1"/>
  <c r="L1851" i="3"/>
  <c r="M1851" i="3" s="1"/>
  <c r="L1852" i="3"/>
  <c r="M1852" i="3" s="1"/>
  <c r="L1853" i="3"/>
  <c r="M1853" i="3" s="1"/>
  <c r="L1854" i="3"/>
  <c r="M1854" i="3" s="1"/>
  <c r="L1855" i="3"/>
  <c r="M1855" i="3" s="1"/>
  <c r="L1856" i="3"/>
  <c r="M1856" i="3" s="1"/>
  <c r="L1505" i="3"/>
  <c r="M1505" i="3" s="1"/>
  <c r="L1857" i="3"/>
  <c r="M1857" i="3" s="1"/>
  <c r="L1858" i="3"/>
  <c r="M1858" i="3" s="1"/>
  <c r="L1859" i="3"/>
  <c r="M1859" i="3" s="1"/>
  <c r="L1860" i="3"/>
  <c r="M1860" i="3" s="1"/>
  <c r="L1861" i="3"/>
  <c r="M1861" i="3" s="1"/>
  <c r="L1862" i="3"/>
  <c r="M1862" i="3" s="1"/>
  <c r="L1863" i="3"/>
  <c r="M1863" i="3" s="1"/>
  <c r="L1864" i="3"/>
  <c r="M1864" i="3" s="1"/>
  <c r="L1865" i="3"/>
  <c r="M1865" i="3" s="1"/>
  <c r="L1866" i="3"/>
  <c r="M1866" i="3" s="1"/>
  <c r="L1867" i="3"/>
  <c r="M1867" i="3" s="1"/>
  <c r="L1868" i="3"/>
  <c r="M1868" i="3" s="1"/>
  <c r="L1869" i="3"/>
  <c r="M1869" i="3" s="1"/>
  <c r="L1870" i="3"/>
  <c r="M1870" i="3" s="1"/>
  <c r="L1871" i="3"/>
  <c r="M1871" i="3" s="1"/>
  <c r="L1872" i="3"/>
  <c r="M1872" i="3" s="1"/>
  <c r="L1873" i="3"/>
  <c r="M1873" i="3" s="1"/>
  <c r="L1874" i="3"/>
  <c r="M1874" i="3" s="1"/>
  <c r="L1875" i="3"/>
  <c r="M1875" i="3" s="1"/>
  <c r="L1876" i="3"/>
  <c r="M1876" i="3" s="1"/>
  <c r="L1877" i="3"/>
  <c r="M1877" i="3" s="1"/>
  <c r="L1878" i="3"/>
  <c r="M1878" i="3" s="1"/>
  <c r="L1879" i="3"/>
  <c r="M1879" i="3" s="1"/>
  <c r="L1880" i="3"/>
  <c r="M1880" i="3" s="1"/>
  <c r="L1881" i="3"/>
  <c r="M1881" i="3" s="1"/>
  <c r="L1882" i="3"/>
  <c r="M1882" i="3" s="1"/>
  <c r="L1883" i="3"/>
  <c r="M1883" i="3" s="1"/>
  <c r="L1884" i="3"/>
  <c r="M1884" i="3" s="1"/>
  <c r="L1885" i="3"/>
  <c r="M1885" i="3" s="1"/>
  <c r="L1886" i="3"/>
  <c r="M1886" i="3" s="1"/>
  <c r="L1887" i="3"/>
  <c r="M1887" i="3" s="1"/>
  <c r="L1888" i="3"/>
  <c r="M1888" i="3" s="1"/>
  <c r="L1889" i="3"/>
  <c r="M1889" i="3" s="1"/>
  <c r="L2322" i="3"/>
  <c r="M2322" i="3" s="1"/>
  <c r="L1890" i="3"/>
  <c r="M1890" i="3" s="1"/>
  <c r="L1891" i="3"/>
  <c r="M1891" i="3" s="1"/>
  <c r="L1502" i="3"/>
  <c r="M1502" i="3" s="1"/>
  <c r="L1507" i="3"/>
  <c r="M1507" i="3" s="1"/>
  <c r="L1892" i="3"/>
  <c r="M1892" i="3" s="1"/>
  <c r="L1893" i="3"/>
  <c r="M1893" i="3" s="1"/>
  <c r="L1894" i="3"/>
  <c r="M1894" i="3" s="1"/>
  <c r="L1895" i="3"/>
  <c r="M1895" i="3" s="1"/>
  <c r="L1896" i="3"/>
  <c r="M1896" i="3" s="1"/>
  <c r="L1897" i="3"/>
  <c r="M1897" i="3" s="1"/>
  <c r="L1898" i="3"/>
  <c r="M1898" i="3" s="1"/>
  <c r="L1899" i="3"/>
  <c r="M1899" i="3" s="1"/>
  <c r="L1900" i="3"/>
  <c r="M1900" i="3" s="1"/>
  <c r="L1901" i="3"/>
  <c r="M1901" i="3" s="1"/>
  <c r="L1902" i="3"/>
  <c r="M1902" i="3" s="1"/>
  <c r="L1903" i="3"/>
  <c r="M1903" i="3" s="1"/>
  <c r="L1904" i="3"/>
  <c r="M1904" i="3" s="1"/>
  <c r="L1486" i="3"/>
  <c r="M1486" i="3" s="1"/>
  <c r="L1905" i="3"/>
  <c r="M1905" i="3" s="1"/>
  <c r="L1906" i="3"/>
  <c r="M1906" i="3" s="1"/>
  <c r="L1907" i="3"/>
  <c r="M1907" i="3" s="1"/>
  <c r="L1908" i="3"/>
  <c r="M1908" i="3" s="1"/>
  <c r="L1909" i="3"/>
  <c r="M1909" i="3" s="1"/>
  <c r="L1910" i="3"/>
  <c r="M1910" i="3" s="1"/>
  <c r="L1911" i="3"/>
  <c r="M1911" i="3" s="1"/>
  <c r="L1912" i="3"/>
  <c r="M1912" i="3" s="1"/>
  <c r="L1913" i="3"/>
  <c r="M1913" i="3" s="1"/>
  <c r="L1914" i="3"/>
  <c r="M1914" i="3" s="1"/>
  <c r="L1915" i="3"/>
  <c r="M1915" i="3" s="1"/>
  <c r="L1916" i="3"/>
  <c r="M1916" i="3" s="1"/>
  <c r="L1917" i="3"/>
  <c r="M1917" i="3" s="1"/>
  <c r="L1918" i="3"/>
  <c r="M1918" i="3" s="1"/>
  <c r="L1919" i="3"/>
  <c r="M1919" i="3" s="1"/>
  <c r="L1406" i="3"/>
  <c r="L1920" i="3"/>
  <c r="M1920" i="3" s="1"/>
  <c r="L1487" i="3"/>
  <c r="M1487" i="3" s="1"/>
  <c r="L1441" i="3"/>
  <c r="L1921" i="3"/>
  <c r="M1921" i="3" s="1"/>
  <c r="L1922" i="3"/>
  <c r="M1922" i="3" s="1"/>
  <c r="L1923" i="3"/>
  <c r="M1923" i="3" s="1"/>
  <c r="L1924" i="3"/>
  <c r="M1924" i="3" s="1"/>
  <c r="L1925" i="3"/>
  <c r="M1925" i="3" s="1"/>
  <c r="L1926" i="3"/>
  <c r="M1926" i="3" s="1"/>
  <c r="L1927" i="3"/>
  <c r="M1927" i="3" s="1"/>
  <c r="L1928" i="3"/>
  <c r="M1928" i="3" s="1"/>
  <c r="L1929" i="3"/>
  <c r="M1929" i="3" s="1"/>
  <c r="L1930" i="3"/>
  <c r="M1930" i="3" s="1"/>
  <c r="L1931" i="3"/>
  <c r="M1931" i="3" s="1"/>
  <c r="L1932" i="3"/>
  <c r="M1932" i="3" s="1"/>
  <c r="L1403" i="3"/>
  <c r="L1418" i="3"/>
  <c r="L1933" i="3"/>
  <c r="M1933" i="3" s="1"/>
  <c r="L1461" i="3"/>
  <c r="L1462" i="3"/>
  <c r="L1934" i="3"/>
  <c r="M1934" i="3" s="1"/>
  <c r="L1935" i="3"/>
  <c r="M1935" i="3" s="1"/>
  <c r="L1482" i="3"/>
  <c r="M1482" i="3" s="1"/>
  <c r="L1501" i="3"/>
  <c r="M1501" i="3" s="1"/>
  <c r="L1936" i="3"/>
  <c r="M1936" i="3" s="1"/>
  <c r="L1937" i="3"/>
  <c r="M1937" i="3" s="1"/>
  <c r="L1938" i="3"/>
  <c r="M1938" i="3" s="1"/>
  <c r="L1939" i="3"/>
  <c r="M1939" i="3" s="1"/>
  <c r="L1940" i="3"/>
  <c r="M1940" i="3" s="1"/>
  <c r="L1941" i="3"/>
  <c r="M1941" i="3" s="1"/>
  <c r="L1942" i="3"/>
  <c r="M1942" i="3" s="1"/>
  <c r="L1943" i="3"/>
  <c r="M1943" i="3" s="1"/>
  <c r="L1944" i="3"/>
  <c r="M1944" i="3" s="1"/>
  <c r="L1945" i="3"/>
  <c r="M1945" i="3" s="1"/>
  <c r="L1946" i="3"/>
  <c r="M1946" i="3" s="1"/>
  <c r="L1947" i="3"/>
  <c r="M1947" i="3" s="1"/>
  <c r="L1948" i="3"/>
  <c r="M1948" i="3" s="1"/>
  <c r="L1949" i="3"/>
  <c r="M1949" i="3" s="1"/>
  <c r="L1950" i="3"/>
  <c r="M1950" i="3" s="1"/>
  <c r="L1951" i="3"/>
  <c r="M1951" i="3" s="1"/>
  <c r="L1952" i="3"/>
  <c r="M1952" i="3" s="1"/>
  <c r="L1953" i="3"/>
  <c r="M1953" i="3" s="1"/>
  <c r="L1954" i="3"/>
  <c r="M1954" i="3" s="1"/>
  <c r="L1955" i="3"/>
  <c r="M1955" i="3" s="1"/>
  <c r="L1956" i="3"/>
  <c r="M1956" i="3" s="1"/>
  <c r="L1957" i="3"/>
  <c r="M1957" i="3" s="1"/>
  <c r="L1958" i="3"/>
  <c r="M1958" i="3" s="1"/>
  <c r="L1959" i="3"/>
  <c r="M1959" i="3" s="1"/>
  <c r="L1960" i="3"/>
  <c r="M1960" i="3" s="1"/>
  <c r="L1961" i="3"/>
  <c r="M1961" i="3" s="1"/>
  <c r="L1962" i="3"/>
  <c r="M1962" i="3" s="1"/>
  <c r="L1963" i="3"/>
  <c r="M1963" i="3" s="1"/>
  <c r="L1964" i="3"/>
  <c r="M1964" i="3" s="1"/>
  <c r="L1965" i="3"/>
  <c r="M1965" i="3" s="1"/>
  <c r="L1966" i="3"/>
  <c r="M1966" i="3" s="1"/>
  <c r="L1967" i="3"/>
  <c r="M1967" i="3" s="1"/>
  <c r="L1968" i="3"/>
  <c r="M1968" i="3" s="1"/>
  <c r="L1969" i="3"/>
  <c r="M1969" i="3" s="1"/>
  <c r="L1970" i="3"/>
  <c r="M1970" i="3" s="1"/>
  <c r="L1971" i="3"/>
  <c r="M1971" i="3" s="1"/>
  <c r="L1972" i="3"/>
  <c r="M1972" i="3" s="1"/>
  <c r="L1973" i="3"/>
  <c r="M1973" i="3" s="1"/>
  <c r="L1974" i="3"/>
  <c r="M1974" i="3" s="1"/>
  <c r="L1504" i="3"/>
  <c r="M1504" i="3" s="1"/>
  <c r="L1506" i="3"/>
  <c r="M1506" i="3" s="1"/>
  <c r="L1422" i="3"/>
  <c r="L1423" i="3"/>
  <c r="L1975" i="3"/>
  <c r="M1975" i="3" s="1"/>
  <c r="L1976" i="3"/>
  <c r="M1976" i="3" s="1"/>
  <c r="L1977" i="3"/>
  <c r="M1977" i="3" s="1"/>
  <c r="L1978" i="3"/>
  <c r="M1978" i="3" s="1"/>
  <c r="L1979" i="3"/>
  <c r="M1979" i="3" s="1"/>
  <c r="L1980" i="3"/>
  <c r="M1980" i="3" s="1"/>
  <c r="L1981" i="3"/>
  <c r="M1981" i="3" s="1"/>
  <c r="L1982" i="3"/>
  <c r="M1982" i="3" s="1"/>
  <c r="L1983" i="3"/>
  <c r="M1983" i="3" s="1"/>
  <c r="L1984" i="3"/>
  <c r="M1984" i="3" s="1"/>
  <c r="L1985" i="3"/>
  <c r="M1985" i="3" s="1"/>
  <c r="L1424" i="3"/>
  <c r="L1986" i="3"/>
  <c r="M1986" i="3" s="1"/>
  <c r="L1987" i="3"/>
  <c r="M1987" i="3" s="1"/>
  <c r="L1988" i="3"/>
  <c r="M1988" i="3" s="1"/>
  <c r="L1989" i="3"/>
  <c r="M1989" i="3" s="1"/>
  <c r="L1990" i="3"/>
  <c r="M1990" i="3" s="1"/>
  <c r="L1991" i="3"/>
  <c r="M1991" i="3" s="1"/>
  <c r="L1992" i="3"/>
  <c r="M1992" i="3" s="1"/>
  <c r="L1993" i="3"/>
  <c r="M1993" i="3" s="1"/>
  <c r="L1994" i="3"/>
  <c r="M1994" i="3" s="1"/>
  <c r="L1995" i="3"/>
  <c r="M1995" i="3" s="1"/>
  <c r="L1996" i="3"/>
  <c r="M1996" i="3" s="1"/>
  <c r="L1997" i="3"/>
  <c r="M1997" i="3" s="1"/>
  <c r="L1998" i="3"/>
  <c r="M1998" i="3" s="1"/>
  <c r="L1999" i="3"/>
  <c r="M1999" i="3" s="1"/>
  <c r="L2000" i="3"/>
  <c r="M2000" i="3" s="1"/>
  <c r="L2001" i="3"/>
  <c r="M2001" i="3" s="1"/>
  <c r="L2002" i="3"/>
  <c r="M2002" i="3" s="1"/>
  <c r="L2003" i="3"/>
  <c r="M2003" i="3" s="1"/>
  <c r="L2004" i="3"/>
  <c r="M2004" i="3" s="1"/>
  <c r="L2005" i="3"/>
  <c r="M2005" i="3" s="1"/>
  <c r="L1683" i="3"/>
  <c r="M1683" i="3" s="1"/>
  <c r="L2006" i="3"/>
  <c r="M2006" i="3" s="1"/>
  <c r="L2007" i="3"/>
  <c r="M2007" i="3" s="1"/>
  <c r="L2008" i="3"/>
  <c r="M2008" i="3" s="1"/>
  <c r="L2009" i="3"/>
  <c r="M2009" i="3" s="1"/>
  <c r="L1409" i="3"/>
  <c r="L1410" i="3"/>
  <c r="L2010" i="3"/>
  <c r="M2010" i="3" s="1"/>
  <c r="L1411" i="3"/>
  <c r="L2011" i="3"/>
  <c r="M2011" i="3" s="1"/>
  <c r="L2012" i="3"/>
  <c r="M2012" i="3" s="1"/>
  <c r="L2013" i="3"/>
  <c r="M2013" i="3" s="1"/>
  <c r="L2014" i="3"/>
  <c r="M2014" i="3" s="1"/>
  <c r="L2015" i="3"/>
  <c r="M2015" i="3" s="1"/>
  <c r="L2016" i="3"/>
  <c r="M2016" i="3" s="1"/>
  <c r="L2017" i="3"/>
  <c r="M2017" i="3" s="1"/>
  <c r="L2018" i="3"/>
  <c r="M2018" i="3" s="1"/>
  <c r="L2019" i="3"/>
  <c r="M2019" i="3" s="1"/>
  <c r="L2020" i="3"/>
  <c r="M2020" i="3" s="1"/>
  <c r="L2021" i="3"/>
  <c r="M2021" i="3" s="1"/>
  <c r="L2022" i="3"/>
  <c r="M2022" i="3" s="1"/>
  <c r="L2023" i="3"/>
  <c r="M2023" i="3" s="1"/>
  <c r="L2024" i="3"/>
  <c r="M2024" i="3" s="1"/>
  <c r="L2025" i="3"/>
  <c r="M2025" i="3" s="1"/>
  <c r="L1400" i="3"/>
  <c r="L1401" i="3"/>
  <c r="L2026" i="3"/>
  <c r="M2026" i="3" s="1"/>
  <c r="L2027" i="3"/>
  <c r="M2027" i="3" s="1"/>
  <c r="L2028" i="3"/>
  <c r="M2028" i="3" s="1"/>
  <c r="L2029" i="3"/>
  <c r="M2029" i="3" s="1"/>
  <c r="L2030" i="3"/>
  <c r="M2030" i="3" s="1"/>
  <c r="L2031" i="3"/>
  <c r="M2031" i="3" s="1"/>
  <c r="L2032" i="3"/>
  <c r="M2032" i="3" s="1"/>
  <c r="L2033" i="3"/>
  <c r="M2033" i="3" s="1"/>
  <c r="L2034" i="3"/>
  <c r="M2034" i="3" s="1"/>
  <c r="L2035" i="3"/>
  <c r="M2035" i="3" s="1"/>
  <c r="L2036" i="3"/>
  <c r="M2036" i="3" s="1"/>
  <c r="L2037" i="3"/>
  <c r="M2037" i="3" s="1"/>
  <c r="L2038" i="3"/>
  <c r="M2038" i="3" s="1"/>
  <c r="L2039" i="3"/>
  <c r="M2039" i="3" s="1"/>
  <c r="L2040" i="3"/>
  <c r="M2040" i="3" s="1"/>
  <c r="L2041" i="3"/>
  <c r="M2041" i="3" s="1"/>
  <c r="L1442" i="3"/>
  <c r="L2042" i="3"/>
  <c r="M2042" i="3" s="1"/>
  <c r="L2043" i="3"/>
  <c r="M2043" i="3" s="1"/>
  <c r="L2044" i="3"/>
  <c r="M2044" i="3" s="1"/>
  <c r="L2045" i="3"/>
  <c r="M2045" i="3" s="1"/>
  <c r="L2046" i="3"/>
  <c r="M2046" i="3" s="1"/>
  <c r="L2047" i="3"/>
  <c r="M2047" i="3" s="1"/>
  <c r="L2048" i="3"/>
  <c r="M2048" i="3" s="1"/>
  <c r="L2049" i="3"/>
  <c r="M2049" i="3" s="1"/>
  <c r="L2050" i="3"/>
  <c r="M2050" i="3" s="1"/>
  <c r="L2051" i="3"/>
  <c r="M2051" i="3" s="1"/>
  <c r="L2052" i="3"/>
  <c r="M2052" i="3" s="1"/>
  <c r="L2053" i="3"/>
  <c r="M2053" i="3" s="1"/>
  <c r="L2054" i="3"/>
  <c r="M2054" i="3" s="1"/>
  <c r="L2055" i="3"/>
  <c r="M2055" i="3" s="1"/>
  <c r="L2056" i="3"/>
  <c r="M2056" i="3" s="1"/>
  <c r="L2057" i="3"/>
  <c r="M2057" i="3" s="1"/>
  <c r="L2058" i="3"/>
  <c r="M2058" i="3" s="1"/>
  <c r="L2059" i="3"/>
  <c r="M2059" i="3" s="1"/>
  <c r="L2060" i="3"/>
  <c r="M2060" i="3" s="1"/>
  <c r="L2061" i="3"/>
  <c r="M2061" i="3" s="1"/>
  <c r="L2062" i="3"/>
  <c r="M2062" i="3" s="1"/>
  <c r="L2063" i="3"/>
  <c r="M2063" i="3" s="1"/>
  <c r="L2064" i="3"/>
  <c r="M2064" i="3" s="1"/>
  <c r="L2065" i="3"/>
  <c r="M2065" i="3" s="1"/>
  <c r="L2066" i="3"/>
  <c r="M2066" i="3" s="1"/>
  <c r="L2067" i="3"/>
  <c r="M2067" i="3" s="1"/>
  <c r="L2068" i="3"/>
  <c r="M2068" i="3" s="1"/>
  <c r="L2069" i="3"/>
  <c r="M2069" i="3" s="1"/>
  <c r="L2070" i="3"/>
  <c r="M2070" i="3" s="1"/>
  <c r="L2071" i="3"/>
  <c r="M2071" i="3" s="1"/>
  <c r="L2072" i="3"/>
  <c r="M2072" i="3" s="1"/>
  <c r="L2073" i="3"/>
  <c r="M2073" i="3" s="1"/>
  <c r="L2074" i="3"/>
  <c r="M2074" i="3" s="1"/>
  <c r="L2075" i="3"/>
  <c r="M2075" i="3" s="1"/>
  <c r="L2076" i="3"/>
  <c r="M2076" i="3" s="1"/>
  <c r="L2077" i="3"/>
  <c r="M2077" i="3" s="1"/>
  <c r="L2078" i="3"/>
  <c r="M2078" i="3" s="1"/>
  <c r="L2079" i="3"/>
  <c r="M2079" i="3" s="1"/>
  <c r="L1473" i="3"/>
  <c r="L2080" i="3"/>
  <c r="M2080" i="3" s="1"/>
  <c r="L1416" i="3"/>
  <c r="L2081" i="3"/>
  <c r="M2081" i="3" s="1"/>
  <c r="L2082" i="3"/>
  <c r="M2082" i="3" s="1"/>
  <c r="L2083" i="3"/>
  <c r="M2083" i="3" s="1"/>
  <c r="L1495" i="3"/>
  <c r="M1495" i="3" s="1"/>
  <c r="L1494" i="3"/>
  <c r="M1494" i="3" s="1"/>
  <c r="L2084" i="3"/>
  <c r="M2084" i="3" s="1"/>
  <c r="L2085" i="3"/>
  <c r="M2085" i="3" s="1"/>
  <c r="L2086" i="3"/>
  <c r="M2086" i="3" s="1"/>
  <c r="L2087" i="3"/>
  <c r="M2087" i="3" s="1"/>
  <c r="L2088" i="3"/>
  <c r="M2088" i="3" s="1"/>
  <c r="L2089" i="3"/>
  <c r="M2089" i="3" s="1"/>
  <c r="L2090" i="3"/>
  <c r="M2090" i="3" s="1"/>
  <c r="L2091" i="3"/>
  <c r="M2091" i="3" s="1"/>
  <c r="L2092" i="3"/>
  <c r="M2092" i="3" s="1"/>
  <c r="L2093" i="3"/>
  <c r="M2093" i="3" s="1"/>
  <c r="L2094" i="3"/>
  <c r="M2094" i="3" s="1"/>
  <c r="L2095" i="3"/>
  <c r="M2095" i="3" s="1"/>
  <c r="L2096" i="3"/>
  <c r="M2096" i="3" s="1"/>
  <c r="L2097" i="3"/>
  <c r="M2097" i="3" s="1"/>
  <c r="L2098" i="3"/>
  <c r="M2098" i="3" s="1"/>
  <c r="L2099" i="3"/>
  <c r="M2099" i="3" s="1"/>
  <c r="L2100" i="3"/>
  <c r="M2100" i="3" s="1"/>
  <c r="L2101" i="3"/>
  <c r="M2101" i="3" s="1"/>
  <c r="L2102" i="3"/>
  <c r="M2102" i="3" s="1"/>
  <c r="L2103" i="3"/>
  <c r="M2103" i="3" s="1"/>
  <c r="L2104" i="3"/>
  <c r="M2104" i="3" s="1"/>
  <c r="L2105" i="3"/>
  <c r="M2105" i="3" s="1"/>
  <c r="L2106" i="3"/>
  <c r="M2106" i="3" s="1"/>
  <c r="L2107" i="3"/>
  <c r="M2107" i="3" s="1"/>
  <c r="L2108" i="3"/>
  <c r="M2108" i="3" s="1"/>
  <c r="L2109" i="3"/>
  <c r="M2109" i="3" s="1"/>
  <c r="L2110" i="3"/>
  <c r="M2110" i="3" s="1"/>
  <c r="L2111" i="3"/>
  <c r="M2111" i="3" s="1"/>
  <c r="L2112" i="3"/>
  <c r="M2112" i="3" s="1"/>
  <c r="L2113" i="3"/>
  <c r="M2113" i="3" s="1"/>
  <c r="L2114" i="3"/>
  <c r="M2114" i="3" s="1"/>
  <c r="L2115" i="3"/>
  <c r="M2115" i="3" s="1"/>
  <c r="L2116" i="3"/>
  <c r="M2116" i="3" s="1"/>
  <c r="L2117" i="3"/>
  <c r="M2117" i="3" s="1"/>
  <c r="L2118" i="3"/>
  <c r="M2118" i="3" s="1"/>
  <c r="L2119" i="3"/>
  <c r="M2119" i="3" s="1"/>
  <c r="L2120" i="3"/>
  <c r="M2120" i="3" s="1"/>
  <c r="L2121" i="3"/>
  <c r="M2121" i="3" s="1"/>
  <c r="L2122" i="3"/>
  <c r="M2122" i="3" s="1"/>
  <c r="L2123" i="3"/>
  <c r="M2123" i="3" s="1"/>
  <c r="L2124" i="3"/>
  <c r="M2124" i="3" s="1"/>
  <c r="L2125" i="3"/>
  <c r="M2125" i="3" s="1"/>
  <c r="L2126" i="3"/>
  <c r="M2126" i="3" s="1"/>
  <c r="L2127" i="3"/>
  <c r="M2127" i="3" s="1"/>
  <c r="L2128" i="3"/>
  <c r="M2128" i="3" s="1"/>
  <c r="L2129" i="3"/>
  <c r="M2129" i="3" s="1"/>
  <c r="L2130" i="3"/>
  <c r="M2130" i="3" s="1"/>
  <c r="L1489" i="3"/>
  <c r="M1489" i="3" s="1"/>
  <c r="L2131" i="3"/>
  <c r="M2131" i="3" s="1"/>
  <c r="L2132" i="3"/>
  <c r="M2132" i="3" s="1"/>
  <c r="L2133" i="3"/>
  <c r="M2133" i="3" s="1"/>
  <c r="L2134" i="3"/>
  <c r="M2134" i="3" s="1"/>
  <c r="L2135" i="3"/>
  <c r="M2135" i="3" s="1"/>
  <c r="L2136" i="3"/>
  <c r="M2136" i="3" s="1"/>
  <c r="L2137" i="3"/>
  <c r="M2137" i="3" s="1"/>
  <c r="L2138" i="3"/>
  <c r="M2138" i="3" s="1"/>
  <c r="L2139" i="3"/>
  <c r="M2139" i="3" s="1"/>
  <c r="L2140" i="3"/>
  <c r="M2140" i="3" s="1"/>
  <c r="L1491" i="3"/>
  <c r="M1491" i="3" s="1"/>
  <c r="L2141" i="3"/>
  <c r="M2141" i="3" s="1"/>
  <c r="L2142" i="3"/>
  <c r="M2142" i="3" s="1"/>
  <c r="L2143" i="3"/>
  <c r="M2143" i="3" s="1"/>
  <c r="L2144" i="3"/>
  <c r="M2144" i="3" s="1"/>
  <c r="L2145" i="3"/>
  <c r="M2145" i="3" s="1"/>
  <c r="L2146" i="3"/>
  <c r="M2146" i="3" s="1"/>
  <c r="L2147" i="3"/>
  <c r="M2147" i="3" s="1"/>
  <c r="L2148" i="3"/>
  <c r="M2148" i="3" s="1"/>
  <c r="L2149" i="3"/>
  <c r="M2149" i="3" s="1"/>
  <c r="L2150" i="3"/>
  <c r="M2150" i="3" s="1"/>
  <c r="L2151" i="3"/>
  <c r="M2151" i="3" s="1"/>
  <c r="L2152" i="3"/>
  <c r="M2152" i="3" s="1"/>
  <c r="L2153" i="3"/>
  <c r="M2153" i="3" s="1"/>
  <c r="L2154" i="3"/>
  <c r="M2154" i="3" s="1"/>
  <c r="L2155" i="3"/>
  <c r="M2155" i="3" s="1"/>
  <c r="L2156" i="3"/>
  <c r="M2156" i="3" s="1"/>
  <c r="L2157" i="3"/>
  <c r="M2157" i="3" s="1"/>
  <c r="L2158" i="3"/>
  <c r="M2158" i="3" s="1"/>
  <c r="L2159" i="3"/>
  <c r="M2159" i="3" s="1"/>
  <c r="L2160" i="3"/>
  <c r="M2160" i="3" s="1"/>
  <c r="L2161" i="3"/>
  <c r="M2161" i="3" s="1"/>
  <c r="L2162" i="3"/>
  <c r="M2162" i="3" s="1"/>
  <c r="L2163" i="3"/>
  <c r="M2163" i="3" s="1"/>
  <c r="L2164" i="3"/>
  <c r="M2164" i="3" s="1"/>
  <c r="L2165" i="3"/>
  <c r="M2165" i="3" s="1"/>
  <c r="L2166" i="3"/>
  <c r="M2166" i="3" s="1"/>
  <c r="L2167" i="3"/>
  <c r="M2167" i="3" s="1"/>
  <c r="L2168" i="3"/>
  <c r="M2168" i="3" s="1"/>
  <c r="L2169" i="3"/>
  <c r="M2169" i="3" s="1"/>
  <c r="L2170" i="3"/>
  <c r="M2170" i="3" s="1"/>
  <c r="L2171" i="3"/>
  <c r="M2171" i="3" s="1"/>
  <c r="L2172" i="3"/>
  <c r="M2172" i="3" s="1"/>
  <c r="L2173" i="3"/>
  <c r="M2173" i="3" s="1"/>
  <c r="L2174" i="3"/>
  <c r="M2174" i="3" s="1"/>
  <c r="L2175" i="3"/>
  <c r="M2175" i="3" s="1"/>
  <c r="L1450" i="3"/>
  <c r="L1451" i="3"/>
  <c r="L2176" i="3"/>
  <c r="M2176" i="3" s="1"/>
  <c r="L2177" i="3"/>
  <c r="M2177" i="3" s="1"/>
  <c r="L1428" i="3"/>
  <c r="L1429" i="3"/>
  <c r="L1430" i="3"/>
  <c r="L1431" i="3"/>
  <c r="L1432" i="3"/>
  <c r="L1433" i="3"/>
  <c r="L2178" i="3"/>
  <c r="M2178" i="3" s="1"/>
  <c r="L2179" i="3"/>
  <c r="M2179" i="3" s="1"/>
  <c r="L2180" i="3"/>
  <c r="M2180" i="3" s="1"/>
  <c r="L2181" i="3"/>
  <c r="M2181" i="3" s="1"/>
  <c r="L2182" i="3"/>
  <c r="M2182" i="3" s="1"/>
  <c r="L2183" i="3"/>
  <c r="M2183" i="3" s="1"/>
  <c r="L2184" i="3"/>
  <c r="M2184" i="3" s="1"/>
  <c r="L2185" i="3"/>
  <c r="M2185" i="3" s="1"/>
  <c r="L2186" i="3"/>
  <c r="M2186" i="3" s="1"/>
  <c r="L1503" i="3"/>
  <c r="M1503" i="3" s="1"/>
  <c r="L2187" i="3"/>
  <c r="M2187" i="3" s="1"/>
  <c r="L2188" i="3"/>
  <c r="M2188" i="3" s="1"/>
  <c r="L2189" i="3"/>
  <c r="M2189" i="3" s="1"/>
  <c r="L1485" i="3"/>
  <c r="M1485" i="3" s="1"/>
  <c r="L2190" i="3"/>
  <c r="M2190" i="3" s="1"/>
  <c r="L2191" i="3"/>
  <c r="M2191" i="3" s="1"/>
  <c r="L2192" i="3"/>
  <c r="M2192" i="3" s="1"/>
  <c r="L2193" i="3"/>
  <c r="M2193" i="3" s="1"/>
  <c r="L2194" i="3"/>
  <c r="M2194" i="3" s="1"/>
  <c r="L2195" i="3"/>
  <c r="M2195" i="3" s="1"/>
  <c r="L2196" i="3"/>
  <c r="M2196" i="3" s="1"/>
  <c r="L2197" i="3"/>
  <c r="M2197" i="3" s="1"/>
  <c r="L2198" i="3"/>
  <c r="M2198" i="3" s="1"/>
  <c r="L1443" i="3"/>
  <c r="L2199" i="3"/>
  <c r="M2199" i="3" s="1"/>
  <c r="L2200" i="3"/>
  <c r="M2200" i="3" s="1"/>
  <c r="L2201" i="3"/>
  <c r="M2201" i="3" s="1"/>
  <c r="L2202" i="3"/>
  <c r="M2202" i="3" s="1"/>
  <c r="L2203" i="3"/>
  <c r="M2203" i="3" s="1"/>
  <c r="L2204" i="3"/>
  <c r="M2204" i="3" s="1"/>
  <c r="L2205" i="3"/>
  <c r="M2205" i="3" s="1"/>
  <c r="L2206" i="3"/>
  <c r="M2206" i="3" s="1"/>
  <c r="L2207" i="3"/>
  <c r="M2207" i="3" s="1"/>
  <c r="L2208" i="3"/>
  <c r="M2208" i="3" s="1"/>
  <c r="L2209" i="3"/>
  <c r="M2209" i="3" s="1"/>
  <c r="L2210" i="3"/>
  <c r="M2210" i="3" s="1"/>
  <c r="L1463" i="3"/>
  <c r="L2211" i="3"/>
  <c r="M2211" i="3" s="1"/>
  <c r="L2212" i="3"/>
  <c r="M2212" i="3" s="1"/>
  <c r="L2213" i="3"/>
  <c r="M2213" i="3" s="1"/>
  <c r="L2214" i="3"/>
  <c r="M2214" i="3" s="1"/>
  <c r="L2215" i="3"/>
  <c r="M2215" i="3" s="1"/>
  <c r="L2216" i="3"/>
  <c r="M2216" i="3" s="1"/>
  <c r="L2217" i="3"/>
  <c r="M2217" i="3" s="1"/>
  <c r="L2218" i="3"/>
  <c r="M2218" i="3" s="1"/>
  <c r="L2219" i="3"/>
  <c r="M2219" i="3" s="1"/>
  <c r="L2220" i="3"/>
  <c r="M2220" i="3" s="1"/>
  <c r="L2221" i="3"/>
  <c r="M2221" i="3" s="1"/>
  <c r="L2222" i="3"/>
  <c r="M2222" i="3" s="1"/>
  <c r="L2223" i="3"/>
  <c r="M2223" i="3" s="1"/>
  <c r="L2224" i="3"/>
  <c r="M2224" i="3" s="1"/>
  <c r="L2225" i="3"/>
  <c r="M2225" i="3" s="1"/>
  <c r="L2226" i="3"/>
  <c r="M2226" i="3" s="1"/>
  <c r="L2227" i="3"/>
  <c r="M2227" i="3" s="1"/>
  <c r="L1488" i="3"/>
  <c r="M1488" i="3" s="1"/>
  <c r="L2228" i="3"/>
  <c r="M2228" i="3" s="1"/>
  <c r="L1492" i="3"/>
  <c r="M1492" i="3" s="1"/>
  <c r="L2229" i="3"/>
  <c r="M2229" i="3" s="1"/>
  <c r="L2230" i="3"/>
  <c r="M2230" i="3" s="1"/>
  <c r="L2231" i="3"/>
  <c r="M2231" i="3" s="1"/>
  <c r="L2232" i="3"/>
  <c r="M2232" i="3" s="1"/>
  <c r="L2233" i="3"/>
  <c r="M2233" i="3" s="1"/>
  <c r="L2234" i="3"/>
  <c r="M2234" i="3" s="1"/>
  <c r="L2235" i="3"/>
  <c r="M2235" i="3" s="1"/>
  <c r="L2236" i="3"/>
  <c r="M2236" i="3" s="1"/>
  <c r="L2237" i="3"/>
  <c r="M2237" i="3" s="1"/>
  <c r="L2238" i="3"/>
  <c r="M2238" i="3" s="1"/>
  <c r="L1479" i="3"/>
  <c r="M1479" i="3" s="1"/>
  <c r="L2239" i="3"/>
  <c r="M2239" i="3" s="1"/>
  <c r="L2240" i="3"/>
  <c r="M2240" i="3" s="1"/>
  <c r="L2241" i="3"/>
  <c r="M2241" i="3" s="1"/>
  <c r="L2242" i="3"/>
  <c r="M2242" i="3" s="1"/>
  <c r="L2243" i="3"/>
  <c r="M2243" i="3" s="1"/>
  <c r="L2244" i="3"/>
  <c r="M2244" i="3" s="1"/>
  <c r="L2245" i="3"/>
  <c r="M2245" i="3" s="1"/>
  <c r="L2246" i="3"/>
  <c r="M2246" i="3" s="1"/>
  <c r="L2247" i="3"/>
  <c r="M2247" i="3" s="1"/>
  <c r="L2248" i="3"/>
  <c r="M2248" i="3" s="1"/>
  <c r="L2249" i="3"/>
  <c r="M2249" i="3" s="1"/>
  <c r="L2250" i="3"/>
  <c r="M2250" i="3" s="1"/>
  <c r="L2251" i="3"/>
  <c r="M2251" i="3" s="1"/>
  <c r="L2252" i="3"/>
  <c r="M2252" i="3" s="1"/>
  <c r="L2253" i="3"/>
  <c r="M2253" i="3" s="1"/>
  <c r="L1435" i="3"/>
  <c r="L2254" i="3"/>
  <c r="M2254" i="3" s="1"/>
  <c r="L2255" i="3"/>
  <c r="M2255" i="3" s="1"/>
  <c r="L2256" i="3"/>
  <c r="M2256" i="3" s="1"/>
  <c r="L2257" i="3"/>
  <c r="M2257" i="3" s="1"/>
  <c r="L2258" i="3"/>
  <c r="M2258" i="3" s="1"/>
  <c r="L2259" i="3"/>
  <c r="M2259" i="3" s="1"/>
  <c r="L2260" i="3"/>
  <c r="M2260" i="3" s="1"/>
  <c r="L2261" i="3"/>
  <c r="M2261" i="3" s="1"/>
  <c r="L2262" i="3"/>
  <c r="M2262" i="3" s="1"/>
  <c r="L2263" i="3"/>
  <c r="M2263" i="3" s="1"/>
  <c r="L2264" i="3"/>
  <c r="M2264" i="3" s="1"/>
  <c r="L2265" i="3"/>
  <c r="M2265" i="3" s="1"/>
  <c r="L2266" i="3"/>
  <c r="M2266" i="3" s="1"/>
  <c r="L2267" i="3"/>
  <c r="M2267" i="3" s="1"/>
  <c r="L1471" i="3"/>
  <c r="L2268" i="3"/>
  <c r="M2268" i="3" s="1"/>
  <c r="L2269" i="3"/>
  <c r="M2269" i="3" s="1"/>
  <c r="L2270" i="3"/>
  <c r="M2270" i="3" s="1"/>
  <c r="L2271" i="3"/>
  <c r="M2271" i="3" s="1"/>
  <c r="L2272" i="3"/>
  <c r="M2272" i="3" s="1"/>
  <c r="L2273" i="3"/>
  <c r="M2273" i="3" s="1"/>
  <c r="L2274" i="3"/>
  <c r="M2274" i="3" s="1"/>
  <c r="L2275" i="3"/>
  <c r="M2275" i="3" s="1"/>
  <c r="L2276" i="3"/>
  <c r="M2276" i="3" s="1"/>
  <c r="L2277" i="3"/>
  <c r="M2277" i="3" s="1"/>
  <c r="L2278" i="3"/>
  <c r="M2278" i="3" s="1"/>
  <c r="L2279" i="3"/>
  <c r="M2279" i="3" s="1"/>
  <c r="L1472" i="3"/>
  <c r="L2280" i="3"/>
  <c r="M2280" i="3" s="1"/>
  <c r="L2281" i="3"/>
  <c r="M2281" i="3" s="1"/>
  <c r="L2282" i="3"/>
  <c r="M2282" i="3" s="1"/>
  <c r="L2283" i="3"/>
  <c r="M2283" i="3" s="1"/>
  <c r="L2284" i="3"/>
  <c r="M2284" i="3" s="1"/>
  <c r="L2285" i="3"/>
  <c r="M2285" i="3" s="1"/>
  <c r="L2286" i="3"/>
  <c r="M2286" i="3" s="1"/>
  <c r="L2287" i="3"/>
  <c r="M2287" i="3" s="1"/>
  <c r="L2288" i="3"/>
  <c r="M2288" i="3" s="1"/>
  <c r="L2289" i="3"/>
  <c r="M2289" i="3" s="1"/>
  <c r="L2290" i="3"/>
  <c r="M2290" i="3" s="1"/>
  <c r="L2291" i="3"/>
  <c r="M2291" i="3" s="1"/>
  <c r="L2292" i="3"/>
  <c r="M2292" i="3" s="1"/>
  <c r="L1444" i="3"/>
  <c r="L2293" i="3"/>
  <c r="M2293" i="3" s="1"/>
  <c r="L2294" i="3"/>
  <c r="M2294" i="3" s="1"/>
  <c r="L2295" i="3"/>
  <c r="M2295" i="3" s="1"/>
  <c r="L1445" i="3"/>
  <c r="L2296" i="3"/>
  <c r="M2296" i="3" s="1"/>
  <c r="L2297" i="3"/>
  <c r="M2297" i="3" s="1"/>
  <c r="L2298" i="3"/>
  <c r="M2298" i="3" s="1"/>
  <c r="L2299" i="3"/>
  <c r="M2299" i="3" s="1"/>
  <c r="L2300" i="3"/>
  <c r="M2300" i="3" s="1"/>
  <c r="L1402" i="3"/>
  <c r="L2301" i="3"/>
  <c r="M2301" i="3" s="1"/>
  <c r="L2302" i="3"/>
  <c r="M2302" i="3" s="1"/>
  <c r="L2303" i="3"/>
  <c r="M2303" i="3" s="1"/>
  <c r="L2304" i="3"/>
  <c r="M2304" i="3" s="1"/>
  <c r="L2305" i="3"/>
  <c r="M2305" i="3" s="1"/>
  <c r="L2306" i="3"/>
  <c r="M2306" i="3" s="1"/>
  <c r="L2307" i="3"/>
  <c r="M2307" i="3" s="1"/>
  <c r="L2308" i="3"/>
  <c r="M2308" i="3" s="1"/>
  <c r="L2309" i="3"/>
  <c r="M2309" i="3" s="1"/>
  <c r="L2310" i="3"/>
  <c r="M2310" i="3" s="1"/>
  <c r="L2311" i="3"/>
  <c r="M2311" i="3" s="1"/>
  <c r="L2312" i="3"/>
  <c r="M2312" i="3" s="1"/>
  <c r="L1425" i="3"/>
  <c r="L2313" i="3"/>
  <c r="M2313" i="3" s="1"/>
  <c r="L2314" i="3"/>
  <c r="M2314" i="3" s="1"/>
  <c r="L2315" i="3"/>
  <c r="M2315" i="3" s="1"/>
  <c r="L1498" i="3"/>
  <c r="M1498" i="3" s="1"/>
  <c r="L2316" i="3"/>
  <c r="M2316" i="3" s="1"/>
  <c r="L2317" i="3"/>
  <c r="M2317" i="3" s="1"/>
  <c r="L2318" i="3"/>
  <c r="M2318" i="3" s="1"/>
  <c r="L2347" i="3"/>
  <c r="M2347" i="3" s="1"/>
  <c r="L2319" i="3"/>
  <c r="M2319" i="3" s="1"/>
  <c r="L2320" i="3"/>
  <c r="M2320" i="3" s="1"/>
  <c r="L2321" i="3"/>
  <c r="M2321" i="3" s="1"/>
  <c r="L1649" i="3"/>
  <c r="M1649" i="3" s="1"/>
  <c r="L2323" i="3"/>
  <c r="M2323" i="3" s="1"/>
  <c r="L2324" i="3"/>
  <c r="M2324" i="3" s="1"/>
  <c r="L2325" i="3"/>
  <c r="M2325" i="3" s="1"/>
  <c r="L2326" i="3"/>
  <c r="M2326" i="3" s="1"/>
  <c r="L2327" i="3"/>
  <c r="M2327" i="3" s="1"/>
  <c r="L2328" i="3"/>
  <c r="M2328" i="3" s="1"/>
  <c r="L2329" i="3"/>
  <c r="M2329" i="3" s="1"/>
  <c r="L2330" i="3"/>
  <c r="M2330" i="3" s="1"/>
  <c r="L2331" i="3"/>
  <c r="M2331" i="3" s="1"/>
  <c r="L2332" i="3"/>
  <c r="M2332" i="3" s="1"/>
  <c r="L2333" i="3"/>
  <c r="M2333" i="3" s="1"/>
  <c r="L2334" i="3"/>
  <c r="M2334" i="3" s="1"/>
  <c r="L2335" i="3"/>
  <c r="M2335" i="3" s="1"/>
  <c r="L2336" i="3"/>
  <c r="M2336" i="3" s="1"/>
  <c r="L2337" i="3"/>
  <c r="M2337" i="3" s="1"/>
  <c r="L2338" i="3"/>
  <c r="M2338" i="3" s="1"/>
  <c r="L2339" i="3"/>
  <c r="M2339" i="3" s="1"/>
  <c r="L2340" i="3"/>
  <c r="M2340" i="3" s="1"/>
  <c r="L2341" i="3"/>
  <c r="M2341" i="3" s="1"/>
  <c r="L2348" i="3"/>
  <c r="M2348" i="3" s="1"/>
  <c r="L2342" i="3"/>
  <c r="M2342" i="3" s="1"/>
  <c r="L2343" i="3"/>
  <c r="M2343" i="3" s="1"/>
  <c r="L2344" i="3"/>
  <c r="M2344" i="3" s="1"/>
  <c r="L2345" i="3"/>
  <c r="M2345" i="3" s="1"/>
  <c r="L2346" i="3"/>
  <c r="M2346" i="3" s="1"/>
  <c r="L1500" i="3"/>
  <c r="M1500" i="3" s="1"/>
  <c r="L2349" i="3"/>
  <c r="M2349" i="3" s="1"/>
  <c r="L1497" i="3"/>
  <c r="M1497" i="3" s="1"/>
  <c r="L2350" i="3"/>
  <c r="M2350" i="3" s="1"/>
  <c r="L2351" i="3"/>
  <c r="M2351" i="3" s="1"/>
  <c r="L2352" i="3"/>
  <c r="M2352" i="3" s="1"/>
  <c r="L2353" i="3"/>
  <c r="M2353" i="3" s="1"/>
  <c r="L2354" i="3"/>
  <c r="M2354" i="3" s="1"/>
  <c r="L1499" i="3"/>
  <c r="M1499" i="3" s="1"/>
  <c r="L2356" i="3"/>
  <c r="M2356" i="3" s="1"/>
  <c r="L2357" i="3"/>
  <c r="M2357" i="3" s="1"/>
  <c r="L2358" i="3"/>
  <c r="M2358" i="3" s="1"/>
  <c r="L2359" i="3"/>
  <c r="M2359" i="3" s="1"/>
  <c r="L2360" i="3"/>
  <c r="M2360" i="3" s="1"/>
  <c r="L2361" i="3"/>
  <c r="M2361" i="3" s="1"/>
  <c r="L2362" i="3"/>
  <c r="M2362" i="3" s="1"/>
  <c r="L2363" i="3"/>
  <c r="M2363" i="3" s="1"/>
  <c r="L2364" i="3"/>
  <c r="M2364" i="3" s="1"/>
  <c r="L2365" i="3"/>
  <c r="M2365" i="3" s="1"/>
  <c r="L2366" i="3"/>
  <c r="M2366" i="3" s="1"/>
  <c r="L2367" i="3"/>
  <c r="M2367" i="3" s="1"/>
  <c r="L2368" i="3"/>
  <c r="M2368" i="3" s="1"/>
  <c r="L2369" i="3"/>
  <c r="M2369" i="3" s="1"/>
  <c r="L2355" i="3"/>
  <c r="M2355" i="3" s="1"/>
  <c r="L2371" i="3"/>
  <c r="M2371" i="3" s="1"/>
  <c r="L2372" i="3"/>
  <c r="M2372" i="3" s="1"/>
  <c r="L2373" i="3"/>
  <c r="M2373" i="3" s="1"/>
  <c r="L2374" i="3"/>
  <c r="M2374" i="3" s="1"/>
  <c r="L2375" i="3"/>
  <c r="M2375" i="3" s="1"/>
  <c r="L2376" i="3"/>
  <c r="M2376" i="3" s="1"/>
  <c r="L2377" i="3"/>
  <c r="M2377" i="3" s="1"/>
  <c r="L2378" i="3"/>
  <c r="M2378" i="3" s="1"/>
  <c r="L2379" i="3"/>
  <c r="M2379" i="3" s="1"/>
  <c r="L2380" i="3"/>
  <c r="M2380" i="3" s="1"/>
  <c r="L2381" i="3"/>
  <c r="M2381" i="3" s="1"/>
  <c r="L2382" i="3"/>
  <c r="M2382" i="3" s="1"/>
  <c r="L1458" i="3"/>
  <c r="L2383" i="3"/>
  <c r="M2383" i="3" s="1"/>
  <c r="L2384" i="3"/>
  <c r="M2384" i="3" s="1"/>
  <c r="L2385" i="3"/>
  <c r="M2385" i="3" s="1"/>
  <c r="L2386" i="3"/>
  <c r="M2386" i="3" s="1"/>
  <c r="L2387" i="3"/>
  <c r="M2387" i="3" s="1"/>
  <c r="L1404" i="3"/>
  <c r="L2388" i="3"/>
  <c r="M2388" i="3" s="1"/>
  <c r="L2389" i="3"/>
  <c r="M2389" i="3" s="1"/>
  <c r="L2390" i="3"/>
  <c r="M2390" i="3" s="1"/>
  <c r="L2391" i="3"/>
  <c r="M2391" i="3" s="1"/>
  <c r="L1453" i="3"/>
  <c r="L2392" i="3"/>
  <c r="M2392" i="3" s="1"/>
  <c r="L2393" i="3"/>
  <c r="M2393" i="3" s="1"/>
  <c r="L2394" i="3"/>
  <c r="M2394" i="3" s="1"/>
  <c r="L2395" i="3"/>
  <c r="M2395" i="3" s="1"/>
  <c r="L2396" i="3"/>
  <c r="M2396" i="3" s="1"/>
  <c r="L2397" i="3"/>
  <c r="M2397" i="3" s="1"/>
  <c r="L2398" i="3"/>
  <c r="M2398" i="3" s="1"/>
  <c r="L2399" i="3"/>
  <c r="M2399" i="3" s="1"/>
  <c r="L2400" i="3"/>
  <c r="M2400" i="3" s="1"/>
  <c r="L2401" i="3"/>
  <c r="M2401" i="3" s="1"/>
  <c r="L2402" i="3"/>
  <c r="M2402" i="3" s="1"/>
  <c r="L2403" i="3"/>
  <c r="M2403" i="3" s="1"/>
  <c r="L2404" i="3"/>
  <c r="M2404" i="3" s="1"/>
  <c r="L2405" i="3"/>
  <c r="M2405" i="3" s="1"/>
  <c r="L2406" i="3"/>
  <c r="M2406" i="3" s="1"/>
  <c r="L2407" i="3"/>
  <c r="M2407" i="3" s="1"/>
  <c r="L2408" i="3"/>
  <c r="M2408" i="3" s="1"/>
  <c r="L2370" i="3"/>
  <c r="M2370" i="3" s="1"/>
  <c r="L2409" i="3"/>
  <c r="M2409" i="3" s="1"/>
  <c r="L2411" i="3"/>
  <c r="M2411" i="3" s="1"/>
  <c r="L2412" i="3"/>
  <c r="M2412" i="3" s="1"/>
  <c r="L2413" i="3"/>
  <c r="M2413" i="3" s="1"/>
  <c r="L1393" i="3"/>
  <c r="AL1392" i="3"/>
  <c r="AL1391" i="3"/>
  <c r="AL1389" i="3"/>
  <c r="AL1390" i="3"/>
  <c r="AL1385" i="3"/>
  <c r="AL1386" i="3"/>
  <c r="AL1387" i="3"/>
  <c r="AL1388" i="3"/>
  <c r="AL1383" i="3"/>
  <c r="AL1384" i="3"/>
  <c r="AL1235" i="3"/>
  <c r="AL1381" i="3"/>
  <c r="AL1380" i="3"/>
  <c r="AL1376" i="3"/>
  <c r="AL1377" i="3"/>
  <c r="AL1378" i="3"/>
  <c r="AL1379" i="3"/>
  <c r="AL1374" i="3"/>
  <c r="AL1434" i="3"/>
  <c r="AL1373" i="3"/>
  <c r="AL1476" i="3"/>
  <c r="AL1371" i="3"/>
  <c r="AL1368" i="3"/>
  <c r="AL1369" i="3"/>
  <c r="AL1477" i="3"/>
  <c r="AL1366" i="3"/>
  <c r="AL1367" i="3"/>
  <c r="AL1365" i="3"/>
  <c r="AL1362" i="3"/>
  <c r="AL1303" i="3"/>
  <c r="AL1363" i="3"/>
  <c r="AL1358" i="3"/>
  <c r="AL1359" i="3"/>
  <c r="AL1360" i="3"/>
  <c r="AL1361" i="3"/>
  <c r="AL1350" i="3"/>
  <c r="AL1351" i="3"/>
  <c r="AL1352" i="3"/>
  <c r="AL1353" i="3"/>
  <c r="AL1354" i="3"/>
  <c r="AL1355" i="3"/>
  <c r="AL1356" i="3"/>
  <c r="AL1051" i="3"/>
  <c r="AL1357" i="3"/>
  <c r="AL1304" i="3"/>
  <c r="AL1305" i="3"/>
  <c r="AL178" i="3"/>
  <c r="AL179" i="3"/>
  <c r="AL1306" i="3"/>
  <c r="AL1307" i="3"/>
  <c r="AL1308" i="3"/>
  <c r="AL1309" i="3"/>
  <c r="AL1310" i="3"/>
  <c r="AL1311" i="3"/>
  <c r="AL1312" i="3"/>
  <c r="AL1313" i="3"/>
  <c r="AL1314" i="3"/>
  <c r="AL1315" i="3"/>
  <c r="AL1316" i="3"/>
  <c r="AL1317" i="3"/>
  <c r="AL1318" i="3"/>
  <c r="AL1319" i="3"/>
  <c r="AL1320" i="3"/>
  <c r="AL1321" i="3"/>
  <c r="AL1322" i="3"/>
  <c r="AL1323" i="3"/>
  <c r="AL1324" i="3"/>
  <c r="AL1325" i="3"/>
  <c r="AL1326" i="3"/>
  <c r="AL1327" i="3"/>
  <c r="AL1328" i="3"/>
  <c r="AL1329" i="3"/>
  <c r="AL1330" i="3"/>
  <c r="AL1331" i="3"/>
  <c r="AL1332" i="3"/>
  <c r="AL1333" i="3"/>
  <c r="AL714" i="3"/>
  <c r="AL715" i="3"/>
  <c r="AL716" i="3"/>
  <c r="AL1334" i="3"/>
  <c r="AL1335" i="3"/>
  <c r="AL1336" i="3"/>
  <c r="AL1337" i="3"/>
  <c r="AL1338" i="3"/>
  <c r="AL1339" i="3"/>
  <c r="AL1340" i="3"/>
  <c r="AL1341" i="3"/>
  <c r="AL1131" i="3"/>
  <c r="AL1342" i="3"/>
  <c r="AL1343" i="3"/>
  <c r="AL1344" i="3"/>
  <c r="AL1345" i="3"/>
  <c r="AL1346" i="3"/>
  <c r="AL1347" i="3"/>
  <c r="AL1348" i="3"/>
  <c r="AL1349" i="3"/>
  <c r="AL1282" i="3"/>
  <c r="AL1251" i="3"/>
  <c r="AL1252" i="3"/>
  <c r="AL1283" i="3"/>
  <c r="AL1280" i="3"/>
  <c r="AL1234" i="3"/>
  <c r="AL1281" i="3"/>
  <c r="AL1269" i="3"/>
  <c r="AL1284" i="3"/>
  <c r="AL1285" i="3"/>
  <c r="AL1256" i="3"/>
  <c r="AL1236" i="3"/>
  <c r="AL1286" i="3"/>
  <c r="AL1272" i="3"/>
  <c r="AL1276" i="3"/>
  <c r="AL1260" i="3"/>
  <c r="AL1287" i="3"/>
  <c r="AL1248" i="3"/>
  <c r="AL1263" i="3"/>
  <c r="AL1279" i="3"/>
  <c r="AL1241" i="3"/>
  <c r="AL1246" i="3"/>
  <c r="AL1288" i="3"/>
  <c r="AL1265" i="3"/>
  <c r="AL1254" i="3"/>
  <c r="AL1261" i="3"/>
  <c r="AL1262" i="3"/>
  <c r="AL1270" i="3"/>
  <c r="AL1289" i="3"/>
  <c r="AL1273" i="3"/>
  <c r="AL1244" i="3"/>
  <c r="AL1130" i="3"/>
  <c r="AL1474" i="3"/>
  <c r="AL1266" i="3"/>
  <c r="AL1292" i="3"/>
  <c r="AL1293" i="3"/>
  <c r="AL1271" i="3"/>
  <c r="AL1267" i="3"/>
  <c r="AL1294" i="3"/>
  <c r="AL1295" i="3"/>
  <c r="AL1253" i="3"/>
  <c r="AL1264" i="3"/>
  <c r="AL1296" i="3"/>
  <c r="AL1243" i="3"/>
  <c r="AL1274" i="3"/>
  <c r="AL1257" i="3"/>
  <c r="AL1239" i="3"/>
  <c r="AL1245" i="3"/>
  <c r="AL1237" i="3"/>
  <c r="AL1250" i="3"/>
  <c r="AL1259" i="3"/>
  <c r="AL1297" i="3"/>
  <c r="AL1278" i="3"/>
  <c r="AL1240" i="3"/>
  <c r="AL1238" i="3"/>
  <c r="AL1299" i="3"/>
  <c r="AL1277" i="3"/>
  <c r="AL1242" i="3"/>
  <c r="AL1247" i="3"/>
  <c r="AL1249" i="3"/>
  <c r="AL867" i="3"/>
  <c r="AL1258" i="3"/>
  <c r="AL1108" i="3"/>
  <c r="AL1300" i="3"/>
  <c r="AL1255" i="3"/>
  <c r="AL1154" i="3"/>
  <c r="AL930" i="3"/>
  <c r="AL1301" i="3"/>
  <c r="AL1302" i="3"/>
  <c r="AL1214" i="3"/>
  <c r="AL1221" i="3"/>
  <c r="AL1222" i="3"/>
  <c r="AL1223" i="3"/>
  <c r="AL1224" i="3"/>
  <c r="AL1217" i="3"/>
  <c r="AL1225" i="3"/>
  <c r="AL1213" i="3"/>
  <c r="AL1220" i="3"/>
  <c r="AL1215" i="3"/>
  <c r="AL1209" i="3"/>
  <c r="AL1226" i="3"/>
  <c r="AL1227" i="3"/>
  <c r="AL1210" i="3"/>
  <c r="AL1228" i="3"/>
  <c r="AL1229" i="3"/>
  <c r="AL1230" i="3"/>
  <c r="AL1211" i="3"/>
  <c r="AL1212" i="3"/>
  <c r="AL1219" i="3"/>
  <c r="AL1231" i="3"/>
  <c r="AL1232" i="3"/>
  <c r="AL1233" i="3"/>
  <c r="AL1216" i="3"/>
  <c r="AL1218" i="3"/>
  <c r="AL1193" i="3"/>
  <c r="AL1194" i="3"/>
  <c r="AL1184" i="3"/>
  <c r="AL1195" i="3"/>
  <c r="AL1190" i="3"/>
  <c r="AL1196" i="3"/>
  <c r="AL1192" i="3"/>
  <c r="AL1197" i="3"/>
  <c r="AL1198" i="3"/>
  <c r="AL1191" i="3"/>
  <c r="AL1199" i="3"/>
  <c r="AL1180" i="3"/>
  <c r="AL1200" i="3"/>
  <c r="AL1201" i="3"/>
  <c r="AL1181" i="3"/>
  <c r="AL1202" i="3"/>
  <c r="AL1203" i="3"/>
  <c r="AL1204" i="3"/>
  <c r="AL1182" i="3"/>
  <c r="AL1189" i="3"/>
  <c r="AL1205" i="3"/>
  <c r="AL1186" i="3"/>
  <c r="AL1187" i="3"/>
  <c r="AL1185" i="3"/>
  <c r="AL1206" i="3"/>
  <c r="AL1207" i="3"/>
  <c r="AL1183" i="3"/>
  <c r="AL1188" i="3"/>
  <c r="AL1208" i="3"/>
  <c r="AL1157" i="3"/>
  <c r="AL1167" i="3"/>
  <c r="AL1168" i="3"/>
  <c r="AL1155" i="3"/>
  <c r="AL1165" i="3"/>
  <c r="AL1169" i="3"/>
  <c r="AL1170" i="3"/>
  <c r="AL1171" i="3"/>
  <c r="AL1159" i="3"/>
  <c r="AL1412" i="3"/>
  <c r="AL1163" i="3"/>
  <c r="AL1173" i="3"/>
  <c r="AL1166" i="3"/>
  <c r="AL1077" i="3"/>
  <c r="AL1158" i="3"/>
  <c r="AL1161" i="3"/>
  <c r="AL1174" i="3"/>
  <c r="AL1175" i="3"/>
  <c r="AL1162" i="3"/>
  <c r="AL1164" i="3"/>
  <c r="AL1176" i="3"/>
  <c r="AL931" i="3"/>
  <c r="AL1178" i="3"/>
  <c r="AL1179" i="3"/>
  <c r="AL1156" i="3"/>
  <c r="AL1160" i="3"/>
  <c r="AL1137" i="3"/>
  <c r="AL1142" i="3"/>
  <c r="AL1143" i="3"/>
  <c r="AL1121" i="3"/>
  <c r="AL1144" i="3"/>
  <c r="AL1123" i="3"/>
  <c r="AL1136" i="3"/>
  <c r="AL1145" i="3"/>
  <c r="AL1139" i="3"/>
  <c r="AL1146" i="3"/>
  <c r="AL1127" i="3"/>
  <c r="AL1133" i="3"/>
  <c r="AL1140" i="3"/>
  <c r="AL1141" i="3"/>
  <c r="AL1135" i="3"/>
  <c r="AL1089" i="3"/>
  <c r="AL1413" i="3"/>
  <c r="AL1124" i="3"/>
  <c r="AL1122" i="3"/>
  <c r="AL1128" i="3"/>
  <c r="AL1126" i="3"/>
  <c r="AL1147" i="3"/>
  <c r="AL1148" i="3"/>
  <c r="AL1149" i="3"/>
  <c r="AL954" i="3"/>
  <c r="AL1132" i="3"/>
  <c r="AL1134" i="3"/>
  <c r="AL1151" i="3"/>
  <c r="AL1129" i="3"/>
  <c r="AL1152" i="3"/>
  <c r="AL1138" i="3"/>
  <c r="AL1125" i="3"/>
  <c r="AL1153" i="3"/>
  <c r="AL1061" i="3"/>
  <c r="AL1094" i="3"/>
  <c r="AL1095" i="3"/>
  <c r="AL1096" i="3"/>
  <c r="AL1097" i="3"/>
  <c r="AL1098" i="3"/>
  <c r="AL1099" i="3"/>
  <c r="AL1092" i="3"/>
  <c r="AL1100" i="3"/>
  <c r="AL1101" i="3"/>
  <c r="AL1102" i="3"/>
  <c r="AL1103" i="3"/>
  <c r="AL1104" i="3"/>
  <c r="AL1105" i="3"/>
  <c r="AL1106" i="3"/>
  <c r="AL1120" i="3"/>
  <c r="AL1107" i="3"/>
  <c r="AL551" i="3"/>
  <c r="AL1109" i="3"/>
  <c r="AL1110" i="3"/>
  <c r="AL1111" i="3"/>
  <c r="AL1112" i="3"/>
  <c r="AL1113" i="3"/>
  <c r="AL1114" i="3"/>
  <c r="AL1115" i="3"/>
  <c r="AL1116" i="3"/>
  <c r="AL1117" i="3"/>
  <c r="AL1118" i="3"/>
  <c r="AL1268" i="3"/>
  <c r="AL1072" i="3"/>
  <c r="AL1073" i="3"/>
  <c r="AL1074" i="3"/>
  <c r="AL1075" i="3"/>
  <c r="AL1076" i="3"/>
  <c r="AL1275" i="3"/>
  <c r="AL1078" i="3"/>
  <c r="AL1079" i="3"/>
  <c r="AL1080" i="3"/>
  <c r="AL1081" i="3"/>
  <c r="AL1417" i="3"/>
  <c r="AL1083" i="3"/>
  <c r="AL1084" i="3"/>
  <c r="AL1085" i="3"/>
  <c r="AL1086" i="3"/>
  <c r="AL68" i="3"/>
  <c r="AL1088" i="3"/>
  <c r="AL932" i="3"/>
  <c r="AL1091" i="3"/>
  <c r="AL1090" i="3"/>
  <c r="AL1053" i="3"/>
  <c r="AL1382" i="3"/>
  <c r="AL1052" i="3"/>
  <c r="AL445" i="3"/>
  <c r="AL1056" i="3"/>
  <c r="AL1057" i="3"/>
  <c r="AL1058" i="3"/>
  <c r="AL1059" i="3"/>
  <c r="AL1060" i="3"/>
  <c r="AL1119" i="3"/>
  <c r="AL1062" i="3"/>
  <c r="AL1063" i="3"/>
  <c r="AL1364" i="3"/>
  <c r="AL1065" i="3"/>
  <c r="AL1071" i="3"/>
  <c r="AL1070" i="3"/>
  <c r="AL1066" i="3"/>
  <c r="AL1067" i="3"/>
  <c r="AL1068" i="3"/>
  <c r="AL1069" i="3"/>
  <c r="AL1037" i="3"/>
  <c r="AL1038" i="3"/>
  <c r="AL1039" i="3"/>
  <c r="AL1040" i="3"/>
  <c r="AL1290" i="3"/>
  <c r="AL1042" i="3"/>
  <c r="AL1043" i="3"/>
  <c r="AL1044" i="3"/>
  <c r="AL1291" i="3"/>
  <c r="AL1046" i="3"/>
  <c r="AL1047" i="3"/>
  <c r="AL1048" i="3"/>
  <c r="AL1049" i="3"/>
  <c r="AL1050" i="3"/>
  <c r="AL1023" i="3"/>
  <c r="AL1024" i="3"/>
  <c r="AL1025" i="3"/>
  <c r="AL1026" i="3"/>
  <c r="AL1027" i="3"/>
  <c r="AL1028" i="3"/>
  <c r="AL1029" i="3"/>
  <c r="AL1030" i="3"/>
  <c r="AL1031" i="3"/>
  <c r="AL1032" i="3"/>
  <c r="AL1033" i="3"/>
  <c r="AL1172" i="3"/>
  <c r="AL1035" i="3"/>
  <c r="AL1036" i="3"/>
  <c r="AL1177" i="3"/>
  <c r="AL1006" i="3"/>
  <c r="AL1007" i="3"/>
  <c r="AL1008" i="3"/>
  <c r="AL1009" i="3"/>
  <c r="AL1010" i="3"/>
  <c r="AL1011" i="3"/>
  <c r="AL1012" i="3"/>
  <c r="AL1013" i="3"/>
  <c r="AL1150" i="3"/>
  <c r="AL1014" i="3"/>
  <c r="AL1015" i="3"/>
  <c r="AL1016" i="3"/>
  <c r="AL1082" i="3"/>
  <c r="AL1017" i="3"/>
  <c r="AL1018" i="3"/>
  <c r="AL1019" i="3"/>
  <c r="AL985" i="3"/>
  <c r="AL1087" i="3"/>
  <c r="AL1054" i="3"/>
  <c r="AL986" i="3"/>
  <c r="AL987" i="3"/>
  <c r="AL988" i="3"/>
  <c r="AL1055" i="3"/>
  <c r="AL989" i="3"/>
  <c r="AL990" i="3"/>
  <c r="AL991" i="3"/>
  <c r="AL992" i="3"/>
  <c r="AL993" i="3"/>
  <c r="AL994" i="3"/>
  <c r="AL995" i="3"/>
  <c r="AL996" i="3"/>
  <c r="AL997" i="3"/>
  <c r="AL998" i="3"/>
  <c r="AL999" i="3"/>
  <c r="AL1000" i="3"/>
  <c r="AL1034" i="3"/>
  <c r="AL855" i="3"/>
  <c r="AL1001" i="3"/>
  <c r="AL955" i="3"/>
  <c r="AL1298" i="3"/>
  <c r="AL956" i="3"/>
  <c r="AL1020" i="3"/>
  <c r="AL957" i="3"/>
  <c r="AL958" i="3"/>
  <c r="AL959" i="3"/>
  <c r="AL960" i="3"/>
  <c r="AL961" i="3"/>
  <c r="AL962" i="3"/>
  <c r="AL1021" i="3"/>
  <c r="AL1022" i="3"/>
  <c r="AL963" i="3"/>
  <c r="AL964" i="3"/>
  <c r="AL965" i="3"/>
  <c r="AL966" i="3"/>
  <c r="AL967" i="3"/>
  <c r="AL968" i="3"/>
  <c r="AL969" i="3"/>
  <c r="AL970" i="3"/>
  <c r="AL971" i="3"/>
  <c r="AL972" i="3"/>
  <c r="AL973" i="3"/>
  <c r="AL974" i="3"/>
  <c r="AL1002" i="3"/>
  <c r="AL975" i="3"/>
  <c r="AL976" i="3"/>
  <c r="AL977" i="3"/>
  <c r="AL1481" i="3"/>
  <c r="AL1003" i="3"/>
  <c r="AL978" i="3"/>
  <c r="AL933" i="3"/>
  <c r="AL934" i="3"/>
  <c r="AL935" i="3"/>
  <c r="AL936" i="3"/>
  <c r="AL937" i="3"/>
  <c r="AL938" i="3"/>
  <c r="AL939" i="3"/>
  <c r="AL1004" i="3"/>
  <c r="AL1005" i="3"/>
  <c r="AL940" i="3"/>
  <c r="AL941" i="3"/>
  <c r="AL942" i="3"/>
  <c r="AL943" i="3"/>
  <c r="AL944" i="3"/>
  <c r="AL979" i="3"/>
  <c r="AL945" i="3"/>
  <c r="AL946" i="3"/>
  <c r="AL947" i="3"/>
  <c r="AL948" i="3"/>
  <c r="AL949" i="3"/>
  <c r="AL950" i="3"/>
  <c r="AL951" i="3"/>
  <c r="AL953" i="3"/>
  <c r="AL952" i="3"/>
  <c r="AL899" i="3"/>
  <c r="AL900" i="3"/>
  <c r="AL901" i="3"/>
  <c r="AL902" i="3"/>
  <c r="AL903" i="3"/>
  <c r="AL904" i="3"/>
  <c r="AL905" i="3"/>
  <c r="AL906" i="3"/>
  <c r="AL907" i="3"/>
  <c r="AL908" i="3"/>
  <c r="AL909" i="3"/>
  <c r="AL910" i="3"/>
  <c r="AL911" i="3"/>
  <c r="AL912" i="3"/>
  <c r="AL913" i="3"/>
  <c r="AL1093" i="3"/>
  <c r="AL914" i="3"/>
  <c r="AL915" i="3"/>
  <c r="AL916" i="3"/>
  <c r="AL917" i="3"/>
  <c r="AL918" i="3"/>
  <c r="AL919" i="3"/>
  <c r="AL920" i="3"/>
  <c r="AL921" i="3"/>
  <c r="AL922" i="3"/>
  <c r="AL923" i="3"/>
  <c r="AL924" i="3"/>
  <c r="AL925" i="3"/>
  <c r="AL926" i="3"/>
  <c r="AL927" i="3"/>
  <c r="AL928" i="3"/>
  <c r="AL884" i="3"/>
  <c r="AL885" i="3"/>
  <c r="AL886" i="3"/>
  <c r="AL1045" i="3"/>
  <c r="AL980" i="3"/>
  <c r="AL887" i="3"/>
  <c r="AL981" i="3"/>
  <c r="AL888" i="3"/>
  <c r="AL889" i="3"/>
  <c r="AL929" i="3"/>
  <c r="AL982" i="3"/>
  <c r="AL890" i="3"/>
  <c r="AL891" i="3"/>
  <c r="AL892" i="3"/>
  <c r="AL893" i="3"/>
  <c r="AL894" i="3"/>
  <c r="AL882" i="3"/>
  <c r="AL868" i="3"/>
  <c r="AL869" i="3"/>
  <c r="AL870" i="3"/>
  <c r="AL883" i="3"/>
  <c r="AL871" i="3"/>
  <c r="AL872" i="3"/>
  <c r="AL873" i="3"/>
  <c r="AL874" i="3"/>
  <c r="AL875" i="3"/>
  <c r="AL838" i="3"/>
  <c r="AL876" i="3"/>
  <c r="AL877" i="3"/>
  <c r="AL878" i="3"/>
  <c r="AL879" i="3"/>
  <c r="AL880" i="3"/>
  <c r="AL881" i="3"/>
  <c r="AL856" i="3"/>
  <c r="AL857" i="3"/>
  <c r="AL858" i="3"/>
  <c r="AL859" i="3"/>
  <c r="AL860" i="3"/>
  <c r="AL861" i="3"/>
  <c r="AL862" i="3"/>
  <c r="AL863" i="3"/>
  <c r="AL864" i="3"/>
  <c r="AL865" i="3"/>
  <c r="AL866" i="3"/>
  <c r="AL839" i="3"/>
  <c r="AL840" i="3"/>
  <c r="AL841" i="3"/>
  <c r="AL842" i="3"/>
  <c r="AL843" i="3"/>
  <c r="AL844" i="3"/>
  <c r="AL845" i="3"/>
  <c r="AL983" i="3"/>
  <c r="AL846" i="3"/>
  <c r="AL847" i="3"/>
  <c r="AL895" i="3"/>
  <c r="AL848" i="3"/>
  <c r="AL849" i="3"/>
  <c r="AL850" i="3"/>
  <c r="AL896" i="3"/>
  <c r="AL851" i="3"/>
  <c r="AL823" i="3"/>
  <c r="AL824" i="3"/>
  <c r="AL822" i="3"/>
  <c r="AL826" i="3"/>
  <c r="AL827" i="3"/>
  <c r="AL828" i="3"/>
  <c r="AL829" i="3"/>
  <c r="AL830" i="3"/>
  <c r="AL831" i="3"/>
  <c r="AL832" i="3"/>
  <c r="AL833" i="3"/>
  <c r="AL825" i="3"/>
  <c r="AL837" i="3"/>
  <c r="AL834" i="3"/>
  <c r="AL835" i="3"/>
  <c r="AL836" i="3"/>
  <c r="AL803" i="3"/>
  <c r="AL804" i="3"/>
  <c r="AL805" i="3"/>
  <c r="AL806" i="3"/>
  <c r="AL807" i="3"/>
  <c r="AL821" i="3"/>
  <c r="AL801" i="3"/>
  <c r="AL808" i="3"/>
  <c r="AL809" i="3"/>
  <c r="AL852" i="3"/>
  <c r="AL810" i="3"/>
  <c r="AL811" i="3"/>
  <c r="AL812" i="3"/>
  <c r="AL813" i="3"/>
  <c r="AL802" i="3"/>
  <c r="AL814" i="3"/>
  <c r="AL815" i="3"/>
  <c r="AL816" i="3"/>
  <c r="AL817" i="3"/>
  <c r="AL818" i="3"/>
  <c r="AL819" i="3"/>
  <c r="AL799" i="3"/>
  <c r="AL771" i="3"/>
  <c r="AL772" i="3"/>
  <c r="AL773" i="3"/>
  <c r="AL774" i="3"/>
  <c r="AL775" i="3"/>
  <c r="AL800" i="3"/>
  <c r="AL776" i="3"/>
  <c r="AL777" i="3"/>
  <c r="AL778" i="3"/>
  <c r="AL853" i="3"/>
  <c r="AL779" i="3"/>
  <c r="AL780" i="3"/>
  <c r="AL781" i="3"/>
  <c r="AL782" i="3"/>
  <c r="AL783" i="3"/>
  <c r="AL784" i="3"/>
  <c r="AL785" i="3"/>
  <c r="AL786" i="3"/>
  <c r="AL787" i="3"/>
  <c r="AL788" i="3"/>
  <c r="AL206" i="3"/>
  <c r="AL789" i="3"/>
  <c r="AL790" i="3"/>
  <c r="AL791" i="3"/>
  <c r="AL792" i="3"/>
  <c r="AL798" i="3"/>
  <c r="AL793" i="3"/>
  <c r="AL794" i="3"/>
  <c r="AL795" i="3"/>
  <c r="AL640" i="3"/>
  <c r="AL737" i="3"/>
  <c r="AL738" i="3"/>
  <c r="AL739" i="3"/>
  <c r="AL740" i="3"/>
  <c r="AL741" i="3"/>
  <c r="AL742" i="3"/>
  <c r="AL743" i="3"/>
  <c r="AL744" i="3"/>
  <c r="AL745" i="3"/>
  <c r="AL746" i="3"/>
  <c r="AL747" i="3"/>
  <c r="AL748" i="3"/>
  <c r="AL749" i="3"/>
  <c r="AL750" i="3"/>
  <c r="AL751" i="3"/>
  <c r="AL752" i="3"/>
  <c r="AL753" i="3"/>
  <c r="AL754" i="3"/>
  <c r="AL755" i="3"/>
  <c r="AL769" i="3"/>
  <c r="AL770" i="3"/>
  <c r="AL756" i="3"/>
  <c r="AL736" i="3"/>
  <c r="AL735" i="3"/>
  <c r="AL854" i="3"/>
  <c r="AL757" i="3"/>
  <c r="AL758" i="3"/>
  <c r="AL759" i="3"/>
  <c r="AL760" i="3"/>
  <c r="AL761" i="3"/>
  <c r="AL762" i="3"/>
  <c r="AL763" i="3"/>
  <c r="AL764" i="3"/>
  <c r="AL765" i="3"/>
  <c r="AL766" i="3"/>
  <c r="AL767" i="3"/>
  <c r="AL717" i="3"/>
  <c r="AL718" i="3"/>
  <c r="AL719" i="3"/>
  <c r="AL720" i="3"/>
  <c r="AL721" i="3"/>
  <c r="AL722" i="3"/>
  <c r="AL734" i="3"/>
  <c r="AL723" i="3"/>
  <c r="AL724" i="3"/>
  <c r="AL725" i="3"/>
  <c r="AL726" i="3"/>
  <c r="AL727" i="3"/>
  <c r="AL728" i="3"/>
  <c r="AL729" i="3"/>
  <c r="AL730" i="3"/>
  <c r="AL731" i="3"/>
  <c r="AL732" i="3"/>
  <c r="AL733" i="3"/>
  <c r="AL697" i="3"/>
  <c r="AL796" i="3"/>
  <c r="AL820" i="3"/>
  <c r="AL698" i="3"/>
  <c r="AL696" i="3"/>
  <c r="AL695" i="3"/>
  <c r="AL699" i="3"/>
  <c r="AL700" i="3"/>
  <c r="AL701" i="3"/>
  <c r="AL702" i="3"/>
  <c r="AL703" i="3"/>
  <c r="AL704" i="3"/>
  <c r="AL705" i="3"/>
  <c r="AL706" i="3"/>
  <c r="AL797" i="3"/>
  <c r="AL768" i="3"/>
  <c r="AL707" i="3"/>
  <c r="AL708" i="3"/>
  <c r="AL709" i="3"/>
  <c r="AL710" i="3"/>
  <c r="AL641" i="3"/>
  <c r="AL642" i="3"/>
  <c r="AL643" i="3"/>
  <c r="AL644" i="3"/>
  <c r="AL645" i="3"/>
  <c r="AL646" i="3"/>
  <c r="AL647" i="3"/>
  <c r="AL711" i="3"/>
  <c r="AL648" i="3"/>
  <c r="AL649" i="3"/>
  <c r="AL650" i="3"/>
  <c r="AL651" i="3"/>
  <c r="AL652" i="3"/>
  <c r="AL653" i="3"/>
  <c r="AL654" i="3"/>
  <c r="AL655" i="3"/>
  <c r="AL656" i="3"/>
  <c r="AL657" i="3"/>
  <c r="AL658" i="3"/>
  <c r="AL659" i="3"/>
  <c r="AL660" i="3"/>
  <c r="AL661" i="3"/>
  <c r="AL662" i="3"/>
  <c r="AL663" i="3"/>
  <c r="AL664" i="3"/>
  <c r="AL665" i="3"/>
  <c r="AL666" i="3"/>
  <c r="AL667" i="3"/>
  <c r="AL668" i="3"/>
  <c r="AL669" i="3"/>
  <c r="AL670" i="3"/>
  <c r="AL671" i="3"/>
  <c r="AL672" i="3"/>
  <c r="AL673" i="3"/>
  <c r="AL674" i="3"/>
  <c r="AL675" i="3"/>
  <c r="AL676" i="3"/>
  <c r="AL677" i="3"/>
  <c r="AL678" i="3"/>
  <c r="AL679" i="3"/>
  <c r="AL680" i="3"/>
  <c r="AL681" i="3"/>
  <c r="AL682" i="3"/>
  <c r="AL683" i="3"/>
  <c r="AL684" i="3"/>
  <c r="AL694" i="3"/>
  <c r="AL685" i="3"/>
  <c r="AL686" i="3"/>
  <c r="AL687" i="3"/>
  <c r="AL688" i="3"/>
  <c r="AL689" i="3"/>
  <c r="AL690" i="3"/>
  <c r="AL691" i="3"/>
  <c r="AL608" i="3"/>
  <c r="AL609" i="3"/>
  <c r="AL610" i="3"/>
  <c r="AL611" i="3"/>
  <c r="AL612" i="3"/>
  <c r="AL613" i="3"/>
  <c r="AL638" i="3"/>
  <c r="AL614" i="3"/>
  <c r="AL615" i="3"/>
  <c r="AL616" i="3"/>
  <c r="AL1490" i="3"/>
  <c r="AL617" i="3"/>
  <c r="AL639" i="3"/>
  <c r="AL618" i="3"/>
  <c r="AL619" i="3"/>
  <c r="AL620" i="3"/>
  <c r="AL621" i="3"/>
  <c r="AL622" i="3"/>
  <c r="AL623" i="3"/>
  <c r="AL607" i="3"/>
  <c r="AL624" i="3"/>
  <c r="AL625" i="3"/>
  <c r="AL626" i="3"/>
  <c r="AL712" i="3"/>
  <c r="AL627" i="3"/>
  <c r="AL628" i="3"/>
  <c r="AL629" i="3"/>
  <c r="AL637" i="3"/>
  <c r="AL630" i="3"/>
  <c r="AL590" i="3"/>
  <c r="AL591" i="3"/>
  <c r="AL592" i="3"/>
  <c r="AL593" i="3"/>
  <c r="AL594" i="3"/>
  <c r="AL595" i="3"/>
  <c r="AL596" i="3"/>
  <c r="AL597" i="3"/>
  <c r="AL598" i="3"/>
  <c r="AL599" i="3"/>
  <c r="AL600" i="3"/>
  <c r="AL601" i="3"/>
  <c r="AL602" i="3"/>
  <c r="AL603" i="3"/>
  <c r="AL604" i="3"/>
  <c r="AL565" i="3"/>
  <c r="AL566" i="3"/>
  <c r="AL567" i="3"/>
  <c r="AL568" i="3"/>
  <c r="AL569" i="3"/>
  <c r="AL570" i="3"/>
  <c r="AL571" i="3"/>
  <c r="AL572" i="3"/>
  <c r="AL573" i="3"/>
  <c r="AL574" i="3"/>
  <c r="AL575" i="3"/>
  <c r="AL576" i="3"/>
  <c r="AL577" i="3"/>
  <c r="AL578" i="3"/>
  <c r="AL579" i="3"/>
  <c r="AL580" i="3"/>
  <c r="AL581" i="3"/>
  <c r="AL582" i="3"/>
  <c r="AL583" i="3"/>
  <c r="AL584" i="3"/>
  <c r="AL585" i="3"/>
  <c r="AL586" i="3"/>
  <c r="AL587" i="3"/>
  <c r="AL552" i="3"/>
  <c r="AL553" i="3"/>
  <c r="AL554" i="3"/>
  <c r="AL479" i="3"/>
  <c r="AL564" i="3"/>
  <c r="AL555" i="3"/>
  <c r="AL556" i="3"/>
  <c r="AL557" i="3"/>
  <c r="AL558" i="3"/>
  <c r="AL559" i="3"/>
  <c r="AL560" i="3"/>
  <c r="AL561" i="3"/>
  <c r="AL562" i="3"/>
  <c r="AL563" i="3"/>
  <c r="AL527" i="3"/>
  <c r="AL528" i="3"/>
  <c r="AL529" i="3"/>
  <c r="AL530" i="3"/>
  <c r="AL531" i="3"/>
  <c r="AL532" i="3"/>
  <c r="AL533" i="3"/>
  <c r="AL534" i="3"/>
  <c r="AL535" i="3"/>
  <c r="AL536" i="3"/>
  <c r="AL537" i="3"/>
  <c r="AL538" i="3"/>
  <c r="AL539" i="3"/>
  <c r="AL540" i="3"/>
  <c r="AL541" i="3"/>
  <c r="AL542" i="3"/>
  <c r="AL713" i="3"/>
  <c r="AL692" i="3"/>
  <c r="AL550" i="3"/>
  <c r="AL543" i="3"/>
  <c r="AL544" i="3"/>
  <c r="AL545" i="3"/>
  <c r="AL546" i="3"/>
  <c r="AL547" i="3"/>
  <c r="AL512" i="3"/>
  <c r="AL526" i="3"/>
  <c r="AL513" i="3"/>
  <c r="AL525" i="3"/>
  <c r="AL514" i="3"/>
  <c r="AL515" i="3"/>
  <c r="AL516" i="3"/>
  <c r="AL548" i="3"/>
  <c r="AL517" i="3"/>
  <c r="AL518" i="3"/>
  <c r="AL519" i="3"/>
  <c r="AL520" i="3"/>
  <c r="AL521" i="3"/>
  <c r="AL522" i="3"/>
  <c r="AL523" i="3"/>
  <c r="AL495" i="3"/>
  <c r="AL496" i="3"/>
  <c r="AL497" i="3"/>
  <c r="AL498" i="3"/>
  <c r="AL499" i="3"/>
  <c r="AL500" i="3"/>
  <c r="AL501" i="3"/>
  <c r="AL502" i="3"/>
  <c r="AL503" i="3"/>
  <c r="AL504" i="3"/>
  <c r="AL505" i="3"/>
  <c r="AL506" i="3"/>
  <c r="AL507" i="3"/>
  <c r="AL508" i="3"/>
  <c r="AL509" i="3"/>
  <c r="AL510" i="3"/>
  <c r="AL511" i="3"/>
  <c r="AL549" i="3"/>
  <c r="AL491" i="3"/>
  <c r="AL492" i="3"/>
  <c r="AL493" i="3"/>
  <c r="AL480" i="3"/>
  <c r="AL481" i="3"/>
  <c r="AL482" i="3"/>
  <c r="AL377" i="3"/>
  <c r="AL483" i="3"/>
  <c r="AL484" i="3"/>
  <c r="AL478" i="3"/>
  <c r="AL485" i="3"/>
  <c r="AL486" i="3"/>
  <c r="AL487" i="3"/>
  <c r="AL488" i="3"/>
  <c r="AL1372" i="3"/>
  <c r="AL489" i="3"/>
  <c r="AL460" i="3"/>
  <c r="AL524" i="3"/>
  <c r="AL461" i="3"/>
  <c r="AL462" i="3"/>
  <c r="AL463" i="3"/>
  <c r="AL464" i="3"/>
  <c r="AL465" i="3"/>
  <c r="AL466" i="3"/>
  <c r="AL467" i="3"/>
  <c r="AL468" i="3"/>
  <c r="AL469" i="3"/>
  <c r="AL470" i="3"/>
  <c r="AL471" i="3"/>
  <c r="AL472" i="3"/>
  <c r="AL473" i="3"/>
  <c r="AL474" i="3"/>
  <c r="AL477" i="3"/>
  <c r="AL475" i="3"/>
  <c r="AL447" i="3"/>
  <c r="AL448" i="3"/>
  <c r="AL449" i="3"/>
  <c r="AL450" i="3"/>
  <c r="AL451" i="3"/>
  <c r="AL446" i="3"/>
  <c r="AL452" i="3"/>
  <c r="AL453" i="3"/>
  <c r="AL454" i="3"/>
  <c r="AL455" i="3"/>
  <c r="AL494" i="3"/>
  <c r="AL456" i="3"/>
  <c r="AL457" i="3"/>
  <c r="AL458" i="3"/>
  <c r="AL459" i="3"/>
  <c r="AL439" i="3"/>
  <c r="AL440" i="3"/>
  <c r="AL441" i="3"/>
  <c r="AL442" i="3"/>
  <c r="AL443" i="3"/>
  <c r="AL444" i="3"/>
  <c r="AL426" i="3"/>
  <c r="AL427" i="3"/>
  <c r="AL428" i="3"/>
  <c r="AL429" i="3"/>
  <c r="AL430" i="3"/>
  <c r="AL431" i="3"/>
  <c r="AL432" i="3"/>
  <c r="AL433" i="3"/>
  <c r="AL434" i="3"/>
  <c r="AL435" i="3"/>
  <c r="AL396" i="3"/>
  <c r="AL397" i="3"/>
  <c r="AL398" i="3"/>
  <c r="AL399" i="3"/>
  <c r="AL400" i="3"/>
  <c r="AL401" i="3"/>
  <c r="AL402" i="3"/>
  <c r="AL403" i="3"/>
  <c r="AL404" i="3"/>
  <c r="AL405" i="3"/>
  <c r="AL406" i="3"/>
  <c r="AL407" i="3"/>
  <c r="AL408" i="3"/>
  <c r="AL409" i="3"/>
  <c r="AL410" i="3"/>
  <c r="AL411" i="3"/>
  <c r="AL412" i="3"/>
  <c r="AL413" i="3"/>
  <c r="AL414" i="3"/>
  <c r="AL476" i="3"/>
  <c r="AL415" i="3"/>
  <c r="AL416" i="3"/>
  <c r="AL436" i="3"/>
  <c r="AL437" i="3"/>
  <c r="AL417" i="3"/>
  <c r="AL418" i="3"/>
  <c r="AL419" i="3"/>
  <c r="AL420" i="3"/>
  <c r="AL421" i="3"/>
  <c r="AL378" i="3"/>
  <c r="AL379" i="3"/>
  <c r="AL380" i="3"/>
  <c r="AL381" i="3"/>
  <c r="AL382" i="3"/>
  <c r="AL383" i="3"/>
  <c r="AL384" i="3"/>
  <c r="AL385" i="3"/>
  <c r="AL386" i="3"/>
  <c r="AL387" i="3"/>
  <c r="AL388" i="3"/>
  <c r="AL389" i="3"/>
  <c r="AL390" i="3"/>
  <c r="AL391" i="3"/>
  <c r="AL392" i="3"/>
  <c r="AL393" i="3"/>
  <c r="AL394" i="3"/>
  <c r="AL369" i="3"/>
  <c r="AL370" i="3"/>
  <c r="AL310" i="3"/>
  <c r="AL422" i="3"/>
  <c r="AL376" i="3"/>
  <c r="AL371" i="3"/>
  <c r="AL372" i="3"/>
  <c r="AL352" i="3"/>
  <c r="AL353" i="3"/>
  <c r="AL354" i="3"/>
  <c r="AL355" i="3"/>
  <c r="AL373" i="3"/>
  <c r="AL356" i="3"/>
  <c r="AL357" i="3"/>
  <c r="AL344" i="3"/>
  <c r="AL345" i="3"/>
  <c r="AL346" i="3"/>
  <c r="AL347" i="3"/>
  <c r="AL334" i="3"/>
  <c r="AL335" i="3"/>
  <c r="AL336" i="3"/>
  <c r="AL337" i="3"/>
  <c r="AL338" i="3"/>
  <c r="AL339" i="3"/>
  <c r="AL340" i="3"/>
  <c r="AL341" i="3"/>
  <c r="AL326" i="3"/>
  <c r="AL327" i="3"/>
  <c r="AL329" i="3"/>
  <c r="AL330" i="3"/>
  <c r="AL328" i="3"/>
  <c r="AL331" i="3"/>
  <c r="AL358" i="3"/>
  <c r="AL276" i="3"/>
  <c r="AL277" i="3"/>
  <c r="AL278" i="3"/>
  <c r="AL279" i="3"/>
  <c r="AL280" i="3"/>
  <c r="AL281" i="3"/>
  <c r="AL282" i="3"/>
  <c r="AL283" i="3"/>
  <c r="AL284" i="3"/>
  <c r="AL254" i="3"/>
  <c r="AL285" i="3"/>
  <c r="AL286" i="3"/>
  <c r="AL287" i="3"/>
  <c r="AL288" i="3"/>
  <c r="AL289" i="3"/>
  <c r="AL290" i="3"/>
  <c r="AL291" i="3"/>
  <c r="AL292" i="3"/>
  <c r="AL293" i="3"/>
  <c r="AL438" i="3"/>
  <c r="AL294" i="3"/>
  <c r="AL295" i="3"/>
  <c r="AL255" i="3"/>
  <c r="AL256" i="3"/>
  <c r="AL374" i="3"/>
  <c r="AL257" i="3"/>
  <c r="AL258" i="3"/>
  <c r="AL296" i="3"/>
  <c r="AL359" i="3"/>
  <c r="AL348" i="3"/>
  <c r="AL259" i="3"/>
  <c r="AL240" i="3"/>
  <c r="AL260" i="3"/>
  <c r="AL241" i="3"/>
  <c r="AL242" i="3"/>
  <c r="AL243" i="3"/>
  <c r="AL244" i="3"/>
  <c r="AL261" i="3"/>
  <c r="AL262" i="3"/>
  <c r="AL263" i="3"/>
  <c r="AL264" i="3"/>
  <c r="AL265" i="3"/>
  <c r="AL360" i="3"/>
  <c r="AL361" i="3"/>
  <c r="AL362" i="3"/>
  <c r="AL363" i="3"/>
  <c r="AL245" i="3"/>
  <c r="AL364" i="3"/>
  <c r="AL266" i="3"/>
  <c r="AL267" i="3"/>
  <c r="AL268" i="3"/>
  <c r="AL269" i="3"/>
  <c r="AL246" i="3"/>
  <c r="AL247" i="3"/>
  <c r="AL225" i="3"/>
  <c r="AL248" i="3"/>
  <c r="AL365" i="3"/>
  <c r="AL249" i="3"/>
  <c r="AL226" i="3"/>
  <c r="AL423" i="3"/>
  <c r="AL227" i="3"/>
  <c r="AL228" i="3"/>
  <c r="AL229" i="3"/>
  <c r="AL230" i="3"/>
  <c r="AL231" i="3"/>
  <c r="AL366" i="3"/>
  <c r="AL232" i="3"/>
  <c r="AL208" i="3"/>
  <c r="AL209" i="3"/>
  <c r="AL233" i="3"/>
  <c r="AL210" i="3"/>
  <c r="AL234" i="3"/>
  <c r="AL211" i="3"/>
  <c r="AL181" i="3"/>
  <c r="AL250" i="3"/>
  <c r="AL212" i="3"/>
  <c r="AL213" i="3"/>
  <c r="AL182" i="3"/>
  <c r="AL183" i="3"/>
  <c r="AL214" i="3"/>
  <c r="AL184" i="3"/>
  <c r="AL185" i="3"/>
  <c r="AL186" i="3"/>
  <c r="AL187" i="3"/>
  <c r="AL188" i="3"/>
  <c r="AL180" i="3"/>
  <c r="AL235" i="3"/>
  <c r="AL236" i="3"/>
  <c r="AL189" i="3"/>
  <c r="AL172" i="3"/>
  <c r="AL204" i="3"/>
  <c r="AL173" i="3"/>
  <c r="AL174" i="3"/>
  <c r="AL190" i="3"/>
  <c r="AL251" i="3"/>
  <c r="AL237" i="3"/>
  <c r="AL165" i="3"/>
  <c r="AL150" i="3"/>
  <c r="AL151" i="3"/>
  <c r="AL152" i="3"/>
  <c r="AL153" i="3"/>
  <c r="AL154" i="3"/>
  <c r="AL155" i="3"/>
  <c r="AL156" i="3"/>
  <c r="AL137" i="3"/>
  <c r="AL367" i="3"/>
  <c r="AL138" i="3"/>
  <c r="AL139" i="3"/>
  <c r="AL140" i="3"/>
  <c r="AL141" i="3"/>
  <c r="AL129" i="3"/>
  <c r="AL130" i="3"/>
  <c r="AL131" i="3"/>
  <c r="AL132" i="3"/>
  <c r="AL127" i="3"/>
  <c r="AL128" i="3"/>
  <c r="AL121" i="3"/>
  <c r="AL122" i="3"/>
  <c r="AL123" i="3"/>
  <c r="AL124" i="3"/>
  <c r="AL114" i="3"/>
  <c r="AL115" i="3"/>
  <c r="AL116" i="3"/>
  <c r="AL117" i="3"/>
  <c r="AL118" i="3"/>
  <c r="AL119" i="3"/>
  <c r="AL88" i="3"/>
  <c r="AL89" i="3"/>
  <c r="AL90" i="3"/>
  <c r="AL91" i="3"/>
  <c r="AL113" i="3"/>
  <c r="AL77" i="3"/>
  <c r="AL55" i="3"/>
  <c r="AL28" i="3"/>
  <c r="AL29" i="3"/>
  <c r="AL30" i="3"/>
  <c r="AL31" i="3"/>
  <c r="AL2" i="3"/>
  <c r="AL3" i="3"/>
  <c r="AL693" i="3"/>
  <c r="AL631" i="3"/>
  <c r="AL632" i="3"/>
  <c r="AL633" i="3"/>
  <c r="AL634" i="3"/>
  <c r="AL605" i="3"/>
  <c r="AL606" i="3"/>
  <c r="AL588" i="3"/>
  <c r="AL589" i="3"/>
  <c r="AL375" i="3"/>
  <c r="AL297" i="3"/>
  <c r="AL311" i="3"/>
  <c r="AL312" i="3"/>
  <c r="AL313" i="3"/>
  <c r="AL314" i="3"/>
  <c r="AL315" i="3"/>
  <c r="AL316" i="3"/>
  <c r="AL317" i="3"/>
  <c r="AL318" i="3"/>
  <c r="AL319" i="3"/>
  <c r="AL320" i="3"/>
  <c r="AL325" i="3"/>
  <c r="AL321" i="3"/>
  <c r="AL322" i="3"/>
  <c r="AL424" i="3"/>
  <c r="AL215" i="3"/>
  <c r="AL425" i="3"/>
  <c r="AL395" i="3"/>
  <c r="AL166" i="3"/>
  <c r="AL144" i="3"/>
  <c r="AL133" i="3"/>
  <c r="AL368" i="3"/>
  <c r="AL349" i="3"/>
  <c r="AL350" i="3"/>
  <c r="AL351" i="3"/>
  <c r="AL342" i="3"/>
  <c r="AL343" i="3"/>
  <c r="AL332" i="3"/>
  <c r="AL333" i="3"/>
  <c r="AL323" i="3"/>
  <c r="AL298" i="3"/>
  <c r="AL299" i="3"/>
  <c r="AL32" i="3"/>
  <c r="AL300" i="3"/>
  <c r="AL635" i="3"/>
  <c r="AL301" i="3"/>
  <c r="AL92" i="3"/>
  <c r="AL302" i="3"/>
  <c r="AL303" i="3"/>
  <c r="AL304" i="3"/>
  <c r="AL270" i="3"/>
  <c r="AL305" i="3"/>
  <c r="AL271" i="3"/>
  <c r="AL306" i="3"/>
  <c r="AL307" i="3"/>
  <c r="AL272" i="3"/>
  <c r="AL273" i="3"/>
  <c r="AL274" i="3"/>
  <c r="AL275" i="3"/>
  <c r="AL252" i="3"/>
  <c r="AL253" i="3"/>
  <c r="AL238" i="3"/>
  <c r="AL61" i="3"/>
  <c r="AL216" i="3"/>
  <c r="AL217" i="3"/>
  <c r="AL207" i="3"/>
  <c r="AL218" i="3"/>
  <c r="AL219" i="3"/>
  <c r="AL220" i="3"/>
  <c r="AL191" i="3"/>
  <c r="AL192" i="3"/>
  <c r="AL193" i="3"/>
  <c r="AL194" i="3"/>
  <c r="AL195" i="3"/>
  <c r="AL196" i="3"/>
  <c r="AL197" i="3"/>
  <c r="AL175" i="3"/>
  <c r="AL176" i="3"/>
  <c r="AL167" i="3"/>
  <c r="AL62" i="3"/>
  <c r="AL168" i="3"/>
  <c r="AL163" i="3"/>
  <c r="AL169" i="3"/>
  <c r="AL170" i="3"/>
  <c r="AL157" i="3"/>
  <c r="AL158" i="3"/>
  <c r="AL159" i="3"/>
  <c r="AL145" i="3"/>
  <c r="AL146" i="3"/>
  <c r="AL147" i="3"/>
  <c r="AL148" i="3"/>
  <c r="AL897" i="3"/>
  <c r="AL142" i="3"/>
  <c r="AL134" i="3"/>
  <c r="AL898" i="3"/>
  <c r="AL120" i="3"/>
  <c r="AL93" i="3"/>
  <c r="AL94" i="3"/>
  <c r="AL95" i="3"/>
  <c r="AL96" i="3"/>
  <c r="AL1064" i="3"/>
  <c r="AL97" i="3"/>
  <c r="AL98" i="3"/>
  <c r="AL99" i="3"/>
  <c r="AL100" i="3"/>
  <c r="AL69" i="3"/>
  <c r="AL101" i="3"/>
  <c r="AL102" i="3"/>
  <c r="AL103" i="3"/>
  <c r="AL63" i="3"/>
  <c r="AL64" i="3"/>
  <c r="AL104" i="3"/>
  <c r="AL78" i="3"/>
  <c r="AL79" i="3"/>
  <c r="AL65" i="3"/>
  <c r="AL80" i="3"/>
  <c r="AL81" i="3"/>
  <c r="AL82" i="3"/>
  <c r="AL83" i="3"/>
  <c r="AL84" i="3"/>
  <c r="AL70" i="3"/>
  <c r="AL71" i="3"/>
  <c r="AL1041" i="3"/>
  <c r="AL636" i="3"/>
  <c r="AL56" i="3"/>
  <c r="AL66" i="3"/>
  <c r="AL324" i="3"/>
  <c r="AL57" i="3"/>
  <c r="AL67" i="3"/>
  <c r="AL58" i="3"/>
  <c r="AL59" i="3"/>
  <c r="AL60" i="3"/>
  <c r="AL33" i="3"/>
  <c r="AL27" i="3"/>
  <c r="AL6" i="3"/>
  <c r="AL7" i="3"/>
  <c r="AL8" i="3"/>
  <c r="AL9" i="3"/>
  <c r="AL10" i="3"/>
  <c r="AL105" i="3"/>
  <c r="AL72" i="3"/>
  <c r="AL73" i="3"/>
  <c r="AL74" i="3"/>
  <c r="AL34" i="3"/>
  <c r="AL11" i="3"/>
  <c r="AL35" i="3"/>
  <c r="AL36" i="3"/>
  <c r="AL37" i="3"/>
  <c r="AL38" i="3"/>
  <c r="AL39" i="3"/>
  <c r="AL40" i="3"/>
  <c r="AL41" i="3"/>
  <c r="AL42" i="3"/>
  <c r="AL53" i="3"/>
  <c r="AL43" i="3"/>
  <c r="AL44" i="3"/>
  <c r="AL45" i="3"/>
  <c r="AL54" i="3"/>
  <c r="AL46" i="3"/>
  <c r="AL47" i="3"/>
  <c r="AL48" i="3"/>
  <c r="AL49" i="3"/>
  <c r="AL50" i="3"/>
  <c r="AL51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4" i="3"/>
  <c r="AL25" i="3"/>
  <c r="AL5" i="3"/>
  <c r="AL221" i="3"/>
  <c r="AL222" i="3"/>
  <c r="AL223" i="3"/>
  <c r="AL198" i="3"/>
  <c r="AL199" i="3"/>
  <c r="AL200" i="3"/>
  <c r="AL201" i="3"/>
  <c r="AL75" i="3"/>
  <c r="AL202" i="3"/>
  <c r="AL85" i="3"/>
  <c r="AL203" i="3"/>
  <c r="AL160" i="3"/>
  <c r="AL205" i="3"/>
  <c r="AL177" i="3"/>
  <c r="AL171" i="3"/>
  <c r="AL164" i="3"/>
  <c r="AL161" i="3"/>
  <c r="AL162" i="3"/>
  <c r="AL149" i="3"/>
  <c r="AL135" i="3"/>
  <c r="AL136" i="3"/>
  <c r="AL125" i="3"/>
  <c r="AL126" i="3"/>
  <c r="AL106" i="3"/>
  <c r="AL107" i="3"/>
  <c r="AL108" i="3"/>
  <c r="AL109" i="3"/>
  <c r="AL110" i="3"/>
  <c r="AL111" i="3"/>
  <c r="AL112" i="3"/>
  <c r="AL87" i="3"/>
  <c r="AL86" i="3"/>
  <c r="AL308" i="3"/>
  <c r="AL52" i="3"/>
  <c r="AL26" i="3"/>
  <c r="AL1508" i="3"/>
  <c r="AL1394" i="3"/>
  <c r="AL1395" i="3"/>
  <c r="AL1396" i="3"/>
  <c r="AL1397" i="3"/>
  <c r="AL1509" i="3"/>
  <c r="AL1510" i="3"/>
  <c r="AL1512" i="3"/>
  <c r="AL1513" i="3"/>
  <c r="AL1514" i="3"/>
  <c r="AL1515" i="3"/>
  <c r="AL1516" i="3"/>
  <c r="AL1517" i="3"/>
  <c r="AL1518" i="3"/>
  <c r="AL1519" i="3"/>
  <c r="AL1520" i="3"/>
  <c r="AL1521" i="3"/>
  <c r="AL143" i="3"/>
  <c r="AL1522" i="3"/>
  <c r="AL1523" i="3"/>
  <c r="AL1460" i="3"/>
  <c r="AL1524" i="3"/>
  <c r="AL1525" i="3"/>
  <c r="AL1526" i="3"/>
  <c r="AL1527" i="3"/>
  <c r="AL1528" i="3"/>
  <c r="AL1478" i="3"/>
  <c r="AL1530" i="3"/>
  <c r="AL1531" i="3"/>
  <c r="AL1532" i="3"/>
  <c r="AL1533" i="3"/>
  <c r="AL1534" i="3"/>
  <c r="AL1535" i="3"/>
  <c r="AL1536" i="3"/>
  <c r="AL1537" i="3"/>
  <c r="AL1538" i="3"/>
  <c r="AL1493" i="3"/>
  <c r="AL1539" i="3"/>
  <c r="AL1414" i="3"/>
  <c r="AL1540" i="3"/>
  <c r="AL1541" i="3"/>
  <c r="AL1455" i="3"/>
  <c r="AL1695" i="3"/>
  <c r="AL1529" i="3"/>
  <c r="AL1543" i="3"/>
  <c r="AL1457" i="3"/>
  <c r="AL1448" i="3"/>
  <c r="AL1449" i="3"/>
  <c r="AL1544" i="3"/>
  <c r="AL1545" i="3"/>
  <c r="AL1546" i="3"/>
  <c r="AL1547" i="3"/>
  <c r="AL1548" i="3"/>
  <c r="AL1549" i="3"/>
  <c r="AL1550" i="3"/>
  <c r="AL1551" i="3"/>
  <c r="AL1552" i="3"/>
  <c r="AL1553" i="3"/>
  <c r="AL1466" i="3"/>
  <c r="AL1554" i="3"/>
  <c r="AL1555" i="3"/>
  <c r="AL1556" i="3"/>
  <c r="AL1557" i="3"/>
  <c r="AL1436" i="3"/>
  <c r="AL1446" i="3"/>
  <c r="AL1558" i="3"/>
  <c r="AL1559" i="3"/>
  <c r="AL1560" i="3"/>
  <c r="AL1561" i="3"/>
  <c r="AL239" i="3"/>
  <c r="AL224" i="3"/>
  <c r="AL1420" i="3"/>
  <c r="AL1375" i="3"/>
  <c r="AL1419" i="3"/>
  <c r="AL76" i="3"/>
  <c r="AL1562" i="3"/>
  <c r="AL1563" i="3"/>
  <c r="AL1468" i="3"/>
  <c r="AL1469" i="3"/>
  <c r="AL1470" i="3"/>
  <c r="AL1447" i="3"/>
  <c r="AL1564" i="3"/>
  <c r="AL1565" i="3"/>
  <c r="AL1566" i="3"/>
  <c r="AL1407" i="3"/>
  <c r="AL1437" i="3"/>
  <c r="AL1567" i="3"/>
  <c r="AL1568" i="3"/>
  <c r="AL1569" i="3"/>
  <c r="AL1570" i="3"/>
  <c r="AL1571" i="3"/>
  <c r="AL1572" i="3"/>
  <c r="AL1573" i="3"/>
  <c r="AL1574" i="3"/>
  <c r="AL1575" i="3"/>
  <c r="AL1576" i="3"/>
  <c r="AL1577" i="3"/>
  <c r="AL1578" i="3"/>
  <c r="AL1579" i="3"/>
  <c r="AL1580" i="3"/>
  <c r="AL1581" i="3"/>
  <c r="AL1582" i="3"/>
  <c r="AL1583" i="3"/>
  <c r="AL1584" i="3"/>
  <c r="AL1585" i="3"/>
  <c r="AL1586" i="3"/>
  <c r="AL1587" i="3"/>
  <c r="AL1588" i="3"/>
  <c r="AL1589" i="3"/>
  <c r="AL1590" i="3"/>
  <c r="AL1591" i="3"/>
  <c r="AL1592" i="3"/>
  <c r="AL1593" i="3"/>
  <c r="AL1438" i="3"/>
  <c r="AL1464" i="3"/>
  <c r="AL1594" i="3"/>
  <c r="AL1595" i="3"/>
  <c r="AL1596" i="3"/>
  <c r="AL1452" i="3"/>
  <c r="AL1597" i="3"/>
  <c r="AL1598" i="3"/>
  <c r="AL1599" i="3"/>
  <c r="AL1600" i="3"/>
  <c r="AL1601" i="3"/>
  <c r="AL1480" i="3"/>
  <c r="AL1602" i="3"/>
  <c r="AL1603" i="3"/>
  <c r="AL1604" i="3"/>
  <c r="AL1605" i="3"/>
  <c r="AL1606" i="3"/>
  <c r="AL1607" i="3"/>
  <c r="AL1608" i="3"/>
  <c r="AL1609" i="3"/>
  <c r="AL1610" i="3"/>
  <c r="AL1611" i="3"/>
  <c r="AL1612" i="3"/>
  <c r="AL1613" i="3"/>
  <c r="AL1614" i="3"/>
  <c r="AL1615" i="3"/>
  <c r="AL1616" i="3"/>
  <c r="AL1617" i="3"/>
  <c r="AL1618" i="3"/>
  <c r="AL1619" i="3"/>
  <c r="AL1620" i="3"/>
  <c r="AL1621" i="3"/>
  <c r="AL1622" i="3"/>
  <c r="AL1623" i="3"/>
  <c r="AL1624" i="3"/>
  <c r="AL1625" i="3"/>
  <c r="AL1626" i="3"/>
  <c r="AL1627" i="3"/>
  <c r="AL1628" i="3"/>
  <c r="AL1629" i="3"/>
  <c r="AL1630" i="3"/>
  <c r="AL1631" i="3"/>
  <c r="AL1632" i="3"/>
  <c r="AL1633" i="3"/>
  <c r="AL1634" i="3"/>
  <c r="AL1635" i="3"/>
  <c r="AL1636" i="3"/>
  <c r="AL1637" i="3"/>
  <c r="AL1638" i="3"/>
  <c r="AL1639" i="3"/>
  <c r="AL1640" i="3"/>
  <c r="AL1641" i="3"/>
  <c r="AL1415" i="3"/>
  <c r="AL1642" i="3"/>
  <c r="AL1643" i="3"/>
  <c r="AL1644" i="3"/>
  <c r="AL1645" i="3"/>
  <c r="AL1454" i="3"/>
  <c r="AL1646" i="3"/>
  <c r="AL1647" i="3"/>
  <c r="AL1648" i="3"/>
  <c r="AL1483" i="3"/>
  <c r="AL1542" i="3"/>
  <c r="AL1650" i="3"/>
  <c r="AL1651" i="3"/>
  <c r="AL1652" i="3"/>
  <c r="AL1653" i="3"/>
  <c r="AL1654" i="3"/>
  <c r="AL1655" i="3"/>
  <c r="AL1656" i="3"/>
  <c r="AL1405" i="3"/>
  <c r="AL1657" i="3"/>
  <c r="AL1658" i="3"/>
  <c r="AL1659" i="3"/>
  <c r="AL1660" i="3"/>
  <c r="AL1661" i="3"/>
  <c r="AL1662" i="3"/>
  <c r="AL1370" i="3"/>
  <c r="AL1663" i="3"/>
  <c r="AL1664" i="3"/>
  <c r="AL1665" i="3"/>
  <c r="AL1666" i="3"/>
  <c r="AL1667" i="3"/>
  <c r="AL1668" i="3"/>
  <c r="AL1669" i="3"/>
  <c r="AL1670" i="3"/>
  <c r="AL1671" i="3"/>
  <c r="AL1672" i="3"/>
  <c r="AL1673" i="3"/>
  <c r="AL1674" i="3"/>
  <c r="AL1675" i="3"/>
  <c r="AL1676" i="3"/>
  <c r="AL1677" i="3"/>
  <c r="AL1678" i="3"/>
  <c r="AL1679" i="3"/>
  <c r="AL1680" i="3"/>
  <c r="AL1681" i="3"/>
  <c r="AL1682" i="3"/>
  <c r="AL1421" i="3"/>
  <c r="AL1484" i="3"/>
  <c r="AL1684" i="3"/>
  <c r="AL1685" i="3"/>
  <c r="AL1686" i="3"/>
  <c r="AL1687" i="3"/>
  <c r="AL1688" i="3"/>
  <c r="AL1689" i="3"/>
  <c r="AL1690" i="3"/>
  <c r="AL1691" i="3"/>
  <c r="AL1692" i="3"/>
  <c r="AL1693" i="3"/>
  <c r="AL1694" i="3"/>
  <c r="AL1496" i="3"/>
  <c r="AL1696" i="3"/>
  <c r="AL1459" i="3"/>
  <c r="AL1426" i="3"/>
  <c r="AL1427" i="3"/>
  <c r="AL1697" i="3"/>
  <c r="AL1698" i="3"/>
  <c r="AL1699" i="3"/>
  <c r="AL1700" i="3"/>
  <c r="AL984" i="3"/>
  <c r="AL1701" i="3"/>
  <c r="AL1702" i="3"/>
  <c r="AL1703" i="3"/>
  <c r="AL1704" i="3"/>
  <c r="AL1705" i="3"/>
  <c r="AL1706" i="3"/>
  <c r="AL1707" i="3"/>
  <c r="AL1708" i="3"/>
  <c r="AL1709" i="3"/>
  <c r="AL1710" i="3"/>
  <c r="AL1711" i="3"/>
  <c r="AL1712" i="3"/>
  <c r="AL1713" i="3"/>
  <c r="AL1714" i="3"/>
  <c r="AL1715" i="3"/>
  <c r="AL1716" i="3"/>
  <c r="AL1717" i="3"/>
  <c r="AL1718" i="3"/>
  <c r="AL1475" i="3"/>
  <c r="AL1719" i="3"/>
  <c r="AL1465" i="3"/>
  <c r="AL1720" i="3"/>
  <c r="AL1721" i="3"/>
  <c r="AL1722" i="3"/>
  <c r="AL1723" i="3"/>
  <c r="AL1724" i="3"/>
  <c r="AL1725" i="3"/>
  <c r="AL1726" i="3"/>
  <c r="AL1456" i="3"/>
  <c r="AL1727" i="3"/>
  <c r="AL1728" i="3"/>
  <c r="AL1729" i="3"/>
  <c r="AL1730" i="3"/>
  <c r="AL1731" i="3"/>
  <c r="AL1732" i="3"/>
  <c r="AL1733" i="3"/>
  <c r="AL1734" i="3"/>
  <c r="AL1735" i="3"/>
  <c r="AL1736" i="3"/>
  <c r="AL1737" i="3"/>
  <c r="AL1738" i="3"/>
  <c r="AL1398" i="3"/>
  <c r="AL1408" i="3"/>
  <c r="AL1399" i="3"/>
  <c r="AL1739" i="3"/>
  <c r="AL1740" i="3"/>
  <c r="AL1741" i="3"/>
  <c r="AL1742" i="3"/>
  <c r="AL1743" i="3"/>
  <c r="AL1744" i="3"/>
  <c r="AL1467" i="3"/>
  <c r="AL1745" i="3"/>
  <c r="AL1746" i="3"/>
  <c r="AL1747" i="3"/>
  <c r="AL1748" i="3"/>
  <c r="AL1749" i="3"/>
  <c r="AL1750" i="3"/>
  <c r="AL1751" i="3"/>
  <c r="AL1752" i="3"/>
  <c r="AL1753" i="3"/>
  <c r="AL1754" i="3"/>
  <c r="AL1755" i="3"/>
  <c r="AL1756" i="3"/>
  <c r="AL1757" i="3"/>
  <c r="AL1758" i="3"/>
  <c r="AL1759" i="3"/>
  <c r="AL1760" i="3"/>
  <c r="AL1761" i="3"/>
  <c r="AL1762" i="3"/>
  <c r="AL1763" i="3"/>
  <c r="AL1764" i="3"/>
  <c r="AL1765" i="3"/>
  <c r="AL1439" i="3"/>
  <c r="AL1766" i="3"/>
  <c r="AL1767" i="3"/>
  <c r="AL1768" i="3"/>
  <c r="AL1769" i="3"/>
  <c r="AL1770" i="3"/>
  <c r="AL1771" i="3"/>
  <c r="AL1772" i="3"/>
  <c r="AL1773" i="3"/>
  <c r="AL1774" i="3"/>
  <c r="AL1775" i="3"/>
  <c r="AL1776" i="3"/>
  <c r="AL1777" i="3"/>
  <c r="AL1778" i="3"/>
  <c r="AL1779" i="3"/>
  <c r="AL1780" i="3"/>
  <c r="AL1781" i="3"/>
  <c r="AL1782" i="3"/>
  <c r="AL490" i="3"/>
  <c r="AL309" i="3"/>
  <c r="AL1783" i="3"/>
  <c r="AL1784" i="3"/>
  <c r="AL1785" i="3"/>
  <c r="AL1786" i="3"/>
  <c r="AL1787" i="3"/>
  <c r="AL1788" i="3"/>
  <c r="AL1789" i="3"/>
  <c r="AL1440" i="3"/>
  <c r="AL1790" i="3"/>
  <c r="AL1791" i="3"/>
  <c r="AL1792" i="3"/>
  <c r="AL1793" i="3"/>
  <c r="AL1794" i="3"/>
  <c r="AL1795" i="3"/>
  <c r="AL1796" i="3"/>
  <c r="AL1797" i="3"/>
  <c r="AL1798" i="3"/>
  <c r="AL1799" i="3"/>
  <c r="AL1800" i="3"/>
  <c r="AL1801" i="3"/>
  <c r="AL1802" i="3"/>
  <c r="AL1803" i="3"/>
  <c r="AL1804" i="3"/>
  <c r="AL1805" i="3"/>
  <c r="AL1806" i="3"/>
  <c r="AL1807" i="3"/>
  <c r="AL1808" i="3"/>
  <c r="AL1809" i="3"/>
  <c r="AL1810" i="3"/>
  <c r="AL1811" i="3"/>
  <c r="AL1812" i="3"/>
  <c r="AL1813" i="3"/>
  <c r="AL1814" i="3"/>
  <c r="AL1815" i="3"/>
  <c r="AL1816" i="3"/>
  <c r="AL1817" i="3"/>
  <c r="AL1818" i="3"/>
  <c r="AL1819" i="3"/>
  <c r="AL1820" i="3"/>
  <c r="AL1821" i="3"/>
  <c r="AL1822" i="3"/>
  <c r="AL1823" i="3"/>
  <c r="AL1824" i="3"/>
  <c r="AL1825" i="3"/>
  <c r="AL1826" i="3"/>
  <c r="AL1827" i="3"/>
  <c r="AL1828" i="3"/>
  <c r="AL1829" i="3"/>
  <c r="AL1830" i="3"/>
  <c r="AL1831" i="3"/>
  <c r="AL1832" i="3"/>
  <c r="AL1833" i="3"/>
  <c r="AL1834" i="3"/>
  <c r="AL1835" i="3"/>
  <c r="AL1836" i="3"/>
  <c r="AL1837" i="3"/>
  <c r="AL1838" i="3"/>
  <c r="AL1839" i="3"/>
  <c r="AL1840" i="3"/>
  <c r="AL1841" i="3"/>
  <c r="AL1842" i="3"/>
  <c r="AL1843" i="3"/>
  <c r="AL1844" i="3"/>
  <c r="AL1845" i="3"/>
  <c r="AL1846" i="3"/>
  <c r="AL1847" i="3"/>
  <c r="AL1848" i="3"/>
  <c r="AL1849" i="3"/>
  <c r="AL1850" i="3"/>
  <c r="AL1851" i="3"/>
  <c r="AL1852" i="3"/>
  <c r="AL1853" i="3"/>
  <c r="AL1854" i="3"/>
  <c r="AL1855" i="3"/>
  <c r="AL1856" i="3"/>
  <c r="AL1505" i="3"/>
  <c r="AL1857" i="3"/>
  <c r="AL1858" i="3"/>
  <c r="AL1859" i="3"/>
  <c r="AL1860" i="3"/>
  <c r="AL1861" i="3"/>
  <c r="AL1862" i="3"/>
  <c r="AL1863" i="3"/>
  <c r="AL1864" i="3"/>
  <c r="AL1865" i="3"/>
  <c r="AL1866" i="3"/>
  <c r="AL1867" i="3"/>
  <c r="AL1868" i="3"/>
  <c r="AL1869" i="3"/>
  <c r="AL1870" i="3"/>
  <c r="AL1871" i="3"/>
  <c r="AL1872" i="3"/>
  <c r="AL1873" i="3"/>
  <c r="AL1874" i="3"/>
  <c r="AL1875" i="3"/>
  <c r="AL1876" i="3"/>
  <c r="AL1877" i="3"/>
  <c r="AL1878" i="3"/>
  <c r="AL1879" i="3"/>
  <c r="AL1880" i="3"/>
  <c r="AL1881" i="3"/>
  <c r="AL1882" i="3"/>
  <c r="AL1883" i="3"/>
  <c r="AL1884" i="3"/>
  <c r="AL1885" i="3"/>
  <c r="AL1886" i="3"/>
  <c r="AL1887" i="3"/>
  <c r="AL1888" i="3"/>
  <c r="AL1889" i="3"/>
  <c r="AL2322" i="3"/>
  <c r="AL1890" i="3"/>
  <c r="AL1891" i="3"/>
  <c r="AL1502" i="3"/>
  <c r="AL1507" i="3"/>
  <c r="AL1892" i="3"/>
  <c r="AL1893" i="3"/>
  <c r="AL1894" i="3"/>
  <c r="AL1895" i="3"/>
  <c r="AL1896" i="3"/>
  <c r="AL1897" i="3"/>
  <c r="AL1898" i="3"/>
  <c r="AL1899" i="3"/>
  <c r="AL1900" i="3"/>
  <c r="AL1901" i="3"/>
  <c r="AL1902" i="3"/>
  <c r="AL1903" i="3"/>
  <c r="AL1904" i="3"/>
  <c r="AL1486" i="3"/>
  <c r="AL1905" i="3"/>
  <c r="AL1906" i="3"/>
  <c r="AL1907" i="3"/>
  <c r="AL1908" i="3"/>
  <c r="AL1909" i="3"/>
  <c r="AL1910" i="3"/>
  <c r="AL1911" i="3"/>
  <c r="AL1912" i="3"/>
  <c r="AL1913" i="3"/>
  <c r="AL1914" i="3"/>
  <c r="AL1915" i="3"/>
  <c r="AL1916" i="3"/>
  <c r="AL1917" i="3"/>
  <c r="AL1918" i="3"/>
  <c r="AL1919" i="3"/>
  <c r="AL1406" i="3"/>
  <c r="AL1920" i="3"/>
  <c r="AL1487" i="3"/>
  <c r="AL1441" i="3"/>
  <c r="AL1921" i="3"/>
  <c r="AL1922" i="3"/>
  <c r="AL1923" i="3"/>
  <c r="AL1924" i="3"/>
  <c r="AL1925" i="3"/>
  <c r="AL1926" i="3"/>
  <c r="AL1927" i="3"/>
  <c r="AL1928" i="3"/>
  <c r="AL1929" i="3"/>
  <c r="AL1930" i="3"/>
  <c r="AL1931" i="3"/>
  <c r="AL1932" i="3"/>
  <c r="AL1403" i="3"/>
  <c r="AL1418" i="3"/>
  <c r="AL1933" i="3"/>
  <c r="AL1461" i="3"/>
  <c r="AL1462" i="3"/>
  <c r="AL1934" i="3"/>
  <c r="AL1935" i="3"/>
  <c r="AL1482" i="3"/>
  <c r="AL1501" i="3"/>
  <c r="AL1936" i="3"/>
  <c r="AL1937" i="3"/>
  <c r="AL1938" i="3"/>
  <c r="AL1939" i="3"/>
  <c r="AL1940" i="3"/>
  <c r="AL1941" i="3"/>
  <c r="AL1942" i="3"/>
  <c r="AL1943" i="3"/>
  <c r="AL1944" i="3"/>
  <c r="AL1945" i="3"/>
  <c r="AL1946" i="3"/>
  <c r="AL1947" i="3"/>
  <c r="AL1948" i="3"/>
  <c r="AL1949" i="3"/>
  <c r="AL1950" i="3"/>
  <c r="AL1951" i="3"/>
  <c r="AL1952" i="3"/>
  <c r="AL1953" i="3"/>
  <c r="AL1954" i="3"/>
  <c r="AL1955" i="3"/>
  <c r="AL1956" i="3"/>
  <c r="AL1957" i="3"/>
  <c r="AL1958" i="3"/>
  <c r="AL1959" i="3"/>
  <c r="AL1960" i="3"/>
  <c r="AL1961" i="3"/>
  <c r="AL1962" i="3"/>
  <c r="AL1963" i="3"/>
  <c r="AL1964" i="3"/>
  <c r="AL1965" i="3"/>
  <c r="AL1966" i="3"/>
  <c r="AL1967" i="3"/>
  <c r="AL1968" i="3"/>
  <c r="AL1969" i="3"/>
  <c r="AL1970" i="3"/>
  <c r="AL1971" i="3"/>
  <c r="AL1972" i="3"/>
  <c r="AL1973" i="3"/>
  <c r="AL1974" i="3"/>
  <c r="AL1504" i="3"/>
  <c r="AL1506" i="3"/>
  <c r="AL1422" i="3"/>
  <c r="AL1423" i="3"/>
  <c r="AL1975" i="3"/>
  <c r="AL1976" i="3"/>
  <c r="AL1977" i="3"/>
  <c r="AL1978" i="3"/>
  <c r="AL1979" i="3"/>
  <c r="AL1980" i="3"/>
  <c r="AL1981" i="3"/>
  <c r="AL1982" i="3"/>
  <c r="AL1983" i="3"/>
  <c r="AL1984" i="3"/>
  <c r="AL1985" i="3"/>
  <c r="AL1424" i="3"/>
  <c r="AL1986" i="3"/>
  <c r="AL1987" i="3"/>
  <c r="AL1988" i="3"/>
  <c r="AL1989" i="3"/>
  <c r="AL1990" i="3"/>
  <c r="AL1991" i="3"/>
  <c r="AL1992" i="3"/>
  <c r="AL1993" i="3"/>
  <c r="AL1994" i="3"/>
  <c r="AL1995" i="3"/>
  <c r="AL1996" i="3"/>
  <c r="AL1997" i="3"/>
  <c r="AL1998" i="3"/>
  <c r="AL1999" i="3"/>
  <c r="AL2000" i="3"/>
  <c r="AL2001" i="3"/>
  <c r="AL2002" i="3"/>
  <c r="AL2003" i="3"/>
  <c r="AL2004" i="3"/>
  <c r="AL2005" i="3"/>
  <c r="AL1683" i="3"/>
  <c r="AL2006" i="3"/>
  <c r="AL2007" i="3"/>
  <c r="AL2008" i="3"/>
  <c r="AL2009" i="3"/>
  <c r="AL1409" i="3"/>
  <c r="AL1410" i="3"/>
  <c r="AL2010" i="3"/>
  <c r="AL1411" i="3"/>
  <c r="AL2011" i="3"/>
  <c r="AL2012" i="3"/>
  <c r="AL2013" i="3"/>
  <c r="AL2014" i="3"/>
  <c r="AL2015" i="3"/>
  <c r="AL2016" i="3"/>
  <c r="AL2017" i="3"/>
  <c r="AL2018" i="3"/>
  <c r="AL2019" i="3"/>
  <c r="AL2020" i="3"/>
  <c r="AL2021" i="3"/>
  <c r="AL2022" i="3"/>
  <c r="AL2023" i="3"/>
  <c r="AL2024" i="3"/>
  <c r="AL2025" i="3"/>
  <c r="AL1400" i="3"/>
  <c r="AL1401" i="3"/>
  <c r="AL2026" i="3"/>
  <c r="AL2027" i="3"/>
  <c r="AL2028" i="3"/>
  <c r="AL2029" i="3"/>
  <c r="AL2030" i="3"/>
  <c r="AL2031" i="3"/>
  <c r="AL2032" i="3"/>
  <c r="AL2033" i="3"/>
  <c r="AL2034" i="3"/>
  <c r="AL2035" i="3"/>
  <c r="AL2036" i="3"/>
  <c r="AL2037" i="3"/>
  <c r="AL2038" i="3"/>
  <c r="AL2039" i="3"/>
  <c r="AL2040" i="3"/>
  <c r="AL2041" i="3"/>
  <c r="AL1442" i="3"/>
  <c r="AL2042" i="3"/>
  <c r="AL2043" i="3"/>
  <c r="AL2044" i="3"/>
  <c r="AL2045" i="3"/>
  <c r="AL2046" i="3"/>
  <c r="AL2047" i="3"/>
  <c r="AL2048" i="3"/>
  <c r="AL2049" i="3"/>
  <c r="AL2050" i="3"/>
  <c r="AL2051" i="3"/>
  <c r="AL2052" i="3"/>
  <c r="AL2053" i="3"/>
  <c r="AL2054" i="3"/>
  <c r="AL2055" i="3"/>
  <c r="AL2056" i="3"/>
  <c r="AL2057" i="3"/>
  <c r="AL2058" i="3"/>
  <c r="AL2059" i="3"/>
  <c r="AL2060" i="3"/>
  <c r="AL2061" i="3"/>
  <c r="AL2062" i="3"/>
  <c r="AL2063" i="3"/>
  <c r="AL2064" i="3"/>
  <c r="AL2065" i="3"/>
  <c r="AL2066" i="3"/>
  <c r="AL2067" i="3"/>
  <c r="AL2068" i="3"/>
  <c r="AL2069" i="3"/>
  <c r="AL2070" i="3"/>
  <c r="AL2071" i="3"/>
  <c r="AL2072" i="3"/>
  <c r="AL2073" i="3"/>
  <c r="AL2074" i="3"/>
  <c r="AL2075" i="3"/>
  <c r="AL2076" i="3"/>
  <c r="AL2077" i="3"/>
  <c r="AL2078" i="3"/>
  <c r="AL2079" i="3"/>
  <c r="AL1473" i="3"/>
  <c r="AL2080" i="3"/>
  <c r="AL1416" i="3"/>
  <c r="AL2081" i="3"/>
  <c r="AL2082" i="3"/>
  <c r="AL2083" i="3"/>
  <c r="AL1495" i="3"/>
  <c r="AL1494" i="3"/>
  <c r="AL2084" i="3"/>
  <c r="AL2085" i="3"/>
  <c r="AL2086" i="3"/>
  <c r="AL2087" i="3"/>
  <c r="AL2088" i="3"/>
  <c r="AL2089" i="3"/>
  <c r="AL2090" i="3"/>
  <c r="AL2091" i="3"/>
  <c r="AL2092" i="3"/>
  <c r="AL2093" i="3"/>
  <c r="AL2094" i="3"/>
  <c r="AL2095" i="3"/>
  <c r="AL2096" i="3"/>
  <c r="AL2097" i="3"/>
  <c r="AL2098" i="3"/>
  <c r="AL2099" i="3"/>
  <c r="AL2100" i="3"/>
  <c r="AL2101" i="3"/>
  <c r="AL2102" i="3"/>
  <c r="AL2103" i="3"/>
  <c r="AL2104" i="3"/>
  <c r="AL2105" i="3"/>
  <c r="AL2106" i="3"/>
  <c r="AL2107" i="3"/>
  <c r="AL2108" i="3"/>
  <c r="AL2109" i="3"/>
  <c r="AL2110" i="3"/>
  <c r="AL2111" i="3"/>
  <c r="AL2112" i="3"/>
  <c r="AL2113" i="3"/>
  <c r="AL2114" i="3"/>
  <c r="AL2115" i="3"/>
  <c r="AL2116" i="3"/>
  <c r="AL2117" i="3"/>
  <c r="AL2118" i="3"/>
  <c r="AL2119" i="3"/>
  <c r="AL2120" i="3"/>
  <c r="AL2121" i="3"/>
  <c r="AL2122" i="3"/>
  <c r="AL2123" i="3"/>
  <c r="AL2124" i="3"/>
  <c r="AL2125" i="3"/>
  <c r="AL2126" i="3"/>
  <c r="AL2127" i="3"/>
  <c r="AL2128" i="3"/>
  <c r="AL2129" i="3"/>
  <c r="AL2130" i="3"/>
  <c r="AL1489" i="3"/>
  <c r="AL2131" i="3"/>
  <c r="AL2132" i="3"/>
  <c r="AL2133" i="3"/>
  <c r="AL2134" i="3"/>
  <c r="AL2135" i="3"/>
  <c r="AL2136" i="3"/>
  <c r="AL2137" i="3"/>
  <c r="AL2138" i="3"/>
  <c r="AL2139" i="3"/>
  <c r="AL2140" i="3"/>
  <c r="AL1491" i="3"/>
  <c r="AL2141" i="3"/>
  <c r="AL2142" i="3"/>
  <c r="AL2143" i="3"/>
  <c r="AL2144" i="3"/>
  <c r="AL2145" i="3"/>
  <c r="AL2146" i="3"/>
  <c r="AL2147" i="3"/>
  <c r="AL2148" i="3"/>
  <c r="AL2149" i="3"/>
  <c r="AL2150" i="3"/>
  <c r="AL2151" i="3"/>
  <c r="AL2152" i="3"/>
  <c r="AL2153" i="3"/>
  <c r="AL2154" i="3"/>
  <c r="AL2155" i="3"/>
  <c r="AL2156" i="3"/>
  <c r="AL2157" i="3"/>
  <c r="AL2158" i="3"/>
  <c r="AL2159" i="3"/>
  <c r="AL2160" i="3"/>
  <c r="AL2161" i="3"/>
  <c r="AL2162" i="3"/>
  <c r="AL2163" i="3"/>
  <c r="AL2164" i="3"/>
  <c r="AL2165" i="3"/>
  <c r="AL2166" i="3"/>
  <c r="AL2167" i="3"/>
  <c r="AL2168" i="3"/>
  <c r="AL2169" i="3"/>
  <c r="AL2170" i="3"/>
  <c r="AL2171" i="3"/>
  <c r="AL2172" i="3"/>
  <c r="AL2173" i="3"/>
  <c r="AL2174" i="3"/>
  <c r="AL2175" i="3"/>
  <c r="AL1450" i="3"/>
  <c r="AL1451" i="3"/>
  <c r="AL2176" i="3"/>
  <c r="AL2177" i="3"/>
  <c r="AL1428" i="3"/>
  <c r="AL1429" i="3"/>
  <c r="AL1430" i="3"/>
  <c r="AL1431" i="3"/>
  <c r="AL1432" i="3"/>
  <c r="AL1433" i="3"/>
  <c r="AL2178" i="3"/>
  <c r="AL2179" i="3"/>
  <c r="AL2180" i="3"/>
  <c r="AL2181" i="3"/>
  <c r="AL2182" i="3"/>
  <c r="AL2183" i="3"/>
  <c r="AL2184" i="3"/>
  <c r="AL2185" i="3"/>
  <c r="AL2186" i="3"/>
  <c r="AL1503" i="3"/>
  <c r="AL2187" i="3"/>
  <c r="AL2188" i="3"/>
  <c r="AL2189" i="3"/>
  <c r="AL1485" i="3"/>
  <c r="AL2190" i="3"/>
  <c r="AL2191" i="3"/>
  <c r="AL2192" i="3"/>
  <c r="AL2193" i="3"/>
  <c r="AL2194" i="3"/>
  <c r="AL2195" i="3"/>
  <c r="AL2196" i="3"/>
  <c r="AL2197" i="3"/>
  <c r="AL2198" i="3"/>
  <c r="AL1443" i="3"/>
  <c r="AL2199" i="3"/>
  <c r="AL2200" i="3"/>
  <c r="AL2201" i="3"/>
  <c r="AL2202" i="3"/>
  <c r="AL2203" i="3"/>
  <c r="AL2204" i="3"/>
  <c r="AL2205" i="3"/>
  <c r="AL2206" i="3"/>
  <c r="AL2207" i="3"/>
  <c r="AL2208" i="3"/>
  <c r="AL2209" i="3"/>
  <c r="AL2210" i="3"/>
  <c r="AL1463" i="3"/>
  <c r="AL2211" i="3"/>
  <c r="AL2212" i="3"/>
  <c r="AL2213" i="3"/>
  <c r="AL2214" i="3"/>
  <c r="AL2215" i="3"/>
  <c r="AL2216" i="3"/>
  <c r="AL2217" i="3"/>
  <c r="AL2218" i="3"/>
  <c r="AL2219" i="3"/>
  <c r="AL2220" i="3"/>
  <c r="AL2221" i="3"/>
  <c r="AL2222" i="3"/>
  <c r="AL2223" i="3"/>
  <c r="AL2224" i="3"/>
  <c r="AL2225" i="3"/>
  <c r="AL2226" i="3"/>
  <c r="AL2227" i="3"/>
  <c r="AL1488" i="3"/>
  <c r="AL2228" i="3"/>
  <c r="AL1492" i="3"/>
  <c r="AL2229" i="3"/>
  <c r="AL2230" i="3"/>
  <c r="AL2231" i="3"/>
  <c r="AL2232" i="3"/>
  <c r="AL2233" i="3"/>
  <c r="AL2234" i="3"/>
  <c r="AL2235" i="3"/>
  <c r="AL2236" i="3"/>
  <c r="AL2237" i="3"/>
  <c r="AL2238" i="3"/>
  <c r="AL1479" i="3"/>
  <c r="AL2239" i="3"/>
  <c r="AL2240" i="3"/>
  <c r="AL2241" i="3"/>
  <c r="AL2242" i="3"/>
  <c r="AL2243" i="3"/>
  <c r="AL2244" i="3"/>
  <c r="AL2245" i="3"/>
  <c r="AL2246" i="3"/>
  <c r="AL2247" i="3"/>
  <c r="AL2248" i="3"/>
  <c r="AL2249" i="3"/>
  <c r="AL2250" i="3"/>
  <c r="AL2251" i="3"/>
  <c r="AL2252" i="3"/>
  <c r="AL2253" i="3"/>
  <c r="AL1435" i="3"/>
  <c r="AL2254" i="3"/>
  <c r="AL2255" i="3"/>
  <c r="AL2256" i="3"/>
  <c r="AL2257" i="3"/>
  <c r="AL2258" i="3"/>
  <c r="AL2259" i="3"/>
  <c r="AL2260" i="3"/>
  <c r="AL2261" i="3"/>
  <c r="AL2262" i="3"/>
  <c r="AL2263" i="3"/>
  <c r="AL2264" i="3"/>
  <c r="AL2265" i="3"/>
  <c r="AL2266" i="3"/>
  <c r="AL2267" i="3"/>
  <c r="AL1471" i="3"/>
  <c r="AL2268" i="3"/>
  <c r="AL2269" i="3"/>
  <c r="AL2270" i="3"/>
  <c r="AL2271" i="3"/>
  <c r="AL2272" i="3"/>
  <c r="AL2273" i="3"/>
  <c r="AL2274" i="3"/>
  <c r="AL2275" i="3"/>
  <c r="AL2276" i="3"/>
  <c r="AL2277" i="3"/>
  <c r="AL2278" i="3"/>
  <c r="AL2279" i="3"/>
  <c r="AL1472" i="3"/>
  <c r="AL2280" i="3"/>
  <c r="AL2281" i="3"/>
  <c r="AL2282" i="3"/>
  <c r="AL2283" i="3"/>
  <c r="AL2284" i="3"/>
  <c r="AL2285" i="3"/>
  <c r="AL2286" i="3"/>
  <c r="AL2287" i="3"/>
  <c r="AL2288" i="3"/>
  <c r="AL2289" i="3"/>
  <c r="AL2290" i="3"/>
  <c r="AL2291" i="3"/>
  <c r="AL2292" i="3"/>
  <c r="AL1444" i="3"/>
  <c r="AL2293" i="3"/>
  <c r="AL2294" i="3"/>
  <c r="AL2295" i="3"/>
  <c r="AL1445" i="3"/>
  <c r="AL2296" i="3"/>
  <c r="AL2297" i="3"/>
  <c r="AL2298" i="3"/>
  <c r="AL2299" i="3"/>
  <c r="AL2300" i="3"/>
  <c r="AL1402" i="3"/>
  <c r="AL2301" i="3"/>
  <c r="AL2302" i="3"/>
  <c r="AL2303" i="3"/>
  <c r="AL2304" i="3"/>
  <c r="AL2305" i="3"/>
  <c r="AL2306" i="3"/>
  <c r="AL2307" i="3"/>
  <c r="AL2308" i="3"/>
  <c r="AL2309" i="3"/>
  <c r="AL2310" i="3"/>
  <c r="AL2311" i="3"/>
  <c r="AL2312" i="3"/>
  <c r="AL1425" i="3"/>
  <c r="AL2313" i="3"/>
  <c r="AL2314" i="3"/>
  <c r="AL2315" i="3"/>
  <c r="AL1498" i="3"/>
  <c r="AL2316" i="3"/>
  <c r="AL2317" i="3"/>
  <c r="AL2318" i="3"/>
  <c r="AL2347" i="3"/>
  <c r="AL2319" i="3"/>
  <c r="AL2320" i="3"/>
  <c r="AL2321" i="3"/>
  <c r="AL1649" i="3"/>
  <c r="AL2323" i="3"/>
  <c r="AL2324" i="3"/>
  <c r="AL2325" i="3"/>
  <c r="AL2326" i="3"/>
  <c r="AL2327" i="3"/>
  <c r="AL2328" i="3"/>
  <c r="AL2329" i="3"/>
  <c r="AL2330" i="3"/>
  <c r="AL2331" i="3"/>
  <c r="AL2332" i="3"/>
  <c r="AL2333" i="3"/>
  <c r="AL2334" i="3"/>
  <c r="AL2335" i="3"/>
  <c r="AL2336" i="3"/>
  <c r="AL2337" i="3"/>
  <c r="AL2338" i="3"/>
  <c r="AL2339" i="3"/>
  <c r="AL2340" i="3"/>
  <c r="AL2341" i="3"/>
  <c r="AL2348" i="3"/>
  <c r="AL2342" i="3"/>
  <c r="AL2343" i="3"/>
  <c r="AL2344" i="3"/>
  <c r="AL2345" i="3"/>
  <c r="AL2346" i="3"/>
  <c r="AL1500" i="3"/>
  <c r="AL2349" i="3"/>
  <c r="AL1497" i="3"/>
  <c r="AL2350" i="3"/>
  <c r="AL2351" i="3"/>
  <c r="AL2352" i="3"/>
  <c r="AL2353" i="3"/>
  <c r="AL2354" i="3"/>
  <c r="AL1499" i="3"/>
  <c r="AL2356" i="3"/>
  <c r="AL2357" i="3"/>
  <c r="AL2358" i="3"/>
  <c r="AL2359" i="3"/>
  <c r="AL2360" i="3"/>
  <c r="AL2361" i="3"/>
  <c r="AL2362" i="3"/>
  <c r="AL2363" i="3"/>
  <c r="AL2364" i="3"/>
  <c r="AL2365" i="3"/>
  <c r="AL2366" i="3"/>
  <c r="AL2367" i="3"/>
  <c r="AL2368" i="3"/>
  <c r="AL2369" i="3"/>
  <c r="AL2355" i="3"/>
  <c r="AL2371" i="3"/>
  <c r="AL2372" i="3"/>
  <c r="AL2373" i="3"/>
  <c r="AL2374" i="3"/>
  <c r="AL2375" i="3"/>
  <c r="AL2376" i="3"/>
  <c r="AL2377" i="3"/>
  <c r="AL2378" i="3"/>
  <c r="AL2379" i="3"/>
  <c r="AL2380" i="3"/>
  <c r="AL2381" i="3"/>
  <c r="AL2382" i="3"/>
  <c r="AL1458" i="3"/>
  <c r="AL2383" i="3"/>
  <c r="AL2384" i="3"/>
  <c r="AL2385" i="3"/>
  <c r="AL2386" i="3"/>
  <c r="AL2387" i="3"/>
  <c r="AL1404" i="3"/>
  <c r="AL2388" i="3"/>
  <c r="AL2389" i="3"/>
  <c r="AL2390" i="3"/>
  <c r="AL2391" i="3"/>
  <c r="AL1453" i="3"/>
  <c r="AL2392" i="3"/>
  <c r="AL2393" i="3"/>
  <c r="AL2394" i="3"/>
  <c r="AL2395" i="3"/>
  <c r="AL2396" i="3"/>
  <c r="AL2397" i="3"/>
  <c r="AL2398" i="3"/>
  <c r="AL2399" i="3"/>
  <c r="AL2400" i="3"/>
  <c r="AL2401" i="3"/>
  <c r="AL2402" i="3"/>
  <c r="AL2403" i="3"/>
  <c r="AL2404" i="3"/>
  <c r="AL2405" i="3"/>
  <c r="AL2406" i="3"/>
  <c r="AL2407" i="3"/>
  <c r="AL2408" i="3"/>
  <c r="AL2370" i="3"/>
  <c r="AL2409" i="3"/>
  <c r="AL2411" i="3"/>
  <c r="AL2412" i="3"/>
  <c r="AL2413" i="3"/>
  <c r="AL1393" i="3"/>
  <c r="AO1388" i="3"/>
  <c r="K1392" i="3"/>
  <c r="K1391" i="3"/>
  <c r="K1389" i="3"/>
  <c r="K1390" i="3"/>
  <c r="K1385" i="3"/>
  <c r="K1386" i="3"/>
  <c r="K1387" i="3"/>
  <c r="K1388" i="3"/>
  <c r="K1383" i="3"/>
  <c r="K1384" i="3"/>
  <c r="K1235" i="3"/>
  <c r="K1381" i="3"/>
  <c r="K1380" i="3"/>
  <c r="K1376" i="3"/>
  <c r="K1377" i="3"/>
  <c r="K1378" i="3"/>
  <c r="K1379" i="3"/>
  <c r="K1374" i="3"/>
  <c r="K1434" i="3"/>
  <c r="K1373" i="3"/>
  <c r="K1476" i="3"/>
  <c r="K1371" i="3"/>
  <c r="K1368" i="3"/>
  <c r="K1369" i="3"/>
  <c r="K1477" i="3"/>
  <c r="K1366" i="3"/>
  <c r="K1367" i="3"/>
  <c r="K1365" i="3"/>
  <c r="K1362" i="3"/>
  <c r="K1303" i="3"/>
  <c r="K1363" i="3"/>
  <c r="K1358" i="3"/>
  <c r="K1359" i="3"/>
  <c r="K1360" i="3"/>
  <c r="K1361" i="3"/>
  <c r="K1350" i="3"/>
  <c r="K1351" i="3"/>
  <c r="K1352" i="3"/>
  <c r="K1353" i="3"/>
  <c r="K1354" i="3"/>
  <c r="K1355" i="3"/>
  <c r="K1356" i="3"/>
  <c r="K1051" i="3"/>
  <c r="K1357" i="3"/>
  <c r="K1304" i="3"/>
  <c r="K1305" i="3"/>
  <c r="K178" i="3"/>
  <c r="K179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714" i="3"/>
  <c r="K715" i="3"/>
  <c r="K716" i="3"/>
  <c r="K1334" i="3"/>
  <c r="K1335" i="3"/>
  <c r="K1336" i="3"/>
  <c r="K1337" i="3"/>
  <c r="K1338" i="3"/>
  <c r="K1339" i="3"/>
  <c r="K1340" i="3"/>
  <c r="K1341" i="3"/>
  <c r="K1131" i="3"/>
  <c r="K1342" i="3"/>
  <c r="K1343" i="3"/>
  <c r="K1344" i="3"/>
  <c r="K1345" i="3"/>
  <c r="K1346" i="3"/>
  <c r="K1347" i="3"/>
  <c r="K1348" i="3"/>
  <c r="K1349" i="3"/>
  <c r="K1282" i="3"/>
  <c r="K1251" i="3"/>
  <c r="K1252" i="3"/>
  <c r="K1283" i="3"/>
  <c r="K1280" i="3"/>
  <c r="K1234" i="3"/>
  <c r="K1281" i="3"/>
  <c r="K1269" i="3"/>
  <c r="K1284" i="3"/>
  <c r="K1285" i="3"/>
  <c r="K1256" i="3"/>
  <c r="K1236" i="3"/>
  <c r="K1286" i="3"/>
  <c r="K1272" i="3"/>
  <c r="K1276" i="3"/>
  <c r="K1260" i="3"/>
  <c r="K1287" i="3"/>
  <c r="K1248" i="3"/>
  <c r="K1263" i="3"/>
  <c r="K1279" i="3"/>
  <c r="K1241" i="3"/>
  <c r="K1246" i="3"/>
  <c r="K1288" i="3"/>
  <c r="K1265" i="3"/>
  <c r="K1254" i="3"/>
  <c r="K1261" i="3"/>
  <c r="K1262" i="3"/>
  <c r="K1270" i="3"/>
  <c r="K1289" i="3"/>
  <c r="K1273" i="3"/>
  <c r="K1244" i="3"/>
  <c r="K1130" i="3"/>
  <c r="K1474" i="3"/>
  <c r="K1266" i="3"/>
  <c r="K1292" i="3"/>
  <c r="K1293" i="3"/>
  <c r="K1271" i="3"/>
  <c r="K1267" i="3"/>
  <c r="K1294" i="3"/>
  <c r="K1295" i="3"/>
  <c r="K1253" i="3"/>
  <c r="K1264" i="3"/>
  <c r="K1296" i="3"/>
  <c r="K1243" i="3"/>
  <c r="K1274" i="3"/>
  <c r="K1257" i="3"/>
  <c r="K1239" i="3"/>
  <c r="K1245" i="3"/>
  <c r="K1237" i="3"/>
  <c r="K1250" i="3"/>
  <c r="K1259" i="3"/>
  <c r="K1297" i="3"/>
  <c r="K1278" i="3"/>
  <c r="K1240" i="3"/>
  <c r="K1238" i="3"/>
  <c r="K1299" i="3"/>
  <c r="K1277" i="3"/>
  <c r="K1242" i="3"/>
  <c r="K1247" i="3"/>
  <c r="K1249" i="3"/>
  <c r="K867" i="3"/>
  <c r="K1258" i="3"/>
  <c r="K1108" i="3"/>
  <c r="K1300" i="3"/>
  <c r="K1255" i="3"/>
  <c r="K1154" i="3"/>
  <c r="K930" i="3"/>
  <c r="K1301" i="3"/>
  <c r="K1302" i="3"/>
  <c r="K1214" i="3"/>
  <c r="K1221" i="3"/>
  <c r="K1222" i="3"/>
  <c r="K1223" i="3"/>
  <c r="K1224" i="3"/>
  <c r="K1217" i="3"/>
  <c r="K1225" i="3"/>
  <c r="K1213" i="3"/>
  <c r="K1220" i="3"/>
  <c r="K1215" i="3"/>
  <c r="K1209" i="3"/>
  <c r="K1226" i="3"/>
  <c r="K1227" i="3"/>
  <c r="K1210" i="3"/>
  <c r="K1228" i="3"/>
  <c r="K1229" i="3"/>
  <c r="K1230" i="3"/>
  <c r="K1211" i="3"/>
  <c r="K1212" i="3"/>
  <c r="K1219" i="3"/>
  <c r="K1231" i="3"/>
  <c r="K1232" i="3"/>
  <c r="K1233" i="3"/>
  <c r="K1216" i="3"/>
  <c r="K1218" i="3"/>
  <c r="K1193" i="3"/>
  <c r="K1194" i="3"/>
  <c r="K1184" i="3"/>
  <c r="K1195" i="3"/>
  <c r="K1190" i="3"/>
  <c r="K1196" i="3"/>
  <c r="K1192" i="3"/>
  <c r="K1197" i="3"/>
  <c r="K1198" i="3"/>
  <c r="K1191" i="3"/>
  <c r="K1199" i="3"/>
  <c r="K1180" i="3"/>
  <c r="K1200" i="3"/>
  <c r="K1201" i="3"/>
  <c r="K1181" i="3"/>
  <c r="K1202" i="3"/>
  <c r="K1203" i="3"/>
  <c r="K1204" i="3"/>
  <c r="K1182" i="3"/>
  <c r="K1189" i="3"/>
  <c r="K1205" i="3"/>
  <c r="K1186" i="3"/>
  <c r="K1187" i="3"/>
  <c r="K1185" i="3"/>
  <c r="K1206" i="3"/>
  <c r="K1207" i="3"/>
  <c r="K1183" i="3"/>
  <c r="K1188" i="3"/>
  <c r="K1208" i="3"/>
  <c r="K1157" i="3"/>
  <c r="K1167" i="3"/>
  <c r="K1168" i="3"/>
  <c r="K1155" i="3"/>
  <c r="K1165" i="3"/>
  <c r="K1169" i="3"/>
  <c r="K1170" i="3"/>
  <c r="K1171" i="3"/>
  <c r="K1159" i="3"/>
  <c r="K1412" i="3"/>
  <c r="K1163" i="3"/>
  <c r="K1173" i="3"/>
  <c r="K1166" i="3"/>
  <c r="K1077" i="3"/>
  <c r="K1158" i="3"/>
  <c r="K1161" i="3"/>
  <c r="K1174" i="3"/>
  <c r="K1175" i="3"/>
  <c r="K1162" i="3"/>
  <c r="K1164" i="3"/>
  <c r="K1176" i="3"/>
  <c r="K931" i="3"/>
  <c r="K1178" i="3"/>
  <c r="K1179" i="3"/>
  <c r="K1156" i="3"/>
  <c r="K1160" i="3"/>
  <c r="K1137" i="3"/>
  <c r="K1142" i="3"/>
  <c r="K1143" i="3"/>
  <c r="K1121" i="3"/>
  <c r="K1144" i="3"/>
  <c r="K1123" i="3"/>
  <c r="K1136" i="3"/>
  <c r="K1145" i="3"/>
  <c r="K1139" i="3"/>
  <c r="K1146" i="3"/>
  <c r="K1127" i="3"/>
  <c r="K1133" i="3"/>
  <c r="K1140" i="3"/>
  <c r="K1141" i="3"/>
  <c r="K1135" i="3"/>
  <c r="K1089" i="3"/>
  <c r="K1413" i="3"/>
  <c r="K1124" i="3"/>
  <c r="K1122" i="3"/>
  <c r="K1128" i="3"/>
  <c r="K1126" i="3"/>
  <c r="K1147" i="3"/>
  <c r="K1148" i="3"/>
  <c r="K1149" i="3"/>
  <c r="K954" i="3"/>
  <c r="K1132" i="3"/>
  <c r="K1134" i="3"/>
  <c r="K1151" i="3"/>
  <c r="K1129" i="3"/>
  <c r="K1152" i="3"/>
  <c r="K1138" i="3"/>
  <c r="K1125" i="3"/>
  <c r="K1153" i="3"/>
  <c r="K1061" i="3"/>
  <c r="K1094" i="3"/>
  <c r="K1095" i="3"/>
  <c r="K1096" i="3"/>
  <c r="K1097" i="3"/>
  <c r="K1098" i="3"/>
  <c r="K1099" i="3"/>
  <c r="K1092" i="3"/>
  <c r="K1100" i="3"/>
  <c r="K1101" i="3"/>
  <c r="K1102" i="3"/>
  <c r="K1103" i="3"/>
  <c r="K1104" i="3"/>
  <c r="K1105" i="3"/>
  <c r="K1106" i="3"/>
  <c r="K1120" i="3"/>
  <c r="K1107" i="3"/>
  <c r="K551" i="3"/>
  <c r="K1109" i="3"/>
  <c r="K1110" i="3"/>
  <c r="K1111" i="3"/>
  <c r="K1112" i="3"/>
  <c r="K1113" i="3"/>
  <c r="K1114" i="3"/>
  <c r="K1115" i="3"/>
  <c r="K1116" i="3"/>
  <c r="K1117" i="3"/>
  <c r="K1118" i="3"/>
  <c r="K1268" i="3"/>
  <c r="K1072" i="3"/>
  <c r="K1073" i="3"/>
  <c r="K1074" i="3"/>
  <c r="K1075" i="3"/>
  <c r="K1076" i="3"/>
  <c r="K1275" i="3"/>
  <c r="K1078" i="3"/>
  <c r="K1079" i="3"/>
  <c r="K1080" i="3"/>
  <c r="K1081" i="3"/>
  <c r="K1417" i="3"/>
  <c r="K1083" i="3"/>
  <c r="K1084" i="3"/>
  <c r="K1085" i="3"/>
  <c r="K1086" i="3"/>
  <c r="K68" i="3"/>
  <c r="K1088" i="3"/>
  <c r="K932" i="3"/>
  <c r="K1091" i="3"/>
  <c r="K1090" i="3"/>
  <c r="K1053" i="3"/>
  <c r="K1382" i="3"/>
  <c r="K1052" i="3"/>
  <c r="K445" i="3"/>
  <c r="K1056" i="3"/>
  <c r="K1057" i="3"/>
  <c r="K1058" i="3"/>
  <c r="K1059" i="3"/>
  <c r="K1060" i="3"/>
  <c r="K1119" i="3"/>
  <c r="K1062" i="3"/>
  <c r="K1063" i="3"/>
  <c r="K1364" i="3"/>
  <c r="K1065" i="3"/>
  <c r="K1071" i="3"/>
  <c r="K1070" i="3"/>
  <c r="K1066" i="3"/>
  <c r="K1067" i="3"/>
  <c r="K1068" i="3"/>
  <c r="K1069" i="3"/>
  <c r="K1037" i="3"/>
  <c r="K1038" i="3"/>
  <c r="K1039" i="3"/>
  <c r="K1040" i="3"/>
  <c r="K1290" i="3"/>
  <c r="K1042" i="3"/>
  <c r="K1043" i="3"/>
  <c r="K1044" i="3"/>
  <c r="K1291" i="3"/>
  <c r="K1046" i="3"/>
  <c r="K1047" i="3"/>
  <c r="K1048" i="3"/>
  <c r="K1049" i="3"/>
  <c r="K1050" i="3"/>
  <c r="K1023" i="3"/>
  <c r="K1024" i="3"/>
  <c r="K1025" i="3"/>
  <c r="K1026" i="3"/>
  <c r="K1027" i="3"/>
  <c r="K1028" i="3"/>
  <c r="K1029" i="3"/>
  <c r="K1030" i="3"/>
  <c r="K1031" i="3"/>
  <c r="K1032" i="3"/>
  <c r="K1033" i="3"/>
  <c r="K1172" i="3"/>
  <c r="K1035" i="3"/>
  <c r="K1036" i="3"/>
  <c r="K1177" i="3"/>
  <c r="K1006" i="3"/>
  <c r="K1007" i="3"/>
  <c r="K1008" i="3"/>
  <c r="K1009" i="3"/>
  <c r="K1010" i="3"/>
  <c r="K1011" i="3"/>
  <c r="K1012" i="3"/>
  <c r="K1013" i="3"/>
  <c r="K1150" i="3"/>
  <c r="K1014" i="3"/>
  <c r="K1015" i="3"/>
  <c r="K1016" i="3"/>
  <c r="K1082" i="3"/>
  <c r="K1017" i="3"/>
  <c r="K1018" i="3"/>
  <c r="K1019" i="3"/>
  <c r="K985" i="3"/>
  <c r="K1087" i="3"/>
  <c r="K1054" i="3"/>
  <c r="K986" i="3"/>
  <c r="K987" i="3"/>
  <c r="K988" i="3"/>
  <c r="K1055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34" i="3"/>
  <c r="K855" i="3"/>
  <c r="K1001" i="3"/>
  <c r="K955" i="3"/>
  <c r="K1298" i="3"/>
  <c r="K956" i="3"/>
  <c r="K1020" i="3"/>
  <c r="K957" i="3"/>
  <c r="K958" i="3"/>
  <c r="K959" i="3"/>
  <c r="K960" i="3"/>
  <c r="K961" i="3"/>
  <c r="K962" i="3"/>
  <c r="K1021" i="3"/>
  <c r="K102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1002" i="3"/>
  <c r="K975" i="3"/>
  <c r="K976" i="3"/>
  <c r="K977" i="3"/>
  <c r="K1481" i="3"/>
  <c r="K1003" i="3"/>
  <c r="K978" i="3"/>
  <c r="K933" i="3"/>
  <c r="K934" i="3"/>
  <c r="K935" i="3"/>
  <c r="K937" i="3"/>
  <c r="K938" i="3"/>
  <c r="K939" i="3"/>
  <c r="K1004" i="3"/>
  <c r="K1005" i="3"/>
  <c r="K940" i="3"/>
  <c r="K941" i="3"/>
  <c r="K942" i="3"/>
  <c r="K943" i="3"/>
  <c r="K944" i="3"/>
  <c r="K979" i="3"/>
  <c r="K945" i="3"/>
  <c r="K946" i="3"/>
  <c r="K947" i="3"/>
  <c r="K948" i="3"/>
  <c r="K949" i="3"/>
  <c r="K950" i="3"/>
  <c r="K951" i="3"/>
  <c r="K953" i="3"/>
  <c r="K952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109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884" i="3"/>
  <c r="K885" i="3"/>
  <c r="K886" i="3"/>
  <c r="K1045" i="3"/>
  <c r="K980" i="3"/>
  <c r="K887" i="3"/>
  <c r="K981" i="3"/>
  <c r="K888" i="3"/>
  <c r="K889" i="3"/>
  <c r="K929" i="3"/>
  <c r="K982" i="3"/>
  <c r="K890" i="3"/>
  <c r="K891" i="3"/>
  <c r="K892" i="3"/>
  <c r="K893" i="3"/>
  <c r="K894" i="3"/>
  <c r="K882" i="3"/>
  <c r="K868" i="3"/>
  <c r="K869" i="3"/>
  <c r="K870" i="3"/>
  <c r="K883" i="3"/>
  <c r="K871" i="3"/>
  <c r="K872" i="3"/>
  <c r="K873" i="3"/>
  <c r="K874" i="3"/>
  <c r="K875" i="3"/>
  <c r="K838" i="3"/>
  <c r="K876" i="3"/>
  <c r="K877" i="3"/>
  <c r="K878" i="3"/>
  <c r="K879" i="3"/>
  <c r="K880" i="3"/>
  <c r="K881" i="3"/>
  <c r="K856" i="3"/>
  <c r="K857" i="3"/>
  <c r="K858" i="3"/>
  <c r="K859" i="3"/>
  <c r="K860" i="3"/>
  <c r="K861" i="3"/>
  <c r="K862" i="3"/>
  <c r="K863" i="3"/>
  <c r="K864" i="3"/>
  <c r="K865" i="3"/>
  <c r="K866" i="3"/>
  <c r="K839" i="3"/>
  <c r="K840" i="3"/>
  <c r="K841" i="3"/>
  <c r="K842" i="3"/>
  <c r="K843" i="3"/>
  <c r="K844" i="3"/>
  <c r="K845" i="3"/>
  <c r="K983" i="3"/>
  <c r="K846" i="3"/>
  <c r="K847" i="3"/>
  <c r="K895" i="3"/>
  <c r="K848" i="3"/>
  <c r="K849" i="3"/>
  <c r="K850" i="3"/>
  <c r="K896" i="3"/>
  <c r="K851" i="3"/>
  <c r="K823" i="3"/>
  <c r="K824" i="3"/>
  <c r="K822" i="3"/>
  <c r="K826" i="3"/>
  <c r="K827" i="3"/>
  <c r="K828" i="3"/>
  <c r="K829" i="3"/>
  <c r="K830" i="3"/>
  <c r="K831" i="3"/>
  <c r="K832" i="3"/>
  <c r="K833" i="3"/>
  <c r="K825" i="3"/>
  <c r="K837" i="3"/>
  <c r="K834" i="3"/>
  <c r="K835" i="3"/>
  <c r="K836" i="3"/>
  <c r="K803" i="3"/>
  <c r="K804" i="3"/>
  <c r="K805" i="3"/>
  <c r="K806" i="3"/>
  <c r="K807" i="3"/>
  <c r="K821" i="3"/>
  <c r="K801" i="3"/>
  <c r="K808" i="3"/>
  <c r="K809" i="3"/>
  <c r="K852" i="3"/>
  <c r="K810" i="3"/>
  <c r="K811" i="3"/>
  <c r="K812" i="3"/>
  <c r="K813" i="3"/>
  <c r="K802" i="3"/>
  <c r="K814" i="3"/>
  <c r="K815" i="3"/>
  <c r="K816" i="3"/>
  <c r="K817" i="3"/>
  <c r="K818" i="3"/>
  <c r="K819" i="3"/>
  <c r="K799" i="3"/>
  <c r="K771" i="3"/>
  <c r="K772" i="3"/>
  <c r="K773" i="3"/>
  <c r="K774" i="3"/>
  <c r="K775" i="3"/>
  <c r="K800" i="3"/>
  <c r="K776" i="3"/>
  <c r="K777" i="3"/>
  <c r="K778" i="3"/>
  <c r="K853" i="3"/>
  <c r="K779" i="3"/>
  <c r="K780" i="3"/>
  <c r="K781" i="3"/>
  <c r="K782" i="3"/>
  <c r="K783" i="3"/>
  <c r="K784" i="3"/>
  <c r="K785" i="3"/>
  <c r="K786" i="3"/>
  <c r="K787" i="3"/>
  <c r="K788" i="3"/>
  <c r="K206" i="3"/>
  <c r="K789" i="3"/>
  <c r="K790" i="3"/>
  <c r="K791" i="3"/>
  <c r="K792" i="3"/>
  <c r="K798" i="3"/>
  <c r="K793" i="3"/>
  <c r="K794" i="3"/>
  <c r="K795" i="3"/>
  <c r="K640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69" i="3"/>
  <c r="K770" i="3"/>
  <c r="K756" i="3"/>
  <c r="K736" i="3"/>
  <c r="K735" i="3"/>
  <c r="K854" i="3"/>
  <c r="K757" i="3"/>
  <c r="K758" i="3"/>
  <c r="K759" i="3"/>
  <c r="K760" i="3"/>
  <c r="K761" i="3"/>
  <c r="K762" i="3"/>
  <c r="K763" i="3"/>
  <c r="K764" i="3"/>
  <c r="K765" i="3"/>
  <c r="K766" i="3"/>
  <c r="K767" i="3"/>
  <c r="K717" i="3"/>
  <c r="K718" i="3"/>
  <c r="K719" i="3"/>
  <c r="K720" i="3"/>
  <c r="K721" i="3"/>
  <c r="K722" i="3"/>
  <c r="K734" i="3"/>
  <c r="K723" i="3"/>
  <c r="K724" i="3"/>
  <c r="K725" i="3"/>
  <c r="K726" i="3"/>
  <c r="K727" i="3"/>
  <c r="K728" i="3"/>
  <c r="K729" i="3"/>
  <c r="K730" i="3"/>
  <c r="K731" i="3"/>
  <c r="K732" i="3"/>
  <c r="K733" i="3"/>
  <c r="K697" i="3"/>
  <c r="K796" i="3"/>
  <c r="K820" i="3"/>
  <c r="K698" i="3"/>
  <c r="K696" i="3"/>
  <c r="K695" i="3"/>
  <c r="K699" i="3"/>
  <c r="K700" i="3"/>
  <c r="K701" i="3"/>
  <c r="K702" i="3"/>
  <c r="K703" i="3"/>
  <c r="K704" i="3"/>
  <c r="K705" i="3"/>
  <c r="K706" i="3"/>
  <c r="K797" i="3"/>
  <c r="K768" i="3"/>
  <c r="K707" i="3"/>
  <c r="K708" i="3"/>
  <c r="K709" i="3"/>
  <c r="K710" i="3"/>
  <c r="K641" i="3"/>
  <c r="K642" i="3"/>
  <c r="K643" i="3"/>
  <c r="K644" i="3"/>
  <c r="K645" i="3"/>
  <c r="K646" i="3"/>
  <c r="K647" i="3"/>
  <c r="K711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94" i="3"/>
  <c r="K685" i="3"/>
  <c r="K686" i="3"/>
  <c r="K687" i="3"/>
  <c r="K688" i="3"/>
  <c r="K689" i="3"/>
  <c r="K690" i="3"/>
  <c r="K691" i="3"/>
  <c r="K608" i="3"/>
  <c r="K609" i="3"/>
  <c r="K610" i="3"/>
  <c r="K611" i="3"/>
  <c r="K612" i="3"/>
  <c r="K613" i="3"/>
  <c r="K638" i="3"/>
  <c r="K614" i="3"/>
  <c r="K615" i="3"/>
  <c r="K616" i="3"/>
  <c r="K1490" i="3"/>
  <c r="K617" i="3"/>
  <c r="K639" i="3"/>
  <c r="K618" i="3"/>
  <c r="K619" i="3"/>
  <c r="K620" i="3"/>
  <c r="K621" i="3"/>
  <c r="K622" i="3"/>
  <c r="K623" i="3"/>
  <c r="K607" i="3"/>
  <c r="K624" i="3"/>
  <c r="K625" i="3"/>
  <c r="K626" i="3"/>
  <c r="K712" i="3"/>
  <c r="K627" i="3"/>
  <c r="K628" i="3"/>
  <c r="K629" i="3"/>
  <c r="K637" i="3"/>
  <c r="K630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52" i="3"/>
  <c r="K553" i="3"/>
  <c r="K554" i="3"/>
  <c r="K479" i="3"/>
  <c r="K564" i="3"/>
  <c r="K555" i="3"/>
  <c r="K556" i="3"/>
  <c r="K557" i="3"/>
  <c r="K558" i="3"/>
  <c r="K559" i="3"/>
  <c r="K560" i="3"/>
  <c r="K561" i="3"/>
  <c r="K562" i="3"/>
  <c r="K563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713" i="3"/>
  <c r="K692" i="3"/>
  <c r="K550" i="3"/>
  <c r="K543" i="3"/>
  <c r="K544" i="3"/>
  <c r="K545" i="3"/>
  <c r="K546" i="3"/>
  <c r="K547" i="3"/>
  <c r="K512" i="3"/>
  <c r="K526" i="3"/>
  <c r="K513" i="3"/>
  <c r="K525" i="3"/>
  <c r="K514" i="3"/>
  <c r="K515" i="3"/>
  <c r="K516" i="3"/>
  <c r="K548" i="3"/>
  <c r="K517" i="3"/>
  <c r="K518" i="3"/>
  <c r="K519" i="3"/>
  <c r="K520" i="3"/>
  <c r="K521" i="3"/>
  <c r="K522" i="3"/>
  <c r="K523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49" i="3"/>
  <c r="K491" i="3"/>
  <c r="K492" i="3"/>
  <c r="K493" i="3"/>
  <c r="K480" i="3"/>
  <c r="K481" i="3"/>
  <c r="K482" i="3"/>
  <c r="K377" i="3"/>
  <c r="K483" i="3"/>
  <c r="K484" i="3"/>
  <c r="K478" i="3"/>
  <c r="K485" i="3"/>
  <c r="K486" i="3"/>
  <c r="K487" i="3"/>
  <c r="K488" i="3"/>
  <c r="K1372" i="3"/>
  <c r="K489" i="3"/>
  <c r="K460" i="3"/>
  <c r="K524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7" i="3"/>
  <c r="K475" i="3"/>
  <c r="K447" i="3"/>
  <c r="K448" i="3"/>
  <c r="K449" i="3"/>
  <c r="K450" i="3"/>
  <c r="K451" i="3"/>
  <c r="K446" i="3"/>
  <c r="K452" i="3"/>
  <c r="K453" i="3"/>
  <c r="K454" i="3"/>
  <c r="K455" i="3"/>
  <c r="K494" i="3"/>
  <c r="K456" i="3"/>
  <c r="K457" i="3"/>
  <c r="K458" i="3"/>
  <c r="K459" i="3"/>
  <c r="K439" i="3"/>
  <c r="K440" i="3"/>
  <c r="K441" i="3"/>
  <c r="K442" i="3"/>
  <c r="K443" i="3"/>
  <c r="K444" i="3"/>
  <c r="K426" i="3"/>
  <c r="K427" i="3"/>
  <c r="K428" i="3"/>
  <c r="K429" i="3"/>
  <c r="K430" i="3"/>
  <c r="K431" i="3"/>
  <c r="K432" i="3"/>
  <c r="K433" i="3"/>
  <c r="K434" i="3"/>
  <c r="K43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76" i="3"/>
  <c r="K415" i="3"/>
  <c r="K416" i="3"/>
  <c r="K436" i="3"/>
  <c r="K437" i="3"/>
  <c r="K417" i="3"/>
  <c r="K418" i="3"/>
  <c r="K419" i="3"/>
  <c r="K420" i="3"/>
  <c r="K421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69" i="3"/>
  <c r="K370" i="3"/>
  <c r="K310" i="3"/>
  <c r="K422" i="3"/>
  <c r="K376" i="3"/>
  <c r="K371" i="3"/>
  <c r="K372" i="3"/>
  <c r="K352" i="3"/>
  <c r="K353" i="3"/>
  <c r="K354" i="3"/>
  <c r="K355" i="3"/>
  <c r="K373" i="3"/>
  <c r="K356" i="3"/>
  <c r="K357" i="3"/>
  <c r="K344" i="3"/>
  <c r="K345" i="3"/>
  <c r="K346" i="3"/>
  <c r="K347" i="3"/>
  <c r="K334" i="3"/>
  <c r="K335" i="3"/>
  <c r="K336" i="3"/>
  <c r="K337" i="3"/>
  <c r="K338" i="3"/>
  <c r="K339" i="3"/>
  <c r="K340" i="3"/>
  <c r="K341" i="3"/>
  <c r="K326" i="3"/>
  <c r="K327" i="3"/>
  <c r="K329" i="3"/>
  <c r="K330" i="3"/>
  <c r="K328" i="3"/>
  <c r="K331" i="3"/>
  <c r="K358" i="3"/>
  <c r="K276" i="3"/>
  <c r="K277" i="3"/>
  <c r="K278" i="3"/>
  <c r="K279" i="3"/>
  <c r="K280" i="3"/>
  <c r="K281" i="3"/>
  <c r="K282" i="3"/>
  <c r="K283" i="3"/>
  <c r="K284" i="3"/>
  <c r="K254" i="3"/>
  <c r="K285" i="3"/>
  <c r="K286" i="3"/>
  <c r="K287" i="3"/>
  <c r="K288" i="3"/>
  <c r="K289" i="3"/>
  <c r="K290" i="3"/>
  <c r="K291" i="3"/>
  <c r="K292" i="3"/>
  <c r="K293" i="3"/>
  <c r="K438" i="3"/>
  <c r="K294" i="3"/>
  <c r="K295" i="3"/>
  <c r="K255" i="3"/>
  <c r="K256" i="3"/>
  <c r="K374" i="3"/>
  <c r="K257" i="3"/>
  <c r="K258" i="3"/>
  <c r="K296" i="3"/>
  <c r="K359" i="3"/>
  <c r="K348" i="3"/>
  <c r="K259" i="3"/>
  <c r="K240" i="3"/>
  <c r="K260" i="3"/>
  <c r="K241" i="3"/>
  <c r="K242" i="3"/>
  <c r="K243" i="3"/>
  <c r="K244" i="3"/>
  <c r="K261" i="3"/>
  <c r="K262" i="3"/>
  <c r="K263" i="3"/>
  <c r="K264" i="3"/>
  <c r="K265" i="3"/>
  <c r="K360" i="3"/>
  <c r="K361" i="3"/>
  <c r="K362" i="3"/>
  <c r="K363" i="3"/>
  <c r="K245" i="3"/>
  <c r="K364" i="3"/>
  <c r="K266" i="3"/>
  <c r="K267" i="3"/>
  <c r="K268" i="3"/>
  <c r="K269" i="3"/>
  <c r="K246" i="3"/>
  <c r="K247" i="3"/>
  <c r="K225" i="3"/>
  <c r="K248" i="3"/>
  <c r="K365" i="3"/>
  <c r="K249" i="3"/>
  <c r="K226" i="3"/>
  <c r="K423" i="3"/>
  <c r="K227" i="3"/>
  <c r="K228" i="3"/>
  <c r="K229" i="3"/>
  <c r="K230" i="3"/>
  <c r="K231" i="3"/>
  <c r="K366" i="3"/>
  <c r="K232" i="3"/>
  <c r="K208" i="3"/>
  <c r="K209" i="3"/>
  <c r="K233" i="3"/>
  <c r="K210" i="3"/>
  <c r="K234" i="3"/>
  <c r="K211" i="3"/>
  <c r="K181" i="3"/>
  <c r="K250" i="3"/>
  <c r="K212" i="3"/>
  <c r="K213" i="3"/>
  <c r="K182" i="3"/>
  <c r="K183" i="3"/>
  <c r="K214" i="3"/>
  <c r="K184" i="3"/>
  <c r="K185" i="3"/>
  <c r="K186" i="3"/>
  <c r="K187" i="3"/>
  <c r="K188" i="3"/>
  <c r="K180" i="3"/>
  <c r="K235" i="3"/>
  <c r="K236" i="3"/>
  <c r="K189" i="3"/>
  <c r="K172" i="3"/>
  <c r="K204" i="3"/>
  <c r="K173" i="3"/>
  <c r="K174" i="3"/>
  <c r="K190" i="3"/>
  <c r="K251" i="3"/>
  <c r="K237" i="3"/>
  <c r="K165" i="3"/>
  <c r="K150" i="3"/>
  <c r="K151" i="3"/>
  <c r="K152" i="3"/>
  <c r="K153" i="3"/>
  <c r="K154" i="3"/>
  <c r="K155" i="3"/>
  <c r="K156" i="3"/>
  <c r="K137" i="3"/>
  <c r="K367" i="3"/>
  <c r="K138" i="3"/>
  <c r="K139" i="3"/>
  <c r="K140" i="3"/>
  <c r="K141" i="3"/>
  <c r="K129" i="3"/>
  <c r="K130" i="3"/>
  <c r="K131" i="3"/>
  <c r="K132" i="3"/>
  <c r="K127" i="3"/>
  <c r="K128" i="3"/>
  <c r="K121" i="3"/>
  <c r="K122" i="3"/>
  <c r="K123" i="3"/>
  <c r="K124" i="3"/>
  <c r="K114" i="3"/>
  <c r="K115" i="3"/>
  <c r="K116" i="3"/>
  <c r="K117" i="3"/>
  <c r="K118" i="3"/>
  <c r="K119" i="3"/>
  <c r="K88" i="3"/>
  <c r="K89" i="3"/>
  <c r="K90" i="3"/>
  <c r="K91" i="3"/>
  <c r="K113" i="3"/>
  <c r="K77" i="3"/>
  <c r="K55" i="3"/>
  <c r="K28" i="3"/>
  <c r="K29" i="3"/>
  <c r="K30" i="3"/>
  <c r="K31" i="3"/>
  <c r="K2" i="3"/>
  <c r="K3" i="3"/>
  <c r="K693" i="3"/>
  <c r="K631" i="3"/>
  <c r="K632" i="3"/>
  <c r="K633" i="3"/>
  <c r="K634" i="3"/>
  <c r="K605" i="3"/>
  <c r="K606" i="3"/>
  <c r="K588" i="3"/>
  <c r="K589" i="3"/>
  <c r="K375" i="3"/>
  <c r="K297" i="3"/>
  <c r="K311" i="3"/>
  <c r="K312" i="3"/>
  <c r="K313" i="3"/>
  <c r="K314" i="3"/>
  <c r="K315" i="3"/>
  <c r="K316" i="3"/>
  <c r="K317" i="3"/>
  <c r="K318" i="3"/>
  <c r="K319" i="3"/>
  <c r="K320" i="3"/>
  <c r="K325" i="3"/>
  <c r="K321" i="3"/>
  <c r="K322" i="3"/>
  <c r="K424" i="3"/>
  <c r="K215" i="3"/>
  <c r="K425" i="3"/>
  <c r="K395" i="3"/>
  <c r="K166" i="3"/>
  <c r="K144" i="3"/>
  <c r="K133" i="3"/>
  <c r="K368" i="3"/>
  <c r="K349" i="3"/>
  <c r="K350" i="3"/>
  <c r="K351" i="3"/>
  <c r="K342" i="3"/>
  <c r="K343" i="3"/>
  <c r="K332" i="3"/>
  <c r="K333" i="3"/>
  <c r="K323" i="3"/>
  <c r="K298" i="3"/>
  <c r="K299" i="3"/>
  <c r="K32" i="3"/>
  <c r="K300" i="3"/>
  <c r="K635" i="3"/>
  <c r="K301" i="3"/>
  <c r="K92" i="3"/>
  <c r="K302" i="3"/>
  <c r="K303" i="3"/>
  <c r="K304" i="3"/>
  <c r="K270" i="3"/>
  <c r="K305" i="3"/>
  <c r="K271" i="3"/>
  <c r="K306" i="3"/>
  <c r="K307" i="3"/>
  <c r="K272" i="3"/>
  <c r="K273" i="3"/>
  <c r="K274" i="3"/>
  <c r="K275" i="3"/>
  <c r="K252" i="3"/>
  <c r="K253" i="3"/>
  <c r="K238" i="3"/>
  <c r="K61" i="3"/>
  <c r="K216" i="3"/>
  <c r="K217" i="3"/>
  <c r="K207" i="3"/>
  <c r="K218" i="3"/>
  <c r="K219" i="3"/>
  <c r="K220" i="3"/>
  <c r="K191" i="3"/>
  <c r="K192" i="3"/>
  <c r="K193" i="3"/>
  <c r="K194" i="3"/>
  <c r="K195" i="3"/>
  <c r="K196" i="3"/>
  <c r="K197" i="3"/>
  <c r="K175" i="3"/>
  <c r="K176" i="3"/>
  <c r="K167" i="3"/>
  <c r="K62" i="3"/>
  <c r="K168" i="3"/>
  <c r="K163" i="3"/>
  <c r="K169" i="3"/>
  <c r="K170" i="3"/>
  <c r="K157" i="3"/>
  <c r="K158" i="3"/>
  <c r="K159" i="3"/>
  <c r="K145" i="3"/>
  <c r="K146" i="3"/>
  <c r="K147" i="3"/>
  <c r="K148" i="3"/>
  <c r="K897" i="3"/>
  <c r="K142" i="3"/>
  <c r="K134" i="3"/>
  <c r="K898" i="3"/>
  <c r="K120" i="3"/>
  <c r="K93" i="3"/>
  <c r="K94" i="3"/>
  <c r="K95" i="3"/>
  <c r="K96" i="3"/>
  <c r="K1064" i="3"/>
  <c r="K97" i="3"/>
  <c r="K98" i="3"/>
  <c r="K99" i="3"/>
  <c r="K100" i="3"/>
  <c r="K69" i="3"/>
  <c r="K101" i="3"/>
  <c r="K102" i="3"/>
  <c r="K103" i="3"/>
  <c r="K63" i="3"/>
  <c r="K64" i="3"/>
  <c r="K104" i="3"/>
  <c r="K78" i="3"/>
  <c r="K79" i="3"/>
  <c r="K65" i="3"/>
  <c r="K80" i="3"/>
  <c r="K81" i="3"/>
  <c r="K82" i="3"/>
  <c r="K83" i="3"/>
  <c r="K84" i="3"/>
  <c r="K70" i="3"/>
  <c r="K71" i="3"/>
  <c r="K1041" i="3"/>
  <c r="K636" i="3"/>
  <c r="K56" i="3"/>
  <c r="K66" i="3"/>
  <c r="K324" i="3"/>
  <c r="K57" i="3"/>
  <c r="K67" i="3"/>
  <c r="K58" i="3"/>
  <c r="K59" i="3"/>
  <c r="K60" i="3"/>
  <c r="K33" i="3"/>
  <c r="K27" i="3"/>
  <c r="K6" i="3"/>
  <c r="K7" i="3"/>
  <c r="K8" i="3"/>
  <c r="K9" i="3"/>
  <c r="K10" i="3"/>
  <c r="K105" i="3"/>
  <c r="K72" i="3"/>
  <c r="K73" i="3"/>
  <c r="K74" i="3"/>
  <c r="K34" i="3"/>
  <c r="K11" i="3"/>
  <c r="K35" i="3"/>
  <c r="K36" i="3"/>
  <c r="K37" i="3"/>
  <c r="K38" i="3"/>
  <c r="K39" i="3"/>
  <c r="K40" i="3"/>
  <c r="K41" i="3"/>
  <c r="K42" i="3"/>
  <c r="K53" i="3"/>
  <c r="K43" i="3"/>
  <c r="K44" i="3"/>
  <c r="K45" i="3"/>
  <c r="K54" i="3"/>
  <c r="K46" i="3"/>
  <c r="K47" i="3"/>
  <c r="K48" i="3"/>
  <c r="K49" i="3"/>
  <c r="K50" i="3"/>
  <c r="K5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4" i="3"/>
  <c r="K25" i="3"/>
  <c r="K5" i="3"/>
  <c r="K221" i="3"/>
  <c r="K222" i="3"/>
  <c r="K223" i="3"/>
  <c r="K198" i="3"/>
  <c r="K199" i="3"/>
  <c r="K200" i="3"/>
  <c r="K201" i="3"/>
  <c r="K75" i="3"/>
  <c r="K202" i="3"/>
  <c r="K85" i="3"/>
  <c r="K203" i="3"/>
  <c r="K160" i="3"/>
  <c r="K205" i="3"/>
  <c r="K177" i="3"/>
  <c r="K171" i="3"/>
  <c r="K164" i="3"/>
  <c r="K161" i="3"/>
  <c r="K162" i="3"/>
  <c r="K149" i="3"/>
  <c r="K135" i="3"/>
  <c r="K136" i="3"/>
  <c r="K125" i="3"/>
  <c r="K126" i="3"/>
  <c r="K106" i="3"/>
  <c r="K107" i="3"/>
  <c r="K108" i="3"/>
  <c r="K109" i="3"/>
  <c r="K110" i="3"/>
  <c r="K111" i="3"/>
  <c r="K112" i="3"/>
  <c r="K87" i="3"/>
  <c r="K86" i="3"/>
  <c r="K308" i="3"/>
  <c r="K52" i="3"/>
  <c r="K26" i="3"/>
  <c r="K1508" i="3"/>
  <c r="K1394" i="3"/>
  <c r="K1395" i="3"/>
  <c r="K1396" i="3"/>
  <c r="K1397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43" i="3"/>
  <c r="K1522" i="3"/>
  <c r="K1523" i="3"/>
  <c r="K1460" i="3"/>
  <c r="K1524" i="3"/>
  <c r="K1525" i="3"/>
  <c r="K1526" i="3"/>
  <c r="K1527" i="3"/>
  <c r="K1528" i="3"/>
  <c r="K1478" i="3"/>
  <c r="K1530" i="3"/>
  <c r="K1531" i="3"/>
  <c r="K1532" i="3"/>
  <c r="K1533" i="3"/>
  <c r="K1534" i="3"/>
  <c r="K1535" i="3"/>
  <c r="K1536" i="3"/>
  <c r="K1537" i="3"/>
  <c r="K1538" i="3"/>
  <c r="K1493" i="3"/>
  <c r="K1539" i="3"/>
  <c r="K1414" i="3"/>
  <c r="K1540" i="3"/>
  <c r="K1541" i="3"/>
  <c r="K1455" i="3"/>
  <c r="K1695" i="3"/>
  <c r="K1529" i="3"/>
  <c r="K1543" i="3"/>
  <c r="K1457" i="3"/>
  <c r="K1448" i="3"/>
  <c r="K1449" i="3"/>
  <c r="K1544" i="3"/>
  <c r="K1545" i="3"/>
  <c r="K1546" i="3"/>
  <c r="K1547" i="3"/>
  <c r="K1548" i="3"/>
  <c r="K1549" i="3"/>
  <c r="K1550" i="3"/>
  <c r="K1551" i="3"/>
  <c r="K1552" i="3"/>
  <c r="K1553" i="3"/>
  <c r="K1466" i="3"/>
  <c r="K1554" i="3"/>
  <c r="K1555" i="3"/>
  <c r="K1556" i="3"/>
  <c r="K1557" i="3"/>
  <c r="K1436" i="3"/>
  <c r="K1446" i="3"/>
  <c r="K1558" i="3"/>
  <c r="K1559" i="3"/>
  <c r="K1560" i="3"/>
  <c r="K1561" i="3"/>
  <c r="K239" i="3"/>
  <c r="K224" i="3"/>
  <c r="K1420" i="3"/>
  <c r="K1375" i="3"/>
  <c r="K1419" i="3"/>
  <c r="K76" i="3"/>
  <c r="K1562" i="3"/>
  <c r="K1563" i="3"/>
  <c r="K1468" i="3"/>
  <c r="K1469" i="3"/>
  <c r="K1470" i="3"/>
  <c r="K1447" i="3"/>
  <c r="K1564" i="3"/>
  <c r="K1565" i="3"/>
  <c r="K1566" i="3"/>
  <c r="K1407" i="3"/>
  <c r="K1437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438" i="3"/>
  <c r="K1464" i="3"/>
  <c r="K1594" i="3"/>
  <c r="K1595" i="3"/>
  <c r="K1596" i="3"/>
  <c r="K1452" i="3"/>
  <c r="K1597" i="3"/>
  <c r="K1598" i="3"/>
  <c r="K1599" i="3"/>
  <c r="K1600" i="3"/>
  <c r="K1601" i="3"/>
  <c r="K1480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415" i="3"/>
  <c r="K1642" i="3"/>
  <c r="K1643" i="3"/>
  <c r="K1644" i="3"/>
  <c r="K1645" i="3"/>
  <c r="K1454" i="3"/>
  <c r="K1646" i="3"/>
  <c r="K1647" i="3"/>
  <c r="K2410" i="3"/>
  <c r="K1648" i="3"/>
  <c r="K1483" i="3"/>
  <c r="K1542" i="3"/>
  <c r="K1650" i="3"/>
  <c r="K1651" i="3"/>
  <c r="K1652" i="3"/>
  <c r="K1653" i="3"/>
  <c r="K1654" i="3"/>
  <c r="K1655" i="3"/>
  <c r="K1656" i="3"/>
  <c r="K1405" i="3"/>
  <c r="K1657" i="3"/>
  <c r="K1658" i="3"/>
  <c r="K1659" i="3"/>
  <c r="K1660" i="3"/>
  <c r="K1661" i="3"/>
  <c r="K1662" i="3"/>
  <c r="K1370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421" i="3"/>
  <c r="K1484" i="3"/>
  <c r="K1684" i="3"/>
  <c r="K1685" i="3"/>
  <c r="K1686" i="3"/>
  <c r="K1687" i="3"/>
  <c r="K1688" i="3"/>
  <c r="K1689" i="3"/>
  <c r="K1690" i="3"/>
  <c r="K1691" i="3"/>
  <c r="K1692" i="3"/>
  <c r="K1693" i="3"/>
  <c r="K1694" i="3"/>
  <c r="K1496" i="3"/>
  <c r="K1696" i="3"/>
  <c r="K1459" i="3"/>
  <c r="K1426" i="3"/>
  <c r="K1427" i="3"/>
  <c r="K1697" i="3"/>
  <c r="K1698" i="3"/>
  <c r="K1699" i="3"/>
  <c r="K1700" i="3"/>
  <c r="K984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475" i="3"/>
  <c r="K1719" i="3"/>
  <c r="K1465" i="3"/>
  <c r="K1720" i="3"/>
  <c r="K1721" i="3"/>
  <c r="K1722" i="3"/>
  <c r="K1723" i="3"/>
  <c r="K1724" i="3"/>
  <c r="K1725" i="3"/>
  <c r="K1726" i="3"/>
  <c r="K145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398" i="3"/>
  <c r="K1408" i="3"/>
  <c r="K1399" i="3"/>
  <c r="K1739" i="3"/>
  <c r="K1740" i="3"/>
  <c r="K1741" i="3"/>
  <c r="K1742" i="3"/>
  <c r="K1743" i="3"/>
  <c r="K1744" i="3"/>
  <c r="K1467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439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490" i="3"/>
  <c r="K309" i="3"/>
  <c r="K1783" i="3"/>
  <c r="K1784" i="3"/>
  <c r="K1785" i="3"/>
  <c r="K1786" i="3"/>
  <c r="K1787" i="3"/>
  <c r="K1788" i="3"/>
  <c r="K1789" i="3"/>
  <c r="K1440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505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2322" i="3"/>
  <c r="K1890" i="3"/>
  <c r="K1891" i="3"/>
  <c r="K1502" i="3"/>
  <c r="K1507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486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406" i="3"/>
  <c r="K1920" i="3"/>
  <c r="K1487" i="3"/>
  <c r="K1441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403" i="3"/>
  <c r="K1418" i="3"/>
  <c r="K1933" i="3"/>
  <c r="K1461" i="3"/>
  <c r="K1462" i="3"/>
  <c r="K1934" i="3"/>
  <c r="K1935" i="3"/>
  <c r="K1482" i="3"/>
  <c r="K1501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504" i="3"/>
  <c r="K1506" i="3"/>
  <c r="K1422" i="3"/>
  <c r="K1423" i="3"/>
  <c r="K1975" i="3"/>
  <c r="K1976" i="3"/>
  <c r="K1977" i="3"/>
  <c r="K1978" i="3"/>
  <c r="K1979" i="3"/>
  <c r="K1980" i="3"/>
  <c r="K1981" i="3"/>
  <c r="K1982" i="3"/>
  <c r="K1983" i="3"/>
  <c r="K1984" i="3"/>
  <c r="K1985" i="3"/>
  <c r="K1424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1683" i="3"/>
  <c r="K2006" i="3"/>
  <c r="K2007" i="3"/>
  <c r="K2008" i="3"/>
  <c r="K2009" i="3"/>
  <c r="K1409" i="3"/>
  <c r="K1410" i="3"/>
  <c r="K2010" i="3"/>
  <c r="K1411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1400" i="3"/>
  <c r="K1401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1442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1473" i="3"/>
  <c r="K2080" i="3"/>
  <c r="K1416" i="3"/>
  <c r="K2081" i="3"/>
  <c r="K2082" i="3"/>
  <c r="K2083" i="3"/>
  <c r="K1495" i="3"/>
  <c r="K1494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1489" i="3"/>
  <c r="K2131" i="3"/>
  <c r="K2132" i="3"/>
  <c r="K2133" i="3"/>
  <c r="K2134" i="3"/>
  <c r="K2135" i="3"/>
  <c r="K2136" i="3"/>
  <c r="K2137" i="3"/>
  <c r="K2138" i="3"/>
  <c r="K2139" i="3"/>
  <c r="K2140" i="3"/>
  <c r="K1491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1450" i="3"/>
  <c r="K1451" i="3"/>
  <c r="K2176" i="3"/>
  <c r="K2177" i="3"/>
  <c r="K1428" i="3"/>
  <c r="K1429" i="3"/>
  <c r="K1430" i="3"/>
  <c r="K1431" i="3"/>
  <c r="K1432" i="3"/>
  <c r="K1433" i="3"/>
  <c r="K2178" i="3"/>
  <c r="K2179" i="3"/>
  <c r="K2180" i="3"/>
  <c r="K2181" i="3"/>
  <c r="K2182" i="3"/>
  <c r="K2183" i="3"/>
  <c r="K2184" i="3"/>
  <c r="K2185" i="3"/>
  <c r="K2186" i="3"/>
  <c r="K1503" i="3"/>
  <c r="K2187" i="3"/>
  <c r="K2188" i="3"/>
  <c r="K2189" i="3"/>
  <c r="K1485" i="3"/>
  <c r="K2190" i="3"/>
  <c r="K2191" i="3"/>
  <c r="K2192" i="3"/>
  <c r="K2193" i="3"/>
  <c r="K2194" i="3"/>
  <c r="K2195" i="3"/>
  <c r="K2196" i="3"/>
  <c r="K2197" i="3"/>
  <c r="K2198" i="3"/>
  <c r="K1443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1463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1488" i="3"/>
  <c r="K2228" i="3"/>
  <c r="K1492" i="3"/>
  <c r="K2229" i="3"/>
  <c r="K2230" i="3"/>
  <c r="K2231" i="3"/>
  <c r="K2232" i="3"/>
  <c r="K2233" i="3"/>
  <c r="K2234" i="3"/>
  <c r="K2235" i="3"/>
  <c r="K2236" i="3"/>
  <c r="K2237" i="3"/>
  <c r="K2238" i="3"/>
  <c r="K1479" i="3"/>
  <c r="K2239" i="3"/>
  <c r="K2240" i="3"/>
  <c r="K2241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1435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1471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1472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1444" i="3"/>
  <c r="K2293" i="3"/>
  <c r="K2294" i="3"/>
  <c r="K2295" i="3"/>
  <c r="K1445" i="3"/>
  <c r="K2296" i="3"/>
  <c r="K2297" i="3"/>
  <c r="K2298" i="3"/>
  <c r="K2299" i="3"/>
  <c r="K2300" i="3"/>
  <c r="K1402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1425" i="3"/>
  <c r="K2313" i="3"/>
  <c r="K2314" i="3"/>
  <c r="K2315" i="3"/>
  <c r="K1498" i="3"/>
  <c r="K2316" i="3"/>
  <c r="K2317" i="3"/>
  <c r="K2318" i="3"/>
  <c r="K2347" i="3"/>
  <c r="K2319" i="3"/>
  <c r="K2320" i="3"/>
  <c r="K2321" i="3"/>
  <c r="K1649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8" i="3"/>
  <c r="K2342" i="3"/>
  <c r="K2343" i="3"/>
  <c r="K2344" i="3"/>
  <c r="K2345" i="3"/>
  <c r="K2346" i="3"/>
  <c r="K1500" i="3"/>
  <c r="K2349" i="3"/>
  <c r="K1497" i="3"/>
  <c r="K2350" i="3"/>
  <c r="K2351" i="3"/>
  <c r="K2352" i="3"/>
  <c r="K2353" i="3"/>
  <c r="K2354" i="3"/>
  <c r="K1499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55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1458" i="3"/>
  <c r="K2383" i="3"/>
  <c r="K2384" i="3"/>
  <c r="K2385" i="3"/>
  <c r="K2386" i="3"/>
  <c r="K2387" i="3"/>
  <c r="K1404" i="3"/>
  <c r="K2388" i="3"/>
  <c r="K2389" i="3"/>
  <c r="K2390" i="3"/>
  <c r="K2391" i="3"/>
  <c r="K1453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370" i="3"/>
  <c r="K2409" i="3"/>
  <c r="K2411" i="3"/>
  <c r="K2412" i="3"/>
  <c r="K2413" i="3"/>
  <c r="K1393" i="3"/>
  <c r="E1392" i="3"/>
  <c r="E1391" i="3"/>
  <c r="E1389" i="3"/>
  <c r="E1390" i="3"/>
  <c r="E1385" i="3"/>
  <c r="E1386" i="3"/>
  <c r="E1387" i="3"/>
  <c r="E1388" i="3"/>
  <c r="E1383" i="3"/>
  <c r="E1384" i="3"/>
  <c r="E1235" i="3"/>
  <c r="E1381" i="3"/>
  <c r="E1380" i="3"/>
  <c r="E1376" i="3"/>
  <c r="E1377" i="3"/>
  <c r="E1378" i="3"/>
  <c r="E1379" i="3"/>
  <c r="E1374" i="3"/>
  <c r="E1434" i="3"/>
  <c r="E1373" i="3"/>
  <c r="E1476" i="3"/>
  <c r="E1371" i="3"/>
  <c r="E1368" i="3"/>
  <c r="E1369" i="3"/>
  <c r="E1477" i="3"/>
  <c r="E1366" i="3"/>
  <c r="E1367" i="3"/>
  <c r="E1365" i="3"/>
  <c r="E1362" i="3"/>
  <c r="E1303" i="3"/>
  <c r="E1363" i="3"/>
  <c r="E1358" i="3"/>
  <c r="E1359" i="3"/>
  <c r="E1360" i="3"/>
  <c r="E1361" i="3"/>
  <c r="E1350" i="3"/>
  <c r="E1351" i="3"/>
  <c r="E1352" i="3"/>
  <c r="E1353" i="3"/>
  <c r="E1354" i="3"/>
  <c r="E1355" i="3"/>
  <c r="E1356" i="3"/>
  <c r="E1051" i="3"/>
  <c r="E1357" i="3"/>
  <c r="E1304" i="3"/>
  <c r="E1305" i="3"/>
  <c r="E178" i="3"/>
  <c r="E179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714" i="3"/>
  <c r="E715" i="3"/>
  <c r="E716" i="3"/>
  <c r="E1334" i="3"/>
  <c r="E1335" i="3"/>
  <c r="E1336" i="3"/>
  <c r="E1337" i="3"/>
  <c r="E1338" i="3"/>
  <c r="E1339" i="3"/>
  <c r="E1340" i="3"/>
  <c r="E1341" i="3"/>
  <c r="E1131" i="3"/>
  <c r="E1342" i="3"/>
  <c r="E1343" i="3"/>
  <c r="E1344" i="3"/>
  <c r="E1345" i="3"/>
  <c r="E1346" i="3"/>
  <c r="E1347" i="3"/>
  <c r="E1348" i="3"/>
  <c r="E1349" i="3"/>
  <c r="E1282" i="3"/>
  <c r="E1251" i="3"/>
  <c r="E1252" i="3"/>
  <c r="E1283" i="3"/>
  <c r="E1280" i="3"/>
  <c r="E1234" i="3"/>
  <c r="E1281" i="3"/>
  <c r="E1269" i="3"/>
  <c r="E1284" i="3"/>
  <c r="E1285" i="3"/>
  <c r="E1256" i="3"/>
  <c r="E1236" i="3"/>
  <c r="E1286" i="3"/>
  <c r="E1272" i="3"/>
  <c r="E1276" i="3"/>
  <c r="E1260" i="3"/>
  <c r="E1287" i="3"/>
  <c r="E1248" i="3"/>
  <c r="E1263" i="3"/>
  <c r="E1279" i="3"/>
  <c r="E1241" i="3"/>
  <c r="E1246" i="3"/>
  <c r="E1288" i="3"/>
  <c r="E1265" i="3"/>
  <c r="E1254" i="3"/>
  <c r="E1261" i="3"/>
  <c r="E1262" i="3"/>
  <c r="E1270" i="3"/>
  <c r="E1289" i="3"/>
  <c r="E1273" i="3"/>
  <c r="E1244" i="3"/>
  <c r="E1130" i="3"/>
  <c r="E1474" i="3"/>
  <c r="E1266" i="3"/>
  <c r="E1292" i="3"/>
  <c r="E1293" i="3"/>
  <c r="E1271" i="3"/>
  <c r="E1267" i="3"/>
  <c r="E1294" i="3"/>
  <c r="E1295" i="3"/>
  <c r="E1253" i="3"/>
  <c r="E1264" i="3"/>
  <c r="E1296" i="3"/>
  <c r="E1243" i="3"/>
  <c r="E1274" i="3"/>
  <c r="E1257" i="3"/>
  <c r="E1239" i="3"/>
  <c r="E1245" i="3"/>
  <c r="E1237" i="3"/>
  <c r="E1250" i="3"/>
  <c r="E1259" i="3"/>
  <c r="E1297" i="3"/>
  <c r="E1278" i="3"/>
  <c r="E1240" i="3"/>
  <c r="E1238" i="3"/>
  <c r="E1299" i="3"/>
  <c r="E1277" i="3"/>
  <c r="E1242" i="3"/>
  <c r="E1247" i="3"/>
  <c r="E1249" i="3"/>
  <c r="E867" i="3"/>
  <c r="E1258" i="3"/>
  <c r="E1108" i="3"/>
  <c r="E1300" i="3"/>
  <c r="E1255" i="3"/>
  <c r="E1154" i="3"/>
  <c r="E930" i="3"/>
  <c r="E1301" i="3"/>
  <c r="E1302" i="3"/>
  <c r="E1214" i="3"/>
  <c r="E1221" i="3"/>
  <c r="E1222" i="3"/>
  <c r="E1223" i="3"/>
  <c r="E1224" i="3"/>
  <c r="E1217" i="3"/>
  <c r="E1225" i="3"/>
  <c r="E1213" i="3"/>
  <c r="E1220" i="3"/>
  <c r="E1215" i="3"/>
  <c r="E1209" i="3"/>
  <c r="E1226" i="3"/>
  <c r="E1227" i="3"/>
  <c r="E1210" i="3"/>
  <c r="E1228" i="3"/>
  <c r="E1229" i="3"/>
  <c r="E1230" i="3"/>
  <c r="E1211" i="3"/>
  <c r="E1212" i="3"/>
  <c r="E1219" i="3"/>
  <c r="E1231" i="3"/>
  <c r="E1232" i="3"/>
  <c r="E1233" i="3"/>
  <c r="E1216" i="3"/>
  <c r="E1218" i="3"/>
  <c r="E1193" i="3"/>
  <c r="E1194" i="3"/>
  <c r="E1184" i="3"/>
  <c r="E1195" i="3"/>
  <c r="E1190" i="3"/>
  <c r="E1196" i="3"/>
  <c r="E1192" i="3"/>
  <c r="E1197" i="3"/>
  <c r="E1198" i="3"/>
  <c r="E1191" i="3"/>
  <c r="E1199" i="3"/>
  <c r="E1180" i="3"/>
  <c r="E1200" i="3"/>
  <c r="E1201" i="3"/>
  <c r="E1181" i="3"/>
  <c r="E1202" i="3"/>
  <c r="E1203" i="3"/>
  <c r="E1204" i="3"/>
  <c r="E1182" i="3"/>
  <c r="E1189" i="3"/>
  <c r="E1205" i="3"/>
  <c r="E1186" i="3"/>
  <c r="E1187" i="3"/>
  <c r="E1185" i="3"/>
  <c r="E1206" i="3"/>
  <c r="E1207" i="3"/>
  <c r="E1183" i="3"/>
  <c r="E1188" i="3"/>
  <c r="E1208" i="3"/>
  <c r="E1157" i="3"/>
  <c r="E1167" i="3"/>
  <c r="E1168" i="3"/>
  <c r="E1155" i="3"/>
  <c r="E1165" i="3"/>
  <c r="E1169" i="3"/>
  <c r="E1170" i="3"/>
  <c r="E1171" i="3"/>
  <c r="E1159" i="3"/>
  <c r="E1412" i="3"/>
  <c r="E1163" i="3"/>
  <c r="E1173" i="3"/>
  <c r="E1166" i="3"/>
  <c r="E1077" i="3"/>
  <c r="E1158" i="3"/>
  <c r="E1161" i="3"/>
  <c r="E1174" i="3"/>
  <c r="E1175" i="3"/>
  <c r="E1162" i="3"/>
  <c r="E1164" i="3"/>
  <c r="E1176" i="3"/>
  <c r="E931" i="3"/>
  <c r="E1178" i="3"/>
  <c r="E1179" i="3"/>
  <c r="E1156" i="3"/>
  <c r="E1160" i="3"/>
  <c r="E1137" i="3"/>
  <c r="E1142" i="3"/>
  <c r="E1143" i="3"/>
  <c r="E1121" i="3"/>
  <c r="E1144" i="3"/>
  <c r="E1123" i="3"/>
  <c r="E1136" i="3"/>
  <c r="E1145" i="3"/>
  <c r="E1139" i="3"/>
  <c r="E1146" i="3"/>
  <c r="E1127" i="3"/>
  <c r="E1133" i="3"/>
  <c r="E1140" i="3"/>
  <c r="E1141" i="3"/>
  <c r="E1135" i="3"/>
  <c r="E1089" i="3"/>
  <c r="E1413" i="3"/>
  <c r="E1124" i="3"/>
  <c r="E1122" i="3"/>
  <c r="E1128" i="3"/>
  <c r="E1126" i="3"/>
  <c r="E1147" i="3"/>
  <c r="E1148" i="3"/>
  <c r="E1149" i="3"/>
  <c r="E954" i="3"/>
  <c r="E1132" i="3"/>
  <c r="E1134" i="3"/>
  <c r="E1151" i="3"/>
  <c r="E1129" i="3"/>
  <c r="E1152" i="3"/>
  <c r="E1138" i="3"/>
  <c r="E1125" i="3"/>
  <c r="E1153" i="3"/>
  <c r="E1061" i="3"/>
  <c r="E1094" i="3"/>
  <c r="E1095" i="3"/>
  <c r="E1096" i="3"/>
  <c r="E1097" i="3"/>
  <c r="E1098" i="3"/>
  <c r="E1099" i="3"/>
  <c r="E1092" i="3"/>
  <c r="E1100" i="3"/>
  <c r="E1101" i="3"/>
  <c r="E1102" i="3"/>
  <c r="E1103" i="3"/>
  <c r="E1104" i="3"/>
  <c r="E1105" i="3"/>
  <c r="E1106" i="3"/>
  <c r="E1120" i="3"/>
  <c r="E1107" i="3"/>
  <c r="E551" i="3"/>
  <c r="E1109" i="3"/>
  <c r="E1110" i="3"/>
  <c r="E1111" i="3"/>
  <c r="E1112" i="3"/>
  <c r="E1113" i="3"/>
  <c r="E1114" i="3"/>
  <c r="E1115" i="3"/>
  <c r="E1116" i="3"/>
  <c r="E1117" i="3"/>
  <c r="E1118" i="3"/>
  <c r="E1268" i="3"/>
  <c r="E1072" i="3"/>
  <c r="E1073" i="3"/>
  <c r="E1074" i="3"/>
  <c r="E1075" i="3"/>
  <c r="E1076" i="3"/>
  <c r="E1275" i="3"/>
  <c r="E1078" i="3"/>
  <c r="E1079" i="3"/>
  <c r="E1080" i="3"/>
  <c r="E1081" i="3"/>
  <c r="E1417" i="3"/>
  <c r="E1083" i="3"/>
  <c r="E1084" i="3"/>
  <c r="E1085" i="3"/>
  <c r="E1086" i="3"/>
  <c r="E68" i="3"/>
  <c r="E1088" i="3"/>
  <c r="E932" i="3"/>
  <c r="E1091" i="3"/>
  <c r="E1090" i="3"/>
  <c r="E1053" i="3"/>
  <c r="E1382" i="3"/>
  <c r="E1052" i="3"/>
  <c r="E445" i="3"/>
  <c r="E1056" i="3"/>
  <c r="E1057" i="3"/>
  <c r="E1058" i="3"/>
  <c r="E1059" i="3"/>
  <c r="E1060" i="3"/>
  <c r="E1119" i="3"/>
  <c r="E1062" i="3"/>
  <c r="E1063" i="3"/>
  <c r="E1364" i="3"/>
  <c r="E1065" i="3"/>
  <c r="E1071" i="3"/>
  <c r="E1070" i="3"/>
  <c r="E1066" i="3"/>
  <c r="E1067" i="3"/>
  <c r="E1068" i="3"/>
  <c r="E1069" i="3"/>
  <c r="E1037" i="3"/>
  <c r="E1038" i="3"/>
  <c r="E1039" i="3"/>
  <c r="E1040" i="3"/>
  <c r="E1290" i="3"/>
  <c r="E1042" i="3"/>
  <c r="E1043" i="3"/>
  <c r="E1044" i="3"/>
  <c r="E1291" i="3"/>
  <c r="E1046" i="3"/>
  <c r="E1047" i="3"/>
  <c r="E1048" i="3"/>
  <c r="E1049" i="3"/>
  <c r="E1050" i="3"/>
  <c r="E1023" i="3"/>
  <c r="E1024" i="3"/>
  <c r="E1025" i="3"/>
  <c r="E1026" i="3"/>
  <c r="E1027" i="3"/>
  <c r="E1028" i="3"/>
  <c r="E1029" i="3"/>
  <c r="E1030" i="3"/>
  <c r="E1031" i="3"/>
  <c r="E1032" i="3"/>
  <c r="E1033" i="3"/>
  <c r="E1172" i="3"/>
  <c r="E1035" i="3"/>
  <c r="E1036" i="3"/>
  <c r="E1177" i="3"/>
  <c r="E1006" i="3"/>
  <c r="E1007" i="3"/>
  <c r="E1008" i="3"/>
  <c r="E1009" i="3"/>
  <c r="E1010" i="3"/>
  <c r="E1011" i="3"/>
  <c r="E1012" i="3"/>
  <c r="E1013" i="3"/>
  <c r="E1150" i="3"/>
  <c r="E1014" i="3"/>
  <c r="E1015" i="3"/>
  <c r="E1016" i="3"/>
  <c r="E1082" i="3"/>
  <c r="E1017" i="3"/>
  <c r="E1018" i="3"/>
  <c r="E1019" i="3"/>
  <c r="E985" i="3"/>
  <c r="E1087" i="3"/>
  <c r="E1054" i="3"/>
  <c r="E986" i="3"/>
  <c r="E987" i="3"/>
  <c r="E988" i="3"/>
  <c r="E1055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34" i="3"/>
  <c r="E855" i="3"/>
  <c r="E1001" i="3"/>
  <c r="E955" i="3"/>
  <c r="E1298" i="3"/>
  <c r="E956" i="3"/>
  <c r="E1020" i="3"/>
  <c r="E957" i="3"/>
  <c r="E958" i="3"/>
  <c r="E959" i="3"/>
  <c r="E960" i="3"/>
  <c r="E961" i="3"/>
  <c r="E962" i="3"/>
  <c r="E1021" i="3"/>
  <c r="E102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1002" i="3"/>
  <c r="E975" i="3"/>
  <c r="E976" i="3"/>
  <c r="E977" i="3"/>
  <c r="E1481" i="3"/>
  <c r="E1003" i="3"/>
  <c r="E978" i="3"/>
  <c r="E933" i="3"/>
  <c r="E934" i="3"/>
  <c r="E935" i="3"/>
  <c r="E936" i="3"/>
  <c r="E937" i="3"/>
  <c r="E938" i="3"/>
  <c r="E939" i="3"/>
  <c r="E1004" i="3"/>
  <c r="E1005" i="3"/>
  <c r="E940" i="3"/>
  <c r="E941" i="3"/>
  <c r="E942" i="3"/>
  <c r="E943" i="3"/>
  <c r="E944" i="3"/>
  <c r="E979" i="3"/>
  <c r="E945" i="3"/>
  <c r="E946" i="3"/>
  <c r="E947" i="3"/>
  <c r="E948" i="3"/>
  <c r="E949" i="3"/>
  <c r="E950" i="3"/>
  <c r="E951" i="3"/>
  <c r="E953" i="3"/>
  <c r="E952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109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884" i="3"/>
  <c r="E885" i="3"/>
  <c r="E886" i="3"/>
  <c r="E1045" i="3"/>
  <c r="E980" i="3"/>
  <c r="E887" i="3"/>
  <c r="E981" i="3"/>
  <c r="E888" i="3"/>
  <c r="E889" i="3"/>
  <c r="E929" i="3"/>
  <c r="E982" i="3"/>
  <c r="E890" i="3"/>
  <c r="E891" i="3"/>
  <c r="E892" i="3"/>
  <c r="E893" i="3"/>
  <c r="E894" i="3"/>
  <c r="E882" i="3"/>
  <c r="E868" i="3"/>
  <c r="E869" i="3"/>
  <c r="E870" i="3"/>
  <c r="E883" i="3"/>
  <c r="E871" i="3"/>
  <c r="E872" i="3"/>
  <c r="E873" i="3"/>
  <c r="E874" i="3"/>
  <c r="E875" i="3"/>
  <c r="E838" i="3"/>
  <c r="E876" i="3"/>
  <c r="E877" i="3"/>
  <c r="E878" i="3"/>
  <c r="E879" i="3"/>
  <c r="E880" i="3"/>
  <c r="E881" i="3"/>
  <c r="E856" i="3"/>
  <c r="E857" i="3"/>
  <c r="E858" i="3"/>
  <c r="E859" i="3"/>
  <c r="E860" i="3"/>
  <c r="E861" i="3"/>
  <c r="E862" i="3"/>
  <c r="E863" i="3"/>
  <c r="E864" i="3"/>
  <c r="E865" i="3"/>
  <c r="E866" i="3"/>
  <c r="E839" i="3"/>
  <c r="E840" i="3"/>
  <c r="E841" i="3"/>
  <c r="E842" i="3"/>
  <c r="E843" i="3"/>
  <c r="E844" i="3"/>
  <c r="E845" i="3"/>
  <c r="E983" i="3"/>
  <c r="E846" i="3"/>
  <c r="E847" i="3"/>
  <c r="E895" i="3"/>
  <c r="E848" i="3"/>
  <c r="E849" i="3"/>
  <c r="E850" i="3"/>
  <c r="E896" i="3"/>
  <c r="E851" i="3"/>
  <c r="E823" i="3"/>
  <c r="E824" i="3"/>
  <c r="E822" i="3"/>
  <c r="E826" i="3"/>
  <c r="E827" i="3"/>
  <c r="E828" i="3"/>
  <c r="E829" i="3"/>
  <c r="E830" i="3"/>
  <c r="E831" i="3"/>
  <c r="E832" i="3"/>
  <c r="E833" i="3"/>
  <c r="E825" i="3"/>
  <c r="E837" i="3"/>
  <c r="E834" i="3"/>
  <c r="E835" i="3"/>
  <c r="E836" i="3"/>
  <c r="E803" i="3"/>
  <c r="E804" i="3"/>
  <c r="E805" i="3"/>
  <c r="E806" i="3"/>
  <c r="E807" i="3"/>
  <c r="E821" i="3"/>
  <c r="E801" i="3"/>
  <c r="E808" i="3"/>
  <c r="E809" i="3"/>
  <c r="E852" i="3"/>
  <c r="E810" i="3"/>
  <c r="E811" i="3"/>
  <c r="E812" i="3"/>
  <c r="E813" i="3"/>
  <c r="E802" i="3"/>
  <c r="E814" i="3"/>
  <c r="E815" i="3"/>
  <c r="E816" i="3"/>
  <c r="E817" i="3"/>
  <c r="E818" i="3"/>
  <c r="E819" i="3"/>
  <c r="E799" i="3"/>
  <c r="E771" i="3"/>
  <c r="E772" i="3"/>
  <c r="E773" i="3"/>
  <c r="E774" i="3"/>
  <c r="E775" i="3"/>
  <c r="E800" i="3"/>
  <c r="E776" i="3"/>
  <c r="E777" i="3"/>
  <c r="E778" i="3"/>
  <c r="E853" i="3"/>
  <c r="E779" i="3"/>
  <c r="E780" i="3"/>
  <c r="E781" i="3"/>
  <c r="E782" i="3"/>
  <c r="E783" i="3"/>
  <c r="E784" i="3"/>
  <c r="E785" i="3"/>
  <c r="E786" i="3"/>
  <c r="E787" i="3"/>
  <c r="E788" i="3"/>
  <c r="E206" i="3"/>
  <c r="E789" i="3"/>
  <c r="E790" i="3"/>
  <c r="E791" i="3"/>
  <c r="E792" i="3"/>
  <c r="E798" i="3"/>
  <c r="E793" i="3"/>
  <c r="E794" i="3"/>
  <c r="E795" i="3"/>
  <c r="E640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69" i="3"/>
  <c r="E770" i="3"/>
  <c r="E756" i="3"/>
  <c r="E736" i="3"/>
  <c r="E735" i="3"/>
  <c r="E854" i="3"/>
  <c r="E757" i="3"/>
  <c r="E758" i="3"/>
  <c r="E759" i="3"/>
  <c r="E760" i="3"/>
  <c r="E761" i="3"/>
  <c r="E762" i="3"/>
  <c r="E763" i="3"/>
  <c r="E764" i="3"/>
  <c r="E765" i="3"/>
  <c r="E766" i="3"/>
  <c r="E767" i="3"/>
  <c r="E717" i="3"/>
  <c r="E718" i="3"/>
  <c r="E719" i="3"/>
  <c r="E720" i="3"/>
  <c r="E721" i="3"/>
  <c r="E722" i="3"/>
  <c r="E734" i="3"/>
  <c r="E723" i="3"/>
  <c r="E724" i="3"/>
  <c r="E725" i="3"/>
  <c r="E726" i="3"/>
  <c r="E727" i="3"/>
  <c r="E728" i="3"/>
  <c r="E729" i="3"/>
  <c r="E730" i="3"/>
  <c r="E731" i="3"/>
  <c r="E732" i="3"/>
  <c r="E733" i="3"/>
  <c r="E697" i="3"/>
  <c r="E796" i="3"/>
  <c r="E820" i="3"/>
  <c r="E698" i="3"/>
  <c r="E696" i="3"/>
  <c r="E695" i="3"/>
  <c r="E699" i="3"/>
  <c r="E700" i="3"/>
  <c r="E701" i="3"/>
  <c r="E702" i="3"/>
  <c r="E703" i="3"/>
  <c r="E704" i="3"/>
  <c r="E705" i="3"/>
  <c r="E706" i="3"/>
  <c r="E797" i="3"/>
  <c r="E768" i="3"/>
  <c r="E707" i="3"/>
  <c r="E708" i="3"/>
  <c r="E709" i="3"/>
  <c r="E710" i="3"/>
  <c r="E641" i="3"/>
  <c r="E642" i="3"/>
  <c r="E643" i="3"/>
  <c r="E644" i="3"/>
  <c r="E645" i="3"/>
  <c r="E646" i="3"/>
  <c r="E647" i="3"/>
  <c r="E711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94" i="3"/>
  <c r="E685" i="3"/>
  <c r="E686" i="3"/>
  <c r="E687" i="3"/>
  <c r="E688" i="3"/>
  <c r="E689" i="3"/>
  <c r="E690" i="3"/>
  <c r="E691" i="3"/>
  <c r="E608" i="3"/>
  <c r="E609" i="3"/>
  <c r="E610" i="3"/>
  <c r="E611" i="3"/>
  <c r="E612" i="3"/>
  <c r="E613" i="3"/>
  <c r="E638" i="3"/>
  <c r="E614" i="3"/>
  <c r="E615" i="3"/>
  <c r="E616" i="3"/>
  <c r="E1490" i="3"/>
  <c r="E617" i="3"/>
  <c r="E639" i="3"/>
  <c r="E618" i="3"/>
  <c r="E619" i="3"/>
  <c r="E620" i="3"/>
  <c r="E621" i="3"/>
  <c r="E622" i="3"/>
  <c r="E623" i="3"/>
  <c r="E607" i="3"/>
  <c r="E624" i="3"/>
  <c r="E625" i="3"/>
  <c r="E626" i="3"/>
  <c r="E712" i="3"/>
  <c r="E627" i="3"/>
  <c r="E628" i="3"/>
  <c r="E629" i="3"/>
  <c r="E637" i="3"/>
  <c r="E630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52" i="3"/>
  <c r="E553" i="3"/>
  <c r="E554" i="3"/>
  <c r="E479" i="3"/>
  <c r="E564" i="3"/>
  <c r="E555" i="3"/>
  <c r="E556" i="3"/>
  <c r="E557" i="3"/>
  <c r="E558" i="3"/>
  <c r="E559" i="3"/>
  <c r="E560" i="3"/>
  <c r="E561" i="3"/>
  <c r="E562" i="3"/>
  <c r="E563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713" i="3"/>
  <c r="E692" i="3"/>
  <c r="E550" i="3"/>
  <c r="E543" i="3"/>
  <c r="E544" i="3"/>
  <c r="E545" i="3"/>
  <c r="E546" i="3"/>
  <c r="E547" i="3"/>
  <c r="E512" i="3"/>
  <c r="E526" i="3"/>
  <c r="E513" i="3"/>
  <c r="E525" i="3"/>
  <c r="E514" i="3"/>
  <c r="E515" i="3"/>
  <c r="E516" i="3"/>
  <c r="E548" i="3"/>
  <c r="E517" i="3"/>
  <c r="E518" i="3"/>
  <c r="E519" i="3"/>
  <c r="E520" i="3"/>
  <c r="E521" i="3"/>
  <c r="E522" i="3"/>
  <c r="E523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49" i="3"/>
  <c r="E491" i="3"/>
  <c r="E492" i="3"/>
  <c r="E493" i="3"/>
  <c r="E480" i="3"/>
  <c r="E481" i="3"/>
  <c r="E482" i="3"/>
  <c r="E377" i="3"/>
  <c r="E483" i="3"/>
  <c r="E484" i="3"/>
  <c r="E478" i="3"/>
  <c r="E485" i="3"/>
  <c r="E486" i="3"/>
  <c r="E487" i="3"/>
  <c r="E488" i="3"/>
  <c r="E1372" i="3"/>
  <c r="E489" i="3"/>
  <c r="E460" i="3"/>
  <c r="E524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7" i="3"/>
  <c r="E475" i="3"/>
  <c r="E447" i="3"/>
  <c r="E448" i="3"/>
  <c r="E449" i="3"/>
  <c r="E450" i="3"/>
  <c r="E451" i="3"/>
  <c r="E446" i="3"/>
  <c r="E452" i="3"/>
  <c r="E453" i="3"/>
  <c r="E454" i="3"/>
  <c r="E455" i="3"/>
  <c r="E494" i="3"/>
  <c r="E456" i="3"/>
  <c r="E457" i="3"/>
  <c r="E458" i="3"/>
  <c r="E459" i="3"/>
  <c r="E439" i="3"/>
  <c r="E440" i="3"/>
  <c r="E441" i="3"/>
  <c r="E442" i="3"/>
  <c r="E443" i="3"/>
  <c r="E444" i="3"/>
  <c r="E426" i="3"/>
  <c r="E427" i="3"/>
  <c r="E428" i="3"/>
  <c r="E429" i="3"/>
  <c r="E430" i="3"/>
  <c r="E431" i="3"/>
  <c r="E432" i="3"/>
  <c r="E433" i="3"/>
  <c r="E434" i="3"/>
  <c r="E43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76" i="3"/>
  <c r="E415" i="3"/>
  <c r="E416" i="3"/>
  <c r="E436" i="3"/>
  <c r="E437" i="3"/>
  <c r="E417" i="3"/>
  <c r="E418" i="3"/>
  <c r="E419" i="3"/>
  <c r="E420" i="3"/>
  <c r="E421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69" i="3"/>
  <c r="E370" i="3"/>
  <c r="E310" i="3"/>
  <c r="E422" i="3"/>
  <c r="E376" i="3"/>
  <c r="E371" i="3"/>
  <c r="E372" i="3"/>
  <c r="E352" i="3"/>
  <c r="E353" i="3"/>
  <c r="E354" i="3"/>
  <c r="E355" i="3"/>
  <c r="E373" i="3"/>
  <c r="E356" i="3"/>
  <c r="E357" i="3"/>
  <c r="E344" i="3"/>
  <c r="E345" i="3"/>
  <c r="E346" i="3"/>
  <c r="E347" i="3"/>
  <c r="E334" i="3"/>
  <c r="E335" i="3"/>
  <c r="E336" i="3"/>
  <c r="E337" i="3"/>
  <c r="E338" i="3"/>
  <c r="E339" i="3"/>
  <c r="E340" i="3"/>
  <c r="E341" i="3"/>
  <c r="E326" i="3"/>
  <c r="E327" i="3"/>
  <c r="E329" i="3"/>
  <c r="E330" i="3"/>
  <c r="E328" i="3"/>
  <c r="E331" i="3"/>
  <c r="E358" i="3"/>
  <c r="E276" i="3"/>
  <c r="E277" i="3"/>
  <c r="E278" i="3"/>
  <c r="E279" i="3"/>
  <c r="E280" i="3"/>
  <c r="E281" i="3"/>
  <c r="E282" i="3"/>
  <c r="E283" i="3"/>
  <c r="E284" i="3"/>
  <c r="E254" i="3"/>
  <c r="E285" i="3"/>
  <c r="E286" i="3"/>
  <c r="E287" i="3"/>
  <c r="E288" i="3"/>
  <c r="E289" i="3"/>
  <c r="E290" i="3"/>
  <c r="E291" i="3"/>
  <c r="E292" i="3"/>
  <c r="E293" i="3"/>
  <c r="E438" i="3"/>
  <c r="E294" i="3"/>
  <c r="E295" i="3"/>
  <c r="E255" i="3"/>
  <c r="E256" i="3"/>
  <c r="E374" i="3"/>
  <c r="E257" i="3"/>
  <c r="E258" i="3"/>
  <c r="E296" i="3"/>
  <c r="E359" i="3"/>
  <c r="E348" i="3"/>
  <c r="E259" i="3"/>
  <c r="E240" i="3"/>
  <c r="E260" i="3"/>
  <c r="E241" i="3"/>
  <c r="E242" i="3"/>
  <c r="E243" i="3"/>
  <c r="E244" i="3"/>
  <c r="E261" i="3"/>
  <c r="E262" i="3"/>
  <c r="E263" i="3"/>
  <c r="E264" i="3"/>
  <c r="E265" i="3"/>
  <c r="E360" i="3"/>
  <c r="E361" i="3"/>
  <c r="E362" i="3"/>
  <c r="E363" i="3"/>
  <c r="E245" i="3"/>
  <c r="E364" i="3"/>
  <c r="E266" i="3"/>
  <c r="E267" i="3"/>
  <c r="E268" i="3"/>
  <c r="E269" i="3"/>
  <c r="E246" i="3"/>
  <c r="E247" i="3"/>
  <c r="E225" i="3"/>
  <c r="E248" i="3"/>
  <c r="E365" i="3"/>
  <c r="E249" i="3"/>
  <c r="E226" i="3"/>
  <c r="E423" i="3"/>
  <c r="E227" i="3"/>
  <c r="E228" i="3"/>
  <c r="E229" i="3"/>
  <c r="E230" i="3"/>
  <c r="E231" i="3"/>
  <c r="E366" i="3"/>
  <c r="E232" i="3"/>
  <c r="E208" i="3"/>
  <c r="E209" i="3"/>
  <c r="E233" i="3"/>
  <c r="E210" i="3"/>
  <c r="E234" i="3"/>
  <c r="E211" i="3"/>
  <c r="E181" i="3"/>
  <c r="E250" i="3"/>
  <c r="E212" i="3"/>
  <c r="E213" i="3"/>
  <c r="E182" i="3"/>
  <c r="E183" i="3"/>
  <c r="E214" i="3"/>
  <c r="E184" i="3"/>
  <c r="E185" i="3"/>
  <c r="E186" i="3"/>
  <c r="E187" i="3"/>
  <c r="E188" i="3"/>
  <c r="E180" i="3"/>
  <c r="E235" i="3"/>
  <c r="E236" i="3"/>
  <c r="E189" i="3"/>
  <c r="E172" i="3"/>
  <c r="E204" i="3"/>
  <c r="E173" i="3"/>
  <c r="E174" i="3"/>
  <c r="E190" i="3"/>
  <c r="E251" i="3"/>
  <c r="E237" i="3"/>
  <c r="E165" i="3"/>
  <c r="E150" i="3"/>
  <c r="E151" i="3"/>
  <c r="E152" i="3"/>
  <c r="E153" i="3"/>
  <c r="E154" i="3"/>
  <c r="E155" i="3"/>
  <c r="E156" i="3"/>
  <c r="E137" i="3"/>
  <c r="E367" i="3"/>
  <c r="E138" i="3"/>
  <c r="E139" i="3"/>
  <c r="E140" i="3"/>
  <c r="E141" i="3"/>
  <c r="E129" i="3"/>
  <c r="E130" i="3"/>
  <c r="E131" i="3"/>
  <c r="E132" i="3"/>
  <c r="E127" i="3"/>
  <c r="E128" i="3"/>
  <c r="E121" i="3"/>
  <c r="E122" i="3"/>
  <c r="E123" i="3"/>
  <c r="E124" i="3"/>
  <c r="E114" i="3"/>
  <c r="E115" i="3"/>
  <c r="E116" i="3"/>
  <c r="E117" i="3"/>
  <c r="E118" i="3"/>
  <c r="E119" i="3"/>
  <c r="E88" i="3"/>
  <c r="E89" i="3"/>
  <c r="E90" i="3"/>
  <c r="E91" i="3"/>
  <c r="E113" i="3"/>
  <c r="E77" i="3"/>
  <c r="E55" i="3"/>
  <c r="E28" i="3"/>
  <c r="E29" i="3"/>
  <c r="E30" i="3"/>
  <c r="E31" i="3"/>
  <c r="E2" i="3"/>
  <c r="E3" i="3"/>
  <c r="E693" i="3"/>
  <c r="E631" i="3"/>
  <c r="E632" i="3"/>
  <c r="E633" i="3"/>
  <c r="E634" i="3"/>
  <c r="E605" i="3"/>
  <c r="E606" i="3"/>
  <c r="E588" i="3"/>
  <c r="E589" i="3"/>
  <c r="E375" i="3"/>
  <c r="E297" i="3"/>
  <c r="E311" i="3"/>
  <c r="E312" i="3"/>
  <c r="E313" i="3"/>
  <c r="E314" i="3"/>
  <c r="E315" i="3"/>
  <c r="E316" i="3"/>
  <c r="E317" i="3"/>
  <c r="E318" i="3"/>
  <c r="E319" i="3"/>
  <c r="E320" i="3"/>
  <c r="E325" i="3"/>
  <c r="E321" i="3"/>
  <c r="E322" i="3"/>
  <c r="E424" i="3"/>
  <c r="E215" i="3"/>
  <c r="E425" i="3"/>
  <c r="E395" i="3"/>
  <c r="E166" i="3"/>
  <c r="E144" i="3"/>
  <c r="E133" i="3"/>
  <c r="E368" i="3"/>
  <c r="E349" i="3"/>
  <c r="E350" i="3"/>
  <c r="E351" i="3"/>
  <c r="E342" i="3"/>
  <c r="E343" i="3"/>
  <c r="E332" i="3"/>
  <c r="E333" i="3"/>
  <c r="E323" i="3"/>
  <c r="E298" i="3"/>
  <c r="E299" i="3"/>
  <c r="E32" i="3"/>
  <c r="E300" i="3"/>
  <c r="E635" i="3"/>
  <c r="E301" i="3"/>
  <c r="E92" i="3"/>
  <c r="E302" i="3"/>
  <c r="E303" i="3"/>
  <c r="E304" i="3"/>
  <c r="E270" i="3"/>
  <c r="E305" i="3"/>
  <c r="E271" i="3"/>
  <c r="E306" i="3"/>
  <c r="E307" i="3"/>
  <c r="E272" i="3"/>
  <c r="E273" i="3"/>
  <c r="E274" i="3"/>
  <c r="E275" i="3"/>
  <c r="E252" i="3"/>
  <c r="E253" i="3"/>
  <c r="E238" i="3"/>
  <c r="E61" i="3"/>
  <c r="E216" i="3"/>
  <c r="E217" i="3"/>
  <c r="E207" i="3"/>
  <c r="E218" i="3"/>
  <c r="E219" i="3"/>
  <c r="E220" i="3"/>
  <c r="E191" i="3"/>
  <c r="E192" i="3"/>
  <c r="E193" i="3"/>
  <c r="E194" i="3"/>
  <c r="E195" i="3"/>
  <c r="E196" i="3"/>
  <c r="E197" i="3"/>
  <c r="E175" i="3"/>
  <c r="E176" i="3"/>
  <c r="E167" i="3"/>
  <c r="E62" i="3"/>
  <c r="E168" i="3"/>
  <c r="E163" i="3"/>
  <c r="E169" i="3"/>
  <c r="E170" i="3"/>
  <c r="E157" i="3"/>
  <c r="E158" i="3"/>
  <c r="E159" i="3"/>
  <c r="E145" i="3"/>
  <c r="E146" i="3"/>
  <c r="E147" i="3"/>
  <c r="E148" i="3"/>
  <c r="E897" i="3"/>
  <c r="E142" i="3"/>
  <c r="E134" i="3"/>
  <c r="E898" i="3"/>
  <c r="E120" i="3"/>
  <c r="E93" i="3"/>
  <c r="E94" i="3"/>
  <c r="E95" i="3"/>
  <c r="E96" i="3"/>
  <c r="E1064" i="3"/>
  <c r="E97" i="3"/>
  <c r="E98" i="3"/>
  <c r="E99" i="3"/>
  <c r="E100" i="3"/>
  <c r="E69" i="3"/>
  <c r="E101" i="3"/>
  <c r="E102" i="3"/>
  <c r="E103" i="3"/>
  <c r="E63" i="3"/>
  <c r="E64" i="3"/>
  <c r="E104" i="3"/>
  <c r="E78" i="3"/>
  <c r="E79" i="3"/>
  <c r="E65" i="3"/>
  <c r="E80" i="3"/>
  <c r="E81" i="3"/>
  <c r="E82" i="3"/>
  <c r="E83" i="3"/>
  <c r="E84" i="3"/>
  <c r="E70" i="3"/>
  <c r="E71" i="3"/>
  <c r="E1041" i="3"/>
  <c r="E636" i="3"/>
  <c r="E56" i="3"/>
  <c r="E66" i="3"/>
  <c r="E324" i="3"/>
  <c r="E57" i="3"/>
  <c r="E67" i="3"/>
  <c r="E58" i="3"/>
  <c r="E59" i="3"/>
  <c r="E60" i="3"/>
  <c r="E33" i="3"/>
  <c r="E27" i="3"/>
  <c r="E6" i="3"/>
  <c r="E7" i="3"/>
  <c r="E8" i="3"/>
  <c r="E9" i="3"/>
  <c r="E10" i="3"/>
  <c r="E105" i="3"/>
  <c r="E72" i="3"/>
  <c r="E73" i="3"/>
  <c r="E74" i="3"/>
  <c r="E34" i="3"/>
  <c r="E11" i="3"/>
  <c r="E35" i="3"/>
  <c r="E36" i="3"/>
  <c r="E37" i="3"/>
  <c r="E38" i="3"/>
  <c r="E39" i="3"/>
  <c r="E40" i="3"/>
  <c r="E41" i="3"/>
  <c r="E42" i="3"/>
  <c r="E53" i="3"/>
  <c r="E43" i="3"/>
  <c r="E44" i="3"/>
  <c r="E45" i="3"/>
  <c r="E54" i="3"/>
  <c r="E46" i="3"/>
  <c r="E47" i="3"/>
  <c r="E48" i="3"/>
  <c r="E49" i="3"/>
  <c r="E50" i="3"/>
  <c r="E5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4" i="3"/>
  <c r="E25" i="3"/>
  <c r="E5" i="3"/>
  <c r="E221" i="3"/>
  <c r="E222" i="3"/>
  <c r="E223" i="3"/>
  <c r="E198" i="3"/>
  <c r="E199" i="3"/>
  <c r="E200" i="3"/>
  <c r="E201" i="3"/>
  <c r="E75" i="3"/>
  <c r="E202" i="3"/>
  <c r="E85" i="3"/>
  <c r="E203" i="3"/>
  <c r="E160" i="3"/>
  <c r="E205" i="3"/>
  <c r="E177" i="3"/>
  <c r="E171" i="3"/>
  <c r="E164" i="3"/>
  <c r="E161" i="3"/>
  <c r="E162" i="3"/>
  <c r="E149" i="3"/>
  <c r="E135" i="3"/>
  <c r="E136" i="3"/>
  <c r="E125" i="3"/>
  <c r="E126" i="3"/>
  <c r="E106" i="3"/>
  <c r="E107" i="3"/>
  <c r="E108" i="3"/>
  <c r="E109" i="3"/>
  <c r="E110" i="3"/>
  <c r="E111" i="3"/>
  <c r="E112" i="3"/>
  <c r="E87" i="3"/>
  <c r="E86" i="3"/>
  <c r="E308" i="3"/>
  <c r="E52" i="3"/>
  <c r="E26" i="3"/>
  <c r="E1508" i="3"/>
  <c r="E1394" i="3"/>
  <c r="E1395" i="3"/>
  <c r="E1396" i="3"/>
  <c r="E1397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43" i="3"/>
  <c r="E1522" i="3"/>
  <c r="E1523" i="3"/>
  <c r="E1460" i="3"/>
  <c r="E1524" i="3"/>
  <c r="E1525" i="3"/>
  <c r="E1526" i="3"/>
  <c r="E1527" i="3"/>
  <c r="E1528" i="3"/>
  <c r="E1478" i="3"/>
  <c r="E1530" i="3"/>
  <c r="E1531" i="3"/>
  <c r="E1532" i="3"/>
  <c r="E1533" i="3"/>
  <c r="E1534" i="3"/>
  <c r="E1535" i="3"/>
  <c r="E1536" i="3"/>
  <c r="E1537" i="3"/>
  <c r="E1538" i="3"/>
  <c r="E1493" i="3"/>
  <c r="E1539" i="3"/>
  <c r="E1414" i="3"/>
  <c r="E1540" i="3"/>
  <c r="E1541" i="3"/>
  <c r="E1455" i="3"/>
  <c r="E1695" i="3"/>
  <c r="E1529" i="3"/>
  <c r="E1543" i="3"/>
  <c r="E1457" i="3"/>
  <c r="E1448" i="3"/>
  <c r="E1449" i="3"/>
  <c r="E1544" i="3"/>
  <c r="E1545" i="3"/>
  <c r="E1546" i="3"/>
  <c r="E1547" i="3"/>
  <c r="E1548" i="3"/>
  <c r="E1549" i="3"/>
  <c r="E1550" i="3"/>
  <c r="E1551" i="3"/>
  <c r="E1552" i="3"/>
  <c r="E1553" i="3"/>
  <c r="E1466" i="3"/>
  <c r="E1554" i="3"/>
  <c r="E1555" i="3"/>
  <c r="E1556" i="3"/>
  <c r="E1557" i="3"/>
  <c r="E1436" i="3"/>
  <c r="E1446" i="3"/>
  <c r="E1558" i="3"/>
  <c r="E1559" i="3"/>
  <c r="E1560" i="3"/>
  <c r="E1561" i="3"/>
  <c r="E239" i="3"/>
  <c r="E224" i="3"/>
  <c r="E1420" i="3"/>
  <c r="E1375" i="3"/>
  <c r="E1419" i="3"/>
  <c r="E76" i="3"/>
  <c r="E1562" i="3"/>
  <c r="E1563" i="3"/>
  <c r="E1468" i="3"/>
  <c r="E1469" i="3"/>
  <c r="E1470" i="3"/>
  <c r="E1447" i="3"/>
  <c r="E1564" i="3"/>
  <c r="E1565" i="3"/>
  <c r="E1566" i="3"/>
  <c r="E1407" i="3"/>
  <c r="E1437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438" i="3"/>
  <c r="E1464" i="3"/>
  <c r="E1594" i="3"/>
  <c r="E1595" i="3"/>
  <c r="E1596" i="3"/>
  <c r="E1452" i="3"/>
  <c r="E1597" i="3"/>
  <c r="E1598" i="3"/>
  <c r="E1599" i="3"/>
  <c r="E1600" i="3"/>
  <c r="E1601" i="3"/>
  <c r="E1480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415" i="3"/>
  <c r="E1642" i="3"/>
  <c r="E1643" i="3"/>
  <c r="E1644" i="3"/>
  <c r="E1645" i="3"/>
  <c r="E1454" i="3"/>
  <c r="E1646" i="3"/>
  <c r="E1647" i="3"/>
  <c r="E2410" i="3"/>
  <c r="E1648" i="3"/>
  <c r="E1483" i="3"/>
  <c r="E1542" i="3"/>
  <c r="E1650" i="3"/>
  <c r="E1651" i="3"/>
  <c r="E1652" i="3"/>
  <c r="E1653" i="3"/>
  <c r="E1654" i="3"/>
  <c r="E1655" i="3"/>
  <c r="E1656" i="3"/>
  <c r="E1405" i="3"/>
  <c r="E1657" i="3"/>
  <c r="E1658" i="3"/>
  <c r="E1659" i="3"/>
  <c r="E1660" i="3"/>
  <c r="E1661" i="3"/>
  <c r="E1662" i="3"/>
  <c r="E1370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421" i="3"/>
  <c r="E1484" i="3"/>
  <c r="E1684" i="3"/>
  <c r="E1685" i="3"/>
  <c r="E1686" i="3"/>
  <c r="E1687" i="3"/>
  <c r="E1688" i="3"/>
  <c r="E1689" i="3"/>
  <c r="E1690" i="3"/>
  <c r="E1691" i="3"/>
  <c r="E1692" i="3"/>
  <c r="E1693" i="3"/>
  <c r="E1694" i="3"/>
  <c r="E1496" i="3"/>
  <c r="E1696" i="3"/>
  <c r="E1459" i="3"/>
  <c r="E1426" i="3"/>
  <c r="E1427" i="3"/>
  <c r="E1697" i="3"/>
  <c r="E1698" i="3"/>
  <c r="E1699" i="3"/>
  <c r="E1700" i="3"/>
  <c r="E984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475" i="3"/>
  <c r="E1719" i="3"/>
  <c r="E1465" i="3"/>
  <c r="E1720" i="3"/>
  <c r="E1721" i="3"/>
  <c r="E1722" i="3"/>
  <c r="E1723" i="3"/>
  <c r="E1724" i="3"/>
  <c r="E1725" i="3"/>
  <c r="E1726" i="3"/>
  <c r="E145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398" i="3"/>
  <c r="E1408" i="3"/>
  <c r="E1399" i="3"/>
  <c r="E1739" i="3"/>
  <c r="E1740" i="3"/>
  <c r="E1741" i="3"/>
  <c r="E1742" i="3"/>
  <c r="E1743" i="3"/>
  <c r="E1744" i="3"/>
  <c r="E1467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439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490" i="3"/>
  <c r="E309" i="3"/>
  <c r="E1783" i="3"/>
  <c r="E1784" i="3"/>
  <c r="E1785" i="3"/>
  <c r="E1786" i="3"/>
  <c r="E1787" i="3"/>
  <c r="E1788" i="3"/>
  <c r="E1789" i="3"/>
  <c r="E1440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505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2322" i="3"/>
  <c r="E1890" i="3"/>
  <c r="E1891" i="3"/>
  <c r="E1502" i="3"/>
  <c r="E1507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486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406" i="3"/>
  <c r="E1920" i="3"/>
  <c r="E1487" i="3"/>
  <c r="E1441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403" i="3"/>
  <c r="E1418" i="3"/>
  <c r="E1933" i="3"/>
  <c r="E1461" i="3"/>
  <c r="E1462" i="3"/>
  <c r="E1934" i="3"/>
  <c r="E1935" i="3"/>
  <c r="E1482" i="3"/>
  <c r="E1501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504" i="3"/>
  <c r="E1506" i="3"/>
  <c r="E1422" i="3"/>
  <c r="E1423" i="3"/>
  <c r="E1975" i="3"/>
  <c r="E1976" i="3"/>
  <c r="E1977" i="3"/>
  <c r="E1978" i="3"/>
  <c r="E1979" i="3"/>
  <c r="E1980" i="3"/>
  <c r="E1981" i="3"/>
  <c r="E1982" i="3"/>
  <c r="E1983" i="3"/>
  <c r="E1984" i="3"/>
  <c r="E1985" i="3"/>
  <c r="E1424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1683" i="3"/>
  <c r="E2006" i="3"/>
  <c r="E2007" i="3"/>
  <c r="E2008" i="3"/>
  <c r="E2009" i="3"/>
  <c r="E1409" i="3"/>
  <c r="E1410" i="3"/>
  <c r="E2010" i="3"/>
  <c r="E1411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1400" i="3"/>
  <c r="E1401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1442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1473" i="3"/>
  <c r="E2080" i="3"/>
  <c r="E1416" i="3"/>
  <c r="E2081" i="3"/>
  <c r="E2082" i="3"/>
  <c r="E2083" i="3"/>
  <c r="E1495" i="3"/>
  <c r="E1494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1489" i="3"/>
  <c r="E2131" i="3"/>
  <c r="E2132" i="3"/>
  <c r="E2133" i="3"/>
  <c r="E2134" i="3"/>
  <c r="E2135" i="3"/>
  <c r="E2136" i="3"/>
  <c r="E2137" i="3"/>
  <c r="E2138" i="3"/>
  <c r="E2139" i="3"/>
  <c r="E2140" i="3"/>
  <c r="E1491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1450" i="3"/>
  <c r="E1451" i="3"/>
  <c r="E2176" i="3"/>
  <c r="E2177" i="3"/>
  <c r="E1428" i="3"/>
  <c r="E1429" i="3"/>
  <c r="E1430" i="3"/>
  <c r="E1431" i="3"/>
  <c r="E1432" i="3"/>
  <c r="E1433" i="3"/>
  <c r="E2178" i="3"/>
  <c r="E2179" i="3"/>
  <c r="E2180" i="3"/>
  <c r="E2181" i="3"/>
  <c r="E2182" i="3"/>
  <c r="E2183" i="3"/>
  <c r="E2184" i="3"/>
  <c r="E2185" i="3"/>
  <c r="E2186" i="3"/>
  <c r="E1503" i="3"/>
  <c r="E2187" i="3"/>
  <c r="E2188" i="3"/>
  <c r="E2189" i="3"/>
  <c r="E1485" i="3"/>
  <c r="E2190" i="3"/>
  <c r="E2191" i="3"/>
  <c r="E2192" i="3"/>
  <c r="E2193" i="3"/>
  <c r="E2194" i="3"/>
  <c r="E2195" i="3"/>
  <c r="E2196" i="3"/>
  <c r="E2197" i="3"/>
  <c r="E2198" i="3"/>
  <c r="E1443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1463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1488" i="3"/>
  <c r="E2228" i="3"/>
  <c r="E1492" i="3"/>
  <c r="E2229" i="3"/>
  <c r="E2230" i="3"/>
  <c r="E2231" i="3"/>
  <c r="E2232" i="3"/>
  <c r="E2233" i="3"/>
  <c r="E2234" i="3"/>
  <c r="E2235" i="3"/>
  <c r="E2236" i="3"/>
  <c r="E2237" i="3"/>
  <c r="E2238" i="3"/>
  <c r="E1479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1435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1471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1472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1444" i="3"/>
  <c r="E2293" i="3"/>
  <c r="E2294" i="3"/>
  <c r="E2295" i="3"/>
  <c r="E1445" i="3"/>
  <c r="E2296" i="3"/>
  <c r="E2297" i="3"/>
  <c r="E2298" i="3"/>
  <c r="E2299" i="3"/>
  <c r="E2300" i="3"/>
  <c r="E1402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1425" i="3"/>
  <c r="E2313" i="3"/>
  <c r="E2314" i="3"/>
  <c r="E2315" i="3"/>
  <c r="E1498" i="3"/>
  <c r="E2316" i="3"/>
  <c r="E2317" i="3"/>
  <c r="E2318" i="3"/>
  <c r="E2347" i="3"/>
  <c r="E2319" i="3"/>
  <c r="E2320" i="3"/>
  <c r="E2321" i="3"/>
  <c r="E1649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8" i="3"/>
  <c r="E2342" i="3"/>
  <c r="E2343" i="3"/>
  <c r="E2344" i="3"/>
  <c r="E2345" i="3"/>
  <c r="E2346" i="3"/>
  <c r="E1500" i="3"/>
  <c r="E2349" i="3"/>
  <c r="E1497" i="3"/>
  <c r="E2350" i="3"/>
  <c r="E2351" i="3"/>
  <c r="E2352" i="3"/>
  <c r="E2353" i="3"/>
  <c r="E2354" i="3"/>
  <c r="E1499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55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1458" i="3"/>
  <c r="E2383" i="3"/>
  <c r="E2384" i="3"/>
  <c r="E2385" i="3"/>
  <c r="E2386" i="3"/>
  <c r="E2387" i="3"/>
  <c r="E1404" i="3"/>
  <c r="E2388" i="3"/>
  <c r="E2389" i="3"/>
  <c r="E2390" i="3"/>
  <c r="E2391" i="3"/>
  <c r="E1453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370" i="3"/>
  <c r="E2409" i="3"/>
  <c r="E2411" i="3"/>
  <c r="E2412" i="3"/>
  <c r="E2413" i="3"/>
  <c r="D1392" i="3"/>
  <c r="J1391" i="3"/>
  <c r="D1389" i="3"/>
  <c r="D1390" i="3"/>
  <c r="D1385" i="3"/>
  <c r="J1385" i="3" s="1"/>
  <c r="D1386" i="3"/>
  <c r="J1386" i="3" s="1"/>
  <c r="D1387" i="3"/>
  <c r="J1387" i="3" s="1"/>
  <c r="D1388" i="3"/>
  <c r="D1383" i="3"/>
  <c r="D1384" i="3"/>
  <c r="J1384" i="3" s="1"/>
  <c r="D1235" i="3"/>
  <c r="D1381" i="3"/>
  <c r="J1381" i="3" s="1"/>
  <c r="D1380" i="3"/>
  <c r="D1376" i="3"/>
  <c r="D1377" i="3"/>
  <c r="D1378" i="3"/>
  <c r="J1378" i="3" s="1"/>
  <c r="D1379" i="3"/>
  <c r="J1379" i="3" s="1"/>
  <c r="D1374" i="3"/>
  <c r="D1434" i="3"/>
  <c r="D1373" i="3"/>
  <c r="D1476" i="3"/>
  <c r="D1371" i="3"/>
  <c r="D1368" i="3"/>
  <c r="D1369" i="3"/>
  <c r="D1477" i="3"/>
  <c r="D1366" i="3"/>
  <c r="D1367" i="3"/>
  <c r="D1365" i="3"/>
  <c r="D1362" i="3"/>
  <c r="D1303" i="3"/>
  <c r="D1363" i="3"/>
  <c r="D1358" i="3"/>
  <c r="D1359" i="3"/>
  <c r="D1360" i="3"/>
  <c r="D1361" i="3"/>
  <c r="D1350" i="3"/>
  <c r="J1350" i="3" s="1"/>
  <c r="D1351" i="3"/>
  <c r="D1352" i="3"/>
  <c r="D1353" i="3"/>
  <c r="D1354" i="3"/>
  <c r="D1355" i="3"/>
  <c r="D1356" i="3"/>
  <c r="D1051" i="3"/>
  <c r="D1357" i="3"/>
  <c r="D1304" i="3"/>
  <c r="D1305" i="3"/>
  <c r="D178" i="3"/>
  <c r="D179" i="3"/>
  <c r="D1306" i="3"/>
  <c r="D1307" i="3"/>
  <c r="D1308" i="3"/>
  <c r="J1308" i="3" s="1"/>
  <c r="D1309" i="3"/>
  <c r="J1309" i="3" s="1"/>
  <c r="D1310" i="3"/>
  <c r="J1310" i="3" s="1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J1332" i="3" s="1"/>
  <c r="D1333" i="3"/>
  <c r="D714" i="3"/>
  <c r="D715" i="3"/>
  <c r="D716" i="3"/>
  <c r="D1334" i="3"/>
  <c r="D1335" i="3"/>
  <c r="J1335" i="3" s="1"/>
  <c r="D1336" i="3"/>
  <c r="J1336" i="3" s="1"/>
  <c r="D1337" i="3"/>
  <c r="D1338" i="3"/>
  <c r="D1339" i="3"/>
  <c r="D1340" i="3"/>
  <c r="D1341" i="3"/>
  <c r="D1131" i="3"/>
  <c r="D1342" i="3"/>
  <c r="D1343" i="3"/>
  <c r="D1344" i="3"/>
  <c r="D1345" i="3"/>
  <c r="D1346" i="3"/>
  <c r="D1347" i="3"/>
  <c r="D1348" i="3"/>
  <c r="D1349" i="3"/>
  <c r="D1282" i="3"/>
  <c r="D1251" i="3"/>
  <c r="J1251" i="3" s="1"/>
  <c r="D1252" i="3"/>
  <c r="D1283" i="3"/>
  <c r="D1280" i="3"/>
  <c r="D1234" i="3"/>
  <c r="D1281" i="3"/>
  <c r="D1269" i="3"/>
  <c r="D1284" i="3"/>
  <c r="D1285" i="3"/>
  <c r="J1285" i="3" s="1"/>
  <c r="D1256" i="3"/>
  <c r="D1236" i="3"/>
  <c r="J1236" i="3" s="1"/>
  <c r="D1286" i="3"/>
  <c r="D1272" i="3"/>
  <c r="D1276" i="3"/>
  <c r="D1260" i="3"/>
  <c r="D1287" i="3"/>
  <c r="D1248" i="3"/>
  <c r="D1263" i="3"/>
  <c r="J1263" i="3" s="1"/>
  <c r="D1279" i="3"/>
  <c r="J1279" i="3" s="1"/>
  <c r="D1241" i="3"/>
  <c r="J1241" i="3" s="1"/>
  <c r="D1246" i="3"/>
  <c r="D1288" i="3"/>
  <c r="D1265" i="3"/>
  <c r="D1254" i="3"/>
  <c r="D1261" i="3"/>
  <c r="D1262" i="3"/>
  <c r="D1270" i="3"/>
  <c r="D1289" i="3"/>
  <c r="D1273" i="3"/>
  <c r="D1244" i="3"/>
  <c r="D1130" i="3"/>
  <c r="D1474" i="3"/>
  <c r="D1266" i="3"/>
  <c r="D1292" i="3"/>
  <c r="D1293" i="3"/>
  <c r="D1271" i="3"/>
  <c r="D1267" i="3"/>
  <c r="J1267" i="3" s="1"/>
  <c r="D1294" i="3"/>
  <c r="J1294" i="3" s="1"/>
  <c r="D1295" i="3"/>
  <c r="D1253" i="3"/>
  <c r="D1264" i="3"/>
  <c r="D1296" i="3"/>
  <c r="D1243" i="3"/>
  <c r="D1274" i="3"/>
  <c r="D1257" i="3"/>
  <c r="D1239" i="3"/>
  <c r="D1245" i="3"/>
  <c r="D1237" i="3"/>
  <c r="D1250" i="3"/>
  <c r="D1259" i="3"/>
  <c r="D1297" i="3"/>
  <c r="D1278" i="3"/>
  <c r="D1240" i="3"/>
  <c r="D1238" i="3"/>
  <c r="D1299" i="3"/>
  <c r="D1277" i="3"/>
  <c r="D1242" i="3"/>
  <c r="D1247" i="3"/>
  <c r="D1249" i="3"/>
  <c r="D867" i="3"/>
  <c r="D1258" i="3"/>
  <c r="D1108" i="3"/>
  <c r="D1300" i="3"/>
  <c r="D1255" i="3"/>
  <c r="D1154" i="3"/>
  <c r="D930" i="3"/>
  <c r="D1301" i="3"/>
  <c r="D1302" i="3"/>
  <c r="D1214" i="3"/>
  <c r="D1221" i="3"/>
  <c r="D1222" i="3"/>
  <c r="J1222" i="3" s="1"/>
  <c r="D1223" i="3"/>
  <c r="D1224" i="3"/>
  <c r="D1217" i="3"/>
  <c r="J1217" i="3" s="1"/>
  <c r="D1225" i="3"/>
  <c r="D1213" i="3"/>
  <c r="D1220" i="3"/>
  <c r="D1215" i="3"/>
  <c r="D1209" i="3"/>
  <c r="D1226" i="3"/>
  <c r="D1227" i="3"/>
  <c r="J1227" i="3" s="1"/>
  <c r="D1210" i="3"/>
  <c r="D1228" i="3"/>
  <c r="D1229" i="3"/>
  <c r="D1230" i="3"/>
  <c r="D1211" i="3"/>
  <c r="D1212" i="3"/>
  <c r="D1219" i="3"/>
  <c r="D1231" i="3"/>
  <c r="D1232" i="3"/>
  <c r="D1233" i="3"/>
  <c r="D1216" i="3"/>
  <c r="J1216" i="3" s="1"/>
  <c r="D1218" i="3"/>
  <c r="D1193" i="3"/>
  <c r="J1193" i="3" s="1"/>
  <c r="D1194" i="3"/>
  <c r="D1184" i="3"/>
  <c r="D1195" i="3"/>
  <c r="D1190" i="3"/>
  <c r="D1196" i="3"/>
  <c r="D1192" i="3"/>
  <c r="D1197" i="3"/>
  <c r="D1198" i="3"/>
  <c r="D1191" i="3"/>
  <c r="D1199" i="3"/>
  <c r="D1180" i="3"/>
  <c r="D1200" i="3"/>
  <c r="D1201" i="3"/>
  <c r="D1181" i="3"/>
  <c r="D1202" i="3"/>
  <c r="D1203" i="3"/>
  <c r="D1204" i="3"/>
  <c r="D1182" i="3"/>
  <c r="D1189" i="3"/>
  <c r="D1205" i="3"/>
  <c r="D1186" i="3"/>
  <c r="J1186" i="3" s="1"/>
  <c r="D1187" i="3"/>
  <c r="J1187" i="3" s="1"/>
  <c r="D1185" i="3"/>
  <c r="D1206" i="3"/>
  <c r="D1207" i="3"/>
  <c r="D1183" i="3"/>
  <c r="J1183" i="3" s="1"/>
  <c r="D1188" i="3"/>
  <c r="J1188" i="3" s="1"/>
  <c r="D1208" i="3"/>
  <c r="D1157" i="3"/>
  <c r="J1157" i="3" s="1"/>
  <c r="D1167" i="3"/>
  <c r="J1167" i="3" s="1"/>
  <c r="D1168" i="3"/>
  <c r="J1168" i="3" s="1"/>
  <c r="D1155" i="3"/>
  <c r="J1155" i="3" s="1"/>
  <c r="D1165" i="3"/>
  <c r="J1165" i="3" s="1"/>
  <c r="D1169" i="3"/>
  <c r="D1170" i="3"/>
  <c r="D1171" i="3"/>
  <c r="D1159" i="3"/>
  <c r="D1412" i="3"/>
  <c r="D1163" i="3"/>
  <c r="D1173" i="3"/>
  <c r="J1173" i="3" s="1"/>
  <c r="D1166" i="3"/>
  <c r="J1166" i="3" s="1"/>
  <c r="D1077" i="3"/>
  <c r="D1158" i="3"/>
  <c r="D1161" i="3"/>
  <c r="D1174" i="3"/>
  <c r="D1175" i="3"/>
  <c r="D1162" i="3"/>
  <c r="D1164" i="3"/>
  <c r="D1176" i="3"/>
  <c r="D931" i="3"/>
  <c r="D1178" i="3"/>
  <c r="D1179" i="3"/>
  <c r="D1156" i="3"/>
  <c r="D1160" i="3"/>
  <c r="D1137" i="3"/>
  <c r="J1137" i="3" s="1"/>
  <c r="D1142" i="3"/>
  <c r="J1142" i="3" s="1"/>
  <c r="D1143" i="3"/>
  <c r="D1121" i="3"/>
  <c r="J1121" i="3" s="1"/>
  <c r="D1144" i="3"/>
  <c r="D1123" i="3"/>
  <c r="J1123" i="3" s="1"/>
  <c r="D1136" i="3"/>
  <c r="D1145" i="3"/>
  <c r="D1139" i="3"/>
  <c r="D1146" i="3"/>
  <c r="D1127" i="3"/>
  <c r="D1133" i="3"/>
  <c r="D1140" i="3"/>
  <c r="D1141" i="3"/>
  <c r="D1135" i="3"/>
  <c r="J1135" i="3" s="1"/>
  <c r="D1089" i="3"/>
  <c r="D1413" i="3"/>
  <c r="D1124" i="3"/>
  <c r="D1122" i="3"/>
  <c r="J1122" i="3" s="1"/>
  <c r="D1128" i="3"/>
  <c r="J1128" i="3" s="1"/>
  <c r="D1126" i="3"/>
  <c r="J1126" i="3" s="1"/>
  <c r="D1147" i="3"/>
  <c r="J1147" i="3" s="1"/>
  <c r="D1148" i="3"/>
  <c r="D1149" i="3"/>
  <c r="D954" i="3"/>
  <c r="D1132" i="3"/>
  <c r="D1134" i="3"/>
  <c r="D1151" i="3"/>
  <c r="D1129" i="3"/>
  <c r="D1152" i="3"/>
  <c r="D1138" i="3"/>
  <c r="D1125" i="3"/>
  <c r="J1125" i="3" s="1"/>
  <c r="D1153" i="3"/>
  <c r="D1061" i="3"/>
  <c r="D1094" i="3"/>
  <c r="J1094" i="3" s="1"/>
  <c r="D1095" i="3"/>
  <c r="J1095" i="3" s="1"/>
  <c r="D1096" i="3"/>
  <c r="D1097" i="3"/>
  <c r="D1098" i="3"/>
  <c r="D1099" i="3"/>
  <c r="D1092" i="3"/>
  <c r="D1100" i="3"/>
  <c r="D1101" i="3"/>
  <c r="D1102" i="3"/>
  <c r="J1102" i="3" s="1"/>
  <c r="D1103" i="3"/>
  <c r="D1104" i="3"/>
  <c r="J1104" i="3" s="1"/>
  <c r="D1105" i="3"/>
  <c r="D1106" i="3"/>
  <c r="D1120" i="3"/>
  <c r="D1107" i="3"/>
  <c r="D551" i="3"/>
  <c r="D1109" i="3"/>
  <c r="D1110" i="3"/>
  <c r="D1111" i="3"/>
  <c r="D1112" i="3"/>
  <c r="J1112" i="3" s="1"/>
  <c r="D1113" i="3"/>
  <c r="J1113" i="3" s="1"/>
  <c r="D1114" i="3"/>
  <c r="J1114" i="3" s="1"/>
  <c r="D1115" i="3"/>
  <c r="J1115" i="3" s="1"/>
  <c r="D1116" i="3"/>
  <c r="J1116" i="3" s="1"/>
  <c r="D1117" i="3"/>
  <c r="D1118" i="3"/>
  <c r="J1118" i="3" s="1"/>
  <c r="D1268" i="3"/>
  <c r="D1072" i="3"/>
  <c r="D1073" i="3"/>
  <c r="J1073" i="3" s="1"/>
  <c r="D1074" i="3"/>
  <c r="D1075" i="3"/>
  <c r="D1076" i="3"/>
  <c r="J1076" i="3" s="1"/>
  <c r="D1275" i="3"/>
  <c r="D1078" i="3"/>
  <c r="D1079" i="3"/>
  <c r="D1080" i="3"/>
  <c r="D1081" i="3"/>
  <c r="D1417" i="3"/>
  <c r="D1083" i="3"/>
  <c r="D1084" i="3"/>
  <c r="D1085" i="3"/>
  <c r="J1085" i="3" s="1"/>
  <c r="D1086" i="3"/>
  <c r="J1086" i="3" s="1"/>
  <c r="D68" i="3"/>
  <c r="D1088" i="3"/>
  <c r="D932" i="3"/>
  <c r="D1091" i="3"/>
  <c r="D1090" i="3"/>
  <c r="J1090" i="3" s="1"/>
  <c r="D1053" i="3"/>
  <c r="D1382" i="3"/>
  <c r="D1052" i="3"/>
  <c r="D445" i="3"/>
  <c r="D1056" i="3"/>
  <c r="J1056" i="3" s="1"/>
  <c r="D1057" i="3"/>
  <c r="J1057" i="3" s="1"/>
  <c r="D1058" i="3"/>
  <c r="J1058" i="3" s="1"/>
  <c r="D1059" i="3"/>
  <c r="D1060" i="3"/>
  <c r="J1060" i="3" s="1"/>
  <c r="D1119" i="3"/>
  <c r="D1062" i="3"/>
  <c r="D1063" i="3"/>
  <c r="D1364" i="3"/>
  <c r="D1065" i="3"/>
  <c r="D1071" i="3"/>
  <c r="D1070" i="3"/>
  <c r="D1066" i="3"/>
  <c r="J1066" i="3" s="1"/>
  <c r="D1067" i="3"/>
  <c r="J1067" i="3" s="1"/>
  <c r="D1068" i="3"/>
  <c r="J1068" i="3" s="1"/>
  <c r="D1069" i="3"/>
  <c r="D1037" i="3"/>
  <c r="D1038" i="3"/>
  <c r="D1039" i="3"/>
  <c r="J1039" i="3" s="1"/>
  <c r="D1040" i="3"/>
  <c r="J1040" i="3" s="1"/>
  <c r="D1290" i="3"/>
  <c r="D1042" i="3"/>
  <c r="D1043" i="3"/>
  <c r="D1044" i="3"/>
  <c r="J1044" i="3" s="1"/>
  <c r="D1291" i="3"/>
  <c r="D1046" i="3"/>
  <c r="D1047" i="3"/>
  <c r="D1048" i="3"/>
  <c r="D1049" i="3"/>
  <c r="D1050" i="3"/>
  <c r="D1023" i="3"/>
  <c r="D1024" i="3"/>
  <c r="D1025" i="3"/>
  <c r="D1026" i="3"/>
  <c r="D1027" i="3"/>
  <c r="D1028" i="3"/>
  <c r="D1029" i="3"/>
  <c r="D1030" i="3"/>
  <c r="D1031" i="3"/>
  <c r="D1032" i="3"/>
  <c r="D1033" i="3"/>
  <c r="D1172" i="3"/>
  <c r="D1035" i="3"/>
  <c r="J1035" i="3" s="1"/>
  <c r="D1036" i="3"/>
  <c r="D1177" i="3"/>
  <c r="D1006" i="3"/>
  <c r="D1007" i="3"/>
  <c r="D1008" i="3"/>
  <c r="D1009" i="3"/>
  <c r="D1010" i="3"/>
  <c r="D1011" i="3"/>
  <c r="D1012" i="3"/>
  <c r="D1013" i="3"/>
  <c r="D1150" i="3"/>
  <c r="D1014" i="3"/>
  <c r="D1015" i="3"/>
  <c r="D1016" i="3"/>
  <c r="D1082" i="3"/>
  <c r="D1017" i="3"/>
  <c r="D1018" i="3"/>
  <c r="D1019" i="3"/>
  <c r="D985" i="3"/>
  <c r="D1087" i="3"/>
  <c r="D1054" i="3"/>
  <c r="D986" i="3"/>
  <c r="D987" i="3"/>
  <c r="D988" i="3"/>
  <c r="D1055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34" i="3"/>
  <c r="D855" i="3"/>
  <c r="D1001" i="3"/>
  <c r="J1001" i="3" s="1"/>
  <c r="D955" i="3"/>
  <c r="D1298" i="3"/>
  <c r="D956" i="3"/>
  <c r="D1020" i="3"/>
  <c r="D957" i="3"/>
  <c r="D958" i="3"/>
  <c r="D959" i="3"/>
  <c r="D960" i="3"/>
  <c r="D961" i="3"/>
  <c r="J961" i="3" s="1"/>
  <c r="D962" i="3"/>
  <c r="D1021" i="3"/>
  <c r="D1022" i="3"/>
  <c r="D963" i="3"/>
  <c r="D964" i="3"/>
  <c r="D965" i="3"/>
  <c r="D966" i="3"/>
  <c r="D967" i="3"/>
  <c r="D968" i="3"/>
  <c r="D969" i="3"/>
  <c r="J969" i="3" s="1"/>
  <c r="D970" i="3"/>
  <c r="D971" i="3"/>
  <c r="D972" i="3"/>
  <c r="D973" i="3"/>
  <c r="D974" i="3"/>
  <c r="D1002" i="3"/>
  <c r="D975" i="3"/>
  <c r="D976" i="3"/>
  <c r="D977" i="3"/>
  <c r="D1481" i="3"/>
  <c r="D1003" i="3"/>
  <c r="D978" i="3"/>
  <c r="D933" i="3"/>
  <c r="J933" i="3" s="1"/>
  <c r="D934" i="3"/>
  <c r="D935" i="3"/>
  <c r="J935" i="3" s="1"/>
  <c r="D936" i="3"/>
  <c r="J936" i="3" s="1"/>
  <c r="D937" i="3"/>
  <c r="D938" i="3"/>
  <c r="D939" i="3"/>
  <c r="D1004" i="3"/>
  <c r="D1005" i="3"/>
  <c r="D940" i="3"/>
  <c r="D941" i="3"/>
  <c r="D942" i="3"/>
  <c r="D943" i="3"/>
  <c r="J943" i="3" s="1"/>
  <c r="D944" i="3"/>
  <c r="D979" i="3"/>
  <c r="D945" i="3"/>
  <c r="D946" i="3"/>
  <c r="D947" i="3"/>
  <c r="D948" i="3"/>
  <c r="D949" i="3"/>
  <c r="D950" i="3"/>
  <c r="D951" i="3"/>
  <c r="J951" i="3" s="1"/>
  <c r="D953" i="3"/>
  <c r="D952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J912" i="3" s="1"/>
  <c r="D913" i="3"/>
  <c r="J913" i="3" s="1"/>
  <c r="D1093" i="3"/>
  <c r="D914" i="3"/>
  <c r="D915" i="3"/>
  <c r="D916" i="3"/>
  <c r="D917" i="3"/>
  <c r="J917" i="3" s="1"/>
  <c r="D918" i="3"/>
  <c r="J918" i="3" s="1"/>
  <c r="D919" i="3"/>
  <c r="J919" i="3" s="1"/>
  <c r="D920" i="3"/>
  <c r="J920" i="3" s="1"/>
  <c r="D921" i="3"/>
  <c r="J921" i="3" s="1"/>
  <c r="D922" i="3"/>
  <c r="J922" i="3" s="1"/>
  <c r="D923" i="3"/>
  <c r="J923" i="3" s="1"/>
  <c r="D924" i="3"/>
  <c r="J924" i="3" s="1"/>
  <c r="D925" i="3"/>
  <c r="D926" i="3"/>
  <c r="D927" i="3"/>
  <c r="D928" i="3"/>
  <c r="J928" i="3" s="1"/>
  <c r="D884" i="3"/>
  <c r="D885" i="3"/>
  <c r="D886" i="3"/>
  <c r="D1045" i="3"/>
  <c r="D980" i="3"/>
  <c r="D887" i="3"/>
  <c r="D981" i="3"/>
  <c r="D888" i="3"/>
  <c r="D889" i="3"/>
  <c r="J889" i="3" s="1"/>
  <c r="D929" i="3"/>
  <c r="D982" i="3"/>
  <c r="D890" i="3"/>
  <c r="D891" i="3"/>
  <c r="J891" i="3" s="1"/>
  <c r="D892" i="3"/>
  <c r="D893" i="3"/>
  <c r="D894" i="3"/>
  <c r="D882" i="3"/>
  <c r="D868" i="3"/>
  <c r="J868" i="3" s="1"/>
  <c r="D869" i="3"/>
  <c r="D870" i="3"/>
  <c r="D883" i="3"/>
  <c r="D871" i="3"/>
  <c r="D872" i="3"/>
  <c r="D873" i="3"/>
  <c r="D874" i="3"/>
  <c r="D875" i="3"/>
  <c r="D838" i="3"/>
  <c r="D876" i="3"/>
  <c r="D877" i="3"/>
  <c r="J877" i="3" s="1"/>
  <c r="D878" i="3"/>
  <c r="D879" i="3"/>
  <c r="J879" i="3" s="1"/>
  <c r="D880" i="3"/>
  <c r="D881" i="3"/>
  <c r="D856" i="3"/>
  <c r="J856" i="3" s="1"/>
  <c r="D857" i="3"/>
  <c r="J857" i="3" s="1"/>
  <c r="D858" i="3"/>
  <c r="D859" i="3"/>
  <c r="D860" i="3"/>
  <c r="J860" i="3" s="1"/>
  <c r="D861" i="3"/>
  <c r="D862" i="3"/>
  <c r="J862" i="3" s="1"/>
  <c r="D863" i="3"/>
  <c r="J863" i="3" s="1"/>
  <c r="D864" i="3"/>
  <c r="D865" i="3"/>
  <c r="D866" i="3"/>
  <c r="D839" i="3"/>
  <c r="D840" i="3"/>
  <c r="D841" i="3"/>
  <c r="J841" i="3" s="1"/>
  <c r="D842" i="3"/>
  <c r="J842" i="3" s="1"/>
  <c r="D843" i="3"/>
  <c r="J843" i="3" s="1"/>
  <c r="D844" i="3"/>
  <c r="D845" i="3"/>
  <c r="D983" i="3"/>
  <c r="D846" i="3"/>
  <c r="D847" i="3"/>
  <c r="D895" i="3"/>
  <c r="D848" i="3"/>
  <c r="D849" i="3"/>
  <c r="D850" i="3"/>
  <c r="J850" i="3" s="1"/>
  <c r="D896" i="3"/>
  <c r="D851" i="3"/>
  <c r="D823" i="3"/>
  <c r="D824" i="3"/>
  <c r="D822" i="3"/>
  <c r="D826" i="3"/>
  <c r="J826" i="3" s="1"/>
  <c r="D827" i="3"/>
  <c r="D828" i="3"/>
  <c r="D829" i="3"/>
  <c r="D830" i="3"/>
  <c r="D831" i="3"/>
  <c r="J831" i="3" s="1"/>
  <c r="D832" i="3"/>
  <c r="D833" i="3"/>
  <c r="D825" i="3"/>
  <c r="D837" i="3"/>
  <c r="D834" i="3"/>
  <c r="J834" i="3" s="1"/>
  <c r="D835" i="3"/>
  <c r="D836" i="3"/>
  <c r="D803" i="3"/>
  <c r="J803" i="3" s="1"/>
  <c r="D804" i="3"/>
  <c r="D805" i="3"/>
  <c r="D806" i="3"/>
  <c r="D807" i="3"/>
  <c r="D821" i="3"/>
  <c r="D801" i="3"/>
  <c r="D808" i="3"/>
  <c r="D809" i="3"/>
  <c r="D852" i="3"/>
  <c r="D810" i="3"/>
  <c r="D811" i="3"/>
  <c r="J811" i="3" s="1"/>
  <c r="D812" i="3"/>
  <c r="D813" i="3"/>
  <c r="D802" i="3"/>
  <c r="D814" i="3"/>
  <c r="D815" i="3"/>
  <c r="D816" i="3"/>
  <c r="D817" i="3"/>
  <c r="D818" i="3"/>
  <c r="J818" i="3" s="1"/>
  <c r="D819" i="3"/>
  <c r="J819" i="3" s="1"/>
  <c r="D799" i="3"/>
  <c r="D771" i="3"/>
  <c r="J771" i="3" s="1"/>
  <c r="D772" i="3"/>
  <c r="D773" i="3"/>
  <c r="D774" i="3"/>
  <c r="J774" i="3" s="1"/>
  <c r="D775" i="3"/>
  <c r="D800" i="3"/>
  <c r="D776" i="3"/>
  <c r="D777" i="3"/>
  <c r="D778" i="3"/>
  <c r="D853" i="3"/>
  <c r="D779" i="3"/>
  <c r="D780" i="3"/>
  <c r="J780" i="3" s="1"/>
  <c r="D781" i="3"/>
  <c r="J781" i="3" s="1"/>
  <c r="D782" i="3"/>
  <c r="D783" i="3"/>
  <c r="J783" i="3" s="1"/>
  <c r="D784" i="3"/>
  <c r="J784" i="3" s="1"/>
  <c r="D785" i="3"/>
  <c r="D786" i="3"/>
  <c r="J786" i="3" s="1"/>
  <c r="D787" i="3"/>
  <c r="J787" i="3" s="1"/>
  <c r="D788" i="3"/>
  <c r="D206" i="3"/>
  <c r="D789" i="3"/>
  <c r="J789" i="3" s="1"/>
  <c r="D790" i="3"/>
  <c r="D791" i="3"/>
  <c r="D792" i="3"/>
  <c r="D798" i="3"/>
  <c r="D793" i="3"/>
  <c r="J793" i="3" s="1"/>
  <c r="D794" i="3"/>
  <c r="J794" i="3" s="1"/>
  <c r="D795" i="3"/>
  <c r="D640" i="3"/>
  <c r="D737" i="3"/>
  <c r="D738" i="3"/>
  <c r="D739" i="3"/>
  <c r="J739" i="3" s="1"/>
  <c r="D740" i="3"/>
  <c r="J740" i="3" s="1"/>
  <c r="D741" i="3"/>
  <c r="D742" i="3"/>
  <c r="D743" i="3"/>
  <c r="D744" i="3"/>
  <c r="D745" i="3"/>
  <c r="J745" i="3" s="1"/>
  <c r="D746" i="3"/>
  <c r="D747" i="3"/>
  <c r="J747" i="3" s="1"/>
  <c r="D748" i="3"/>
  <c r="D749" i="3"/>
  <c r="D750" i="3"/>
  <c r="D751" i="3"/>
  <c r="D752" i="3"/>
  <c r="D753" i="3"/>
  <c r="J753" i="3" s="1"/>
  <c r="D754" i="3"/>
  <c r="J754" i="3" s="1"/>
  <c r="D755" i="3"/>
  <c r="J755" i="3" s="1"/>
  <c r="D769" i="3"/>
  <c r="D770" i="3"/>
  <c r="D756" i="3"/>
  <c r="D736" i="3"/>
  <c r="D735" i="3"/>
  <c r="D854" i="3"/>
  <c r="D757" i="3"/>
  <c r="D758" i="3"/>
  <c r="D759" i="3"/>
  <c r="D760" i="3"/>
  <c r="D761" i="3"/>
  <c r="D762" i="3"/>
  <c r="D763" i="3"/>
  <c r="D764" i="3"/>
  <c r="D765" i="3"/>
  <c r="D766" i="3"/>
  <c r="D767" i="3"/>
  <c r="D717" i="3"/>
  <c r="D718" i="3"/>
  <c r="D719" i="3"/>
  <c r="D720" i="3"/>
  <c r="D721" i="3"/>
  <c r="D722" i="3"/>
  <c r="D734" i="3"/>
  <c r="D723" i="3"/>
  <c r="D724" i="3"/>
  <c r="D725" i="3"/>
  <c r="D726" i="3"/>
  <c r="J726" i="3" s="1"/>
  <c r="D727" i="3"/>
  <c r="D728" i="3"/>
  <c r="J728" i="3" s="1"/>
  <c r="D729" i="3"/>
  <c r="D730" i="3"/>
  <c r="D731" i="3"/>
  <c r="J731" i="3" s="1"/>
  <c r="D732" i="3"/>
  <c r="D733" i="3"/>
  <c r="D697" i="3"/>
  <c r="J697" i="3" s="1"/>
  <c r="D796" i="3"/>
  <c r="J796" i="3" s="1"/>
  <c r="D820" i="3"/>
  <c r="D698" i="3"/>
  <c r="D696" i="3"/>
  <c r="D695" i="3"/>
  <c r="D699" i="3"/>
  <c r="J699" i="3" s="1"/>
  <c r="D700" i="3"/>
  <c r="J700" i="3" s="1"/>
  <c r="D701" i="3"/>
  <c r="D702" i="3"/>
  <c r="J702" i="3" s="1"/>
  <c r="D703" i="3"/>
  <c r="D704" i="3"/>
  <c r="J704" i="3" s="1"/>
  <c r="D705" i="3"/>
  <c r="D706" i="3"/>
  <c r="D797" i="3"/>
  <c r="D768" i="3"/>
  <c r="D707" i="3"/>
  <c r="J707" i="3" s="1"/>
  <c r="D708" i="3"/>
  <c r="J708" i="3" s="1"/>
  <c r="D709" i="3"/>
  <c r="D710" i="3"/>
  <c r="D641" i="3"/>
  <c r="J641" i="3" s="1"/>
  <c r="D642" i="3"/>
  <c r="D643" i="3"/>
  <c r="D644" i="3"/>
  <c r="D645" i="3"/>
  <c r="J645" i="3" s="1"/>
  <c r="D646" i="3"/>
  <c r="D647" i="3"/>
  <c r="D711" i="3"/>
  <c r="D648" i="3"/>
  <c r="D649" i="3"/>
  <c r="J649" i="3" s="1"/>
  <c r="D650" i="3"/>
  <c r="J650" i="3" s="1"/>
  <c r="D651" i="3"/>
  <c r="D652" i="3"/>
  <c r="D653" i="3"/>
  <c r="D654" i="3"/>
  <c r="J654" i="3" s="1"/>
  <c r="D655" i="3"/>
  <c r="D656" i="3"/>
  <c r="J656" i="3" s="1"/>
  <c r="D657" i="3"/>
  <c r="D658" i="3"/>
  <c r="J658" i="3" s="1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J674" i="3" s="1"/>
  <c r="D675" i="3"/>
  <c r="D676" i="3"/>
  <c r="D677" i="3"/>
  <c r="D678" i="3"/>
  <c r="D679" i="3"/>
  <c r="D680" i="3"/>
  <c r="D681" i="3"/>
  <c r="D682" i="3"/>
  <c r="D683" i="3"/>
  <c r="D684" i="3"/>
  <c r="D694" i="3"/>
  <c r="D685" i="3"/>
  <c r="D686" i="3"/>
  <c r="D687" i="3"/>
  <c r="D688" i="3"/>
  <c r="D689" i="3"/>
  <c r="D690" i="3"/>
  <c r="D691" i="3"/>
  <c r="D608" i="3"/>
  <c r="D609" i="3"/>
  <c r="D610" i="3"/>
  <c r="D611" i="3"/>
  <c r="D612" i="3"/>
  <c r="D613" i="3"/>
  <c r="D638" i="3"/>
  <c r="D614" i="3"/>
  <c r="D615" i="3"/>
  <c r="D616" i="3"/>
  <c r="D1490" i="3"/>
  <c r="D617" i="3"/>
  <c r="D639" i="3"/>
  <c r="D618" i="3"/>
  <c r="D619" i="3"/>
  <c r="D620" i="3"/>
  <c r="D621" i="3"/>
  <c r="D622" i="3"/>
  <c r="J622" i="3" s="1"/>
  <c r="D623" i="3"/>
  <c r="D607" i="3"/>
  <c r="D624" i="3"/>
  <c r="D625" i="3"/>
  <c r="D626" i="3"/>
  <c r="J626" i="3" s="1"/>
  <c r="D712" i="3"/>
  <c r="D627" i="3"/>
  <c r="D628" i="3"/>
  <c r="D629" i="3"/>
  <c r="D637" i="3"/>
  <c r="D630" i="3"/>
  <c r="D590" i="3"/>
  <c r="J590" i="3" s="1"/>
  <c r="D591" i="3"/>
  <c r="D592" i="3"/>
  <c r="D593" i="3"/>
  <c r="D594" i="3"/>
  <c r="D595" i="3"/>
  <c r="D596" i="3"/>
  <c r="D597" i="3"/>
  <c r="D598" i="3"/>
  <c r="D599" i="3"/>
  <c r="D600" i="3"/>
  <c r="D601" i="3"/>
  <c r="D602" i="3"/>
  <c r="J602" i="3" s="1"/>
  <c r="D603" i="3"/>
  <c r="D604" i="3"/>
  <c r="D565" i="3"/>
  <c r="D566" i="3"/>
  <c r="D567" i="3"/>
  <c r="D568" i="3"/>
  <c r="D569" i="3"/>
  <c r="D570" i="3"/>
  <c r="J570" i="3" s="1"/>
  <c r="D571" i="3"/>
  <c r="J571" i="3" s="1"/>
  <c r="D572" i="3"/>
  <c r="D573" i="3"/>
  <c r="D574" i="3"/>
  <c r="J574" i="3" s="1"/>
  <c r="D575" i="3"/>
  <c r="J575" i="3" s="1"/>
  <c r="D576" i="3"/>
  <c r="D577" i="3"/>
  <c r="D578" i="3"/>
  <c r="D579" i="3"/>
  <c r="D580" i="3"/>
  <c r="D581" i="3"/>
  <c r="D582" i="3"/>
  <c r="J582" i="3" s="1"/>
  <c r="D583" i="3"/>
  <c r="D584" i="3"/>
  <c r="J584" i="3" s="1"/>
  <c r="D585" i="3"/>
  <c r="J585" i="3" s="1"/>
  <c r="D586" i="3"/>
  <c r="J586" i="3" s="1"/>
  <c r="D587" i="3"/>
  <c r="J587" i="3" s="1"/>
  <c r="D552" i="3"/>
  <c r="D553" i="3"/>
  <c r="D554" i="3"/>
  <c r="D479" i="3"/>
  <c r="D564" i="3"/>
  <c r="D555" i="3"/>
  <c r="D556" i="3"/>
  <c r="D557" i="3"/>
  <c r="D558" i="3"/>
  <c r="D559" i="3"/>
  <c r="D560" i="3"/>
  <c r="D561" i="3"/>
  <c r="J561" i="3" s="1"/>
  <c r="D562" i="3"/>
  <c r="D563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713" i="3"/>
  <c r="D692" i="3"/>
  <c r="D550" i="3"/>
  <c r="D543" i="3"/>
  <c r="D544" i="3"/>
  <c r="D545" i="3"/>
  <c r="D546" i="3"/>
  <c r="D547" i="3"/>
  <c r="D512" i="3"/>
  <c r="D526" i="3"/>
  <c r="D513" i="3"/>
  <c r="D525" i="3"/>
  <c r="D514" i="3"/>
  <c r="D515" i="3"/>
  <c r="D516" i="3"/>
  <c r="D548" i="3"/>
  <c r="D517" i="3"/>
  <c r="D518" i="3"/>
  <c r="D519" i="3"/>
  <c r="J519" i="3" s="1"/>
  <c r="D520" i="3"/>
  <c r="D521" i="3"/>
  <c r="D522" i="3"/>
  <c r="D523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J507" i="3" s="1"/>
  <c r="D508" i="3"/>
  <c r="J508" i="3" s="1"/>
  <c r="D509" i="3"/>
  <c r="J509" i="3" s="1"/>
  <c r="D510" i="3"/>
  <c r="J510" i="3" s="1"/>
  <c r="D511" i="3"/>
  <c r="D549" i="3"/>
  <c r="D491" i="3"/>
  <c r="D492" i="3"/>
  <c r="D493" i="3"/>
  <c r="J493" i="3" s="1"/>
  <c r="D480" i="3"/>
  <c r="D481" i="3"/>
  <c r="D482" i="3"/>
  <c r="D377" i="3"/>
  <c r="D483" i="3"/>
  <c r="D484" i="3"/>
  <c r="J484" i="3" s="1"/>
  <c r="D478" i="3"/>
  <c r="D485" i="3"/>
  <c r="D486" i="3"/>
  <c r="D487" i="3"/>
  <c r="D488" i="3"/>
  <c r="D1372" i="3"/>
  <c r="D489" i="3"/>
  <c r="D460" i="3"/>
  <c r="D524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7" i="3"/>
  <c r="D475" i="3"/>
  <c r="D447" i="3"/>
  <c r="D448" i="3"/>
  <c r="D449" i="3"/>
  <c r="D450" i="3"/>
  <c r="D451" i="3"/>
  <c r="D446" i="3"/>
  <c r="D452" i="3"/>
  <c r="D453" i="3"/>
  <c r="J453" i="3" s="1"/>
  <c r="D454" i="3"/>
  <c r="D455" i="3"/>
  <c r="D494" i="3"/>
  <c r="D456" i="3"/>
  <c r="J456" i="3" s="1"/>
  <c r="D457" i="3"/>
  <c r="D458" i="3"/>
  <c r="D459" i="3"/>
  <c r="D439" i="3"/>
  <c r="D440" i="3"/>
  <c r="D441" i="3"/>
  <c r="D442" i="3"/>
  <c r="D443" i="3"/>
  <c r="D444" i="3"/>
  <c r="D426" i="3"/>
  <c r="D427" i="3"/>
  <c r="D428" i="3"/>
  <c r="D429" i="3"/>
  <c r="D430" i="3"/>
  <c r="D431" i="3"/>
  <c r="D432" i="3"/>
  <c r="D433" i="3"/>
  <c r="D434" i="3"/>
  <c r="J434" i="3" s="1"/>
  <c r="D435" i="3"/>
  <c r="D396" i="3"/>
  <c r="D397" i="3"/>
  <c r="D398" i="3"/>
  <c r="D399" i="3"/>
  <c r="J399" i="3" s="1"/>
  <c r="D400" i="3"/>
  <c r="D401" i="3"/>
  <c r="D402" i="3"/>
  <c r="D403" i="3"/>
  <c r="D404" i="3"/>
  <c r="D405" i="3"/>
  <c r="D406" i="3"/>
  <c r="D407" i="3"/>
  <c r="J407" i="3" s="1"/>
  <c r="D408" i="3"/>
  <c r="D409" i="3"/>
  <c r="D410" i="3"/>
  <c r="J410" i="3" s="1"/>
  <c r="D411" i="3"/>
  <c r="D412" i="3"/>
  <c r="D413" i="3"/>
  <c r="J413" i="3" s="1"/>
  <c r="D414" i="3"/>
  <c r="J414" i="3" s="1"/>
  <c r="D476" i="3"/>
  <c r="D415" i="3"/>
  <c r="D416" i="3"/>
  <c r="D436" i="3"/>
  <c r="J436" i="3" s="1"/>
  <c r="D437" i="3"/>
  <c r="J437" i="3" s="1"/>
  <c r="D417" i="3"/>
  <c r="D418" i="3"/>
  <c r="D419" i="3"/>
  <c r="D420" i="3"/>
  <c r="D421" i="3"/>
  <c r="J421" i="3" s="1"/>
  <c r="D378" i="3"/>
  <c r="D379" i="3"/>
  <c r="D380" i="3"/>
  <c r="D381" i="3"/>
  <c r="D382" i="3"/>
  <c r="J382" i="3" s="1"/>
  <c r="D383" i="3"/>
  <c r="D384" i="3"/>
  <c r="D385" i="3"/>
  <c r="J385" i="3" s="1"/>
  <c r="D386" i="3"/>
  <c r="J386" i="3" s="1"/>
  <c r="D387" i="3"/>
  <c r="D388" i="3"/>
  <c r="J388" i="3" s="1"/>
  <c r="D389" i="3"/>
  <c r="D390" i="3"/>
  <c r="D391" i="3"/>
  <c r="D392" i="3"/>
  <c r="D393" i="3"/>
  <c r="D394" i="3"/>
  <c r="D369" i="3"/>
  <c r="D370" i="3"/>
  <c r="D310" i="3"/>
  <c r="D422" i="3"/>
  <c r="D376" i="3"/>
  <c r="D371" i="3"/>
  <c r="J371" i="3" s="1"/>
  <c r="D372" i="3"/>
  <c r="J372" i="3" s="1"/>
  <c r="D352" i="3"/>
  <c r="D353" i="3"/>
  <c r="D354" i="3"/>
  <c r="D355" i="3"/>
  <c r="D373" i="3"/>
  <c r="D356" i="3"/>
  <c r="D357" i="3"/>
  <c r="D344" i="3"/>
  <c r="D345" i="3"/>
  <c r="D346" i="3"/>
  <c r="J346" i="3" s="1"/>
  <c r="D347" i="3"/>
  <c r="D334" i="3"/>
  <c r="D335" i="3"/>
  <c r="D336" i="3"/>
  <c r="D337" i="3"/>
  <c r="D338" i="3"/>
  <c r="D339" i="3"/>
  <c r="D340" i="3"/>
  <c r="D341" i="3"/>
  <c r="D326" i="3"/>
  <c r="J326" i="3" s="1"/>
  <c r="D327" i="3"/>
  <c r="J327" i="3" s="1"/>
  <c r="D329" i="3"/>
  <c r="D330" i="3"/>
  <c r="D328" i="3"/>
  <c r="J328" i="3" s="1"/>
  <c r="D331" i="3"/>
  <c r="J331" i="3" s="1"/>
  <c r="D358" i="3"/>
  <c r="D276" i="3"/>
  <c r="D277" i="3"/>
  <c r="D278" i="3"/>
  <c r="D279" i="3"/>
  <c r="D280" i="3"/>
  <c r="J280" i="3" s="1"/>
  <c r="D281" i="3"/>
  <c r="J281" i="3" s="1"/>
  <c r="D282" i="3"/>
  <c r="D283" i="3"/>
  <c r="D284" i="3"/>
  <c r="D254" i="3"/>
  <c r="D285" i="3"/>
  <c r="D286" i="3"/>
  <c r="D287" i="3"/>
  <c r="D288" i="3"/>
  <c r="D289" i="3"/>
  <c r="D290" i="3"/>
  <c r="J290" i="3" s="1"/>
  <c r="D291" i="3"/>
  <c r="J291" i="3" s="1"/>
  <c r="D292" i="3"/>
  <c r="J292" i="3" s="1"/>
  <c r="D293" i="3"/>
  <c r="J293" i="3" s="1"/>
  <c r="D438" i="3"/>
  <c r="D294" i="3"/>
  <c r="D295" i="3"/>
  <c r="D255" i="3"/>
  <c r="D256" i="3"/>
  <c r="D374" i="3"/>
  <c r="D257" i="3"/>
  <c r="D258" i="3"/>
  <c r="D296" i="3"/>
  <c r="J296" i="3" s="1"/>
  <c r="D359" i="3"/>
  <c r="J359" i="3" s="1"/>
  <c r="D348" i="3"/>
  <c r="J348" i="3" s="1"/>
  <c r="D259" i="3"/>
  <c r="J259" i="3" s="1"/>
  <c r="D240" i="3"/>
  <c r="J240" i="3" s="1"/>
  <c r="D260" i="3"/>
  <c r="D241" i="3"/>
  <c r="D242" i="3"/>
  <c r="D243" i="3"/>
  <c r="D244" i="3"/>
  <c r="J244" i="3" s="1"/>
  <c r="D261" i="3"/>
  <c r="D262" i="3"/>
  <c r="D263" i="3"/>
  <c r="J263" i="3" s="1"/>
  <c r="D264" i="3"/>
  <c r="D265" i="3"/>
  <c r="D360" i="3"/>
  <c r="J360" i="3" s="1"/>
  <c r="D361" i="3"/>
  <c r="J361" i="3" s="1"/>
  <c r="D362" i="3"/>
  <c r="J362" i="3" s="1"/>
  <c r="D363" i="3"/>
  <c r="J363" i="3" s="1"/>
  <c r="D245" i="3"/>
  <c r="D364" i="3"/>
  <c r="J364" i="3" s="1"/>
  <c r="D266" i="3"/>
  <c r="J266" i="3" s="1"/>
  <c r="D267" i="3"/>
  <c r="J267" i="3" s="1"/>
  <c r="D268" i="3"/>
  <c r="J268" i="3" s="1"/>
  <c r="D269" i="3"/>
  <c r="J269" i="3" s="1"/>
  <c r="D246" i="3"/>
  <c r="J246" i="3" s="1"/>
  <c r="D247" i="3"/>
  <c r="J247" i="3" s="1"/>
  <c r="D225" i="3"/>
  <c r="J225" i="3" s="1"/>
  <c r="D248" i="3"/>
  <c r="J248" i="3" s="1"/>
  <c r="D365" i="3"/>
  <c r="J365" i="3" s="1"/>
  <c r="D249" i="3"/>
  <c r="D226" i="3"/>
  <c r="J226" i="3" s="1"/>
  <c r="D423" i="3"/>
  <c r="D227" i="3"/>
  <c r="D228" i="3"/>
  <c r="D229" i="3"/>
  <c r="D230" i="3"/>
  <c r="D231" i="3"/>
  <c r="D366" i="3"/>
  <c r="J366" i="3" s="1"/>
  <c r="D232" i="3"/>
  <c r="J232" i="3" s="1"/>
  <c r="D208" i="3"/>
  <c r="D209" i="3"/>
  <c r="J209" i="3" s="1"/>
  <c r="D233" i="3"/>
  <c r="J233" i="3" s="1"/>
  <c r="D210" i="3"/>
  <c r="J210" i="3" s="1"/>
  <c r="D234" i="3"/>
  <c r="D211" i="3"/>
  <c r="D181" i="3"/>
  <c r="J181" i="3" s="1"/>
  <c r="D250" i="3"/>
  <c r="D212" i="3"/>
  <c r="J212" i="3" s="1"/>
  <c r="D213" i="3"/>
  <c r="J213" i="3" s="1"/>
  <c r="D182" i="3"/>
  <c r="J182" i="3" s="1"/>
  <c r="D183" i="3"/>
  <c r="J183" i="3" s="1"/>
  <c r="D214" i="3"/>
  <c r="D184" i="3"/>
  <c r="J184" i="3" s="1"/>
  <c r="D185" i="3"/>
  <c r="D186" i="3"/>
  <c r="D187" i="3"/>
  <c r="D188" i="3"/>
  <c r="J188" i="3" s="1"/>
  <c r="D180" i="3"/>
  <c r="D235" i="3"/>
  <c r="J235" i="3" s="1"/>
  <c r="D236" i="3"/>
  <c r="J236" i="3" s="1"/>
  <c r="D189" i="3"/>
  <c r="D172" i="3"/>
  <c r="D204" i="3"/>
  <c r="D173" i="3"/>
  <c r="D174" i="3"/>
  <c r="D190" i="3"/>
  <c r="J190" i="3" s="1"/>
  <c r="D251" i="3"/>
  <c r="J251" i="3" s="1"/>
  <c r="D237" i="3"/>
  <c r="J237" i="3" s="1"/>
  <c r="D165" i="3"/>
  <c r="D150" i="3"/>
  <c r="D151" i="3"/>
  <c r="D152" i="3"/>
  <c r="D153" i="3"/>
  <c r="D154" i="3"/>
  <c r="D155" i="3"/>
  <c r="D156" i="3"/>
  <c r="D137" i="3"/>
  <c r="D367" i="3"/>
  <c r="D138" i="3"/>
  <c r="D139" i="3"/>
  <c r="D140" i="3"/>
  <c r="D141" i="3"/>
  <c r="D129" i="3"/>
  <c r="D130" i="3"/>
  <c r="D131" i="3"/>
  <c r="D132" i="3"/>
  <c r="D127" i="3"/>
  <c r="D128" i="3"/>
  <c r="D121" i="3"/>
  <c r="J121" i="3" s="1"/>
  <c r="D122" i="3"/>
  <c r="J122" i="3" s="1"/>
  <c r="D123" i="3"/>
  <c r="J123" i="3" s="1"/>
  <c r="D124" i="3"/>
  <c r="D114" i="3"/>
  <c r="D115" i="3"/>
  <c r="J115" i="3" s="1"/>
  <c r="D116" i="3"/>
  <c r="J116" i="3" s="1"/>
  <c r="D117" i="3"/>
  <c r="D118" i="3"/>
  <c r="D119" i="3"/>
  <c r="J119" i="3" s="1"/>
  <c r="D88" i="3"/>
  <c r="J88" i="3" s="1"/>
  <c r="D89" i="3"/>
  <c r="D90" i="3"/>
  <c r="J90" i="3" s="1"/>
  <c r="D91" i="3"/>
  <c r="D113" i="3"/>
  <c r="D77" i="3"/>
  <c r="D55" i="3"/>
  <c r="D28" i="3"/>
  <c r="J28" i="3" s="1"/>
  <c r="D29" i="3"/>
  <c r="D30" i="3"/>
  <c r="D31" i="3"/>
  <c r="D2" i="3"/>
  <c r="D3" i="3"/>
  <c r="D693" i="3"/>
  <c r="D631" i="3"/>
  <c r="J631" i="3" s="1"/>
  <c r="D632" i="3"/>
  <c r="J632" i="3" s="1"/>
  <c r="D633" i="3"/>
  <c r="D634" i="3"/>
  <c r="D605" i="3"/>
  <c r="D606" i="3"/>
  <c r="D588" i="3"/>
  <c r="D589" i="3"/>
  <c r="D375" i="3"/>
  <c r="D297" i="3"/>
  <c r="D311" i="3"/>
  <c r="J311" i="3" s="1"/>
  <c r="D312" i="3"/>
  <c r="J312" i="3" s="1"/>
  <c r="D313" i="3"/>
  <c r="J313" i="3" s="1"/>
  <c r="D314" i="3"/>
  <c r="J314" i="3" s="1"/>
  <c r="D315" i="3"/>
  <c r="J315" i="3" s="1"/>
  <c r="D316" i="3"/>
  <c r="J316" i="3" s="1"/>
  <c r="D317" i="3"/>
  <c r="J317" i="3" s="1"/>
  <c r="D318" i="3"/>
  <c r="D319" i="3"/>
  <c r="D320" i="3"/>
  <c r="J320" i="3" s="1"/>
  <c r="D325" i="3"/>
  <c r="D321" i="3"/>
  <c r="D322" i="3"/>
  <c r="D424" i="3"/>
  <c r="D215" i="3"/>
  <c r="D425" i="3"/>
  <c r="D395" i="3"/>
  <c r="D166" i="3"/>
  <c r="D144" i="3"/>
  <c r="D133" i="3"/>
  <c r="D368" i="3"/>
  <c r="D349" i="3"/>
  <c r="D350" i="3"/>
  <c r="D351" i="3"/>
  <c r="D342" i="3"/>
  <c r="D343" i="3"/>
  <c r="D332" i="3"/>
  <c r="D333" i="3"/>
  <c r="D323" i="3"/>
  <c r="D298" i="3"/>
  <c r="D299" i="3"/>
  <c r="D32" i="3"/>
  <c r="D300" i="3"/>
  <c r="D635" i="3"/>
  <c r="D301" i="3"/>
  <c r="D92" i="3"/>
  <c r="D302" i="3"/>
  <c r="D303" i="3"/>
  <c r="D304" i="3"/>
  <c r="D270" i="3"/>
  <c r="J270" i="3" s="1"/>
  <c r="D305" i="3"/>
  <c r="D271" i="3"/>
  <c r="D306" i="3"/>
  <c r="D307" i="3"/>
  <c r="D272" i="3"/>
  <c r="D273" i="3"/>
  <c r="D274" i="3"/>
  <c r="D275" i="3"/>
  <c r="D252" i="3"/>
  <c r="J252" i="3" s="1"/>
  <c r="D253" i="3"/>
  <c r="D238" i="3"/>
  <c r="D61" i="3"/>
  <c r="D216" i="3"/>
  <c r="D217" i="3"/>
  <c r="D207" i="3"/>
  <c r="D218" i="3"/>
  <c r="J218" i="3" s="1"/>
  <c r="D219" i="3"/>
  <c r="D220" i="3"/>
  <c r="J220" i="3" s="1"/>
  <c r="D191" i="3"/>
  <c r="D192" i="3"/>
  <c r="D193" i="3"/>
  <c r="D194" i="3"/>
  <c r="D195" i="3"/>
  <c r="D196" i="3"/>
  <c r="D197" i="3"/>
  <c r="D175" i="3"/>
  <c r="D176" i="3"/>
  <c r="D167" i="3"/>
  <c r="D62" i="3"/>
  <c r="D168" i="3"/>
  <c r="D163" i="3"/>
  <c r="D169" i="3"/>
  <c r="D170" i="3"/>
  <c r="D157" i="3"/>
  <c r="D158" i="3"/>
  <c r="D159" i="3"/>
  <c r="D145" i="3"/>
  <c r="D146" i="3"/>
  <c r="D147" i="3"/>
  <c r="D148" i="3"/>
  <c r="D897" i="3"/>
  <c r="D142" i="3"/>
  <c r="D134" i="3"/>
  <c r="D898" i="3"/>
  <c r="D120" i="3"/>
  <c r="J120" i="3" s="1"/>
  <c r="D93" i="3"/>
  <c r="D94" i="3"/>
  <c r="D95" i="3"/>
  <c r="J95" i="3" s="1"/>
  <c r="D96" i="3"/>
  <c r="J96" i="3" s="1"/>
  <c r="D1064" i="3"/>
  <c r="D97" i="3"/>
  <c r="D98" i="3"/>
  <c r="D99" i="3"/>
  <c r="D100" i="3"/>
  <c r="J100" i="3" s="1"/>
  <c r="D69" i="3"/>
  <c r="J69" i="3" s="1"/>
  <c r="D101" i="3"/>
  <c r="J101" i="3" s="1"/>
  <c r="D102" i="3"/>
  <c r="D103" i="3"/>
  <c r="D63" i="3"/>
  <c r="J63" i="3" s="1"/>
  <c r="D64" i="3"/>
  <c r="D104" i="3"/>
  <c r="D78" i="3"/>
  <c r="D79" i="3"/>
  <c r="J79" i="3" s="1"/>
  <c r="D65" i="3"/>
  <c r="D80" i="3"/>
  <c r="D81" i="3"/>
  <c r="D82" i="3"/>
  <c r="J82" i="3" s="1"/>
  <c r="D83" i="3"/>
  <c r="J83" i="3" s="1"/>
  <c r="D84" i="3"/>
  <c r="D70" i="3"/>
  <c r="D71" i="3"/>
  <c r="D1041" i="3"/>
  <c r="D636" i="3"/>
  <c r="D56" i="3"/>
  <c r="D66" i="3"/>
  <c r="D324" i="3"/>
  <c r="D57" i="3"/>
  <c r="D67" i="3"/>
  <c r="D58" i="3"/>
  <c r="D59" i="3"/>
  <c r="D60" i="3"/>
  <c r="D33" i="3"/>
  <c r="D27" i="3"/>
  <c r="D6" i="3"/>
  <c r="J6" i="3" s="1"/>
  <c r="D7" i="3"/>
  <c r="J7" i="3" s="1"/>
  <c r="D8" i="3"/>
  <c r="D9" i="3"/>
  <c r="D10" i="3"/>
  <c r="D105" i="3"/>
  <c r="D72" i="3"/>
  <c r="D73" i="3"/>
  <c r="D74" i="3"/>
  <c r="J74" i="3" s="1"/>
  <c r="D34" i="3"/>
  <c r="D11" i="3"/>
  <c r="D35" i="3"/>
  <c r="J35" i="3" s="1"/>
  <c r="D36" i="3"/>
  <c r="D37" i="3"/>
  <c r="D38" i="3"/>
  <c r="J38" i="3" s="1"/>
  <c r="D39" i="3"/>
  <c r="J39" i="3" s="1"/>
  <c r="D40" i="3"/>
  <c r="D41" i="3"/>
  <c r="D42" i="3"/>
  <c r="J42" i="3" s="1"/>
  <c r="D53" i="3"/>
  <c r="D43" i="3"/>
  <c r="J43" i="3" s="1"/>
  <c r="D44" i="3"/>
  <c r="J44" i="3" s="1"/>
  <c r="D45" i="3"/>
  <c r="D54" i="3"/>
  <c r="D46" i="3"/>
  <c r="J46" i="3" s="1"/>
  <c r="D47" i="3"/>
  <c r="D48" i="3"/>
  <c r="J48" i="3" s="1"/>
  <c r="D49" i="3"/>
  <c r="D50" i="3"/>
  <c r="J50" i="3" s="1"/>
  <c r="D51" i="3"/>
  <c r="J51" i="3" s="1"/>
  <c r="D12" i="3"/>
  <c r="D13" i="3"/>
  <c r="J13" i="3" s="1"/>
  <c r="D14" i="3"/>
  <c r="J14" i="3" s="1"/>
  <c r="D15" i="3"/>
  <c r="D16" i="3"/>
  <c r="J16" i="3" s="1"/>
  <c r="D17" i="3"/>
  <c r="J17" i="3" s="1"/>
  <c r="D18" i="3"/>
  <c r="D19" i="3"/>
  <c r="J19" i="3" s="1"/>
  <c r="D20" i="3"/>
  <c r="J20" i="3" s="1"/>
  <c r="D21" i="3"/>
  <c r="D22" i="3"/>
  <c r="J22" i="3" s="1"/>
  <c r="D23" i="3"/>
  <c r="J23" i="3" s="1"/>
  <c r="D24" i="3"/>
  <c r="D4" i="3"/>
  <c r="D25" i="3"/>
  <c r="D5" i="3"/>
  <c r="D221" i="3"/>
  <c r="D222" i="3"/>
  <c r="J222" i="3" s="1"/>
  <c r="D223" i="3"/>
  <c r="D198" i="3"/>
  <c r="D199" i="3"/>
  <c r="D200" i="3"/>
  <c r="D201" i="3"/>
  <c r="D75" i="3"/>
  <c r="D202" i="3"/>
  <c r="D85" i="3"/>
  <c r="J85" i="3" s="1"/>
  <c r="D203" i="3"/>
  <c r="J203" i="3" s="1"/>
  <c r="D160" i="3"/>
  <c r="J160" i="3" s="1"/>
  <c r="D205" i="3"/>
  <c r="D177" i="3"/>
  <c r="D171" i="3"/>
  <c r="D164" i="3"/>
  <c r="D161" i="3"/>
  <c r="D162" i="3"/>
  <c r="J162" i="3" s="1"/>
  <c r="D149" i="3"/>
  <c r="J149" i="3" s="1"/>
  <c r="D135" i="3"/>
  <c r="J135" i="3" s="1"/>
  <c r="D136" i="3"/>
  <c r="D125" i="3"/>
  <c r="J125" i="3" s="1"/>
  <c r="D126" i="3"/>
  <c r="J126" i="3" s="1"/>
  <c r="D106" i="3"/>
  <c r="J106" i="3" s="1"/>
  <c r="D107" i="3"/>
  <c r="J107" i="3" s="1"/>
  <c r="D108" i="3"/>
  <c r="D109" i="3"/>
  <c r="J109" i="3" s="1"/>
  <c r="D110" i="3"/>
  <c r="D111" i="3"/>
  <c r="D112" i="3"/>
  <c r="D87" i="3"/>
  <c r="D86" i="3"/>
  <c r="D308" i="3"/>
  <c r="D52" i="3"/>
  <c r="D26" i="3"/>
  <c r="J26" i="3" s="1"/>
  <c r="D1508" i="3"/>
  <c r="D1394" i="3"/>
  <c r="D1395" i="3"/>
  <c r="D1396" i="3"/>
  <c r="D1397" i="3"/>
  <c r="D1509" i="3"/>
  <c r="D1510" i="3"/>
  <c r="D1511" i="3"/>
  <c r="D1512" i="3"/>
  <c r="D1513" i="3"/>
  <c r="J1513" i="3" s="1"/>
  <c r="D1514" i="3"/>
  <c r="J1514" i="3" s="1"/>
  <c r="D1515" i="3"/>
  <c r="D1516" i="3"/>
  <c r="D1517" i="3"/>
  <c r="D1518" i="3"/>
  <c r="D1519" i="3"/>
  <c r="D1520" i="3"/>
  <c r="J1520" i="3" s="1"/>
  <c r="D1521" i="3"/>
  <c r="D143" i="3"/>
  <c r="D1522" i="3"/>
  <c r="D1523" i="3"/>
  <c r="D1460" i="3"/>
  <c r="D1524" i="3"/>
  <c r="D1525" i="3"/>
  <c r="D1526" i="3"/>
  <c r="D1527" i="3"/>
  <c r="D1528" i="3"/>
  <c r="D1478" i="3"/>
  <c r="D1530" i="3"/>
  <c r="J1530" i="3" s="1"/>
  <c r="D1531" i="3"/>
  <c r="J1531" i="3" s="1"/>
  <c r="D1532" i="3"/>
  <c r="D1533" i="3"/>
  <c r="J1533" i="3" s="1"/>
  <c r="D1534" i="3"/>
  <c r="J1534" i="3" s="1"/>
  <c r="D1535" i="3"/>
  <c r="D1536" i="3"/>
  <c r="D1537" i="3"/>
  <c r="D1538" i="3"/>
  <c r="D1493" i="3"/>
  <c r="D1539" i="3"/>
  <c r="J1539" i="3" s="1"/>
  <c r="D1414" i="3"/>
  <c r="J1414" i="3" s="1"/>
  <c r="D1540" i="3"/>
  <c r="J1540" i="3" s="1"/>
  <c r="D1541" i="3"/>
  <c r="J1541" i="3" s="1"/>
  <c r="D1455" i="3"/>
  <c r="D1695" i="3"/>
  <c r="D1529" i="3"/>
  <c r="D1543" i="3"/>
  <c r="D1457" i="3"/>
  <c r="D1448" i="3"/>
  <c r="D1449" i="3"/>
  <c r="D1544" i="3"/>
  <c r="D1545" i="3"/>
  <c r="D1546" i="3"/>
  <c r="D1547" i="3"/>
  <c r="D1548" i="3"/>
  <c r="D1549" i="3"/>
  <c r="D1550" i="3"/>
  <c r="D1551" i="3"/>
  <c r="D1552" i="3"/>
  <c r="D1553" i="3"/>
  <c r="J1553" i="3" s="1"/>
  <c r="D1466" i="3"/>
  <c r="D1554" i="3"/>
  <c r="D1555" i="3"/>
  <c r="D1556" i="3"/>
  <c r="D1557" i="3"/>
  <c r="D1436" i="3"/>
  <c r="D1446" i="3"/>
  <c r="D1558" i="3"/>
  <c r="J1558" i="3" s="1"/>
  <c r="D1559" i="3"/>
  <c r="J1559" i="3" s="1"/>
  <c r="D1560" i="3"/>
  <c r="D1561" i="3"/>
  <c r="J1561" i="3" s="1"/>
  <c r="D239" i="3"/>
  <c r="D224" i="3"/>
  <c r="D1420" i="3"/>
  <c r="D1375" i="3"/>
  <c r="D1419" i="3"/>
  <c r="D76" i="3"/>
  <c r="D1562" i="3"/>
  <c r="D1563" i="3"/>
  <c r="D1468" i="3"/>
  <c r="D1469" i="3"/>
  <c r="D1470" i="3"/>
  <c r="D1447" i="3"/>
  <c r="D1564" i="3"/>
  <c r="D1565" i="3"/>
  <c r="J1565" i="3" s="1"/>
  <c r="D1566" i="3"/>
  <c r="D1407" i="3"/>
  <c r="D1437" i="3"/>
  <c r="D1567" i="3"/>
  <c r="D1568" i="3"/>
  <c r="D1569" i="3"/>
  <c r="J1569" i="3" s="1"/>
  <c r="D1570" i="3"/>
  <c r="J1570" i="3" s="1"/>
  <c r="D1571" i="3"/>
  <c r="J1571" i="3" s="1"/>
  <c r="D1572" i="3"/>
  <c r="D1573" i="3"/>
  <c r="D1574" i="3"/>
  <c r="D1575" i="3"/>
  <c r="D1576" i="3"/>
  <c r="D1577" i="3"/>
  <c r="J1577" i="3" s="1"/>
  <c r="D1578" i="3"/>
  <c r="J1578" i="3" s="1"/>
  <c r="D1579" i="3"/>
  <c r="J1579" i="3" s="1"/>
  <c r="D1580" i="3"/>
  <c r="J1580" i="3" s="1"/>
  <c r="D1581" i="3"/>
  <c r="J1581" i="3" s="1"/>
  <c r="D1582" i="3"/>
  <c r="D1583" i="3"/>
  <c r="D1584" i="3"/>
  <c r="J1584" i="3" s="1"/>
  <c r="D1585" i="3"/>
  <c r="J1585" i="3" s="1"/>
  <c r="D1586" i="3"/>
  <c r="J1586" i="3" s="1"/>
  <c r="D1587" i="3"/>
  <c r="J1587" i="3" s="1"/>
  <c r="D1588" i="3"/>
  <c r="J1588" i="3" s="1"/>
  <c r="D1589" i="3"/>
  <c r="J1589" i="3" s="1"/>
  <c r="D1590" i="3"/>
  <c r="D1591" i="3"/>
  <c r="J1591" i="3" s="1"/>
  <c r="D1592" i="3"/>
  <c r="J1592" i="3" s="1"/>
  <c r="D1593" i="3"/>
  <c r="D1438" i="3"/>
  <c r="D1464" i="3"/>
  <c r="D1594" i="3"/>
  <c r="D1595" i="3"/>
  <c r="D1596" i="3"/>
  <c r="D1452" i="3"/>
  <c r="D1597" i="3"/>
  <c r="D1598" i="3"/>
  <c r="D1599" i="3"/>
  <c r="D1600" i="3"/>
  <c r="D1601" i="3"/>
  <c r="D1480" i="3"/>
  <c r="D1602" i="3"/>
  <c r="J1602" i="3" s="1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415" i="3"/>
  <c r="J1415" i="3" s="1"/>
  <c r="D1642" i="3"/>
  <c r="D1643" i="3"/>
  <c r="D1644" i="3"/>
  <c r="D1645" i="3"/>
  <c r="D1454" i="3"/>
  <c r="D1646" i="3"/>
  <c r="D1647" i="3"/>
  <c r="D2410" i="3"/>
  <c r="D1648" i="3"/>
  <c r="J1648" i="3" s="1"/>
  <c r="D1483" i="3"/>
  <c r="D1542" i="3"/>
  <c r="D1650" i="3"/>
  <c r="D1651" i="3"/>
  <c r="D1652" i="3"/>
  <c r="D1653" i="3"/>
  <c r="J1653" i="3" s="1"/>
  <c r="D1654" i="3"/>
  <c r="J1654" i="3" s="1"/>
  <c r="D1655" i="3"/>
  <c r="J1655" i="3" s="1"/>
  <c r="D1656" i="3"/>
  <c r="D1405" i="3"/>
  <c r="D1657" i="3"/>
  <c r="D1658" i="3"/>
  <c r="D1659" i="3"/>
  <c r="D1660" i="3"/>
  <c r="D1661" i="3"/>
  <c r="D1662" i="3"/>
  <c r="D1370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421" i="3"/>
  <c r="D1484" i="3"/>
  <c r="D1684" i="3"/>
  <c r="D1685" i="3"/>
  <c r="D1686" i="3"/>
  <c r="D1687" i="3"/>
  <c r="D1688" i="3"/>
  <c r="J1688" i="3" s="1"/>
  <c r="D1689" i="3"/>
  <c r="J1689" i="3" s="1"/>
  <c r="D1690" i="3"/>
  <c r="J1690" i="3" s="1"/>
  <c r="D1691" i="3"/>
  <c r="D1692" i="3"/>
  <c r="D1693" i="3"/>
  <c r="D1694" i="3"/>
  <c r="D1496" i="3"/>
  <c r="D1696" i="3"/>
  <c r="J1696" i="3" s="1"/>
  <c r="D1459" i="3"/>
  <c r="D1426" i="3"/>
  <c r="D1427" i="3"/>
  <c r="D1697" i="3"/>
  <c r="J1697" i="3" s="1"/>
  <c r="D1698" i="3"/>
  <c r="J1698" i="3" s="1"/>
  <c r="D1699" i="3"/>
  <c r="J1699" i="3" s="1"/>
  <c r="D1700" i="3"/>
  <c r="J1700" i="3" s="1"/>
  <c r="D984" i="3"/>
  <c r="D1701" i="3"/>
  <c r="J1701" i="3" s="1"/>
  <c r="D1702" i="3"/>
  <c r="J1702" i="3" s="1"/>
  <c r="D1703" i="3"/>
  <c r="D1704" i="3"/>
  <c r="D1705" i="3"/>
  <c r="D1706" i="3"/>
  <c r="D1707" i="3"/>
  <c r="J1707" i="3" s="1"/>
  <c r="D1708" i="3"/>
  <c r="J1708" i="3" s="1"/>
  <c r="D1709" i="3"/>
  <c r="J1709" i="3" s="1"/>
  <c r="D1710" i="3"/>
  <c r="J1710" i="3" s="1"/>
  <c r="D1711" i="3"/>
  <c r="J1711" i="3" s="1"/>
  <c r="D1712" i="3"/>
  <c r="J1712" i="3" s="1"/>
  <c r="D1713" i="3"/>
  <c r="J1713" i="3" s="1"/>
  <c r="D1714" i="3"/>
  <c r="D1715" i="3"/>
  <c r="D1716" i="3"/>
  <c r="D1717" i="3"/>
  <c r="D1718" i="3"/>
  <c r="J1718" i="3" s="1"/>
  <c r="D1475" i="3"/>
  <c r="D1719" i="3"/>
  <c r="J1719" i="3" s="1"/>
  <c r="D1465" i="3"/>
  <c r="J1465" i="3" s="1"/>
  <c r="D1720" i="3"/>
  <c r="J1720" i="3" s="1"/>
  <c r="D1721" i="3"/>
  <c r="J1721" i="3" s="1"/>
  <c r="D1722" i="3"/>
  <c r="J1722" i="3" s="1"/>
  <c r="D1723" i="3"/>
  <c r="J1723" i="3" s="1"/>
  <c r="D1724" i="3"/>
  <c r="J1724" i="3" s="1"/>
  <c r="D1725" i="3"/>
  <c r="J1725" i="3" s="1"/>
  <c r="D1726" i="3"/>
  <c r="J1726" i="3" s="1"/>
  <c r="D1456" i="3"/>
  <c r="D1727" i="3"/>
  <c r="D1728" i="3"/>
  <c r="D1729" i="3"/>
  <c r="D1730" i="3"/>
  <c r="D1731" i="3"/>
  <c r="D1732" i="3"/>
  <c r="D1733" i="3"/>
  <c r="D1734" i="3"/>
  <c r="D1735" i="3"/>
  <c r="J1735" i="3" s="1"/>
  <c r="D1736" i="3"/>
  <c r="J1736" i="3" s="1"/>
  <c r="D1737" i="3"/>
  <c r="J1737" i="3" s="1"/>
  <c r="D1738" i="3"/>
  <c r="J1738" i="3" s="1"/>
  <c r="D1398" i="3"/>
  <c r="J1398" i="3" s="1"/>
  <c r="D1408" i="3"/>
  <c r="D1399" i="3"/>
  <c r="J1399" i="3" s="1"/>
  <c r="D1739" i="3"/>
  <c r="D1740" i="3"/>
  <c r="D1741" i="3"/>
  <c r="J1741" i="3" s="1"/>
  <c r="D1742" i="3"/>
  <c r="D1743" i="3"/>
  <c r="J1743" i="3" s="1"/>
  <c r="D1744" i="3"/>
  <c r="J1744" i="3" s="1"/>
  <c r="D1467" i="3"/>
  <c r="D1745" i="3"/>
  <c r="J1745" i="3" s="1"/>
  <c r="D1746" i="3"/>
  <c r="J1746" i="3" s="1"/>
  <c r="D1747" i="3"/>
  <c r="J1747" i="3" s="1"/>
  <c r="D1748" i="3"/>
  <c r="D1749" i="3"/>
  <c r="D1750" i="3"/>
  <c r="D1751" i="3"/>
  <c r="J1751" i="3" s="1"/>
  <c r="D1752" i="3"/>
  <c r="D1753" i="3"/>
  <c r="D1754" i="3"/>
  <c r="D1755" i="3"/>
  <c r="D1756" i="3"/>
  <c r="D1757" i="3"/>
  <c r="D1758" i="3"/>
  <c r="J1758" i="3" s="1"/>
  <c r="D1759" i="3"/>
  <c r="J1759" i="3" s="1"/>
  <c r="D1760" i="3"/>
  <c r="J1760" i="3" s="1"/>
  <c r="D1761" i="3"/>
  <c r="J1761" i="3" s="1"/>
  <c r="D1762" i="3"/>
  <c r="D1763" i="3"/>
  <c r="D1764" i="3"/>
  <c r="D1765" i="3"/>
  <c r="D1439" i="3"/>
  <c r="D1766" i="3"/>
  <c r="D1767" i="3"/>
  <c r="J1767" i="3" s="1"/>
  <c r="D1768" i="3"/>
  <c r="J1768" i="3" s="1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490" i="3"/>
  <c r="D309" i="3"/>
  <c r="D1783" i="3"/>
  <c r="D1784" i="3"/>
  <c r="D1785" i="3"/>
  <c r="D1786" i="3"/>
  <c r="D1787" i="3"/>
  <c r="D1788" i="3"/>
  <c r="D1789" i="3"/>
  <c r="J1789" i="3" s="1"/>
  <c r="D1440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505" i="3"/>
  <c r="D1857" i="3"/>
  <c r="D1858" i="3"/>
  <c r="D1859" i="3"/>
  <c r="D1860" i="3"/>
  <c r="D1861" i="3"/>
  <c r="D1862" i="3"/>
  <c r="D1863" i="3"/>
  <c r="D1864" i="3"/>
  <c r="D1865" i="3"/>
  <c r="D1866" i="3"/>
  <c r="J1866" i="3" s="1"/>
  <c r="D1867" i="3"/>
  <c r="J1867" i="3" s="1"/>
  <c r="D1868" i="3"/>
  <c r="J1868" i="3" s="1"/>
  <c r="D1869" i="3"/>
  <c r="J1869" i="3" s="1"/>
  <c r="D1870" i="3"/>
  <c r="J1870" i="3" s="1"/>
  <c r="D1871" i="3"/>
  <c r="J1871" i="3" s="1"/>
  <c r="D1872" i="3"/>
  <c r="J1872" i="3" s="1"/>
  <c r="D1873" i="3"/>
  <c r="J1873" i="3" s="1"/>
  <c r="D1874" i="3"/>
  <c r="J1874" i="3" s="1"/>
  <c r="D1875" i="3"/>
  <c r="D1876" i="3"/>
  <c r="D1877" i="3"/>
  <c r="D1878" i="3"/>
  <c r="D1879" i="3"/>
  <c r="J1879" i="3" s="1"/>
  <c r="D1880" i="3"/>
  <c r="J1880" i="3" s="1"/>
  <c r="D1881" i="3"/>
  <c r="D1882" i="3"/>
  <c r="D1883" i="3"/>
  <c r="D1884" i="3"/>
  <c r="D1885" i="3"/>
  <c r="D1886" i="3"/>
  <c r="D1887" i="3"/>
  <c r="D1888" i="3"/>
  <c r="D1889" i="3"/>
  <c r="D2322" i="3"/>
  <c r="D1890" i="3"/>
  <c r="D1891" i="3"/>
  <c r="D1502" i="3"/>
  <c r="D1507" i="3"/>
  <c r="D1892" i="3"/>
  <c r="D1893" i="3"/>
  <c r="D1894" i="3"/>
  <c r="D1895" i="3"/>
  <c r="D1896" i="3"/>
  <c r="D1897" i="3"/>
  <c r="D1898" i="3"/>
  <c r="D1899" i="3"/>
  <c r="D1900" i="3"/>
  <c r="D1901" i="3"/>
  <c r="J1901" i="3" s="1"/>
  <c r="D1902" i="3"/>
  <c r="J1902" i="3" s="1"/>
  <c r="D1903" i="3"/>
  <c r="J1903" i="3" s="1"/>
  <c r="D1904" i="3"/>
  <c r="D1486" i="3"/>
  <c r="D1905" i="3"/>
  <c r="J1905" i="3" s="1"/>
  <c r="D1906" i="3"/>
  <c r="J1906" i="3" s="1"/>
  <c r="D1907" i="3"/>
  <c r="J1907" i="3" s="1"/>
  <c r="D1908" i="3"/>
  <c r="J1908" i="3" s="1"/>
  <c r="D1909" i="3"/>
  <c r="J1909" i="3" s="1"/>
  <c r="D1910" i="3"/>
  <c r="J1910" i="3" s="1"/>
  <c r="D1911" i="3"/>
  <c r="J1911" i="3" s="1"/>
  <c r="D1912" i="3"/>
  <c r="J1912" i="3" s="1"/>
  <c r="D1913" i="3"/>
  <c r="D1914" i="3"/>
  <c r="J1914" i="3" s="1"/>
  <c r="D1915" i="3"/>
  <c r="J1915" i="3" s="1"/>
  <c r="D1916" i="3"/>
  <c r="J1916" i="3" s="1"/>
  <c r="D1917" i="3"/>
  <c r="D1918" i="3"/>
  <c r="D1919" i="3"/>
  <c r="D1406" i="3"/>
  <c r="D1920" i="3"/>
  <c r="D1487" i="3"/>
  <c r="D1441" i="3"/>
  <c r="D1921" i="3"/>
  <c r="D1922" i="3"/>
  <c r="D1923" i="3"/>
  <c r="D1924" i="3"/>
  <c r="D1925" i="3"/>
  <c r="D1926" i="3"/>
  <c r="D1927" i="3"/>
  <c r="D1928" i="3"/>
  <c r="D1929" i="3"/>
  <c r="D1930" i="3"/>
  <c r="J1930" i="3" s="1"/>
  <c r="D1931" i="3"/>
  <c r="J1931" i="3" s="1"/>
  <c r="D1932" i="3"/>
  <c r="J1932" i="3" s="1"/>
  <c r="D1403" i="3"/>
  <c r="J1403" i="3" s="1"/>
  <c r="D1418" i="3"/>
  <c r="J1418" i="3" s="1"/>
  <c r="D1933" i="3"/>
  <c r="D1461" i="3"/>
  <c r="D1462" i="3"/>
  <c r="D1934" i="3"/>
  <c r="J1934" i="3" s="1"/>
  <c r="D1935" i="3"/>
  <c r="J1935" i="3" s="1"/>
  <c r="D1482" i="3"/>
  <c r="D1501" i="3"/>
  <c r="D1936" i="3"/>
  <c r="D1937" i="3"/>
  <c r="J1937" i="3" s="1"/>
  <c r="D1938" i="3"/>
  <c r="D1939" i="3"/>
  <c r="D1940" i="3"/>
  <c r="D1941" i="3"/>
  <c r="D1942" i="3"/>
  <c r="J1942" i="3" s="1"/>
  <c r="D1943" i="3"/>
  <c r="D1944" i="3"/>
  <c r="D1945" i="3"/>
  <c r="D1946" i="3"/>
  <c r="D1947" i="3"/>
  <c r="D1948" i="3"/>
  <c r="D1949" i="3"/>
  <c r="J1949" i="3" s="1"/>
  <c r="D1950" i="3"/>
  <c r="J1950" i="3" s="1"/>
  <c r="D1951" i="3"/>
  <c r="J1951" i="3" s="1"/>
  <c r="D1952" i="3"/>
  <c r="D1953" i="3"/>
  <c r="J1953" i="3" s="1"/>
  <c r="D1954" i="3"/>
  <c r="D1955" i="3"/>
  <c r="D1956" i="3"/>
  <c r="J1956" i="3" s="1"/>
  <c r="D1957" i="3"/>
  <c r="D1958" i="3"/>
  <c r="J1958" i="3" s="1"/>
  <c r="D1959" i="3"/>
  <c r="D1960" i="3"/>
  <c r="D1961" i="3"/>
  <c r="J1961" i="3" s="1"/>
  <c r="D1962" i="3"/>
  <c r="D1963" i="3"/>
  <c r="J1963" i="3" s="1"/>
  <c r="D1964" i="3"/>
  <c r="D1965" i="3"/>
  <c r="J1965" i="3" s="1"/>
  <c r="D1966" i="3"/>
  <c r="D1967" i="3"/>
  <c r="D1968" i="3"/>
  <c r="J1968" i="3" s="1"/>
  <c r="D1969" i="3"/>
  <c r="D1970" i="3"/>
  <c r="J1970" i="3" s="1"/>
  <c r="D1971" i="3"/>
  <c r="J1971" i="3" s="1"/>
  <c r="D1972" i="3"/>
  <c r="D1973" i="3"/>
  <c r="J1973" i="3" s="1"/>
  <c r="D1974" i="3"/>
  <c r="D1504" i="3"/>
  <c r="D1506" i="3"/>
  <c r="D1422" i="3"/>
  <c r="D1423" i="3"/>
  <c r="D1975" i="3"/>
  <c r="D1976" i="3"/>
  <c r="D1977" i="3"/>
  <c r="D1978" i="3"/>
  <c r="J1978" i="3" s="1"/>
  <c r="D1979" i="3"/>
  <c r="J1979" i="3" s="1"/>
  <c r="D1980" i="3"/>
  <c r="D1981" i="3"/>
  <c r="J1981" i="3" s="1"/>
  <c r="D1982" i="3"/>
  <c r="D1983" i="3"/>
  <c r="D1984" i="3"/>
  <c r="D1985" i="3"/>
  <c r="D1424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J1999" i="3" s="1"/>
  <c r="D2000" i="3"/>
  <c r="D2001" i="3"/>
  <c r="D2002" i="3"/>
  <c r="D2003" i="3"/>
  <c r="J2003" i="3" s="1"/>
  <c r="D2004" i="3"/>
  <c r="D2005" i="3"/>
  <c r="D1683" i="3"/>
  <c r="D2006" i="3"/>
  <c r="J2006" i="3" s="1"/>
  <c r="D2007" i="3"/>
  <c r="D2008" i="3"/>
  <c r="D2009" i="3"/>
  <c r="D1409" i="3"/>
  <c r="D1410" i="3"/>
  <c r="D2010" i="3"/>
  <c r="D1411" i="3"/>
  <c r="D2011" i="3"/>
  <c r="D2012" i="3"/>
  <c r="D2013" i="3"/>
  <c r="D2014" i="3"/>
  <c r="J2014" i="3" s="1"/>
  <c r="D2015" i="3"/>
  <c r="J2015" i="3" s="1"/>
  <c r="D2016" i="3"/>
  <c r="J2016" i="3" s="1"/>
  <c r="D2017" i="3"/>
  <c r="J2017" i="3" s="1"/>
  <c r="D2018" i="3"/>
  <c r="J2018" i="3" s="1"/>
  <c r="D2019" i="3"/>
  <c r="D2020" i="3"/>
  <c r="J2020" i="3" s="1"/>
  <c r="D2021" i="3"/>
  <c r="D2022" i="3"/>
  <c r="D2023" i="3"/>
  <c r="D2024" i="3"/>
  <c r="D2025" i="3"/>
  <c r="D1400" i="3"/>
  <c r="J1400" i="3" s="1"/>
  <c r="D1401" i="3"/>
  <c r="J1401" i="3" s="1"/>
  <c r="D2026" i="3"/>
  <c r="D2027" i="3"/>
  <c r="D2028" i="3"/>
  <c r="D2029" i="3"/>
  <c r="D2030" i="3"/>
  <c r="D2031" i="3"/>
  <c r="D2032" i="3"/>
  <c r="D2033" i="3"/>
  <c r="J2033" i="3" s="1"/>
  <c r="D2034" i="3"/>
  <c r="D2035" i="3"/>
  <c r="D2036" i="3"/>
  <c r="J2036" i="3" s="1"/>
  <c r="D2037" i="3"/>
  <c r="D2038" i="3"/>
  <c r="D2039" i="3"/>
  <c r="D2040" i="3"/>
  <c r="D2041" i="3"/>
  <c r="D1442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J2068" i="3" s="1"/>
  <c r="D2069" i="3"/>
  <c r="J2069" i="3" s="1"/>
  <c r="D2070" i="3"/>
  <c r="D2071" i="3"/>
  <c r="D2072" i="3"/>
  <c r="J2072" i="3" s="1"/>
  <c r="D2073" i="3"/>
  <c r="D2074" i="3"/>
  <c r="D2075" i="3"/>
  <c r="J2075" i="3" s="1"/>
  <c r="D2076" i="3"/>
  <c r="D2077" i="3"/>
  <c r="J2077" i="3" s="1"/>
  <c r="D2078" i="3"/>
  <c r="D2079" i="3"/>
  <c r="D1473" i="3"/>
  <c r="D2080" i="3"/>
  <c r="J2080" i="3" s="1"/>
  <c r="D1416" i="3"/>
  <c r="D2081" i="3"/>
  <c r="J2081" i="3" s="1"/>
  <c r="D2082" i="3"/>
  <c r="J2082" i="3" s="1"/>
  <c r="D2083" i="3"/>
  <c r="D1495" i="3"/>
  <c r="D1494" i="3"/>
  <c r="D2084" i="3"/>
  <c r="J2084" i="3" s="1"/>
  <c r="D2085" i="3"/>
  <c r="J2085" i="3" s="1"/>
  <c r="D2086" i="3"/>
  <c r="J2086" i="3" s="1"/>
  <c r="D2087" i="3"/>
  <c r="J2087" i="3" s="1"/>
  <c r="D2088" i="3"/>
  <c r="J2088" i="3" s="1"/>
  <c r="D2089" i="3"/>
  <c r="J2089" i="3" s="1"/>
  <c r="D2090" i="3"/>
  <c r="J2090" i="3" s="1"/>
  <c r="D2091" i="3"/>
  <c r="D2092" i="3"/>
  <c r="D2093" i="3"/>
  <c r="D2094" i="3"/>
  <c r="D2095" i="3"/>
  <c r="J2095" i="3" s="1"/>
  <c r="D2096" i="3"/>
  <c r="D2097" i="3"/>
  <c r="D2098" i="3"/>
  <c r="D2099" i="3"/>
  <c r="D2100" i="3"/>
  <c r="D2101" i="3"/>
  <c r="D2102" i="3"/>
  <c r="D2103" i="3"/>
  <c r="D2104" i="3"/>
  <c r="J2104" i="3" s="1"/>
  <c r="D2105" i="3"/>
  <c r="J2105" i="3" s="1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J2121" i="3" s="1"/>
  <c r="D2122" i="3"/>
  <c r="D2123" i="3"/>
  <c r="D2124" i="3"/>
  <c r="D2125" i="3"/>
  <c r="D2126" i="3"/>
  <c r="D2127" i="3"/>
  <c r="D2128" i="3"/>
  <c r="D2129" i="3"/>
  <c r="D2130" i="3"/>
  <c r="D1489" i="3"/>
  <c r="D2131" i="3"/>
  <c r="D2132" i="3"/>
  <c r="D2133" i="3"/>
  <c r="D2134" i="3"/>
  <c r="D2135" i="3"/>
  <c r="D2136" i="3"/>
  <c r="J2136" i="3" s="1"/>
  <c r="D2137" i="3"/>
  <c r="J2137" i="3" s="1"/>
  <c r="D2138" i="3"/>
  <c r="D2139" i="3"/>
  <c r="D2140" i="3"/>
  <c r="D1491" i="3"/>
  <c r="D2141" i="3"/>
  <c r="D2142" i="3"/>
  <c r="J2142" i="3" s="1"/>
  <c r="D2143" i="3"/>
  <c r="D2144" i="3"/>
  <c r="D2145" i="3"/>
  <c r="D2146" i="3"/>
  <c r="D2147" i="3"/>
  <c r="D2148" i="3"/>
  <c r="D2149" i="3"/>
  <c r="D2150" i="3"/>
  <c r="D2151" i="3"/>
  <c r="D2152" i="3"/>
  <c r="D2153" i="3"/>
  <c r="J2153" i="3" s="1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J2166" i="3" s="1"/>
  <c r="D2167" i="3"/>
  <c r="J2167" i="3" s="1"/>
  <c r="D2168" i="3"/>
  <c r="J2168" i="3" s="1"/>
  <c r="D2169" i="3"/>
  <c r="D2170" i="3"/>
  <c r="J2170" i="3" s="1"/>
  <c r="D2171" i="3"/>
  <c r="J2171" i="3" s="1"/>
  <c r="D2172" i="3"/>
  <c r="J2172" i="3" s="1"/>
  <c r="D2173" i="3"/>
  <c r="J2173" i="3" s="1"/>
  <c r="D2174" i="3"/>
  <c r="J2174" i="3" s="1"/>
  <c r="D2175" i="3"/>
  <c r="D1450" i="3"/>
  <c r="D1451" i="3"/>
  <c r="D2176" i="3"/>
  <c r="D2177" i="3"/>
  <c r="D1428" i="3"/>
  <c r="D1429" i="3"/>
  <c r="D1430" i="3"/>
  <c r="D1431" i="3"/>
  <c r="D1432" i="3"/>
  <c r="D1433" i="3"/>
  <c r="D2178" i="3"/>
  <c r="D2179" i="3"/>
  <c r="D2180" i="3"/>
  <c r="D2181" i="3"/>
  <c r="J2181" i="3" s="1"/>
  <c r="D2182" i="3"/>
  <c r="J2182" i="3" s="1"/>
  <c r="D2183" i="3"/>
  <c r="J2183" i="3" s="1"/>
  <c r="D2184" i="3"/>
  <c r="D2185" i="3"/>
  <c r="D2186" i="3"/>
  <c r="D1503" i="3"/>
  <c r="D2187" i="3"/>
  <c r="J2187" i="3" s="1"/>
  <c r="D2188" i="3"/>
  <c r="D2189" i="3"/>
  <c r="D1485" i="3"/>
  <c r="D2190" i="3"/>
  <c r="D2191" i="3"/>
  <c r="D2192" i="3"/>
  <c r="D2193" i="3"/>
  <c r="D2194" i="3"/>
  <c r="D2195" i="3"/>
  <c r="D2196" i="3"/>
  <c r="D2197" i="3"/>
  <c r="D2198" i="3"/>
  <c r="D1443" i="3"/>
  <c r="D2199" i="3"/>
  <c r="D2200" i="3"/>
  <c r="D2201" i="3"/>
  <c r="D2202" i="3"/>
  <c r="D2203" i="3"/>
  <c r="J2203" i="3" s="1"/>
  <c r="D2204" i="3"/>
  <c r="J2204" i="3" s="1"/>
  <c r="D2205" i="3"/>
  <c r="D2206" i="3"/>
  <c r="D2207" i="3"/>
  <c r="D2208" i="3"/>
  <c r="D2209" i="3"/>
  <c r="J2209" i="3" s="1"/>
  <c r="D2210" i="3"/>
  <c r="J2210" i="3" s="1"/>
  <c r="D1463" i="3"/>
  <c r="J1463" i="3" s="1"/>
  <c r="D2211" i="3"/>
  <c r="J2211" i="3" s="1"/>
  <c r="D2212" i="3"/>
  <c r="J2212" i="3" s="1"/>
  <c r="D2213" i="3"/>
  <c r="D2214" i="3"/>
  <c r="D2215" i="3"/>
  <c r="D2216" i="3"/>
  <c r="D2217" i="3"/>
  <c r="J2217" i="3" s="1"/>
  <c r="D2218" i="3"/>
  <c r="D2219" i="3"/>
  <c r="D2220" i="3"/>
  <c r="D2221" i="3"/>
  <c r="D2222" i="3"/>
  <c r="D2223" i="3"/>
  <c r="J2223" i="3" s="1"/>
  <c r="D2224" i="3"/>
  <c r="J2224" i="3" s="1"/>
  <c r="D2225" i="3"/>
  <c r="J2225" i="3" s="1"/>
  <c r="D2226" i="3"/>
  <c r="J2226" i="3" s="1"/>
  <c r="D2227" i="3"/>
  <c r="J2227" i="3" s="1"/>
  <c r="D1488" i="3"/>
  <c r="D2228" i="3"/>
  <c r="D1492" i="3"/>
  <c r="D2229" i="3"/>
  <c r="D2230" i="3"/>
  <c r="D2231" i="3"/>
  <c r="D2232" i="3"/>
  <c r="J2232" i="3" s="1"/>
  <c r="D2233" i="3"/>
  <c r="D2234" i="3"/>
  <c r="D2235" i="3"/>
  <c r="D2236" i="3"/>
  <c r="J2236" i="3" s="1"/>
  <c r="D2237" i="3"/>
  <c r="J2237" i="3" s="1"/>
  <c r="D2238" i="3"/>
  <c r="J2238" i="3" s="1"/>
  <c r="D1479" i="3"/>
  <c r="D2239" i="3"/>
  <c r="J2239" i="3" s="1"/>
  <c r="D2240" i="3"/>
  <c r="J2240" i="3" s="1"/>
  <c r="D2241" i="3"/>
  <c r="J2241" i="3" s="1"/>
  <c r="D2242" i="3"/>
  <c r="D2243" i="3"/>
  <c r="D2244" i="3"/>
  <c r="D2245" i="3"/>
  <c r="D2246" i="3"/>
  <c r="D2247" i="3"/>
  <c r="D2248" i="3"/>
  <c r="D2249" i="3"/>
  <c r="J2249" i="3" s="1"/>
  <c r="D2250" i="3"/>
  <c r="J2250" i="3" s="1"/>
  <c r="D2251" i="3"/>
  <c r="D2252" i="3"/>
  <c r="D2253" i="3"/>
  <c r="D1435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1471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1472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1444" i="3"/>
  <c r="D2293" i="3"/>
  <c r="D2294" i="3"/>
  <c r="D2295" i="3"/>
  <c r="D1445" i="3"/>
  <c r="D2296" i="3"/>
  <c r="D2297" i="3"/>
  <c r="D2298" i="3"/>
  <c r="D2299" i="3"/>
  <c r="D2300" i="3"/>
  <c r="D1402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1425" i="3"/>
  <c r="D2313" i="3"/>
  <c r="D2314" i="3"/>
  <c r="D2315" i="3"/>
  <c r="D1498" i="3"/>
  <c r="D2316" i="3"/>
  <c r="D2317" i="3"/>
  <c r="J2317" i="3" s="1"/>
  <c r="D2318" i="3"/>
  <c r="D2347" i="3"/>
  <c r="D2319" i="3"/>
  <c r="D2320" i="3"/>
  <c r="J2320" i="3" s="1"/>
  <c r="D2321" i="3"/>
  <c r="D1649" i="3"/>
  <c r="D2323" i="3"/>
  <c r="D2324" i="3"/>
  <c r="J2324" i="3" s="1"/>
  <c r="D2325" i="3"/>
  <c r="J2325" i="3" s="1"/>
  <c r="D2326" i="3"/>
  <c r="J2326" i="3" s="1"/>
  <c r="D2327" i="3"/>
  <c r="J2327" i="3" s="1"/>
  <c r="D2328" i="3"/>
  <c r="J2328" i="3" s="1"/>
  <c r="D2329" i="3"/>
  <c r="J2329" i="3" s="1"/>
  <c r="D2330" i="3"/>
  <c r="D2331" i="3"/>
  <c r="D2332" i="3"/>
  <c r="D2333" i="3"/>
  <c r="D2334" i="3"/>
  <c r="D2335" i="3"/>
  <c r="J2335" i="3" s="1"/>
  <c r="D2336" i="3"/>
  <c r="J2336" i="3" s="1"/>
  <c r="D2337" i="3"/>
  <c r="D2338" i="3"/>
  <c r="D2339" i="3"/>
  <c r="D2340" i="3"/>
  <c r="J2340" i="3" s="1"/>
  <c r="D2341" i="3"/>
  <c r="D2348" i="3"/>
  <c r="D2342" i="3"/>
  <c r="J2342" i="3" s="1"/>
  <c r="D2343" i="3"/>
  <c r="D2344" i="3"/>
  <c r="J2344" i="3" s="1"/>
  <c r="D2345" i="3"/>
  <c r="D2346" i="3"/>
  <c r="J2346" i="3" s="1"/>
  <c r="D1500" i="3"/>
  <c r="D2349" i="3"/>
  <c r="D1497" i="3"/>
  <c r="D2350" i="3"/>
  <c r="J2350" i="3" s="1"/>
  <c r="D2351" i="3"/>
  <c r="J2351" i="3" s="1"/>
  <c r="D2352" i="3"/>
  <c r="J2352" i="3" s="1"/>
  <c r="D2353" i="3"/>
  <c r="J2353" i="3" s="1"/>
  <c r="D2354" i="3"/>
  <c r="J2354" i="3" s="1"/>
  <c r="D1499" i="3"/>
  <c r="D2356" i="3"/>
  <c r="J2356" i="3" s="1"/>
  <c r="D2357" i="3"/>
  <c r="D2358" i="3"/>
  <c r="D2359" i="3"/>
  <c r="D2360" i="3"/>
  <c r="J2360" i="3" s="1"/>
  <c r="D2361" i="3"/>
  <c r="J2361" i="3" s="1"/>
  <c r="D2362" i="3"/>
  <c r="D2363" i="3"/>
  <c r="D2364" i="3"/>
  <c r="D2365" i="3"/>
  <c r="J2365" i="3" s="1"/>
  <c r="D2366" i="3"/>
  <c r="J2366" i="3" s="1"/>
  <c r="D2367" i="3"/>
  <c r="D2368" i="3"/>
  <c r="J2368" i="3" s="1"/>
  <c r="D2369" i="3"/>
  <c r="D2355" i="3"/>
  <c r="D2371" i="3"/>
  <c r="D2372" i="3"/>
  <c r="D2373" i="3"/>
  <c r="D2374" i="3"/>
  <c r="D2375" i="3"/>
  <c r="J2375" i="3" s="1"/>
  <c r="D2376" i="3"/>
  <c r="D2377" i="3"/>
  <c r="D2378" i="3"/>
  <c r="J2378" i="3" s="1"/>
  <c r="D2379" i="3"/>
  <c r="J2379" i="3" s="1"/>
  <c r="D2380" i="3"/>
  <c r="J2380" i="3" s="1"/>
  <c r="D2381" i="3"/>
  <c r="D2382" i="3"/>
  <c r="J2382" i="3" s="1"/>
  <c r="D1458" i="3"/>
  <c r="D2383" i="3"/>
  <c r="J2383" i="3" s="1"/>
  <c r="D2384" i="3"/>
  <c r="D2385" i="3"/>
  <c r="J2385" i="3" s="1"/>
  <c r="D2386" i="3"/>
  <c r="D2387" i="3"/>
  <c r="D1404" i="3"/>
  <c r="D2388" i="3"/>
  <c r="D2389" i="3"/>
  <c r="D2390" i="3"/>
  <c r="J2390" i="3" s="1"/>
  <c r="D2391" i="3"/>
  <c r="D1453" i="3"/>
  <c r="D2392" i="3"/>
  <c r="D2393" i="3"/>
  <c r="J2393" i="3" s="1"/>
  <c r="D2394" i="3"/>
  <c r="J2394" i="3" s="1"/>
  <c r="D2395" i="3"/>
  <c r="J2395" i="3" s="1"/>
  <c r="D2396" i="3"/>
  <c r="J2396" i="3" s="1"/>
  <c r="D2397" i="3"/>
  <c r="D2398" i="3"/>
  <c r="D2399" i="3"/>
  <c r="D2400" i="3"/>
  <c r="D2401" i="3"/>
  <c r="J2401" i="3" s="1"/>
  <c r="D2402" i="3"/>
  <c r="D2403" i="3"/>
  <c r="D2404" i="3"/>
  <c r="J2404" i="3" s="1"/>
  <c r="D2405" i="3"/>
  <c r="J2405" i="3" s="1"/>
  <c r="D2406" i="3"/>
  <c r="J2406" i="3" s="1"/>
  <c r="D2407" i="3"/>
  <c r="D2408" i="3"/>
  <c r="D2370" i="3"/>
  <c r="D2409" i="3"/>
  <c r="D2411" i="3"/>
  <c r="J2411" i="3" s="1"/>
  <c r="D2412" i="3"/>
  <c r="D2413" i="3"/>
  <c r="D1393" i="3"/>
  <c r="J1393" i="3" s="1"/>
  <c r="AK1511" i="3"/>
  <c r="AL1511" i="3" s="1"/>
  <c r="AM1511" i="3"/>
  <c r="J2370" i="3" l="1"/>
  <c r="J2364" i="3"/>
  <c r="J2349" i="3"/>
  <c r="J2333" i="3"/>
  <c r="J2318" i="3"/>
  <c r="J2304" i="3"/>
  <c r="J2291" i="3"/>
  <c r="J2276" i="3"/>
  <c r="J2261" i="3"/>
  <c r="J2246" i="3"/>
  <c r="J2231" i="3"/>
  <c r="J2195" i="3"/>
  <c r="J2157" i="3"/>
  <c r="J2141" i="3"/>
  <c r="J2119" i="3"/>
  <c r="J2103" i="3"/>
  <c r="J2067" i="3"/>
  <c r="J2051" i="3"/>
  <c r="J2022" i="3"/>
  <c r="J2009" i="3"/>
  <c r="J1994" i="3"/>
  <c r="J1967" i="3"/>
  <c r="J1943" i="3"/>
  <c r="J1406" i="3"/>
  <c r="J1897" i="3"/>
  <c r="J1884" i="3"/>
  <c r="J1853" i="3"/>
  <c r="J1837" i="3"/>
  <c r="J1821" i="3"/>
  <c r="J1805" i="3"/>
  <c r="J1440" i="3"/>
  <c r="J1776" i="3"/>
  <c r="J1733" i="3"/>
  <c r="J1704" i="3"/>
  <c r="J1684" i="3"/>
  <c r="J1677" i="3"/>
  <c r="J1669" i="3"/>
  <c r="J1662" i="3"/>
  <c r="J1642" i="3"/>
  <c r="J1627" i="3"/>
  <c r="J1619" i="3"/>
  <c r="J1611" i="3"/>
  <c r="J1603" i="3"/>
  <c r="J1452" i="3"/>
  <c r="J1583" i="3"/>
  <c r="J1575" i="3"/>
  <c r="J1567" i="3"/>
  <c r="J1469" i="3"/>
  <c r="J224" i="3"/>
  <c r="J1557" i="3"/>
  <c r="J1550" i="3"/>
  <c r="J1448" i="3"/>
  <c r="J1525" i="3"/>
  <c r="J1519" i="3"/>
  <c r="J1511" i="3"/>
  <c r="J223" i="3"/>
  <c r="J40" i="3"/>
  <c r="J324" i="3"/>
  <c r="J64" i="3"/>
  <c r="J98" i="3"/>
  <c r="J898" i="3"/>
  <c r="J159" i="3"/>
  <c r="J167" i="3"/>
  <c r="J192" i="3"/>
  <c r="J61" i="3"/>
  <c r="J307" i="3"/>
  <c r="J92" i="3"/>
  <c r="J333" i="3"/>
  <c r="J133" i="3"/>
  <c r="J321" i="3"/>
  <c r="J606" i="3"/>
  <c r="J2" i="3"/>
  <c r="J91" i="3"/>
  <c r="J132" i="3"/>
  <c r="J367" i="3"/>
  <c r="J150" i="3"/>
  <c r="J2387" i="3"/>
  <c r="J2372" i="3"/>
  <c r="J2341" i="3"/>
  <c r="J2312" i="3"/>
  <c r="J2297" i="3"/>
  <c r="J2283" i="3"/>
  <c r="J2268" i="3"/>
  <c r="J1435" i="3"/>
  <c r="J1479" i="3"/>
  <c r="J2202" i="3"/>
  <c r="J2188" i="3"/>
  <c r="J1429" i="3"/>
  <c r="J2165" i="3"/>
  <c r="J2149" i="3"/>
  <c r="J2134" i="3"/>
  <c r="J2127" i="3"/>
  <c r="J2111" i="3"/>
  <c r="J2059" i="3"/>
  <c r="J2043" i="3"/>
  <c r="J2028" i="3"/>
  <c r="J2002" i="3"/>
  <c r="J1986" i="3"/>
  <c r="J1504" i="3"/>
  <c r="J1959" i="3"/>
  <c r="J1501" i="3"/>
  <c r="J1925" i="3"/>
  <c r="J1486" i="3"/>
  <c r="J1891" i="3"/>
  <c r="J1876" i="3"/>
  <c r="J1860" i="3"/>
  <c r="J1845" i="3"/>
  <c r="J1829" i="3"/>
  <c r="J1813" i="3"/>
  <c r="J1797" i="3"/>
  <c r="J309" i="3"/>
  <c r="J1753" i="3"/>
  <c r="J1692" i="3"/>
  <c r="J1635" i="3"/>
  <c r="J172" i="3"/>
  <c r="J185" i="3"/>
  <c r="J249" i="3"/>
  <c r="J265" i="3"/>
  <c r="J241" i="3"/>
  <c r="J257" i="3"/>
  <c r="J254" i="3"/>
  <c r="J277" i="3"/>
  <c r="J334" i="3"/>
  <c r="J355" i="3"/>
  <c r="J310" i="3"/>
  <c r="J389" i="3"/>
  <c r="J381" i="3"/>
  <c r="J417" i="3"/>
  <c r="J412" i="3"/>
  <c r="J404" i="3"/>
  <c r="J396" i="3"/>
  <c r="J428" i="3"/>
  <c r="J439" i="3"/>
  <c r="J475" i="3"/>
  <c r="J468" i="3"/>
  <c r="J524" i="3"/>
  <c r="J478" i="3"/>
  <c r="J492" i="3"/>
  <c r="J506" i="3"/>
  <c r="J498" i="3"/>
  <c r="J513" i="3"/>
  <c r="J550" i="3"/>
  <c r="J537" i="3"/>
  <c r="J529" i="3"/>
  <c r="J558" i="3"/>
  <c r="J552" i="3"/>
  <c r="J580" i="3"/>
  <c r="J572" i="3"/>
  <c r="J604" i="3"/>
  <c r="J596" i="3"/>
  <c r="J637" i="3"/>
  <c r="J607" i="3"/>
  <c r="J617" i="3"/>
  <c r="J611" i="3"/>
  <c r="J687" i="3"/>
  <c r="J680" i="3"/>
  <c r="J672" i="3"/>
  <c r="J664" i="3"/>
  <c r="J648" i="3"/>
  <c r="J705" i="3"/>
  <c r="J696" i="3"/>
  <c r="J730" i="3"/>
  <c r="J734" i="3"/>
  <c r="J766" i="3"/>
  <c r="J758" i="3"/>
  <c r="J792" i="3"/>
  <c r="J785" i="3"/>
  <c r="J778" i="3"/>
  <c r="J802" i="3"/>
  <c r="J801" i="3"/>
  <c r="J835" i="3"/>
  <c r="J829" i="3"/>
  <c r="J896" i="3"/>
  <c r="J845" i="3"/>
  <c r="J865" i="3"/>
  <c r="J838" i="3"/>
  <c r="J869" i="3"/>
  <c r="J982" i="3"/>
  <c r="J886" i="3"/>
  <c r="J915" i="3"/>
  <c r="J908" i="3"/>
  <c r="J900" i="3"/>
  <c r="J947" i="3"/>
  <c r="J940" i="3"/>
  <c r="J934" i="3"/>
  <c r="J1002" i="3"/>
  <c r="J967" i="3"/>
  <c r="J955" i="3"/>
  <c r="J996" i="3"/>
  <c r="J1055" i="3"/>
  <c r="J1018" i="3"/>
  <c r="J1012" i="3"/>
  <c r="J1036" i="3"/>
  <c r="J1028" i="3"/>
  <c r="J1048" i="3"/>
  <c r="J1070" i="3"/>
  <c r="J1059" i="3"/>
  <c r="J1083" i="3"/>
  <c r="J1075" i="3"/>
  <c r="J1107" i="3"/>
  <c r="J1100" i="3"/>
  <c r="J1061" i="3"/>
  <c r="J1132" i="3"/>
  <c r="J1124" i="3"/>
  <c r="J1146" i="3"/>
  <c r="J1164" i="3"/>
  <c r="J1206" i="3"/>
  <c r="J1203" i="3"/>
  <c r="J1198" i="3"/>
  <c r="J1211" i="3"/>
  <c r="J1215" i="3"/>
  <c r="J1221" i="3"/>
  <c r="J1108" i="3"/>
  <c r="J1238" i="3"/>
  <c r="J1239" i="3"/>
  <c r="J1244" i="3"/>
  <c r="J1288" i="3"/>
  <c r="J1276" i="3"/>
  <c r="J1281" i="3"/>
  <c r="J1348" i="3"/>
  <c r="J1341" i="3"/>
  <c r="J716" i="3"/>
  <c r="J1328" i="3"/>
  <c r="J1320" i="3"/>
  <c r="J1312" i="3"/>
  <c r="J178" i="3"/>
  <c r="J1353" i="3"/>
  <c r="J1363" i="3"/>
  <c r="J1368" i="3"/>
  <c r="J1377" i="3"/>
  <c r="J2407" i="3"/>
  <c r="J2399" i="3"/>
  <c r="J1453" i="3"/>
  <c r="J2355" i="3"/>
  <c r="J2362" i="3"/>
  <c r="J2339" i="3"/>
  <c r="J2331" i="3"/>
  <c r="J2323" i="3"/>
  <c r="J2316" i="3"/>
  <c r="J2310" i="3"/>
  <c r="J2302" i="3"/>
  <c r="J1445" i="3"/>
  <c r="J2289" i="3"/>
  <c r="J2281" i="3"/>
  <c r="J2274" i="3"/>
  <c r="J2267" i="3"/>
  <c r="J2259" i="3"/>
  <c r="J2252" i="3"/>
  <c r="J2244" i="3"/>
  <c r="J2229" i="3"/>
  <c r="J2215" i="3"/>
  <c r="J2208" i="3"/>
  <c r="J2200" i="3"/>
  <c r="J2193" i="3"/>
  <c r="J1503" i="3"/>
  <c r="J2179" i="3"/>
  <c r="J2177" i="3"/>
  <c r="J2163" i="3"/>
  <c r="J2155" i="3"/>
  <c r="J2147" i="3"/>
  <c r="J2140" i="3"/>
  <c r="J2132" i="3"/>
  <c r="J2125" i="3"/>
  <c r="J2117" i="3"/>
  <c r="J2109" i="3"/>
  <c r="J2101" i="3"/>
  <c r="J2093" i="3"/>
  <c r="J2073" i="3"/>
  <c r="J2065" i="3"/>
  <c r="J2057" i="3"/>
  <c r="J2049" i="3"/>
  <c r="J1442" i="3"/>
  <c r="J2034" i="3"/>
  <c r="J2026" i="3"/>
  <c r="J2012" i="3"/>
  <c r="J2007" i="3"/>
  <c r="J2000" i="3"/>
  <c r="J1992" i="3"/>
  <c r="J1985" i="3"/>
  <c r="J1977" i="3"/>
  <c r="J1957" i="3"/>
  <c r="J1941" i="3"/>
  <c r="J1923" i="3"/>
  <c r="J1918" i="3"/>
  <c r="J1895" i="3"/>
  <c r="J2322" i="3"/>
  <c r="J1882" i="3"/>
  <c r="J1858" i="3"/>
  <c r="J1851" i="3"/>
  <c r="J1843" i="3"/>
  <c r="J1835" i="3"/>
  <c r="J1827" i="3"/>
  <c r="J1819" i="3"/>
  <c r="J1811" i="3"/>
  <c r="J1803" i="3"/>
  <c r="J1795" i="3"/>
  <c r="J1788" i="3"/>
  <c r="J1782" i="3"/>
  <c r="J1774" i="3"/>
  <c r="J1766" i="3"/>
  <c r="J1731" i="3"/>
  <c r="J1426" i="3"/>
  <c r="J1421" i="3"/>
  <c r="J1675" i="3"/>
  <c r="J1667" i="3"/>
  <c r="J1660" i="3"/>
  <c r="J1647" i="3"/>
  <c r="J1641" i="3"/>
  <c r="J1633" i="3"/>
  <c r="J1625" i="3"/>
  <c r="J1617" i="3"/>
  <c r="J1609" i="3"/>
  <c r="J1480" i="3"/>
  <c r="J1595" i="3"/>
  <c r="J1573" i="3"/>
  <c r="J1407" i="3"/>
  <c r="J1563" i="3"/>
  <c r="J1555" i="3"/>
  <c r="J1548" i="3"/>
  <c r="J1543" i="3"/>
  <c r="J1493" i="3"/>
  <c r="J1460" i="3"/>
  <c r="J1517" i="3"/>
  <c r="J1509" i="3"/>
  <c r="J308" i="3"/>
  <c r="J161" i="3"/>
  <c r="J202" i="3"/>
  <c r="J221" i="3"/>
  <c r="J12" i="3"/>
  <c r="J45" i="3"/>
  <c r="J72" i="3"/>
  <c r="J33" i="3"/>
  <c r="J56" i="3"/>
  <c r="J81" i="3"/>
  <c r="J103" i="3"/>
  <c r="J1064" i="3"/>
  <c r="J142" i="3"/>
  <c r="J157" i="3"/>
  <c r="J175" i="3"/>
  <c r="J253" i="3"/>
  <c r="J271" i="3"/>
  <c r="J635" i="3"/>
  <c r="J343" i="3"/>
  <c r="J166" i="3"/>
  <c r="J634" i="3"/>
  <c r="J30" i="3"/>
  <c r="J89" i="3"/>
  <c r="J124" i="3"/>
  <c r="J130" i="3"/>
  <c r="J156" i="3"/>
  <c r="J214" i="3"/>
  <c r="J234" i="3"/>
  <c r="J230" i="3"/>
  <c r="J256" i="3"/>
  <c r="J283" i="3"/>
  <c r="J358" i="3"/>
  <c r="J340" i="3"/>
  <c r="J353" i="3"/>
  <c r="J369" i="3"/>
  <c r="J387" i="3"/>
  <c r="J379" i="3"/>
  <c r="J402" i="3"/>
  <c r="J426" i="3"/>
  <c r="J458" i="3"/>
  <c r="J446" i="3"/>
  <c r="J474" i="3"/>
  <c r="J466" i="3"/>
  <c r="J489" i="3"/>
  <c r="J483" i="3"/>
  <c r="J549" i="3"/>
  <c r="J504" i="3"/>
  <c r="J496" i="3"/>
  <c r="J517" i="3"/>
  <c r="J512" i="3"/>
  <c r="J713" i="3"/>
  <c r="J535" i="3"/>
  <c r="J527" i="3"/>
  <c r="J556" i="3"/>
  <c r="J578" i="3"/>
  <c r="J594" i="3"/>
  <c r="J628" i="3"/>
  <c r="J616" i="3"/>
  <c r="J609" i="3"/>
  <c r="J685" i="3"/>
  <c r="J678" i="3"/>
  <c r="J670" i="3"/>
  <c r="J662" i="3"/>
  <c r="J647" i="3"/>
  <c r="J709" i="3"/>
  <c r="J703" i="3"/>
  <c r="J820" i="3"/>
  <c r="J721" i="3"/>
  <c r="J764" i="3"/>
  <c r="J854" i="3"/>
  <c r="J737" i="3"/>
  <c r="J790" i="3"/>
  <c r="J776" i="3"/>
  <c r="J812" i="3"/>
  <c r="J807" i="3"/>
  <c r="J837" i="3"/>
  <c r="J827" i="3"/>
  <c r="J849" i="3"/>
  <c r="J881" i="3"/>
  <c r="J874" i="3"/>
  <c r="J882" i="3"/>
  <c r="J884" i="3"/>
  <c r="J1093" i="3"/>
  <c r="J906" i="3"/>
  <c r="J952" i="3"/>
  <c r="J945" i="3"/>
  <c r="J1004" i="3"/>
  <c r="J978" i="3"/>
  <c r="J973" i="3"/>
  <c r="J965" i="3"/>
  <c r="J959" i="3"/>
  <c r="J855" i="3"/>
  <c r="J994" i="3"/>
  <c r="J987" i="3"/>
  <c r="J1082" i="3"/>
  <c r="J1010" i="3"/>
  <c r="J1172" i="3"/>
  <c r="J1026" i="3"/>
  <c r="J1046" i="3"/>
  <c r="J1038" i="3"/>
  <c r="J1065" i="3"/>
  <c r="J932" i="3"/>
  <c r="J1081" i="3"/>
  <c r="J1106" i="3"/>
  <c r="J1099" i="3"/>
  <c r="J1149" i="3"/>
  <c r="J1089" i="3"/>
  <c r="J1145" i="3"/>
  <c r="J1160" i="3"/>
  <c r="J1175" i="3"/>
  <c r="J1412" i="3"/>
  <c r="J1181" i="3"/>
  <c r="J1192" i="3"/>
  <c r="J1229" i="3"/>
  <c r="J1213" i="3"/>
  <c r="J1302" i="3"/>
  <c r="J867" i="3"/>
  <c r="J1278" i="3"/>
  <c r="J1274" i="3"/>
  <c r="J1271" i="3"/>
  <c r="J1289" i="3"/>
  <c r="J1286" i="3"/>
  <c r="J1280" i="3"/>
  <c r="J1346" i="3"/>
  <c r="J1339" i="3"/>
  <c r="J714" i="3"/>
  <c r="J1326" i="3"/>
  <c r="J1318" i="3"/>
  <c r="J1304" i="3"/>
  <c r="J1351" i="3"/>
  <c r="J1362" i="3"/>
  <c r="J1476" i="3"/>
  <c r="J1380" i="3"/>
  <c r="J2398" i="3"/>
  <c r="J2391" i="3"/>
  <c r="J2384" i="3"/>
  <c r="J2377" i="3"/>
  <c r="J2369" i="3"/>
  <c r="J2345" i="3"/>
  <c r="J2338" i="3"/>
  <c r="J2330" i="3"/>
  <c r="J1649" i="3"/>
  <c r="J1498" i="3"/>
  <c r="J2309" i="3"/>
  <c r="J2301" i="3"/>
  <c r="J2295" i="3"/>
  <c r="J2288" i="3"/>
  <c r="J2280" i="3"/>
  <c r="J2273" i="3"/>
  <c r="J2266" i="3"/>
  <c r="J2258" i="3"/>
  <c r="J2251" i="3"/>
  <c r="J2243" i="3"/>
  <c r="J1492" i="3"/>
  <c r="J2222" i="3"/>
  <c r="J2214" i="3"/>
  <c r="J2207" i="3"/>
  <c r="J2199" i="3"/>
  <c r="J2192" i="3"/>
  <c r="J2186" i="3"/>
  <c r="J2178" i="3"/>
  <c r="J2176" i="3"/>
  <c r="J2162" i="3"/>
  <c r="J2154" i="3"/>
  <c r="J2146" i="3"/>
  <c r="J2139" i="3"/>
  <c r="J2131" i="3"/>
  <c r="J2124" i="3"/>
  <c r="J2116" i="3"/>
  <c r="J2108" i="3"/>
  <c r="J2100" i="3"/>
  <c r="J2092" i="3"/>
  <c r="J1473" i="3"/>
  <c r="J2064" i="3"/>
  <c r="J2056" i="3"/>
  <c r="J2048" i="3"/>
  <c r="J2041" i="3"/>
  <c r="J2019" i="3"/>
  <c r="J2011" i="3"/>
  <c r="J1991" i="3"/>
  <c r="J1984" i="3"/>
  <c r="J1976" i="3"/>
  <c r="J1972" i="3"/>
  <c r="J1964" i="3"/>
  <c r="J1948" i="3"/>
  <c r="J1940" i="3"/>
  <c r="J1922" i="3"/>
  <c r="J1917" i="3"/>
  <c r="J1894" i="3"/>
  <c r="J1889" i="3"/>
  <c r="J1881" i="3"/>
  <c r="J1865" i="3"/>
  <c r="J1857" i="3"/>
  <c r="J1850" i="3"/>
  <c r="J1842" i="3"/>
  <c r="J1834" i="3"/>
  <c r="J1826" i="3"/>
  <c r="J2413" i="3"/>
  <c r="J2397" i="3"/>
  <c r="J2376" i="3"/>
  <c r="J2337" i="3"/>
  <c r="J2321" i="3"/>
  <c r="J2315" i="3"/>
  <c r="J2308" i="3"/>
  <c r="J1402" i="3"/>
  <c r="J2294" i="3"/>
  <c r="J2287" i="3"/>
  <c r="J1472" i="3"/>
  <c r="J2272" i="3"/>
  <c r="J2265" i="3"/>
  <c r="J2257" i="3"/>
  <c r="J2242" i="3"/>
  <c r="J2235" i="3"/>
  <c r="J2228" i="3"/>
  <c r="J2221" i="3"/>
  <c r="J2213" i="3"/>
  <c r="J2206" i="3"/>
  <c r="J1443" i="3"/>
  <c r="J2191" i="3"/>
  <c r="J2185" i="3"/>
  <c r="J1433" i="3"/>
  <c r="J1451" i="3"/>
  <c r="J2169" i="3"/>
  <c r="J2161" i="3"/>
  <c r="J2145" i="3"/>
  <c r="J2138" i="3"/>
  <c r="J1489" i="3"/>
  <c r="J2123" i="3"/>
  <c r="J2115" i="3"/>
  <c r="J2107" i="3"/>
  <c r="J2099" i="3"/>
  <c r="J2091" i="3"/>
  <c r="J1494" i="3"/>
  <c r="J2079" i="3"/>
  <c r="J2071" i="3"/>
  <c r="J2063" i="3"/>
  <c r="J2055" i="3"/>
  <c r="J2047" i="3"/>
  <c r="J2040" i="3"/>
  <c r="J2032" i="3"/>
  <c r="J1411" i="3"/>
  <c r="J1683" i="3"/>
  <c r="J1998" i="3"/>
  <c r="J1990" i="3"/>
  <c r="J1983" i="3"/>
  <c r="J1975" i="3"/>
  <c r="J1955" i="3"/>
  <c r="J1947" i="3"/>
  <c r="J1939" i="3"/>
  <c r="J1462" i="3"/>
  <c r="J1929" i="3"/>
  <c r="J1921" i="3"/>
  <c r="J1893" i="3"/>
  <c r="J1888" i="3"/>
  <c r="J1864" i="3"/>
  <c r="J1505" i="3"/>
  <c r="J1849" i="3"/>
  <c r="J1841" i="3"/>
  <c r="J1833" i="3"/>
  <c r="J1825" i="3"/>
  <c r="J1817" i="3"/>
  <c r="J1809" i="3"/>
  <c r="J1801" i="3"/>
  <c r="J1793" i="3"/>
  <c r="J1786" i="3"/>
  <c r="J1780" i="3"/>
  <c r="J1772" i="3"/>
  <c r="J1765" i="3"/>
  <c r="J1757" i="3"/>
  <c r="J1749" i="3"/>
  <c r="J1742" i="3"/>
  <c r="J1818" i="3"/>
  <c r="J1810" i="3"/>
  <c r="J1802" i="3"/>
  <c r="J1794" i="3"/>
  <c r="J1787" i="3"/>
  <c r="J1781" i="3"/>
  <c r="J1773" i="3"/>
  <c r="J1439" i="3"/>
  <c r="J1750" i="3"/>
  <c r="J1730" i="3"/>
  <c r="J1717" i="3"/>
  <c r="J1459" i="3"/>
  <c r="J1682" i="3"/>
  <c r="J1674" i="3"/>
  <c r="J1666" i="3"/>
  <c r="J1659" i="3"/>
  <c r="J1652" i="3"/>
  <c r="J1646" i="3"/>
  <c r="J1640" i="3"/>
  <c r="J1632" i="3"/>
  <c r="J1624" i="3"/>
  <c r="J1616" i="3"/>
  <c r="J1608" i="3"/>
  <c r="J1601" i="3"/>
  <c r="J1594" i="3"/>
  <c r="J1572" i="3"/>
  <c r="J1566" i="3"/>
  <c r="J1562" i="3"/>
  <c r="J1560" i="3"/>
  <c r="J1554" i="3"/>
  <c r="J1547" i="3"/>
  <c r="J1529" i="3"/>
  <c r="J1538" i="3"/>
  <c r="J1523" i="3"/>
  <c r="J1516" i="3"/>
  <c r="J1397" i="3"/>
  <c r="J86" i="3"/>
  <c r="J164" i="3"/>
  <c r="J75" i="3"/>
  <c r="J5" i="3"/>
  <c r="J37" i="3"/>
  <c r="J105" i="3"/>
  <c r="J60" i="3"/>
  <c r="J636" i="3"/>
  <c r="J80" i="3"/>
  <c r="J102" i="3"/>
  <c r="J897" i="3"/>
  <c r="J170" i="3"/>
  <c r="J197" i="3"/>
  <c r="J219" i="3"/>
  <c r="J305" i="3"/>
  <c r="J300" i="3"/>
  <c r="J342" i="3"/>
  <c r="J395" i="3"/>
  <c r="J319" i="3"/>
  <c r="J633" i="3"/>
  <c r="J29" i="3"/>
  <c r="J129" i="3"/>
  <c r="J155" i="3"/>
  <c r="J229" i="3"/>
  <c r="J245" i="3"/>
  <c r="J262" i="3"/>
  <c r="J255" i="3"/>
  <c r="J289" i="3"/>
  <c r="J282" i="3"/>
  <c r="J339" i="3"/>
  <c r="J345" i="3"/>
  <c r="J352" i="3"/>
  <c r="J394" i="3"/>
  <c r="J378" i="3"/>
  <c r="J416" i="3"/>
  <c r="J409" i="3"/>
  <c r="J401" i="3"/>
  <c r="J433" i="3"/>
  <c r="J444" i="3"/>
  <c r="J457" i="3"/>
  <c r="J451" i="3"/>
  <c r="J473" i="3"/>
  <c r="J465" i="3"/>
  <c r="J1372" i="3"/>
  <c r="J377" i="3"/>
  <c r="J511" i="3"/>
  <c r="J503" i="3"/>
  <c r="J495" i="3"/>
  <c r="J548" i="3"/>
  <c r="J547" i="3"/>
  <c r="J542" i="3"/>
  <c r="J534" i="3"/>
  <c r="J563" i="3"/>
  <c r="J555" i="3"/>
  <c r="J577" i="3"/>
  <c r="J569" i="3"/>
  <c r="J601" i="3"/>
  <c r="J593" i="3"/>
  <c r="J627" i="3"/>
  <c r="J621" i="3"/>
  <c r="J615" i="3"/>
  <c r="J608" i="3"/>
  <c r="J694" i="3"/>
  <c r="J677" i="3"/>
  <c r="J669" i="3"/>
  <c r="J661" i="3"/>
  <c r="J653" i="3"/>
  <c r="J646" i="3"/>
  <c r="J727" i="3"/>
  <c r="J720" i="3"/>
  <c r="J763" i="3"/>
  <c r="J735" i="3"/>
  <c r="J752" i="3"/>
  <c r="J744" i="3"/>
  <c r="J640" i="3"/>
  <c r="J782" i="3"/>
  <c r="J800" i="3"/>
  <c r="J806" i="3"/>
  <c r="J825" i="3"/>
  <c r="J848" i="3"/>
  <c r="J880" i="3"/>
  <c r="J873" i="3"/>
  <c r="J894" i="3"/>
  <c r="J888" i="3"/>
  <c r="J905" i="3"/>
  <c r="J953" i="3"/>
  <c r="J979" i="3"/>
  <c r="J939" i="3"/>
  <c r="J1003" i="3"/>
  <c r="J972" i="3"/>
  <c r="J964" i="3"/>
  <c r="J958" i="3"/>
  <c r="J1034" i="3"/>
  <c r="J993" i="3"/>
  <c r="J986" i="3"/>
  <c r="J1016" i="3"/>
  <c r="J1009" i="3"/>
  <c r="J1033" i="3"/>
  <c r="J1025" i="3"/>
  <c r="J1291" i="3"/>
  <c r="J1037" i="3"/>
  <c r="J1364" i="3"/>
  <c r="J1088" i="3"/>
  <c r="J1080" i="3"/>
  <c r="J1072" i="3"/>
  <c r="J1105" i="3"/>
  <c r="J1098" i="3"/>
  <c r="J1138" i="3"/>
  <c r="J1148" i="3"/>
  <c r="J1136" i="3"/>
  <c r="J1156" i="3"/>
  <c r="J1174" i="3"/>
  <c r="J1159" i="3"/>
  <c r="J1201" i="3"/>
  <c r="J1196" i="3"/>
  <c r="J1233" i="3"/>
  <c r="J1228" i="3"/>
  <c r="J1225" i="3"/>
  <c r="J1301" i="3"/>
  <c r="J1249" i="3"/>
  <c r="J1297" i="3"/>
  <c r="J1243" i="3"/>
  <c r="J1293" i="3"/>
  <c r="J1270" i="3"/>
  <c r="J1283" i="3"/>
  <c r="J1345" i="3"/>
  <c r="J1338" i="3"/>
  <c r="J1333" i="3"/>
  <c r="J1325" i="3"/>
  <c r="J1317" i="3"/>
  <c r="J1357" i="3"/>
  <c r="J1365" i="3"/>
  <c r="J1373" i="3"/>
  <c r="J1390" i="3"/>
  <c r="J1729" i="3"/>
  <c r="J1716" i="3"/>
  <c r="J984" i="3"/>
  <c r="J1681" i="3"/>
  <c r="J1673" i="3"/>
  <c r="J1665" i="3"/>
  <c r="J1658" i="3"/>
  <c r="J1651" i="3"/>
  <c r="J1454" i="3"/>
  <c r="J1639" i="3"/>
  <c r="J1631" i="3"/>
  <c r="J1623" i="3"/>
  <c r="J1615" i="3"/>
  <c r="J1607" i="3"/>
  <c r="J1600" i="3"/>
  <c r="J1464" i="3"/>
  <c r="J76" i="3"/>
  <c r="J1466" i="3"/>
  <c r="J1546" i="3"/>
  <c r="J1695" i="3"/>
  <c r="J1537" i="3"/>
  <c r="J1478" i="3"/>
  <c r="J1522" i="3"/>
  <c r="J1515" i="3"/>
  <c r="J1396" i="3"/>
  <c r="J87" i="3"/>
  <c r="J171" i="3"/>
  <c r="J201" i="3"/>
  <c r="J25" i="3"/>
  <c r="J18" i="3"/>
  <c r="J36" i="3"/>
  <c r="J10" i="3"/>
  <c r="J59" i="3"/>
  <c r="J1041" i="3"/>
  <c r="J65" i="3"/>
  <c r="J148" i="3"/>
  <c r="J169" i="3"/>
  <c r="J196" i="3"/>
  <c r="J275" i="3"/>
  <c r="J32" i="3"/>
  <c r="J351" i="3"/>
  <c r="J425" i="3"/>
  <c r="J318" i="3"/>
  <c r="J297" i="3"/>
  <c r="J141" i="3"/>
  <c r="J154" i="3"/>
  <c r="J180" i="3"/>
  <c r="J228" i="3"/>
  <c r="J261" i="3"/>
  <c r="J295" i="3"/>
  <c r="J288" i="3"/>
  <c r="J338" i="3"/>
  <c r="J344" i="3"/>
  <c r="J393" i="3"/>
  <c r="J415" i="3"/>
  <c r="J408" i="3"/>
  <c r="J400" i="3"/>
  <c r="J432" i="3"/>
  <c r="J443" i="3"/>
  <c r="J450" i="3"/>
  <c r="J472" i="3"/>
  <c r="J464" i="3"/>
  <c r="J488" i="3"/>
  <c r="J482" i="3"/>
  <c r="J502" i="3"/>
  <c r="J523" i="3"/>
  <c r="J516" i="3"/>
  <c r="J546" i="3"/>
  <c r="J541" i="3"/>
  <c r="J533" i="3"/>
  <c r="J562" i="3"/>
  <c r="J564" i="3"/>
  <c r="J576" i="3"/>
  <c r="J568" i="3"/>
  <c r="J600" i="3"/>
  <c r="J592" i="3"/>
  <c r="J712" i="3"/>
  <c r="J620" i="3"/>
  <c r="J614" i="3"/>
  <c r="J691" i="3"/>
  <c r="J684" i="3"/>
  <c r="J676" i="3"/>
  <c r="J668" i="3"/>
  <c r="J660" i="3"/>
  <c r="J652" i="3"/>
  <c r="J701" i="3"/>
  <c r="J719" i="3"/>
  <c r="J762" i="3"/>
  <c r="J736" i="3"/>
  <c r="J751" i="3"/>
  <c r="J743" i="3"/>
  <c r="J795" i="3"/>
  <c r="J206" i="3"/>
  <c r="J775" i="3"/>
  <c r="J817" i="3"/>
  <c r="J810" i="3"/>
  <c r="J805" i="3"/>
  <c r="J833" i="3"/>
  <c r="J822" i="3"/>
  <c r="J895" i="3"/>
  <c r="J861" i="3"/>
  <c r="J872" i="3"/>
  <c r="J893" i="3"/>
  <c r="J981" i="3"/>
  <c r="J927" i="3"/>
  <c r="J904" i="3"/>
  <c r="J944" i="3"/>
  <c r="J938" i="3"/>
  <c r="J1481" i="3"/>
  <c r="J971" i="3"/>
  <c r="J963" i="3"/>
  <c r="J957" i="3"/>
  <c r="J1000" i="3"/>
  <c r="J992" i="3"/>
  <c r="J1054" i="3"/>
  <c r="J1015" i="3"/>
  <c r="J1008" i="3"/>
  <c r="J1032" i="3"/>
  <c r="J1024" i="3"/>
  <c r="J1069" i="3"/>
  <c r="J1063" i="3"/>
  <c r="J445" i="3"/>
  <c r="J68" i="3"/>
  <c r="J1079" i="3"/>
  <c r="J1268" i="3"/>
  <c r="J1111" i="3"/>
  <c r="J1097" i="3"/>
  <c r="J1152" i="3"/>
  <c r="J1141" i="3"/>
  <c r="J1179" i="3"/>
  <c r="J1161" i="3"/>
  <c r="J1171" i="3"/>
  <c r="J1208" i="3"/>
  <c r="J1205" i="3"/>
  <c r="J1200" i="3"/>
  <c r="J1190" i="3"/>
  <c r="J1232" i="3"/>
  <c r="J1210" i="3"/>
  <c r="J930" i="3"/>
  <c r="J1247" i="3"/>
  <c r="J1259" i="3"/>
  <c r="J1296" i="3"/>
  <c r="J1292" i="3"/>
  <c r="J1262" i="3"/>
  <c r="J1256" i="3"/>
  <c r="J1252" i="3"/>
  <c r="J1344" i="3"/>
  <c r="J1337" i="3"/>
  <c r="J1324" i="3"/>
  <c r="J1316" i="3"/>
  <c r="J1051" i="3"/>
  <c r="J1361" i="3"/>
  <c r="J1367" i="3"/>
  <c r="J1434" i="3"/>
  <c r="J1235" i="3"/>
  <c r="J1389" i="3"/>
  <c r="J2408" i="3"/>
  <c r="J2400" i="3"/>
  <c r="J2392" i="3"/>
  <c r="J2386" i="3"/>
  <c r="J2371" i="3"/>
  <c r="J2363" i="3"/>
  <c r="J1499" i="3"/>
  <c r="J1500" i="3"/>
  <c r="J2332" i="3"/>
  <c r="J2311" i="3"/>
  <c r="J2303" i="3"/>
  <c r="J2296" i="3"/>
  <c r="J2290" i="3"/>
  <c r="J2282" i="3"/>
  <c r="J2275" i="3"/>
  <c r="J1471" i="3"/>
  <c r="J2260" i="3"/>
  <c r="J2253" i="3"/>
  <c r="J2245" i="3"/>
  <c r="J2230" i="3"/>
  <c r="J2216" i="3"/>
  <c r="J2201" i="3"/>
  <c r="J2194" i="3"/>
  <c r="J2180" i="3"/>
  <c r="J1428" i="3"/>
  <c r="J2164" i="3"/>
  <c r="J2156" i="3"/>
  <c r="J2148" i="3"/>
  <c r="J1491" i="3"/>
  <c r="J2133" i="3"/>
  <c r="J2126" i="3"/>
  <c r="J2118" i="3"/>
  <c r="J2110" i="3"/>
  <c r="J2102" i="3"/>
  <c r="J2094" i="3"/>
  <c r="J1416" i="3"/>
  <c r="J2074" i="3"/>
  <c r="J2066" i="3"/>
  <c r="J2058" i="3"/>
  <c r="J2050" i="3"/>
  <c r="J2042" i="3"/>
  <c r="J2035" i="3"/>
  <c r="J2027" i="3"/>
  <c r="J2021" i="3"/>
  <c r="J2013" i="3"/>
  <c r="J2008" i="3"/>
  <c r="J2001" i="3"/>
  <c r="J1993" i="3"/>
  <c r="J1424" i="3"/>
  <c r="J1974" i="3"/>
  <c r="J1966" i="3"/>
  <c r="J1482" i="3"/>
  <c r="J1924" i="3"/>
  <c r="J1919" i="3"/>
  <c r="J1904" i="3"/>
  <c r="J1896" i="3"/>
  <c r="J1890" i="3"/>
  <c r="J1883" i="3"/>
  <c r="J1875" i="3"/>
  <c r="J1859" i="3"/>
  <c r="J1852" i="3"/>
  <c r="J1844" i="3"/>
  <c r="J1836" i="3"/>
  <c r="J1828" i="3"/>
  <c r="J1820" i="3"/>
  <c r="J1812" i="3"/>
  <c r="J1804" i="3"/>
  <c r="J1796" i="3"/>
  <c r="J490" i="3"/>
  <c r="J1775" i="3"/>
  <c r="J1752" i="3"/>
  <c r="J1467" i="3"/>
  <c r="J1408" i="3"/>
  <c r="J1732" i="3"/>
  <c r="J1475" i="3"/>
  <c r="J1703" i="3"/>
  <c r="J1427" i="3"/>
  <c r="J1691" i="3"/>
  <c r="J1484" i="3"/>
  <c r="J1676" i="3"/>
  <c r="J1668" i="3"/>
  <c r="J1661" i="3"/>
  <c r="J2410" i="3"/>
  <c r="J1634" i="3"/>
  <c r="J1626" i="3"/>
  <c r="J1618" i="3"/>
  <c r="J1610" i="3"/>
  <c r="J1596" i="3"/>
  <c r="J1590" i="3"/>
  <c r="J1582" i="3"/>
  <c r="J1574" i="3"/>
  <c r="J1437" i="3"/>
  <c r="J1468" i="3"/>
  <c r="J239" i="3"/>
  <c r="J1556" i="3"/>
  <c r="J1549" i="3"/>
  <c r="J1457" i="3"/>
  <c r="J1532" i="3"/>
  <c r="J1524" i="3"/>
  <c r="J1518" i="3"/>
  <c r="J1510" i="3"/>
  <c r="J52" i="3"/>
  <c r="J108" i="3"/>
  <c r="J21" i="3"/>
  <c r="J54" i="3"/>
  <c r="J73" i="3"/>
  <c r="J27" i="3"/>
  <c r="J66" i="3"/>
  <c r="J97" i="3"/>
  <c r="J134" i="3"/>
  <c r="J158" i="3"/>
  <c r="J176" i="3"/>
  <c r="J191" i="3"/>
  <c r="J238" i="3"/>
  <c r="J306" i="3"/>
  <c r="J301" i="3"/>
  <c r="J332" i="3"/>
  <c r="J144" i="3"/>
  <c r="J325" i="3"/>
  <c r="J605" i="3"/>
  <c r="J31" i="3"/>
  <c r="J114" i="3"/>
  <c r="J131" i="3"/>
  <c r="J137" i="3"/>
  <c r="J165" i="3"/>
  <c r="J189" i="3"/>
  <c r="J211" i="3"/>
  <c r="J231" i="3"/>
  <c r="J264" i="3"/>
  <c r="J260" i="3"/>
  <c r="J536" i="3"/>
  <c r="J603" i="3"/>
  <c r="J765" i="3"/>
  <c r="J1017" i="3"/>
  <c r="J1352" i="3"/>
  <c r="J2403" i="3"/>
  <c r="J2388" i="3"/>
  <c r="J2374" i="3"/>
  <c r="J2358" i="3"/>
  <c r="J2319" i="3"/>
  <c r="J2313" i="3"/>
  <c r="J2306" i="3"/>
  <c r="J2299" i="3"/>
  <c r="J1444" i="3"/>
  <c r="J2285" i="3"/>
  <c r="J2278" i="3"/>
  <c r="J2270" i="3"/>
  <c r="J2263" i="3"/>
  <c r="J2255" i="3"/>
  <c r="J2248" i="3"/>
  <c r="J2233" i="3"/>
  <c r="J2219" i="3"/>
  <c r="J2197" i="3"/>
  <c r="J1485" i="3"/>
  <c r="J1431" i="3"/>
  <c r="J2175" i="3"/>
  <c r="J2159" i="3"/>
  <c r="J2151" i="3"/>
  <c r="J2143" i="3"/>
  <c r="J2129" i="3"/>
  <c r="J2113" i="3"/>
  <c r="J2097" i="3"/>
  <c r="J2083" i="3"/>
  <c r="J2061" i="3"/>
  <c r="J2053" i="3"/>
  <c r="J2045" i="3"/>
  <c r="J2038" i="3"/>
  <c r="J2030" i="3"/>
  <c r="J2024" i="3"/>
  <c r="J1410" i="3"/>
  <c r="J2004" i="3"/>
  <c r="J1996" i="3"/>
  <c r="J1988" i="3"/>
  <c r="J1422" i="3"/>
  <c r="J1969" i="3"/>
  <c r="J1945" i="3"/>
  <c r="J1933" i="3"/>
  <c r="J1927" i="3"/>
  <c r="J1487" i="3"/>
  <c r="J1899" i="3"/>
  <c r="J1507" i="3"/>
  <c r="J1886" i="3"/>
  <c r="J1878" i="3"/>
  <c r="J1862" i="3"/>
  <c r="J1855" i="3"/>
  <c r="J1847" i="3"/>
  <c r="J1839" i="3"/>
  <c r="J1831" i="3"/>
  <c r="J1823" i="3"/>
  <c r="J1815" i="3"/>
  <c r="J1807" i="3"/>
  <c r="J1799" i="3"/>
  <c r="J1791" i="3"/>
  <c r="J1784" i="3"/>
  <c r="J1778" i="3"/>
  <c r="J1770" i="3"/>
  <c r="J1763" i="3"/>
  <c r="J1755" i="3"/>
  <c r="J1740" i="3"/>
  <c r="J1727" i="3"/>
  <c r="J1714" i="3"/>
  <c r="J1706" i="3"/>
  <c r="J1694" i="3"/>
  <c r="J1686" i="3"/>
  <c r="J1679" i="3"/>
  <c r="J1671" i="3"/>
  <c r="J1663" i="3"/>
  <c r="J1405" i="3"/>
  <c r="J1542" i="3"/>
  <c r="J1644" i="3"/>
  <c r="J1637" i="3"/>
  <c r="J1629" i="3"/>
  <c r="J1621" i="3"/>
  <c r="J1613" i="3"/>
  <c r="J1605" i="3"/>
  <c r="J1598" i="3"/>
  <c r="J1593" i="3"/>
  <c r="J1447" i="3"/>
  <c r="J1375" i="3"/>
  <c r="J1446" i="3"/>
  <c r="J1552" i="3"/>
  <c r="J1544" i="3"/>
  <c r="J1535" i="3"/>
  <c r="J1527" i="3"/>
  <c r="J1521" i="3"/>
  <c r="J1394" i="3"/>
  <c r="J111" i="3"/>
  <c r="J136" i="3"/>
  <c r="J205" i="3"/>
  <c r="J199" i="3"/>
  <c r="J24" i="3"/>
  <c r="J11" i="3"/>
  <c r="J8" i="3"/>
  <c r="J67" i="3"/>
  <c r="J70" i="3"/>
  <c r="J78" i="3"/>
  <c r="J93" i="3"/>
  <c r="J146" i="3"/>
  <c r="J168" i="3"/>
  <c r="J194" i="3"/>
  <c r="J217" i="3"/>
  <c r="J273" i="3"/>
  <c r="J303" i="3"/>
  <c r="J298" i="3"/>
  <c r="J349" i="3"/>
  <c r="J424" i="3"/>
  <c r="J589" i="3"/>
  <c r="J693" i="3"/>
  <c r="J77" i="3"/>
  <c r="J117" i="3"/>
  <c r="J128" i="3"/>
  <c r="J139" i="3"/>
  <c r="J152" i="3"/>
  <c r="J173" i="3"/>
  <c r="J187" i="3"/>
  <c r="J208" i="3"/>
  <c r="J423" i="3"/>
  <c r="J243" i="3"/>
  <c r="J438" i="3"/>
  <c r="J286" i="3"/>
  <c r="J279" i="3"/>
  <c r="J329" i="3"/>
  <c r="J336" i="3"/>
  <c r="J356" i="3"/>
  <c r="J376" i="3"/>
  <c r="J391" i="3"/>
  <c r="J383" i="3"/>
  <c r="J419" i="3"/>
  <c r="J406" i="3"/>
  <c r="J398" i="3"/>
  <c r="J430" i="3"/>
  <c r="J441" i="3"/>
  <c r="J455" i="3"/>
  <c r="J448" i="3"/>
  <c r="J470" i="3"/>
  <c r="J462" i="3"/>
  <c r="J486" i="3"/>
  <c r="J480" i="3"/>
  <c r="J500" i="3"/>
  <c r="J521" i="3"/>
  <c r="J514" i="3"/>
  <c r="J544" i="3"/>
  <c r="J539" i="3"/>
  <c r="J531" i="3"/>
  <c r="J560" i="3"/>
  <c r="J554" i="3"/>
  <c r="J566" i="3"/>
  <c r="J598" i="3"/>
  <c r="J625" i="3"/>
  <c r="J618" i="3"/>
  <c r="J613" i="3"/>
  <c r="J689" i="3"/>
  <c r="J682" i="3"/>
  <c r="J666" i="3"/>
  <c r="J643" i="3"/>
  <c r="J797" i="3"/>
  <c r="J732" i="3"/>
  <c r="J724" i="3"/>
  <c r="J717" i="3"/>
  <c r="J760" i="3"/>
  <c r="J770" i="3"/>
  <c r="J749" i="3"/>
  <c r="J741" i="3"/>
  <c r="J779" i="3"/>
  <c r="J773" i="3"/>
  <c r="J815" i="3"/>
  <c r="J809" i="3"/>
  <c r="J823" i="3"/>
  <c r="J846" i="3"/>
  <c r="J839" i="3"/>
  <c r="J859" i="3"/>
  <c r="J883" i="3"/>
  <c r="J980" i="3"/>
  <c r="J925" i="3"/>
  <c r="J910" i="3"/>
  <c r="J902" i="3"/>
  <c r="J949" i="3"/>
  <c r="J942" i="3"/>
  <c r="J976" i="3"/>
  <c r="J1021" i="3"/>
  <c r="J956" i="3"/>
  <c r="J998" i="3"/>
  <c r="J990" i="3"/>
  <c r="J985" i="3"/>
  <c r="J1150" i="3"/>
  <c r="J1006" i="3"/>
  <c r="J1030" i="3"/>
  <c r="J1050" i="3"/>
  <c r="J1042" i="3"/>
  <c r="J1119" i="3"/>
  <c r="J1382" i="3"/>
  <c r="J1275" i="3"/>
  <c r="J1117" i="3"/>
  <c r="J1109" i="3"/>
  <c r="J1151" i="3"/>
  <c r="J1133" i="3"/>
  <c r="J931" i="3"/>
  <c r="J1077" i="3"/>
  <c r="J1169" i="3"/>
  <c r="J1182" i="3"/>
  <c r="J1199" i="3"/>
  <c r="J1184" i="3"/>
  <c r="J1219" i="3"/>
  <c r="J1226" i="3"/>
  <c r="J1223" i="3"/>
  <c r="J1255" i="3"/>
  <c r="J1277" i="3"/>
  <c r="J1237" i="3"/>
  <c r="J1253" i="3"/>
  <c r="J1474" i="3"/>
  <c r="J1254" i="3"/>
  <c r="J1287" i="3"/>
  <c r="J1284" i="3"/>
  <c r="J1282" i="3"/>
  <c r="J1342" i="3"/>
  <c r="J1330" i="3"/>
  <c r="J1322" i="3"/>
  <c r="J1314" i="3"/>
  <c r="J1306" i="3"/>
  <c r="J1355" i="3"/>
  <c r="J1359" i="3"/>
  <c r="J1477" i="3"/>
  <c r="J1383" i="3"/>
  <c r="J1392" i="3"/>
  <c r="J2412" i="3"/>
  <c r="J2389" i="3"/>
  <c r="J1458" i="3"/>
  <c r="J2367" i="3"/>
  <c r="J2359" i="3"/>
  <c r="J2343" i="3"/>
  <c r="J2314" i="3"/>
  <c r="J2307" i="3"/>
  <c r="J2300" i="3"/>
  <c r="J2293" i="3"/>
  <c r="J2286" i="3"/>
  <c r="J2279" i="3"/>
  <c r="J2271" i="3"/>
  <c r="J2264" i="3"/>
  <c r="J2256" i="3"/>
  <c r="J2234" i="3"/>
  <c r="J1488" i="3"/>
  <c r="J2220" i="3"/>
  <c r="J2205" i="3"/>
  <c r="J2198" i="3"/>
  <c r="J2190" i="3"/>
  <c r="J2184" i="3"/>
  <c r="J1432" i="3"/>
  <c r="J1450" i="3"/>
  <c r="J2160" i="3"/>
  <c r="J2152" i="3"/>
  <c r="J2144" i="3"/>
  <c r="J2130" i="3"/>
  <c r="J2122" i="3"/>
  <c r="J2114" i="3"/>
  <c r="J2106" i="3"/>
  <c r="J2098" i="3"/>
  <c r="J1495" i="3"/>
  <c r="J2078" i="3"/>
  <c r="J2070" i="3"/>
  <c r="J2062" i="3"/>
  <c r="J2054" i="3"/>
  <c r="J2046" i="3"/>
  <c r="J2039" i="3"/>
  <c r="J2031" i="3"/>
  <c r="J2025" i="3"/>
  <c r="J2010" i="3"/>
  <c r="J2005" i="3"/>
  <c r="J1997" i="3"/>
  <c r="J1989" i="3"/>
  <c r="J1982" i="3"/>
  <c r="J1423" i="3"/>
  <c r="J1962" i="3"/>
  <c r="J1954" i="3"/>
  <c r="J1946" i="3"/>
  <c r="J1938" i="3"/>
  <c r="J1461" i="3"/>
  <c r="J1928" i="3"/>
  <c r="J1441" i="3"/>
  <c r="J1900" i="3"/>
  <c r="J1892" i="3"/>
  <c r="J1887" i="3"/>
  <c r="J1863" i="3"/>
  <c r="J1856" i="3"/>
  <c r="J1848" i="3"/>
  <c r="J1840" i="3"/>
  <c r="J1832" i="3"/>
  <c r="J1824" i="3"/>
  <c r="J1816" i="3"/>
  <c r="J1808" i="3"/>
  <c r="J1800" i="3"/>
  <c r="J1792" i="3"/>
  <c r="J2409" i="3"/>
  <c r="J2402" i="3"/>
  <c r="J1404" i="3"/>
  <c r="J2381" i="3"/>
  <c r="J2373" i="3"/>
  <c r="J2357" i="3"/>
  <c r="J1497" i="3"/>
  <c r="J2348" i="3"/>
  <c r="J2334" i="3"/>
  <c r="J2347" i="3"/>
  <c r="J1425" i="3"/>
  <c r="J2305" i="3"/>
  <c r="J2298" i="3"/>
  <c r="J2292" i="3"/>
  <c r="J2284" i="3"/>
  <c r="J2277" i="3"/>
  <c r="J2269" i="3"/>
  <c r="J2262" i="3"/>
  <c r="J2254" i="3"/>
  <c r="J2247" i="3"/>
  <c r="J2218" i="3"/>
  <c r="J2196" i="3"/>
  <c r="J2189" i="3"/>
  <c r="J1430" i="3"/>
  <c r="J2158" i="3"/>
  <c r="J2150" i="3"/>
  <c r="J2135" i="3"/>
  <c r="J2128" i="3"/>
  <c r="J2120" i="3"/>
  <c r="J2112" i="3"/>
  <c r="J2096" i="3"/>
  <c r="J2076" i="3"/>
  <c r="J2060" i="3"/>
  <c r="J2052" i="3"/>
  <c r="J2044" i="3"/>
  <c r="J2037" i="3"/>
  <c r="J2029" i="3"/>
  <c r="J2023" i="3"/>
  <c r="J1409" i="3"/>
  <c r="J1995" i="3"/>
  <c r="J1987" i="3"/>
  <c r="J1980" i="3"/>
  <c r="J1506" i="3"/>
  <c r="J1960" i="3"/>
  <c r="J1952" i="3"/>
  <c r="J1944" i="3"/>
  <c r="J1936" i="3"/>
  <c r="J1926" i="3"/>
  <c r="J1920" i="3"/>
  <c r="J1913" i="3"/>
  <c r="J1898" i="3"/>
  <c r="J1502" i="3"/>
  <c r="J1885" i="3"/>
  <c r="J1877" i="3"/>
  <c r="J1861" i="3"/>
  <c r="J1854" i="3"/>
  <c r="J1846" i="3"/>
  <c r="J1838" i="3"/>
  <c r="J1830" i="3"/>
  <c r="J1822" i="3"/>
  <c r="J1814" i="3"/>
  <c r="J1806" i="3"/>
  <c r="J1798" i="3"/>
  <c r="J1790" i="3"/>
  <c r="J1785" i="3"/>
  <c r="J1779" i="3"/>
  <c r="J1771" i="3"/>
  <c r="J1764" i="3"/>
  <c r="J1756" i="3"/>
  <c r="J1748" i="3"/>
  <c r="J1728" i="3"/>
  <c r="J1715" i="3"/>
  <c r="J1496" i="3"/>
  <c r="J1687" i="3"/>
  <c r="J1680" i="3"/>
  <c r="J1672" i="3"/>
  <c r="J1664" i="3"/>
  <c r="J1657" i="3"/>
  <c r="J1650" i="3"/>
  <c r="J1645" i="3"/>
  <c r="J1638" i="3"/>
  <c r="J1630" i="3"/>
  <c r="J1622" i="3"/>
  <c r="J1614" i="3"/>
  <c r="J1606" i="3"/>
  <c r="J1599" i="3"/>
  <c r="J1438" i="3"/>
  <c r="J1564" i="3"/>
  <c r="J1419" i="3"/>
  <c r="J1545" i="3"/>
  <c r="J1455" i="3"/>
  <c r="J1536" i="3"/>
  <c r="J1528" i="3"/>
  <c r="J143" i="3"/>
  <c r="J1395" i="3"/>
  <c r="J112" i="3"/>
  <c r="J177" i="3"/>
  <c r="J200" i="3"/>
  <c r="J4" i="3"/>
  <c r="J49" i="3"/>
  <c r="J53" i="3"/>
  <c r="J9" i="3"/>
  <c r="J58" i="3"/>
  <c r="J71" i="3"/>
  <c r="J94" i="3"/>
  <c r="J147" i="3"/>
  <c r="J163" i="3"/>
  <c r="J195" i="3"/>
  <c r="J207" i="3"/>
  <c r="J274" i="3"/>
  <c r="J304" i="3"/>
  <c r="J299" i="3"/>
  <c r="J350" i="3"/>
  <c r="J215" i="3"/>
  <c r="J375" i="3"/>
  <c r="J55" i="3"/>
  <c r="J118" i="3"/>
  <c r="J140" i="3"/>
  <c r="J153" i="3"/>
  <c r="J174" i="3"/>
  <c r="J227" i="3"/>
  <c r="J294" i="3"/>
  <c r="J287" i="3"/>
  <c r="J330" i="3"/>
  <c r="J337" i="3"/>
  <c r="J357" i="3"/>
  <c r="J392" i="3"/>
  <c r="J384" i="3"/>
  <c r="J420" i="3"/>
  <c r="J476" i="3"/>
  <c r="J431" i="3"/>
  <c r="J442" i="3"/>
  <c r="J494" i="3"/>
  <c r="J449" i="3"/>
  <c r="J471" i="3"/>
  <c r="J463" i="3"/>
  <c r="J487" i="3"/>
  <c r="J481" i="3"/>
  <c r="J501" i="3"/>
  <c r="J522" i="3"/>
  <c r="J515" i="3"/>
  <c r="J545" i="3"/>
  <c r="J540" i="3"/>
  <c r="J532" i="3"/>
  <c r="J479" i="3"/>
  <c r="J583" i="3"/>
  <c r="J567" i="3"/>
  <c r="J599" i="3"/>
  <c r="J591" i="3"/>
  <c r="J1783" i="3"/>
  <c r="J1777" i="3"/>
  <c r="J1769" i="3"/>
  <c r="J1762" i="3"/>
  <c r="J1754" i="3"/>
  <c r="J1739" i="3"/>
  <c r="J1734" i="3"/>
  <c r="J1456" i="3"/>
  <c r="J1705" i="3"/>
  <c r="J1693" i="3"/>
  <c r="J1685" i="3"/>
  <c r="J1678" i="3"/>
  <c r="J1670" i="3"/>
  <c r="J1370" i="3"/>
  <c r="J1656" i="3"/>
  <c r="J1483" i="3"/>
  <c r="J1643" i="3"/>
  <c r="J1636" i="3"/>
  <c r="J1628" i="3"/>
  <c r="J1620" i="3"/>
  <c r="J1612" i="3"/>
  <c r="J1604" i="3"/>
  <c r="J1597" i="3"/>
  <c r="J1576" i="3"/>
  <c r="J1568" i="3"/>
  <c r="J1470" i="3"/>
  <c r="J1420" i="3"/>
  <c r="J1436" i="3"/>
  <c r="J1551" i="3"/>
  <c r="J1449" i="3"/>
  <c r="J1526" i="3"/>
  <c r="J1512" i="3"/>
  <c r="J1508" i="3"/>
  <c r="J110" i="3"/>
  <c r="J198" i="3"/>
  <c r="J15" i="3"/>
  <c r="J47" i="3"/>
  <c r="J41" i="3"/>
  <c r="J34" i="3"/>
  <c r="J57" i="3"/>
  <c r="J84" i="3"/>
  <c r="J104" i="3"/>
  <c r="J99" i="3"/>
  <c r="J145" i="3"/>
  <c r="J62" i="3"/>
  <c r="J193" i="3"/>
  <c r="J216" i="3"/>
  <c r="J272" i="3"/>
  <c r="J302" i="3"/>
  <c r="J323" i="3"/>
  <c r="J368" i="3"/>
  <c r="J322" i="3"/>
  <c r="J588" i="3"/>
  <c r="J3" i="3"/>
  <c r="J113" i="3"/>
  <c r="J127" i="3"/>
  <c r="J138" i="3"/>
  <c r="J151" i="3"/>
  <c r="J204" i="3"/>
  <c r="J186" i="3"/>
  <c r="J250" i="3"/>
  <c r="J242" i="3"/>
  <c r="J258" i="3"/>
  <c r="J285" i="3"/>
  <c r="J278" i="3"/>
  <c r="J335" i="3"/>
  <c r="J373" i="3"/>
  <c r="J422" i="3"/>
  <c r="J390" i="3"/>
  <c r="J418" i="3"/>
  <c r="J405" i="3"/>
  <c r="J397" i="3"/>
  <c r="J429" i="3"/>
  <c r="J440" i="3"/>
  <c r="J454" i="3"/>
  <c r="J447" i="3"/>
  <c r="J469" i="3"/>
  <c r="J461" i="3"/>
  <c r="J485" i="3"/>
  <c r="J499" i="3"/>
  <c r="J520" i="3"/>
  <c r="J525" i="3"/>
  <c r="J543" i="3"/>
  <c r="J538" i="3"/>
  <c r="J530" i="3"/>
  <c r="J559" i="3"/>
  <c r="J553" i="3"/>
  <c r="J581" i="3"/>
  <c r="J619" i="3"/>
  <c r="J638" i="3"/>
  <c r="J690" i="3"/>
  <c r="J683" i="3"/>
  <c r="J675" i="3"/>
  <c r="J667" i="3"/>
  <c r="J659" i="3"/>
  <c r="J651" i="3"/>
  <c r="J644" i="3"/>
  <c r="J768" i="3"/>
  <c r="J733" i="3"/>
  <c r="J725" i="3"/>
  <c r="J718" i="3"/>
  <c r="J761" i="3"/>
  <c r="J756" i="3"/>
  <c r="J750" i="3"/>
  <c r="J742" i="3"/>
  <c r="J788" i="3"/>
  <c r="J816" i="3"/>
  <c r="J852" i="3"/>
  <c r="J804" i="3"/>
  <c r="J832" i="3"/>
  <c r="J824" i="3"/>
  <c r="J847" i="3"/>
  <c r="J840" i="3"/>
  <c r="J878" i="3"/>
  <c r="J871" i="3"/>
  <c r="J892" i="3"/>
  <c r="J887" i="3"/>
  <c r="J926" i="3"/>
  <c r="J911" i="3"/>
  <c r="J903" i="3"/>
  <c r="J950" i="3"/>
  <c r="J937" i="3"/>
  <c r="J977" i="3"/>
  <c r="J970" i="3"/>
  <c r="J1022" i="3"/>
  <c r="J1020" i="3"/>
  <c r="J999" i="3"/>
  <c r="J991" i="3"/>
  <c r="J1087" i="3"/>
  <c r="J1014" i="3"/>
  <c r="J1007" i="3"/>
  <c r="J1031" i="3"/>
  <c r="J1023" i="3"/>
  <c r="J1043" i="3"/>
  <c r="J1062" i="3"/>
  <c r="J1052" i="3"/>
  <c r="J1078" i="3"/>
  <c r="J1110" i="3"/>
  <c r="J1103" i="3"/>
  <c r="J1096" i="3"/>
  <c r="J1129" i="3"/>
  <c r="J1140" i="3"/>
  <c r="J1144" i="3"/>
  <c r="J1178" i="3"/>
  <c r="J1158" i="3"/>
  <c r="J1170" i="3"/>
  <c r="J1189" i="3"/>
  <c r="J1180" i="3"/>
  <c r="J1195" i="3"/>
  <c r="J1231" i="3"/>
  <c r="J1224" i="3"/>
  <c r="J1154" i="3"/>
  <c r="J1242" i="3"/>
  <c r="J1250" i="3"/>
  <c r="J1264" i="3"/>
  <c r="J1266" i="3"/>
  <c r="J1261" i="3"/>
  <c r="J1248" i="3"/>
  <c r="J1343" i="3"/>
  <c r="J1331" i="3"/>
  <c r="J1323" i="3"/>
  <c r="J1315" i="3"/>
  <c r="J1307" i="3"/>
  <c r="J1356" i="3"/>
  <c r="J1360" i="3"/>
  <c r="J1366" i="3"/>
  <c r="J1374" i="3"/>
  <c r="J573" i="3"/>
  <c r="J565" i="3"/>
  <c r="J597" i="3"/>
  <c r="J630" i="3"/>
  <c r="J624" i="3"/>
  <c r="J639" i="3"/>
  <c r="J612" i="3"/>
  <c r="J688" i="3"/>
  <c r="J681" i="3"/>
  <c r="J673" i="3"/>
  <c r="J665" i="3"/>
  <c r="J657" i="3"/>
  <c r="J642" i="3"/>
  <c r="J706" i="3"/>
  <c r="J695" i="3"/>
  <c r="J723" i="3"/>
  <c r="J767" i="3"/>
  <c r="J759" i="3"/>
  <c r="J769" i="3"/>
  <c r="J748" i="3"/>
  <c r="J798" i="3"/>
  <c r="J853" i="3"/>
  <c r="J772" i="3"/>
  <c r="J814" i="3"/>
  <c r="J808" i="3"/>
  <c r="J836" i="3"/>
  <c r="J830" i="3"/>
  <c r="J851" i="3"/>
  <c r="J983" i="3"/>
  <c r="J866" i="3"/>
  <c r="J858" i="3"/>
  <c r="J876" i="3"/>
  <c r="J870" i="3"/>
  <c r="J890" i="3"/>
  <c r="J1045" i="3"/>
  <c r="J916" i="3"/>
  <c r="J909" i="3"/>
  <c r="J901" i="3"/>
  <c r="J948" i="3"/>
  <c r="J941" i="3"/>
  <c r="J975" i="3"/>
  <c r="J968" i="3"/>
  <c r="J962" i="3"/>
  <c r="J1298" i="3"/>
  <c r="J997" i="3"/>
  <c r="J989" i="3"/>
  <c r="J1019" i="3"/>
  <c r="J1013" i="3"/>
  <c r="J1177" i="3"/>
  <c r="J1029" i="3"/>
  <c r="J1049" i="3"/>
  <c r="J1290" i="3"/>
  <c r="J1053" i="3"/>
  <c r="J1084" i="3"/>
  <c r="J551" i="3"/>
  <c r="J1101" i="3"/>
  <c r="J1134" i="3"/>
  <c r="J1127" i="3"/>
  <c r="J1143" i="3"/>
  <c r="J1176" i="3"/>
  <c r="J1207" i="3"/>
  <c r="J1204" i="3"/>
  <c r="J1191" i="3"/>
  <c r="J1194" i="3"/>
  <c r="J1212" i="3"/>
  <c r="J1209" i="3"/>
  <c r="J1300" i="3"/>
  <c r="J1299" i="3"/>
  <c r="J1245" i="3"/>
  <c r="J1295" i="3"/>
  <c r="J1130" i="3"/>
  <c r="J1265" i="3"/>
  <c r="J1260" i="3"/>
  <c r="J1269" i="3"/>
  <c r="J1349" i="3"/>
  <c r="J1131" i="3"/>
  <c r="J1334" i="3"/>
  <c r="J1329" i="3"/>
  <c r="J1321" i="3"/>
  <c r="J1313" i="3"/>
  <c r="J179" i="3"/>
  <c r="J1354" i="3"/>
  <c r="J1358" i="3"/>
  <c r="J1369" i="3"/>
  <c r="J1388" i="3"/>
  <c r="J374" i="3"/>
  <c r="J284" i="3"/>
  <c r="J276" i="3"/>
  <c r="J341" i="3"/>
  <c r="J347" i="3"/>
  <c r="J354" i="3"/>
  <c r="J370" i="3"/>
  <c r="J380" i="3"/>
  <c r="J411" i="3"/>
  <c r="J403" i="3"/>
  <c r="J435" i="3"/>
  <c r="J427" i="3"/>
  <c r="J459" i="3"/>
  <c r="J452" i="3"/>
  <c r="J477" i="3"/>
  <c r="J467" i="3"/>
  <c r="J460" i="3"/>
  <c r="J491" i="3"/>
  <c r="J505" i="3"/>
  <c r="J497" i="3"/>
  <c r="J518" i="3"/>
  <c r="J526" i="3"/>
  <c r="J692" i="3"/>
  <c r="J528" i="3"/>
  <c r="J557" i="3"/>
  <c r="J579" i="3"/>
  <c r="J595" i="3"/>
  <c r="J629" i="3"/>
  <c r="J623" i="3"/>
  <c r="J1490" i="3"/>
  <c r="J610" i="3"/>
  <c r="J686" i="3"/>
  <c r="J679" i="3"/>
  <c r="J671" i="3"/>
  <c r="J663" i="3"/>
  <c r="J655" i="3"/>
  <c r="J711" i="3"/>
  <c r="J710" i="3"/>
  <c r="J698" i="3"/>
  <c r="J729" i="3"/>
  <c r="J722" i="3"/>
  <c r="J757" i="3"/>
  <c r="J746" i="3"/>
  <c r="J738" i="3"/>
  <c r="J791" i="3"/>
  <c r="J777" i="3"/>
  <c r="J799" i="3"/>
  <c r="J813" i="3"/>
  <c r="J821" i="3"/>
  <c r="J828" i="3"/>
  <c r="J844" i="3"/>
  <c r="J864" i="3"/>
  <c r="J875" i="3"/>
  <c r="J929" i="3"/>
  <c r="J885" i="3"/>
  <c r="J914" i="3"/>
  <c r="J907" i="3"/>
  <c r="J899" i="3"/>
  <c r="J946" i="3"/>
  <c r="J1005" i="3"/>
  <c r="J974" i="3"/>
  <c r="J966" i="3"/>
  <c r="J960" i="3"/>
  <c r="J995" i="3"/>
  <c r="J988" i="3"/>
  <c r="J1011" i="3"/>
  <c r="J1027" i="3"/>
  <c r="J1047" i="3"/>
  <c r="J1071" i="3"/>
  <c r="J1091" i="3"/>
  <c r="J1417" i="3"/>
  <c r="J1074" i="3"/>
  <c r="J1120" i="3"/>
  <c r="J1092" i="3"/>
  <c r="J1153" i="3"/>
  <c r="J954" i="3"/>
  <c r="J1413" i="3"/>
  <c r="J1139" i="3"/>
  <c r="J1162" i="3"/>
  <c r="J1163" i="3"/>
  <c r="J1185" i="3"/>
  <c r="J1202" i="3"/>
  <c r="J1197" i="3"/>
  <c r="J1218" i="3"/>
  <c r="J1230" i="3"/>
  <c r="J1220" i="3"/>
  <c r="J1214" i="3"/>
  <c r="J1258" i="3"/>
  <c r="J1240" i="3"/>
  <c r="J1257" i="3"/>
  <c r="J1273" i="3"/>
  <c r="J1246" i="3"/>
  <c r="J1272" i="3"/>
  <c r="J1234" i="3"/>
  <c r="J1347" i="3"/>
  <c r="J1340" i="3"/>
  <c r="J715" i="3"/>
  <c r="J1327" i="3"/>
  <c r="J1319" i="3"/>
  <c r="J1311" i="3"/>
  <c r="J1305" i="3"/>
  <c r="J1303" i="3"/>
  <c r="J1371" i="3"/>
  <c r="J1376" i="3"/>
  <c r="H72" i="23" l="1"/>
  <c r="X72" i="23" l="1"/>
  <c r="H92" i="23"/>
  <c r="H71" i="23"/>
  <c r="H17" i="23"/>
  <c r="H131" i="23"/>
  <c r="L7" i="20" s="1"/>
  <c r="S131" i="23" s="1"/>
  <c r="X71" i="23" l="1"/>
  <c r="X92" i="23"/>
  <c r="X131" i="23"/>
  <c r="X17" i="23"/>
  <c r="H31" i="23"/>
  <c r="H12" i="23"/>
  <c r="H18" i="23"/>
  <c r="H60" i="23"/>
  <c r="H13" i="20" s="1"/>
  <c r="L13" i="20" s="1"/>
  <c r="H93" i="23"/>
  <c r="H24" i="20" s="1"/>
  <c r="L24" i="20" s="1"/>
  <c r="H7" i="23"/>
  <c r="H74" i="23"/>
  <c r="H99" i="23"/>
  <c r="H125" i="23"/>
  <c r="H111" i="23"/>
  <c r="H116" i="23"/>
  <c r="H113" i="23"/>
  <c r="H95" i="23"/>
  <c r="H33" i="23"/>
  <c r="H100" i="23"/>
  <c r="H89" i="23"/>
  <c r="H75" i="23"/>
  <c r="H2" i="23"/>
  <c r="H32" i="23"/>
  <c r="H63" i="23"/>
  <c r="H76" i="23"/>
  <c r="H53" i="23"/>
  <c r="H11" i="23"/>
  <c r="H112" i="23"/>
  <c r="H46" i="23"/>
  <c r="H123" i="23"/>
  <c r="H9" i="23"/>
  <c r="H43" i="23"/>
  <c r="H12" i="20" s="1"/>
  <c r="L12" i="20" s="1"/>
  <c r="H10" i="23"/>
  <c r="H102" i="23"/>
  <c r="H3" i="23"/>
  <c r="H55" i="23"/>
  <c r="H44" i="23"/>
  <c r="H4" i="23"/>
  <c r="H128" i="23"/>
  <c r="H115" i="23"/>
  <c r="H50" i="23"/>
  <c r="H117" i="23"/>
  <c r="H109" i="23"/>
  <c r="H59" i="23"/>
  <c r="H5" i="23"/>
  <c r="H66" i="23"/>
  <c r="H94" i="23"/>
  <c r="H23" i="20" s="1"/>
  <c r="L23" i="20" s="1"/>
  <c r="H62" i="23"/>
  <c r="H110" i="23"/>
  <c r="H21" i="23"/>
  <c r="H119" i="23"/>
  <c r="H13" i="23"/>
  <c r="H65" i="23"/>
  <c r="H54" i="23"/>
  <c r="H17" i="20" s="1"/>
  <c r="L17" i="20" s="1"/>
  <c r="S54" i="23" s="1"/>
  <c r="H61" i="23"/>
  <c r="H81" i="23"/>
  <c r="H14" i="20" s="1"/>
  <c r="L14" i="20" s="1"/>
  <c r="S81" i="23" s="1"/>
  <c r="H73" i="23"/>
  <c r="H10" i="20" s="1"/>
  <c r="L10" i="20" s="1"/>
  <c r="H78" i="23"/>
  <c r="H37" i="23"/>
  <c r="H15" i="23"/>
  <c r="H91" i="23"/>
  <c r="H79" i="23"/>
  <c r="H39" i="23"/>
  <c r="H8" i="23"/>
  <c r="H35" i="23"/>
  <c r="H14" i="23"/>
  <c r="H30" i="23"/>
  <c r="H133" i="23"/>
  <c r="H132" i="23"/>
  <c r="H16" i="23"/>
  <c r="H22" i="23"/>
  <c r="H42" i="23"/>
  <c r="H11" i="20" s="1"/>
  <c r="L11" i="20" s="1"/>
  <c r="S42" i="23" s="1"/>
  <c r="H52" i="23"/>
  <c r="H20" i="23"/>
  <c r="H70" i="23"/>
  <c r="H27" i="23"/>
  <c r="H45" i="23"/>
  <c r="H124" i="23"/>
  <c r="H107" i="23"/>
  <c r="H16" i="20" s="1"/>
  <c r="L16" i="20" s="1"/>
  <c r="H56" i="23"/>
  <c r="H67" i="23"/>
  <c r="H58" i="23"/>
  <c r="H6" i="23"/>
  <c r="H129" i="23"/>
  <c r="H122" i="23"/>
  <c r="H26" i="23"/>
  <c r="H108" i="23"/>
  <c r="H134" i="23"/>
  <c r="H80" i="23"/>
  <c r="H15" i="20" s="1"/>
  <c r="L15" i="20" s="1"/>
  <c r="S80" i="23" s="1"/>
  <c r="H29" i="23"/>
  <c r="I18" i="23"/>
  <c r="Y18" i="23" s="1"/>
  <c r="I12" i="23"/>
  <c r="Y12" i="23" s="1"/>
  <c r="I17" i="23"/>
  <c r="W17" i="23" s="1"/>
  <c r="I31" i="23"/>
  <c r="J66" i="23"/>
  <c r="J29" i="23"/>
  <c r="Z29" i="23" s="1"/>
  <c r="J100" i="23"/>
  <c r="Z100" i="23" s="1"/>
  <c r="J99" i="23"/>
  <c r="Z99" i="23" s="1"/>
  <c r="J21" i="23"/>
  <c r="J73" i="23"/>
  <c r="J10" i="20" s="1"/>
  <c r="N10" i="20" s="1"/>
  <c r="J26" i="23"/>
  <c r="Z26" i="23" s="1"/>
  <c r="J79" i="23"/>
  <c r="J37" i="23"/>
  <c r="Z37" i="23" s="1"/>
  <c r="J53" i="23"/>
  <c r="Z53" i="23" s="1"/>
  <c r="J42" i="23"/>
  <c r="J11" i="20" s="1"/>
  <c r="N11" i="20" s="1"/>
  <c r="U42" i="23" s="1"/>
  <c r="J89" i="23"/>
  <c r="Z89" i="23" s="1"/>
  <c r="J102" i="23"/>
  <c r="Z102" i="23" s="1"/>
  <c r="J50" i="23"/>
  <c r="Z50" i="23" s="1"/>
  <c r="J2" i="23"/>
  <c r="Z2" i="23" s="1"/>
  <c r="J93" i="23"/>
  <c r="J33" i="23"/>
  <c r="Z33" i="23" s="1"/>
  <c r="J10" i="23"/>
  <c r="Z10" i="23" s="1"/>
  <c r="J13" i="23"/>
  <c r="Z13" i="23" s="1"/>
  <c r="J70" i="23"/>
  <c r="Z70" i="23" s="1"/>
  <c r="J4" i="23"/>
  <c r="Z4" i="23" s="1"/>
  <c r="J44" i="23"/>
  <c r="J123" i="23"/>
  <c r="Z123" i="23" s="1"/>
  <c r="J39" i="23"/>
  <c r="Z39" i="23" s="1"/>
  <c r="J52" i="23"/>
  <c r="J60" i="23"/>
  <c r="J35" i="23"/>
  <c r="Z35" i="23" s="1"/>
  <c r="J45" i="23"/>
  <c r="J107" i="23"/>
  <c r="J63" i="23"/>
  <c r="J91" i="23"/>
  <c r="Z91" i="23" s="1"/>
  <c r="J95" i="23"/>
  <c r="J113" i="23"/>
  <c r="J5" i="23"/>
  <c r="Z5" i="23" s="1"/>
  <c r="J75" i="23"/>
  <c r="Z75" i="23" s="1"/>
  <c r="J7" i="23"/>
  <c r="Z7" i="23" s="1"/>
  <c r="J65" i="23"/>
  <c r="Z65" i="23" s="1"/>
  <c r="J119" i="23"/>
  <c r="Z119" i="23" s="1"/>
  <c r="J117" i="23"/>
  <c r="Z117" i="23" s="1"/>
  <c r="J27" i="23"/>
  <c r="Z27" i="23" s="1"/>
  <c r="J8" i="23"/>
  <c r="Z8" i="23" s="1"/>
  <c r="J131" i="23"/>
  <c r="J110" i="23"/>
  <c r="J9" i="23"/>
  <c r="Z9" i="23" s="1"/>
  <c r="J80" i="23"/>
  <c r="J15" i="20" s="1"/>
  <c r="N15" i="20" s="1"/>
  <c r="U80" i="23" s="1"/>
  <c r="J129" i="23"/>
  <c r="Z129" i="23" s="1"/>
  <c r="J62" i="23"/>
  <c r="J122" i="23"/>
  <c r="Z122" i="23" s="1"/>
  <c r="J55" i="23"/>
  <c r="Z55" i="23" s="1"/>
  <c r="J115" i="23"/>
  <c r="Z115" i="23" s="1"/>
  <c r="J74" i="23"/>
  <c r="Z74" i="23" s="1"/>
  <c r="J81" i="23"/>
  <c r="J14" i="20" s="1"/>
  <c r="N14" i="20" s="1"/>
  <c r="U81" i="23" s="1"/>
  <c r="J54" i="23"/>
  <c r="J128" i="23"/>
  <c r="Z128" i="23" s="1"/>
  <c r="J61" i="23"/>
  <c r="Z61" i="23" s="1"/>
  <c r="J59" i="23"/>
  <c r="Z59" i="23" s="1"/>
  <c r="J78" i="23"/>
  <c r="Z78" i="23" s="1"/>
  <c r="J71" i="23"/>
  <c r="Z71" i="23" s="1"/>
  <c r="J124" i="23"/>
  <c r="Z124" i="23" s="1"/>
  <c r="J111" i="23"/>
  <c r="J116" i="23"/>
  <c r="Z116" i="23" s="1"/>
  <c r="J76" i="23"/>
  <c r="Z76" i="23" s="1"/>
  <c r="J43" i="23"/>
  <c r="J12" i="20" s="1"/>
  <c r="N12" i="20" s="1"/>
  <c r="J56" i="23"/>
  <c r="Z56" i="23" s="1"/>
  <c r="J22" i="23"/>
  <c r="Z22" i="23" s="1"/>
  <c r="J133" i="23"/>
  <c r="Z133" i="23" s="1"/>
  <c r="J20" i="23"/>
  <c r="J132" i="23"/>
  <c r="Z132" i="23" s="1"/>
  <c r="J134" i="23"/>
  <c r="Z134" i="23" s="1"/>
  <c r="J94" i="23"/>
  <c r="J125" i="23"/>
  <c r="Z125" i="23" s="1"/>
  <c r="J32" i="23"/>
  <c r="Z32" i="23" s="1"/>
  <c r="J112" i="23"/>
  <c r="Z112" i="23" s="1"/>
  <c r="J46" i="23"/>
  <c r="Z46" i="23" s="1"/>
  <c r="J109" i="23"/>
  <c r="Z109" i="23" s="1"/>
  <c r="J30" i="23"/>
  <c r="Z30" i="23" s="1"/>
  <c r="J15" i="23"/>
  <c r="Z15" i="23" s="1"/>
  <c r="J58" i="23"/>
  <c r="Z58" i="23" s="1"/>
  <c r="J67" i="23"/>
  <c r="J6" i="23"/>
  <c r="Z6" i="23" s="1"/>
  <c r="J72" i="23"/>
  <c r="Z72" i="23" s="1"/>
  <c r="J14" i="23"/>
  <c r="Z14" i="23" s="1"/>
  <c r="J11" i="23"/>
  <c r="Z11" i="23" s="1"/>
  <c r="J3" i="23"/>
  <c r="Z3" i="23" s="1"/>
  <c r="J16" i="23"/>
  <c r="J108" i="23"/>
  <c r="Z108" i="23" s="1"/>
  <c r="J92" i="23"/>
  <c r="Z92" i="23" s="1"/>
  <c r="H18" i="20" l="1"/>
  <c r="L18" i="20" s="1"/>
  <c r="H20" i="20"/>
  <c r="L20" i="20" s="1"/>
  <c r="S21" i="23" s="1"/>
  <c r="X21" i="23" s="1"/>
  <c r="H22" i="20"/>
  <c r="L22" i="20" s="1"/>
  <c r="S110" i="23" s="1"/>
  <c r="X110" i="23" s="1"/>
  <c r="H19" i="20"/>
  <c r="L19" i="20" s="1"/>
  <c r="S113" i="23" s="1"/>
  <c r="X113" i="23" s="1"/>
  <c r="H21" i="20"/>
  <c r="L21" i="20" s="1"/>
  <c r="S20" i="23" s="1"/>
  <c r="X20" i="23" s="1"/>
  <c r="J8" i="20"/>
  <c r="N8" i="20" s="1"/>
  <c r="J23" i="20"/>
  <c r="N23" i="20" s="1"/>
  <c r="J18" i="20"/>
  <c r="N18" i="20" s="1"/>
  <c r="J20" i="20"/>
  <c r="N20" i="20" s="1"/>
  <c r="U21" i="23" s="1"/>
  <c r="Z21" i="23" s="1"/>
  <c r="J22" i="20"/>
  <c r="N22" i="20" s="1"/>
  <c r="U110" i="23" s="1"/>
  <c r="Z110" i="23" s="1"/>
  <c r="J19" i="20"/>
  <c r="N19" i="20" s="1"/>
  <c r="U113" i="23" s="1"/>
  <c r="Z113" i="23" s="1"/>
  <c r="J21" i="20"/>
  <c r="N21" i="20" s="1"/>
  <c r="U20" i="23" s="1"/>
  <c r="Z20" i="23" s="1"/>
  <c r="J9" i="20"/>
  <c r="N9" i="20" s="1"/>
  <c r="J24" i="20"/>
  <c r="N24" i="20" s="1"/>
  <c r="J17" i="20"/>
  <c r="N17" i="20" s="1"/>
  <c r="H9" i="20"/>
  <c r="L9" i="20" s="1"/>
  <c r="S93" i="23" s="1"/>
  <c r="X93" i="23" s="1"/>
  <c r="H8" i="20"/>
  <c r="L8" i="20" s="1"/>
  <c r="S94" i="23" s="1"/>
  <c r="X94" i="23" s="1"/>
  <c r="M7" i="20"/>
  <c r="T131" i="23" s="1"/>
  <c r="J16" i="20"/>
  <c r="N16" i="20" s="1"/>
  <c r="J13" i="20"/>
  <c r="N13" i="20" s="1"/>
  <c r="N7" i="20"/>
  <c r="U131" i="23" s="1"/>
  <c r="Z131" i="23" s="1"/>
  <c r="S45" i="23"/>
  <c r="X45" i="23" s="1"/>
  <c r="S73" i="23"/>
  <c r="X73" i="23" s="1"/>
  <c r="S43" i="23"/>
  <c r="X43" i="23" s="1"/>
  <c r="S44" i="23"/>
  <c r="S106" i="23"/>
  <c r="S107" i="23"/>
  <c r="X107" i="23" s="1"/>
  <c r="S79" i="23"/>
  <c r="S60" i="23"/>
  <c r="X60" i="23" s="1"/>
  <c r="J4" i="20"/>
  <c r="J3" i="20"/>
  <c r="U43" i="23"/>
  <c r="Z43" i="23" s="1"/>
  <c r="U44" i="23"/>
  <c r="Z44" i="23" s="1"/>
  <c r="H4" i="20"/>
  <c r="H3" i="20"/>
  <c r="S52" i="23"/>
  <c r="X52" i="23" s="1"/>
  <c r="U45" i="23"/>
  <c r="Z45" i="23" s="1"/>
  <c r="U73" i="23"/>
  <c r="Z73" i="23" s="1"/>
  <c r="X58" i="23"/>
  <c r="X53" i="23"/>
  <c r="X50" i="23"/>
  <c r="R17" i="23"/>
  <c r="Y17" i="23"/>
  <c r="X134" i="23"/>
  <c r="X56" i="23"/>
  <c r="X8" i="23"/>
  <c r="X81" i="23"/>
  <c r="X62" i="23"/>
  <c r="X115" i="23"/>
  <c r="X63" i="23"/>
  <c r="X14" i="23"/>
  <c r="X33" i="23"/>
  <c r="X95" i="23"/>
  <c r="Z62" i="23"/>
  <c r="Z95" i="23"/>
  <c r="X108" i="23"/>
  <c r="X22" i="23"/>
  <c r="X39" i="23"/>
  <c r="X61" i="23"/>
  <c r="X128" i="23"/>
  <c r="X9" i="23"/>
  <c r="X32" i="23"/>
  <c r="X116" i="23"/>
  <c r="X35" i="23"/>
  <c r="X7" i="23"/>
  <c r="Z16" i="23"/>
  <c r="X26" i="23"/>
  <c r="X124" i="23"/>
  <c r="X16" i="23"/>
  <c r="X54" i="23"/>
  <c r="X4" i="23"/>
  <c r="X123" i="23"/>
  <c r="X2" i="23"/>
  <c r="X102" i="23"/>
  <c r="X10" i="23"/>
  <c r="Z80" i="23"/>
  <c r="Z63" i="23"/>
  <c r="X122" i="23"/>
  <c r="X132" i="23"/>
  <c r="X91" i="23"/>
  <c r="X65" i="23"/>
  <c r="X5" i="23"/>
  <c r="X46" i="23"/>
  <c r="X75" i="23"/>
  <c r="X125" i="23"/>
  <c r="X18" i="23"/>
  <c r="W18" i="23"/>
  <c r="Z42" i="23"/>
  <c r="X78" i="23"/>
  <c r="X74" i="23"/>
  <c r="X76" i="23"/>
  <c r="Z81" i="23"/>
  <c r="X129" i="23"/>
  <c r="X27" i="23"/>
  <c r="X133" i="23"/>
  <c r="X15" i="23"/>
  <c r="X13" i="23"/>
  <c r="X59" i="23"/>
  <c r="X55" i="23"/>
  <c r="X112" i="23"/>
  <c r="X89" i="23"/>
  <c r="X99" i="23"/>
  <c r="W12" i="23"/>
  <c r="X12" i="23"/>
  <c r="X29" i="23"/>
  <c r="X117" i="23"/>
  <c r="R31" i="23"/>
  <c r="Y31" i="23"/>
  <c r="X6" i="23"/>
  <c r="X70" i="23"/>
  <c r="X30" i="23"/>
  <c r="X37" i="23"/>
  <c r="X119" i="23"/>
  <c r="X109" i="23"/>
  <c r="X3" i="23"/>
  <c r="X11" i="23"/>
  <c r="X100" i="23"/>
  <c r="X31" i="23"/>
  <c r="W31" i="23"/>
  <c r="R12" i="23"/>
  <c r="R18" i="23"/>
  <c r="U94" i="23" l="1"/>
  <c r="Z94" i="23" s="1"/>
  <c r="U93" i="23"/>
  <c r="Z93" i="23" s="1"/>
  <c r="S111" i="23"/>
  <c r="X111" i="23" s="1"/>
  <c r="S47" i="23"/>
  <c r="U111" i="23"/>
  <c r="Z111" i="23" s="1"/>
  <c r="U47" i="23"/>
  <c r="U54" i="23"/>
  <c r="U52" i="23"/>
  <c r="Z52" i="23" s="1"/>
  <c r="D4" i="20"/>
  <c r="L3" i="20"/>
  <c r="F4" i="20"/>
  <c r="N3" i="20"/>
  <c r="U107" i="23"/>
  <c r="Z107" i="23" s="1"/>
  <c r="U106" i="23"/>
  <c r="U79" i="23"/>
  <c r="Z79" i="23" s="1"/>
  <c r="U60" i="23"/>
  <c r="Z60" i="23" s="1"/>
  <c r="X44" i="23"/>
  <c r="X79" i="23"/>
  <c r="X80" i="23"/>
  <c r="X42" i="23"/>
  <c r="J36" i="23"/>
  <c r="Z36" i="23" s="1"/>
  <c r="J96" i="23"/>
  <c r="Z96" i="23" s="1"/>
  <c r="J57" i="23"/>
  <c r="Z57" i="23" s="1"/>
  <c r="J88" i="23"/>
  <c r="Z88" i="23" s="1"/>
  <c r="J24" i="23"/>
  <c r="Z24" i="23" s="1"/>
  <c r="J120" i="23"/>
  <c r="Z120" i="23" s="1"/>
  <c r="J97" i="23"/>
  <c r="Z97" i="23" s="1"/>
  <c r="J90" i="23"/>
  <c r="Z90" i="23" s="1"/>
  <c r="J64" i="23"/>
  <c r="Z64" i="23" s="1"/>
  <c r="J19" i="23"/>
  <c r="Z19" i="23" s="1"/>
  <c r="J105" i="23"/>
  <c r="Z105" i="23" s="1"/>
  <c r="J69" i="23"/>
  <c r="J83" i="23"/>
  <c r="Z83" i="23" s="1"/>
  <c r="J23" i="23"/>
  <c r="Z23" i="23" s="1"/>
  <c r="J127" i="23"/>
  <c r="Z127" i="23" s="1"/>
  <c r="Z54" i="23" l="1"/>
  <c r="J130" i="23"/>
  <c r="Z130" i="23" s="1"/>
  <c r="J126" i="23"/>
  <c r="Z126" i="23" s="1"/>
  <c r="J84" i="23"/>
  <c r="Z84" i="23" s="1"/>
  <c r="J101" i="23"/>
  <c r="Z101" i="23" s="1"/>
  <c r="J87" i="23"/>
  <c r="Z87" i="23" s="1"/>
  <c r="J38" i="23"/>
  <c r="Z38" i="23" s="1"/>
  <c r="J86" i="23"/>
  <c r="Z86" i="23" s="1"/>
  <c r="J40" i="23"/>
  <c r="Z40" i="23" s="1"/>
  <c r="J85" i="23"/>
  <c r="Z85" i="23" s="1"/>
  <c r="J82" i="23"/>
  <c r="Z82" i="23" s="1"/>
  <c r="J118" i="23"/>
  <c r="Z118" i="23" s="1"/>
  <c r="J98" i="23"/>
  <c r="Z98" i="23" s="1"/>
  <c r="J51" i="23"/>
  <c r="Z51" i="23" s="1"/>
  <c r="J106" i="23"/>
  <c r="Z106" i="23" s="1"/>
  <c r="J48" i="23"/>
  <c r="Z48" i="23" s="1"/>
  <c r="J103" i="23"/>
  <c r="Z103" i="23" s="1"/>
  <c r="J121" i="23"/>
  <c r="Z121" i="23" s="1"/>
  <c r="J68" i="23"/>
  <c r="J5" i="20" s="1"/>
  <c r="N5" i="20" s="1"/>
  <c r="U68" i="23" s="1"/>
  <c r="Z68" i="23" s="1"/>
  <c r="J25" i="23"/>
  <c r="Z25" i="23" s="1"/>
  <c r="J28" i="23"/>
  <c r="Z28" i="23" s="1"/>
  <c r="J41" i="23"/>
  <c r="Z41" i="23" s="1"/>
  <c r="J135" i="23"/>
  <c r="Z135" i="23" s="1"/>
  <c r="J77" i="23"/>
  <c r="Z77" i="23" s="1"/>
  <c r="J34" i="23"/>
  <c r="Z34" i="23" s="1"/>
  <c r="J47" i="23"/>
  <c r="Z47" i="23" s="1"/>
  <c r="J104" i="23"/>
  <c r="Z104" i="23" s="1"/>
  <c r="J114" i="23"/>
  <c r="Z114" i="23" s="1"/>
  <c r="S67" i="23"/>
  <c r="U67" i="23"/>
  <c r="Z67" i="23" s="1"/>
  <c r="L4" i="20"/>
  <c r="N66" i="23"/>
  <c r="N4" i="20"/>
  <c r="U66" i="23" s="1"/>
  <c r="Z66" i="23" s="1"/>
  <c r="P66" i="23"/>
  <c r="J6" i="20"/>
  <c r="N6" i="20" s="1"/>
  <c r="U69" i="23" s="1"/>
  <c r="Z69" i="23" s="1"/>
  <c r="S66" i="23" l="1"/>
  <c r="X66" i="23" s="1"/>
  <c r="X67" i="23"/>
  <c r="H105" i="23" l="1"/>
  <c r="X105" i="23" s="1"/>
  <c r="C16" i="15"/>
  <c r="H34" i="23" l="1"/>
  <c r="X34" i="23" s="1"/>
  <c r="H49" i="23"/>
  <c r="H77" i="23"/>
  <c r="X77" i="23" s="1"/>
  <c r="H51" i="23"/>
  <c r="X51" i="23" s="1"/>
  <c r="H127" i="23"/>
  <c r="X127" i="23" s="1"/>
  <c r="H86" i="23"/>
  <c r="H87" i="23"/>
  <c r="X87" i="23" s="1"/>
  <c r="H84" i="23"/>
  <c r="X84" i="23" s="1"/>
  <c r="H120" i="23"/>
  <c r="H64" i="23"/>
  <c r="X64" i="23" s="1"/>
  <c r="H41" i="23"/>
  <c r="X41" i="23" s="1"/>
  <c r="H36" i="23"/>
  <c r="H68" i="23"/>
  <c r="H5" i="20" s="1"/>
  <c r="L5" i="20" s="1"/>
  <c r="S68" i="23" s="1"/>
  <c r="H57" i="23"/>
  <c r="X57" i="23" s="1"/>
  <c r="H103" i="23"/>
  <c r="X103" i="23" s="1"/>
  <c r="H38" i="23"/>
  <c r="X38" i="23" s="1"/>
  <c r="H98" i="23"/>
  <c r="H83" i="23"/>
  <c r="H96" i="23"/>
  <c r="X96" i="23" s="1"/>
  <c r="H114" i="23"/>
  <c r="H25" i="23"/>
  <c r="H19" i="23"/>
  <c r="H121" i="23"/>
  <c r="H82" i="23"/>
  <c r="H135" i="23"/>
  <c r="H40" i="23"/>
  <c r="H90" i="23"/>
  <c r="H23" i="23"/>
  <c r="H101" i="23"/>
  <c r="H126" i="23"/>
  <c r="H106" i="23"/>
  <c r="H48" i="23"/>
  <c r="H24" i="23"/>
  <c r="H88" i="23"/>
  <c r="H47" i="23"/>
  <c r="H97" i="23"/>
  <c r="H118" i="23"/>
  <c r="H85" i="23"/>
  <c r="H28" i="23"/>
  <c r="H104" i="23"/>
  <c r="H69" i="23"/>
  <c r="H130" i="23"/>
  <c r="X49" i="23" l="1"/>
  <c r="X98" i="23"/>
  <c r="X86" i="23"/>
  <c r="X120" i="23"/>
  <c r="X121" i="23"/>
  <c r="X25" i="23"/>
  <c r="X83" i="23"/>
  <c r="X36" i="23"/>
  <c r="X114" i="23"/>
  <c r="X19" i="23"/>
  <c r="X118" i="23"/>
  <c r="X48" i="23"/>
  <c r="X90" i="23"/>
  <c r="X97" i="23"/>
  <c r="X47" i="23"/>
  <c r="X68" i="23"/>
  <c r="X106" i="23"/>
  <c r="X135" i="23"/>
  <c r="X130" i="23"/>
  <c r="X40" i="23"/>
  <c r="X82" i="23"/>
  <c r="X88" i="23"/>
  <c r="X104" i="23"/>
  <c r="X101" i="23"/>
  <c r="X126" i="23"/>
  <c r="X28" i="23"/>
  <c r="H6" i="20"/>
  <c r="L6" i="20" s="1"/>
  <c r="S69" i="23" s="1"/>
  <c r="X85" i="23"/>
  <c r="X24" i="23"/>
  <c r="X23" i="23"/>
  <c r="X69" i="23" l="1"/>
  <c r="D41" i="15"/>
  <c r="D16" i="15" s="1"/>
  <c r="I49" i="23" s="1"/>
  <c r="Y49" i="23" l="1"/>
  <c r="R49" i="23"/>
  <c r="W49" i="23"/>
  <c r="D19" i="15"/>
  <c r="I72" i="23" s="1"/>
  <c r="D18" i="15"/>
  <c r="D25" i="15"/>
  <c r="D24" i="15"/>
  <c r="D23" i="15"/>
  <c r="D22" i="15"/>
  <c r="D21" i="15"/>
  <c r="D20" i="15"/>
  <c r="I68" i="23"/>
  <c r="I101" i="23"/>
  <c r="I34" i="23"/>
  <c r="I23" i="23"/>
  <c r="I57" i="23"/>
  <c r="I48" i="23"/>
  <c r="I19" i="23"/>
  <c r="I47" i="23"/>
  <c r="I83" i="23"/>
  <c r="I104" i="23"/>
  <c r="I106" i="23"/>
  <c r="I103" i="23"/>
  <c r="I120" i="23"/>
  <c r="I40" i="23"/>
  <c r="I38" i="23"/>
  <c r="I36" i="23"/>
  <c r="I130" i="23"/>
  <c r="I84" i="23"/>
  <c r="I98" i="23"/>
  <c r="I77" i="23"/>
  <c r="I24" i="23"/>
  <c r="I87" i="23"/>
  <c r="I28" i="23"/>
  <c r="I51" i="23"/>
  <c r="I135" i="23"/>
  <c r="I114" i="23"/>
  <c r="I64" i="23"/>
  <c r="I96" i="23"/>
  <c r="I25" i="23"/>
  <c r="I126" i="23"/>
  <c r="I118" i="23"/>
  <c r="I90" i="23"/>
  <c r="I85" i="23"/>
  <c r="I86" i="23"/>
  <c r="I82" i="23"/>
  <c r="I88" i="23"/>
  <c r="I127" i="23"/>
  <c r="I121" i="23"/>
  <c r="I97" i="23"/>
  <c r="I41" i="23"/>
  <c r="I105" i="23"/>
  <c r="I69" i="23"/>
  <c r="I80" i="23" l="1"/>
  <c r="I29" i="23"/>
  <c r="I6" i="23"/>
  <c r="I58" i="23"/>
  <c r="I129" i="23"/>
  <c r="I122" i="23"/>
  <c r="I108" i="23"/>
  <c r="I107" i="23"/>
  <c r="I124" i="23"/>
  <c r="I67" i="23"/>
  <c r="I134" i="23"/>
  <c r="I56" i="23"/>
  <c r="I26" i="23"/>
  <c r="I132" i="23"/>
  <c r="I27" i="23"/>
  <c r="I42" i="23"/>
  <c r="I70" i="23"/>
  <c r="I52" i="23"/>
  <c r="R52" i="23" s="1"/>
  <c r="I22" i="23"/>
  <c r="I16" i="23"/>
  <c r="I20" i="23"/>
  <c r="I45" i="23"/>
  <c r="R45" i="23" s="1"/>
  <c r="I14" i="23"/>
  <c r="I133" i="23"/>
  <c r="I30" i="23"/>
  <c r="I8" i="23"/>
  <c r="I35" i="23"/>
  <c r="I39" i="23"/>
  <c r="I91" i="23"/>
  <c r="I78" i="23"/>
  <c r="I37" i="23"/>
  <c r="I79" i="23"/>
  <c r="R79" i="23" s="1"/>
  <c r="I15" i="23"/>
  <c r="I123" i="23"/>
  <c r="I3" i="23"/>
  <c r="I9" i="23"/>
  <c r="I50" i="23"/>
  <c r="I44" i="23"/>
  <c r="I46" i="23"/>
  <c r="I71" i="23"/>
  <c r="I109" i="23"/>
  <c r="I10" i="23"/>
  <c r="I11" i="23"/>
  <c r="I75" i="23"/>
  <c r="I43" i="23"/>
  <c r="I4" i="23"/>
  <c r="I66" i="23"/>
  <c r="I55" i="23"/>
  <c r="I2" i="23"/>
  <c r="I102" i="23"/>
  <c r="I63" i="23"/>
  <c r="I33" i="23"/>
  <c r="I53" i="23"/>
  <c r="I59" i="23"/>
  <c r="I99" i="23"/>
  <c r="I111" i="23"/>
  <c r="I100" i="23"/>
  <c r="I5" i="23"/>
  <c r="I95" i="23"/>
  <c r="I128" i="23"/>
  <c r="I76" i="23"/>
  <c r="I125" i="23"/>
  <c r="I117" i="23"/>
  <c r="I89" i="23"/>
  <c r="I112" i="23"/>
  <c r="I92" i="23"/>
  <c r="I116" i="23"/>
  <c r="I113" i="23"/>
  <c r="I32" i="23"/>
  <c r="I115" i="23"/>
  <c r="I73" i="23"/>
  <c r="I119" i="23"/>
  <c r="I110" i="23"/>
  <c r="I61" i="23"/>
  <c r="I62" i="23"/>
  <c r="I21" i="23"/>
  <c r="I93" i="23"/>
  <c r="I24" i="20" s="1"/>
  <c r="M24" i="20" s="1"/>
  <c r="I94" i="23"/>
  <c r="I74" i="23"/>
  <c r="I131" i="23"/>
  <c r="I54" i="23"/>
  <c r="I60" i="23"/>
  <c r="I13" i="23"/>
  <c r="I7" i="23"/>
  <c r="I81" i="23"/>
  <c r="I65" i="23"/>
  <c r="Y72" i="23"/>
  <c r="W72" i="23"/>
  <c r="R72" i="23"/>
  <c r="W25" i="23"/>
  <c r="R25" i="23"/>
  <c r="Y25" i="23"/>
  <c r="R82" i="23"/>
  <c r="W82" i="23"/>
  <c r="Y82" i="23"/>
  <c r="R64" i="23"/>
  <c r="W64" i="23"/>
  <c r="Y64" i="23"/>
  <c r="R98" i="23"/>
  <c r="W98" i="23"/>
  <c r="Y98" i="23"/>
  <c r="R106" i="23"/>
  <c r="Y23" i="23"/>
  <c r="W23" i="23"/>
  <c r="R23" i="23"/>
  <c r="I6" i="20"/>
  <c r="M6" i="20" s="1"/>
  <c r="T69" i="23" s="1"/>
  <c r="W69" i="23" s="1"/>
  <c r="R69" i="23"/>
  <c r="R86" i="23"/>
  <c r="W86" i="23"/>
  <c r="Y86" i="23"/>
  <c r="W114" i="23"/>
  <c r="R114" i="23"/>
  <c r="Y114" i="23"/>
  <c r="W84" i="23"/>
  <c r="R84" i="23"/>
  <c r="Y84" i="23"/>
  <c r="R104" i="23"/>
  <c r="Y104" i="23"/>
  <c r="W104" i="23"/>
  <c r="Y34" i="23"/>
  <c r="W34" i="23"/>
  <c r="R34" i="23"/>
  <c r="Y105" i="23"/>
  <c r="W105" i="23"/>
  <c r="R105" i="23"/>
  <c r="W85" i="23"/>
  <c r="R85" i="23"/>
  <c r="Y85" i="23"/>
  <c r="W135" i="23"/>
  <c r="R135" i="23"/>
  <c r="Y135" i="23"/>
  <c r="R130" i="23"/>
  <c r="W130" i="23"/>
  <c r="Y130" i="23"/>
  <c r="W83" i="23"/>
  <c r="Y83" i="23"/>
  <c r="R83" i="23"/>
  <c r="Y101" i="23"/>
  <c r="R101" i="23"/>
  <c r="W101" i="23"/>
  <c r="Y41" i="23"/>
  <c r="W41" i="23"/>
  <c r="R41" i="23"/>
  <c r="R90" i="23"/>
  <c r="W90" i="23"/>
  <c r="Y90" i="23"/>
  <c r="W51" i="23"/>
  <c r="R51" i="23"/>
  <c r="Y51" i="23"/>
  <c r="W36" i="23"/>
  <c r="R36" i="23"/>
  <c r="Y36" i="23"/>
  <c r="R47" i="23"/>
  <c r="I5" i="20"/>
  <c r="M5" i="20" s="1"/>
  <c r="T68" i="23" s="1"/>
  <c r="W68" i="23" s="1"/>
  <c r="R68" i="23"/>
  <c r="Y97" i="23"/>
  <c r="R97" i="23"/>
  <c r="W97" i="23"/>
  <c r="R118" i="23"/>
  <c r="W118" i="23"/>
  <c r="Y118" i="23"/>
  <c r="W28" i="23"/>
  <c r="R28" i="23"/>
  <c r="Y28" i="23"/>
  <c r="W38" i="23"/>
  <c r="R38" i="23"/>
  <c r="Y38" i="23"/>
  <c r="Y121" i="23"/>
  <c r="W121" i="23"/>
  <c r="R121" i="23"/>
  <c r="R126" i="23"/>
  <c r="W126" i="23"/>
  <c r="Y126" i="23"/>
  <c r="R87" i="23"/>
  <c r="W87" i="23"/>
  <c r="Y87" i="23"/>
  <c r="R40" i="23"/>
  <c r="W40" i="23"/>
  <c r="Y40" i="23"/>
  <c r="Y19" i="23"/>
  <c r="R19" i="23"/>
  <c r="W19" i="23"/>
  <c r="W127" i="23"/>
  <c r="R127" i="23"/>
  <c r="Y127" i="23"/>
  <c r="W24" i="23"/>
  <c r="R24" i="23"/>
  <c r="Y24" i="23"/>
  <c r="W120" i="23"/>
  <c r="R120" i="23"/>
  <c r="Y120" i="23"/>
  <c r="Y48" i="23"/>
  <c r="W48" i="23"/>
  <c r="R48" i="23"/>
  <c r="W88" i="23"/>
  <c r="R88" i="23"/>
  <c r="Y88" i="23"/>
  <c r="R96" i="23"/>
  <c r="W96" i="23"/>
  <c r="Y96" i="23"/>
  <c r="R77" i="23"/>
  <c r="W77" i="23"/>
  <c r="Y77" i="23"/>
  <c r="W103" i="23"/>
  <c r="Y103" i="23"/>
  <c r="R103" i="23"/>
  <c r="Y57" i="23"/>
  <c r="W57" i="23"/>
  <c r="R57" i="23"/>
  <c r="I23" i="20" l="1"/>
  <c r="M23" i="20" s="1"/>
  <c r="I18" i="20"/>
  <c r="M18" i="20" s="1"/>
  <c r="I20" i="20"/>
  <c r="M20" i="20" s="1"/>
  <c r="T21" i="23" s="1"/>
  <c r="W21" i="23" s="1"/>
  <c r="I22" i="20"/>
  <c r="M22" i="20" s="1"/>
  <c r="T110" i="23" s="1"/>
  <c r="I19" i="20"/>
  <c r="M19" i="20" s="1"/>
  <c r="T113" i="23" s="1"/>
  <c r="Y113" i="23" s="1"/>
  <c r="I21" i="20"/>
  <c r="M21" i="20" s="1"/>
  <c r="T20" i="23" s="1"/>
  <c r="Y20" i="23" s="1"/>
  <c r="Y5" i="23"/>
  <c r="W5" i="23"/>
  <c r="R5" i="23"/>
  <c r="R81" i="23"/>
  <c r="I14" i="20"/>
  <c r="M14" i="20" s="1"/>
  <c r="T81" i="23" s="1"/>
  <c r="W13" i="23"/>
  <c r="Y13" i="23"/>
  <c r="R13" i="23"/>
  <c r="I10" i="20"/>
  <c r="M10" i="20" s="1"/>
  <c r="R73" i="23"/>
  <c r="Y95" i="23"/>
  <c r="W95" i="23"/>
  <c r="R95" i="23"/>
  <c r="Y55" i="23"/>
  <c r="W55" i="23"/>
  <c r="R55" i="23"/>
  <c r="Y9" i="23"/>
  <c r="W9" i="23"/>
  <c r="R9" i="23"/>
  <c r="Y133" i="23"/>
  <c r="W133" i="23"/>
  <c r="R133" i="23"/>
  <c r="Y56" i="23"/>
  <c r="W56" i="23"/>
  <c r="R56" i="23"/>
  <c r="I4" i="20"/>
  <c r="I3" i="20"/>
  <c r="Y14" i="23"/>
  <c r="R14" i="23"/>
  <c r="W14" i="23"/>
  <c r="R54" i="23"/>
  <c r="I17" i="20"/>
  <c r="M17" i="20" s="1"/>
  <c r="Y32" i="23"/>
  <c r="W32" i="23"/>
  <c r="R32" i="23"/>
  <c r="Y100" i="23"/>
  <c r="R100" i="23"/>
  <c r="W100" i="23"/>
  <c r="Y4" i="23"/>
  <c r="R4" i="23"/>
  <c r="W4" i="23"/>
  <c r="Y123" i="23"/>
  <c r="W123" i="23"/>
  <c r="R123" i="23"/>
  <c r="R67" i="23"/>
  <c r="Y3" i="23"/>
  <c r="W3" i="23"/>
  <c r="R3" i="23"/>
  <c r="Y134" i="23"/>
  <c r="W134" i="23"/>
  <c r="R134" i="23"/>
  <c r="Y131" i="23"/>
  <c r="W131" i="23"/>
  <c r="R131" i="23"/>
  <c r="R113" i="23"/>
  <c r="R111" i="23"/>
  <c r="I12" i="20"/>
  <c r="M12" i="20" s="1"/>
  <c r="R43" i="23"/>
  <c r="Y15" i="23"/>
  <c r="W15" i="23"/>
  <c r="R15" i="23"/>
  <c r="R20" i="23"/>
  <c r="Y124" i="23"/>
  <c r="R124" i="23"/>
  <c r="W124" i="23"/>
  <c r="R74" i="23"/>
  <c r="W74" i="23"/>
  <c r="Y74" i="23"/>
  <c r="Y116" i="23"/>
  <c r="R116" i="23"/>
  <c r="W116" i="23"/>
  <c r="Y99" i="23"/>
  <c r="W99" i="23"/>
  <c r="R99" i="23"/>
  <c r="Y75" i="23"/>
  <c r="R75" i="23"/>
  <c r="W75" i="23"/>
  <c r="Y16" i="23"/>
  <c r="R16" i="23"/>
  <c r="W16" i="23"/>
  <c r="R107" i="23"/>
  <c r="I16" i="20"/>
  <c r="M16" i="20" s="1"/>
  <c r="Y115" i="23"/>
  <c r="W115" i="23"/>
  <c r="R115" i="23"/>
  <c r="Y92" i="23"/>
  <c r="W92" i="23"/>
  <c r="R92" i="23"/>
  <c r="Y59" i="23"/>
  <c r="W59" i="23"/>
  <c r="R59" i="23"/>
  <c r="Y11" i="23"/>
  <c r="W11" i="23"/>
  <c r="R11" i="23"/>
  <c r="Y37" i="23"/>
  <c r="W37" i="23"/>
  <c r="R37" i="23"/>
  <c r="Y22" i="23"/>
  <c r="R22" i="23"/>
  <c r="W22" i="23"/>
  <c r="Y108" i="23"/>
  <c r="R108" i="23"/>
  <c r="W108" i="23"/>
  <c r="R93" i="23"/>
  <c r="I9" i="20"/>
  <c r="M9" i="20" s="1"/>
  <c r="T93" i="23" s="1"/>
  <c r="Y112" i="23"/>
  <c r="W112" i="23"/>
  <c r="R112" i="23"/>
  <c r="Y53" i="23"/>
  <c r="R53" i="23"/>
  <c r="W53" i="23"/>
  <c r="Y10" i="23"/>
  <c r="R10" i="23"/>
  <c r="W10" i="23"/>
  <c r="Y78" i="23"/>
  <c r="W78" i="23"/>
  <c r="R78" i="23"/>
  <c r="Y122" i="23"/>
  <c r="R122" i="23"/>
  <c r="W122" i="23"/>
  <c r="R21" i="23"/>
  <c r="Y89" i="23"/>
  <c r="R89" i="23"/>
  <c r="W89" i="23"/>
  <c r="Y33" i="23"/>
  <c r="R33" i="23"/>
  <c r="W33" i="23"/>
  <c r="Y109" i="23"/>
  <c r="R109" i="23"/>
  <c r="W109" i="23"/>
  <c r="Y91" i="23"/>
  <c r="R91" i="23"/>
  <c r="W91" i="23"/>
  <c r="Y70" i="23"/>
  <c r="R70" i="23"/>
  <c r="W70" i="23"/>
  <c r="Y129" i="23"/>
  <c r="R129" i="23"/>
  <c r="W129" i="23"/>
  <c r="R94" i="23"/>
  <c r="I8" i="20"/>
  <c r="M8" i="20" s="1"/>
  <c r="T94" i="23" s="1"/>
  <c r="Y94" i="23" s="1"/>
  <c r="W62" i="23"/>
  <c r="Y62" i="23"/>
  <c r="R62" i="23"/>
  <c r="Y117" i="23"/>
  <c r="R117" i="23"/>
  <c r="W117" i="23"/>
  <c r="Y63" i="23"/>
  <c r="W63" i="23"/>
  <c r="R63" i="23"/>
  <c r="Y71" i="23"/>
  <c r="R71" i="23"/>
  <c r="W71" i="23"/>
  <c r="Y39" i="23"/>
  <c r="W39" i="23"/>
  <c r="R39" i="23"/>
  <c r="I11" i="20"/>
  <c r="M11" i="20" s="1"/>
  <c r="T42" i="23" s="1"/>
  <c r="Y42" i="23" s="1"/>
  <c r="R42" i="23"/>
  <c r="Y58" i="23"/>
  <c r="W58" i="23"/>
  <c r="R58" i="23"/>
  <c r="W65" i="23"/>
  <c r="Y65" i="23"/>
  <c r="R65" i="23"/>
  <c r="R61" i="23"/>
  <c r="W61" i="23"/>
  <c r="Y61" i="23"/>
  <c r="Y125" i="23"/>
  <c r="R125" i="23"/>
  <c r="W125" i="23"/>
  <c r="Y46" i="23"/>
  <c r="W46" i="23"/>
  <c r="R46" i="23"/>
  <c r="Y35" i="23"/>
  <c r="W35" i="23"/>
  <c r="R35" i="23"/>
  <c r="Y27" i="23"/>
  <c r="R27" i="23"/>
  <c r="W27" i="23"/>
  <c r="Y6" i="23"/>
  <c r="R6" i="23"/>
  <c r="W6" i="23"/>
  <c r="I13" i="20"/>
  <c r="M13" i="20" s="1"/>
  <c r="R60" i="23"/>
  <c r="Y76" i="23"/>
  <c r="W76" i="23"/>
  <c r="R76" i="23"/>
  <c r="Y102" i="23"/>
  <c r="R102" i="23"/>
  <c r="W102" i="23"/>
  <c r="R44" i="23"/>
  <c r="Y8" i="23"/>
  <c r="W8" i="23"/>
  <c r="R8" i="23"/>
  <c r="Y132" i="23"/>
  <c r="W132" i="23"/>
  <c r="R132" i="23"/>
  <c r="Y29" i="23"/>
  <c r="W29" i="23"/>
  <c r="R29" i="23"/>
  <c r="R110" i="23"/>
  <c r="Y110" i="23"/>
  <c r="W110" i="23"/>
  <c r="W7" i="23"/>
  <c r="Y7" i="23"/>
  <c r="R7" i="23"/>
  <c r="Y119" i="23"/>
  <c r="W119" i="23"/>
  <c r="R119" i="23"/>
  <c r="Y128" i="23"/>
  <c r="W128" i="23"/>
  <c r="R128" i="23"/>
  <c r="Y2" i="23"/>
  <c r="W2" i="23"/>
  <c r="R2" i="23"/>
  <c r="Y50" i="23"/>
  <c r="R50" i="23"/>
  <c r="W50" i="23"/>
  <c r="Y30" i="23"/>
  <c r="W30" i="23"/>
  <c r="R30" i="23"/>
  <c r="Y26" i="23"/>
  <c r="W26" i="23"/>
  <c r="R26" i="23"/>
  <c r="I15" i="20"/>
  <c r="M15" i="20" s="1"/>
  <c r="T80" i="23" s="1"/>
  <c r="Y80" i="23" s="1"/>
  <c r="R80" i="23"/>
  <c r="Y69" i="23"/>
  <c r="Y68" i="23"/>
  <c r="Y21" i="23" l="1"/>
  <c r="W42" i="23"/>
  <c r="W20" i="23"/>
  <c r="W80" i="23"/>
  <c r="W113" i="23"/>
  <c r="W94" i="23"/>
  <c r="T47" i="23"/>
  <c r="T111" i="23"/>
  <c r="T54" i="23"/>
  <c r="T52" i="23"/>
  <c r="T106" i="23"/>
  <c r="T107" i="23"/>
  <c r="T45" i="23"/>
  <c r="T73" i="23"/>
  <c r="W93" i="23"/>
  <c r="Y93" i="23"/>
  <c r="T43" i="23"/>
  <c r="T44" i="23"/>
  <c r="E4" i="20"/>
  <c r="M3" i="20"/>
  <c r="T67" i="23" s="1"/>
  <c r="W81" i="23"/>
  <c r="Y81" i="23"/>
  <c r="T60" i="23"/>
  <c r="T79" i="23"/>
  <c r="Y43" i="23" l="1"/>
  <c r="W43" i="23"/>
  <c r="Y54" i="23"/>
  <c r="W54" i="23"/>
  <c r="Y111" i="23"/>
  <c r="W111" i="23"/>
  <c r="Y60" i="23"/>
  <c r="W60" i="23"/>
  <c r="Y79" i="23"/>
  <c r="W79" i="23"/>
  <c r="Y73" i="23"/>
  <c r="W73" i="23"/>
  <c r="Y45" i="23"/>
  <c r="W45" i="23"/>
  <c r="Y107" i="23"/>
  <c r="W107" i="23"/>
  <c r="Y67" i="23"/>
  <c r="W67" i="23"/>
  <c r="Y44" i="23"/>
  <c r="W44" i="23"/>
  <c r="Y52" i="23"/>
  <c r="W52" i="23"/>
  <c r="Y106" i="23"/>
  <c r="W106" i="23"/>
  <c r="Y47" i="23"/>
  <c r="W47" i="23"/>
  <c r="M4" i="20"/>
  <c r="T66" i="23" s="1"/>
  <c r="O66" i="23"/>
  <c r="R66" i="23" s="1"/>
  <c r="Y66" i="23" l="1"/>
  <c r="W66" i="23"/>
</calcChain>
</file>

<file path=xl/sharedStrings.xml><?xml version="1.0" encoding="utf-8"?>
<sst xmlns="http://schemas.openxmlformats.org/spreadsheetml/2006/main" count="98603" uniqueCount="9352">
  <si>
    <t xml:space="preserve"> </t>
  </si>
  <si>
    <t>AppID</t>
  </si>
  <si>
    <t>Priority Bin</t>
  </si>
  <si>
    <t>Primary Owner</t>
  </si>
  <si>
    <t>Full July Div</t>
  </si>
  <si>
    <t>Full Aug Div</t>
  </si>
  <si>
    <t>Full Sep Div</t>
  </si>
  <si>
    <t>Full Oct Div</t>
  </si>
  <si>
    <t>July Forbearance Volume</t>
  </si>
  <si>
    <t>Aug Forbearance Volume</t>
  </si>
  <si>
    <t>Sep Forbearance Volume</t>
  </si>
  <si>
    <t>Oct Forbearance Volume</t>
  </si>
  <si>
    <t>Reduced</t>
  </si>
  <si>
    <t>Receiving</t>
  </si>
  <si>
    <t>July Exhibit C Transfers</t>
  </si>
  <si>
    <t>Aug Exhibit C Transfers</t>
  </si>
  <si>
    <t>Sep Exhibit C Transfers</t>
  </si>
  <si>
    <t>Oct Exhibit C Transfers</t>
  </si>
  <si>
    <t>Total Volume Available</t>
  </si>
  <si>
    <t>July Adjusted Transfer</t>
  </si>
  <si>
    <t>Aug Adjusted Transfer</t>
  </si>
  <si>
    <t>Sep Adjusted Transfer</t>
  </si>
  <si>
    <t>Oct Adjusted Transfer</t>
  </si>
  <si>
    <t>Adjusted Total Volume</t>
  </si>
  <si>
    <t>July Available</t>
  </si>
  <si>
    <t>Aug Available</t>
  </si>
  <si>
    <t>Sep Available</t>
  </si>
  <si>
    <t>Oct Available</t>
  </si>
  <si>
    <t>Basin</t>
  </si>
  <si>
    <t>Mainstem</t>
  </si>
  <si>
    <t>Pool Give/Take</t>
  </si>
  <si>
    <t>A012919B</t>
  </si>
  <si>
    <t>S015044</t>
  </si>
  <si>
    <t>S016304</t>
  </si>
  <si>
    <t>A024890</t>
  </si>
  <si>
    <t>A022306</t>
  </si>
  <si>
    <t>A024993</t>
  </si>
  <si>
    <t>S015884</t>
  </si>
  <si>
    <t>A017366</t>
  </si>
  <si>
    <t>S024597</t>
  </si>
  <si>
    <t>S015093</t>
  </si>
  <si>
    <t>S015094</t>
  </si>
  <si>
    <t>A013933</t>
  </si>
  <si>
    <t>A020540</t>
  </si>
  <si>
    <t>A029547</t>
  </si>
  <si>
    <t>A013474</t>
  </si>
  <si>
    <t>A022208</t>
  </si>
  <si>
    <t>S014237</t>
  </si>
  <si>
    <t>A004308</t>
  </si>
  <si>
    <t>A015728A</t>
  </si>
  <si>
    <t>A025694</t>
  </si>
  <si>
    <t>A015721</t>
  </si>
  <si>
    <t>S008430</t>
  </si>
  <si>
    <t>A015157</t>
  </si>
  <si>
    <t>A013217</t>
  </si>
  <si>
    <t>S024370</t>
  </si>
  <si>
    <t>A017911A</t>
  </si>
  <si>
    <t>S021309</t>
  </si>
  <si>
    <t>A017911B</t>
  </si>
  <si>
    <t>S015677</t>
  </si>
  <si>
    <t>S016329</t>
  </si>
  <si>
    <t>A013182A02</t>
  </si>
  <si>
    <t>A021516</t>
  </si>
  <si>
    <t>A029418</t>
  </si>
  <si>
    <t>A029419</t>
  </si>
  <si>
    <t>S025611</t>
  </si>
  <si>
    <t>A013182B</t>
  </si>
  <si>
    <t>A013281A03</t>
  </si>
  <si>
    <t>S014851</t>
  </si>
  <si>
    <t>A013281B</t>
  </si>
  <si>
    <t>A015168</t>
  </si>
  <si>
    <t>A014916A</t>
  </si>
  <si>
    <t>A011383</t>
  </si>
  <si>
    <t>A024051</t>
  </si>
  <si>
    <t>A017624</t>
  </si>
  <si>
    <t>A024140</t>
  </si>
  <si>
    <t>A013270</t>
  </si>
  <si>
    <t>A016249</t>
  </si>
  <si>
    <t>A013831</t>
  </si>
  <si>
    <t>A014720</t>
  </si>
  <si>
    <t>S016633</t>
  </si>
  <si>
    <t>S016632</t>
  </si>
  <si>
    <t>S023470</t>
  </si>
  <si>
    <t>S019291</t>
  </si>
  <si>
    <t>A024955</t>
  </si>
  <si>
    <t>A023664</t>
  </si>
  <si>
    <t>A003601</t>
  </si>
  <si>
    <t>A014997A</t>
  </si>
  <si>
    <t>S020086</t>
  </si>
  <si>
    <t>A015704</t>
  </si>
  <si>
    <t>S019766</t>
  </si>
  <si>
    <t>S019769</t>
  </si>
  <si>
    <t>A018093A</t>
  </si>
  <si>
    <t>A015075</t>
  </si>
  <si>
    <t>A021419</t>
  </si>
  <si>
    <t>A021783A</t>
  </si>
  <si>
    <t>A013533</t>
  </si>
  <si>
    <t>S015042</t>
  </si>
  <si>
    <t>S015935</t>
  </si>
  <si>
    <t>A024791</t>
  </si>
  <si>
    <t>A015397</t>
  </si>
  <si>
    <t>A021932</t>
  </si>
  <si>
    <t>A025344</t>
  </si>
  <si>
    <t>A022815</t>
  </si>
  <si>
    <t>A030412</t>
  </si>
  <si>
    <t>S015203</t>
  </si>
  <si>
    <t>DAVID  C.  KOBALL</t>
  </si>
  <si>
    <t>A017632</t>
  </si>
  <si>
    <t>S015206</t>
  </si>
  <si>
    <t>JOHN HALL THOMAS</t>
  </si>
  <si>
    <t>A004832</t>
  </si>
  <si>
    <t>S008128</t>
  </si>
  <si>
    <t>A012958</t>
  </si>
  <si>
    <t>A013874</t>
  </si>
  <si>
    <t>A013661</t>
  </si>
  <si>
    <t>S023955</t>
  </si>
  <si>
    <t>S004997</t>
  </si>
  <si>
    <t>A014735</t>
  </si>
  <si>
    <t>S015041</t>
  </si>
  <si>
    <t>A031050</t>
  </si>
  <si>
    <t>S015047</t>
  </si>
  <si>
    <t>A006855</t>
  </si>
  <si>
    <t>A023212A</t>
  </si>
  <si>
    <t>S015850</t>
  </si>
  <si>
    <t>A015370</t>
  </si>
  <si>
    <t>A024820</t>
  </si>
  <si>
    <t>A014916B</t>
  </si>
  <si>
    <t>A016758</t>
  </si>
  <si>
    <t>A023163</t>
  </si>
  <si>
    <t>S015874</t>
  </si>
  <si>
    <t>A013277</t>
  </si>
  <si>
    <t>S014078</t>
  </si>
  <si>
    <t>S014079</t>
  </si>
  <si>
    <t>A022005B</t>
  </si>
  <si>
    <t>A023817</t>
  </si>
  <si>
    <t>S020709</t>
  </si>
  <si>
    <t>S020090</t>
  </si>
  <si>
    <t>S020091</t>
  </si>
  <si>
    <t>S020094</t>
  </si>
  <si>
    <t>S020098</t>
  </si>
  <si>
    <t>S020102</t>
  </si>
  <si>
    <t>A024311A</t>
  </si>
  <si>
    <t>S016164</t>
  </si>
  <si>
    <t>S016165</t>
  </si>
  <si>
    <t>A016155</t>
  </si>
  <si>
    <t>A021838</t>
  </si>
  <si>
    <t>A023039</t>
  </si>
  <si>
    <t>A015677</t>
  </si>
  <si>
    <t>A013932</t>
  </si>
  <si>
    <t>A017232</t>
  </si>
  <si>
    <t>A017121</t>
  </si>
  <si>
    <t>S008163</t>
  </si>
  <si>
    <t>HOPLAND LAND MANAGEMENT LLC</t>
  </si>
  <si>
    <t>A021126</t>
  </si>
  <si>
    <t>S015208</t>
  </si>
  <si>
    <t>A023040</t>
  </si>
  <si>
    <t>A025282</t>
  </si>
  <si>
    <t>A013331</t>
  </si>
  <si>
    <t>A017587</t>
  </si>
  <si>
    <t>S020083</t>
  </si>
  <si>
    <t>A013030B</t>
  </si>
  <si>
    <t>A013359</t>
  </si>
  <si>
    <t>A023212B</t>
  </si>
  <si>
    <t>A027941</t>
  </si>
  <si>
    <t>S024728</t>
  </si>
  <si>
    <t>A027942</t>
  </si>
  <si>
    <t>A027943</t>
  </si>
  <si>
    <t>S015043</t>
  </si>
  <si>
    <t>A013755</t>
  </si>
  <si>
    <t>S023954</t>
  </si>
  <si>
    <t>Demand (af)</t>
  </si>
  <si>
    <t>Priority Class</t>
  </si>
  <si>
    <t>June</t>
  </si>
  <si>
    <t>July</t>
  </si>
  <si>
    <t>August</t>
  </si>
  <si>
    <t>September</t>
  </si>
  <si>
    <t>October</t>
  </si>
  <si>
    <t>Riparian</t>
  </si>
  <si>
    <t>-</t>
  </si>
  <si>
    <t>Pre-1914</t>
  </si>
  <si>
    <t>Pre-1949 + 1949</t>
  </si>
  <si>
    <t>RRFCD-1949</t>
  </si>
  <si>
    <t>1950-1952</t>
  </si>
  <si>
    <t>1953-1954</t>
  </si>
  <si>
    <t>1955-1956</t>
  </si>
  <si>
    <t>1957-1959</t>
  </si>
  <si>
    <t>1960-1970</t>
  </si>
  <si>
    <t>1971-Present</t>
  </si>
  <si>
    <t>Percent Reduction</t>
  </si>
  <si>
    <t>tbd</t>
  </si>
  <si>
    <t>Amount made available</t>
  </si>
  <si>
    <t>residual</t>
  </si>
  <si>
    <t>Exhibit C Pool</t>
  </si>
  <si>
    <t>Total</t>
  </si>
  <si>
    <t>Supply &amp; Demand Analysis</t>
  </si>
  <si>
    <t>Supply &amp; Demand Analysis (in cfs)</t>
  </si>
  <si>
    <t>Demand (cfs)</t>
  </si>
  <si>
    <t>SCWA + RRFC (1949)</t>
  </si>
  <si>
    <t>Cumulative Appropriative Demand (af, includes all more senior demands)</t>
  </si>
  <si>
    <t>Cumulative Appropriative Demand (cfs, includes all more senior demands)</t>
  </si>
  <si>
    <t>Supply (af)</t>
  </si>
  <si>
    <t>Supply (cfs)</t>
  </si>
  <si>
    <t>Natural Flow</t>
  </si>
  <si>
    <t>PVP Flow</t>
  </si>
  <si>
    <t>&lt;--change rex text cells to adjust forecast of PVP flows</t>
  </si>
  <si>
    <t>Total Evaporative Loss</t>
  </si>
  <si>
    <t>Evaporative Loss</t>
  </si>
  <si>
    <t>17.9 cfs based on average flow at USGS gage near Calpella from July 30 through August 1</t>
  </si>
  <si>
    <t>Health and Safety Needs</t>
  </si>
  <si>
    <t>After Evaporative Losses</t>
  </si>
  <si>
    <t>After HH&amp;S</t>
  </si>
  <si>
    <t>Current Proposal - Working Copy</t>
  </si>
  <si>
    <t>Current proposal (in cfs)</t>
  </si>
  <si>
    <t>Date</t>
  </si>
  <si>
    <t>URR (Stations 1-13)</t>
  </si>
  <si>
    <t>Jan</t>
  </si>
  <si>
    <t>Feb</t>
  </si>
  <si>
    <t>Mar</t>
  </si>
  <si>
    <t>Apr</t>
  </si>
  <si>
    <t>May</t>
  </si>
  <si>
    <t>Jun</t>
  </si>
  <si>
    <t>Jul</t>
  </si>
  <si>
    <t>Aug</t>
  </si>
  <si>
    <t>Sept</t>
  </si>
  <si>
    <t>Oct</t>
  </si>
  <si>
    <t>Nov</t>
  </si>
  <si>
    <t>Dec</t>
  </si>
  <si>
    <t>Total ET loss, ac-ft/month</t>
  </si>
  <si>
    <t>ET divided amongst three sources</t>
  </si>
  <si>
    <t>Before ET</t>
  </si>
  <si>
    <t>Natural Flow, ac-ft/month</t>
  </si>
  <si>
    <t>PVP flow</t>
  </si>
  <si>
    <t>After ET</t>
  </si>
  <si>
    <t>For Sheet 4. Analysis (Working Copy)</t>
  </si>
  <si>
    <t>All Water Right Holders</t>
  </si>
  <si>
    <t>Mainstem Water Right Holders</t>
  </si>
  <si>
    <t>Non-Mainstem Water Right Holders</t>
  </si>
  <si>
    <t>Count of Non-Reporters</t>
  </si>
  <si>
    <t>Count of Reported Zero Use</t>
  </si>
  <si>
    <t>MAINSTEM</t>
  </si>
  <si>
    <t>(All)</t>
  </si>
  <si>
    <t>Y</t>
  </si>
  <si>
    <t>N</t>
  </si>
  <si>
    <t>NULL_DEMAND</t>
  </si>
  <si>
    <t>MAY_SEPT_ZERO_DEMAND</t>
  </si>
  <si>
    <t>Row Labels</t>
  </si>
  <si>
    <t>Sum of JUN_MEAN_DIV</t>
  </si>
  <si>
    <t xml:space="preserve">Sum of JUL_MEAN_DIV </t>
  </si>
  <si>
    <t>Sum of AUG MEAN DIV</t>
  </si>
  <si>
    <t>Sum of SEP MEAN DIV</t>
  </si>
  <si>
    <t>Sum of OCT MEAN DIV</t>
  </si>
  <si>
    <t>Sum of May to Sept Total, af</t>
  </si>
  <si>
    <t>Lower</t>
  </si>
  <si>
    <t>Count</t>
  </si>
  <si>
    <t>Upper</t>
  </si>
  <si>
    <t>Post-1949</t>
  </si>
  <si>
    <t>pre-1914</t>
  </si>
  <si>
    <t>Pre-1949</t>
  </si>
  <si>
    <t>1971-1990</t>
  </si>
  <si>
    <t>1991-present</t>
  </si>
  <si>
    <t>PVID</t>
  </si>
  <si>
    <t>SCWA-1949</t>
  </si>
  <si>
    <t>APPLICATION_NUMBER</t>
  </si>
  <si>
    <t>ASSIGNED_PRIORITY_DATE_SUB</t>
  </si>
  <si>
    <t>BASIN</t>
  </si>
  <si>
    <t>Lake to Cloverd</t>
  </si>
  <si>
    <t>Cloverd to Healds</t>
  </si>
  <si>
    <t>Upstream of Healdsburg</t>
  </si>
  <si>
    <t>All Except Lake/Potter V.</t>
  </si>
  <si>
    <t>Reach - option 3</t>
  </si>
  <si>
    <t>Reach - option 2</t>
  </si>
  <si>
    <t>Reach</t>
  </si>
  <si>
    <t>Class</t>
  </si>
  <si>
    <t>Priority Year</t>
  </si>
  <si>
    <t>UPPER_RUSSIAN</t>
  </si>
  <si>
    <t>PRE_1914</t>
  </si>
  <si>
    <t>PRE_1949</t>
  </si>
  <si>
    <t>POST_1949</t>
  </si>
  <si>
    <t>RIPARIAN</t>
  </si>
  <si>
    <t>ZERO_DEMAND</t>
  </si>
  <si>
    <t>POWER_DEMAND_ZEROED</t>
  </si>
  <si>
    <t>JAN_MEAN_DIV</t>
  </si>
  <si>
    <t>FEB_MEAN_DIV</t>
  </si>
  <si>
    <t>MAR_MEAN_DIV</t>
  </si>
  <si>
    <t>APR_MEAN_DIV</t>
  </si>
  <si>
    <t>MAY_MEAN_DIV</t>
  </si>
  <si>
    <t>JUN_MEAN_DIV</t>
  </si>
  <si>
    <t>JUL_MEAN_DIV</t>
  </si>
  <si>
    <t>AUG_MEAN_DIV</t>
  </si>
  <si>
    <t>SEP_MEAN_DIV</t>
  </si>
  <si>
    <t>OCT_MEAN_DIV</t>
  </si>
  <si>
    <t>NOV_MEAN_DIV</t>
  </si>
  <si>
    <t>DEC_MEAN_DIV</t>
  </si>
  <si>
    <t>TOTAL_MEAN_DIV</t>
  </si>
  <si>
    <t>May to Sept Total, af</t>
  </si>
  <si>
    <t>May to Sept Total, cfs</t>
  </si>
  <si>
    <t>PERCENT_FACE</t>
  </si>
  <si>
    <t>INI_REPORTED_DIV_AMOUNT</t>
  </si>
  <si>
    <t>INI_REPORTED_DIV_UNIT</t>
  </si>
  <si>
    <t>FACE_VALUE_AMOUNT</t>
  </si>
  <si>
    <t>FACE_VALUE_UNITS</t>
  </si>
  <si>
    <t>NEW BASIN</t>
  </si>
  <si>
    <t>HS_BUFFER_CFS</t>
  </si>
  <si>
    <t>LATITUDE</t>
  </si>
  <si>
    <t>LONGITUDE</t>
  </si>
  <si>
    <t>SOURCE_NAME</t>
  </si>
  <si>
    <t>A033106</t>
  </si>
  <si>
    <t>Acre-feet per Year</t>
  </si>
  <si>
    <t>U_11</t>
  </si>
  <si>
    <t>Yellowjacket Creek</t>
  </si>
  <si>
    <t>A033107</t>
  </si>
  <si>
    <t>U_12</t>
  </si>
  <si>
    <t>No Name Creek</t>
  </si>
  <si>
    <t>H508968</t>
  </si>
  <si>
    <t>L_22</t>
  </si>
  <si>
    <t>Unnamed Spring</t>
  </si>
  <si>
    <t>H509523</t>
  </si>
  <si>
    <t>U_1</t>
  </si>
  <si>
    <t>D033030</t>
  </si>
  <si>
    <t>U_6</t>
  </si>
  <si>
    <t>Unnamed Stream</t>
  </si>
  <si>
    <t>D033034</t>
  </si>
  <si>
    <t>D033060</t>
  </si>
  <si>
    <t>L_24</t>
  </si>
  <si>
    <t>D033061</t>
  </si>
  <si>
    <t>D033083</t>
  </si>
  <si>
    <t>U_3</t>
  </si>
  <si>
    <t>H033072</t>
  </si>
  <si>
    <t>H504162</t>
  </si>
  <si>
    <t>L_20</t>
  </si>
  <si>
    <t>H505765</t>
  </si>
  <si>
    <t>U_4</t>
  </si>
  <si>
    <t>H505809</t>
  </si>
  <si>
    <t>U_5</t>
  </si>
  <si>
    <t>H505968</t>
  </si>
  <si>
    <t>H505997</t>
  </si>
  <si>
    <t>East Fork Russian River</t>
  </si>
  <si>
    <t>H506245</t>
  </si>
  <si>
    <t>H506517</t>
  </si>
  <si>
    <t>H507504</t>
  </si>
  <si>
    <t>H507549</t>
  </si>
  <si>
    <t>H507733</t>
  </si>
  <si>
    <t>H507821</t>
  </si>
  <si>
    <t>H507877</t>
  </si>
  <si>
    <t>H508419</t>
  </si>
  <si>
    <t>H509254</t>
  </si>
  <si>
    <t>L033031</t>
  </si>
  <si>
    <t>D033025</t>
  </si>
  <si>
    <t>U_2</t>
  </si>
  <si>
    <t>A032898</t>
  </si>
  <si>
    <t>JAKES CREEK</t>
  </si>
  <si>
    <t>A032936</t>
  </si>
  <si>
    <t>L_18</t>
  </si>
  <si>
    <t>A032959</t>
  </si>
  <si>
    <t>U_9</t>
  </si>
  <si>
    <t>A032961</t>
  </si>
  <si>
    <t>Green Valley Creek</t>
  </si>
  <si>
    <t>D030731</t>
  </si>
  <si>
    <t>YELLOWJACKET CREEK</t>
  </si>
  <si>
    <t>D032989</t>
  </si>
  <si>
    <t>H032924</t>
  </si>
  <si>
    <t>H500244</t>
  </si>
  <si>
    <t>FELIZ CREEK</t>
  </si>
  <si>
    <t>H500399</t>
  </si>
  <si>
    <t>H500522</t>
  </si>
  <si>
    <t>H500658</t>
  </si>
  <si>
    <t>H500731</t>
  </si>
  <si>
    <t>H500733</t>
  </si>
  <si>
    <t>H500800</t>
  </si>
  <si>
    <t>H500821</t>
  </si>
  <si>
    <t>H500889</t>
  </si>
  <si>
    <t>H501328</t>
  </si>
  <si>
    <t>H501475</t>
  </si>
  <si>
    <t>H501536</t>
  </si>
  <si>
    <t>H501560</t>
  </si>
  <si>
    <t>Ward Creek</t>
  </si>
  <si>
    <t>H501586</t>
  </si>
  <si>
    <t>H501640</t>
  </si>
  <si>
    <t>L_27</t>
  </si>
  <si>
    <t>H502560</t>
  </si>
  <si>
    <t>H503838</t>
  </si>
  <si>
    <t>L032966</t>
  </si>
  <si>
    <t>H500832</t>
  </si>
  <si>
    <t>H501505</t>
  </si>
  <si>
    <t>A032889</t>
  </si>
  <si>
    <t>UNNAMED STREAM</t>
  </si>
  <si>
    <t>D032708</t>
  </si>
  <si>
    <t>RUSSIAN RIVER</t>
  </si>
  <si>
    <t>D032762</t>
  </si>
  <si>
    <t>D032787</t>
  </si>
  <si>
    <t>D032850</t>
  </si>
  <si>
    <t>L_23</t>
  </si>
  <si>
    <t>D032859</t>
  </si>
  <si>
    <t>D032725</t>
  </si>
  <si>
    <t>L_16</t>
  </si>
  <si>
    <t>UNNAMED SPRING</t>
  </si>
  <si>
    <t>L032735</t>
  </si>
  <si>
    <t>D032187</t>
  </si>
  <si>
    <t>D032188</t>
  </si>
  <si>
    <t>D032249</t>
  </si>
  <si>
    <t>NORTH BRANCH PORTERFIELD CREEK</t>
  </si>
  <si>
    <t>D032713</t>
  </si>
  <si>
    <t>D032768</t>
  </si>
  <si>
    <t>L_21</t>
  </si>
  <si>
    <t>KIDD CREEK</t>
  </si>
  <si>
    <t>D032534</t>
  </si>
  <si>
    <t>MILL CREEK</t>
  </si>
  <si>
    <t>D032141</t>
  </si>
  <si>
    <t>D032346</t>
  </si>
  <si>
    <t>U_8</t>
  </si>
  <si>
    <t>D032464</t>
  </si>
  <si>
    <t>PURRINGTON CREEK</t>
  </si>
  <si>
    <t>H032331</t>
  </si>
  <si>
    <t>H032335</t>
  </si>
  <si>
    <t>UNNAMED</t>
  </si>
  <si>
    <t>H032345</t>
  </si>
  <si>
    <t>L031415A</t>
  </si>
  <si>
    <t>UNST</t>
  </si>
  <si>
    <t>D032490</t>
  </si>
  <si>
    <t>WALLACE CREEK</t>
  </si>
  <si>
    <t>A032265</t>
  </si>
  <si>
    <t>D032229</t>
  </si>
  <si>
    <t>D032238</t>
  </si>
  <si>
    <t>D032262</t>
  </si>
  <si>
    <t>D032275</t>
  </si>
  <si>
    <t>D032313</t>
  </si>
  <si>
    <t>D032314</t>
  </si>
  <si>
    <t>D032320</t>
  </si>
  <si>
    <t>POLE MOUNTAIN CREEK</t>
  </si>
  <si>
    <t>L031422</t>
  </si>
  <si>
    <t>UNSP</t>
  </si>
  <si>
    <t>L032279</t>
  </si>
  <si>
    <t>L032271</t>
  </si>
  <si>
    <t>POWERHOUSE CANAL</t>
  </si>
  <si>
    <t>A032002</t>
  </si>
  <si>
    <t>A032115</t>
  </si>
  <si>
    <t>U_10</t>
  </si>
  <si>
    <t>A032207</t>
  </si>
  <si>
    <t>TYLER CREEK</t>
  </si>
  <si>
    <t>A032208</t>
  </si>
  <si>
    <t>D032058</t>
  </si>
  <si>
    <t>D032013</t>
  </si>
  <si>
    <t>D032022</t>
  </si>
  <si>
    <t>D032041</t>
  </si>
  <si>
    <t xml:space="preserve">UNNAMED STREAM </t>
  </si>
  <si>
    <t>D032057</t>
  </si>
  <si>
    <t>D032062</t>
  </si>
  <si>
    <t>D032081</t>
  </si>
  <si>
    <t>D032138</t>
  </si>
  <si>
    <t>D032140</t>
  </si>
  <si>
    <t>D032143</t>
  </si>
  <si>
    <t>HOWARD CREEK</t>
  </si>
  <si>
    <t>D032149</t>
  </si>
  <si>
    <t>D032166</t>
  </si>
  <si>
    <t>D032206</t>
  </si>
  <si>
    <t>H032009</t>
  </si>
  <si>
    <t>WEST FORK RUSSIAN RIVER</t>
  </si>
  <si>
    <t>L032006</t>
  </si>
  <si>
    <t>L032027</t>
  </si>
  <si>
    <t>L032032</t>
  </si>
  <si>
    <t>L032128</t>
  </si>
  <si>
    <t>L032146</t>
  </si>
  <si>
    <t>L032147</t>
  </si>
  <si>
    <t>L032148</t>
  </si>
  <si>
    <t>A032220</t>
  </si>
  <si>
    <t>A031920</t>
  </si>
  <si>
    <t>A031923</t>
  </si>
  <si>
    <t>A031924</t>
  </si>
  <si>
    <t>A031955</t>
  </si>
  <si>
    <t>ATASCADERO CREEK</t>
  </si>
  <si>
    <t>A031956</t>
  </si>
  <si>
    <t>A031988</t>
  </si>
  <si>
    <t>D031947</t>
  </si>
  <si>
    <t>A031870</t>
  </si>
  <si>
    <t>A031877</t>
  </si>
  <si>
    <t>A031888</t>
  </si>
  <si>
    <t>DOOLEY CREEK</t>
  </si>
  <si>
    <t>A031889</t>
  </si>
  <si>
    <t>L031885</t>
  </si>
  <si>
    <t>L031908</t>
  </si>
  <si>
    <t>A031836</t>
  </si>
  <si>
    <t>A031843</t>
  </si>
  <si>
    <t>UNN STR</t>
  </si>
  <si>
    <t>A031743</t>
  </si>
  <si>
    <t>A031745</t>
  </si>
  <si>
    <t>A031746</t>
  </si>
  <si>
    <t>L_17</t>
  </si>
  <si>
    <t>A031811</t>
  </si>
  <si>
    <t>D031803</t>
  </si>
  <si>
    <t>L_15</t>
  </si>
  <si>
    <t>D031801</t>
  </si>
  <si>
    <t>L031764</t>
  </si>
  <si>
    <t>L031802</t>
  </si>
  <si>
    <t>L_14</t>
  </si>
  <si>
    <t>A031719</t>
  </si>
  <si>
    <t>A031737</t>
  </si>
  <si>
    <t>A031738</t>
  </si>
  <si>
    <t>BUCKEYE CREEK</t>
  </si>
  <si>
    <t>A031739</t>
  </si>
  <si>
    <t>MCCHRISTIAN CREEK</t>
  </si>
  <si>
    <t>A031740</t>
  </si>
  <si>
    <t>D031731</t>
  </si>
  <si>
    <t>A031735</t>
  </si>
  <si>
    <t>D031681</t>
  </si>
  <si>
    <t>D031651</t>
  </si>
  <si>
    <t>D031660</t>
  </si>
  <si>
    <t>D031668</t>
  </si>
  <si>
    <t>U_13</t>
  </si>
  <si>
    <t>SUBTERRANEAN STREAM</t>
  </si>
  <si>
    <t>D031671</t>
  </si>
  <si>
    <t>L031669</t>
  </si>
  <si>
    <t>A031616</t>
  </si>
  <si>
    <t>A031618</t>
  </si>
  <si>
    <t>GIRD CREEK</t>
  </si>
  <si>
    <t>A031620</t>
  </si>
  <si>
    <t>A031621</t>
  </si>
  <si>
    <t>A031622</t>
  </si>
  <si>
    <t>A031623</t>
  </si>
  <si>
    <t>A031629</t>
  </si>
  <si>
    <t>D031606</t>
  </si>
  <si>
    <t>D031627</t>
  </si>
  <si>
    <t>D031630</t>
  </si>
  <si>
    <t>L031424</t>
  </si>
  <si>
    <t>L031605</t>
  </si>
  <si>
    <t>L031607</t>
  </si>
  <si>
    <t>D031592</t>
  </si>
  <si>
    <t>L031582</t>
  </si>
  <si>
    <t>A031567</t>
  </si>
  <si>
    <t>AUSTIN CREEK UNDERFLOW</t>
  </si>
  <si>
    <t>D031569</t>
  </si>
  <si>
    <t>D031563</t>
  </si>
  <si>
    <t>D031589</t>
  </si>
  <si>
    <t>D031602</t>
  </si>
  <si>
    <t>D031603</t>
  </si>
  <si>
    <t>L031573</t>
  </si>
  <si>
    <t>A031501</t>
  </si>
  <si>
    <t>A031507</t>
  </si>
  <si>
    <t>A031513</t>
  </si>
  <si>
    <t>D031542</t>
  </si>
  <si>
    <t>D031555</t>
  </si>
  <si>
    <t>L031528</t>
  </si>
  <si>
    <t>A012919C</t>
  </si>
  <si>
    <t>EAST FORK RUSSIAN RIVER</t>
  </si>
  <si>
    <t>A012920B</t>
  </si>
  <si>
    <t>A031461</t>
  </si>
  <si>
    <t>A031383</t>
  </si>
  <si>
    <t>A031398</t>
  </si>
  <si>
    <t>A031399</t>
  </si>
  <si>
    <t>RUSSIAN RIVER UNDERFLOW</t>
  </si>
  <si>
    <t>A031426</t>
  </si>
  <si>
    <t>A031435</t>
  </si>
  <si>
    <t>A031437</t>
  </si>
  <si>
    <t>A031445</t>
  </si>
  <si>
    <t>WALKER CREEK</t>
  </si>
  <si>
    <t>A031446</t>
  </si>
  <si>
    <t>A031467</t>
  </si>
  <si>
    <t>A031519</t>
  </si>
  <si>
    <t>D031411</t>
  </si>
  <si>
    <t>D031427</t>
  </si>
  <si>
    <t>D031451</t>
  </si>
  <si>
    <t>D031472</t>
  </si>
  <si>
    <t>D031475</t>
  </si>
  <si>
    <t>D031476</t>
  </si>
  <si>
    <t>D031477</t>
  </si>
  <si>
    <t>L031391</t>
  </si>
  <si>
    <t>L031392</t>
  </si>
  <si>
    <t>L031393</t>
  </si>
  <si>
    <t>L031414</t>
  </si>
  <si>
    <t>L031420</t>
  </si>
  <si>
    <t>L031423</t>
  </si>
  <si>
    <t>A031504</t>
  </si>
  <si>
    <t>L031457</t>
  </si>
  <si>
    <t>A023869</t>
  </si>
  <si>
    <t>UNCR</t>
  </si>
  <si>
    <t>D031376</t>
  </si>
  <si>
    <t>A031304</t>
  </si>
  <si>
    <t>A031311</t>
  </si>
  <si>
    <t>A031336</t>
  </si>
  <si>
    <t>A031362</t>
  </si>
  <si>
    <t>A031386</t>
  </si>
  <si>
    <t>A031387</t>
  </si>
  <si>
    <t>A031418</t>
  </si>
  <si>
    <t>D031267</t>
  </si>
  <si>
    <t>D031318</t>
  </si>
  <si>
    <t>D031331</t>
  </si>
  <si>
    <t>L_28</t>
  </si>
  <si>
    <t>D031380</t>
  </si>
  <si>
    <t>D031390</t>
  </si>
  <si>
    <t>D031410</t>
  </si>
  <si>
    <t>L031319</t>
  </si>
  <si>
    <t>L031353</t>
  </si>
  <si>
    <t>L031378</t>
  </si>
  <si>
    <t>A031385</t>
  </si>
  <si>
    <t>A031183</t>
  </si>
  <si>
    <t>A031255</t>
  </si>
  <si>
    <t>A031257</t>
  </si>
  <si>
    <t>A031258</t>
  </si>
  <si>
    <t>A031259</t>
  </si>
  <si>
    <t>A031260</t>
  </si>
  <si>
    <t>A031262</t>
  </si>
  <si>
    <t>A031296</t>
  </si>
  <si>
    <t>A031315</t>
  </si>
  <si>
    <t>A031339</t>
  </si>
  <si>
    <t>A031464</t>
  </si>
  <si>
    <t>A031465</t>
  </si>
  <si>
    <t>A031554</t>
  </si>
  <si>
    <t>D031143</t>
  </si>
  <si>
    <t>A031256</t>
  </si>
  <si>
    <t>A031040</t>
  </si>
  <si>
    <t>MAACAMA CREEK</t>
  </si>
  <si>
    <t>A031055</t>
  </si>
  <si>
    <t>A031056</t>
  </si>
  <si>
    <t>A031057</t>
  </si>
  <si>
    <t>HENSLEY CREEK</t>
  </si>
  <si>
    <t>A031095</t>
  </si>
  <si>
    <t>A031171</t>
  </si>
  <si>
    <t>A031179</t>
  </si>
  <si>
    <t>A031184</t>
  </si>
  <si>
    <t>A031254</t>
  </si>
  <si>
    <t>FALL CREEK</t>
  </si>
  <si>
    <t>D029831</t>
  </si>
  <si>
    <t>A031553</t>
  </si>
  <si>
    <t>D031098</t>
  </si>
  <si>
    <t>D031111</t>
  </si>
  <si>
    <t>A030933</t>
  </si>
  <si>
    <t>A030912</t>
  </si>
  <si>
    <t>A030931</t>
  </si>
  <si>
    <t>A030954</t>
  </si>
  <si>
    <t>A030955</t>
  </si>
  <si>
    <t>A030988</t>
  </si>
  <si>
    <t>A031049</t>
  </si>
  <si>
    <t>A031059</t>
  </si>
  <si>
    <t>A031060</t>
  </si>
  <si>
    <t>A031085</t>
  </si>
  <si>
    <t>A031086</t>
  </si>
  <si>
    <t>UNSTR</t>
  </si>
  <si>
    <t>A031087</t>
  </si>
  <si>
    <t>A031138</t>
  </si>
  <si>
    <t>A031140</t>
  </si>
  <si>
    <t>A031141</t>
  </si>
  <si>
    <t>A031159</t>
  </si>
  <si>
    <t>D030863</t>
  </si>
  <si>
    <t>D030890</t>
  </si>
  <si>
    <t>D030904</t>
  </si>
  <si>
    <t>D030969</t>
  </si>
  <si>
    <t>D030985</t>
  </si>
  <si>
    <t>D031005</t>
  </si>
  <si>
    <t>A030683</t>
  </si>
  <si>
    <t>A030730</t>
  </si>
  <si>
    <t>A030744</t>
  </si>
  <si>
    <t>A030745</t>
  </si>
  <si>
    <t>A030779</t>
  </si>
  <si>
    <t>A030780</t>
  </si>
  <si>
    <t>A030781</t>
  </si>
  <si>
    <t>UNST (AKA CARPENTER CREEK)</t>
  </si>
  <si>
    <t>A030796</t>
  </si>
  <si>
    <t>A030797</t>
  </si>
  <si>
    <t>A030800</t>
  </si>
  <si>
    <t>WINDSOR CREEK</t>
  </si>
  <si>
    <t>A030805</t>
  </si>
  <si>
    <t>A030806</t>
  </si>
  <si>
    <t>A030807</t>
  </si>
  <si>
    <t>A030815</t>
  </si>
  <si>
    <t>A030877A</t>
  </si>
  <si>
    <t>MCNAB CREEK</t>
  </si>
  <si>
    <t>A030877B</t>
  </si>
  <si>
    <t>A030878A</t>
  </si>
  <si>
    <t>A030878B</t>
  </si>
  <si>
    <t>A030880</t>
  </si>
  <si>
    <t>A030882</t>
  </si>
  <si>
    <t>A030982</t>
  </si>
  <si>
    <t>D030758</t>
  </si>
  <si>
    <t>D030712</t>
  </si>
  <si>
    <t>D030727</t>
  </si>
  <si>
    <t>D030732</t>
  </si>
  <si>
    <t>D030755</t>
  </si>
  <si>
    <t>D030759</t>
  </si>
  <si>
    <t>D030760</t>
  </si>
  <si>
    <t>D030820</t>
  </si>
  <si>
    <t>D030881</t>
  </si>
  <si>
    <t>D030891</t>
  </si>
  <si>
    <t>D030898</t>
  </si>
  <si>
    <t>A030798</t>
  </si>
  <si>
    <t>D030741</t>
  </si>
  <si>
    <t>L_19</t>
  </si>
  <si>
    <t>A029983</t>
  </si>
  <si>
    <t>C005161</t>
  </si>
  <si>
    <t>C005162</t>
  </si>
  <si>
    <t>C005163</t>
  </si>
  <si>
    <t>C005164</t>
  </si>
  <si>
    <t>C005165</t>
  </si>
  <si>
    <t>C005166</t>
  </si>
  <si>
    <t>C005343</t>
  </si>
  <si>
    <t>C005521</t>
  </si>
  <si>
    <t>UNST (AKA CHEDBURN CREEK)</t>
  </si>
  <si>
    <t>C005522</t>
  </si>
  <si>
    <t>C005624</t>
  </si>
  <si>
    <t>C005922</t>
  </si>
  <si>
    <t>C006052</t>
  </si>
  <si>
    <t>D030601</t>
  </si>
  <si>
    <t>A030663</t>
  </si>
  <si>
    <t>DRY CREEK UNDERFLOW</t>
  </si>
  <si>
    <t>C005834</t>
  </si>
  <si>
    <t>A030553</t>
  </si>
  <si>
    <t>A030554</t>
  </si>
  <si>
    <t>A030615</t>
  </si>
  <si>
    <t>A030560</t>
  </si>
  <si>
    <t>A030564</t>
  </si>
  <si>
    <t>A030656</t>
  </si>
  <si>
    <t>D030427</t>
  </si>
  <si>
    <t>D030460</t>
  </si>
  <si>
    <t>A030349</t>
  </si>
  <si>
    <t>A030363</t>
  </si>
  <si>
    <t>FORSYTHE CREEK</t>
  </si>
  <si>
    <t>A030364</t>
  </si>
  <si>
    <t>A030365</t>
  </si>
  <si>
    <t>A030391</t>
  </si>
  <si>
    <t>A030397</t>
  </si>
  <si>
    <t>A030429</t>
  </si>
  <si>
    <t>D030346</t>
  </si>
  <si>
    <t>D030353</t>
  </si>
  <si>
    <t>A030259</t>
  </si>
  <si>
    <t>A030282</t>
  </si>
  <si>
    <t>A030290</t>
  </si>
  <si>
    <t>A030336</t>
  </si>
  <si>
    <t>L_26</t>
  </si>
  <si>
    <t>A030987</t>
  </si>
  <si>
    <t>D030221</t>
  </si>
  <si>
    <t>D030256</t>
  </si>
  <si>
    <t>D030286</t>
  </si>
  <si>
    <t>A030124</t>
  </si>
  <si>
    <t>A030125</t>
  </si>
  <si>
    <t>A030126</t>
  </si>
  <si>
    <t>A030132</t>
  </si>
  <si>
    <t>A030181</t>
  </si>
  <si>
    <t>MARK WEST CREEK</t>
  </si>
  <si>
    <t>A030186</t>
  </si>
  <si>
    <t>AUSTIN CREEK</t>
  </si>
  <si>
    <t>A030173</t>
  </si>
  <si>
    <t>A030986</t>
  </si>
  <si>
    <t>A031091</t>
  </si>
  <si>
    <t>A031092</t>
  </si>
  <si>
    <t>A031093</t>
  </si>
  <si>
    <t>A031094</t>
  </si>
  <si>
    <t>A031105</t>
  </si>
  <si>
    <t>A031253</t>
  </si>
  <si>
    <t>A031282</t>
  </si>
  <si>
    <t>D030095</t>
  </si>
  <si>
    <t>D030211</t>
  </si>
  <si>
    <t>A029901</t>
  </si>
  <si>
    <t>A029912</t>
  </si>
  <si>
    <t>A030015</t>
  </si>
  <si>
    <t>A030036</t>
  </si>
  <si>
    <t>A029986</t>
  </si>
  <si>
    <t>C003981</t>
  </si>
  <si>
    <t>C003979</t>
  </si>
  <si>
    <t>A029995</t>
  </si>
  <si>
    <t>D029862</t>
  </si>
  <si>
    <t>A029662</t>
  </si>
  <si>
    <t>A029671</t>
  </si>
  <si>
    <t>A029682</t>
  </si>
  <si>
    <t>A029719</t>
  </si>
  <si>
    <t>A029723</t>
  </si>
  <si>
    <t>A029737</t>
  </si>
  <si>
    <t>A029755</t>
  </si>
  <si>
    <t>A029760</t>
  </si>
  <si>
    <t>Russian River</t>
  </si>
  <si>
    <t>A029763</t>
  </si>
  <si>
    <t>A029772</t>
  </si>
  <si>
    <t>A029783</t>
  </si>
  <si>
    <t>A029789</t>
  </si>
  <si>
    <t>A029802</t>
  </si>
  <si>
    <t>A029848</t>
  </si>
  <si>
    <t>A029849</t>
  </si>
  <si>
    <t>A029850</t>
  </si>
  <si>
    <t>A029858</t>
  </si>
  <si>
    <t>D029650</t>
  </si>
  <si>
    <t>A029397</t>
  </si>
  <si>
    <t>A029401</t>
  </si>
  <si>
    <t>A029405</t>
  </si>
  <si>
    <t>A029406</t>
  </si>
  <si>
    <t>A029411</t>
  </si>
  <si>
    <t>A029412</t>
  </si>
  <si>
    <t>A029437</t>
  </si>
  <si>
    <t>A029462</t>
  </si>
  <si>
    <t>A029467</t>
  </si>
  <si>
    <t>A029479</t>
  </si>
  <si>
    <t>A029480</t>
  </si>
  <si>
    <t>A029502</t>
  </si>
  <si>
    <t>A029512</t>
  </si>
  <si>
    <t>A029515</t>
  </si>
  <si>
    <t>A029517</t>
  </si>
  <si>
    <t>A029525</t>
  </si>
  <si>
    <t>A029526</t>
  </si>
  <si>
    <t>A029562</t>
  </si>
  <si>
    <t>A029595</t>
  </si>
  <si>
    <t>A029610</t>
  </si>
  <si>
    <t>A029616</t>
  </si>
  <si>
    <t>A029628</t>
  </si>
  <si>
    <t>A029632</t>
  </si>
  <si>
    <t>A029538</t>
  </si>
  <si>
    <t>D029507</t>
  </si>
  <si>
    <t>FELTA CREEK UNDERFLOW</t>
  </si>
  <si>
    <t>D029448</t>
  </si>
  <si>
    <t>D029572</t>
  </si>
  <si>
    <t>A029202</t>
  </si>
  <si>
    <t>A029203</t>
  </si>
  <si>
    <t>A029267</t>
  </si>
  <si>
    <t>LAFRANCHI CREEK</t>
  </si>
  <si>
    <t>A029272</t>
  </si>
  <si>
    <t>JENNER GULCH</t>
  </si>
  <si>
    <t>A029277</t>
  </si>
  <si>
    <t>A029327</t>
  </si>
  <si>
    <t>A029332</t>
  </si>
  <si>
    <t>A029333</t>
  </si>
  <si>
    <t>A029338</t>
  </si>
  <si>
    <t>A029372</t>
  </si>
  <si>
    <t>A029591</t>
  </si>
  <si>
    <t>A029592</t>
  </si>
  <si>
    <t>A030879</t>
  </si>
  <si>
    <t>A029044</t>
  </si>
  <si>
    <t>A029070</t>
  </si>
  <si>
    <t>A029086</t>
  </si>
  <si>
    <t>U_7</t>
  </si>
  <si>
    <t>A029087</t>
  </si>
  <si>
    <t>A029108</t>
  </si>
  <si>
    <t>BIDWELL CREEK</t>
  </si>
  <si>
    <t>A029122</t>
  </si>
  <si>
    <t>A028878</t>
  </si>
  <si>
    <t>A028824</t>
  </si>
  <si>
    <t>A028715</t>
  </si>
  <si>
    <t>A028738</t>
  </si>
  <si>
    <t>A028786</t>
  </si>
  <si>
    <t>ELDRIDGE CREEK</t>
  </si>
  <si>
    <t>A028787</t>
  </si>
  <si>
    <t>A028790</t>
  </si>
  <si>
    <t>A028828</t>
  </si>
  <si>
    <t>A028854</t>
  </si>
  <si>
    <t>A028855</t>
  </si>
  <si>
    <t>A028860</t>
  </si>
  <si>
    <t>A028886</t>
  </si>
  <si>
    <t>A028925</t>
  </si>
  <si>
    <t>A028926</t>
  </si>
  <si>
    <t>A028927</t>
  </si>
  <si>
    <t>A028386</t>
  </si>
  <si>
    <t>A028632</t>
  </si>
  <si>
    <t>A028633</t>
  </si>
  <si>
    <t>A028635</t>
  </si>
  <si>
    <t>A028636</t>
  </si>
  <si>
    <t>A028640</t>
  </si>
  <si>
    <t>UNST (AKA REDWOOD CREEK)</t>
  </si>
  <si>
    <t>A028641</t>
  </si>
  <si>
    <t>A028642</t>
  </si>
  <si>
    <t>A028643</t>
  </si>
  <si>
    <t>A028647</t>
  </si>
  <si>
    <t>A028648</t>
  </si>
  <si>
    <t>A028649</t>
  </si>
  <si>
    <t>A028650</t>
  </si>
  <si>
    <t>A028651</t>
  </si>
  <si>
    <t>A028653</t>
  </si>
  <si>
    <t>A028676</t>
  </si>
  <si>
    <t>A028402</t>
  </si>
  <si>
    <t>KELLEY CREEK</t>
  </si>
  <si>
    <t>A028668</t>
  </si>
  <si>
    <t>A028116</t>
  </si>
  <si>
    <t>A027953</t>
  </si>
  <si>
    <t>A027955</t>
  </si>
  <si>
    <t>A027992</t>
  </si>
  <si>
    <t>A028127</t>
  </si>
  <si>
    <t>A028176</t>
  </si>
  <si>
    <t>A028319</t>
  </si>
  <si>
    <t>BIG SULPHUR CREEK</t>
  </si>
  <si>
    <t>A028320</t>
  </si>
  <si>
    <t>A028370</t>
  </si>
  <si>
    <t>A028365</t>
  </si>
  <si>
    <t>A027757</t>
  </si>
  <si>
    <t>A027791</t>
  </si>
  <si>
    <t>A027892</t>
  </si>
  <si>
    <t>A027702</t>
  </si>
  <si>
    <t>A027177</t>
  </si>
  <si>
    <t>A027249</t>
  </si>
  <si>
    <t>FREEZEOUT CREEK</t>
  </si>
  <si>
    <t>A027301</t>
  </si>
  <si>
    <t>A027327</t>
  </si>
  <si>
    <t>A027362</t>
  </si>
  <si>
    <t>A027424</t>
  </si>
  <si>
    <t>A027440</t>
  </si>
  <si>
    <t>A027460</t>
  </si>
  <si>
    <t>A027478</t>
  </si>
  <si>
    <t>A027479</t>
  </si>
  <si>
    <t>A027541</t>
  </si>
  <si>
    <t>A027557</t>
  </si>
  <si>
    <t>A027581</t>
  </si>
  <si>
    <t>A027582</t>
  </si>
  <si>
    <t>A027583</t>
  </si>
  <si>
    <t>A027584</t>
  </si>
  <si>
    <t>A027596</t>
  </si>
  <si>
    <t>A026740</t>
  </si>
  <si>
    <t>A026927</t>
  </si>
  <si>
    <t>A026975</t>
  </si>
  <si>
    <t>A026993</t>
  </si>
  <si>
    <t>A027022</t>
  </si>
  <si>
    <t>A027036</t>
  </si>
  <si>
    <t>A027046</t>
  </si>
  <si>
    <t>A027075</t>
  </si>
  <si>
    <t>A027081</t>
  </si>
  <si>
    <t>A027143</t>
  </si>
  <si>
    <t>A027149</t>
  </si>
  <si>
    <t>A027158</t>
  </si>
  <si>
    <t>A027031</t>
  </si>
  <si>
    <t>A026938</t>
  </si>
  <si>
    <t>A026769</t>
  </si>
  <si>
    <t>A026181</t>
  </si>
  <si>
    <t>A026182</t>
  </si>
  <si>
    <t>A026183</t>
  </si>
  <si>
    <t>A026184</t>
  </si>
  <si>
    <t>A026201</t>
  </si>
  <si>
    <t>A026224</t>
  </si>
  <si>
    <t>A026228</t>
  </si>
  <si>
    <t>A026233</t>
  </si>
  <si>
    <t>A026240</t>
  </si>
  <si>
    <t>A026241</t>
  </si>
  <si>
    <t>A026250</t>
  </si>
  <si>
    <t>A026298A</t>
  </si>
  <si>
    <t>A026298B</t>
  </si>
  <si>
    <t>A026402</t>
  </si>
  <si>
    <t>A026412</t>
  </si>
  <si>
    <t>A026413</t>
  </si>
  <si>
    <t>A026503</t>
  </si>
  <si>
    <t>A026440</t>
  </si>
  <si>
    <t>A026600</t>
  </si>
  <si>
    <t>A026624</t>
  </si>
  <si>
    <t>DRY CREEK</t>
  </si>
  <si>
    <t>A026672</t>
  </si>
  <si>
    <t>A026442</t>
  </si>
  <si>
    <t>A026561</t>
  </si>
  <si>
    <t>CRANE CREEK</t>
  </si>
  <si>
    <t>A026470</t>
  </si>
  <si>
    <t>A025998</t>
  </si>
  <si>
    <t>A025939</t>
  </si>
  <si>
    <t>A025940</t>
  </si>
  <si>
    <t>A025964</t>
  </si>
  <si>
    <t>A026022A</t>
  </si>
  <si>
    <t>A026022B</t>
  </si>
  <si>
    <t>A026055A</t>
  </si>
  <si>
    <t>A026055B</t>
  </si>
  <si>
    <t>A026079</t>
  </si>
  <si>
    <t>A026110</t>
  </si>
  <si>
    <t>A026111</t>
  </si>
  <si>
    <t>A026113</t>
  </si>
  <si>
    <t>A026143</t>
  </si>
  <si>
    <t>A026016</t>
  </si>
  <si>
    <t>A025674</t>
  </si>
  <si>
    <t>A025682</t>
  </si>
  <si>
    <t>A025691</t>
  </si>
  <si>
    <t>A025740</t>
  </si>
  <si>
    <t>A025749A</t>
  </si>
  <si>
    <t>A025749B</t>
  </si>
  <si>
    <t>A025762</t>
  </si>
  <si>
    <t>A025773</t>
  </si>
  <si>
    <t>A025822A</t>
  </si>
  <si>
    <t>A025822B</t>
  </si>
  <si>
    <t>A025823A01</t>
  </si>
  <si>
    <t>A025823A02</t>
  </si>
  <si>
    <t>A025823A03</t>
  </si>
  <si>
    <t>A025823B</t>
  </si>
  <si>
    <t>A025830</t>
  </si>
  <si>
    <t>A025831</t>
  </si>
  <si>
    <t>A025850</t>
  </si>
  <si>
    <t>A025869</t>
  </si>
  <si>
    <t>A025887A</t>
  </si>
  <si>
    <t>A025887B</t>
  </si>
  <si>
    <t>A025888A</t>
  </si>
  <si>
    <t>COLEMAN CREEK</t>
  </si>
  <si>
    <t>A025888B</t>
  </si>
  <si>
    <t>C002935</t>
  </si>
  <si>
    <t>C002936</t>
  </si>
  <si>
    <t>A025268</t>
  </si>
  <si>
    <t>A025301</t>
  </si>
  <si>
    <t>A025325</t>
  </si>
  <si>
    <t>A025334</t>
  </si>
  <si>
    <t>A025363</t>
  </si>
  <si>
    <t>A025367</t>
  </si>
  <si>
    <t>A025393A</t>
  </si>
  <si>
    <t>A025393B</t>
  </si>
  <si>
    <t>A025394</t>
  </si>
  <si>
    <t>A025405</t>
  </si>
  <si>
    <t>A025596</t>
  </si>
  <si>
    <t>A025600</t>
  </si>
  <si>
    <t>A025623</t>
  </si>
  <si>
    <t>C001166</t>
  </si>
  <si>
    <t>C001216</t>
  </si>
  <si>
    <t>A025070</t>
  </si>
  <si>
    <t>A024967</t>
  </si>
  <si>
    <t>L_13</t>
  </si>
  <si>
    <t>A024968A</t>
  </si>
  <si>
    <t>A024968B</t>
  </si>
  <si>
    <t>A024969B</t>
  </si>
  <si>
    <t>A024972</t>
  </si>
  <si>
    <t>A024996</t>
  </si>
  <si>
    <t>A025005</t>
  </si>
  <si>
    <t>A025010</t>
  </si>
  <si>
    <t>A025015</t>
  </si>
  <si>
    <t>A025021</t>
  </si>
  <si>
    <t>A025025</t>
  </si>
  <si>
    <t>A025028</t>
  </si>
  <si>
    <t>A025032</t>
  </si>
  <si>
    <t>A025052</t>
  </si>
  <si>
    <t>A025065</t>
  </si>
  <si>
    <t>A025084</t>
  </si>
  <si>
    <t>A025110</t>
  </si>
  <si>
    <t>A025123</t>
  </si>
  <si>
    <t>A025137</t>
  </si>
  <si>
    <t>LANCEL CREEK</t>
  </si>
  <si>
    <t>A025154</t>
  </si>
  <si>
    <t>A025157</t>
  </si>
  <si>
    <t>A025207</t>
  </si>
  <si>
    <t>C000222</t>
  </si>
  <si>
    <t>C000223</t>
  </si>
  <si>
    <t>C000511</t>
  </si>
  <si>
    <t>NORTH FORK LANCEL CREEK</t>
  </si>
  <si>
    <t>C000512</t>
  </si>
  <si>
    <t>GRUB CREEK</t>
  </si>
  <si>
    <t>A025012</t>
  </si>
  <si>
    <t>A025125</t>
  </si>
  <si>
    <t>A025201</t>
  </si>
  <si>
    <t>A024995</t>
  </si>
  <si>
    <t>A025019</t>
  </si>
  <si>
    <t>A023998</t>
  </si>
  <si>
    <t>A024741</t>
  </si>
  <si>
    <t>A024761</t>
  </si>
  <si>
    <t>GREEN VALLEY CREEK</t>
  </si>
  <si>
    <t>A024762A</t>
  </si>
  <si>
    <t>A024762B</t>
  </si>
  <si>
    <t>A024763B</t>
  </si>
  <si>
    <t>A024774</t>
  </si>
  <si>
    <t>A024780</t>
  </si>
  <si>
    <t>A024783</t>
  </si>
  <si>
    <t>A024789A</t>
  </si>
  <si>
    <t>A024789B</t>
  </si>
  <si>
    <t>A024790A</t>
  </si>
  <si>
    <t>EDWARDS CREEK</t>
  </si>
  <si>
    <t>A024805</t>
  </si>
  <si>
    <t>A024807</t>
  </si>
  <si>
    <t>A024817</t>
  </si>
  <si>
    <t>A024827</t>
  </si>
  <si>
    <t>A024854</t>
  </si>
  <si>
    <t>A024864A</t>
  </si>
  <si>
    <t>A024864B</t>
  </si>
  <si>
    <t>A024865A01</t>
  </si>
  <si>
    <t>A024865A02</t>
  </si>
  <si>
    <t>A024865B</t>
  </si>
  <si>
    <t>A024877</t>
  </si>
  <si>
    <t>A024884</t>
  </si>
  <si>
    <t>A024889</t>
  </si>
  <si>
    <t>A024891</t>
  </si>
  <si>
    <t>A024892A</t>
  </si>
  <si>
    <t>A024892B</t>
  </si>
  <si>
    <t>A024893A</t>
  </si>
  <si>
    <t>A024893B</t>
  </si>
  <si>
    <t>A024894</t>
  </si>
  <si>
    <t>A024898</t>
  </si>
  <si>
    <t>MCCLURE CREEK</t>
  </si>
  <si>
    <t>A024899</t>
  </si>
  <si>
    <t>A024905</t>
  </si>
  <si>
    <t>A024909</t>
  </si>
  <si>
    <t>A024912</t>
  </si>
  <si>
    <t>A024919</t>
  </si>
  <si>
    <t>A024921</t>
  </si>
  <si>
    <t>A024929</t>
  </si>
  <si>
    <t>A024931</t>
  </si>
  <si>
    <t>A024932</t>
  </si>
  <si>
    <t>A024935</t>
  </si>
  <si>
    <t>A024951</t>
  </si>
  <si>
    <t>LAKE MENDOCINO</t>
  </si>
  <si>
    <t>A024958A</t>
  </si>
  <si>
    <t>A024958B</t>
  </si>
  <si>
    <t>A024959</t>
  </si>
  <si>
    <t>A024962</t>
  </si>
  <si>
    <t>A024963</t>
  </si>
  <si>
    <t>A024782</t>
  </si>
  <si>
    <t>C000028</t>
  </si>
  <si>
    <t>A024946</t>
  </si>
  <si>
    <t>BURRIGHT CREEK</t>
  </si>
  <si>
    <t>A024571B</t>
  </si>
  <si>
    <t>A024571A</t>
  </si>
  <si>
    <t>A024522A</t>
  </si>
  <si>
    <t>A024569</t>
  </si>
  <si>
    <t>A024593A</t>
  </si>
  <si>
    <t>A024593B</t>
  </si>
  <si>
    <t>A024604</t>
  </si>
  <si>
    <t>A024617</t>
  </si>
  <si>
    <t>A024644</t>
  </si>
  <si>
    <t>A024645</t>
  </si>
  <si>
    <t>A024678B</t>
  </si>
  <si>
    <t>A024682</t>
  </si>
  <si>
    <t>A024691A</t>
  </si>
  <si>
    <t>ACKERMAN CREEK</t>
  </si>
  <si>
    <t>A024691B</t>
  </si>
  <si>
    <t>A024706</t>
  </si>
  <si>
    <t>A024725</t>
  </si>
  <si>
    <t>A024544</t>
  </si>
  <si>
    <t>A024688A</t>
  </si>
  <si>
    <t>A024688B</t>
  </si>
  <si>
    <t>A013281A01</t>
  </si>
  <si>
    <t>A013281A02</t>
  </si>
  <si>
    <t>A024300A</t>
  </si>
  <si>
    <t>A024301</t>
  </si>
  <si>
    <t>A024310A</t>
  </si>
  <si>
    <t>A024310B</t>
  </si>
  <si>
    <t>A024311B</t>
  </si>
  <si>
    <t>A024344</t>
  </si>
  <si>
    <t>A024378</t>
  </si>
  <si>
    <t>A024391</t>
  </si>
  <si>
    <t>A024404</t>
  </si>
  <si>
    <t>A024405</t>
  </si>
  <si>
    <t>A024409</t>
  </si>
  <si>
    <t>A024412</t>
  </si>
  <si>
    <t>L_25</t>
  </si>
  <si>
    <t>A024425</t>
  </si>
  <si>
    <t>A024457</t>
  </si>
  <si>
    <t>A024488</t>
  </si>
  <si>
    <t>A024502</t>
  </si>
  <si>
    <t>A024318</t>
  </si>
  <si>
    <t>A024209B</t>
  </si>
  <si>
    <t>A024209A</t>
  </si>
  <si>
    <t>A024004</t>
  </si>
  <si>
    <t>A024010</t>
  </si>
  <si>
    <t>A024013</t>
  </si>
  <si>
    <t>A024014</t>
  </si>
  <si>
    <t>A024017</t>
  </si>
  <si>
    <t>A024025</t>
  </si>
  <si>
    <t>A024028</t>
  </si>
  <si>
    <t>A024044</t>
  </si>
  <si>
    <t>A024050</t>
  </si>
  <si>
    <t>A024053</t>
  </si>
  <si>
    <t>A024056</t>
  </si>
  <si>
    <t>A024101</t>
  </si>
  <si>
    <t>A024104</t>
  </si>
  <si>
    <t>A024126</t>
  </si>
  <si>
    <t>A024130</t>
  </si>
  <si>
    <t>A024139</t>
  </si>
  <si>
    <t>A024141</t>
  </si>
  <si>
    <t>A024205</t>
  </si>
  <si>
    <t>A024247</t>
  </si>
  <si>
    <t>A024266A</t>
  </si>
  <si>
    <t>A024266B</t>
  </si>
  <si>
    <t>A024268A</t>
  </si>
  <si>
    <t>A024268B</t>
  </si>
  <si>
    <t>A024269A</t>
  </si>
  <si>
    <t>A024269B</t>
  </si>
  <si>
    <t>A024270A</t>
  </si>
  <si>
    <t>A024270B</t>
  </si>
  <si>
    <t>A024271A</t>
  </si>
  <si>
    <t>A024271B</t>
  </si>
  <si>
    <t>A024223</t>
  </si>
  <si>
    <t>A024163</t>
  </si>
  <si>
    <t>A024173</t>
  </si>
  <si>
    <t>A023671</t>
  </si>
  <si>
    <t>A023678</t>
  </si>
  <si>
    <t>A023679</t>
  </si>
  <si>
    <t>A023681</t>
  </si>
  <si>
    <t>A023682</t>
  </si>
  <si>
    <t>A023707</t>
  </si>
  <si>
    <t>A023737</t>
  </si>
  <si>
    <t>A023748</t>
  </si>
  <si>
    <t>A023792</t>
  </si>
  <si>
    <t>A023793</t>
  </si>
  <si>
    <t>A023794</t>
  </si>
  <si>
    <t>A023802</t>
  </si>
  <si>
    <t>A023835</t>
  </si>
  <si>
    <t>A023836</t>
  </si>
  <si>
    <t>A023839</t>
  </si>
  <si>
    <t>A023840</t>
  </si>
  <si>
    <t>A023868</t>
  </si>
  <si>
    <t>A023880</t>
  </si>
  <si>
    <t>A023895</t>
  </si>
  <si>
    <t>A023902</t>
  </si>
  <si>
    <t>A023915</t>
  </si>
  <si>
    <t>A023926A</t>
  </si>
  <si>
    <t>A023926B</t>
  </si>
  <si>
    <t>A023949</t>
  </si>
  <si>
    <t>A024522B</t>
  </si>
  <si>
    <t>A023766</t>
  </si>
  <si>
    <t>A023916</t>
  </si>
  <si>
    <t>A023670</t>
  </si>
  <si>
    <t>A023700</t>
  </si>
  <si>
    <t>A023534B</t>
  </si>
  <si>
    <t>A023629</t>
  </si>
  <si>
    <t>A023446B</t>
  </si>
  <si>
    <t>A023451</t>
  </si>
  <si>
    <t>A023481</t>
  </si>
  <si>
    <t>A023488</t>
  </si>
  <si>
    <t>A023489</t>
  </si>
  <si>
    <t>A023536</t>
  </si>
  <si>
    <t>A023539</t>
  </si>
  <si>
    <t>A023558</t>
  </si>
  <si>
    <t>A023563</t>
  </si>
  <si>
    <t>A023605</t>
  </si>
  <si>
    <t>A023615</t>
  </si>
  <si>
    <t>A023639</t>
  </si>
  <si>
    <t>A023654A</t>
  </si>
  <si>
    <t>A023654B</t>
  </si>
  <si>
    <t>A023655</t>
  </si>
  <si>
    <t>A023663</t>
  </si>
  <si>
    <t>A023540</t>
  </si>
  <si>
    <t>A023534A</t>
  </si>
  <si>
    <t>A023213</t>
  </si>
  <si>
    <t>A023338</t>
  </si>
  <si>
    <t>A023250</t>
  </si>
  <si>
    <t>A023255</t>
  </si>
  <si>
    <t>A023282</t>
  </si>
  <si>
    <t>A023290</t>
  </si>
  <si>
    <t>A023297</t>
  </si>
  <si>
    <t>A023326</t>
  </si>
  <si>
    <t>A023328</t>
  </si>
  <si>
    <t>A023337</t>
  </si>
  <si>
    <t>A023387</t>
  </si>
  <si>
    <t>A023399</t>
  </si>
  <si>
    <t>A023408</t>
  </si>
  <si>
    <t>A023339</t>
  </si>
  <si>
    <t>A022608</t>
  </si>
  <si>
    <t>A022993</t>
  </si>
  <si>
    <t>ASH CREEK</t>
  </si>
  <si>
    <t>A023027</t>
  </si>
  <si>
    <t>A023035</t>
  </si>
  <si>
    <t>A023058</t>
  </si>
  <si>
    <t>A023067</t>
  </si>
  <si>
    <t>A023086</t>
  </si>
  <si>
    <t>BARNES CREEK</t>
  </si>
  <si>
    <t>A023092</t>
  </si>
  <si>
    <t>A023098</t>
  </si>
  <si>
    <t>A023144</t>
  </si>
  <si>
    <t>A023173</t>
  </si>
  <si>
    <t>A023077</t>
  </si>
  <si>
    <t>A023094</t>
  </si>
  <si>
    <t>A023165</t>
  </si>
  <si>
    <t>A020509</t>
  </si>
  <si>
    <t>A022692</t>
  </si>
  <si>
    <t>A022702</t>
  </si>
  <si>
    <t>A022745</t>
  </si>
  <si>
    <t>A022767</t>
  </si>
  <si>
    <t>A022802</t>
  </si>
  <si>
    <t>A022807</t>
  </si>
  <si>
    <t>A022881</t>
  </si>
  <si>
    <t>A022919</t>
  </si>
  <si>
    <t>A022929</t>
  </si>
  <si>
    <t>A022962</t>
  </si>
  <si>
    <t>A022359</t>
  </si>
  <si>
    <t>A022426</t>
  </si>
  <si>
    <t>A022431</t>
  </si>
  <si>
    <t>SANTA ROSA CREEK</t>
  </si>
  <si>
    <t>A022432</t>
  </si>
  <si>
    <t>A022445</t>
  </si>
  <si>
    <t>FRANZ CREEK</t>
  </si>
  <si>
    <t>A022496</t>
  </si>
  <si>
    <t>A022498</t>
  </si>
  <si>
    <t>UNXX</t>
  </si>
  <si>
    <t>A022523</t>
  </si>
  <si>
    <t>A022583</t>
  </si>
  <si>
    <t>A022614</t>
  </si>
  <si>
    <t>A022615</t>
  </si>
  <si>
    <t>HOIL CREEK</t>
  </si>
  <si>
    <t>A022623</t>
  </si>
  <si>
    <t>A022652</t>
  </si>
  <si>
    <t>A022661</t>
  </si>
  <si>
    <t>A022667</t>
  </si>
  <si>
    <t>A022378</t>
  </si>
  <si>
    <t>A022433</t>
  </si>
  <si>
    <t>A022038</t>
  </si>
  <si>
    <t>A022070</t>
  </si>
  <si>
    <t>BARRELLI CREEK</t>
  </si>
  <si>
    <t>A022079</t>
  </si>
  <si>
    <t>A022145</t>
  </si>
  <si>
    <t>A022188</t>
  </si>
  <si>
    <t>A022277</t>
  </si>
  <si>
    <t>A022342</t>
  </si>
  <si>
    <t>A022348</t>
  </si>
  <si>
    <t>A022237</t>
  </si>
  <si>
    <t>A022151</t>
  </si>
  <si>
    <t>A022273</t>
  </si>
  <si>
    <t>A022090</t>
  </si>
  <si>
    <t>A022141</t>
  </si>
  <si>
    <t>A021596</t>
  </si>
  <si>
    <t>A021658</t>
  </si>
  <si>
    <t>A021660</t>
  </si>
  <si>
    <t>A021666</t>
  </si>
  <si>
    <t>A021674</t>
  </si>
  <si>
    <t>A021691</t>
  </si>
  <si>
    <t>A021710</t>
  </si>
  <si>
    <t>A021711</t>
  </si>
  <si>
    <t>LITTLE SULPHUR CREEK</t>
  </si>
  <si>
    <t>A021756</t>
  </si>
  <si>
    <t>A021783B</t>
  </si>
  <si>
    <t>A021809</t>
  </si>
  <si>
    <t>A021817</t>
  </si>
  <si>
    <t>A021870</t>
  </si>
  <si>
    <t>A021889</t>
  </si>
  <si>
    <t>A021919</t>
  </si>
  <si>
    <t>A021925</t>
  </si>
  <si>
    <t>A021927</t>
  </si>
  <si>
    <t>A021928</t>
  </si>
  <si>
    <t>A021929</t>
  </si>
  <si>
    <t>A021930</t>
  </si>
  <si>
    <t>A021931</t>
  </si>
  <si>
    <t>A021939</t>
  </si>
  <si>
    <t>MAYACMAS SPRING</t>
  </si>
  <si>
    <t>A021941</t>
  </si>
  <si>
    <t>SHELDON SPRING</t>
  </si>
  <si>
    <t>A021950</t>
  </si>
  <si>
    <t>A021966</t>
  </si>
  <si>
    <t>A021977</t>
  </si>
  <si>
    <t>SAWMILL GULCH</t>
  </si>
  <si>
    <t>A021886</t>
  </si>
  <si>
    <t>A021360</t>
  </si>
  <si>
    <t>A021191</t>
  </si>
  <si>
    <t>A021210</t>
  </si>
  <si>
    <t>A021106</t>
  </si>
  <si>
    <t>MORRISON CREEK</t>
  </si>
  <si>
    <t>A021121</t>
  </si>
  <si>
    <t>RUSSIAN RIVER SUBTERRANEAN FLOW</t>
  </si>
  <si>
    <t>A021127</t>
  </si>
  <si>
    <t>A021148</t>
  </si>
  <si>
    <t>A021156</t>
  </si>
  <si>
    <t>A021187</t>
  </si>
  <si>
    <t>A021235</t>
  </si>
  <si>
    <t>A021245</t>
  </si>
  <si>
    <t>A021271</t>
  </si>
  <si>
    <t>A021345</t>
  </si>
  <si>
    <t>A021355</t>
  </si>
  <si>
    <t>A021429A</t>
  </si>
  <si>
    <t>A021429B</t>
  </si>
  <si>
    <t>A021429C</t>
  </si>
  <si>
    <t>A021466</t>
  </si>
  <si>
    <t>A021506</t>
  </si>
  <si>
    <t>A021570</t>
  </si>
  <si>
    <t>A021569</t>
  </si>
  <si>
    <t>A021052</t>
  </si>
  <si>
    <t>A020557</t>
  </si>
  <si>
    <t>A020582</t>
  </si>
  <si>
    <t>A020584</t>
  </si>
  <si>
    <t>A020624</t>
  </si>
  <si>
    <t>A020634</t>
  </si>
  <si>
    <t>A020657</t>
  </si>
  <si>
    <t>A020662</t>
  </si>
  <si>
    <t>A020720</t>
  </si>
  <si>
    <t>A020769</t>
  </si>
  <si>
    <t>A020788</t>
  </si>
  <si>
    <t>A020791</t>
  </si>
  <si>
    <t>A020798</t>
  </si>
  <si>
    <t>A020813</t>
  </si>
  <si>
    <t>A020825</t>
  </si>
  <si>
    <t>A020846</t>
  </si>
  <si>
    <t>A020870</t>
  </si>
  <si>
    <t>A020872</t>
  </si>
  <si>
    <t>A020901</t>
  </si>
  <si>
    <t>A020907</t>
  </si>
  <si>
    <t>A020920</t>
  </si>
  <si>
    <t>A020953</t>
  </si>
  <si>
    <t>BROOKS CREEK</t>
  </si>
  <si>
    <t>A020963</t>
  </si>
  <si>
    <t>MARIPOSA CREEK</t>
  </si>
  <si>
    <t>A020979</t>
  </si>
  <si>
    <t>A021081</t>
  </si>
  <si>
    <t>A020583</t>
  </si>
  <si>
    <t>A020573</t>
  </si>
  <si>
    <t>A020728</t>
  </si>
  <si>
    <t>A020733</t>
  </si>
  <si>
    <t>A020951</t>
  </si>
  <si>
    <t>A021015</t>
  </si>
  <si>
    <t>A019921</t>
  </si>
  <si>
    <t>A020071</t>
  </si>
  <si>
    <t>A020078</t>
  </si>
  <si>
    <t>A020100</t>
  </si>
  <si>
    <t>A020127</t>
  </si>
  <si>
    <t>RINCON CREEK</t>
  </si>
  <si>
    <t>A020129</t>
  </si>
  <si>
    <t>A020134</t>
  </si>
  <si>
    <t>A020147</t>
  </si>
  <si>
    <t>A020261</t>
  </si>
  <si>
    <t>A020264</t>
  </si>
  <si>
    <t>A020333</t>
  </si>
  <si>
    <t>A020384</t>
  </si>
  <si>
    <t>A020401</t>
  </si>
  <si>
    <t>A020435</t>
  </si>
  <si>
    <t>A020436</t>
  </si>
  <si>
    <t>A020491</t>
  </si>
  <si>
    <t>A020005</t>
  </si>
  <si>
    <t>A020015</t>
  </si>
  <si>
    <t>A020114</t>
  </si>
  <si>
    <t>A020493</t>
  </si>
  <si>
    <t>A019336</t>
  </si>
  <si>
    <t>A019339</t>
  </si>
  <si>
    <t>A019351</t>
  </si>
  <si>
    <t>SCWA-1960</t>
  </si>
  <si>
    <t>A019422</t>
  </si>
  <si>
    <t>A019427</t>
  </si>
  <si>
    <t>A019444</t>
  </si>
  <si>
    <t>POOL CREEK</t>
  </si>
  <si>
    <t>A019470</t>
  </si>
  <si>
    <t>A019515</t>
  </si>
  <si>
    <t>A019557</t>
  </si>
  <si>
    <t>A019649</t>
  </si>
  <si>
    <t>A019652</t>
  </si>
  <si>
    <t>WEST FORK GOSSAGE CREEK</t>
  </si>
  <si>
    <t>A019798</t>
  </si>
  <si>
    <t>A019806</t>
  </si>
  <si>
    <t>A019891</t>
  </si>
  <si>
    <t>A019241</t>
  </si>
  <si>
    <t>A019554</t>
  </si>
  <si>
    <t>A019720</t>
  </si>
  <si>
    <t>A018522</t>
  </si>
  <si>
    <t>THOMAS CREEK</t>
  </si>
  <si>
    <t>A018648</t>
  </si>
  <si>
    <t>A018649</t>
  </si>
  <si>
    <t>A018736</t>
  </si>
  <si>
    <t>A018835</t>
  </si>
  <si>
    <t>A018849</t>
  </si>
  <si>
    <t>A018948</t>
  </si>
  <si>
    <t>MARTIN CREEK</t>
  </si>
  <si>
    <t>A018958</t>
  </si>
  <si>
    <t>A018963</t>
  </si>
  <si>
    <t>A019013</t>
  </si>
  <si>
    <t>A019071</t>
  </si>
  <si>
    <t>A019089</t>
  </si>
  <si>
    <t>A019135</t>
  </si>
  <si>
    <t>A019140</t>
  </si>
  <si>
    <t>KELLY CREEK</t>
  </si>
  <si>
    <t>A017978</t>
  </si>
  <si>
    <t>MAACAMA CREEK UNDERFLOW</t>
  </si>
  <si>
    <t>A017999</t>
  </si>
  <si>
    <t>A018093B</t>
  </si>
  <si>
    <t>A018127</t>
  </si>
  <si>
    <t>FELTA CREEK</t>
  </si>
  <si>
    <t>A018138</t>
  </si>
  <si>
    <t>UNST (AKA SQUIRREL CREEK)</t>
  </si>
  <si>
    <t>A018192</t>
  </si>
  <si>
    <t>A018200</t>
  </si>
  <si>
    <t>ROBINSON CREEK</t>
  </si>
  <si>
    <t>A018235</t>
  </si>
  <si>
    <t>A018241</t>
  </si>
  <si>
    <t>A018274A</t>
  </si>
  <si>
    <t>A018274B</t>
  </si>
  <si>
    <t>A018277</t>
  </si>
  <si>
    <t>A018328</t>
  </si>
  <si>
    <t>A012850</t>
  </si>
  <si>
    <t>A017508</t>
  </si>
  <si>
    <t>A017477</t>
  </si>
  <si>
    <t>A017479</t>
  </si>
  <si>
    <t>A017551</t>
  </si>
  <si>
    <t>A017622</t>
  </si>
  <si>
    <t>A017642</t>
  </si>
  <si>
    <t>A017689</t>
  </si>
  <si>
    <t>A017745</t>
  </si>
  <si>
    <t>A017795</t>
  </si>
  <si>
    <t>A017833</t>
  </si>
  <si>
    <t>A017868</t>
  </si>
  <si>
    <t>A017885</t>
  </si>
  <si>
    <t>A017919</t>
  </si>
  <si>
    <t>A017881</t>
  </si>
  <si>
    <t>A017871</t>
  </si>
  <si>
    <t>A016821</t>
  </si>
  <si>
    <t>A016825</t>
  </si>
  <si>
    <t>MCDOWELL CREEK</t>
  </si>
  <si>
    <t>A016904</t>
  </si>
  <si>
    <t>A016961</t>
  </si>
  <si>
    <t>A016973</t>
  </si>
  <si>
    <t>A017056</t>
  </si>
  <si>
    <t>A017081</t>
  </si>
  <si>
    <t>A017091A</t>
  </si>
  <si>
    <t>A017091B</t>
  </si>
  <si>
    <t>A017091C</t>
  </si>
  <si>
    <t>A017098</t>
  </si>
  <si>
    <t>A017100</t>
  </si>
  <si>
    <t>RUSSIAN RIVER (SUBTERRANEAN STREAM)</t>
  </si>
  <si>
    <t>A017145</t>
  </si>
  <si>
    <t>A017237</t>
  </si>
  <si>
    <t>A017240</t>
  </si>
  <si>
    <t>A017263</t>
  </si>
  <si>
    <t>A017271</t>
  </si>
  <si>
    <t>COLD CREEK</t>
  </si>
  <si>
    <t>A016381</t>
  </si>
  <si>
    <t>BEVANS CREEK</t>
  </si>
  <si>
    <t>A016218</t>
  </si>
  <si>
    <t>A016308</t>
  </si>
  <si>
    <t>A016319</t>
  </si>
  <si>
    <t>A016334</t>
  </si>
  <si>
    <t>A016347</t>
  </si>
  <si>
    <t>A016357</t>
  </si>
  <si>
    <t>A016398</t>
  </si>
  <si>
    <t>A016405</t>
  </si>
  <si>
    <t>A016416</t>
  </si>
  <si>
    <t>A016440</t>
  </si>
  <si>
    <t>A016443</t>
  </si>
  <si>
    <t>CUMMISKY CREEK</t>
  </si>
  <si>
    <t>A016457</t>
  </si>
  <si>
    <t>A016467</t>
  </si>
  <si>
    <t>A016478</t>
  </si>
  <si>
    <t>A016524</t>
  </si>
  <si>
    <t>A016525</t>
  </si>
  <si>
    <t>A016527</t>
  </si>
  <si>
    <t>SPRING CREEK</t>
  </si>
  <si>
    <t>A016545</t>
  </si>
  <si>
    <t>GRAY CREEK</t>
  </si>
  <si>
    <t>A016557</t>
  </si>
  <si>
    <t>A016561</t>
  </si>
  <si>
    <t>A016655</t>
  </si>
  <si>
    <t>A016670</t>
  </si>
  <si>
    <t>A016671</t>
  </si>
  <si>
    <t>A016673</t>
  </si>
  <si>
    <t>A016777</t>
  </si>
  <si>
    <t>A016472</t>
  </si>
  <si>
    <t>A015780</t>
  </si>
  <si>
    <t>A015779</t>
  </si>
  <si>
    <t>A015782</t>
  </si>
  <si>
    <t>A015728B</t>
  </si>
  <si>
    <t>A015781</t>
  </si>
  <si>
    <t>A016086</t>
  </si>
  <si>
    <t>A015760</t>
  </si>
  <si>
    <t>A015759</t>
  </si>
  <si>
    <t>A015983</t>
  </si>
  <si>
    <t>A015729</t>
  </si>
  <si>
    <t>A015984</t>
  </si>
  <si>
    <t>A015743</t>
  </si>
  <si>
    <t>A015724</t>
  </si>
  <si>
    <t>A016141</t>
  </si>
  <si>
    <t>A015727</t>
  </si>
  <si>
    <t>A015736</t>
  </si>
  <si>
    <t>SCWA-1954</t>
  </si>
  <si>
    <t>A015737</t>
  </si>
  <si>
    <t>A015678</t>
  </si>
  <si>
    <t>A015685</t>
  </si>
  <si>
    <t>LAGUNA DE SANTA ROSA</t>
  </si>
  <si>
    <t>A015720</t>
  </si>
  <si>
    <t>A015726</t>
  </si>
  <si>
    <t>A015796</t>
  </si>
  <si>
    <t>A015854</t>
  </si>
  <si>
    <t>A015894</t>
  </si>
  <si>
    <t>A015947</t>
  </si>
  <si>
    <t>A016077</t>
  </si>
  <si>
    <t>A016106</t>
  </si>
  <si>
    <t>A016190</t>
  </si>
  <si>
    <t>A015348</t>
  </si>
  <si>
    <t>A015664B</t>
  </si>
  <si>
    <t>A015277</t>
  </si>
  <si>
    <t>A015664C</t>
  </si>
  <si>
    <t>A015521</t>
  </si>
  <si>
    <t>A015314</t>
  </si>
  <si>
    <t>A015603</t>
  </si>
  <si>
    <t>A015187</t>
  </si>
  <si>
    <t>GIBSON CREEK</t>
  </si>
  <si>
    <t>A015329B</t>
  </si>
  <si>
    <t>A015158A</t>
  </si>
  <si>
    <t>A015158B</t>
  </si>
  <si>
    <t>A015194</t>
  </si>
  <si>
    <t>A015233</t>
  </si>
  <si>
    <t>A015237</t>
  </si>
  <si>
    <t>A015299</t>
  </si>
  <si>
    <t>A015329A</t>
  </si>
  <si>
    <t>A015399</t>
  </si>
  <si>
    <t>A015515</t>
  </si>
  <si>
    <t>A015610</t>
  </si>
  <si>
    <t>A015624</t>
  </si>
  <si>
    <t>A015663</t>
  </si>
  <si>
    <t>A015664A</t>
  </si>
  <si>
    <t>A014826</t>
  </si>
  <si>
    <t>A014855</t>
  </si>
  <si>
    <t>A014875</t>
  </si>
  <si>
    <t>A014925</t>
  </si>
  <si>
    <t>A014997B</t>
  </si>
  <si>
    <t>A014880</t>
  </si>
  <si>
    <t>A014747</t>
  </si>
  <si>
    <t>A014777</t>
  </si>
  <si>
    <t>A014750</t>
  </si>
  <si>
    <t>A014624</t>
  </si>
  <si>
    <t>A014715</t>
  </si>
  <si>
    <t>A014749</t>
  </si>
  <si>
    <t>A014762</t>
  </si>
  <si>
    <t>A014767</t>
  </si>
  <si>
    <t>A014797</t>
  </si>
  <si>
    <t>A014841</t>
  </si>
  <si>
    <t>A014842</t>
  </si>
  <si>
    <t>A014856</t>
  </si>
  <si>
    <t>A014870</t>
  </si>
  <si>
    <t>A014872</t>
  </si>
  <si>
    <t>A014904</t>
  </si>
  <si>
    <t>A014942</t>
  </si>
  <si>
    <t>A014966</t>
  </si>
  <si>
    <t>A014259A</t>
  </si>
  <si>
    <t>A014333</t>
  </si>
  <si>
    <t>A014393</t>
  </si>
  <si>
    <t>A014459</t>
  </si>
  <si>
    <t>A014215</t>
  </si>
  <si>
    <t>A014136</t>
  </si>
  <si>
    <t>A014246</t>
  </si>
  <si>
    <t>A014539</t>
  </si>
  <si>
    <t>A014206</t>
  </si>
  <si>
    <t>A014604</t>
  </si>
  <si>
    <t>A014466</t>
  </si>
  <si>
    <t>A014245</t>
  </si>
  <si>
    <t>A014144</t>
  </si>
  <si>
    <t>A014160</t>
  </si>
  <si>
    <t>A014172</t>
  </si>
  <si>
    <t>A014178</t>
  </si>
  <si>
    <t>A014208</t>
  </si>
  <si>
    <t>A014301</t>
  </si>
  <si>
    <t>A014304</t>
  </si>
  <si>
    <t>A014339</t>
  </si>
  <si>
    <t>A014364</t>
  </si>
  <si>
    <t>A014379</t>
  </si>
  <si>
    <t>A014467</t>
  </si>
  <si>
    <t>A014492</t>
  </si>
  <si>
    <t>A014513</t>
  </si>
  <si>
    <t>A013557</t>
  </si>
  <si>
    <t>A014068</t>
  </si>
  <si>
    <t>DRY CREEK (SUBTERRANEAN STREAM)</t>
  </si>
  <si>
    <t>A014043</t>
  </si>
  <si>
    <t>A014049</t>
  </si>
  <si>
    <t>A014033</t>
  </si>
  <si>
    <t>A014048</t>
  </si>
  <si>
    <t>A014051</t>
  </si>
  <si>
    <t>A014055</t>
  </si>
  <si>
    <t>A014034</t>
  </si>
  <si>
    <t>A013758</t>
  </si>
  <si>
    <t>A014067</t>
  </si>
  <si>
    <t>A013729</t>
  </si>
  <si>
    <t>A014064</t>
  </si>
  <si>
    <t>A014044A</t>
  </si>
  <si>
    <t>A013528</t>
  </si>
  <si>
    <t>A013529</t>
  </si>
  <si>
    <t>A013984</t>
  </si>
  <si>
    <t>A013811</t>
  </si>
  <si>
    <t>A014066</t>
  </si>
  <si>
    <t>A013639</t>
  </si>
  <si>
    <t>A014030</t>
  </si>
  <si>
    <t>A014061</t>
  </si>
  <si>
    <t>A014044B</t>
  </si>
  <si>
    <t>A013706</t>
  </si>
  <si>
    <t>A013832</t>
  </si>
  <si>
    <t>A013749</t>
  </si>
  <si>
    <t>A013985</t>
  </si>
  <si>
    <t>A013810</t>
  </si>
  <si>
    <t>A013973</t>
  </si>
  <si>
    <t>A014054</t>
  </si>
  <si>
    <t>A013579</t>
  </si>
  <si>
    <t>A013862</t>
  </si>
  <si>
    <t>A013967</t>
  </si>
  <si>
    <t>A013684B</t>
  </si>
  <si>
    <t>A013864</t>
  </si>
  <si>
    <t>A013989</t>
  </si>
  <si>
    <t>A013988</t>
  </si>
  <si>
    <t>A013695</t>
  </si>
  <si>
    <t>FOOTE CREEK</t>
  </si>
  <si>
    <t>A014050B</t>
  </si>
  <si>
    <t>A014047</t>
  </si>
  <si>
    <t>A013753</t>
  </si>
  <si>
    <t>A013539</t>
  </si>
  <si>
    <t>A013578</t>
  </si>
  <si>
    <t>BRIGGS CREEK</t>
  </si>
  <si>
    <t>A013527</t>
  </si>
  <si>
    <t>LOS ALAMOS CREEK</t>
  </si>
  <si>
    <t>A013586</t>
  </si>
  <si>
    <t>A013633</t>
  </si>
  <si>
    <t>A013684A</t>
  </si>
  <si>
    <t>A013716</t>
  </si>
  <si>
    <t>A013789</t>
  </si>
  <si>
    <t>A013863</t>
  </si>
  <si>
    <t>A013890</t>
  </si>
  <si>
    <t>A013914</t>
  </si>
  <si>
    <t>A013958</t>
  </si>
  <si>
    <t>A013974</t>
  </si>
  <si>
    <t>A013975</t>
  </si>
  <si>
    <t>A013987</t>
  </si>
  <si>
    <t>A014045</t>
  </si>
  <si>
    <t>A014056</t>
  </si>
  <si>
    <t>A014050A</t>
  </si>
  <si>
    <t>A014065</t>
  </si>
  <si>
    <t>A014092</t>
  </si>
  <si>
    <t>A014107</t>
  </si>
  <si>
    <t>A012919A</t>
  </si>
  <si>
    <t>A012931</t>
  </si>
  <si>
    <t>A012951</t>
  </si>
  <si>
    <t>ICARIA CREEK</t>
  </si>
  <si>
    <t>A013030A</t>
  </si>
  <si>
    <t>A013062</t>
  </si>
  <si>
    <t>A013076</t>
  </si>
  <si>
    <t>A013097</t>
  </si>
  <si>
    <t>A013098</t>
  </si>
  <si>
    <t>A013105</t>
  </si>
  <si>
    <t>A013126A</t>
  </si>
  <si>
    <t>A013126B</t>
  </si>
  <si>
    <t>A013135</t>
  </si>
  <si>
    <t>A013151</t>
  </si>
  <si>
    <t>A013161</t>
  </si>
  <si>
    <t>A013163</t>
  </si>
  <si>
    <t>A013182A01</t>
  </si>
  <si>
    <t>A013221</t>
  </si>
  <si>
    <t>A013256</t>
  </si>
  <si>
    <t>A013261</t>
  </si>
  <si>
    <t>A013267</t>
  </si>
  <si>
    <t>A013268</t>
  </si>
  <si>
    <t>A013269</t>
  </si>
  <si>
    <t>A013287</t>
  </si>
  <si>
    <t>A013288</t>
  </si>
  <si>
    <t>A013289</t>
  </si>
  <si>
    <t>A013301</t>
  </si>
  <si>
    <t>A013317</t>
  </si>
  <si>
    <t>A013330</t>
  </si>
  <si>
    <t>A013376</t>
  </si>
  <si>
    <t>A013384</t>
  </si>
  <si>
    <t>A013391</t>
  </si>
  <si>
    <t>A013393</t>
  </si>
  <si>
    <t>A013406</t>
  </si>
  <si>
    <t>A013453</t>
  </si>
  <si>
    <t>A013468</t>
  </si>
  <si>
    <t>A012232</t>
  </si>
  <si>
    <t>A012330</t>
  </si>
  <si>
    <t>A012452</t>
  </si>
  <si>
    <t>A012483</t>
  </si>
  <si>
    <t>A012510</t>
  </si>
  <si>
    <t>A012525</t>
  </si>
  <si>
    <t>A012773</t>
  </si>
  <si>
    <t>A012877</t>
  </si>
  <si>
    <t>A011846</t>
  </si>
  <si>
    <t>A011859</t>
  </si>
  <si>
    <t>A012100</t>
  </si>
  <si>
    <t>A012210</t>
  </si>
  <si>
    <t>A011315</t>
  </si>
  <si>
    <t>WEST FORK ATASCADERO CREEK</t>
  </si>
  <si>
    <t>A011327</t>
  </si>
  <si>
    <t>A010976</t>
  </si>
  <si>
    <t>A010795</t>
  </si>
  <si>
    <t>A010915</t>
  </si>
  <si>
    <t>S BR OF W FK ATASCADERO CREEK</t>
  </si>
  <si>
    <t>A009832A</t>
  </si>
  <si>
    <t>A009832B</t>
  </si>
  <si>
    <t>A009992</t>
  </si>
  <si>
    <t>A009774</t>
  </si>
  <si>
    <t>A009746</t>
  </si>
  <si>
    <t>A008974</t>
  </si>
  <si>
    <t>A006926</t>
  </si>
  <si>
    <t>PORTER CREEK</t>
  </si>
  <si>
    <t>A007006</t>
  </si>
  <si>
    <t>A006642</t>
  </si>
  <si>
    <t>A006805A</t>
  </si>
  <si>
    <t>A006854</t>
  </si>
  <si>
    <t>A006464</t>
  </si>
  <si>
    <t>A004612</t>
  </si>
  <si>
    <t>A004307</t>
  </si>
  <si>
    <t>A003421</t>
  </si>
  <si>
    <t>A003565</t>
  </si>
  <si>
    <t>A003633</t>
  </si>
  <si>
    <t>A002723</t>
  </si>
  <si>
    <t>A002928</t>
  </si>
  <si>
    <t>A001983</t>
  </si>
  <si>
    <t>A001205</t>
  </si>
  <si>
    <t>A001029</t>
  </si>
  <si>
    <t>S000113</t>
  </si>
  <si>
    <t>Acre-feet</t>
  </si>
  <si>
    <t>S000114</t>
  </si>
  <si>
    <t>S000115</t>
  </si>
  <si>
    <t>S000116</t>
  </si>
  <si>
    <t>S015508</t>
  </si>
  <si>
    <t>S015510</t>
  </si>
  <si>
    <t>S025784</t>
  </si>
  <si>
    <t>S017157</t>
  </si>
  <si>
    <t>S027791</t>
  </si>
  <si>
    <t>S014857</t>
  </si>
  <si>
    <t>S016900</t>
  </si>
  <si>
    <t>S009905</t>
  </si>
  <si>
    <t>YORK CREEK</t>
  </si>
  <si>
    <t>S015509</t>
  </si>
  <si>
    <t>S019389</t>
  </si>
  <si>
    <t>S019392</t>
  </si>
  <si>
    <t>S019395</t>
  </si>
  <si>
    <t>S027251</t>
  </si>
  <si>
    <t>S009040</t>
  </si>
  <si>
    <t>S008380</t>
  </si>
  <si>
    <t>S014129</t>
  </si>
  <si>
    <t>S021382</t>
  </si>
  <si>
    <t>WEST FORK</t>
  </si>
  <si>
    <t>S027799</t>
  </si>
  <si>
    <t>S017160</t>
  </si>
  <si>
    <t>S009073</t>
  </si>
  <si>
    <t>DUTCH BILL CREEK</t>
  </si>
  <si>
    <t>S009054</t>
  </si>
  <si>
    <t>S015020</t>
  </si>
  <si>
    <t>S018456</t>
  </si>
  <si>
    <t>UNNAMED TRIBUTARY</t>
  </si>
  <si>
    <t>S018457</t>
  </si>
  <si>
    <t>S018523</t>
  </si>
  <si>
    <t>S025957</t>
  </si>
  <si>
    <t>S015197</t>
  </si>
  <si>
    <t>S015198</t>
  </si>
  <si>
    <t>S022860</t>
  </si>
  <si>
    <t>S022861</t>
  </si>
  <si>
    <t>S022862</t>
  </si>
  <si>
    <t>S022864</t>
  </si>
  <si>
    <t>S022865</t>
  </si>
  <si>
    <t>S022867</t>
  </si>
  <si>
    <t>S009055</t>
  </si>
  <si>
    <t>S024683</t>
  </si>
  <si>
    <t>S008709</t>
  </si>
  <si>
    <t>HARRISON CREEK</t>
  </si>
  <si>
    <t>S010034</t>
  </si>
  <si>
    <t>S013392</t>
  </si>
  <si>
    <t>S015825</t>
  </si>
  <si>
    <t>S015925</t>
  </si>
  <si>
    <t>S017020</t>
  </si>
  <si>
    <t>MIDDLE SPRING</t>
  </si>
  <si>
    <t>S020096</t>
  </si>
  <si>
    <t>ONE INCH SPRING</t>
  </si>
  <si>
    <t>S023687</t>
  </si>
  <si>
    <t>WEST FORK OF RUSSIAN RIVER</t>
  </si>
  <si>
    <t>S025594</t>
  </si>
  <si>
    <t>S025690</t>
  </si>
  <si>
    <t>S008714</t>
  </si>
  <si>
    <t>S009299</t>
  </si>
  <si>
    <t>S028299</t>
  </si>
  <si>
    <t>Unnamed Spring of Percolating Groundwater</t>
  </si>
  <si>
    <t>S028355</t>
  </si>
  <si>
    <t>Unnamed Spring of Percolation Groundwater</t>
  </si>
  <si>
    <t>S022853</t>
  </si>
  <si>
    <t>S022856</t>
  </si>
  <si>
    <t>S013755</t>
  </si>
  <si>
    <t>S027894</t>
  </si>
  <si>
    <t>Unnamed</t>
  </si>
  <si>
    <t>S015418</t>
  </si>
  <si>
    <t>YELLOW JACKET CREEK</t>
  </si>
  <si>
    <t>S024229</t>
  </si>
  <si>
    <t>S027648</t>
  </si>
  <si>
    <t>S015196</t>
  </si>
  <si>
    <t>S004711</t>
  </si>
  <si>
    <t>S017281</t>
  </si>
  <si>
    <t>REDWOOD CREEK</t>
  </si>
  <si>
    <t>S017301</t>
  </si>
  <si>
    <t>KELLOGG CREEK</t>
  </si>
  <si>
    <t>S023888</t>
  </si>
  <si>
    <t>S009045</t>
  </si>
  <si>
    <t>S015365</t>
  </si>
  <si>
    <t>S008628</t>
  </si>
  <si>
    <t>S015686</t>
  </si>
  <si>
    <t>S009293</t>
  </si>
  <si>
    <t>S009294</t>
  </si>
  <si>
    <t>S009295</t>
  </si>
  <si>
    <t>S025243</t>
  </si>
  <si>
    <t>S025401</t>
  </si>
  <si>
    <t>COMMONLAND SPRING</t>
  </si>
  <si>
    <t>S021358</t>
  </si>
  <si>
    <t>S004345</t>
  </si>
  <si>
    <t>S015358</t>
  </si>
  <si>
    <t>S014910</t>
  </si>
  <si>
    <t>S015900</t>
  </si>
  <si>
    <t>S008071</t>
  </si>
  <si>
    <t>S024452</t>
  </si>
  <si>
    <t>S013947</t>
  </si>
  <si>
    <t>S015214</t>
  </si>
  <si>
    <t>S017348</t>
  </si>
  <si>
    <t>S014373</t>
  </si>
  <si>
    <t>S015023</t>
  </si>
  <si>
    <t>S016812</t>
  </si>
  <si>
    <t>S016911</t>
  </si>
  <si>
    <t>BUSCH CREEK</t>
  </si>
  <si>
    <t>S024104</t>
  </si>
  <si>
    <t>S022156</t>
  </si>
  <si>
    <t>RUSSIAN RIVER CANAL</t>
  </si>
  <si>
    <t>S024349</t>
  </si>
  <si>
    <t>S022335</t>
  </si>
  <si>
    <t>EAST FORK</t>
  </si>
  <si>
    <t>S024188</t>
  </si>
  <si>
    <t>SPRINGS</t>
  </si>
  <si>
    <t>S008184</t>
  </si>
  <si>
    <t>S021388</t>
  </si>
  <si>
    <t>EAST FORK OF RUSSIAN RIVER</t>
  </si>
  <si>
    <t>S021387</t>
  </si>
  <si>
    <t>MEWHINNEY CREEK</t>
  </si>
  <si>
    <t>S015147</t>
  </si>
  <si>
    <t>S027035</t>
  </si>
  <si>
    <t>NONE</t>
  </si>
  <si>
    <t>S026091</t>
  </si>
  <si>
    <t>POWER HOUSE CANAL</t>
  </si>
  <si>
    <t>S027137</t>
  </si>
  <si>
    <t>SPRING</t>
  </si>
  <si>
    <t>S026992</t>
  </si>
  <si>
    <t>S017474</t>
  </si>
  <si>
    <t>S016707</t>
  </si>
  <si>
    <t>UNNAMED CREEK</t>
  </si>
  <si>
    <t>S022895</t>
  </si>
  <si>
    <t>S018277</t>
  </si>
  <si>
    <t>S016093</t>
  </si>
  <si>
    <t>S018387</t>
  </si>
  <si>
    <t>EAST BRANCH RUSSIAN RIVER</t>
  </si>
  <si>
    <t>S016708</t>
  </si>
  <si>
    <t>S000093</t>
  </si>
  <si>
    <t>S000549</t>
  </si>
  <si>
    <t>S000632</t>
  </si>
  <si>
    <t>S000652</t>
  </si>
  <si>
    <t>DUTCHER CREEK</t>
  </si>
  <si>
    <t>S001181</t>
  </si>
  <si>
    <t>CLEAR CREEK</t>
  </si>
  <si>
    <t>S002059</t>
  </si>
  <si>
    <t>S002341</t>
  </si>
  <si>
    <t>HOWELL CREEK</t>
  </si>
  <si>
    <t>S002378</t>
  </si>
  <si>
    <t>S002379</t>
  </si>
  <si>
    <t>S002720</t>
  </si>
  <si>
    <t>S002929</t>
  </si>
  <si>
    <t>S003106</t>
  </si>
  <si>
    <t>S004241</t>
  </si>
  <si>
    <t>MCCLURE CREEK SPRING</t>
  </si>
  <si>
    <t>S004341</t>
  </si>
  <si>
    <t>SHEEPHOUSE CREEK</t>
  </si>
  <si>
    <t>S004347</t>
  </si>
  <si>
    <t>S004460</t>
  </si>
  <si>
    <t>S022857</t>
  </si>
  <si>
    <t>S019030</t>
  </si>
  <si>
    <t>S006298</t>
  </si>
  <si>
    <t>BLOXUM CREEK</t>
  </si>
  <si>
    <t>S006491</t>
  </si>
  <si>
    <t>S008453</t>
  </si>
  <si>
    <t>S008074</t>
  </si>
  <si>
    <t>S008075</t>
  </si>
  <si>
    <t>S008080</t>
  </si>
  <si>
    <t>S008081</t>
  </si>
  <si>
    <t>MACNAB CREEK</t>
  </si>
  <si>
    <t>S008082</t>
  </si>
  <si>
    <t>S008118</t>
  </si>
  <si>
    <t>RAINS CREEK</t>
  </si>
  <si>
    <t>S008121</t>
  </si>
  <si>
    <t>S008122</t>
  </si>
  <si>
    <t>S008348</t>
  </si>
  <si>
    <t>S008384</t>
  </si>
  <si>
    <t>S008392</t>
  </si>
  <si>
    <t>S014374</t>
  </si>
  <si>
    <t>S008502</t>
  </si>
  <si>
    <t>S008582</t>
  </si>
  <si>
    <t>BIG AUSTIN CREEK</t>
  </si>
  <si>
    <t>S008583</t>
  </si>
  <si>
    <t>S008584</t>
  </si>
  <si>
    <t>S008585</t>
  </si>
  <si>
    <t>S008586</t>
  </si>
  <si>
    <t>S008587</t>
  </si>
  <si>
    <t>S008588</t>
  </si>
  <si>
    <t>S008589</t>
  </si>
  <si>
    <t>S008590</t>
  </si>
  <si>
    <t>S008596</t>
  </si>
  <si>
    <t>S008659</t>
  </si>
  <si>
    <t>S015865</t>
  </si>
  <si>
    <t>S015520</t>
  </si>
  <si>
    <t>DRY CREEK SUBTERRANEAN</t>
  </si>
  <si>
    <t>S008703</t>
  </si>
  <si>
    <t>S008765</t>
  </si>
  <si>
    <t>S008766</t>
  </si>
  <si>
    <t>S008824</t>
  </si>
  <si>
    <t>S008910</t>
  </si>
  <si>
    <t>S009291</t>
  </si>
  <si>
    <t>S009292</t>
  </si>
  <si>
    <t>S008591</t>
  </si>
  <si>
    <t>S009525</t>
  </si>
  <si>
    <t>S009689</t>
  </si>
  <si>
    <t>S010433</t>
  </si>
  <si>
    <t>S010522</t>
  </si>
  <si>
    <t>S010843</t>
  </si>
  <si>
    <t>S010889</t>
  </si>
  <si>
    <t>S010997</t>
  </si>
  <si>
    <t>S010999</t>
  </si>
  <si>
    <t>S011135</t>
  </si>
  <si>
    <t>S011330</t>
  </si>
  <si>
    <t>S011331</t>
  </si>
  <si>
    <t>S012241</t>
  </si>
  <si>
    <t>S012429</t>
  </si>
  <si>
    <t>S012430</t>
  </si>
  <si>
    <t>S012431</t>
  </si>
  <si>
    <t>WILLOW CREEK</t>
  </si>
  <si>
    <t>S012432</t>
  </si>
  <si>
    <t>S012433</t>
  </si>
  <si>
    <t>S012484</t>
  </si>
  <si>
    <t>S012533</t>
  </si>
  <si>
    <t>PINE FLAT SPRING</t>
  </si>
  <si>
    <t>S012593</t>
  </si>
  <si>
    <t>S012594</t>
  </si>
  <si>
    <t>S012595</t>
  </si>
  <si>
    <t>S012597</t>
  </si>
  <si>
    <t>S012749</t>
  </si>
  <si>
    <t>S012751</t>
  </si>
  <si>
    <t>S012930</t>
  </si>
  <si>
    <t>S013153</t>
  </si>
  <si>
    <t>S013187</t>
  </si>
  <si>
    <t>S013246</t>
  </si>
  <si>
    <t>OAK FLAT CREEK</t>
  </si>
  <si>
    <t>S013696</t>
  </si>
  <si>
    <t>S025305</t>
  </si>
  <si>
    <t>S013724</t>
  </si>
  <si>
    <t>SAUSAL CREEK</t>
  </si>
  <si>
    <t>S018225</t>
  </si>
  <si>
    <t>S013792</t>
  </si>
  <si>
    <t>S013793</t>
  </si>
  <si>
    <t>S019972</t>
  </si>
  <si>
    <t>S013850</t>
  </si>
  <si>
    <t>EAST BRANCH FIFE CREEK</t>
  </si>
  <si>
    <t>S013977</t>
  </si>
  <si>
    <t>S014005</t>
  </si>
  <si>
    <t>S014016</t>
  </si>
  <si>
    <t>S014057</t>
  </si>
  <si>
    <t>S022463</t>
  </si>
  <si>
    <t>S014059</t>
  </si>
  <si>
    <t>S014060</t>
  </si>
  <si>
    <t>S014061</t>
  </si>
  <si>
    <t>S014062</t>
  </si>
  <si>
    <t>S014063</t>
  </si>
  <si>
    <t>S014064</t>
  </si>
  <si>
    <t>S014065</t>
  </si>
  <si>
    <t>S014066</t>
  </si>
  <si>
    <t>S014070</t>
  </si>
  <si>
    <t>WINDSOR CREEK UNDERFLOW</t>
  </si>
  <si>
    <t>S014071</t>
  </si>
  <si>
    <t>S014072</t>
  </si>
  <si>
    <t>S014073</t>
  </si>
  <si>
    <t>S014074</t>
  </si>
  <si>
    <t>S014075</t>
  </si>
  <si>
    <t>MARK WEST CREEK UNDERFLOW</t>
  </si>
  <si>
    <t>S014076</t>
  </si>
  <si>
    <t>S014077</t>
  </si>
  <si>
    <t>S014080</t>
  </si>
  <si>
    <t>S014081</t>
  </si>
  <si>
    <t>S014082</t>
  </si>
  <si>
    <t>S014083</t>
  </si>
  <si>
    <t>S014084</t>
  </si>
  <si>
    <t>S014085</t>
  </si>
  <si>
    <t>S014086</t>
  </si>
  <si>
    <t>S014087</t>
  </si>
  <si>
    <t>S014088</t>
  </si>
  <si>
    <t>S014089</t>
  </si>
  <si>
    <t>S014090</t>
  </si>
  <si>
    <t>S014091</t>
  </si>
  <si>
    <t>S014092</t>
  </si>
  <si>
    <t>S014094</t>
  </si>
  <si>
    <t>S014095</t>
  </si>
  <si>
    <t>S014096</t>
  </si>
  <si>
    <t>S014097</t>
  </si>
  <si>
    <t>S014200</t>
  </si>
  <si>
    <t>S014205</t>
  </si>
  <si>
    <t>S014230</t>
  </si>
  <si>
    <t>S014231</t>
  </si>
  <si>
    <t>S014292</t>
  </si>
  <si>
    <t>S014293</t>
  </si>
  <si>
    <t>S014322</t>
  </si>
  <si>
    <t>S026633</t>
  </si>
  <si>
    <t>EEL RIVER</t>
  </si>
  <si>
    <t>S014392</t>
  </si>
  <si>
    <t>S014393</t>
  </si>
  <si>
    <t>S014479</t>
  </si>
  <si>
    <t>S014554</t>
  </si>
  <si>
    <t>S014724</t>
  </si>
  <si>
    <t>S014749</t>
  </si>
  <si>
    <t>S014861</t>
  </si>
  <si>
    <t>UNSP (AKA SPRING #1)</t>
  </si>
  <si>
    <t>S014862</t>
  </si>
  <si>
    <t>UNSP (AKA SPRING #2)</t>
  </si>
  <si>
    <t>S014863</t>
  </si>
  <si>
    <t>UNSP (AKA SPRING #3)</t>
  </si>
  <si>
    <t>S014864</t>
  </si>
  <si>
    <t>UNSP (AKA SPRING #4)</t>
  </si>
  <si>
    <t>S014865</t>
  </si>
  <si>
    <t>UNSP (AKA SPRING #6)</t>
  </si>
  <si>
    <t>S014866</t>
  </si>
  <si>
    <t>UNSP(AKA SPRING #5)</t>
  </si>
  <si>
    <t>S014922</t>
  </si>
  <si>
    <t>S014923</t>
  </si>
  <si>
    <t>S017038</t>
  </si>
  <si>
    <t>S019384</t>
  </si>
  <si>
    <t>S014926</t>
  </si>
  <si>
    <t>S014927</t>
  </si>
  <si>
    <t>S014928</t>
  </si>
  <si>
    <t>S014929</t>
  </si>
  <si>
    <t>S014930</t>
  </si>
  <si>
    <t>S014931</t>
  </si>
  <si>
    <t>S014946</t>
  </si>
  <si>
    <t>S014973</t>
  </si>
  <si>
    <t>UNSP (AKA LITTLE BRIGGS SPRING)</t>
  </si>
  <si>
    <t>S014974</t>
  </si>
  <si>
    <t>S014975</t>
  </si>
  <si>
    <t>S014976</t>
  </si>
  <si>
    <t>S014977</t>
  </si>
  <si>
    <t>S014978</t>
  </si>
  <si>
    <t>UNSP (AKA RED HILL SPRING)</t>
  </si>
  <si>
    <t>S014979</t>
  </si>
  <si>
    <t>UNSP (AKA DEER CABIN SPRING)</t>
  </si>
  <si>
    <t>S014980</t>
  </si>
  <si>
    <t>S014996</t>
  </si>
  <si>
    <t>WEST BRANCH RUSSIAN RIVER</t>
  </si>
  <si>
    <t>S019287</t>
  </si>
  <si>
    <t>BUSH CREEK</t>
  </si>
  <si>
    <t>S015035</t>
  </si>
  <si>
    <t>S015036</t>
  </si>
  <si>
    <t>S015037</t>
  </si>
  <si>
    <t>S015038</t>
  </si>
  <si>
    <t>S015107</t>
  </si>
  <si>
    <t>S008451</t>
  </si>
  <si>
    <t>S015184</t>
  </si>
  <si>
    <t>S015199</t>
  </si>
  <si>
    <t>S015200</t>
  </si>
  <si>
    <t>S015201</t>
  </si>
  <si>
    <t>S015202</t>
  </si>
  <si>
    <t>S015228</t>
  </si>
  <si>
    <t>S015238</t>
  </si>
  <si>
    <t>S015246</t>
  </si>
  <si>
    <t>S015247</t>
  </si>
  <si>
    <t>S015273</t>
  </si>
  <si>
    <t>S015303</t>
  </si>
  <si>
    <t>S015313</t>
  </si>
  <si>
    <t>S015314</t>
  </si>
  <si>
    <t>S015315</t>
  </si>
  <si>
    <t>S015316</t>
  </si>
  <si>
    <t>S015317</t>
  </si>
  <si>
    <t>S015318</t>
  </si>
  <si>
    <t>S015320</t>
  </si>
  <si>
    <t>S015334</t>
  </si>
  <si>
    <t>S015336</t>
  </si>
  <si>
    <t>S015337</t>
  </si>
  <si>
    <t>S015338</t>
  </si>
  <si>
    <t>S015349</t>
  </si>
  <si>
    <t>S015362</t>
  </si>
  <si>
    <t>S015371</t>
  </si>
  <si>
    <t>S015400</t>
  </si>
  <si>
    <t>S015401</t>
  </si>
  <si>
    <t>S015402</t>
  </si>
  <si>
    <t>S015403</t>
  </si>
  <si>
    <t>S015404</t>
  </si>
  <si>
    <t>S015414</t>
  </si>
  <si>
    <t>SF MILL CREEK</t>
  </si>
  <si>
    <t>S015459</t>
  </si>
  <si>
    <t>S015460</t>
  </si>
  <si>
    <t>S015461</t>
  </si>
  <si>
    <t>S015462</t>
  </si>
  <si>
    <t>S015463</t>
  </si>
  <si>
    <t>S015472</t>
  </si>
  <si>
    <t>S015473</t>
  </si>
  <si>
    <t>S015474</t>
  </si>
  <si>
    <t>S015477</t>
  </si>
  <si>
    <t>S015478</t>
  </si>
  <si>
    <t>S015479</t>
  </si>
  <si>
    <t>S015480</t>
  </si>
  <si>
    <t>S021568</t>
  </si>
  <si>
    <t>S015522</t>
  </si>
  <si>
    <t>RUSSIAN RIVER SUBTERRANEAN</t>
  </si>
  <si>
    <t>S015532</t>
  </si>
  <si>
    <t>S015549</t>
  </si>
  <si>
    <t>S015621</t>
  </si>
  <si>
    <t>SOUTH FORK MILL CREEK</t>
  </si>
  <si>
    <t>S015689</t>
  </si>
  <si>
    <t>S015690</t>
  </si>
  <si>
    <t>S015691</t>
  </si>
  <si>
    <t>S015721</t>
  </si>
  <si>
    <t>S015722</t>
  </si>
  <si>
    <t>S015723</t>
  </si>
  <si>
    <t>S015745</t>
  </si>
  <si>
    <t>S015746</t>
  </si>
  <si>
    <t>S015751</t>
  </si>
  <si>
    <t>S015752</t>
  </si>
  <si>
    <t>S015753</t>
  </si>
  <si>
    <t>S015758</t>
  </si>
  <si>
    <t>S015759</t>
  </si>
  <si>
    <t>S015790</t>
  </si>
  <si>
    <t>S015800</t>
  </si>
  <si>
    <t>S015805</t>
  </si>
  <si>
    <t>S015806</t>
  </si>
  <si>
    <t>S015813</t>
  </si>
  <si>
    <t>S015816</t>
  </si>
  <si>
    <t>S008592</t>
  </si>
  <si>
    <t>S021488</t>
  </si>
  <si>
    <t>S024512</t>
  </si>
  <si>
    <t>S015830</t>
  </si>
  <si>
    <t>S015831</t>
  </si>
  <si>
    <t>S015833</t>
  </si>
  <si>
    <t>S015840</t>
  </si>
  <si>
    <t>S015862</t>
  </si>
  <si>
    <t>S015863</t>
  </si>
  <si>
    <t>S005225</t>
  </si>
  <si>
    <t>S015871</t>
  </si>
  <si>
    <t>LITTLE SULPHER CREEK</t>
  </si>
  <si>
    <t>S015872</t>
  </si>
  <si>
    <t>S015885</t>
  </si>
  <si>
    <t>S015886</t>
  </si>
  <si>
    <t>S015887</t>
  </si>
  <si>
    <t>S015895</t>
  </si>
  <si>
    <t>S015903</t>
  </si>
  <si>
    <t>S015906</t>
  </si>
  <si>
    <t>SOUTH BRANCH OF WEST FORK ATASCADERO CREEK</t>
  </si>
  <si>
    <t>S015908</t>
  </si>
  <si>
    <t>S015910</t>
  </si>
  <si>
    <t>S014058</t>
  </si>
  <si>
    <t>S015923</t>
  </si>
  <si>
    <t>S015924</t>
  </si>
  <si>
    <t>S015942</t>
  </si>
  <si>
    <t>S023678</t>
  </si>
  <si>
    <t>S015945</t>
  </si>
  <si>
    <t>S015948</t>
  </si>
  <si>
    <t>S015950</t>
  </si>
  <si>
    <t>RAINS CREEK (SHOWN AS UNST)</t>
  </si>
  <si>
    <t>S015951</t>
  </si>
  <si>
    <t>S015952</t>
  </si>
  <si>
    <t>S015953</t>
  </si>
  <si>
    <t>S015901</t>
  </si>
  <si>
    <t>S015962</t>
  </si>
  <si>
    <t>S015963</t>
  </si>
  <si>
    <t>S015964</t>
  </si>
  <si>
    <t>S015965</t>
  </si>
  <si>
    <t>S015981</t>
  </si>
  <si>
    <t>S015989</t>
  </si>
  <si>
    <t>S015990</t>
  </si>
  <si>
    <t>UNDERFLOW RUSSIAN RIVER</t>
  </si>
  <si>
    <t>S015997</t>
  </si>
  <si>
    <t>S015998</t>
  </si>
  <si>
    <t>S015999</t>
  </si>
  <si>
    <t>S016000</t>
  </si>
  <si>
    <t>S016001</t>
  </si>
  <si>
    <t>S016002</t>
  </si>
  <si>
    <t>S016003</t>
  </si>
  <si>
    <t>S016004</t>
  </si>
  <si>
    <t>S016005</t>
  </si>
  <si>
    <t>S016006</t>
  </si>
  <si>
    <t>S016007</t>
  </si>
  <si>
    <t>S016008</t>
  </si>
  <si>
    <t>S016009</t>
  </si>
  <si>
    <t>S016010</t>
  </si>
  <si>
    <t>S016011</t>
  </si>
  <si>
    <t>S016012</t>
  </si>
  <si>
    <t>S016013</t>
  </si>
  <si>
    <t>S016021</t>
  </si>
  <si>
    <t>S016022</t>
  </si>
  <si>
    <t>S016023</t>
  </si>
  <si>
    <t>S016024</t>
  </si>
  <si>
    <t>S016025</t>
  </si>
  <si>
    <t>S015828</t>
  </si>
  <si>
    <t>S016068</t>
  </si>
  <si>
    <t>S018222</t>
  </si>
  <si>
    <t>S016044</t>
  </si>
  <si>
    <t>WOOD CREEK</t>
  </si>
  <si>
    <t>S016045</t>
  </si>
  <si>
    <t>S022466</t>
  </si>
  <si>
    <t>S015944</t>
  </si>
  <si>
    <t>S016048</t>
  </si>
  <si>
    <t>S016038</t>
  </si>
  <si>
    <t>S013814</t>
  </si>
  <si>
    <t>S016053</t>
  </si>
  <si>
    <t>WOODS NORTH DRIP WELL</t>
  </si>
  <si>
    <t>S016046</t>
  </si>
  <si>
    <t>S016067</t>
  </si>
  <si>
    <t>S005226</t>
  </si>
  <si>
    <t>S016047</t>
  </si>
  <si>
    <t xml:space="preserve">DRY CREEK </t>
  </si>
  <si>
    <t>S016056</t>
  </si>
  <si>
    <t>S016057</t>
  </si>
  <si>
    <t>S016050</t>
  </si>
  <si>
    <t>DRIP PUMP</t>
  </si>
  <si>
    <t>S018138</t>
  </si>
  <si>
    <t>S018141</t>
  </si>
  <si>
    <t>S014925</t>
  </si>
  <si>
    <t>S018213</t>
  </si>
  <si>
    <t>S016063</t>
  </si>
  <si>
    <t>S016064</t>
  </si>
  <si>
    <t>S025398</t>
  </si>
  <si>
    <t>MILL CREEK UNDERFLOW</t>
  </si>
  <si>
    <t>S015916</t>
  </si>
  <si>
    <t>S016049</t>
  </si>
  <si>
    <t>S022598</t>
  </si>
  <si>
    <t>S016060</t>
  </si>
  <si>
    <t>S016118</t>
  </si>
  <si>
    <t>Russian River underflow</t>
  </si>
  <si>
    <t>S016134</t>
  </si>
  <si>
    <t>UNDERFLOW OF RUSSIAN RIVER</t>
  </si>
  <si>
    <t>S016166</t>
  </si>
  <si>
    <t>UNDERFLOW OF THE RUSSIAN RIVER</t>
  </si>
  <si>
    <t>S016167</t>
  </si>
  <si>
    <t>S016322</t>
  </si>
  <si>
    <t>S016328</t>
  </si>
  <si>
    <t>S016352</t>
  </si>
  <si>
    <t>MAIN STEM- RUSSIAN RIVER</t>
  </si>
  <si>
    <t>S016363</t>
  </si>
  <si>
    <t>S016364</t>
  </si>
  <si>
    <t>S016366</t>
  </si>
  <si>
    <t>S016367</t>
  </si>
  <si>
    <t>S016368</t>
  </si>
  <si>
    <t>S016369</t>
  </si>
  <si>
    <t>S016370</t>
  </si>
  <si>
    <t>S016399</t>
  </si>
  <si>
    <t>S016628</t>
  </si>
  <si>
    <t>S016670</t>
  </si>
  <si>
    <t>POINT #4 - FELIZ CREEK</t>
  </si>
  <si>
    <t>S016671</t>
  </si>
  <si>
    <t>S016680</t>
  </si>
  <si>
    <t>S016681</t>
  </si>
  <si>
    <t>S016682</t>
  </si>
  <si>
    <t>S016683</t>
  </si>
  <si>
    <t>S016684</t>
  </si>
  <si>
    <t>S016685</t>
  </si>
  <si>
    <t>S016686</t>
  </si>
  <si>
    <t>S016687</t>
  </si>
  <si>
    <t>UNDERFLOW TO DRY CREEK</t>
  </si>
  <si>
    <t>S016690</t>
  </si>
  <si>
    <t>S008593</t>
  </si>
  <si>
    <t>S009324</t>
  </si>
  <si>
    <t>WARD CREEK</t>
  </si>
  <si>
    <t>S016731</t>
  </si>
  <si>
    <t>S016732</t>
  </si>
  <si>
    <t>S016773</t>
  </si>
  <si>
    <t>S016774</t>
  </si>
  <si>
    <t>S016775</t>
  </si>
  <si>
    <t>S016776</t>
  </si>
  <si>
    <t>S016777</t>
  </si>
  <si>
    <t>S016778</t>
  </si>
  <si>
    <t>S016779</t>
  </si>
  <si>
    <t>S016781</t>
  </si>
  <si>
    <t>POINT #1 - UNNAMED STREAM</t>
  </si>
  <si>
    <t>S016782</t>
  </si>
  <si>
    <t>POINT #2 - UNNAMED STREAM</t>
  </si>
  <si>
    <t>S016783</t>
  </si>
  <si>
    <t>POINT #3 - UNNAMED STREAM</t>
  </si>
  <si>
    <t>S016790</t>
  </si>
  <si>
    <t>S016819</t>
  </si>
  <si>
    <t>S016836</t>
  </si>
  <si>
    <t>S016837</t>
  </si>
  <si>
    <t>POINT #1</t>
  </si>
  <si>
    <t>S016838</t>
  </si>
  <si>
    <t>S016839</t>
  </si>
  <si>
    <t>S016840</t>
  </si>
  <si>
    <t>POINT #4 - UNNAMED STREAM</t>
  </si>
  <si>
    <t>S016841</t>
  </si>
  <si>
    <t>POINT #5 - FELIZ CREEK</t>
  </si>
  <si>
    <t>S016842</t>
  </si>
  <si>
    <t>POINT #6</t>
  </si>
  <si>
    <t>S016853</t>
  </si>
  <si>
    <t>S016885</t>
  </si>
  <si>
    <t>S016886</t>
  </si>
  <si>
    <t>S016887</t>
  </si>
  <si>
    <t>S016892</t>
  </si>
  <si>
    <t>S016896</t>
  </si>
  <si>
    <t>S016897</t>
  </si>
  <si>
    <t>S016901</t>
  </si>
  <si>
    <t>S017033</t>
  </si>
  <si>
    <t>S017034</t>
  </si>
  <si>
    <t>S017035</t>
  </si>
  <si>
    <t>S017036</t>
  </si>
  <si>
    <t>S017037</t>
  </si>
  <si>
    <t>S018216</t>
  </si>
  <si>
    <t>S017039</t>
  </si>
  <si>
    <t>S017040</t>
  </si>
  <si>
    <t>S017041</t>
  </si>
  <si>
    <t>S017049</t>
  </si>
  <si>
    <t>S017050</t>
  </si>
  <si>
    <t>S017052</t>
  </si>
  <si>
    <t>S017203</t>
  </si>
  <si>
    <t>S017309</t>
  </si>
  <si>
    <t>S017312</t>
  </si>
  <si>
    <t>S017651</t>
  </si>
  <si>
    <t>ATTASCADERO CREEK</t>
  </si>
  <si>
    <t>S017657</t>
  </si>
  <si>
    <t>DOOLAN CREEK</t>
  </si>
  <si>
    <t>S017742</t>
  </si>
  <si>
    <t>S017745</t>
  </si>
  <si>
    <t>S017748</t>
  </si>
  <si>
    <t>S017751</t>
  </si>
  <si>
    <t>S017791</t>
  </si>
  <si>
    <t>S017975</t>
  </si>
  <si>
    <t>S017987</t>
  </si>
  <si>
    <t>S017990</t>
  </si>
  <si>
    <t>S017992</t>
  </si>
  <si>
    <t>S017993</t>
  </si>
  <si>
    <t>S017995</t>
  </si>
  <si>
    <t>S018130</t>
  </si>
  <si>
    <t>POINT 3 - UNNAMED STREAM</t>
  </si>
  <si>
    <t>S018133</t>
  </si>
  <si>
    <t>POINT 4 - UNNAMED STREAM</t>
  </si>
  <si>
    <t>S018136</t>
  </si>
  <si>
    <t>S016054</t>
  </si>
  <si>
    <t>TURBINE WELL</t>
  </si>
  <si>
    <t>S018139</t>
  </si>
  <si>
    <t>S016069</t>
  </si>
  <si>
    <t>S018142</t>
  </si>
  <si>
    <t>MC CHRISTIAN CREEK</t>
  </si>
  <si>
    <t>S018151</t>
  </si>
  <si>
    <t>POINT 5</t>
  </si>
  <si>
    <t>S013563</t>
  </si>
  <si>
    <t>S018154</t>
  </si>
  <si>
    <t>POINT #6-UNNAMED STREAM</t>
  </si>
  <si>
    <t>S018157</t>
  </si>
  <si>
    <t>S018160</t>
  </si>
  <si>
    <t>S018187</t>
  </si>
  <si>
    <t>UNNAMED STREAM UNDERFLOW</t>
  </si>
  <si>
    <t>S016061</t>
  </si>
  <si>
    <t>S018193</t>
  </si>
  <si>
    <t>S018205</t>
  </si>
  <si>
    <t>S018208</t>
  </si>
  <si>
    <t>S018211</t>
  </si>
  <si>
    <t>S024495</t>
  </si>
  <si>
    <t>S018214</t>
  </si>
  <si>
    <t>S016032</t>
  </si>
  <si>
    <t>S018217</t>
  </si>
  <si>
    <t>S018220</t>
  </si>
  <si>
    <t>S025818</t>
  </si>
  <si>
    <t>MILLS CREEK</t>
  </si>
  <si>
    <t>S018223</t>
  </si>
  <si>
    <t>S025242</t>
  </si>
  <si>
    <t>UNNAMED SPRINGS</t>
  </si>
  <si>
    <t>S018467</t>
  </si>
  <si>
    <t>S018470</t>
  </si>
  <si>
    <t>S018473</t>
  </si>
  <si>
    <t>S018474</t>
  </si>
  <si>
    <t>S018477</t>
  </si>
  <si>
    <t>S018479</t>
  </si>
  <si>
    <t>S018480</t>
  </si>
  <si>
    <t>S018483</t>
  </si>
  <si>
    <t>S018486</t>
  </si>
  <si>
    <t>CARPENTER CREEK</t>
  </si>
  <si>
    <t>S018490</t>
  </si>
  <si>
    <t>S018503</t>
  </si>
  <si>
    <t>S025235</t>
  </si>
  <si>
    <t xml:space="preserve">UNNAMED CREEK </t>
  </si>
  <si>
    <t>S015821</t>
  </si>
  <si>
    <t>S016699</t>
  </si>
  <si>
    <t>S016700</t>
  </si>
  <si>
    <t>S018710</t>
  </si>
  <si>
    <t>S018763</t>
  </si>
  <si>
    <t>S018787</t>
  </si>
  <si>
    <t>S025301</t>
  </si>
  <si>
    <t>S008661</t>
  </si>
  <si>
    <t>S019039</t>
  </si>
  <si>
    <t>S015823</t>
  </si>
  <si>
    <t>S019190</t>
  </si>
  <si>
    <t>S019193</t>
  </si>
  <si>
    <t>S019196</t>
  </si>
  <si>
    <t>S019202</t>
  </si>
  <si>
    <t>S019205</t>
  </si>
  <si>
    <t>S019214</t>
  </si>
  <si>
    <t>S019220</t>
  </si>
  <si>
    <t>S019232</t>
  </si>
  <si>
    <t>S019235</t>
  </si>
  <si>
    <t>S019312</t>
  </si>
  <si>
    <t>S016066</t>
  </si>
  <si>
    <t>S019386</t>
  </si>
  <si>
    <t>S019394</t>
  </si>
  <si>
    <t>S020134</t>
  </si>
  <si>
    <t>NORTON SLOUGH</t>
  </si>
  <si>
    <t>S024511</t>
  </si>
  <si>
    <t>S013709</t>
  </si>
  <si>
    <t>S019547</t>
  </si>
  <si>
    <t>S019550</t>
  </si>
  <si>
    <t>S019553</t>
  </si>
  <si>
    <t>UNDERFLOW TO RUSSIAN RIVER</t>
  </si>
  <si>
    <t>S019556</t>
  </si>
  <si>
    <t>UNDERFLOW OF RUSSAIN RIVER</t>
  </si>
  <si>
    <t>S019559</t>
  </si>
  <si>
    <t>S019594</t>
  </si>
  <si>
    <t>S019643</t>
  </si>
  <si>
    <t>S019697</t>
  </si>
  <si>
    <t>S019738</t>
  </si>
  <si>
    <t>S019760</t>
  </si>
  <si>
    <t>S019762</t>
  </si>
  <si>
    <t>S019763</t>
  </si>
  <si>
    <t>S019893</t>
  </si>
  <si>
    <t>S019908</t>
  </si>
  <si>
    <t>S019911</t>
  </si>
  <si>
    <t>S019914</t>
  </si>
  <si>
    <t>S019917</t>
  </si>
  <si>
    <t>S019924</t>
  </si>
  <si>
    <t>S008664</t>
  </si>
  <si>
    <t>S019932</t>
  </si>
  <si>
    <t>S019943</t>
  </si>
  <si>
    <t>S025251</t>
  </si>
  <si>
    <t>S020069</t>
  </si>
  <si>
    <t>SMITH VONEYARDS POND</t>
  </si>
  <si>
    <t>S013760</t>
  </si>
  <si>
    <t>S020148</t>
  </si>
  <si>
    <t>S020152</t>
  </si>
  <si>
    <t>S020175</t>
  </si>
  <si>
    <t>RAIN CREEK</t>
  </si>
  <si>
    <t>S020240</t>
  </si>
  <si>
    <t>S020289</t>
  </si>
  <si>
    <t>S020290</t>
  </si>
  <si>
    <t>S020291</t>
  </si>
  <si>
    <t>S020293</t>
  </si>
  <si>
    <t>S020294</t>
  </si>
  <si>
    <t>S020356</t>
  </si>
  <si>
    <t>S020357</t>
  </si>
  <si>
    <t>S020358</t>
  </si>
  <si>
    <t>S020359</t>
  </si>
  <si>
    <t>S020360</t>
  </si>
  <si>
    <t>S020361</t>
  </si>
  <si>
    <t>S020362</t>
  </si>
  <si>
    <t>S020363</t>
  </si>
  <si>
    <t>S020364</t>
  </si>
  <si>
    <t>S020433</t>
  </si>
  <si>
    <t>S020523</t>
  </si>
  <si>
    <t>S020527</t>
  </si>
  <si>
    <t>S016059</t>
  </si>
  <si>
    <t>S020627</t>
  </si>
  <si>
    <t>S020788</t>
  </si>
  <si>
    <t>S020828</t>
  </si>
  <si>
    <t>S021071</t>
  </si>
  <si>
    <t>S021080</t>
  </si>
  <si>
    <t>S021081</t>
  </si>
  <si>
    <t>S021082</t>
  </si>
  <si>
    <t>S021321</t>
  </si>
  <si>
    <t>S021339</t>
  </si>
  <si>
    <t>UNNAMED DRAINAGE</t>
  </si>
  <si>
    <t>S021352</t>
  </si>
  <si>
    <t>NO BODY/RUN-OFF</t>
  </si>
  <si>
    <t>S021353</t>
  </si>
  <si>
    <t>S021381</t>
  </si>
  <si>
    <t>POTENTIALLY RUSSIAN RIVER UNDERFLOW</t>
  </si>
  <si>
    <t>S021384</t>
  </si>
  <si>
    <t>S021385</t>
  </si>
  <si>
    <t>S021386</t>
  </si>
  <si>
    <t>S021394</t>
  </si>
  <si>
    <t>CRAWFORD CREEK</t>
  </si>
  <si>
    <t>S021395</t>
  </si>
  <si>
    <t>S021396</t>
  </si>
  <si>
    <t>S021397</t>
  </si>
  <si>
    <t>S021398</t>
  </si>
  <si>
    <t>S021399</t>
  </si>
  <si>
    <t>UNNAMED SLOUGH</t>
  </si>
  <si>
    <t>S021466</t>
  </si>
  <si>
    <t>S021470</t>
  </si>
  <si>
    <t>S021471</t>
  </si>
  <si>
    <t>S021472</t>
  </si>
  <si>
    <t>S021473</t>
  </si>
  <si>
    <t>S021475</t>
  </si>
  <si>
    <t>S021480</t>
  </si>
  <si>
    <t>S021482</t>
  </si>
  <si>
    <t>S021483</t>
  </si>
  <si>
    <t>S021484</t>
  </si>
  <si>
    <t>S021485</t>
  </si>
  <si>
    <t>S021487</t>
  </si>
  <si>
    <t>SALT HALLOW CR.</t>
  </si>
  <si>
    <t>S019027</t>
  </si>
  <si>
    <t>S019045</t>
  </si>
  <si>
    <t>S021985</t>
  </si>
  <si>
    <t>MCNABB CREEK</t>
  </si>
  <si>
    <t>S021986</t>
  </si>
  <si>
    <t>S019926</t>
  </si>
  <si>
    <t>S020596</t>
  </si>
  <si>
    <t>S021993</t>
  </si>
  <si>
    <t>S021994</t>
  </si>
  <si>
    <t>S021995</t>
  </si>
  <si>
    <t>UNNMED TRIBUTARY</t>
  </si>
  <si>
    <t>S021996</t>
  </si>
  <si>
    <t>S021997</t>
  </si>
  <si>
    <t>S021998</t>
  </si>
  <si>
    <t>S021999</t>
  </si>
  <si>
    <t>S022000</t>
  </si>
  <si>
    <t>S022001</t>
  </si>
  <si>
    <t>COBB CREEK</t>
  </si>
  <si>
    <t>S022002</t>
  </si>
  <si>
    <t>SQUAW CREEK</t>
  </si>
  <si>
    <t>S022003</t>
  </si>
  <si>
    <t>S022004</t>
  </si>
  <si>
    <t>S022006</t>
  </si>
  <si>
    <t>S022008</t>
  </si>
  <si>
    <t>S022009</t>
  </si>
  <si>
    <t>S022012</t>
  </si>
  <si>
    <t>S022013</t>
  </si>
  <si>
    <t>S022014</t>
  </si>
  <si>
    <t>S022015</t>
  </si>
  <si>
    <t>S022016</t>
  </si>
  <si>
    <t>S022017</t>
  </si>
  <si>
    <t>S022128</t>
  </si>
  <si>
    <t>S022130</t>
  </si>
  <si>
    <t>S021990</t>
  </si>
  <si>
    <t>S009168</t>
  </si>
  <si>
    <t>S022309</t>
  </si>
  <si>
    <t>S022310</t>
  </si>
  <si>
    <t>S022312</t>
  </si>
  <si>
    <t>UNNAMED SEASONAL WATER COURSE</t>
  </si>
  <si>
    <t>S022313</t>
  </si>
  <si>
    <t>S022314</t>
  </si>
  <si>
    <t>S022316</t>
  </si>
  <si>
    <t>UNNAMED SEASONAL STREAM</t>
  </si>
  <si>
    <t>S022319</t>
  </si>
  <si>
    <t>GILL CREEK</t>
  </si>
  <si>
    <t>S022326</t>
  </si>
  <si>
    <t>S022339</t>
  </si>
  <si>
    <t>S022386</t>
  </si>
  <si>
    <t>S022400</t>
  </si>
  <si>
    <t>S022407</t>
  </si>
  <si>
    <t>S022408</t>
  </si>
  <si>
    <t>S022409</t>
  </si>
  <si>
    <t>S022410</t>
  </si>
  <si>
    <t>S022411</t>
  </si>
  <si>
    <t>S014924</t>
  </si>
  <si>
    <t>S022464</t>
  </si>
  <si>
    <t>S022465</t>
  </si>
  <si>
    <t>S016039</t>
  </si>
  <si>
    <t>S022490</t>
  </si>
  <si>
    <t>S022512</t>
  </si>
  <si>
    <t>S022523</t>
  </si>
  <si>
    <t>S022528</t>
  </si>
  <si>
    <t>S022557</t>
  </si>
  <si>
    <t>S022558</t>
  </si>
  <si>
    <t>S022559</t>
  </si>
  <si>
    <t>S022560</t>
  </si>
  <si>
    <t>S022561</t>
  </si>
  <si>
    <t>LIVEREAU CREEK</t>
  </si>
  <si>
    <t>S016051</t>
  </si>
  <si>
    <t>FROST PUMP</t>
  </si>
  <si>
    <t>S022607</t>
  </si>
  <si>
    <t>S016052</t>
  </si>
  <si>
    <t>WOODS NORTH PORTABLE</t>
  </si>
  <si>
    <t>S022713</t>
  </si>
  <si>
    <t>UNKNOWN TRIBUTARY</t>
  </si>
  <si>
    <t>S022724</t>
  </si>
  <si>
    <t>S022725</t>
  </si>
  <si>
    <t>UNDERFLOW</t>
  </si>
  <si>
    <t>S022726</t>
  </si>
  <si>
    <t>S022777</t>
  </si>
  <si>
    <t xml:space="preserve">UNNAMED </t>
  </si>
  <si>
    <t>S022799</t>
  </si>
  <si>
    <t>S022800</t>
  </si>
  <si>
    <t>S022801</t>
  </si>
  <si>
    <t>S022803</t>
  </si>
  <si>
    <t>S022804</t>
  </si>
  <si>
    <t>S022832</t>
  </si>
  <si>
    <t>UNKNOWN</t>
  </si>
  <si>
    <t>S021991</t>
  </si>
  <si>
    <t>S022859</t>
  </si>
  <si>
    <t>S022868</t>
  </si>
  <si>
    <t>S022869</t>
  </si>
  <si>
    <t>S022870</t>
  </si>
  <si>
    <t>S022877</t>
  </si>
  <si>
    <t>UNNAMED STREAM TRIBUTARY TO MORRISON CREEK</t>
  </si>
  <si>
    <t>S022879</t>
  </si>
  <si>
    <t>UNNAMED CREEK TRIBUTARY TO HOWELL CREEK</t>
  </si>
  <si>
    <t>S022882</t>
  </si>
  <si>
    <t>UNLIMITED STREAM TRIBUTARY TO</t>
  </si>
  <si>
    <t>S022886</t>
  </si>
  <si>
    <t>S022889</t>
  </si>
  <si>
    <t>S022890</t>
  </si>
  <si>
    <t>S022914</t>
  </si>
  <si>
    <t>S023451</t>
  </si>
  <si>
    <t>S023462</t>
  </si>
  <si>
    <t>S023512</t>
  </si>
  <si>
    <t>S023513</t>
  </si>
  <si>
    <t>S023514</t>
  </si>
  <si>
    <t>S023515</t>
  </si>
  <si>
    <t>S016055</t>
  </si>
  <si>
    <t>S016058</t>
  </si>
  <si>
    <t>S023681</t>
  </si>
  <si>
    <t>S016062</t>
  </si>
  <si>
    <t>S023685</t>
  </si>
  <si>
    <t>S023695</t>
  </si>
  <si>
    <t>S023696</t>
  </si>
  <si>
    <t>S023697</t>
  </si>
  <si>
    <t>S023707</t>
  </si>
  <si>
    <t>S023711</t>
  </si>
  <si>
    <t>UNNAMED DITCH</t>
  </si>
  <si>
    <t>S023712</t>
  </si>
  <si>
    <t>S023728</t>
  </si>
  <si>
    <t>UNNAMED STREAM #2</t>
  </si>
  <si>
    <t>S023729</t>
  </si>
  <si>
    <t>UNNAMED STREAM #1</t>
  </si>
  <si>
    <t>S023849</t>
  </si>
  <si>
    <t>S023862</t>
  </si>
  <si>
    <t>OAT VALLEY CREEK</t>
  </si>
  <si>
    <t>S023869</t>
  </si>
  <si>
    <t>RID-1714 UNNAMED SPRING</t>
  </si>
  <si>
    <t>S023870</t>
  </si>
  <si>
    <t>RID-1939 ON-STREAM STORAGE</t>
  </si>
  <si>
    <t>S023896</t>
  </si>
  <si>
    <t>S023897</t>
  </si>
  <si>
    <t>S023905</t>
  </si>
  <si>
    <t>S023907</t>
  </si>
  <si>
    <t>S023909</t>
  </si>
  <si>
    <t>S023910</t>
  </si>
  <si>
    <t>S023932</t>
  </si>
  <si>
    <t>S023956</t>
  </si>
  <si>
    <t>S023959</t>
  </si>
  <si>
    <t>S023960</t>
  </si>
  <si>
    <t>S023995</t>
  </si>
  <si>
    <t>S023996</t>
  </si>
  <si>
    <t>S023997</t>
  </si>
  <si>
    <t>S024090</t>
  </si>
  <si>
    <t>S024097</t>
  </si>
  <si>
    <t>S024131</t>
  </si>
  <si>
    <t>S018671</t>
  </si>
  <si>
    <t xml:space="preserve">UNNAMED SPRING </t>
  </si>
  <si>
    <t>S024280</t>
  </si>
  <si>
    <t>S015955</t>
  </si>
  <si>
    <t>S024372</t>
  </si>
  <si>
    <t>S024404</t>
  </si>
  <si>
    <t>S024405</t>
  </si>
  <si>
    <t>S024410</t>
  </si>
  <si>
    <t>S024444</t>
  </si>
  <si>
    <t>MAIN STEM OF RUSSIAN RIVER</t>
  </si>
  <si>
    <t>S024445</t>
  </si>
  <si>
    <t>S024464</t>
  </si>
  <si>
    <t>S024466</t>
  </si>
  <si>
    <t>MAIN STEM RUSSIAN RIVER</t>
  </si>
  <si>
    <t>S024467</t>
  </si>
  <si>
    <t>MAIN STEM RUSSIAN RIVER UNDERFLOW</t>
  </si>
  <si>
    <t>S024481</t>
  </si>
  <si>
    <t>S016065</t>
  </si>
  <si>
    <t>S024509</t>
  </si>
  <si>
    <t>S018153</t>
  </si>
  <si>
    <t>S018190</t>
  </si>
  <si>
    <t>S018640</t>
  </si>
  <si>
    <t>S024526</t>
  </si>
  <si>
    <t>Little Sulphur Creek</t>
  </si>
  <si>
    <t>S024552</t>
  </si>
  <si>
    <t>S024621</t>
  </si>
  <si>
    <t>S024681</t>
  </si>
  <si>
    <t>S024682</t>
  </si>
  <si>
    <t>S018674</t>
  </si>
  <si>
    <t>S018677</t>
  </si>
  <si>
    <t>S024858</t>
  </si>
  <si>
    <t>S025029</t>
  </si>
  <si>
    <t>SAUSAL CREEK UNDERFLOW</t>
  </si>
  <si>
    <t>S019406</t>
  </si>
  <si>
    <t>S025066</t>
  </si>
  <si>
    <t>S025197</t>
  </si>
  <si>
    <t>S025227</t>
  </si>
  <si>
    <t>JONIVE CREEK</t>
  </si>
  <si>
    <t>S019409</t>
  </si>
  <si>
    <t>S019412</t>
  </si>
  <si>
    <t>S025236</t>
  </si>
  <si>
    <t>S025237</t>
  </si>
  <si>
    <t>S022288</t>
  </si>
  <si>
    <t>S025250</t>
  </si>
  <si>
    <t>S022703</t>
  </si>
  <si>
    <t>S025263</t>
  </si>
  <si>
    <t>S023680</t>
  </si>
  <si>
    <t>S022287</t>
  </si>
  <si>
    <t>S023682</t>
  </si>
  <si>
    <t>S025343</t>
  </si>
  <si>
    <t>S025344</t>
  </si>
  <si>
    <t>S025345</t>
  </si>
  <si>
    <t>S025346</t>
  </si>
  <si>
    <t>S025354</t>
  </si>
  <si>
    <t>S024513</t>
  </si>
  <si>
    <t>S025471</t>
  </si>
  <si>
    <t>Gallons</t>
  </si>
  <si>
    <t>SEASONAL UNNAMED TRIBUTARY TO MARK WEST CREEK</t>
  </si>
  <si>
    <t>S025479</t>
  </si>
  <si>
    <t>S025481</t>
  </si>
  <si>
    <t>S025482</t>
  </si>
  <si>
    <t>S025484</t>
  </si>
  <si>
    <t>S025485</t>
  </si>
  <si>
    <t>S025486</t>
  </si>
  <si>
    <t>S025487</t>
  </si>
  <si>
    <t>S025488</t>
  </si>
  <si>
    <t>S025489</t>
  </si>
  <si>
    <t>S025553</t>
  </si>
  <si>
    <t>S025576</t>
  </si>
  <si>
    <t>S025590</t>
  </si>
  <si>
    <t>S025675</t>
  </si>
  <si>
    <t>HUMBUG CREEK</t>
  </si>
  <si>
    <t>S025689</t>
  </si>
  <si>
    <t>S025698</t>
  </si>
  <si>
    <t>S025702</t>
  </si>
  <si>
    <t>S025703</t>
  </si>
  <si>
    <t>S025714</t>
  </si>
  <si>
    <t>S025769</t>
  </si>
  <si>
    <t>S025792</t>
  </si>
  <si>
    <t>S025816</t>
  </si>
  <si>
    <t>S025042</t>
  </si>
  <si>
    <t>S025827</t>
  </si>
  <si>
    <t>S025833</t>
  </si>
  <si>
    <t>JONIVE</t>
  </si>
  <si>
    <t>S025834</t>
  </si>
  <si>
    <t>S025847</t>
  </si>
  <si>
    <t>S025883</t>
  </si>
  <si>
    <t>JOHNSON CREEK</t>
  </si>
  <si>
    <t>S025889</t>
  </si>
  <si>
    <t>S025890</t>
  </si>
  <si>
    <t>JOVINE CREEK</t>
  </si>
  <si>
    <t>S025891</t>
  </si>
  <si>
    <t>S025893</t>
  </si>
  <si>
    <t>S026037</t>
  </si>
  <si>
    <t>WEST BRANCH GREEN VALLEY CREEK</t>
  </si>
  <si>
    <t>S026053</t>
  </si>
  <si>
    <t>S026054</t>
  </si>
  <si>
    <t>S026123</t>
  </si>
  <si>
    <t>S026217</t>
  </si>
  <si>
    <t>WELL</t>
  </si>
  <si>
    <t>S026284</t>
  </si>
  <si>
    <t>S026323</t>
  </si>
  <si>
    <t>S026464</t>
  </si>
  <si>
    <t>S024769</t>
  </si>
  <si>
    <t>S016698</t>
  </si>
  <si>
    <t>S026639</t>
  </si>
  <si>
    <t>IRRIGATION WELL</t>
  </si>
  <si>
    <t>S026643</t>
  </si>
  <si>
    <t>SPRING 2</t>
  </si>
  <si>
    <t>S026644</t>
  </si>
  <si>
    <t>S026645</t>
  </si>
  <si>
    <t>S026652</t>
  </si>
  <si>
    <t>S026656</t>
  </si>
  <si>
    <t>S026678</t>
  </si>
  <si>
    <t>S026687</t>
  </si>
  <si>
    <t>S026690</t>
  </si>
  <si>
    <t>UNNAMED SPRING REACH 2</t>
  </si>
  <si>
    <t>S026692</t>
  </si>
  <si>
    <t>UNNAMED SPRING REACH 1</t>
  </si>
  <si>
    <t>S026695</t>
  </si>
  <si>
    <t>UNDERGROUND WELL</t>
  </si>
  <si>
    <t>S024770</t>
  </si>
  <si>
    <t>S026745</t>
  </si>
  <si>
    <t>UN-CLASSED CLASS II WATERCOURSE</t>
  </si>
  <si>
    <t>S026754</t>
  </si>
  <si>
    <t>S026496</t>
  </si>
  <si>
    <t>S026792</t>
  </si>
  <si>
    <t>UNNAMED POND</t>
  </si>
  <si>
    <t>S026794</t>
  </si>
  <si>
    <t>S026797</t>
  </si>
  <si>
    <t>S026853</t>
  </si>
  <si>
    <t>S026889</t>
  </si>
  <si>
    <t>S026735</t>
  </si>
  <si>
    <t>S026905</t>
  </si>
  <si>
    <t>S026919</t>
  </si>
  <si>
    <t>S026934</t>
  </si>
  <si>
    <t>UNNAMED SPRING 2</t>
  </si>
  <si>
    <t>S026314</t>
  </si>
  <si>
    <t>S026879</t>
  </si>
  <si>
    <t>EEL RIVER DIVERSION</t>
  </si>
  <si>
    <t>S027033</t>
  </si>
  <si>
    <t>S027081</t>
  </si>
  <si>
    <t>S027088</t>
  </si>
  <si>
    <t>S027089</t>
  </si>
  <si>
    <t>SPRING 1</t>
  </si>
  <si>
    <t>S027090</t>
  </si>
  <si>
    <t>S027091</t>
  </si>
  <si>
    <t>S027405</t>
  </si>
  <si>
    <t>POTTER VALLEY IRRIGATION DISTRICT</t>
  </si>
  <si>
    <t>S027159</t>
  </si>
  <si>
    <t>S027190</t>
  </si>
  <si>
    <t>S025228</t>
  </si>
  <si>
    <t>S027297</t>
  </si>
  <si>
    <t>074-010-021-000</t>
  </si>
  <si>
    <t>S027304</t>
  </si>
  <si>
    <t>S027305</t>
  </si>
  <si>
    <t>UNNAMED STREAM ON PARCEL</t>
  </si>
  <si>
    <t>S027326</t>
  </si>
  <si>
    <t>S027330</t>
  </si>
  <si>
    <t>S027331</t>
  </si>
  <si>
    <t>S027371</t>
  </si>
  <si>
    <t>NA</t>
  </si>
  <si>
    <t>S027372</t>
  </si>
  <si>
    <t>MILL CREEK AND CREEK ON PROPERTY</t>
  </si>
  <si>
    <t>S027379</t>
  </si>
  <si>
    <t>S027382</t>
  </si>
  <si>
    <t>S027385</t>
  </si>
  <si>
    <t>S028307</t>
  </si>
  <si>
    <t>S027413</t>
  </si>
  <si>
    <t>S027435</t>
  </si>
  <si>
    <t>S026781</t>
  </si>
  <si>
    <t>S027456</t>
  </si>
  <si>
    <t>S027491</t>
  </si>
  <si>
    <t>SPRING POINT OF DIVERSION</t>
  </si>
  <si>
    <t>S026903</t>
  </si>
  <si>
    <t>SPRING UNNAMED</t>
  </si>
  <si>
    <t>S027502</t>
  </si>
  <si>
    <t>UNNAMED SPRING TRIBUTARY TO ELDRIDGE CREEK</t>
  </si>
  <si>
    <t>S027519</t>
  </si>
  <si>
    <t>S027572</t>
  </si>
  <si>
    <t>WELL +1.1K WATER TANK</t>
  </si>
  <si>
    <t>S027597</t>
  </si>
  <si>
    <t>S027620</t>
  </si>
  <si>
    <t>S027644</t>
  </si>
  <si>
    <t>S027650</t>
  </si>
  <si>
    <t>S027438</t>
  </si>
  <si>
    <t>S027664</t>
  </si>
  <si>
    <t>No Name</t>
  </si>
  <si>
    <t>S027765</t>
  </si>
  <si>
    <t>Russian River Underflow</t>
  </si>
  <si>
    <t>S027768</t>
  </si>
  <si>
    <t>Koi Spring</t>
  </si>
  <si>
    <t>S025300</t>
  </si>
  <si>
    <t>S027851</t>
  </si>
  <si>
    <t>Sausal Creek</t>
  </si>
  <si>
    <t>S027865</t>
  </si>
  <si>
    <t>Unnamed Streams</t>
  </si>
  <si>
    <t>S027883</t>
  </si>
  <si>
    <t>Unnamed Tributary</t>
  </si>
  <si>
    <t>S027934</t>
  </si>
  <si>
    <t>S027935</t>
  </si>
  <si>
    <t>S027936</t>
  </si>
  <si>
    <t>S027937</t>
  </si>
  <si>
    <t>S027938</t>
  </si>
  <si>
    <t>S027965</t>
  </si>
  <si>
    <t>Humbug Creek</t>
  </si>
  <si>
    <t>S027969</t>
  </si>
  <si>
    <t>S028034</t>
  </si>
  <si>
    <t>S028035</t>
  </si>
  <si>
    <t>Unnamed Pond</t>
  </si>
  <si>
    <t>S028057</t>
  </si>
  <si>
    <t>Underground Drain</t>
  </si>
  <si>
    <t>S028118</t>
  </si>
  <si>
    <t>Unnamed Watercourse</t>
  </si>
  <si>
    <t>S028233</t>
  </si>
  <si>
    <t>Well</t>
  </si>
  <si>
    <t>S028257</t>
  </si>
  <si>
    <t>S028258</t>
  </si>
  <si>
    <t>S028280</t>
  </si>
  <si>
    <t>S028289</t>
  </si>
  <si>
    <t>S027500</t>
  </si>
  <si>
    <t>S028309</t>
  </si>
  <si>
    <t>S014313</t>
  </si>
  <si>
    <t>S028323</t>
  </si>
  <si>
    <t>S027654</t>
  </si>
  <si>
    <t>S028364</t>
  </si>
  <si>
    <t>PropertyIdentifier</t>
  </si>
  <si>
    <t>ExportDate</t>
  </si>
  <si>
    <t>CompeletedDate</t>
  </si>
  <si>
    <t>LastModifiedDate</t>
  </si>
  <si>
    <t>Title</t>
  </si>
  <si>
    <t>Explain</t>
  </si>
  <si>
    <t>WR1</t>
  </si>
  <si>
    <t>WR2</t>
  </si>
  <si>
    <t>WR3</t>
  </si>
  <si>
    <t>WR4</t>
  </si>
  <si>
    <t>WR5</t>
  </si>
  <si>
    <t>WR6</t>
  </si>
  <si>
    <t>WR7</t>
  </si>
  <si>
    <t>WR8</t>
  </si>
  <si>
    <t>WR9</t>
  </si>
  <si>
    <t>WR15</t>
  </si>
  <si>
    <t>Transfer</t>
  </si>
  <si>
    <t>Title3</t>
  </si>
  <si>
    <t>Upload</t>
  </si>
  <si>
    <t>UploadDesc</t>
  </si>
  <si>
    <t>Signature</t>
  </si>
  <si>
    <t>Relation</t>
  </si>
  <si>
    <t>CertifyBox</t>
  </si>
  <si>
    <t>SubmitWarn</t>
  </si>
  <si>
    <t>OwnerInfoOrderId</t>
  </si>
  <si>
    <t>A009137</t>
  </si>
  <si>
    <t>2022-06-13 10:05:51</t>
  </si>
  <si>
    <t>2022-06-07 12:44:28</t>
  </si>
  <si>
    <t>2022-06-10 14:41:30</t>
  </si>
  <si>
    <t>L13898</t>
  </si>
  <si>
    <t>None</t>
  </si>
  <si>
    <t>Elizabeth Salomone</t>
  </si>
  <si>
    <t>District Manager</t>
  </si>
  <si>
    <t>true</t>
  </si>
  <si>
    <t>2022-06-21 11:09:31</t>
  </si>
  <si>
    <t>2022-06-14 09:30:28</t>
  </si>
  <si>
    <t>2022-06-14 08:49:33</t>
  </si>
  <si>
    <t>{"FilePrefix":"109_90526_8509_VoluntaryWaterS_A020540_Upload","Files":[{"OriginalName":"2471-004W-2017-2019 Average Reported Diversion.xlsx","NewName":"109_90526_8509_VoluntaryWaterS_A020540_Upload_1.xlsx"}],"Errors":[]}</t>
  </si>
  <si>
    <t xml:space="preserve">A summary of the average amount of water diverted pursuant to A020540 for the years 2017, 2018 and 2019.  </t>
  </si>
  <si>
    <t>Paula J. Whealen</t>
  </si>
  <si>
    <t>Authorized Agent</t>
  </si>
  <si>
    <t>2022-06-17 10:21:42</t>
  </si>
  <si>
    <t>2022-06-17 10:18:49</t>
  </si>
  <si>
    <t xml:space="preserve">Fritz Stuhlmuller </t>
  </si>
  <si>
    <t xml:space="preserve">Owner </t>
  </si>
  <si>
    <t>2022-06-01 15:15:00</t>
  </si>
  <si>
    <t>2022-06-01 13:50:15</t>
  </si>
  <si>
    <t>Tommy Otey</t>
  </si>
  <si>
    <t>General Manager</t>
  </si>
  <si>
    <t>2022-06-10 15:18:55</t>
  </si>
  <si>
    <t>2022-06-10 15:15:23</t>
  </si>
  <si>
    <t>Glenn McGourty</t>
  </si>
  <si>
    <t>owner</t>
  </si>
  <si>
    <t>2022-06-03 07:10:03</t>
  </si>
  <si>
    <t>2022-06-03 07:07:28</t>
  </si>
  <si>
    <t>N/A</t>
  </si>
  <si>
    <t>David Taber</t>
  </si>
  <si>
    <t>President of Mutual Water Company</t>
  </si>
  <si>
    <t>2022-06-06 14:29:00</t>
  </si>
  <si>
    <t>2022-06-06 14:25:57</t>
  </si>
  <si>
    <t>Andrew T Nicoll</t>
  </si>
  <si>
    <t>Self</t>
  </si>
  <si>
    <t>2022-06-17 14:57:40</t>
  </si>
  <si>
    <t>2022-06-17 14:23:01</t>
  </si>
  <si>
    <t>Deborah M. Hunt</t>
  </si>
  <si>
    <t>Authorized Employee</t>
  </si>
  <si>
    <t>2022-06-19 14:46:46</t>
  </si>
  <si>
    <t>2022-06-19 14:43:33</t>
  </si>
  <si>
    <t>Mary A Golden</t>
  </si>
  <si>
    <t>self</t>
  </si>
  <si>
    <t>2022-06-19 20:43:21</t>
  </si>
  <si>
    <t>2022-06-19 20:37:58</t>
  </si>
  <si>
    <t>{"FilePrefix":"109_91188_8509_VoluntaryWaterS_S014237_Upload","Files":[{"OriginalName":"City of Cloverdale  - Resolution approving participation in the Water Sharing Program.pdf","NewName":"109_91188_8509_VoluntaryWaterS_S014237_Upload_1.pdf"}],"Errors":[]}</t>
  </si>
  <si>
    <t>City of Cloverdale Resolution approving participation in the water sharing program.</t>
  </si>
  <si>
    <t>David Kelley</t>
  </si>
  <si>
    <t>City Manager</t>
  </si>
  <si>
    <t>2022-06-16 10:58:39</t>
  </si>
  <si>
    <t>2022-06-16 10:27:07</t>
  </si>
  <si>
    <t>Brandon Axell</t>
  </si>
  <si>
    <t>Company Representative</t>
  </si>
  <si>
    <t>2022-06-17 15:05:25</t>
  </si>
  <si>
    <t>2022-06-17 15:04:22</t>
  </si>
  <si>
    <t>2022-06-19 20:35:13</t>
  </si>
  <si>
    <t>2022-06-19 20:27:50</t>
  </si>
  <si>
    <t>Maurice Washington</t>
  </si>
  <si>
    <t>Employee</t>
  </si>
  <si>
    <t>2022-06-16 11:31:21</t>
  </si>
  <si>
    <t>2022-06-16 11:28:45</t>
  </si>
  <si>
    <t>Jared Walker</t>
  </si>
  <si>
    <t>2022-06-09 10:29:03</t>
  </si>
  <si>
    <t>2022-06-09 10:26:42</t>
  </si>
  <si>
    <t>Allison Shapiro</t>
  </si>
  <si>
    <t>legal rightholder</t>
  </si>
  <si>
    <t>2022-06-20 10:44:13</t>
  </si>
  <si>
    <t>2022-06-20 10:42:44</t>
  </si>
  <si>
    <t>Nicholas F. Bonsignore, P.E.</t>
  </si>
  <si>
    <t>Agent</t>
  </si>
  <si>
    <t>2022-06-14 13:29:54</t>
  </si>
  <si>
    <t>2022-06-14 13:28:16</t>
  </si>
  <si>
    <t>{"FilePrefix":"109_91808_8509_VoluntaryWaterS_S008430_Upload","Files":[{"OriginalName":"3728-002w-2017-2019 Average Reported Diversion.xlsx","NewName":"109_91808_8509_VoluntaryWaterS_S008430_Upload_1.xlsx"}],"Errors":[]}</t>
  </si>
  <si>
    <t>Summary of 2017-2019 Reported Diversions for Permits 20484 and 20485 (A029418 and A029419), and Statements S008430 and S025611.</t>
  </si>
  <si>
    <t>2022-06-13 08:07:09</t>
  </si>
  <si>
    <t>2022-06-13 08:02:37</t>
  </si>
  <si>
    <t>Benton Vyborny</t>
  </si>
  <si>
    <t>Vineyard Manager</t>
  </si>
  <si>
    <t>2022-06-13 15:02:13</t>
  </si>
  <si>
    <t>2022-06-13 14:58:36</t>
  </si>
  <si>
    <t>David C. Koball</t>
  </si>
  <si>
    <t>Owner</t>
  </si>
  <si>
    <t>2022-06-13 17:15:32</t>
  </si>
  <si>
    <t>2022-06-13 14:50:59</t>
  </si>
  <si>
    <t>{"FilePrefix":"109_91866_8509_VoluntaryWaterS_A013217_Upload","Files":[{"OriginalName":"upper-russian-river-2022-water-sharing-agreement-05272022_signed.pdf","NewName":"109_91866_8509_VoluntaryWaterS_A013217_Upload_1.pdf"}],"Errors":[]}</t>
  </si>
  <si>
    <t>Signed version of the agreement from Healdsburg.</t>
  </si>
  <si>
    <t>Jeffery Kay</t>
  </si>
  <si>
    <t>Healdsburg's City Manager</t>
  </si>
  <si>
    <t>2022-06-13 15:12:01</t>
  </si>
  <si>
    <t>2022-06-13 15:10:43</t>
  </si>
  <si>
    <t>2022-06-13 15:56:34</t>
  </si>
  <si>
    <t>2022-06-13 15:54:06</t>
  </si>
  <si>
    <t>agent</t>
  </si>
  <si>
    <t>2022-06-13 16:02:01</t>
  </si>
  <si>
    <t>2022-06-13 15:59:46</t>
  </si>
  <si>
    <t>2022-06-13 16:06:40</t>
  </si>
  <si>
    <t>2022-06-13 16:05:04</t>
  </si>
  <si>
    <t>2022-06-13 16:09:32</t>
  </si>
  <si>
    <t>2022-06-13 16:07:37</t>
  </si>
  <si>
    <t>2022-06-13 16:13:01</t>
  </si>
  <si>
    <t>2022-06-13 16:11:34</t>
  </si>
  <si>
    <t>2022-06-14 09:27:55</t>
  </si>
  <si>
    <t>2022-06-14 09:11:50</t>
  </si>
  <si>
    <t>{"FilePrefix":"109_91949_8509_VoluntaryWaterS_A013182A02_Upload","Files":[{"OriginalName":"2250-001V-2017-2019 Average Reported Diversion.xlsx","NewName":"109_91949_8509_VoluntaryWaterS_A013182A02_Upload_1.xlsx"}],"Errors":[]}</t>
  </si>
  <si>
    <t>Summary of reported diversions for Licenses 4453A02 (A013182A02), 4453B (A013182B), 4450A03 (A013281A03), and 4450B (A013281B) and Statement S014851 for the years 2017, 2018 and 2019.</t>
  </si>
  <si>
    <t>2022-06-14 11:31:37</t>
  </si>
  <si>
    <t>2022-06-14 11:28:10</t>
  </si>
  <si>
    <t>Jesse Gebauer</t>
  </si>
  <si>
    <t>2022-06-14 13:20:30</t>
  </si>
  <si>
    <t>2022-06-14 11:29:39</t>
  </si>
  <si>
    <t>{"FilePrefix":"109_91974_8509_VoluntaryWaterS_A029418_Upload","Files":[{"OriginalName":"3728-002w-2017-2019 Average Reported Diversion.xlsx","NewName":"109_91974_8509_VoluntaryWaterS_A029418_Upload_1.xlsx"}],"Errors":[]}</t>
  </si>
  <si>
    <t>Summary of 2017-2019 Reported Diversions for Permits 20484 and 20485 (A029418 and A029419, respectively) and Statements S008430 and S025611.</t>
  </si>
  <si>
    <t>2022-06-14 13:27:05</t>
  </si>
  <si>
    <t>2022-06-14 13:23:34</t>
  </si>
  <si>
    <t>{"FilePrefix":"109_91980_8509_VoluntaryWaterS_A029419_Upload","Files":[{"OriginalName":"3728-002w-2017-2019 Average Reported Diversion.xlsx","NewName":"109_91980_8509_VoluntaryWaterS_A029419_Upload_1.xlsx"}],"Errors":[]}</t>
  </si>
  <si>
    <t>2022-06-14 13:32:51</t>
  </si>
  <si>
    <t>2022-06-14 13:31:31</t>
  </si>
  <si>
    <t>{"FilePrefix":"109_91988_8509_VoluntaryWaterS_S025611_Upload","Files":[{"OriginalName":"3728-002w-2017-2019 Average Reported Diversion.xlsx","NewName":"109_91988_8509_VoluntaryWaterS_S025611_Upload_1.xlsx"}],"Errors":[]}</t>
  </si>
  <si>
    <t>2022-06-14 13:43:57</t>
  </si>
  <si>
    <t>2022-06-14 13:40:55</t>
  </si>
  <si>
    <t>{"FilePrefix":"109_91992_8509_VoluntaryWaterS_A013182B_Upload","Files":[{"OriginalName":"2250-001V-2017-2019 Average Reported Diversion.xlsx","NewName":"109_91992_8509_VoluntaryWaterS_A013182B_Upload_1.xlsx"}],"Errors":[]}</t>
  </si>
  <si>
    <t>Summary of reported diversions for Licenses and Statements named herein.</t>
  </si>
  <si>
    <t>2022-06-14 13:47:07</t>
  </si>
  <si>
    <t>2022-06-14 13:45:19</t>
  </si>
  <si>
    <t>{"FilePrefix":"109_91997_8509_VoluntaryWaterS_A013281A03_Upload","Files":[{"OriginalName":"2250-001V-2017-2019 Average Reported Diversion.xlsx","NewName":"109_91997_8509_VoluntaryWaterS_A013281A03_Upload_1.xlsx"}],"Errors":[]}</t>
  </si>
  <si>
    <t>2022-06-14 13:53:39</t>
  </si>
  <si>
    <t>2022-06-14 13:51:18</t>
  </si>
  <si>
    <t>{"FilePrefix":"109_92002_8509_VoluntaryWaterS_S014851_Upload","Files":[{"OriginalName":"2250-001V-2017-2019 Average Reported Diversion.xlsx","NewName":"109_92002_8509_VoluntaryWaterS_S014851_Upload_1.xlsx"}],"Errors":[]}</t>
  </si>
  <si>
    <t>Summary of reported diversions for Licenses and Statement named herein.</t>
  </si>
  <si>
    <t>2022-06-14 14:09:45</t>
  </si>
  <si>
    <t>2022-06-14 14:04:39</t>
  </si>
  <si>
    <t>{"FilePrefix":"109_92007_8509_VoluntaryWaterS_A013281B_Upload","Files":[{"OriginalName":"2250-001V-2017-2019 Average Reported Diversion.xlsx","NewName":"109_92007_8509_VoluntaryWaterS_A013281B_Upload_1.xlsx"}],"Errors":[]}</t>
  </si>
  <si>
    <t>2022-06-14 15:23:23</t>
  </si>
  <si>
    <t>2022-06-14 15:22:13</t>
  </si>
  <si>
    <t>2022-06-15 09:27:30</t>
  </si>
  <si>
    <t>2022-06-15 09:07:48</t>
  </si>
  <si>
    <t>John H THomas</t>
  </si>
  <si>
    <t>2022-06-15 13:34:39</t>
  </si>
  <si>
    <t>2022-06-15 10:21:42</t>
  </si>
  <si>
    <t>Janet K F Pauli</t>
  </si>
  <si>
    <t>2022-06-15 11:32:34</t>
  </si>
  <si>
    <t>2022-06-15 11:23:27</t>
  </si>
  <si>
    <t>Margo Warnecke Merck</t>
  </si>
  <si>
    <t>President, Warnecke Ranch &amp; Vineyards II, LP</t>
  </si>
  <si>
    <t>2022-06-15 12:02:15</t>
  </si>
  <si>
    <t>2022-06-15 11:55:34</t>
  </si>
  <si>
    <t>Ryan Stolfus</t>
  </si>
  <si>
    <t>2022-06-15 12:06:49</t>
  </si>
  <si>
    <t>2022-06-15 12:05:58</t>
  </si>
  <si>
    <t>2022-06-15 15:31:17</t>
  </si>
  <si>
    <t>2022-06-15 15:21:17</t>
  </si>
  <si>
    <t>Michael L. Hildreth</t>
  </si>
  <si>
    <t xml:space="preserve">Right holder/Hildreth Farms Inc. Agent </t>
  </si>
  <si>
    <t>2022-06-15 20:24:02</t>
  </si>
  <si>
    <t>2022-06-15 20:22:19</t>
  </si>
  <si>
    <t>Jesse Gebauer, Wagner &amp; Bonsignore Consulting Civil Engineers</t>
  </si>
  <si>
    <t>2022-06-20 12:53:50</t>
  </si>
  <si>
    <t>2022-06-20 12:52:41</t>
  </si>
  <si>
    <t>2022-06-20 13:25:48</t>
  </si>
  <si>
    <t>2022-06-20 13:23:54</t>
  </si>
  <si>
    <t>2022-06-20 17:54:54</t>
  </si>
  <si>
    <t>2022-06-20 17:44:58</t>
  </si>
  <si>
    <t>Brad Petersen</t>
  </si>
  <si>
    <t>2022-06-17 09:18:14</t>
  </si>
  <si>
    <t>2022-06-17 09:17:20</t>
  </si>
  <si>
    <t>Barbara A Petersen</t>
  </si>
  <si>
    <t>Office Manager</t>
  </si>
  <si>
    <t>2022-06-16 10:05:27</t>
  </si>
  <si>
    <t>2022-06-16 09:58:53</t>
  </si>
  <si>
    <t>Richard La Malfa</t>
  </si>
  <si>
    <t>self/rightholder</t>
  </si>
  <si>
    <t>2022-06-16 11:54:40</t>
  </si>
  <si>
    <t>2022-06-16 10:30:18</t>
  </si>
  <si>
    <t>Debbie Reardan</t>
  </si>
  <si>
    <t>2022-06-16 11:32:40</t>
  </si>
  <si>
    <t>2022-06-16 11:32:23</t>
  </si>
  <si>
    <t>2022-06-16 11:33:16</t>
  </si>
  <si>
    <t>2022-06-16 11:33:02</t>
  </si>
  <si>
    <t>2022-06-16 11:34:09</t>
  </si>
  <si>
    <t>2022-06-16 11:33:33</t>
  </si>
  <si>
    <t>2022-06-16 11:56:58</t>
  </si>
  <si>
    <t>2022-06-16 11:55:45</t>
  </si>
  <si>
    <t>2022-06-16 15:03:22</t>
  </si>
  <si>
    <t>2022-06-16 14:45:30</t>
  </si>
  <si>
    <t>Dennis Murphy</t>
  </si>
  <si>
    <t>Owner/Partner</t>
  </si>
  <si>
    <t>2022-06-16 15:11:38</t>
  </si>
  <si>
    <t>2022-06-16 15:03:00</t>
  </si>
  <si>
    <t>Sean White</t>
  </si>
  <si>
    <t>2022-06-16 15:14:21</t>
  </si>
  <si>
    <t>2022-06-16 15:13:33</t>
  </si>
  <si>
    <t>2022-06-16 15:17:08</t>
  </si>
  <si>
    <t>2022-06-16 15:16:21</t>
  </si>
  <si>
    <t>2022-06-20 10:58:15</t>
  </si>
  <si>
    <t>2022-06-20 10:56:36</t>
  </si>
  <si>
    <t>Mike Milovina</t>
  </si>
  <si>
    <t>Manager</t>
  </si>
  <si>
    <t>2022-06-17 09:11:54</t>
  </si>
  <si>
    <t>2022-06-17 09:01:42</t>
  </si>
  <si>
    <t>2022-06-17 15:11:04</t>
  </si>
  <si>
    <t>2022-06-17 15:08:16</t>
  </si>
  <si>
    <t>2022-06-17 15:14:00</t>
  </si>
  <si>
    <t>2022-06-17 15:12:52</t>
  </si>
  <si>
    <t>2022-06-17 15:17:44</t>
  </si>
  <si>
    <t>2022-06-17 15:16:28</t>
  </si>
  <si>
    <t>2022-06-20 09:44:38</t>
  </si>
  <si>
    <t>2022-06-20 09:33:28</t>
  </si>
  <si>
    <t>2022-06-20 13:28:18</t>
  </si>
  <si>
    <t>2022-06-20 13:27:55</t>
  </si>
  <si>
    <t>2022-06-20 14:26:12</t>
  </si>
  <si>
    <t>2022-06-20 14:25:43</t>
  </si>
  <si>
    <t>Consultant</t>
  </si>
  <si>
    <t>2022-06-20 14:53:10</t>
  </si>
  <si>
    <t>2022-06-20 14:52:45</t>
  </si>
  <si>
    <t>2022-06-20 16:27:26</t>
  </si>
  <si>
    <t>2022-06-20 16:22:38</t>
  </si>
  <si>
    <t>Gary Breen</t>
  </si>
  <si>
    <t>StartDate</t>
  </si>
  <si>
    <t>CompletedDate</t>
  </si>
  <si>
    <t>06/16/2022</t>
  </si>
  <si>
    <t>06/08/2022</t>
  </si>
  <si>
    <t>05/24/2022</t>
  </si>
  <si>
    <t>06/07/2022</t>
  </si>
  <si>
    <t>06/15/2022</t>
  </si>
  <si>
    <t>06/14/2022</t>
  </si>
  <si>
    <t>06/13/2022</t>
  </si>
  <si>
    <t>06/06/2022</t>
  </si>
  <si>
    <t>06/17/2022</t>
  </si>
  <si>
    <t>06/20/2022</t>
  </si>
  <si>
    <t>06/02/2022</t>
  </si>
  <si>
    <t>06/10/2022</t>
  </si>
  <si>
    <t>05/31/2022</t>
  </si>
  <si>
    <t>06/19/2022</t>
  </si>
  <si>
    <t>A023073</t>
  </si>
  <si>
    <t>06/03/2022</t>
  </si>
  <si>
    <t>06/09/2022</t>
  </si>
  <si>
    <t>A031447</t>
  </si>
  <si>
    <t>H031997</t>
  </si>
  <si>
    <t>H032131</t>
  </si>
  <si>
    <t>H510424</t>
  </si>
  <si>
    <t>06/01/2022</t>
  </si>
  <si>
    <t>S015335</t>
  </si>
  <si>
    <t>S015353</t>
  </si>
  <si>
    <t>S015641</t>
  </si>
  <si>
    <t>S015909</t>
  </si>
  <si>
    <t>S027032</t>
  </si>
  <si>
    <t>Receive</t>
  </si>
  <si>
    <t>July Forbearance</t>
  </si>
  <si>
    <t>Aug Forbearance</t>
  </si>
  <si>
    <t>Sep Forbearance</t>
  </si>
  <si>
    <t>Oct Forbearance</t>
  </si>
  <si>
    <t>2022-06-20 16:07:48</t>
  </si>
  <si>
    <t>2022-06-15 09:57:28</t>
  </si>
  <si>
    <t>Donation</t>
  </si>
  <si>
    <t>2022-06-15 14:57:14</t>
  </si>
  <si>
    <t>2022-06-15 15:48:48</t>
  </si>
  <si>
    <t>2022-06-20 11:06:04</t>
  </si>
  <si>
    <t>2022-06-20 15:18:50</t>
  </si>
  <si>
    <t>2022-07-14 09:42:45</t>
  </si>
  <si>
    <t>2022-07-29 17:38:16</t>
  </si>
  <si>
    <t>2022-08-10 08:25:47</t>
  </si>
  <si>
    <t>2022-08-10 08:38:52</t>
  </si>
  <si>
    <t>Application Number</t>
  </si>
  <si>
    <t>Permit ID</t>
  </si>
  <si>
    <t>License ID</t>
  </si>
  <si>
    <t>WR Type</t>
  </si>
  <si>
    <t>Status</t>
  </si>
  <si>
    <t>Status Date</t>
  </si>
  <si>
    <t>Face Value Amount</t>
  </si>
  <si>
    <t>County</t>
  </si>
  <si>
    <t>HUC 12 Name</t>
  </si>
  <si>
    <t>HUC 8 Name</t>
  </si>
  <si>
    <t/>
  </si>
  <si>
    <t>Appropriative</t>
  </si>
  <si>
    <t>Pending</t>
  </si>
  <si>
    <t>11/25/2003</t>
  </si>
  <si>
    <t>FLIGHT RAIL CORPORATION</t>
  </si>
  <si>
    <t>Mendocino</t>
  </si>
  <si>
    <t>McNab Creek-Russian River</t>
  </si>
  <si>
    <t>Russian</t>
  </si>
  <si>
    <t>12/14/2001</t>
  </si>
  <si>
    <t>05/26/2004</t>
  </si>
  <si>
    <t>JACK L COX</t>
  </si>
  <si>
    <t>East Fork Russian River-Russian River</t>
  </si>
  <si>
    <t>09/16/1996</t>
  </si>
  <si>
    <t>RAY J BARTOLOMEI</t>
  </si>
  <si>
    <t>Mill Creek</t>
  </si>
  <si>
    <t>11/13/1995</t>
  </si>
  <si>
    <t>BRUTOCAO VINEYARDS</t>
  </si>
  <si>
    <t>019008</t>
  </si>
  <si>
    <t>Permitted</t>
  </si>
  <si>
    <t>08/13/1982</t>
  </si>
  <si>
    <t>ROCHIOLI VINEYARD &amp; WINERY LLC</t>
  </si>
  <si>
    <t>Sonoma</t>
  </si>
  <si>
    <t>Porter Creek-Russian River</t>
  </si>
  <si>
    <t>018538A</t>
  </si>
  <si>
    <t>07/14/1997</t>
  </si>
  <si>
    <t>ETSEC ASTRONOMY, LLC</t>
  </si>
  <si>
    <t>A029199</t>
  </si>
  <si>
    <t>020260</t>
  </si>
  <si>
    <t>03/01/1988</t>
  </si>
  <si>
    <t>GALLO VINEYARDS INC</t>
  </si>
  <si>
    <t>West Slough-Dry Creek</t>
  </si>
  <si>
    <t>020486</t>
  </si>
  <si>
    <t>03/14/1989</t>
  </si>
  <si>
    <t>Gill Creek-Russian River</t>
  </si>
  <si>
    <t>020580</t>
  </si>
  <si>
    <t>11/15/1989</t>
  </si>
  <si>
    <t>001729</t>
  </si>
  <si>
    <t>000704</t>
  </si>
  <si>
    <t>Licensed</t>
  </si>
  <si>
    <t>04/18/1928</t>
  </si>
  <si>
    <t>ESTATE VINEYARDS LLC</t>
  </si>
  <si>
    <t>002427</t>
  </si>
  <si>
    <t>000780</t>
  </si>
  <si>
    <t>11/07/1930</t>
  </si>
  <si>
    <t>JILL  RIDDER</t>
  </si>
  <si>
    <t>010211</t>
  </si>
  <si>
    <t>007845</t>
  </si>
  <si>
    <t>11/29/1954</t>
  </si>
  <si>
    <t>HILDRETH FARMS INCORPORATED</t>
  </si>
  <si>
    <t>Morrison Creek-Russian River</t>
  </si>
  <si>
    <t>010293</t>
  </si>
  <si>
    <t>006102</t>
  </si>
  <si>
    <t>05/17/1955</t>
  </si>
  <si>
    <t>JON  BABCOCK</t>
  </si>
  <si>
    <t>Burright Creek-East Fork Russian River</t>
  </si>
  <si>
    <t>010481</t>
  </si>
  <si>
    <t>006454</t>
  </si>
  <si>
    <t>05/27/1955</t>
  </si>
  <si>
    <t>REYNOSO RANCH</t>
  </si>
  <si>
    <t>010276</t>
  </si>
  <si>
    <t>005289</t>
  </si>
  <si>
    <t>06/13/1955</t>
  </si>
  <si>
    <t>CONRAD WOOD PRESERVING CO</t>
  </si>
  <si>
    <t>Orrs Creek-Russian River</t>
  </si>
  <si>
    <t>012998</t>
  </si>
  <si>
    <t>009117</t>
  </si>
  <si>
    <t>08/15/1955</t>
  </si>
  <si>
    <t>RICHARD  MOUNTS</t>
  </si>
  <si>
    <t>007118</t>
  </si>
  <si>
    <t>007950</t>
  </si>
  <si>
    <t>09/22/1947</t>
  </si>
  <si>
    <t>ROBERT  YAHNG</t>
  </si>
  <si>
    <t>Upper Santa Rosa Creek</t>
  </si>
  <si>
    <t>007787</t>
  </si>
  <si>
    <t>004257</t>
  </si>
  <si>
    <t>05/17/1949</t>
  </si>
  <si>
    <t>BUENA TIERRA VINEYARD LTD</t>
  </si>
  <si>
    <t>007788</t>
  </si>
  <si>
    <t>004107A</t>
  </si>
  <si>
    <t>09/22/1983</t>
  </si>
  <si>
    <t>DONALD B MILLS JR</t>
  </si>
  <si>
    <t>Sausal Creek-Russian River</t>
  </si>
  <si>
    <t>007841</t>
  </si>
  <si>
    <t>006124</t>
  </si>
  <si>
    <t>06/06/1949</t>
  </si>
  <si>
    <t>RAMEY VINEYARDS LLC</t>
  </si>
  <si>
    <t>007848</t>
  </si>
  <si>
    <t>004067</t>
  </si>
  <si>
    <t>07/08/1949</t>
  </si>
  <si>
    <t>K AND J BADGLEY REVOCABLE TRUST</t>
  </si>
  <si>
    <t>007864</t>
  </si>
  <si>
    <t>003809</t>
  </si>
  <si>
    <t>08/17/1949</t>
  </si>
  <si>
    <t>LEE  FARRIS</t>
  </si>
  <si>
    <t>Lower Laguna De Santa Rosa</t>
  </si>
  <si>
    <t>008100</t>
  </si>
  <si>
    <t>004102</t>
  </si>
  <si>
    <t>01/03/1950</t>
  </si>
  <si>
    <t>LARRY  TRISTANO</t>
  </si>
  <si>
    <t>008121</t>
  </si>
  <si>
    <t>004584</t>
  </si>
  <si>
    <t>02/10/1950</t>
  </si>
  <si>
    <t>ROBERT M SMITH</t>
  </si>
  <si>
    <t>Maacama Creek</t>
  </si>
  <si>
    <t>008155</t>
  </si>
  <si>
    <t>004722</t>
  </si>
  <si>
    <t>03/20/1950</t>
  </si>
  <si>
    <t>JPMB PROPERTIES LP</t>
  </si>
  <si>
    <t>008367</t>
  </si>
  <si>
    <t>004159</t>
  </si>
  <si>
    <t>07/25/1950</t>
  </si>
  <si>
    <t>Amonos, LLC</t>
  </si>
  <si>
    <t>013431</t>
  </si>
  <si>
    <t>008683</t>
  </si>
  <si>
    <t>04/06/1961</t>
  </si>
  <si>
    <t>CHARLES  TESCONI</t>
  </si>
  <si>
    <t>Windsor Creek</t>
  </si>
  <si>
    <t>013433</t>
  </si>
  <si>
    <t>008200</t>
  </si>
  <si>
    <t>05/25/1961</t>
  </si>
  <si>
    <t>013195</t>
  </si>
  <si>
    <t>008130</t>
  </si>
  <si>
    <t>06/13/1961</t>
  </si>
  <si>
    <t>MOHRHARDT RANCH LLC</t>
  </si>
  <si>
    <t>Ward Creek-Austin Creek</t>
  </si>
  <si>
    <t>013404</t>
  </si>
  <si>
    <t>009719</t>
  </si>
  <si>
    <t>09/07/1961</t>
  </si>
  <si>
    <t>CALIFORNIA DEPARTMENT OF PARKS AND RECREATION - SONOMA-MENDOCINO COAST DISTRICT</t>
  </si>
  <si>
    <t>Dutch Bill Creek-Russian River</t>
  </si>
  <si>
    <t>008380</t>
  </si>
  <si>
    <t>005902</t>
  </si>
  <si>
    <t>09/05/1950</t>
  </si>
  <si>
    <t>SUTTER HOME WINERY INC</t>
  </si>
  <si>
    <t>008392</t>
  </si>
  <si>
    <t>004321</t>
  </si>
  <si>
    <t>10/02/1950</t>
  </si>
  <si>
    <t>TOM  SADOWSKY</t>
  </si>
  <si>
    <t>008507</t>
  </si>
  <si>
    <t>006272</t>
  </si>
  <si>
    <t>SONOMA COUNTY REGIONAL PARKS</t>
  </si>
  <si>
    <t>008579</t>
  </si>
  <si>
    <t>004153</t>
  </si>
  <si>
    <t>10/09/1950</t>
  </si>
  <si>
    <t>RONALD E WALTENSPIEL</t>
  </si>
  <si>
    <t>008580</t>
  </si>
  <si>
    <t>004154</t>
  </si>
  <si>
    <t>VICTOR S TRIONE</t>
  </si>
  <si>
    <t>008409</t>
  </si>
  <si>
    <t>004489</t>
  </si>
  <si>
    <t>NU FOREST PRODUCTS, INC</t>
  </si>
  <si>
    <t>008558</t>
  </si>
  <si>
    <t>005724</t>
  </si>
  <si>
    <t>11/20/1950</t>
  </si>
  <si>
    <t>Syar Industries Inc.</t>
  </si>
  <si>
    <t>008996</t>
  </si>
  <si>
    <t>004386</t>
  </si>
  <si>
    <t>01/21/1952</t>
  </si>
  <si>
    <t>ORSI FAMILY TRUST</t>
  </si>
  <si>
    <t>009088</t>
  </si>
  <si>
    <t>005784</t>
  </si>
  <si>
    <t>03/17/1952</t>
  </si>
  <si>
    <t>JEFFERY S HOROWITZ</t>
  </si>
  <si>
    <t>Brooks Creek-Russian River</t>
  </si>
  <si>
    <t>009063</t>
  </si>
  <si>
    <t>006886</t>
  </si>
  <si>
    <t>04/18/1952</t>
  </si>
  <si>
    <t>JACKSON FAMILY INVESTMENTS III, LLC</t>
  </si>
  <si>
    <t>009125</t>
  </si>
  <si>
    <t>005024</t>
  </si>
  <si>
    <t>06/23/1952</t>
  </si>
  <si>
    <t>WALTER  BYCK</t>
  </si>
  <si>
    <t>Porter Creek-Mark West Creek</t>
  </si>
  <si>
    <t>009132</t>
  </si>
  <si>
    <t>005115</t>
  </si>
  <si>
    <t>07/10/1952</t>
  </si>
  <si>
    <t>ED  KOZEL</t>
  </si>
  <si>
    <t>009611</t>
  </si>
  <si>
    <t>004920</t>
  </si>
  <si>
    <t>02/04/1953</t>
  </si>
  <si>
    <t>JOHN H REX</t>
  </si>
  <si>
    <t>009519</t>
  </si>
  <si>
    <t>004974</t>
  </si>
  <si>
    <t>04/06/1953</t>
  </si>
  <si>
    <t>LYTTON RANCHERIA OF CALIFORNIA</t>
  </si>
  <si>
    <t>009738</t>
  </si>
  <si>
    <t>005659</t>
  </si>
  <si>
    <t>04/24/1953</t>
  </si>
  <si>
    <t>MOUNTAIN HOME RANCH INCORPORATED</t>
  </si>
  <si>
    <t>Franz Creek</t>
  </si>
  <si>
    <t>009957</t>
  </si>
  <si>
    <t>005552</t>
  </si>
  <si>
    <t>02/16/1954</t>
  </si>
  <si>
    <t>ANGEL  OROZCO</t>
  </si>
  <si>
    <t>009958A</t>
  </si>
  <si>
    <t>006828A</t>
  </si>
  <si>
    <t>JACKSON FAMILY INVESTMENTS III</t>
  </si>
  <si>
    <t>014750</t>
  </si>
  <si>
    <t>009385</t>
  </si>
  <si>
    <t>04/27/1964</t>
  </si>
  <si>
    <t>JOHN HANCOCK LIFE INSURANCE COMPANY USA</t>
  </si>
  <si>
    <t>014963</t>
  </si>
  <si>
    <t>009322</t>
  </si>
  <si>
    <t>06/10/1964</t>
  </si>
  <si>
    <t>FREY VINEYARDS, LTD</t>
  </si>
  <si>
    <t>Salt Hollow Creek-Russian River</t>
  </si>
  <si>
    <t>014783</t>
  </si>
  <si>
    <t>009597</t>
  </si>
  <si>
    <t>10/08/1964</t>
  </si>
  <si>
    <t>Fetzer Vineyards - Bonterra Ranch</t>
  </si>
  <si>
    <t>014785</t>
  </si>
  <si>
    <t>009613</t>
  </si>
  <si>
    <t>014761</t>
  </si>
  <si>
    <t>009540</t>
  </si>
  <si>
    <t>11/19/1964</t>
  </si>
  <si>
    <t>GARY WILLIAM VENTURI</t>
  </si>
  <si>
    <t>013416</t>
  </si>
  <si>
    <t>009382</t>
  </si>
  <si>
    <t>11/19/1956</t>
  </si>
  <si>
    <t>GLENN T MCGOURTY</t>
  </si>
  <si>
    <t>013407</t>
  </si>
  <si>
    <t>009460</t>
  </si>
  <si>
    <t>05/24/1957</t>
  </si>
  <si>
    <t>RIVERWINE LLC</t>
  </si>
  <si>
    <t>011387</t>
  </si>
  <si>
    <t>006933</t>
  </si>
  <si>
    <t>08/22/1957</t>
  </si>
  <si>
    <t>GARY  GALEAZZI</t>
  </si>
  <si>
    <t>Soda Spring Creek-Dry Creek</t>
  </si>
  <si>
    <t>013900</t>
  </si>
  <si>
    <t>009432A</t>
  </si>
  <si>
    <t>06/19/1991</t>
  </si>
  <si>
    <t>HAIKU VINEYARDS LLC</t>
  </si>
  <si>
    <t>013958</t>
  </si>
  <si>
    <t>009559</t>
  </si>
  <si>
    <t>03/20/1962</t>
  </si>
  <si>
    <t>Richard  La Malfa</t>
  </si>
  <si>
    <t>013762</t>
  </si>
  <si>
    <t>008276</t>
  </si>
  <si>
    <t>04/23/1962</t>
  </si>
  <si>
    <t>BERNARD A ORSI</t>
  </si>
  <si>
    <t>013892</t>
  </si>
  <si>
    <t>05/24/1962</t>
  </si>
  <si>
    <t>LUKE THOMAS LUCCHESI</t>
  </si>
  <si>
    <t>014008</t>
  </si>
  <si>
    <t>008269</t>
  </si>
  <si>
    <t>09/20/1962</t>
  </si>
  <si>
    <t>ELAINE  MARLOWE</t>
  </si>
  <si>
    <t>014201</t>
  </si>
  <si>
    <t>010418</t>
  </si>
  <si>
    <t>10/02/1962</t>
  </si>
  <si>
    <t>014035</t>
  </si>
  <si>
    <t>008299</t>
  </si>
  <si>
    <t>12/13/1962</t>
  </si>
  <si>
    <t>JOHN R  GLENNEY JR</t>
  </si>
  <si>
    <t>014208</t>
  </si>
  <si>
    <t>009401</t>
  </si>
  <si>
    <t>01/16/1963</t>
  </si>
  <si>
    <t>COYOTE VALLEY TRIBAL COUNCIL</t>
  </si>
  <si>
    <t>Forsythe Creek</t>
  </si>
  <si>
    <t>014264</t>
  </si>
  <si>
    <t>008782</t>
  </si>
  <si>
    <t>05/02/1963</t>
  </si>
  <si>
    <t>John R Toki</t>
  </si>
  <si>
    <t>014381</t>
  </si>
  <si>
    <t>009947A</t>
  </si>
  <si>
    <t>04/17/2006</t>
  </si>
  <si>
    <t>CHARLES  VAU</t>
  </si>
  <si>
    <t>009947C</t>
  </si>
  <si>
    <t>ERIC  STEINER</t>
  </si>
  <si>
    <t>014316</t>
  </si>
  <si>
    <t>010670</t>
  </si>
  <si>
    <t>01/02/2004</t>
  </si>
  <si>
    <t>MONTMORENCY CRUSHING &amp; FERMENATION COMPANY</t>
  </si>
  <si>
    <t>015091</t>
  </si>
  <si>
    <t>011603</t>
  </si>
  <si>
    <t>05/17/1965</t>
  </si>
  <si>
    <t>015215</t>
  </si>
  <si>
    <t>009608</t>
  </si>
  <si>
    <t>02/01/1966</t>
  </si>
  <si>
    <t>LARRY R THORNTON</t>
  </si>
  <si>
    <t>015221</t>
  </si>
  <si>
    <t>009373</t>
  </si>
  <si>
    <t>03/29/1966</t>
  </si>
  <si>
    <t>DENISE LURTON MOULLE</t>
  </si>
  <si>
    <t>015411</t>
  </si>
  <si>
    <t>009819</t>
  </si>
  <si>
    <t>12/15/1966</t>
  </si>
  <si>
    <t>STEVEN  ZICHICHI</t>
  </si>
  <si>
    <t>015492</t>
  </si>
  <si>
    <t>010095</t>
  </si>
  <si>
    <t>04/07/1967</t>
  </si>
  <si>
    <t>FLOODGATE VINEYARD LLC</t>
  </si>
  <si>
    <t>013451</t>
  </si>
  <si>
    <t>009203</t>
  </si>
  <si>
    <t>11/09/1959</t>
  </si>
  <si>
    <t>UDO  KUNZEMANN</t>
  </si>
  <si>
    <t>013182</t>
  </si>
  <si>
    <t>009626</t>
  </si>
  <si>
    <t>04/04/1960</t>
  </si>
  <si>
    <t>NORTHERN CALIF CONF ASSOC</t>
  </si>
  <si>
    <t>017853</t>
  </si>
  <si>
    <t>012876</t>
  </si>
  <si>
    <t>05/21/1979</t>
  </si>
  <si>
    <t>FRITZ WINERY</t>
  </si>
  <si>
    <t>017907A</t>
  </si>
  <si>
    <t>012071</t>
  </si>
  <si>
    <t>06/02/1980</t>
  </si>
  <si>
    <t>CHRIS  B LAUKENMANN</t>
  </si>
  <si>
    <t>018578</t>
  </si>
  <si>
    <t>012324</t>
  </si>
  <si>
    <t>01/22/1980</t>
  </si>
  <si>
    <t>GEYSERS POWER COMPANY LLC</t>
  </si>
  <si>
    <t>Alder Creek-Big Sulphur Creek</t>
  </si>
  <si>
    <t>018427</t>
  </si>
  <si>
    <t>012040</t>
  </si>
  <si>
    <t>03/10/1980</t>
  </si>
  <si>
    <t>WILLIAM T JOHNSON</t>
  </si>
  <si>
    <t>018721</t>
  </si>
  <si>
    <t>012553</t>
  </si>
  <si>
    <t>07/21/1981</t>
  </si>
  <si>
    <t>LARRY R VENTURI</t>
  </si>
  <si>
    <t>018557</t>
  </si>
  <si>
    <t>013244</t>
  </si>
  <si>
    <t>11/02/1981</t>
  </si>
  <si>
    <t>Husch Vineyards, Inc.</t>
  </si>
  <si>
    <t>016628</t>
  </si>
  <si>
    <t>011029</t>
  </si>
  <si>
    <t>08/03/1971</t>
  </si>
  <si>
    <t>ZACKARIAS   HAYDEN</t>
  </si>
  <si>
    <t>Cummiskey Creek-Russian River</t>
  </si>
  <si>
    <t>016375</t>
  </si>
  <si>
    <t>011015</t>
  </si>
  <si>
    <t>08/04/1971</t>
  </si>
  <si>
    <t>PETER D BARRA</t>
  </si>
  <si>
    <t>016376</t>
  </si>
  <si>
    <t>012004</t>
  </si>
  <si>
    <t>08/11/1971</t>
  </si>
  <si>
    <t>STERLING  NORGARD</t>
  </si>
  <si>
    <t>017277</t>
  </si>
  <si>
    <t>012284</t>
  </si>
  <si>
    <t>03/31/1972</t>
  </si>
  <si>
    <t>ROGER P WEBB</t>
  </si>
  <si>
    <t>016500</t>
  </si>
  <si>
    <t>012531</t>
  </si>
  <si>
    <t>04/12/1972</t>
  </si>
  <si>
    <t>016590</t>
  </si>
  <si>
    <t>011582</t>
  </si>
  <si>
    <t>06/23/1972</t>
  </si>
  <si>
    <t>The Reedy Family Partnership No. 2, a California Limited Partnership</t>
  </si>
  <si>
    <t>016767</t>
  </si>
  <si>
    <t>010980</t>
  </si>
  <si>
    <t>10/27/1972</t>
  </si>
  <si>
    <t>THOMAS E SPARKS JR</t>
  </si>
  <si>
    <t>017139B</t>
  </si>
  <si>
    <t>012640</t>
  </si>
  <si>
    <t>02/03/1984</t>
  </si>
  <si>
    <t>LEDBETTER FARMS INC</t>
  </si>
  <si>
    <t>018316A</t>
  </si>
  <si>
    <t>013345</t>
  </si>
  <si>
    <t>08/07/1981</t>
  </si>
  <si>
    <t>TPWC INC</t>
  </si>
  <si>
    <t>017273</t>
  </si>
  <si>
    <t>011647</t>
  </si>
  <si>
    <t>03/09/1973</t>
  </si>
  <si>
    <t>POTTER VALLEY COMMUNITY PARKS AND RECREATION</t>
  </si>
  <si>
    <t>017025</t>
  </si>
  <si>
    <t>011593</t>
  </si>
  <si>
    <t>07/10/1973</t>
  </si>
  <si>
    <t>JOHN J BAZZANO</t>
  </si>
  <si>
    <t>016985</t>
  </si>
  <si>
    <t>011351</t>
  </si>
  <si>
    <t>11/16/1973</t>
  </si>
  <si>
    <t>016839</t>
  </si>
  <si>
    <t>011167</t>
  </si>
  <si>
    <t>05/06/1975</t>
  </si>
  <si>
    <t>TERRY  PUTNAM</t>
  </si>
  <si>
    <t>016882</t>
  </si>
  <si>
    <t>011797</t>
  </si>
  <si>
    <t>08/08/1975</t>
  </si>
  <si>
    <t>DAVID  GATES</t>
  </si>
  <si>
    <t>017149A</t>
  </si>
  <si>
    <t>012890</t>
  </si>
  <si>
    <t>01/10/1984</t>
  </si>
  <si>
    <t>JS CAPITAL MANAGEMENT - SAUSAL LANE LLC</t>
  </si>
  <si>
    <t>017168</t>
  </si>
  <si>
    <t>012715</t>
  </si>
  <si>
    <t>10/14/1975</t>
  </si>
  <si>
    <t>JULIA  ANN BURNETT</t>
  </si>
  <si>
    <t>017178</t>
  </si>
  <si>
    <t>011447</t>
  </si>
  <si>
    <t>10/21/1975</t>
  </si>
  <si>
    <t>JANE  MISSAMORE</t>
  </si>
  <si>
    <t>Oat Valley Creek-Russian River</t>
  </si>
  <si>
    <t>017296</t>
  </si>
  <si>
    <t>011456</t>
  </si>
  <si>
    <t>10/29/1975</t>
  </si>
  <si>
    <t>CHRISTOPHER SCOTT HALL</t>
  </si>
  <si>
    <t>016916</t>
  </si>
  <si>
    <t>011419</t>
  </si>
  <si>
    <t>02/27/1976</t>
  </si>
  <si>
    <t>HOWARD B ALLEN</t>
  </si>
  <si>
    <t>016909</t>
  </si>
  <si>
    <t>011344</t>
  </si>
  <si>
    <t>EDWARD MCKINLEY READ</t>
  </si>
  <si>
    <t>016912</t>
  </si>
  <si>
    <t>011342</t>
  </si>
  <si>
    <t>07/21/1976</t>
  </si>
  <si>
    <t>GARY V ARABIAN</t>
  </si>
  <si>
    <t>015864</t>
  </si>
  <si>
    <t>010184</t>
  </si>
  <si>
    <t>01/21/1969</t>
  </si>
  <si>
    <t>Robert W Magruder Jr.</t>
  </si>
  <si>
    <t>Lake Mendocino-East Fork Russian River</t>
  </si>
  <si>
    <t>016095</t>
  </si>
  <si>
    <t>010339</t>
  </si>
  <si>
    <t>08/14/1969</t>
  </si>
  <si>
    <t>MARILYN  JOHNSON</t>
  </si>
  <si>
    <t>016143</t>
  </si>
  <si>
    <t>011555</t>
  </si>
  <si>
    <t>09/11/1970</t>
  </si>
  <si>
    <t>PETE  LUCCHESI</t>
  </si>
  <si>
    <t>016208</t>
  </si>
  <si>
    <t>010854</t>
  </si>
  <si>
    <t>10/14/1970</t>
  </si>
  <si>
    <t>EUGENE J M MCFADDEN</t>
  </si>
  <si>
    <t>016226</t>
  </si>
  <si>
    <t>010750</t>
  </si>
  <si>
    <t>01/13/1971</t>
  </si>
  <si>
    <t>RICHARD L RUDDICK</t>
  </si>
  <si>
    <t>016263</t>
  </si>
  <si>
    <t>010793</t>
  </si>
  <si>
    <t>02/23/1971</t>
  </si>
  <si>
    <t>EVELYN  J. SILVA</t>
  </si>
  <si>
    <t>016384</t>
  </si>
  <si>
    <t>010863</t>
  </si>
  <si>
    <t>05/28/1971</t>
  </si>
  <si>
    <t>JASON  ZUMALT</t>
  </si>
  <si>
    <t>016468</t>
  </si>
  <si>
    <t>010896</t>
  </si>
  <si>
    <t>06/29/1971</t>
  </si>
  <si>
    <t>MILLVIEW COUNTY WATER DISTRICT</t>
  </si>
  <si>
    <t>020070</t>
  </si>
  <si>
    <t>013146</t>
  </si>
  <si>
    <t>12/03/1985</t>
  </si>
  <si>
    <t>JAMES A BEATTY</t>
  </si>
  <si>
    <t>020010</t>
  </si>
  <si>
    <t>013067</t>
  </si>
  <si>
    <t>12/04/1985</t>
  </si>
  <si>
    <t>DEBORAH  MCLEAR-GARY</t>
  </si>
  <si>
    <t>020090</t>
  </si>
  <si>
    <t>013137</t>
  </si>
  <si>
    <t>06/09/1986</t>
  </si>
  <si>
    <t>DENNIS P MURPHY</t>
  </si>
  <si>
    <t>A030182</t>
  </si>
  <si>
    <t>Cancelled</t>
  </si>
  <si>
    <t>03/16/1998</t>
  </si>
  <si>
    <t>E &amp; J GALLO WINERY</t>
  </si>
  <si>
    <t>017308</t>
  </si>
  <si>
    <t>011658</t>
  </si>
  <si>
    <t>11/23/1976</t>
  </si>
  <si>
    <t>ERIC K ZIMMERMAN</t>
  </si>
  <si>
    <t>017444</t>
  </si>
  <si>
    <t>011533</t>
  </si>
  <si>
    <t>03/13/1978</t>
  </si>
  <si>
    <t>020299</t>
  </si>
  <si>
    <t>013302</t>
  </si>
  <si>
    <t>06/04/1987</t>
  </si>
  <si>
    <t>HANS FAHDEN VINEYARDS</t>
  </si>
  <si>
    <t>020296</t>
  </si>
  <si>
    <t>013228</t>
  </si>
  <si>
    <t>06/21/1988</t>
  </si>
  <si>
    <t>ALLAN   HENDERSON</t>
  </si>
  <si>
    <t>020526</t>
  </si>
  <si>
    <t>013681</t>
  </si>
  <si>
    <t>11/28/2006</t>
  </si>
  <si>
    <t>EDWARD  NELSON</t>
  </si>
  <si>
    <t>020567</t>
  </si>
  <si>
    <t>013691</t>
  </si>
  <si>
    <t>12/19/2006</t>
  </si>
  <si>
    <t>A030518</t>
  </si>
  <si>
    <t>07/10/2006</t>
  </si>
  <si>
    <t>CALPINE GEYSERS COMPANY LP</t>
  </si>
  <si>
    <t>A030788</t>
  </si>
  <si>
    <t>01/17/2006</t>
  </si>
  <si>
    <t>WILLIAMS SELYEM LLC</t>
  </si>
  <si>
    <t>X003152</t>
  </si>
  <si>
    <t>01/16/2001</t>
  </si>
  <si>
    <t>X003574</t>
  </si>
  <si>
    <t>08/04/2003</t>
  </si>
  <si>
    <t>HENRY S DAKIN</t>
  </si>
  <si>
    <t>A011769</t>
  </si>
  <si>
    <t>006883</t>
  </si>
  <si>
    <t>006356</t>
  </si>
  <si>
    <t>Revoked</t>
  </si>
  <si>
    <t>10/26/2001</t>
  </si>
  <si>
    <t>AGGIO DAIRY, INC</t>
  </si>
  <si>
    <t>A012193</t>
  </si>
  <si>
    <t>007208</t>
  </si>
  <si>
    <t>005168</t>
  </si>
  <si>
    <t>08/06/2002</t>
  </si>
  <si>
    <t>A025826B</t>
  </si>
  <si>
    <t>017833B</t>
  </si>
  <si>
    <t>07/27/2005</t>
  </si>
  <si>
    <t>S011419</t>
  </si>
  <si>
    <t>Statement of Div and Use</t>
  </si>
  <si>
    <t>Inactive</t>
  </si>
  <si>
    <t>07/27/1999</t>
  </si>
  <si>
    <t>D030105</t>
  </si>
  <si>
    <t>000134</t>
  </si>
  <si>
    <t>Registration Domestic</t>
  </si>
  <si>
    <t>10/09/2003</t>
  </si>
  <si>
    <t>CINDY  NEVINS</t>
  </si>
  <si>
    <t>E000024</t>
  </si>
  <si>
    <t>Cert of Right - Power</t>
  </si>
  <si>
    <t>Certified</t>
  </si>
  <si>
    <t>02/25/1988</t>
  </si>
  <si>
    <t>WALTER  HAMMEKEN</t>
  </si>
  <si>
    <t>000671</t>
  </si>
  <si>
    <t>Registered</t>
  </si>
  <si>
    <t>04/04/2005</t>
  </si>
  <si>
    <t>PHILIP C TERRIBILINI</t>
  </si>
  <si>
    <t>Upper Laguna De Santa Rosa</t>
  </si>
  <si>
    <t>000663</t>
  </si>
  <si>
    <t>02/14/2005</t>
  </si>
  <si>
    <t>CAROL  MARRINGTON</t>
  </si>
  <si>
    <t>000686</t>
  </si>
  <si>
    <t>08/09/2005</t>
  </si>
  <si>
    <t>Christine  Schantz</t>
  </si>
  <si>
    <t>000699</t>
  </si>
  <si>
    <t>01/10/2006</t>
  </si>
  <si>
    <t>CURTIS R REICHERT</t>
  </si>
  <si>
    <t>000062</t>
  </si>
  <si>
    <t>Registration Livestock</t>
  </si>
  <si>
    <t>12/21/2005</t>
  </si>
  <si>
    <t>JAMES  TONG</t>
  </si>
  <si>
    <t>000077</t>
  </si>
  <si>
    <t>03/29/2006</t>
  </si>
  <si>
    <t>JEAN  THOMAS</t>
  </si>
  <si>
    <t>Ackerman Creek</t>
  </si>
  <si>
    <t>000080</t>
  </si>
  <si>
    <t>05/22/2006</t>
  </si>
  <si>
    <t>ROBERT  PIETRUSIEWICZ</t>
  </si>
  <si>
    <t>002935</t>
  </si>
  <si>
    <t>Stockpond</t>
  </si>
  <si>
    <t>01/03/1978</t>
  </si>
  <si>
    <t>REDWOOD MOUNTAIN RANCH</t>
  </si>
  <si>
    <t>005163</t>
  </si>
  <si>
    <t>12/22/1997</t>
  </si>
  <si>
    <t>MIDDLERIDGE VINEYARDS</t>
  </si>
  <si>
    <t>000236</t>
  </si>
  <si>
    <t>06/07/2004</t>
  </si>
  <si>
    <t>RONALD  HELOW</t>
  </si>
  <si>
    <t>Claimed</t>
  </si>
  <si>
    <t>11/21/1983</t>
  </si>
  <si>
    <t>Jerry W Reedy</t>
  </si>
  <si>
    <t>01/06/2004</t>
  </si>
  <si>
    <t>01/07/2004</t>
  </si>
  <si>
    <t>01/08/2004</t>
  </si>
  <si>
    <t>J ROCHIOLI VINEYARDS AND WINERY LLC</t>
  </si>
  <si>
    <t>01/14/2004</t>
  </si>
  <si>
    <t>MILOVINA BROTHERS</t>
  </si>
  <si>
    <t>02/20/2004</t>
  </si>
  <si>
    <t>02/19/2004</t>
  </si>
  <si>
    <t>02/04/2002</t>
  </si>
  <si>
    <t>07/15/2002</t>
  </si>
  <si>
    <t>FOLEY FAMILY WINES DBA FOLEY SONOMA</t>
  </si>
  <si>
    <t>01/26/2004</t>
  </si>
  <si>
    <t>MLJ HOLDINGS LLC</t>
  </si>
  <si>
    <t>04/15/2005</t>
  </si>
  <si>
    <t>Lile Family Vineyard LLC</t>
  </si>
  <si>
    <t>05/02/2005</t>
  </si>
  <si>
    <t>SAMUEL A VENA</t>
  </si>
  <si>
    <t>11/06/1992</t>
  </si>
  <si>
    <t>ALLENE HANSEN PICARDI</t>
  </si>
  <si>
    <t>03/25/2005</t>
  </si>
  <si>
    <t>NATHAN  BUTI</t>
  </si>
  <si>
    <t>03/30/2005</t>
  </si>
  <si>
    <t>ALEXANDER  NIEHENKE</t>
  </si>
  <si>
    <t>07/27/2006</t>
  </si>
  <si>
    <t>CASEY  CAPLINGER</t>
  </si>
  <si>
    <t>01/01/1971</t>
  </si>
  <si>
    <t>08/04/1993</t>
  </si>
  <si>
    <t>FOLEY FAMILY FARMS LP</t>
  </si>
  <si>
    <t>08/10/1993</t>
  </si>
  <si>
    <t>CONSTELLATION BRANDS US OPERATIONS INC</t>
  </si>
  <si>
    <t>BEAR AND TIGER PARTNERS LLC</t>
  </si>
  <si>
    <t>SILVERADO SONOMA VINEYARDS LLC</t>
  </si>
  <si>
    <t>08/05/1994</t>
  </si>
  <si>
    <t>ELIZA H RICKARDS</t>
  </si>
  <si>
    <t>01/01/1975</t>
  </si>
  <si>
    <t>JAMES  PEDRONCELLI</t>
  </si>
  <si>
    <t>08/19/1976</t>
  </si>
  <si>
    <t>B-X Ranch Inc.</t>
  </si>
  <si>
    <t>01/29/1998</t>
  </si>
  <si>
    <t>FREY VINEYARD LTD</t>
  </si>
  <si>
    <t>03/19/1998</t>
  </si>
  <si>
    <t>03/23/1998</t>
  </si>
  <si>
    <t>US VITICULTURE FARMLAND LLC</t>
  </si>
  <si>
    <t>07/03/1998</t>
  </si>
  <si>
    <t>SANTA ANGELINA LLC</t>
  </si>
  <si>
    <t>08/12/1998</t>
  </si>
  <si>
    <t>MORENO &amp; COMPANY</t>
  </si>
  <si>
    <t>02/10/1999</t>
  </si>
  <si>
    <t>ROBERT  ROSETTI</t>
  </si>
  <si>
    <t>06/13/1977</t>
  </si>
  <si>
    <t>10/21/2001</t>
  </si>
  <si>
    <t>Beckstoffer Vineyards</t>
  </si>
  <si>
    <t>01/01/1973</t>
  </si>
  <si>
    <t>BILL  ROVERA</t>
  </si>
  <si>
    <t>12/22/2000</t>
  </si>
  <si>
    <t>DERMOT  BOURKE</t>
  </si>
  <si>
    <t>11/08/2002</t>
  </si>
  <si>
    <t>12/27/1985</t>
  </si>
  <si>
    <t>US BUREAU OF LAND MANAGEMENT, UKIAH FIELD OFFICE</t>
  </si>
  <si>
    <t>12/01/1975</t>
  </si>
  <si>
    <t>H &amp; W VINEYARDS</t>
  </si>
  <si>
    <t>05/30/1979</t>
  </si>
  <si>
    <t>019515</t>
  </si>
  <si>
    <t>013791</t>
  </si>
  <si>
    <t>05/27/2009</t>
  </si>
  <si>
    <t>SWEETWATER SPRINGS WATER DISTRICT</t>
  </si>
  <si>
    <t>11/17/2005</t>
  </si>
  <si>
    <t>S008158</t>
  </si>
  <si>
    <t>07/24/2014</t>
  </si>
  <si>
    <t>NEW EDUCATION DEVELOPMENT SYSTEMS INC</t>
  </si>
  <si>
    <t>07/01/2014</t>
  </si>
  <si>
    <t>016731</t>
  </si>
  <si>
    <t>013388</t>
  </si>
  <si>
    <t>09/10/1998</t>
  </si>
  <si>
    <t>MILOVINA VINEYARDS</t>
  </si>
  <si>
    <t>020706</t>
  </si>
  <si>
    <t>013755</t>
  </si>
  <si>
    <t>02/28/2008</t>
  </si>
  <si>
    <t>JAMES R KRECK</t>
  </si>
  <si>
    <t>S004748</t>
  </si>
  <si>
    <t>07/30/2008</t>
  </si>
  <si>
    <t>BUD  NAHMENS</t>
  </si>
  <si>
    <t>S007906</t>
  </si>
  <si>
    <t>GENEVIEVE T MALMSTROM</t>
  </si>
  <si>
    <t>S008741</t>
  </si>
  <si>
    <t>04/27/2006</t>
  </si>
  <si>
    <t>TOMMY L MCKAY</t>
  </si>
  <si>
    <t>Robinson Creek</t>
  </si>
  <si>
    <t>000754</t>
  </si>
  <si>
    <t>11/07/2008</t>
  </si>
  <si>
    <t>08/15/2006</t>
  </si>
  <si>
    <t>LAMBERT BRIDGE WINERY</t>
  </si>
  <si>
    <t>10/23/2008</t>
  </si>
  <si>
    <t>Bevill Family Trust</t>
  </si>
  <si>
    <t>Borri Ranch</t>
  </si>
  <si>
    <t>12/15/1992</t>
  </si>
  <si>
    <t>FETZER VINEYARDS - CHALFANT RANCH</t>
  </si>
  <si>
    <t>12/01/2008</t>
  </si>
  <si>
    <t>KSSM LLC</t>
  </si>
  <si>
    <t>000095</t>
  </si>
  <si>
    <t>12/05/2008</t>
  </si>
  <si>
    <t>021231</t>
  </si>
  <si>
    <t>12/09/2008</t>
  </si>
  <si>
    <t>018594</t>
  </si>
  <si>
    <t>012404</t>
  </si>
  <si>
    <t>03/24/1989</t>
  </si>
  <si>
    <t>MASUT WINE COMPANY LLC</t>
  </si>
  <si>
    <t>S008424</t>
  </si>
  <si>
    <t>04/22/2009</t>
  </si>
  <si>
    <t>J P DIGRAZIA</t>
  </si>
  <si>
    <t>S015227</t>
  </si>
  <si>
    <t>04/29/2009</t>
  </si>
  <si>
    <t>TIMOTHY M WILLIAMS</t>
  </si>
  <si>
    <t>007094</t>
  </si>
  <si>
    <t>003646</t>
  </si>
  <si>
    <t>10/21/1952</t>
  </si>
  <si>
    <t>A030199</t>
  </si>
  <si>
    <t>021003</t>
  </si>
  <si>
    <t>09/30/2009</t>
  </si>
  <si>
    <t>RIVERVIEW II HOMEOWNERS ASSOCIATION</t>
  </si>
  <si>
    <t>02/28/2003</t>
  </si>
  <si>
    <t>MENDOCINO COUNTY RUSSIAN RIVER FC &amp; WCI DISTRICT</t>
  </si>
  <si>
    <t>06/29/2010</t>
  </si>
  <si>
    <t>000042</t>
  </si>
  <si>
    <t>10/15/2002</t>
  </si>
  <si>
    <t>JUDITH F NEWMAN TRUST</t>
  </si>
  <si>
    <t>03/10/2003</t>
  </si>
  <si>
    <t>Guy R Teran</t>
  </si>
  <si>
    <t>020587</t>
  </si>
  <si>
    <t>013832</t>
  </si>
  <si>
    <t>07/07/2011</t>
  </si>
  <si>
    <t>06/25/2010</t>
  </si>
  <si>
    <t>Dooley Creek</t>
  </si>
  <si>
    <t>11/16/2001</t>
  </si>
  <si>
    <t>M-R VINEYARD</t>
  </si>
  <si>
    <t>Dooley Creek, McNab Creek-Russian River</t>
  </si>
  <si>
    <t>GOLDEN REAL ESTATE LLC</t>
  </si>
  <si>
    <t>07/01/2010</t>
  </si>
  <si>
    <t>Black Dry Creek Ranch LLC</t>
  </si>
  <si>
    <t>07/27/2010</t>
  </si>
  <si>
    <t>KENNETH  TODD</t>
  </si>
  <si>
    <t>000192</t>
  </si>
  <si>
    <t>05/12/1993</t>
  </si>
  <si>
    <t>ANDREW   BAROWSKY</t>
  </si>
  <si>
    <t>S013963</t>
  </si>
  <si>
    <t>05/14/2008</t>
  </si>
  <si>
    <t>SANDRA  LEARNED</t>
  </si>
  <si>
    <t>A029381</t>
  </si>
  <si>
    <t>12/14/1988</t>
  </si>
  <si>
    <t>TREASURY WINE ESTATES</t>
  </si>
  <si>
    <t>Valhall Vineyards</t>
  </si>
  <si>
    <t>013615</t>
  </si>
  <si>
    <t>008077</t>
  </si>
  <si>
    <t>05/01/1967</t>
  </si>
  <si>
    <t>000026</t>
  </si>
  <si>
    <t>10/30/1989</t>
  </si>
  <si>
    <t>Wacom Corporation</t>
  </si>
  <si>
    <t>A014997</t>
  </si>
  <si>
    <t>009295</t>
  </si>
  <si>
    <t>004777</t>
  </si>
  <si>
    <t>11/27/2002</t>
  </si>
  <si>
    <t>JOHN E FETZER</t>
  </si>
  <si>
    <t>05/19/2010</t>
  </si>
  <si>
    <t>MICHAEL L HILDRETH</t>
  </si>
  <si>
    <t>A029715</t>
  </si>
  <si>
    <t>11/29/2007</t>
  </si>
  <si>
    <t>Ferrari-Carano Vineyards &amp; Winery, LLC</t>
  </si>
  <si>
    <t>06/08/2010</t>
  </si>
  <si>
    <t>ROGER M MCDERMOTT</t>
  </si>
  <si>
    <t>03/26/2010</t>
  </si>
  <si>
    <t>04/29/2010</t>
  </si>
  <si>
    <t>Jim  D Nelson</t>
  </si>
  <si>
    <t>02/25/1998</t>
  </si>
  <si>
    <t>ANNA LEE MCDERMOTT</t>
  </si>
  <si>
    <t>020699</t>
  </si>
  <si>
    <t>01/12/1994</t>
  </si>
  <si>
    <t>Deridere Aper Vinea, L.P.</t>
  </si>
  <si>
    <t>04/27/1998</t>
  </si>
  <si>
    <t>Five-Bar-S Ranch and Vineyards, Inc.</t>
  </si>
  <si>
    <t>000838</t>
  </si>
  <si>
    <t>05/02/2014</t>
  </si>
  <si>
    <t>Theodore M. Neal</t>
  </si>
  <si>
    <t>08/02/2012</t>
  </si>
  <si>
    <t>Ronald G Sutton</t>
  </si>
  <si>
    <t>Feliz Creek</t>
  </si>
  <si>
    <t>MENDOCINO COUNTY WATER AGENCY</t>
  </si>
  <si>
    <t>07/06/2010</t>
  </si>
  <si>
    <t>LEE  HOWARD</t>
  </si>
  <si>
    <t>L031648</t>
  </si>
  <si>
    <t>000086</t>
  </si>
  <si>
    <t>08/16/2012</t>
  </si>
  <si>
    <t>MARY T MURPHY</t>
  </si>
  <si>
    <t>A029998</t>
  </si>
  <si>
    <t>021113</t>
  </si>
  <si>
    <t>11/23/2011</t>
  </si>
  <si>
    <t>LISA  CARR</t>
  </si>
  <si>
    <t>020810</t>
  </si>
  <si>
    <t>013847</t>
  </si>
  <si>
    <t>01/25/2012</t>
  </si>
  <si>
    <t>YORK CREEK VINEYARDS</t>
  </si>
  <si>
    <t>UN000254</t>
  </si>
  <si>
    <t>Not Determined</t>
  </si>
  <si>
    <t>Active</t>
  </si>
  <si>
    <t>11/07/2012</t>
  </si>
  <si>
    <t>Kirk  Schutz</t>
  </si>
  <si>
    <t>A024887</t>
  </si>
  <si>
    <t>017170</t>
  </si>
  <si>
    <t>011493</t>
  </si>
  <si>
    <t>10/15/2012</t>
  </si>
  <si>
    <t>BEKKER FAMILY TRUST</t>
  </si>
  <si>
    <t>06/28/2011</t>
  </si>
  <si>
    <t>SORACCO FAMILY VINEYARDS LLC</t>
  </si>
  <si>
    <t>06/30/2010</t>
  </si>
  <si>
    <t>ROBERT YOUNG FAMILY LIMITED PARTNERSHIP - HOME RANCH</t>
  </si>
  <si>
    <t>GRAZIANO VINEYARDS</t>
  </si>
  <si>
    <t>000152</t>
  </si>
  <si>
    <t>04/23/2013</t>
  </si>
  <si>
    <t>FOUNTAIN RANCH LLC</t>
  </si>
  <si>
    <t>021322</t>
  </si>
  <si>
    <t>12/17/2012</t>
  </si>
  <si>
    <t>AUSTIN ACRES MUTUAL WATER COMPANY</t>
  </si>
  <si>
    <t>08/17/2012</t>
  </si>
  <si>
    <t>F.KORBEL AND BROS., INC.</t>
  </si>
  <si>
    <t>017369B</t>
  </si>
  <si>
    <t>013873</t>
  </si>
  <si>
    <t>04/12/2013</t>
  </si>
  <si>
    <t>HERITAGE VINEYARD COMPANY</t>
  </si>
  <si>
    <t>07/02/2010</t>
  </si>
  <si>
    <t>Thornton Pear Ranch, Inc.</t>
  </si>
  <si>
    <t>S015625</t>
  </si>
  <si>
    <t>08/01/2011</t>
  </si>
  <si>
    <t>CREEKBRIDGE HOMES LP</t>
  </si>
  <si>
    <t>08/27/2012</t>
  </si>
  <si>
    <t>ASMA  STEWART</t>
  </si>
  <si>
    <t>05/28/2013</t>
  </si>
  <si>
    <t>BRAD  PRESCOTT</t>
  </si>
  <si>
    <t>Pieta Creek</t>
  </si>
  <si>
    <t>000129</t>
  </si>
  <si>
    <t>04/21/1992</t>
  </si>
  <si>
    <t>COREY MANNING</t>
  </si>
  <si>
    <t>000001</t>
  </si>
  <si>
    <t>Registration Irrigation</t>
  </si>
  <si>
    <t>10/04/2013</t>
  </si>
  <si>
    <t>FELIZ CREEK VINEYARDS LLC</t>
  </si>
  <si>
    <t>S019815</t>
  </si>
  <si>
    <t>10/16/2013</t>
  </si>
  <si>
    <t>OMNIUM ESTATES</t>
  </si>
  <si>
    <t>07/07/2010</t>
  </si>
  <si>
    <t>DUTTON RANCH FAMILY LIMITED PARTNERSHIP</t>
  </si>
  <si>
    <t>06/28/2010</t>
  </si>
  <si>
    <t>MURPHY VINEYARDS</t>
  </si>
  <si>
    <t>06/30/2011</t>
  </si>
  <si>
    <t>SIMON LIMITED PARTNERSHIP</t>
  </si>
  <si>
    <t>016428</t>
  </si>
  <si>
    <t>010920</t>
  </si>
  <si>
    <t>06/13/1979</t>
  </si>
  <si>
    <t>MCDOWELL VALLEY FARMING LLC</t>
  </si>
  <si>
    <t>A031617</t>
  </si>
  <si>
    <t>10/03/2013</t>
  </si>
  <si>
    <t>KENNETH L KAHN &amp; CHERYL W KAHN TRUST</t>
  </si>
  <si>
    <t>S014532</t>
  </si>
  <si>
    <t>11/14/2013</t>
  </si>
  <si>
    <t>CARL  POMPEI</t>
  </si>
  <si>
    <t>DELLA  FALONI</t>
  </si>
  <si>
    <t>06/22/2011</t>
  </si>
  <si>
    <t>12/02/2011</t>
  </si>
  <si>
    <t>FELIZ CREEK VINEYARDS LLC C/O WENDY FETZER</t>
  </si>
  <si>
    <t>S016784</t>
  </si>
  <si>
    <t>03/21/2013</t>
  </si>
  <si>
    <t>S019233</t>
  </si>
  <si>
    <t>03/25/2013</t>
  </si>
  <si>
    <t>A. RAFANELLI WINERY AND VINEYARDS</t>
  </si>
  <si>
    <t>020474</t>
  </si>
  <si>
    <t>013845</t>
  </si>
  <si>
    <t>12/19/2011</t>
  </si>
  <si>
    <t>RICHARD  ANDOLSEN</t>
  </si>
  <si>
    <t>Thomas   Passalacqua</t>
  </si>
  <si>
    <t>04/09/2009</t>
  </si>
  <si>
    <t>Silverado Sonoma Vineyards, LLC Mirabella Ranch #61</t>
  </si>
  <si>
    <t>05/01/2012</t>
  </si>
  <si>
    <t>Cheryl  La Franchi</t>
  </si>
  <si>
    <t>06/23/2010</t>
  </si>
  <si>
    <t>BECKSTOFFER VINEYARDS</t>
  </si>
  <si>
    <t>JULIA A SIMPSON</t>
  </si>
  <si>
    <t>01/14/2011</t>
  </si>
  <si>
    <t>HDD LLC</t>
  </si>
  <si>
    <t>000822</t>
  </si>
  <si>
    <t>11/26/2013</t>
  </si>
  <si>
    <t>WARNECKE RANCH &amp; VINEYARD, LIMITED PARTNERSHIP</t>
  </si>
  <si>
    <t>UN000255</t>
  </si>
  <si>
    <t>Closed</t>
  </si>
  <si>
    <t>08/15/2013</t>
  </si>
  <si>
    <t>Nancy   DeVincenzi (TTEE)</t>
  </si>
  <si>
    <t>09/11/2012</t>
  </si>
  <si>
    <t>CRIMSON WINE GROUP LTD.</t>
  </si>
  <si>
    <t>A024359A</t>
  </si>
  <si>
    <t>017896A</t>
  </si>
  <si>
    <t>011793</t>
  </si>
  <si>
    <t>09/09/2011</t>
  </si>
  <si>
    <t>MENDOCINO WINE GROUP LLC</t>
  </si>
  <si>
    <t>FRANK JOHNSON VINEYARDS</t>
  </si>
  <si>
    <t>CONSTELLATION MCCUTCHAN RANCH</t>
  </si>
  <si>
    <t>S016766</t>
  </si>
  <si>
    <t>05/22/2013</t>
  </si>
  <si>
    <t>BARRY  HOFFNER</t>
  </si>
  <si>
    <t>S015875</t>
  </si>
  <si>
    <t>08/29/2011</t>
  </si>
  <si>
    <t>ROGER  BEKKER</t>
  </si>
  <si>
    <t>Adriana  Dakin</t>
  </si>
  <si>
    <t>000139</t>
  </si>
  <si>
    <t>01/11/2012</t>
  </si>
  <si>
    <t>MENDOCINO COLLEGE FOUNDATION</t>
  </si>
  <si>
    <t>01/16/2013</t>
  </si>
  <si>
    <t>SILVERADO SONOMA VINEYARDS, LLC - RANCHO ALEXANDER #83</t>
  </si>
  <si>
    <t>DAVID F AND DENNA L FALONI TRUST</t>
  </si>
  <si>
    <t>SUSAN  JOHNSON</t>
  </si>
  <si>
    <t>09/22/2015</t>
  </si>
  <si>
    <t>GREGORY  MAHRER</t>
  </si>
  <si>
    <t>02/21/1992</t>
  </si>
  <si>
    <t>FIORE  MARCHESCHI</t>
  </si>
  <si>
    <t>06/19/2013</t>
  </si>
  <si>
    <t>DAVID  DRYSDALE</t>
  </si>
  <si>
    <t>S023471</t>
  </si>
  <si>
    <t>01/13/2014</t>
  </si>
  <si>
    <t>RICHARD  LAMALFA</t>
  </si>
  <si>
    <t>06/19/2007</t>
  </si>
  <si>
    <t>CAZADERO WATER COMPANY</t>
  </si>
  <si>
    <t>06/30/2014</t>
  </si>
  <si>
    <t>THOMAS  KILLEBREW</t>
  </si>
  <si>
    <t>S014773</t>
  </si>
  <si>
    <t>03/20/2015</t>
  </si>
  <si>
    <t>JAMES  STAUB</t>
  </si>
  <si>
    <t>10/16/2015</t>
  </si>
  <si>
    <t>Mary Marny Kassebohm</t>
  </si>
  <si>
    <t>L031450</t>
  </si>
  <si>
    <t>000050</t>
  </si>
  <si>
    <t>05/06/2014</t>
  </si>
  <si>
    <t>SONOMA COUNTY AGRICULTURAL PRESERVATION AND OPEN SPACE DISTRICT</t>
  </si>
  <si>
    <t>021201</t>
  </si>
  <si>
    <t>05/16/2007</t>
  </si>
  <si>
    <t>012691</t>
  </si>
  <si>
    <t>007565</t>
  </si>
  <si>
    <t>03/07/1966</t>
  </si>
  <si>
    <t>ROBERT YOUNG FAMILY LIMITED PARTNERSHIP</t>
  </si>
  <si>
    <t>UN000817</t>
  </si>
  <si>
    <t>07/11/2013</t>
  </si>
  <si>
    <t>Occidental County Sanitation District</t>
  </si>
  <si>
    <t>013059</t>
  </si>
  <si>
    <t>11/24/1961</t>
  </si>
  <si>
    <t>CITY OF HEALDSBURG - FITCH MOUNTAIN</t>
  </si>
  <si>
    <t>02/19/2014</t>
  </si>
  <si>
    <t>MILES  JONES</t>
  </si>
  <si>
    <t>A003402</t>
  </si>
  <si>
    <t>001530</t>
  </si>
  <si>
    <t>000479</t>
  </si>
  <si>
    <t>03/07/2017</t>
  </si>
  <si>
    <t>L D SUTHERLAND</t>
  </si>
  <si>
    <t>07/22/2016</t>
  </si>
  <si>
    <t>HARRY  HOFLAND</t>
  </si>
  <si>
    <t>05/20/2016</t>
  </si>
  <si>
    <t>KOPF VINEYARDS LLC</t>
  </si>
  <si>
    <t>000068A</t>
  </si>
  <si>
    <t>12/03/2015</t>
  </si>
  <si>
    <t>08/18/2016</t>
  </si>
  <si>
    <t>EUGENE  CAHN</t>
  </si>
  <si>
    <t>01/15/2016</t>
  </si>
  <si>
    <t>10/13/2016</t>
  </si>
  <si>
    <t>JOHN P CROCKER</t>
  </si>
  <si>
    <t>S023511</t>
  </si>
  <si>
    <t>03/02/2016</t>
  </si>
  <si>
    <t>WINDSOR OAKS ASSOCIATES</t>
  </si>
  <si>
    <t>A030688</t>
  </si>
  <si>
    <t>03/22/2018</t>
  </si>
  <si>
    <t>Klein Foods, Inc. - Wild Oaks Vineyard</t>
  </si>
  <si>
    <t>S015814</t>
  </si>
  <si>
    <t>10/22/2018</t>
  </si>
  <si>
    <t>ROBERT  LEACH</t>
  </si>
  <si>
    <t>S019325</t>
  </si>
  <si>
    <t>03/01/2018</t>
  </si>
  <si>
    <t>DOLAN &amp; SON LLC</t>
  </si>
  <si>
    <t>06/29/2017</t>
  </si>
  <si>
    <t>ROGER  WHEELER</t>
  </si>
  <si>
    <t>09/29/2017</t>
  </si>
  <si>
    <t>EDWARD  KOZEL</t>
  </si>
  <si>
    <t>05/21/2018</t>
  </si>
  <si>
    <t>DAVID  BOWERS</t>
  </si>
  <si>
    <t>S022829</t>
  </si>
  <si>
    <t>08/06/2018</t>
  </si>
  <si>
    <t>PETER  BRADFORD</t>
  </si>
  <si>
    <t>S021988</t>
  </si>
  <si>
    <t>04/25/2019</t>
  </si>
  <si>
    <t>JACKSON FAMILY ESTATE I LLC</t>
  </si>
  <si>
    <t>100174</t>
  </si>
  <si>
    <t>Registration Cannabis</t>
  </si>
  <si>
    <t>07/23/2018</t>
  </si>
  <si>
    <t>ANATOLIY  KRESHCHENOVSKIY</t>
  </si>
  <si>
    <t>10/31/2017</t>
  </si>
  <si>
    <t>SHAWN  STARK</t>
  </si>
  <si>
    <t>100129</t>
  </si>
  <si>
    <t>07/03/2018</t>
  </si>
  <si>
    <t>CLIFFORD D MORFORD</t>
  </si>
  <si>
    <t>001150</t>
  </si>
  <si>
    <t>10/17/2018</t>
  </si>
  <si>
    <t>JEROME   COUCH</t>
  </si>
  <si>
    <t>06/30/2017</t>
  </si>
  <si>
    <t>ZACHARY  ALLEN</t>
  </si>
  <si>
    <t>100179</t>
  </si>
  <si>
    <t>07/26/2018</t>
  </si>
  <si>
    <t>STEVIE  RUGGLES</t>
  </si>
  <si>
    <t>001205</t>
  </si>
  <si>
    <t>07/11/2019</t>
  </si>
  <si>
    <t>WILLIAM L KNIGHT</t>
  </si>
  <si>
    <t>Cold Creek</t>
  </si>
  <si>
    <t>ERIC  IDARIUS</t>
  </si>
  <si>
    <t>07/23/2019</t>
  </si>
  <si>
    <t>BARBARA  SMOAK</t>
  </si>
  <si>
    <t>06/27/2017</t>
  </si>
  <si>
    <t>RYAN  ACOSTA</t>
  </si>
  <si>
    <t>06/28/2017</t>
  </si>
  <si>
    <t>JONATHAN  WENTZEL</t>
  </si>
  <si>
    <t>100429</t>
  </si>
  <si>
    <t>02/13/2019</t>
  </si>
  <si>
    <t>MICHAEL  HEDGES-ZAMAGNI</t>
  </si>
  <si>
    <t>S026714</t>
  </si>
  <si>
    <t>07/02/2020</t>
  </si>
  <si>
    <t>SHANE MICHAEL THOMAS</t>
  </si>
  <si>
    <t>02/03/2020</t>
  </si>
  <si>
    <t>BARBARA R BANKE</t>
  </si>
  <si>
    <t>Franz Creek, Maacama Creek</t>
  </si>
  <si>
    <t>S022970</t>
  </si>
  <si>
    <t>10/25/2012</t>
  </si>
  <si>
    <t>JACQUELINE DEVINCENZI BELLEROSE</t>
  </si>
  <si>
    <t>000950</t>
  </si>
  <si>
    <t>02/28/2018</t>
  </si>
  <si>
    <t>DAVID WILLIAM SCHWARZENBERG</t>
  </si>
  <si>
    <t>06/16/2017</t>
  </si>
  <si>
    <t>SEAN PHILIP CRAMBLETT</t>
  </si>
  <si>
    <t>04/14/2020</t>
  </si>
  <si>
    <t>SOREN  GREGSON</t>
  </si>
  <si>
    <t>S027075</t>
  </si>
  <si>
    <t>08/28/2017</t>
  </si>
  <si>
    <t>ROBERT  NEGOESCO</t>
  </si>
  <si>
    <t>000280</t>
  </si>
  <si>
    <t>Richard A Fetzer</t>
  </si>
  <si>
    <t>010422</t>
  </si>
  <si>
    <t>005879</t>
  </si>
  <si>
    <t>11/17/1959</t>
  </si>
  <si>
    <t>13145 HWY 128 LLC</t>
  </si>
  <si>
    <t>S023850</t>
  </si>
  <si>
    <t>08/10/2020</t>
  </si>
  <si>
    <t>Peter  Gruchawka</t>
  </si>
  <si>
    <t>S023852</t>
  </si>
  <si>
    <t>MICHAEL  JACQUET</t>
  </si>
  <si>
    <t>ANDREW  OLDFIELD</t>
  </si>
  <si>
    <t>000980</t>
  </si>
  <si>
    <t>11/01/2017</t>
  </si>
  <si>
    <t>ALDEN PARK VINEYARD LP</t>
  </si>
  <si>
    <t>11/26/2018</t>
  </si>
  <si>
    <t>013956</t>
  </si>
  <si>
    <t>008545</t>
  </si>
  <si>
    <t>05/04/2021</t>
  </si>
  <si>
    <t>MYRON  ZIMMERMAN</t>
  </si>
  <si>
    <t>S015604</t>
  </si>
  <si>
    <t>09/20/2018</t>
  </si>
  <si>
    <t>Far West Power Corp</t>
  </si>
  <si>
    <t>021386</t>
  </si>
  <si>
    <t>06/21/2018</t>
  </si>
  <si>
    <t>Michael  Mansfield</t>
  </si>
  <si>
    <t>021405</t>
  </si>
  <si>
    <t>HARRY AND KAREN  BOSWORTH</t>
  </si>
  <si>
    <t>S022810</t>
  </si>
  <si>
    <t>12/02/2020</t>
  </si>
  <si>
    <t>PEAR-A-DICE FARMS</t>
  </si>
  <si>
    <t>HOWARD  KRONBERG</t>
  </si>
  <si>
    <t>S022582</t>
  </si>
  <si>
    <t>02/27/2019</t>
  </si>
  <si>
    <t>NANCY  SKALL</t>
  </si>
  <si>
    <t>09/13/2021</t>
  </si>
  <si>
    <t>03/23/2022</t>
  </si>
  <si>
    <t>MARK H TRIONE</t>
  </si>
  <si>
    <t>D033272</t>
  </si>
  <si>
    <t>01/12/2022</t>
  </si>
  <si>
    <t>GUDRUN  ALLENSTEIN</t>
  </si>
  <si>
    <t>H506288</t>
  </si>
  <si>
    <t>Rejected</t>
  </si>
  <si>
    <t>RON  ANDREWS</t>
  </si>
  <si>
    <t>Fetzer Vineyards - Ledford Ranch</t>
  </si>
  <si>
    <t>02/01/2022</t>
  </si>
  <si>
    <t>05/06/2004</t>
  </si>
  <si>
    <t>12/18/1997</t>
  </si>
  <si>
    <t>JAMES F MCCUTCHAN JR</t>
  </si>
  <si>
    <t>05/20/1996</t>
  </si>
  <si>
    <t>06/27/2002</t>
  </si>
  <si>
    <t>021025</t>
  </si>
  <si>
    <t>08/15/1994</t>
  </si>
  <si>
    <t>SWEETWATER SPRINGS ROAD MUTUAL WATER COMPANY</t>
  </si>
  <si>
    <t>018652</t>
  </si>
  <si>
    <t>02/29/1980</t>
  </si>
  <si>
    <t>Lee P Martinelli</t>
  </si>
  <si>
    <t>018538B</t>
  </si>
  <si>
    <t>017055B</t>
  </si>
  <si>
    <t>01/07/1990</t>
  </si>
  <si>
    <t>MUNSELLE VINEYARDS LLC</t>
  </si>
  <si>
    <t>017149B</t>
  </si>
  <si>
    <t>017193A</t>
  </si>
  <si>
    <t>02/28/1990</t>
  </si>
  <si>
    <t>GEORGE L HELMHOLZ</t>
  </si>
  <si>
    <t>017667B</t>
  </si>
  <si>
    <t>07/16/1985</t>
  </si>
  <si>
    <t>LOUIS J FOPPIANO RANCHES INC</t>
  </si>
  <si>
    <t>020619</t>
  </si>
  <si>
    <t>06/15/1988</t>
  </si>
  <si>
    <t>020484</t>
  </si>
  <si>
    <t>02/28/1989</t>
  </si>
  <si>
    <t>020380</t>
  </si>
  <si>
    <t>12/05/1997</t>
  </si>
  <si>
    <t>John J Kilcullen</t>
  </si>
  <si>
    <t>020581</t>
  </si>
  <si>
    <t>03/07/1990</t>
  </si>
  <si>
    <t>004964</t>
  </si>
  <si>
    <t>002952</t>
  </si>
  <si>
    <t>05/17/1937</t>
  </si>
  <si>
    <t>005636</t>
  </si>
  <si>
    <t>003130</t>
  </si>
  <si>
    <t>11/27/1939</t>
  </si>
  <si>
    <t>SONOMA LAND TRUST</t>
  </si>
  <si>
    <t>020687</t>
  </si>
  <si>
    <t>Nolan  De Cuman</t>
  </si>
  <si>
    <t>020088</t>
  </si>
  <si>
    <t>09/28/2000</t>
  </si>
  <si>
    <t>MAGIC MOUNTAIN PROPERTY OWNERS ASSOC INC</t>
  </si>
  <si>
    <t>002428</t>
  </si>
  <si>
    <t>001598</t>
  </si>
  <si>
    <t>11/12/1925</t>
  </si>
  <si>
    <t>ORRS CREEK VINEYARDS LP</t>
  </si>
  <si>
    <t>010844</t>
  </si>
  <si>
    <t>008734</t>
  </si>
  <si>
    <t>02/21/1956</t>
  </si>
  <si>
    <t>THIA  KELLNER HILL</t>
  </si>
  <si>
    <t>010651</t>
  </si>
  <si>
    <t>008699</t>
  </si>
  <si>
    <t>03/21/1956</t>
  </si>
  <si>
    <t>Sausal Creek-Russian River, West Slough-Dry Creek</t>
  </si>
  <si>
    <t>009913</t>
  </si>
  <si>
    <t>005780</t>
  </si>
  <si>
    <t>06/07/1954</t>
  </si>
  <si>
    <t>SILVER EAGLE RANCH LLC</t>
  </si>
  <si>
    <t>010116</t>
  </si>
  <si>
    <t>005828</t>
  </si>
  <si>
    <t>12/28/1954</t>
  </si>
  <si>
    <t>Rosemarie   Rief</t>
  </si>
  <si>
    <t>010375</t>
  </si>
  <si>
    <t>007058</t>
  </si>
  <si>
    <t>10/10/1955</t>
  </si>
  <si>
    <t>WILLIAM J FREITAS</t>
  </si>
  <si>
    <t>014343</t>
  </si>
  <si>
    <t>009434</t>
  </si>
  <si>
    <t>10/17/1955</t>
  </si>
  <si>
    <t>Beckstoffer Vineyards XIV LLC</t>
  </si>
  <si>
    <t>007730</t>
  </si>
  <si>
    <t>004238</t>
  </si>
  <si>
    <t>03/03/1949</t>
  </si>
  <si>
    <t>007813</t>
  </si>
  <si>
    <t>005408A</t>
  </si>
  <si>
    <t>05/01/1987</t>
  </si>
  <si>
    <t>DANIEL MARTYN CROFOOT</t>
  </si>
  <si>
    <t>007859</t>
  </si>
  <si>
    <t>004453A01</t>
  </si>
  <si>
    <t>09/30/1998</t>
  </si>
  <si>
    <t>007875</t>
  </si>
  <si>
    <t>004450B</t>
  </si>
  <si>
    <t>08/08/1949</t>
  </si>
  <si>
    <t>007794</t>
  </si>
  <si>
    <t>007240</t>
  </si>
  <si>
    <t>08/09/1949</t>
  </si>
  <si>
    <t>VINIFERA ASSOCIATES</t>
  </si>
  <si>
    <t>008059</t>
  </si>
  <si>
    <t>007511</t>
  </si>
  <si>
    <t>11/21/1949</t>
  </si>
  <si>
    <t>008101</t>
  </si>
  <si>
    <t>005920</t>
  </si>
  <si>
    <t>008180</t>
  </si>
  <si>
    <t>004045</t>
  </si>
  <si>
    <t>04/26/1950</t>
  </si>
  <si>
    <t>POTTER VALLEY COMM UNIFIED SCH DISTRICT</t>
  </si>
  <si>
    <t>006611</t>
  </si>
  <si>
    <t>003102</t>
  </si>
  <si>
    <t>03/13/1946</t>
  </si>
  <si>
    <t>DENNIS M TUOHY</t>
  </si>
  <si>
    <t>006942</t>
  </si>
  <si>
    <t>003394</t>
  </si>
  <si>
    <t>05/07/1947</t>
  </si>
  <si>
    <t>MERNER LUMBER COMPANY</t>
  </si>
  <si>
    <t>014811</t>
  </si>
  <si>
    <t>010364</t>
  </si>
  <si>
    <t>11/10/1961</t>
  </si>
  <si>
    <t>DENNER RANCHES, INC</t>
  </si>
  <si>
    <t>Lower Laguna De Santa Rosa, Porter Creek-Mark West Creek</t>
  </si>
  <si>
    <t>013985</t>
  </si>
  <si>
    <t>008924</t>
  </si>
  <si>
    <t>02/01/1962</t>
  </si>
  <si>
    <t>KLEIN FOODS, INC</t>
  </si>
  <si>
    <t>008554</t>
  </si>
  <si>
    <t>005174</t>
  </si>
  <si>
    <t>11/14/1950</t>
  </si>
  <si>
    <t>WASSON FAMILY PARTNERS LP</t>
  </si>
  <si>
    <t>008482</t>
  </si>
  <si>
    <t>003871</t>
  </si>
  <si>
    <t>JEFFREY F MEYER</t>
  </si>
  <si>
    <t>008668</t>
  </si>
  <si>
    <t>004783</t>
  </si>
  <si>
    <t>02/13/1951</t>
  </si>
  <si>
    <t>Russian River Flood Control &amp; Water Conservation District</t>
  </si>
  <si>
    <t>008843</t>
  </si>
  <si>
    <t>004039A</t>
  </si>
  <si>
    <t>05/31/1979</t>
  </si>
  <si>
    <t>Martha  A Fonsen</t>
  </si>
  <si>
    <t>008901</t>
  </si>
  <si>
    <t>006779</t>
  </si>
  <si>
    <t>09/06/1951</t>
  </si>
  <si>
    <t>Thomas W Johnson</t>
  </si>
  <si>
    <t>008877</t>
  </si>
  <si>
    <t>004769</t>
  </si>
  <si>
    <t>09/19/1951</t>
  </si>
  <si>
    <t>009067</t>
  </si>
  <si>
    <t>004838</t>
  </si>
  <si>
    <t>04/14/1952</t>
  </si>
  <si>
    <t>G3 ENTERPRISES INC</t>
  </si>
  <si>
    <t>009224A</t>
  </si>
  <si>
    <t>006191A</t>
  </si>
  <si>
    <t>07/21/1952</t>
  </si>
  <si>
    <t>009252</t>
  </si>
  <si>
    <t>006119</t>
  </si>
  <si>
    <t>08/13/1952</t>
  </si>
  <si>
    <t>CITY OF SANTA ROSA</t>
  </si>
  <si>
    <t>Lower Santa Rosa Creek</t>
  </si>
  <si>
    <t>009406</t>
  </si>
  <si>
    <t>005284</t>
  </si>
  <si>
    <t>03/16/1953</t>
  </si>
  <si>
    <t>TONY  PETRUZZELLA</t>
  </si>
  <si>
    <t>009543</t>
  </si>
  <si>
    <t>004688A</t>
  </si>
  <si>
    <t>05/01/1953</t>
  </si>
  <si>
    <t>ELIAS Y TANNOUS</t>
  </si>
  <si>
    <t>009728</t>
  </si>
  <si>
    <t>005680</t>
  </si>
  <si>
    <t>08/31/1953</t>
  </si>
  <si>
    <t>FERN HAVEN LLC</t>
  </si>
  <si>
    <t>009774</t>
  </si>
  <si>
    <t>005958</t>
  </si>
  <si>
    <t>01/11/1954</t>
  </si>
  <si>
    <t>010141</t>
  </si>
  <si>
    <t>005931</t>
  </si>
  <si>
    <t>SPIGHT PROPERTIES II LLC</t>
  </si>
  <si>
    <t>009869</t>
  </si>
  <si>
    <t>006881</t>
  </si>
  <si>
    <t>03/05/1954</t>
  </si>
  <si>
    <t>FRANK M WOODS</t>
  </si>
  <si>
    <t>012701</t>
  </si>
  <si>
    <t>008319</t>
  </si>
  <si>
    <t>05/23/1960</t>
  </si>
  <si>
    <t>RICHARD  TOYFOYA</t>
  </si>
  <si>
    <t>012988</t>
  </si>
  <si>
    <t>009372</t>
  </si>
  <si>
    <t>06/02/1960</t>
  </si>
  <si>
    <t>O'BRYAN FAMILY TRUST</t>
  </si>
  <si>
    <t>Willow Creek-Russian River</t>
  </si>
  <si>
    <t>012844</t>
  </si>
  <si>
    <t>007724</t>
  </si>
  <si>
    <t>08/09/1960</t>
  </si>
  <si>
    <t>JOSEPH &amp; KATHLEEN  TRESCH</t>
  </si>
  <si>
    <t>012519</t>
  </si>
  <si>
    <t>007249</t>
  </si>
  <si>
    <t>04/16/1957</t>
  </si>
  <si>
    <t>DAVID  STARE</t>
  </si>
  <si>
    <t>011505</t>
  </si>
  <si>
    <t>006461</t>
  </si>
  <si>
    <t>09/26/1957</t>
  </si>
  <si>
    <t>GLENDA  MCGOVERN</t>
  </si>
  <si>
    <t>014159</t>
  </si>
  <si>
    <t>009003</t>
  </si>
  <si>
    <t>11/19/1957</t>
  </si>
  <si>
    <t>KRIS  RORABAUGH</t>
  </si>
  <si>
    <t>014060</t>
  </si>
  <si>
    <t>009851B</t>
  </si>
  <si>
    <t>06/22/1984</t>
  </si>
  <si>
    <t>013997</t>
  </si>
  <si>
    <t>008591</t>
  </si>
  <si>
    <t>08/24/1962</t>
  </si>
  <si>
    <t>Barbara Thompson et al</t>
  </si>
  <si>
    <t>014068</t>
  </si>
  <si>
    <t>008241</t>
  </si>
  <si>
    <t>09/21/1962</t>
  </si>
  <si>
    <t>Jonathan R. Wright</t>
  </si>
  <si>
    <t>014134</t>
  </si>
  <si>
    <t>010647</t>
  </si>
  <si>
    <t>11/28/1962</t>
  </si>
  <si>
    <t>RICHLOE LIMITED PARTNERSHIP</t>
  </si>
  <si>
    <t>014241</t>
  </si>
  <si>
    <t>009330</t>
  </si>
  <si>
    <t>03/11/1963</t>
  </si>
  <si>
    <t>LYDIA R KOHLER</t>
  </si>
  <si>
    <t>014377</t>
  </si>
  <si>
    <t>009285</t>
  </si>
  <si>
    <t>10/17/1963</t>
  </si>
  <si>
    <t>JOSEPH C MONTANA JR</t>
  </si>
  <si>
    <t>014427</t>
  </si>
  <si>
    <t>008994</t>
  </si>
  <si>
    <t>12/05/1963</t>
  </si>
  <si>
    <t>JASON C MAVRAKIS</t>
  </si>
  <si>
    <t>015078</t>
  </si>
  <si>
    <t>011107</t>
  </si>
  <si>
    <t>06/14/1965</t>
  </si>
  <si>
    <t>WILLIAM  EUGENE REGE</t>
  </si>
  <si>
    <t>015186</t>
  </si>
  <si>
    <t>009481</t>
  </si>
  <si>
    <t>10/06/1965</t>
  </si>
  <si>
    <t>ANDREW T NICOLL</t>
  </si>
  <si>
    <t>015192</t>
  </si>
  <si>
    <t>010527</t>
  </si>
  <si>
    <t>12/10/1965</t>
  </si>
  <si>
    <t>NORTHWOOD RECREATION INC</t>
  </si>
  <si>
    <t>015283</t>
  </si>
  <si>
    <t>009541</t>
  </si>
  <si>
    <t>07/13/1966</t>
  </si>
  <si>
    <t>ALLIANCE REDWOODS CONFERENCE GROUNDS</t>
  </si>
  <si>
    <t>012929B</t>
  </si>
  <si>
    <t>012415</t>
  </si>
  <si>
    <t>03/15/1984</t>
  </si>
  <si>
    <t>SERGIO  GONZALES</t>
  </si>
  <si>
    <t>011919</t>
  </si>
  <si>
    <t>009127</t>
  </si>
  <si>
    <t>02/05/1959</t>
  </si>
  <si>
    <t>THOMAS CREEK RANCH</t>
  </si>
  <si>
    <t>012219</t>
  </si>
  <si>
    <t>007432</t>
  </si>
  <si>
    <t>09/02/1959</t>
  </si>
  <si>
    <t>JACK  WATTS</t>
  </si>
  <si>
    <t>017915</t>
  </si>
  <si>
    <t>011884</t>
  </si>
  <si>
    <t>06/06/1979</t>
  </si>
  <si>
    <t>Matthew   Ehmann</t>
  </si>
  <si>
    <t>018577</t>
  </si>
  <si>
    <t>012325</t>
  </si>
  <si>
    <t>018365</t>
  </si>
  <si>
    <t>012164</t>
  </si>
  <si>
    <t>02/13/1980</t>
  </si>
  <si>
    <t>LUKE  FREY</t>
  </si>
  <si>
    <t>017977</t>
  </si>
  <si>
    <t>011960</t>
  </si>
  <si>
    <t>02/21/1980</t>
  </si>
  <si>
    <t>SOWING CIRCLE LLC</t>
  </si>
  <si>
    <t>018581</t>
  </si>
  <si>
    <t>013368</t>
  </si>
  <si>
    <t>08/20/1980</t>
  </si>
  <si>
    <t>COUNTY OF SONOMA</t>
  </si>
  <si>
    <t>018543</t>
  </si>
  <si>
    <t>011659</t>
  </si>
  <si>
    <t>03/31/1981</t>
  </si>
  <si>
    <t>018441</t>
  </si>
  <si>
    <t>012273</t>
  </si>
  <si>
    <t>08/04/1981</t>
  </si>
  <si>
    <t>Dr. Benjamin  Meyer</t>
  </si>
  <si>
    <t>018604</t>
  </si>
  <si>
    <t>013173</t>
  </si>
  <si>
    <t>09/08/1981</t>
  </si>
  <si>
    <t>LONE OAKS ESTATES</t>
  </si>
  <si>
    <t>016441</t>
  </si>
  <si>
    <t>010897</t>
  </si>
  <si>
    <t>12/14/1971</t>
  </si>
  <si>
    <t>JUDY  DUTRA</t>
  </si>
  <si>
    <t>016569</t>
  </si>
  <si>
    <t>011036</t>
  </si>
  <si>
    <t>04/10/1972</t>
  </si>
  <si>
    <t>JEROLD SELBY DREW</t>
  </si>
  <si>
    <t>017330</t>
  </si>
  <si>
    <t>012649</t>
  </si>
  <si>
    <t>08/08/1972</t>
  </si>
  <si>
    <t>NELSON &amp; SONS A CORPORATION</t>
  </si>
  <si>
    <t>016694</t>
  </si>
  <si>
    <t>013208</t>
  </si>
  <si>
    <t>08/25/1972</t>
  </si>
  <si>
    <t>KURT D KIECKHEFER</t>
  </si>
  <si>
    <t>016608</t>
  </si>
  <si>
    <t>010851</t>
  </si>
  <si>
    <t>09/08/1972</t>
  </si>
  <si>
    <t>HON  THI NGUYEN</t>
  </si>
  <si>
    <t>018316B</t>
  </si>
  <si>
    <t>013332</t>
  </si>
  <si>
    <t>017587A</t>
  </si>
  <si>
    <t>011943</t>
  </si>
  <si>
    <t>03/27/1985</t>
  </si>
  <si>
    <t>BAY TREE VINEYARDS, L.L.C.</t>
  </si>
  <si>
    <t>017187</t>
  </si>
  <si>
    <t>011527</t>
  </si>
  <si>
    <t>11/08/1974</t>
  </si>
  <si>
    <t>017373</t>
  </si>
  <si>
    <t>011494</t>
  </si>
  <si>
    <t>05/07/1975</t>
  </si>
  <si>
    <t>KAREN  KURTZ</t>
  </si>
  <si>
    <t>016959</t>
  </si>
  <si>
    <t>011356</t>
  </si>
  <si>
    <t>11/17/1975</t>
  </si>
  <si>
    <t>RICHARD MARK POTTER</t>
  </si>
  <si>
    <t>017295</t>
  </si>
  <si>
    <t>011425</t>
  </si>
  <si>
    <t>12/29/1975</t>
  </si>
  <si>
    <t>ISSAC LLC</t>
  </si>
  <si>
    <t>017260</t>
  </si>
  <si>
    <t>011781</t>
  </si>
  <si>
    <t>03/22/1976</t>
  </si>
  <si>
    <t>015587</t>
  </si>
  <si>
    <t>010043</t>
  </si>
  <si>
    <t>06/06/1967</t>
  </si>
  <si>
    <t>015784</t>
  </si>
  <si>
    <t>010323</t>
  </si>
  <si>
    <t>07/22/1968</t>
  </si>
  <si>
    <t>PAUL  PICKLE</t>
  </si>
  <si>
    <t>015865</t>
  </si>
  <si>
    <t>010383</t>
  </si>
  <si>
    <t>11/18/1968</t>
  </si>
  <si>
    <t>BECKSTOFFER VINEYARDS XV</t>
  </si>
  <si>
    <t>015965</t>
  </si>
  <si>
    <t>010572</t>
  </si>
  <si>
    <t>06/11/1969</t>
  </si>
  <si>
    <t>JACK  ELSBREE</t>
  </si>
  <si>
    <t>016168</t>
  </si>
  <si>
    <t>010252</t>
  </si>
  <si>
    <t>06/29/1970</t>
  </si>
  <si>
    <t>SAINI DRY CREEK PROPERTIES LLC</t>
  </si>
  <si>
    <t>016871</t>
  </si>
  <si>
    <t>013243</t>
  </si>
  <si>
    <t>12/14/1970</t>
  </si>
  <si>
    <t>JOE J ROCHIOLI JR</t>
  </si>
  <si>
    <t>016232</t>
  </si>
  <si>
    <t>010677</t>
  </si>
  <si>
    <t>01/12/1971</t>
  </si>
  <si>
    <t>ROBERT  ROBB</t>
  </si>
  <si>
    <t>016302</t>
  </si>
  <si>
    <t>011059</t>
  </si>
  <si>
    <t>FRED  WEIBEL</t>
  </si>
  <si>
    <t>020120</t>
  </si>
  <si>
    <t>013426</t>
  </si>
  <si>
    <t>MICHAEL W RIDDELL</t>
  </si>
  <si>
    <t>020067</t>
  </si>
  <si>
    <t>013265</t>
  </si>
  <si>
    <t>EMRYS  SCOTT</t>
  </si>
  <si>
    <t>020079</t>
  </si>
  <si>
    <t>013140</t>
  </si>
  <si>
    <t>04/18/1986</t>
  </si>
  <si>
    <t>A029663</t>
  </si>
  <si>
    <t>09/15/1999</t>
  </si>
  <si>
    <t>018438</t>
  </si>
  <si>
    <t>012216</t>
  </si>
  <si>
    <t>06/15/1977</t>
  </si>
  <si>
    <t>017695</t>
  </si>
  <si>
    <t>012516</t>
  </si>
  <si>
    <t>06/27/1978</t>
  </si>
  <si>
    <t>MATHIS PROPERTIES CALIF LLC</t>
  </si>
  <si>
    <t>020514</t>
  </si>
  <si>
    <t>013390</t>
  </si>
  <si>
    <t>08/10/1987</t>
  </si>
  <si>
    <t>018940</t>
  </si>
  <si>
    <t>013536</t>
  </si>
  <si>
    <t>09/30/1982</t>
  </si>
  <si>
    <t>BURTON  LANG</t>
  </si>
  <si>
    <t>019243</t>
  </si>
  <si>
    <t>013160</t>
  </si>
  <si>
    <t>01/09/1984</t>
  </si>
  <si>
    <t>RUSSELL H GREEN JR</t>
  </si>
  <si>
    <t>020076</t>
  </si>
  <si>
    <t>013730</t>
  </si>
  <si>
    <t>07/10/2007</t>
  </si>
  <si>
    <t>A030896</t>
  </si>
  <si>
    <t>11/22/2006</t>
  </si>
  <si>
    <t>CODORNIU NAPA INC</t>
  </si>
  <si>
    <t>A031510</t>
  </si>
  <si>
    <t>04/20/2007</t>
  </si>
  <si>
    <t>SEGHESIO FARMS INC</t>
  </si>
  <si>
    <t>A031525</t>
  </si>
  <si>
    <t>03/09/2007</t>
  </si>
  <si>
    <t>DARRELL  PAUL</t>
  </si>
  <si>
    <t>A028644</t>
  </si>
  <si>
    <t>03/27/1997</t>
  </si>
  <si>
    <t>NANCY  HENSLEY</t>
  </si>
  <si>
    <t>X003448</t>
  </si>
  <si>
    <t>09/13/2002</t>
  </si>
  <si>
    <t>SIGVART  HORNEMAN</t>
  </si>
  <si>
    <t>A013009</t>
  </si>
  <si>
    <t>007758</t>
  </si>
  <si>
    <t>004143</t>
  </si>
  <si>
    <t>10/31/2001</t>
  </si>
  <si>
    <t>A013684</t>
  </si>
  <si>
    <t>008175</t>
  </si>
  <si>
    <t>004729</t>
  </si>
  <si>
    <t>03/18/1998</t>
  </si>
  <si>
    <t>PHILIP L FLAX</t>
  </si>
  <si>
    <t>A013861</t>
  </si>
  <si>
    <t>008787</t>
  </si>
  <si>
    <t>004485</t>
  </si>
  <si>
    <t>03/03/2006</t>
  </si>
  <si>
    <t>EST OF MARIAN E MCGEE</t>
  </si>
  <si>
    <t>A014079</t>
  </si>
  <si>
    <t>008529</t>
  </si>
  <si>
    <t>009513</t>
  </si>
  <si>
    <t>07/29/2004</t>
  </si>
  <si>
    <t>CRAIG  SCHULZ</t>
  </si>
  <si>
    <t>A022005A</t>
  </si>
  <si>
    <t>015198</t>
  </si>
  <si>
    <t>009821A</t>
  </si>
  <si>
    <t>07/12/2004</t>
  </si>
  <si>
    <t>JAMES E MOFFITT</t>
  </si>
  <si>
    <t>A024481A</t>
  </si>
  <si>
    <t>017173A</t>
  </si>
  <si>
    <t>11/05/2001</t>
  </si>
  <si>
    <t>A028669</t>
  </si>
  <si>
    <t>020247</t>
  </si>
  <si>
    <t>12/09/2005</t>
  </si>
  <si>
    <t>JACK  AIR</t>
  </si>
  <si>
    <t>D030670</t>
  </si>
  <si>
    <t>000346</t>
  </si>
  <si>
    <t>04/20/1999</t>
  </si>
  <si>
    <t>SHARON  DAMOS</t>
  </si>
  <si>
    <t>D031333</t>
  </si>
  <si>
    <t>000633</t>
  </si>
  <si>
    <t>03/11/2003</t>
  </si>
  <si>
    <t>STEVE V OWEN</t>
  </si>
  <si>
    <t>D031334</t>
  </si>
  <si>
    <t>000631</t>
  </si>
  <si>
    <t>J ROBERT FOSBERG</t>
  </si>
  <si>
    <t>001166</t>
  </si>
  <si>
    <t>09/27/1977</t>
  </si>
  <si>
    <t>000687</t>
  </si>
  <si>
    <t>LEO R BLEIER</t>
  </si>
  <si>
    <t>000688</t>
  </si>
  <si>
    <t>TERRENCE P MONTGOMERY</t>
  </si>
  <si>
    <t>000702</t>
  </si>
  <si>
    <t>03/10/2006</t>
  </si>
  <si>
    <t>MARCELINO  MARTINEZ FLORES</t>
  </si>
  <si>
    <t>000079</t>
  </si>
  <si>
    <t>002936</t>
  </si>
  <si>
    <t>005161</t>
  </si>
  <si>
    <t>005522</t>
  </si>
  <si>
    <t>01/02/1998</t>
  </si>
  <si>
    <t>005624</t>
  </si>
  <si>
    <t>08/26/1986</t>
  </si>
  <si>
    <t>ELOISE  TWINING</t>
  </si>
  <si>
    <t>07/03/1967</t>
  </si>
  <si>
    <t>HELEN L WESTON TR</t>
  </si>
  <si>
    <t>02/16/1988</t>
  </si>
  <si>
    <t>MENDOCINO REDWOOD COMPANY LLC</t>
  </si>
  <si>
    <t>11/23/1982</t>
  </si>
  <si>
    <t>SIMI WINERY INC</t>
  </si>
  <si>
    <t>07/26/1991</t>
  </si>
  <si>
    <t>HAFNER VINEYARD</t>
  </si>
  <si>
    <t>05/02/1967</t>
  </si>
  <si>
    <t>FREDRIC C HANSEN</t>
  </si>
  <si>
    <t>05/10/1967</t>
  </si>
  <si>
    <t>OBIE  BOWMAN</t>
  </si>
  <si>
    <t>05/26/1999</t>
  </si>
  <si>
    <t>05/11/2005</t>
  </si>
  <si>
    <t>RON  SIEGEMUND</t>
  </si>
  <si>
    <t>04/26/2006</t>
  </si>
  <si>
    <t>WILLIAM  DOMENICHELLI</t>
  </si>
  <si>
    <t>08/08/2007</t>
  </si>
  <si>
    <t>GLOBAL AG PROPERTIES USA, LLC</t>
  </si>
  <si>
    <t>WILLIAM G RICIOLI</t>
  </si>
  <si>
    <t>08/10/1992</t>
  </si>
  <si>
    <t>RIVER BEND VINEYARDS, LTD</t>
  </si>
  <si>
    <t>09/09/1985</t>
  </si>
  <si>
    <t>STEVE  SMIT</t>
  </si>
  <si>
    <t>07/22/1994</t>
  </si>
  <si>
    <t>CHRISTOPHER L EVANS</t>
  </si>
  <si>
    <t>10/04/1994</t>
  </si>
  <si>
    <t>JUSTIN B MILLER</t>
  </si>
  <si>
    <t>12/12/1994</t>
  </si>
  <si>
    <t>MARK Y BRUCKER</t>
  </si>
  <si>
    <t>01/31/1995</t>
  </si>
  <si>
    <t>03/11/1976</t>
  </si>
  <si>
    <t>MARTIN P SMITH</t>
  </si>
  <si>
    <t>01/12/1998</t>
  </si>
  <si>
    <t>DONALD J LOARIE</t>
  </si>
  <si>
    <t>01/01/1980</t>
  </si>
  <si>
    <t>Patricia Diane Blaire</t>
  </si>
  <si>
    <t>02/09/1998</t>
  </si>
  <si>
    <t>David C Olson</t>
  </si>
  <si>
    <t>01/29/1999</t>
  </si>
  <si>
    <t>01/01/1987</t>
  </si>
  <si>
    <t>04/06/1999</t>
  </si>
  <si>
    <t>DE LORIMIER FAMILY LLC</t>
  </si>
  <si>
    <t>10/30/2000</t>
  </si>
  <si>
    <t>GREGORY T NELSON</t>
  </si>
  <si>
    <t>07/13/1977</t>
  </si>
  <si>
    <t>FRED  BUSS</t>
  </si>
  <si>
    <t>03/01/2000</t>
  </si>
  <si>
    <t>CONSTELLATION - RIVER OAKS VINEYARD</t>
  </si>
  <si>
    <t>09/28/2001</t>
  </si>
  <si>
    <t>RUDDICK RANCH INC</t>
  </si>
  <si>
    <t>01/02/2002</t>
  </si>
  <si>
    <t>RICHARD A MORAN</t>
  </si>
  <si>
    <t>10/16/1985</t>
  </si>
  <si>
    <t>01/01/1974</t>
  </si>
  <si>
    <t>FROST F. PAULI</t>
  </si>
  <si>
    <t>000439</t>
  </si>
  <si>
    <t>06/07/1999</t>
  </si>
  <si>
    <t>JOHN  SCHAEFFER</t>
  </si>
  <si>
    <t>000098</t>
  </si>
  <si>
    <t>06/10/2009</t>
  </si>
  <si>
    <t>06/26/2014</t>
  </si>
  <si>
    <t>Robert Walter Comstock</t>
  </si>
  <si>
    <t>A015728</t>
  </si>
  <si>
    <t>04/30/1996</t>
  </si>
  <si>
    <t>REDWOOD RANCH PARTNERS</t>
  </si>
  <si>
    <t>017643</t>
  </si>
  <si>
    <t>011661</t>
  </si>
  <si>
    <t>11/14/2008</t>
  </si>
  <si>
    <t>SYDNEY   SCIAINI</t>
  </si>
  <si>
    <t>Dry Creek Vineyard Inc</t>
  </si>
  <si>
    <t>A030746</t>
  </si>
  <si>
    <t>ALFRED L MCMICKING</t>
  </si>
  <si>
    <t>000740</t>
  </si>
  <si>
    <t>12/12/2007</t>
  </si>
  <si>
    <t>JACK  OSWALD</t>
  </si>
  <si>
    <t>017140A</t>
  </si>
  <si>
    <t>012641</t>
  </si>
  <si>
    <t>05/17/1990</t>
  </si>
  <si>
    <t>017714</t>
  </si>
  <si>
    <t>013814</t>
  </si>
  <si>
    <t>01/05/2011</t>
  </si>
  <si>
    <t>BRIAN R WHITE</t>
  </si>
  <si>
    <t>S015991</t>
  </si>
  <si>
    <t>06/10/2010</t>
  </si>
  <si>
    <t>CLOS DU BOIS WINES, INC.</t>
  </si>
  <si>
    <t>S014992</t>
  </si>
  <si>
    <t>08/17/2007</t>
  </si>
  <si>
    <t>S013815</t>
  </si>
  <si>
    <t>01/29/2010</t>
  </si>
  <si>
    <t>S015293</t>
  </si>
  <si>
    <t>07/26/2011</t>
  </si>
  <si>
    <t>MURLIN C BARKER</t>
  </si>
  <si>
    <t>FELIZ CREEK RANCH LLC</t>
  </si>
  <si>
    <t>000456</t>
  </si>
  <si>
    <t>07/21/1999</t>
  </si>
  <si>
    <t>TRAVIS   BOGARD</t>
  </si>
  <si>
    <t>08/01/2003</t>
  </si>
  <si>
    <t>WALKER LAKE ASSOCIATION</t>
  </si>
  <si>
    <t>11/20/2009</t>
  </si>
  <si>
    <t>S013959</t>
  </si>
  <si>
    <t>017909</t>
  </si>
  <si>
    <t>011890</t>
  </si>
  <si>
    <t>03/04/1986</t>
  </si>
  <si>
    <t>GRASS VALLEY WATER COMPANY</t>
  </si>
  <si>
    <t>S015548</t>
  </si>
  <si>
    <t>KIERAN C BURKE</t>
  </si>
  <si>
    <t>09/15/1997</t>
  </si>
  <si>
    <t>CITY OF HEALDSBURG</t>
  </si>
  <si>
    <t>Scott T James</t>
  </si>
  <si>
    <t>Doug  Muhleman</t>
  </si>
  <si>
    <t>000584</t>
  </si>
  <si>
    <t>03/12/1998</t>
  </si>
  <si>
    <t>Gregory P James</t>
  </si>
  <si>
    <t>A031139</t>
  </si>
  <si>
    <t>04/21/2010</t>
  </si>
  <si>
    <t>PAULI RANCH</t>
  </si>
  <si>
    <t>S009615</t>
  </si>
  <si>
    <t>08/02/2007</t>
  </si>
  <si>
    <t>Patrick Layton Paulsen</t>
  </si>
  <si>
    <t>A029705</t>
  </si>
  <si>
    <t>10/12/2009</t>
  </si>
  <si>
    <t>Jackson Wine Estates Vineyards</t>
  </si>
  <si>
    <t>01/07/2000</t>
  </si>
  <si>
    <t>000393</t>
  </si>
  <si>
    <t>10/29/1998</t>
  </si>
  <si>
    <t>JOHN  NEERHOUT JR</t>
  </si>
  <si>
    <t>08/07/1998</t>
  </si>
  <si>
    <t>08/28/1992</t>
  </si>
  <si>
    <t>KENT  RITCHIE</t>
  </si>
  <si>
    <t>A029428</t>
  </si>
  <si>
    <t>020424</t>
  </si>
  <si>
    <t>12/24/2008</t>
  </si>
  <si>
    <t>LARRY  ALARY</t>
  </si>
  <si>
    <t>021064</t>
  </si>
  <si>
    <t>013828</t>
  </si>
  <si>
    <t>01/11/2011</t>
  </si>
  <si>
    <t>M-R Vineyards</t>
  </si>
  <si>
    <t>HOWARD  ALLEN</t>
  </si>
  <si>
    <t>02/06/2013</t>
  </si>
  <si>
    <t>ROBERT   DEMPEL</t>
  </si>
  <si>
    <t>11/18/2011</t>
  </si>
  <si>
    <t>EDWARD  JOHNSON</t>
  </si>
  <si>
    <t>Dry Creek Rancheria</t>
  </si>
  <si>
    <t>S019248</t>
  </si>
  <si>
    <t>UN000237</t>
  </si>
  <si>
    <t>12/13/2011</t>
  </si>
  <si>
    <t>S019245</t>
  </si>
  <si>
    <t>D AND P WEST DRY CREEK LLC</t>
  </si>
  <si>
    <t>S016180</t>
  </si>
  <si>
    <t>03/06/2012</t>
  </si>
  <si>
    <t>BARBARA THOMPSON FAMILY PARTNERSHIP</t>
  </si>
  <si>
    <t>S019875</t>
  </si>
  <si>
    <t>10/17/2013</t>
  </si>
  <si>
    <t>A016321</t>
  </si>
  <si>
    <t>010185</t>
  </si>
  <si>
    <t>005868</t>
  </si>
  <si>
    <t>03/21/2012</t>
  </si>
  <si>
    <t>SILVERADO PREMIUM PROPERTIES LLC</t>
  </si>
  <si>
    <t>JAMES  BLOOM</t>
  </si>
  <si>
    <t>CITY OF UKIAH</t>
  </si>
  <si>
    <t>FOOTHILLS PROPERTY OWNERS ASSOCIATION</t>
  </si>
  <si>
    <t>Silverado Sonoma Vineyards, LLC- Wohler Ranch</t>
  </si>
  <si>
    <t>S023017</t>
  </si>
  <si>
    <t>10/30/2013</t>
  </si>
  <si>
    <t>08/06/2012</t>
  </si>
  <si>
    <t>LUCY  DIGGS</t>
  </si>
  <si>
    <t>DEVIN W GORDON</t>
  </si>
  <si>
    <t>Lalanne Vineyards</t>
  </si>
  <si>
    <t>Catherine  Monroe</t>
  </si>
  <si>
    <t>TOMKI RANCH, LLC</t>
  </si>
  <si>
    <t>03/22/2011</t>
  </si>
  <si>
    <t>Liliana  Musetti</t>
  </si>
  <si>
    <t>09/22/2011</t>
  </si>
  <si>
    <t>HENRY F CHAMBERS</t>
  </si>
  <si>
    <t>GEORGE  SOMERS</t>
  </si>
  <si>
    <t>DRY CREEK RANCHERIA, RIVER ROCK CASINO</t>
  </si>
  <si>
    <t>RICHARD E RUED</t>
  </si>
  <si>
    <t>S015793</t>
  </si>
  <si>
    <t>07/29/2013</t>
  </si>
  <si>
    <t>THOMAS MAURITSON VINEYARDS</t>
  </si>
  <si>
    <t>COOLEY RANCH COMPANY</t>
  </si>
  <si>
    <t>S015904</t>
  </si>
  <si>
    <t>04/19/2013</t>
  </si>
  <si>
    <t>02/04/2013</t>
  </si>
  <si>
    <t>CONSTELLATION - HOFFMAN VINEYARD</t>
  </si>
  <si>
    <t>01/17/2012</t>
  </si>
  <si>
    <t>WADDINGTON RANCH VINEYARDS</t>
  </si>
  <si>
    <t>016819</t>
  </si>
  <si>
    <t>011391</t>
  </si>
  <si>
    <t>06/23/1983</t>
  </si>
  <si>
    <t>KEVIN  SULLIVAN</t>
  </si>
  <si>
    <t>05/31/2012</t>
  </si>
  <si>
    <t>017336A</t>
  </si>
  <si>
    <t>013856A</t>
  </si>
  <si>
    <t>06/06/2012</t>
  </si>
  <si>
    <t>10/18/2013</t>
  </si>
  <si>
    <t>JACKSON PARK RANCH</t>
  </si>
  <si>
    <t>ALVIN R CADD</t>
  </si>
  <si>
    <t>GONZAGUE  LURTON</t>
  </si>
  <si>
    <t>014842A</t>
  </si>
  <si>
    <t>010850</t>
  </si>
  <si>
    <t>08/29/1978</t>
  </si>
  <si>
    <t>000188</t>
  </si>
  <si>
    <t>01/17/2014</t>
  </si>
  <si>
    <t>RALPH W BASTIAN JR</t>
  </si>
  <si>
    <t>05/23/1995</t>
  </si>
  <si>
    <t>WASSON VINEYARDS</t>
  </si>
  <si>
    <t>09/11/1995</t>
  </si>
  <si>
    <t>UN000102</t>
  </si>
  <si>
    <t>11/19/2012</t>
  </si>
  <si>
    <t>04/10/1995</t>
  </si>
  <si>
    <t>John  M McMenomey</t>
  </si>
  <si>
    <t>11/04/2013</t>
  </si>
  <si>
    <t>WESTMINSTER WOODS CAMP</t>
  </si>
  <si>
    <t>S022924</t>
  </si>
  <si>
    <t>10/12/2015</t>
  </si>
  <si>
    <t>MARY  BLANCHARD COLETTI</t>
  </si>
  <si>
    <t>016921</t>
  </si>
  <si>
    <t>012504</t>
  </si>
  <si>
    <t>STEVEN R PRIDE</t>
  </si>
  <si>
    <t>08/13/2013</t>
  </si>
  <si>
    <t>ZAINA VINEYARDS, LLC</t>
  </si>
  <si>
    <t>06/30/2015</t>
  </si>
  <si>
    <t>ALEXANDER MOUNTAIN FARMS LLC</t>
  </si>
  <si>
    <t>Don  Derrington</t>
  </si>
  <si>
    <t>10/22/2015</t>
  </si>
  <si>
    <t>Lynette  Harrington</t>
  </si>
  <si>
    <t>008108</t>
  </si>
  <si>
    <t>005674</t>
  </si>
  <si>
    <t>04/10/1959</t>
  </si>
  <si>
    <t>S023473</t>
  </si>
  <si>
    <t>05/15/2015</t>
  </si>
  <si>
    <t>A030162</t>
  </si>
  <si>
    <t>10/02/1998</t>
  </si>
  <si>
    <t>MARY L THOMAS</t>
  </si>
  <si>
    <t>06/03/2014</t>
  </si>
  <si>
    <t>HERITANCE VINTNERS</t>
  </si>
  <si>
    <t>010286</t>
  </si>
  <si>
    <t>005175</t>
  </si>
  <si>
    <t>06/09/1958</t>
  </si>
  <si>
    <t>ROBERT O VALENTINE</t>
  </si>
  <si>
    <t>014996</t>
  </si>
  <si>
    <t>009124</t>
  </si>
  <si>
    <t>02/09/1970</t>
  </si>
  <si>
    <t>014145</t>
  </si>
  <si>
    <t>008542</t>
  </si>
  <si>
    <t>03/18/1968</t>
  </si>
  <si>
    <t>A030162A</t>
  </si>
  <si>
    <t>05/28/2009</t>
  </si>
  <si>
    <t>000005</t>
  </si>
  <si>
    <t>07/15/2015</t>
  </si>
  <si>
    <t>07/21/2015</t>
  </si>
  <si>
    <t>A032227</t>
  </si>
  <si>
    <t>02/04/2014</t>
  </si>
  <si>
    <t>DAYLE  WADDINGTON</t>
  </si>
  <si>
    <t>06/24/2013</t>
  </si>
  <si>
    <t>HOOT OWL CREEK VINEYARDS</t>
  </si>
  <si>
    <t>000889</t>
  </si>
  <si>
    <t>06/08/2016</t>
  </si>
  <si>
    <t>07/18/2016</t>
  </si>
  <si>
    <t>RAYMOND S CAPONE</t>
  </si>
  <si>
    <t>08/17/2016</t>
  </si>
  <si>
    <t>NICHOLAS M FREY</t>
  </si>
  <si>
    <t>021349</t>
  </si>
  <si>
    <t>03/14/2016</t>
  </si>
  <si>
    <t>BECKSTOFFER VINEYARDS XVI</t>
  </si>
  <si>
    <t>06/29/2016</t>
  </si>
  <si>
    <t>CHRISTOPHER  GLAB</t>
  </si>
  <si>
    <t>06/23/2016</t>
  </si>
  <si>
    <t>TIM  TODD</t>
  </si>
  <si>
    <t>09/26/2016</t>
  </si>
  <si>
    <t>JENNIFER YORK AND JOE RUFFATTO FAMILY TRUST</t>
  </si>
  <si>
    <t>021348</t>
  </si>
  <si>
    <t>09/07/2016</t>
  </si>
  <si>
    <t>DUTTON RANCH FAMILY LTD PTP</t>
  </si>
  <si>
    <t>A024534</t>
  </si>
  <si>
    <t>017112</t>
  </si>
  <si>
    <t>011323</t>
  </si>
  <si>
    <t>11/16/2016</t>
  </si>
  <si>
    <t>JERRY R BAARSCH</t>
  </si>
  <si>
    <t>07/08/2016</t>
  </si>
  <si>
    <t>ANN  LEVIN</t>
  </si>
  <si>
    <t>12/18/2019</t>
  </si>
  <si>
    <t>009388</t>
  </si>
  <si>
    <t>004675A</t>
  </si>
  <si>
    <t>01/28/2020</t>
  </si>
  <si>
    <t>100601</t>
  </si>
  <si>
    <t>11/26/2019</t>
  </si>
  <si>
    <t>ELIZABETH  PIRES</t>
  </si>
  <si>
    <t>000908</t>
  </si>
  <si>
    <t>04/07/2017</t>
  </si>
  <si>
    <t>ROGER CHUAN PENG</t>
  </si>
  <si>
    <t>S023871</t>
  </si>
  <si>
    <t>MARK  TOPEL</t>
  </si>
  <si>
    <t>A030991</t>
  </si>
  <si>
    <t>08/27/2018</t>
  </si>
  <si>
    <t>JVW CORPORATION</t>
  </si>
  <si>
    <t>06/09/2017</t>
  </si>
  <si>
    <t>TODD  HAENDLE</t>
  </si>
  <si>
    <t>05/08/2017</t>
  </si>
  <si>
    <t>ERIC  GARBOCCI</t>
  </si>
  <si>
    <t>GREGORY  ETCHELL</t>
  </si>
  <si>
    <t>100219</t>
  </si>
  <si>
    <t>08/17/2018</t>
  </si>
  <si>
    <t>AMBER  SPECKMAN</t>
  </si>
  <si>
    <t>UN000669</t>
  </si>
  <si>
    <t>01/10/2018</t>
  </si>
  <si>
    <t>DAVID G.  CODDING</t>
  </si>
  <si>
    <t>UN000711</t>
  </si>
  <si>
    <t>06/28/2013</t>
  </si>
  <si>
    <t>EDNA  GELLHORN</t>
  </si>
  <si>
    <t>100485</t>
  </si>
  <si>
    <t>06/19/2019</t>
  </si>
  <si>
    <t>DANIEL  SCHONBERG</t>
  </si>
  <si>
    <t>S027270</t>
  </si>
  <si>
    <t>04/22/2019</t>
  </si>
  <si>
    <t>AGRICULTURAL CULTIVATION MANAGEMENT</t>
  </si>
  <si>
    <t>06/15/2018</t>
  </si>
  <si>
    <t>GREEN VALLEY RANCH OF SEBASTOPOL INC</t>
  </si>
  <si>
    <t>100297</t>
  </si>
  <si>
    <t>NOAH  SHEPPARD</t>
  </si>
  <si>
    <t>100484</t>
  </si>
  <si>
    <t>06/12/2019</t>
  </si>
  <si>
    <t>ALEXANDER  PEARSON</t>
  </si>
  <si>
    <t>H500850</t>
  </si>
  <si>
    <t>03/02/2020</t>
  </si>
  <si>
    <t>MATT  DAVIS</t>
  </si>
  <si>
    <t>012947B</t>
  </si>
  <si>
    <t>013898</t>
  </si>
  <si>
    <t>09/21/2017</t>
  </si>
  <si>
    <t>Cummiskey Creek-Russian River, Dooley Creek, East Fork Russian River-Russian River, Lake Mendocino-East Fork Russian River, McNab Creek-Russian River, Mill Creek, Morrison Creek-Russian River, Orrs Creek-Russian River</t>
  </si>
  <si>
    <t>H501223</t>
  </si>
  <si>
    <t>100081</t>
  </si>
  <si>
    <t>01/13/2020</t>
  </si>
  <si>
    <t>TADD  SCHADECK</t>
  </si>
  <si>
    <t>009746</t>
  </si>
  <si>
    <t>005682</t>
  </si>
  <si>
    <t>SCHAEFER   PRICE</t>
  </si>
  <si>
    <t>L031415B</t>
  </si>
  <si>
    <t>000068B</t>
  </si>
  <si>
    <t>10/30/2018</t>
  </si>
  <si>
    <t>CHARLES L BARRA</t>
  </si>
  <si>
    <t>100561</t>
  </si>
  <si>
    <t>09/20/2019</t>
  </si>
  <si>
    <t>S027038</t>
  </si>
  <si>
    <t>07/01/2020</t>
  </si>
  <si>
    <t>100027</t>
  </si>
  <si>
    <t>03/21/2018</t>
  </si>
  <si>
    <t>ORR SPRINGS ROAD LAND LLC</t>
  </si>
  <si>
    <t>A016430</t>
  </si>
  <si>
    <t>011761</t>
  </si>
  <si>
    <t>006974</t>
  </si>
  <si>
    <t>10/15/2020</t>
  </si>
  <si>
    <t>DONALD J CORNS</t>
  </si>
  <si>
    <t>012952</t>
  </si>
  <si>
    <t>10/24/1961</t>
  </si>
  <si>
    <t>000416</t>
  </si>
  <si>
    <t>02/22/1999</t>
  </si>
  <si>
    <t>Jeffrey  Harris</t>
  </si>
  <si>
    <t>03/18/2019</t>
  </si>
  <si>
    <t>DEREK  GAMBREL</t>
  </si>
  <si>
    <t>10/30/2017</t>
  </si>
  <si>
    <t>GUERIN  ERWIN</t>
  </si>
  <si>
    <t>LEIF  BOLIN</t>
  </si>
  <si>
    <t>S015911</t>
  </si>
  <si>
    <t>08/10/2018</t>
  </si>
  <si>
    <t>SUNRISE MOUNTAIN MUTUAL HOME OWNERS</t>
  </si>
  <si>
    <t>08/14/2017</t>
  </si>
  <si>
    <t>DAVID W OHLSEN</t>
  </si>
  <si>
    <t>S013202</t>
  </si>
  <si>
    <t>10/03/2018</t>
  </si>
  <si>
    <t>LOUIS C CHAPPELL</t>
  </si>
  <si>
    <t>001213</t>
  </si>
  <si>
    <t>08/03/2020</t>
  </si>
  <si>
    <t>MENDOCINO HILL VINEYARDS LLC</t>
  </si>
  <si>
    <t>02/25/2018</t>
  </si>
  <si>
    <t>BENJAMIN  CANNON</t>
  </si>
  <si>
    <t>S027144</t>
  </si>
  <si>
    <t>09/06/2018</t>
  </si>
  <si>
    <t>JAMES  BEATTY</t>
  </si>
  <si>
    <t>001138</t>
  </si>
  <si>
    <t>07/10/2018</t>
  </si>
  <si>
    <t>DOUBLE K RANCH LLC</t>
  </si>
  <si>
    <t>S026224</t>
  </si>
  <si>
    <t>KATHERINE ANNE KEMERAIT</t>
  </si>
  <si>
    <t>NICHOLAS  DINAN</t>
  </si>
  <si>
    <t>H033302</t>
  </si>
  <si>
    <t>05/25/2022</t>
  </si>
  <si>
    <t>FRONT PORCH FARM</t>
  </si>
  <si>
    <t>09/27/2021</t>
  </si>
  <si>
    <t>BECKSTOFFER RUSSIAN RIVER VINEYARDS</t>
  </si>
  <si>
    <t>03/17/2022</t>
  </si>
  <si>
    <t>ADAMS VINEYARDS LLC</t>
  </si>
  <si>
    <t>10/15/2021</t>
  </si>
  <si>
    <t>TIMOTHY  CHUTER</t>
  </si>
  <si>
    <t>100747</t>
  </si>
  <si>
    <t>01/14/2022</t>
  </si>
  <si>
    <t>000366</t>
  </si>
  <si>
    <t>04/11/2022</t>
  </si>
  <si>
    <t>FINALI FAMILY PARTNERSHIP</t>
  </si>
  <si>
    <t>06/16/2006</t>
  </si>
  <si>
    <t>CONSTELLATION BRANDS (RED FAN)</t>
  </si>
  <si>
    <t>07/25/1989</t>
  </si>
  <si>
    <t>JIM D NELSON</t>
  </si>
  <si>
    <t>12/11/2001</t>
  </si>
  <si>
    <t>THOMAS R PASSALACQUA</t>
  </si>
  <si>
    <t>Mill Creek, West Slough-Dry Creek</t>
  </si>
  <si>
    <t>021198</t>
  </si>
  <si>
    <t>04/27/2007</t>
  </si>
  <si>
    <t>CAMP MEEKER RECREATION &amp; PARK DISTRICT</t>
  </si>
  <si>
    <t>017960A</t>
  </si>
  <si>
    <t>08/11/1980</t>
  </si>
  <si>
    <t>REDWOOD VALLEY GRAPE RANCH, LLC</t>
  </si>
  <si>
    <t>017399B</t>
  </si>
  <si>
    <t>KURT  ASHURST</t>
  </si>
  <si>
    <t>017902A</t>
  </si>
  <si>
    <t>05/27/1980</t>
  </si>
  <si>
    <t>017239B</t>
  </si>
  <si>
    <t>Vimark Vineyards</t>
  </si>
  <si>
    <t>017666B</t>
  </si>
  <si>
    <t>017604B</t>
  </si>
  <si>
    <t>08/06/1985</t>
  </si>
  <si>
    <t>021006</t>
  </si>
  <si>
    <t>03/10/1988</t>
  </si>
  <si>
    <t>020468</t>
  </si>
  <si>
    <t>County of Sonoma CSA #41 - Jenner</t>
  </si>
  <si>
    <t>021053</t>
  </si>
  <si>
    <t>10/23/1989</t>
  </si>
  <si>
    <t>020638</t>
  </si>
  <si>
    <t>04/11/1990</t>
  </si>
  <si>
    <t>KENNETH L FOSTER</t>
  </si>
  <si>
    <t>021054</t>
  </si>
  <si>
    <t>11/12/1991</t>
  </si>
  <si>
    <t>003649</t>
  </si>
  <si>
    <t>002231A</t>
  </si>
  <si>
    <t>09/26/1930</t>
  </si>
  <si>
    <t>LAURA  GERARD-SLOTTE</t>
  </si>
  <si>
    <t>013155</t>
  </si>
  <si>
    <t>009490B</t>
  </si>
  <si>
    <t>05/08/1981</t>
  </si>
  <si>
    <t>CHARLES L BARRA AND MARTHA E BARRA LIVING TRUST</t>
  </si>
  <si>
    <t>010947</t>
  </si>
  <si>
    <t>006921</t>
  </si>
  <si>
    <t>05/22/1956</t>
  </si>
  <si>
    <t>WALTER  MAACK</t>
  </si>
  <si>
    <t>000563</t>
  </si>
  <si>
    <t>06/03/1920</t>
  </si>
  <si>
    <t>Jackson Family Wines, Inc.</t>
  </si>
  <si>
    <t>001708</t>
  </si>
  <si>
    <t>000588</t>
  </si>
  <si>
    <t>05/16/1923</t>
  </si>
  <si>
    <t>002145</t>
  </si>
  <si>
    <t>000878</t>
  </si>
  <si>
    <t>04/13/1988</t>
  </si>
  <si>
    <t>BECKSTOFFER VINEYARDS XI</t>
  </si>
  <si>
    <t>009946</t>
  </si>
  <si>
    <t>005867</t>
  </si>
  <si>
    <t>07/16/1954</t>
  </si>
  <si>
    <t>MICHAEL P MORK</t>
  </si>
  <si>
    <t>009995</t>
  </si>
  <si>
    <t>005798</t>
  </si>
  <si>
    <t>08/06/1954</t>
  </si>
  <si>
    <t>GORDON D GOLLAN</t>
  </si>
  <si>
    <t>010121</t>
  </si>
  <si>
    <t>005438</t>
  </si>
  <si>
    <t>01/26/1955</t>
  </si>
  <si>
    <t>PAULLING FAMILY TRUST</t>
  </si>
  <si>
    <t>010182</t>
  </si>
  <si>
    <t>006414</t>
  </si>
  <si>
    <t>04/19/1955</t>
  </si>
  <si>
    <t>VIMARK INC</t>
  </si>
  <si>
    <t>010275</t>
  </si>
  <si>
    <t>007361</t>
  </si>
  <si>
    <t>06/15/1965</t>
  </si>
  <si>
    <t>EDWARD  MAZZOLENI</t>
  </si>
  <si>
    <t>005739</t>
  </si>
  <si>
    <t>010381</t>
  </si>
  <si>
    <t>009430</t>
  </si>
  <si>
    <t>08/29/1955</t>
  </si>
  <si>
    <t>010454</t>
  </si>
  <si>
    <t>005764</t>
  </si>
  <si>
    <t>01/06/1956</t>
  </si>
  <si>
    <t>008189</t>
  </si>
  <si>
    <t>003885</t>
  </si>
  <si>
    <t>05/09/1949</t>
  </si>
  <si>
    <t>007804</t>
  </si>
  <si>
    <t>003869</t>
  </si>
  <si>
    <t>05/19/1949</t>
  </si>
  <si>
    <t>LAZY W. RANCH, A PARTNERSHIP</t>
  </si>
  <si>
    <t>004107B</t>
  </si>
  <si>
    <t>007851</t>
  </si>
  <si>
    <t>006104</t>
  </si>
  <si>
    <t>07/25/1949</t>
  </si>
  <si>
    <t>JACK  DEI JR</t>
  </si>
  <si>
    <t>007834</t>
  </si>
  <si>
    <t>004867</t>
  </si>
  <si>
    <t>07/28/1949</t>
  </si>
  <si>
    <t>007904</t>
  </si>
  <si>
    <t>003795</t>
  </si>
  <si>
    <t>09/06/1949</t>
  </si>
  <si>
    <t>CREEKS END VINEYARD LLC</t>
  </si>
  <si>
    <t>008105</t>
  </si>
  <si>
    <t>005245</t>
  </si>
  <si>
    <t>008040</t>
  </si>
  <si>
    <t>003801</t>
  </si>
  <si>
    <t>01/12/1950</t>
  </si>
  <si>
    <t>STASHAK TENANT IN COMMON</t>
  </si>
  <si>
    <t>008183</t>
  </si>
  <si>
    <t>005831</t>
  </si>
  <si>
    <t>05/02/1950</t>
  </si>
  <si>
    <t>013095</t>
  </si>
  <si>
    <t>008182</t>
  </si>
  <si>
    <t>03/02/1961</t>
  </si>
  <si>
    <t>O'FARRELL AND BORGWARDT FAMILY TRUST</t>
  </si>
  <si>
    <t>013358</t>
  </si>
  <si>
    <t>008184</t>
  </si>
  <si>
    <t>05/08/1961</t>
  </si>
  <si>
    <t>MICHEAL  HALE</t>
  </si>
  <si>
    <t>008399</t>
  </si>
  <si>
    <t>004739</t>
  </si>
  <si>
    <t>008557</t>
  </si>
  <si>
    <t>004843</t>
  </si>
  <si>
    <t>008521</t>
  </si>
  <si>
    <t>004497</t>
  </si>
  <si>
    <t>KENNETH C WILSON</t>
  </si>
  <si>
    <t>008484</t>
  </si>
  <si>
    <t>005549</t>
  </si>
  <si>
    <t>11/22/1950</t>
  </si>
  <si>
    <t>BRIAN L SCHMIDT</t>
  </si>
  <si>
    <t>008442</t>
  </si>
  <si>
    <t>006157</t>
  </si>
  <si>
    <t>12/04/1950</t>
  </si>
  <si>
    <t>008559</t>
  </si>
  <si>
    <t>005108</t>
  </si>
  <si>
    <t>02/02/1951</t>
  </si>
  <si>
    <t>SILVERADO SONOMA VINEYARDS,LLC, PELLEGRINI RANCH NUMBER 84</t>
  </si>
  <si>
    <t>008733</t>
  </si>
  <si>
    <t>010595</t>
  </si>
  <si>
    <t>03/21/1951</t>
  </si>
  <si>
    <t>008753</t>
  </si>
  <si>
    <t>005054</t>
  </si>
  <si>
    <t>06/07/1951</t>
  </si>
  <si>
    <t>BELLE TERRE RANCH INC</t>
  </si>
  <si>
    <t>008754</t>
  </si>
  <si>
    <t>005613</t>
  </si>
  <si>
    <t>07/16/1951</t>
  </si>
  <si>
    <t>PINE RIDGE WINERY, LLC</t>
  </si>
  <si>
    <t>008926</t>
  </si>
  <si>
    <t>006351</t>
  </si>
  <si>
    <t>10/05/1951</t>
  </si>
  <si>
    <t>KATHRYN  JORGENSON</t>
  </si>
  <si>
    <t>009068</t>
  </si>
  <si>
    <t>004992</t>
  </si>
  <si>
    <t>04/15/1952</t>
  </si>
  <si>
    <t>009175</t>
  </si>
  <si>
    <t>005352</t>
  </si>
  <si>
    <t>07/30/1952</t>
  </si>
  <si>
    <t>CALPLANS RIVER VINEYARD 1</t>
  </si>
  <si>
    <t>009705</t>
  </si>
  <si>
    <t>007065</t>
  </si>
  <si>
    <t>11/30/1953</t>
  </si>
  <si>
    <t>FRED GINN TRUST ET AL</t>
  </si>
  <si>
    <t>012767</t>
  </si>
  <si>
    <t>007709</t>
  </si>
  <si>
    <t>07/18/1960</t>
  </si>
  <si>
    <t>MT WESKE ESTATES HOMEOWNERS' ASSOC</t>
  </si>
  <si>
    <t>014777</t>
  </si>
  <si>
    <t>009867</t>
  </si>
  <si>
    <t>02/28/1964</t>
  </si>
  <si>
    <t>014490</t>
  </si>
  <si>
    <t>009075</t>
  </si>
  <si>
    <t>03/20/1964</t>
  </si>
  <si>
    <t>ELLIS J ALDEN</t>
  </si>
  <si>
    <t>014755</t>
  </si>
  <si>
    <t>010142</t>
  </si>
  <si>
    <t>04/09/1973</t>
  </si>
  <si>
    <t>015008</t>
  </si>
  <si>
    <t>009484</t>
  </si>
  <si>
    <t>09/30/1964</t>
  </si>
  <si>
    <t>ORRIN  THIESSEN</t>
  </si>
  <si>
    <t>014915</t>
  </si>
  <si>
    <t>009342</t>
  </si>
  <si>
    <t>03/10/1965</t>
  </si>
  <si>
    <t>DENO  BUCHIGNANI</t>
  </si>
  <si>
    <t>014187</t>
  </si>
  <si>
    <t>012648</t>
  </si>
  <si>
    <t>011334</t>
  </si>
  <si>
    <t>006301</t>
  </si>
  <si>
    <t>11/04/1957</t>
  </si>
  <si>
    <t>BULLOCK FAMILY FARM LLC</t>
  </si>
  <si>
    <t>007981</t>
  </si>
  <si>
    <t>02/13/1958</t>
  </si>
  <si>
    <t>WILLIAM  O'CONNOR</t>
  </si>
  <si>
    <t>011637</t>
  </si>
  <si>
    <t>013729</t>
  </si>
  <si>
    <t>KNIGHTS VALLEY CALIFORNIA LLC</t>
  </si>
  <si>
    <t>012220</t>
  </si>
  <si>
    <t>007349</t>
  </si>
  <si>
    <t>06/23/1958</t>
  </si>
  <si>
    <t>PETER A LANG</t>
  </si>
  <si>
    <t>013739</t>
  </si>
  <si>
    <t>008268</t>
  </si>
  <si>
    <t>04/19/1962</t>
  </si>
  <si>
    <t>James R Kreck</t>
  </si>
  <si>
    <t>013848</t>
  </si>
  <si>
    <t>008696</t>
  </si>
  <si>
    <t>05/04/1962</t>
  </si>
  <si>
    <t>JOHN   BACIGALUPI</t>
  </si>
  <si>
    <t>009947B</t>
  </si>
  <si>
    <t>018740</t>
  </si>
  <si>
    <t>012413</t>
  </si>
  <si>
    <t>12/11/1981</t>
  </si>
  <si>
    <t>015085</t>
  </si>
  <si>
    <t>009672</t>
  </si>
  <si>
    <t>11/23/1965</t>
  </si>
  <si>
    <t>MARK D VERAGUTH</t>
  </si>
  <si>
    <t>015527</t>
  </si>
  <si>
    <t>010036</t>
  </si>
  <si>
    <t>06/14/1966</t>
  </si>
  <si>
    <t>OWEN  FREDERICKS</t>
  </si>
  <si>
    <t>Pena Creek</t>
  </si>
  <si>
    <t>015394</t>
  </si>
  <si>
    <t>009041</t>
  </si>
  <si>
    <t>10/18/1966</t>
  </si>
  <si>
    <t>HUMMINGBIRD WEST</t>
  </si>
  <si>
    <t>015395</t>
  </si>
  <si>
    <t>009042</t>
  </si>
  <si>
    <t>012929A</t>
  </si>
  <si>
    <t>012408</t>
  </si>
  <si>
    <t>LEWIS A MARKSON</t>
  </si>
  <si>
    <t>017768</t>
  </si>
  <si>
    <t>011739</t>
  </si>
  <si>
    <t>03/14/1979</t>
  </si>
  <si>
    <t>ANTONE  FAHDEN</t>
  </si>
  <si>
    <t>018739</t>
  </si>
  <si>
    <t>012129</t>
  </si>
  <si>
    <t>03/05/1981</t>
  </si>
  <si>
    <t>MARCIA  LANG</t>
  </si>
  <si>
    <t>016412</t>
  </si>
  <si>
    <t>010691</t>
  </si>
  <si>
    <t>11/10/1971</t>
  </si>
  <si>
    <t>Kenneth W Bilstein</t>
  </si>
  <si>
    <t>017966</t>
  </si>
  <si>
    <t>10/01/2002</t>
  </si>
  <si>
    <t>017055A</t>
  </si>
  <si>
    <t>012794</t>
  </si>
  <si>
    <t>017369A</t>
  </si>
  <si>
    <t>012472</t>
  </si>
  <si>
    <t>02/13/1990</t>
  </si>
  <si>
    <t>011193</t>
  </si>
  <si>
    <t>07/17/1974</t>
  </si>
  <si>
    <t>JAY  JOSEPH</t>
  </si>
  <si>
    <t>017390A</t>
  </si>
  <si>
    <t>012440</t>
  </si>
  <si>
    <t>Billie Jane Blankinship</t>
  </si>
  <si>
    <t>017241</t>
  </si>
  <si>
    <t>011963</t>
  </si>
  <si>
    <t>12/17/1974</t>
  </si>
  <si>
    <t>017377</t>
  </si>
  <si>
    <t>011604</t>
  </si>
  <si>
    <t>03/20/1975</t>
  </si>
  <si>
    <t>017199</t>
  </si>
  <si>
    <t>011579</t>
  </si>
  <si>
    <t>09/10/1975</t>
  </si>
  <si>
    <t>017420</t>
  </si>
  <si>
    <t>012317</t>
  </si>
  <si>
    <t>10/10/1975</t>
  </si>
  <si>
    <t>017243</t>
  </si>
  <si>
    <t>011526</t>
  </si>
  <si>
    <t>017081</t>
  </si>
  <si>
    <t>011607</t>
  </si>
  <si>
    <t>12/17/1975</t>
  </si>
  <si>
    <t>REDWOOD VALLEY CELLARS INC</t>
  </si>
  <si>
    <t>017655</t>
  </si>
  <si>
    <t>011748</t>
  </si>
  <si>
    <t>02/09/1976</t>
  </si>
  <si>
    <t>017150</t>
  </si>
  <si>
    <t>011653</t>
  </si>
  <si>
    <t>09/21/1976</t>
  </si>
  <si>
    <t>SUSAN REARDON 2012 TRUST</t>
  </si>
  <si>
    <t>015607</t>
  </si>
  <si>
    <t>010060</t>
  </si>
  <si>
    <t>10/05/1967</t>
  </si>
  <si>
    <t>GEORGE  HARGREAVES</t>
  </si>
  <si>
    <t>015575</t>
  </si>
  <si>
    <t>010332</t>
  </si>
  <si>
    <t>07/16/1968</t>
  </si>
  <si>
    <t>THE LAWTON AND ANNEKE SHURTLEFF MARITAL TRUST</t>
  </si>
  <si>
    <t>015816</t>
  </si>
  <si>
    <t>010231</t>
  </si>
  <si>
    <t>07/26/1968</t>
  </si>
  <si>
    <t>015995A</t>
  </si>
  <si>
    <t>013161</t>
  </si>
  <si>
    <t>07/20/1984</t>
  </si>
  <si>
    <t>016050</t>
  </si>
  <si>
    <t>010222</t>
  </si>
  <si>
    <t>10/31/1969</t>
  </si>
  <si>
    <t>016201</t>
  </si>
  <si>
    <t>010472</t>
  </si>
  <si>
    <t>04/27/1970</t>
  </si>
  <si>
    <t>016137B</t>
  </si>
  <si>
    <t>010663B</t>
  </si>
  <si>
    <t>11/05/1984</t>
  </si>
  <si>
    <t>016151</t>
  </si>
  <si>
    <t>010193</t>
  </si>
  <si>
    <t>07/14/1970</t>
  </si>
  <si>
    <t>MICHAEL  S PECHERER</t>
  </si>
  <si>
    <t>016293</t>
  </si>
  <si>
    <t>011160</t>
  </si>
  <si>
    <t>04/22/1971</t>
  </si>
  <si>
    <t>JAMES J FUNSTEN</t>
  </si>
  <si>
    <t>019941</t>
  </si>
  <si>
    <t>013680</t>
  </si>
  <si>
    <t>MICHAEL J FARRELL</t>
  </si>
  <si>
    <t>020157</t>
  </si>
  <si>
    <t>013121</t>
  </si>
  <si>
    <t>10/22/1986</t>
  </si>
  <si>
    <t>A029386</t>
  </si>
  <si>
    <t>01/01/1500</t>
  </si>
  <si>
    <t>GHILOTTI BROTHERS, INC</t>
  </si>
  <si>
    <t>A029704</t>
  </si>
  <si>
    <t>04/04/2006</t>
  </si>
  <si>
    <t>JACKSON FAMILY FARMS, LLC</t>
  </si>
  <si>
    <t>017279</t>
  </si>
  <si>
    <t>011280</t>
  </si>
  <si>
    <t>04/12/1977</t>
  </si>
  <si>
    <t>ROBERT F WARREN</t>
  </si>
  <si>
    <t>020355</t>
  </si>
  <si>
    <t>11/09/2005</t>
  </si>
  <si>
    <t>020516</t>
  </si>
  <si>
    <t>013659</t>
  </si>
  <si>
    <t>07/31/2006</t>
  </si>
  <si>
    <t>Janet K.F. Pauli</t>
  </si>
  <si>
    <t>018837</t>
  </si>
  <si>
    <t>013399</t>
  </si>
  <si>
    <t>03/15/1982</t>
  </si>
  <si>
    <t>CALIFORNIA WATER SERVICE COMPANY</t>
  </si>
  <si>
    <t>018900</t>
  </si>
  <si>
    <t>012460</t>
  </si>
  <si>
    <t>10/21/1982</t>
  </si>
  <si>
    <t>A031263</t>
  </si>
  <si>
    <t>07/15/2003</t>
  </si>
  <si>
    <t>A031515</t>
  </si>
  <si>
    <t>A020618</t>
  </si>
  <si>
    <t>013759</t>
  </si>
  <si>
    <t>008281</t>
  </si>
  <si>
    <t>07/29/2002</t>
  </si>
  <si>
    <t>S009068</t>
  </si>
  <si>
    <t>05/08/2007</t>
  </si>
  <si>
    <t>S013891</t>
  </si>
  <si>
    <t>03/09/2000</t>
  </si>
  <si>
    <t>KENNETH JOSEPH MCNAMARA JR</t>
  </si>
  <si>
    <t>S015786</t>
  </si>
  <si>
    <t>05/24/2007</t>
  </si>
  <si>
    <t>A024924B</t>
  </si>
  <si>
    <t>017210B</t>
  </si>
  <si>
    <t>04/04/2007</t>
  </si>
  <si>
    <t>MICHAEL  TOLMASOFF</t>
  </si>
  <si>
    <t>A029121</t>
  </si>
  <si>
    <t>020354</t>
  </si>
  <si>
    <t>10/04/1999</t>
  </si>
  <si>
    <t>D030002</t>
  </si>
  <si>
    <t>000115</t>
  </si>
  <si>
    <t>11/02/2001</t>
  </si>
  <si>
    <t>JOSEPH E TILT</t>
  </si>
  <si>
    <t>01/03/1967</t>
  </si>
  <si>
    <t>7 A RANCH</t>
  </si>
  <si>
    <t>000684</t>
  </si>
  <si>
    <t>08/03/2005</t>
  </si>
  <si>
    <t>JOHN D RIORDAN</t>
  </si>
  <si>
    <t>A021181SF</t>
  </si>
  <si>
    <t>Appropriative (State Filing)</t>
  </si>
  <si>
    <t>03/07/1963</t>
  </si>
  <si>
    <t>STATE WATER RESOURCES CONTROL BOARD</t>
  </si>
  <si>
    <t>000735</t>
  </si>
  <si>
    <t>07/17/2007</t>
  </si>
  <si>
    <t>BARBARA  KOBLER</t>
  </si>
  <si>
    <t>000072</t>
  </si>
  <si>
    <t>005166</t>
  </si>
  <si>
    <t>005343</t>
  </si>
  <si>
    <t>005834</t>
  </si>
  <si>
    <t>12/23/1997</t>
  </si>
  <si>
    <t>RICHARD L JENNINGS</t>
  </si>
  <si>
    <t>003981</t>
  </si>
  <si>
    <t>04/02/1991</t>
  </si>
  <si>
    <t>07/10/1981</t>
  </si>
  <si>
    <t>04/12/1967</t>
  </si>
  <si>
    <t>LAFRANCHI LAND AND CATTLE COMPANY LLC</t>
  </si>
  <si>
    <t>03/17/2004</t>
  </si>
  <si>
    <t>09/01/2004</t>
  </si>
  <si>
    <t>DENISE  HALE</t>
  </si>
  <si>
    <t>11/05/2004</t>
  </si>
  <si>
    <t>BERRY FAMILY LLC</t>
  </si>
  <si>
    <t>06/28/2004</t>
  </si>
  <si>
    <t>FREDRICK B STEELE</t>
  </si>
  <si>
    <t>RICHARD L   MITCHELL</t>
  </si>
  <si>
    <t>03/09/1992</t>
  </si>
  <si>
    <t>11/23/2005</t>
  </si>
  <si>
    <t>10/06/2005</t>
  </si>
  <si>
    <t>JOHN  STATZER</t>
  </si>
  <si>
    <t>03/23/2005</t>
  </si>
  <si>
    <t>Stevens Family Trust</t>
  </si>
  <si>
    <t>07/05/2005</t>
  </si>
  <si>
    <t>JAMES A GEHRING TRUST ET AL</t>
  </si>
  <si>
    <t>11/13/2006</t>
  </si>
  <si>
    <t>Klein Foods Inc.</t>
  </si>
  <si>
    <t>01/01/1969</t>
  </si>
  <si>
    <t>LANCE  BLAKELEY</t>
  </si>
  <si>
    <t>02/13/1986</t>
  </si>
  <si>
    <t>05/05/1976</t>
  </si>
  <si>
    <t>MICHAEL P BOER</t>
  </si>
  <si>
    <t>04/24/1997</t>
  </si>
  <si>
    <t>11/18/1998</t>
  </si>
  <si>
    <t>MARIETTA CELLARS - GEYSERVILLE RANCH</t>
  </si>
  <si>
    <t>06/07/1977</t>
  </si>
  <si>
    <t>LOUISE M SUACCI</t>
  </si>
  <si>
    <t>01/16/2002</t>
  </si>
  <si>
    <t>07/02/2001</t>
  </si>
  <si>
    <t>PETER MICHAEL WINERY</t>
  </si>
  <si>
    <t>02/20/2001</t>
  </si>
  <si>
    <t>DEL RIO PROPERTIES</t>
  </si>
  <si>
    <t>MONTE R LA DELLE</t>
  </si>
  <si>
    <t>12/22/1978</t>
  </si>
  <si>
    <t>GERALD C LAGUENS</t>
  </si>
  <si>
    <t>LIONS HEAD RANCH</t>
  </si>
  <si>
    <t>X003559</t>
  </si>
  <si>
    <t>06/19/2009</t>
  </si>
  <si>
    <t>GREGORY  KRAMER</t>
  </si>
  <si>
    <t>06/27/2014</t>
  </si>
  <si>
    <t>021214</t>
  </si>
  <si>
    <t>04/18/2008</t>
  </si>
  <si>
    <t>OCCIDENTAL COMMUNITY SERVICES DISTRICT</t>
  </si>
  <si>
    <t>S006281</t>
  </si>
  <si>
    <t>03/28/2006</t>
  </si>
  <si>
    <t>Kay   Woods</t>
  </si>
  <si>
    <t>A031147</t>
  </si>
  <si>
    <t>12/04/2008</t>
  </si>
  <si>
    <t>A030747</t>
  </si>
  <si>
    <t>MCMICKING AND COMPANY</t>
  </si>
  <si>
    <t>12/19/2008</t>
  </si>
  <si>
    <t>COOLEY RANCH COMPANY McCHRISTIAN POND</t>
  </si>
  <si>
    <t>021208</t>
  </si>
  <si>
    <t>01/02/2008</t>
  </si>
  <si>
    <t>03/21/2008</t>
  </si>
  <si>
    <t>ROY  PALES</t>
  </si>
  <si>
    <t>021036</t>
  </si>
  <si>
    <t>013825</t>
  </si>
  <si>
    <t>01/10/2011</t>
  </si>
  <si>
    <t>LYNETTE  ROSE</t>
  </si>
  <si>
    <t>000773</t>
  </si>
  <si>
    <t>12/02/2009</t>
  </si>
  <si>
    <t>018431</t>
  </si>
  <si>
    <t>013408</t>
  </si>
  <si>
    <t>11/03/1998</t>
  </si>
  <si>
    <t>Thornhill Vineyard Properties, LLC</t>
  </si>
  <si>
    <t>09/19/2001</t>
  </si>
  <si>
    <t>LOS ALTOS VINEYARDS</t>
  </si>
  <si>
    <t>S008736</t>
  </si>
  <si>
    <t>07/27/2011</t>
  </si>
  <si>
    <t>HOWARD J FIELDS</t>
  </si>
  <si>
    <t>05/13/1999</t>
  </si>
  <si>
    <t>S014378</t>
  </si>
  <si>
    <t>GEORGE  BOU</t>
  </si>
  <si>
    <t>015098</t>
  </si>
  <si>
    <t>010356</t>
  </si>
  <si>
    <t>07/15/1974</t>
  </si>
  <si>
    <t>021230</t>
  </si>
  <si>
    <t>12/02/2008</t>
  </si>
  <si>
    <t>RUSTIC RETIREMENT LLC</t>
  </si>
  <si>
    <t>S003086</t>
  </si>
  <si>
    <t>JOSEPH P PERRY</t>
  </si>
  <si>
    <t>S013958</t>
  </si>
  <si>
    <t>000182</t>
  </si>
  <si>
    <t>03/25/1993</t>
  </si>
  <si>
    <t>LINDA  A. CHARTIER</t>
  </si>
  <si>
    <t>S013961</t>
  </si>
  <si>
    <t>D029444</t>
  </si>
  <si>
    <t>000602</t>
  </si>
  <si>
    <t>PAT CHENOWETH AHO</t>
  </si>
  <si>
    <t>020488</t>
  </si>
  <si>
    <t>01/14/1991</t>
  </si>
  <si>
    <t>06/29/2005</t>
  </si>
  <si>
    <t>STEPHEN  HAWKES</t>
  </si>
  <si>
    <t>04/07/2005</t>
  </si>
  <si>
    <t>YELLOW GEYSERVILLE III LLC</t>
  </si>
  <si>
    <t>016596</t>
  </si>
  <si>
    <t>07/09/1973</t>
  </si>
  <si>
    <t>SONOMA COUNTY WATER AGENCY</t>
  </si>
  <si>
    <t>Dutch Bill Creek-Russian River, Porter Creek-Russian River, West Slough-Dry Creek</t>
  </si>
  <si>
    <t>A031408</t>
  </si>
  <si>
    <t>BOHEMIA RANCH LLC</t>
  </si>
  <si>
    <t>01/06/1999</t>
  </si>
  <si>
    <t>021234</t>
  </si>
  <si>
    <t>03/10/2009</t>
  </si>
  <si>
    <t>008748</t>
  </si>
  <si>
    <t>004216</t>
  </si>
  <si>
    <t>GALLO GLASS COMPANY</t>
  </si>
  <si>
    <t>008192</t>
  </si>
  <si>
    <t>005559</t>
  </si>
  <si>
    <t>03/24/1959</t>
  </si>
  <si>
    <t>A026635</t>
  </si>
  <si>
    <t>018592</t>
  </si>
  <si>
    <t>11/17/2010</t>
  </si>
  <si>
    <t>NANCY F OGG</t>
  </si>
  <si>
    <t>021219</t>
  </si>
  <si>
    <t>07/25/2008</t>
  </si>
  <si>
    <t>009386</t>
  </si>
  <si>
    <t>005118</t>
  </si>
  <si>
    <t>05/12/1958</t>
  </si>
  <si>
    <t>FIORE  TALARICO</t>
  </si>
  <si>
    <t>Silverado Sonoma Vineyards, LLC Wohler Ranch #30</t>
  </si>
  <si>
    <t>019133</t>
  </si>
  <si>
    <t>013812</t>
  </si>
  <si>
    <t>020614</t>
  </si>
  <si>
    <t>013790</t>
  </si>
  <si>
    <t>DIANE K RUCKER</t>
  </si>
  <si>
    <t>09/20/2010</t>
  </si>
  <si>
    <t>ABBE FAMILY TRUST</t>
  </si>
  <si>
    <t>021312</t>
  </si>
  <si>
    <t>09/24/2012</t>
  </si>
  <si>
    <t>Peter Michael Winery</t>
  </si>
  <si>
    <t>01/27/2010</t>
  </si>
  <si>
    <t>ALLAN  RICHARDS</t>
  </si>
  <si>
    <t>021319</t>
  </si>
  <si>
    <t>10/09/2012</t>
  </si>
  <si>
    <t>09/29/2010</t>
  </si>
  <si>
    <t>PAMELA SUSAN BENDICH</t>
  </si>
  <si>
    <t>05/17/2012</t>
  </si>
  <si>
    <t>007996</t>
  </si>
  <si>
    <t>003895</t>
  </si>
  <si>
    <t>03/25/1954</t>
  </si>
  <si>
    <t>05/14/2012</t>
  </si>
  <si>
    <t>09/08/2010</t>
  </si>
  <si>
    <t>Capture Wines-Tin Cross Vineyard</t>
  </si>
  <si>
    <t>S019703</t>
  </si>
  <si>
    <t>11/20/2013</t>
  </si>
  <si>
    <t>Dane H. Petersen</t>
  </si>
  <si>
    <t>08/23/2010</t>
  </si>
  <si>
    <t>GRICE INC</t>
  </si>
  <si>
    <t>S009756</t>
  </si>
  <si>
    <t>11/15/2013</t>
  </si>
  <si>
    <t>UNION OIL COMPANY OF CALIFORNIA</t>
  </si>
  <si>
    <t>BAVARION LION COMPANY</t>
  </si>
  <si>
    <t>09/01/2010</t>
  </si>
  <si>
    <t>RYAN  SMITH</t>
  </si>
  <si>
    <t>PATIENT TERRIER VINEYARD, LLC</t>
  </si>
  <si>
    <t>UN000435</t>
  </si>
  <si>
    <t>05/04/2012</t>
  </si>
  <si>
    <t>ARIELLA  MACII</t>
  </si>
  <si>
    <t>Medlock Ames Properties, LLC</t>
  </si>
  <si>
    <t>Grapevine Holdings L-1, LLC</t>
  </si>
  <si>
    <t>GEORGE D UNTI</t>
  </si>
  <si>
    <t>WILLIAM C PAULI</t>
  </si>
  <si>
    <t>JAMES W SLUSSER</t>
  </si>
  <si>
    <t>09/26/2011</t>
  </si>
  <si>
    <t>SAMUELE J BILBRO TRUST</t>
  </si>
  <si>
    <t>021323</t>
  </si>
  <si>
    <t>01/14/2013</t>
  </si>
  <si>
    <t>AUSTIN CREEK MUTUAL WATER COMPANY</t>
  </si>
  <si>
    <t>07/05/2011</t>
  </si>
  <si>
    <t>VERLANDER FAMILY TRUST</t>
  </si>
  <si>
    <t>UN000286</t>
  </si>
  <si>
    <t>John   Nieman</t>
  </si>
  <si>
    <t>02/07/2012</t>
  </si>
  <si>
    <t>AMNOS LLC</t>
  </si>
  <si>
    <t>RICHARD  LA MALFA</t>
  </si>
  <si>
    <t>04/16/2012</t>
  </si>
  <si>
    <t>KEITH ALLEN JOHNSON</t>
  </si>
  <si>
    <t>DIANA MARIE FETZER</t>
  </si>
  <si>
    <t>11/19/2009</t>
  </si>
  <si>
    <t>08/13/2012</t>
  </si>
  <si>
    <t>JOHN AND SANDY CHUTE TRUST ET AL</t>
  </si>
  <si>
    <t>09/18/2012</t>
  </si>
  <si>
    <t>S019199</t>
  </si>
  <si>
    <t>KENNETH L KAHN</t>
  </si>
  <si>
    <t>S015272</t>
  </si>
  <si>
    <t>11/19/2013</t>
  </si>
  <si>
    <t>JOHN  WINDHAM</t>
  </si>
  <si>
    <t>S019387</t>
  </si>
  <si>
    <t>06/10/2013</t>
  </si>
  <si>
    <t>CARRERAS RANCH LLC</t>
  </si>
  <si>
    <t>021091</t>
  </si>
  <si>
    <t>013864</t>
  </si>
  <si>
    <t>08/14/2012</t>
  </si>
  <si>
    <t>CHALK HILL WINERY</t>
  </si>
  <si>
    <t>000618</t>
  </si>
  <si>
    <t>03/28/2002</t>
  </si>
  <si>
    <t>KEVIN J. KINSELLA</t>
  </si>
  <si>
    <t>09/14/2012</t>
  </si>
  <si>
    <t>017336B</t>
  </si>
  <si>
    <t>013856B</t>
  </si>
  <si>
    <t>S016101</t>
  </si>
  <si>
    <t>08/01/2013</t>
  </si>
  <si>
    <t>018373A</t>
  </si>
  <si>
    <t>10/15/1981</t>
  </si>
  <si>
    <t>HOOPER RANCH, LLC</t>
  </si>
  <si>
    <t>020653</t>
  </si>
  <si>
    <t>013843</t>
  </si>
  <si>
    <t>11/30/2011</t>
  </si>
  <si>
    <t>FARROW RANCH LLC</t>
  </si>
  <si>
    <t>STEEL HIP RANCH, LLC</t>
  </si>
  <si>
    <t>A025880</t>
  </si>
  <si>
    <t>018059</t>
  </si>
  <si>
    <t>012583</t>
  </si>
  <si>
    <t>09/18/2014</t>
  </si>
  <si>
    <t>10/02/2014</t>
  </si>
  <si>
    <t>Bohemian Club</t>
  </si>
  <si>
    <t>000855</t>
  </si>
  <si>
    <t>11/24/2015</t>
  </si>
  <si>
    <t>GLENDA  SMALLCOMB</t>
  </si>
  <si>
    <t>A028646</t>
  </si>
  <si>
    <t>020058</t>
  </si>
  <si>
    <t>013066</t>
  </si>
  <si>
    <t>12/08/2014</t>
  </si>
  <si>
    <t>LARRY E WEISS</t>
  </si>
  <si>
    <t>000006</t>
  </si>
  <si>
    <t>09/30/2015</t>
  </si>
  <si>
    <t>STEVEN  SCHULTZ</t>
  </si>
  <si>
    <t>10/13/2015</t>
  </si>
  <si>
    <t>Scott  Miller</t>
  </si>
  <si>
    <t>009151</t>
  </si>
  <si>
    <t>005368</t>
  </si>
  <si>
    <t>10/22/1958</t>
  </si>
  <si>
    <t>12/21/2015</t>
  </si>
  <si>
    <t>Jeff   Meyer</t>
  </si>
  <si>
    <t>D031458</t>
  </si>
  <si>
    <t>000679</t>
  </si>
  <si>
    <t>Elizabeth  Taggart</t>
  </si>
  <si>
    <t>Dry Creek Rancheria Band of Pomo Indians</t>
  </si>
  <si>
    <t>000827</t>
  </si>
  <si>
    <t>09/23/2015</t>
  </si>
  <si>
    <t>PETER J GRUCHAWKA AND NANCY SUMMERS GRUCHAWKA REVOCABLE LIVING TRUST</t>
  </si>
  <si>
    <t>S004990</t>
  </si>
  <si>
    <t>09/03/2014</t>
  </si>
  <si>
    <t>Duane Delong Trust and Sheila Maureen Ward Trust</t>
  </si>
  <si>
    <t>S023468</t>
  </si>
  <si>
    <t>01/13/2013</t>
  </si>
  <si>
    <t>020570</t>
  </si>
  <si>
    <t>11/15/1991</t>
  </si>
  <si>
    <t>08/03/2016</t>
  </si>
  <si>
    <t>CLAIRE  ETIENNE</t>
  </si>
  <si>
    <t>A030877</t>
  </si>
  <si>
    <t>08/19/2016</t>
  </si>
  <si>
    <t>MAX  LANDES</t>
  </si>
  <si>
    <t>UN000698</t>
  </si>
  <si>
    <t>02/06/2015</t>
  </si>
  <si>
    <t>Zaina Vineyards, LLC</t>
  </si>
  <si>
    <t>ROBERT  PANIZZERA</t>
  </si>
  <si>
    <t>UN000674</t>
  </si>
  <si>
    <t>12/10/2013</t>
  </si>
  <si>
    <t>06/22/2016</t>
  </si>
  <si>
    <t>PAM  BAER</t>
  </si>
  <si>
    <t>THERESA   MURPHY</t>
  </si>
  <si>
    <t>A024203</t>
  </si>
  <si>
    <t>016714</t>
  </si>
  <si>
    <t>11/19/2010</t>
  </si>
  <si>
    <t>DOMINIQUE  BARBIER</t>
  </si>
  <si>
    <t>000894</t>
  </si>
  <si>
    <t>06/24/2016</t>
  </si>
  <si>
    <t>FREDERIC  LALUYAUX</t>
  </si>
  <si>
    <t>07/28/2016</t>
  </si>
  <si>
    <t>PAUL T RECK</t>
  </si>
  <si>
    <t>11/01/2019</t>
  </si>
  <si>
    <t>JESSE  PEREZ</t>
  </si>
  <si>
    <t>S015949</t>
  </si>
  <si>
    <t>08/08/2018</t>
  </si>
  <si>
    <t>MERRITT L EAKLE</t>
  </si>
  <si>
    <t>001066</t>
  </si>
  <si>
    <t>05/11/2018</t>
  </si>
  <si>
    <t>MATTHEW  FREY</t>
  </si>
  <si>
    <t>001015</t>
  </si>
  <si>
    <t>02/08/2018</t>
  </si>
  <si>
    <t>JOSEPH F MINOCCHI</t>
  </si>
  <si>
    <t>A032372</t>
  </si>
  <si>
    <t>021370</t>
  </si>
  <si>
    <t>S023032</t>
  </si>
  <si>
    <t>S027300</t>
  </si>
  <si>
    <t>04/23/2019</t>
  </si>
  <si>
    <t>ALL GOOD LLC</t>
  </si>
  <si>
    <t>07/01/2018</t>
  </si>
  <si>
    <t>NICALE  WUNDERLICH</t>
  </si>
  <si>
    <t>000398</t>
  </si>
  <si>
    <t>11/16/1998</t>
  </si>
  <si>
    <t>STEVEN S KEIHNER</t>
  </si>
  <si>
    <t>010464</t>
  </si>
  <si>
    <t>005797</t>
  </si>
  <si>
    <t>10/22/1959</t>
  </si>
  <si>
    <t>ARATA ASSOCIATES LTD</t>
  </si>
  <si>
    <t>12/22/2017</t>
  </si>
  <si>
    <t>10/11/2019</t>
  </si>
  <si>
    <t>WILLIAM  TOURADY</t>
  </si>
  <si>
    <t>S008076</t>
  </si>
  <si>
    <t>02/20/2019</t>
  </si>
  <si>
    <t>A030583</t>
  </si>
  <si>
    <t>08/30/2018</t>
  </si>
  <si>
    <t>S023744</t>
  </si>
  <si>
    <t>04/16/2019</t>
  </si>
  <si>
    <t>REBECCA KINU FUKUI</t>
  </si>
  <si>
    <t>MARK  EGAN</t>
  </si>
  <si>
    <t>S027647</t>
  </si>
  <si>
    <t>04/03/2019</t>
  </si>
  <si>
    <t>RICHARD T DAVIS</t>
  </si>
  <si>
    <t>S024178</t>
  </si>
  <si>
    <t>08/09/2018</t>
  </si>
  <si>
    <t>UN000653</t>
  </si>
  <si>
    <t>04/12/2018</t>
  </si>
  <si>
    <t>Lalilu Pine Mountain LLC</t>
  </si>
  <si>
    <t>Alder Creek-Big Sulphur Creek, Oat Valley Creek-Russian River</t>
  </si>
  <si>
    <t>001013</t>
  </si>
  <si>
    <t>WILL  TAPPE</t>
  </si>
  <si>
    <t>S027269</t>
  </si>
  <si>
    <t>000982</t>
  </si>
  <si>
    <t>03/26/2019</t>
  </si>
  <si>
    <t>ROGER A SCHAFER</t>
  </si>
  <si>
    <t>H032944</t>
  </si>
  <si>
    <t>08/21/2018</t>
  </si>
  <si>
    <t>KARLEN  LORENZI</t>
  </si>
  <si>
    <t>H507914</t>
  </si>
  <si>
    <t>03/03/2020</t>
  </si>
  <si>
    <t>JOHN  MULVANEY</t>
  </si>
  <si>
    <t>S025983</t>
  </si>
  <si>
    <t>05/07/2020</t>
  </si>
  <si>
    <t>LINDSEY   SCHULZ</t>
  </si>
  <si>
    <t>S015705</t>
  </si>
  <si>
    <t>06/18/2020</t>
  </si>
  <si>
    <t>MICHAEL  MILOVINA</t>
  </si>
  <si>
    <t>09/27/2019</t>
  </si>
  <si>
    <t>S019642</t>
  </si>
  <si>
    <t>09/24/2018</t>
  </si>
  <si>
    <t>S027338</t>
  </si>
  <si>
    <t>12/04/2020</t>
  </si>
  <si>
    <t>S023851</t>
  </si>
  <si>
    <t>11/13/2017</t>
  </si>
  <si>
    <t>LARGO RUDDICK LIMITED PARTNERSHIP</t>
  </si>
  <si>
    <t>005338</t>
  </si>
  <si>
    <t>06/17/2021</t>
  </si>
  <si>
    <t>GRANT I   WADA</t>
  </si>
  <si>
    <t>021371</t>
  </si>
  <si>
    <t>04/24/2017</t>
  </si>
  <si>
    <t>COUNTY LINE VINEYARD, LLC</t>
  </si>
  <si>
    <t>FREEMAN  STEVENS</t>
  </si>
  <si>
    <t>12/04/2017</t>
  </si>
  <si>
    <t>TREEHOUSE VINEYARDS LLC</t>
  </si>
  <si>
    <t>H510174</t>
  </si>
  <si>
    <t>02/08/2021</t>
  </si>
  <si>
    <t>MICHAEL  SILVA</t>
  </si>
  <si>
    <t>JIM  VATTUONE</t>
  </si>
  <si>
    <t>A028727</t>
  </si>
  <si>
    <t>020053</t>
  </si>
  <si>
    <t>013153</t>
  </si>
  <si>
    <t>05/14/2020</t>
  </si>
  <si>
    <t>MARVIN G KRAMER</t>
  </si>
  <si>
    <t>JENIA  MUNDO</t>
  </si>
  <si>
    <t>BRANDON  WHEELER</t>
  </si>
  <si>
    <t>000017</t>
  </si>
  <si>
    <t>01/04/2022</t>
  </si>
  <si>
    <t>HIEN  NGUYEN</t>
  </si>
  <si>
    <t>100345</t>
  </si>
  <si>
    <t>10/28/2021</t>
  </si>
  <si>
    <t>EMILIANO  SOTO</t>
  </si>
  <si>
    <t>007928</t>
  </si>
  <si>
    <t>004393</t>
  </si>
  <si>
    <t>02/23/2022</t>
  </si>
  <si>
    <t>TIM  FOX</t>
  </si>
  <si>
    <t>100393</t>
  </si>
  <si>
    <t>05/11/2022</t>
  </si>
  <si>
    <t>SHANNON  BROWN</t>
  </si>
  <si>
    <t>007209</t>
  </si>
  <si>
    <t>003532</t>
  </si>
  <si>
    <t>11/09/2020</t>
  </si>
  <si>
    <t>ROBERT Y MIYASHIRO</t>
  </si>
  <si>
    <t>01/10/2003</t>
  </si>
  <si>
    <t>06/15/2004</t>
  </si>
  <si>
    <t>MENDO FARMING COMPANY LLC</t>
  </si>
  <si>
    <t>12/29/2000</t>
  </si>
  <si>
    <t>ROGINA WATER COMPANY INC</t>
  </si>
  <si>
    <t>06/15/2006</t>
  </si>
  <si>
    <t>05/02/1990</t>
  </si>
  <si>
    <t>TOWN OF WINDSOR</t>
  </si>
  <si>
    <t>12/27/1994</t>
  </si>
  <si>
    <t>11/22/1999</t>
  </si>
  <si>
    <t>Cummiskey Creek-Russian River, McNab Creek-Russian River</t>
  </si>
  <si>
    <t>05/27/2005</t>
  </si>
  <si>
    <t>Ghianda Rose Vineyard</t>
  </si>
  <si>
    <t>03/14/2001</t>
  </si>
  <si>
    <t>021026</t>
  </si>
  <si>
    <t>08/18/1994</t>
  </si>
  <si>
    <t>019009</t>
  </si>
  <si>
    <t>018950</t>
  </si>
  <si>
    <t>04/04/1983</t>
  </si>
  <si>
    <t>017960B</t>
  </si>
  <si>
    <t>016755A</t>
  </si>
  <si>
    <t>01/23/1985</t>
  </si>
  <si>
    <t>020020</t>
  </si>
  <si>
    <t>07/31/1973</t>
  </si>
  <si>
    <t>LOLONIS FAMILY VINEYARDS AND WINERY, INC.</t>
  </si>
  <si>
    <t>017399A</t>
  </si>
  <si>
    <t>017193B</t>
  </si>
  <si>
    <t>021005</t>
  </si>
  <si>
    <t>020583</t>
  </si>
  <si>
    <t>02/14/1989</t>
  </si>
  <si>
    <t>005537</t>
  </si>
  <si>
    <t>003104A</t>
  </si>
  <si>
    <t>02/22/1983</t>
  </si>
  <si>
    <t>SALLIE A MUMFORD</t>
  </si>
  <si>
    <t>003677</t>
  </si>
  <si>
    <t>001497</t>
  </si>
  <si>
    <t>12/26/1930</t>
  </si>
  <si>
    <t>JAMES D MILOVINA</t>
  </si>
  <si>
    <t>001711</t>
  </si>
  <si>
    <t>000492</t>
  </si>
  <si>
    <t>08/20/1923</t>
  </si>
  <si>
    <t>009991</t>
  </si>
  <si>
    <t>005561</t>
  </si>
  <si>
    <t>010380</t>
  </si>
  <si>
    <t>009628</t>
  </si>
  <si>
    <t>06/24/1955</t>
  </si>
  <si>
    <t>007406</t>
  </si>
  <si>
    <t>005461</t>
  </si>
  <si>
    <t>05/14/1948</t>
  </si>
  <si>
    <t>007696</t>
  </si>
  <si>
    <t>003584</t>
  </si>
  <si>
    <t>06/20/1949</t>
  </si>
  <si>
    <t>TIMOTHY  PINNEY</t>
  </si>
  <si>
    <t>007862</t>
  </si>
  <si>
    <t>003956</t>
  </si>
  <si>
    <t>007793</t>
  </si>
  <si>
    <t>005821</t>
  </si>
  <si>
    <t>08/04/1949</t>
  </si>
  <si>
    <t>004450A03</t>
  </si>
  <si>
    <t>07/24/1998</t>
  </si>
  <si>
    <t>007892</t>
  </si>
  <si>
    <t>010505</t>
  </si>
  <si>
    <t>09/20/1949</t>
  </si>
  <si>
    <t>008021</t>
  </si>
  <si>
    <t>003831</t>
  </si>
  <si>
    <t>10/03/1949</t>
  </si>
  <si>
    <t>009103</t>
  </si>
  <si>
    <t>005246</t>
  </si>
  <si>
    <t>01/31/1950</t>
  </si>
  <si>
    <t>008306</t>
  </si>
  <si>
    <t>003855</t>
  </si>
  <si>
    <t>05/24/1950</t>
  </si>
  <si>
    <t>006957</t>
  </si>
  <si>
    <t>003411</t>
  </si>
  <si>
    <t>04/28/1947</t>
  </si>
  <si>
    <t>013340</t>
  </si>
  <si>
    <t>008230</t>
  </si>
  <si>
    <t>05/12/1961</t>
  </si>
  <si>
    <t>BILLIE A ANTIPA</t>
  </si>
  <si>
    <t>013512</t>
  </si>
  <si>
    <t>008287</t>
  </si>
  <si>
    <t>10/13/1961</t>
  </si>
  <si>
    <t>THE FOOTHILL PROPERTY OWNERS ASSOCIATION</t>
  </si>
  <si>
    <t>008395</t>
  </si>
  <si>
    <t>004748</t>
  </si>
  <si>
    <t>ALAN JOSEPH FOPPIANO TRUST AND DIANA LYNN FOPPIANO TRUST ET AL</t>
  </si>
  <si>
    <t>008650</t>
  </si>
  <si>
    <t>004498</t>
  </si>
  <si>
    <t>11/13/1950</t>
  </si>
  <si>
    <t>LOUIS D PRESTON</t>
  </si>
  <si>
    <t>008582</t>
  </si>
  <si>
    <t>004704</t>
  </si>
  <si>
    <t>01/22/1951</t>
  </si>
  <si>
    <t>ROBERT  COMSTOCK</t>
  </si>
  <si>
    <t>008645</t>
  </si>
  <si>
    <t>005047</t>
  </si>
  <si>
    <t>04/11/1951</t>
  </si>
  <si>
    <t>JAMES A JENNARO</t>
  </si>
  <si>
    <t>008909</t>
  </si>
  <si>
    <t>006096</t>
  </si>
  <si>
    <t>06/05/1951</t>
  </si>
  <si>
    <t>008900</t>
  </si>
  <si>
    <t>004421</t>
  </si>
  <si>
    <t>KNIGHTS VALLEY VINEYARDS, LLC</t>
  </si>
  <si>
    <t>009074</t>
  </si>
  <si>
    <t>006734</t>
  </si>
  <si>
    <t>009231</t>
  </si>
  <si>
    <t>004801</t>
  </si>
  <si>
    <t>05/27/1952</t>
  </si>
  <si>
    <t>009248</t>
  </si>
  <si>
    <t>009538</t>
  </si>
  <si>
    <t>07/24/1952</t>
  </si>
  <si>
    <t>004777B</t>
  </si>
  <si>
    <t>009536</t>
  </si>
  <si>
    <t>007203</t>
  </si>
  <si>
    <t>03/12/1953</t>
  </si>
  <si>
    <t>FRED  PASSALACQUA</t>
  </si>
  <si>
    <t>009630</t>
  </si>
  <si>
    <t>005162</t>
  </si>
  <si>
    <t>07/06/1953</t>
  </si>
  <si>
    <t>009959</t>
  </si>
  <si>
    <t>005448</t>
  </si>
  <si>
    <t>009838</t>
  </si>
  <si>
    <t>005969</t>
  </si>
  <si>
    <t>02/23/1954</t>
  </si>
  <si>
    <t>ROSATI FAMILY TRUST</t>
  </si>
  <si>
    <t>013107</t>
  </si>
  <si>
    <t>008084</t>
  </si>
  <si>
    <t>05/06/1960</t>
  </si>
  <si>
    <t>012931</t>
  </si>
  <si>
    <t>010042</t>
  </si>
  <si>
    <t>04/04/1973</t>
  </si>
  <si>
    <t>JEROLD J PRUETT</t>
  </si>
  <si>
    <t>012927</t>
  </si>
  <si>
    <t>008099</t>
  </si>
  <si>
    <t>08/30/1960</t>
  </si>
  <si>
    <t>WILLIAM  REILLY</t>
  </si>
  <si>
    <t>013188</t>
  </si>
  <si>
    <t>008186</t>
  </si>
  <si>
    <t>01/17/1961</t>
  </si>
  <si>
    <t>FOURKAS FAMILY TRUST</t>
  </si>
  <si>
    <t>014842B</t>
  </si>
  <si>
    <t>011094</t>
  </si>
  <si>
    <t>05/22/1964</t>
  </si>
  <si>
    <t>JOHN  MCINERNEY III</t>
  </si>
  <si>
    <t>014951</t>
  </si>
  <si>
    <t>009708</t>
  </si>
  <si>
    <t>07/08/1964</t>
  </si>
  <si>
    <t>014691</t>
  </si>
  <si>
    <t>008880</t>
  </si>
  <si>
    <t>08/31/1964</t>
  </si>
  <si>
    <t>014787</t>
  </si>
  <si>
    <t>009602</t>
  </si>
  <si>
    <t>014763</t>
  </si>
  <si>
    <t>11/25/1964</t>
  </si>
  <si>
    <t>LOREN M BERRY</t>
  </si>
  <si>
    <t>010974</t>
  </si>
  <si>
    <t>006586</t>
  </si>
  <si>
    <t>02/26/1957</t>
  </si>
  <si>
    <t>013150</t>
  </si>
  <si>
    <t>03/14/1957</t>
  </si>
  <si>
    <t>011191</t>
  </si>
  <si>
    <t>009694</t>
  </si>
  <si>
    <t>06/28/1957</t>
  </si>
  <si>
    <t>JANET  LIDOW</t>
  </si>
  <si>
    <t>013073</t>
  </si>
  <si>
    <t>009397</t>
  </si>
  <si>
    <t>11/14/1957</t>
  </si>
  <si>
    <t>2000 PAULIN FAMILY REVOCABLE TRUST</t>
  </si>
  <si>
    <t>011325</t>
  </si>
  <si>
    <t>006875</t>
  </si>
  <si>
    <t>12/18/1957</t>
  </si>
  <si>
    <t>013841</t>
  </si>
  <si>
    <t>009514</t>
  </si>
  <si>
    <t>02/21/1962</t>
  </si>
  <si>
    <t>013761</t>
  </si>
  <si>
    <t>009569</t>
  </si>
  <si>
    <t>03/16/1962</t>
  </si>
  <si>
    <t>014115</t>
  </si>
  <si>
    <t>008571</t>
  </si>
  <si>
    <t>07/06/1962</t>
  </si>
  <si>
    <t>ALEC  RORABAUGH</t>
  </si>
  <si>
    <t>014023</t>
  </si>
  <si>
    <t>008250</t>
  </si>
  <si>
    <t>10/15/1962</t>
  </si>
  <si>
    <t>014738</t>
  </si>
  <si>
    <t>009568</t>
  </si>
  <si>
    <t>04/18/1963</t>
  </si>
  <si>
    <t>018904</t>
  </si>
  <si>
    <t>012383</t>
  </si>
  <si>
    <t>BONITA  BERGIN</t>
  </si>
  <si>
    <t>015038</t>
  </si>
  <si>
    <t>009508</t>
  </si>
  <si>
    <t>05/07/1965</t>
  </si>
  <si>
    <t>Douglas A. Rafanelli Trust</t>
  </si>
  <si>
    <t>015109</t>
  </si>
  <si>
    <t>010369</t>
  </si>
  <si>
    <t>08/24/1965</t>
  </si>
  <si>
    <t>BEALS FAMILY TRUST DATED JULY 28 1997</t>
  </si>
  <si>
    <t>015653</t>
  </si>
  <si>
    <t>010138</t>
  </si>
  <si>
    <t>12/02/1966</t>
  </si>
  <si>
    <t>LOVACORE LLC</t>
  </si>
  <si>
    <t>015536</t>
  </si>
  <si>
    <t>010698</t>
  </si>
  <si>
    <t>01/30/1967</t>
  </si>
  <si>
    <t>EDWIN R MURRAY TRUST</t>
  </si>
  <si>
    <t>012224</t>
  </si>
  <si>
    <t>008277</t>
  </si>
  <si>
    <t>08/28/1959</t>
  </si>
  <si>
    <t>JAKE  ZALEWSKI</t>
  </si>
  <si>
    <t>012238</t>
  </si>
  <si>
    <t>008689</t>
  </si>
  <si>
    <t>10/02/1959</t>
  </si>
  <si>
    <t>CHERYL  BRYAN</t>
  </si>
  <si>
    <t>013186</t>
  </si>
  <si>
    <t>007982</t>
  </si>
  <si>
    <t>12/14/1959</t>
  </si>
  <si>
    <t>THOMAS W SCHROYER</t>
  </si>
  <si>
    <t>017906</t>
  </si>
  <si>
    <t>012950</t>
  </si>
  <si>
    <t>08/30/1979</t>
  </si>
  <si>
    <t>FRANK J ZELLER</t>
  </si>
  <si>
    <t>018576</t>
  </si>
  <si>
    <t>012326</t>
  </si>
  <si>
    <t>018491</t>
  </si>
  <si>
    <t>11/03/1980</t>
  </si>
  <si>
    <t>WARDEN H NOBLE</t>
  </si>
  <si>
    <t>018512</t>
  </si>
  <si>
    <t>013138</t>
  </si>
  <si>
    <t>09/01/1981</t>
  </si>
  <si>
    <t>STEINER VINEYARD, LLC</t>
  </si>
  <si>
    <t>016377</t>
  </si>
  <si>
    <t>012003</t>
  </si>
  <si>
    <t>016448</t>
  </si>
  <si>
    <t>011024</t>
  </si>
  <si>
    <t>03/13/1972</t>
  </si>
  <si>
    <t>017426</t>
  </si>
  <si>
    <t>012373</t>
  </si>
  <si>
    <t>04/24/1972</t>
  </si>
  <si>
    <t>016583</t>
  </si>
  <si>
    <t>010970</t>
  </si>
  <si>
    <t>05/01/1972</t>
  </si>
  <si>
    <t>018315A</t>
  </si>
  <si>
    <t>013283</t>
  </si>
  <si>
    <t>016814</t>
  </si>
  <si>
    <t>011205</t>
  </si>
  <si>
    <t>05/24/1973</t>
  </si>
  <si>
    <t>HEMAR COMPANY</t>
  </si>
  <si>
    <t>016952</t>
  </si>
  <si>
    <t>011352</t>
  </si>
  <si>
    <t>09/13/1973</t>
  </si>
  <si>
    <t>TRADITION LP</t>
  </si>
  <si>
    <t>017032</t>
  </si>
  <si>
    <t>011589</t>
  </si>
  <si>
    <t>02/08/1974</t>
  </si>
  <si>
    <t>ABBE FAMILTY TRUST VAD 10/11/04</t>
  </si>
  <si>
    <t>017857</t>
  </si>
  <si>
    <t>011760</t>
  </si>
  <si>
    <t>05/07/1974</t>
  </si>
  <si>
    <t>ELIAS S HANNA</t>
  </si>
  <si>
    <t>016852</t>
  </si>
  <si>
    <t>011173</t>
  </si>
  <si>
    <t>06/06/1974</t>
  </si>
  <si>
    <t>016877</t>
  </si>
  <si>
    <t>012150</t>
  </si>
  <si>
    <t>03/18/1975</t>
  </si>
  <si>
    <t>Dutton Ranch Family Limited Partnership</t>
  </si>
  <si>
    <t>017256</t>
  </si>
  <si>
    <t>013318</t>
  </si>
  <si>
    <t>06/12/1975</t>
  </si>
  <si>
    <t>017451</t>
  </si>
  <si>
    <t>012080</t>
  </si>
  <si>
    <t>06/26/1975</t>
  </si>
  <si>
    <t>MARY  BLANCHARD-COLETTI</t>
  </si>
  <si>
    <t>017508</t>
  </si>
  <si>
    <t>011753</t>
  </si>
  <si>
    <t>02/18/1976</t>
  </si>
  <si>
    <t>ERNEST R PIFFERO</t>
  </si>
  <si>
    <t>017090</t>
  </si>
  <si>
    <t>011572</t>
  </si>
  <si>
    <t>05/21/1976</t>
  </si>
  <si>
    <t>KIMMEL &amp; SONS</t>
  </si>
  <si>
    <t>015633</t>
  </si>
  <si>
    <t>010824</t>
  </si>
  <si>
    <t>12/26/1967</t>
  </si>
  <si>
    <t>MARY VICTORIA ABRAHAMSOHN</t>
  </si>
  <si>
    <t>015827</t>
  </si>
  <si>
    <t>010344</t>
  </si>
  <si>
    <t>07/17/2002</t>
  </si>
  <si>
    <t>015759</t>
  </si>
  <si>
    <t>010399</t>
  </si>
  <si>
    <t>05/02/1968</t>
  </si>
  <si>
    <t>016202</t>
  </si>
  <si>
    <t>010534</t>
  </si>
  <si>
    <t>017059</t>
  </si>
  <si>
    <t>011614</t>
  </si>
  <si>
    <t>11/02/1970</t>
  </si>
  <si>
    <t>016219</t>
  </si>
  <si>
    <t>01/22/1971</t>
  </si>
  <si>
    <t>Felicia  Jean  Smith</t>
  </si>
  <si>
    <t>016234</t>
  </si>
  <si>
    <t>010536</t>
  </si>
  <si>
    <t>020169</t>
  </si>
  <si>
    <t>013105</t>
  </si>
  <si>
    <t>12/23/1985</t>
  </si>
  <si>
    <t>SHELLEY  MCCOY</t>
  </si>
  <si>
    <t>020019</t>
  </si>
  <si>
    <t>013111</t>
  </si>
  <si>
    <t>04/08/1986</t>
  </si>
  <si>
    <t>A029703</t>
  </si>
  <si>
    <t>A029962</t>
  </si>
  <si>
    <t>11/21/1999</t>
  </si>
  <si>
    <t>A030161</t>
  </si>
  <si>
    <t>07/23/1999</t>
  </si>
  <si>
    <t>A030179</t>
  </si>
  <si>
    <t>017967</t>
  </si>
  <si>
    <t>011920</t>
  </si>
  <si>
    <t>017203</t>
  </si>
  <si>
    <t>012262</t>
  </si>
  <si>
    <t>05/24/2002</t>
  </si>
  <si>
    <t>017703</t>
  </si>
  <si>
    <t>011714</t>
  </si>
  <si>
    <t>05/12/1977</t>
  </si>
  <si>
    <t>NORBERT C BABIN</t>
  </si>
  <si>
    <t>017809</t>
  </si>
  <si>
    <t>012049</t>
  </si>
  <si>
    <t>02/09/1978</t>
  </si>
  <si>
    <t>018786</t>
  </si>
  <si>
    <t>012581</t>
  </si>
  <si>
    <t>07/14/1982</t>
  </si>
  <si>
    <t>PATRICK R BRANSFORD</t>
  </si>
  <si>
    <t>019332</t>
  </si>
  <si>
    <t>013165</t>
  </si>
  <si>
    <t>04/30/1984</t>
  </si>
  <si>
    <t>THE GOLDEN RULE CHURCH ASSOCIATION</t>
  </si>
  <si>
    <t>020077</t>
  </si>
  <si>
    <t>013731</t>
  </si>
  <si>
    <t>019526</t>
  </si>
  <si>
    <t>012840</t>
  </si>
  <si>
    <t>12/27/1984</t>
  </si>
  <si>
    <t>PORTERBASS VINEYARDS LLC</t>
  </si>
  <si>
    <t>019666</t>
  </si>
  <si>
    <t>013257</t>
  </si>
  <si>
    <t>03/07/1985</t>
  </si>
  <si>
    <t>GERALD  SOMERS</t>
  </si>
  <si>
    <t>A030897</t>
  </si>
  <si>
    <t>11/08/2006</t>
  </si>
  <si>
    <t>CHRIS  BILBRO</t>
  </si>
  <si>
    <t>A031303</t>
  </si>
  <si>
    <t>09/14/2005</t>
  </si>
  <si>
    <t>NORMA  HUNT</t>
  </si>
  <si>
    <t>A031508</t>
  </si>
  <si>
    <t>X003078</t>
  </si>
  <si>
    <t>04/03/2000</t>
  </si>
  <si>
    <t>A021170</t>
  </si>
  <si>
    <t>014848</t>
  </si>
  <si>
    <t>009716</t>
  </si>
  <si>
    <t>02/13/2003</t>
  </si>
  <si>
    <t>A022848</t>
  </si>
  <si>
    <t>015750</t>
  </si>
  <si>
    <t>010312</t>
  </si>
  <si>
    <t>01/09/2004</t>
  </si>
  <si>
    <t>RACHEL SHADE WALL</t>
  </si>
  <si>
    <t>S003192</t>
  </si>
  <si>
    <t>S015788</t>
  </si>
  <si>
    <t>A016107</t>
  </si>
  <si>
    <t>011114</t>
  </si>
  <si>
    <t>009518</t>
  </si>
  <si>
    <t>A016404</t>
  </si>
  <si>
    <t>010457</t>
  </si>
  <si>
    <t>006525</t>
  </si>
  <si>
    <t>03/06/2006</t>
  </si>
  <si>
    <t>CALIF DEPT OF TRANSPORTATION</t>
  </si>
  <si>
    <t>A024481B</t>
  </si>
  <si>
    <t>017173B</t>
  </si>
  <si>
    <t>D031326</t>
  </si>
  <si>
    <t>000634</t>
  </si>
  <si>
    <t>BARBARA  LANNIN</t>
  </si>
  <si>
    <t>Lake Sonoma-Dry Creek</t>
  </si>
  <si>
    <t>E000004</t>
  </si>
  <si>
    <t>02/09/1988</t>
  </si>
  <si>
    <t>E000005</t>
  </si>
  <si>
    <t>02/10/1988</t>
  </si>
  <si>
    <t>BES HYDRO, INC</t>
  </si>
  <si>
    <t>000689</t>
  </si>
  <si>
    <t>MARTIN A ROBERTS JR</t>
  </si>
  <si>
    <t>000709</t>
  </si>
  <si>
    <t>05/04/2006</t>
  </si>
  <si>
    <t>DONALD G GERS</t>
  </si>
  <si>
    <t>000707</t>
  </si>
  <si>
    <t>A012920SF</t>
  </si>
  <si>
    <t>01/28/1949</t>
  </si>
  <si>
    <t>000056</t>
  </si>
  <si>
    <t>01/21/2005</t>
  </si>
  <si>
    <t>BELVA A FRISCHE</t>
  </si>
  <si>
    <t>000058</t>
  </si>
  <si>
    <t>04/18/2005</t>
  </si>
  <si>
    <t>ERNEST L TOLLINI</t>
  </si>
  <si>
    <t>000511</t>
  </si>
  <si>
    <t>12/03/1976</t>
  </si>
  <si>
    <t>ELIZABETH  BLANCHARD HANLEIN</t>
  </si>
  <si>
    <t>006052</t>
  </si>
  <si>
    <t>03/07/1980</t>
  </si>
  <si>
    <t>000070</t>
  </si>
  <si>
    <t>06/30/2006</t>
  </si>
  <si>
    <t>CHESTER  BOWLES JR</t>
  </si>
  <si>
    <t>06/30/1981</t>
  </si>
  <si>
    <t>DAVID P WEILEIN</t>
  </si>
  <si>
    <t>07/19/1982</t>
  </si>
  <si>
    <t>CLAY  SHANNON</t>
  </si>
  <si>
    <t>11/04/1988</t>
  </si>
  <si>
    <t>OVIDIU  DUMITRESCU</t>
  </si>
  <si>
    <t>05/13/1991</t>
  </si>
  <si>
    <t>DAVID J CERVANTES</t>
  </si>
  <si>
    <t>05/07/2002</t>
  </si>
  <si>
    <t>12/11/2002</t>
  </si>
  <si>
    <t>05/28/2002</t>
  </si>
  <si>
    <t>DERK   PURCELL</t>
  </si>
  <si>
    <t>07/11/2005</t>
  </si>
  <si>
    <t>DONNA STOCKTON HICKS</t>
  </si>
  <si>
    <t>04/27/2005</t>
  </si>
  <si>
    <t>Gloria M. Keller</t>
  </si>
  <si>
    <t>05/11/1993</t>
  </si>
  <si>
    <t>10/25/1993</t>
  </si>
  <si>
    <t>02/07/1995</t>
  </si>
  <si>
    <t>SOUZA PROPERTIES LLC</t>
  </si>
  <si>
    <t>05/16/1985</t>
  </si>
  <si>
    <t>MULVANEY-MEIGS LLC</t>
  </si>
  <si>
    <t>04/18/1973</t>
  </si>
  <si>
    <t>05/14/1973</t>
  </si>
  <si>
    <t>DUTCHER CREEK LLC</t>
  </si>
  <si>
    <t>07/24/2000</t>
  </si>
  <si>
    <t>ROBERT SPENCER BARRON</t>
  </si>
  <si>
    <t>East Austin Creek</t>
  </si>
  <si>
    <t>ALEX VLY ACRES MUTUAL W C</t>
  </si>
  <si>
    <t>JoAnn Borri Trust</t>
  </si>
  <si>
    <t>A022490</t>
  </si>
  <si>
    <t>015297</t>
  </si>
  <si>
    <t>012863</t>
  </si>
  <si>
    <t>04/13/2009</t>
  </si>
  <si>
    <t>HOLLYDALE MUTUAL WATER CO</t>
  </si>
  <si>
    <t>12/27/2005</t>
  </si>
  <si>
    <t>S010753</t>
  </si>
  <si>
    <t>07/02/2009</t>
  </si>
  <si>
    <t>021216</t>
  </si>
  <si>
    <t>06/18/2008</t>
  </si>
  <si>
    <t>SHAWNA B TODD</t>
  </si>
  <si>
    <t>06/03/2005</t>
  </si>
  <si>
    <t>CRAIG F ERDMAN</t>
  </si>
  <si>
    <t>DUFF  BEVILL</t>
  </si>
  <si>
    <t>000682</t>
  </si>
  <si>
    <t>10/06/2006</t>
  </si>
  <si>
    <t>WILLIAM J MERGENER</t>
  </si>
  <si>
    <t>000390</t>
  </si>
  <si>
    <t>10/28/1998</t>
  </si>
  <si>
    <t>FARHOOD  RABII</t>
  </si>
  <si>
    <t>Brooks Creek-Russian River, Dutch Bill Creek-Russian River, Porter Creek-Russian River</t>
  </si>
  <si>
    <t>06/09/2008</t>
  </si>
  <si>
    <t>S007904</t>
  </si>
  <si>
    <t>RUTH  BOWEN</t>
  </si>
  <si>
    <t>08/06/2009</t>
  </si>
  <si>
    <t>WOODLEY EAR FRAMPTON</t>
  </si>
  <si>
    <t>020082</t>
  </si>
  <si>
    <t>013811</t>
  </si>
  <si>
    <t>019314</t>
  </si>
  <si>
    <t>012634</t>
  </si>
  <si>
    <t>007847</t>
  </si>
  <si>
    <t>04/17/1950</t>
  </si>
  <si>
    <t>A009891</t>
  </si>
  <si>
    <t>005595</t>
  </si>
  <si>
    <t>003456</t>
  </si>
  <si>
    <t>08/04/2011</t>
  </si>
  <si>
    <t>MARY E MATTHEWS</t>
  </si>
  <si>
    <t>A022156</t>
  </si>
  <si>
    <t>015062</t>
  </si>
  <si>
    <t>010262</t>
  </si>
  <si>
    <t>JOHN P GUILFOY</t>
  </si>
  <si>
    <t>JESSICA  SCOTT</t>
  </si>
  <si>
    <t>East Sanel Irrigation Company</t>
  </si>
  <si>
    <t>000545</t>
  </si>
  <si>
    <t>09/12/2000</t>
  </si>
  <si>
    <t>DAVID T THOMPSON</t>
  </si>
  <si>
    <t>021227</t>
  </si>
  <si>
    <t>11/10/2008</t>
  </si>
  <si>
    <t>S013962</t>
  </si>
  <si>
    <t>12/02/1999</t>
  </si>
  <si>
    <t>Masut Du Ho Vineyards</t>
  </si>
  <si>
    <t>08/10/1998</t>
  </si>
  <si>
    <t>A029784</t>
  </si>
  <si>
    <t>07/02/1990</t>
  </si>
  <si>
    <t>DAVID  BURTON</t>
  </si>
  <si>
    <t>A031496</t>
  </si>
  <si>
    <t>03/17/2008</t>
  </si>
  <si>
    <t>REDWOOD VALLEY COUNTY WATER DISTRICT</t>
  </si>
  <si>
    <t>A030799</t>
  </si>
  <si>
    <t>BENNETT B MCMICKING</t>
  </si>
  <si>
    <t>000194</t>
  </si>
  <si>
    <t>ROBIN REED BADERSCHNEIDER</t>
  </si>
  <si>
    <t>S014911</t>
  </si>
  <si>
    <t>05/03/2006</t>
  </si>
  <si>
    <t>000377</t>
  </si>
  <si>
    <t>10/05/1998</t>
  </si>
  <si>
    <t>STEVEN MILLER, SUCCESSOR TRUSTEE, EDWARD MILLER TRUST U/A/D APRIL 26, 1976</t>
  </si>
  <si>
    <t>000379</t>
  </si>
  <si>
    <t>10/15/1998</t>
  </si>
  <si>
    <t>RYAN SCOTT POPLAWSKI</t>
  </si>
  <si>
    <t>12/09/2009</t>
  </si>
  <si>
    <t>Foothills Property Owners Association</t>
  </si>
  <si>
    <t>014321</t>
  </si>
  <si>
    <t>011989</t>
  </si>
  <si>
    <t>04/30/1986</t>
  </si>
  <si>
    <t>03/30/2009</t>
  </si>
  <si>
    <t>008792</t>
  </si>
  <si>
    <t>005324</t>
  </si>
  <si>
    <t>08/21/2008</t>
  </si>
  <si>
    <t>02/09/2009</t>
  </si>
  <si>
    <t>Peter   Buckley</t>
  </si>
  <si>
    <t>03/04/2002</t>
  </si>
  <si>
    <t>Rosetti Brothers</t>
  </si>
  <si>
    <t>A022682</t>
  </si>
  <si>
    <t>015393</t>
  </si>
  <si>
    <t>009820</t>
  </si>
  <si>
    <t>03/03/2009</t>
  </si>
  <si>
    <t>SEVEN ARCHES VINEYARD LLC</t>
  </si>
  <si>
    <t>S005802</t>
  </si>
  <si>
    <t>CHARLES  GIOVANNETTI</t>
  </si>
  <si>
    <t>010421</t>
  </si>
  <si>
    <t>007067</t>
  </si>
  <si>
    <t>11/06/1964</t>
  </si>
  <si>
    <t>S014093</t>
  </si>
  <si>
    <t>01/28/2005</t>
  </si>
  <si>
    <t>AIRPORT BUSINESS CENTER</t>
  </si>
  <si>
    <t>005408B</t>
  </si>
  <si>
    <t>07/15/2011</t>
  </si>
  <si>
    <t>GRABLE VINEYARDS</t>
  </si>
  <si>
    <t>09/28/2009</t>
  </si>
  <si>
    <t>Robert S and Janice  LaPant</t>
  </si>
  <si>
    <t>09/13/1991</t>
  </si>
  <si>
    <t>06/16/2010</t>
  </si>
  <si>
    <t>ABRAHAM  BARRAGAN-GONZALEZ</t>
  </si>
  <si>
    <t>04/20/2012</t>
  </si>
  <si>
    <t>JAMES  BARROW</t>
  </si>
  <si>
    <t>Allan F.  Nelson</t>
  </si>
  <si>
    <t>000823</t>
  </si>
  <si>
    <t>MAYACAMAS RANCH LLC</t>
  </si>
  <si>
    <t>05/30/2013</t>
  </si>
  <si>
    <t>000356</t>
  </si>
  <si>
    <t>06/08/1998</t>
  </si>
  <si>
    <t>LOTHER  DETERMAN</t>
  </si>
  <si>
    <t>06/21/2010</t>
  </si>
  <si>
    <t>GUALALA REDWOOD TIMBER LLC</t>
  </si>
  <si>
    <t>S008386</t>
  </si>
  <si>
    <t>08/02/2013</t>
  </si>
  <si>
    <t>CHARLES W WIKOFF</t>
  </si>
  <si>
    <t>06/24/2010</t>
  </si>
  <si>
    <t>JACKSON FAMILY INVESTMENTS II, LLC</t>
  </si>
  <si>
    <t>Foley Family Wines Inc.</t>
  </si>
  <si>
    <t>JUDITH  SPALETTA</t>
  </si>
  <si>
    <t>04/29/2011</t>
  </si>
  <si>
    <t>MICHAEL  GONELLA</t>
  </si>
  <si>
    <t>02/22/2012</t>
  </si>
  <si>
    <t>09/10/2010</t>
  </si>
  <si>
    <t>DAVID  FLUM</t>
  </si>
  <si>
    <t>021316</t>
  </si>
  <si>
    <t>01/25/2013</t>
  </si>
  <si>
    <t>DELICATO VINEYARDS</t>
  </si>
  <si>
    <t>BRENT  NELSON</t>
  </si>
  <si>
    <t>D031316</t>
  </si>
  <si>
    <t>000622</t>
  </si>
  <si>
    <t>05/06/2013</t>
  </si>
  <si>
    <t>JOHN W BROTHERS</t>
  </si>
  <si>
    <t>UN000115</t>
  </si>
  <si>
    <t>11/06/2012</t>
  </si>
  <si>
    <t>Jeffrey  Webber</t>
  </si>
  <si>
    <t>A026625</t>
  </si>
  <si>
    <t>018655</t>
  </si>
  <si>
    <t>03/09/2012</t>
  </si>
  <si>
    <t>MARJORIE S TODD</t>
  </si>
  <si>
    <t>HENDERLONG PROPERTIES</t>
  </si>
  <si>
    <t>09/13/2012</t>
  </si>
  <si>
    <t>SEGHESIO DRY CREEK RANCH</t>
  </si>
  <si>
    <t>000825</t>
  </si>
  <si>
    <t>LAWRENCE  BERNHEIM</t>
  </si>
  <si>
    <t>S017584</t>
  </si>
  <si>
    <t>05/29/2013</t>
  </si>
  <si>
    <t>02/09/2012</t>
  </si>
  <si>
    <t>DENNIS  DILL</t>
  </si>
  <si>
    <t>S015092</t>
  </si>
  <si>
    <t>05/22/2012</t>
  </si>
  <si>
    <t>Delorimier Family Parntership</t>
  </si>
  <si>
    <t>07/14/2015</t>
  </si>
  <si>
    <t>John  Rafanelli</t>
  </si>
  <si>
    <t>06/25/2013</t>
  </si>
  <si>
    <t>A030802</t>
  </si>
  <si>
    <t>02/11/2014</t>
  </si>
  <si>
    <t>BAVARIAN LION COMPANY</t>
  </si>
  <si>
    <t>07/03/2014</t>
  </si>
  <si>
    <t>Harry  Davitian</t>
  </si>
  <si>
    <t>09/29/2014</t>
  </si>
  <si>
    <t>CROSSROADS LLC</t>
  </si>
  <si>
    <t>11/30/1998</t>
  </si>
  <si>
    <t>820 MCNAB, LLC</t>
  </si>
  <si>
    <t>12/11/2015</t>
  </si>
  <si>
    <t>Jerry  Schumacher</t>
  </si>
  <si>
    <t>06/10/2014</t>
  </si>
  <si>
    <t>HARRY L LORENZI</t>
  </si>
  <si>
    <t>03/09/2014</t>
  </si>
  <si>
    <t>016430</t>
  </si>
  <si>
    <t>011060A</t>
  </si>
  <si>
    <t>D030823</t>
  </si>
  <si>
    <t>000422</t>
  </si>
  <si>
    <t>01/29/2015</t>
  </si>
  <si>
    <t>Angie Damos Deurloo</t>
  </si>
  <si>
    <t>S024177</t>
  </si>
  <si>
    <t>01/24/2014</t>
  </si>
  <si>
    <t>SHURTLEFF MARITAL TRUST</t>
  </si>
  <si>
    <t>000840</t>
  </si>
  <si>
    <t>A030223</t>
  </si>
  <si>
    <t>03/05/2014</t>
  </si>
  <si>
    <t>SONOMA CUTRER VINEYARDS INC</t>
  </si>
  <si>
    <t>018115A</t>
  </si>
  <si>
    <t>012367</t>
  </si>
  <si>
    <t>01/25/1989</t>
  </si>
  <si>
    <t>01/04/2017</t>
  </si>
  <si>
    <t>03/07/2016</t>
  </si>
  <si>
    <t>MONTGOMERY  WOODS</t>
  </si>
  <si>
    <t>A021458</t>
  </si>
  <si>
    <t>014292</t>
  </si>
  <si>
    <t>009222</t>
  </si>
  <si>
    <t>02/23/2017</t>
  </si>
  <si>
    <t>JEAN EVELYN MCMULLEN</t>
  </si>
  <si>
    <t>S023469</t>
  </si>
  <si>
    <t>04/08/2016</t>
  </si>
  <si>
    <t>020046</t>
  </si>
  <si>
    <t>013154</t>
  </si>
  <si>
    <t>05/25/1995</t>
  </si>
  <si>
    <t>JAMES DANIEL WHITE</t>
  </si>
  <si>
    <t>000862</t>
  </si>
  <si>
    <t>Windsor Oaks Associates</t>
  </si>
  <si>
    <t>100456</t>
  </si>
  <si>
    <t>05/19/2019</t>
  </si>
  <si>
    <t>S009039</t>
  </si>
  <si>
    <t>04/29/2020</t>
  </si>
  <si>
    <t>JILL DELANO RIDDER</t>
  </si>
  <si>
    <t>S027358</t>
  </si>
  <si>
    <t>06/11/2018</t>
  </si>
  <si>
    <t>FREDERICK  SODERLIND</t>
  </si>
  <si>
    <t>S019388</t>
  </si>
  <si>
    <t>04/28/2017</t>
  </si>
  <si>
    <t>L033035</t>
  </si>
  <si>
    <t>04/02/2019</t>
  </si>
  <si>
    <t>07/14/2017</t>
  </si>
  <si>
    <t>JAVIER EDUARDO VALENZUELA</t>
  </si>
  <si>
    <t>014669</t>
  </si>
  <si>
    <t>010270</t>
  </si>
  <si>
    <t>05/16/1974</t>
  </si>
  <si>
    <t>06/29/2018</t>
  </si>
  <si>
    <t>12/11/2017</t>
  </si>
  <si>
    <t>WILLIAM ROBERT DOWNS</t>
  </si>
  <si>
    <t>10/23/2017</t>
  </si>
  <si>
    <t>LANGFIELD L OBRIEN</t>
  </si>
  <si>
    <t>S024179</t>
  </si>
  <si>
    <t>H032943</t>
  </si>
  <si>
    <t>100203</t>
  </si>
  <si>
    <t>TYLER  LEWIS</t>
  </si>
  <si>
    <t>S027362</t>
  </si>
  <si>
    <t>H502266</t>
  </si>
  <si>
    <t>11/06/2019</t>
  </si>
  <si>
    <t>ALEJANDRO  MEDINA</t>
  </si>
  <si>
    <t>S026506</t>
  </si>
  <si>
    <t>08/02/2018</t>
  </si>
  <si>
    <t>JENNIFER  GRAY</t>
  </si>
  <si>
    <t>H506560</t>
  </si>
  <si>
    <t>OLANA ORGANICS</t>
  </si>
  <si>
    <t>S016888</t>
  </si>
  <si>
    <t>05/23/2017</t>
  </si>
  <si>
    <t>KAY  GERHART</t>
  </si>
  <si>
    <t>000291</t>
  </si>
  <si>
    <t>07/28/2017</t>
  </si>
  <si>
    <t>06/27/2018</t>
  </si>
  <si>
    <t>D030220</t>
  </si>
  <si>
    <t>000183</t>
  </si>
  <si>
    <t>05/13/2014</t>
  </si>
  <si>
    <t>EDWARD  HERDEN</t>
  </si>
  <si>
    <t>07/03/2017</t>
  </si>
  <si>
    <t>S010890</t>
  </si>
  <si>
    <t>03/30/2018</t>
  </si>
  <si>
    <t>GARY W VENTURI</t>
  </si>
  <si>
    <t>D031933</t>
  </si>
  <si>
    <t>04/24/2012</t>
  </si>
  <si>
    <t>Nancy  DeVincenzi</t>
  </si>
  <si>
    <t>H508644</t>
  </si>
  <si>
    <t>11/12/2019</t>
  </si>
  <si>
    <t>JJMJ</t>
  </si>
  <si>
    <t>021374</t>
  </si>
  <si>
    <t>021381</t>
  </si>
  <si>
    <t>08/15/2017</t>
  </si>
  <si>
    <t>LINHOLME PROPERTIES LTD</t>
  </si>
  <si>
    <t>100186</t>
  </si>
  <si>
    <t>04/08/2021</t>
  </si>
  <si>
    <t>H504189</t>
  </si>
  <si>
    <t>01/02/2019</t>
  </si>
  <si>
    <t>REMI  ZAJAC</t>
  </si>
  <si>
    <t>A031149</t>
  </si>
  <si>
    <t>02/07/2019</t>
  </si>
  <si>
    <t>KICK RANCH LLC</t>
  </si>
  <si>
    <t>01/29/2021</t>
  </si>
  <si>
    <t>000933</t>
  </si>
  <si>
    <t>07/31/2017</t>
  </si>
  <si>
    <t>Dennis  O'Leary</t>
  </si>
  <si>
    <t>S022809</t>
  </si>
  <si>
    <t>S022811</t>
  </si>
  <si>
    <t>S022813</t>
  </si>
  <si>
    <t>S015879</t>
  </si>
  <si>
    <t>11/20/2018</t>
  </si>
  <si>
    <t>D033273</t>
  </si>
  <si>
    <t>10/13/2021</t>
  </si>
  <si>
    <t>10/11/2021</t>
  </si>
  <si>
    <t>04/13/2000</t>
  </si>
  <si>
    <t>OAK RIDGE ANGUS</t>
  </si>
  <si>
    <t>021009</t>
  </si>
  <si>
    <t>09/27/1994</t>
  </si>
  <si>
    <t>018189B</t>
  </si>
  <si>
    <t>03/04/1981</t>
  </si>
  <si>
    <t>QUASAR HOLDING LLC</t>
  </si>
  <si>
    <t>017327B</t>
  </si>
  <si>
    <t>05/22/1984</t>
  </si>
  <si>
    <t>JANET C KING</t>
  </si>
  <si>
    <t>017901A</t>
  </si>
  <si>
    <t>017901B</t>
  </si>
  <si>
    <t>017587B</t>
  </si>
  <si>
    <t>017180A02</t>
  </si>
  <si>
    <t>01/28/1992</t>
  </si>
  <si>
    <t>MOSHIN VINEYARDS, INC</t>
  </si>
  <si>
    <t>017180B</t>
  </si>
  <si>
    <t>03/27/1984</t>
  </si>
  <si>
    <t>017247</t>
  </si>
  <si>
    <t>09/29/1975</t>
  </si>
  <si>
    <t>PALOMINO LAKES MUTUAL WATER COMPANY, INC.</t>
  </si>
  <si>
    <t>021052</t>
  </si>
  <si>
    <t>Morrison Creek-Russian River, Orrs Creek-Russian River</t>
  </si>
  <si>
    <t>021084</t>
  </si>
  <si>
    <t>08/17/1990</t>
  </si>
  <si>
    <t>ROBERT H SPLAN</t>
  </si>
  <si>
    <t>005661</t>
  </si>
  <si>
    <t>002626</t>
  </si>
  <si>
    <t>08/28/1940</t>
  </si>
  <si>
    <t>BRADLEY  HAHN</t>
  </si>
  <si>
    <t>020134</t>
  </si>
  <si>
    <t>ALEXANDER    KRAMER</t>
  </si>
  <si>
    <t>020137</t>
  </si>
  <si>
    <t>RAY  MCCURDY III</t>
  </si>
  <si>
    <t>003676</t>
  </si>
  <si>
    <t>001772</t>
  </si>
  <si>
    <t>YULUPA INVESTMENTS LLC</t>
  </si>
  <si>
    <t>013013</t>
  </si>
  <si>
    <t>007521</t>
  </si>
  <si>
    <t>05/09/1956</t>
  </si>
  <si>
    <t>009490C</t>
  </si>
  <si>
    <t>04/23/1981</t>
  </si>
  <si>
    <t>LAW OFFICE OF THOMAS F JOHNSON</t>
  </si>
  <si>
    <t>009851</t>
  </si>
  <si>
    <t>005759</t>
  </si>
  <si>
    <t>04/30/1954</t>
  </si>
  <si>
    <t>010427</t>
  </si>
  <si>
    <t>010131</t>
  </si>
  <si>
    <t>08/16/1955</t>
  </si>
  <si>
    <t>CALIF DEPT OF PARKS &amp; RECREATION</t>
  </si>
  <si>
    <t>007609</t>
  </si>
  <si>
    <t>004008</t>
  </si>
  <si>
    <t>11/03/1948</t>
  </si>
  <si>
    <t>URJ CAMP NEWMAN</t>
  </si>
  <si>
    <t>007857</t>
  </si>
  <si>
    <t>005199</t>
  </si>
  <si>
    <t>12/06/1958</t>
  </si>
  <si>
    <t>JAMES  NUNEMACHER</t>
  </si>
  <si>
    <t>007510</t>
  </si>
  <si>
    <t>005736</t>
  </si>
  <si>
    <t>12/23/1948</t>
  </si>
  <si>
    <t>IRON HORSE RANCH</t>
  </si>
  <si>
    <t>007869</t>
  </si>
  <si>
    <t>007235</t>
  </si>
  <si>
    <t>03/30/1965</t>
  </si>
  <si>
    <t>004453B</t>
  </si>
  <si>
    <t>06/29/1949</t>
  </si>
  <si>
    <t>008297</t>
  </si>
  <si>
    <t>004730</t>
  </si>
  <si>
    <t>10/11/1949</t>
  </si>
  <si>
    <t>Porter Creek-Mark West Creek, Porter Creek-Russian River</t>
  </si>
  <si>
    <t>008122</t>
  </si>
  <si>
    <t>007051</t>
  </si>
  <si>
    <t>02/14/1950</t>
  </si>
  <si>
    <t>004930</t>
  </si>
  <si>
    <t>05/10/1950</t>
  </si>
  <si>
    <t>008201</t>
  </si>
  <si>
    <t>003851</t>
  </si>
  <si>
    <t>008378</t>
  </si>
  <si>
    <t>004391</t>
  </si>
  <si>
    <t>08/23/1950</t>
  </si>
  <si>
    <t>CREEKFRONT AT HEALDSBURG LLC</t>
  </si>
  <si>
    <t>013144</t>
  </si>
  <si>
    <t>008185</t>
  </si>
  <si>
    <t>05/15/1961</t>
  </si>
  <si>
    <t>RICHARD  PRIVAT</t>
  </si>
  <si>
    <t>013510</t>
  </si>
  <si>
    <t>009450</t>
  </si>
  <si>
    <t>05/17/1961</t>
  </si>
  <si>
    <t>013425</t>
  </si>
  <si>
    <t>007910</t>
  </si>
  <si>
    <t>09/19/1961</t>
  </si>
  <si>
    <t>FRANCES   BROOKS</t>
  </si>
  <si>
    <t>013621</t>
  </si>
  <si>
    <t>008191</t>
  </si>
  <si>
    <t>01/26/1962</t>
  </si>
  <si>
    <t>008388</t>
  </si>
  <si>
    <t>005356</t>
  </si>
  <si>
    <t>09/27/1950</t>
  </si>
  <si>
    <t>008599</t>
  </si>
  <si>
    <t>004491</t>
  </si>
  <si>
    <t>008478</t>
  </si>
  <si>
    <t>006887</t>
  </si>
  <si>
    <t>008590</t>
  </si>
  <si>
    <t>007546</t>
  </si>
  <si>
    <t>008644</t>
  </si>
  <si>
    <t>004520</t>
  </si>
  <si>
    <t>008823</t>
  </si>
  <si>
    <t>005708</t>
  </si>
  <si>
    <t>06/25/1951</t>
  </si>
  <si>
    <t>008950</t>
  </si>
  <si>
    <t>005455</t>
  </si>
  <si>
    <t>12/17/1951</t>
  </si>
  <si>
    <t>009101</t>
  </si>
  <si>
    <t>006937</t>
  </si>
  <si>
    <t>06/12/1952</t>
  </si>
  <si>
    <t>ROBERT AND HELEN REEDY SURVIVOR'S TRUST</t>
  </si>
  <si>
    <t>009249</t>
  </si>
  <si>
    <t>004389</t>
  </si>
  <si>
    <t>02/08/2002</t>
  </si>
  <si>
    <t>PACIFIC STATES INDUSTRIES</t>
  </si>
  <si>
    <t>009259</t>
  </si>
  <si>
    <t>010831</t>
  </si>
  <si>
    <t>11/06/1952</t>
  </si>
  <si>
    <t>004688B</t>
  </si>
  <si>
    <t>ERWIN  LUDWIG</t>
  </si>
  <si>
    <t>009629</t>
  </si>
  <si>
    <t>006172</t>
  </si>
  <si>
    <t>06/05/1953</t>
  </si>
  <si>
    <t>Brooks Creek-Russian River, Sausal Creek-Russian River</t>
  </si>
  <si>
    <t>009701</t>
  </si>
  <si>
    <t>004978</t>
  </si>
  <si>
    <t>11/12/1953</t>
  </si>
  <si>
    <t>ROBERT S WHIPPLE</t>
  </si>
  <si>
    <t>009802</t>
  </si>
  <si>
    <t>011597</t>
  </si>
  <si>
    <t>07/10/1984</t>
  </si>
  <si>
    <t>CALIFORNIA DEPARTMENT OF FISH AND WILDLIFE</t>
  </si>
  <si>
    <t>009767</t>
  </si>
  <si>
    <t>005179</t>
  </si>
  <si>
    <t>02/15/1954</t>
  </si>
  <si>
    <t>009958B</t>
  </si>
  <si>
    <t>006828B</t>
  </si>
  <si>
    <t>009868</t>
  </si>
  <si>
    <t>006420</t>
  </si>
  <si>
    <t>Eunice Kathryn Harrigan Woods Trust</t>
  </si>
  <si>
    <t>012781</t>
  </si>
  <si>
    <t>009578</t>
  </si>
  <si>
    <t>07/05/1960</t>
  </si>
  <si>
    <t>JOHN W LOADES JR</t>
  </si>
  <si>
    <t>013042</t>
  </si>
  <si>
    <t>009291</t>
  </si>
  <si>
    <t>10/07/1960</t>
  </si>
  <si>
    <t>014547</t>
  </si>
  <si>
    <t>010528</t>
  </si>
  <si>
    <t>03/05/1964</t>
  </si>
  <si>
    <t>014751</t>
  </si>
  <si>
    <t>009262</t>
  </si>
  <si>
    <t>06/16/1964</t>
  </si>
  <si>
    <t>FLYING CLOUD BENNETT VALLEY LLC</t>
  </si>
  <si>
    <t>014784</t>
  </si>
  <si>
    <t>009598</t>
  </si>
  <si>
    <t>014786</t>
  </si>
  <si>
    <t>009614</t>
  </si>
  <si>
    <t>014788</t>
  </si>
  <si>
    <t>009604</t>
  </si>
  <si>
    <t>Campovida LLC</t>
  </si>
  <si>
    <t>011324</t>
  </si>
  <si>
    <t>006185</t>
  </si>
  <si>
    <t>07/29/1957</t>
  </si>
  <si>
    <t>WILLIAM AND WILLIAM JR DOMENICHELLI TRUST</t>
  </si>
  <si>
    <t>011664</t>
  </si>
  <si>
    <t>007230</t>
  </si>
  <si>
    <t>02/05/1958</t>
  </si>
  <si>
    <t>013694</t>
  </si>
  <si>
    <t>06/26/1958</t>
  </si>
  <si>
    <t>013726</t>
  </si>
  <si>
    <t>008353</t>
  </si>
  <si>
    <t>04/12/1962</t>
  </si>
  <si>
    <t>POCKET RANCH LLC</t>
  </si>
  <si>
    <t>013922</t>
  </si>
  <si>
    <t>008251</t>
  </si>
  <si>
    <t>11/30/1967</t>
  </si>
  <si>
    <t>013957</t>
  </si>
  <si>
    <t>008240</t>
  </si>
  <si>
    <t>07/25/1962</t>
  </si>
  <si>
    <t>SHIRLEY  JOHNSTON</t>
  </si>
  <si>
    <t>014391</t>
  </si>
  <si>
    <t>008938</t>
  </si>
  <si>
    <t>08/15/1962</t>
  </si>
  <si>
    <t>RICHARD C VANDLEN</t>
  </si>
  <si>
    <t>014827</t>
  </si>
  <si>
    <t>08/30/1962</t>
  </si>
  <si>
    <t>CINQUE TERRE VINEYARDS LLC</t>
  </si>
  <si>
    <t>014348</t>
  </si>
  <si>
    <t>008858</t>
  </si>
  <si>
    <t>06/17/1963</t>
  </si>
  <si>
    <t>US BUREAU OF LAND MANAGEMENT</t>
  </si>
  <si>
    <t>015103</t>
  </si>
  <si>
    <t>009945</t>
  </si>
  <si>
    <t>08/31/1965</t>
  </si>
  <si>
    <t>LUKE  MCGEEHEE</t>
  </si>
  <si>
    <t>015361</t>
  </si>
  <si>
    <t>009839</t>
  </si>
  <si>
    <t>09/21/1966</t>
  </si>
  <si>
    <t>015368</t>
  </si>
  <si>
    <t>009666</t>
  </si>
  <si>
    <t>10/27/1966</t>
  </si>
  <si>
    <t>BARBARA  RAMIREZ</t>
  </si>
  <si>
    <t>015506</t>
  </si>
  <si>
    <t>010321</t>
  </si>
  <si>
    <t>12/20/1966</t>
  </si>
  <si>
    <t>015457</t>
  </si>
  <si>
    <t>03/30/1967</t>
  </si>
  <si>
    <t>JOSEPH  TITONE</t>
  </si>
  <si>
    <t>013180</t>
  </si>
  <si>
    <t>008224</t>
  </si>
  <si>
    <t>012453</t>
  </si>
  <si>
    <t>007461</t>
  </si>
  <si>
    <t>12/18/1959</t>
  </si>
  <si>
    <t>008255</t>
  </si>
  <si>
    <t>02/18/1960</t>
  </si>
  <si>
    <t>NADINE  ANDERSON</t>
  </si>
  <si>
    <t>017672</t>
  </si>
  <si>
    <t>011619</t>
  </si>
  <si>
    <t>11/15/1978</t>
  </si>
  <si>
    <t>AUDREY SUE BUSH</t>
  </si>
  <si>
    <t>017877A</t>
  </si>
  <si>
    <t>013583</t>
  </si>
  <si>
    <t>02/03/2004</t>
  </si>
  <si>
    <t>Middleridge Vineyards</t>
  </si>
  <si>
    <t>018395</t>
  </si>
  <si>
    <t>013438</t>
  </si>
  <si>
    <t>06/11/1980</t>
  </si>
  <si>
    <t>018396</t>
  </si>
  <si>
    <t>013442</t>
  </si>
  <si>
    <t>018268</t>
  </si>
  <si>
    <t>012218</t>
  </si>
  <si>
    <t>07/02/1980</t>
  </si>
  <si>
    <t>018530</t>
  </si>
  <si>
    <t>012360</t>
  </si>
  <si>
    <t>08/16/1988</t>
  </si>
  <si>
    <t>018651</t>
  </si>
  <si>
    <t>012281</t>
  </si>
  <si>
    <t>10/05/1981</t>
  </si>
  <si>
    <t>018539</t>
  </si>
  <si>
    <t>013400</t>
  </si>
  <si>
    <t>10/16/1981</t>
  </si>
  <si>
    <t>016673</t>
  </si>
  <si>
    <t>011236</t>
  </si>
  <si>
    <t>09/17/1971</t>
  </si>
  <si>
    <t>016382</t>
  </si>
  <si>
    <t>010725</t>
  </si>
  <si>
    <t>11/03/1971</t>
  </si>
  <si>
    <t>FOUR CORNERS FARMLAND FUND LLC</t>
  </si>
  <si>
    <t>016452</t>
  </si>
  <si>
    <t>011198</t>
  </si>
  <si>
    <t>03/20/1972</t>
  </si>
  <si>
    <t>016715</t>
  </si>
  <si>
    <t>011152</t>
  </si>
  <si>
    <t>06/30/1972</t>
  </si>
  <si>
    <t>BRYAN  IVIE</t>
  </si>
  <si>
    <t>017781</t>
  </si>
  <si>
    <t>011669</t>
  </si>
  <si>
    <t>10/11/1972</t>
  </si>
  <si>
    <t>016646</t>
  </si>
  <si>
    <t>010912</t>
  </si>
  <si>
    <t>04/05/1973</t>
  </si>
  <si>
    <t>Jesse  Grieve</t>
  </si>
  <si>
    <t>017039</t>
  </si>
  <si>
    <t>011916</t>
  </si>
  <si>
    <t>10/10/1973</t>
  </si>
  <si>
    <t>017368</t>
  </si>
  <si>
    <t>011478</t>
  </si>
  <si>
    <t>03/01/1974</t>
  </si>
  <si>
    <t>017157</t>
  </si>
  <si>
    <t>011730</t>
  </si>
  <si>
    <t>02/28/1975</t>
  </si>
  <si>
    <t>017927B</t>
  </si>
  <si>
    <t>07/09/1980</t>
  </si>
  <si>
    <t>017161</t>
  </si>
  <si>
    <t>011736</t>
  </si>
  <si>
    <t>03/11/1975</t>
  </si>
  <si>
    <t>017206A</t>
  </si>
  <si>
    <t>012202</t>
  </si>
  <si>
    <t>08/18/1983</t>
  </si>
  <si>
    <t>017180A01</t>
  </si>
  <si>
    <t>013575</t>
  </si>
  <si>
    <t>02/04/2004</t>
  </si>
  <si>
    <t>JAIME   CAMPOVERDE</t>
  </si>
  <si>
    <t>017179</t>
  </si>
  <si>
    <t>011415</t>
  </si>
  <si>
    <t>09/24/1975</t>
  </si>
  <si>
    <t>MEGAN  NIEDERMEYER</t>
  </si>
  <si>
    <t>018378</t>
  </si>
  <si>
    <t>012041</t>
  </si>
  <si>
    <t>09/30/1975</t>
  </si>
  <si>
    <t>HANSON AGGREGATES MID-PACIFIC, INC.</t>
  </si>
  <si>
    <t>017162</t>
  </si>
  <si>
    <t>011543</t>
  </si>
  <si>
    <t>10/17/1975</t>
  </si>
  <si>
    <t>017299</t>
  </si>
  <si>
    <t>011564</t>
  </si>
  <si>
    <t>03/24/1976</t>
  </si>
  <si>
    <t>JOANNE E HEXOM</t>
  </si>
  <si>
    <t>015911</t>
  </si>
  <si>
    <t>010591</t>
  </si>
  <si>
    <t>10/13/1967</t>
  </si>
  <si>
    <t>MATHY VINEYARD LLC</t>
  </si>
  <si>
    <t>015797</t>
  </si>
  <si>
    <t>010032</t>
  </si>
  <si>
    <t>07/23/1968</t>
  </si>
  <si>
    <t>015996</t>
  </si>
  <si>
    <t>010852</t>
  </si>
  <si>
    <t>11/22/1968</t>
  </si>
  <si>
    <t>015860</t>
  </si>
  <si>
    <t>010529</t>
  </si>
  <si>
    <t>12/04/1968</t>
  </si>
  <si>
    <t>GARRETT  BLAKE</t>
  </si>
  <si>
    <t>015952</t>
  </si>
  <si>
    <t>010562</t>
  </si>
  <si>
    <t>06/17/1969</t>
  </si>
  <si>
    <t>VAL P PELINE</t>
  </si>
  <si>
    <t>016051</t>
  </si>
  <si>
    <t>010202</t>
  </si>
  <si>
    <t>11/17/1969</t>
  </si>
  <si>
    <t>FRANK  RICETTI JR</t>
  </si>
  <si>
    <t>016105</t>
  </si>
  <si>
    <t>012601</t>
  </si>
  <si>
    <t>12/09/1969</t>
  </si>
  <si>
    <t>ANARBOL  GALVEZ LOPEZ</t>
  </si>
  <si>
    <t>016084</t>
  </si>
  <si>
    <t>010759</t>
  </si>
  <si>
    <t>04/06/1970</t>
  </si>
  <si>
    <t>U S CORPS OF ENGINEERS</t>
  </si>
  <si>
    <t>016092</t>
  </si>
  <si>
    <t>010969</t>
  </si>
  <si>
    <t>06/24/1970</t>
  </si>
  <si>
    <t>016754</t>
  </si>
  <si>
    <t>011666</t>
  </si>
  <si>
    <t>07/21/1970</t>
  </si>
  <si>
    <t>016242</t>
  </si>
  <si>
    <t>010225</t>
  </si>
  <si>
    <t>02/09/1971</t>
  </si>
  <si>
    <t>016386</t>
  </si>
  <si>
    <t>010716</t>
  </si>
  <si>
    <t>06/08/1971</t>
  </si>
  <si>
    <t>Maria L Martinson</t>
  </si>
  <si>
    <t>020110</t>
  </si>
  <si>
    <t>013139</t>
  </si>
  <si>
    <t>PETER  GREGSON</t>
  </si>
  <si>
    <t>020036</t>
  </si>
  <si>
    <t>013594</t>
  </si>
  <si>
    <t>04/26/2004</t>
  </si>
  <si>
    <t>CHRISTOPHER M GULLEDGE</t>
  </si>
  <si>
    <t>East Fork Russian River-Russian River, Forsythe Creek</t>
  </si>
  <si>
    <t>A029463</t>
  </si>
  <si>
    <t>WILLIAM C CHENOWETH</t>
  </si>
  <si>
    <t>A029707</t>
  </si>
  <si>
    <t>A029897</t>
  </si>
  <si>
    <t>017890</t>
  </si>
  <si>
    <t>012607</t>
  </si>
  <si>
    <t>05/17/1977</t>
  </si>
  <si>
    <t>EPISCOPAL BISHOP OF CALIFORNIA</t>
  </si>
  <si>
    <t>017282</t>
  </si>
  <si>
    <t>06/24/1977</t>
  </si>
  <si>
    <t>DB GLEGHORN FAMILY REVOCABLE TRUST</t>
  </si>
  <si>
    <t>018139</t>
  </si>
  <si>
    <t>013102</t>
  </si>
  <si>
    <t>02/23/1978</t>
  </si>
  <si>
    <t>SOUTH CLOVERDALE WATER COMPANY</t>
  </si>
  <si>
    <t>020515</t>
  </si>
  <si>
    <t>013523</t>
  </si>
  <si>
    <t>020521</t>
  </si>
  <si>
    <t>013394</t>
  </si>
  <si>
    <t>08/22/1989</t>
  </si>
  <si>
    <t>STUHLMULLER VINEYARD PROPERTIES CALIF LIMITED PARTNERSHIP</t>
  </si>
  <si>
    <t>018762</t>
  </si>
  <si>
    <t>012477</t>
  </si>
  <si>
    <t>05/05/1982</t>
  </si>
  <si>
    <t>019569</t>
  </si>
  <si>
    <t>012865</t>
  </si>
  <si>
    <t>04/18/1984</t>
  </si>
  <si>
    <t>019565</t>
  </si>
  <si>
    <t>013298</t>
  </si>
  <si>
    <t>01/17/1985</t>
  </si>
  <si>
    <t>KEVIN  SYVRUD</t>
  </si>
  <si>
    <t>X002765</t>
  </si>
  <si>
    <t>11/10/1999</t>
  </si>
  <si>
    <t>X002820</t>
  </si>
  <si>
    <t>04/05/1999</t>
  </si>
  <si>
    <t>X002890</t>
  </si>
  <si>
    <t>04/26/2002</t>
  </si>
  <si>
    <t>A013281A</t>
  </si>
  <si>
    <t>004450A</t>
  </si>
  <si>
    <t>A014448</t>
  </si>
  <si>
    <t>008873</t>
  </si>
  <si>
    <t>005865</t>
  </si>
  <si>
    <t>FRED  KITCHEN</t>
  </si>
  <si>
    <t>A026298</t>
  </si>
  <si>
    <t>018538</t>
  </si>
  <si>
    <t>LEO J BECNEL</t>
  </si>
  <si>
    <t>S001997</t>
  </si>
  <si>
    <t>S008846</t>
  </si>
  <si>
    <t>08/19/2003</t>
  </si>
  <si>
    <t>A023552</t>
  </si>
  <si>
    <t>016114</t>
  </si>
  <si>
    <t>010777</t>
  </si>
  <si>
    <t>A024908</t>
  </si>
  <si>
    <t>016960</t>
  </si>
  <si>
    <t>011312</t>
  </si>
  <si>
    <t>12/14/2000</t>
  </si>
  <si>
    <t>PARKER  MADDUX</t>
  </si>
  <si>
    <t>D031332</t>
  </si>
  <si>
    <t>000632</t>
  </si>
  <si>
    <t>CLIFF  PALEFSKY</t>
  </si>
  <si>
    <t>000661</t>
  </si>
  <si>
    <t>LARRY C FALK</t>
  </si>
  <si>
    <t>000668</t>
  </si>
  <si>
    <t>Peter K Scott</t>
  </si>
  <si>
    <t>A021182SF</t>
  </si>
  <si>
    <t>Mendocino, Sonoma</t>
  </si>
  <si>
    <t>Brooks Creek-Russian River, Gill Creek-Russian River, Oat Valley Creek-Russian River</t>
  </si>
  <si>
    <t>000063</t>
  </si>
  <si>
    <t>12/22/2005</t>
  </si>
  <si>
    <t>000073</t>
  </si>
  <si>
    <t>12/20/2005</t>
  </si>
  <si>
    <t>000028</t>
  </si>
  <si>
    <t>04/22/1975</t>
  </si>
  <si>
    <t>C C HILL</t>
  </si>
  <si>
    <t>005521</t>
  </si>
  <si>
    <t>003979</t>
  </si>
  <si>
    <t>01/09/1991</t>
  </si>
  <si>
    <t>JAMES  R KRECK</t>
  </si>
  <si>
    <t>10/23/1986</t>
  </si>
  <si>
    <t>JIM  NIX</t>
  </si>
  <si>
    <t>02/02/1987</t>
  </si>
  <si>
    <t>JEWELL  KING</t>
  </si>
  <si>
    <t>09/13/1988</t>
  </si>
  <si>
    <t>04/10/1991</t>
  </si>
  <si>
    <t>BARRY  BOYCE</t>
  </si>
  <si>
    <t>10/15/1991</t>
  </si>
  <si>
    <t>PAULA  STEINWAY</t>
  </si>
  <si>
    <t>12/03/1991</t>
  </si>
  <si>
    <t>07/29/2001</t>
  </si>
  <si>
    <t>10/07/2005</t>
  </si>
  <si>
    <t>04/25/2005</t>
  </si>
  <si>
    <t>04/14/2005</t>
  </si>
  <si>
    <t>RAWAH VINEYARDS LLC</t>
  </si>
  <si>
    <t>Lake</t>
  </si>
  <si>
    <t>05/31/2005</t>
  </si>
  <si>
    <t>03/30/2006</t>
  </si>
  <si>
    <t>01/28/1993</t>
  </si>
  <si>
    <t>Dunnewood Vineyards</t>
  </si>
  <si>
    <t>10/17/1994</t>
  </si>
  <si>
    <t>CITY OF CLOVERDALE</t>
  </si>
  <si>
    <t>02/28/1996</t>
  </si>
  <si>
    <t>KELSEY  LEMASTER</t>
  </si>
  <si>
    <t>12/01/1997</t>
  </si>
  <si>
    <t>10/26/1976</t>
  </si>
  <si>
    <t>MARC  KAHN</t>
  </si>
  <si>
    <t>11/29/1976</t>
  </si>
  <si>
    <t>GLORIA F BALL</t>
  </si>
  <si>
    <t>Robert D Reedy</t>
  </si>
  <si>
    <t>01/17/2003</t>
  </si>
  <si>
    <t>AUDREY A. GRAMKE</t>
  </si>
  <si>
    <t>S008417</t>
  </si>
  <si>
    <t>JESSE E FAIROW</t>
  </si>
  <si>
    <t>S014587</t>
  </si>
  <si>
    <t>STANLEY E CASE</t>
  </si>
  <si>
    <t>S013811</t>
  </si>
  <si>
    <t>JAMES E KLOS</t>
  </si>
  <si>
    <t>000721</t>
  </si>
  <si>
    <t>10/12/2006</t>
  </si>
  <si>
    <t>THE ADAMS FAMILY TRUST</t>
  </si>
  <si>
    <t>A031724</t>
  </si>
  <si>
    <t>06/17/2009</t>
  </si>
  <si>
    <t>A004428</t>
  </si>
  <si>
    <t>002157</t>
  </si>
  <si>
    <t>001492</t>
  </si>
  <si>
    <t>07/23/2008</t>
  </si>
  <si>
    <t>S007907</t>
  </si>
  <si>
    <t>FRED C MALMSTROM</t>
  </si>
  <si>
    <t>S013114</t>
  </si>
  <si>
    <t>08/01/2008</t>
  </si>
  <si>
    <t>M HARDY PENZER</t>
  </si>
  <si>
    <t>000758</t>
  </si>
  <si>
    <t>11/25/2008</t>
  </si>
  <si>
    <t>BRENT L MCMICKING</t>
  </si>
  <si>
    <t>A031180</t>
  </si>
  <si>
    <t>12/02/2002</t>
  </si>
  <si>
    <t>03/18/2005</t>
  </si>
  <si>
    <t>A031463</t>
  </si>
  <si>
    <t>11/06/2007</t>
  </si>
  <si>
    <t>LEROY W CHASE</t>
  </si>
  <si>
    <t>12/22/2008</t>
  </si>
  <si>
    <t>003789</t>
  </si>
  <si>
    <t>009393</t>
  </si>
  <si>
    <t>05/26/1970</t>
  </si>
  <si>
    <t>RUSSIAN RIVER COUNTY WATER DISTRICT</t>
  </si>
  <si>
    <t>A029764</t>
  </si>
  <si>
    <t>03/13/2008</t>
  </si>
  <si>
    <t>A031314</t>
  </si>
  <si>
    <t>02/24/2009</t>
  </si>
  <si>
    <t>S015664</t>
  </si>
  <si>
    <t>S008144</t>
  </si>
  <si>
    <t>James F Fetzer</t>
  </si>
  <si>
    <t>05/31/2002</t>
  </si>
  <si>
    <t>BLOOM VINEYARDS</t>
  </si>
  <si>
    <t>013339</t>
  </si>
  <si>
    <t>009556</t>
  </si>
  <si>
    <t>02/08/1971</t>
  </si>
  <si>
    <t>019131</t>
  </si>
  <si>
    <t>013813</t>
  </si>
  <si>
    <t>000075</t>
  </si>
  <si>
    <t>12/21/1990</t>
  </si>
  <si>
    <t>JAKE  WHITELEY</t>
  </si>
  <si>
    <t>S013555</t>
  </si>
  <si>
    <t>05/19/2008</t>
  </si>
  <si>
    <t>CHARLES V BORING</t>
  </si>
  <si>
    <t>017593</t>
  </si>
  <si>
    <t>04/09/1979</t>
  </si>
  <si>
    <t>East Fork Russian River-Russian River, Lake Mendocino-East Fork Russian River</t>
  </si>
  <si>
    <t>009851A</t>
  </si>
  <si>
    <t>06/15/1998</t>
  </si>
  <si>
    <t>04/23/2009</t>
  </si>
  <si>
    <t>SILVER OAK WINE CELLARS, LP</t>
  </si>
  <si>
    <t>S015947</t>
  </si>
  <si>
    <t>08/08/2011</t>
  </si>
  <si>
    <t>FULTON PROCESSORS  INC</t>
  </si>
  <si>
    <t>S000272</t>
  </si>
  <si>
    <t>08/11/2011</t>
  </si>
  <si>
    <t>THOMAS  HILL</t>
  </si>
  <si>
    <t>S013960</t>
  </si>
  <si>
    <t>000477</t>
  </si>
  <si>
    <t>11/24/1998</t>
  </si>
  <si>
    <t>LAFRANCHI TRUST</t>
  </si>
  <si>
    <t>S008418</t>
  </si>
  <si>
    <t>03/22/2010</t>
  </si>
  <si>
    <t>WILLIAM A WOODS</t>
  </si>
  <si>
    <t>03/28/2009</t>
  </si>
  <si>
    <t>OTTAR RANCH</t>
  </si>
  <si>
    <t>11/30/2000</t>
  </si>
  <si>
    <t>S013957</t>
  </si>
  <si>
    <t>S004317</t>
  </si>
  <si>
    <t>BURTON B BROWN</t>
  </si>
  <si>
    <t>A031337</t>
  </si>
  <si>
    <t>A024790B</t>
  </si>
  <si>
    <t>017266B</t>
  </si>
  <si>
    <t>02/06/2008</t>
  </si>
  <si>
    <t>03/27/1998</t>
  </si>
  <si>
    <t>021267</t>
  </si>
  <si>
    <t>07/13/2010</t>
  </si>
  <si>
    <t>11/26/2007</t>
  </si>
  <si>
    <t>000455</t>
  </si>
  <si>
    <t>ELISE D BULGER</t>
  </si>
  <si>
    <t>D031953</t>
  </si>
  <si>
    <t>UN000287</t>
  </si>
  <si>
    <t>TOBIAS YOUNG CAMPBELL</t>
  </si>
  <si>
    <t>A022325</t>
  </si>
  <si>
    <t>015422</t>
  </si>
  <si>
    <t>009522</t>
  </si>
  <si>
    <t>08/03/2012</t>
  </si>
  <si>
    <t>DAVID F. &amp; DENNA L. FALONI TRUST</t>
  </si>
  <si>
    <t>UN000110</t>
  </si>
  <si>
    <t>10/12/2012</t>
  </si>
  <si>
    <t>ANDREW   BAROWSKI</t>
  </si>
  <si>
    <t>SEGHESIO-SAN LORENZO PARTNERS</t>
  </si>
  <si>
    <t>UN000231</t>
  </si>
  <si>
    <t>11/09/2011</t>
  </si>
  <si>
    <t>KIM  MONROE</t>
  </si>
  <si>
    <t>07/08/2009</t>
  </si>
  <si>
    <t>S019239</t>
  </si>
  <si>
    <t>S017895</t>
  </si>
  <si>
    <t>09/05/2012</t>
  </si>
  <si>
    <t>S015905</t>
  </si>
  <si>
    <t>UN000654</t>
  </si>
  <si>
    <t>02/20/2013</t>
  </si>
  <si>
    <t>S008383</t>
  </si>
  <si>
    <t>03/14/2012</t>
  </si>
  <si>
    <t>JAMES P MORGAN</t>
  </si>
  <si>
    <t>UN000717</t>
  </si>
  <si>
    <t>07/25/2013</t>
  </si>
  <si>
    <t>Aaron  Weintraub</t>
  </si>
  <si>
    <t>GABRIEL   BARRAGAN</t>
  </si>
  <si>
    <t>BECKSTOFFER VINEYARDS XIV</t>
  </si>
  <si>
    <t>JOHN  E CUNEO</t>
  </si>
  <si>
    <t>07/25/1990</t>
  </si>
  <si>
    <t>04/22/2010</t>
  </si>
  <si>
    <t>07/12/2010</t>
  </si>
  <si>
    <t>UN000293</t>
  </si>
  <si>
    <t>ROBERT L BRADFORD</t>
  </si>
  <si>
    <t>S009755</t>
  </si>
  <si>
    <t>021324</t>
  </si>
  <si>
    <t>07/10/2013</t>
  </si>
  <si>
    <t>S009754</t>
  </si>
  <si>
    <t>S013403</t>
  </si>
  <si>
    <t>08/04/2015</t>
  </si>
  <si>
    <t>RUSSIAN RIVER PISTACHIOS, INC</t>
  </si>
  <si>
    <t>A012336</t>
  </si>
  <si>
    <t>007301</t>
  </si>
  <si>
    <t>005182</t>
  </si>
  <si>
    <t>06/20/2014</t>
  </si>
  <si>
    <t>CLINTON  FOLGER</t>
  </si>
  <si>
    <t>021017</t>
  </si>
  <si>
    <t>12/23/2015</t>
  </si>
  <si>
    <t>BRUCE  RUSSELL</t>
  </si>
  <si>
    <t>UN000701</t>
  </si>
  <si>
    <t>01/31/2014</t>
  </si>
  <si>
    <t>ERDA  KAPPELER</t>
  </si>
  <si>
    <t>03/26/1993</t>
  </si>
  <si>
    <t>FAHRI DINER AND GRAPEVINE HOLDINGS L-1 LLC</t>
  </si>
  <si>
    <t>S023472</t>
  </si>
  <si>
    <t>10/04/2015</t>
  </si>
  <si>
    <t>Fred  Bassett</t>
  </si>
  <si>
    <t>018189A</t>
  </si>
  <si>
    <t>012219A03</t>
  </si>
  <si>
    <t>12/30/1987</t>
  </si>
  <si>
    <t>UN000818</t>
  </si>
  <si>
    <t>08/21/2013</t>
  </si>
  <si>
    <t>James A. Riddle</t>
  </si>
  <si>
    <t>S022802</t>
  </si>
  <si>
    <t>08/05/2015</t>
  </si>
  <si>
    <t>012219A01</t>
  </si>
  <si>
    <t>08/30/2013</t>
  </si>
  <si>
    <t>JAMES  BURKE</t>
  </si>
  <si>
    <t>S023560</t>
  </si>
  <si>
    <t>03/26/2014</t>
  </si>
  <si>
    <t>S016121</t>
  </si>
  <si>
    <t>03/05/2015</t>
  </si>
  <si>
    <t>Laguna Foundation</t>
  </si>
  <si>
    <t>S021390</t>
  </si>
  <si>
    <t>D031151</t>
  </si>
  <si>
    <t>000574</t>
  </si>
  <si>
    <t>12/11/2006</t>
  </si>
  <si>
    <t>07/01/2016</t>
  </si>
  <si>
    <t>FRANK  RIVERS</t>
  </si>
  <si>
    <t>S023164</t>
  </si>
  <si>
    <t>02/03/2017</t>
  </si>
  <si>
    <t>J K RANCH LLC</t>
  </si>
  <si>
    <t>07/21/2016</t>
  </si>
  <si>
    <t>ZACHARY  LONG</t>
  </si>
  <si>
    <t>A030878</t>
  </si>
  <si>
    <t>01/27/2016</t>
  </si>
  <si>
    <t>NEW FAMILY FARM</t>
  </si>
  <si>
    <t>S024151</t>
  </si>
  <si>
    <t>03/08/2016</t>
  </si>
  <si>
    <t>ERNEST  F KNELL</t>
  </si>
  <si>
    <t>016472</t>
  </si>
  <si>
    <t>010573</t>
  </si>
  <si>
    <t>01/30/1976</t>
  </si>
  <si>
    <t>L031415</t>
  </si>
  <si>
    <t>000068</t>
  </si>
  <si>
    <t>RUDOLPH H LIGHT</t>
  </si>
  <si>
    <t>S021389</t>
  </si>
  <si>
    <t>S016720</t>
  </si>
  <si>
    <t>07/31/2018</t>
  </si>
  <si>
    <t>100062</t>
  </si>
  <si>
    <t>05/25/2018</t>
  </si>
  <si>
    <t>RONALD  BRUGGEMAN JR</t>
  </si>
  <si>
    <t>PATRICK  ANDERSON</t>
  </si>
  <si>
    <t>S020136</t>
  </si>
  <si>
    <t>UN000672</t>
  </si>
  <si>
    <t>05/10/2018</t>
  </si>
  <si>
    <t>MARVIN  LEVIN</t>
  </si>
  <si>
    <t>A031261</t>
  </si>
  <si>
    <t>02/12/2020</t>
  </si>
  <si>
    <t>S016128</t>
  </si>
  <si>
    <t>06/27/2020</t>
  </si>
  <si>
    <t>PAUL  HOBBS WINERY, L.P.</t>
  </si>
  <si>
    <t>TRENTON ACRES INC</t>
  </si>
  <si>
    <t>07/10/2017</t>
  </si>
  <si>
    <t>JEFF  SUTTOR</t>
  </si>
  <si>
    <t>S019645</t>
  </si>
  <si>
    <t>08/15/2018</t>
  </si>
  <si>
    <t>D032886</t>
  </si>
  <si>
    <t>11/06/2018</t>
  </si>
  <si>
    <t>000988</t>
  </si>
  <si>
    <t>JAVIER  VALENZUELA</t>
  </si>
  <si>
    <t>GREGORY  CULLEY</t>
  </si>
  <si>
    <t>S026430</t>
  </si>
  <si>
    <t>04/09/2018</t>
  </si>
  <si>
    <t>SIMON  EVERS</t>
  </si>
  <si>
    <t>07/18/2018</t>
  </si>
  <si>
    <t>CHRISTOPHER  COOGAN</t>
  </si>
  <si>
    <t>MARK A SANCHIETTI AND JENNIFER K SANCHIETTI TRUST</t>
  </si>
  <si>
    <t>12/07/2017</t>
  </si>
  <si>
    <t>S027135</t>
  </si>
  <si>
    <t>DARIN K MAHAN</t>
  </si>
  <si>
    <t>06/28/2018</t>
  </si>
  <si>
    <t>S023708</t>
  </si>
  <si>
    <t>Ross  Liberty</t>
  </si>
  <si>
    <t>S022769</t>
  </si>
  <si>
    <t>RADCLIFFE FAMILY TRUST</t>
  </si>
  <si>
    <t>08/05/2019</t>
  </si>
  <si>
    <t>RICK  MOSHIN</t>
  </si>
  <si>
    <t>S026509</t>
  </si>
  <si>
    <t>07/05/2017</t>
  </si>
  <si>
    <t>REMIE  SCOTT</t>
  </si>
  <si>
    <t>100665</t>
  </si>
  <si>
    <t>GREEN LIFE PHARMS LLC</t>
  </si>
  <si>
    <t>A030782</t>
  </si>
  <si>
    <t>100304</t>
  </si>
  <si>
    <t>10/29/2018</t>
  </si>
  <si>
    <t>05/11/2021</t>
  </si>
  <si>
    <t>100352</t>
  </si>
  <si>
    <t>11/29/2018</t>
  </si>
  <si>
    <t>000396</t>
  </si>
  <si>
    <t>11/05/1998</t>
  </si>
  <si>
    <t>S020506</t>
  </si>
  <si>
    <t>06/08/2017</t>
  </si>
  <si>
    <t>S016889</t>
  </si>
  <si>
    <t>000621</t>
  </si>
  <si>
    <t>06/18/2002</t>
  </si>
  <si>
    <t>100703</t>
  </si>
  <si>
    <t>09/14/2020</t>
  </si>
  <si>
    <t>STEPHEN  DIGNAN</t>
  </si>
  <si>
    <t>S028502</t>
  </si>
  <si>
    <t>08/18/2020</t>
  </si>
  <si>
    <t>PAUL HOBBS WINERY LP</t>
  </si>
  <si>
    <t>D033002</t>
  </si>
  <si>
    <t>03/12/2019</t>
  </si>
  <si>
    <t>A028639</t>
  </si>
  <si>
    <t>020173</t>
  </si>
  <si>
    <t>03/20/2019</t>
  </si>
  <si>
    <t>ROBERT  DRESS</t>
  </si>
  <si>
    <t>L033179</t>
  </si>
  <si>
    <t>01/22/2021</t>
  </si>
  <si>
    <t>FALCON HIGHLANDS RANCH</t>
  </si>
  <si>
    <t>007717</t>
  </si>
  <si>
    <t>005949</t>
  </si>
  <si>
    <t>03/15/2022</t>
  </si>
  <si>
    <t>JAMES J MULLINS</t>
  </si>
  <si>
    <t>01/25/2022</t>
  </si>
  <si>
    <t>CLIFFORD  VATTUONE</t>
  </si>
  <si>
    <t>01/22/2003</t>
  </si>
  <si>
    <t>06/01/2006</t>
  </si>
  <si>
    <t>MONSON-PACIFIC INC</t>
  </si>
  <si>
    <t>019132</t>
  </si>
  <si>
    <t>11/12/1982</t>
  </si>
  <si>
    <t>019249</t>
  </si>
  <si>
    <t>09/28/1983</t>
  </si>
  <si>
    <t>019401</t>
  </si>
  <si>
    <t>017907B</t>
  </si>
  <si>
    <t>018269</t>
  </si>
  <si>
    <t>018550</t>
  </si>
  <si>
    <t>09/23/1981</t>
  </si>
  <si>
    <t>SIEBERT VINEYARDS</t>
  </si>
  <si>
    <t>017202B</t>
  </si>
  <si>
    <t>04/23/1991</t>
  </si>
  <si>
    <t>020080</t>
  </si>
  <si>
    <t>08/11/1976</t>
  </si>
  <si>
    <t>020316</t>
  </si>
  <si>
    <t>08/22/1988</t>
  </si>
  <si>
    <t>RONALD D. SIEGEMUND TRUST</t>
  </si>
  <si>
    <t>020582</t>
  </si>
  <si>
    <t>020485</t>
  </si>
  <si>
    <t>020584</t>
  </si>
  <si>
    <t>07/06/1989</t>
  </si>
  <si>
    <t>020114</t>
  </si>
  <si>
    <t>07/22/1987</t>
  </si>
  <si>
    <t>MENDOCINO UPLANDS CORPORATION</t>
  </si>
  <si>
    <t>013030</t>
  </si>
  <si>
    <t>008178</t>
  </si>
  <si>
    <t>04/30/1956</t>
  </si>
  <si>
    <t>PJK WINERY LLC</t>
  </si>
  <si>
    <t>009490A</t>
  </si>
  <si>
    <t>DAVID A FORD</t>
  </si>
  <si>
    <t>010948</t>
  </si>
  <si>
    <t>006147</t>
  </si>
  <si>
    <t>09/05/1956</t>
  </si>
  <si>
    <t>MRT LSR LLC</t>
  </si>
  <si>
    <t>000911</t>
  </si>
  <si>
    <t>000424</t>
  </si>
  <si>
    <t>08/26/1920</t>
  </si>
  <si>
    <t>NORGARD PROPERTIES INC</t>
  </si>
  <si>
    <t>001710</t>
  </si>
  <si>
    <t>001356</t>
  </si>
  <si>
    <t>08/03/1923</t>
  </si>
  <si>
    <t>010092</t>
  </si>
  <si>
    <t>006057</t>
  </si>
  <si>
    <t>10/08/1954</t>
  </si>
  <si>
    <t>010201</t>
  </si>
  <si>
    <t>007302</t>
  </si>
  <si>
    <t>02/28/1955</t>
  </si>
  <si>
    <t>010314</t>
  </si>
  <si>
    <t>006598</t>
  </si>
  <si>
    <t>06/03/1955</t>
  </si>
  <si>
    <t>010400</t>
  </si>
  <si>
    <t>007044</t>
  </si>
  <si>
    <t>07/19/1955</t>
  </si>
  <si>
    <t>010382</t>
  </si>
  <si>
    <t>008091</t>
  </si>
  <si>
    <t>08/30/1955</t>
  </si>
  <si>
    <t>010450</t>
  </si>
  <si>
    <t>005803</t>
  </si>
  <si>
    <t>007189</t>
  </si>
  <si>
    <t>003880</t>
  </si>
  <si>
    <t>02/16/1948</t>
  </si>
  <si>
    <t>007380</t>
  </si>
  <si>
    <t>003647</t>
  </si>
  <si>
    <t>03/29/1948</t>
  </si>
  <si>
    <t>007791</t>
  </si>
  <si>
    <t>004070</t>
  </si>
  <si>
    <t>ROBERT E &amp; TONI T HOPKINS TRUST</t>
  </si>
  <si>
    <t>007965</t>
  </si>
  <si>
    <t>004223</t>
  </si>
  <si>
    <t>SAM  BULL</t>
  </si>
  <si>
    <t>007842</t>
  </si>
  <si>
    <t>006125</t>
  </si>
  <si>
    <t>07/26/1949</t>
  </si>
  <si>
    <t>PEBBLE RIDGE VINEYARDS</t>
  </si>
  <si>
    <t>007866</t>
  </si>
  <si>
    <t>005377</t>
  </si>
  <si>
    <t>008196</t>
  </si>
  <si>
    <t>004316</t>
  </si>
  <si>
    <t>04/19/1950</t>
  </si>
  <si>
    <t>008199</t>
  </si>
  <si>
    <t>005895</t>
  </si>
  <si>
    <t>05/22/1950</t>
  </si>
  <si>
    <t>008308</t>
  </si>
  <si>
    <t>004457</t>
  </si>
  <si>
    <t>05/25/1950</t>
  </si>
  <si>
    <t>008348</t>
  </si>
  <si>
    <t>003857</t>
  </si>
  <si>
    <t>07/05/1950</t>
  </si>
  <si>
    <t>006366</t>
  </si>
  <si>
    <t>003004</t>
  </si>
  <si>
    <t>11/15/1944</t>
  </si>
  <si>
    <t>BENJAMIN   SHEA</t>
  </si>
  <si>
    <t>013164</t>
  </si>
  <si>
    <t>008270</t>
  </si>
  <si>
    <t>04/10/1961</t>
  </si>
  <si>
    <t>NIKOS TODD SMALL TRUST</t>
  </si>
  <si>
    <t>013398</t>
  </si>
  <si>
    <t>008711</t>
  </si>
  <si>
    <t>07/31/1961</t>
  </si>
  <si>
    <t>013844</t>
  </si>
  <si>
    <t>009577</t>
  </si>
  <si>
    <t>10/16/1961</t>
  </si>
  <si>
    <t>CLEMENT E VANONI</t>
  </si>
  <si>
    <t>008450</t>
  </si>
  <si>
    <t>003870</t>
  </si>
  <si>
    <t>008553</t>
  </si>
  <si>
    <t>004733</t>
  </si>
  <si>
    <t>DAN  ROTLISBERGER</t>
  </si>
  <si>
    <t>008483</t>
  </si>
  <si>
    <t>005177</t>
  </si>
  <si>
    <t>008485</t>
  </si>
  <si>
    <t>004419</t>
  </si>
  <si>
    <t>009066</t>
  </si>
  <si>
    <t>005297</t>
  </si>
  <si>
    <t>03/20/1952</t>
  </si>
  <si>
    <t>009126</t>
  </si>
  <si>
    <t>011994</t>
  </si>
  <si>
    <t>06/25/1952</t>
  </si>
  <si>
    <t>009387</t>
  </si>
  <si>
    <t>006214</t>
  </si>
  <si>
    <t>01/20/1953</t>
  </si>
  <si>
    <t>009573</t>
  </si>
  <si>
    <t>006428</t>
  </si>
  <si>
    <t>04/17/1953</t>
  </si>
  <si>
    <t>009764</t>
  </si>
  <si>
    <t>005268</t>
  </si>
  <si>
    <t>07/15/1958</t>
  </si>
  <si>
    <t>009758</t>
  </si>
  <si>
    <t>008397B</t>
  </si>
  <si>
    <t>09/12/1989</t>
  </si>
  <si>
    <t>Stephen   Hill</t>
  </si>
  <si>
    <t>008397C</t>
  </si>
  <si>
    <t>CROSSROADS WINERY LP</t>
  </si>
  <si>
    <t>010001</t>
  </si>
  <si>
    <t>005422</t>
  </si>
  <si>
    <t>02/09/1954</t>
  </si>
  <si>
    <t>SONJA  LOBBAN</t>
  </si>
  <si>
    <t>012951</t>
  </si>
  <si>
    <t>007615</t>
  </si>
  <si>
    <t>03/17/1954</t>
  </si>
  <si>
    <t>Brooks Creek-Russian River, Dutch Bill Creek-Russian River</t>
  </si>
  <si>
    <t>009870</t>
  </si>
  <si>
    <t>005363</t>
  </si>
  <si>
    <t>12/27/1960</t>
  </si>
  <si>
    <t>Christine  Hoang</t>
  </si>
  <si>
    <t>008187</t>
  </si>
  <si>
    <t>02/23/1961</t>
  </si>
  <si>
    <t>HELEN B THOMPSON</t>
  </si>
  <si>
    <t>014726</t>
  </si>
  <si>
    <t>008771</t>
  </si>
  <si>
    <t>08/28/1964</t>
  </si>
  <si>
    <t>014703</t>
  </si>
  <si>
    <t>009837</t>
  </si>
  <si>
    <t>STEPHEN T JACOBS</t>
  </si>
  <si>
    <t>009821B</t>
  </si>
  <si>
    <t>12/17/1964</t>
  </si>
  <si>
    <t>011165</t>
  </si>
  <si>
    <t>005894</t>
  </si>
  <si>
    <t>ROGER A BURCH</t>
  </si>
  <si>
    <t>011590</t>
  </si>
  <si>
    <t>007374</t>
  </si>
  <si>
    <t>05/08/1958</t>
  </si>
  <si>
    <t>DELBERT  PEARL</t>
  </si>
  <si>
    <t>013882</t>
  </si>
  <si>
    <t>008300</t>
  </si>
  <si>
    <t>05/31/1962</t>
  </si>
  <si>
    <t>GREEN VALLEY PARTNERSHIP LLC</t>
  </si>
  <si>
    <t>013960</t>
  </si>
  <si>
    <t>008730</t>
  </si>
  <si>
    <t>07/26/1962</t>
  </si>
  <si>
    <t>TODD BROTHERS</t>
  </si>
  <si>
    <t>014299</t>
  </si>
  <si>
    <t>008821</t>
  </si>
  <si>
    <t>01/21/1963</t>
  </si>
  <si>
    <t>014254</t>
  </si>
  <si>
    <t>009477</t>
  </si>
  <si>
    <t>03/13/1963</t>
  </si>
  <si>
    <t>FRANK B SMITH</t>
  </si>
  <si>
    <t>014425</t>
  </si>
  <si>
    <t>008993</t>
  </si>
  <si>
    <t>015333</t>
  </si>
  <si>
    <t>009840</t>
  </si>
  <si>
    <t>06/03/2002</t>
  </si>
  <si>
    <t>MARY A GOLDEN TRUSTEE</t>
  </si>
  <si>
    <t>014981</t>
  </si>
  <si>
    <t>010587</t>
  </si>
  <si>
    <t>07/23/1965</t>
  </si>
  <si>
    <t>James W and Barbara A Long Trust</t>
  </si>
  <si>
    <t>015161</t>
  </si>
  <si>
    <t>009485</t>
  </si>
  <si>
    <t>015276</t>
  </si>
  <si>
    <t>009576</t>
  </si>
  <si>
    <t>06/15/1966</t>
  </si>
  <si>
    <t>COUNTY OF SONOMA CHARLES M SCHULZ SONOMA COUNTY AIRPORT</t>
  </si>
  <si>
    <t>013218</t>
  </si>
  <si>
    <t>04/17/1959</t>
  </si>
  <si>
    <t>012253</t>
  </si>
  <si>
    <t>007408</t>
  </si>
  <si>
    <t>07/09/1959</t>
  </si>
  <si>
    <t>012382</t>
  </si>
  <si>
    <t>008891</t>
  </si>
  <si>
    <t>11/20/1959</t>
  </si>
  <si>
    <t>012674</t>
  </si>
  <si>
    <t>008819</t>
  </si>
  <si>
    <t>04/01/1960</t>
  </si>
  <si>
    <t>EDLA  LARSON</t>
  </si>
  <si>
    <t>018783</t>
  </si>
  <si>
    <t>012455</t>
  </si>
  <si>
    <t>10/10/1979</t>
  </si>
  <si>
    <t>NAYEF K  ASFOUR</t>
  </si>
  <si>
    <t>018461</t>
  </si>
  <si>
    <t>012428</t>
  </si>
  <si>
    <t>10/07/1981</t>
  </si>
  <si>
    <t>016416</t>
  </si>
  <si>
    <t>010887</t>
  </si>
  <si>
    <t>09/20/1971</t>
  </si>
  <si>
    <t>MARK R FETZER</t>
  </si>
  <si>
    <t>016429</t>
  </si>
  <si>
    <t>011361</t>
  </si>
  <si>
    <t>09/30/1971</t>
  </si>
  <si>
    <t>MICHAEL AND SHARON SHAPIRO FAMILY TRUST</t>
  </si>
  <si>
    <t>011060B</t>
  </si>
  <si>
    <t>016498</t>
  </si>
  <si>
    <t>04/27/1972</t>
  </si>
  <si>
    <t>RANDY   LOONEY</t>
  </si>
  <si>
    <t>016695</t>
  </si>
  <si>
    <t>012532</t>
  </si>
  <si>
    <t>07/27/1972</t>
  </si>
  <si>
    <t>016627</t>
  </si>
  <si>
    <t>11/22/1972</t>
  </si>
  <si>
    <t>GREGORY A MILLER</t>
  </si>
  <si>
    <t>017202A</t>
  </si>
  <si>
    <t>012957</t>
  </si>
  <si>
    <t>017141A</t>
  </si>
  <si>
    <t>012642</t>
  </si>
  <si>
    <t>017775</t>
  </si>
  <si>
    <t>011815</t>
  </si>
  <si>
    <t>TONI  STINTON</t>
  </si>
  <si>
    <t>017250</t>
  </si>
  <si>
    <t>011706</t>
  </si>
  <si>
    <t>03/31/1975</t>
  </si>
  <si>
    <t>KEVIN W BARR</t>
  </si>
  <si>
    <t>016894</t>
  </si>
  <si>
    <t>011354</t>
  </si>
  <si>
    <t>06/02/1975</t>
  </si>
  <si>
    <t>JOHN  PFEIFFER</t>
  </si>
  <si>
    <t>017731A</t>
  </si>
  <si>
    <t>012617</t>
  </si>
  <si>
    <t>04/19/1984</t>
  </si>
  <si>
    <t>017147</t>
  </si>
  <si>
    <t>013637</t>
  </si>
  <si>
    <t>017158</t>
  </si>
  <si>
    <t>011399</t>
  </si>
  <si>
    <t>11/18/1975</t>
  </si>
  <si>
    <t>DENNIS E HARRIS</t>
  </si>
  <si>
    <t>017665</t>
  </si>
  <si>
    <t>011991</t>
  </si>
  <si>
    <t>01/06/1976</t>
  </si>
  <si>
    <t>017160</t>
  </si>
  <si>
    <t>011780</t>
  </si>
  <si>
    <t>01/12/1976</t>
  </si>
  <si>
    <t>RAUL  LOPEZ</t>
  </si>
  <si>
    <t>017264</t>
  </si>
  <si>
    <t>011455</t>
  </si>
  <si>
    <t>03/12/1976</t>
  </si>
  <si>
    <t>017742</t>
  </si>
  <si>
    <t>012107</t>
  </si>
  <si>
    <t>03/31/1976</t>
  </si>
  <si>
    <t>016961</t>
  </si>
  <si>
    <t>011398</t>
  </si>
  <si>
    <t>06/14/1976</t>
  </si>
  <si>
    <t>JUAN  PRADO</t>
  </si>
  <si>
    <t>015661</t>
  </si>
  <si>
    <t>010291</t>
  </si>
  <si>
    <t>02/26/1968</t>
  </si>
  <si>
    <t>CIRCLE D RANCH INC</t>
  </si>
  <si>
    <t>015704</t>
  </si>
  <si>
    <t>010218</t>
  </si>
  <si>
    <t>04/15/1968</t>
  </si>
  <si>
    <t>FREDERICK L MAYTAG</t>
  </si>
  <si>
    <t>015762</t>
  </si>
  <si>
    <t>010340</t>
  </si>
  <si>
    <t>06/03/1968</t>
  </si>
  <si>
    <t>BHN INVESTMENTS, LLC</t>
  </si>
  <si>
    <t>015796</t>
  </si>
  <si>
    <t>010406</t>
  </si>
  <si>
    <t>07/01/1968</t>
  </si>
  <si>
    <t>C H CASPERSEN</t>
  </si>
  <si>
    <t>015995B</t>
  </si>
  <si>
    <t>013162</t>
  </si>
  <si>
    <t>BETTY JEAN GREEN</t>
  </si>
  <si>
    <t>016070</t>
  </si>
  <si>
    <t>010533</t>
  </si>
  <si>
    <t>08/12/1969</t>
  </si>
  <si>
    <t>RICHARD  MATTERN</t>
  </si>
  <si>
    <t>016231</t>
  </si>
  <si>
    <t>010463</t>
  </si>
  <si>
    <t>08/25/1969</t>
  </si>
  <si>
    <t>016131</t>
  </si>
  <si>
    <t>011145</t>
  </si>
  <si>
    <t>02/18/1970</t>
  </si>
  <si>
    <t>REDWOOD VALLEY VINEYARDS, LLC</t>
  </si>
  <si>
    <t>016102</t>
  </si>
  <si>
    <t>010617</t>
  </si>
  <si>
    <t>016228</t>
  </si>
  <si>
    <t>010455</t>
  </si>
  <si>
    <t>MASON E BISHOP</t>
  </si>
  <si>
    <t>020168</t>
  </si>
  <si>
    <t>013041</t>
  </si>
  <si>
    <t>ROBERT  CURRIER</t>
  </si>
  <si>
    <t>020115</t>
  </si>
  <si>
    <t>013082</t>
  </si>
  <si>
    <t>01/28/1986</t>
  </si>
  <si>
    <t>GREENFIELD RANCH ASSOCIATION</t>
  </si>
  <si>
    <t>A029811</t>
  </si>
  <si>
    <t>A029908</t>
  </si>
  <si>
    <t>01/16/2003</t>
  </si>
  <si>
    <t>017384</t>
  </si>
  <si>
    <t>011592</t>
  </si>
  <si>
    <t>03/07/1977</t>
  </si>
  <si>
    <t>017441</t>
  </si>
  <si>
    <t>013393</t>
  </si>
  <si>
    <t>04/27/1977</t>
  </si>
  <si>
    <t>A030540</t>
  </si>
  <si>
    <t>03/23/2000</t>
  </si>
  <si>
    <t>A031058</t>
  </si>
  <si>
    <t>A031181</t>
  </si>
  <si>
    <t>02/23/2006</t>
  </si>
  <si>
    <t>SHADOWBROOK FARMS</t>
  </si>
  <si>
    <t>A031509</t>
  </si>
  <si>
    <t>A031511</t>
  </si>
  <si>
    <t>A031516</t>
  </si>
  <si>
    <t>A013182A</t>
  </si>
  <si>
    <t>004453A</t>
  </si>
  <si>
    <t>S008845</t>
  </si>
  <si>
    <t>11/19/2002</t>
  </si>
  <si>
    <t>PENNY P MOORE</t>
  </si>
  <si>
    <t>S009015</t>
  </si>
  <si>
    <t>05/24/1997</t>
  </si>
  <si>
    <t>S015357</t>
  </si>
  <si>
    <t>09/10/2004</t>
  </si>
  <si>
    <t>A023790</t>
  </si>
  <si>
    <t>016443</t>
  </si>
  <si>
    <t>011080</t>
  </si>
  <si>
    <t>05/19/2004</t>
  </si>
  <si>
    <t>MELIM LTD</t>
  </si>
  <si>
    <t>A025329</t>
  </si>
  <si>
    <t>017198</t>
  </si>
  <si>
    <t>011285</t>
  </si>
  <si>
    <t>07/20/2006</t>
  </si>
  <si>
    <t>JAMES G KELLER</t>
  </si>
  <si>
    <t>A025330</t>
  </si>
  <si>
    <t>017632</t>
  </si>
  <si>
    <t>01/02/2003</t>
  </si>
  <si>
    <t>GARY  RASCHE</t>
  </si>
  <si>
    <t>A030051</t>
  </si>
  <si>
    <t>021154</t>
  </si>
  <si>
    <t>05/06/2005</t>
  </si>
  <si>
    <t>CLOVERLEAF RANCH</t>
  </si>
  <si>
    <t>A028637</t>
  </si>
  <si>
    <t>019916</t>
  </si>
  <si>
    <t>012940</t>
  </si>
  <si>
    <t>02/25/2002</t>
  </si>
  <si>
    <t>D031010</t>
  </si>
  <si>
    <t>000510</t>
  </si>
  <si>
    <t>07/06/2005</t>
  </si>
  <si>
    <t>WILLIAM T HUBBERT</t>
  </si>
  <si>
    <t>12/21/1966</t>
  </si>
  <si>
    <t>THIA KELLNER HILL</t>
  </si>
  <si>
    <t>001216</t>
  </si>
  <si>
    <t>11/28/1977</t>
  </si>
  <si>
    <t>E000013</t>
  </si>
  <si>
    <t>02/28/1988</t>
  </si>
  <si>
    <t>000677</t>
  </si>
  <si>
    <t>JOHN V WIDLER</t>
  </si>
  <si>
    <t>000674</t>
  </si>
  <si>
    <t>JERRY  O KELLEY</t>
  </si>
  <si>
    <t>000708</t>
  </si>
  <si>
    <t>JESSICA   MCDIVITT</t>
  </si>
  <si>
    <t>A012919SF</t>
  </si>
  <si>
    <t>CLAY GRANT ZUBERBIER</t>
  </si>
  <si>
    <t>005165</t>
  </si>
  <si>
    <t>000222</t>
  </si>
  <si>
    <t>MATTHEW  FLOOD  FERGUSON</t>
  </si>
  <si>
    <t>07/18/1989</t>
  </si>
  <si>
    <t>JOHN W COSTELLO</t>
  </si>
  <si>
    <t>03/29/1983</t>
  </si>
  <si>
    <t>CLINTON E JR AND JANE K KELLEY FAMILY TRUST</t>
  </si>
  <si>
    <t>06/14/1991</t>
  </si>
  <si>
    <t>Bauer Vineyards</t>
  </si>
  <si>
    <t>06/20/2005</t>
  </si>
  <si>
    <t>02/28/2005</t>
  </si>
  <si>
    <t>04/11/2005</t>
  </si>
  <si>
    <t>10/13/1992</t>
  </si>
  <si>
    <t>KATHRIN  WILLIAMS</t>
  </si>
  <si>
    <t>05/16/2005</t>
  </si>
  <si>
    <t>SUSAN  PEPPERWOOD</t>
  </si>
  <si>
    <t>02/10/1976</t>
  </si>
  <si>
    <t>BRUCE F JOHNSON</t>
  </si>
  <si>
    <t>01/01/1976</t>
  </si>
  <si>
    <t>02/03/1998</t>
  </si>
  <si>
    <t>SUMMER HOME PARK CORPORATION</t>
  </si>
  <si>
    <t>01/21/1999</t>
  </si>
  <si>
    <t>RICHARD L FRESCHET</t>
  </si>
  <si>
    <t>05/30/1973</t>
  </si>
  <si>
    <t>WARNECKE RANCH AND VINEYARD, LIMITED PARTNERSHIP</t>
  </si>
  <si>
    <t>04/10/2000</t>
  </si>
  <si>
    <t>12/27/2002</t>
  </si>
  <si>
    <t>BALVERNE VINEYARDS</t>
  </si>
  <si>
    <t>03/01/2001</t>
  </si>
  <si>
    <t>TIMOTHY LYLE MATHIAS</t>
  </si>
  <si>
    <t>08/16/2002</t>
  </si>
  <si>
    <t>TIMOTHY  NORGARD</t>
  </si>
  <si>
    <t>S006316</t>
  </si>
  <si>
    <t>ALLAN  BROTSKY</t>
  </si>
  <si>
    <t>S007859</t>
  </si>
  <si>
    <t>ROBERT W AYER</t>
  </si>
  <si>
    <t>A031495</t>
  </si>
  <si>
    <t>020106</t>
  </si>
  <si>
    <t>013557</t>
  </si>
  <si>
    <t>09/10/2003</t>
  </si>
  <si>
    <t>018115B</t>
  </si>
  <si>
    <t>013168</t>
  </si>
  <si>
    <t>06/15/1995</t>
  </si>
  <si>
    <t>04/23/2014</t>
  </si>
  <si>
    <t>VINCENT  TOFANELLI</t>
  </si>
  <si>
    <t>008169</t>
  </si>
  <si>
    <t>003923</t>
  </si>
  <si>
    <t>05/20/1954</t>
  </si>
  <si>
    <t>A024300B</t>
  </si>
  <si>
    <t>016755B</t>
  </si>
  <si>
    <t>06/25/2008</t>
  </si>
  <si>
    <t>MERLO CORPORATION</t>
  </si>
  <si>
    <t>000760</t>
  </si>
  <si>
    <t>012947A</t>
  </si>
  <si>
    <t>01/21/1975</t>
  </si>
  <si>
    <t>Brooks Creek-Russian River, Dutch Bill Creek-Russian River, Lake Mendocino-East Fork Russian River, Porter Creek-Russian River</t>
  </si>
  <si>
    <t>012949</t>
  </si>
  <si>
    <t>01/28/2009</t>
  </si>
  <si>
    <t>A030804</t>
  </si>
  <si>
    <t>02/19/2009</t>
  </si>
  <si>
    <t>SHARON L FREEMAN</t>
  </si>
  <si>
    <t>020987</t>
  </si>
  <si>
    <t>013789</t>
  </si>
  <si>
    <t>05/26/2009</t>
  </si>
  <si>
    <t>A031887</t>
  </si>
  <si>
    <t>05/04/2011</t>
  </si>
  <si>
    <t>000270</t>
  </si>
  <si>
    <t>03/07/1995</t>
  </si>
  <si>
    <t>019330</t>
  </si>
  <si>
    <t>10/02/1984</t>
  </si>
  <si>
    <t>10/26/1998</t>
  </si>
  <si>
    <t>021282</t>
  </si>
  <si>
    <t>05/12/2011</t>
  </si>
  <si>
    <t>SIMI   TOUR</t>
  </si>
  <si>
    <t>017854</t>
  </si>
  <si>
    <t>013795</t>
  </si>
  <si>
    <t>10/13/2009</t>
  </si>
  <si>
    <t>CLINTON J BROWN &amp; CINDY L BROWN TRUST DATED 12/26/05</t>
  </si>
  <si>
    <t>08/06/2003</t>
  </si>
  <si>
    <t>017388</t>
  </si>
  <si>
    <t>06/28/1978</t>
  </si>
  <si>
    <t>TONY  LUCCHETTI</t>
  </si>
  <si>
    <t>S008609</t>
  </si>
  <si>
    <t>DIANE  RECHBERGER</t>
  </si>
  <si>
    <t>000549</t>
  </si>
  <si>
    <t>10/31/2000</t>
  </si>
  <si>
    <t>CAROLINE  THOMAS</t>
  </si>
  <si>
    <t>Warm Springs Creek</t>
  </si>
  <si>
    <t>04/07/2000</t>
  </si>
  <si>
    <t>020293</t>
  </si>
  <si>
    <t>013569</t>
  </si>
  <si>
    <t>09/24/2003</t>
  </si>
  <si>
    <t>JAMES A   BLUE</t>
  </si>
  <si>
    <t>S013956</t>
  </si>
  <si>
    <t>EDNA MAY LEARNED</t>
  </si>
  <si>
    <t>A014916</t>
  </si>
  <si>
    <t>11/21/1996</t>
  </si>
  <si>
    <t>015311</t>
  </si>
  <si>
    <t>009408</t>
  </si>
  <si>
    <t>06/15/1970</t>
  </si>
  <si>
    <t>A029765</t>
  </si>
  <si>
    <t>06/20/2001</t>
  </si>
  <si>
    <t>RICHARD C RHODES</t>
  </si>
  <si>
    <t>000576</t>
  </si>
  <si>
    <t>03/23/2001</t>
  </si>
  <si>
    <t>A030534</t>
  </si>
  <si>
    <t>DINESH  MANIAR</t>
  </si>
  <si>
    <t>008594</t>
  </si>
  <si>
    <t>05/31/1951</t>
  </si>
  <si>
    <t>014233</t>
  </si>
  <si>
    <t>010708</t>
  </si>
  <si>
    <t>09/03/1976</t>
  </si>
  <si>
    <t>017140B</t>
  </si>
  <si>
    <t>UN000176</t>
  </si>
  <si>
    <t>J K Ranch</t>
  </si>
  <si>
    <t>DONALD L COLOMBINI</t>
  </si>
  <si>
    <t>DICESARE VINEYARDS, LLC</t>
  </si>
  <si>
    <t>S015706</t>
  </si>
  <si>
    <t>12/12/2012</t>
  </si>
  <si>
    <t>017266A</t>
  </si>
  <si>
    <t>09/26/1986</t>
  </si>
  <si>
    <t>CAROLE  MASCHERINI</t>
  </si>
  <si>
    <t>UN000668</t>
  </si>
  <si>
    <t>03/05/2013</t>
  </si>
  <si>
    <t>MARCUS  S TOPEL</t>
  </si>
  <si>
    <t>07/02/2012</t>
  </si>
  <si>
    <t>A023043</t>
  </si>
  <si>
    <t>015743</t>
  </si>
  <si>
    <t>010269</t>
  </si>
  <si>
    <t>04/10/2013</t>
  </si>
  <si>
    <t>Don   Bertoli</t>
  </si>
  <si>
    <t>04/23/2010</t>
  </si>
  <si>
    <t>08/22/2012</t>
  </si>
  <si>
    <t>DONALD E WIDDOES</t>
  </si>
  <si>
    <t>S009753</t>
  </si>
  <si>
    <t>11/23/2009</t>
  </si>
  <si>
    <t>000821</t>
  </si>
  <si>
    <t>09/26/2013</t>
  </si>
  <si>
    <t>REDWOOD FLORAL, LLC</t>
  </si>
  <si>
    <t>S015789</t>
  </si>
  <si>
    <t>11/16/2013</t>
  </si>
  <si>
    <t>CARL W TULIBACK</t>
  </si>
  <si>
    <t>05/09/2013</t>
  </si>
  <si>
    <t>Frederick  E. Zmarzly</t>
  </si>
  <si>
    <t>018373B</t>
  </si>
  <si>
    <t>03/08/2010</t>
  </si>
  <si>
    <t>GEORG  GOTTSCHALK</t>
  </si>
  <si>
    <t>S008507</t>
  </si>
  <si>
    <t>08/07/2013</t>
  </si>
  <si>
    <t>02/17/2010</t>
  </si>
  <si>
    <t>02/11/2013</t>
  </si>
  <si>
    <t>MARTHA  MENTH</t>
  </si>
  <si>
    <t>Feliz Creek Limited Partnership</t>
  </si>
  <si>
    <t>010996</t>
  </si>
  <si>
    <t>007797</t>
  </si>
  <si>
    <t>08/06/1966</t>
  </si>
  <si>
    <t>S009757</t>
  </si>
  <si>
    <t>01/30/2013</t>
  </si>
  <si>
    <t>D032054</t>
  </si>
  <si>
    <t>12/13/2013</t>
  </si>
  <si>
    <t>James  LeDuc</t>
  </si>
  <si>
    <t>A030163</t>
  </si>
  <si>
    <t>STEVE  THOMAS</t>
  </si>
  <si>
    <t>06/17/2013</t>
  </si>
  <si>
    <t>DUNCAN PEAK ESTATES LLC</t>
  </si>
  <si>
    <t>021200</t>
  </si>
  <si>
    <t>000190</t>
  </si>
  <si>
    <t>S020126</t>
  </si>
  <si>
    <t>02/25/2014</t>
  </si>
  <si>
    <t>09/09/2013</t>
  </si>
  <si>
    <t>S015855</t>
  </si>
  <si>
    <t>08/10/2015</t>
  </si>
  <si>
    <t>000861</t>
  </si>
  <si>
    <t>07/02/2014</t>
  </si>
  <si>
    <t>WILLIAM  PARISH</t>
  </si>
  <si>
    <t>S022129</t>
  </si>
  <si>
    <t>02/28/2014</t>
  </si>
  <si>
    <t>Gregory  L.  Spier</t>
  </si>
  <si>
    <t>000189</t>
  </si>
  <si>
    <t>000799</t>
  </si>
  <si>
    <t>009471</t>
  </si>
  <si>
    <t>004928</t>
  </si>
  <si>
    <t>12/31/1957</t>
  </si>
  <si>
    <t>George  Woods</t>
  </si>
  <si>
    <t>S014385</t>
  </si>
  <si>
    <t>07/31/2015</t>
  </si>
  <si>
    <t>PARDUCCI WINE ESTATES LLC</t>
  </si>
  <si>
    <t>S019229</t>
  </si>
  <si>
    <t>SERENA JOAN LIFE BIRCH</t>
  </si>
  <si>
    <t>016971</t>
  </si>
  <si>
    <t>011578</t>
  </si>
  <si>
    <t>07/09/1984</t>
  </si>
  <si>
    <t>LANCASTER ESTATE VINEYARD AND WINERY LLC</t>
  </si>
  <si>
    <t>021346</t>
  </si>
  <si>
    <t>05/16/2014</t>
  </si>
  <si>
    <t>R. Carraro Vineyards</t>
  </si>
  <si>
    <t>020547</t>
  </si>
  <si>
    <t>08/08/1991</t>
  </si>
  <si>
    <t>Stephen &amp; Susan Hill Trust</t>
  </si>
  <si>
    <t>000824</t>
  </si>
  <si>
    <t>09/29/2016</t>
  </si>
  <si>
    <t>ARVIN  BABU</t>
  </si>
  <si>
    <t>UN000670</t>
  </si>
  <si>
    <t>05/26/2016</t>
  </si>
  <si>
    <t>MARK WEST LODGE</t>
  </si>
  <si>
    <t>JOSHUA  FREEMAN</t>
  </si>
  <si>
    <t>EMF WEST</t>
  </si>
  <si>
    <t>S015218</t>
  </si>
  <si>
    <t>S025821</t>
  </si>
  <si>
    <t>06/01/2020</t>
  </si>
  <si>
    <t>THOMAS J PACKO</t>
  </si>
  <si>
    <t>02/19/2020</t>
  </si>
  <si>
    <t>KELLY  JENNETTE</t>
  </si>
  <si>
    <t>S027084</t>
  </si>
  <si>
    <t>04/09/2020</t>
  </si>
  <si>
    <t>07/15/2019</t>
  </si>
  <si>
    <t>03/27/2017</t>
  </si>
  <si>
    <t>THE BEVILL FAMILY TRUST</t>
  </si>
  <si>
    <t>S026513</t>
  </si>
  <si>
    <t>JAMES  DAVIS</t>
  </si>
  <si>
    <t>FIDDLERS GREENS GARDEN</t>
  </si>
  <si>
    <t>021352</t>
  </si>
  <si>
    <t>05/17/2018</t>
  </si>
  <si>
    <t>A015158</t>
  </si>
  <si>
    <t>004675</t>
  </si>
  <si>
    <t>01/22/2020</t>
  </si>
  <si>
    <t>100290</t>
  </si>
  <si>
    <t>10/15/2018</t>
  </si>
  <si>
    <t>S024626</t>
  </si>
  <si>
    <t>02/21/2018</t>
  </si>
  <si>
    <t>Gary  Freedman</t>
  </si>
  <si>
    <t>019145</t>
  </si>
  <si>
    <t>D032529</t>
  </si>
  <si>
    <t>021251</t>
  </si>
  <si>
    <t>100142</t>
  </si>
  <si>
    <t>A020541</t>
  </si>
  <si>
    <t>014322</t>
  </si>
  <si>
    <t>010329</t>
  </si>
  <si>
    <t>12/17/2018</t>
  </si>
  <si>
    <t>100658</t>
  </si>
  <si>
    <t>JAMES  HILL</t>
  </si>
  <si>
    <t>S026300</t>
  </si>
  <si>
    <t>05/05/2018</t>
  </si>
  <si>
    <t>GUYFATHER ENTERPRISES AND BROTHER B</t>
  </si>
  <si>
    <t>100613</t>
  </si>
  <si>
    <t>12/31/2019</t>
  </si>
  <si>
    <t>MAJOR FARMS</t>
  </si>
  <si>
    <t>D031225</t>
  </si>
  <si>
    <t>000605</t>
  </si>
  <si>
    <t>08/07/2019</t>
  </si>
  <si>
    <t>JACK M OSTLER</t>
  </si>
  <si>
    <t>021380</t>
  </si>
  <si>
    <t>100254</t>
  </si>
  <si>
    <t>09/21/2018</t>
  </si>
  <si>
    <t>14895 EAGLE ROCK RD LLC</t>
  </si>
  <si>
    <t>S027037</t>
  </si>
  <si>
    <t>12/10/2019</t>
  </si>
  <si>
    <t>DEAN  PILLING</t>
  </si>
  <si>
    <t>100461</t>
  </si>
  <si>
    <t>05/03/2019</t>
  </si>
  <si>
    <t>MIKE  DIGAN</t>
  </si>
  <si>
    <t>S022318</t>
  </si>
  <si>
    <t>06/25/2020</t>
  </si>
  <si>
    <t>D031356</t>
  </si>
  <si>
    <t>03/13/2006</t>
  </si>
  <si>
    <t>RONALD J KLAAS</t>
  </si>
  <si>
    <t>H033201</t>
  </si>
  <si>
    <t>04/07/2021</t>
  </si>
  <si>
    <t>KEVIN  AKIN</t>
  </si>
  <si>
    <t>008913</t>
  </si>
  <si>
    <t>005335</t>
  </si>
  <si>
    <t>08/05/1958</t>
  </si>
  <si>
    <t>S027363</t>
  </si>
  <si>
    <t>S027400</t>
  </si>
  <si>
    <t>A016163</t>
  </si>
  <si>
    <t>009846</t>
  </si>
  <si>
    <t>12/01/2017</t>
  </si>
  <si>
    <t>KARL J KOWALSKI</t>
  </si>
  <si>
    <t>D032788</t>
  </si>
  <si>
    <t>03/26/2018</t>
  </si>
  <si>
    <t>S018704</t>
  </si>
  <si>
    <t>09/17/2019</t>
  </si>
  <si>
    <t>Mitchell  Champi</t>
  </si>
  <si>
    <t>D032559</t>
  </si>
  <si>
    <t>000886</t>
  </si>
  <si>
    <t>021400</t>
  </si>
  <si>
    <t>06/20/2018</t>
  </si>
  <si>
    <t>S016890</t>
  </si>
  <si>
    <t>000292</t>
  </si>
  <si>
    <t>THOMAS   EMMITT</t>
  </si>
  <si>
    <t>021207</t>
  </si>
  <si>
    <t>01/11/2008</t>
  </si>
  <si>
    <t>001125</t>
  </si>
  <si>
    <t>07/06/2018</t>
  </si>
  <si>
    <t>MARY  ROSE</t>
  </si>
  <si>
    <t>S027268</t>
  </si>
  <si>
    <t>020017</t>
  </si>
  <si>
    <t>013895</t>
  </si>
  <si>
    <t>MICHAEL LUKE MILLER</t>
  </si>
  <si>
    <t>S020460</t>
  </si>
  <si>
    <t>021406</t>
  </si>
  <si>
    <t>S022807</t>
  </si>
  <si>
    <t>S022812</t>
  </si>
  <si>
    <t>001248</t>
  </si>
  <si>
    <t>12/20/2021</t>
  </si>
  <si>
    <t>CIVIC CENTER DR N&amp;G LLC</t>
  </si>
  <si>
    <t>12/15/2021</t>
  </si>
  <si>
    <t>08/01/2001</t>
  </si>
  <si>
    <t>021174</t>
  </si>
  <si>
    <t>12/07/2005</t>
  </si>
  <si>
    <t>MICHAEL B. KUIMELIS</t>
  </si>
  <si>
    <t>019130</t>
  </si>
  <si>
    <t>013935</t>
  </si>
  <si>
    <t>08/10/1956</t>
  </si>
  <si>
    <t>WILLOW COUNTY WATER DISTRICT</t>
  </si>
  <si>
    <t>017878B</t>
  </si>
  <si>
    <t>04/28/1980</t>
  </si>
  <si>
    <t>016950</t>
  </si>
  <si>
    <t>07/06/1973</t>
  </si>
  <si>
    <t>PAUL  LARRAMENDY</t>
  </si>
  <si>
    <t>017686A</t>
  </si>
  <si>
    <t>09/10/1984</t>
  </si>
  <si>
    <t>017731B</t>
  </si>
  <si>
    <t>017365</t>
  </si>
  <si>
    <t>10/22/1975</t>
  </si>
  <si>
    <t>RAINS CREEK WATER DISTRICT</t>
  </si>
  <si>
    <t>020552</t>
  </si>
  <si>
    <t>08/03/1990</t>
  </si>
  <si>
    <t>005506</t>
  </si>
  <si>
    <t>002502</t>
  </si>
  <si>
    <t>10/03/1939</t>
  </si>
  <si>
    <t>JOSHUA  DAVIS</t>
  </si>
  <si>
    <t>003104B</t>
  </si>
  <si>
    <t>003431</t>
  </si>
  <si>
    <t>002299</t>
  </si>
  <si>
    <t>10/21/1929</t>
  </si>
  <si>
    <t>WILLIAM MARION NEESE</t>
  </si>
  <si>
    <t>003837</t>
  </si>
  <si>
    <t>001473</t>
  </si>
  <si>
    <t>03/28/1931</t>
  </si>
  <si>
    <t>WHOLE TIME RANCH LP</t>
  </si>
  <si>
    <t>013589</t>
  </si>
  <si>
    <t>007956</t>
  </si>
  <si>
    <t>05/23/1956</t>
  </si>
  <si>
    <t>009938</t>
  </si>
  <si>
    <t>005892</t>
  </si>
  <si>
    <t>GRANITE CONSTRUCTION COMPANY INC</t>
  </si>
  <si>
    <t>010107</t>
  </si>
  <si>
    <t>005795</t>
  </si>
  <si>
    <t>10/04/1954</t>
  </si>
  <si>
    <t>KNIGHTS END LLC</t>
  </si>
  <si>
    <t>010401</t>
  </si>
  <si>
    <t>005924</t>
  </si>
  <si>
    <t>04/11/1955</t>
  </si>
  <si>
    <t>011054</t>
  </si>
  <si>
    <t>007213</t>
  </si>
  <si>
    <t>08/23/1955</t>
  </si>
  <si>
    <t>WARREN T LAZAROW AND BARBARA M LAZAROW FAMILY TRUST</t>
  </si>
  <si>
    <t>007391</t>
  </si>
  <si>
    <t>003650</t>
  </si>
  <si>
    <t>04/23/1948</t>
  </si>
  <si>
    <t>007326</t>
  </si>
  <si>
    <t>003612</t>
  </si>
  <si>
    <t>05/27/1948</t>
  </si>
  <si>
    <t>004453A02</t>
  </si>
  <si>
    <t>007852</t>
  </si>
  <si>
    <t>004592</t>
  </si>
  <si>
    <t>004450A02</t>
  </si>
  <si>
    <t>007795</t>
  </si>
  <si>
    <t>009718</t>
  </si>
  <si>
    <t>007865</t>
  </si>
  <si>
    <t>006305</t>
  </si>
  <si>
    <t>08/29/1949</t>
  </si>
  <si>
    <t>CASINI ENTERPRISES INC</t>
  </si>
  <si>
    <t>007898</t>
  </si>
  <si>
    <t>005055</t>
  </si>
  <si>
    <t>10/07/1949</t>
  </si>
  <si>
    <t>008026</t>
  </si>
  <si>
    <t>006095</t>
  </si>
  <si>
    <t>11/09/1949</t>
  </si>
  <si>
    <t>007933</t>
  </si>
  <si>
    <t>007050</t>
  </si>
  <si>
    <t>11/17/1949</t>
  </si>
  <si>
    <t>008685</t>
  </si>
  <si>
    <t>004063</t>
  </si>
  <si>
    <t>02/17/1950</t>
  </si>
  <si>
    <t>Battello Vineyards</t>
  </si>
  <si>
    <t>004729B</t>
  </si>
  <si>
    <t>JEFF  UBBEN</t>
  </si>
  <si>
    <t>008344</t>
  </si>
  <si>
    <t>006530</t>
  </si>
  <si>
    <t>06/22/1950</t>
  </si>
  <si>
    <t>6 ACRE WATER COMPANY</t>
  </si>
  <si>
    <t>008345</t>
  </si>
  <si>
    <t>004157</t>
  </si>
  <si>
    <t>008342</t>
  </si>
  <si>
    <t>004458</t>
  </si>
  <si>
    <t>008368</t>
  </si>
  <si>
    <t>004806</t>
  </si>
  <si>
    <t>ALL-COAST FOREST PRODUCTS, INC</t>
  </si>
  <si>
    <t>008370</t>
  </si>
  <si>
    <t>005285</t>
  </si>
  <si>
    <t>07/31/1950</t>
  </si>
  <si>
    <t>008374</t>
  </si>
  <si>
    <t>004738</t>
  </si>
  <si>
    <t>08/09/1950</t>
  </si>
  <si>
    <t>013645</t>
  </si>
  <si>
    <t>008278</t>
  </si>
  <si>
    <t>11/14/1961</t>
  </si>
  <si>
    <t>013655</t>
  </si>
  <si>
    <t>009467</t>
  </si>
  <si>
    <t>11/27/1961</t>
  </si>
  <si>
    <t>013620</t>
  </si>
  <si>
    <t>008149</t>
  </si>
  <si>
    <t>CATHERINE M HEATER</t>
  </si>
  <si>
    <t>008636</t>
  </si>
  <si>
    <t>005767</t>
  </si>
  <si>
    <t>005625A</t>
  </si>
  <si>
    <t>07/21/2003</t>
  </si>
  <si>
    <t>DEBORAH  NICOLOSI</t>
  </si>
  <si>
    <t>008640</t>
  </si>
  <si>
    <t>004517</t>
  </si>
  <si>
    <t>05/13/2002</t>
  </si>
  <si>
    <t>Anthony  K  Ford</t>
  </si>
  <si>
    <t>009102</t>
  </si>
  <si>
    <t>005272</t>
  </si>
  <si>
    <t>John   Frei</t>
  </si>
  <si>
    <t>009170</t>
  </si>
  <si>
    <t>007047</t>
  </si>
  <si>
    <t>06/24/1952</t>
  </si>
  <si>
    <t>PHILIP  C RIELLY</t>
  </si>
  <si>
    <t>004777A</t>
  </si>
  <si>
    <t>009428</t>
  </si>
  <si>
    <t>02/11/1953</t>
  </si>
  <si>
    <t>009695</t>
  </si>
  <si>
    <t>005178</t>
  </si>
  <si>
    <t>05/18/1953</t>
  </si>
  <si>
    <t>009637</t>
  </si>
  <si>
    <t>005187</t>
  </si>
  <si>
    <t>07/01/1953</t>
  </si>
  <si>
    <t>KL BARR, LLC</t>
  </si>
  <si>
    <t>009638</t>
  </si>
  <si>
    <t>005801</t>
  </si>
  <si>
    <t>09/02/1953</t>
  </si>
  <si>
    <t>009775</t>
  </si>
  <si>
    <t>005959</t>
  </si>
  <si>
    <t>012837</t>
  </si>
  <si>
    <t>007763</t>
  </si>
  <si>
    <t>08/04/1960</t>
  </si>
  <si>
    <t>012995</t>
  </si>
  <si>
    <t>007922</t>
  </si>
  <si>
    <t>10/04/1960</t>
  </si>
  <si>
    <t>014455</t>
  </si>
  <si>
    <t>009371</t>
  </si>
  <si>
    <t>ROBERT L MADDOCKS</t>
  </si>
  <si>
    <t>014568</t>
  </si>
  <si>
    <t>009468</t>
  </si>
  <si>
    <t>03/16/1964</t>
  </si>
  <si>
    <t>013060</t>
  </si>
  <si>
    <t>10/31/1957</t>
  </si>
  <si>
    <t>009432B</t>
  </si>
  <si>
    <t>014133</t>
  </si>
  <si>
    <t>008328</t>
  </si>
  <si>
    <t>11/13/1962</t>
  </si>
  <si>
    <t>IN THE POCKET STUDIO LLC</t>
  </si>
  <si>
    <t>014296</t>
  </si>
  <si>
    <t>008820</t>
  </si>
  <si>
    <t>JOHN H. THOMAS AND WENDY M. THOMAS TRUST</t>
  </si>
  <si>
    <t>014846</t>
  </si>
  <si>
    <t>009500</t>
  </si>
  <si>
    <t>02/11/1963</t>
  </si>
  <si>
    <t>HERMAN  AMBROSINI</t>
  </si>
  <si>
    <t>014215</t>
  </si>
  <si>
    <t>008903</t>
  </si>
  <si>
    <t>03/29/1963</t>
  </si>
  <si>
    <t>ROSWELL  MESSING III</t>
  </si>
  <si>
    <t>014559</t>
  </si>
  <si>
    <t>011040</t>
  </si>
  <si>
    <t>06/24/1963</t>
  </si>
  <si>
    <t>014762</t>
  </si>
  <si>
    <t>009532</t>
  </si>
  <si>
    <t>06/25/1963</t>
  </si>
  <si>
    <t>014605</t>
  </si>
  <si>
    <t>009403</t>
  </si>
  <si>
    <t>01/14/1964</t>
  </si>
  <si>
    <t>Juan G Flores</t>
  </si>
  <si>
    <t>018609</t>
  </si>
  <si>
    <t>012249</t>
  </si>
  <si>
    <t>11/05/1981</t>
  </si>
  <si>
    <t>HILLCREST EQUESTRIAN FARM</t>
  </si>
  <si>
    <t>018750</t>
  </si>
  <si>
    <t>012399</t>
  </si>
  <si>
    <t>12/23/1981</t>
  </si>
  <si>
    <t>W MIDDLETON O'BRIEN</t>
  </si>
  <si>
    <t>015293</t>
  </si>
  <si>
    <t>01/03/1966</t>
  </si>
  <si>
    <t>011861</t>
  </si>
  <si>
    <t>007122</t>
  </si>
  <si>
    <t>07/24/1958</t>
  </si>
  <si>
    <t>ROBERT I KOTOB</t>
  </si>
  <si>
    <t>011759</t>
  </si>
  <si>
    <t>007151</t>
  </si>
  <si>
    <t>08/20/1958</t>
  </si>
  <si>
    <t>006488</t>
  </si>
  <si>
    <t>09/22/1958</t>
  </si>
  <si>
    <t>WILLIAM  P TTEE FITZGERALD</t>
  </si>
  <si>
    <t>012102</t>
  </si>
  <si>
    <t>009118</t>
  </si>
  <si>
    <t>05/25/1959</t>
  </si>
  <si>
    <t>017702</t>
  </si>
  <si>
    <t>011740</t>
  </si>
  <si>
    <t>09/21/1978</t>
  </si>
  <si>
    <t>SONOMA COUNTY MUTUAL WATER COMPANY</t>
  </si>
  <si>
    <t>018319</t>
  </si>
  <si>
    <t>013202</t>
  </si>
  <si>
    <t>02/26/1980</t>
  </si>
  <si>
    <t>TOSHIKO  BEEMAN</t>
  </si>
  <si>
    <t>019067</t>
  </si>
  <si>
    <t>012448</t>
  </si>
  <si>
    <t>12/23/1980</t>
  </si>
  <si>
    <t>016607</t>
  </si>
  <si>
    <t>011157</t>
  </si>
  <si>
    <t>10/13/1971</t>
  </si>
  <si>
    <t>016822</t>
  </si>
  <si>
    <t>011621</t>
  </si>
  <si>
    <t>04/04/1972</t>
  </si>
  <si>
    <t>BELLISIMO A FAMILY VINEYARD LLC</t>
  </si>
  <si>
    <t>016552</t>
  </si>
  <si>
    <t>011003</t>
  </si>
  <si>
    <t>07/24/1972</t>
  </si>
  <si>
    <t>NATHANIEL D MACLEITCH</t>
  </si>
  <si>
    <t>017252</t>
  </si>
  <si>
    <t>012190</t>
  </si>
  <si>
    <t>06/29/1973</t>
  </si>
  <si>
    <t>CHRISTINE  CLIBURN</t>
  </si>
  <si>
    <t>017207</t>
  </si>
  <si>
    <t>011310</t>
  </si>
  <si>
    <t>08/29/1974</t>
  </si>
  <si>
    <t>017390B</t>
  </si>
  <si>
    <t>013395</t>
  </si>
  <si>
    <t>017328</t>
  </si>
  <si>
    <t>016941</t>
  </si>
  <si>
    <t>011551</t>
  </si>
  <si>
    <t>Phillip A Trowbridge Trust</t>
  </si>
  <si>
    <t>017686B</t>
  </si>
  <si>
    <t>013629</t>
  </si>
  <si>
    <t>12/28/2005</t>
  </si>
  <si>
    <t>017174</t>
  </si>
  <si>
    <t>011510</t>
  </si>
  <si>
    <t>10/27/1975</t>
  </si>
  <si>
    <t>LINDA  MCSWEYN</t>
  </si>
  <si>
    <t>017169</t>
  </si>
  <si>
    <t>011437</t>
  </si>
  <si>
    <t>RIENS SANDY BEACH, LLC</t>
  </si>
  <si>
    <t>017666A</t>
  </si>
  <si>
    <t>013012</t>
  </si>
  <si>
    <t>017159</t>
  </si>
  <si>
    <t>011407</t>
  </si>
  <si>
    <t>03/02/1976</t>
  </si>
  <si>
    <t>DAVID &amp; DEBORAH PLATT TRUST</t>
  </si>
  <si>
    <t>017232</t>
  </si>
  <si>
    <t>011540</t>
  </si>
  <si>
    <t>1616 S FITCH MOUNTAIN RD LLC</t>
  </si>
  <si>
    <t>017280</t>
  </si>
  <si>
    <t>012591</t>
  </si>
  <si>
    <t>04/20/1976</t>
  </si>
  <si>
    <t>BRENT   KIRCHNER</t>
  </si>
  <si>
    <t>017270</t>
  </si>
  <si>
    <t>011512</t>
  </si>
  <si>
    <t>08/27/1976</t>
  </si>
  <si>
    <t>CHANEY  CLAYPOOL</t>
  </si>
  <si>
    <t>015656</t>
  </si>
  <si>
    <t>010754</t>
  </si>
  <si>
    <t>08/10/1967</t>
  </si>
  <si>
    <t>PATRICK H FORD</t>
  </si>
  <si>
    <t>015971</t>
  </si>
  <si>
    <t>010624</t>
  </si>
  <si>
    <t>03/21/1969</t>
  </si>
  <si>
    <t>015900</t>
  </si>
  <si>
    <t>010234</t>
  </si>
  <si>
    <t>04/09/1969</t>
  </si>
  <si>
    <t>015902</t>
  </si>
  <si>
    <t>010487</t>
  </si>
  <si>
    <t>05/20/1969</t>
  </si>
  <si>
    <t>015961</t>
  </si>
  <si>
    <t>010839</t>
  </si>
  <si>
    <t>08/26/1969</t>
  </si>
  <si>
    <t>JAMES C MCASEY JR</t>
  </si>
  <si>
    <t>016137A</t>
  </si>
  <si>
    <t>010663A</t>
  </si>
  <si>
    <t>BROOKE  INGRAM</t>
  </si>
  <si>
    <t>011917B</t>
  </si>
  <si>
    <t>07/09/1991</t>
  </si>
  <si>
    <t>016269</t>
  </si>
  <si>
    <t>012316</t>
  </si>
  <si>
    <t>12/21/1970</t>
  </si>
  <si>
    <t>016241</t>
  </si>
  <si>
    <t>010766</t>
  </si>
  <si>
    <t>CELESTE  LAMBERTH</t>
  </si>
  <si>
    <t>016285</t>
  </si>
  <si>
    <t>011758</t>
  </si>
  <si>
    <t>03/24/1971</t>
  </si>
  <si>
    <t>020108</t>
  </si>
  <si>
    <t>013052</t>
  </si>
  <si>
    <t>NICK  BERGERA</t>
  </si>
  <si>
    <t>A029201</t>
  </si>
  <si>
    <t>05/14/2003</t>
  </si>
  <si>
    <t>A029754</t>
  </si>
  <si>
    <t>05/12/1998</t>
  </si>
  <si>
    <t>FOOTHILL PROPERTY OWNERS' ASSOCIATION</t>
  </si>
  <si>
    <t>017466</t>
  </si>
  <si>
    <t>011492</t>
  </si>
  <si>
    <t>12/07/1976</t>
  </si>
  <si>
    <t>DANIEL CORRELL CHAVES</t>
  </si>
  <si>
    <t>017870</t>
  </si>
  <si>
    <t>012811</t>
  </si>
  <si>
    <t>12/15/1977</t>
  </si>
  <si>
    <t>017370</t>
  </si>
  <si>
    <t>011574</t>
  </si>
  <si>
    <t>12/30/1977</t>
  </si>
  <si>
    <t>017567</t>
  </si>
  <si>
    <t>011754</t>
  </si>
  <si>
    <t>05/16/1978</t>
  </si>
  <si>
    <t>017604A</t>
  </si>
  <si>
    <t>012592</t>
  </si>
  <si>
    <t>020390</t>
  </si>
  <si>
    <t>09/06/1988</t>
  </si>
  <si>
    <t>018791</t>
  </si>
  <si>
    <t>012414</t>
  </si>
  <si>
    <t>07/20/1982</t>
  </si>
  <si>
    <t>019108</t>
  </si>
  <si>
    <t>012774</t>
  </si>
  <si>
    <t>07/06/1983</t>
  </si>
  <si>
    <t>019285</t>
  </si>
  <si>
    <t>013638</t>
  </si>
  <si>
    <t>019616</t>
  </si>
  <si>
    <t>012882</t>
  </si>
  <si>
    <t>02/06/1985</t>
  </si>
  <si>
    <t>A030801</t>
  </si>
  <si>
    <t>08/24/2005</t>
  </si>
  <si>
    <t>ALEXANDER VALLEY HILL RANCH, LLC</t>
  </si>
  <si>
    <t>X003554</t>
  </si>
  <si>
    <t>08/11/2003</t>
  </si>
  <si>
    <t>GOLDEN ULE CHURCH ASSOCIATION</t>
  </si>
  <si>
    <t>A015010</t>
  </si>
  <si>
    <t>009236</t>
  </si>
  <si>
    <t>004673</t>
  </si>
  <si>
    <t>10/16/2003</t>
  </si>
  <si>
    <t>S015242</t>
  </si>
  <si>
    <t>07/29/2003</t>
  </si>
  <si>
    <t>000723</t>
  </si>
  <si>
    <t>11/06/2006</t>
  </si>
  <si>
    <t>SHAWN  BETTEGA</t>
  </si>
  <si>
    <t>000052</t>
  </si>
  <si>
    <t>02/11/2004</t>
  </si>
  <si>
    <t>000061</t>
  </si>
  <si>
    <t>05/19/2005</t>
  </si>
  <si>
    <t>000512</t>
  </si>
  <si>
    <t>000500</t>
  </si>
  <si>
    <t>JUANITA-JOY  RIDDELL</t>
  </si>
  <si>
    <t>11/19/1982</t>
  </si>
  <si>
    <t>RANDY S. AND KRISTEN M. LOONEY AND RONALD C. AND DIANE K. RUCKER SURVIVORS TRUST</t>
  </si>
  <si>
    <t>CONSTELLATION - MARIANI RANCH</t>
  </si>
  <si>
    <t>04/08/2005</t>
  </si>
  <si>
    <t>PETER C VAN ALYEA</t>
  </si>
  <si>
    <t>07/01/2005</t>
  </si>
  <si>
    <t>JOHN E MCINERNEY</t>
  </si>
  <si>
    <t>S015844</t>
  </si>
  <si>
    <t>03/29/2005</t>
  </si>
  <si>
    <t>11/04/2005</t>
  </si>
  <si>
    <t>05/29/1992</t>
  </si>
  <si>
    <t>GREEN PASTURES VALLEY LLC</t>
  </si>
  <si>
    <t>06/07/2006</t>
  </si>
  <si>
    <t>08/13/2007</t>
  </si>
  <si>
    <t>Toni   Schneider</t>
  </si>
  <si>
    <t>06/22/1993</t>
  </si>
  <si>
    <t>06/24/1976</t>
  </si>
  <si>
    <t>COLD CREEK COMPOST INC</t>
  </si>
  <si>
    <t>01/20/1978</t>
  </si>
  <si>
    <t>06/04/2001</t>
  </si>
  <si>
    <t>01/28/2003</t>
  </si>
  <si>
    <t>A015679</t>
  </si>
  <si>
    <t>009950</t>
  </si>
  <si>
    <t>005763</t>
  </si>
  <si>
    <t>05/20/2014</t>
  </si>
  <si>
    <t>020049</t>
  </si>
  <si>
    <t>013764</t>
  </si>
  <si>
    <t>RONALD L VANSCOYK</t>
  </si>
  <si>
    <t>Alexis  Woods</t>
  </si>
  <si>
    <t>A030748</t>
  </si>
  <si>
    <t>000097</t>
  </si>
  <si>
    <t>000389</t>
  </si>
  <si>
    <t>JOHN H LESTRANGE</t>
  </si>
  <si>
    <t>D031142</t>
  </si>
  <si>
    <t>000578</t>
  </si>
  <si>
    <t>10/18/2007</t>
  </si>
  <si>
    <t>A030934</t>
  </si>
  <si>
    <t>021035</t>
  </si>
  <si>
    <t>013826</t>
  </si>
  <si>
    <t>NJ000005</t>
  </si>
  <si>
    <t>Non Jurisdictional</t>
  </si>
  <si>
    <t>11/12/2008</t>
  </si>
  <si>
    <t>Gerald L. Bybee</t>
  </si>
  <si>
    <t>000110</t>
  </si>
  <si>
    <t>12/08/2009</t>
  </si>
  <si>
    <t>Francis M Passalacqua Family Trust</t>
  </si>
  <si>
    <t>000283</t>
  </si>
  <si>
    <t>08/22/1995</t>
  </si>
  <si>
    <t>PETER  ZWEIG</t>
  </si>
  <si>
    <t>A031825</t>
  </si>
  <si>
    <t>04/12/2010</t>
  </si>
  <si>
    <t>S003087</t>
  </si>
  <si>
    <t>08/03/2011</t>
  </si>
  <si>
    <t>S013333</t>
  </si>
  <si>
    <t>S005282</t>
  </si>
  <si>
    <t>C L BROOKS</t>
  </si>
  <si>
    <t>A031363</t>
  </si>
  <si>
    <t>021229</t>
  </si>
  <si>
    <t>020984</t>
  </si>
  <si>
    <t>013824</t>
  </si>
  <si>
    <t>SCHRAMSBERG VINEYARDS CO</t>
  </si>
  <si>
    <t>S002886</t>
  </si>
  <si>
    <t>04/23/2008</t>
  </si>
  <si>
    <t>S013965</t>
  </si>
  <si>
    <t>000038</t>
  </si>
  <si>
    <t>04/20/1990</t>
  </si>
  <si>
    <t>CHRISTIAN T VANDENHEUVEL</t>
  </si>
  <si>
    <t>000744</t>
  </si>
  <si>
    <t>12/21/2007</t>
  </si>
  <si>
    <t>PATRICK E AND EIVOR S TAYLOR TRUST UAD 08/20/2013</t>
  </si>
  <si>
    <t>A030077</t>
  </si>
  <si>
    <t>05/05/2008</t>
  </si>
  <si>
    <t>021228</t>
  </si>
  <si>
    <t>COOLEY RANCH COMPANY - BUCKEYE POND</t>
  </si>
  <si>
    <t>Galloway Creek</t>
  </si>
  <si>
    <t>08/26/1993</t>
  </si>
  <si>
    <t>000208</t>
  </si>
  <si>
    <t>11/16/1993</t>
  </si>
  <si>
    <t>JOHN W COLLINS</t>
  </si>
  <si>
    <t>020640</t>
  </si>
  <si>
    <t>013799</t>
  </si>
  <si>
    <t>02/22/2010</t>
  </si>
  <si>
    <t>BRUCE  STRICKLER</t>
  </si>
  <si>
    <t>09/14/1998</t>
  </si>
  <si>
    <t>009891</t>
  </si>
  <si>
    <t>006793</t>
  </si>
  <si>
    <t>06/07/1968</t>
  </si>
  <si>
    <t>Paul  Bialla</t>
  </si>
  <si>
    <t>000507</t>
  </si>
  <si>
    <t>03/27/2000</t>
  </si>
  <si>
    <t>JENNIFER   SLOAN</t>
  </si>
  <si>
    <t>A030170</t>
  </si>
  <si>
    <t>DANIEL C THOMAS</t>
  </si>
  <si>
    <t>S015095</t>
  </si>
  <si>
    <t>Delorimier Family Partnership</t>
  </si>
  <si>
    <t>A014718</t>
  </si>
  <si>
    <t>009030</t>
  </si>
  <si>
    <t>005490</t>
  </si>
  <si>
    <t>EARL  FINCHER JR</t>
  </si>
  <si>
    <t>02/16/2011</t>
  </si>
  <si>
    <t>TODD  CASS</t>
  </si>
  <si>
    <t>GUADAGNI BROS</t>
  </si>
  <si>
    <t>MAX P. SCHLIENGER</t>
  </si>
  <si>
    <t>06/20/2011</t>
  </si>
  <si>
    <t>S009698</t>
  </si>
  <si>
    <t>03/27/2012</t>
  </si>
  <si>
    <t>THOMAS  BARNHISEL</t>
  </si>
  <si>
    <t>UN000106</t>
  </si>
  <si>
    <t>03/03/2011</t>
  </si>
  <si>
    <t>RAFAEL  CHAVEZ</t>
  </si>
  <si>
    <t>A001665</t>
  </si>
  <si>
    <t>000755</t>
  </si>
  <si>
    <t>000290</t>
  </si>
  <si>
    <t>RICHARD J KETTLEWELL</t>
  </si>
  <si>
    <t>021090</t>
  </si>
  <si>
    <t>013863</t>
  </si>
  <si>
    <t>09/19/2012</t>
  </si>
  <si>
    <t>021329</t>
  </si>
  <si>
    <t>06/27/2013</t>
  </si>
  <si>
    <t>ISMAC FAMILY TRUST</t>
  </si>
  <si>
    <t>S016809</t>
  </si>
  <si>
    <t>08/09/2013</t>
  </si>
  <si>
    <t>Hall Wines LLC C/O Don Munk</t>
  </si>
  <si>
    <t>Rbert Young Familt Ltd. Partnership</t>
  </si>
  <si>
    <t>04/30/2013</t>
  </si>
  <si>
    <t>OAT VALLEY VINEYARDS, LLC</t>
  </si>
  <si>
    <t>A031730</t>
  </si>
  <si>
    <t>10/13/2011</t>
  </si>
  <si>
    <t>H032056</t>
  </si>
  <si>
    <t>05/21/2013</t>
  </si>
  <si>
    <t>UN000169</t>
  </si>
  <si>
    <t>F Korbel &amp; Bros INC</t>
  </si>
  <si>
    <t>000736</t>
  </si>
  <si>
    <t>RICHARD  SPENCER</t>
  </si>
  <si>
    <t>000162</t>
  </si>
  <si>
    <t>021092</t>
  </si>
  <si>
    <t>013865</t>
  </si>
  <si>
    <t>Kenneth  Parr</t>
  </si>
  <si>
    <t>07/23/2010</t>
  </si>
  <si>
    <t>WILLIAM  SPENCER</t>
  </si>
  <si>
    <t>TED S DUNAGAN</t>
  </si>
  <si>
    <t>S015819</t>
  </si>
  <si>
    <t>06/14/2005</t>
  </si>
  <si>
    <t>020809</t>
  </si>
  <si>
    <t>013839</t>
  </si>
  <si>
    <t>11/08/2011</t>
  </si>
  <si>
    <t>Napa</t>
  </si>
  <si>
    <t>Middle Napa River</t>
  </si>
  <si>
    <t>San Pablo Bay</t>
  </si>
  <si>
    <t>08/31/2010</t>
  </si>
  <si>
    <t>Jordan Vineyard and Winery</t>
  </si>
  <si>
    <t>020718</t>
  </si>
  <si>
    <t>013858</t>
  </si>
  <si>
    <t>06/20/2012</t>
  </si>
  <si>
    <t>RIDGE VINEYARDS, INC</t>
  </si>
  <si>
    <t>02/01/2010</t>
  </si>
  <si>
    <t>S013813</t>
  </si>
  <si>
    <t>05/30/2014</t>
  </si>
  <si>
    <t>A025823A</t>
  </si>
  <si>
    <t>02/23/2015</t>
  </si>
  <si>
    <t>S025270</t>
  </si>
  <si>
    <t>11/02/2015</t>
  </si>
  <si>
    <t>Daniel  L Abbe</t>
  </si>
  <si>
    <t>03/06/2014</t>
  </si>
  <si>
    <t>06/29/2015</t>
  </si>
  <si>
    <t>UN000702</t>
  </si>
  <si>
    <t>000159</t>
  </si>
  <si>
    <t>02/06/2014</t>
  </si>
  <si>
    <t>Bavarian Lion Company c/o Pierre Ehret</t>
  </si>
  <si>
    <t>Eco Terreno Inc.</t>
  </si>
  <si>
    <t>10/09/2015</t>
  </si>
  <si>
    <t>Ric  Salvati</t>
  </si>
  <si>
    <t>A030162B</t>
  </si>
  <si>
    <t>012166</t>
  </si>
  <si>
    <t>007404</t>
  </si>
  <si>
    <t>000891</t>
  </si>
  <si>
    <t>LUCAS  MONROE</t>
  </si>
  <si>
    <t>000885</t>
  </si>
  <si>
    <t>JEFF  KOHLER</t>
  </si>
  <si>
    <t>S023165</t>
  </si>
  <si>
    <t>S025185</t>
  </si>
  <si>
    <t>DAN  HOLTMAN</t>
  </si>
  <si>
    <t>000009</t>
  </si>
  <si>
    <t>01/19/2016</t>
  </si>
  <si>
    <t>MICHAEL  HOBART</t>
  </si>
  <si>
    <t>BERNARD  ZIMMER</t>
  </si>
  <si>
    <t>D030743</t>
  </si>
  <si>
    <t>000392</t>
  </si>
  <si>
    <t>MORTON R MITCHELL III</t>
  </si>
  <si>
    <t>A020650</t>
  </si>
  <si>
    <t>013727</t>
  </si>
  <si>
    <t>008236</t>
  </si>
  <si>
    <t>01/03/2018</t>
  </si>
  <si>
    <t>VICTOR  TRENTADUE</t>
  </si>
  <si>
    <t>A031521</t>
  </si>
  <si>
    <t>06/05/2018</t>
  </si>
  <si>
    <t>NIMBLE VINEYARDS</t>
  </si>
  <si>
    <t>S016895</t>
  </si>
  <si>
    <t>021369</t>
  </si>
  <si>
    <t>CRISTI  THIRY</t>
  </si>
  <si>
    <t>S027266</t>
  </si>
  <si>
    <t>04/26/2018</t>
  </si>
  <si>
    <t>MISTY MOUNTAIN SERVICES LLC</t>
  </si>
  <si>
    <t>100514</t>
  </si>
  <si>
    <t>03/17/2017</t>
  </si>
  <si>
    <t>001101</t>
  </si>
  <si>
    <t>05/01/2018</t>
  </si>
  <si>
    <t>12/06/2019</t>
  </si>
  <si>
    <t>DUCKHORN WINE COMPANY</t>
  </si>
  <si>
    <t>004675B</t>
  </si>
  <si>
    <t>JOHN  STRANGIO</t>
  </si>
  <si>
    <t>07/20/2017</t>
  </si>
  <si>
    <t>TRIPLE JS</t>
  </si>
  <si>
    <t>UN000673</t>
  </si>
  <si>
    <t>S015899</t>
  </si>
  <si>
    <t>08/07/2018</t>
  </si>
  <si>
    <t>000235</t>
  </si>
  <si>
    <t>06/02/1994</t>
  </si>
  <si>
    <t>S027299</t>
  </si>
  <si>
    <t>S027172</t>
  </si>
  <si>
    <t>100005</t>
  </si>
  <si>
    <t>02/12/2018</t>
  </si>
  <si>
    <t>11/05/2019</t>
  </si>
  <si>
    <t>CARLIE DAWN SALINAS</t>
  </si>
  <si>
    <t>A030981</t>
  </si>
  <si>
    <t>04/05/2017</t>
  </si>
  <si>
    <t>100679</t>
  </si>
  <si>
    <t>07/29/2020</t>
  </si>
  <si>
    <t>LEO GRANDE LLC</t>
  </si>
  <si>
    <t>A027001</t>
  </si>
  <si>
    <t>018605</t>
  </si>
  <si>
    <t>10/04/2017</t>
  </si>
  <si>
    <t>LONE OAK ESTATES INC</t>
  </si>
  <si>
    <t>100651</t>
  </si>
  <si>
    <t>07/19/2021</t>
  </si>
  <si>
    <t>S019400</t>
  </si>
  <si>
    <t>Klein Foods, Inc. - Ranch #38</t>
  </si>
  <si>
    <t>UN000107</t>
  </si>
  <si>
    <t>Theodore F. &amp; Diane E. Richardson Living Trust</t>
  </si>
  <si>
    <t>10/29/2017</t>
  </si>
  <si>
    <t>013936</t>
  </si>
  <si>
    <t>03/26/1963</t>
  </si>
  <si>
    <t>East Fork Russian River-Russian River, Orrs Creek-Russian River</t>
  </si>
  <si>
    <t>A032192</t>
  </si>
  <si>
    <t>UN000869</t>
  </si>
  <si>
    <t>SALLY  WEED</t>
  </si>
  <si>
    <t>UN000671</t>
  </si>
  <si>
    <t>LUCA  ZANIN</t>
  </si>
  <si>
    <t>04/24/2003</t>
  </si>
  <si>
    <t>05/08/2006</t>
  </si>
  <si>
    <t>05/09/2006</t>
  </si>
  <si>
    <t>05/12/2000</t>
  </si>
  <si>
    <t>RONALD W MCGEHEE</t>
  </si>
  <si>
    <t>08/21/2000</t>
  </si>
  <si>
    <t>08/22/2000</t>
  </si>
  <si>
    <t>01/30/2001</t>
  </si>
  <si>
    <t>018725</t>
  </si>
  <si>
    <t>06/14/1982</t>
  </si>
  <si>
    <t>019242</t>
  </si>
  <si>
    <t>017878A</t>
  </si>
  <si>
    <t>018564</t>
  </si>
  <si>
    <t>06/05/1980</t>
  </si>
  <si>
    <t>019566</t>
  </si>
  <si>
    <t>11/18/1980</t>
  </si>
  <si>
    <t>021066</t>
  </si>
  <si>
    <t>01/11/1982</t>
  </si>
  <si>
    <t>017331</t>
  </si>
  <si>
    <t>017902B</t>
  </si>
  <si>
    <t>017206B</t>
  </si>
  <si>
    <t>06/07/2005</t>
  </si>
  <si>
    <t>020459</t>
  </si>
  <si>
    <t>12/09/2003</t>
  </si>
  <si>
    <t>020554</t>
  </si>
  <si>
    <t>12/27/1989</t>
  </si>
  <si>
    <t>020091</t>
  </si>
  <si>
    <t>003525</t>
  </si>
  <si>
    <t>04/16/1930</t>
  </si>
  <si>
    <t>013029</t>
  </si>
  <si>
    <t>008227</t>
  </si>
  <si>
    <t>03/27/1956</t>
  </si>
  <si>
    <t>LOCAVORE LLC</t>
  </si>
  <si>
    <t>013831</t>
  </si>
  <si>
    <t>008627</t>
  </si>
  <si>
    <t>06/21/1956</t>
  </si>
  <si>
    <t>010870</t>
  </si>
  <si>
    <t>007279</t>
  </si>
  <si>
    <t>08/14/1956</t>
  </si>
  <si>
    <t>013018</t>
  </si>
  <si>
    <t>010758</t>
  </si>
  <si>
    <t>08/15/1956</t>
  </si>
  <si>
    <t>Wendy R Escobar</t>
  </si>
  <si>
    <t>013237</t>
  </si>
  <si>
    <t>007921</t>
  </si>
  <si>
    <t>09/07/1956</t>
  </si>
  <si>
    <t>VICKI  TODD</t>
  </si>
  <si>
    <t>000482</t>
  </si>
  <si>
    <t>000074</t>
  </si>
  <si>
    <t>01/15/1920</t>
  </si>
  <si>
    <t>JOSEPH  IMWALLE</t>
  </si>
  <si>
    <t>001322</t>
  </si>
  <si>
    <t>000566</t>
  </si>
  <si>
    <t>01/24/1927</t>
  </si>
  <si>
    <t>JOSE  ALVARADO</t>
  </si>
  <si>
    <t>001230</t>
  </si>
  <si>
    <t>000407</t>
  </si>
  <si>
    <t>07/14/1922</t>
  </si>
  <si>
    <t>F MILTON &amp; MARY P BRANDT REVOCABLE LIVING TRUST</t>
  </si>
  <si>
    <t>002144</t>
  </si>
  <si>
    <t>000683</t>
  </si>
  <si>
    <t>03/30/1928</t>
  </si>
  <si>
    <t>010123</t>
  </si>
  <si>
    <t>005029</t>
  </si>
  <si>
    <t>11/17/1954</t>
  </si>
  <si>
    <t>RICHARD T LEWIS</t>
  </si>
  <si>
    <t>011729</t>
  </si>
  <si>
    <t>04/27/1955</t>
  </si>
  <si>
    <t>JENNETTE  IGLESIAS</t>
  </si>
  <si>
    <t>010843</t>
  </si>
  <si>
    <t>008083</t>
  </si>
  <si>
    <t>07/21/1955</t>
  </si>
  <si>
    <t>013830</t>
  </si>
  <si>
    <t>008501</t>
  </si>
  <si>
    <t>11/30/1955</t>
  </si>
  <si>
    <t>013003</t>
  </si>
  <si>
    <t>008398</t>
  </si>
  <si>
    <t>12/09/1955</t>
  </si>
  <si>
    <t>007718</t>
  </si>
  <si>
    <t>005543</t>
  </si>
  <si>
    <t>02/24/1949</t>
  </si>
  <si>
    <t>Jade Mountain LLC</t>
  </si>
  <si>
    <t>007839</t>
  </si>
  <si>
    <t>003735</t>
  </si>
  <si>
    <t>06/13/1949</t>
  </si>
  <si>
    <t>CALPLAN RIVER VINEYARD I</t>
  </si>
  <si>
    <t>007872</t>
  </si>
  <si>
    <t>07/29/1949</t>
  </si>
  <si>
    <t>004450A01</t>
  </si>
  <si>
    <t>03/06/2002</t>
  </si>
  <si>
    <t>008448</t>
  </si>
  <si>
    <t>005473</t>
  </si>
  <si>
    <t>004729A</t>
  </si>
  <si>
    <t>008335</t>
  </si>
  <si>
    <t>004514</t>
  </si>
  <si>
    <t>06/14/1950</t>
  </si>
  <si>
    <t>008366</t>
  </si>
  <si>
    <t>004158</t>
  </si>
  <si>
    <t>006379</t>
  </si>
  <si>
    <t>003208</t>
  </si>
  <si>
    <t>02/08/1945</t>
  </si>
  <si>
    <t>006656</t>
  </si>
  <si>
    <t>003344</t>
  </si>
  <si>
    <t>01/28/1952</t>
  </si>
  <si>
    <t>006628</t>
  </si>
  <si>
    <t>003225</t>
  </si>
  <si>
    <t>04/23/1946</t>
  </si>
  <si>
    <t>013196</t>
  </si>
  <si>
    <t>009298</t>
  </si>
  <si>
    <t>06/14/1961</t>
  </si>
  <si>
    <t>HELEN L BACIGALUPI</t>
  </si>
  <si>
    <t>013672</t>
  </si>
  <si>
    <t>008282</t>
  </si>
  <si>
    <t>BUCHANAN FAMILY REVOCABLE TRUST</t>
  </si>
  <si>
    <t>008415</t>
  </si>
  <si>
    <t>009491</t>
  </si>
  <si>
    <t>11/03/1950</t>
  </si>
  <si>
    <t>008568</t>
  </si>
  <si>
    <t>005805</t>
  </si>
  <si>
    <t>11/08/1950</t>
  </si>
  <si>
    <t>008421</t>
  </si>
  <si>
    <t>004538</t>
  </si>
  <si>
    <t>004482A</t>
  </si>
  <si>
    <t>08/06/1992</t>
  </si>
  <si>
    <t>004482B</t>
  </si>
  <si>
    <t>008555</t>
  </si>
  <si>
    <t>004483</t>
  </si>
  <si>
    <t>008556</t>
  </si>
  <si>
    <t>005625B</t>
  </si>
  <si>
    <t>008629</t>
  </si>
  <si>
    <t>004767</t>
  </si>
  <si>
    <t>12/18/1950</t>
  </si>
  <si>
    <t>008561</t>
  </si>
  <si>
    <t>004516</t>
  </si>
  <si>
    <t>02/26/1951</t>
  </si>
  <si>
    <t>008642</t>
  </si>
  <si>
    <t>004518</t>
  </si>
  <si>
    <t>03/26/1951</t>
  </si>
  <si>
    <t>JOHN N DAYTON</t>
  </si>
  <si>
    <t>008834</t>
  </si>
  <si>
    <t>005314</t>
  </si>
  <si>
    <t>06/29/1951</t>
  </si>
  <si>
    <t>RICHARD  RUNDEL</t>
  </si>
  <si>
    <t>008912</t>
  </si>
  <si>
    <t>006733</t>
  </si>
  <si>
    <t>08/31/1951</t>
  </si>
  <si>
    <t>S T BURNETT</t>
  </si>
  <si>
    <t>008946</t>
  </si>
  <si>
    <t>006448</t>
  </si>
  <si>
    <t>10/29/1951</t>
  </si>
  <si>
    <t>Jay  Russell</t>
  </si>
  <si>
    <t>009080</t>
  </si>
  <si>
    <t>005157</t>
  </si>
  <si>
    <t>04/21/1952</t>
  </si>
  <si>
    <t>004833</t>
  </si>
  <si>
    <t>04/25/1952</t>
  </si>
  <si>
    <t>009123</t>
  </si>
  <si>
    <t>005048</t>
  </si>
  <si>
    <t>05/07/1952</t>
  </si>
  <si>
    <t>Novavine Inc</t>
  </si>
  <si>
    <t>009315</t>
  </si>
  <si>
    <t>004813</t>
  </si>
  <si>
    <t>06/05/1952</t>
  </si>
  <si>
    <t>009224B</t>
  </si>
  <si>
    <t>006191B</t>
  </si>
  <si>
    <t>008397A</t>
  </si>
  <si>
    <t>009871</t>
  </si>
  <si>
    <t>010541</t>
  </si>
  <si>
    <t>009872</t>
  </si>
  <si>
    <t>014491</t>
  </si>
  <si>
    <t>009070</t>
  </si>
  <si>
    <t>014681</t>
  </si>
  <si>
    <t>009399</t>
  </si>
  <si>
    <t>10/15/1964</t>
  </si>
  <si>
    <t>014683</t>
  </si>
  <si>
    <t>009306</t>
  </si>
  <si>
    <t>015104</t>
  </si>
  <si>
    <t>010423</t>
  </si>
  <si>
    <t>014826</t>
  </si>
  <si>
    <t>008672</t>
  </si>
  <si>
    <t>02/05/1965</t>
  </si>
  <si>
    <t>ALEX NIEHENKE</t>
  </si>
  <si>
    <t>014909</t>
  </si>
  <si>
    <t>009394</t>
  </si>
  <si>
    <t>03/22/1965</t>
  </si>
  <si>
    <t>Ridge Ranch No. 1, LLC</t>
  </si>
  <si>
    <t>015037</t>
  </si>
  <si>
    <t>009507</t>
  </si>
  <si>
    <t>03/26/1965</t>
  </si>
  <si>
    <t>006815</t>
  </si>
  <si>
    <t>06/11/1957</t>
  </si>
  <si>
    <t>EAGLE ROCK RANCH LLC</t>
  </si>
  <si>
    <t>013697</t>
  </si>
  <si>
    <t>008290</t>
  </si>
  <si>
    <t>03/02/1962</t>
  </si>
  <si>
    <t>JON  FULLER</t>
  </si>
  <si>
    <t>013849</t>
  </si>
  <si>
    <t>008264</t>
  </si>
  <si>
    <t>05/23/1962</t>
  </si>
  <si>
    <t>DONNA  STOCKTON</t>
  </si>
  <si>
    <t>014849</t>
  </si>
  <si>
    <t>009113</t>
  </si>
  <si>
    <t>02/04/1963</t>
  </si>
  <si>
    <t>DAVID L ROBBINS</t>
  </si>
  <si>
    <t>014385</t>
  </si>
  <si>
    <t>009558</t>
  </si>
  <si>
    <t>08/05/1963</t>
  </si>
  <si>
    <t>015205</t>
  </si>
  <si>
    <t>009529</t>
  </si>
  <si>
    <t>03/17/1966</t>
  </si>
  <si>
    <t>015243</t>
  </si>
  <si>
    <t>009515</t>
  </si>
  <si>
    <t>04/11/1966</t>
  </si>
  <si>
    <t>ANTHONY  FLEMING</t>
  </si>
  <si>
    <t>015307</t>
  </si>
  <si>
    <t>008811</t>
  </si>
  <si>
    <t>10/14/1966</t>
  </si>
  <si>
    <t>015425</t>
  </si>
  <si>
    <t>009823</t>
  </si>
  <si>
    <t>02/14/1967</t>
  </si>
  <si>
    <t>011678</t>
  </si>
  <si>
    <t>006342</t>
  </si>
  <si>
    <t>08/27/1991</t>
  </si>
  <si>
    <t>014051</t>
  </si>
  <si>
    <t>017975</t>
  </si>
  <si>
    <t>011979</t>
  </si>
  <si>
    <t>ROBERT  LESCOE</t>
  </si>
  <si>
    <t>017877B</t>
  </si>
  <si>
    <t>013584</t>
  </si>
  <si>
    <t>018810</t>
  </si>
  <si>
    <t>013660</t>
  </si>
  <si>
    <t>018042</t>
  </si>
  <si>
    <t>011921</t>
  </si>
  <si>
    <t>10/12/1979</t>
  </si>
  <si>
    <t>HUCKLEBERRY MUTUAL WATER COMPANY</t>
  </si>
  <si>
    <t>018135</t>
  </si>
  <si>
    <t>02/24/2004</t>
  </si>
  <si>
    <t>JOSEPH J BENEDETTI</t>
  </si>
  <si>
    <t>018579</t>
  </si>
  <si>
    <t>012323</t>
  </si>
  <si>
    <t>020035</t>
  </si>
  <si>
    <t>012831</t>
  </si>
  <si>
    <t>02/20/1980</t>
  </si>
  <si>
    <t>VINEYARD CLUB INC</t>
  </si>
  <si>
    <t>018653</t>
  </si>
  <si>
    <t>012304</t>
  </si>
  <si>
    <t>02/28/1980</t>
  </si>
  <si>
    <t>018456</t>
  </si>
  <si>
    <t>012261</t>
  </si>
  <si>
    <t>10/06/1980</t>
  </si>
  <si>
    <t>EZRA  PERLMAN</t>
  </si>
  <si>
    <t>016555</t>
  </si>
  <si>
    <t>011147</t>
  </si>
  <si>
    <t>04/14/1972</t>
  </si>
  <si>
    <t>017139A</t>
  </si>
  <si>
    <t>012639</t>
  </si>
  <si>
    <t>016747</t>
  </si>
  <si>
    <t>011355</t>
  </si>
  <si>
    <t>02/15/1973</t>
  </si>
  <si>
    <t>018315B</t>
  </si>
  <si>
    <t>013284</t>
  </si>
  <si>
    <t>017141B</t>
  </si>
  <si>
    <t>012643</t>
  </si>
  <si>
    <t>017272</t>
  </si>
  <si>
    <t>012915</t>
  </si>
  <si>
    <t>11/28/1975</t>
  </si>
  <si>
    <t>FFF International LLC</t>
  </si>
  <si>
    <t>017935</t>
  </si>
  <si>
    <t>012078</t>
  </si>
  <si>
    <t>BRUCE  MACLENNAN</t>
  </si>
  <si>
    <t>017298</t>
  </si>
  <si>
    <t>011571</t>
  </si>
  <si>
    <t>02/25/1976</t>
  </si>
  <si>
    <t>017817</t>
  </si>
  <si>
    <t>011846</t>
  </si>
  <si>
    <t>05/17/1976</t>
  </si>
  <si>
    <t>WILLIAM E WALSH</t>
  </si>
  <si>
    <t>016975</t>
  </si>
  <si>
    <t>011394</t>
  </si>
  <si>
    <t>08/04/1976</t>
  </si>
  <si>
    <t>017268</t>
  </si>
  <si>
    <t>011771</t>
  </si>
  <si>
    <t>DONALD W BEATON</t>
  </si>
  <si>
    <t>015632</t>
  </si>
  <si>
    <t>010246</t>
  </si>
  <si>
    <t>08/04/2004</t>
  </si>
  <si>
    <t>015834</t>
  </si>
  <si>
    <t>06/09/1967</t>
  </si>
  <si>
    <t>015760</t>
  </si>
  <si>
    <t>011033</t>
  </si>
  <si>
    <t>015914</t>
  </si>
  <si>
    <t>010583</t>
  </si>
  <si>
    <t>06/14/1968</t>
  </si>
  <si>
    <t>015808</t>
  </si>
  <si>
    <t>010351</t>
  </si>
  <si>
    <t>10/02/1968</t>
  </si>
  <si>
    <t>GEARY F REA</t>
  </si>
  <si>
    <t>015960</t>
  </si>
  <si>
    <t>009506</t>
  </si>
  <si>
    <t>016186</t>
  </si>
  <si>
    <t>010740</t>
  </si>
  <si>
    <t>09/22/1970</t>
  </si>
  <si>
    <t>011917A</t>
  </si>
  <si>
    <t>016415</t>
  </si>
  <si>
    <t>010739</t>
  </si>
  <si>
    <t>06/01/1971</t>
  </si>
  <si>
    <t>LOUIS D TINSLEY</t>
  </si>
  <si>
    <t>020119</t>
  </si>
  <si>
    <t>013248</t>
  </si>
  <si>
    <t>020109</t>
  </si>
  <si>
    <t>013487</t>
  </si>
  <si>
    <t>020147</t>
  </si>
  <si>
    <t>013129</t>
  </si>
  <si>
    <t>01/14/1986</t>
  </si>
  <si>
    <t>FRED M MERVINE</t>
  </si>
  <si>
    <t>020156</t>
  </si>
  <si>
    <t>013123</t>
  </si>
  <si>
    <t>A030044</t>
  </si>
  <si>
    <t>06/08/2000</t>
  </si>
  <si>
    <t>017617</t>
  </si>
  <si>
    <t>011774</t>
  </si>
  <si>
    <t>12/06/2006</t>
  </si>
  <si>
    <t>BETTY A FOSTER</t>
  </si>
  <si>
    <t>018563</t>
  </si>
  <si>
    <t>012982</t>
  </si>
  <si>
    <t>03/07/1978</t>
  </si>
  <si>
    <t>017628</t>
  </si>
  <si>
    <t>013406</t>
  </si>
  <si>
    <t>06/15/1978</t>
  </si>
  <si>
    <t>LICORICE PROPERTY HOLDINGS LLC</t>
  </si>
  <si>
    <t>020302</t>
  </si>
  <si>
    <t>013417</t>
  </si>
  <si>
    <t>09/11/1987</t>
  </si>
  <si>
    <t>020370</t>
  </si>
  <si>
    <t>013715</t>
  </si>
  <si>
    <t>05/11/2007</t>
  </si>
  <si>
    <t>020392</t>
  </si>
  <si>
    <t>013516</t>
  </si>
  <si>
    <t>01/11/1989</t>
  </si>
  <si>
    <t>020362</t>
  </si>
  <si>
    <t>013685</t>
  </si>
  <si>
    <t>020602</t>
  </si>
  <si>
    <t>013734</t>
  </si>
  <si>
    <t>08/21/2007</t>
  </si>
  <si>
    <t>020525</t>
  </si>
  <si>
    <t>013122</t>
  </si>
  <si>
    <t>10/26/1989</t>
  </si>
  <si>
    <t>018970</t>
  </si>
  <si>
    <t>012889</t>
  </si>
  <si>
    <t>07/29/1982</t>
  </si>
  <si>
    <t>TERYL  MADLEM</t>
  </si>
  <si>
    <t>019020</t>
  </si>
  <si>
    <t>012638</t>
  </si>
  <si>
    <t>05/24/1983</t>
  </si>
  <si>
    <t>019256</t>
  </si>
  <si>
    <t>012217</t>
  </si>
  <si>
    <t>01/19/1984</t>
  </si>
  <si>
    <t>A030541</t>
  </si>
  <si>
    <t>A030967</t>
  </si>
  <si>
    <t>01/26/2007</t>
  </si>
  <si>
    <t>A030990</t>
  </si>
  <si>
    <t>09/13/2005</t>
  </si>
  <si>
    <t>A031344</t>
  </si>
  <si>
    <t>12/15/2006</t>
  </si>
  <si>
    <t>GEOMAR CORPORATION</t>
  </si>
  <si>
    <t>C005160</t>
  </si>
  <si>
    <t>005160</t>
  </si>
  <si>
    <t>03/02/2004</t>
  </si>
  <si>
    <t>MIDDLERIDGE RANCH</t>
  </si>
  <si>
    <t>A011896</t>
  </si>
  <si>
    <t>006885</t>
  </si>
  <si>
    <t>004693</t>
  </si>
  <si>
    <t>JOHN  MCCULLOUGH</t>
  </si>
  <si>
    <t>S009354</t>
  </si>
  <si>
    <t>S011097</t>
  </si>
  <si>
    <t>03/21/2007</t>
  </si>
  <si>
    <t>DONALD R PARDEE</t>
  </si>
  <si>
    <t>S015787</t>
  </si>
  <si>
    <t>A003291</t>
  </si>
  <si>
    <t>001505</t>
  </si>
  <si>
    <t>000528</t>
  </si>
  <si>
    <t>A024924A</t>
  </si>
  <si>
    <t>017210A</t>
  </si>
  <si>
    <t>A029083</t>
  </si>
  <si>
    <t>020282</t>
  </si>
  <si>
    <t>04/20/1998</t>
  </si>
  <si>
    <t>STUART  BUCK</t>
  </si>
  <si>
    <t>A029150</t>
  </si>
  <si>
    <t>020372</t>
  </si>
  <si>
    <t>D029510</t>
  </si>
  <si>
    <t>000024</t>
  </si>
  <si>
    <t>02/23/2007</t>
  </si>
  <si>
    <t>MARIO  FRACCHIA</t>
  </si>
  <si>
    <t>D029519</t>
  </si>
  <si>
    <t>000040</t>
  </si>
  <si>
    <t>11/08/1994</t>
  </si>
  <si>
    <t>LEONARD S ECHOLS III</t>
  </si>
  <si>
    <t>HELEN M NEALEIGH</t>
  </si>
  <si>
    <t>000653</t>
  </si>
  <si>
    <t>09/14/2004</t>
  </si>
  <si>
    <t>MICHELLE  PEPITONE</t>
  </si>
  <si>
    <t>005164</t>
  </si>
  <si>
    <t>000223</t>
  </si>
  <si>
    <t>EARL V TAVAN</t>
  </si>
  <si>
    <t>000329</t>
  </si>
  <si>
    <t>03/17/1997</t>
  </si>
  <si>
    <t>Bruce A Russell</t>
  </si>
  <si>
    <t>SUSAN  L  SCHMIDT</t>
  </si>
  <si>
    <t>02/25/1982</t>
  </si>
  <si>
    <t>000397</t>
  </si>
  <si>
    <t>11/17/2003</t>
  </si>
  <si>
    <t>MA Properties LLC</t>
  </si>
  <si>
    <t>000518</t>
  </si>
  <si>
    <t>06/16/2005</t>
  </si>
  <si>
    <t>COLIN M MURPHEY</t>
  </si>
  <si>
    <t>MARK J. PHILIPSEN</t>
  </si>
  <si>
    <t>07/28/2004</t>
  </si>
  <si>
    <t>06/11/2004</t>
  </si>
  <si>
    <t>09/06/2005</t>
  </si>
  <si>
    <t>05/25/2005</t>
  </si>
  <si>
    <t>06/08/2006</t>
  </si>
  <si>
    <t>BRUCE  REUSER</t>
  </si>
  <si>
    <t>01/01/1967</t>
  </si>
  <si>
    <t>THOMAS  L  STRICKLAND</t>
  </si>
  <si>
    <t>02/28/1976</t>
  </si>
  <si>
    <t>ROBERT KEEFER AND MARCIA KEEFER TRUST</t>
  </si>
  <si>
    <t>12/13/1976</t>
  </si>
  <si>
    <t>S015118</t>
  </si>
  <si>
    <t>WEINSTOCK VINEYARDS</t>
  </si>
  <si>
    <t>10/03/2001</t>
  </si>
  <si>
    <t>ANDREW  MALMANIS</t>
  </si>
  <si>
    <t>01/26/2000</t>
  </si>
  <si>
    <t>04/22/2002</t>
  </si>
  <si>
    <t>OSWALD RANCH</t>
  </si>
  <si>
    <t>ORLANDO  KNITTEL</t>
  </si>
  <si>
    <t>JOHN  M MARCH</t>
  </si>
  <si>
    <t>000759</t>
  </si>
  <si>
    <t>06/21/1989</t>
  </si>
  <si>
    <t>A027211</t>
  </si>
  <si>
    <t>018984</t>
  </si>
  <si>
    <t>012864</t>
  </si>
  <si>
    <t>S008500</t>
  </si>
  <si>
    <t>DAVID H GRIMMINS</t>
  </si>
  <si>
    <t>A031505</t>
  </si>
  <si>
    <t>A021429</t>
  </si>
  <si>
    <t>009947</t>
  </si>
  <si>
    <t>CLAUDE M STEINER</t>
  </si>
  <si>
    <t>02/24/2015</t>
  </si>
  <si>
    <t>021244</t>
  </si>
  <si>
    <t>06/26/2009</t>
  </si>
  <si>
    <t>TRI MARGUERITE VINEYARDS</t>
  </si>
  <si>
    <t>S022509</t>
  </si>
  <si>
    <t>08/04/2014</t>
  </si>
  <si>
    <t>RONALD L HOGNESTAD</t>
  </si>
  <si>
    <t>A029563</t>
  </si>
  <si>
    <t>020489</t>
  </si>
  <si>
    <t>S000564</t>
  </si>
  <si>
    <t>MAGGIE M MORRIS</t>
  </si>
  <si>
    <t>A031626</t>
  </si>
  <si>
    <t>11/21/2008</t>
  </si>
  <si>
    <t>TIM  BUCHER</t>
  </si>
  <si>
    <t>000096</t>
  </si>
  <si>
    <t>000184</t>
  </si>
  <si>
    <t>DANA D JOHNSON</t>
  </si>
  <si>
    <t>000090</t>
  </si>
  <si>
    <t>12/05/2007</t>
  </si>
  <si>
    <t>JESSICA  FRACCHIA</t>
  </si>
  <si>
    <t>03/08/1993</t>
  </si>
  <si>
    <t>L031377</t>
  </si>
  <si>
    <t>07/28/2008</t>
  </si>
  <si>
    <t>LOUIS E BOCK</t>
  </si>
  <si>
    <t>S013964</t>
  </si>
  <si>
    <t>000461</t>
  </si>
  <si>
    <t>08/06/1999</t>
  </si>
  <si>
    <t>PEPPERWOOD FOUNDATION</t>
  </si>
  <si>
    <t>A024244</t>
  </si>
  <si>
    <t>017251</t>
  </si>
  <si>
    <t>012986</t>
  </si>
  <si>
    <t>09/14/2009</t>
  </si>
  <si>
    <t>S015610</t>
  </si>
  <si>
    <t>04/26/2011</t>
  </si>
  <si>
    <t>EDWARD  BERRY</t>
  </si>
  <si>
    <t>D031146</t>
  </si>
  <si>
    <t>000572</t>
  </si>
  <si>
    <t>03/22/2001</t>
  </si>
  <si>
    <t>A029706</t>
  </si>
  <si>
    <t>000774</t>
  </si>
  <si>
    <t>12/01/2009</t>
  </si>
  <si>
    <t>HOWARD   LURIA</t>
  </si>
  <si>
    <t>DOOLEY CREEK RANCH LLC</t>
  </si>
  <si>
    <t>Cummiskey Creek-Russian River, Dooley Creek</t>
  </si>
  <si>
    <t>000128</t>
  </si>
  <si>
    <t>06/17/2011</t>
  </si>
  <si>
    <t>Richard  Poletti</t>
  </si>
  <si>
    <t>010313</t>
  </si>
  <si>
    <t>005823</t>
  </si>
  <si>
    <t>011039</t>
  </si>
  <si>
    <t>11/20/1957</t>
  </si>
  <si>
    <t>A014050</t>
  </si>
  <si>
    <t>005625</t>
  </si>
  <si>
    <t>ANN M HILL</t>
  </si>
  <si>
    <t>08/25/2000</t>
  </si>
  <si>
    <t>LAKEVIEW VINEYARDS</t>
  </si>
  <si>
    <t>017770</t>
  </si>
  <si>
    <t>011727</t>
  </si>
  <si>
    <t>03/11/1985</t>
  </si>
  <si>
    <t>S009774</t>
  </si>
  <si>
    <t>08/10/2011</t>
  </si>
  <si>
    <t>CARL F EHMANN</t>
  </si>
  <si>
    <t>021042</t>
  </si>
  <si>
    <t>013834</t>
  </si>
  <si>
    <t>07/12/2011</t>
  </si>
  <si>
    <t>006264</t>
  </si>
  <si>
    <t>003697</t>
  </si>
  <si>
    <t>11/14/2002</t>
  </si>
  <si>
    <t>Morrison Creek-Russian River, Robinson Creek</t>
  </si>
  <si>
    <t>A029708</t>
  </si>
  <si>
    <t>014344</t>
  </si>
  <si>
    <t>009854</t>
  </si>
  <si>
    <t>12/29/1971</t>
  </si>
  <si>
    <t>MAZZOCCO  VINEYARDS INC</t>
  </si>
  <si>
    <t>A024359B</t>
  </si>
  <si>
    <t>017896B</t>
  </si>
  <si>
    <t>07/19/2010</t>
  </si>
  <si>
    <t>020560</t>
  </si>
  <si>
    <t>013777</t>
  </si>
  <si>
    <t>09/12/2008</t>
  </si>
  <si>
    <t>IRV H LICHTENWALD TRUST</t>
  </si>
  <si>
    <t>000741</t>
  </si>
  <si>
    <t>12/24/2007</t>
  </si>
  <si>
    <t>TONY PEDRAZZINI</t>
  </si>
  <si>
    <t>020518</t>
  </si>
  <si>
    <t>03/20/1991</t>
  </si>
  <si>
    <t>03/28/2005</t>
  </si>
  <si>
    <t>07/29/1991</t>
  </si>
  <si>
    <t>05/12/2014</t>
  </si>
  <si>
    <t>MICHAEL  R BONNIFIELD</t>
  </si>
  <si>
    <t>Kelly  Denicke</t>
  </si>
  <si>
    <t>UN000116</t>
  </si>
  <si>
    <t>UN000114</t>
  </si>
  <si>
    <t>S019236</t>
  </si>
  <si>
    <t>020438</t>
  </si>
  <si>
    <t>013878</t>
  </si>
  <si>
    <t>04/25/2013</t>
  </si>
  <si>
    <t>SHILOH HOMEOWNERS ASSOCIATION</t>
  </si>
  <si>
    <t>Porter Creek-Mark West Creek, Windsor Creek</t>
  </si>
  <si>
    <t>05/13/2011</t>
  </si>
  <si>
    <t>ANDREW   MIKRIKOV</t>
  </si>
  <si>
    <t>017421</t>
  </si>
  <si>
    <t>013891</t>
  </si>
  <si>
    <t>11/13/2013</t>
  </si>
  <si>
    <t>RIVER ESTATES MUTUAL WATER CORP</t>
  </si>
  <si>
    <t>UN000288</t>
  </si>
  <si>
    <t>000826</t>
  </si>
  <si>
    <t>11/12/2013</t>
  </si>
  <si>
    <t>S010589</t>
  </si>
  <si>
    <t>CATTANI VINEYARDS AND BIVIO TRANSPORT AND LOGISTICS COMPANY LLC</t>
  </si>
  <si>
    <t>000003</t>
  </si>
  <si>
    <t>S015521</t>
  </si>
  <si>
    <t>000002</t>
  </si>
  <si>
    <t>07/06/2011</t>
  </si>
  <si>
    <t>04/29/1990</t>
  </si>
  <si>
    <t>S016785</t>
  </si>
  <si>
    <t>D031168</t>
  </si>
  <si>
    <t>000586</t>
  </si>
  <si>
    <t>04/04/2013</t>
  </si>
  <si>
    <t>04/26/2010</t>
  </si>
  <si>
    <t>000163</t>
  </si>
  <si>
    <t>A029511</t>
  </si>
  <si>
    <t>S016765</t>
  </si>
  <si>
    <t>S021323</t>
  </si>
  <si>
    <t>08/06/2013</t>
  </si>
  <si>
    <t>CREEK BRIDGE HOMES LLC</t>
  </si>
  <si>
    <t>S015822</t>
  </si>
  <si>
    <t>NJ000022</t>
  </si>
  <si>
    <t>09/02/2011</t>
  </si>
  <si>
    <t>Kenneth W. Fader</t>
  </si>
  <si>
    <t>000834</t>
  </si>
  <si>
    <t>11/01/2013</t>
  </si>
  <si>
    <t>021088</t>
  </si>
  <si>
    <t>013838</t>
  </si>
  <si>
    <t>PATRICK E BRECHT</t>
  </si>
  <si>
    <t>01/30/2012</t>
  </si>
  <si>
    <t>012219A02</t>
  </si>
  <si>
    <t>SHEILA  FETZER</t>
  </si>
  <si>
    <t>S024666</t>
  </si>
  <si>
    <t>02/09/2015</t>
  </si>
  <si>
    <t>H&amp;W VINEYARDS</t>
  </si>
  <si>
    <t>08/28/2015</t>
  </si>
  <si>
    <t>S022824</t>
  </si>
  <si>
    <t>06/17/2015</t>
  </si>
  <si>
    <t>08/02/2016</t>
  </si>
  <si>
    <t>WYETH  WUNDERLICH</t>
  </si>
  <si>
    <t>A027531</t>
  </si>
  <si>
    <t>019004</t>
  </si>
  <si>
    <t>013092</t>
  </si>
  <si>
    <t>12/05/2016</t>
  </si>
  <si>
    <t>FAR WEST POWER CORPORATION</t>
  </si>
  <si>
    <t>S017931</t>
  </si>
  <si>
    <t>11/15/2016</t>
  </si>
  <si>
    <t>DEANE S WILSON</t>
  </si>
  <si>
    <t>000896</t>
  </si>
  <si>
    <t>07/14/2016</t>
  </si>
  <si>
    <t>CORNELL FARMS, LLC</t>
  </si>
  <si>
    <t>S020971</t>
  </si>
  <si>
    <t>07/19/2016</t>
  </si>
  <si>
    <t>02/02/2017</t>
  </si>
  <si>
    <t>PAUL  LIVRAMENTO</t>
  </si>
  <si>
    <t>03/03/2016</t>
  </si>
  <si>
    <t>020442</t>
  </si>
  <si>
    <t>05/07/1990</t>
  </si>
  <si>
    <t>UN000675</t>
  </si>
  <si>
    <t>BRADFORD  PRESCOTT</t>
  </si>
  <si>
    <t>A013945</t>
  </si>
  <si>
    <t>008382</t>
  </si>
  <si>
    <t>004980</t>
  </si>
  <si>
    <t>01/17/2017</t>
  </si>
  <si>
    <t>DIANE  RUBINO</t>
  </si>
  <si>
    <t>07/29/2016</t>
  </si>
  <si>
    <t>VICTORIA  CALKINS</t>
  </si>
  <si>
    <t>021407</t>
  </si>
  <si>
    <t>08/31/2018</t>
  </si>
  <si>
    <t>CALIFORNIA WEST COAST VENTURES LLC</t>
  </si>
  <si>
    <t>MVS HOLDINGS LLC</t>
  </si>
  <si>
    <t>H502218</t>
  </si>
  <si>
    <t>11/02/2018</t>
  </si>
  <si>
    <t>ANDRES  RONDON</t>
  </si>
  <si>
    <t>100349</t>
  </si>
  <si>
    <t>11/27/2018</t>
  </si>
  <si>
    <t>NAICHE  ESTERBERKICH</t>
  </si>
  <si>
    <t>S015216</t>
  </si>
  <si>
    <t>S015217</t>
  </si>
  <si>
    <t>09/18/2017</t>
  </si>
  <si>
    <t>SHAUN   MORDECAI</t>
  </si>
  <si>
    <t>000977</t>
  </si>
  <si>
    <t>01/19/2018</t>
  </si>
  <si>
    <t>PAMELA G WHITING</t>
  </si>
  <si>
    <t>S026497</t>
  </si>
  <si>
    <t>100363</t>
  </si>
  <si>
    <t>12/10/2018</t>
  </si>
  <si>
    <t>100515</t>
  </si>
  <si>
    <t>07/30/2019</t>
  </si>
  <si>
    <t>CARL  SEIMERING</t>
  </si>
  <si>
    <t>06/15/2017</t>
  </si>
  <si>
    <t>MICHAEL  BERG</t>
  </si>
  <si>
    <t>09/01/2017</t>
  </si>
  <si>
    <t>SONJA E Z LOBBAN</t>
  </si>
  <si>
    <t>06/14/2019</t>
  </si>
  <si>
    <t>MARK W WELCH</t>
  </si>
  <si>
    <t>S015898</t>
  </si>
  <si>
    <t>S023205</t>
  </si>
  <si>
    <t>08/27/2019</t>
  </si>
  <si>
    <t>THORNTON ORCHARDS</t>
  </si>
  <si>
    <t>S025257</t>
  </si>
  <si>
    <t>08/24/2017</t>
  </si>
  <si>
    <t>CRAIG W CHEEVERS</t>
  </si>
  <si>
    <t>A013506</t>
  </si>
  <si>
    <t>004162</t>
  </si>
  <si>
    <t>MARGARET   NANCE</t>
  </si>
  <si>
    <t>H506244</t>
  </si>
  <si>
    <t>10/01/2019</t>
  </si>
  <si>
    <t>100634</t>
  </si>
  <si>
    <t>02/24/2020</t>
  </si>
  <si>
    <t>MARSHALL  HARRIS</t>
  </si>
  <si>
    <t>S020133</t>
  </si>
  <si>
    <t>A030687</t>
  </si>
  <si>
    <t>000023</t>
  </si>
  <si>
    <t>03/23/2021</t>
  </si>
  <si>
    <t>S016767</t>
  </si>
  <si>
    <t>08/23/2017</t>
  </si>
  <si>
    <t>S020502</t>
  </si>
  <si>
    <t>03/08/2021</t>
  </si>
  <si>
    <t>05/22/1990</t>
  </si>
  <si>
    <t>STEVE  DUTTON</t>
  </si>
  <si>
    <t>000943</t>
  </si>
  <si>
    <t>S025030</t>
  </si>
  <si>
    <t>10/01/2018</t>
  </si>
  <si>
    <t>CARLY  MINFORD</t>
  </si>
  <si>
    <t>S019403</t>
  </si>
  <si>
    <t>H509633</t>
  </si>
  <si>
    <t>01/09/2021</t>
  </si>
  <si>
    <t>MEEKER FARM MANAGEMENT</t>
  </si>
  <si>
    <t>000860</t>
  </si>
  <si>
    <t>09/17/2017</t>
  </si>
  <si>
    <t>S022808</t>
  </si>
  <si>
    <t>04/09/2019</t>
  </si>
  <si>
    <t>WILLIAM  EDWARDS</t>
  </si>
  <si>
    <t>05/06/2022</t>
  </si>
  <si>
    <t>PATIANNA ORGANIC VINEYARDS</t>
  </si>
  <si>
    <t>11/01/2021</t>
  </si>
  <si>
    <t>020985</t>
  </si>
  <si>
    <t>13922</t>
  </si>
  <si>
    <t>02/28/2022</t>
  </si>
  <si>
    <t>UN001243</t>
  </si>
  <si>
    <t>GROUPING</t>
  </si>
  <si>
    <t>BASIN_ID</t>
  </si>
  <si>
    <t>WATER_RIGHT_TYPE</t>
  </si>
  <si>
    <t>WATER_RIGHT_STATUS</t>
  </si>
  <si>
    <t>ASSIGNED_PRIORITY_DATE</t>
  </si>
  <si>
    <t>ASSIGNED_PRIORITY_DATE_SOURCE</t>
  </si>
  <si>
    <t>PRIMARY_USE</t>
  </si>
  <si>
    <t>QAQC_MODIFICATION</t>
  </si>
  <si>
    <t>COUNTY</t>
  </si>
  <si>
    <t>APPLICATION_ACCEPTANCE_DATE</t>
  </si>
  <si>
    <t>Domestic</t>
  </si>
  <si>
    <t>APPLICATION_RECD_DATE</t>
  </si>
  <si>
    <t>Irrigation</t>
  </si>
  <si>
    <t>Municipal</t>
  </si>
  <si>
    <t>IRR_MUN</t>
  </si>
  <si>
    <t>PRIORITY_DATE</t>
  </si>
  <si>
    <t>Fire Protection</t>
  </si>
  <si>
    <t>Industrial</t>
  </si>
  <si>
    <t>Recreational</t>
  </si>
  <si>
    <t>Stockwatering</t>
  </si>
  <si>
    <t>Frost Protection</t>
  </si>
  <si>
    <t>Power</t>
  </si>
  <si>
    <t>Fish and Wildlife Preservation and Enhancement</t>
  </si>
  <si>
    <t>Aesthetic</t>
  </si>
  <si>
    <t>Other</t>
  </si>
  <si>
    <t>YEAR_DIVERSION_COMMENCED</t>
  </si>
  <si>
    <t>RIPARIAN_DEFAULT</t>
  </si>
  <si>
    <t>Aquaculture</t>
  </si>
  <si>
    <t>no 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</si>
</sst>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(* #,##0.0_);_(* \(#,##0.0\);_(* &quot;-&quot;??_);_(@_)"/>
    <numFmt numFmtId="165" formatCode="0.0"/>
    <numFmt numFmtId="166" formatCode="0.000"/>
    <numFmt numFmtId="167" formatCode="#,##0.0"/>
    <numFmt numFmtId="168" formatCode="_(* #,##0.0_);_(* \(#,##0.0\);_(* &quot;-&quot;?_);_(@_)"/>
    <numFmt numFmtId="169" formatCode="0.0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0000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0" fontId="11" fillId="0" borderId="0"/>
  </cellStyleXfs>
  <cellXfs count="11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164" fontId="0" fillId="0" borderId="0" xfId="0" applyNumberFormat="1"/>
    <xf numFmtId="0" fontId="2" fillId="0" borderId="0" xfId="0" applyFont="1"/>
    <xf numFmtId="43" fontId="0" fillId="0" borderId="0" xfId="0" applyNumberFormat="1"/>
    <xf numFmtId="0" fontId="0" fillId="3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0" xfId="0" applyFill="1"/>
    <xf numFmtId="10" fontId="0" fillId="0" borderId="0" xfId="0" applyNumberFormat="1" applyFill="1"/>
    <xf numFmtId="0" fontId="0" fillId="0" borderId="3" xfId="0" applyFill="1" applyBorder="1" applyAlignment="1">
      <alignment horizontal="center"/>
    </xf>
    <xf numFmtId="0" fontId="0" fillId="0" borderId="4" xfId="0" applyFill="1" applyBorder="1"/>
    <xf numFmtId="0" fontId="0" fillId="0" borderId="5" xfId="0" applyFill="1" applyBorder="1"/>
    <xf numFmtId="10" fontId="0" fillId="0" borderId="5" xfId="0" applyNumberFormat="1" applyFill="1" applyBorder="1"/>
    <xf numFmtId="0" fontId="0" fillId="0" borderId="6" xfId="0" applyFill="1" applyBorder="1" applyAlignment="1">
      <alignment horizontal="center"/>
    </xf>
    <xf numFmtId="0" fontId="0" fillId="0" borderId="6" xfId="0" applyFill="1" applyBorder="1"/>
    <xf numFmtId="14" fontId="0" fillId="0" borderId="6" xfId="0" applyNumberFormat="1" applyFill="1" applyBorder="1"/>
    <xf numFmtId="0" fontId="0" fillId="0" borderId="6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6" xfId="0" applyFill="1" applyBorder="1" applyAlignment="1">
      <alignment vertical="center"/>
    </xf>
    <xf numFmtId="14" fontId="0" fillId="0" borderId="6" xfId="0" applyNumberFormat="1" applyFill="1" applyBorder="1" applyAlignment="1">
      <alignment vertical="center"/>
    </xf>
    <xf numFmtId="43" fontId="0" fillId="0" borderId="6" xfId="1" applyFont="1" applyFill="1" applyBorder="1"/>
    <xf numFmtId="10" fontId="0" fillId="0" borderId="6" xfId="0" applyNumberFormat="1" applyFill="1" applyBorder="1"/>
    <xf numFmtId="0" fontId="0" fillId="0" borderId="0" xfId="0" applyFill="1" applyBorder="1" applyAlignment="1">
      <alignment horizontal="center"/>
    </xf>
    <xf numFmtId="0" fontId="6" fillId="0" borderId="0" xfId="0" applyFont="1"/>
    <xf numFmtId="0" fontId="0" fillId="2" borderId="11" xfId="0" applyFill="1" applyBorder="1" applyAlignment="1">
      <alignment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165" fontId="5" fillId="0" borderId="11" xfId="0" applyNumberFormat="1" applyFont="1" applyBorder="1" applyAlignment="1">
      <alignment horizontal="center" vertical="center" wrapText="1"/>
    </xf>
    <xf numFmtId="166" fontId="5" fillId="0" borderId="11" xfId="0" applyNumberFormat="1" applyFont="1" applyBorder="1" applyAlignment="1">
      <alignment horizontal="center" vertical="center" wrapText="1"/>
    </xf>
    <xf numFmtId="164" fontId="5" fillId="0" borderId="12" xfId="1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64" fontId="5" fillId="0" borderId="0" xfId="1" applyNumberFormat="1" applyFont="1" applyFill="1" applyBorder="1" applyAlignment="1">
      <alignment horizontal="center" vertical="center" wrapText="1"/>
    </xf>
    <xf numFmtId="166" fontId="5" fillId="0" borderId="0" xfId="0" applyNumberFormat="1" applyFont="1" applyAlignment="1">
      <alignment horizontal="center" vertical="center" wrapText="1"/>
    </xf>
    <xf numFmtId="165" fontId="0" fillId="0" borderId="0" xfId="0" applyNumberFormat="1"/>
    <xf numFmtId="1" fontId="5" fillId="0" borderId="12" xfId="0" applyNumberFormat="1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165" fontId="5" fillId="0" borderId="12" xfId="0" applyNumberFormat="1" applyFont="1" applyBorder="1" applyAlignment="1">
      <alignment horizontal="center" vertical="center" wrapText="1"/>
    </xf>
    <xf numFmtId="3" fontId="5" fillId="0" borderId="12" xfId="0" applyNumberFormat="1" applyFont="1" applyBorder="1" applyAlignment="1">
      <alignment horizontal="center" vertical="center" wrapText="1"/>
    </xf>
    <xf numFmtId="3" fontId="5" fillId="3" borderId="12" xfId="0" applyNumberFormat="1" applyFont="1" applyFill="1" applyBorder="1" applyAlignment="1">
      <alignment horizontal="center" vertical="center" wrapText="1"/>
    </xf>
    <xf numFmtId="167" fontId="0" fillId="0" borderId="0" xfId="0" applyNumberFormat="1"/>
    <xf numFmtId="168" fontId="0" fillId="0" borderId="0" xfId="0" applyNumberFormat="1"/>
    <xf numFmtId="166" fontId="5" fillId="0" borderId="11" xfId="0" applyNumberFormat="1" applyFont="1" applyFill="1" applyBorder="1" applyAlignment="1">
      <alignment horizontal="center" vertical="center" wrapText="1"/>
    </xf>
    <xf numFmtId="165" fontId="7" fillId="0" borderId="12" xfId="0" applyNumberFormat="1" applyFont="1" applyBorder="1" applyAlignment="1">
      <alignment horizontal="center" vertical="center" wrapText="1"/>
    </xf>
    <xf numFmtId="0" fontId="0" fillId="0" borderId="0" xfId="0" applyAlignment="1">
      <alignment vertical="top"/>
    </xf>
    <xf numFmtId="0" fontId="5" fillId="0" borderId="11" xfId="0" applyFont="1" applyFill="1" applyBorder="1" applyAlignment="1">
      <alignment horizontal="center" vertical="center" wrapText="1"/>
    </xf>
    <xf numFmtId="14" fontId="0" fillId="0" borderId="0" xfId="0" applyNumberFormat="1"/>
    <xf numFmtId="0" fontId="8" fillId="2" borderId="11" xfId="0" applyFont="1" applyFill="1" applyBorder="1" applyAlignment="1">
      <alignment horizontal="center" vertical="center" wrapText="1"/>
    </xf>
    <xf numFmtId="167" fontId="7" fillId="0" borderId="12" xfId="0" applyNumberFormat="1" applyFont="1" applyBorder="1" applyAlignment="1">
      <alignment horizontal="center" vertical="center" wrapText="1"/>
    </xf>
    <xf numFmtId="165" fontId="5" fillId="3" borderId="12" xfId="0" applyNumberFormat="1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 wrapText="1"/>
    </xf>
    <xf numFmtId="169" fontId="0" fillId="0" borderId="0" xfId="0" applyNumberFormat="1"/>
    <xf numFmtId="1" fontId="0" fillId="0" borderId="0" xfId="0" applyNumberFormat="1"/>
    <xf numFmtId="0" fontId="9" fillId="0" borderId="0" xfId="0" applyFont="1"/>
    <xf numFmtId="165" fontId="9" fillId="3" borderId="1" xfId="0" applyNumberFormat="1" applyFont="1" applyFill="1" applyBorder="1"/>
    <xf numFmtId="0" fontId="9" fillId="0" borderId="1" xfId="0" applyFont="1" applyBorder="1"/>
    <xf numFmtId="9" fontId="5" fillId="0" borderId="12" xfId="2" applyFont="1" applyBorder="1" applyAlignment="1">
      <alignment horizontal="center" vertical="center" wrapText="1"/>
    </xf>
    <xf numFmtId="9" fontId="5" fillId="0" borderId="12" xfId="2" applyFont="1" applyFill="1" applyBorder="1" applyAlignment="1">
      <alignment horizontal="center" vertical="center" wrapText="1"/>
    </xf>
    <xf numFmtId="167" fontId="7" fillId="0" borderId="21" xfId="0" applyNumberFormat="1" applyFont="1" applyBorder="1" applyAlignment="1">
      <alignment horizontal="center" vertical="center" wrapText="1"/>
    </xf>
    <xf numFmtId="0" fontId="0" fillId="0" borderId="7" xfId="0" applyBorder="1"/>
    <xf numFmtId="0" fontId="0" fillId="0" borderId="22" xfId="0" applyBorder="1"/>
    <xf numFmtId="0" fontId="0" fillId="0" borderId="23" xfId="0" applyBorder="1"/>
    <xf numFmtId="0" fontId="9" fillId="0" borderId="0" xfId="0" applyFont="1" applyFill="1"/>
    <xf numFmtId="0" fontId="9" fillId="0" borderId="1" xfId="0" applyFont="1" applyFill="1" applyBorder="1"/>
    <xf numFmtId="165" fontId="9" fillId="0" borderId="1" xfId="0" applyNumberFormat="1" applyFont="1" applyFill="1" applyBorder="1"/>
    <xf numFmtId="0" fontId="5" fillId="0" borderId="13" xfId="0" applyFont="1" applyBorder="1" applyAlignment="1">
      <alignment horizontal="center" vertical="center" wrapText="1"/>
    </xf>
    <xf numFmtId="3" fontId="4" fillId="0" borderId="13" xfId="0" applyNumberFormat="1" applyFont="1" applyBorder="1" applyAlignment="1">
      <alignment horizontal="center"/>
    </xf>
    <xf numFmtId="165" fontId="5" fillId="0" borderId="12" xfId="0" applyNumberFormat="1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1" fontId="3" fillId="0" borderId="12" xfId="0" applyNumberFormat="1" applyFont="1" applyBorder="1" applyAlignment="1">
      <alignment horizontal="center" vertical="center" wrapText="1"/>
    </xf>
    <xf numFmtId="0" fontId="10" fillId="0" borderId="0" xfId="0" applyFont="1"/>
    <xf numFmtId="0" fontId="0" fillId="0" borderId="0" xfId="0" applyAlignment="1">
      <alignment horizontal="right"/>
    </xf>
    <xf numFmtId="169" fontId="0" fillId="0" borderId="0" xfId="0" applyNumberFormat="1" applyAlignment="1">
      <alignment horizontal="right"/>
    </xf>
    <xf numFmtId="0" fontId="12" fillId="4" borderId="0" xfId="4" applyFont="1" applyFill="1" applyAlignment="1"/>
    <xf numFmtId="0" fontId="11" fillId="0" borderId="0" xfId="4" applyFont="1" applyAlignment="1">
      <alignment wrapText="1"/>
    </xf>
    <xf numFmtId="0" fontId="0" fillId="0" borderId="26" xfId="0" applyBorder="1"/>
    <xf numFmtId="3" fontId="5" fillId="0" borderId="12" xfId="0" applyNumberFormat="1" applyFont="1" applyFill="1" applyBorder="1" applyAlignment="1">
      <alignment horizontal="center" vertical="center" wrapText="1"/>
    </xf>
    <xf numFmtId="0" fontId="10" fillId="0" borderId="0" xfId="3" applyNumberFormat="1" applyFont="1" applyFill="1"/>
    <xf numFmtId="0" fontId="10" fillId="0" borderId="26" xfId="0" applyFont="1" applyBorder="1"/>
    <xf numFmtId="169" fontId="0" fillId="0" borderId="26" xfId="0" applyNumberFormat="1" applyBorder="1" applyAlignment="1">
      <alignment horizontal="right"/>
    </xf>
    <xf numFmtId="0" fontId="0" fillId="0" borderId="26" xfId="0" applyBorder="1" applyAlignment="1">
      <alignment horizontal="right"/>
    </xf>
    <xf numFmtId="166" fontId="0" fillId="0" borderId="0" xfId="0" applyNumberFormat="1"/>
    <xf numFmtId="166" fontId="0" fillId="0" borderId="26" xfId="0" applyNumberFormat="1" applyBorder="1"/>
    <xf numFmtId="0" fontId="0" fillId="0" borderId="0" xfId="0" pivotButton="1"/>
    <xf numFmtId="0" fontId="10" fillId="0" borderId="26" xfId="3" applyNumberFormat="1" applyFont="1" applyFill="1" applyBorder="1"/>
    <xf numFmtId="0" fontId="10" fillId="0" borderId="0" xfId="0" applyFont="1" applyFill="1" applyBorder="1"/>
    <xf numFmtId="166" fontId="0" fillId="0" borderId="0" xfId="0" applyNumberFormat="1" applyFill="1" applyBorder="1"/>
    <xf numFmtId="1" fontId="0" fillId="0" borderId="0" xfId="0" applyNumberFormat="1" applyFill="1" applyBorder="1"/>
    <xf numFmtId="3" fontId="4" fillId="0" borderId="12" xfId="0" applyNumberFormat="1" applyFont="1" applyBorder="1" applyAlignment="1">
      <alignment horizontal="center"/>
    </xf>
    <xf numFmtId="0" fontId="10" fillId="0" borderId="26" xfId="3" applyNumberFormat="1" applyFont="1" applyBorder="1"/>
    <xf numFmtId="0" fontId="0" fillId="3" borderId="0" xfId="0" applyFill="1"/>
    <xf numFmtId="0" fontId="0" fillId="3" borderId="26" xfId="0" applyFill="1" applyBorder="1"/>
    <xf numFmtId="167" fontId="4" fillId="0" borderId="12" xfId="0" applyNumberFormat="1" applyFont="1" applyBorder="1" applyAlignment="1">
      <alignment horizontal="center"/>
    </xf>
    <xf numFmtId="0" fontId="10" fillId="5" borderId="0" xfId="3" applyNumberFormat="1" applyFont="1" applyFill="1"/>
    <xf numFmtId="0" fontId="0" fillId="5" borderId="0" xfId="0" applyFill="1"/>
    <xf numFmtId="0" fontId="10" fillId="5" borderId="26" xfId="3" applyNumberFormat="1" applyFont="1" applyFill="1" applyBorder="1"/>
    <xf numFmtId="0" fontId="0" fillId="5" borderId="26" xfId="0" applyFill="1" applyBorder="1"/>
    <xf numFmtId="0" fontId="13" fillId="0" borderId="0" xfId="0" applyFont="1"/>
    <xf numFmtId="0" fontId="10" fillId="0" borderId="0" xfId="3" applyNumberFormat="1" applyFont="1"/>
    <xf numFmtId="0" fontId="3" fillId="2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</cellXfs>
  <cellStyles count="5">
    <cellStyle name="Comma" xfId="1" builtinId="3"/>
    <cellStyle name="Normal" xfId="0" builtinId="0"/>
    <cellStyle name="Normal 2" xfId="3" xr:uid="{D417639B-E279-4F9A-998A-4207EEDDA005}"/>
    <cellStyle name="Normal 3" xfId="4" xr:uid="{32421C10-D05D-4DCB-BCD8-DA40ABC7EDBE}"/>
    <cellStyle name="Percent" xfId="2" builtinId="5"/>
  </cellStyles>
  <dxfs count="44">
    <dxf>
      <fill>
        <patternFill>
          <bgColor theme="9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_(* #,##0.0_);_(* \(#,##0.0\);_(* &quot;-&quot;??_);_(@_)"/>
    </dxf>
    <dxf>
      <numFmt numFmtId="164" formatCode="_(* #,##0.0_);_(* \(#,##0.0\);_(* &quot;-&quot;??_);_(@_)"/>
    </dxf>
    <dxf>
      <numFmt numFmtId="164" formatCode="_(* #,##0.0_);_(* \(#,##0.0\);_(* &quot;-&quot;??_);_(@_)"/>
    </dxf>
    <dxf>
      <numFmt numFmtId="164" formatCode="_(* #,##0.0_);_(* \(#,##0.0\);_(* &quot;-&quot;??_);_(@_)"/>
    </dxf>
    <dxf>
      <numFmt numFmtId="164" formatCode="_(* #,##0.0_);_(* \(#,##0.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19050</xdr:rowOff>
    </xdr:from>
    <xdr:to>
      <xdr:col>10</xdr:col>
      <xdr:colOff>0</xdr:colOff>
      <xdr:row>41</xdr:row>
      <xdr:rowOff>19050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8FDBD64-7740-567A-93FF-97D9A05AE7C4}"/>
            </a:ext>
          </a:extLst>
        </xdr:cNvPr>
        <xdr:cNvSpPr txBox="1"/>
      </xdr:nvSpPr>
      <xdr:spPr>
        <a:xfrm>
          <a:off x="19050" y="19050"/>
          <a:ext cx="6076950" cy="7810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Exhibit B &amp; C Calculations for Voluntary Water Sharing Agreement</a:t>
          </a:r>
        </a:p>
        <a:p>
          <a:endParaRPr lang="en-US" sz="1100" b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100" b="0">
              <a:latin typeface="Arial" panose="020B0604020202020204" pitchFamily="34" charset="0"/>
              <a:cs typeface="Arial" panose="020B0604020202020204" pitchFamily="34" charset="0"/>
            </a:rPr>
            <a:t>Table of Contents:</a:t>
          </a:r>
        </a:p>
        <a:p>
          <a:endParaRPr lang="en-US" sz="1100" b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100" b="0">
              <a:latin typeface="Arial" panose="020B0604020202020204" pitchFamily="34" charset="0"/>
              <a:cs typeface="Arial" panose="020B0604020202020204" pitchFamily="34" charset="0"/>
            </a:rPr>
            <a:t>1.</a:t>
          </a:r>
          <a:r>
            <a:rPr lang="en-US" sz="1100" b="0" baseline="0">
              <a:latin typeface="Arial" panose="020B0604020202020204" pitchFamily="34" charset="0"/>
              <a:cs typeface="Arial" panose="020B0604020202020204" pitchFamily="34" charset="0"/>
            </a:rPr>
            <a:t> Sharing Summary - Front-facing summary page for rights enrolled in the Agreement; Regular, Forbearance, and Available (Post Transfer) Volumes listed here</a:t>
          </a:r>
        </a:p>
        <a:p>
          <a:endParaRPr lang="en-US" sz="11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100" b="0" baseline="0">
              <a:latin typeface="Arial" panose="020B0604020202020204" pitchFamily="34" charset="0"/>
              <a:cs typeface="Arial" panose="020B0604020202020204" pitchFamily="34" charset="0"/>
            </a:rPr>
            <a:t>2. Forbearance Thresholds - Calculations of conservation percentages and amounts made available via conservation</a:t>
          </a:r>
        </a:p>
        <a:p>
          <a:endParaRPr lang="en-US" sz="11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100" b="0" baseline="0">
              <a:latin typeface="Arial" panose="020B0604020202020204" pitchFamily="34" charset="0"/>
              <a:cs typeface="Arial" panose="020B0604020202020204" pitchFamily="34" charset="0"/>
            </a:rPr>
            <a:t>3. &amp; 4. Supply Analysis - Determination of met and unmet demand values by priority order compared against Natural Flow and PVP Supply data</a:t>
          </a:r>
        </a:p>
        <a:p>
          <a:endParaRPr lang="en-US" sz="11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100" b="0" baseline="0">
              <a:latin typeface="Arial" panose="020B0604020202020204" pitchFamily="34" charset="0"/>
              <a:cs typeface="Arial" panose="020B0604020202020204" pitchFamily="34" charset="0"/>
            </a:rPr>
            <a:t>5. Supply - Forecasted supply data with URR Stations summarized</a:t>
          </a:r>
        </a:p>
        <a:p>
          <a:endParaRPr lang="en-US" sz="11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100" b="0" baseline="0">
              <a:latin typeface="Arial" panose="020B0604020202020204" pitchFamily="34" charset="0"/>
              <a:cs typeface="Arial" panose="020B0604020202020204" pitchFamily="34" charset="0"/>
            </a:rPr>
            <a:t>6. ET Calcs - Estimations of Natural and PVP Flows after Evapotranspiration Losses</a:t>
          </a:r>
        </a:p>
        <a:p>
          <a:endParaRPr lang="en-US" sz="11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100" b="0" baseline="0">
              <a:latin typeface="Arial" panose="020B0604020202020204" pitchFamily="34" charset="0"/>
              <a:cs typeface="Arial" panose="020B0604020202020204" pitchFamily="34" charset="0"/>
            </a:rPr>
            <a:t>7. Demand Type &amp; Reach - Pivot Tables for all Demand Priority Bins, Mainstem vs Non-Mainstem, and Upper vs Lower Russian River</a:t>
          </a:r>
        </a:p>
        <a:p>
          <a:endParaRPr lang="en-US" sz="11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100" b="0" baseline="0">
              <a:latin typeface="Arial" panose="020B0604020202020204" pitchFamily="34" charset="0"/>
              <a:cs typeface="Arial" panose="020B0604020202020204" pitchFamily="34" charset="0"/>
            </a:rPr>
            <a:t>8. Demand Data - Monthly Diversion Data, Priority Bins, Data Flags, and Basin/Reach information for all potential enrolled rights</a:t>
          </a:r>
        </a:p>
        <a:p>
          <a:endParaRPr lang="en-US" sz="11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100" b="0" baseline="0">
              <a:latin typeface="Arial" panose="020B0604020202020204" pitchFamily="34" charset="0"/>
              <a:cs typeface="Arial" panose="020B0604020202020204" pitchFamily="34" charset="0"/>
            </a:rPr>
            <a:t>9. Agreement Export - Survey Portal Export of Results from Enrollees and their list of enrolled water rights</a:t>
          </a:r>
        </a:p>
        <a:p>
          <a:endParaRPr lang="en-US" sz="11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100" b="0" baseline="0">
              <a:latin typeface="Arial" panose="020B0604020202020204" pitchFamily="34" charset="0"/>
              <a:cs typeface="Arial" panose="020B0604020202020204" pitchFamily="34" charset="0"/>
            </a:rPr>
            <a:t>10. Agreement Targets - List of potential enrollees along with started and completed dates for Agreement Enrollment Survey</a:t>
          </a:r>
        </a:p>
        <a:p>
          <a:endParaRPr lang="en-US" sz="11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100" b="0" baseline="0">
              <a:latin typeface="Arial" panose="020B0604020202020204" pitchFamily="34" charset="0"/>
              <a:cs typeface="Arial" panose="020B0604020202020204" pitchFamily="34" charset="0"/>
            </a:rPr>
            <a:t>11. Transfer Export - List of Exhibit C Transfer Request with reduced rights, receiving rights, and amounts</a:t>
          </a:r>
        </a:p>
        <a:p>
          <a:endParaRPr lang="en-US" sz="11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100" b="0" baseline="0">
              <a:latin typeface="Arial" panose="020B0604020202020204" pitchFamily="34" charset="0"/>
              <a:cs typeface="Arial" panose="020B0604020202020204" pitchFamily="34" charset="0"/>
            </a:rPr>
            <a:t>12. eWRIMS Export - List of all watershed rights that includes Primary Owner name, water right type and status</a:t>
          </a:r>
        </a:p>
        <a:p>
          <a:endParaRPr lang="en-US" sz="11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100" b="0" baseline="0">
              <a:latin typeface="Arial" panose="020B0604020202020204" pitchFamily="34" charset="0"/>
              <a:cs typeface="Arial" panose="020B0604020202020204" pitchFamily="34" charset="0"/>
            </a:rPr>
            <a:t>13. Updated Demand - Updated version of page 9 that includes newer values for demand data</a:t>
          </a:r>
          <a:endParaRPr lang="en-US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alker, Jacob@Waterboards" refreshedDate="44739.31920740741" createdVersion="6" refreshedVersion="8" minRefreshableVersion="3" recordCount="2412" xr:uid="{069D2141-069F-49B6-910F-1AB12CF02EBB}">
  <cacheSource type="worksheet">
    <worksheetSource ref="A1:AV2413" sheet="8. Demand data categorization"/>
  </cacheSource>
  <cacheFields count="55">
    <cacheField name="APPLICATION_NUMBER" numFmtId="0">
      <sharedItems/>
    </cacheField>
    <cacheField name="ASSIGNED_PRIORITY_DATE_SUB" numFmtId="0">
      <sharedItems containsSemiMixedTypes="0" containsString="0" containsNumber="1" containsInteger="1" minValue="10000000" maxValue="20200914"/>
    </cacheField>
    <cacheField name="BASIN" numFmtId="0">
      <sharedItems containsSemiMixedTypes="0" containsString="0" containsNumber="1" containsInteger="1" minValue="1" maxValue="23"/>
    </cacheField>
    <cacheField name="Lake to Cloverd" numFmtId="0">
      <sharedItems/>
    </cacheField>
    <cacheField name="Cloverd to Healds" numFmtId="0">
      <sharedItems/>
    </cacheField>
    <cacheField name="Upstream of Healdsburg" numFmtId="0">
      <sharedItems/>
    </cacheField>
    <cacheField name="All Except Lake/Potter V." numFmtId="0">
      <sharedItems/>
    </cacheField>
    <cacheField name="Reach - option 3" numFmtId="0">
      <sharedItems count="2">
        <s v="Upper"/>
        <s v="Lower"/>
      </sharedItems>
    </cacheField>
    <cacheField name="Reach - option 2" numFmtId="0">
      <sharedItems/>
    </cacheField>
    <cacheField name="Reach" numFmtId="0">
      <sharedItems/>
    </cacheField>
    <cacheField name="Class" numFmtId="0">
      <sharedItems count="4">
        <s v="Post-1949"/>
        <s v="Pre-1949"/>
        <s v="pre-1914"/>
        <s v="Riparian"/>
      </sharedItems>
    </cacheField>
    <cacheField name="Priority Year" numFmtId="0">
      <sharedItems containsSemiMixedTypes="0" containsString="0" containsNumber="1" containsInteger="1" minValue="1000" maxValue="2020"/>
    </cacheField>
    <cacheField name="Priority Bin" numFmtId="0">
      <sharedItems count="15">
        <s v="1991-present"/>
        <s v="1971-1990"/>
        <s v="1960-1970"/>
        <s v="SCWA-1960"/>
        <s v="1957-1959"/>
        <s v="1955-1956"/>
        <s v="1953-1954"/>
        <s v="SCWA-1954"/>
        <s v="1950-1952"/>
        <s v="PVID"/>
        <s v="Pre-1949 + 1949"/>
        <s v="SCWA-1949"/>
        <s v="RRFCD-1949"/>
        <s v="Pre-1914"/>
        <s v="-"/>
      </sharedItems>
    </cacheField>
    <cacheField name="MAINSTEM" numFmtId="0">
      <sharedItems count="2">
        <s v="N"/>
        <s v="Y"/>
      </sharedItems>
    </cacheField>
    <cacheField name="UPPER_RUSSIAN" numFmtId="0">
      <sharedItems/>
    </cacheField>
    <cacheField name="PRE_1914" numFmtId="0">
      <sharedItems/>
    </cacheField>
    <cacheField name="PRE_1949" numFmtId="0">
      <sharedItems/>
    </cacheField>
    <cacheField name="POST_1949" numFmtId="0">
      <sharedItems/>
    </cacheField>
    <cacheField name="RIPARIAN" numFmtId="0">
      <sharedItems/>
    </cacheField>
    <cacheField name="NULL_DEMAND" numFmtId="0">
      <sharedItems count="2">
        <s v="Y"/>
        <s v="N"/>
      </sharedItems>
    </cacheField>
    <cacheField name="ZERO_DEMAND" numFmtId="0">
      <sharedItems/>
    </cacheField>
    <cacheField name="MAY_SEPT_ZERO_DEMAND" numFmtId="0">
      <sharedItems count="2">
        <s v="Y"/>
        <s v="N"/>
      </sharedItems>
    </cacheField>
    <cacheField name="POWER_DEMAND_ZEROED" numFmtId="0">
      <sharedItems/>
    </cacheField>
    <cacheField name="JAN_MEAN_DIV" numFmtId="0">
      <sharedItems containsString="0" containsBlank="1" containsNumber="1" minValue="0" maxValue="20872.66"/>
    </cacheField>
    <cacheField name="FEB_MEAN_DIV" numFmtId="0">
      <sharedItems containsString="0" containsBlank="1" containsNumber="1" minValue="0" maxValue="4503.33"/>
    </cacheField>
    <cacheField name="MAR_MEAN_DIV" numFmtId="0">
      <sharedItems containsString="0" containsBlank="1" containsNumber="1" minValue="0" maxValue="8425.33"/>
    </cacheField>
    <cacheField name="APR_MEAN_DIV" numFmtId="0">
      <sharedItems containsString="0" containsBlank="1" containsNumber="1" minValue="0" maxValue="12960.66"/>
    </cacheField>
    <cacheField name="MAY_MEAN_DIV" numFmtId="0">
      <sharedItems containsString="0" containsBlank="1" containsNumber="1" minValue="0" maxValue="1804.33"/>
    </cacheField>
    <cacheField name="JUN_MEAN_DIV" numFmtId="0">
      <sharedItems containsString="0" containsBlank="1" containsNumber="1" minValue="0" maxValue="2664.66"/>
    </cacheField>
    <cacheField name="JUL_MEAN_DIV" numFmtId="0">
      <sharedItems containsString="0" containsBlank="1" containsNumber="1" minValue="0" maxValue="1771"/>
    </cacheField>
    <cacheField name="AUG_MEAN_DIV" numFmtId="0">
      <sharedItems containsString="0" containsBlank="1" containsNumber="1" minValue="0" maxValue="1811.66"/>
    </cacheField>
    <cacheField name="SEP_MEAN_DIV" numFmtId="0">
      <sharedItems containsString="0" containsBlank="1" containsNumber="1" minValue="0" maxValue="1246"/>
    </cacheField>
    <cacheField name="OCT_MEAN_DIV" numFmtId="0">
      <sharedItems containsString="0" containsBlank="1" containsNumber="1" minValue="0" maxValue="825"/>
    </cacheField>
    <cacheField name="NOV_MEAN_DIV" numFmtId="0">
      <sharedItems containsString="0" containsBlank="1" containsNumber="1" minValue="0" maxValue="1159.33"/>
    </cacheField>
    <cacheField name="DEC_MEAN_DIV" numFmtId="0">
      <sharedItems containsString="0" containsBlank="1" containsNumber="1" minValue="0" maxValue="5651"/>
    </cacheField>
    <cacheField name="TOTAL_MEAN_DIV" numFmtId="0">
      <sharedItems containsString="0" containsBlank="1" containsNumber="1" minValue="0" maxValue="44198.97"/>
    </cacheField>
    <cacheField name="May to Sept Total, af" numFmtId="0">
      <sharedItems containsString="0" containsBlank="1" containsNumber="1" minValue="0" maxValue="6939.6500000000005"/>
    </cacheField>
    <cacheField name="May to Sept Total, cfs" numFmtId="0">
      <sharedItems containsString="0" containsBlank="1" containsNumber="1" minValue="0" maxValue="23.018028549579579"/>
    </cacheField>
    <cacheField name="PERCENT_FACE" numFmtId="10">
      <sharedItems containsString="0" containsBlank="1" containsNumber="1" minValue="0" maxValue="546.96444481481478"/>
    </cacheField>
    <cacheField name="INI_REPORTED_DIV_AMOUNT" numFmtId="0">
      <sharedItems containsString="0" containsBlank="1" containsNumber="1" minValue="0" maxValue="235430"/>
    </cacheField>
    <cacheField name="INI_REPORTED_DIV_UNIT" numFmtId="0">
      <sharedItems containsDate="1" containsBlank="1" containsMixedTypes="1" minDate="2021-05-01T00:00:00" maxDate="1899-12-31T01:40:04"/>
    </cacheField>
    <cacheField name="FACE_VALUE_AMOUNT" numFmtId="0">
      <sharedItems containsSemiMixedTypes="0" containsString="0" containsNumber="1" minValue="0" maxValue="375316"/>
    </cacheField>
    <cacheField name="FACE_VALUE_UNITS" numFmtId="0">
      <sharedItems/>
    </cacheField>
    <cacheField name="NEW BASIN" numFmtId="0">
      <sharedItems/>
    </cacheField>
    <cacheField name="HS_BUFFER_CFS" numFmtId="0">
      <sharedItems containsSemiMixedTypes="0" containsString="0" containsNumber="1" minValue="0" maxValue="0.688652008225066"/>
    </cacheField>
    <cacheField name="LATITUDE" numFmtId="0">
      <sharedItems containsSemiMixedTypes="0" containsString="0" containsNumber="1" minValue="38.315799650000002" maxValue="39.361086380000003"/>
    </cacheField>
    <cacheField name="LONGITUDE" numFmtId="0">
      <sharedItems containsSemiMixedTypes="0" containsString="0" containsNumber="1" minValue="-123.38325" maxValue="-122.53954349"/>
    </cacheField>
    <cacheField name="SOURCE_NAME" numFmtId="0">
      <sharedItems containsBlank="1"/>
    </cacheField>
    <cacheField name="Sum of JUL_MEAN_DIV" numFmtId="0" formula=" SUM(JUL_MEAN_DIV)" databaseField="0"/>
    <cacheField name="AUG_MEAN_DIV " numFmtId="0" formula=" SUM(AUG_MEAN_DIV)" databaseField="0"/>
    <cacheField name="SEP_MEAN_DIV " numFmtId="0" formula=" SUM(SEP_MEAN_DIV)" databaseField="0"/>
    <cacheField name="JUL_MEAN_DIV " numFmtId="0" formula=" SUM(JUL_MEAN_DIV)" databaseField="0"/>
    <cacheField name="AUG MEAN DIV" numFmtId="0" formula=" SUM(AUG_MEAN_DIV)" databaseField="0"/>
    <cacheField name="SEP MEAN DIV" numFmtId="0" formula=" SUM(SEP_MEAN_DIV)" databaseField="0"/>
    <cacheField name="OCT MEAN DIV" numFmtId="0" formula=" SUM(OCT_MEAN_DIV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12">
  <r>
    <s v="A033106"/>
    <n v="20200203"/>
    <n v="11"/>
    <s v="N"/>
    <s v="Y"/>
    <s v="Y"/>
    <s v="Y"/>
    <x v="0"/>
    <s v="West Fork and Below Lake"/>
    <s v="Sonoma (d/s of Clov. Gage)"/>
    <x v="0"/>
    <n v="2020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98"/>
    <s v="Acre-feet per Year"/>
    <s v="U_11"/>
    <n v="0"/>
    <n v="38.634395019999999"/>
    <n v="-122.66351720999999"/>
    <s v="Yellowjacket Creek"/>
  </r>
  <r>
    <s v="A033107"/>
    <n v="20200203"/>
    <n v="12"/>
    <s v="N"/>
    <s v="Y"/>
    <s v="Y"/>
    <s v="Y"/>
    <x v="0"/>
    <s v="West Fork and Below Lake"/>
    <s v="Sonoma (d/s of Clov. Gage)"/>
    <x v="0"/>
    <n v="2020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55"/>
    <s v="Acre-feet per Year"/>
    <s v="U_12"/>
    <n v="0"/>
    <n v="38.632337130000003"/>
    <n v="-122.66132055999999"/>
    <s v="No Name Creek"/>
  </r>
  <r>
    <s v="H508968"/>
    <n v="20200224"/>
    <n v="22"/>
    <s v="N"/>
    <s v="N"/>
    <s v="N"/>
    <s v="N"/>
    <x v="1"/>
    <s v="Outside"/>
    <s v="Outside"/>
    <x v="0"/>
    <n v="2020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31"/>
    <s v="Acre-feet per Year"/>
    <s v="L_22"/>
    <n v="0"/>
    <n v="38.912207000000002"/>
    <n v="-123.210528"/>
    <s v="Unnamed Spring"/>
  </r>
  <r>
    <s v="H509523"/>
    <n v="20200914"/>
    <n v="1"/>
    <s v="N"/>
    <s v="N"/>
    <s v="Y"/>
    <s v="Y"/>
    <x v="0"/>
    <s v="West Fork and Below Lake"/>
    <s v="Outside"/>
    <x v="0"/>
    <n v="2020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09"/>
    <s v="Acre-feet per Year"/>
    <s v="U_1"/>
    <n v="0"/>
    <n v="39.217272999999999"/>
    <n v="-123.31689900000001"/>
    <s v="Unnamed Spring"/>
  </r>
  <r>
    <s v="D033030"/>
    <n v="20190318"/>
    <n v="6"/>
    <s v="Y"/>
    <s v="N"/>
    <s v="Y"/>
    <s v="Y"/>
    <x v="0"/>
    <s v="West Fork and Below Lake"/>
    <s v="Mendocino (d/s of lake)"/>
    <x v="0"/>
    <n v="2019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.21"/>
    <s v="Acre-feet per Year"/>
    <s v="U_6"/>
    <n v="0"/>
    <n v="39.001160400000003"/>
    <n v="-123.15878709"/>
    <s v="Unnamed Stream"/>
  </r>
  <r>
    <s v="D033034"/>
    <n v="20190402"/>
    <n v="6"/>
    <s v="Y"/>
    <s v="N"/>
    <s v="Y"/>
    <s v="Y"/>
    <x v="0"/>
    <s v="West Fork and Below Lake"/>
    <s v="Mendocino (d/s of lake)"/>
    <x v="0"/>
    <n v="2019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s v="Acre-feet per Year"/>
    <s v="U_6"/>
    <n v="0"/>
    <n v="39.001353690000002"/>
    <n v="-123.17047483"/>
    <s v="Unnamed Stream"/>
  </r>
  <r>
    <s v="D033060"/>
    <n v="20190715"/>
    <n v="23"/>
    <s v="N"/>
    <s v="N"/>
    <s v="N"/>
    <s v="N"/>
    <x v="1"/>
    <s v="Outside"/>
    <s v="Outside"/>
    <x v="0"/>
    <n v="2019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s v="Acre-feet per Year"/>
    <s v="L_24"/>
    <n v="0"/>
    <n v="38.547800000000002"/>
    <n v="-122.6559"/>
    <s v="Unnamed Stream"/>
  </r>
  <r>
    <s v="D033061"/>
    <n v="20190723"/>
    <n v="23"/>
    <s v="N"/>
    <s v="N"/>
    <s v="N"/>
    <s v="N"/>
    <x v="1"/>
    <s v="Outside"/>
    <s v="Outside"/>
    <x v="0"/>
    <n v="2019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s v="Acre-feet per Year"/>
    <s v="L_24"/>
    <n v="0"/>
    <n v="38.547800000000002"/>
    <n v="-122.6559"/>
    <s v="Unnamed Stream"/>
  </r>
  <r>
    <s v="D033083"/>
    <n v="20191018"/>
    <n v="3"/>
    <s v="N"/>
    <s v="N"/>
    <s v="Y"/>
    <s v="N"/>
    <x v="0"/>
    <s v="Outside"/>
    <s v="Outside"/>
    <x v="0"/>
    <n v="2019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17"/>
    <s v="Acre-feet per Year"/>
    <s v="U_3"/>
    <n v="3.4039024194010059E-4"/>
    <n v="39.2532"/>
    <n v="-123.14579999999999"/>
    <s v="Unnamed Spring"/>
  </r>
  <r>
    <s v="H033072"/>
    <n v="20190917"/>
    <n v="12"/>
    <s v="N"/>
    <s v="Y"/>
    <s v="Y"/>
    <s v="Y"/>
    <x v="0"/>
    <s v="West Fork and Below Lake"/>
    <s v="Sonoma (d/s of Clov. Gage)"/>
    <x v="0"/>
    <n v="2019"/>
    <x v="0"/>
    <x v="0"/>
    <s v="Y"/>
    <s v="N"/>
    <s v="N"/>
    <s v="Y"/>
    <s v="N"/>
    <x v="1"/>
    <s v="N"/>
    <x v="0"/>
    <s v="N"/>
    <n v="1.83"/>
    <n v="1.83"/>
    <n v="1.83"/>
    <n v="0"/>
    <n v="0"/>
    <n v="0"/>
    <n v="0"/>
    <n v="0"/>
    <n v="0"/>
    <n v="1.83"/>
    <n v="1.83"/>
    <n v="1.83"/>
    <n v="10.98"/>
    <n v="0"/>
    <n v="0"/>
    <n v="0.99818181818181817"/>
    <m/>
    <m/>
    <n v="11"/>
    <s v="Acre-feet per Year"/>
    <s v="U_12"/>
    <n v="0"/>
    <n v="38.66852128"/>
    <n v="-122.80176406"/>
    <s v="Unnamed Stream"/>
  </r>
  <r>
    <s v="H504162"/>
    <n v="20190115"/>
    <n v="20"/>
    <s v="N"/>
    <s v="N"/>
    <s v="N"/>
    <s v="N"/>
    <x v="1"/>
    <s v="Outside"/>
    <s v="Outside"/>
    <x v="0"/>
    <n v="2019"/>
    <x v="0"/>
    <x v="0"/>
    <s v="N"/>
    <s v="N"/>
    <s v="N"/>
    <s v="Y"/>
    <s v="N"/>
    <x v="1"/>
    <s v="N"/>
    <x v="0"/>
    <s v="N"/>
    <n v="3.9896000000000001E-2"/>
    <n v="3.9896000000000001E-2"/>
    <n v="4.9103000000000001E-2"/>
    <n v="0"/>
    <n v="0"/>
    <n v="0"/>
    <n v="0"/>
    <n v="0"/>
    <n v="0"/>
    <n v="0"/>
    <n v="1.8412999999999999E-2"/>
    <n v="1.8412999999999999E-2"/>
    <n v="0.16572100000000001"/>
    <n v="0"/>
    <n v="0"/>
    <n v="0.33820612244897963"/>
    <m/>
    <m/>
    <n v="0.49"/>
    <s v="Acre-feet per Year"/>
    <s v="L_20"/>
    <n v="0"/>
    <n v="38.528201000000003"/>
    <n v="-123.127062"/>
    <s v="Unnamed Spring"/>
  </r>
  <r>
    <s v="H505765"/>
    <n v="20190405"/>
    <n v="4"/>
    <s v="Y"/>
    <s v="N"/>
    <s v="Y"/>
    <s v="Y"/>
    <x v="0"/>
    <s v="West Fork and Below Lake"/>
    <s v="Mendocino (d/s of lake)"/>
    <x v="0"/>
    <n v="2019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81"/>
    <s v="Acre-feet per Year"/>
    <s v="U_4"/>
    <n v="0"/>
    <n v="39.174968"/>
    <n v="-123.27254000000001"/>
    <s v="Unnamed Stream"/>
  </r>
  <r>
    <s v="H505809"/>
    <n v="20190514"/>
    <n v="5"/>
    <s v="Y"/>
    <s v="N"/>
    <s v="Y"/>
    <s v="Y"/>
    <x v="0"/>
    <s v="West Fork and Below Lake"/>
    <s v="Mendocino (d/s of lake)"/>
    <x v="0"/>
    <n v="2019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15"/>
    <s v="Acre-feet per Year"/>
    <s v="U_5"/>
    <n v="0"/>
    <n v="39.125711000000003"/>
    <n v="-123.27431900000001"/>
    <s v="Unnamed Spring"/>
  </r>
  <r>
    <s v="H505968"/>
    <n v="20190412"/>
    <n v="1"/>
    <s v="N"/>
    <s v="N"/>
    <s v="Y"/>
    <s v="Y"/>
    <x v="0"/>
    <s v="West Fork and Below Lake"/>
    <s v="Outside"/>
    <x v="0"/>
    <n v="2019"/>
    <x v="0"/>
    <x v="0"/>
    <s v="Y"/>
    <s v="N"/>
    <s v="N"/>
    <s v="Y"/>
    <s v="N"/>
    <x v="1"/>
    <s v="N"/>
    <x v="0"/>
    <s v="N"/>
    <n v="0.04"/>
    <n v="0.04"/>
    <n v="0.03"/>
    <n v="0"/>
    <n v="0"/>
    <n v="0"/>
    <n v="0"/>
    <n v="0"/>
    <n v="0"/>
    <n v="0"/>
    <n v="0.04"/>
    <n v="0.04"/>
    <n v="0.19"/>
    <n v="0"/>
    <n v="0"/>
    <n v="0.30688831168831171"/>
    <m/>
    <m/>
    <n v="0.77"/>
    <s v="Acre-feet per Year"/>
    <s v="U_1"/>
    <n v="0"/>
    <n v="39.347493999999998"/>
    <n v="-123.379389"/>
    <s v="Unnamed Spring"/>
  </r>
  <r>
    <s v="H505997"/>
    <n v="20191018"/>
    <n v="4"/>
    <s v="Y"/>
    <s v="N"/>
    <s v="Y"/>
    <s v="Y"/>
    <x v="0"/>
    <s v="West Fork and Below Lake"/>
    <s v="Mendocino (d/s of lake)"/>
    <x v="0"/>
    <n v="2019"/>
    <x v="0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.55"/>
    <s v="Acre-feet per Year"/>
    <s v="U_4"/>
    <n v="0"/>
    <n v="39.189916459999999"/>
    <n v="-123.19674611000001"/>
    <s v="East Fork Russian River"/>
  </r>
  <r>
    <s v="H506245"/>
    <n v="20190606"/>
    <n v="6"/>
    <s v="Y"/>
    <s v="N"/>
    <s v="Y"/>
    <s v="Y"/>
    <x v="0"/>
    <s v="West Fork and Below Lake"/>
    <s v="Mendocino (d/s of lake)"/>
    <x v="0"/>
    <n v="2019"/>
    <x v="0"/>
    <x v="0"/>
    <s v="Y"/>
    <s v="N"/>
    <s v="N"/>
    <s v="Y"/>
    <s v="N"/>
    <x v="1"/>
    <s v="N"/>
    <x v="1"/>
    <s v="N"/>
    <n v="0.04"/>
    <n v="0.04"/>
    <n v="0.04"/>
    <n v="0.03"/>
    <n v="0.03"/>
    <n v="0.03"/>
    <n v="0"/>
    <n v="0"/>
    <n v="0"/>
    <n v="0"/>
    <n v="0"/>
    <n v="0"/>
    <n v="0.21"/>
    <n v="6.1378000000000002E-2"/>
    <n v="2.0358383438877977E-4"/>
    <n v="0.95902499999999991"/>
    <m/>
    <m/>
    <n v="0.24"/>
    <s v="Acre-feet per Year"/>
    <s v="U_6"/>
    <n v="0"/>
    <n v="38.97987303"/>
    <n v="-123.20351872000001"/>
    <s v="Unnamed Spring"/>
  </r>
  <r>
    <s v="H506517"/>
    <n v="20190614"/>
    <n v="23"/>
    <s v="N"/>
    <s v="N"/>
    <s v="N"/>
    <s v="N"/>
    <x v="1"/>
    <s v="Outside"/>
    <s v="Outside"/>
    <x v="0"/>
    <n v="2019"/>
    <x v="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.92"/>
    <s v="Acre-feet per Year"/>
    <s v="L_24"/>
    <n v="0"/>
    <n v="38.561892919999998"/>
    <n v="-122.73984754999999"/>
    <s v="Unnamed Stream"/>
  </r>
  <r>
    <s v="H507504"/>
    <n v="20190708"/>
    <n v="6"/>
    <s v="Y"/>
    <s v="N"/>
    <s v="Y"/>
    <s v="Y"/>
    <x v="0"/>
    <s v="West Fork and Below Lake"/>
    <s v="Mendocino (d/s of lake)"/>
    <x v="0"/>
    <n v="2019"/>
    <x v="0"/>
    <x v="0"/>
    <s v="Y"/>
    <s v="N"/>
    <s v="N"/>
    <s v="Y"/>
    <s v="N"/>
    <x v="1"/>
    <s v="N"/>
    <x v="1"/>
    <s v="N"/>
    <n v="0.65"/>
    <n v="1.28"/>
    <n v="0.43"/>
    <n v="0.04"/>
    <n v="0.3"/>
    <n v="0.02"/>
    <n v="0"/>
    <n v="0"/>
    <n v="0"/>
    <n v="0.08"/>
    <n v="0.28999999999999998"/>
    <n v="0.67"/>
    <n v="3.7600000000000002"/>
    <n v="0.32300000000000001"/>
    <n v="1.0713542068424495E-3"/>
    <n v="0.97680412371134029"/>
    <m/>
    <m/>
    <n v="3.88"/>
    <s v="Acre-feet per Year"/>
    <s v="U_6"/>
    <n v="0"/>
    <n v="39.003914999999999"/>
    <n v="-123.17153999999999"/>
    <s v="Unnamed Stream"/>
  </r>
  <r>
    <s v="H507549"/>
    <n v="20190717"/>
    <n v="6"/>
    <s v="Y"/>
    <s v="N"/>
    <s v="Y"/>
    <s v="Y"/>
    <x v="0"/>
    <s v="West Fork and Below Lake"/>
    <s v="Mendocino (d/s of lake)"/>
    <x v="0"/>
    <n v="2019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.2"/>
    <s v="Acre-feet per Year"/>
    <s v="U_6"/>
    <n v="0"/>
    <n v="38.996706000000003"/>
    <n v="-123.155591"/>
    <s v="Unnamed Stream"/>
  </r>
  <r>
    <s v="H507733"/>
    <n v="20190909"/>
    <n v="1"/>
    <s v="N"/>
    <s v="N"/>
    <s v="Y"/>
    <s v="Y"/>
    <x v="0"/>
    <s v="West Fork and Below Lake"/>
    <s v="Outside"/>
    <x v="0"/>
    <n v="2019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32"/>
    <s v="Acre-feet per Year"/>
    <s v="U_1"/>
    <n v="0"/>
    <n v="39.257707000000003"/>
    <n v="-123.303014"/>
    <s v="Unnamed Stream"/>
  </r>
  <r>
    <s v="H507821"/>
    <n v="20190725"/>
    <n v="6"/>
    <s v="Y"/>
    <s v="N"/>
    <s v="Y"/>
    <s v="Y"/>
    <x v="0"/>
    <s v="West Fork and Below Lake"/>
    <s v="Mendocino (d/s of lake)"/>
    <x v="0"/>
    <n v="2019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13"/>
    <s v="Acre-feet per Year"/>
    <s v="U_6"/>
    <n v="0"/>
    <n v="38.971871999999998"/>
    <n v="-123.18401"/>
    <s v="Unnamed Spring"/>
  </r>
  <r>
    <s v="H507877"/>
    <n v="20190808"/>
    <n v="6"/>
    <s v="Y"/>
    <s v="N"/>
    <s v="Y"/>
    <s v="Y"/>
    <x v="0"/>
    <s v="West Fork and Below Lake"/>
    <s v="Mendocino (d/s of lake)"/>
    <x v="0"/>
    <n v="2019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82"/>
    <s v="Acre-feet per Year"/>
    <s v="U_6"/>
    <n v="0"/>
    <n v="39.000889000000001"/>
    <n v="-123.196552"/>
    <s v="Unnamed Spring"/>
  </r>
  <r>
    <s v="H508419"/>
    <n v="20190927"/>
    <n v="1"/>
    <s v="N"/>
    <s v="N"/>
    <s v="Y"/>
    <s v="Y"/>
    <x v="0"/>
    <s v="West Fork and Below Lake"/>
    <s v="Outside"/>
    <x v="0"/>
    <n v="2019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68"/>
    <s v="Acre-feet per Year"/>
    <s v="U_1"/>
    <n v="0"/>
    <n v="39.34239754"/>
    <n v="-123.3694131"/>
    <s v="Unnamed Spring"/>
  </r>
  <r>
    <s v="H509254"/>
    <n v="20190920"/>
    <n v="22"/>
    <s v="N"/>
    <s v="N"/>
    <s v="N"/>
    <s v="N"/>
    <x v="1"/>
    <s v="Outside"/>
    <s v="Outside"/>
    <x v="0"/>
    <n v="2019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03"/>
    <s v="Acre-feet per Year"/>
    <s v="L_22"/>
    <n v="0"/>
    <n v="38.915869000000001"/>
    <n v="-123.16694699999999"/>
    <s v="Unnamed Spring"/>
  </r>
  <r>
    <s v="L033031"/>
    <n v="20190318"/>
    <n v="6"/>
    <s v="Y"/>
    <s v="N"/>
    <s v="Y"/>
    <s v="Y"/>
    <x v="0"/>
    <s v="West Fork and Below Lake"/>
    <s v="Mendocino (d/s of lake)"/>
    <x v="0"/>
    <n v="2019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.5"/>
    <s v="Acre-feet per Year"/>
    <s v="U_6"/>
    <n v="0"/>
    <n v="39.00358825"/>
    <n v="-123.15593604999999"/>
    <s v="Unnamed Stream"/>
  </r>
  <r>
    <s v="D033025"/>
    <n v="20190301"/>
    <n v="2"/>
    <s v="N"/>
    <s v="N"/>
    <s v="Y"/>
    <s v="N"/>
    <x v="0"/>
    <s v="Outside"/>
    <s v="Outside"/>
    <x v="0"/>
    <n v="2019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67"/>
    <s v="Acre-feet per Year"/>
    <s v="U_2"/>
    <n v="3.4039024194010059E-4"/>
    <n v="39.219659999999998"/>
    <n v="-123.0791"/>
    <s v="Unnamed Stream"/>
  </r>
  <r>
    <s v="A032898"/>
    <n v="20180110"/>
    <n v="6"/>
    <s v="Y"/>
    <s v="N"/>
    <s v="Y"/>
    <s v="Y"/>
    <x v="0"/>
    <s v="West Fork and Below Lake"/>
    <s v="Mendocino (d/s of lake)"/>
    <x v="0"/>
    <n v="2018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2.8"/>
    <s v="Acre-feet per Year"/>
    <s v="U_6"/>
    <n v="0"/>
    <n v="38.919958700000002"/>
    <n v="-122.97420030000001"/>
    <s v="JAKES CREEK"/>
  </r>
  <r>
    <s v="A032936"/>
    <n v="20180615"/>
    <n v="18"/>
    <s v="N"/>
    <s v="N"/>
    <s v="N"/>
    <s v="N"/>
    <x v="1"/>
    <s v="Outside"/>
    <s v="Outside"/>
    <x v="0"/>
    <n v="2018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1.5"/>
    <s v="Acre-feet per Year"/>
    <s v="L_18"/>
    <n v="0"/>
    <n v="38.426614569999998"/>
    <n v="-122.89671276999999"/>
    <s v="Unnamed Stream"/>
  </r>
  <r>
    <s v="A032959"/>
    <n v="20180809"/>
    <n v="9"/>
    <s v="N"/>
    <s v="Y"/>
    <s v="Y"/>
    <s v="Y"/>
    <x v="0"/>
    <s v="West Fork and Below Lake"/>
    <s v="Sonoma (d/s of Clov. Gage)"/>
    <x v="0"/>
    <n v="2018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7.45"/>
    <s v="Acre-feet per Year"/>
    <s v="U_9"/>
    <n v="3.4039024194010059E-4"/>
    <n v="38.849857819999997"/>
    <n v="-122.98722773999999"/>
    <m/>
  </r>
  <r>
    <s v="A032961"/>
    <n v="20180815"/>
    <n v="18"/>
    <s v="N"/>
    <s v="N"/>
    <s v="N"/>
    <s v="N"/>
    <x v="1"/>
    <s v="Outside"/>
    <s v="Outside"/>
    <x v="0"/>
    <n v="2018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1"/>
    <s v="Acre-feet per Year"/>
    <s v="L_18"/>
    <n v="0"/>
    <n v="38.447236570000001"/>
    <n v="-122.88540313999999"/>
    <s v="Green Valley Creek"/>
  </r>
  <r>
    <s v="D030731"/>
    <n v="20181029"/>
    <n v="11"/>
    <s v="N"/>
    <s v="Y"/>
    <s v="Y"/>
    <s v="Y"/>
    <x v="0"/>
    <s v="West Fork and Below Lake"/>
    <s v="Sonoma (d/s of Clov. Gage)"/>
    <x v="0"/>
    <n v="2018"/>
    <x v="0"/>
    <x v="0"/>
    <s v="Y"/>
    <s v="N"/>
    <s v="N"/>
    <s v="Y"/>
    <s v="N"/>
    <x v="1"/>
    <s v="N"/>
    <x v="0"/>
    <s v="N"/>
    <n v="0.31"/>
    <n v="0.2"/>
    <n v="0.43"/>
    <n v="0.4"/>
    <n v="0"/>
    <n v="0"/>
    <n v="0"/>
    <n v="0"/>
    <n v="0"/>
    <n v="0"/>
    <n v="5.13"/>
    <n v="0.4"/>
    <n v="6.87"/>
    <n v="0"/>
    <n v="0"/>
    <n v="0.69528619525252533"/>
    <m/>
    <m/>
    <n v="9.9"/>
    <s v="Acre-feet per Year"/>
    <s v="U_11"/>
    <n v="3.4039024194010059E-4"/>
    <n v="38.6419"/>
    <n v="-122.6421"/>
    <s v="Yellowjacket Creek"/>
  </r>
  <r>
    <s v="D032989"/>
    <n v="20181126"/>
    <n v="18"/>
    <s v="N"/>
    <s v="N"/>
    <s v="N"/>
    <s v="N"/>
    <x v="1"/>
    <s v="Outside"/>
    <s v="Outside"/>
    <x v="0"/>
    <n v="2018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9.82"/>
    <s v="Acre-feet per Year"/>
    <s v="L_18"/>
    <n v="0"/>
    <n v="38.463836069999999"/>
    <n v="-122.92358744000001"/>
    <s v="Unnamed Stream"/>
  </r>
  <r>
    <s v="H032924"/>
    <n v="20180403"/>
    <n v="9"/>
    <s v="N"/>
    <s v="Y"/>
    <s v="Y"/>
    <s v="Y"/>
    <x v="0"/>
    <s v="West Fork and Below Lake"/>
    <s v="Sonoma (d/s of Clov. Gage)"/>
    <x v="0"/>
    <n v="2018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0"/>
    <s v="Acre-feet per Year"/>
    <s v="U_9"/>
    <n v="0"/>
    <n v="38.857508000000003"/>
    <n v="-122.972279"/>
    <s v="Unnamed Stream"/>
  </r>
  <r>
    <s v="H500244"/>
    <n v="20180206"/>
    <n v="6"/>
    <s v="Y"/>
    <s v="N"/>
    <s v="Y"/>
    <s v="Y"/>
    <x v="0"/>
    <s v="West Fork and Below Lake"/>
    <s v="Mendocino (d/s of lake)"/>
    <x v="0"/>
    <n v="2018"/>
    <x v="0"/>
    <x v="0"/>
    <s v="Y"/>
    <s v="N"/>
    <s v="N"/>
    <s v="Y"/>
    <s v="N"/>
    <x v="1"/>
    <s v="N"/>
    <x v="1"/>
    <s v="N"/>
    <n v="0.02"/>
    <n v="0.02"/>
    <n v="0.03"/>
    <n v="0.03"/>
    <n v="0.05"/>
    <n v="0.05"/>
    <n v="0"/>
    <n v="0"/>
    <n v="0"/>
    <n v="0"/>
    <n v="0.02"/>
    <n v="0"/>
    <n v="0.22"/>
    <n v="0.1"/>
    <n v="3.3168860892955089E-4"/>
    <n v="1"/>
    <m/>
    <m/>
    <n v="0.23"/>
    <s v="Acre-feet per Year"/>
    <s v="U_6"/>
    <n v="0"/>
    <n v="38.992699999999999"/>
    <n v="-123.215"/>
    <s v="FELIZ CREEK"/>
  </r>
  <r>
    <s v="H500399"/>
    <n v="20180330"/>
    <n v="1"/>
    <s v="N"/>
    <s v="N"/>
    <s v="Y"/>
    <s v="Y"/>
    <x v="0"/>
    <s v="West Fork and Below Lake"/>
    <s v="Outside"/>
    <x v="0"/>
    <n v="2018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97"/>
    <s v="Acre-feet per Year"/>
    <s v="U_1"/>
    <n v="0"/>
    <n v="39.260199999999998"/>
    <n v="-123.17"/>
    <s v="Unnamed Stream"/>
  </r>
  <r>
    <s v="H500522"/>
    <n v="20180321"/>
    <n v="1"/>
    <s v="N"/>
    <s v="N"/>
    <s v="Y"/>
    <s v="Y"/>
    <x v="0"/>
    <s v="West Fork and Below Lake"/>
    <s v="Outside"/>
    <x v="0"/>
    <n v="2018"/>
    <x v="0"/>
    <x v="0"/>
    <s v="Y"/>
    <s v="N"/>
    <s v="N"/>
    <s v="Y"/>
    <s v="N"/>
    <x v="1"/>
    <s v="N"/>
    <x v="0"/>
    <s v="N"/>
    <n v="0.27"/>
    <n v="0.27"/>
    <n v="0.27"/>
    <n v="0"/>
    <n v="0"/>
    <n v="0"/>
    <n v="0"/>
    <n v="0"/>
    <n v="0"/>
    <n v="0"/>
    <n v="0.27"/>
    <n v="0.27"/>
    <n v="1.35"/>
    <n v="0"/>
    <n v="0"/>
    <n v="0.99854347826086964"/>
    <m/>
    <m/>
    <n v="1.38"/>
    <s v="Acre-feet per Year"/>
    <s v="U_1"/>
    <n v="0"/>
    <n v="39.220402780000001"/>
    <n v="-123.29479167"/>
    <m/>
  </r>
  <r>
    <s v="H500658"/>
    <n v="20180927"/>
    <n v="6"/>
    <s v="Y"/>
    <s v="N"/>
    <s v="Y"/>
    <s v="Y"/>
    <x v="0"/>
    <s v="West Fork and Below Lake"/>
    <s v="Mendocino (d/s of lake)"/>
    <x v="0"/>
    <n v="2018"/>
    <x v="0"/>
    <x v="0"/>
    <s v="Y"/>
    <s v="N"/>
    <s v="N"/>
    <s v="Y"/>
    <s v="N"/>
    <x v="1"/>
    <s v="N"/>
    <x v="0"/>
    <s v="N"/>
    <n v="0.61"/>
    <n v="0.61"/>
    <n v="0.61"/>
    <n v="0"/>
    <n v="0"/>
    <n v="0"/>
    <n v="0"/>
    <n v="0"/>
    <n v="0"/>
    <n v="0"/>
    <n v="0.61"/>
    <n v="0.61"/>
    <n v="3.05"/>
    <n v="0"/>
    <n v="0"/>
    <n v="1"/>
    <m/>
    <m/>
    <n v="3.09"/>
    <s v="Acre-feet per Year"/>
    <s v="U_6"/>
    <n v="0"/>
    <n v="39.012"/>
    <n v="-123.1863"/>
    <s v="Unnamed Spring"/>
  </r>
  <r>
    <s v="H500731"/>
    <n v="20180411"/>
    <n v="6"/>
    <s v="Y"/>
    <s v="N"/>
    <s v="Y"/>
    <s v="Y"/>
    <x v="0"/>
    <s v="West Fork and Below Lake"/>
    <s v="Mendocino (d/s of lake)"/>
    <x v="0"/>
    <n v="2018"/>
    <x v="0"/>
    <x v="0"/>
    <s v="Y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0"/>
    <n v="0"/>
    <n v="0"/>
    <n v="0"/>
    <n v="0"/>
    <n v="1"/>
    <m/>
    <m/>
    <n v="0.68"/>
    <s v="Acre-feet per Year"/>
    <s v="U_6"/>
    <n v="0"/>
    <n v="38.972499999999997"/>
    <n v="-123.01"/>
    <s v="Unnamed Spring"/>
  </r>
  <r>
    <s v="H500733"/>
    <n v="20180430"/>
    <n v="1"/>
    <s v="N"/>
    <s v="N"/>
    <s v="Y"/>
    <s v="Y"/>
    <x v="0"/>
    <s v="West Fork and Below Lake"/>
    <s v="Outside"/>
    <x v="0"/>
    <n v="2018"/>
    <x v="0"/>
    <x v="0"/>
    <s v="Y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0"/>
    <n v="0"/>
    <n v="0"/>
    <n v="0"/>
    <n v="0"/>
    <n v="9.01470588235294E-2"/>
    <m/>
    <m/>
    <n v="0.68"/>
    <s v="Acre-feet per Year"/>
    <s v="U_1"/>
    <n v="0"/>
    <n v="39.276600000000002"/>
    <n v="-123.1725"/>
    <s v="Unnamed Stream"/>
  </r>
  <r>
    <s v="H500800"/>
    <n v="20181009"/>
    <n v="1"/>
    <s v="N"/>
    <s v="N"/>
    <s v="Y"/>
    <s v="Y"/>
    <x v="0"/>
    <s v="West Fork and Below Lake"/>
    <s v="Outside"/>
    <x v="0"/>
    <n v="2018"/>
    <x v="0"/>
    <x v="0"/>
    <s v="Y"/>
    <s v="N"/>
    <s v="N"/>
    <s v="Y"/>
    <s v="N"/>
    <x v="1"/>
    <s v="N"/>
    <x v="0"/>
    <s v="N"/>
    <n v="0.03"/>
    <n v="0.02"/>
    <n v="0.02"/>
    <n v="0.02"/>
    <n v="0"/>
    <n v="0"/>
    <n v="0"/>
    <n v="0"/>
    <n v="0"/>
    <n v="0"/>
    <n v="0"/>
    <n v="0"/>
    <n v="9.0000000000000011E-2"/>
    <n v="0"/>
    <n v="0"/>
    <n v="0.93995833333333345"/>
    <m/>
    <m/>
    <n v="0.12"/>
    <s v="Acre-feet per Year"/>
    <s v="U_1"/>
    <n v="0"/>
    <n v="39.326000000000001"/>
    <n v="-123.3767"/>
    <s v="Unnamed Spring"/>
  </r>
  <r>
    <s v="H500821"/>
    <n v="20180926"/>
    <n v="6"/>
    <s v="Y"/>
    <s v="N"/>
    <s v="Y"/>
    <s v="Y"/>
    <x v="0"/>
    <s v="West Fork and Below Lake"/>
    <s v="Mendocino (d/s of lake)"/>
    <x v="0"/>
    <n v="2018"/>
    <x v="0"/>
    <x v="0"/>
    <s v="Y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0"/>
    <n v="0"/>
    <n v="0"/>
    <n v="0"/>
    <n v="0"/>
    <n v="1"/>
    <m/>
    <m/>
    <n v="0.59"/>
    <s v="Acre-feet per Year"/>
    <s v="U_6"/>
    <n v="0"/>
    <n v="38.874000000000002"/>
    <n v="-123.108"/>
    <s v="Unnamed Spring"/>
  </r>
  <r>
    <s v="H500889"/>
    <n v="20180423"/>
    <n v="6"/>
    <s v="Y"/>
    <s v="N"/>
    <s v="Y"/>
    <s v="Y"/>
    <x v="0"/>
    <s v="West Fork and Below Lake"/>
    <s v="Mendocino (d/s of lake)"/>
    <x v="0"/>
    <n v="2018"/>
    <x v="0"/>
    <x v="0"/>
    <s v="Y"/>
    <s v="N"/>
    <s v="N"/>
    <s v="Y"/>
    <s v="N"/>
    <x v="1"/>
    <s v="N"/>
    <x v="1"/>
    <s v="N"/>
    <n v="0"/>
    <n v="0"/>
    <n v="0"/>
    <n v="0"/>
    <n v="0"/>
    <n v="0.03"/>
    <n v="0.03"/>
    <n v="0.03"/>
    <n v="0"/>
    <n v="0"/>
    <n v="0"/>
    <n v="0"/>
    <n v="0.09"/>
    <n v="0.11549999999999999"/>
    <n v="3.8310034331363125E-4"/>
    <n v="0.15608108108108107"/>
    <m/>
    <m/>
    <n v="0.74"/>
    <s v="Acre-feet per Year"/>
    <s v="U_6"/>
    <n v="0"/>
    <n v="38.976700000000001"/>
    <n v="-123.1955"/>
    <s v="Unnamed Stream"/>
  </r>
  <r>
    <s v="H501328"/>
    <n v="20180612"/>
    <n v="6"/>
    <s v="Y"/>
    <s v="N"/>
    <s v="Y"/>
    <s v="Y"/>
    <x v="0"/>
    <s v="West Fork and Below Lake"/>
    <s v="Mendocino (d/s of lake)"/>
    <x v="0"/>
    <n v="2018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17"/>
    <s v="Acre-feet per Year"/>
    <s v="U_6"/>
    <n v="0"/>
    <n v="39.004399999999997"/>
    <n v="-123.1915"/>
    <s v="Unnamed Stream"/>
  </r>
  <r>
    <s v="H501475"/>
    <n v="20180702"/>
    <n v="20"/>
    <s v="N"/>
    <s v="N"/>
    <s v="N"/>
    <s v="N"/>
    <x v="1"/>
    <s v="Outside"/>
    <s v="Outside"/>
    <x v="0"/>
    <n v="2018"/>
    <x v="0"/>
    <x v="0"/>
    <s v="N"/>
    <s v="N"/>
    <s v="N"/>
    <s v="Y"/>
    <s v="N"/>
    <x v="1"/>
    <s v="N"/>
    <x v="0"/>
    <s v="N"/>
    <n v="3.6826999999999999E-2"/>
    <n v="3.6826999999999999E-2"/>
    <n v="3.6826999999999999E-2"/>
    <n v="0"/>
    <n v="0"/>
    <n v="0"/>
    <n v="0"/>
    <n v="0"/>
    <n v="0"/>
    <n v="0"/>
    <n v="3.6826999999999999E-2"/>
    <n v="3.6826999999999999E-2"/>
    <n v="0.18413499999999999"/>
    <n v="0"/>
    <n v="0"/>
    <n v="0.43841666666666668"/>
    <m/>
    <m/>
    <n v="0.42"/>
    <s v="Acre-feet per Year"/>
    <s v="L_20"/>
    <n v="0"/>
    <n v="38.520699999999998"/>
    <n v="-123.12860000000001"/>
    <s v="Unnamed Spring"/>
  </r>
  <r>
    <s v="H501536"/>
    <n v="20180718"/>
    <n v="6"/>
    <s v="Y"/>
    <s v="N"/>
    <s v="Y"/>
    <s v="Y"/>
    <x v="0"/>
    <s v="West Fork and Below Lake"/>
    <s v="Mendocino (d/s of lake)"/>
    <x v="0"/>
    <n v="2018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18"/>
    <s v="Acre-feet per Year"/>
    <s v="U_6"/>
    <n v="0"/>
    <n v="38.974400000000003"/>
    <n v="-123.1919"/>
    <s v="Unnamed Spring"/>
  </r>
  <r>
    <s v="H501560"/>
    <n v="20180613"/>
    <n v="20"/>
    <s v="N"/>
    <s v="N"/>
    <s v="N"/>
    <s v="N"/>
    <x v="1"/>
    <s v="Outside"/>
    <s v="Outside"/>
    <x v="0"/>
    <n v="2018"/>
    <x v="0"/>
    <x v="0"/>
    <s v="N"/>
    <s v="N"/>
    <s v="N"/>
    <s v="Y"/>
    <s v="N"/>
    <x v="1"/>
    <s v="N"/>
    <x v="1"/>
    <s v="N"/>
    <n v="9.2071999999999998E-4"/>
    <n v="7.6727999999999996E-4"/>
    <n v="1.0434387999999999E-2"/>
    <n v="1.15085E-2"/>
    <n v="1.9948E-2"/>
    <n v="2.3016499999999999E-2"/>
    <n v="2.3016499999999999E-2"/>
    <n v="2.3016499999999999E-2"/>
    <n v="2.3016499999999999E-2"/>
    <n v="1.2275000000000001E-3"/>
    <n v="2.9154990000000002E-3"/>
    <n v="1.45772E-3"/>
    <n v="0.14124560699999997"/>
    <n v="0.11201399999999999"/>
    <n v="3.7153767840634712E-4"/>
    <n v="0.24352690862068962"/>
    <m/>
    <m/>
    <n v="0.57999999999999996"/>
    <s v="Acre-feet per Year"/>
    <s v="L_20"/>
    <n v="0"/>
    <n v="38.535299999999999"/>
    <n v="-123.14660000000001"/>
    <s v="Ward Creek"/>
  </r>
  <r>
    <s v="H501586"/>
    <n v="20180712"/>
    <n v="4"/>
    <s v="Y"/>
    <s v="N"/>
    <s v="Y"/>
    <s v="Y"/>
    <x v="0"/>
    <s v="West Fork and Below Lake"/>
    <s v="Mendocino (d/s of lake)"/>
    <x v="0"/>
    <n v="2018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35"/>
    <s v="Acre-feet per Year"/>
    <s v="U_4"/>
    <n v="0"/>
    <n v="39.213799999999999"/>
    <n v="-123.28919999999999"/>
    <s v="Unnamed Stream"/>
  </r>
  <r>
    <s v="H501640"/>
    <n v="20180626"/>
    <n v="23"/>
    <s v="N"/>
    <s v="N"/>
    <s v="N"/>
    <s v="N"/>
    <x v="1"/>
    <s v="Outside"/>
    <s v="Outside"/>
    <x v="0"/>
    <n v="2018"/>
    <x v="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.16"/>
    <s v="Acre-feet per Year"/>
    <s v="L_27"/>
    <n v="0"/>
    <n v="38.384799999999998"/>
    <n v="-122.6024"/>
    <s v="Unnamed Stream"/>
  </r>
  <r>
    <s v="H502560"/>
    <n v="20181002"/>
    <n v="6"/>
    <s v="Y"/>
    <s v="N"/>
    <s v="Y"/>
    <s v="Y"/>
    <x v="0"/>
    <s v="West Fork and Below Lake"/>
    <s v="Mendocino (d/s of lake)"/>
    <x v="0"/>
    <n v="2018"/>
    <x v="0"/>
    <x v="0"/>
    <s v="Y"/>
    <s v="N"/>
    <s v="N"/>
    <s v="Y"/>
    <s v="N"/>
    <x v="1"/>
    <s v="N"/>
    <x v="0"/>
    <s v="N"/>
    <n v="0.01"/>
    <n v="0.01"/>
    <n v="0"/>
    <n v="0"/>
    <n v="0"/>
    <n v="0"/>
    <n v="0"/>
    <n v="0"/>
    <n v="0"/>
    <n v="0"/>
    <n v="0.01"/>
    <n v="0.01"/>
    <n v="0.04"/>
    <n v="0"/>
    <n v="0"/>
    <n v="0.11612010810810811"/>
    <m/>
    <m/>
    <n v="0.37"/>
    <s v="Acre-feet per Year"/>
    <s v="U_6"/>
    <n v="0"/>
    <n v="38.987299999999998"/>
    <n v="-123.1915"/>
    <s v="Unnamed Spring"/>
  </r>
  <r>
    <s v="H503838"/>
    <n v="20181102"/>
    <n v="6"/>
    <s v="Y"/>
    <s v="N"/>
    <s v="Y"/>
    <s v="Y"/>
    <x v="0"/>
    <s v="West Fork and Below Lake"/>
    <s v="Mendocino (d/s of lake)"/>
    <x v="0"/>
    <n v="2018"/>
    <x v="0"/>
    <x v="0"/>
    <s v="Y"/>
    <s v="N"/>
    <s v="N"/>
    <s v="Y"/>
    <s v="N"/>
    <x v="1"/>
    <s v="N"/>
    <x v="1"/>
    <s v="N"/>
    <n v="0.02"/>
    <n v="0.02"/>
    <n v="0.02"/>
    <n v="0.02"/>
    <n v="0.02"/>
    <n v="0.02"/>
    <n v="0.03"/>
    <n v="0.03"/>
    <n v="0.03"/>
    <n v="0.02"/>
    <n v="0.01"/>
    <n v="8.9999999999999993E-3"/>
    <n v="0.24900000000000003"/>
    <n v="0.15200000000000002"/>
    <n v="5.0416668557291746E-4"/>
    <n v="0.93750000000000011"/>
    <m/>
    <m/>
    <n v="0.32"/>
    <s v="Acre-feet per Year"/>
    <s v="U_6"/>
    <n v="0"/>
    <n v="38.981000000000002"/>
    <n v="-122.9939"/>
    <s v="Unnamed Spring"/>
  </r>
  <r>
    <s v="L032966"/>
    <n v="20180911"/>
    <n v="23"/>
    <s v="N"/>
    <s v="N"/>
    <s v="N"/>
    <s v="N"/>
    <x v="1"/>
    <s v="Outside"/>
    <s v="Outside"/>
    <x v="0"/>
    <n v="2018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"/>
    <s v="Acre-feet per Year"/>
    <s v="L_27"/>
    <n v="0"/>
    <n v="38.375799999999998"/>
    <n v="-122.62197"/>
    <s v="Unnamed Stream"/>
  </r>
  <r>
    <s v="H500832"/>
    <n v="20180426"/>
    <n v="2"/>
    <s v="N"/>
    <s v="N"/>
    <s v="Y"/>
    <s v="N"/>
    <x v="0"/>
    <s v="Outside"/>
    <s v="Outside"/>
    <x v="0"/>
    <n v="2018"/>
    <x v="0"/>
    <x v="0"/>
    <s v="Y"/>
    <s v="N"/>
    <s v="N"/>
    <s v="Y"/>
    <s v="N"/>
    <x v="1"/>
    <s v="N"/>
    <x v="0"/>
    <s v="N"/>
    <n v="0.04"/>
    <n v="0.04"/>
    <n v="0.04"/>
    <n v="0"/>
    <n v="0"/>
    <n v="0"/>
    <n v="0"/>
    <n v="0"/>
    <n v="0"/>
    <n v="0"/>
    <n v="0"/>
    <n v="0"/>
    <n v="0.12"/>
    <n v="0"/>
    <n v="0"/>
    <n v="1"/>
    <m/>
    <m/>
    <n v="0.14000000000000001"/>
    <s v="Acre-feet per Year"/>
    <s v="U_2"/>
    <n v="0"/>
    <n v="39.317399999999999"/>
    <n v="-123.0275"/>
    <s v="Unnamed Spring"/>
  </r>
  <r>
    <s v="H501505"/>
    <n v="20180612"/>
    <n v="2"/>
    <s v="N"/>
    <s v="N"/>
    <s v="Y"/>
    <s v="N"/>
    <x v="0"/>
    <s v="Outside"/>
    <s v="Outside"/>
    <x v="0"/>
    <n v="2018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57999999999999996"/>
    <s v="Acre-feet per Year"/>
    <s v="U_2"/>
    <n v="0"/>
    <n v="39.29296909"/>
    <n v="-123.03758194"/>
    <s v="Unnamed Stream"/>
  </r>
  <r>
    <s v="A032889"/>
    <n v="20171204"/>
    <n v="12"/>
    <s v="N"/>
    <s v="Y"/>
    <s v="Y"/>
    <s v="Y"/>
    <x v="0"/>
    <s v="West Fork and Below Lake"/>
    <s v="Sonoma (d/s of Clov. Gage)"/>
    <x v="0"/>
    <n v="2017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"/>
    <s v="Acre-feet per Year"/>
    <s v="U_12"/>
    <n v="0"/>
    <n v="38.59877315"/>
    <n v="-122.7585277"/>
    <s v="Unnamed Stream"/>
  </r>
  <r>
    <s v="D032708"/>
    <n v="20170911"/>
    <n v="18"/>
    <s v="N"/>
    <s v="N"/>
    <s v="N"/>
    <s v="N"/>
    <x v="1"/>
    <s v="Outside"/>
    <s v="Outside"/>
    <x v="0"/>
    <n v="2017"/>
    <x v="0"/>
    <x v="1"/>
    <s v="N"/>
    <s v="N"/>
    <s v="N"/>
    <s v="Y"/>
    <s v="N"/>
    <x v="1"/>
    <s v="N"/>
    <x v="0"/>
    <s v="N"/>
    <n v="3.0690000000000001E-3"/>
    <n v="3.0690000000000001E-3"/>
    <n v="3.0690000000000001E-3"/>
    <n v="0"/>
    <n v="0"/>
    <n v="0"/>
    <n v="0"/>
    <n v="0"/>
    <n v="0"/>
    <n v="0"/>
    <n v="0"/>
    <n v="0"/>
    <n v="9.2069999999999999E-3"/>
    <n v="0"/>
    <n v="0"/>
    <n v="2.8771874999999999E-2"/>
    <m/>
    <m/>
    <n v="0.32"/>
    <s v="Acre-feet per Year"/>
    <s v="L_18"/>
    <n v="3.4039024194010059E-4"/>
    <n v="38.505133000000001"/>
    <n v="-122.91092"/>
    <s v="RUSSIAN RIVER"/>
  </r>
  <r>
    <s v="D032762"/>
    <n v="20170104"/>
    <n v="1"/>
    <s v="N"/>
    <s v="N"/>
    <s v="Y"/>
    <s v="Y"/>
    <x v="0"/>
    <s v="West Fork and Below Lake"/>
    <s v="Outside"/>
    <x v="0"/>
    <n v="2017"/>
    <x v="0"/>
    <x v="0"/>
    <s v="Y"/>
    <s v="N"/>
    <s v="N"/>
    <s v="Y"/>
    <s v="N"/>
    <x v="1"/>
    <s v="N"/>
    <x v="1"/>
    <s v="N"/>
    <n v="0"/>
    <n v="0"/>
    <n v="0"/>
    <n v="0"/>
    <n v="0"/>
    <n v="0.31"/>
    <n v="0.31"/>
    <n v="0.31"/>
    <n v="0.31"/>
    <n v="1"/>
    <n v="0"/>
    <n v="0"/>
    <n v="2.2400000000000002"/>
    <n v="1.25512"/>
    <n v="4.1630900683965796E-3"/>
    <n v="0.90204799999999996"/>
    <m/>
    <m/>
    <n v="2.5"/>
    <s v="Acre-feet per Year"/>
    <s v="U_1"/>
    <n v="3.4039024194010059E-4"/>
    <n v="39.340159999999997"/>
    <n v="-123.22928"/>
    <s v="Unnamed Stream"/>
  </r>
  <r>
    <s v="D032787"/>
    <n v="20170417"/>
    <n v="20"/>
    <s v="N"/>
    <s v="N"/>
    <s v="N"/>
    <s v="N"/>
    <x v="1"/>
    <s v="Outside"/>
    <s v="Outside"/>
    <x v="0"/>
    <n v="2017"/>
    <x v="0"/>
    <x v="0"/>
    <s v="N"/>
    <s v="N"/>
    <s v="N"/>
    <s v="Y"/>
    <s v="N"/>
    <x v="1"/>
    <s v="N"/>
    <x v="1"/>
    <s v="N"/>
    <n v="0"/>
    <n v="0"/>
    <n v="6.63435E-2"/>
    <n v="1.3098E-2"/>
    <n v="3.6114500000000001E-2"/>
    <n v="1.5737500000000001E-2"/>
    <n v="1.5737500000000001E-2"/>
    <n v="1.5737500000000001E-2"/>
    <n v="1.52E-2"/>
    <n v="1.48165E-2"/>
    <n v="9.9065000000000004E-3"/>
    <n v="8.2089999999999993E-3"/>
    <n v="0.21090050000000005"/>
    <n v="9.8527000000000003E-2"/>
    <n v="3.2680283572001864E-4"/>
    <n v="1.4060033333333336E-2"/>
    <m/>
    <m/>
    <n v="15"/>
    <s v="Acre-feet per Year"/>
    <s v="L_20"/>
    <n v="3.4039024194010059E-4"/>
    <n v="38.554631090000001"/>
    <n v="-123.10386582"/>
    <s v="Unnamed Stream"/>
  </r>
  <r>
    <s v="D032850"/>
    <n v="20170807"/>
    <n v="23"/>
    <s v="N"/>
    <s v="N"/>
    <s v="N"/>
    <s v="N"/>
    <x v="1"/>
    <s v="Outside"/>
    <s v="Outside"/>
    <x v="0"/>
    <n v="2017"/>
    <x v="0"/>
    <x v="0"/>
    <s v="N"/>
    <s v="N"/>
    <s v="N"/>
    <s v="Y"/>
    <s v="N"/>
    <x v="1"/>
    <s v="N"/>
    <x v="0"/>
    <s v="N"/>
    <n v="0.71333333300000001"/>
    <n v="8.3333332999999996E-2"/>
    <n v="0.21333333300000001"/>
    <n v="0"/>
    <n v="0"/>
    <n v="0"/>
    <n v="0"/>
    <n v="0"/>
    <n v="0"/>
    <n v="0"/>
    <n v="0.11"/>
    <n v="1.1033333329999999"/>
    <n v="2.2233333320000002"/>
    <n v="0"/>
    <n v="0"/>
    <n v="0.35860215032258064"/>
    <m/>
    <m/>
    <n v="6.2"/>
    <s v="Acre-feet per Year"/>
    <s v="L_23"/>
    <n v="0"/>
    <n v="38.565689999999996"/>
    <n v="-122.74813"/>
    <s v="Unnamed Stream"/>
  </r>
  <r>
    <s v="D032859"/>
    <n v="20170906"/>
    <n v="1"/>
    <s v="N"/>
    <s v="N"/>
    <s v="Y"/>
    <s v="Y"/>
    <x v="0"/>
    <s v="West Fork and Below Lake"/>
    <s v="Outside"/>
    <x v="0"/>
    <n v="2017"/>
    <x v="0"/>
    <x v="0"/>
    <s v="Y"/>
    <s v="N"/>
    <s v="N"/>
    <s v="Y"/>
    <s v="N"/>
    <x v="1"/>
    <s v="N"/>
    <x v="1"/>
    <s v="N"/>
    <n v="0.04"/>
    <n v="0.04"/>
    <n v="0.04"/>
    <n v="0.02"/>
    <n v="0.02"/>
    <n v="0.02"/>
    <n v="0"/>
    <n v="0"/>
    <n v="0"/>
    <n v="0"/>
    <n v="0.02"/>
    <n v="0.04"/>
    <n v="0.23999999999999996"/>
    <n v="5.5239999999999997E-2"/>
    <n v="1.8322478757268391E-4"/>
    <n v="0.97083870967741936"/>
    <m/>
    <m/>
    <n v="0.31"/>
    <s v="Acre-feet per Year"/>
    <s v="U_1"/>
    <n v="3.4039024194010059E-4"/>
    <n v="39.3446"/>
    <n v="-123.2283"/>
    <s v="RUSSIAN RIVER"/>
  </r>
  <r>
    <s v="D032725"/>
    <n v="20160919"/>
    <n v="16"/>
    <s v="N"/>
    <s v="N"/>
    <s v="N"/>
    <s v="N"/>
    <x v="1"/>
    <s v="Outside"/>
    <s v="Outside"/>
    <x v="0"/>
    <n v="2016"/>
    <x v="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46"/>
    <s v="Acre-feet per Year"/>
    <s v="L_16"/>
    <n v="3.4039024194010059E-4"/>
    <n v="38.587989999999998"/>
    <n v="-122.96169999999999"/>
    <s v="Unnamed Spring"/>
  </r>
  <r>
    <s v="L032735"/>
    <n v="20161018"/>
    <n v="16"/>
    <s v="N"/>
    <s v="N"/>
    <s v="N"/>
    <s v="N"/>
    <x v="1"/>
    <s v="Outside"/>
    <s v="Outside"/>
    <x v="0"/>
    <n v="2016"/>
    <x v="0"/>
    <x v="0"/>
    <s v="N"/>
    <s v="N"/>
    <s v="N"/>
    <s v="Y"/>
    <s v="N"/>
    <x v="1"/>
    <s v="N"/>
    <x v="0"/>
    <s v="N"/>
    <n v="7.8"/>
    <n v="0"/>
    <n v="0"/>
    <n v="0"/>
    <n v="0"/>
    <n v="0"/>
    <n v="0"/>
    <n v="0"/>
    <n v="0"/>
    <n v="0"/>
    <n v="0"/>
    <n v="0"/>
    <n v="7.8"/>
    <n v="0"/>
    <n v="0"/>
    <n v="1"/>
    <m/>
    <m/>
    <n v="7.8"/>
    <s v="Acre-feet per Year"/>
    <s v="L_16"/>
    <n v="0"/>
    <n v="38.640080019999999"/>
    <n v="-122.85963295000001"/>
    <s v="Unnamed Stream"/>
  </r>
  <r>
    <s v="D032187"/>
    <n v="20160308"/>
    <n v="5"/>
    <s v="Y"/>
    <s v="N"/>
    <s v="Y"/>
    <s v="Y"/>
    <x v="0"/>
    <s v="West Fork and Below Lake"/>
    <s v="Mendocino (d/s of lake)"/>
    <x v="0"/>
    <n v="2016"/>
    <x v="0"/>
    <x v="0"/>
    <s v="Y"/>
    <s v="N"/>
    <s v="N"/>
    <s v="Y"/>
    <s v="N"/>
    <x v="1"/>
    <s v="N"/>
    <x v="0"/>
    <s v="N"/>
    <n v="3.8"/>
    <n v="0.1"/>
    <n v="0"/>
    <n v="0"/>
    <n v="0"/>
    <n v="0"/>
    <n v="0"/>
    <n v="0"/>
    <n v="0"/>
    <n v="0"/>
    <n v="0.46"/>
    <n v="1.26"/>
    <n v="5.62"/>
    <n v="0"/>
    <n v="0"/>
    <n v="0.56333333339999991"/>
    <m/>
    <m/>
    <n v="10"/>
    <s v="Acre-feet per Year"/>
    <s v="U_5"/>
    <n v="0"/>
    <n v="39.077599999999997"/>
    <n v="-123.2334"/>
    <s v="Unnamed Stream"/>
  </r>
  <r>
    <s v="D032188"/>
    <n v="20160714"/>
    <n v="23"/>
    <s v="N"/>
    <s v="N"/>
    <s v="N"/>
    <s v="N"/>
    <x v="1"/>
    <s v="Outside"/>
    <s v="Outside"/>
    <x v="0"/>
    <n v="2016"/>
    <x v="0"/>
    <x v="0"/>
    <s v="N"/>
    <s v="N"/>
    <s v="N"/>
    <s v="Y"/>
    <s v="N"/>
    <x v="1"/>
    <s v="N"/>
    <x v="0"/>
    <s v="N"/>
    <n v="0.133333333"/>
    <n v="0"/>
    <n v="0"/>
    <n v="0"/>
    <n v="0"/>
    <n v="0"/>
    <n v="0"/>
    <n v="0"/>
    <n v="0"/>
    <n v="0"/>
    <n v="0.96666666700000003"/>
    <n v="0.46666666699999998"/>
    <n v="1.566666667"/>
    <n v="0"/>
    <n v="0"/>
    <n v="0.31333333340000002"/>
    <m/>
    <m/>
    <n v="5"/>
    <s v="Acre-feet per Year"/>
    <s v="L_24"/>
    <n v="0"/>
    <n v="38.519599999999997"/>
    <n v="-122.5838"/>
    <s v="Unnamed Spring"/>
  </r>
  <r>
    <s v="D032249"/>
    <n v="20160510"/>
    <n v="9"/>
    <s v="N"/>
    <s v="Y"/>
    <s v="Y"/>
    <s v="Y"/>
    <x v="0"/>
    <s v="West Fork and Below Lake"/>
    <s v="Sonoma (d/s of Clov. Gage)"/>
    <x v="0"/>
    <n v="2016"/>
    <x v="0"/>
    <x v="0"/>
    <s v="Y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0.66"/>
    <n v="1.5"/>
    <n v="2.16"/>
    <n v="0"/>
    <n v="0"/>
    <n v="0.21666666669999998"/>
    <m/>
    <m/>
    <n v="10"/>
    <s v="Acre-feet per Year"/>
    <s v="U_9"/>
    <n v="3.4039024194010059E-4"/>
    <n v="38.792099999999998"/>
    <n v="-123.0265"/>
    <s v="NORTH BRANCH PORTERFIELD CREEK"/>
  </r>
  <r>
    <s v="D032713"/>
    <n v="20160815"/>
    <n v="18"/>
    <s v="N"/>
    <s v="N"/>
    <s v="N"/>
    <s v="N"/>
    <x v="1"/>
    <s v="Outside"/>
    <s v="Outside"/>
    <x v="0"/>
    <n v="2016"/>
    <x v="0"/>
    <x v="0"/>
    <s v="N"/>
    <s v="N"/>
    <s v="N"/>
    <s v="Y"/>
    <s v="N"/>
    <x v="1"/>
    <s v="N"/>
    <x v="1"/>
    <s v="N"/>
    <n v="2.3016499999999999E-2"/>
    <n v="2.3016499999999999E-2"/>
    <n v="2.3016499999999999E-2"/>
    <n v="2.3016499999999999E-2"/>
    <n v="2.3016499999999999E-2"/>
    <n v="2.3016499999999999E-2"/>
    <n v="0"/>
    <n v="0"/>
    <n v="0"/>
    <n v="2.3016499999999999E-2"/>
    <n v="2.3016499999999999E-2"/>
    <n v="2.3016499999999999E-2"/>
    <n v="0.20714849999999999"/>
    <n v="4.6032999999999998E-2"/>
    <n v="1.5268621734854015E-4"/>
    <n v="0.34524749999999998"/>
    <m/>
    <m/>
    <n v="0.6"/>
    <s v="Acre-feet per Year"/>
    <s v="L_18"/>
    <n v="3.4039024194010059E-4"/>
    <n v="38.41667004"/>
    <n v="-122.91852823000001"/>
    <s v="Unnamed Stream"/>
  </r>
  <r>
    <s v="D032768"/>
    <n v="20160125"/>
    <n v="21"/>
    <s v="N"/>
    <s v="N"/>
    <s v="N"/>
    <s v="N"/>
    <x v="1"/>
    <s v="Outside"/>
    <s v="Outside"/>
    <x v="0"/>
    <n v="2016"/>
    <x v="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11"/>
    <s v="Acre-feet per Year"/>
    <s v="L_21"/>
    <n v="3.4039024194010059E-4"/>
    <n v="38.504199999999997"/>
    <n v="-123.1048"/>
    <s v="KIDD CREEK"/>
  </r>
  <r>
    <s v="D032534"/>
    <n v="20151102"/>
    <n v="16"/>
    <s v="N"/>
    <s v="N"/>
    <s v="N"/>
    <s v="N"/>
    <x v="1"/>
    <s v="Outside"/>
    <s v="Outside"/>
    <x v="0"/>
    <n v="2015"/>
    <x v="0"/>
    <x v="0"/>
    <s v="N"/>
    <s v="N"/>
    <s v="N"/>
    <s v="Y"/>
    <s v="N"/>
    <x v="1"/>
    <s v="N"/>
    <x v="1"/>
    <s v="N"/>
    <n v="1.427E-2"/>
    <n v="1.2880000000000001E-2"/>
    <n v="1.427E-2"/>
    <n v="1.3809999999999999E-2"/>
    <n v="4.2810000000000001E-2"/>
    <n v="4.1430000000000002E-2"/>
    <n v="4.2810000000000001E-2"/>
    <n v="4.2810000000000001E-2"/>
    <n v="4.1430000000000002E-2"/>
    <n v="1.427E-2"/>
    <n v="1.3809999999999999E-2"/>
    <n v="1.427E-2"/>
    <n v="0.30887000000000003"/>
    <n v="0.21129000000000001"/>
    <n v="7.0082486180724813E-4"/>
    <n v="0.68637777777777786"/>
    <m/>
    <m/>
    <n v="0.45"/>
    <s v="Acre-feet per Year"/>
    <s v="L_16"/>
    <n v="3.4039024194010059E-4"/>
    <n v="38.591756369999999"/>
    <n v="-122.92022815999999"/>
    <s v="MILL CREEK"/>
  </r>
  <r>
    <s v="D032141"/>
    <n v="20150923"/>
    <n v="6"/>
    <s v="Y"/>
    <s v="N"/>
    <s v="Y"/>
    <s v="Y"/>
    <x v="0"/>
    <s v="West Fork and Below Lake"/>
    <s v="Mendocino (d/s of lake)"/>
    <x v="0"/>
    <n v="2015"/>
    <x v="0"/>
    <x v="0"/>
    <s v="Y"/>
    <s v="N"/>
    <s v="N"/>
    <s v="Y"/>
    <s v="N"/>
    <x v="1"/>
    <s v="N"/>
    <x v="1"/>
    <s v="N"/>
    <n v="8.5929999999999999E-3"/>
    <n v="8.5929999999999999E-3"/>
    <n v="8.5929999999999999E-3"/>
    <n v="8.5929999999999999E-3"/>
    <n v="8.6029999999999995E-3"/>
    <n v="9.5069999999999998E-3"/>
    <n v="9.8720000000000006E-3"/>
    <n v="9.972E-3"/>
    <n v="9.2759999999999995E-3"/>
    <n v="8.5929999999999999E-3"/>
    <n v="8.5929999999999999E-3"/>
    <n v="8.5929999999999999E-3"/>
    <n v="0.10738100000000002"/>
    <n v="4.7230000000000001E-2"/>
    <n v="1.5665652999742691E-4"/>
    <n v="2.2464644351464436E-2"/>
    <m/>
    <m/>
    <n v="4.78"/>
    <s v="Acre-feet per Year"/>
    <s v="U_6"/>
    <n v="3.4039024194010059E-4"/>
    <n v="38.994500000000002"/>
    <n v="-123.2004"/>
    <m/>
  </r>
  <r>
    <s v="D032346"/>
    <n v="20150211"/>
    <n v="8"/>
    <s v="N"/>
    <s v="Y"/>
    <s v="Y"/>
    <s v="Y"/>
    <x v="0"/>
    <s v="West Fork and Below Lake"/>
    <s v="Sonoma (d/s of Clov. Gage)"/>
    <x v="0"/>
    <n v="2015"/>
    <x v="0"/>
    <x v="0"/>
    <s v="Y"/>
    <s v="N"/>
    <s v="N"/>
    <s v="Y"/>
    <s v="N"/>
    <x v="1"/>
    <s v="N"/>
    <x v="0"/>
    <s v="N"/>
    <n v="0.15"/>
    <n v="0"/>
    <n v="0"/>
    <n v="0.33"/>
    <n v="0"/>
    <n v="0"/>
    <n v="0"/>
    <n v="0"/>
    <n v="0"/>
    <n v="0"/>
    <n v="0.18"/>
    <n v="0.33"/>
    <n v="0.99"/>
    <n v="0"/>
    <n v="0"/>
    <n v="0.50166666650000002"/>
    <m/>
    <m/>
    <n v="2"/>
    <s v="Acre-feet per Year"/>
    <s v="U_8"/>
    <n v="0"/>
    <n v="38.773273979999999"/>
    <n v="-122.91656942"/>
    <s v="Unnamed Stream"/>
  </r>
  <r>
    <s v="D032464"/>
    <n v="20150625"/>
    <n v="18"/>
    <s v="N"/>
    <s v="N"/>
    <s v="N"/>
    <s v="N"/>
    <x v="1"/>
    <s v="Outside"/>
    <s v="Outside"/>
    <x v="0"/>
    <n v="2015"/>
    <x v="0"/>
    <x v="0"/>
    <s v="N"/>
    <s v="N"/>
    <s v="N"/>
    <s v="Y"/>
    <s v="N"/>
    <x v="1"/>
    <s v="N"/>
    <x v="1"/>
    <s v="N"/>
    <n v="0"/>
    <n v="0"/>
    <n v="1.4577E-2"/>
    <n v="0"/>
    <n v="1.15085E-2"/>
    <n v="0"/>
    <n v="0"/>
    <n v="0"/>
    <n v="0"/>
    <n v="0"/>
    <n v="1.0741499999999999E-2"/>
    <n v="9.2069999999999999E-3"/>
    <n v="4.6033999999999999E-2"/>
    <n v="1.15085E-2"/>
    <n v="3.8172383558657362E-5"/>
    <n v="4.6033999999999999E-2"/>
    <m/>
    <m/>
    <n v="1"/>
    <s v="Acre-feet per Year"/>
    <s v="L_18"/>
    <n v="3.4039024194010059E-4"/>
    <n v="38.415300000000002"/>
    <n v="-122.9181"/>
    <s v="PURRINGTON CREEK"/>
  </r>
  <r>
    <s v="H032331"/>
    <n v="20150128"/>
    <n v="1"/>
    <s v="N"/>
    <s v="N"/>
    <s v="Y"/>
    <s v="Y"/>
    <x v="0"/>
    <s v="West Fork and Below Lake"/>
    <s v="Outside"/>
    <x v="0"/>
    <n v="2015"/>
    <x v="0"/>
    <x v="0"/>
    <s v="Y"/>
    <s v="N"/>
    <s v="N"/>
    <s v="Y"/>
    <s v="N"/>
    <x v="1"/>
    <s v="N"/>
    <x v="0"/>
    <s v="N"/>
    <n v="3.31"/>
    <n v="3.68"/>
    <n v="2.85"/>
    <n v="2.2000000000000002"/>
    <n v="0"/>
    <n v="0"/>
    <n v="0"/>
    <n v="0"/>
    <n v="0"/>
    <n v="0"/>
    <n v="0"/>
    <n v="0"/>
    <n v="12.04"/>
    <n v="0"/>
    <n v="0"/>
    <n v="0.60266666665000002"/>
    <m/>
    <m/>
    <n v="20"/>
    <s v="Acre-feet per Year"/>
    <s v="U_1"/>
    <n v="0"/>
    <n v="39.250999999999998"/>
    <n v="-123.2033"/>
    <m/>
  </r>
  <r>
    <s v="H032335"/>
    <n v="20150130"/>
    <n v="22"/>
    <s v="N"/>
    <s v="N"/>
    <s v="N"/>
    <s v="N"/>
    <x v="1"/>
    <s v="Outside"/>
    <s v="Outside"/>
    <x v="0"/>
    <n v="2015"/>
    <x v="0"/>
    <x v="0"/>
    <s v="N"/>
    <s v="N"/>
    <s v="N"/>
    <s v="Y"/>
    <s v="N"/>
    <x v="1"/>
    <s v="N"/>
    <x v="0"/>
    <s v="N"/>
    <n v="10.93333333"/>
    <n v="0"/>
    <n v="0"/>
    <n v="0"/>
    <n v="0"/>
    <n v="0"/>
    <n v="0"/>
    <n v="0"/>
    <n v="0"/>
    <n v="0"/>
    <n v="0"/>
    <n v="0"/>
    <n v="10.93333333"/>
    <n v="0"/>
    <n v="0"/>
    <n v="0.66666666646341466"/>
    <m/>
    <m/>
    <n v="16.399999999999999"/>
    <s v="Acre-feet per Year"/>
    <s v="L_22"/>
    <n v="0"/>
    <n v="38.930900000000001"/>
    <n v="-123.21"/>
    <s v="UNNAMED"/>
  </r>
  <r>
    <s v="H032345"/>
    <n v="20150216"/>
    <n v="5"/>
    <s v="Y"/>
    <s v="N"/>
    <s v="Y"/>
    <s v="Y"/>
    <x v="0"/>
    <s v="West Fork and Below Lake"/>
    <s v="Mendocino (d/s of lake)"/>
    <x v="0"/>
    <n v="2015"/>
    <x v="0"/>
    <x v="0"/>
    <s v="Y"/>
    <s v="N"/>
    <s v="N"/>
    <s v="Y"/>
    <s v="N"/>
    <x v="1"/>
    <s v="N"/>
    <x v="0"/>
    <s v="N"/>
    <n v="1"/>
    <n v="0"/>
    <n v="0"/>
    <n v="0"/>
    <n v="0"/>
    <n v="0"/>
    <n v="0"/>
    <n v="0"/>
    <n v="0"/>
    <n v="0"/>
    <n v="0"/>
    <n v="0"/>
    <n v="1"/>
    <n v="0"/>
    <n v="0"/>
    <n v="0.2040816326530612"/>
    <m/>
    <m/>
    <n v="4.9000000000000004"/>
    <s v="Acre-feet per Year"/>
    <s v="U_5"/>
    <n v="0"/>
    <n v="39.11"/>
    <n v="-123.20440000000001"/>
    <s v="UNNAMED"/>
  </r>
  <r>
    <s v="L031415A"/>
    <n v="20150324"/>
    <n v="1"/>
    <s v="N"/>
    <s v="N"/>
    <s v="Y"/>
    <s v="Y"/>
    <x v="0"/>
    <s v="West Fork and Below Lake"/>
    <s v="Outside"/>
    <x v="0"/>
    <n v="2015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s v="Acre-feet per Year"/>
    <s v="U_1"/>
    <n v="0"/>
    <n v="39.307600000000001"/>
    <n v="-123.20650000000001"/>
    <s v="UNST"/>
  </r>
  <r>
    <s v="D032490"/>
    <n v="20150721"/>
    <n v="16"/>
    <s v="N"/>
    <s v="N"/>
    <s v="N"/>
    <s v="N"/>
    <x v="1"/>
    <s v="Outside"/>
    <s v="Outside"/>
    <x v="0"/>
    <n v="2015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2.53"/>
    <s v="Acre-feet per Year"/>
    <s v="L_16"/>
    <n v="3.4039024194010059E-4"/>
    <n v="38.623480000000001"/>
    <n v="-122.95836"/>
    <s v="WALLACE CREEK"/>
  </r>
  <r>
    <s v="A032265"/>
    <n v="20140520"/>
    <n v="12"/>
    <s v="N"/>
    <s v="Y"/>
    <s v="Y"/>
    <s v="Y"/>
    <x v="0"/>
    <s v="West Fork and Below Lake"/>
    <s v="Sonoma (d/s of Clov. Gage)"/>
    <x v="0"/>
    <n v="2014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8"/>
    <s v="Acre-feet per Year"/>
    <s v="U_12"/>
    <n v="0"/>
    <n v="38.626540409999997"/>
    <n v="-122.75054436000001"/>
    <s v="Unnamed Stream"/>
  </r>
  <r>
    <s v="D032229"/>
    <n v="20140106"/>
    <n v="21"/>
    <s v="N"/>
    <s v="N"/>
    <s v="N"/>
    <s v="N"/>
    <x v="1"/>
    <s v="Outside"/>
    <s v="Outside"/>
    <x v="0"/>
    <n v="2014"/>
    <x v="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"/>
    <s v="Acre-feet per Year"/>
    <s v="L_21"/>
    <n v="3.4039024194010059E-4"/>
    <n v="38.440800000000003"/>
    <n v="-122.96769999999999"/>
    <s v="Unnamed Stream"/>
  </r>
  <r>
    <s v="D032238"/>
    <n v="20140131"/>
    <n v="6"/>
    <s v="Y"/>
    <s v="N"/>
    <s v="Y"/>
    <s v="Y"/>
    <x v="0"/>
    <s v="West Fork and Below Lake"/>
    <s v="Mendocino (d/s of lake)"/>
    <x v="0"/>
    <n v="2014"/>
    <x v="0"/>
    <x v="0"/>
    <s v="Y"/>
    <s v="N"/>
    <s v="N"/>
    <s v="Y"/>
    <s v="N"/>
    <x v="1"/>
    <s v="N"/>
    <x v="0"/>
    <s v="N"/>
    <n v="0.25"/>
    <n v="0.25"/>
    <n v="0.25"/>
    <n v="0.25"/>
    <n v="0"/>
    <n v="0"/>
    <n v="0"/>
    <n v="0"/>
    <n v="0"/>
    <n v="0"/>
    <n v="0.25"/>
    <n v="0.25"/>
    <n v="1.5"/>
    <n v="0"/>
    <n v="0"/>
    <n v="0.19480519480519481"/>
    <m/>
    <m/>
    <n v="7.7"/>
    <s v="Acre-feet per Year"/>
    <s v="U_6"/>
    <n v="0"/>
    <n v="38.943398080000001"/>
    <n v="-123.12881151000001"/>
    <s v="Unnamed Stream"/>
  </r>
  <r>
    <s v="D032262"/>
    <n v="20140508"/>
    <n v="8"/>
    <s v="N"/>
    <s v="Y"/>
    <s v="Y"/>
    <s v="Y"/>
    <x v="0"/>
    <s v="West Fork and Below Lake"/>
    <s v="Sonoma (d/s of Clov. Gage)"/>
    <x v="0"/>
    <n v="2014"/>
    <x v="0"/>
    <x v="0"/>
    <s v="Y"/>
    <s v="N"/>
    <s v="N"/>
    <s v="Y"/>
    <s v="N"/>
    <x v="1"/>
    <s v="N"/>
    <x v="0"/>
    <s v="N"/>
    <n v="1.1200000000000001"/>
    <n v="0.5"/>
    <n v="0.4"/>
    <n v="0"/>
    <n v="0"/>
    <n v="0"/>
    <n v="0"/>
    <n v="0"/>
    <n v="0"/>
    <n v="0"/>
    <n v="0"/>
    <n v="0"/>
    <n v="2.02"/>
    <n v="0"/>
    <n v="0"/>
    <n v="0.67499999999999993"/>
    <m/>
    <m/>
    <n v="3"/>
    <s v="Acre-feet per Year"/>
    <s v="U_8"/>
    <n v="3.4039024194010059E-4"/>
    <n v="38.852272800000001"/>
    <n v="-122.95314035"/>
    <s v="Unnamed Spring"/>
  </r>
  <r>
    <s v="D032275"/>
    <n v="20140623"/>
    <n v="18"/>
    <s v="N"/>
    <s v="N"/>
    <s v="N"/>
    <s v="N"/>
    <x v="1"/>
    <s v="Outside"/>
    <s v="Outside"/>
    <x v="0"/>
    <n v="2014"/>
    <x v="0"/>
    <x v="0"/>
    <s v="N"/>
    <s v="N"/>
    <s v="N"/>
    <s v="Y"/>
    <s v="N"/>
    <x v="1"/>
    <s v="N"/>
    <x v="1"/>
    <s v="N"/>
    <n v="1.8333333329999999"/>
    <n v="1.7"/>
    <n v="1.9666666669999999"/>
    <n v="0.86666666699999995"/>
    <n v="0.2"/>
    <n v="0"/>
    <n v="0"/>
    <n v="0"/>
    <n v="0"/>
    <n v="0"/>
    <n v="0.53333333299999997"/>
    <n v="1.0333333330000001"/>
    <n v="8.1333333329999995"/>
    <n v="0.2"/>
    <n v="6.6337721785910179E-4"/>
    <n v="0.96825396821428567"/>
    <m/>
    <m/>
    <n v="8.4"/>
    <s v="Acre-feet per Year"/>
    <s v="L_18"/>
    <n v="3.4039024194010059E-4"/>
    <n v="38.546990000000001"/>
    <n v="-122.94079000000001"/>
    <s v="Unnamed Stream"/>
  </r>
  <r>
    <s v="D032313"/>
    <n v="20141031"/>
    <n v="6"/>
    <s v="Y"/>
    <s v="N"/>
    <s v="Y"/>
    <s v="Y"/>
    <x v="0"/>
    <s v="West Fork and Below Lake"/>
    <s v="Mendocino (d/s of lake)"/>
    <x v="0"/>
    <n v="2014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"/>
    <s v="Acre-feet per Year"/>
    <s v="U_6"/>
    <n v="0"/>
    <n v="39.016199999999998"/>
    <n v="-123.1194"/>
    <s v="Unnamed Stream"/>
  </r>
  <r>
    <s v="D032314"/>
    <n v="20141031"/>
    <n v="6"/>
    <s v="Y"/>
    <s v="N"/>
    <s v="Y"/>
    <s v="Y"/>
    <x v="0"/>
    <s v="West Fork and Below Lake"/>
    <s v="Mendocino (d/s of lake)"/>
    <x v="0"/>
    <n v="2014"/>
    <x v="0"/>
    <x v="1"/>
    <s v="Y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1"/>
    <n v="0"/>
    <n v="1"/>
    <n v="0"/>
    <n v="0"/>
    <n v="0.47846889952153115"/>
    <m/>
    <m/>
    <n v="2.09"/>
    <s v="Acre-feet per Year"/>
    <s v="U_6"/>
    <n v="0"/>
    <n v="39.023899999999998"/>
    <n v="-123.125"/>
    <s v="Unnamed Stream"/>
  </r>
  <r>
    <s v="D032320"/>
    <n v="20141223"/>
    <n v="20"/>
    <s v="N"/>
    <s v="N"/>
    <s v="N"/>
    <s v="N"/>
    <x v="1"/>
    <s v="Outside"/>
    <s v="Outside"/>
    <x v="0"/>
    <n v="2014"/>
    <x v="0"/>
    <x v="0"/>
    <s v="N"/>
    <s v="N"/>
    <s v="N"/>
    <s v="Y"/>
    <s v="N"/>
    <x v="1"/>
    <s v="N"/>
    <x v="1"/>
    <s v="N"/>
    <n v="7.4676669999999999E-3"/>
    <n v="7.4673329999999996E-3"/>
    <n v="1.1355000000000001E-2"/>
    <n v="1.0894333000000001E-2"/>
    <n v="1.4833333000000001E-2"/>
    <n v="1.5088667E-2"/>
    <n v="8.2039999999999995E-3"/>
    <n v="3.6316669999999999E-3"/>
    <n v="3.759667E-3"/>
    <n v="1.4142666999999999E-2"/>
    <n v="1.6878667E-2"/>
    <n v="9.2886670000000005E-3"/>
    <n v="0.123011668"/>
    <n v="4.5517334E-2"/>
    <n v="1.5097581196641752E-4"/>
    <n v="0.94624359999999996"/>
    <m/>
    <m/>
    <n v="0.13"/>
    <s v="Acre-feet per Year"/>
    <s v="L_20"/>
    <n v="3.4039024194010059E-4"/>
    <n v="38.527799999999999"/>
    <n v="-123.1379"/>
    <s v="POLE MOUNTAIN CREEK"/>
  </r>
  <r>
    <s v="L031422"/>
    <n v="20140306"/>
    <n v="4"/>
    <s v="Y"/>
    <s v="N"/>
    <s v="Y"/>
    <s v="Y"/>
    <x v="0"/>
    <s v="West Fork and Below Lake"/>
    <s v="Mendocino (d/s of lake)"/>
    <x v="0"/>
    <n v="2014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.1"/>
    <s v="Acre-feet per Year"/>
    <s v="U_4"/>
    <n v="0"/>
    <n v="39.198975910000001"/>
    <n v="-123.31837759"/>
    <s v="UNSP"/>
  </r>
  <r>
    <s v="L032279"/>
    <n v="20140710"/>
    <n v="1"/>
    <s v="N"/>
    <s v="N"/>
    <s v="Y"/>
    <s v="Y"/>
    <x v="0"/>
    <s v="West Fork and Below Lake"/>
    <s v="Outside"/>
    <x v="0"/>
    <n v="2014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56000000000000005"/>
    <s v="Acre-feet per Year"/>
    <s v="U_1"/>
    <n v="0"/>
    <n v="39.254258210000003"/>
    <n v="-123.2560898"/>
    <s v="Unnamed Stream"/>
  </r>
  <r>
    <s v="L032271"/>
    <n v="20140611"/>
    <n v="2"/>
    <s v="N"/>
    <s v="N"/>
    <s v="Y"/>
    <s v="N"/>
    <x v="0"/>
    <s v="Outside"/>
    <s v="Outside"/>
    <x v="0"/>
    <n v="2014"/>
    <x v="0"/>
    <x v="0"/>
    <s v="Y"/>
    <s v="N"/>
    <s v="N"/>
    <s v="Y"/>
    <s v="N"/>
    <x v="1"/>
    <s v="N"/>
    <x v="1"/>
    <s v="N"/>
    <n v="0"/>
    <n v="0"/>
    <n v="0"/>
    <n v="0"/>
    <n v="2.6499999999999999E-4"/>
    <n v="5.2299999999999997E-5"/>
    <n v="4.7833329999999999E-3"/>
    <n v="0.02"/>
    <n v="0.03"/>
    <n v="0.02"/>
    <n v="3.571E-3"/>
    <n v="0"/>
    <n v="7.8671633000000005E-2"/>
    <n v="6.1989633000000002E-2"/>
    <n v="2.0561255137823385E-4"/>
    <n v="0.14537772166666668"/>
    <m/>
    <m/>
    <n v="0.6"/>
    <s v="Acre-feet per Year"/>
    <s v="U_2"/>
    <n v="0"/>
    <n v="39.349281060000003"/>
    <n v="-123.12260845"/>
    <s v="POWERHOUSE CANAL"/>
  </r>
  <r>
    <s v="A032002"/>
    <n v="20130206"/>
    <n v="6"/>
    <s v="Y"/>
    <s v="N"/>
    <s v="Y"/>
    <s v="Y"/>
    <x v="0"/>
    <s v="West Fork and Below Lake"/>
    <s v="Mendocino (d/s of lake)"/>
    <x v="0"/>
    <n v="2013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9"/>
    <s v="Acre-feet per Year"/>
    <s v="U_6"/>
    <n v="0"/>
    <n v="39.0137"/>
    <n v="-123.1484"/>
    <s v="Unnamed Stream"/>
  </r>
  <r>
    <s v="A032115"/>
    <n v="20130521"/>
    <n v="10"/>
    <s v="N"/>
    <s v="Y"/>
    <s v="Y"/>
    <s v="Y"/>
    <x v="0"/>
    <s v="West Fork and Below Lake"/>
    <s v="Sonoma (d/s of Clov. Gage)"/>
    <x v="0"/>
    <n v="2013"/>
    <x v="0"/>
    <x v="0"/>
    <s v="Y"/>
    <s v="N"/>
    <s v="N"/>
    <s v="Y"/>
    <s v="N"/>
    <x v="1"/>
    <s v="N"/>
    <x v="1"/>
    <s v="N"/>
    <n v="0"/>
    <n v="0"/>
    <n v="0"/>
    <n v="0"/>
    <n v="0"/>
    <n v="0.44"/>
    <n v="0.86"/>
    <n v="0"/>
    <n v="0"/>
    <n v="0"/>
    <n v="0"/>
    <n v="0"/>
    <n v="1.3"/>
    <n v="1.3"/>
    <n v="4.3119519160841622E-3"/>
    <n v="1"/>
    <m/>
    <m/>
    <n v="1.3"/>
    <s v="Acre-feet per Year"/>
    <s v="U_10"/>
    <n v="0"/>
    <n v="38.725000000000001"/>
    <n v="-122.88339999999999"/>
    <m/>
  </r>
  <r>
    <s v="A032207"/>
    <n v="20131017"/>
    <n v="6"/>
    <s v="Y"/>
    <s v="N"/>
    <s v="Y"/>
    <s v="Y"/>
    <x v="0"/>
    <s v="West Fork and Below Lake"/>
    <s v="Mendocino (d/s of lake)"/>
    <x v="0"/>
    <n v="2013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9.5"/>
    <s v="Acre-feet per Year"/>
    <s v="U_6"/>
    <n v="0"/>
    <n v="38.871200000000002"/>
    <n v="-122.8914"/>
    <s v="TYLER CREEK"/>
  </r>
  <r>
    <s v="A032208"/>
    <n v="20131018"/>
    <n v="23"/>
    <s v="N"/>
    <s v="N"/>
    <s v="N"/>
    <s v="N"/>
    <x v="1"/>
    <s v="Outside"/>
    <s v="Outside"/>
    <x v="0"/>
    <n v="2013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5.66"/>
    <s v="Acre-feet per Year"/>
    <s v="L_27"/>
    <n v="0"/>
    <n v="38.397599999999997"/>
    <n v="-122.6409"/>
    <s v="Unnamed Stream"/>
  </r>
  <r>
    <s v="D032058"/>
    <n v="20130510"/>
    <n v="16"/>
    <s v="N"/>
    <s v="N"/>
    <s v="N"/>
    <s v="N"/>
    <x v="1"/>
    <s v="Outside"/>
    <s v="Outside"/>
    <x v="0"/>
    <n v="2013"/>
    <x v="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.1050000000000004"/>
    <s v="Acre-feet per Year"/>
    <s v="L_16"/>
    <n v="3.4039024194010059E-4"/>
    <n v="38.592599999999997"/>
    <n v="-122.90649999999999"/>
    <s v="MILL CREEK"/>
  </r>
  <r>
    <s v="D032013"/>
    <n v="20130314"/>
    <n v="12"/>
    <s v="N"/>
    <s v="Y"/>
    <s v="Y"/>
    <s v="Y"/>
    <x v="0"/>
    <s v="West Fork and Below Lake"/>
    <s v="Sonoma (d/s of Clov. Gage)"/>
    <x v="0"/>
    <n v="2013"/>
    <x v="0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"/>
    <s v="Acre-feet per Year"/>
    <s v="U_12"/>
    <n v="0"/>
    <n v="38.606699999999996"/>
    <n v="-122.7826"/>
    <s v="Unnamed Stream"/>
  </r>
  <r>
    <s v="D032022"/>
    <n v="20130416"/>
    <n v="1"/>
    <s v="N"/>
    <s v="N"/>
    <s v="Y"/>
    <s v="Y"/>
    <x v="0"/>
    <s v="West Fork and Below Lake"/>
    <s v="Outside"/>
    <x v="0"/>
    <n v="2013"/>
    <x v="0"/>
    <x v="0"/>
    <s v="Y"/>
    <s v="N"/>
    <s v="N"/>
    <s v="Y"/>
    <s v="N"/>
    <x v="1"/>
    <s v="N"/>
    <x v="1"/>
    <s v="N"/>
    <n v="0.4"/>
    <n v="0.4"/>
    <n v="0.4"/>
    <n v="0.4"/>
    <n v="0.4"/>
    <n v="0.4"/>
    <n v="0"/>
    <n v="0"/>
    <n v="0"/>
    <n v="0"/>
    <n v="0.4"/>
    <n v="0.4"/>
    <n v="3.1999999999999997"/>
    <n v="0.8"/>
    <n v="2.6535088714364071E-3"/>
    <n v="0.99999999999999989"/>
    <m/>
    <m/>
    <n v="3.2"/>
    <s v="Acre-feet per Year"/>
    <s v="U_1"/>
    <n v="3.4039024194010059E-4"/>
    <n v="39.276800000000001"/>
    <n v="-123.1795"/>
    <s v="Unnamed Stream"/>
  </r>
  <r>
    <s v="D032041"/>
    <n v="20131112"/>
    <n v="5"/>
    <s v="Y"/>
    <s v="N"/>
    <s v="Y"/>
    <s v="Y"/>
    <x v="0"/>
    <s v="West Fork and Below Lake"/>
    <s v="Mendocino (d/s of lake)"/>
    <x v="0"/>
    <n v="2013"/>
    <x v="0"/>
    <x v="0"/>
    <s v="Y"/>
    <s v="N"/>
    <s v="N"/>
    <s v="Y"/>
    <s v="N"/>
    <x v="1"/>
    <s v="N"/>
    <x v="0"/>
    <s v="N"/>
    <n v="0.33"/>
    <n v="0"/>
    <n v="0"/>
    <n v="0"/>
    <n v="0"/>
    <n v="0"/>
    <n v="0"/>
    <n v="0"/>
    <n v="0"/>
    <n v="0"/>
    <n v="0.5"/>
    <n v="1.1599999999999999"/>
    <n v="1.99"/>
    <n v="0"/>
    <n v="0"/>
    <n v="1"/>
    <m/>
    <m/>
    <n v="2"/>
    <s v="Acre-feet per Year"/>
    <s v="U_5"/>
    <n v="0"/>
    <n v="39.080800000000004"/>
    <n v="-123.2129"/>
    <s v="UNNAMED STREAM "/>
  </r>
  <r>
    <s v="D032057"/>
    <n v="20130509"/>
    <n v="6"/>
    <s v="Y"/>
    <s v="N"/>
    <s v="Y"/>
    <s v="Y"/>
    <x v="0"/>
    <s v="West Fork and Below Lake"/>
    <s v="Mendocino (d/s of lake)"/>
    <x v="0"/>
    <n v="2013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"/>
    <s v="Acre-feet per Year"/>
    <s v="U_6"/>
    <n v="0"/>
    <n v="38.947099999999999"/>
    <n v="-123.1605"/>
    <m/>
  </r>
  <r>
    <s v="D032062"/>
    <n v="20130514"/>
    <n v="23"/>
    <s v="N"/>
    <s v="N"/>
    <s v="N"/>
    <s v="N"/>
    <x v="1"/>
    <s v="Outside"/>
    <s v="Outside"/>
    <x v="0"/>
    <n v="2013"/>
    <x v="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"/>
    <s v="Acre-feet per Year"/>
    <s v="L_24"/>
    <n v="0"/>
    <n v="38.479999999999997"/>
    <n v="-122.8603"/>
    <s v="Unnamed Stream"/>
  </r>
  <r>
    <s v="D032081"/>
    <n v="20130521"/>
    <n v="12"/>
    <s v="N"/>
    <s v="Y"/>
    <s v="Y"/>
    <s v="Y"/>
    <x v="0"/>
    <s v="West Fork and Below Lake"/>
    <s v="Sonoma (d/s of Clov. Gage)"/>
    <x v="0"/>
    <n v="2013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"/>
    <s v="Acre-feet per Year"/>
    <s v="U_12"/>
    <n v="0"/>
    <n v="38.573"/>
    <n v="-122.6493"/>
    <s v="Unnamed Stream"/>
  </r>
  <r>
    <s v="D032138"/>
    <n v="20130624"/>
    <n v="23"/>
    <s v="N"/>
    <s v="N"/>
    <s v="N"/>
    <s v="N"/>
    <x v="1"/>
    <s v="Outside"/>
    <s v="Outside"/>
    <x v="0"/>
    <n v="2013"/>
    <x v="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.5"/>
    <s v="Acre-feet per Year"/>
    <s v="L_23"/>
    <n v="0"/>
    <n v="38.579700000000003"/>
    <n v="-122.8077"/>
    <s v="Unnamed Stream"/>
  </r>
  <r>
    <s v="D032140"/>
    <n v="20130626"/>
    <n v="6"/>
    <s v="Y"/>
    <s v="N"/>
    <s v="Y"/>
    <s v="Y"/>
    <x v="0"/>
    <s v="West Fork and Below Lake"/>
    <s v="Mendocino (d/s of lake)"/>
    <x v="0"/>
    <n v="2013"/>
    <x v="0"/>
    <x v="0"/>
    <s v="Y"/>
    <s v="N"/>
    <s v="N"/>
    <s v="Y"/>
    <s v="N"/>
    <x v="1"/>
    <s v="N"/>
    <x v="1"/>
    <s v="N"/>
    <n v="0.04"/>
    <n v="3.29"/>
    <n v="3.29"/>
    <n v="0.04"/>
    <n v="0.04"/>
    <n v="0.04"/>
    <n v="0.04"/>
    <n v="0.04"/>
    <n v="0.04"/>
    <n v="0.04"/>
    <n v="0.04"/>
    <n v="0.04"/>
    <n v="6.98"/>
    <n v="0.22999999999999998"/>
    <n v="7.6288380053796698E-4"/>
    <n v="0.90642673521850925"/>
    <m/>
    <m/>
    <n v="7.78"/>
    <s v="Acre-feet per Year"/>
    <s v="U_6"/>
    <n v="3.4039024194010059E-4"/>
    <n v="38.895200000000003"/>
    <n v="-122.9855"/>
    <s v="Unnamed Spring"/>
  </r>
  <r>
    <s v="D032143"/>
    <n v="20130703"/>
    <n v="4"/>
    <s v="Y"/>
    <s v="N"/>
    <s v="Y"/>
    <s v="Y"/>
    <x v="0"/>
    <s v="West Fork and Below Lake"/>
    <s v="Mendocino (d/s of lake)"/>
    <x v="0"/>
    <n v="2013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"/>
    <s v="Acre-feet per Year"/>
    <s v="U_4"/>
    <n v="0"/>
    <n v="39.189500000000002"/>
    <n v="-123.1549"/>
    <s v="HOWARD CREEK"/>
  </r>
  <r>
    <s v="D032149"/>
    <n v="20130705"/>
    <n v="23"/>
    <s v="N"/>
    <s v="N"/>
    <s v="N"/>
    <s v="N"/>
    <x v="1"/>
    <s v="Outside"/>
    <s v="Outside"/>
    <x v="0"/>
    <n v="2013"/>
    <x v="0"/>
    <x v="0"/>
    <s v="N"/>
    <s v="N"/>
    <s v="N"/>
    <s v="Y"/>
    <s v="N"/>
    <x v="1"/>
    <s v="N"/>
    <x v="0"/>
    <s v="N"/>
    <n v="1.67"/>
    <n v="1.67"/>
    <n v="1.67"/>
    <n v="1.67"/>
    <n v="0"/>
    <n v="0"/>
    <n v="0"/>
    <n v="0"/>
    <n v="0"/>
    <n v="0"/>
    <n v="1.67"/>
    <n v="1.67"/>
    <n v="10.02"/>
    <n v="0"/>
    <n v="0"/>
    <n v="1.002"/>
    <m/>
    <m/>
    <n v="10"/>
    <s v="Acre-feet per Year"/>
    <s v="L_24"/>
    <n v="0"/>
    <n v="38.558900000000001"/>
    <n v="-122.6964"/>
    <s v="UNNAMED"/>
  </r>
  <r>
    <s v="D032166"/>
    <n v="20130724"/>
    <n v="23"/>
    <s v="N"/>
    <s v="N"/>
    <s v="N"/>
    <s v="N"/>
    <x v="1"/>
    <s v="Outside"/>
    <s v="Outside"/>
    <x v="0"/>
    <n v="2013"/>
    <x v="0"/>
    <x v="0"/>
    <s v="N"/>
    <s v="N"/>
    <s v="N"/>
    <s v="Y"/>
    <s v="N"/>
    <x v="1"/>
    <s v="N"/>
    <x v="0"/>
    <s v="N"/>
    <n v="6.6666666999999999E-2"/>
    <n v="0"/>
    <n v="0"/>
    <n v="0"/>
    <n v="0"/>
    <n v="0"/>
    <n v="0"/>
    <n v="0"/>
    <n v="0"/>
    <n v="0"/>
    <n v="0.1"/>
    <n v="0.2"/>
    <n v="0.366666667"/>
    <n v="0"/>
    <n v="0"/>
    <n v="0.91666666749999992"/>
    <m/>
    <m/>
    <n v="0.4"/>
    <s v="Acre-feet per Year"/>
    <s v="L_24"/>
    <n v="3.4039024194010059E-4"/>
    <n v="38.5242"/>
    <n v="-122.55329999999999"/>
    <s v="Unnamed Stream"/>
  </r>
  <r>
    <s v="D032206"/>
    <n v="20131011"/>
    <n v="12"/>
    <s v="N"/>
    <s v="Y"/>
    <s v="Y"/>
    <s v="Y"/>
    <x v="0"/>
    <s v="West Fork and Below Lake"/>
    <s v="Sonoma (d/s of Clov. Gage)"/>
    <x v="0"/>
    <n v="2013"/>
    <x v="0"/>
    <x v="1"/>
    <s v="Y"/>
    <s v="N"/>
    <s v="N"/>
    <s v="Y"/>
    <s v="N"/>
    <x v="1"/>
    <s v="N"/>
    <x v="0"/>
    <s v="N"/>
    <n v="1"/>
    <n v="1"/>
    <n v="1"/>
    <n v="0.5"/>
    <n v="0"/>
    <n v="0"/>
    <n v="0"/>
    <n v="0"/>
    <n v="0"/>
    <n v="0"/>
    <n v="0.5"/>
    <n v="0.5"/>
    <n v="4.5"/>
    <n v="0"/>
    <n v="0"/>
    <n v="0.78947368421052633"/>
    <m/>
    <m/>
    <n v="5.7"/>
    <s v="Acre-feet per Year"/>
    <s v="U_12"/>
    <n v="0"/>
    <n v="38.649799999999999"/>
    <n v="-122.8194"/>
    <s v="Unnamed Stream"/>
  </r>
  <r>
    <s v="H032009"/>
    <n v="20130222"/>
    <n v="1"/>
    <s v="N"/>
    <s v="N"/>
    <s v="Y"/>
    <s v="Y"/>
    <x v="0"/>
    <s v="West Fork and Below Lake"/>
    <s v="Outside"/>
    <x v="0"/>
    <n v="2013"/>
    <x v="0"/>
    <x v="0"/>
    <s v="Y"/>
    <s v="N"/>
    <s v="N"/>
    <s v="Y"/>
    <s v="N"/>
    <x v="1"/>
    <s v="N"/>
    <x v="0"/>
    <s v="N"/>
    <n v="2"/>
    <n v="1.33"/>
    <n v="0"/>
    <n v="3.2"/>
    <n v="0"/>
    <n v="0"/>
    <n v="0"/>
    <n v="0"/>
    <n v="0"/>
    <n v="0"/>
    <n v="0"/>
    <n v="0"/>
    <n v="6.53"/>
    <n v="0"/>
    <n v="0"/>
    <n v="0.32678304999999996"/>
    <m/>
    <m/>
    <n v="20"/>
    <s v="Acre-feet per Year"/>
    <s v="U_1"/>
    <n v="0"/>
    <n v="39.208100000000002"/>
    <n v="-123.2003"/>
    <s v="WEST FORK RUSSIAN RIVER"/>
  </r>
  <r>
    <s v="L032006"/>
    <n v="20130211"/>
    <n v="6"/>
    <s v="Y"/>
    <s v="N"/>
    <s v="Y"/>
    <s v="Y"/>
    <x v="0"/>
    <s v="West Fork and Below Lake"/>
    <s v="Mendocino (d/s of lake)"/>
    <x v="0"/>
    <n v="2013"/>
    <x v="0"/>
    <x v="0"/>
    <s v="Y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0.93"/>
    <n v="0.33"/>
    <n v="1.26"/>
    <n v="0"/>
    <n v="0"/>
    <n v="0.97435897384615378"/>
    <m/>
    <m/>
    <n v="1.3"/>
    <s v="Acre-feet per Year"/>
    <s v="U_6"/>
    <n v="0"/>
    <n v="38.909100000000002"/>
    <n v="-123.0744"/>
    <m/>
  </r>
  <r>
    <s v="L032027"/>
    <n v="20130422"/>
    <n v="6"/>
    <s v="Y"/>
    <s v="N"/>
    <s v="Y"/>
    <s v="Y"/>
    <x v="0"/>
    <s v="West Fork and Below Lake"/>
    <s v="Mendocino (d/s of lake)"/>
    <x v="0"/>
    <n v="2013"/>
    <x v="0"/>
    <x v="0"/>
    <s v="Y"/>
    <s v="N"/>
    <s v="N"/>
    <s v="Y"/>
    <s v="N"/>
    <x v="1"/>
    <s v="N"/>
    <x v="1"/>
    <s v="N"/>
    <n v="0.2"/>
    <n v="0.3"/>
    <n v="0.3"/>
    <n v="0.2"/>
    <n v="0.1"/>
    <n v="0"/>
    <n v="0"/>
    <n v="0"/>
    <n v="0"/>
    <n v="0"/>
    <n v="0"/>
    <n v="0.1"/>
    <n v="1.2000000000000002"/>
    <n v="0.1"/>
    <n v="3.3168860892955089E-4"/>
    <n v="0.92307692307692313"/>
    <m/>
    <m/>
    <n v="1.3"/>
    <s v="Acre-feet per Year"/>
    <s v="U_6"/>
    <n v="0"/>
    <n v="38.9315"/>
    <n v="-123.0307"/>
    <s v="UNNAMED STREAM "/>
  </r>
  <r>
    <s v="L032032"/>
    <n v="20130424"/>
    <n v="12"/>
    <s v="N"/>
    <s v="Y"/>
    <s v="Y"/>
    <s v="Y"/>
    <x v="0"/>
    <s v="West Fork and Below Lake"/>
    <s v="Sonoma (d/s of Clov. Gage)"/>
    <x v="0"/>
    <n v="2013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.5"/>
    <s v="Acre-feet per Year"/>
    <s v="U_12"/>
    <n v="0"/>
    <n v="38.622999999999998"/>
    <n v="-122.70489999999999"/>
    <s v="Unnamed Stream"/>
  </r>
  <r>
    <s v="L032128"/>
    <n v="20130617"/>
    <n v="6"/>
    <s v="Y"/>
    <s v="N"/>
    <s v="Y"/>
    <s v="Y"/>
    <x v="0"/>
    <s v="West Fork and Below Lake"/>
    <s v="Mendocino (d/s of lake)"/>
    <x v="0"/>
    <n v="2013"/>
    <x v="0"/>
    <x v="0"/>
    <s v="Y"/>
    <s v="N"/>
    <s v="N"/>
    <s v="Y"/>
    <s v="N"/>
    <x v="1"/>
    <s v="N"/>
    <x v="1"/>
    <s v="N"/>
    <n v="0.5"/>
    <n v="0.4"/>
    <n v="0.4"/>
    <n v="0.3"/>
    <n v="0.2"/>
    <n v="0.1"/>
    <n v="0"/>
    <n v="0"/>
    <n v="0"/>
    <n v="0"/>
    <n v="0"/>
    <n v="0.2"/>
    <n v="2.1"/>
    <n v="0.30000000000000004"/>
    <n v="9.95065826788653E-4"/>
    <n v="0.94594594594594594"/>
    <m/>
    <m/>
    <n v="2.2200000000000002"/>
    <s v="Acre-feet per Year"/>
    <s v="U_6"/>
    <n v="0"/>
    <n v="38.935099999999998"/>
    <n v="-123.04040000000001"/>
    <s v="Unnamed Stream"/>
  </r>
  <r>
    <s v="L032146"/>
    <n v="20130705"/>
    <n v="10"/>
    <s v="N"/>
    <s v="Y"/>
    <s v="Y"/>
    <s v="Y"/>
    <x v="0"/>
    <s v="West Fork and Below Lake"/>
    <s v="Sonoma (d/s of Clov. Gage)"/>
    <x v="0"/>
    <n v="2013"/>
    <x v="0"/>
    <x v="0"/>
    <s v="Y"/>
    <s v="N"/>
    <s v="N"/>
    <s v="Y"/>
    <s v="N"/>
    <x v="1"/>
    <s v="N"/>
    <x v="0"/>
    <s v="N"/>
    <n v="0.33"/>
    <n v="0"/>
    <n v="0"/>
    <n v="0"/>
    <n v="0"/>
    <n v="0"/>
    <n v="0"/>
    <n v="0"/>
    <n v="0"/>
    <n v="0"/>
    <n v="0"/>
    <n v="0"/>
    <n v="0.33"/>
    <n v="0"/>
    <n v="0"/>
    <n v="0.66666666600000002"/>
    <m/>
    <m/>
    <n v="0.5"/>
    <s v="Acre-feet per Year"/>
    <s v="U_10"/>
    <n v="0"/>
    <n v="38.729700000000001"/>
    <n v="-122.8468"/>
    <s v="Unnamed Stream"/>
  </r>
  <r>
    <s v="L032147"/>
    <n v="20130705"/>
    <n v="8"/>
    <s v="N"/>
    <s v="Y"/>
    <s v="Y"/>
    <s v="Y"/>
    <x v="0"/>
    <s v="West Fork and Below Lake"/>
    <s v="Sonoma (d/s of Clov. Gage)"/>
    <x v="0"/>
    <n v="2013"/>
    <x v="0"/>
    <x v="0"/>
    <s v="Y"/>
    <s v="N"/>
    <s v="N"/>
    <s v="Y"/>
    <s v="N"/>
    <x v="1"/>
    <s v="N"/>
    <x v="0"/>
    <s v="N"/>
    <n v="1"/>
    <n v="0"/>
    <n v="0"/>
    <n v="0"/>
    <n v="0"/>
    <n v="0"/>
    <n v="0"/>
    <n v="0"/>
    <n v="0"/>
    <n v="0"/>
    <n v="0"/>
    <n v="0"/>
    <n v="1"/>
    <n v="0"/>
    <n v="0"/>
    <n v="0.66666666666666663"/>
    <m/>
    <m/>
    <n v="1.5"/>
    <s v="Acre-feet per Year"/>
    <s v="U_8"/>
    <n v="0"/>
    <n v="38.737000000000002"/>
    <n v="-122.8372"/>
    <s v="Unnamed Stream"/>
  </r>
  <r>
    <s v="L032148"/>
    <n v="20130705"/>
    <n v="10"/>
    <s v="N"/>
    <s v="Y"/>
    <s v="Y"/>
    <s v="Y"/>
    <x v="0"/>
    <s v="West Fork and Below Lake"/>
    <s v="Sonoma (d/s of Clov. Gage)"/>
    <x v="0"/>
    <n v="2013"/>
    <x v="0"/>
    <x v="0"/>
    <s v="Y"/>
    <s v="N"/>
    <s v="N"/>
    <s v="Y"/>
    <s v="N"/>
    <x v="1"/>
    <s v="N"/>
    <x v="0"/>
    <s v="N"/>
    <n v="0.33"/>
    <n v="0"/>
    <n v="0"/>
    <n v="0"/>
    <n v="0"/>
    <n v="0"/>
    <n v="0"/>
    <n v="0"/>
    <n v="0"/>
    <n v="0"/>
    <n v="0"/>
    <n v="0"/>
    <n v="0.33"/>
    <n v="0"/>
    <n v="0"/>
    <n v="0.66666666600000002"/>
    <m/>
    <m/>
    <n v="0.5"/>
    <s v="Acre-feet per Year"/>
    <s v="U_10"/>
    <n v="0"/>
    <n v="38.737000000000002"/>
    <n v="-122.84310000000001"/>
    <s v="Unnamed Stream"/>
  </r>
  <r>
    <s v="A032220"/>
    <n v="20131210"/>
    <n v="2"/>
    <s v="N"/>
    <s v="N"/>
    <s v="Y"/>
    <s v="N"/>
    <x v="0"/>
    <s v="Outside"/>
    <s v="Outside"/>
    <x v="0"/>
    <n v="2013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9.7"/>
    <s v="Acre-feet per Year"/>
    <s v="U_2"/>
    <n v="0"/>
    <n v="39.301178890000003"/>
    <n v="-123.11365529"/>
    <s v="Unnamed Stream"/>
  </r>
  <r>
    <s v="A031920"/>
    <n v="20120130"/>
    <n v="9"/>
    <s v="N"/>
    <s v="Y"/>
    <s v="Y"/>
    <s v="Y"/>
    <x v="0"/>
    <s v="West Fork and Below Lake"/>
    <s v="Sonoma (d/s of Clov. Gage)"/>
    <x v="0"/>
    <n v="2012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9.170000000000002"/>
    <s v="Acre-feet per Year"/>
    <s v="U_9"/>
    <n v="3.4039024194010059E-4"/>
    <n v="38.849857819999997"/>
    <n v="-122.98722773999999"/>
    <s v="Unnamed Stream"/>
  </r>
  <r>
    <s v="A031923"/>
    <n v="20120201"/>
    <n v="6"/>
    <s v="Y"/>
    <s v="N"/>
    <s v="Y"/>
    <s v="Y"/>
    <x v="0"/>
    <s v="West Fork and Below Lake"/>
    <s v="Mendocino (d/s of lake)"/>
    <x v="0"/>
    <n v="2012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8.2"/>
    <s v="Acre-feet per Year"/>
    <s v="U_6"/>
    <n v="0"/>
    <n v="38.986600000000003"/>
    <n v="-123.1585"/>
    <s v="Unnamed Stream"/>
  </r>
  <r>
    <s v="A031924"/>
    <n v="20120202"/>
    <n v="6"/>
    <s v="Y"/>
    <s v="N"/>
    <s v="Y"/>
    <s v="Y"/>
    <x v="0"/>
    <s v="West Fork and Below Lake"/>
    <s v="Mendocino (d/s of lake)"/>
    <x v="0"/>
    <n v="2012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3.9"/>
    <s v="Acre-feet per Year"/>
    <s v="U_6"/>
    <n v="0"/>
    <n v="38.993899999999996"/>
    <n v="-123.1537"/>
    <s v="Unnamed Stream"/>
  </r>
  <r>
    <s v="A031955"/>
    <n v="20120817"/>
    <n v="18"/>
    <s v="N"/>
    <s v="N"/>
    <s v="N"/>
    <s v="N"/>
    <x v="1"/>
    <s v="Outside"/>
    <s v="Outside"/>
    <x v="0"/>
    <n v="2012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1"/>
    <s v="Acre-feet per Year"/>
    <s v="L_18"/>
    <n v="0"/>
    <n v="38.447000000000003"/>
    <n v="-122.8843"/>
    <s v="ATASCADERO CREEK"/>
  </r>
  <r>
    <s v="A031956"/>
    <n v="20120817"/>
    <n v="21"/>
    <s v="N"/>
    <s v="N"/>
    <s v="N"/>
    <s v="N"/>
    <x v="1"/>
    <s v="Outside"/>
    <s v="Outside"/>
    <x v="0"/>
    <n v="2012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5"/>
    <s v="Acre-feet per Year"/>
    <s v="L_21"/>
    <n v="0"/>
    <n v="38.512156019999999"/>
    <n v="-123.00905077"/>
    <s v="Unnamed Stream"/>
  </r>
  <r>
    <s v="A031988"/>
    <n v="20121119"/>
    <n v="6"/>
    <s v="Y"/>
    <s v="N"/>
    <s v="Y"/>
    <s v="Y"/>
    <x v="0"/>
    <s v="West Fork and Below Lake"/>
    <s v="Mendocino (d/s of lake)"/>
    <x v="0"/>
    <n v="2012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2.2"/>
    <s v="Acre-feet per Year"/>
    <s v="U_6"/>
    <n v="0"/>
    <n v="38.983899999999998"/>
    <n v="-123.1234"/>
    <s v="Unnamed Stream"/>
  </r>
  <r>
    <s v="D031947"/>
    <n v="20120716"/>
    <n v="6"/>
    <s v="Y"/>
    <s v="N"/>
    <s v="Y"/>
    <s v="Y"/>
    <x v="0"/>
    <s v="West Fork and Below Lake"/>
    <s v="Mendocino (d/s of lake)"/>
    <x v="0"/>
    <n v="2012"/>
    <x v="0"/>
    <x v="0"/>
    <s v="Y"/>
    <s v="N"/>
    <s v="N"/>
    <s v="Y"/>
    <s v="N"/>
    <x v="1"/>
    <s v="N"/>
    <x v="0"/>
    <s v="N"/>
    <n v="2"/>
    <n v="2"/>
    <n v="1"/>
    <n v="0"/>
    <n v="0"/>
    <n v="0"/>
    <n v="0"/>
    <n v="0"/>
    <n v="0"/>
    <n v="0"/>
    <n v="0"/>
    <n v="0"/>
    <n v="5"/>
    <n v="0"/>
    <n v="0"/>
    <n v="0.92081031307550654"/>
    <m/>
    <m/>
    <n v="5.43"/>
    <s v="Acre-feet per Year"/>
    <s v="U_6"/>
    <n v="3.4039024194010059E-4"/>
    <n v="38.99060532"/>
    <n v="-123.17564277"/>
    <s v="Unnamed Stream"/>
  </r>
  <r>
    <s v="A031870"/>
    <n v="20110117"/>
    <n v="6"/>
    <s v="Y"/>
    <s v="N"/>
    <s v="Y"/>
    <s v="Y"/>
    <x v="0"/>
    <s v="West Fork and Below Lake"/>
    <s v="Mendocino (d/s of lake)"/>
    <x v="0"/>
    <n v="2011"/>
    <x v="0"/>
    <x v="1"/>
    <s v="Y"/>
    <s v="N"/>
    <s v="N"/>
    <s v="Y"/>
    <s v="N"/>
    <x v="1"/>
    <s v="N"/>
    <x v="0"/>
    <s v="N"/>
    <n v="44.53"/>
    <n v="0.19"/>
    <n v="0.13"/>
    <n v="0.04"/>
    <n v="0"/>
    <n v="0"/>
    <n v="0"/>
    <n v="0"/>
    <n v="0"/>
    <n v="0"/>
    <n v="0"/>
    <n v="0"/>
    <n v="44.89"/>
    <n v="0"/>
    <n v="0"/>
    <n v="0.1638564476885645"/>
    <m/>
    <m/>
    <n v="274"/>
    <s v="Acre-feet per Year"/>
    <s v="U_6"/>
    <n v="0"/>
    <n v="38.986499999999999"/>
    <n v="-123.10850000000001"/>
    <s v="RUSSIAN RIVER"/>
  </r>
  <r>
    <s v="A031877"/>
    <n v="20110222"/>
    <n v="6"/>
    <s v="Y"/>
    <s v="N"/>
    <s v="Y"/>
    <s v="Y"/>
    <x v="0"/>
    <s v="West Fork and Below Lake"/>
    <s v="Mendocino (d/s of lake)"/>
    <x v="0"/>
    <n v="2011"/>
    <x v="0"/>
    <x v="1"/>
    <s v="Y"/>
    <s v="N"/>
    <s v="N"/>
    <s v="Y"/>
    <s v="N"/>
    <x v="1"/>
    <s v="N"/>
    <x v="0"/>
    <s v="N"/>
    <n v="4.2"/>
    <n v="10.86"/>
    <n v="0.7"/>
    <n v="0"/>
    <n v="0"/>
    <n v="0"/>
    <n v="0"/>
    <n v="0"/>
    <n v="0"/>
    <n v="0"/>
    <n v="0"/>
    <n v="3.66"/>
    <n v="19.419999999999998"/>
    <n v="0"/>
    <n v="0"/>
    <n v="0.28620520373097741"/>
    <m/>
    <m/>
    <n v="67.900000000000006"/>
    <s v="Acre-feet per Year"/>
    <s v="U_6"/>
    <n v="0"/>
    <n v="38.979500000000002"/>
    <n v="-123.1049"/>
    <s v="RUSSIAN RIVER"/>
  </r>
  <r>
    <s v="A031888"/>
    <n v="20110504"/>
    <n v="6"/>
    <s v="Y"/>
    <s v="N"/>
    <s v="Y"/>
    <s v="Y"/>
    <x v="0"/>
    <s v="West Fork and Below Lake"/>
    <s v="Mendocino (d/s of lake)"/>
    <x v="0"/>
    <n v="2011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4.8"/>
    <s v="Acre-feet per Year"/>
    <s v="U_6"/>
    <n v="0"/>
    <n v="38.9726"/>
    <n v="-123.0851"/>
    <s v="DOOLEY CREEK"/>
  </r>
  <r>
    <s v="A031889"/>
    <n v="20110504"/>
    <n v="23"/>
    <s v="N"/>
    <s v="N"/>
    <s v="N"/>
    <s v="N"/>
    <x v="1"/>
    <s v="Outside"/>
    <s v="Outside"/>
    <x v="0"/>
    <n v="2011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9"/>
    <s v="Acre-feet per Year"/>
    <s v="L_24"/>
    <n v="0"/>
    <n v="38.558900000000001"/>
    <n v="-122.6964"/>
    <s v="Unnamed Stream"/>
  </r>
  <r>
    <s v="L031885"/>
    <n v="20110426"/>
    <n v="6"/>
    <s v="Y"/>
    <s v="N"/>
    <s v="Y"/>
    <s v="Y"/>
    <x v="0"/>
    <s v="West Fork and Below Lake"/>
    <s v="Mendocino (d/s of lake)"/>
    <x v="0"/>
    <n v="2011"/>
    <x v="0"/>
    <x v="0"/>
    <s v="Y"/>
    <s v="N"/>
    <s v="N"/>
    <s v="Y"/>
    <s v="N"/>
    <x v="1"/>
    <s v="N"/>
    <x v="1"/>
    <s v="N"/>
    <n v="0"/>
    <n v="0"/>
    <n v="0"/>
    <n v="0"/>
    <n v="0"/>
    <n v="0"/>
    <n v="6.6666670000000003E-3"/>
    <n v="0.01"/>
    <n v="6.6666670000000003E-3"/>
    <n v="6.6666670000000003E-3"/>
    <n v="5.0000000000000001E-3"/>
    <n v="8.4480000000000006E-3"/>
    <n v="4.3448001E-2"/>
    <n v="2.3333334000000001E-2"/>
    <n v="7.7394010961485935E-5"/>
    <n v="5.4310001249999997E-2"/>
    <m/>
    <m/>
    <n v="0.8"/>
    <s v="Acre-feet per Year"/>
    <s v="U_6"/>
    <n v="0"/>
    <n v="39.042900000000003"/>
    <n v="-123.26349999999999"/>
    <s v="Unnamed Stream"/>
  </r>
  <r>
    <s v="L031908"/>
    <n v="20111024"/>
    <n v="4"/>
    <s v="Y"/>
    <s v="N"/>
    <s v="Y"/>
    <s v="Y"/>
    <x v="0"/>
    <s v="West Fork and Below Lake"/>
    <s v="Mendocino (d/s of lake)"/>
    <x v="0"/>
    <n v="2011"/>
    <x v="0"/>
    <x v="0"/>
    <s v="Y"/>
    <s v="N"/>
    <s v="N"/>
    <s v="Y"/>
    <s v="N"/>
    <x v="1"/>
    <s v="N"/>
    <x v="1"/>
    <s v="N"/>
    <n v="0.5"/>
    <n v="0.34"/>
    <n v="0.26"/>
    <n v="0.23"/>
    <n v="0.06"/>
    <n v="0"/>
    <n v="0"/>
    <n v="0"/>
    <n v="0"/>
    <n v="0"/>
    <n v="0.3"/>
    <n v="0.21"/>
    <n v="1.9000000000000001"/>
    <n v="6.6666666999999999E-2"/>
    <n v="2.2112574039199597E-4"/>
    <n v="0.31584699459016397"/>
    <m/>
    <m/>
    <n v="6.1"/>
    <s v="Acre-feet per Year"/>
    <s v="U_4"/>
    <n v="0"/>
    <n v="39.183999999999997"/>
    <n v="-123.23650000000001"/>
    <s v="Unnamed Stream"/>
  </r>
  <r>
    <s v="A031836"/>
    <n v="20100629"/>
    <n v="10"/>
    <s v="N"/>
    <s v="Y"/>
    <s v="Y"/>
    <s v="Y"/>
    <x v="0"/>
    <s v="West Fork and Below Lake"/>
    <s v="Sonoma (d/s of Clov. Gage)"/>
    <x v="0"/>
    <n v="2010"/>
    <x v="0"/>
    <x v="0"/>
    <s v="Y"/>
    <s v="N"/>
    <s v="N"/>
    <s v="Y"/>
    <s v="N"/>
    <x v="1"/>
    <s v="N"/>
    <x v="1"/>
    <s v="N"/>
    <n v="0"/>
    <n v="0"/>
    <n v="0"/>
    <n v="0"/>
    <n v="0"/>
    <n v="0"/>
    <n v="0.22"/>
    <n v="1.8"/>
    <n v="0.94"/>
    <n v="0"/>
    <n v="0"/>
    <n v="0"/>
    <n v="2.96"/>
    <n v="2.96"/>
    <n v="9.8179828243147079E-3"/>
    <n v="0.34418604651162793"/>
    <m/>
    <m/>
    <n v="8.6"/>
    <s v="Acre-feet per Year"/>
    <s v="U_10"/>
    <n v="0"/>
    <n v="38.725000000000001"/>
    <n v="-122.88339999999999"/>
    <s v="Unnamed Stream"/>
  </r>
  <r>
    <s v="A031843"/>
    <n v="20100727"/>
    <n v="1"/>
    <s v="N"/>
    <s v="N"/>
    <s v="Y"/>
    <s v="Y"/>
    <x v="0"/>
    <s v="West Fork and Below Lake"/>
    <s v="Outside"/>
    <x v="0"/>
    <n v="2010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4.7"/>
    <s v="Acre-feet per Year"/>
    <s v="U_1"/>
    <n v="0"/>
    <n v="39.253999999999998"/>
    <n v="-123.1893"/>
    <s v="UNN STR"/>
  </r>
  <r>
    <s v="A031743"/>
    <n v="20090123"/>
    <n v="18"/>
    <s v="N"/>
    <s v="N"/>
    <s v="N"/>
    <s v="N"/>
    <x v="1"/>
    <s v="Outside"/>
    <s v="Outside"/>
    <x v="0"/>
    <n v="2009"/>
    <x v="0"/>
    <x v="1"/>
    <s v="N"/>
    <s v="N"/>
    <s v="N"/>
    <s v="Y"/>
    <s v="N"/>
    <x v="1"/>
    <s v="N"/>
    <x v="0"/>
    <s v="N"/>
    <n v="6.733333333"/>
    <n v="0"/>
    <n v="11.133333329999999"/>
    <n v="0"/>
    <n v="0"/>
    <n v="0"/>
    <n v="0"/>
    <n v="0"/>
    <n v="0"/>
    <n v="20.333333329999999"/>
    <n v="13.133333329999999"/>
    <n v="19.866666670000001"/>
    <n v="71.199999993000006"/>
    <n v="0"/>
    <n v="0"/>
    <n v="0.28142292487351783"/>
    <m/>
    <m/>
    <n v="253"/>
    <s v="Acre-feet per Year"/>
    <s v="L_18"/>
    <n v="0"/>
    <n v="38.517800000000001"/>
    <n v="-122.8815"/>
    <s v="RUSSIAN RIVER"/>
  </r>
  <r>
    <s v="A031745"/>
    <n v="20090128"/>
    <n v="23"/>
    <s v="N"/>
    <s v="N"/>
    <s v="N"/>
    <s v="N"/>
    <x v="1"/>
    <s v="Outside"/>
    <s v="Outside"/>
    <x v="0"/>
    <n v="2009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93"/>
    <s v="Acre-feet per Year"/>
    <s v="L_23"/>
    <n v="0"/>
    <n v="38.579610780000003"/>
    <n v="-122.80777175999999"/>
    <s v="Unnamed Stream"/>
  </r>
  <r>
    <s v="A031746"/>
    <n v="20090128"/>
    <n v="17"/>
    <s v="N"/>
    <s v="N"/>
    <s v="N"/>
    <s v="N"/>
    <x v="1"/>
    <s v="Outside"/>
    <s v="Outside"/>
    <x v="0"/>
    <n v="2009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"/>
    <s v="Acre-feet per Year"/>
    <s v="L_17"/>
    <n v="0"/>
    <n v="38.59032637"/>
    <n v="-122.81316579"/>
    <s v="Unnamed Stream"/>
  </r>
  <r>
    <s v="A031811"/>
    <n v="20091209"/>
    <n v="23"/>
    <s v="N"/>
    <s v="N"/>
    <s v="N"/>
    <s v="N"/>
    <x v="1"/>
    <s v="Outside"/>
    <s v="Outside"/>
    <x v="0"/>
    <n v="2009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6"/>
    <s v="Acre-feet per Year"/>
    <s v="L_24"/>
    <n v="0"/>
    <n v="38.519199999999998"/>
    <n v="-122.6713"/>
    <s v="Unnamed Stream"/>
  </r>
  <r>
    <s v="D031803"/>
    <n v="20091006"/>
    <n v="15"/>
    <s v="N"/>
    <s v="N"/>
    <s v="N"/>
    <s v="N"/>
    <x v="1"/>
    <s v="Outside"/>
    <s v="Outside"/>
    <x v="0"/>
    <n v="2009"/>
    <x v="0"/>
    <x v="0"/>
    <s v="N"/>
    <s v="N"/>
    <s v="N"/>
    <s v="Y"/>
    <s v="N"/>
    <x v="1"/>
    <s v="N"/>
    <x v="0"/>
    <s v="N"/>
    <n v="0.63333333300000005"/>
    <n v="0"/>
    <n v="0"/>
    <n v="0"/>
    <n v="0"/>
    <n v="0"/>
    <n v="0"/>
    <n v="0"/>
    <n v="0"/>
    <n v="0"/>
    <n v="0.8"/>
    <n v="0.8"/>
    <n v="2.233333333"/>
    <n v="0"/>
    <n v="0"/>
    <n v="0.22333333329999999"/>
    <m/>
    <m/>
    <n v="10"/>
    <s v="Acre-feet per Year"/>
    <s v="L_15"/>
    <n v="3.4039024194010059E-4"/>
    <n v="38.665900000000001"/>
    <n v="-122.9472"/>
    <s v="Unnamed Stream"/>
  </r>
  <r>
    <s v="D031801"/>
    <n v="20091006"/>
    <n v="12"/>
    <s v="N"/>
    <s v="Y"/>
    <s v="Y"/>
    <s v="Y"/>
    <x v="0"/>
    <s v="West Fork and Below Lake"/>
    <s v="Sonoma (d/s of Clov. Gage)"/>
    <x v="0"/>
    <n v="2009"/>
    <x v="0"/>
    <x v="1"/>
    <s v="Y"/>
    <s v="N"/>
    <s v="N"/>
    <s v="Y"/>
    <s v="N"/>
    <x v="1"/>
    <s v="N"/>
    <x v="1"/>
    <s v="N"/>
    <n v="1.33"/>
    <n v="1.33"/>
    <n v="0.53"/>
    <n v="0.06"/>
    <n v="0.03"/>
    <n v="0"/>
    <n v="0"/>
    <n v="0"/>
    <n v="0"/>
    <n v="0"/>
    <n v="0.36"/>
    <n v="0.56000000000000005"/>
    <n v="4.2"/>
    <n v="3.3333333333333298E-2"/>
    <n v="1.1056286964318352E-4"/>
    <n v="0.42333333333333273"/>
    <m/>
    <m/>
    <n v="10"/>
    <s v="Acre-feet per Year"/>
    <s v="U_12"/>
    <n v="3.4039024194010059E-4"/>
    <n v="38.660400000000003"/>
    <n v="-122.8216"/>
    <s v="Unnamed Stream"/>
  </r>
  <r>
    <s v="L031764"/>
    <n v="20090428"/>
    <n v="6"/>
    <s v="Y"/>
    <s v="N"/>
    <s v="Y"/>
    <s v="Y"/>
    <x v="0"/>
    <s v="West Fork and Below Lake"/>
    <s v="Mendocino (d/s of lake)"/>
    <x v="0"/>
    <n v="2009"/>
    <x v="0"/>
    <x v="0"/>
    <s v="Y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1.5"/>
    <n v="0"/>
    <n v="1.5"/>
    <n v="0"/>
    <n v="0"/>
    <n v="0.75"/>
    <m/>
    <m/>
    <n v="2"/>
    <s v="Acre-feet per Year"/>
    <s v="U_6"/>
    <n v="0"/>
    <n v="38.956000000000003"/>
    <n v="-123.07259999999999"/>
    <s v="Unnamed Stream"/>
  </r>
  <r>
    <s v="L031802"/>
    <n v="20091006"/>
    <n v="14"/>
    <s v="N"/>
    <s v="N"/>
    <s v="N"/>
    <s v="N"/>
    <x v="1"/>
    <s v="Outside"/>
    <s v="Outside"/>
    <x v="0"/>
    <n v="2009"/>
    <x v="0"/>
    <x v="0"/>
    <s v="N"/>
    <s v="N"/>
    <s v="N"/>
    <s v="Y"/>
    <s v="N"/>
    <x v="1"/>
    <s v="N"/>
    <x v="0"/>
    <s v="N"/>
    <n v="0.43333333299999999"/>
    <n v="0"/>
    <n v="0"/>
    <n v="0"/>
    <n v="0"/>
    <n v="0"/>
    <n v="0"/>
    <n v="0"/>
    <n v="0"/>
    <n v="0"/>
    <n v="0.43333333299999999"/>
    <n v="0.6"/>
    <n v="1.4666666660000001"/>
    <n v="0"/>
    <n v="0"/>
    <n v="0.1466666666"/>
    <m/>
    <m/>
    <n v="10"/>
    <s v="Acre-feet per Year"/>
    <s v="L_14"/>
    <n v="0"/>
    <n v="38.665199999999999"/>
    <n v="-123.01439999999999"/>
    <s v="Unnamed Stream"/>
  </r>
  <r>
    <s v="A031719"/>
    <n v="20080728"/>
    <n v="23"/>
    <s v="N"/>
    <s v="N"/>
    <s v="N"/>
    <s v="N"/>
    <x v="1"/>
    <s v="Outside"/>
    <s v="Outside"/>
    <x v="0"/>
    <n v="2008"/>
    <x v="0"/>
    <x v="0"/>
    <s v="N"/>
    <s v="N"/>
    <s v="N"/>
    <s v="Y"/>
    <s v="N"/>
    <x v="1"/>
    <s v="N"/>
    <x v="0"/>
    <s v="N"/>
    <n v="2"/>
    <n v="2.3333333330000001"/>
    <n v="5.6666666670000003"/>
    <n v="0"/>
    <n v="0"/>
    <n v="0"/>
    <n v="0"/>
    <n v="0"/>
    <n v="0"/>
    <n v="1.2"/>
    <n v="4.1333333330000004"/>
    <n v="8.3000000000000007"/>
    <n v="23.633333332999999"/>
    <n v="0"/>
    <n v="0"/>
    <n v="0.56404136832935559"/>
    <m/>
    <m/>
    <n v="41.9"/>
    <s v="Acre-feet per Year"/>
    <s v="L_24"/>
    <n v="3.4039024194010059E-4"/>
    <n v="38.495800000000003"/>
    <n v="-122.82299999999999"/>
    <s v="UNST"/>
  </r>
  <r>
    <s v="A031737"/>
    <n v="20081218"/>
    <n v="23"/>
    <s v="N"/>
    <s v="N"/>
    <s v="N"/>
    <s v="N"/>
    <x v="1"/>
    <s v="Outside"/>
    <s v="Outside"/>
    <x v="0"/>
    <n v="2008"/>
    <x v="0"/>
    <x v="0"/>
    <s v="N"/>
    <s v="N"/>
    <s v="N"/>
    <s v="Y"/>
    <s v="N"/>
    <x v="1"/>
    <s v="N"/>
    <x v="0"/>
    <s v="N"/>
    <n v="12.15"/>
    <n v="0.75"/>
    <n v="4.9000000000000004"/>
    <n v="0"/>
    <n v="0"/>
    <n v="0"/>
    <n v="0"/>
    <n v="0"/>
    <n v="0"/>
    <n v="0"/>
    <n v="0.1"/>
    <n v="4.3499999999999996"/>
    <n v="22.25"/>
    <n v="0"/>
    <n v="0"/>
    <n v="0.66220238095238093"/>
    <m/>
    <m/>
    <n v="33.6"/>
    <s v="Acre-feet per Year"/>
    <s v="L_27"/>
    <n v="0"/>
    <n v="38.392259750000001"/>
    <n v="-122.60693162"/>
    <s v="Unnamed Stream"/>
  </r>
  <r>
    <s v="A031738"/>
    <n v="20081219"/>
    <n v="22"/>
    <s v="N"/>
    <s v="N"/>
    <s v="N"/>
    <s v="N"/>
    <x v="1"/>
    <s v="Outside"/>
    <s v="Outside"/>
    <x v="0"/>
    <n v="2008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5"/>
    <s v="Acre-feet per Year"/>
    <s v="L_22"/>
    <n v="0"/>
    <n v="38.808700000000002"/>
    <n v="-123.2025"/>
    <s v="BUCKEYE CREEK"/>
  </r>
  <r>
    <s v="A031739"/>
    <n v="20081219"/>
    <n v="22"/>
    <s v="N"/>
    <s v="N"/>
    <s v="N"/>
    <s v="N"/>
    <x v="1"/>
    <s v="Outside"/>
    <s v="Outside"/>
    <x v="0"/>
    <n v="2008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5"/>
    <s v="Acre-feet per Year"/>
    <s v="L_22"/>
    <n v="0"/>
    <n v="38.824065769999997"/>
    <n v="-123.13824184000001"/>
    <s v="MCCHRISTIAN CREEK"/>
  </r>
  <r>
    <s v="A031740"/>
    <n v="20081222"/>
    <n v="23"/>
    <s v="N"/>
    <s v="N"/>
    <s v="N"/>
    <s v="N"/>
    <x v="1"/>
    <s v="Outside"/>
    <s v="Outside"/>
    <x v="0"/>
    <n v="2008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0"/>
    <s v="Acre-feet per Year"/>
    <s v="L_23"/>
    <n v="0"/>
    <n v="38.529191760000003"/>
    <n v="-122.83707630000001"/>
    <s v="Unnamed Stream"/>
  </r>
  <r>
    <s v="D031731"/>
    <n v="20081112"/>
    <n v="12"/>
    <s v="N"/>
    <s v="Y"/>
    <s v="Y"/>
    <s v="Y"/>
    <x v="0"/>
    <s v="West Fork and Below Lake"/>
    <s v="Sonoma (d/s of Clov. Gage)"/>
    <x v="0"/>
    <n v="2008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8"/>
    <s v="Acre-feet per Year"/>
    <s v="U_12"/>
    <n v="3.4039024194010059E-4"/>
    <n v="38.563600000000001"/>
    <n v="-122.6341"/>
    <s v="Unnamed Stream"/>
  </r>
  <r>
    <s v="A031735"/>
    <n v="20081201"/>
    <n v="15"/>
    <s v="N"/>
    <s v="N"/>
    <s v="N"/>
    <s v="N"/>
    <x v="1"/>
    <s v="Outside"/>
    <s v="Outside"/>
    <x v="0"/>
    <n v="2008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7.3"/>
    <s v="Acre-feet per Year"/>
    <s v="L_15"/>
    <n v="0"/>
    <n v="38.659399999999998"/>
    <n v="-122.95099999999999"/>
    <s v="Unnamed Stream"/>
  </r>
  <r>
    <s v="D031681"/>
    <n v="20071029"/>
    <n v="15"/>
    <s v="N"/>
    <s v="N"/>
    <s v="N"/>
    <s v="N"/>
    <x v="1"/>
    <s v="Outside"/>
    <s v="Outside"/>
    <x v="0"/>
    <n v="2007"/>
    <x v="0"/>
    <x v="0"/>
    <s v="N"/>
    <s v="N"/>
    <s v="N"/>
    <s v="Y"/>
    <s v="N"/>
    <x v="1"/>
    <s v="N"/>
    <x v="0"/>
    <s v="N"/>
    <n v="1.3333333329999999"/>
    <n v="2"/>
    <n v="0.33333333300000001"/>
    <n v="0"/>
    <n v="0"/>
    <n v="0"/>
    <n v="0"/>
    <n v="0"/>
    <n v="0"/>
    <n v="0"/>
    <n v="0"/>
    <n v="0.33333333300000001"/>
    <n v="3.9999999989999999"/>
    <n v="0"/>
    <n v="0"/>
    <n v="0.42105263147368421"/>
    <m/>
    <m/>
    <n v="9.5"/>
    <s v="Acre-feet per Year"/>
    <s v="L_15"/>
    <n v="3.4039024194010059E-4"/>
    <n v="38.715060020000003"/>
    <n v="-122.94107424000001"/>
    <s v="Unnamed Stream"/>
  </r>
  <r>
    <s v="D031651"/>
    <n v="20070208"/>
    <n v="18"/>
    <s v="N"/>
    <s v="N"/>
    <s v="N"/>
    <s v="N"/>
    <x v="1"/>
    <s v="Outside"/>
    <s v="Outside"/>
    <x v="0"/>
    <n v="2007"/>
    <x v="0"/>
    <x v="0"/>
    <s v="N"/>
    <s v="N"/>
    <s v="N"/>
    <s v="Y"/>
    <s v="N"/>
    <x v="1"/>
    <s v="N"/>
    <x v="0"/>
    <s v="N"/>
    <n v="0.21"/>
    <n v="0.21"/>
    <n v="0.21"/>
    <n v="0.21"/>
    <n v="0"/>
    <n v="0"/>
    <n v="0"/>
    <n v="0"/>
    <n v="0"/>
    <n v="0"/>
    <n v="0.21"/>
    <n v="0.21"/>
    <n v="1.26"/>
    <n v="0"/>
    <n v="0"/>
    <n v="0.96923076923076923"/>
    <m/>
    <m/>
    <n v="1.3"/>
    <s v="Acre-feet per Year"/>
    <s v="L_18"/>
    <n v="3.4039024194010059E-4"/>
    <n v="38.452260379999998"/>
    <n v="-122.87080459000001"/>
    <s v="UNST"/>
  </r>
  <r>
    <s v="D031660"/>
    <n v="20070427"/>
    <n v="9"/>
    <s v="N"/>
    <s v="Y"/>
    <s v="Y"/>
    <s v="Y"/>
    <x v="0"/>
    <s v="West Fork and Below Lake"/>
    <s v="Sonoma (d/s of Clov. Gage)"/>
    <x v="0"/>
    <n v="2007"/>
    <x v="0"/>
    <x v="0"/>
    <s v="Y"/>
    <s v="N"/>
    <s v="N"/>
    <s v="Y"/>
    <s v="N"/>
    <x v="1"/>
    <s v="N"/>
    <x v="0"/>
    <s v="N"/>
    <n v="1.83"/>
    <n v="0.5"/>
    <n v="0"/>
    <n v="0"/>
    <n v="0"/>
    <n v="0"/>
    <n v="0"/>
    <n v="0"/>
    <n v="0"/>
    <n v="0"/>
    <n v="0.16"/>
    <n v="2"/>
    <n v="4.49"/>
    <n v="0"/>
    <n v="0"/>
    <n v="0.52941176470588236"/>
    <m/>
    <m/>
    <n v="8.5"/>
    <s v="Acre-feet per Year"/>
    <s v="U_9"/>
    <n v="3.4039024194010059E-4"/>
    <n v="38.778695239999998"/>
    <n v="-122.96857350000001"/>
    <s v="UNST"/>
  </r>
  <r>
    <s v="D031668"/>
    <n v="20070817"/>
    <n v="13"/>
    <s v="N"/>
    <s v="Y"/>
    <s v="Y"/>
    <s v="Y"/>
    <x v="0"/>
    <s v="West Fork and Below Lake"/>
    <s v="Sonoma (d/s of Clov. Gage)"/>
    <x v="0"/>
    <n v="2007"/>
    <x v="0"/>
    <x v="1"/>
    <s v="Y"/>
    <s v="N"/>
    <s v="N"/>
    <s v="Y"/>
    <s v="N"/>
    <x v="1"/>
    <s v="N"/>
    <x v="1"/>
    <s v="N"/>
    <n v="0.02"/>
    <n v="0.02"/>
    <n v="0.02"/>
    <n v="0.3"/>
    <n v="0.3"/>
    <n v="0.3"/>
    <n v="0.3"/>
    <n v="0.3"/>
    <n v="0.3"/>
    <n v="0.3"/>
    <n v="0.02"/>
    <n v="0.02"/>
    <n v="2.2000000000000002"/>
    <n v="1.5345"/>
    <n v="5.0897617040239589E-3"/>
    <n v="0.53169767441860472"/>
    <m/>
    <m/>
    <n v="4.3"/>
    <s v="Acre-feet per Year"/>
    <s v="U_13"/>
    <n v="3.4039024194010059E-4"/>
    <n v="38.615542240000003"/>
    <n v="-122.829785"/>
    <s v="SUBTERRANEAN STREAM"/>
  </r>
  <r>
    <s v="D031671"/>
    <n v="20070823"/>
    <n v="23"/>
    <s v="N"/>
    <s v="N"/>
    <s v="N"/>
    <s v="N"/>
    <x v="1"/>
    <s v="Outside"/>
    <s v="Outside"/>
    <x v="0"/>
    <n v="2007"/>
    <x v="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"/>
    <s v="Acre-feet per Year"/>
    <s v="L_24"/>
    <n v="3.4039024194010059E-4"/>
    <n v="38.516417779999998"/>
    <n v="-122.63848843"/>
    <s v="UNNAMED STREAM"/>
  </r>
  <r>
    <s v="L031669"/>
    <n v="20070821"/>
    <n v="5"/>
    <s v="Y"/>
    <s v="N"/>
    <s v="Y"/>
    <s v="Y"/>
    <x v="0"/>
    <s v="West Fork and Below Lake"/>
    <s v="Mendocino (d/s of lake)"/>
    <x v="0"/>
    <n v="2007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9"/>
    <s v="Acre-feet per Year"/>
    <s v="U_5"/>
    <n v="0"/>
    <n v="39.097862059999997"/>
    <n v="-123.19719576999999"/>
    <s v="UNST"/>
  </r>
  <r>
    <s v="A031616"/>
    <n v="20060508"/>
    <n v="23"/>
    <s v="N"/>
    <s v="N"/>
    <s v="N"/>
    <s v="N"/>
    <x v="1"/>
    <s v="Outside"/>
    <s v="Outside"/>
    <x v="0"/>
    <n v="2006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5"/>
    <s v="Acre-feet per Year"/>
    <s v="L_23"/>
    <n v="0"/>
    <n v="38.57829898"/>
    <n v="-122.77470948"/>
    <s v="UNST"/>
  </r>
  <r>
    <s v="A031618"/>
    <n v="20060509"/>
    <n v="10"/>
    <s v="N"/>
    <s v="Y"/>
    <s v="Y"/>
    <s v="Y"/>
    <x v="0"/>
    <s v="West Fork and Below Lake"/>
    <s v="Sonoma (d/s of Clov. Gage)"/>
    <x v="0"/>
    <n v="2006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4.85"/>
    <s v="Acre-feet per Year"/>
    <s v="U_10"/>
    <n v="0"/>
    <n v="38.692131830000001"/>
    <n v="-122.83438737"/>
    <s v="GIRD CREEK"/>
  </r>
  <r>
    <s v="A031620"/>
    <n v="20060530"/>
    <n v="23"/>
    <s v="N"/>
    <s v="N"/>
    <s v="N"/>
    <s v="N"/>
    <x v="1"/>
    <s v="Outside"/>
    <s v="Outside"/>
    <x v="0"/>
    <n v="2006"/>
    <x v="0"/>
    <x v="0"/>
    <s v="N"/>
    <s v="N"/>
    <s v="N"/>
    <s v="Y"/>
    <s v="N"/>
    <x v="1"/>
    <s v="N"/>
    <x v="1"/>
    <s v="N"/>
    <n v="0"/>
    <n v="0"/>
    <n v="0"/>
    <n v="0"/>
    <n v="0.1"/>
    <n v="0"/>
    <n v="0"/>
    <n v="0"/>
    <n v="0"/>
    <n v="2.75"/>
    <n v="0"/>
    <n v="3.15"/>
    <n v="6"/>
    <n v="0.1"/>
    <n v="3.3168860892955089E-4"/>
    <n v="0.3"/>
    <m/>
    <m/>
    <n v="20"/>
    <s v="Acre-feet per Year"/>
    <s v="L_27"/>
    <n v="0"/>
    <n v="38.502392839999999"/>
    <n v="-122.69488878"/>
    <s v="UNST"/>
  </r>
  <r>
    <s v="A031621"/>
    <n v="20060615"/>
    <n v="10"/>
    <s v="N"/>
    <s v="Y"/>
    <s v="Y"/>
    <s v="Y"/>
    <x v="0"/>
    <s v="West Fork and Below Lake"/>
    <s v="Sonoma (d/s of Clov. Gage)"/>
    <x v="0"/>
    <n v="2006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96.1"/>
    <s v="Acre-feet per Year"/>
    <s v="U_10"/>
    <n v="0"/>
    <n v="38.696917079999999"/>
    <n v="-122.82538504"/>
    <s v="UNST"/>
  </r>
  <r>
    <s v="A031622"/>
    <n v="20060601"/>
    <n v="10"/>
    <s v="N"/>
    <s v="Y"/>
    <s v="Y"/>
    <s v="Y"/>
    <x v="0"/>
    <s v="West Fork and Below Lake"/>
    <s v="Sonoma (d/s of Clov. Gage)"/>
    <x v="0"/>
    <n v="2006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3"/>
    <s v="Acre-feet per Year"/>
    <s v="U_10"/>
    <n v="0"/>
    <n v="38.707602510000001"/>
    <n v="-122.83986371"/>
    <s v="UNST"/>
  </r>
  <r>
    <s v="A031623"/>
    <n v="20060616"/>
    <n v="10"/>
    <s v="N"/>
    <s v="Y"/>
    <s v="Y"/>
    <s v="Y"/>
    <x v="0"/>
    <s v="West Fork and Below Lake"/>
    <s v="Sonoma (d/s of Clov. Gage)"/>
    <x v="0"/>
    <n v="2006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2.4"/>
    <s v="Acre-feet per Year"/>
    <s v="U_10"/>
    <n v="0"/>
    <n v="38.685773830000002"/>
    <n v="-122.80896456000001"/>
    <s v="UNST"/>
  </r>
  <r>
    <s v="A031629"/>
    <n v="20060731"/>
    <n v="9"/>
    <s v="N"/>
    <s v="Y"/>
    <s v="Y"/>
    <s v="Y"/>
    <x v="0"/>
    <s v="West Fork and Below Lake"/>
    <s v="Sonoma (d/s of Clov. Gage)"/>
    <x v="0"/>
    <n v="2006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3"/>
    <s v="Acre-feet per Year"/>
    <s v="U_9"/>
    <n v="3.4039024194010059E-4"/>
    <n v="38.759304999999998"/>
    <n v="-122.99954855999999"/>
    <s v="UNST"/>
  </r>
  <r>
    <s v="D031606"/>
    <n v="20060126"/>
    <n v="1"/>
    <s v="N"/>
    <s v="N"/>
    <s v="Y"/>
    <s v="Y"/>
    <x v="0"/>
    <s v="West Fork and Below Lake"/>
    <s v="Outside"/>
    <x v="0"/>
    <n v="2006"/>
    <x v="0"/>
    <x v="0"/>
    <s v="Y"/>
    <s v="N"/>
    <s v="N"/>
    <s v="Y"/>
    <s v="N"/>
    <x v="1"/>
    <s v="N"/>
    <x v="1"/>
    <s v="N"/>
    <n v="0.08"/>
    <n v="0.08"/>
    <n v="0.08"/>
    <n v="0.08"/>
    <n v="0.08"/>
    <n v="0.03"/>
    <n v="0.03"/>
    <n v="0.03"/>
    <n v="0.03"/>
    <n v="0.03"/>
    <n v="0.08"/>
    <n v="0.08"/>
    <n v="0.71000000000000008"/>
    <n v="0.2"/>
    <n v="6.6337721785910179E-4"/>
    <n v="0.71000000000000008"/>
    <m/>
    <m/>
    <n v="1"/>
    <s v="Acre-feet per Year"/>
    <s v="U_1"/>
    <n v="3.4039024194010059E-4"/>
    <n v="39.214873050000001"/>
    <n v="-123.30777702"/>
    <s v="UNST"/>
  </r>
  <r>
    <s v="D031627"/>
    <n v="20060712"/>
    <n v="10"/>
    <s v="N"/>
    <s v="Y"/>
    <s v="Y"/>
    <s v="Y"/>
    <x v="0"/>
    <s v="West Fork and Below Lake"/>
    <s v="Sonoma (d/s of Clov. Gage)"/>
    <x v="0"/>
    <n v="2006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.5"/>
    <s v="Acre-feet per Year"/>
    <s v="U_10"/>
    <n v="3.4039024194010059E-4"/>
    <n v="38.702938410000002"/>
    <n v="-122.77561226"/>
    <s v="UNST"/>
  </r>
  <r>
    <s v="D031630"/>
    <n v="20060810"/>
    <n v="9"/>
    <s v="N"/>
    <s v="Y"/>
    <s v="Y"/>
    <s v="Y"/>
    <x v="0"/>
    <s v="West Fork and Below Lake"/>
    <s v="Sonoma (d/s of Clov. Gage)"/>
    <x v="0"/>
    <n v="2006"/>
    <x v="0"/>
    <x v="0"/>
    <s v="Y"/>
    <s v="N"/>
    <s v="N"/>
    <s v="Y"/>
    <s v="N"/>
    <x v="1"/>
    <s v="N"/>
    <x v="0"/>
    <s v="N"/>
    <n v="1.95"/>
    <n v="1.95"/>
    <n v="0"/>
    <n v="0"/>
    <n v="0"/>
    <n v="0"/>
    <n v="0"/>
    <n v="0"/>
    <n v="0"/>
    <n v="0"/>
    <n v="0"/>
    <n v="1.95"/>
    <n v="5.85"/>
    <n v="0"/>
    <n v="0"/>
    <n v="0.734614875"/>
    <m/>
    <m/>
    <n v="8"/>
    <s v="Acre-feet per Year"/>
    <s v="U_9"/>
    <n v="3.4039024194010059E-4"/>
    <n v="38.81049256"/>
    <n v="-123.05727576"/>
    <s v="UNST"/>
  </r>
  <r>
    <s v="L031424"/>
    <n v="20060329"/>
    <n v="4"/>
    <s v="Y"/>
    <s v="N"/>
    <s v="Y"/>
    <s v="Y"/>
    <x v="0"/>
    <s v="West Fork and Below Lake"/>
    <s v="Mendocino (d/s of lake)"/>
    <x v="0"/>
    <n v="2006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"/>
    <s v="Acre-feet per Year"/>
    <s v="U_4"/>
    <n v="0"/>
    <n v="39.190476429999997"/>
    <n v="-123.33827984"/>
    <s v="UNSP"/>
  </r>
  <r>
    <s v="L031605"/>
    <n v="20060126"/>
    <n v="1"/>
    <s v="N"/>
    <s v="N"/>
    <s v="Y"/>
    <s v="Y"/>
    <x v="0"/>
    <s v="West Fork and Below Lake"/>
    <s v="Outside"/>
    <x v="0"/>
    <n v="2006"/>
    <x v="0"/>
    <x v="0"/>
    <s v="Y"/>
    <s v="N"/>
    <s v="N"/>
    <s v="Y"/>
    <s v="N"/>
    <x v="1"/>
    <s v="N"/>
    <x v="1"/>
    <s v="N"/>
    <n v="0.08"/>
    <n v="0.08"/>
    <n v="0.08"/>
    <n v="0.08"/>
    <n v="0.08"/>
    <n v="0.03"/>
    <n v="0.03"/>
    <n v="0.03"/>
    <n v="0.03"/>
    <n v="0.03"/>
    <n v="0.08"/>
    <n v="0.08"/>
    <n v="0.71000000000000008"/>
    <n v="0.2"/>
    <n v="6.6337721785910179E-4"/>
    <n v="0.12909090909090912"/>
    <m/>
    <m/>
    <n v="5.5"/>
    <s v="Acre-feet per Year"/>
    <s v="U_1"/>
    <n v="0"/>
    <n v="39.21397451"/>
    <n v="-123.3080781"/>
    <s v="UNST"/>
  </r>
  <r>
    <s v="L031607"/>
    <n v="20060126"/>
    <n v="4"/>
    <s v="Y"/>
    <s v="N"/>
    <s v="Y"/>
    <s v="Y"/>
    <x v="0"/>
    <s v="West Fork and Below Lake"/>
    <s v="Mendocino (d/s of lake)"/>
    <x v="0"/>
    <n v="2006"/>
    <x v="0"/>
    <x v="0"/>
    <s v="Y"/>
    <s v="N"/>
    <s v="N"/>
    <s v="Y"/>
    <s v="N"/>
    <x v="1"/>
    <s v="N"/>
    <x v="1"/>
    <s v="N"/>
    <n v="0.08"/>
    <n v="0.08"/>
    <n v="0.08"/>
    <n v="0.08"/>
    <n v="0.08"/>
    <n v="0.03"/>
    <n v="0.03"/>
    <n v="0.03"/>
    <n v="0.03"/>
    <n v="0.03"/>
    <n v="0.08"/>
    <n v="0.08"/>
    <n v="0.71000000000000008"/>
    <n v="0.2"/>
    <n v="6.6337721785910179E-4"/>
    <n v="0.17750000000000002"/>
    <m/>
    <m/>
    <n v="4"/>
    <s v="Acre-feet per Year"/>
    <s v="U_4"/>
    <n v="0"/>
    <n v="39.211799999999997"/>
    <n v="-123.30329999999999"/>
    <s v="UNST"/>
  </r>
  <r>
    <s v="D031592"/>
    <n v="20050914"/>
    <n v="2"/>
    <s v="N"/>
    <s v="N"/>
    <s v="Y"/>
    <s v="N"/>
    <x v="0"/>
    <s v="Outside"/>
    <s v="Outside"/>
    <x v="0"/>
    <n v="2005"/>
    <x v="0"/>
    <x v="0"/>
    <s v="Y"/>
    <s v="N"/>
    <s v="N"/>
    <s v="Y"/>
    <s v="N"/>
    <x v="1"/>
    <s v="N"/>
    <x v="0"/>
    <s v="N"/>
    <n v="5"/>
    <n v="0.66"/>
    <n v="1.33"/>
    <n v="0"/>
    <n v="0"/>
    <n v="0"/>
    <n v="0"/>
    <n v="0"/>
    <n v="0"/>
    <n v="0"/>
    <n v="0"/>
    <n v="1"/>
    <n v="7.99"/>
    <n v="0"/>
    <n v="0"/>
    <n v="1"/>
    <m/>
    <m/>
    <n v="8"/>
    <s v="Acre-feet per Year"/>
    <s v="U_2"/>
    <n v="3.4039024194010059E-4"/>
    <n v="39.303551880000001"/>
    <n v="-123.02537178"/>
    <s v="UNST"/>
  </r>
  <r>
    <s v="L031582"/>
    <n v="20050805"/>
    <n v="2"/>
    <s v="N"/>
    <s v="N"/>
    <s v="Y"/>
    <s v="N"/>
    <x v="0"/>
    <s v="Outside"/>
    <s v="Outside"/>
    <x v="0"/>
    <n v="2005"/>
    <x v="0"/>
    <x v="0"/>
    <s v="Y"/>
    <s v="N"/>
    <s v="N"/>
    <s v="Y"/>
    <s v="N"/>
    <x v="1"/>
    <s v="N"/>
    <x v="1"/>
    <s v="N"/>
    <n v="1.27"/>
    <n v="1.23"/>
    <n v="0.7"/>
    <n v="0.53"/>
    <n v="0.33"/>
    <n v="0"/>
    <n v="0"/>
    <n v="0"/>
    <n v="0"/>
    <n v="0.06"/>
    <n v="0.7"/>
    <n v="0.66"/>
    <n v="5.48"/>
    <n v="0.33333333300000001"/>
    <n v="1.1056286953262076E-3"/>
    <n v="0.56735395185567006"/>
    <m/>
    <m/>
    <n v="9.6999999999999993"/>
    <s v="Acre-feet per Year"/>
    <s v="U_2"/>
    <n v="0"/>
    <n v="39.355394240000003"/>
    <n v="-123.1441324"/>
    <s v="UNST"/>
  </r>
  <r>
    <s v="A031567"/>
    <n v="20050317"/>
    <n v="21"/>
    <s v="N"/>
    <s v="N"/>
    <s v="N"/>
    <s v="N"/>
    <x v="1"/>
    <s v="Outside"/>
    <s v="Outside"/>
    <x v="0"/>
    <n v="2005"/>
    <x v="0"/>
    <x v="0"/>
    <s v="N"/>
    <s v="N"/>
    <s v="N"/>
    <s v="Y"/>
    <s v="N"/>
    <x v="1"/>
    <s v="N"/>
    <x v="1"/>
    <s v="N"/>
    <n v="0.43220933299999997"/>
    <n v="0.351427667"/>
    <n v="0.40622599999999998"/>
    <n v="0.57156833299999998"/>
    <n v="0.52237900000000004"/>
    <n v="0.807874333"/>
    <n v="1.064441333"/>
    <n v="0.75409633300000001"/>
    <n v="0.73549566700000002"/>
    <n v="0.58240933299999997"/>
    <n v="0.58732933300000001"/>
    <n v="0.54562966700000004"/>
    <n v="7.3610863320000011"/>
    <n v="3.8842866659999999"/>
    <n v="1.288373640929143E-2"/>
    <n v="0.73610863320000008"/>
    <m/>
    <m/>
    <n v="10"/>
    <s v="Acre-feet per Year"/>
    <s v="L_21"/>
    <n v="3.4039024194010059E-4"/>
    <n v="38.485066850000003"/>
    <n v="-123.0584726"/>
    <s v="AUSTIN CREEK UNDERFLOW"/>
  </r>
  <r>
    <s v="D031569"/>
    <n v="20050420"/>
    <n v="16"/>
    <s v="N"/>
    <s v="N"/>
    <s v="N"/>
    <s v="N"/>
    <x v="1"/>
    <s v="Outside"/>
    <s v="Outside"/>
    <x v="0"/>
    <n v="2005"/>
    <x v="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4"/>
    <s v="Acre-feet per Year"/>
    <s v="L_16"/>
    <n v="3.4039024194010059E-4"/>
    <n v="38.578722339999999"/>
    <n v="-122.951156"/>
    <s v="Unnamed Stream"/>
  </r>
  <r>
    <s v="D031563"/>
    <n v="20050204"/>
    <n v="1"/>
    <s v="N"/>
    <s v="N"/>
    <s v="Y"/>
    <s v="Y"/>
    <x v="0"/>
    <s v="West Fork and Below Lake"/>
    <s v="Outside"/>
    <x v="0"/>
    <n v="2005"/>
    <x v="0"/>
    <x v="0"/>
    <s v="Y"/>
    <s v="N"/>
    <s v="N"/>
    <s v="Y"/>
    <s v="N"/>
    <x v="1"/>
    <s v="N"/>
    <x v="1"/>
    <s v="N"/>
    <n v="0.01"/>
    <n v="0.01"/>
    <n v="0.01"/>
    <n v="6.8919999999999997E-3"/>
    <n v="3.5479999999999999E-3"/>
    <n v="3.3623329999999999E-3"/>
    <n v="3.333333E-3"/>
    <n v="3.333333E-3"/>
    <n v="3.333333E-3"/>
    <n v="3.333333E-3"/>
    <n v="0.01"/>
    <n v="6.8713330000000003E-3"/>
    <n v="7.4006998000000018E-2"/>
    <n v="1.6910332E-2"/>
    <n v="5.608964497616871E-5"/>
    <n v="0.13588722000000003"/>
    <m/>
    <m/>
    <n v="0.6"/>
    <s v="Acre-feet per Year"/>
    <s v="U_1"/>
    <n v="3.4039024194010059E-4"/>
    <n v="39.342051920000003"/>
    <n v="-123.26394654000001"/>
    <s v="UNST"/>
  </r>
  <r>
    <s v="D031589"/>
    <n v="20050815"/>
    <n v="1"/>
    <s v="N"/>
    <s v="N"/>
    <s v="Y"/>
    <s v="Y"/>
    <x v="0"/>
    <s v="West Fork and Below Lake"/>
    <s v="Outside"/>
    <x v="0"/>
    <n v="2005"/>
    <x v="0"/>
    <x v="0"/>
    <s v="Y"/>
    <s v="N"/>
    <s v="N"/>
    <s v="Y"/>
    <s v="N"/>
    <x v="1"/>
    <s v="N"/>
    <x v="1"/>
    <s v="N"/>
    <n v="1.1299999999999999"/>
    <n v="1.1299999999999999"/>
    <n v="1.1299999999999999"/>
    <n v="1.1299999999999999"/>
    <n v="1.1299999999999999"/>
    <n v="0"/>
    <n v="0"/>
    <n v="0"/>
    <n v="0"/>
    <n v="0"/>
    <n v="0"/>
    <n v="1.1299999999999999"/>
    <n v="6.7799999999999994"/>
    <n v="1.1299999999999999"/>
    <n v="3.748081280903925E-3"/>
    <n v="0.99705882352941166"/>
    <m/>
    <m/>
    <n v="6.8"/>
    <s v="Acre-feet per Year"/>
    <s v="U_1"/>
    <n v="3.4039024194010059E-4"/>
    <n v="39.305260060000002"/>
    <n v="-123.26040383"/>
    <s v="UNST"/>
  </r>
  <r>
    <s v="D031602"/>
    <n v="20051117"/>
    <n v="23"/>
    <s v="N"/>
    <s v="N"/>
    <s v="N"/>
    <s v="N"/>
    <x v="1"/>
    <s v="Outside"/>
    <s v="Outside"/>
    <x v="0"/>
    <n v="2005"/>
    <x v="0"/>
    <x v="0"/>
    <s v="N"/>
    <s v="N"/>
    <s v="N"/>
    <s v="Y"/>
    <s v="N"/>
    <x v="1"/>
    <s v="N"/>
    <x v="0"/>
    <s v="N"/>
    <n v="0.497"/>
    <n v="7.6666670000000003E-3"/>
    <n v="0.17199999999999999"/>
    <n v="0"/>
    <n v="0"/>
    <n v="0"/>
    <n v="0"/>
    <n v="0"/>
    <n v="0"/>
    <n v="0"/>
    <n v="0.22233333299999999"/>
    <n v="0.550666667"/>
    <n v="1.4496666669999998"/>
    <n v="0"/>
    <n v="0"/>
    <n v="0.46763440870967732"/>
    <m/>
    <m/>
    <n v="3.1"/>
    <s v="Acre-feet per Year"/>
    <s v="L_24"/>
    <n v="3.4039024194010059E-4"/>
    <n v="38.533399250000002"/>
    <n v="-122.61585991"/>
    <s v="UNST"/>
  </r>
  <r>
    <s v="D031603"/>
    <n v="20051206"/>
    <n v="8"/>
    <s v="N"/>
    <s v="Y"/>
    <s v="Y"/>
    <s v="Y"/>
    <x v="0"/>
    <s v="West Fork and Below Lake"/>
    <s v="Sonoma (d/s of Clov. Gage)"/>
    <x v="0"/>
    <n v="2005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"/>
    <s v="Acre-feet per Year"/>
    <s v="U_8"/>
    <n v="3.4039024194010059E-4"/>
    <n v="38.844391340000001"/>
    <n v="-122.98367472"/>
    <s v="UNST"/>
  </r>
  <r>
    <s v="L031573"/>
    <n v="20050603"/>
    <n v="1"/>
    <s v="N"/>
    <s v="N"/>
    <s v="Y"/>
    <s v="Y"/>
    <x v="0"/>
    <s v="West Fork and Below Lake"/>
    <s v="Outside"/>
    <x v="0"/>
    <n v="2005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3"/>
    <s v="Acre-feet per Year"/>
    <s v="U_1"/>
    <n v="0"/>
    <n v="39.328649570000003"/>
    <n v="-123.21406704"/>
    <s v="UNST"/>
  </r>
  <r>
    <s v="A031501"/>
    <n v="20040427"/>
    <n v="23"/>
    <s v="N"/>
    <s v="N"/>
    <s v="N"/>
    <s v="N"/>
    <x v="1"/>
    <s v="Outside"/>
    <s v="Outside"/>
    <x v="0"/>
    <n v="2004"/>
    <x v="0"/>
    <x v="0"/>
    <s v="N"/>
    <s v="N"/>
    <s v="N"/>
    <s v="Y"/>
    <s v="N"/>
    <x v="1"/>
    <s v="N"/>
    <x v="0"/>
    <s v="N"/>
    <n v="0.33333333300000001"/>
    <n v="0"/>
    <n v="0"/>
    <n v="0"/>
    <n v="0"/>
    <n v="0"/>
    <n v="0"/>
    <n v="0"/>
    <n v="0"/>
    <n v="0"/>
    <n v="0.33333333300000001"/>
    <n v="1"/>
    <n v="1.666666666"/>
    <n v="0"/>
    <n v="0"/>
    <n v="0.4166666665"/>
    <m/>
    <m/>
    <n v="4"/>
    <s v="Acre-feet per Year"/>
    <s v="L_24"/>
    <n v="0"/>
    <n v="38.522199999999998"/>
    <n v="-122.55889999999999"/>
    <s v="UNST"/>
  </r>
  <r>
    <s v="A031507"/>
    <n v="20040506"/>
    <n v="23"/>
    <s v="N"/>
    <s v="N"/>
    <s v="N"/>
    <s v="N"/>
    <x v="1"/>
    <s v="Outside"/>
    <s v="Outside"/>
    <x v="0"/>
    <n v="2004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2"/>
    <s v="Acre-feet per Year"/>
    <s v="L_27"/>
    <n v="0"/>
    <n v="38.398700519999998"/>
    <n v="-122.63521746000001"/>
    <s v="UNST"/>
  </r>
  <r>
    <s v="A031513"/>
    <n v="20040524"/>
    <n v="1"/>
    <s v="N"/>
    <s v="N"/>
    <s v="Y"/>
    <s v="Y"/>
    <x v="0"/>
    <s v="West Fork and Below Lake"/>
    <s v="Outside"/>
    <x v="0"/>
    <n v="2004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2.7"/>
    <s v="Acre-feet per Year"/>
    <s v="U_1"/>
    <n v="0"/>
    <n v="39.214599999999997"/>
    <n v="-123.22369999999999"/>
    <m/>
  </r>
  <r>
    <s v="D031542"/>
    <n v="20040910"/>
    <n v="1"/>
    <s v="N"/>
    <s v="N"/>
    <s v="Y"/>
    <s v="Y"/>
    <x v="0"/>
    <s v="West Fork and Below Lake"/>
    <s v="Outside"/>
    <x v="0"/>
    <n v="2004"/>
    <x v="0"/>
    <x v="0"/>
    <s v="Y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0.5"/>
    <n v="0"/>
    <n v="0.5"/>
    <n v="0"/>
    <n v="0"/>
    <n v="0.33333333333333331"/>
    <m/>
    <m/>
    <n v="1.5"/>
    <s v="Acre-feet per Year"/>
    <s v="U_1"/>
    <n v="3.4039024194010059E-4"/>
    <n v="39.281270749999997"/>
    <n v="-123.18477851999999"/>
    <s v="UNST"/>
  </r>
  <r>
    <s v="D031555"/>
    <n v="20041206"/>
    <n v="18"/>
    <s v="N"/>
    <s v="N"/>
    <s v="N"/>
    <s v="N"/>
    <x v="1"/>
    <s v="Outside"/>
    <s v="Outside"/>
    <x v="0"/>
    <n v="2004"/>
    <x v="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22"/>
    <s v="Acre-feet per Year"/>
    <s v="L_18"/>
    <n v="3.4039024194010059E-4"/>
    <n v="38.373805019999999"/>
    <n v="-122.86666993999999"/>
    <s v="UNST"/>
  </r>
  <r>
    <s v="L031528"/>
    <n v="20040812"/>
    <n v="1"/>
    <s v="N"/>
    <s v="N"/>
    <s v="Y"/>
    <s v="Y"/>
    <x v="0"/>
    <s v="West Fork and Below Lake"/>
    <s v="Outside"/>
    <x v="0"/>
    <n v="2004"/>
    <x v="0"/>
    <x v="0"/>
    <s v="Y"/>
    <s v="N"/>
    <s v="N"/>
    <s v="Y"/>
    <s v="N"/>
    <x v="1"/>
    <s v="N"/>
    <x v="1"/>
    <s v="N"/>
    <n v="1"/>
    <n v="2"/>
    <n v="2"/>
    <n v="1.7"/>
    <n v="1"/>
    <n v="0"/>
    <n v="0"/>
    <n v="0"/>
    <n v="0"/>
    <n v="0"/>
    <n v="0"/>
    <n v="0"/>
    <n v="7.7"/>
    <n v="1"/>
    <n v="3.3168860892955087E-3"/>
    <n v="1"/>
    <m/>
    <m/>
    <n v="7.7"/>
    <s v="Acre-feet per Year"/>
    <s v="U_1"/>
    <n v="0"/>
    <n v="39.230600000000003"/>
    <n v="-123.2199"/>
    <s v="UNST"/>
  </r>
  <r>
    <s v="A012919C"/>
    <n v="20030228"/>
    <n v="3"/>
    <s v="N"/>
    <s v="N"/>
    <s v="Y"/>
    <s v="N"/>
    <x v="0"/>
    <s v="Outside"/>
    <s v="Outside"/>
    <x v="0"/>
    <n v="2003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600"/>
    <s v="Acre-feet per Year"/>
    <s v="U_3"/>
    <n v="0"/>
    <n v="39.197992820000003"/>
    <n v="-123.18271"/>
    <s v="EAST FORK RUSSIAN RIVER"/>
  </r>
  <r>
    <s v="A012920B"/>
    <n v="20030228"/>
    <n v="3"/>
    <s v="N"/>
    <s v="N"/>
    <s v="Y"/>
    <s v="N"/>
    <x v="0"/>
    <s v="Outside"/>
    <s v="Outside"/>
    <x v="0"/>
    <n v="2003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400"/>
    <s v="Acre-feet per Year"/>
    <s v="U_3"/>
    <n v="0"/>
    <n v="39.221102520000002"/>
    <n v="-123.17833052"/>
    <s v="EAST FORK RUSSIAN RIVER"/>
  </r>
  <r>
    <s v="A031461"/>
    <n v="20030930"/>
    <n v="2"/>
    <s v="N"/>
    <s v="N"/>
    <s v="Y"/>
    <s v="N"/>
    <x v="0"/>
    <s v="Outside"/>
    <s v="Outside"/>
    <x v="0"/>
    <n v="2003"/>
    <x v="0"/>
    <x v="0"/>
    <s v="Y"/>
    <s v="N"/>
    <s v="N"/>
    <s v="Y"/>
    <s v="N"/>
    <x v="1"/>
    <s v="N"/>
    <x v="0"/>
    <s v="N"/>
    <n v="1.1000000000000001"/>
    <n v="1.1000000000000001"/>
    <n v="1"/>
    <n v="0"/>
    <n v="0"/>
    <n v="0"/>
    <n v="0"/>
    <n v="0"/>
    <n v="0"/>
    <n v="0"/>
    <n v="0"/>
    <n v="0.15"/>
    <n v="3.35"/>
    <n v="0"/>
    <n v="0"/>
    <n v="9.0785907859078599E-2"/>
    <m/>
    <m/>
    <n v="36.9"/>
    <s v="Acre-feet per Year"/>
    <s v="U_2"/>
    <n v="0"/>
    <n v="39.358479109999998"/>
    <n v="-123.13912593000001"/>
    <s v="UNST"/>
  </r>
  <r>
    <s v="A031383"/>
    <n v="20030115"/>
    <n v="5"/>
    <s v="Y"/>
    <s v="N"/>
    <s v="Y"/>
    <s v="Y"/>
    <x v="0"/>
    <s v="West Fork and Below Lake"/>
    <s v="Mendocino (d/s of lake)"/>
    <x v="0"/>
    <n v="2003"/>
    <x v="0"/>
    <x v="0"/>
    <s v="Y"/>
    <s v="N"/>
    <s v="N"/>
    <s v="Y"/>
    <s v="N"/>
    <x v="1"/>
    <s v="N"/>
    <x v="0"/>
    <s v="N"/>
    <n v="4.3499999999999996"/>
    <n v="0.9"/>
    <n v="2"/>
    <n v="0"/>
    <n v="0"/>
    <n v="0"/>
    <n v="0"/>
    <n v="0"/>
    <n v="0"/>
    <n v="0"/>
    <n v="1.7"/>
    <n v="2.4"/>
    <n v="11.35"/>
    <n v="0"/>
    <n v="0"/>
    <n v="0.73701298701298701"/>
    <m/>
    <m/>
    <n v="15.4"/>
    <s v="Acre-feet per Year"/>
    <s v="U_5"/>
    <n v="0"/>
    <n v="39.087010030000002"/>
    <n v="-123.15497058"/>
    <s v="UNST"/>
  </r>
  <r>
    <s v="A031398"/>
    <n v="20030110"/>
    <n v="5"/>
    <s v="Y"/>
    <s v="N"/>
    <s v="Y"/>
    <s v="Y"/>
    <x v="0"/>
    <s v="West Fork and Below Lake"/>
    <s v="Mendocino (d/s of lake)"/>
    <x v="0"/>
    <n v="2003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9"/>
    <s v="Acre-feet per Year"/>
    <s v="U_5"/>
    <n v="0"/>
    <n v="39.036441019999998"/>
    <n v="-123.18430189999999"/>
    <s v="UNST"/>
  </r>
  <r>
    <s v="A031399"/>
    <n v="20030124"/>
    <n v="4"/>
    <s v="Y"/>
    <s v="N"/>
    <s v="Y"/>
    <s v="Y"/>
    <x v="0"/>
    <s v="West Fork and Below Lake"/>
    <s v="Mendocino (d/s of lake)"/>
    <x v="0"/>
    <n v="2003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9"/>
    <s v="Acre-feet per Year"/>
    <s v="U_4"/>
    <n v="0"/>
    <n v="39.173075320000002"/>
    <n v="-123.1949762"/>
    <s v="RUSSIAN RIVER UNDERFLOW"/>
  </r>
  <r>
    <s v="A031426"/>
    <n v="20030328"/>
    <n v="4"/>
    <s v="Y"/>
    <s v="N"/>
    <s v="Y"/>
    <s v="Y"/>
    <x v="0"/>
    <s v="West Fork and Below Lake"/>
    <s v="Mendocino (d/s of lake)"/>
    <x v="0"/>
    <n v="2003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5"/>
    <s v="Acre-feet per Year"/>
    <s v="U_4"/>
    <n v="0"/>
    <n v="39.17159917"/>
    <n v="-123.19271120000001"/>
    <s v="RUSSIAN RIVER"/>
  </r>
  <r>
    <s v="A031435"/>
    <n v="20030603"/>
    <n v="1"/>
    <s v="N"/>
    <s v="N"/>
    <s v="Y"/>
    <s v="Y"/>
    <x v="0"/>
    <s v="West Fork and Below Lake"/>
    <s v="Outside"/>
    <x v="0"/>
    <n v="2003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9"/>
    <s v="Acre-feet per Year"/>
    <s v="U_1"/>
    <n v="0"/>
    <n v="39.224597250000002"/>
    <n v="-123.19385169"/>
    <s v="UNST"/>
  </r>
  <r>
    <s v="A031437"/>
    <n v="20030310"/>
    <n v="1"/>
    <s v="N"/>
    <s v="N"/>
    <s v="Y"/>
    <s v="Y"/>
    <x v="0"/>
    <s v="West Fork and Below Lake"/>
    <s v="Outside"/>
    <x v="0"/>
    <n v="2003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7"/>
    <s v="Acre-feet per Year"/>
    <s v="U_1"/>
    <n v="0"/>
    <n v="39.281076949999999"/>
    <n v="-123.30852883999999"/>
    <s v="UNST"/>
  </r>
  <r>
    <s v="A031445"/>
    <n v="20030801"/>
    <n v="1"/>
    <s v="N"/>
    <s v="N"/>
    <s v="Y"/>
    <s v="Y"/>
    <x v="0"/>
    <s v="West Fork and Below Lake"/>
    <s v="Outside"/>
    <x v="0"/>
    <n v="2003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48"/>
    <s v="Acre-feet per Year"/>
    <s v="U_1"/>
    <n v="0"/>
    <n v="39.320915050000004"/>
    <n v="-123.34041234"/>
    <s v="WALKER CREEK"/>
  </r>
  <r>
    <s v="A031446"/>
    <n v="20030806"/>
    <n v="6"/>
    <s v="Y"/>
    <s v="N"/>
    <s v="Y"/>
    <s v="Y"/>
    <x v="0"/>
    <s v="West Fork and Below Lake"/>
    <s v="Mendocino (d/s of lake)"/>
    <x v="0"/>
    <n v="2003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"/>
    <s v="Acre-feet per Year"/>
    <s v="U_6"/>
    <n v="0"/>
    <n v="38.960352139999998"/>
    <n v="-123.04742838999999"/>
    <s v="UNST"/>
  </r>
  <r>
    <s v="A031467"/>
    <n v="20030221"/>
    <n v="1"/>
    <s v="N"/>
    <s v="N"/>
    <s v="Y"/>
    <s v="Y"/>
    <x v="0"/>
    <s v="West Fork and Below Lake"/>
    <s v="Outside"/>
    <x v="0"/>
    <n v="2003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6"/>
    <s v="Acre-feet per Year"/>
    <s v="U_1"/>
    <n v="3.4039024194010059E-4"/>
    <n v="39.225265999999998"/>
    <n v="-123.2195396"/>
    <s v="UNST"/>
  </r>
  <r>
    <s v="A031519"/>
    <n v="20030303"/>
    <n v="4"/>
    <s v="Y"/>
    <s v="N"/>
    <s v="Y"/>
    <s v="Y"/>
    <x v="0"/>
    <s v="West Fork and Below Lake"/>
    <s v="Mendocino (d/s of lake)"/>
    <x v="0"/>
    <n v="2003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0"/>
    <s v="Acre-feet per Year"/>
    <s v="U_4"/>
    <n v="0"/>
    <n v="39.174873030000001"/>
    <n v="-123.22775015000001"/>
    <s v="UNST"/>
  </r>
  <r>
    <s v="D031411"/>
    <n v="20030213"/>
    <n v="1"/>
    <s v="N"/>
    <s v="N"/>
    <s v="Y"/>
    <s v="Y"/>
    <x v="0"/>
    <s v="West Fork and Below Lake"/>
    <s v="Outside"/>
    <x v="0"/>
    <n v="2003"/>
    <x v="0"/>
    <x v="0"/>
    <s v="Y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7.4"/>
    <n v="0.66"/>
    <n v="8.06"/>
    <n v="0"/>
    <n v="0"/>
    <n v="0.80666666669999998"/>
    <m/>
    <m/>
    <n v="10"/>
    <s v="Acre-feet per Year"/>
    <s v="U_1"/>
    <n v="3.4039024194010059E-4"/>
    <n v="39.258070920000002"/>
    <n v="-123.17607506"/>
    <s v="UNST"/>
  </r>
  <r>
    <s v="D031427"/>
    <n v="20030403"/>
    <n v="11"/>
    <s v="N"/>
    <s v="Y"/>
    <s v="Y"/>
    <s v="Y"/>
    <x v="0"/>
    <s v="West Fork and Below Lake"/>
    <s v="Sonoma (d/s of Clov. Gage)"/>
    <x v="0"/>
    <n v="2003"/>
    <x v="0"/>
    <x v="0"/>
    <s v="Y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1.1000000000000001"/>
    <n v="0"/>
    <n v="1.1000000000000001"/>
    <n v="0"/>
    <n v="0"/>
    <n v="0.11000000000000001"/>
    <m/>
    <m/>
    <n v="10"/>
    <s v="Acre-feet per Year"/>
    <s v="U_11"/>
    <n v="3.4039024194010059E-4"/>
    <n v="38.660299999999999"/>
    <n v="-122.7289"/>
    <s v="UNST"/>
  </r>
  <r>
    <s v="D031451"/>
    <n v="20030529"/>
    <n v="12"/>
    <s v="N"/>
    <s v="Y"/>
    <s v="Y"/>
    <s v="Y"/>
    <x v="0"/>
    <s v="West Fork and Below Lake"/>
    <s v="Sonoma (d/s of Clov. Gage)"/>
    <x v="0"/>
    <n v="2003"/>
    <x v="0"/>
    <x v="1"/>
    <s v="Y"/>
    <s v="N"/>
    <s v="N"/>
    <s v="Y"/>
    <s v="N"/>
    <x v="1"/>
    <s v="N"/>
    <x v="1"/>
    <s v="N"/>
    <n v="0.06"/>
    <n v="0.06"/>
    <n v="0.09"/>
    <n v="0.21"/>
    <n v="0.24"/>
    <n v="0.27"/>
    <n v="0.27"/>
    <n v="0.3"/>
    <n v="0.27"/>
    <n v="0.18"/>
    <n v="0.04"/>
    <n v="0.04"/>
    <n v="2.0299999999999998"/>
    <n v="1.381005"/>
    <n v="4.5806362737475454E-3"/>
    <n v="0.41532446666666656"/>
    <m/>
    <m/>
    <n v="5"/>
    <s v="Acre-feet per Year"/>
    <s v="U_12"/>
    <n v="3.4039024194010059E-4"/>
    <n v="38.610096859999999"/>
    <n v="-122.8013656"/>
    <s v="RUSSIAN RIVER"/>
  </r>
  <r>
    <s v="D031472"/>
    <n v="20030418"/>
    <n v="1"/>
    <s v="N"/>
    <s v="N"/>
    <s v="Y"/>
    <s v="Y"/>
    <x v="0"/>
    <s v="West Fork and Below Lake"/>
    <s v="Outside"/>
    <x v="0"/>
    <n v="2003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8"/>
    <s v="Acre-feet per Year"/>
    <s v="U_1"/>
    <n v="3.4039024194010059E-4"/>
    <n v="39.248688530000003"/>
    <n v="-123.23081719"/>
    <s v="UNSP"/>
  </r>
  <r>
    <s v="D031475"/>
    <n v="20031217"/>
    <n v="1"/>
    <s v="N"/>
    <s v="N"/>
    <s v="Y"/>
    <s v="Y"/>
    <x v="0"/>
    <s v="West Fork and Below Lake"/>
    <s v="Outside"/>
    <x v="0"/>
    <n v="2003"/>
    <x v="0"/>
    <x v="0"/>
    <s v="Y"/>
    <s v="N"/>
    <s v="N"/>
    <s v="Y"/>
    <s v="N"/>
    <x v="1"/>
    <s v="N"/>
    <x v="0"/>
    <s v="N"/>
    <n v="0.33"/>
    <n v="0.16"/>
    <n v="0.16"/>
    <n v="0"/>
    <n v="0"/>
    <n v="0"/>
    <n v="0"/>
    <n v="0"/>
    <n v="0"/>
    <n v="0"/>
    <n v="0"/>
    <n v="0"/>
    <n v="0.65"/>
    <n v="0"/>
    <n v="0"/>
    <n v="0.23809523821428571"/>
    <m/>
    <m/>
    <n v="2.8"/>
    <s v="Acre-feet per Year"/>
    <s v="U_1"/>
    <n v="3.4039024194010059E-4"/>
    <n v="39.243058120000001"/>
    <n v="-123.22308455"/>
    <s v="UNST"/>
  </r>
  <r>
    <s v="D031476"/>
    <n v="20030502"/>
    <n v="1"/>
    <s v="N"/>
    <s v="N"/>
    <s v="Y"/>
    <s v="Y"/>
    <x v="0"/>
    <s v="West Fork and Below Lake"/>
    <s v="Outside"/>
    <x v="0"/>
    <n v="2003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9"/>
    <s v="Acre-feet per Year"/>
    <s v="U_1"/>
    <n v="3.4039024194010059E-4"/>
    <n v="39.24786391"/>
    <n v="-123.23089819"/>
    <s v="UNST"/>
  </r>
  <r>
    <s v="D031477"/>
    <n v="20030424"/>
    <n v="1"/>
    <s v="N"/>
    <s v="N"/>
    <s v="Y"/>
    <s v="Y"/>
    <x v="0"/>
    <s v="West Fork and Below Lake"/>
    <s v="Outside"/>
    <x v="0"/>
    <n v="2003"/>
    <x v="0"/>
    <x v="0"/>
    <s v="Y"/>
    <s v="N"/>
    <s v="N"/>
    <s v="Y"/>
    <s v="N"/>
    <x v="1"/>
    <s v="N"/>
    <x v="1"/>
    <s v="N"/>
    <n v="0.02"/>
    <n v="0.02"/>
    <n v="0.01"/>
    <n v="0.01"/>
    <n v="0.01"/>
    <n v="0.01"/>
    <n v="9.2069999999999999E-3"/>
    <n v="8.6953329999999995E-3"/>
    <n v="9.2069999999999999E-3"/>
    <n v="0.01"/>
    <n v="0.01"/>
    <n v="0.02"/>
    <n v="0.14710933299999998"/>
    <n v="5.0126333000000002E-2"/>
    <n v="1.6626333663509444E-4"/>
    <n v="0.12241511133333334"/>
    <m/>
    <m/>
    <n v="1.5"/>
    <s v="Acre-feet per Year"/>
    <s v="U_1"/>
    <n v="3.4039024194010059E-4"/>
    <n v="39.317767979999999"/>
    <n v="-123.27077971"/>
    <s v="UNST"/>
  </r>
  <r>
    <s v="L031391"/>
    <n v="20030128"/>
    <n v="11"/>
    <s v="N"/>
    <s v="Y"/>
    <s v="Y"/>
    <s v="Y"/>
    <x v="0"/>
    <s v="West Fork and Below Lake"/>
    <s v="Sonoma (d/s of Clov. Gage)"/>
    <x v="0"/>
    <n v="2003"/>
    <x v="0"/>
    <x v="0"/>
    <s v="Y"/>
    <s v="N"/>
    <s v="N"/>
    <s v="Y"/>
    <s v="N"/>
    <x v="1"/>
    <s v="N"/>
    <x v="1"/>
    <s v="N"/>
    <n v="0"/>
    <n v="0"/>
    <n v="0.1"/>
    <n v="0"/>
    <n v="0.16"/>
    <n v="0"/>
    <n v="0"/>
    <n v="0"/>
    <n v="0"/>
    <n v="0"/>
    <n v="1.33"/>
    <n v="1.1599999999999999"/>
    <n v="2.75"/>
    <n v="0.16666666699999999"/>
    <n v="5.5281434932154695E-4"/>
    <n v="0.27666666670000001"/>
    <m/>
    <m/>
    <n v="10"/>
    <s v="Acre-feet per Year"/>
    <s v="U_11"/>
    <n v="0"/>
    <n v="38.675940730000001"/>
    <n v="-122.71724872999999"/>
    <s v="UNST"/>
  </r>
  <r>
    <s v="L031392"/>
    <n v="20030129"/>
    <n v="11"/>
    <s v="N"/>
    <s v="Y"/>
    <s v="Y"/>
    <s v="Y"/>
    <x v="0"/>
    <s v="West Fork and Below Lake"/>
    <s v="Sonoma (d/s of Clov. Gage)"/>
    <x v="0"/>
    <n v="2003"/>
    <x v="0"/>
    <x v="0"/>
    <s v="Y"/>
    <s v="N"/>
    <s v="N"/>
    <s v="Y"/>
    <s v="N"/>
    <x v="1"/>
    <s v="N"/>
    <x v="1"/>
    <s v="N"/>
    <n v="0"/>
    <n v="0"/>
    <n v="0.06"/>
    <n v="0"/>
    <n v="0.06"/>
    <n v="0"/>
    <n v="0"/>
    <n v="0"/>
    <n v="0"/>
    <n v="0"/>
    <n v="0.56000000000000005"/>
    <n v="0.5"/>
    <n v="1.1800000000000002"/>
    <n v="6.6666666999999999E-2"/>
    <n v="2.2112574039199597E-4"/>
    <n v="0.1200000001"/>
    <m/>
    <m/>
    <n v="10"/>
    <s v="Acre-feet per Year"/>
    <s v="U_11"/>
    <n v="0"/>
    <n v="38.683291420000003"/>
    <n v="-122.72730918000001"/>
    <s v="UNNAMED STREAM"/>
  </r>
  <r>
    <s v="L031393"/>
    <n v="20030128"/>
    <n v="11"/>
    <s v="N"/>
    <s v="Y"/>
    <s v="Y"/>
    <s v="Y"/>
    <x v="0"/>
    <s v="West Fork and Below Lake"/>
    <s v="Sonoma (d/s of Clov. Gage)"/>
    <x v="0"/>
    <n v="2003"/>
    <x v="0"/>
    <x v="0"/>
    <s v="Y"/>
    <s v="N"/>
    <s v="N"/>
    <s v="Y"/>
    <s v="N"/>
    <x v="1"/>
    <s v="N"/>
    <x v="1"/>
    <s v="N"/>
    <n v="0"/>
    <n v="0"/>
    <n v="0.1"/>
    <n v="0"/>
    <n v="0.13"/>
    <n v="0"/>
    <n v="0"/>
    <n v="0"/>
    <n v="0"/>
    <n v="0"/>
    <n v="1.1299999999999999"/>
    <n v="0.96"/>
    <n v="2.3199999999999998"/>
    <n v="0.133333333"/>
    <n v="4.4225147746710584E-4"/>
    <n v="0.4666666666"/>
    <m/>
    <m/>
    <n v="5"/>
    <s v="Acre-feet per Year"/>
    <s v="U_11"/>
    <n v="0"/>
    <n v="38.692712899999997"/>
    <n v="-122.75718629000001"/>
    <s v="UNSP"/>
  </r>
  <r>
    <s v="L031414"/>
    <n v="20030417"/>
    <n v="1"/>
    <s v="N"/>
    <s v="N"/>
    <s v="Y"/>
    <s v="Y"/>
    <x v="0"/>
    <s v="West Fork and Below Lake"/>
    <s v="Outside"/>
    <x v="0"/>
    <n v="2003"/>
    <x v="0"/>
    <x v="0"/>
    <s v="Y"/>
    <s v="N"/>
    <s v="N"/>
    <s v="Y"/>
    <s v="N"/>
    <x v="1"/>
    <s v="N"/>
    <x v="0"/>
    <s v="N"/>
    <n v="1.06"/>
    <n v="1.06"/>
    <n v="1.06"/>
    <n v="0"/>
    <n v="0"/>
    <n v="0"/>
    <n v="0"/>
    <n v="0"/>
    <n v="0"/>
    <n v="0"/>
    <n v="0"/>
    <n v="1.06"/>
    <n v="4.24"/>
    <n v="0"/>
    <n v="0"/>
    <n v="0.43537414979591832"/>
    <m/>
    <m/>
    <n v="9.8000000000000007"/>
    <s v="Acre-feet per Year"/>
    <s v="U_1"/>
    <n v="0"/>
    <n v="39.311570279999998"/>
    <n v="-123.20877874999999"/>
    <s v="UNST"/>
  </r>
  <r>
    <s v="L031420"/>
    <n v="20030417"/>
    <n v="1"/>
    <s v="N"/>
    <s v="N"/>
    <s v="Y"/>
    <s v="Y"/>
    <x v="0"/>
    <s v="West Fork and Below Lake"/>
    <s v="Outside"/>
    <x v="0"/>
    <n v="2003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.1"/>
    <s v="Acre-feet per Year"/>
    <s v="U_1"/>
    <n v="0"/>
    <n v="39.312450120000001"/>
    <n v="-123.2158944"/>
    <s v="UNST"/>
  </r>
  <r>
    <s v="L031423"/>
    <n v="20030502"/>
    <n v="4"/>
    <s v="Y"/>
    <s v="N"/>
    <s v="Y"/>
    <s v="Y"/>
    <x v="0"/>
    <s v="West Fork and Below Lake"/>
    <s v="Mendocino (d/s of lake)"/>
    <x v="0"/>
    <n v="2003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"/>
    <s v="Acre-feet per Year"/>
    <s v="U_4"/>
    <n v="0"/>
    <n v="39.19617556"/>
    <n v="-123.32707726"/>
    <s v="UNSP"/>
  </r>
  <r>
    <s v="A031504"/>
    <n v="20031009"/>
    <n v="2"/>
    <s v="N"/>
    <s v="N"/>
    <s v="Y"/>
    <s v="N"/>
    <x v="0"/>
    <s v="Outside"/>
    <s v="Outside"/>
    <x v="0"/>
    <n v="2003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9"/>
    <s v="Acre-feet per Year"/>
    <s v="U_2"/>
    <n v="0"/>
    <n v="39.351253620000001"/>
    <n v="-123.15605777"/>
    <s v="UNST"/>
  </r>
  <r>
    <s v="L031457"/>
    <n v="20031014"/>
    <n v="2"/>
    <s v="N"/>
    <s v="N"/>
    <s v="Y"/>
    <s v="N"/>
    <x v="0"/>
    <s v="Outside"/>
    <s v="Outside"/>
    <x v="0"/>
    <n v="2003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.3"/>
    <s v="Acre-feet per Year"/>
    <s v="U_2"/>
    <n v="0"/>
    <n v="39.333594560000002"/>
    <n v="-123.08205497"/>
    <s v="UNST"/>
  </r>
  <r>
    <s v="A023869"/>
    <n v="20020221"/>
    <n v="1"/>
    <s v="N"/>
    <s v="N"/>
    <s v="Y"/>
    <s v="Y"/>
    <x v="0"/>
    <s v="West Fork and Below Lake"/>
    <s v="Outside"/>
    <x v="0"/>
    <n v="2002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9.4"/>
    <s v="Acre-feet per Year"/>
    <s v="U_1"/>
    <n v="0"/>
    <n v="39.302223079999997"/>
    <n v="-123.22336362"/>
    <s v="UNCR"/>
  </r>
  <r>
    <s v="D031376"/>
    <n v="20021216"/>
    <n v="2"/>
    <s v="N"/>
    <s v="N"/>
    <s v="Y"/>
    <s v="N"/>
    <x v="0"/>
    <s v="Outside"/>
    <s v="Outside"/>
    <x v="0"/>
    <n v="2002"/>
    <x v="0"/>
    <x v="0"/>
    <s v="Y"/>
    <s v="N"/>
    <s v="N"/>
    <s v="Y"/>
    <s v="N"/>
    <x v="1"/>
    <s v="N"/>
    <x v="0"/>
    <s v="N"/>
    <n v="2.66"/>
    <n v="2.33"/>
    <n v="1"/>
    <n v="0"/>
    <n v="0"/>
    <n v="0"/>
    <n v="0"/>
    <n v="0"/>
    <n v="0"/>
    <n v="0"/>
    <n v="0.33"/>
    <n v="1.66"/>
    <n v="7.98"/>
    <n v="0"/>
    <n v="0"/>
    <n v="1"/>
    <m/>
    <m/>
    <n v="8"/>
    <s v="Acre-feet per Year"/>
    <s v="U_2"/>
    <n v="3.4039024194010059E-4"/>
    <n v="39.30156968"/>
    <n v="-123.08747678"/>
    <s v="UNST"/>
  </r>
  <r>
    <s v="A031304"/>
    <n v="20020124"/>
    <n v="22"/>
    <s v="N"/>
    <s v="N"/>
    <s v="N"/>
    <s v="N"/>
    <x v="1"/>
    <s v="Outside"/>
    <s v="Outside"/>
    <x v="0"/>
    <n v="2002"/>
    <x v="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8"/>
    <s v="Acre-feet per Year"/>
    <s v="L_22"/>
    <n v="0"/>
    <n v="38.789628980000003"/>
    <n v="-123.13136512"/>
    <s v="UNST"/>
  </r>
  <r>
    <s v="A031311"/>
    <n v="20020304"/>
    <n v="6"/>
    <s v="Y"/>
    <s v="N"/>
    <s v="Y"/>
    <s v="Y"/>
    <x v="0"/>
    <s v="West Fork and Below Lake"/>
    <s v="Mendocino (d/s of lake)"/>
    <x v="0"/>
    <n v="2002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6"/>
    <s v="Acre-feet per Year"/>
    <s v="U_6"/>
    <n v="0"/>
    <n v="38.977682360000003"/>
    <n v="-123.10487628"/>
    <s v="RUSSIAN RIVER"/>
  </r>
  <r>
    <s v="A031336"/>
    <n v="20020531"/>
    <n v="6"/>
    <s v="Y"/>
    <s v="N"/>
    <s v="Y"/>
    <s v="Y"/>
    <x v="0"/>
    <s v="West Fork and Below Lake"/>
    <s v="Mendocino (d/s of lake)"/>
    <x v="0"/>
    <n v="2002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5"/>
    <s v="Acre-feet per Year"/>
    <s v="U_6"/>
    <n v="0"/>
    <n v="38.962299999999999"/>
    <n v="-123.0227"/>
    <s v="UNST"/>
  </r>
  <r>
    <s v="A031362"/>
    <n v="20020823"/>
    <n v="22"/>
    <s v="N"/>
    <s v="N"/>
    <s v="N"/>
    <s v="N"/>
    <x v="1"/>
    <s v="Outside"/>
    <s v="Outside"/>
    <x v="0"/>
    <n v="2002"/>
    <x v="0"/>
    <x v="0"/>
    <s v="N"/>
    <s v="N"/>
    <s v="N"/>
    <s v="Y"/>
    <s v="N"/>
    <x v="1"/>
    <s v="N"/>
    <x v="0"/>
    <s v="N"/>
    <n v="7.733333333"/>
    <n v="3.8666666670000001"/>
    <n v="0"/>
    <n v="0"/>
    <n v="0"/>
    <n v="0"/>
    <n v="0"/>
    <n v="0"/>
    <n v="0"/>
    <n v="0"/>
    <n v="5.9666666670000001"/>
    <n v="2.0333333329999999"/>
    <n v="19.600000000000001"/>
    <n v="0"/>
    <n v="0"/>
    <n v="0.40833333333333338"/>
    <m/>
    <m/>
    <n v="48"/>
    <s v="Acre-feet per Year"/>
    <s v="L_22"/>
    <n v="0"/>
    <n v="38.801450199999998"/>
    <n v="-123.11576100000001"/>
    <s v="UNST"/>
  </r>
  <r>
    <s v="A031386"/>
    <n v="20021114"/>
    <n v="5"/>
    <s v="Y"/>
    <s v="N"/>
    <s v="Y"/>
    <s v="Y"/>
    <x v="0"/>
    <s v="West Fork and Below Lake"/>
    <s v="Mendocino (d/s of lake)"/>
    <x v="0"/>
    <n v="2002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6"/>
    <s v="Acre-feet per Year"/>
    <s v="U_5"/>
    <n v="0"/>
    <n v="39.067590639999999"/>
    <n v="-123.19642415"/>
    <s v="UNST"/>
  </r>
  <r>
    <s v="A031387"/>
    <n v="20021104"/>
    <n v="4"/>
    <s v="Y"/>
    <s v="N"/>
    <s v="Y"/>
    <s v="Y"/>
    <x v="0"/>
    <s v="West Fork and Below Lake"/>
    <s v="Mendocino (d/s of lake)"/>
    <x v="0"/>
    <n v="2002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7"/>
    <s v="Acre-feet per Year"/>
    <s v="U_4"/>
    <n v="0"/>
    <n v="39.184060350000003"/>
    <n v="-123.21961091"/>
    <s v="UNST"/>
  </r>
  <r>
    <s v="A031418"/>
    <n v="20021104"/>
    <n v="1"/>
    <s v="N"/>
    <s v="N"/>
    <s v="Y"/>
    <s v="Y"/>
    <x v="0"/>
    <s v="West Fork and Below Lake"/>
    <s v="Outside"/>
    <x v="0"/>
    <n v="2002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16.3"/>
    <s v="Acre-feet per Year"/>
    <s v="U_1"/>
    <n v="0"/>
    <n v="39.210106080000003"/>
    <n v="-123.21312007"/>
    <s v="UNST"/>
  </r>
  <r>
    <s v="D031267"/>
    <n v="20020111"/>
    <n v="16"/>
    <s v="N"/>
    <s v="N"/>
    <s v="N"/>
    <s v="N"/>
    <x v="1"/>
    <s v="Outside"/>
    <s v="Outside"/>
    <x v="0"/>
    <n v="2002"/>
    <x v="0"/>
    <x v="0"/>
    <s v="N"/>
    <s v="N"/>
    <s v="N"/>
    <s v="Y"/>
    <s v="N"/>
    <x v="1"/>
    <s v="N"/>
    <x v="0"/>
    <s v="N"/>
    <n v="0.43"/>
    <n v="0.43"/>
    <n v="0.43"/>
    <n v="0.43"/>
    <n v="0"/>
    <n v="0"/>
    <n v="0"/>
    <n v="0"/>
    <n v="0"/>
    <n v="0.43"/>
    <n v="0.43"/>
    <n v="0.43"/>
    <n v="3.0100000000000002"/>
    <n v="0"/>
    <n v="0"/>
    <n v="1.0033333333333334"/>
    <m/>
    <m/>
    <n v="3"/>
    <s v="Acre-feet per Year"/>
    <s v="L_16"/>
    <n v="3.4039024194010059E-4"/>
    <n v="38.628299630000001"/>
    <n v="-122.92177110999999"/>
    <s v="UNST"/>
  </r>
  <r>
    <s v="D031318"/>
    <n v="20020502"/>
    <n v="11"/>
    <s v="N"/>
    <s v="Y"/>
    <s v="Y"/>
    <s v="Y"/>
    <x v="0"/>
    <s v="West Fork and Below Lake"/>
    <s v="Sonoma (d/s of Clov. Gage)"/>
    <x v="0"/>
    <n v="2002"/>
    <x v="0"/>
    <x v="0"/>
    <s v="Y"/>
    <s v="N"/>
    <s v="N"/>
    <s v="Y"/>
    <s v="N"/>
    <x v="1"/>
    <s v="N"/>
    <x v="0"/>
    <s v="N"/>
    <n v="0.45"/>
    <n v="0"/>
    <n v="0"/>
    <n v="6.6666670000000003E-3"/>
    <n v="0"/>
    <n v="0"/>
    <n v="0"/>
    <n v="0"/>
    <n v="0"/>
    <n v="0"/>
    <n v="0.18"/>
    <n v="0.4"/>
    <n v="1.036666667"/>
    <n v="0"/>
    <n v="0"/>
    <n v="0.14952380957142861"/>
    <m/>
    <m/>
    <n v="7"/>
    <s v="Acre-feet per Year"/>
    <s v="U_11"/>
    <n v="3.4039024194010059E-4"/>
    <n v="38.653412400000001"/>
    <n v="-122.72482076999999"/>
    <s v="UNST"/>
  </r>
  <r>
    <s v="D031331"/>
    <n v="20020603"/>
    <n v="23"/>
    <s v="N"/>
    <s v="N"/>
    <s v="N"/>
    <s v="N"/>
    <x v="1"/>
    <s v="Outside"/>
    <s v="Outside"/>
    <x v="0"/>
    <n v="2002"/>
    <x v="0"/>
    <x v="0"/>
    <s v="N"/>
    <s v="N"/>
    <s v="N"/>
    <s v="Y"/>
    <s v="N"/>
    <x v="1"/>
    <s v="N"/>
    <x v="1"/>
    <s v="N"/>
    <n v="1E-3"/>
    <n v="1.6666669999999999E-3"/>
    <n v="6.3666700000000005E-4"/>
    <n v="0"/>
    <n v="1.6666700000000001E-4"/>
    <n v="0"/>
    <n v="0"/>
    <n v="0"/>
    <n v="0"/>
    <n v="0"/>
    <n v="0"/>
    <n v="3.33333E-4"/>
    <n v="3.8033340000000002E-3"/>
    <n v="1.6666700000000001E-4"/>
    <n v="5.5281545384461463E-7"/>
    <n v="3.8033340000000003E-4"/>
    <m/>
    <m/>
    <n v="10"/>
    <s v="Acre-feet per Year"/>
    <s v="L_28"/>
    <n v="3.4039024194010059E-4"/>
    <n v="38.36330435"/>
    <n v="-122.64956153"/>
    <s v="UNST"/>
  </r>
  <r>
    <s v="D031380"/>
    <n v="20021226"/>
    <n v="6"/>
    <s v="Y"/>
    <s v="N"/>
    <s v="Y"/>
    <s v="Y"/>
    <x v="0"/>
    <s v="West Fork and Below Lake"/>
    <s v="Mendocino (d/s of lake)"/>
    <x v="0"/>
    <n v="2002"/>
    <x v="0"/>
    <x v="1"/>
    <s v="Y"/>
    <s v="N"/>
    <s v="N"/>
    <s v="Y"/>
    <s v="N"/>
    <x v="1"/>
    <s v="N"/>
    <x v="1"/>
    <s v="N"/>
    <n v="0.04"/>
    <n v="0.04"/>
    <n v="0.04"/>
    <n v="0.04"/>
    <n v="0.04"/>
    <n v="0.04"/>
    <n v="0.04"/>
    <n v="0.04"/>
    <n v="0.04"/>
    <n v="0.04"/>
    <n v="0.04"/>
    <n v="0.04"/>
    <n v="0.47999999999999993"/>
    <n v="0.23333333333333348"/>
    <n v="7.7394008750228589E-4"/>
    <n v="0.11066666666666673"/>
    <m/>
    <m/>
    <n v="5"/>
    <s v="Acre-feet per Year"/>
    <s v="U_6"/>
    <n v="3.4039024194010059E-4"/>
    <n v="38.960983249999998"/>
    <n v="-123.102675"/>
    <s v="RUSSIAN RIVER UNDERFLOW"/>
  </r>
  <r>
    <s v="D031390"/>
    <n v="20021016"/>
    <n v="12"/>
    <s v="N"/>
    <s v="Y"/>
    <s v="Y"/>
    <s v="Y"/>
    <x v="0"/>
    <s v="West Fork and Below Lake"/>
    <s v="Sonoma (d/s of Clov. Gage)"/>
    <x v="0"/>
    <n v="2002"/>
    <x v="0"/>
    <x v="0"/>
    <s v="Y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2.5299999999999998"/>
    <n v="0"/>
    <n v="2.5299999999999998"/>
    <n v="0"/>
    <n v="0"/>
    <n v="0.25333333329999996"/>
    <m/>
    <m/>
    <n v="10"/>
    <s v="Acre-feet per Year"/>
    <s v="U_12"/>
    <n v="3.4039024194010059E-4"/>
    <n v="38.595300000000002"/>
    <n v="-122.7906"/>
    <s v="UNNAMED STREAM"/>
  </r>
  <r>
    <s v="D031410"/>
    <n v="20021223"/>
    <n v="4"/>
    <s v="Y"/>
    <s v="N"/>
    <s v="Y"/>
    <s v="Y"/>
    <x v="0"/>
    <s v="West Fork and Below Lake"/>
    <s v="Mendocino (d/s of lake)"/>
    <x v="0"/>
    <n v="2002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.1"/>
    <s v="Acre-feet per Year"/>
    <s v="U_4"/>
    <n v="3.4039024194010059E-4"/>
    <n v="39.204275359999997"/>
    <n v="-123.29527784"/>
    <s v="UNSP"/>
  </r>
  <r>
    <s v="L031319"/>
    <n v="20020509"/>
    <n v="11"/>
    <s v="N"/>
    <s v="Y"/>
    <s v="Y"/>
    <s v="Y"/>
    <x v="0"/>
    <s v="West Fork and Below Lake"/>
    <s v="Sonoma (d/s of Clov. Gage)"/>
    <x v="0"/>
    <n v="2002"/>
    <x v="0"/>
    <x v="0"/>
    <s v="Y"/>
    <s v="N"/>
    <s v="N"/>
    <s v="Y"/>
    <s v="N"/>
    <x v="1"/>
    <s v="N"/>
    <x v="0"/>
    <s v="N"/>
    <n v="0.88"/>
    <n v="0"/>
    <n v="0"/>
    <n v="0.01"/>
    <n v="0"/>
    <n v="0"/>
    <n v="0"/>
    <n v="0"/>
    <n v="0"/>
    <n v="0"/>
    <n v="0.14000000000000001"/>
    <n v="0.44"/>
    <n v="1.47"/>
    <n v="0"/>
    <n v="0"/>
    <n v="0.29533333340000001"/>
    <m/>
    <m/>
    <n v="5"/>
    <s v="Acre-feet per Year"/>
    <s v="U_11"/>
    <n v="0"/>
    <n v="38.659096650000002"/>
    <n v="-122.71236528"/>
    <s v="UNST"/>
  </r>
  <r>
    <s v="L031353"/>
    <n v="20020904"/>
    <n v="6"/>
    <s v="Y"/>
    <s v="N"/>
    <s v="Y"/>
    <s v="Y"/>
    <x v="0"/>
    <s v="West Fork and Below Lake"/>
    <s v="Mendocino (d/s of lake)"/>
    <x v="0"/>
    <n v="2002"/>
    <x v="0"/>
    <x v="0"/>
    <s v="Y"/>
    <s v="N"/>
    <s v="N"/>
    <s v="Y"/>
    <s v="N"/>
    <x v="1"/>
    <s v="N"/>
    <x v="1"/>
    <s v="N"/>
    <n v="0"/>
    <n v="0.23"/>
    <n v="0"/>
    <n v="0"/>
    <n v="0.01"/>
    <n v="0"/>
    <n v="0"/>
    <n v="0"/>
    <n v="0"/>
    <n v="0"/>
    <n v="0.05"/>
    <n v="0.43"/>
    <n v="0.72"/>
    <n v="1.6666667E-2"/>
    <n v="5.5281435927220511E-5"/>
    <n v="0.74"/>
    <m/>
    <m/>
    <n v="1"/>
    <s v="Acre-feet per Year"/>
    <s v="U_6"/>
    <n v="0"/>
    <n v="38.955583300000001"/>
    <n v="-123.0902749"/>
    <s v="UNST"/>
  </r>
  <r>
    <s v="L031378"/>
    <n v="20021217"/>
    <n v="1"/>
    <s v="N"/>
    <s v="N"/>
    <s v="Y"/>
    <s v="Y"/>
    <x v="0"/>
    <s v="West Fork and Below Lake"/>
    <s v="Outside"/>
    <x v="0"/>
    <n v="2002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8"/>
    <s v="Acre-feet per Year"/>
    <s v="U_1"/>
    <n v="0"/>
    <n v="39.320368770000002"/>
    <n v="-123.22587699"/>
    <s v="UNST"/>
  </r>
  <r>
    <s v="A031385"/>
    <n v="20021202"/>
    <n v="16"/>
    <s v="N"/>
    <s v="N"/>
    <s v="N"/>
    <s v="N"/>
    <x v="1"/>
    <s v="Outside"/>
    <s v="Outside"/>
    <x v="0"/>
    <n v="2002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9.399999999999999"/>
    <s v="Acre-feet per Year"/>
    <s v="L_16"/>
    <n v="0"/>
    <n v="38.627138619999997"/>
    <n v="-122.92126075"/>
    <s v="UNNAMED STREAM"/>
  </r>
  <r>
    <s v="A031183"/>
    <n v="20010227"/>
    <n v="4"/>
    <s v="Y"/>
    <s v="N"/>
    <s v="Y"/>
    <s v="Y"/>
    <x v="0"/>
    <s v="West Fork and Below Lake"/>
    <s v="Mendocino (d/s of lake)"/>
    <x v="0"/>
    <n v="2001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9.5"/>
    <s v="Acre-feet per Year"/>
    <s v="U_4"/>
    <n v="3.4039024194010059E-4"/>
    <n v="39.154459000000003"/>
    <n v="-123.17016808"/>
    <s v="UNST"/>
  </r>
  <r>
    <s v="A031255"/>
    <n v="20010404"/>
    <n v="5"/>
    <s v="Y"/>
    <s v="N"/>
    <s v="Y"/>
    <s v="Y"/>
    <x v="0"/>
    <s v="West Fork and Below Lake"/>
    <s v="Mendocino (d/s of lake)"/>
    <x v="0"/>
    <n v="2001"/>
    <x v="0"/>
    <x v="1"/>
    <s v="Y"/>
    <s v="N"/>
    <s v="N"/>
    <s v="Y"/>
    <s v="N"/>
    <x v="1"/>
    <s v="N"/>
    <x v="0"/>
    <s v="N"/>
    <n v="3.4"/>
    <n v="2.4300000000000002"/>
    <n v="1.1599999999999999"/>
    <n v="0"/>
    <n v="0"/>
    <n v="0"/>
    <n v="0"/>
    <n v="0"/>
    <n v="0"/>
    <n v="0"/>
    <n v="0"/>
    <n v="9.23"/>
    <n v="16.22"/>
    <n v="0"/>
    <n v="0"/>
    <n v="0.51209253417455303"/>
    <m/>
    <m/>
    <n v="31.7"/>
    <s v="Acre-feet per Year"/>
    <s v="U_5"/>
    <n v="0"/>
    <n v="39.0931"/>
    <n v="-123.1932"/>
    <s v="UNNAMED STREAM"/>
  </r>
  <r>
    <s v="A031257"/>
    <n v="20010607"/>
    <n v="21"/>
    <s v="N"/>
    <s v="N"/>
    <s v="N"/>
    <s v="N"/>
    <x v="1"/>
    <s v="Outside"/>
    <s v="Outside"/>
    <x v="0"/>
    <n v="2001"/>
    <x v="0"/>
    <x v="1"/>
    <s v="N"/>
    <s v="N"/>
    <s v="N"/>
    <s v="Y"/>
    <s v="N"/>
    <x v="1"/>
    <s v="N"/>
    <x v="1"/>
    <s v="N"/>
    <n v="0.77559199999999995"/>
    <n v="0.68968933300000002"/>
    <n v="0.72468533300000004"/>
    <n v="0.79154599999999997"/>
    <n v="0.75499300000000003"/>
    <n v="0.94104399999999999"/>
    <n v="0.61733333300000004"/>
    <n v="0.64600000000000002"/>
    <n v="0.61233333300000004"/>
    <n v="0.672666667"/>
    <n v="0.89060600000000001"/>
    <n v="1.1153169999999999"/>
    <n v="9.2318059989999988"/>
    <n v="3.5717036659999999"/>
    <n v="1.1846934204841172E-2"/>
    <n v="0.14202778459999998"/>
    <m/>
    <m/>
    <n v="65"/>
    <s v="Acre-feet per Year"/>
    <s v="L_21"/>
    <n v="0"/>
    <n v="38.465403129999999"/>
    <n v="-123.00887394999999"/>
    <s v="RUSSIAN RIVER UNDERFLOW"/>
  </r>
  <r>
    <s v="A031258"/>
    <n v="20010620"/>
    <n v="1"/>
    <s v="N"/>
    <s v="N"/>
    <s v="Y"/>
    <s v="Y"/>
    <x v="0"/>
    <s v="West Fork and Below Lake"/>
    <s v="Outside"/>
    <x v="0"/>
    <n v="2001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0"/>
    <s v="Acre-feet per Year"/>
    <s v="U_1"/>
    <n v="0"/>
    <n v="39.298569090000001"/>
    <n v="-123.20847842000001"/>
    <s v="RUSSIAN RIVER UNDERFLOW"/>
  </r>
  <r>
    <s v="A031259"/>
    <n v="20010404"/>
    <n v="1"/>
    <s v="N"/>
    <s v="N"/>
    <s v="Y"/>
    <s v="Y"/>
    <x v="0"/>
    <s v="West Fork and Below Lake"/>
    <s v="Outside"/>
    <x v="0"/>
    <n v="2001"/>
    <x v="0"/>
    <x v="0"/>
    <s v="Y"/>
    <s v="N"/>
    <s v="N"/>
    <s v="Y"/>
    <s v="N"/>
    <x v="1"/>
    <s v="N"/>
    <x v="0"/>
    <s v="N"/>
    <n v="6.65"/>
    <n v="1.45"/>
    <n v="4.2"/>
    <n v="0"/>
    <n v="0"/>
    <n v="0"/>
    <n v="0"/>
    <n v="0"/>
    <n v="0"/>
    <n v="0"/>
    <n v="1"/>
    <n v="4.3499999999999996"/>
    <n v="17.649999999999999"/>
    <n v="0"/>
    <n v="0"/>
    <n v="0.46447368421052626"/>
    <m/>
    <m/>
    <n v="38"/>
    <s v="Acre-feet per Year"/>
    <s v="U_1"/>
    <n v="0"/>
    <n v="39.3247"/>
    <n v="-123.23260000000001"/>
    <s v="UNST"/>
  </r>
  <r>
    <s v="A031260"/>
    <n v="20010620"/>
    <n v="1"/>
    <s v="N"/>
    <s v="N"/>
    <s v="Y"/>
    <s v="Y"/>
    <x v="0"/>
    <s v="West Fork and Below Lake"/>
    <s v="Outside"/>
    <x v="0"/>
    <n v="2001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9"/>
    <s v="Acre-feet per Year"/>
    <s v="U_1"/>
    <n v="0"/>
    <n v="39.29556934"/>
    <n v="-123.19817872"/>
    <s v="UNST"/>
  </r>
  <r>
    <s v="A031262"/>
    <n v="20010919"/>
    <n v="9"/>
    <s v="N"/>
    <s v="Y"/>
    <s v="Y"/>
    <s v="Y"/>
    <x v="0"/>
    <s v="West Fork and Below Lake"/>
    <s v="Sonoma (d/s of Clov. Gage)"/>
    <x v="0"/>
    <n v="2001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2"/>
    <s v="Acre-feet per Year"/>
    <s v="U_9"/>
    <n v="0"/>
    <n v="38.849703669999997"/>
    <n v="-122.99933151"/>
    <s v="UNNAMED STREAM"/>
  </r>
  <r>
    <s v="A031296"/>
    <n v="20011116"/>
    <n v="6"/>
    <s v="Y"/>
    <s v="N"/>
    <s v="Y"/>
    <s v="Y"/>
    <x v="0"/>
    <s v="West Fork and Below Lake"/>
    <s v="Mendocino (d/s of lake)"/>
    <x v="0"/>
    <n v="2001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23"/>
    <s v="Acre-feet per Year"/>
    <s v="U_6"/>
    <n v="0"/>
    <n v="38.983488020000003"/>
    <n v="-123.10331699"/>
    <s v="RUSSIAN RIVER"/>
  </r>
  <r>
    <s v="A031315"/>
    <n v="20010221"/>
    <n v="4"/>
    <s v="Y"/>
    <s v="N"/>
    <s v="Y"/>
    <s v="Y"/>
    <x v="0"/>
    <s v="West Fork and Below Lake"/>
    <s v="Mendocino (d/s of lake)"/>
    <x v="0"/>
    <n v="2001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0"/>
    <s v="Acre-feet per Year"/>
    <s v="U_4"/>
    <n v="3.4039024194010059E-4"/>
    <n v="39.173400000000001"/>
    <n v="-123.19499999999999"/>
    <m/>
  </r>
  <r>
    <s v="A031339"/>
    <n v="20011130"/>
    <n v="1"/>
    <s v="N"/>
    <s v="N"/>
    <s v="Y"/>
    <s v="Y"/>
    <x v="0"/>
    <s v="West Fork and Below Lake"/>
    <s v="Outside"/>
    <x v="0"/>
    <n v="2001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36"/>
    <s v="Acre-feet per Year"/>
    <s v="U_1"/>
    <n v="3.4039024194010059E-4"/>
    <n v="39.293399999999998"/>
    <n v="-123.26009999999999"/>
    <s v="UNST"/>
  </r>
  <r>
    <s v="A031464"/>
    <n v="20011214"/>
    <n v="5"/>
    <s v="Y"/>
    <s v="N"/>
    <s v="Y"/>
    <s v="Y"/>
    <x v="0"/>
    <s v="West Fork and Below Lake"/>
    <s v="Mendocino (d/s of lake)"/>
    <x v="0"/>
    <n v="2001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06"/>
    <s v="Acre-feet per Year"/>
    <s v="U_5"/>
    <n v="3.4039024194010059E-4"/>
    <n v="39.043100000000003"/>
    <n v="-123.1464"/>
    <s v="RUSSIAN RIVER"/>
  </r>
  <r>
    <s v="A031465"/>
    <n v="20011214"/>
    <n v="5"/>
    <s v="Y"/>
    <s v="N"/>
    <s v="Y"/>
    <s v="Y"/>
    <x v="0"/>
    <s v="West Fork and Below Lake"/>
    <s v="Mendocino (d/s of lake)"/>
    <x v="0"/>
    <n v="2001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0"/>
    <s v="Acre-feet per Year"/>
    <s v="U_5"/>
    <n v="0"/>
    <n v="39.035303290000002"/>
    <n v="-123.12893382"/>
    <s v="RUSSIAN RIVER UNDERFLOW"/>
  </r>
  <r>
    <s v="A031554"/>
    <n v="20010801"/>
    <n v="4"/>
    <s v="Y"/>
    <s v="N"/>
    <s v="Y"/>
    <s v="Y"/>
    <x v="0"/>
    <s v="West Fork and Below Lake"/>
    <s v="Mendocino (d/s of lake)"/>
    <x v="0"/>
    <n v="2001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65"/>
    <s v="Acre-feet per Year"/>
    <s v="U_4"/>
    <n v="0"/>
    <n v="39.148309060000003"/>
    <n v="-123.18099879"/>
    <s v="RUSSIAN RIVER UNDERFLOW"/>
  </r>
  <r>
    <s v="D031143"/>
    <n v="20010201"/>
    <n v="10"/>
    <s v="N"/>
    <s v="Y"/>
    <s v="Y"/>
    <s v="Y"/>
    <x v="0"/>
    <s v="West Fork and Below Lake"/>
    <s v="Sonoma (d/s of Clov. Gage)"/>
    <x v="0"/>
    <n v="2001"/>
    <x v="0"/>
    <x v="1"/>
    <s v="Y"/>
    <s v="N"/>
    <s v="N"/>
    <s v="Y"/>
    <s v="N"/>
    <x v="1"/>
    <s v="N"/>
    <x v="1"/>
    <s v="N"/>
    <n v="4.16"/>
    <n v="0.93"/>
    <n v="0.13"/>
    <n v="0.73"/>
    <n v="0.5"/>
    <n v="0"/>
    <n v="0"/>
    <n v="0"/>
    <n v="0"/>
    <n v="0.16"/>
    <n v="1.3"/>
    <n v="1.5"/>
    <n v="9.41"/>
    <n v="0.5"/>
    <n v="1.6584430446477544E-3"/>
    <n v="0.95286195286195308"/>
    <m/>
    <m/>
    <n v="9.9"/>
    <s v="Acre-feet per Year"/>
    <s v="U_10"/>
    <n v="3.4039024194010059E-4"/>
    <n v="38.684798309999998"/>
    <n v="-122.87357179999999"/>
    <s v="UNST"/>
  </r>
  <r>
    <s v="A031256"/>
    <n v="20010504"/>
    <n v="16"/>
    <s v="N"/>
    <s v="N"/>
    <s v="N"/>
    <s v="N"/>
    <x v="1"/>
    <s v="Outside"/>
    <s v="Outside"/>
    <x v="0"/>
    <n v="2001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4"/>
    <s v="Acre-feet per Year"/>
    <s v="L_16"/>
    <n v="3.4039024194010059E-4"/>
    <n v="38.590698760000002"/>
    <n v="-122.90067691"/>
    <s v="UNST"/>
  </r>
  <r>
    <s v="A031040"/>
    <n v="20000107"/>
    <n v="6"/>
    <s v="Y"/>
    <s v="N"/>
    <s v="Y"/>
    <s v="Y"/>
    <x v="0"/>
    <s v="West Fork and Below Lake"/>
    <s v="Mendocino (d/s of lake)"/>
    <x v="0"/>
    <n v="2000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97"/>
    <s v="Acre-feet per Year"/>
    <s v="U_6"/>
    <n v="0"/>
    <n v="38.958771919999997"/>
    <n v="-123.10363605000001"/>
    <s v="RUSSIAN RIVER"/>
  </r>
  <r>
    <s v="A031050"/>
    <n v="20000320"/>
    <n v="12"/>
    <s v="N"/>
    <s v="Y"/>
    <s v="Y"/>
    <s v="Y"/>
    <x v="0"/>
    <s v="West Fork and Below Lake"/>
    <s v="Sonoma (d/s of Clov. Gage)"/>
    <x v="0"/>
    <n v="2000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56"/>
    <s v="Acre-feet per Year"/>
    <s v="U_12"/>
    <n v="0"/>
    <n v="38.615000000000002"/>
    <n v="-122.77249999999999"/>
    <s v="MAACAMA CREEK"/>
  </r>
  <r>
    <s v="A031055"/>
    <n v="20000113"/>
    <n v="21"/>
    <s v="N"/>
    <s v="N"/>
    <s v="N"/>
    <s v="N"/>
    <x v="1"/>
    <s v="Outside"/>
    <s v="Outside"/>
    <x v="0"/>
    <n v="2000"/>
    <x v="0"/>
    <x v="1"/>
    <s v="N"/>
    <s v="N"/>
    <s v="N"/>
    <s v="Y"/>
    <s v="N"/>
    <x v="1"/>
    <s v="N"/>
    <x v="1"/>
    <s v="N"/>
    <n v="3.2903893329999998"/>
    <n v="2.8668213329999999"/>
    <n v="2.325643667"/>
    <n v="3.4946543330000002"/>
    <n v="3.327451333"/>
    <n v="4.1267023329999999"/>
    <n v="3.9415663329999999"/>
    <n v="5.028371667"/>
    <n v="4.3767036670000001"/>
    <n v="4.0021256669999996"/>
    <n v="3.48332"/>
    <n v="3.218403667"/>
    <n v="43.482153332999999"/>
    <n v="20.800795333000003"/>
    <n v="6.8993868686310647E-2"/>
    <n v="0.48313503703333333"/>
    <m/>
    <m/>
    <n v="90"/>
    <s v="Acre-feet per Year"/>
    <s v="L_21"/>
    <n v="0"/>
    <n v="38.465570589999999"/>
    <n v="-123.00856546"/>
    <s v="RUSSIAN RIVER"/>
  </r>
  <r>
    <s v="A031056"/>
    <n v="20000407"/>
    <n v="12"/>
    <s v="N"/>
    <s v="Y"/>
    <s v="Y"/>
    <s v="Y"/>
    <x v="0"/>
    <s v="West Fork and Below Lake"/>
    <s v="Sonoma (d/s of Clov. Gage)"/>
    <x v="0"/>
    <n v="2000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5"/>
    <s v="Acre-feet per Year"/>
    <s v="U_12"/>
    <n v="3.4039024194010059E-4"/>
    <n v="38.600159669999996"/>
    <n v="-122.75519715999999"/>
    <s v="UNST"/>
  </r>
  <r>
    <s v="A031057"/>
    <n v="20000407"/>
    <n v="4"/>
    <s v="Y"/>
    <s v="N"/>
    <s v="Y"/>
    <s v="Y"/>
    <x v="0"/>
    <s v="West Fork and Below Lake"/>
    <s v="Mendocino (d/s of lake)"/>
    <x v="0"/>
    <n v="2000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5"/>
    <s v="Acre-feet per Year"/>
    <s v="U_4"/>
    <n v="0"/>
    <n v="39.209800000000001"/>
    <n v="-123.2363"/>
    <s v="HENSLEY CREEK"/>
  </r>
  <r>
    <s v="A031095"/>
    <n v="20000803"/>
    <n v="8"/>
    <s v="N"/>
    <s v="Y"/>
    <s v="Y"/>
    <s v="Y"/>
    <x v="0"/>
    <s v="West Fork and Below Lake"/>
    <s v="Sonoma (d/s of Clov. Gage)"/>
    <x v="0"/>
    <n v="2000"/>
    <x v="0"/>
    <x v="0"/>
    <s v="Y"/>
    <s v="N"/>
    <s v="N"/>
    <s v="Y"/>
    <s v="N"/>
    <x v="1"/>
    <s v="N"/>
    <x v="0"/>
    <s v="N"/>
    <n v="7.43"/>
    <n v="0.71"/>
    <n v="0"/>
    <n v="0"/>
    <n v="0"/>
    <n v="0"/>
    <n v="0"/>
    <n v="0"/>
    <n v="0"/>
    <n v="0"/>
    <n v="0"/>
    <n v="2.02"/>
    <n v="10.16"/>
    <n v="0"/>
    <n v="0"/>
    <n v="0.42361111108333332"/>
    <m/>
    <m/>
    <n v="24"/>
    <s v="Acre-feet per Year"/>
    <s v="U_8"/>
    <n v="0"/>
    <n v="38.847000000000001"/>
    <n v="-122.9539"/>
    <s v="UNNAMED STREAM"/>
  </r>
  <r>
    <s v="A031171"/>
    <n v="20001227"/>
    <n v="4"/>
    <s v="Y"/>
    <s v="N"/>
    <s v="Y"/>
    <s v="Y"/>
    <x v="0"/>
    <s v="West Fork and Below Lake"/>
    <s v="Mendocino (d/s of lake)"/>
    <x v="0"/>
    <n v="2000"/>
    <x v="0"/>
    <x v="0"/>
    <s v="Y"/>
    <s v="N"/>
    <s v="N"/>
    <s v="Y"/>
    <s v="N"/>
    <x v="1"/>
    <s v="N"/>
    <x v="0"/>
    <s v="N"/>
    <n v="4.0599999999999996"/>
    <n v="1.63"/>
    <n v="0.53"/>
    <n v="0"/>
    <n v="0"/>
    <n v="0"/>
    <n v="0"/>
    <n v="0"/>
    <n v="0"/>
    <n v="0"/>
    <n v="0"/>
    <n v="2.2000000000000002"/>
    <n v="8.42"/>
    <n v="0"/>
    <n v="0"/>
    <n v="0.28111111110000003"/>
    <m/>
    <m/>
    <n v="30"/>
    <s v="Acre-feet per Year"/>
    <s v="U_4"/>
    <n v="0"/>
    <n v="39.189736869999997"/>
    <n v="-123.18451281"/>
    <s v="UNST"/>
  </r>
  <r>
    <s v="A031179"/>
    <n v="20001212"/>
    <n v="6"/>
    <s v="Y"/>
    <s v="N"/>
    <s v="Y"/>
    <s v="Y"/>
    <x v="0"/>
    <s v="West Fork and Below Lake"/>
    <s v="Mendocino (d/s of lake)"/>
    <x v="0"/>
    <n v="2000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58"/>
    <s v="Acre-feet per Year"/>
    <s v="U_6"/>
    <n v="0"/>
    <n v="38.98348447"/>
    <n v="-123.10331005"/>
    <s v="RUSSIAN RIVER"/>
  </r>
  <r>
    <s v="A031184"/>
    <n v="20000825"/>
    <n v="6"/>
    <s v="Y"/>
    <s v="N"/>
    <s v="Y"/>
    <s v="Y"/>
    <x v="0"/>
    <s v="West Fork and Below Lake"/>
    <s v="Mendocino (d/s of lake)"/>
    <x v="0"/>
    <n v="2000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0"/>
    <s v="Acre-feet per Year"/>
    <s v="U_6"/>
    <n v="0"/>
    <n v="38.978569520000001"/>
    <n v="-123.07991962"/>
    <s v="UNST"/>
  </r>
  <r>
    <s v="A031254"/>
    <n v="20001130"/>
    <n v="14"/>
    <s v="N"/>
    <s v="N"/>
    <s v="N"/>
    <s v="N"/>
    <x v="1"/>
    <s v="Outside"/>
    <s v="Outside"/>
    <x v="0"/>
    <n v="2000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.1"/>
    <s v="Acre-feet per Year"/>
    <s v="L_14"/>
    <n v="0"/>
    <n v="38.690899999999999"/>
    <n v="-123.00709999999999"/>
    <s v="FALL CREEK"/>
  </r>
  <r>
    <s v="D029831"/>
    <n v="20000924"/>
    <n v="16"/>
    <s v="N"/>
    <s v="N"/>
    <s v="N"/>
    <s v="N"/>
    <x v="1"/>
    <s v="Outside"/>
    <s v="Outside"/>
    <x v="0"/>
    <n v="2000"/>
    <x v="0"/>
    <x v="0"/>
    <s v="N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0"/>
    <n v="0.73333333300000003"/>
    <n v="0.73333333300000003"/>
    <n v="0"/>
    <n v="0"/>
    <n v="0.12222222216666667"/>
    <m/>
    <m/>
    <n v="6"/>
    <s v="Acre-feet per Year"/>
    <s v="L_16"/>
    <n v="3.4039024194010059E-4"/>
    <n v="38.627134380000001"/>
    <n v="-122.92119594"/>
    <s v="UNST"/>
  </r>
  <r>
    <s v="A031553"/>
    <n v="20001229"/>
    <n v="4"/>
    <s v="Y"/>
    <s v="N"/>
    <s v="Y"/>
    <s v="Y"/>
    <x v="0"/>
    <s v="West Fork and Below Lake"/>
    <s v="Mendocino (d/s of lake)"/>
    <x v="0"/>
    <n v="2000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67"/>
    <s v="Acre-feet per Year"/>
    <s v="U_4"/>
    <n v="0"/>
    <n v="39.148309060000003"/>
    <n v="-123.18099879"/>
    <s v="RUSSIAN RIVER"/>
  </r>
  <r>
    <s v="D031098"/>
    <n v="20000830"/>
    <n v="5"/>
    <s v="Y"/>
    <s v="N"/>
    <s v="Y"/>
    <s v="Y"/>
    <x v="0"/>
    <s v="West Fork and Below Lake"/>
    <s v="Mendocino (d/s of lake)"/>
    <x v="0"/>
    <n v="2000"/>
    <x v="0"/>
    <x v="0"/>
    <s v="Y"/>
    <s v="N"/>
    <s v="N"/>
    <s v="Y"/>
    <s v="N"/>
    <x v="1"/>
    <s v="N"/>
    <x v="0"/>
    <s v="N"/>
    <n v="0.6"/>
    <n v="0.6"/>
    <n v="0.3"/>
    <n v="0.13"/>
    <n v="0"/>
    <n v="0"/>
    <n v="0"/>
    <n v="0"/>
    <n v="0"/>
    <n v="0"/>
    <n v="0.06"/>
    <n v="0.4"/>
    <n v="2.09"/>
    <n v="0"/>
    <n v="0"/>
    <n v="1"/>
    <m/>
    <m/>
    <n v="2.1"/>
    <s v="Acre-feet per Year"/>
    <s v="U_5"/>
    <n v="3.4039024194010059E-4"/>
    <n v="39.032463380000003"/>
    <n v="-123.17766219000001"/>
    <s v="UNST"/>
  </r>
  <r>
    <s v="D031111"/>
    <n v="20000921"/>
    <n v="22"/>
    <s v="N"/>
    <s v="N"/>
    <s v="N"/>
    <s v="N"/>
    <x v="1"/>
    <s v="Outside"/>
    <s v="Outside"/>
    <x v="0"/>
    <n v="2000"/>
    <x v="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.4"/>
    <s v="Acre-feet per Year"/>
    <s v="L_22"/>
    <n v="3.4039024194010059E-4"/>
    <n v="38.723908739999999"/>
    <n v="-123.08317279000001"/>
    <s v="UNST"/>
  </r>
  <r>
    <s v="A030933"/>
    <n v="19990802"/>
    <n v="16"/>
    <s v="N"/>
    <s v="N"/>
    <s v="N"/>
    <s v="N"/>
    <x v="1"/>
    <s v="Outside"/>
    <s v="Outside"/>
    <x v="0"/>
    <n v="1999"/>
    <x v="0"/>
    <x v="0"/>
    <s v="N"/>
    <s v="N"/>
    <s v="N"/>
    <s v="Y"/>
    <s v="N"/>
    <x v="1"/>
    <s v="N"/>
    <x v="0"/>
    <s v="N"/>
    <n v="4.9666666670000001"/>
    <n v="4.3333333329999997"/>
    <n v="0"/>
    <n v="0"/>
    <n v="0"/>
    <n v="0"/>
    <n v="0"/>
    <n v="0"/>
    <n v="0"/>
    <n v="0"/>
    <n v="6.6666666999999999E-2"/>
    <n v="1"/>
    <n v="10.366666667000001"/>
    <n v="0"/>
    <n v="0"/>
    <n v="0.51833333334999998"/>
    <m/>
    <m/>
    <n v="20"/>
    <s v="Acre-feet per Year"/>
    <s v="L_16"/>
    <n v="0"/>
    <n v="38.5988264"/>
    <n v="-122.9067598"/>
    <s v="UNST"/>
  </r>
  <r>
    <s v="A030912"/>
    <n v="19990106"/>
    <n v="9"/>
    <s v="N"/>
    <s v="Y"/>
    <s v="Y"/>
    <s v="Y"/>
    <x v="0"/>
    <s v="West Fork and Below Lake"/>
    <s v="Sonoma (d/s of Clov. Gage)"/>
    <x v="0"/>
    <n v="1999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2.1"/>
    <s v="Acre-feet per Year"/>
    <s v="U_9"/>
    <n v="3.4039024194010059E-4"/>
    <n v="38.869977460000001"/>
    <n v="-123.05416876"/>
    <s v="UNST"/>
  </r>
  <r>
    <s v="A030931"/>
    <n v="19990629"/>
    <n v="12"/>
    <s v="N"/>
    <s v="Y"/>
    <s v="Y"/>
    <s v="Y"/>
    <x v="0"/>
    <s v="West Fork and Below Lake"/>
    <s v="Sonoma (d/s of Clov. Gage)"/>
    <x v="0"/>
    <n v="1999"/>
    <x v="0"/>
    <x v="0"/>
    <s v="Y"/>
    <s v="N"/>
    <s v="N"/>
    <s v="Y"/>
    <s v="N"/>
    <x v="1"/>
    <s v="N"/>
    <x v="0"/>
    <s v="N"/>
    <n v="0.46"/>
    <n v="0"/>
    <n v="0.03"/>
    <n v="0"/>
    <n v="0"/>
    <n v="0"/>
    <n v="0"/>
    <n v="0"/>
    <n v="0"/>
    <n v="0"/>
    <n v="0"/>
    <n v="1.06"/>
    <n v="1.55"/>
    <n v="0"/>
    <n v="0"/>
    <n v="1.9105691060975611E-2"/>
    <m/>
    <m/>
    <n v="82"/>
    <s v="Acre-feet per Year"/>
    <s v="U_12"/>
    <n v="0"/>
    <n v="38.626199999999997"/>
    <n v="-122.7512"/>
    <s v="UNST"/>
  </r>
  <r>
    <s v="A030954"/>
    <n v="19990513"/>
    <n v="12"/>
    <s v="N"/>
    <s v="Y"/>
    <s v="Y"/>
    <s v="Y"/>
    <x v="0"/>
    <s v="West Fork and Below Lake"/>
    <s v="Sonoma (d/s of Clov. Gage)"/>
    <x v="0"/>
    <n v="1999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98"/>
    <s v="Acre-feet per Year"/>
    <s v="U_12"/>
    <n v="3.4039024194010059E-4"/>
    <n v="38.629800000000003"/>
    <n v="-122.6662"/>
    <s v="UNST"/>
  </r>
  <r>
    <s v="A030955"/>
    <n v="19990513"/>
    <n v="11"/>
    <s v="N"/>
    <s v="Y"/>
    <s v="Y"/>
    <s v="Y"/>
    <x v="0"/>
    <s v="West Fork and Below Lake"/>
    <s v="Sonoma (d/s of Clov. Gage)"/>
    <x v="0"/>
    <n v="1999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55"/>
    <s v="Acre-feet per Year"/>
    <s v="U_11"/>
    <n v="3.4039024194010059E-4"/>
    <n v="38.634399999999999"/>
    <n v="-122.6635"/>
    <s v="YELLOWJACKET CREEK"/>
  </r>
  <r>
    <s v="A030988"/>
    <n v="19991008"/>
    <n v="6"/>
    <s v="Y"/>
    <s v="N"/>
    <s v="Y"/>
    <s v="Y"/>
    <x v="0"/>
    <s v="West Fork and Below Lake"/>
    <s v="Mendocino (d/s of lake)"/>
    <x v="0"/>
    <n v="1999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95"/>
    <s v="Acre-feet per Year"/>
    <s v="U_6"/>
    <n v="0"/>
    <n v="39.001899999999999"/>
    <n v="-123.10850000000001"/>
    <s v="UNST"/>
  </r>
  <r>
    <s v="A031049"/>
    <n v="19990414"/>
    <n v="11"/>
    <s v="N"/>
    <s v="Y"/>
    <s v="Y"/>
    <s v="Y"/>
    <x v="0"/>
    <s v="West Fork and Below Lake"/>
    <s v="Sonoma (d/s of Clov. Gage)"/>
    <x v="0"/>
    <n v="1999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5"/>
    <s v="Acre-feet per Year"/>
    <s v="U_11"/>
    <n v="0"/>
    <n v="38.644598309999999"/>
    <n v="-122.72341110000001"/>
    <s v="UNST"/>
  </r>
  <r>
    <s v="A031059"/>
    <n v="19990901"/>
    <n v="1"/>
    <s v="N"/>
    <s v="N"/>
    <s v="Y"/>
    <s v="Y"/>
    <x v="0"/>
    <s v="West Fork and Below Lake"/>
    <s v="Outside"/>
    <x v="0"/>
    <n v="1999"/>
    <x v="0"/>
    <x v="0"/>
    <s v="Y"/>
    <s v="N"/>
    <s v="N"/>
    <s v="Y"/>
    <s v="N"/>
    <x v="1"/>
    <s v="N"/>
    <x v="0"/>
    <s v="N"/>
    <n v="0"/>
    <n v="0"/>
    <n v="0"/>
    <n v="0.26"/>
    <n v="0"/>
    <n v="0"/>
    <n v="0"/>
    <n v="0"/>
    <n v="0"/>
    <n v="0"/>
    <n v="0"/>
    <n v="0"/>
    <n v="0.26"/>
    <n v="0"/>
    <n v="0"/>
    <n v="5.3333333400000002E-2"/>
    <m/>
    <m/>
    <n v="5"/>
    <s v="Acre-feet per Year"/>
    <s v="U_1"/>
    <n v="0"/>
    <n v="39.286341800000002"/>
    <n v="-123.31291768"/>
    <s v="UNST"/>
  </r>
  <r>
    <s v="A031060"/>
    <n v="19990901"/>
    <n v="1"/>
    <s v="N"/>
    <s v="N"/>
    <s v="Y"/>
    <s v="Y"/>
    <x v="0"/>
    <s v="West Fork and Below Lake"/>
    <s v="Outside"/>
    <x v="0"/>
    <n v="1999"/>
    <x v="0"/>
    <x v="0"/>
    <s v="Y"/>
    <s v="N"/>
    <s v="N"/>
    <s v="Y"/>
    <s v="N"/>
    <x v="1"/>
    <s v="N"/>
    <x v="0"/>
    <s v="N"/>
    <n v="2.93"/>
    <n v="0"/>
    <n v="0"/>
    <n v="0"/>
    <n v="0"/>
    <n v="0"/>
    <n v="0"/>
    <n v="0"/>
    <n v="0"/>
    <n v="0"/>
    <n v="0"/>
    <n v="5.7"/>
    <n v="8.6300000000000008"/>
    <n v="0"/>
    <n v="0"/>
    <n v="0.50784313725490171"/>
    <m/>
    <m/>
    <n v="17"/>
    <s v="Acre-feet per Year"/>
    <s v="U_1"/>
    <n v="0"/>
    <n v="39.2863428"/>
    <n v="-123.31288087"/>
    <s v="UNST"/>
  </r>
  <r>
    <s v="A031085"/>
    <n v="19990702"/>
    <n v="6"/>
    <s v="Y"/>
    <s v="N"/>
    <s v="Y"/>
    <s v="Y"/>
    <x v="0"/>
    <s v="West Fork and Below Lake"/>
    <s v="Mendocino (d/s of lake)"/>
    <x v="0"/>
    <n v="1999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3.099999999999994"/>
    <s v="Acre-feet per Year"/>
    <s v="U_6"/>
    <n v="0"/>
    <n v="39.018410000000003"/>
    <n v="-123.12525543"/>
    <s v="RUSSIAN RIVER"/>
  </r>
  <r>
    <s v="A031086"/>
    <n v="19991202"/>
    <n v="1"/>
    <s v="N"/>
    <s v="N"/>
    <s v="Y"/>
    <s v="Y"/>
    <x v="0"/>
    <s v="West Fork and Below Lake"/>
    <s v="Outside"/>
    <x v="0"/>
    <n v="1999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1"/>
    <s v="Acre-feet per Year"/>
    <s v="U_1"/>
    <n v="0"/>
    <n v="39.271138520000001"/>
    <n v="-123.25389088999999"/>
    <s v="UNSTR"/>
  </r>
  <r>
    <s v="A031087"/>
    <n v="19991202"/>
    <n v="1"/>
    <s v="N"/>
    <s v="N"/>
    <s v="Y"/>
    <s v="Y"/>
    <x v="0"/>
    <s v="West Fork and Below Lake"/>
    <s v="Outside"/>
    <x v="0"/>
    <n v="1999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2"/>
    <s v="Acre-feet per Year"/>
    <s v="U_1"/>
    <n v="0"/>
    <n v="39.271127470000003"/>
    <n v="-123.25387980000001"/>
    <s v="UNSTR"/>
  </r>
  <r>
    <s v="A031138"/>
    <n v="19991110"/>
    <n v="4"/>
    <s v="Y"/>
    <s v="N"/>
    <s v="Y"/>
    <s v="Y"/>
    <x v="0"/>
    <s v="West Fork and Below Lake"/>
    <s v="Mendocino (d/s of lake)"/>
    <x v="0"/>
    <n v="1999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60"/>
    <s v="Acre-feet per Year"/>
    <s v="U_4"/>
    <n v="0"/>
    <n v="39.185299999999998"/>
    <n v="-123.20050000000001"/>
    <s v="RUSSIAN RIVER"/>
  </r>
  <r>
    <s v="A031140"/>
    <n v="19991110"/>
    <n v="4"/>
    <s v="Y"/>
    <s v="N"/>
    <s v="Y"/>
    <s v="Y"/>
    <x v="0"/>
    <s v="West Fork and Below Lake"/>
    <s v="Mendocino (d/s of lake)"/>
    <x v="0"/>
    <n v="1999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00"/>
    <s v="Acre-feet per Year"/>
    <s v="U_4"/>
    <n v="0"/>
    <n v="39.196300000000001"/>
    <n v="-123.22320000000001"/>
    <s v="HENSLEY CREEK"/>
  </r>
  <r>
    <s v="A031141"/>
    <n v="19991110"/>
    <n v="4"/>
    <s v="Y"/>
    <s v="N"/>
    <s v="Y"/>
    <s v="Y"/>
    <x v="0"/>
    <s v="West Fork and Below Lake"/>
    <s v="Mendocino (d/s of lake)"/>
    <x v="0"/>
    <n v="1999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20"/>
    <s v="Acre-feet per Year"/>
    <s v="U_4"/>
    <n v="0"/>
    <n v="39.185299999999998"/>
    <n v="-123.20050000000001"/>
    <s v="RUSSIAN RIVER"/>
  </r>
  <r>
    <s v="A031159"/>
    <n v="19990816"/>
    <n v="6"/>
    <s v="Y"/>
    <s v="N"/>
    <s v="Y"/>
    <s v="Y"/>
    <x v="0"/>
    <s v="West Fork and Below Lake"/>
    <s v="Mendocino (d/s of lake)"/>
    <x v="0"/>
    <n v="1999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60"/>
    <s v="Acre-feet per Year"/>
    <s v="U_6"/>
    <n v="0"/>
    <n v="38.993957899999998"/>
    <n v="-123.13170058999999"/>
    <s v="UNST"/>
  </r>
  <r>
    <s v="D030863"/>
    <n v="19990112"/>
    <n v="6"/>
    <s v="Y"/>
    <s v="N"/>
    <s v="Y"/>
    <s v="Y"/>
    <x v="0"/>
    <s v="West Fork and Below Lake"/>
    <s v="Mendocino (d/s of lake)"/>
    <x v="0"/>
    <n v="1999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9.6"/>
    <s v="Acre-feet per Year"/>
    <s v="U_6"/>
    <n v="3.4039024194010059E-4"/>
    <n v="38.940561170000002"/>
    <n v="-123.11284694"/>
    <s v="UNSP"/>
  </r>
  <r>
    <s v="D030890"/>
    <n v="19990407"/>
    <n v="12"/>
    <s v="N"/>
    <s v="Y"/>
    <s v="Y"/>
    <s v="Y"/>
    <x v="0"/>
    <s v="West Fork and Below Lake"/>
    <s v="Sonoma (d/s of Clov. Gage)"/>
    <x v="0"/>
    <n v="1999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.6"/>
    <s v="Acre-feet per Year"/>
    <s v="U_12"/>
    <n v="3.4039024194010059E-4"/>
    <n v="38.567399999999999"/>
    <n v="-122.64790000000001"/>
    <s v="UNST"/>
  </r>
  <r>
    <s v="D030904"/>
    <n v="19990414"/>
    <n v="12"/>
    <s v="N"/>
    <s v="Y"/>
    <s v="Y"/>
    <s v="Y"/>
    <x v="0"/>
    <s v="West Fork and Below Lake"/>
    <s v="Sonoma (d/s of Clov. Gage)"/>
    <x v="0"/>
    <n v="1999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.7"/>
    <s v="Acre-feet per Year"/>
    <s v="U_12"/>
    <n v="3.4039024194010059E-4"/>
    <n v="38.582447870000003"/>
    <n v="-122.69742802"/>
    <s v="UNST"/>
  </r>
  <r>
    <s v="D030969"/>
    <n v="19990806"/>
    <n v="1"/>
    <s v="N"/>
    <s v="N"/>
    <s v="Y"/>
    <s v="Y"/>
    <x v="0"/>
    <s v="West Fork and Below Lake"/>
    <s v="Outside"/>
    <x v="0"/>
    <n v="1999"/>
    <x v="0"/>
    <x v="0"/>
    <s v="Y"/>
    <s v="N"/>
    <s v="N"/>
    <s v="Y"/>
    <s v="N"/>
    <x v="1"/>
    <s v="N"/>
    <x v="0"/>
    <s v="N"/>
    <n v="0.18"/>
    <n v="0.17"/>
    <n v="0.13"/>
    <n v="0.01"/>
    <n v="0"/>
    <n v="0"/>
    <n v="0"/>
    <n v="0"/>
    <n v="0"/>
    <n v="7.0000000000000007E-2"/>
    <n v="0.17"/>
    <n v="0.2"/>
    <n v="0.93000000000000016"/>
    <n v="0"/>
    <n v="0"/>
    <n v="9.5333333333333381E-2"/>
    <m/>
    <m/>
    <n v="10"/>
    <s v="Acre-feet per Year"/>
    <s v="U_1"/>
    <n v="3.4039024194010059E-4"/>
    <n v="39.244117240000001"/>
    <n v="-123.31219872"/>
    <s v="UNST"/>
  </r>
  <r>
    <s v="D030985"/>
    <n v="19991122"/>
    <n v="1"/>
    <s v="N"/>
    <s v="N"/>
    <s v="Y"/>
    <s v="Y"/>
    <x v="0"/>
    <s v="West Fork and Below Lake"/>
    <s v="Outside"/>
    <x v="0"/>
    <n v="1999"/>
    <x v="0"/>
    <x v="0"/>
    <s v="Y"/>
    <s v="N"/>
    <s v="N"/>
    <s v="Y"/>
    <s v="N"/>
    <x v="1"/>
    <s v="N"/>
    <x v="1"/>
    <s v="N"/>
    <n v="0"/>
    <n v="0"/>
    <n v="0"/>
    <n v="0.33"/>
    <n v="0.33"/>
    <n v="0.33"/>
    <n v="0.33"/>
    <n v="0.33"/>
    <n v="0.33"/>
    <n v="0.33"/>
    <n v="0"/>
    <n v="0"/>
    <n v="2.31"/>
    <n v="1.6666666650000002"/>
    <n v="5.5281434766310386E-3"/>
    <n v="0.31531531500000004"/>
    <m/>
    <m/>
    <n v="7.4"/>
    <s v="Acre-feet per Year"/>
    <s v="U_1"/>
    <n v="3.4039024194010059E-4"/>
    <n v="39.278562999999998"/>
    <n v="-123.17116265"/>
    <s v="UNST"/>
  </r>
  <r>
    <s v="D031005"/>
    <n v="19990617"/>
    <n v="11"/>
    <s v="N"/>
    <s v="Y"/>
    <s v="Y"/>
    <s v="Y"/>
    <x v="0"/>
    <s v="West Fork and Below Lake"/>
    <s v="Sonoma (d/s of Clov. Gage)"/>
    <x v="0"/>
    <n v="1999"/>
    <x v="0"/>
    <x v="0"/>
    <s v="Y"/>
    <s v="N"/>
    <s v="N"/>
    <s v="Y"/>
    <s v="N"/>
    <x v="1"/>
    <s v="N"/>
    <x v="1"/>
    <s v="N"/>
    <n v="0.4"/>
    <n v="0.38"/>
    <n v="0.26"/>
    <n v="0.47"/>
    <n v="0.25"/>
    <n v="0.27"/>
    <n v="0.33"/>
    <n v="0.39"/>
    <n v="0.37"/>
    <n v="0.28000000000000003"/>
    <n v="0.23"/>
    <n v="0.23"/>
    <n v="3.8600000000000003"/>
    <n v="1.62"/>
    <n v="5.3733554646587254E-3"/>
    <n v="0.948780487804878"/>
    <m/>
    <m/>
    <n v="4.0999999999999996"/>
    <s v="Acre-feet per Year"/>
    <s v="U_11"/>
    <n v="3.4039024194010059E-4"/>
    <n v="38.684100000000001"/>
    <n v="-122.6571"/>
    <s v="UNST"/>
  </r>
  <r>
    <s v="A030683"/>
    <n v="19980129"/>
    <n v="1"/>
    <s v="N"/>
    <s v="N"/>
    <s v="Y"/>
    <s v="Y"/>
    <x v="0"/>
    <s v="West Fork and Below Lake"/>
    <s v="Outside"/>
    <x v="0"/>
    <n v="1998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1"/>
    <s v="Acre-feet per Year"/>
    <s v="U_1"/>
    <n v="3.4039024194010059E-4"/>
    <n v="39.325799099999998"/>
    <n v="-123.22950898000001"/>
    <s v="UNST"/>
  </r>
  <r>
    <s v="A030730"/>
    <n v="19980323"/>
    <n v="11"/>
    <s v="N"/>
    <s v="Y"/>
    <s v="Y"/>
    <s v="Y"/>
    <x v="0"/>
    <s v="West Fork and Below Lake"/>
    <s v="Sonoma (d/s of Clov. Gage)"/>
    <x v="0"/>
    <n v="1998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5"/>
    <s v="Acre-feet per Year"/>
    <s v="U_11"/>
    <n v="0"/>
    <n v="38.639011510000003"/>
    <n v="-122.64808076"/>
    <s v="UNST"/>
  </r>
  <r>
    <s v="A030744"/>
    <n v="19980615"/>
    <n v="12"/>
    <s v="N"/>
    <s v="Y"/>
    <s v="Y"/>
    <s v="Y"/>
    <x v="0"/>
    <s v="West Fork and Below Lake"/>
    <s v="Sonoma (d/s of Clov. Gage)"/>
    <x v="0"/>
    <n v="1998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5"/>
    <s v="Acre-feet per Year"/>
    <s v="U_12"/>
    <n v="3.4039024194010059E-4"/>
    <n v="38.610773119999998"/>
    <n v="-122.75281637000001"/>
    <s v="UNST"/>
  </r>
  <r>
    <s v="A030745"/>
    <n v="19980323"/>
    <n v="11"/>
    <s v="N"/>
    <s v="Y"/>
    <s v="Y"/>
    <s v="Y"/>
    <x v="0"/>
    <s v="West Fork and Below Lake"/>
    <s v="Sonoma (d/s of Clov. Gage)"/>
    <x v="0"/>
    <n v="1998"/>
    <x v="0"/>
    <x v="0"/>
    <s v="Y"/>
    <s v="N"/>
    <s v="N"/>
    <s v="Y"/>
    <s v="N"/>
    <x v="1"/>
    <s v="N"/>
    <x v="0"/>
    <s v="N"/>
    <n v="5.23"/>
    <n v="0.8"/>
    <n v="2.13"/>
    <n v="0.23"/>
    <n v="0"/>
    <n v="0"/>
    <n v="0"/>
    <n v="0"/>
    <n v="0"/>
    <n v="0"/>
    <n v="0"/>
    <n v="1.73"/>
    <n v="10.120000000000001"/>
    <n v="0"/>
    <n v="0"/>
    <n v="0.11921568625882352"/>
    <m/>
    <m/>
    <n v="85"/>
    <s v="Acre-feet per Year"/>
    <s v="U_11"/>
    <n v="0"/>
    <n v="38.661099999999998"/>
    <n v="-122.66540000000001"/>
    <m/>
  </r>
  <r>
    <s v="A030779"/>
    <n v="19980318"/>
    <n v="6"/>
    <s v="Y"/>
    <s v="N"/>
    <s v="Y"/>
    <s v="Y"/>
    <x v="0"/>
    <s v="West Fork and Below Lake"/>
    <s v="Mendocino (d/s of lake)"/>
    <x v="0"/>
    <n v="1998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82"/>
    <s v="Acre-feet per Year"/>
    <s v="U_6"/>
    <n v="0"/>
    <n v="38.969779289999998"/>
    <n v="-123.12983771"/>
    <s v="FELIZ CREEK"/>
  </r>
  <r>
    <s v="A030780"/>
    <n v="19980318"/>
    <n v="6"/>
    <s v="Y"/>
    <s v="N"/>
    <s v="Y"/>
    <s v="Y"/>
    <x v="0"/>
    <s v="West Fork and Below Lake"/>
    <s v="Mendocino (d/s of lake)"/>
    <x v="0"/>
    <n v="1998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51"/>
    <s v="Acre-feet per Year"/>
    <s v="U_6"/>
    <n v="0"/>
    <n v="38.98204956"/>
    <n v="-123.14478905999999"/>
    <s v="UNST"/>
  </r>
  <r>
    <s v="A030781"/>
    <n v="19980427"/>
    <n v="8"/>
    <s v="N"/>
    <s v="Y"/>
    <s v="Y"/>
    <s v="Y"/>
    <x v="0"/>
    <s v="West Fork and Below Lake"/>
    <s v="Sonoma (d/s of Clov. Gage)"/>
    <x v="0"/>
    <n v="1998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4"/>
    <s v="Acre-feet per Year"/>
    <s v="U_8"/>
    <n v="3.4039024194010059E-4"/>
    <n v="38.841205080000002"/>
    <n v="-122.97225165"/>
    <s v="UNST (AKA CARPENTER CREEK)"/>
  </r>
  <r>
    <s v="A030796"/>
    <n v="19980914"/>
    <n v="18"/>
    <s v="N"/>
    <s v="N"/>
    <s v="N"/>
    <s v="N"/>
    <x v="1"/>
    <s v="Outside"/>
    <s v="Outside"/>
    <x v="0"/>
    <n v="1998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8"/>
    <s v="Acre-feet per Year"/>
    <s v="L_18"/>
    <n v="0"/>
    <n v="38.468574179999997"/>
    <n v="-122.87005773"/>
    <s v="UNNAMED STREAM"/>
  </r>
  <r>
    <s v="A030797"/>
    <n v="19980616"/>
    <n v="22"/>
    <s v="N"/>
    <s v="N"/>
    <s v="N"/>
    <s v="N"/>
    <x v="1"/>
    <s v="Outside"/>
    <s v="Outside"/>
    <x v="0"/>
    <n v="1998"/>
    <x v="0"/>
    <x v="0"/>
    <s v="N"/>
    <s v="N"/>
    <s v="N"/>
    <s v="Y"/>
    <s v="N"/>
    <x v="1"/>
    <s v="N"/>
    <x v="0"/>
    <s v="N"/>
    <n v="12.4"/>
    <n v="1.2"/>
    <n v="0.33333333300000001"/>
    <n v="0"/>
    <n v="0"/>
    <n v="0"/>
    <n v="0"/>
    <n v="0"/>
    <n v="0"/>
    <n v="0"/>
    <n v="0"/>
    <n v="2"/>
    <n v="15.933333333"/>
    <n v="0"/>
    <n v="0"/>
    <n v="0.63733333331999997"/>
    <m/>
    <m/>
    <n v="25"/>
    <s v="Acre-feet per Year"/>
    <s v="L_22"/>
    <n v="0"/>
    <n v="38.820700000000002"/>
    <n v="-123.0908"/>
    <s v="UNST"/>
  </r>
  <r>
    <s v="A030800"/>
    <n v="19980807"/>
    <n v="23"/>
    <s v="N"/>
    <s v="N"/>
    <s v="N"/>
    <s v="N"/>
    <x v="1"/>
    <s v="Outside"/>
    <s v="Outside"/>
    <x v="0"/>
    <n v="1998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5"/>
    <s v="Acre-feet per Year"/>
    <s v="L_23"/>
    <n v="0"/>
    <n v="38.566635159999997"/>
    <n v="-122.80341683"/>
    <s v="WINDSOR CREEK"/>
  </r>
  <r>
    <s v="A030805"/>
    <n v="19980225"/>
    <n v="12"/>
    <s v="N"/>
    <s v="Y"/>
    <s v="Y"/>
    <s v="Y"/>
    <x v="0"/>
    <s v="West Fork and Below Lake"/>
    <s v="Sonoma (d/s of Clov. Gage)"/>
    <x v="0"/>
    <n v="1998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4"/>
    <s v="Acre-feet per Year"/>
    <s v="U_12"/>
    <n v="3.4039024194010059E-4"/>
    <n v="38.600161020000002"/>
    <n v="-122.75519663999999"/>
    <s v="UNNAMED STREAM"/>
  </r>
  <r>
    <s v="A030806"/>
    <n v="19980810"/>
    <n v="12"/>
    <s v="N"/>
    <s v="Y"/>
    <s v="Y"/>
    <s v="Y"/>
    <x v="0"/>
    <s v="West Fork and Below Lake"/>
    <s v="Sonoma (d/s of Clov. Gage)"/>
    <x v="0"/>
    <n v="1998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5.2"/>
    <s v="Acre-feet per Year"/>
    <s v="U_12"/>
    <n v="0"/>
    <n v="38.606299999999997"/>
    <n v="-122.758"/>
    <s v="UNST"/>
  </r>
  <r>
    <s v="A030807"/>
    <n v="19980203"/>
    <n v="12"/>
    <s v="N"/>
    <s v="Y"/>
    <s v="Y"/>
    <s v="Y"/>
    <x v="0"/>
    <s v="West Fork and Below Lake"/>
    <s v="Sonoma (d/s of Clov. Gage)"/>
    <x v="0"/>
    <n v="1998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9"/>
    <s v="Acre-feet per Year"/>
    <s v="U_12"/>
    <n v="0"/>
    <n v="38.600999999999999"/>
    <n v="-122.7535"/>
    <s v="UNST"/>
  </r>
  <r>
    <s v="A030815"/>
    <n v="19980309"/>
    <n v="12"/>
    <s v="N"/>
    <s v="Y"/>
    <s v="Y"/>
    <s v="Y"/>
    <x v="0"/>
    <s v="West Fork and Below Lake"/>
    <s v="Sonoma (d/s of Clov. Gage)"/>
    <x v="0"/>
    <n v="1998"/>
    <x v="0"/>
    <x v="0"/>
    <s v="Y"/>
    <s v="N"/>
    <s v="N"/>
    <s v="Y"/>
    <s v="N"/>
    <x v="1"/>
    <s v="N"/>
    <x v="0"/>
    <s v="N"/>
    <n v="2.66"/>
    <n v="3.33"/>
    <n v="1.33"/>
    <n v="0.66"/>
    <n v="0"/>
    <n v="0"/>
    <n v="0"/>
    <n v="0"/>
    <n v="0"/>
    <n v="0"/>
    <n v="0"/>
    <n v="1.33"/>
    <n v="9.31"/>
    <n v="0"/>
    <n v="0"/>
    <n v="0.40579710143478265"/>
    <m/>
    <m/>
    <n v="23"/>
    <s v="Acre-feet per Year"/>
    <s v="U_12"/>
    <n v="3.4039024194010059E-4"/>
    <n v="38.649523240000001"/>
    <n v="-122.76898349"/>
    <s v="UNST"/>
  </r>
  <r>
    <s v="A030877A"/>
    <n v="19981130"/>
    <n v="5"/>
    <s v="Y"/>
    <s v="N"/>
    <s v="Y"/>
    <s v="Y"/>
    <x v="0"/>
    <s v="West Fork and Below Lake"/>
    <s v="Mendocino (d/s of lake)"/>
    <x v="0"/>
    <n v="1998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8.2"/>
    <s v="Acre-feet per Year"/>
    <s v="U_5"/>
    <n v="0"/>
    <n v="39.040599999999998"/>
    <n v="-123.1527"/>
    <s v="MCNAB CREEK"/>
  </r>
  <r>
    <s v="A030877B"/>
    <n v="19981130"/>
    <n v="5"/>
    <s v="Y"/>
    <s v="N"/>
    <s v="Y"/>
    <s v="Y"/>
    <x v="0"/>
    <s v="West Fork and Below Lake"/>
    <s v="Mendocino (d/s of lake)"/>
    <x v="0"/>
    <n v="1998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5.8"/>
    <s v="Acre-feet per Year"/>
    <s v="U_5"/>
    <n v="0"/>
    <n v="39.04"/>
    <n v="-123.1575"/>
    <s v="UNNAMED STREAM"/>
  </r>
  <r>
    <s v="A030878A"/>
    <n v="19981130"/>
    <n v="5"/>
    <s v="Y"/>
    <s v="N"/>
    <s v="Y"/>
    <s v="Y"/>
    <x v="0"/>
    <s v="West Fork and Below Lake"/>
    <s v="Mendocino (d/s of lake)"/>
    <x v="0"/>
    <n v="1998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0"/>
    <s v="Acre-feet per Year"/>
    <s v="U_5"/>
    <n v="0"/>
    <n v="39.040599999999998"/>
    <n v="-123.1527"/>
    <s v="MCNAB CREEK"/>
  </r>
  <r>
    <s v="A030878B"/>
    <n v="19981130"/>
    <n v="5"/>
    <s v="Y"/>
    <s v="N"/>
    <s v="Y"/>
    <s v="Y"/>
    <x v="0"/>
    <s v="West Fork and Below Lake"/>
    <s v="Mendocino (d/s of lake)"/>
    <x v="0"/>
    <n v="1998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5.2"/>
    <s v="Acre-feet per Year"/>
    <s v="U_5"/>
    <n v="0"/>
    <n v="39.039000000000001"/>
    <n v="-123.14919999999999"/>
    <s v="MCNAB CREEK"/>
  </r>
  <r>
    <s v="A030880"/>
    <n v="19981026"/>
    <n v="18"/>
    <s v="N"/>
    <s v="N"/>
    <s v="N"/>
    <s v="N"/>
    <x v="1"/>
    <s v="Outside"/>
    <s v="Outside"/>
    <x v="0"/>
    <n v="1998"/>
    <x v="0"/>
    <x v="1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8.9"/>
    <s v="Acre-feet per Year"/>
    <s v="L_18"/>
    <n v="0"/>
    <n v="38.515369560000003"/>
    <n v="-122.8678508"/>
    <s v="RUSSIAN RIVER UNDERFLOW"/>
  </r>
  <r>
    <s v="A030882"/>
    <n v="19980325"/>
    <n v="18"/>
    <s v="N"/>
    <s v="N"/>
    <s v="N"/>
    <s v="N"/>
    <x v="1"/>
    <s v="Outside"/>
    <s v="Outside"/>
    <x v="0"/>
    <n v="1998"/>
    <x v="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"/>
    <s v="Acre-feet per Year"/>
    <s v="L_18"/>
    <n v="0"/>
    <n v="38.5625"/>
    <n v="-122.9757"/>
    <s v="UNST"/>
  </r>
  <r>
    <s v="A030982"/>
    <n v="19980615"/>
    <n v="6"/>
    <s v="Y"/>
    <s v="N"/>
    <s v="Y"/>
    <s v="Y"/>
    <x v="0"/>
    <s v="West Fork and Below Lake"/>
    <s v="Mendocino (d/s of lake)"/>
    <x v="0"/>
    <n v="1998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4.5"/>
    <s v="Acre-feet per Year"/>
    <s v="U_6"/>
    <n v="0"/>
    <n v="38.977682360000003"/>
    <n v="-123.10487628"/>
    <s v="RUSSIAN RIVER"/>
  </r>
  <r>
    <s v="D030758"/>
    <n v="19980729"/>
    <n v="16"/>
    <s v="N"/>
    <s v="N"/>
    <s v="N"/>
    <s v="N"/>
    <x v="1"/>
    <s v="Outside"/>
    <s v="Outside"/>
    <x v="0"/>
    <n v="1998"/>
    <x v="0"/>
    <x v="0"/>
    <s v="N"/>
    <s v="N"/>
    <s v="N"/>
    <s v="Y"/>
    <s v="N"/>
    <x v="1"/>
    <s v="N"/>
    <x v="0"/>
    <s v="N"/>
    <n v="0.3"/>
    <n v="0.2"/>
    <n v="4.4999999999999998E-2"/>
    <n v="0"/>
    <n v="0"/>
    <n v="0"/>
    <n v="0"/>
    <n v="0"/>
    <n v="0"/>
    <n v="2.2499999999999999E-2"/>
    <n v="0.1"/>
    <n v="0.15"/>
    <n v="0.8175"/>
    <n v="0"/>
    <n v="0"/>
    <n v="0.204375"/>
    <m/>
    <m/>
    <n v="4"/>
    <s v="Acre-feet per Year"/>
    <s v="L_16"/>
    <n v="3.4039024194010059E-4"/>
    <n v="38.59785523"/>
    <n v="-122.90804568"/>
    <s v="UNST"/>
  </r>
  <r>
    <s v="D030712"/>
    <n v="19980522"/>
    <n v="11"/>
    <s v="N"/>
    <s v="Y"/>
    <s v="Y"/>
    <s v="Y"/>
    <x v="0"/>
    <s v="West Fork and Below Lake"/>
    <s v="Sonoma (d/s of Clov. Gage)"/>
    <x v="0"/>
    <n v="1998"/>
    <x v="0"/>
    <x v="0"/>
    <s v="Y"/>
    <s v="N"/>
    <s v="N"/>
    <s v="Y"/>
    <s v="N"/>
    <x v="1"/>
    <s v="N"/>
    <x v="1"/>
    <s v="N"/>
    <n v="1.5345000000000001E-3"/>
    <n v="1.5345000000000001E-3"/>
    <n v="1.5345000000000001E-3"/>
    <n v="1.5345000000000001E-3"/>
    <n v="1.5345000000000001E-3"/>
    <n v="1.5345000000000001E-3"/>
    <n v="1.5345000000000001E-3"/>
    <n v="1.5345000000000001E-3"/>
    <n v="1.5345000000000001E-3"/>
    <n v="1.5345000000000001E-3"/>
    <n v="1.5345000000000001E-3"/>
    <n v="1.5345000000000001E-3"/>
    <n v="1.8414E-2"/>
    <n v="7.6725000000000005E-3"/>
    <n v="2.5448808520119796E-5"/>
    <n v="2.0459999999999999E-2"/>
    <m/>
    <m/>
    <n v="0.9"/>
    <s v="Acre-feet per Year"/>
    <s v="U_11"/>
    <n v="3.4039024194010059E-4"/>
    <n v="38.67859455"/>
    <n v="-122.66332708"/>
    <s v="UNSP"/>
  </r>
  <r>
    <s v="D030727"/>
    <n v="19980225"/>
    <n v="12"/>
    <s v="N"/>
    <s v="Y"/>
    <s v="Y"/>
    <s v="Y"/>
    <x v="0"/>
    <s v="West Fork and Below Lake"/>
    <s v="Sonoma (d/s of Clov. Gage)"/>
    <x v="0"/>
    <n v="1998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"/>
    <s v="Acre-feet per Year"/>
    <s v="U_12"/>
    <n v="3.4039024194010059E-4"/>
    <n v="38.619399710000003"/>
    <n v="-122.75640771"/>
    <s v="UNST"/>
  </r>
  <r>
    <s v="D030732"/>
    <n v="19980225"/>
    <n v="12"/>
    <s v="N"/>
    <s v="Y"/>
    <s v="Y"/>
    <s v="Y"/>
    <x v="0"/>
    <s v="West Fork and Below Lake"/>
    <s v="Sonoma (d/s of Clov. Gage)"/>
    <x v="0"/>
    <n v="1998"/>
    <x v="0"/>
    <x v="0"/>
    <s v="Y"/>
    <s v="N"/>
    <s v="N"/>
    <s v="Y"/>
    <s v="N"/>
    <x v="1"/>
    <s v="N"/>
    <x v="0"/>
    <s v="N"/>
    <n v="0.03"/>
    <n v="0.93"/>
    <n v="0.1"/>
    <n v="0.36"/>
    <n v="0"/>
    <n v="0"/>
    <n v="0"/>
    <n v="0"/>
    <n v="0"/>
    <n v="0"/>
    <n v="0.56000000000000005"/>
    <n v="0.46"/>
    <n v="2.44"/>
    <n v="0"/>
    <n v="0"/>
    <n v="0.49333333340000002"/>
    <m/>
    <m/>
    <n v="5"/>
    <s v="Acre-feet per Year"/>
    <s v="U_12"/>
    <n v="3.4039024194010059E-4"/>
    <n v="38.60715914"/>
    <n v="-122.75960255"/>
    <s v="UNST"/>
  </r>
  <r>
    <s v="D030755"/>
    <n v="19980223"/>
    <n v="12"/>
    <s v="N"/>
    <s v="Y"/>
    <s v="Y"/>
    <s v="Y"/>
    <x v="0"/>
    <s v="West Fork and Below Lake"/>
    <s v="Sonoma (d/s of Clov. Gage)"/>
    <x v="0"/>
    <n v="1998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"/>
    <s v="Acre-feet per Year"/>
    <s v="U_12"/>
    <n v="3.4039024194010059E-4"/>
    <n v="38.619"/>
    <n v="-122.6537"/>
    <s v="UNST"/>
  </r>
  <r>
    <s v="D030759"/>
    <n v="19980904"/>
    <n v="11"/>
    <s v="N"/>
    <s v="Y"/>
    <s v="Y"/>
    <s v="Y"/>
    <x v="0"/>
    <s v="West Fork and Below Lake"/>
    <s v="Sonoma (d/s of Clov. Gage)"/>
    <x v="0"/>
    <n v="1998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8"/>
    <s v="Acre-feet per Year"/>
    <s v="U_11"/>
    <n v="3.4039024194010059E-4"/>
    <n v="38.690364469999999"/>
    <n v="-122.66991849999999"/>
    <s v="UNST"/>
  </r>
  <r>
    <s v="D030760"/>
    <n v="19980825"/>
    <n v="12"/>
    <s v="N"/>
    <s v="Y"/>
    <s v="Y"/>
    <s v="Y"/>
    <x v="0"/>
    <s v="West Fork and Below Lake"/>
    <s v="Sonoma (d/s of Clov. Gage)"/>
    <x v="0"/>
    <n v="1998"/>
    <x v="0"/>
    <x v="0"/>
    <s v="Y"/>
    <s v="N"/>
    <s v="N"/>
    <s v="Y"/>
    <s v="N"/>
    <x v="1"/>
    <s v="N"/>
    <x v="0"/>
    <s v="N"/>
    <n v="0.13"/>
    <n v="0.1"/>
    <n v="0.13"/>
    <n v="0"/>
    <n v="0"/>
    <n v="0"/>
    <n v="0"/>
    <n v="0"/>
    <n v="0"/>
    <n v="0"/>
    <n v="0.1"/>
    <n v="0.2"/>
    <n v="0.65999999999999992"/>
    <n v="0"/>
    <n v="0"/>
    <n v="0.66666666600000002"/>
    <m/>
    <m/>
    <n v="1"/>
    <s v="Acre-feet per Year"/>
    <s v="U_12"/>
    <n v="3.4039024194010059E-4"/>
    <n v="38.577893889999999"/>
    <n v="-122.64979794"/>
    <s v="UNST"/>
  </r>
  <r>
    <s v="D030820"/>
    <n v="19980326"/>
    <n v="12"/>
    <s v="N"/>
    <s v="Y"/>
    <s v="Y"/>
    <s v="Y"/>
    <x v="0"/>
    <s v="West Fork and Below Lake"/>
    <s v="Sonoma (d/s of Clov. Gage)"/>
    <x v="0"/>
    <n v="1998"/>
    <x v="0"/>
    <x v="0"/>
    <s v="Y"/>
    <s v="N"/>
    <s v="N"/>
    <s v="Y"/>
    <s v="N"/>
    <x v="1"/>
    <s v="N"/>
    <x v="1"/>
    <s v="N"/>
    <n v="1.25"/>
    <n v="1.25"/>
    <n v="1.25"/>
    <n v="1.25"/>
    <n v="1.25"/>
    <n v="0"/>
    <n v="0"/>
    <n v="0"/>
    <n v="0"/>
    <n v="1.25"/>
    <n v="1.25"/>
    <n v="1.25"/>
    <n v="10"/>
    <n v="1.25"/>
    <n v="4.1461076116193858E-3"/>
    <n v="1"/>
    <m/>
    <m/>
    <n v="10"/>
    <s v="Acre-feet per Year"/>
    <s v="U_12"/>
    <n v="3.4039024194010059E-4"/>
    <n v="38.605400000000003"/>
    <n v="-122.7683"/>
    <s v="UNST"/>
  </r>
  <r>
    <s v="D030881"/>
    <n v="19980316"/>
    <n v="12"/>
    <s v="N"/>
    <s v="Y"/>
    <s v="Y"/>
    <s v="Y"/>
    <x v="0"/>
    <s v="West Fork and Below Lake"/>
    <s v="Sonoma (d/s of Clov. Gage)"/>
    <x v="0"/>
    <n v="1998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"/>
    <s v="Acre-feet per Year"/>
    <s v="U_12"/>
    <n v="3.4039024194010059E-4"/>
    <n v="38.5687"/>
    <n v="-122.64490000000001"/>
    <s v="UNST"/>
  </r>
  <r>
    <s v="D030891"/>
    <n v="19980818"/>
    <n v="12"/>
    <s v="N"/>
    <s v="Y"/>
    <s v="Y"/>
    <s v="Y"/>
    <x v="0"/>
    <s v="West Fork and Below Lake"/>
    <s v="Sonoma (d/s of Clov. Gage)"/>
    <x v="0"/>
    <n v="1998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"/>
    <s v="Acre-feet per Year"/>
    <s v="U_12"/>
    <n v="3.4039024194010059E-4"/>
    <n v="38.605146949999998"/>
    <n v="-122.76993281"/>
    <s v="UNST"/>
  </r>
  <r>
    <s v="D030898"/>
    <n v="19980917"/>
    <n v="11"/>
    <s v="N"/>
    <s v="Y"/>
    <s v="Y"/>
    <s v="Y"/>
    <x v="0"/>
    <s v="West Fork and Below Lake"/>
    <s v="Sonoma (d/s of Clov. Gage)"/>
    <x v="0"/>
    <n v="1998"/>
    <x v="0"/>
    <x v="0"/>
    <s v="Y"/>
    <s v="N"/>
    <s v="N"/>
    <s v="Y"/>
    <s v="N"/>
    <x v="1"/>
    <s v="N"/>
    <x v="0"/>
    <s v="N"/>
    <n v="6.3666670000000003E-3"/>
    <n v="0"/>
    <n v="0"/>
    <n v="0"/>
    <n v="0"/>
    <n v="0"/>
    <n v="0"/>
    <n v="0"/>
    <n v="0"/>
    <n v="0"/>
    <n v="6.4000000000000003E-3"/>
    <n v="0.14000000000000001"/>
    <n v="0.15276666700000002"/>
    <n v="0"/>
    <n v="0"/>
    <n v="1.6220000000000002E-2"/>
    <m/>
    <m/>
    <n v="10"/>
    <s v="Acre-feet per Year"/>
    <s v="U_11"/>
    <n v="3.4039024194010059E-4"/>
    <n v="38.656095759999999"/>
    <n v="-122.72913106"/>
    <s v="UNST"/>
  </r>
  <r>
    <s v="A030798"/>
    <n v="19980604"/>
    <n v="16"/>
    <s v="N"/>
    <s v="N"/>
    <s v="N"/>
    <s v="N"/>
    <x v="1"/>
    <s v="Outside"/>
    <s v="Outside"/>
    <x v="0"/>
    <n v="1998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1"/>
    <s v="Acre-feet per Year"/>
    <s v="L_16"/>
    <n v="0"/>
    <n v="38.646418730000001"/>
    <n v="-122.89570806"/>
    <s v="UNST"/>
  </r>
  <r>
    <s v="D030741"/>
    <n v="19980603"/>
    <n v="19"/>
    <s v="N"/>
    <s v="N"/>
    <s v="N"/>
    <s v="N"/>
    <x v="1"/>
    <s v="Outside"/>
    <s v="Outside"/>
    <x v="0"/>
    <n v="1998"/>
    <x v="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"/>
    <s v="Acre-feet per Year"/>
    <s v="L_19"/>
    <n v="3.4039024194010059E-4"/>
    <n v="38.522147990000001"/>
    <n v="-122.94903008"/>
    <s v="UNST"/>
  </r>
  <r>
    <s v="A029983"/>
    <n v="19970729"/>
    <n v="12"/>
    <s v="N"/>
    <s v="Y"/>
    <s v="Y"/>
    <s v="Y"/>
    <x v="0"/>
    <s v="West Fork and Below Lake"/>
    <s v="Sonoma (d/s of Clov. Gage)"/>
    <x v="0"/>
    <n v="1997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6"/>
    <s v="Acre-feet per Year"/>
    <s v="U_12"/>
    <n v="0"/>
    <n v="38.615977579999999"/>
    <n v="-122.68847024"/>
    <s v="UNST"/>
  </r>
  <r>
    <s v="C005161"/>
    <n v="19971222"/>
    <n v="6"/>
    <s v="Y"/>
    <s v="N"/>
    <s v="Y"/>
    <s v="Y"/>
    <x v="0"/>
    <s v="West Fork and Below Lake"/>
    <s v="Mendocino (d/s of lake)"/>
    <x v="0"/>
    <n v="1997"/>
    <x v="0"/>
    <x v="0"/>
    <s v="Y"/>
    <s v="N"/>
    <s v="N"/>
    <s v="Y"/>
    <s v="N"/>
    <x v="1"/>
    <s v="N"/>
    <x v="0"/>
    <s v="N"/>
    <n v="0.03"/>
    <n v="0.03"/>
    <n v="0"/>
    <n v="0"/>
    <n v="0"/>
    <n v="0"/>
    <n v="0"/>
    <n v="0"/>
    <n v="0"/>
    <n v="0"/>
    <n v="0.06"/>
    <n v="0.1"/>
    <n v="0.22"/>
    <n v="0"/>
    <n v="0"/>
    <n v="0.1166666665"/>
    <m/>
    <m/>
    <n v="2"/>
    <s v="Acre-feet per Year"/>
    <s v="U_6"/>
    <n v="0"/>
    <n v="38.96107121"/>
    <n v="-123.06304806999999"/>
    <s v="UNST"/>
  </r>
  <r>
    <s v="C005162"/>
    <n v="19971222"/>
    <n v="6"/>
    <s v="Y"/>
    <s v="N"/>
    <s v="Y"/>
    <s v="Y"/>
    <x v="0"/>
    <s v="West Fork and Below Lake"/>
    <s v="Mendocino (d/s of lake)"/>
    <x v="0"/>
    <n v="1997"/>
    <x v="0"/>
    <x v="0"/>
    <s v="Y"/>
    <s v="N"/>
    <s v="N"/>
    <s v="Y"/>
    <s v="N"/>
    <x v="1"/>
    <s v="N"/>
    <x v="0"/>
    <s v="N"/>
    <n v="0.3"/>
    <n v="0.36"/>
    <n v="0"/>
    <n v="0"/>
    <n v="0"/>
    <n v="0"/>
    <n v="0"/>
    <n v="0"/>
    <n v="0"/>
    <n v="0.06"/>
    <n v="0.33"/>
    <n v="0.63"/>
    <n v="1.6800000000000002"/>
    <n v="0"/>
    <n v="0"/>
    <n v="0.34"/>
    <m/>
    <m/>
    <n v="5"/>
    <s v="Acre-feet per Year"/>
    <s v="U_6"/>
    <n v="0"/>
    <n v="38.949764969999997"/>
    <n v="-123.05320816"/>
    <s v="UNST"/>
  </r>
  <r>
    <s v="C005163"/>
    <n v="19971222"/>
    <n v="6"/>
    <s v="Y"/>
    <s v="N"/>
    <s v="Y"/>
    <s v="Y"/>
    <x v="0"/>
    <s v="West Fork and Below Lake"/>
    <s v="Mendocino (d/s of lake)"/>
    <x v="0"/>
    <n v="1997"/>
    <x v="0"/>
    <x v="0"/>
    <s v="Y"/>
    <s v="N"/>
    <s v="N"/>
    <s v="Y"/>
    <s v="N"/>
    <x v="1"/>
    <s v="N"/>
    <x v="0"/>
    <s v="N"/>
    <n v="0.3"/>
    <n v="0.4"/>
    <n v="0"/>
    <n v="0"/>
    <n v="0"/>
    <n v="0"/>
    <n v="0"/>
    <n v="0"/>
    <n v="0"/>
    <n v="0.06"/>
    <n v="0.33"/>
    <n v="0.66"/>
    <n v="1.75"/>
    <n v="0"/>
    <n v="0"/>
    <n v="0.3533333334"/>
    <m/>
    <m/>
    <n v="5"/>
    <s v="Acre-feet per Year"/>
    <s v="U_6"/>
    <n v="0"/>
    <n v="38.938244769999997"/>
    <n v="-123.05180679999999"/>
    <s v="UNST"/>
  </r>
  <r>
    <s v="C005164"/>
    <n v="19971222"/>
    <n v="6"/>
    <s v="Y"/>
    <s v="N"/>
    <s v="Y"/>
    <s v="Y"/>
    <x v="0"/>
    <s v="West Fork and Below Lake"/>
    <s v="Mendocino (d/s of lake)"/>
    <x v="0"/>
    <n v="1997"/>
    <x v="0"/>
    <x v="0"/>
    <s v="Y"/>
    <s v="N"/>
    <s v="N"/>
    <s v="Y"/>
    <s v="N"/>
    <x v="1"/>
    <s v="N"/>
    <x v="0"/>
    <s v="N"/>
    <n v="0.13"/>
    <n v="0.16"/>
    <n v="0"/>
    <n v="0"/>
    <n v="0"/>
    <n v="0"/>
    <n v="0"/>
    <n v="0"/>
    <n v="0"/>
    <n v="0.03"/>
    <n v="0.13"/>
    <n v="0.26"/>
    <n v="0.71000000000000008"/>
    <n v="0"/>
    <n v="0"/>
    <n v="8.1481481444444448E-2"/>
    <m/>
    <m/>
    <n v="9"/>
    <s v="Acre-feet per Year"/>
    <s v="U_6"/>
    <n v="0"/>
    <n v="38.93320507"/>
    <n v="-123.04733745999999"/>
    <s v="UNST"/>
  </r>
  <r>
    <s v="C005165"/>
    <n v="19971222"/>
    <n v="6"/>
    <s v="Y"/>
    <s v="N"/>
    <s v="Y"/>
    <s v="Y"/>
    <x v="0"/>
    <s v="West Fork and Below Lake"/>
    <s v="Mendocino (d/s of lake)"/>
    <x v="0"/>
    <n v="1997"/>
    <x v="0"/>
    <x v="0"/>
    <s v="Y"/>
    <s v="N"/>
    <s v="N"/>
    <s v="Y"/>
    <s v="N"/>
    <x v="1"/>
    <s v="N"/>
    <x v="0"/>
    <s v="N"/>
    <n v="0.1"/>
    <n v="0.1"/>
    <n v="0"/>
    <n v="0"/>
    <n v="0"/>
    <n v="0"/>
    <n v="0"/>
    <n v="0"/>
    <n v="0"/>
    <n v="0.06"/>
    <n v="0.1"/>
    <n v="0.36"/>
    <n v="0.72"/>
    <n v="0"/>
    <n v="0"/>
    <n v="0.18333333350000003"/>
    <m/>
    <m/>
    <n v="4"/>
    <s v="Acre-feet per Year"/>
    <s v="U_6"/>
    <n v="0"/>
    <n v="38.945122990000002"/>
    <n v="-123.06544676999999"/>
    <s v="UNST"/>
  </r>
  <r>
    <s v="C005166"/>
    <n v="19971222"/>
    <n v="6"/>
    <s v="Y"/>
    <s v="N"/>
    <s v="Y"/>
    <s v="Y"/>
    <x v="0"/>
    <s v="West Fork and Below Lake"/>
    <s v="Mendocino (d/s of lake)"/>
    <x v="0"/>
    <n v="1997"/>
    <x v="0"/>
    <x v="1"/>
    <s v="Y"/>
    <s v="N"/>
    <s v="N"/>
    <s v="Y"/>
    <s v="N"/>
    <x v="1"/>
    <s v="N"/>
    <x v="0"/>
    <s v="N"/>
    <n v="0.13"/>
    <n v="0.2"/>
    <n v="0"/>
    <n v="0"/>
    <n v="0"/>
    <n v="0"/>
    <n v="0"/>
    <n v="0"/>
    <n v="0"/>
    <n v="0.03"/>
    <n v="0.13"/>
    <n v="0.33"/>
    <n v="0.82000000000000006"/>
    <n v="0"/>
    <n v="0"/>
    <n v="0.18518518518518498"/>
    <m/>
    <m/>
    <n v="4.5"/>
    <s v="Acre-feet per Year"/>
    <s v="U_6"/>
    <n v="0"/>
    <n v="38.944037539999997"/>
    <n v="-123.07896846"/>
    <s v="UNST"/>
  </r>
  <r>
    <s v="C005343"/>
    <n v="19971222"/>
    <n v="6"/>
    <s v="Y"/>
    <s v="N"/>
    <s v="Y"/>
    <s v="Y"/>
    <x v="0"/>
    <s v="West Fork and Below Lake"/>
    <s v="Mendocino (d/s of lake)"/>
    <x v="0"/>
    <n v="1997"/>
    <x v="0"/>
    <x v="0"/>
    <s v="Y"/>
    <s v="N"/>
    <s v="N"/>
    <s v="Y"/>
    <s v="N"/>
    <x v="1"/>
    <s v="N"/>
    <x v="0"/>
    <s v="N"/>
    <n v="0.1"/>
    <n v="0.1"/>
    <n v="0"/>
    <n v="0"/>
    <n v="0"/>
    <n v="0"/>
    <n v="0"/>
    <n v="0"/>
    <n v="0"/>
    <n v="0.03"/>
    <n v="0.1"/>
    <n v="0.16"/>
    <n v="0.49"/>
    <n v="0"/>
    <n v="0"/>
    <n v="0.125"/>
    <m/>
    <m/>
    <n v="4"/>
    <s v="Acre-feet per Year"/>
    <s v="U_6"/>
    <n v="0"/>
    <n v="38.924122539999999"/>
    <n v="-123.01872928"/>
    <s v="UNST"/>
  </r>
  <r>
    <s v="C005521"/>
    <n v="19971229"/>
    <n v="9"/>
    <s v="N"/>
    <s v="Y"/>
    <s v="Y"/>
    <s v="Y"/>
    <x v="0"/>
    <s v="West Fork and Below Lake"/>
    <s v="Sonoma (d/s of Clov. Gage)"/>
    <x v="0"/>
    <n v="1997"/>
    <x v="0"/>
    <x v="0"/>
    <s v="Y"/>
    <s v="N"/>
    <s v="N"/>
    <s v="Y"/>
    <s v="N"/>
    <x v="1"/>
    <s v="N"/>
    <x v="0"/>
    <s v="N"/>
    <n v="0.09"/>
    <n v="0.03"/>
    <n v="7.0000000000000007E-2"/>
    <n v="0.05"/>
    <n v="0"/>
    <n v="0"/>
    <n v="0"/>
    <n v="0"/>
    <n v="0"/>
    <n v="0.01"/>
    <n v="0.03"/>
    <n v="0.04"/>
    <n v="0.32"/>
    <n v="0"/>
    <n v="0"/>
    <n v="0.50009523857142857"/>
    <m/>
    <m/>
    <n v="0.7"/>
    <s v="Acre-feet per Year"/>
    <s v="U_9"/>
    <n v="0"/>
    <n v="38.87129041"/>
    <n v="-123.01187455"/>
    <s v="UNST (AKA CHEDBURN CREEK)"/>
  </r>
  <r>
    <s v="C005522"/>
    <n v="19971229"/>
    <n v="9"/>
    <s v="N"/>
    <s v="Y"/>
    <s v="Y"/>
    <s v="Y"/>
    <x v="0"/>
    <s v="West Fork and Below Lake"/>
    <s v="Sonoma (d/s of Clov. Gage)"/>
    <x v="0"/>
    <n v="1997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.8"/>
    <s v="Acre-feet per Year"/>
    <s v="U_9"/>
    <n v="0"/>
    <n v="38.863389179999999"/>
    <n v="-123.02737452"/>
    <s v="UNST"/>
  </r>
  <r>
    <s v="C005624"/>
    <n v="19971222"/>
    <n v="6"/>
    <s v="Y"/>
    <s v="N"/>
    <s v="Y"/>
    <s v="Y"/>
    <x v="0"/>
    <s v="West Fork and Below Lake"/>
    <s v="Mendocino (d/s of lake)"/>
    <x v="0"/>
    <n v="1997"/>
    <x v="0"/>
    <x v="0"/>
    <s v="Y"/>
    <s v="N"/>
    <s v="N"/>
    <s v="Y"/>
    <s v="N"/>
    <x v="1"/>
    <s v="N"/>
    <x v="0"/>
    <s v="N"/>
    <n v="1.9"/>
    <n v="0.63"/>
    <n v="0"/>
    <n v="0"/>
    <n v="0"/>
    <n v="0"/>
    <n v="0"/>
    <n v="0"/>
    <n v="0"/>
    <n v="0.26"/>
    <n v="1.1599999999999999"/>
    <n v="2.36"/>
    <n v="6.3100000000000005"/>
    <n v="0"/>
    <n v="0"/>
    <n v="0.66666666673684216"/>
    <m/>
    <m/>
    <n v="9.5"/>
    <s v="Acre-feet per Year"/>
    <s v="U_6"/>
    <n v="0"/>
    <n v="38.934885749999999"/>
    <n v="-123.05067419"/>
    <s v="UNST"/>
  </r>
  <r>
    <s v="C005922"/>
    <n v="19971218"/>
    <n v="9"/>
    <s v="N"/>
    <s v="Y"/>
    <s v="Y"/>
    <s v="Y"/>
    <x v="0"/>
    <s v="West Fork and Below Lake"/>
    <s v="Sonoma (d/s of Clov. Gage)"/>
    <x v="0"/>
    <n v="1997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.4"/>
    <s v="Acre-feet per Year"/>
    <s v="U_9"/>
    <n v="0"/>
    <n v="38.865785780000003"/>
    <n v="-123.03705223"/>
    <s v="UNST"/>
  </r>
  <r>
    <s v="C006052"/>
    <n v="19971229"/>
    <n v="9"/>
    <s v="N"/>
    <s v="Y"/>
    <s v="Y"/>
    <s v="Y"/>
    <x v="0"/>
    <s v="West Fork and Below Lake"/>
    <s v="Sonoma (d/s of Clov. Gage)"/>
    <x v="0"/>
    <n v="1997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.4"/>
    <s v="Acre-feet per Year"/>
    <s v="U_9"/>
    <n v="0"/>
    <n v="38.864889390000002"/>
    <n v="-123.03687269"/>
    <s v="UNST"/>
  </r>
  <r>
    <s v="D030601"/>
    <n v="19970404"/>
    <n v="17"/>
    <s v="N"/>
    <s v="N"/>
    <s v="N"/>
    <s v="N"/>
    <x v="1"/>
    <s v="Outside"/>
    <s v="Outside"/>
    <x v="0"/>
    <n v="1997"/>
    <x v="0"/>
    <x v="1"/>
    <s v="N"/>
    <s v="N"/>
    <s v="N"/>
    <s v="Y"/>
    <s v="N"/>
    <x v="1"/>
    <s v="N"/>
    <x v="1"/>
    <s v="N"/>
    <n v="2.2832999999999999E-2"/>
    <n v="6.9774000000000003E-2"/>
    <n v="8.7238999999999997E-2"/>
    <n v="9.3448000000000003E-2"/>
    <n v="0.10331700000000001"/>
    <n v="0.11683300000000001"/>
    <n v="0.12709999999999999"/>
    <n v="0.134712"/>
    <n v="0.118121"/>
    <n v="8.9807999999999999E-2"/>
    <n v="7.5441999999999995E-2"/>
    <n v="1.8551000000000002E-2"/>
    <n v="1.057178"/>
    <n v="0.60008300000000003"/>
    <n v="1.9904069551227171E-3"/>
    <n v="0.2114356"/>
    <m/>
    <m/>
    <n v="5"/>
    <s v="Acre-feet per Year"/>
    <s v="L_17"/>
    <n v="3.4039024194010059E-4"/>
    <n v="38.539310039999997"/>
    <n v="-122.861149"/>
    <s v="RUSSIAN RIVER UNDERFLOW"/>
  </r>
  <r>
    <s v="A030663"/>
    <n v="19970915"/>
    <n v="16"/>
    <s v="N"/>
    <s v="N"/>
    <s v="N"/>
    <s v="N"/>
    <x v="1"/>
    <s v="Outside"/>
    <s v="Outside"/>
    <x v="0"/>
    <n v="1997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880"/>
    <s v="Acre-feet per Year"/>
    <s v="L_16"/>
    <n v="0"/>
    <n v="38.60456508"/>
    <n v="-122.88151329"/>
    <s v="DRY CREEK UNDERFLOW"/>
  </r>
  <r>
    <s v="C005834"/>
    <n v="19971223"/>
    <n v="2"/>
    <s v="N"/>
    <s v="N"/>
    <s v="Y"/>
    <s v="N"/>
    <x v="0"/>
    <s v="Outside"/>
    <s v="Outside"/>
    <x v="0"/>
    <n v="1997"/>
    <x v="0"/>
    <x v="0"/>
    <s v="Y"/>
    <s v="N"/>
    <s v="N"/>
    <s v="Y"/>
    <s v="N"/>
    <x v="1"/>
    <s v="N"/>
    <x v="0"/>
    <s v="N"/>
    <n v="0.66"/>
    <n v="0.66"/>
    <n v="0"/>
    <n v="0"/>
    <n v="0"/>
    <n v="0"/>
    <n v="0"/>
    <n v="0"/>
    <n v="0"/>
    <n v="0"/>
    <n v="0"/>
    <n v="0"/>
    <n v="1.32"/>
    <n v="0"/>
    <n v="0"/>
    <n v="0.26666666680000001"/>
    <m/>
    <m/>
    <n v="5"/>
    <s v="Acre-feet per Year"/>
    <s v="U_2"/>
    <n v="0"/>
    <n v="39.296557010000001"/>
    <n v="-123.03489648999999"/>
    <s v="UNST"/>
  </r>
  <r>
    <s v="A030553"/>
    <n v="19960520"/>
    <n v="6"/>
    <s v="Y"/>
    <s v="N"/>
    <s v="Y"/>
    <s v="Y"/>
    <x v="0"/>
    <s v="West Fork and Below Lake"/>
    <s v="Mendocino (d/s of lake)"/>
    <x v="0"/>
    <n v="1996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0"/>
    <s v="Acre-feet per Year"/>
    <s v="U_6"/>
    <n v="0"/>
    <n v="38.984699999999997"/>
    <n v="-123.12730000000001"/>
    <s v="UNNAMED STREAM"/>
  </r>
  <r>
    <s v="A030554"/>
    <n v="19960520"/>
    <n v="6"/>
    <s v="Y"/>
    <s v="N"/>
    <s v="Y"/>
    <s v="Y"/>
    <x v="0"/>
    <s v="West Fork and Below Lake"/>
    <s v="Mendocino (d/s of lake)"/>
    <x v="0"/>
    <n v="1996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5"/>
    <s v="Acre-feet per Year"/>
    <s v="U_6"/>
    <n v="0"/>
    <n v="39.011899999999997"/>
    <n v="-123.14149999999999"/>
    <s v="UNNAMED STREAM"/>
  </r>
  <r>
    <s v="A030615"/>
    <n v="19960916"/>
    <n v="4"/>
    <s v="Y"/>
    <s v="N"/>
    <s v="Y"/>
    <s v="Y"/>
    <x v="0"/>
    <s v="West Fork and Below Lake"/>
    <s v="Mendocino (d/s of lake)"/>
    <x v="0"/>
    <n v="1996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5"/>
    <s v="Acre-feet per Year"/>
    <s v="U_4"/>
    <n v="0"/>
    <n v="39.145710430000001"/>
    <n v="-123.1654673"/>
    <s v="UNST"/>
  </r>
  <r>
    <s v="A030560"/>
    <n v="19960528"/>
    <n v="2"/>
    <s v="N"/>
    <s v="N"/>
    <s v="Y"/>
    <s v="N"/>
    <x v="0"/>
    <s v="Outside"/>
    <s v="Outside"/>
    <x v="0"/>
    <n v="1996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80"/>
    <s v="Acre-feet per Year"/>
    <s v="U_2"/>
    <n v="0"/>
    <n v="39.280299999999997"/>
    <n v="-123.0697"/>
    <s v="UNST"/>
  </r>
  <r>
    <s v="A030564"/>
    <n v="19960819"/>
    <n v="2"/>
    <s v="N"/>
    <s v="N"/>
    <s v="Y"/>
    <s v="N"/>
    <x v="0"/>
    <s v="Outside"/>
    <s v="Outside"/>
    <x v="0"/>
    <n v="1996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0"/>
    <s v="Acre-feet per Year"/>
    <s v="U_2"/>
    <n v="0"/>
    <n v="39.280299999999997"/>
    <n v="-123.0697"/>
    <s v="UNST"/>
  </r>
  <r>
    <s v="A030656"/>
    <n v="19951113"/>
    <n v="6"/>
    <s v="Y"/>
    <s v="N"/>
    <s v="Y"/>
    <s v="Y"/>
    <x v="0"/>
    <s v="West Fork and Below Lake"/>
    <s v="Mendocino (d/s of lake)"/>
    <x v="0"/>
    <n v="1995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28"/>
    <s v="Acre-feet per Year"/>
    <s v="U_6"/>
    <n v="0"/>
    <n v="38.963344499999998"/>
    <n v="-123.07072931"/>
    <s v="UNNAMED STREAM"/>
  </r>
  <r>
    <s v="D030427"/>
    <n v="19950126"/>
    <n v="1"/>
    <s v="N"/>
    <s v="N"/>
    <s v="Y"/>
    <s v="Y"/>
    <x v="0"/>
    <s v="West Fork and Below Lake"/>
    <s v="Outside"/>
    <x v="0"/>
    <n v="1995"/>
    <x v="0"/>
    <x v="0"/>
    <s v="Y"/>
    <s v="N"/>
    <s v="N"/>
    <s v="Y"/>
    <s v="N"/>
    <x v="1"/>
    <s v="N"/>
    <x v="0"/>
    <s v="N"/>
    <n v="0.09"/>
    <n v="0.09"/>
    <n v="0.09"/>
    <n v="0.09"/>
    <n v="0"/>
    <n v="0"/>
    <n v="0"/>
    <n v="0"/>
    <n v="0"/>
    <n v="0"/>
    <n v="0"/>
    <n v="0.09"/>
    <n v="0.44999999999999996"/>
    <n v="0"/>
    <n v="0"/>
    <n v="6.1378000000000002E-2"/>
    <m/>
    <m/>
    <n v="7.5"/>
    <s v="Acre-feet per Year"/>
    <s v="U_1"/>
    <n v="3.4039024194010059E-4"/>
    <n v="39.246482409999999"/>
    <n v="-123.30941742"/>
    <s v="UNST"/>
  </r>
  <r>
    <s v="D030460"/>
    <n v="19950710"/>
    <n v="21"/>
    <s v="N"/>
    <s v="N"/>
    <s v="N"/>
    <s v="N"/>
    <x v="1"/>
    <s v="Outside"/>
    <s v="Outside"/>
    <x v="0"/>
    <n v="1995"/>
    <x v="0"/>
    <x v="0"/>
    <s v="N"/>
    <s v="N"/>
    <s v="N"/>
    <s v="Y"/>
    <s v="N"/>
    <x v="1"/>
    <s v="N"/>
    <x v="0"/>
    <s v="N"/>
    <n v="1.3333333329999999"/>
    <n v="0.33333333300000001"/>
    <n v="0.33333333300000001"/>
    <n v="0.33333333300000001"/>
    <n v="0"/>
    <n v="0"/>
    <n v="0"/>
    <n v="0"/>
    <n v="0"/>
    <n v="0.33333333300000001"/>
    <n v="1.3333333329999999"/>
    <n v="1.6666666670000001"/>
    <n v="5.6666666650000002"/>
    <n v="0"/>
    <n v="0"/>
    <n v="0.56666666649999997"/>
    <m/>
    <m/>
    <n v="10"/>
    <s v="Acre-feet per Year"/>
    <s v="L_21"/>
    <n v="3.4039024194010059E-4"/>
    <n v="38.415088930000003"/>
    <n v="-122.96122333"/>
    <s v="UNST"/>
  </r>
  <r>
    <s v="A030349"/>
    <n v="19940222"/>
    <n v="1"/>
    <s v="N"/>
    <s v="N"/>
    <s v="Y"/>
    <s v="Y"/>
    <x v="0"/>
    <s v="West Fork and Below Lake"/>
    <s v="Outside"/>
    <x v="0"/>
    <n v="1994"/>
    <x v="0"/>
    <x v="0"/>
    <s v="Y"/>
    <s v="N"/>
    <s v="N"/>
    <s v="Y"/>
    <s v="N"/>
    <x v="1"/>
    <s v="N"/>
    <x v="0"/>
    <s v="N"/>
    <n v="3.84"/>
    <n v="0"/>
    <n v="1.3"/>
    <n v="0.06"/>
    <n v="0"/>
    <n v="0"/>
    <n v="0"/>
    <n v="0"/>
    <n v="0"/>
    <n v="0"/>
    <n v="0"/>
    <n v="0"/>
    <n v="5.1999999999999993"/>
    <n v="0"/>
    <n v="0"/>
    <n v="0.62771084337349392"/>
    <m/>
    <m/>
    <n v="8.3000000000000007"/>
    <s v="Acre-feet per Year"/>
    <s v="U_1"/>
    <n v="0"/>
    <n v="39.314512000000001"/>
    <n v="-123.21373551000001"/>
    <s v="UNST"/>
  </r>
  <r>
    <s v="A030363"/>
    <n v="19940510"/>
    <n v="1"/>
    <s v="N"/>
    <s v="N"/>
    <s v="Y"/>
    <s v="Y"/>
    <x v="0"/>
    <s v="West Fork and Below Lake"/>
    <s v="Outside"/>
    <x v="0"/>
    <n v="1994"/>
    <x v="0"/>
    <x v="0"/>
    <s v="Y"/>
    <s v="N"/>
    <s v="N"/>
    <s v="Y"/>
    <s v="N"/>
    <x v="1"/>
    <s v="N"/>
    <x v="0"/>
    <s v="N"/>
    <n v="0"/>
    <n v="3.01"/>
    <n v="5.76"/>
    <n v="0"/>
    <n v="0"/>
    <n v="0"/>
    <n v="0"/>
    <n v="0"/>
    <n v="0"/>
    <n v="0"/>
    <n v="0"/>
    <n v="0"/>
    <n v="8.77"/>
    <n v="0"/>
    <n v="0"/>
    <n v="0.87833333339999997"/>
    <m/>
    <m/>
    <n v="10"/>
    <s v="Acre-feet per Year"/>
    <s v="U_1"/>
    <n v="0"/>
    <n v="39.267681150000001"/>
    <n v="-123.24127942"/>
    <s v="FORSYTHE CREEK"/>
  </r>
  <r>
    <s v="A030364"/>
    <n v="19940207"/>
    <n v="9"/>
    <s v="N"/>
    <s v="Y"/>
    <s v="Y"/>
    <s v="Y"/>
    <x v="0"/>
    <s v="West Fork and Below Lake"/>
    <s v="Sonoma (d/s of Clov. Gage)"/>
    <x v="0"/>
    <n v="1994"/>
    <x v="0"/>
    <x v="1"/>
    <s v="Y"/>
    <s v="N"/>
    <s v="N"/>
    <s v="Y"/>
    <s v="N"/>
    <x v="1"/>
    <s v="N"/>
    <x v="0"/>
    <s v="N"/>
    <n v="6.48"/>
    <n v="3.91"/>
    <n v="2.3199999999999998"/>
    <n v="0"/>
    <n v="0"/>
    <n v="0"/>
    <n v="0"/>
    <n v="0"/>
    <n v="0"/>
    <n v="0"/>
    <n v="0"/>
    <n v="0"/>
    <n v="12.71"/>
    <n v="0"/>
    <n v="0"/>
    <n v="0.55352965217391303"/>
    <m/>
    <m/>
    <n v="23"/>
    <s v="Acre-feet per Year"/>
    <s v="U_9"/>
    <n v="0"/>
    <n v="38.739916059999999"/>
    <n v="-122.94832033"/>
    <s v="UNST"/>
  </r>
  <r>
    <s v="A030365"/>
    <n v="19940222"/>
    <n v="9"/>
    <s v="N"/>
    <s v="Y"/>
    <s v="Y"/>
    <s v="Y"/>
    <x v="0"/>
    <s v="West Fork and Below Lake"/>
    <s v="Sonoma (d/s of Clov. Gage)"/>
    <x v="0"/>
    <n v="1994"/>
    <x v="0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"/>
    <s v="Acre-feet per Year"/>
    <s v="U_9"/>
    <n v="0"/>
    <n v="38.740246689999999"/>
    <n v="-122.94818447999999"/>
    <s v="UNST"/>
  </r>
  <r>
    <s v="A030391"/>
    <n v="19940805"/>
    <n v="17"/>
    <s v="N"/>
    <s v="N"/>
    <s v="N"/>
    <s v="N"/>
    <x v="1"/>
    <s v="Outside"/>
    <s v="Outside"/>
    <x v="0"/>
    <n v="1994"/>
    <x v="0"/>
    <x v="1"/>
    <s v="N"/>
    <s v="N"/>
    <s v="N"/>
    <s v="Y"/>
    <s v="N"/>
    <x v="1"/>
    <s v="N"/>
    <x v="0"/>
    <s v="N"/>
    <n v="0.26100000000000001"/>
    <n v="0.22366666700000001"/>
    <n v="0.29633333299999998"/>
    <n v="0.50666666699999996"/>
    <n v="0"/>
    <n v="0"/>
    <n v="0"/>
    <n v="0"/>
    <n v="0"/>
    <n v="1.003333333"/>
    <n v="0.27600000000000002"/>
    <n v="0.121333333"/>
    <n v="2.6883333330000001"/>
    <n v="0"/>
    <n v="0"/>
    <n v="1.3441666665000001E-2"/>
    <m/>
    <m/>
    <n v="200"/>
    <s v="Acre-feet per Year"/>
    <s v="L_17"/>
    <n v="3.4039024194010059E-4"/>
    <n v="38.536613359999997"/>
    <n v="-122.85447361999999"/>
    <s v="RUSSIAN RIVER UNDERFLOW"/>
  </r>
  <r>
    <s v="A030397"/>
    <n v="19940818"/>
    <n v="12"/>
    <s v="N"/>
    <s v="Y"/>
    <s v="Y"/>
    <s v="Y"/>
    <x v="0"/>
    <s v="West Fork and Below Lake"/>
    <s v="Sonoma (d/s of Clov. Gage)"/>
    <x v="0"/>
    <n v="1994"/>
    <x v="0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"/>
    <s v="Acre-feet per Year"/>
    <s v="U_12"/>
    <n v="0"/>
    <n v="38.640808120000003"/>
    <n v="-122.79900076"/>
    <s v="RUSSIAN RIVER UNDERFLOW"/>
  </r>
  <r>
    <s v="A030412"/>
    <n v="19940927"/>
    <n v="12"/>
    <s v="N"/>
    <s v="Y"/>
    <s v="Y"/>
    <s v="Y"/>
    <x v="0"/>
    <s v="West Fork and Below Lake"/>
    <s v="Sonoma (d/s of Clov. Gage)"/>
    <x v="0"/>
    <n v="1994"/>
    <x v="0"/>
    <x v="1"/>
    <s v="Y"/>
    <s v="N"/>
    <s v="N"/>
    <s v="Y"/>
    <s v="N"/>
    <x v="1"/>
    <s v="N"/>
    <x v="1"/>
    <s v="N"/>
    <n v="0.02"/>
    <n v="3.3333333333333301E-3"/>
    <n v="0.01"/>
    <n v="0.01"/>
    <n v="0.5"/>
    <n v="0.99"/>
    <n v="1.68"/>
    <n v="1.7"/>
    <n v="1.23"/>
    <n v="7.0000000000000007E-2"/>
    <n v="0.06"/>
    <n v="3.3333333333333301E-3"/>
    <n v="6.2766666666666655"/>
    <n v="6.1200000000000028"/>
    <n v="2.0299342866488525E-2"/>
    <n v="0.31533333333333352"/>
    <m/>
    <m/>
    <n v="20"/>
    <s v="Acre-feet per Year"/>
    <s v="U_12"/>
    <n v="3.4039024194010059E-4"/>
    <n v="38.64412471"/>
    <n v="-122.7958866"/>
    <s v="RUSSIAN RIVER UNDERFLOW"/>
  </r>
  <r>
    <s v="A030429"/>
    <n v="19941227"/>
    <n v="23"/>
    <s v="N"/>
    <s v="N"/>
    <s v="N"/>
    <s v="N"/>
    <x v="1"/>
    <s v="Outside"/>
    <s v="Outside"/>
    <x v="0"/>
    <n v="1994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7"/>
    <s v="Acre-feet per Year"/>
    <s v="L_27"/>
    <n v="0"/>
    <n v="38.398700820000002"/>
    <n v="-122.63521681"/>
    <s v="UNST"/>
  </r>
  <r>
    <s v="D030346"/>
    <n v="19940407"/>
    <n v="1"/>
    <s v="N"/>
    <s v="N"/>
    <s v="Y"/>
    <s v="Y"/>
    <x v="0"/>
    <s v="West Fork and Below Lake"/>
    <s v="Outside"/>
    <x v="0"/>
    <n v="1994"/>
    <x v="0"/>
    <x v="0"/>
    <s v="Y"/>
    <s v="N"/>
    <s v="N"/>
    <s v="Y"/>
    <s v="N"/>
    <x v="1"/>
    <s v="N"/>
    <x v="1"/>
    <s v="N"/>
    <n v="0.1"/>
    <n v="0.1"/>
    <n v="0.1"/>
    <n v="0.1"/>
    <n v="0.03"/>
    <n v="0.03"/>
    <n v="0.03"/>
    <n v="0.03"/>
    <n v="0.03"/>
    <n v="0.03"/>
    <n v="0.1"/>
    <n v="0.1"/>
    <n v="0.78000000000000014"/>
    <n v="0.16666666499999999"/>
    <n v="5.5281434268777464E-4"/>
    <n v="0.41666666600000002"/>
    <m/>
    <m/>
    <n v="2"/>
    <s v="Acre-feet per Year"/>
    <s v="U_1"/>
    <n v="3.4039024194010059E-4"/>
    <n v="39.2515869"/>
    <n v="-123.32397878"/>
    <s v="UNST"/>
  </r>
  <r>
    <s v="D030353"/>
    <n v="19940415"/>
    <n v="18"/>
    <s v="N"/>
    <s v="N"/>
    <s v="N"/>
    <s v="N"/>
    <x v="1"/>
    <s v="Outside"/>
    <s v="Outside"/>
    <x v="0"/>
    <n v="1994"/>
    <x v="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.5"/>
    <s v="Acre-feet per Year"/>
    <s v="L_18"/>
    <n v="3.4039024194010059E-4"/>
    <n v="38.372693869999999"/>
    <n v="-122.88862198"/>
    <s v="UNST"/>
  </r>
  <r>
    <s v="A030259"/>
    <n v="19930326"/>
    <n v="10"/>
    <s v="N"/>
    <s v="Y"/>
    <s v="Y"/>
    <s v="Y"/>
    <x v="0"/>
    <s v="West Fork and Below Lake"/>
    <s v="Sonoma (d/s of Clov. Gage)"/>
    <x v="0"/>
    <n v="1993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7.3"/>
    <s v="Acre-feet per Year"/>
    <s v="U_10"/>
    <n v="0"/>
    <n v="38.701166829999998"/>
    <n v="-122.82631035"/>
    <s v="UNST"/>
  </r>
  <r>
    <s v="A030282"/>
    <n v="19930810"/>
    <n v="10"/>
    <s v="N"/>
    <s v="Y"/>
    <s v="Y"/>
    <s v="Y"/>
    <x v="0"/>
    <s v="West Fork and Below Lake"/>
    <s v="Sonoma (d/s of Clov. Gage)"/>
    <x v="0"/>
    <n v="1993"/>
    <x v="0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9.8000000000000007"/>
    <s v="Acre-feet per Year"/>
    <s v="U_10"/>
    <n v="0"/>
    <n v="38.672767780000001"/>
    <n v="-122.82317875"/>
    <s v="UNST"/>
  </r>
  <r>
    <s v="A030290"/>
    <n v="19930826"/>
    <n v="5"/>
    <s v="Y"/>
    <s v="N"/>
    <s v="Y"/>
    <s v="Y"/>
    <x v="0"/>
    <s v="West Fork and Below Lake"/>
    <s v="Mendocino (d/s of lake)"/>
    <x v="0"/>
    <n v="1993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7"/>
    <s v="Acre-feet per Year"/>
    <s v="U_5"/>
    <n v="3.4039024194010059E-4"/>
    <n v="39.04460907"/>
    <n v="-123.1441781"/>
    <s v="UNST"/>
  </r>
  <r>
    <s v="A030336"/>
    <n v="19930308"/>
    <n v="23"/>
    <s v="N"/>
    <s v="N"/>
    <s v="N"/>
    <s v="N"/>
    <x v="1"/>
    <s v="Outside"/>
    <s v="Outside"/>
    <x v="0"/>
    <n v="1993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"/>
    <s v="Acre-feet per Year"/>
    <s v="L_26"/>
    <n v="3.4039024194010059E-4"/>
    <n v="38.481994360000002"/>
    <n v="-122.72997474"/>
    <s v="UNST"/>
  </r>
  <r>
    <s v="A030987"/>
    <n v="19930510"/>
    <n v="6"/>
    <s v="Y"/>
    <s v="N"/>
    <s v="Y"/>
    <s v="Y"/>
    <x v="0"/>
    <s v="West Fork and Below Lake"/>
    <s v="Mendocino (d/s of lake)"/>
    <x v="0"/>
    <n v="1993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22.7"/>
    <s v="Acre-feet per Year"/>
    <s v="U_6"/>
    <n v="0"/>
    <n v="38.971927110000003"/>
    <n v="-123.1063029"/>
    <s v="RUSSIAN RIVER"/>
  </r>
  <r>
    <s v="D030221"/>
    <n v="19930204"/>
    <n v="13"/>
    <s v="N"/>
    <s v="Y"/>
    <s v="Y"/>
    <s v="Y"/>
    <x v="0"/>
    <s v="West Fork and Below Lake"/>
    <s v="Sonoma (d/s of Clov. Gage)"/>
    <x v="0"/>
    <n v="1993"/>
    <x v="0"/>
    <x v="1"/>
    <s v="Y"/>
    <s v="N"/>
    <s v="N"/>
    <s v="Y"/>
    <s v="N"/>
    <x v="1"/>
    <s v="N"/>
    <x v="1"/>
    <s v="N"/>
    <n v="0.08"/>
    <n v="0.08"/>
    <n v="0.08"/>
    <n v="0.08"/>
    <n v="0.08"/>
    <n v="0.08"/>
    <n v="0.08"/>
    <n v="0.08"/>
    <n v="0.08"/>
    <n v="0.08"/>
    <n v="0.08"/>
    <n v="0.08"/>
    <n v="0.95999999999999985"/>
    <n v="0.40734999999999999"/>
    <n v="1.3511335484745256E-3"/>
    <n v="0.97764000000000018"/>
    <m/>
    <m/>
    <n v="1"/>
    <s v="Acre-feet per Year"/>
    <s v="U_13"/>
    <n v="3.4039024194010059E-4"/>
    <n v="38.6149165"/>
    <n v="-122.8298612"/>
    <s v="RUSSIAN RIVER UNDERFLOW"/>
  </r>
  <r>
    <s v="D030256"/>
    <n v="19930512"/>
    <n v="21"/>
    <s v="N"/>
    <s v="N"/>
    <s v="N"/>
    <s v="N"/>
    <x v="1"/>
    <s v="Outside"/>
    <s v="Outside"/>
    <x v="0"/>
    <n v="1993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"/>
    <s v="Acre-feet per Year"/>
    <s v="L_21"/>
    <n v="3.4039024194010059E-4"/>
    <n v="38.426581040000002"/>
    <n v="-122.98249763"/>
    <s v="UNST"/>
  </r>
  <r>
    <s v="D030286"/>
    <n v="19930928"/>
    <n v="9"/>
    <s v="N"/>
    <s v="Y"/>
    <s v="Y"/>
    <s v="Y"/>
    <x v="0"/>
    <s v="West Fork and Below Lake"/>
    <s v="Sonoma (d/s of Clov. Gage)"/>
    <x v="0"/>
    <n v="1993"/>
    <x v="0"/>
    <x v="1"/>
    <s v="Y"/>
    <s v="N"/>
    <s v="N"/>
    <s v="Y"/>
    <s v="N"/>
    <x v="1"/>
    <s v="N"/>
    <x v="0"/>
    <s v="N"/>
    <n v="0.05"/>
    <n v="0.05"/>
    <n v="0.03"/>
    <n v="0.01"/>
    <n v="0"/>
    <n v="0"/>
    <n v="0"/>
    <n v="0"/>
    <n v="0"/>
    <n v="0.03"/>
    <n v="0.05"/>
    <n v="0.05"/>
    <n v="0.27"/>
    <n v="0"/>
    <n v="0"/>
    <n v="2.7333333333333331E-2"/>
    <m/>
    <m/>
    <n v="10"/>
    <s v="Acre-feet per Year"/>
    <s v="U_9"/>
    <n v="3.4039024194010059E-4"/>
    <n v="38.748801610000001"/>
    <n v="-122.9531025"/>
    <s v="UNST"/>
  </r>
  <r>
    <s v="A030124"/>
    <n v="19920505"/>
    <n v="23"/>
    <s v="N"/>
    <s v="N"/>
    <s v="N"/>
    <s v="N"/>
    <x v="1"/>
    <s v="Outside"/>
    <s v="Outside"/>
    <x v="0"/>
    <n v="1992"/>
    <x v="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9"/>
    <s v="Acre-feet per Year"/>
    <s v="L_27"/>
    <n v="0"/>
    <n v="38.509599999999999"/>
    <n v="-122.5478"/>
    <s v="UNST"/>
  </r>
  <r>
    <s v="A030125"/>
    <n v="19920505"/>
    <n v="23"/>
    <s v="N"/>
    <s v="N"/>
    <s v="N"/>
    <s v="N"/>
    <x v="1"/>
    <s v="Outside"/>
    <s v="Outside"/>
    <x v="0"/>
    <n v="1992"/>
    <x v="0"/>
    <x v="0"/>
    <s v="N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0"/>
    <n v="0"/>
    <n v="0"/>
    <n v="0"/>
    <n v="0"/>
    <n v="1.3095238107142857E-2"/>
    <m/>
    <m/>
    <n v="28"/>
    <s v="Acre-feet per Year"/>
    <s v="L_27"/>
    <n v="0"/>
    <n v="38.509361519999999"/>
    <n v="-122.5473021"/>
    <s v="UNST"/>
  </r>
  <r>
    <s v="A030126"/>
    <n v="19920221"/>
    <n v="12"/>
    <s v="N"/>
    <s v="Y"/>
    <s v="Y"/>
    <s v="Y"/>
    <x v="0"/>
    <s v="West Fork and Below Lake"/>
    <s v="Sonoma (d/s of Clov. Gage)"/>
    <x v="0"/>
    <n v="1992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1"/>
    <s v="Acre-feet per Year"/>
    <s v="U_12"/>
    <n v="3.4039024194010059E-4"/>
    <n v="38.668523829999998"/>
    <n v="-122.80176339"/>
    <s v="UNST"/>
  </r>
  <r>
    <s v="A030132"/>
    <n v="19920511"/>
    <n v="12"/>
    <s v="N"/>
    <s v="Y"/>
    <s v="Y"/>
    <s v="Y"/>
    <x v="0"/>
    <s v="West Fork and Below Lake"/>
    <s v="Sonoma (d/s of Clov. Gage)"/>
    <x v="0"/>
    <n v="1992"/>
    <x v="0"/>
    <x v="0"/>
    <s v="Y"/>
    <s v="N"/>
    <s v="N"/>
    <s v="Y"/>
    <s v="N"/>
    <x v="1"/>
    <s v="N"/>
    <x v="0"/>
    <s v="N"/>
    <n v="3.56"/>
    <n v="1.99"/>
    <n v="1"/>
    <n v="0.33"/>
    <n v="0"/>
    <n v="0"/>
    <n v="0"/>
    <n v="0"/>
    <n v="0"/>
    <n v="0"/>
    <n v="1"/>
    <n v="2"/>
    <n v="9.879999999999999"/>
    <n v="0"/>
    <n v="0"/>
    <n v="0.65955555553333345"/>
    <m/>
    <m/>
    <n v="15"/>
    <s v="Acre-feet per Year"/>
    <s v="U_12"/>
    <n v="0"/>
    <n v="38.649557870000002"/>
    <n v="-122.76373126"/>
    <s v="UNST"/>
  </r>
  <r>
    <s v="A030181"/>
    <n v="19920828"/>
    <n v="23"/>
    <s v="N"/>
    <s v="N"/>
    <s v="N"/>
    <s v="N"/>
    <x v="1"/>
    <s v="Outside"/>
    <s v="Outside"/>
    <x v="0"/>
    <n v="1992"/>
    <x v="0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0"/>
    <s v="Acre-feet per Year"/>
    <s v="L_24"/>
    <n v="0"/>
    <n v="38.495326640000002"/>
    <n v="-122.86743272"/>
    <s v="MARK WEST CREEK"/>
  </r>
  <r>
    <s v="A030186"/>
    <n v="19920427"/>
    <n v="21"/>
    <s v="N"/>
    <s v="N"/>
    <s v="N"/>
    <s v="N"/>
    <x v="1"/>
    <s v="Outside"/>
    <s v="Outside"/>
    <x v="0"/>
    <n v="1992"/>
    <x v="0"/>
    <x v="0"/>
    <s v="N"/>
    <s v="N"/>
    <s v="N"/>
    <s v="Y"/>
    <s v="N"/>
    <x v="1"/>
    <s v="N"/>
    <x v="1"/>
    <s v="N"/>
    <n v="0.26816400000000001"/>
    <n v="0.308558"/>
    <n v="0.27720349999999999"/>
    <n v="0.31590550000000001"/>
    <n v="0.36971349999999997"/>
    <n v="0.34859200000000001"/>
    <n v="0.39569799999999999"/>
    <n v="0.48418600000000001"/>
    <n v="0.42573"/>
    <n v="0.32080750000000002"/>
    <n v="0.33210899999999999"/>
    <n v="0.36043950000000002"/>
    <n v="4.2071065000000001"/>
    <n v="2.0239194999999999"/>
    <n v="6.7131104354039217E-3"/>
    <n v="0.42071065000000002"/>
    <m/>
    <m/>
    <n v="10"/>
    <s v="Acre-feet per Year"/>
    <s v="L_21"/>
    <n v="3.4039024194010059E-4"/>
    <n v="38.478900000000003"/>
    <n v="-123.0508"/>
    <s v="AUSTIN CREEK"/>
  </r>
  <r>
    <s v="A030173"/>
    <n v="19920827"/>
    <n v="16"/>
    <s v="N"/>
    <s v="N"/>
    <s v="N"/>
    <s v="N"/>
    <x v="1"/>
    <s v="Outside"/>
    <s v="Outside"/>
    <x v="0"/>
    <n v="1992"/>
    <x v="0"/>
    <x v="0"/>
    <s v="N"/>
    <s v="N"/>
    <s v="N"/>
    <s v="Y"/>
    <s v="N"/>
    <x v="1"/>
    <s v="N"/>
    <x v="0"/>
    <s v="N"/>
    <n v="0.16666666699999999"/>
    <n v="0"/>
    <n v="0"/>
    <n v="0"/>
    <n v="0"/>
    <n v="0"/>
    <n v="0"/>
    <n v="0"/>
    <n v="0"/>
    <n v="0"/>
    <n v="0.86666666699999995"/>
    <n v="2.8666666670000001"/>
    <n v="3.900000001"/>
    <n v="0"/>
    <n v="0"/>
    <n v="0.26000000006666668"/>
    <m/>
    <m/>
    <n v="15"/>
    <s v="Acre-feet per Year"/>
    <s v="L_16"/>
    <n v="0"/>
    <n v="38.655900000000003"/>
    <n v="-122.8847"/>
    <s v="UNST"/>
  </r>
  <r>
    <s v="A030986"/>
    <n v="19921215"/>
    <n v="5"/>
    <s v="Y"/>
    <s v="N"/>
    <s v="Y"/>
    <s v="Y"/>
    <x v="0"/>
    <s v="West Fork and Below Lake"/>
    <s v="Mendocino (d/s of lake)"/>
    <x v="0"/>
    <n v="1992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22.6"/>
    <s v="Acre-feet per Year"/>
    <s v="U_5"/>
    <n v="0"/>
    <n v="39.081700099999999"/>
    <n v="-123.16931958000001"/>
    <s v="RUSSIAN RIVER"/>
  </r>
  <r>
    <s v="A031091"/>
    <n v="19921205"/>
    <n v="6"/>
    <s v="Y"/>
    <s v="N"/>
    <s v="Y"/>
    <s v="Y"/>
    <x v="0"/>
    <s v="West Fork and Below Lake"/>
    <s v="Mendocino (d/s of lake)"/>
    <x v="0"/>
    <n v="1992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0"/>
    <s v="Acre-feet per Year"/>
    <s v="U_6"/>
    <n v="0"/>
    <n v="39.012168879999997"/>
    <n v="-123.11924924"/>
    <s v="RUSSIAN RIVER"/>
  </r>
  <r>
    <s v="A031092"/>
    <n v="19921215"/>
    <n v="5"/>
    <s v="Y"/>
    <s v="N"/>
    <s v="Y"/>
    <s v="Y"/>
    <x v="0"/>
    <s v="West Fork and Below Lake"/>
    <s v="Mendocino (d/s of lake)"/>
    <x v="0"/>
    <n v="1992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2"/>
    <s v="Acre-feet per Year"/>
    <s v="U_5"/>
    <n v="0"/>
    <n v="39.092336799999998"/>
    <n v="-123.17654256"/>
    <s v="RUSSIAN RIVER"/>
  </r>
  <r>
    <s v="A031093"/>
    <n v="19921205"/>
    <n v="6"/>
    <s v="Y"/>
    <s v="N"/>
    <s v="Y"/>
    <s v="Y"/>
    <x v="0"/>
    <s v="West Fork and Below Lake"/>
    <s v="Mendocino (d/s of lake)"/>
    <x v="0"/>
    <n v="1992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38"/>
    <s v="Acre-feet per Year"/>
    <s v="U_6"/>
    <n v="0"/>
    <n v="38.994055279999998"/>
    <n v="-123.13181647"/>
    <s v="UNST"/>
  </r>
  <r>
    <s v="A031094"/>
    <n v="19921215"/>
    <n v="5"/>
    <s v="Y"/>
    <s v="N"/>
    <s v="Y"/>
    <s v="Y"/>
    <x v="0"/>
    <s v="West Fork and Below Lake"/>
    <s v="Mendocino (d/s of lake)"/>
    <x v="0"/>
    <n v="1992"/>
    <x v="0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91"/>
    <s v="Acre-feet per Year"/>
    <s v="U_5"/>
    <n v="3.4039024194010059E-4"/>
    <n v="39.092336799999998"/>
    <n v="-123.17654256"/>
    <s v="RUSSIAN RIVER"/>
  </r>
  <r>
    <s v="A031105"/>
    <n v="19921215"/>
    <n v="6"/>
    <s v="Y"/>
    <s v="N"/>
    <s v="Y"/>
    <s v="Y"/>
    <x v="0"/>
    <s v="West Fork and Below Lake"/>
    <s v="Mendocino (d/s of lake)"/>
    <x v="0"/>
    <n v="1992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2"/>
    <s v="Acre-feet per Year"/>
    <s v="U_6"/>
    <n v="3.4039024194010059E-4"/>
    <n v="39.011000000000003"/>
    <n v="-123.113"/>
    <s v="UNST"/>
  </r>
  <r>
    <s v="A031253"/>
    <n v="19921205"/>
    <n v="6"/>
    <s v="Y"/>
    <s v="N"/>
    <s v="Y"/>
    <s v="Y"/>
    <x v="0"/>
    <s v="West Fork and Below Lake"/>
    <s v="Mendocino (d/s of lake)"/>
    <x v="0"/>
    <n v="1992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1.5"/>
    <s v="Acre-feet per Year"/>
    <s v="U_6"/>
    <n v="0"/>
    <n v="38.964372259999998"/>
    <n v="-123.09211573"/>
    <s v="RUSSIAN RIVER UNDERFLOW"/>
  </r>
  <r>
    <s v="A031282"/>
    <n v="19921205"/>
    <n v="6"/>
    <s v="Y"/>
    <s v="N"/>
    <s v="Y"/>
    <s v="Y"/>
    <x v="0"/>
    <s v="West Fork and Below Lake"/>
    <s v="Mendocino (d/s of lake)"/>
    <x v="0"/>
    <n v="1992"/>
    <x v="0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0"/>
    <s v="Acre-feet per Year"/>
    <s v="U_6"/>
    <n v="0"/>
    <n v="38.961239089999999"/>
    <n v="-123.10340549"/>
    <s v="RUSSIAN RIVER UNDERFLOW"/>
  </r>
  <r>
    <s v="D030095"/>
    <n v="19920407"/>
    <n v="15"/>
    <s v="N"/>
    <s v="N"/>
    <s v="N"/>
    <s v="N"/>
    <x v="1"/>
    <s v="Outside"/>
    <s v="Outside"/>
    <x v="0"/>
    <n v="1992"/>
    <x v="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8"/>
    <s v="Acre-feet per Year"/>
    <s v="L_15"/>
    <n v="3.4039024194010059E-4"/>
    <n v="38.690542979999996"/>
    <n v="-122.94146166"/>
    <s v="UNST"/>
  </r>
  <r>
    <s v="D030211"/>
    <n v="19921215"/>
    <n v="13"/>
    <s v="N"/>
    <s v="Y"/>
    <s v="Y"/>
    <s v="Y"/>
    <x v="0"/>
    <s v="West Fork and Below Lake"/>
    <s v="Sonoma (d/s of Clov. Gage)"/>
    <x v="0"/>
    <n v="1992"/>
    <x v="0"/>
    <x v="1"/>
    <s v="Y"/>
    <s v="N"/>
    <s v="N"/>
    <s v="Y"/>
    <s v="N"/>
    <x v="1"/>
    <s v="N"/>
    <x v="1"/>
    <s v="N"/>
    <n v="0.04"/>
    <n v="0.04"/>
    <n v="0.04"/>
    <n v="0.04"/>
    <n v="0.04"/>
    <n v="0.04"/>
    <n v="0.04"/>
    <n v="0.04"/>
    <n v="0.04"/>
    <n v="0.04"/>
    <n v="0.04"/>
    <n v="0.04"/>
    <n v="0.47999999999999993"/>
    <n v="0.24934999999999999"/>
    <n v="8.2706554636583515E-4"/>
    <n v="0.99739999999999984"/>
    <m/>
    <m/>
    <n v="0.6"/>
    <s v="Acre-feet per Year"/>
    <s v="U_13"/>
    <n v="3.4039024194010059E-4"/>
    <n v="38.6149165"/>
    <n v="-122.8298612"/>
    <s v="RUSSIAN RIVER UNDERFLOW"/>
  </r>
  <r>
    <s v="A029901"/>
    <n v="19910124"/>
    <n v="18"/>
    <s v="N"/>
    <s v="N"/>
    <s v="N"/>
    <s v="N"/>
    <x v="1"/>
    <s v="Outside"/>
    <s v="Outside"/>
    <x v="0"/>
    <n v="1991"/>
    <x v="0"/>
    <x v="1"/>
    <s v="N"/>
    <s v="N"/>
    <s v="N"/>
    <s v="Y"/>
    <s v="N"/>
    <x v="1"/>
    <s v="N"/>
    <x v="1"/>
    <s v="N"/>
    <n v="7.9133333329999997"/>
    <n v="6.5233333330000001"/>
    <n v="10.48666667"/>
    <n v="11.81"/>
    <n v="12.11333333"/>
    <n v="16.853333330000002"/>
    <n v="20.6"/>
    <n v="23.66333333"/>
    <n v="18.986666670000002"/>
    <n v="16.37"/>
    <n v="13.19"/>
    <n v="11.12"/>
    <n v="169.62999999600001"/>
    <n v="92.216666660000016"/>
    <n v="0.30587217884575502"/>
    <n v="0.56168874170860927"/>
    <m/>
    <m/>
    <n v="302"/>
    <s v="Acre-feet per Year"/>
    <s v="L_18"/>
    <n v="0"/>
    <n v="38.50082879"/>
    <n v="-122.90209507"/>
    <s v="RUSSIAN RIVER UNDERFLOW"/>
  </r>
  <r>
    <s v="A029912"/>
    <n v="19910307"/>
    <n v="9"/>
    <s v="N"/>
    <s v="Y"/>
    <s v="Y"/>
    <s v="Y"/>
    <x v="0"/>
    <s v="West Fork and Below Lake"/>
    <s v="Sonoma (d/s of Clov. Gage)"/>
    <x v="0"/>
    <n v="1991"/>
    <x v="0"/>
    <x v="0"/>
    <s v="Y"/>
    <s v="N"/>
    <s v="N"/>
    <s v="Y"/>
    <s v="N"/>
    <x v="1"/>
    <s v="N"/>
    <x v="0"/>
    <s v="N"/>
    <n v="10.88"/>
    <n v="10.130000000000001"/>
    <n v="11.58"/>
    <n v="1"/>
    <n v="0"/>
    <n v="0"/>
    <n v="0"/>
    <n v="0"/>
    <n v="0"/>
    <n v="0"/>
    <n v="0"/>
    <n v="1.72"/>
    <n v="35.31"/>
    <n v="0"/>
    <n v="0"/>
    <n v="0.95495495495495575"/>
    <m/>
    <m/>
    <n v="37"/>
    <s v="Acre-feet per Year"/>
    <s v="U_9"/>
    <n v="0"/>
    <n v="38.742699999999999"/>
    <n v="-122.9002"/>
    <s v="UNST"/>
  </r>
  <r>
    <s v="A030015"/>
    <n v="19910913"/>
    <n v="6"/>
    <s v="Y"/>
    <s v="N"/>
    <s v="Y"/>
    <s v="Y"/>
    <x v="0"/>
    <s v="West Fork and Below Lake"/>
    <s v="Mendocino (d/s of lake)"/>
    <x v="0"/>
    <n v="1991"/>
    <x v="0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1"/>
    <s v="Acre-feet per Year"/>
    <s v="U_6"/>
    <n v="0"/>
    <n v="38.949473560000001"/>
    <n v="-123.05935782"/>
    <s v="DOOLEY CREEK"/>
  </r>
  <r>
    <s v="A030036"/>
    <n v="19911008"/>
    <n v="4"/>
    <s v="Y"/>
    <s v="N"/>
    <s v="Y"/>
    <s v="Y"/>
    <x v="0"/>
    <s v="West Fork and Below Lake"/>
    <s v="Mendocino (d/s of lake)"/>
    <x v="0"/>
    <n v="1991"/>
    <x v="0"/>
    <x v="1"/>
    <s v="Y"/>
    <s v="N"/>
    <s v="N"/>
    <s v="Y"/>
    <s v="N"/>
    <x v="1"/>
    <s v="N"/>
    <x v="1"/>
    <s v="N"/>
    <n v="0"/>
    <n v="0.16"/>
    <n v="2.66"/>
    <n v="3.73"/>
    <n v="0.83"/>
    <n v="0"/>
    <n v="0"/>
    <n v="0"/>
    <n v="0"/>
    <n v="0"/>
    <n v="0"/>
    <n v="0"/>
    <n v="7.3800000000000008"/>
    <n v="0.83333333333333304"/>
    <n v="2.7640717410795899E-3"/>
    <n v="9.9462365591397831E-2"/>
    <m/>
    <m/>
    <n v="74.400000000000006"/>
    <s v="Acre-feet per Year"/>
    <s v="U_4"/>
    <n v="0"/>
    <n v="39.142487150000001"/>
    <n v="-123.18593371"/>
    <s v="RUSSIAN RIVER UNDERFLOW"/>
  </r>
  <r>
    <s v="A029986"/>
    <n v="19910807"/>
    <n v="16"/>
    <s v="N"/>
    <s v="N"/>
    <s v="N"/>
    <s v="N"/>
    <x v="1"/>
    <s v="Outside"/>
    <s v="Outside"/>
    <x v="0"/>
    <n v="1991"/>
    <x v="0"/>
    <x v="0"/>
    <s v="N"/>
    <s v="N"/>
    <s v="N"/>
    <s v="Y"/>
    <s v="N"/>
    <x v="1"/>
    <s v="N"/>
    <x v="0"/>
    <s v="N"/>
    <n v="5.3333333329999997"/>
    <n v="3.6666666669999999"/>
    <n v="4.3333333329999997"/>
    <n v="1.3333333329999999"/>
    <n v="0"/>
    <n v="0"/>
    <n v="0"/>
    <n v="0"/>
    <n v="0"/>
    <n v="0"/>
    <n v="0"/>
    <n v="1.3333333329999999"/>
    <n v="15.999999999"/>
    <n v="0"/>
    <n v="0"/>
    <n v="0.76190476185714284"/>
    <m/>
    <m/>
    <n v="21"/>
    <s v="Acre-feet per Year"/>
    <s v="L_16"/>
    <n v="0"/>
    <n v="38.581989219999997"/>
    <n v="-122.90568381"/>
    <s v="UNST"/>
  </r>
  <r>
    <s v="C003981"/>
    <n v="19910402"/>
    <n v="16"/>
    <s v="N"/>
    <s v="N"/>
    <s v="N"/>
    <s v="N"/>
    <x v="1"/>
    <s v="Outside"/>
    <s v="Outside"/>
    <x v="0"/>
    <n v="1991"/>
    <x v="0"/>
    <x v="0"/>
    <s v="N"/>
    <s v="N"/>
    <s v="N"/>
    <s v="Y"/>
    <s v="N"/>
    <x v="1"/>
    <s v="N"/>
    <x v="0"/>
    <s v="N"/>
    <n v="3"/>
    <n v="1.6666666670000001"/>
    <n v="1.6666666670000001"/>
    <n v="1.3333333329999999"/>
    <n v="0"/>
    <n v="0"/>
    <n v="0"/>
    <n v="0"/>
    <n v="0"/>
    <n v="0"/>
    <n v="0"/>
    <n v="1"/>
    <n v="8.6666666670000012"/>
    <n v="0"/>
    <n v="0"/>
    <n v="0"/>
    <m/>
    <m/>
    <n v="0"/>
    <s v="Acre-feet per Year"/>
    <s v="L_16"/>
    <n v="0"/>
    <n v="38.592154890000003"/>
    <n v="-122.91707049"/>
    <s v="UNST"/>
  </r>
  <r>
    <s v="C003979"/>
    <n v="19910109"/>
    <n v="17"/>
    <s v="N"/>
    <s v="N"/>
    <s v="N"/>
    <s v="N"/>
    <x v="1"/>
    <s v="Outside"/>
    <s v="Outside"/>
    <x v="0"/>
    <n v="1991"/>
    <x v="0"/>
    <x v="0"/>
    <s v="N"/>
    <s v="N"/>
    <s v="N"/>
    <s v="Y"/>
    <s v="N"/>
    <x v="1"/>
    <s v="N"/>
    <x v="0"/>
    <s v="N"/>
    <n v="1"/>
    <n v="1"/>
    <n v="0.66666666699999999"/>
    <n v="1.6666666670000001"/>
    <n v="0"/>
    <n v="0"/>
    <n v="0"/>
    <n v="0"/>
    <n v="0"/>
    <n v="0"/>
    <n v="0"/>
    <n v="2"/>
    <n v="6.3333333339999998"/>
    <n v="0"/>
    <n v="0"/>
    <n v="0"/>
    <m/>
    <m/>
    <n v="0"/>
    <s v="Acre-feet per Year"/>
    <s v="L_17"/>
    <n v="0"/>
    <n v="38.560294990000003"/>
    <n v="-122.88238659"/>
    <s v="UNST"/>
  </r>
  <r>
    <s v="A029995"/>
    <n v="19910826"/>
    <n v="2"/>
    <s v="N"/>
    <s v="N"/>
    <s v="Y"/>
    <s v="N"/>
    <x v="0"/>
    <s v="Outside"/>
    <s v="Outside"/>
    <x v="0"/>
    <n v="1991"/>
    <x v="0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1"/>
    <s v="Acre-feet per Year"/>
    <s v="U_2"/>
    <n v="0"/>
    <n v="39.279863599999999"/>
    <n v="-123.06360171999999"/>
    <s v="UNST"/>
  </r>
  <r>
    <s v="D029862"/>
    <n v="19901116"/>
    <n v="15"/>
    <s v="N"/>
    <s v="N"/>
    <s v="N"/>
    <s v="N"/>
    <x v="1"/>
    <s v="Outside"/>
    <s v="Outside"/>
    <x v="0"/>
    <n v="1990"/>
    <x v="1"/>
    <x v="0"/>
    <s v="N"/>
    <s v="N"/>
    <s v="N"/>
    <s v="Y"/>
    <s v="N"/>
    <x v="1"/>
    <s v="N"/>
    <x v="0"/>
    <s v="N"/>
    <n v="3.333333E-3"/>
    <n v="6.6666670000000003E-3"/>
    <n v="3.333333E-3"/>
    <n v="6.6666670000000003E-3"/>
    <n v="0"/>
    <n v="0"/>
    <n v="0"/>
    <n v="0"/>
    <n v="0"/>
    <n v="0"/>
    <n v="0"/>
    <n v="3.333333E-3"/>
    <n v="2.3333333000000001E-2"/>
    <n v="0"/>
    <n v="0"/>
    <n v="7.5268816129032256E-3"/>
    <m/>
    <m/>
    <n v="3.1"/>
    <s v="Acre-feet per Year"/>
    <s v="L_15"/>
    <n v="3.4039024194010059E-4"/>
    <n v="38.674774960000001"/>
    <n v="-122.95561587"/>
    <s v="UNST"/>
  </r>
  <r>
    <s v="A029662"/>
    <n v="19900220"/>
    <n v="9"/>
    <s v="N"/>
    <s v="Y"/>
    <s v="Y"/>
    <s v="Y"/>
    <x v="0"/>
    <s v="West Fork and Below Lake"/>
    <s v="Sonoma (d/s of Clov. Gage)"/>
    <x v="0"/>
    <n v="1990"/>
    <x v="1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7.6"/>
    <s v="Acre-feet per Year"/>
    <s v="U_9"/>
    <n v="0"/>
    <n v="38.751807479999997"/>
    <n v="-122.95489615"/>
    <s v="RUSSIAN RIVER UNDERFLOW"/>
  </r>
  <r>
    <s v="A029671"/>
    <n v="19900305"/>
    <n v="17"/>
    <s v="N"/>
    <s v="N"/>
    <s v="N"/>
    <s v="N"/>
    <x v="1"/>
    <s v="Outside"/>
    <s v="Outside"/>
    <x v="0"/>
    <n v="1990"/>
    <x v="1"/>
    <x v="0"/>
    <s v="N"/>
    <s v="N"/>
    <s v="N"/>
    <s v="Y"/>
    <s v="N"/>
    <x v="1"/>
    <s v="N"/>
    <x v="0"/>
    <s v="N"/>
    <n v="0.66333333299999997"/>
    <n v="0.24333333300000001"/>
    <n v="0.15"/>
    <n v="0"/>
    <n v="0"/>
    <n v="0"/>
    <n v="0"/>
    <n v="0"/>
    <n v="0"/>
    <n v="0"/>
    <n v="0.70666666700000003"/>
    <n v="1.56"/>
    <n v="3.3233333329999999"/>
    <n v="0"/>
    <n v="0"/>
    <n v="0.36925925922222219"/>
    <m/>
    <m/>
    <n v="9"/>
    <s v="Acre-feet per Year"/>
    <s v="L_17"/>
    <n v="0"/>
    <n v="38.560294990000003"/>
    <n v="-122.88238659"/>
    <s v="UNST"/>
  </r>
  <r>
    <s v="A029682"/>
    <n v="19900201"/>
    <n v="9"/>
    <s v="N"/>
    <s v="Y"/>
    <s v="Y"/>
    <s v="Y"/>
    <x v="0"/>
    <s v="West Fork and Below Lake"/>
    <s v="Sonoma (d/s of Clov. Gage)"/>
    <x v="0"/>
    <n v="1990"/>
    <x v="1"/>
    <x v="0"/>
    <s v="Y"/>
    <s v="N"/>
    <s v="N"/>
    <s v="Y"/>
    <s v="N"/>
    <x v="1"/>
    <s v="N"/>
    <x v="0"/>
    <s v="N"/>
    <n v="36.5"/>
    <n v="8.73"/>
    <n v="19.93"/>
    <n v="4.66"/>
    <n v="0"/>
    <n v="0"/>
    <n v="0"/>
    <n v="0"/>
    <n v="0"/>
    <n v="0"/>
    <n v="2.0299999999999998"/>
    <n v="31.7"/>
    <n v="103.55"/>
    <n v="0"/>
    <n v="0"/>
    <n v="0.51783333331500003"/>
    <m/>
    <m/>
    <n v="200"/>
    <s v="Acre-feet per Year"/>
    <s v="U_9"/>
    <n v="0"/>
    <n v="38.748362049999997"/>
    <n v="-122.97449988"/>
    <s v="UNST"/>
  </r>
  <r>
    <s v="A029719"/>
    <n v="19900411"/>
    <n v="1"/>
    <s v="N"/>
    <s v="N"/>
    <s v="Y"/>
    <s v="Y"/>
    <x v="0"/>
    <s v="West Fork and Below Lake"/>
    <s v="Outside"/>
    <x v="0"/>
    <n v="1990"/>
    <x v="1"/>
    <x v="0"/>
    <s v="Y"/>
    <s v="N"/>
    <s v="N"/>
    <s v="Y"/>
    <s v="N"/>
    <x v="1"/>
    <s v="N"/>
    <x v="0"/>
    <s v="N"/>
    <n v="17.329999999999998"/>
    <n v="0"/>
    <n v="0"/>
    <n v="0"/>
    <n v="0"/>
    <n v="0"/>
    <n v="0"/>
    <n v="0"/>
    <n v="0"/>
    <n v="0"/>
    <n v="0"/>
    <n v="0"/>
    <n v="17.329999999999998"/>
    <n v="0"/>
    <n v="0"/>
    <n v="0.33986928098039215"/>
    <m/>
    <m/>
    <n v="51"/>
    <s v="Acre-feet per Year"/>
    <s v="U_1"/>
    <n v="0"/>
    <n v="39.268500000000003"/>
    <n v="-123.1739"/>
    <s v="UNST"/>
  </r>
  <r>
    <s v="A029723"/>
    <n v="19900423"/>
    <n v="4"/>
    <s v="Y"/>
    <s v="N"/>
    <s v="Y"/>
    <s v="Y"/>
    <x v="0"/>
    <s v="West Fork and Below Lake"/>
    <s v="Mendocino (d/s of lake)"/>
    <x v="0"/>
    <n v="1990"/>
    <x v="1"/>
    <x v="1"/>
    <s v="Y"/>
    <s v="N"/>
    <s v="N"/>
    <s v="Y"/>
    <s v="N"/>
    <x v="1"/>
    <s v="N"/>
    <x v="1"/>
    <s v="N"/>
    <n v="0"/>
    <n v="0"/>
    <n v="1"/>
    <n v="5.25"/>
    <n v="0.56000000000000005"/>
    <n v="0"/>
    <n v="0"/>
    <n v="0"/>
    <n v="0"/>
    <n v="0"/>
    <n v="0"/>
    <n v="0"/>
    <n v="6.8100000000000005"/>
    <n v="0.56666666700000001"/>
    <n v="1.8795687850397505E-3"/>
    <n v="0.78379310344827591"/>
    <m/>
    <m/>
    <n v="8.6999999999999993"/>
    <s v="Acre-feet per Year"/>
    <s v="U_4"/>
    <n v="0"/>
    <n v="39.171797920000003"/>
    <n v="-123.19260872"/>
    <s v="RUSSIAN RIVER"/>
  </r>
  <r>
    <s v="A029737"/>
    <n v="19900409"/>
    <n v="17"/>
    <s v="N"/>
    <s v="N"/>
    <s v="N"/>
    <s v="N"/>
    <x v="1"/>
    <s v="Outside"/>
    <s v="Outside"/>
    <x v="0"/>
    <n v="1990"/>
    <x v="1"/>
    <x v="1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725"/>
    <s v="Acre-feet per Year"/>
    <s v="L_17"/>
    <n v="0"/>
    <n v="38.555277029999999"/>
    <n v="-122.85574616"/>
    <s v="RUSSIAN RIVER UNDERFLOW"/>
  </r>
  <r>
    <s v="A029755"/>
    <n v="19900530"/>
    <n v="9"/>
    <s v="N"/>
    <s v="Y"/>
    <s v="Y"/>
    <s v="Y"/>
    <x v="0"/>
    <s v="West Fork and Below Lake"/>
    <s v="Sonoma (d/s of Clov. Gage)"/>
    <x v="0"/>
    <n v="1990"/>
    <x v="1"/>
    <x v="0"/>
    <s v="Y"/>
    <s v="N"/>
    <s v="N"/>
    <s v="Y"/>
    <s v="N"/>
    <x v="1"/>
    <s v="N"/>
    <x v="0"/>
    <s v="N"/>
    <n v="16.46"/>
    <n v="0"/>
    <n v="2.7"/>
    <n v="0"/>
    <n v="0"/>
    <n v="0"/>
    <n v="0"/>
    <n v="0"/>
    <n v="0"/>
    <n v="0"/>
    <n v="0.5"/>
    <n v="4.9000000000000004"/>
    <n v="24.560000000000002"/>
    <n v="0"/>
    <n v="0"/>
    <n v="0.50136054421768772"/>
    <m/>
    <m/>
    <n v="49"/>
    <s v="Acre-feet per Year"/>
    <s v="U_9"/>
    <n v="0"/>
    <n v="38.742664150000003"/>
    <n v="-122.96476674"/>
    <s v="UNST"/>
  </r>
  <r>
    <s v="A029760"/>
    <n v="19900402"/>
    <n v="6"/>
    <s v="Y"/>
    <s v="N"/>
    <s v="Y"/>
    <s v="Y"/>
    <x v="0"/>
    <s v="West Fork and Below Lake"/>
    <s v="Mendocino (d/s of lake)"/>
    <x v="0"/>
    <n v="1990"/>
    <x v="1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37"/>
    <s v="Acre-feet per Year"/>
    <s v="U_6"/>
    <n v="0"/>
    <n v="38.983482539999997"/>
    <n v="-123.1032963"/>
    <s v="Russian River"/>
  </r>
  <r>
    <s v="A029763"/>
    <n v="19900522"/>
    <n v="5"/>
    <s v="Y"/>
    <s v="N"/>
    <s v="Y"/>
    <s v="Y"/>
    <x v="0"/>
    <s v="West Fork and Below Lake"/>
    <s v="Mendocino (d/s of lake)"/>
    <x v="0"/>
    <n v="1990"/>
    <x v="1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39"/>
    <s v="Acre-feet per Year"/>
    <s v="U_5"/>
    <n v="0"/>
    <n v="39.060242580000001"/>
    <n v="-123.15819113000001"/>
    <s v="UNST"/>
  </r>
  <r>
    <s v="A029772"/>
    <n v="19900705"/>
    <n v="23"/>
    <s v="N"/>
    <s v="N"/>
    <s v="N"/>
    <s v="N"/>
    <x v="1"/>
    <s v="Outside"/>
    <s v="Outside"/>
    <x v="0"/>
    <n v="1990"/>
    <x v="1"/>
    <x v="0"/>
    <s v="N"/>
    <s v="N"/>
    <s v="N"/>
    <s v="Y"/>
    <s v="N"/>
    <x v="1"/>
    <s v="N"/>
    <x v="0"/>
    <s v="N"/>
    <n v="2.1"/>
    <n v="4.5"/>
    <n v="0"/>
    <n v="0"/>
    <n v="0"/>
    <n v="0"/>
    <n v="0"/>
    <n v="0"/>
    <n v="0"/>
    <n v="0"/>
    <n v="0.33333333300000001"/>
    <n v="2.0333333329999999"/>
    <n v="8.9666666659999983"/>
    <n v="0"/>
    <n v="0"/>
    <n v="0.22416666664999996"/>
    <m/>
    <m/>
    <n v="40"/>
    <s v="Acre-feet per Year"/>
    <s v="L_23"/>
    <n v="0"/>
    <n v="38.534017630000001"/>
    <n v="-122.8338155"/>
    <s v="UNST"/>
  </r>
  <r>
    <s v="A029783"/>
    <n v="19900725"/>
    <n v="6"/>
    <s v="Y"/>
    <s v="N"/>
    <s v="Y"/>
    <s v="Y"/>
    <x v="0"/>
    <s v="West Fork and Below Lake"/>
    <s v="Mendocino (d/s of lake)"/>
    <x v="0"/>
    <n v="1990"/>
    <x v="1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4.1"/>
    <s v="Acre-feet per Year"/>
    <s v="U_6"/>
    <n v="0"/>
    <n v="38.964044829999999"/>
    <n v="-123.05610895"/>
    <s v="UNST"/>
  </r>
  <r>
    <s v="A029789"/>
    <n v="19900803"/>
    <n v="9"/>
    <s v="N"/>
    <s v="Y"/>
    <s v="Y"/>
    <s v="Y"/>
    <x v="0"/>
    <s v="West Fork and Below Lake"/>
    <s v="Sonoma (d/s of Clov. Gage)"/>
    <x v="0"/>
    <n v="1990"/>
    <x v="1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83"/>
    <s v="Acre-feet per Year"/>
    <s v="U_9"/>
    <n v="0"/>
    <n v="38.784819730000002"/>
    <n v="-122.99673849"/>
    <s v="RUSSIAN RIVER UNDERFLOW"/>
  </r>
  <r>
    <s v="A029802"/>
    <n v="19900817"/>
    <n v="23"/>
    <s v="N"/>
    <s v="N"/>
    <s v="N"/>
    <s v="N"/>
    <x v="1"/>
    <s v="Outside"/>
    <s v="Outside"/>
    <x v="0"/>
    <n v="1990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0"/>
    <s v="Acre-feet per Year"/>
    <s v="L_24"/>
    <n v="0"/>
    <n v="38.498169679999997"/>
    <n v="-122.8543633"/>
    <s v="UNST"/>
  </r>
  <r>
    <s v="A029848"/>
    <n v="19901101"/>
    <n v="23"/>
    <s v="N"/>
    <s v="N"/>
    <s v="N"/>
    <s v="N"/>
    <x v="1"/>
    <s v="Outside"/>
    <s v="Outside"/>
    <x v="0"/>
    <n v="1990"/>
    <x v="1"/>
    <x v="0"/>
    <s v="N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0"/>
    <n v="1.3333333329999999"/>
    <n v="1.3333333329999999"/>
    <n v="0"/>
    <n v="0"/>
    <n v="2.0512820507692306E-2"/>
    <m/>
    <m/>
    <n v="65"/>
    <s v="Acre-feet per Year"/>
    <s v="L_23"/>
    <n v="0"/>
    <n v="38.568199999999997"/>
    <n v="-122.7667"/>
    <s v="UNST"/>
  </r>
  <r>
    <s v="A029849"/>
    <n v="19901101"/>
    <n v="23"/>
    <s v="N"/>
    <s v="N"/>
    <s v="N"/>
    <s v="N"/>
    <x v="1"/>
    <s v="Outside"/>
    <s v="Outside"/>
    <x v="0"/>
    <n v="1990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0"/>
    <s v="Acre-feet per Year"/>
    <s v="L_23"/>
    <n v="0"/>
    <n v="38.563767519999999"/>
    <n v="-122.78100025000001"/>
    <s v="UNST"/>
  </r>
  <r>
    <s v="A029850"/>
    <n v="19901101"/>
    <n v="23"/>
    <s v="N"/>
    <s v="N"/>
    <s v="N"/>
    <s v="N"/>
    <x v="1"/>
    <s v="Outside"/>
    <s v="Outside"/>
    <x v="0"/>
    <n v="1990"/>
    <x v="1"/>
    <x v="0"/>
    <s v="N"/>
    <s v="N"/>
    <s v="N"/>
    <s v="Y"/>
    <s v="N"/>
    <x v="1"/>
    <s v="N"/>
    <x v="0"/>
    <s v="N"/>
    <n v="2.6"/>
    <n v="6"/>
    <n v="4.1333333330000004"/>
    <n v="0"/>
    <n v="0"/>
    <n v="0"/>
    <n v="0"/>
    <n v="0"/>
    <n v="0"/>
    <n v="0"/>
    <n v="0"/>
    <n v="2.0666666669999998"/>
    <n v="14.8"/>
    <n v="0"/>
    <n v="0"/>
    <n v="0.64347826086956528"/>
    <m/>
    <m/>
    <n v="23"/>
    <s v="Acre-feet per Year"/>
    <s v="L_23"/>
    <n v="0"/>
    <n v="38.568199999999997"/>
    <n v="-122.7667"/>
    <m/>
  </r>
  <r>
    <s v="A029858"/>
    <n v="19901113"/>
    <n v="23"/>
    <s v="N"/>
    <s v="N"/>
    <s v="N"/>
    <s v="N"/>
    <x v="1"/>
    <s v="Outside"/>
    <s v="Outside"/>
    <x v="0"/>
    <n v="1990"/>
    <x v="1"/>
    <x v="0"/>
    <s v="N"/>
    <s v="N"/>
    <s v="N"/>
    <s v="Y"/>
    <s v="N"/>
    <x v="1"/>
    <s v="N"/>
    <x v="0"/>
    <s v="N"/>
    <n v="2.8333333330000001"/>
    <n v="2.5"/>
    <n v="0.16666666699999999"/>
    <n v="0"/>
    <n v="0"/>
    <n v="0"/>
    <n v="0"/>
    <n v="0"/>
    <n v="0"/>
    <n v="0"/>
    <n v="0.16666666699999999"/>
    <n v="1.3"/>
    <n v="6.966666667000001"/>
    <n v="0"/>
    <n v="0"/>
    <n v="0.30289855073913047"/>
    <m/>
    <m/>
    <n v="23"/>
    <s v="Acre-feet per Year"/>
    <s v="L_24"/>
    <n v="0"/>
    <n v="38.550800000000002"/>
    <n v="-122.6221"/>
    <s v="UNST"/>
  </r>
  <r>
    <s v="D029650"/>
    <n v="19900131"/>
    <n v="9"/>
    <s v="N"/>
    <s v="Y"/>
    <s v="Y"/>
    <s v="Y"/>
    <x v="0"/>
    <s v="West Fork and Below Lake"/>
    <s v="Sonoma (d/s of Clov. Gage)"/>
    <x v="0"/>
    <n v="1990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.9"/>
    <s v="Acre-feet per Year"/>
    <s v="U_9"/>
    <n v="3.4039024194010059E-4"/>
    <n v="38.757223660000001"/>
    <n v="-122.89534845999999"/>
    <s v="UNST"/>
  </r>
  <r>
    <s v="A029397"/>
    <n v="19890111"/>
    <n v="17"/>
    <s v="N"/>
    <s v="N"/>
    <s v="N"/>
    <s v="N"/>
    <x v="1"/>
    <s v="Outside"/>
    <s v="Outside"/>
    <x v="0"/>
    <n v="1989"/>
    <x v="1"/>
    <x v="1"/>
    <s v="N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0.3"/>
    <n v="0"/>
    <n v="0.3"/>
    <n v="0"/>
    <n v="0"/>
    <n v="8.5714285714285715E-2"/>
    <m/>
    <m/>
    <n v="3.5"/>
    <s v="Acre-feet per Year"/>
    <s v="L_17"/>
    <n v="0"/>
    <n v="38.523100650000003"/>
    <n v="-122.86698345000001"/>
    <s v="UNST"/>
  </r>
  <r>
    <s v="A029401"/>
    <n v="19890119"/>
    <n v="1"/>
    <s v="N"/>
    <s v="N"/>
    <s v="Y"/>
    <s v="Y"/>
    <x v="0"/>
    <s v="West Fork and Below Lake"/>
    <s v="Outside"/>
    <x v="0"/>
    <n v="1989"/>
    <x v="1"/>
    <x v="0"/>
    <s v="Y"/>
    <s v="N"/>
    <s v="N"/>
    <s v="Y"/>
    <s v="N"/>
    <x v="1"/>
    <s v="N"/>
    <x v="0"/>
    <s v="N"/>
    <n v="6.66"/>
    <n v="0"/>
    <n v="0"/>
    <n v="0"/>
    <n v="0"/>
    <n v="0"/>
    <n v="0"/>
    <n v="0"/>
    <n v="0"/>
    <n v="0"/>
    <n v="0"/>
    <n v="0"/>
    <n v="6.66"/>
    <n v="0"/>
    <n v="0"/>
    <n v="0.66666666670000008"/>
    <m/>
    <m/>
    <n v="10"/>
    <s v="Acre-feet per Year"/>
    <s v="U_1"/>
    <n v="0"/>
    <n v="39.268169880000002"/>
    <n v="-123.17637744"/>
    <s v="UNST"/>
  </r>
  <r>
    <s v="A029405"/>
    <n v="19890130"/>
    <n v="17"/>
    <s v="N"/>
    <s v="N"/>
    <s v="N"/>
    <s v="N"/>
    <x v="1"/>
    <s v="Outside"/>
    <s v="Outside"/>
    <x v="0"/>
    <n v="1989"/>
    <x v="1"/>
    <x v="1"/>
    <s v="N"/>
    <s v="N"/>
    <s v="N"/>
    <s v="Y"/>
    <s v="N"/>
    <x v="1"/>
    <s v="N"/>
    <x v="1"/>
    <s v="N"/>
    <n v="2.1666666669999999"/>
    <n v="5.6"/>
    <n v="0.9"/>
    <n v="1.8666666670000001"/>
    <n v="1.4666666669999999"/>
    <n v="4.1666666670000003"/>
    <n v="11.83333333"/>
    <n v="11.633333329999999"/>
    <n v="0"/>
    <n v="0"/>
    <n v="0.53333333299999997"/>
    <n v="6.9666666670000001"/>
    <n v="47.133333327999999"/>
    <n v="29.099999994000001"/>
    <n v="9.6521385178597999E-2"/>
    <n v="0.31846846843243243"/>
    <m/>
    <m/>
    <n v="148"/>
    <s v="Acre-feet per Year"/>
    <s v="L_17"/>
    <n v="0"/>
    <n v="38.555549030000002"/>
    <n v="-122.85609914"/>
    <s v="RUSSIAN RIVER UNDERFLOW"/>
  </r>
  <r>
    <s v="A029406"/>
    <n v="19890201"/>
    <n v="4"/>
    <s v="Y"/>
    <s v="N"/>
    <s v="Y"/>
    <s v="Y"/>
    <x v="0"/>
    <s v="West Fork and Below Lake"/>
    <s v="Mendocino (d/s of lake)"/>
    <x v="0"/>
    <n v="1989"/>
    <x v="1"/>
    <x v="1"/>
    <s v="Y"/>
    <s v="N"/>
    <s v="N"/>
    <s v="Y"/>
    <s v="N"/>
    <x v="1"/>
    <s v="N"/>
    <x v="1"/>
    <s v="N"/>
    <n v="0"/>
    <n v="0"/>
    <n v="0"/>
    <n v="0"/>
    <n v="0"/>
    <n v="1.03"/>
    <n v="0"/>
    <n v="0"/>
    <n v="0"/>
    <n v="0"/>
    <n v="0"/>
    <n v="0"/>
    <n v="1.03"/>
    <n v="1.0335173333333301"/>
    <n v="3.4280592659791122E-3"/>
    <n v="6.9832252252252022E-2"/>
    <m/>
    <m/>
    <n v="14.8"/>
    <s v="Acre-feet per Year"/>
    <s v="U_4"/>
    <n v="0"/>
    <n v="39.171797920000003"/>
    <n v="-123.19260872"/>
    <s v="RUSSIAN RIVER"/>
  </r>
  <r>
    <s v="A029411"/>
    <n v="19890214"/>
    <n v="12"/>
    <s v="N"/>
    <s v="Y"/>
    <s v="Y"/>
    <s v="Y"/>
    <x v="0"/>
    <s v="West Fork and Below Lake"/>
    <s v="Sonoma (d/s of Clov. Gage)"/>
    <x v="0"/>
    <n v="1989"/>
    <x v="1"/>
    <x v="1"/>
    <s v="Y"/>
    <s v="N"/>
    <s v="N"/>
    <s v="Y"/>
    <s v="N"/>
    <x v="1"/>
    <s v="N"/>
    <x v="1"/>
    <s v="N"/>
    <n v="0"/>
    <n v="0"/>
    <n v="0"/>
    <n v="0"/>
    <n v="0.02"/>
    <n v="0.02"/>
    <n v="0.2"/>
    <n v="0.16"/>
    <n v="0.1"/>
    <n v="0.11"/>
    <n v="0"/>
    <n v="0"/>
    <n v="0.61"/>
    <n v="0.52292666666666598"/>
    <n v="1.734488186388334E-3"/>
    <n v="0.15835383333333325"/>
    <m/>
    <m/>
    <n v="4"/>
    <s v="Acre-feet per Year"/>
    <s v="U_12"/>
    <n v="0"/>
    <n v="38.640808120000003"/>
    <n v="-122.79900076"/>
    <s v="RUSSIAN RIVER UNDERFLOW"/>
  </r>
  <r>
    <s v="A029412"/>
    <n v="19890214"/>
    <n v="12"/>
    <s v="N"/>
    <s v="Y"/>
    <s v="Y"/>
    <s v="Y"/>
    <x v="0"/>
    <s v="West Fork and Below Lake"/>
    <s v="Sonoma (d/s of Clov. Gage)"/>
    <x v="0"/>
    <n v="1989"/>
    <x v="1"/>
    <x v="1"/>
    <s v="Y"/>
    <s v="N"/>
    <s v="N"/>
    <s v="Y"/>
    <s v="N"/>
    <x v="1"/>
    <s v="N"/>
    <x v="1"/>
    <s v="N"/>
    <n v="0"/>
    <n v="0"/>
    <n v="0"/>
    <n v="0"/>
    <n v="0"/>
    <n v="0"/>
    <n v="0"/>
    <n v="0"/>
    <n v="0.19"/>
    <n v="0.34"/>
    <n v="0"/>
    <n v="0"/>
    <n v="0.53"/>
    <n v="0.19640666666666701"/>
    <n v="6.5145854051156774E-4"/>
    <n v="2.5719777777777807E-2"/>
    <m/>
    <m/>
    <n v="21"/>
    <s v="Acre-feet per Year"/>
    <s v="U_12"/>
    <n v="0"/>
    <n v="38.642490909999999"/>
    <n v="-122.79874018"/>
    <s v="RUSSIAN RIVER UNDERFLOW"/>
  </r>
  <r>
    <s v="A029418"/>
    <n v="19890228"/>
    <n v="9"/>
    <s v="N"/>
    <s v="Y"/>
    <s v="Y"/>
    <s v="Y"/>
    <x v="0"/>
    <s v="West Fork and Below Lake"/>
    <s v="Sonoma (d/s of Clov. Gage)"/>
    <x v="0"/>
    <n v="1989"/>
    <x v="1"/>
    <x v="1"/>
    <s v="Y"/>
    <s v="N"/>
    <s v="N"/>
    <s v="Y"/>
    <s v="N"/>
    <x v="1"/>
    <s v="N"/>
    <x v="1"/>
    <s v="N"/>
    <n v="8.6999999999999993"/>
    <n v="6.93"/>
    <n v="6.03"/>
    <n v="7.26"/>
    <n v="9.73"/>
    <n v="11.5"/>
    <n v="12.13"/>
    <n v="18.73"/>
    <n v="24.56"/>
    <n v="22.36"/>
    <n v="17.059999999999999"/>
    <n v="8.9"/>
    <n v="153.89000000000001"/>
    <n v="76.666666666666629"/>
    <n v="0.25429460017932226"/>
    <n v="0.38483333333333336"/>
    <m/>
    <m/>
    <n v="400"/>
    <s v="Acre-feet per Year"/>
    <s v="U_9"/>
    <n v="3.4039024194010059E-4"/>
    <n v="38.785362839999998"/>
    <n v="-122.99744779"/>
    <s v="RUSSIAN RIVER UNDERFLOW"/>
  </r>
  <r>
    <s v="A029419"/>
    <n v="19890228"/>
    <n v="9"/>
    <s v="N"/>
    <s v="Y"/>
    <s v="Y"/>
    <s v="Y"/>
    <x v="0"/>
    <s v="West Fork and Below Lake"/>
    <s v="Sonoma (d/s of Clov. Gage)"/>
    <x v="0"/>
    <n v="1989"/>
    <x v="1"/>
    <x v="1"/>
    <s v="Y"/>
    <s v="N"/>
    <s v="N"/>
    <s v="Y"/>
    <s v="N"/>
    <x v="1"/>
    <s v="N"/>
    <x v="1"/>
    <s v="N"/>
    <n v="0.06"/>
    <n v="0.03"/>
    <n v="0.03"/>
    <n v="0.06"/>
    <n v="2.36"/>
    <n v="9.4"/>
    <n v="8.26"/>
    <n v="0"/>
    <n v="0"/>
    <n v="0"/>
    <n v="0.03"/>
    <n v="0"/>
    <n v="20.230000000000004"/>
    <n v="20.033333333333339"/>
    <n v="6.6448284655553372E-2"/>
    <n v="2.9457364341085285E-2"/>
    <m/>
    <m/>
    <n v="688"/>
    <s v="Acre-feet per Year"/>
    <s v="U_9"/>
    <n v="0"/>
    <n v="38.765829320000002"/>
    <n v="-122.96937719"/>
    <s v="RUSSIAN RIVER UNDERFLOW"/>
  </r>
  <r>
    <s v="A029437"/>
    <n v="19890314"/>
    <n v="9"/>
    <s v="N"/>
    <s v="Y"/>
    <s v="Y"/>
    <s v="Y"/>
    <x v="0"/>
    <s v="West Fork and Below Lake"/>
    <s v="Sonoma (d/s of Clov. Gage)"/>
    <x v="0"/>
    <n v="1989"/>
    <x v="1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00"/>
    <s v="Acre-feet per Year"/>
    <s v="U_9"/>
    <n v="0"/>
    <n v="38.765829320000002"/>
    <n v="-122.96937719"/>
    <s v="RUSSIAN RIVER UNDERFLOW"/>
  </r>
  <r>
    <s v="A029462"/>
    <n v="19890324"/>
    <n v="17"/>
    <s v="N"/>
    <s v="N"/>
    <s v="N"/>
    <s v="N"/>
    <x v="1"/>
    <s v="Outside"/>
    <s v="Outside"/>
    <x v="0"/>
    <n v="1989"/>
    <x v="1"/>
    <x v="1"/>
    <s v="N"/>
    <s v="N"/>
    <s v="N"/>
    <s v="Y"/>
    <s v="N"/>
    <x v="1"/>
    <s v="N"/>
    <x v="1"/>
    <s v="N"/>
    <n v="1.5120000000000001E-3"/>
    <n v="1.5293329999999999E-3"/>
    <n v="2.8349999999999998E-3"/>
    <n v="4.45E-3"/>
    <n v="1.7385667E-2"/>
    <n v="0.148617"/>
    <n v="0.34325800000000001"/>
    <n v="0.43672899999999998"/>
    <n v="0.56955266699999996"/>
    <n v="8.7217332999999994E-2"/>
    <n v="6.738267E-3"/>
    <n v="4.2514670000000001E-3"/>
    <n v="1.6240757339999998"/>
    <n v="1.5155423333333338"/>
    <n v="5.026881283171792E-3"/>
    <n v="8.120378666666668E-2"/>
    <m/>
    <m/>
    <n v="20"/>
    <s v="Acre-feet per Year"/>
    <s v="L_17"/>
    <n v="0"/>
    <n v="38.541200000000003"/>
    <n v="-122.8605"/>
    <s v="RUSSIAN RIVER UNDERFLOW"/>
  </r>
  <r>
    <s v="A029467"/>
    <n v="19890418"/>
    <n v="11"/>
    <s v="N"/>
    <s v="Y"/>
    <s v="Y"/>
    <s v="Y"/>
    <x v="0"/>
    <s v="West Fork and Below Lake"/>
    <s v="Sonoma (d/s of Clov. Gage)"/>
    <x v="0"/>
    <n v="1989"/>
    <x v="1"/>
    <x v="0"/>
    <s v="Y"/>
    <s v="N"/>
    <s v="N"/>
    <s v="Y"/>
    <s v="N"/>
    <x v="1"/>
    <s v="N"/>
    <x v="0"/>
    <s v="N"/>
    <n v="0.21"/>
    <n v="0.21"/>
    <n v="0.21"/>
    <n v="0.21"/>
    <n v="0"/>
    <n v="0"/>
    <n v="0"/>
    <n v="0"/>
    <n v="0"/>
    <n v="0"/>
    <n v="0.21"/>
    <n v="0.21"/>
    <n v="1.26"/>
    <n v="0"/>
    <n v="0"/>
    <n v="9.6923076923076917E-2"/>
    <m/>
    <m/>
    <n v="13"/>
    <s v="Acre-feet per Year"/>
    <s v="U_11"/>
    <n v="0"/>
    <n v="38.654687490000001"/>
    <n v="-122.71445740999999"/>
    <s v="UNST"/>
  </r>
  <r>
    <s v="A029479"/>
    <n v="19890403"/>
    <n v="5"/>
    <s v="Y"/>
    <s v="N"/>
    <s v="Y"/>
    <s v="Y"/>
    <x v="0"/>
    <s v="West Fork and Below Lake"/>
    <s v="Mendocino (d/s of lake)"/>
    <x v="0"/>
    <n v="1989"/>
    <x v="1"/>
    <x v="0"/>
    <s v="Y"/>
    <s v="N"/>
    <s v="N"/>
    <s v="Y"/>
    <s v="N"/>
    <x v="1"/>
    <s v="N"/>
    <x v="0"/>
    <s v="N"/>
    <n v="3.1"/>
    <n v="0"/>
    <n v="0"/>
    <n v="0"/>
    <n v="0"/>
    <n v="0"/>
    <n v="0"/>
    <n v="0"/>
    <n v="0"/>
    <n v="0"/>
    <n v="0"/>
    <n v="0"/>
    <n v="3.1"/>
    <n v="0"/>
    <n v="0"/>
    <n v="1"/>
    <m/>
    <m/>
    <n v="3.1"/>
    <s v="Acre-feet per Year"/>
    <s v="U_5"/>
    <n v="0"/>
    <n v="39.127099999999999"/>
    <n v="-123.1508"/>
    <s v="UNST"/>
  </r>
  <r>
    <s v="A029480"/>
    <n v="19890428"/>
    <n v="1"/>
    <s v="N"/>
    <s v="N"/>
    <s v="Y"/>
    <s v="Y"/>
    <x v="0"/>
    <s v="West Fork and Below Lake"/>
    <s v="Outside"/>
    <x v="0"/>
    <n v="1989"/>
    <x v="1"/>
    <x v="0"/>
    <s v="Y"/>
    <s v="N"/>
    <s v="N"/>
    <s v="Y"/>
    <s v="N"/>
    <x v="1"/>
    <s v="N"/>
    <x v="0"/>
    <s v="N"/>
    <n v="2.2999999999999998"/>
    <n v="3.77"/>
    <n v="0"/>
    <n v="0.7"/>
    <n v="0"/>
    <n v="0"/>
    <n v="0"/>
    <n v="0"/>
    <n v="0"/>
    <n v="0"/>
    <n v="0"/>
    <n v="0"/>
    <n v="6.7700000000000005"/>
    <n v="0"/>
    <n v="0"/>
    <n v="0.9292237443835617"/>
    <m/>
    <m/>
    <n v="7.3"/>
    <s v="Acre-feet per Year"/>
    <s v="U_1"/>
    <n v="0"/>
    <n v="39.282800000000002"/>
    <n v="-123.2227"/>
    <s v="UNST"/>
  </r>
  <r>
    <s v="A029502"/>
    <n v="19890614"/>
    <n v="18"/>
    <s v="N"/>
    <s v="N"/>
    <s v="N"/>
    <s v="N"/>
    <x v="1"/>
    <s v="Outside"/>
    <s v="Outside"/>
    <x v="0"/>
    <n v="1989"/>
    <x v="1"/>
    <x v="0"/>
    <s v="N"/>
    <s v="N"/>
    <s v="N"/>
    <s v="Y"/>
    <s v="N"/>
    <x v="1"/>
    <s v="N"/>
    <x v="0"/>
    <s v="N"/>
    <n v="1"/>
    <n v="1"/>
    <n v="0"/>
    <n v="0"/>
    <n v="0"/>
    <n v="0"/>
    <n v="0"/>
    <n v="0"/>
    <n v="0"/>
    <n v="0"/>
    <n v="0.5"/>
    <n v="0.5"/>
    <n v="3"/>
    <n v="0"/>
    <n v="0"/>
    <n v="0.16666666666666666"/>
    <m/>
    <m/>
    <n v="18"/>
    <s v="Acre-feet per Year"/>
    <s v="L_18"/>
    <n v="0"/>
    <n v="38.416104830000002"/>
    <n v="-122.88549571999999"/>
    <s v="UNST"/>
  </r>
  <r>
    <s v="A029512"/>
    <n v="19890322"/>
    <n v="5"/>
    <s v="Y"/>
    <s v="N"/>
    <s v="Y"/>
    <s v="Y"/>
    <x v="0"/>
    <s v="West Fork and Below Lake"/>
    <s v="Mendocino (d/s of lake)"/>
    <x v="0"/>
    <n v="1989"/>
    <x v="1"/>
    <x v="0"/>
    <s v="Y"/>
    <s v="N"/>
    <s v="N"/>
    <s v="Y"/>
    <s v="N"/>
    <x v="1"/>
    <s v="N"/>
    <x v="0"/>
    <s v="N"/>
    <n v="3.24"/>
    <n v="0"/>
    <n v="3.15"/>
    <n v="0"/>
    <n v="0"/>
    <n v="0"/>
    <n v="0"/>
    <n v="0"/>
    <n v="0"/>
    <n v="0"/>
    <n v="0"/>
    <n v="0"/>
    <n v="6.3900000000000006"/>
    <n v="0"/>
    <n v="0"/>
    <n v="0.1937373737272727"/>
    <m/>
    <m/>
    <n v="33"/>
    <s v="Acre-feet per Year"/>
    <s v="U_5"/>
    <n v="0"/>
    <n v="39.099289089999999"/>
    <n v="-123.19498335999999"/>
    <s v="UNST"/>
  </r>
  <r>
    <s v="A029515"/>
    <n v="19890627"/>
    <n v="23"/>
    <s v="N"/>
    <s v="N"/>
    <s v="N"/>
    <s v="N"/>
    <x v="1"/>
    <s v="Outside"/>
    <s v="Outside"/>
    <x v="0"/>
    <n v="1989"/>
    <x v="1"/>
    <x v="0"/>
    <s v="N"/>
    <s v="N"/>
    <s v="N"/>
    <s v="Y"/>
    <s v="N"/>
    <x v="1"/>
    <s v="N"/>
    <x v="0"/>
    <s v="N"/>
    <n v="5.25"/>
    <n v="1.45"/>
    <n v="0.25"/>
    <n v="0"/>
    <n v="0"/>
    <n v="0"/>
    <n v="0"/>
    <n v="0"/>
    <n v="0"/>
    <n v="0"/>
    <n v="0.16666666699999999"/>
    <n v="2.9166666669999999"/>
    <n v="10.033333334"/>
    <n v="0"/>
    <n v="0"/>
    <n v="0.7166666666666669"/>
    <m/>
    <m/>
    <n v="14"/>
    <s v="Acre-feet per Year"/>
    <s v="L_27"/>
    <n v="0"/>
    <n v="38.397599999999997"/>
    <n v="-122.6409"/>
    <s v="UNST"/>
  </r>
  <r>
    <s v="A029517"/>
    <n v="19890706"/>
    <n v="12"/>
    <s v="N"/>
    <s v="Y"/>
    <s v="Y"/>
    <s v="Y"/>
    <x v="0"/>
    <s v="West Fork and Below Lake"/>
    <s v="Sonoma (d/s of Clov. Gage)"/>
    <x v="0"/>
    <n v="1989"/>
    <x v="1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4"/>
    <s v="Acre-feet per Year"/>
    <s v="U_12"/>
    <n v="0"/>
    <n v="38.642490909999999"/>
    <n v="-122.79874018"/>
    <s v="RUSSIAN RIVER UNDERFLOW"/>
  </r>
  <r>
    <s v="A029525"/>
    <n v="19890725"/>
    <n v="5"/>
    <s v="Y"/>
    <s v="N"/>
    <s v="Y"/>
    <s v="Y"/>
    <x v="0"/>
    <s v="West Fork and Below Lake"/>
    <s v="Mendocino (d/s of lake)"/>
    <x v="0"/>
    <n v="1989"/>
    <x v="1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.6"/>
    <s v="Acre-feet per Year"/>
    <s v="U_5"/>
    <n v="0"/>
    <n v="39.059292139999997"/>
    <n v="-123.14447146000001"/>
    <s v="RUSSIAN RIVER"/>
  </r>
  <r>
    <s v="A029526"/>
    <n v="19890725"/>
    <n v="5"/>
    <s v="Y"/>
    <s v="N"/>
    <s v="Y"/>
    <s v="Y"/>
    <x v="0"/>
    <s v="West Fork and Below Lake"/>
    <s v="Mendocino (d/s of lake)"/>
    <x v="0"/>
    <n v="1989"/>
    <x v="1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4.7"/>
    <s v="Acre-feet per Year"/>
    <s v="U_5"/>
    <n v="0"/>
    <n v="39.05906607"/>
    <n v="-123.1448257"/>
    <s v="RUSSIAN RIVER"/>
  </r>
  <r>
    <s v="A029547"/>
    <n v="19890822"/>
    <n v="12"/>
    <s v="N"/>
    <s v="Y"/>
    <s v="Y"/>
    <s v="Y"/>
    <x v="0"/>
    <s v="West Fork and Below Lake"/>
    <s v="Sonoma (d/s of Clov. Gage)"/>
    <x v="0"/>
    <n v="1989"/>
    <x v="1"/>
    <x v="1"/>
    <s v="Y"/>
    <s v="N"/>
    <s v="N"/>
    <s v="Y"/>
    <s v="N"/>
    <x v="1"/>
    <s v="N"/>
    <x v="0"/>
    <s v="N"/>
    <n v="10.06"/>
    <n v="0"/>
    <n v="0.26"/>
    <n v="0"/>
    <n v="0"/>
    <n v="0"/>
    <n v="0"/>
    <n v="0"/>
    <n v="0"/>
    <n v="0"/>
    <n v="0"/>
    <n v="0"/>
    <n v="10.32"/>
    <n v="0"/>
    <n v="0"/>
    <n v="0.18386714116251543"/>
    <m/>
    <m/>
    <n v="56.2"/>
    <s v="Acre-feet per Year"/>
    <s v="U_12"/>
    <n v="0"/>
    <n v="38.638366179999998"/>
    <n v="-122.79670811"/>
    <s v="RUSSIAN RIVER UNDERFLOW"/>
  </r>
  <r>
    <s v="A029562"/>
    <n v="19890614"/>
    <n v="14"/>
    <s v="N"/>
    <s v="N"/>
    <s v="N"/>
    <s v="N"/>
    <x v="1"/>
    <s v="Outside"/>
    <s v="Outside"/>
    <x v="0"/>
    <n v="1989"/>
    <x v="1"/>
    <x v="0"/>
    <s v="N"/>
    <s v="N"/>
    <s v="N"/>
    <s v="Y"/>
    <s v="N"/>
    <x v="1"/>
    <s v="N"/>
    <x v="0"/>
    <s v="N"/>
    <n v="2.9"/>
    <n v="3.3333333E-2"/>
    <n v="0"/>
    <n v="0"/>
    <n v="0"/>
    <n v="0"/>
    <n v="0"/>
    <n v="0"/>
    <n v="0"/>
    <n v="0"/>
    <n v="5.9333333330000002"/>
    <n v="6.0666666669999998"/>
    <n v="14.933333333"/>
    <n v="0"/>
    <n v="0"/>
    <n v="0.28444444443809525"/>
    <m/>
    <m/>
    <n v="52.5"/>
    <s v="Acre-feet per Year"/>
    <s v="L_14"/>
    <n v="0"/>
    <n v="38.6995"/>
    <n v="-122.9902"/>
    <s v="UNNAMED STREAM"/>
  </r>
  <r>
    <s v="A029595"/>
    <n v="19891026"/>
    <n v="1"/>
    <s v="N"/>
    <s v="N"/>
    <s v="Y"/>
    <s v="Y"/>
    <x v="0"/>
    <s v="West Fork and Below Lake"/>
    <s v="Outside"/>
    <x v="0"/>
    <n v="1989"/>
    <x v="1"/>
    <x v="0"/>
    <s v="Y"/>
    <s v="N"/>
    <s v="N"/>
    <s v="Y"/>
    <s v="N"/>
    <x v="1"/>
    <s v="N"/>
    <x v="0"/>
    <s v="N"/>
    <n v="3.58"/>
    <n v="0"/>
    <n v="0.25"/>
    <n v="0"/>
    <n v="0"/>
    <n v="0"/>
    <n v="0"/>
    <n v="0"/>
    <n v="0"/>
    <n v="0"/>
    <n v="0"/>
    <n v="1.06"/>
    <n v="4.8900000000000006"/>
    <n v="0"/>
    <n v="0"/>
    <n v="0.17500000000000002"/>
    <m/>
    <m/>
    <n v="28"/>
    <s v="Acre-feet per Year"/>
    <s v="U_1"/>
    <n v="0"/>
    <n v="39.322602510000003"/>
    <n v="-123.21467008"/>
    <s v="UNST"/>
  </r>
  <r>
    <s v="A029610"/>
    <n v="19891109"/>
    <n v="18"/>
    <s v="N"/>
    <s v="N"/>
    <s v="N"/>
    <s v="N"/>
    <x v="1"/>
    <s v="Outside"/>
    <s v="Outside"/>
    <x v="0"/>
    <n v="1989"/>
    <x v="1"/>
    <x v="0"/>
    <s v="N"/>
    <s v="N"/>
    <s v="N"/>
    <s v="Y"/>
    <s v="N"/>
    <x v="1"/>
    <s v="N"/>
    <x v="0"/>
    <s v="N"/>
    <n v="1"/>
    <n v="0"/>
    <n v="0"/>
    <n v="0"/>
    <n v="0"/>
    <n v="0"/>
    <n v="0"/>
    <n v="0"/>
    <n v="0"/>
    <n v="0"/>
    <n v="0"/>
    <n v="3.5"/>
    <n v="4.5"/>
    <n v="0"/>
    <n v="0"/>
    <n v="0.47368421052631576"/>
    <m/>
    <m/>
    <n v="9.5"/>
    <s v="Acre-feet per Year"/>
    <s v="L_18"/>
    <n v="0"/>
    <n v="38.431100000000001"/>
    <n v="-122.9104"/>
    <s v="UNST"/>
  </r>
  <r>
    <s v="A029616"/>
    <n v="19891101"/>
    <n v="9"/>
    <s v="N"/>
    <s v="Y"/>
    <s v="Y"/>
    <s v="Y"/>
    <x v="0"/>
    <s v="West Fork and Below Lake"/>
    <s v="Sonoma (d/s of Clov. Gage)"/>
    <x v="0"/>
    <n v="1989"/>
    <x v="1"/>
    <x v="0"/>
    <s v="Y"/>
    <s v="N"/>
    <s v="N"/>
    <s v="Y"/>
    <s v="N"/>
    <x v="1"/>
    <s v="N"/>
    <x v="1"/>
    <s v="N"/>
    <n v="68.36"/>
    <n v="43.56"/>
    <n v="10.5"/>
    <n v="2.2599999999999998"/>
    <n v="6.56"/>
    <n v="0"/>
    <n v="0"/>
    <n v="0"/>
    <n v="0"/>
    <n v="0"/>
    <n v="0"/>
    <n v="2.73"/>
    <n v="133.97"/>
    <n v="6.5666666669999998"/>
    <n v="2.1780885320812807E-2"/>
    <n v="0.33500000001749997"/>
    <m/>
    <m/>
    <n v="400"/>
    <s v="Acre-feet per Year"/>
    <s v="U_9"/>
    <n v="0"/>
    <n v="38.758354509999997"/>
    <n v="-122.9928611"/>
    <s v="UNST"/>
  </r>
  <r>
    <s v="A029628"/>
    <n v="19891117"/>
    <n v="14"/>
    <s v="N"/>
    <s v="N"/>
    <s v="N"/>
    <s v="N"/>
    <x v="1"/>
    <s v="Outside"/>
    <s v="Outside"/>
    <x v="0"/>
    <n v="1989"/>
    <x v="1"/>
    <x v="0"/>
    <s v="N"/>
    <s v="N"/>
    <s v="N"/>
    <s v="Y"/>
    <s v="N"/>
    <x v="1"/>
    <s v="N"/>
    <x v="0"/>
    <s v="N"/>
    <n v="0"/>
    <n v="0"/>
    <n v="120.2"/>
    <n v="0"/>
    <n v="0"/>
    <n v="0"/>
    <n v="0"/>
    <n v="0"/>
    <n v="0"/>
    <n v="0"/>
    <n v="0"/>
    <n v="0"/>
    <n v="120.2"/>
    <n v="0"/>
    <n v="0"/>
    <n v="0.80133333333333334"/>
    <m/>
    <m/>
    <n v="150"/>
    <s v="Acre-feet per Year"/>
    <s v="L_14"/>
    <n v="0"/>
    <n v="38.694200000000002"/>
    <n v="-122.9914"/>
    <s v="FALL CREEK"/>
  </r>
  <r>
    <s v="A029632"/>
    <n v="19891227"/>
    <n v="6"/>
    <s v="Y"/>
    <s v="N"/>
    <s v="Y"/>
    <s v="Y"/>
    <x v="0"/>
    <s v="West Fork and Below Lake"/>
    <s v="Mendocino (d/s of lake)"/>
    <x v="0"/>
    <n v="1989"/>
    <x v="1"/>
    <x v="0"/>
    <s v="Y"/>
    <s v="N"/>
    <s v="N"/>
    <s v="Y"/>
    <s v="N"/>
    <x v="1"/>
    <s v="N"/>
    <x v="0"/>
    <s v="N"/>
    <n v="30.33"/>
    <n v="0"/>
    <n v="0"/>
    <n v="0"/>
    <n v="0"/>
    <n v="0"/>
    <n v="0"/>
    <n v="0"/>
    <n v="0"/>
    <n v="0"/>
    <n v="4"/>
    <n v="0.12"/>
    <n v="34.449999999999996"/>
    <n v="0"/>
    <n v="0"/>
    <n v="0.36659574464893624"/>
    <m/>
    <m/>
    <n v="94"/>
    <s v="Acre-feet per Year"/>
    <s v="U_6"/>
    <n v="0"/>
    <n v="38.927392769999997"/>
    <n v="-123.08240707"/>
    <s v="UNST"/>
  </r>
  <r>
    <s v="A029538"/>
    <n v="19890817"/>
    <n v="16"/>
    <s v="N"/>
    <s v="N"/>
    <s v="N"/>
    <s v="N"/>
    <x v="1"/>
    <s v="Outside"/>
    <s v="Outside"/>
    <x v="0"/>
    <n v="1989"/>
    <x v="1"/>
    <x v="0"/>
    <s v="N"/>
    <s v="N"/>
    <s v="N"/>
    <s v="Y"/>
    <s v="N"/>
    <x v="1"/>
    <s v="N"/>
    <x v="0"/>
    <s v="N"/>
    <n v="0.1"/>
    <n v="0"/>
    <n v="0"/>
    <n v="0"/>
    <n v="0"/>
    <n v="0"/>
    <n v="0"/>
    <n v="0"/>
    <n v="0"/>
    <n v="0"/>
    <n v="1.6"/>
    <n v="1.766666667"/>
    <n v="3.4666666670000001"/>
    <n v="0"/>
    <n v="0"/>
    <n v="0.24761904764285717"/>
    <m/>
    <m/>
    <n v="14"/>
    <s v="Acre-feet per Year"/>
    <s v="L_16"/>
    <n v="0"/>
    <n v="38.613300000000002"/>
    <n v="-122.8991"/>
    <s v="UNST"/>
  </r>
  <r>
    <s v="D029507"/>
    <n v="19890703"/>
    <n v="16"/>
    <s v="N"/>
    <s v="N"/>
    <s v="N"/>
    <s v="N"/>
    <x v="1"/>
    <s v="Outside"/>
    <s v="Outside"/>
    <x v="0"/>
    <n v="1989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6"/>
    <s v="Acre-feet per Year"/>
    <s v="L_16"/>
    <n v="3.4039024194010059E-4"/>
    <n v="38.579626130000001"/>
    <n v="-122.88612394"/>
    <s v="FELTA CREEK UNDERFLOW"/>
  </r>
  <r>
    <s v="D029448"/>
    <n v="19890327"/>
    <n v="1"/>
    <s v="N"/>
    <s v="N"/>
    <s v="Y"/>
    <s v="Y"/>
    <x v="0"/>
    <s v="West Fork and Below Lake"/>
    <s v="Outside"/>
    <x v="0"/>
    <n v="1989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"/>
    <s v="Acre-feet per Year"/>
    <s v="U_1"/>
    <n v="3.4039024194010059E-4"/>
    <n v="39.238500000000002"/>
    <n v="-123.2878"/>
    <s v="UNNAMED STREAM"/>
  </r>
  <r>
    <s v="D029572"/>
    <n v="19890920"/>
    <n v="1"/>
    <s v="N"/>
    <s v="N"/>
    <s v="Y"/>
    <s v="Y"/>
    <x v="0"/>
    <s v="West Fork and Below Lake"/>
    <s v="Outside"/>
    <x v="0"/>
    <n v="1989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.5"/>
    <s v="Acre-feet per Year"/>
    <s v="U_1"/>
    <n v="3.4039024194010059E-4"/>
    <n v="39.300516450000003"/>
    <n v="-123.22612958000001"/>
    <s v="UNST"/>
  </r>
  <r>
    <s v="A029202"/>
    <n v="19880310"/>
    <n v="1"/>
    <s v="N"/>
    <s v="N"/>
    <s v="Y"/>
    <s v="Y"/>
    <x v="0"/>
    <s v="West Fork and Below Lake"/>
    <s v="Outside"/>
    <x v="0"/>
    <n v="1988"/>
    <x v="1"/>
    <x v="0"/>
    <s v="Y"/>
    <s v="N"/>
    <s v="N"/>
    <s v="Y"/>
    <s v="N"/>
    <x v="1"/>
    <s v="N"/>
    <x v="0"/>
    <s v="N"/>
    <n v="46.56"/>
    <n v="0"/>
    <n v="0"/>
    <n v="0"/>
    <n v="0"/>
    <n v="0"/>
    <n v="0"/>
    <n v="0"/>
    <n v="0"/>
    <n v="0"/>
    <n v="0"/>
    <n v="0"/>
    <n v="46.56"/>
    <n v="0"/>
    <n v="0"/>
    <n v="0.35820512823076922"/>
    <m/>
    <m/>
    <n v="130"/>
    <s v="Acre-feet per Year"/>
    <s v="U_1"/>
    <n v="0"/>
    <n v="39.28925959"/>
    <n v="-123.22602247"/>
    <s v="UNST"/>
  </r>
  <r>
    <s v="A029203"/>
    <n v="19880310"/>
    <n v="1"/>
    <s v="N"/>
    <s v="N"/>
    <s v="Y"/>
    <s v="Y"/>
    <x v="0"/>
    <s v="West Fork and Below Lake"/>
    <s v="Outside"/>
    <x v="0"/>
    <n v="1988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20"/>
    <s v="Acre-feet per Year"/>
    <s v="U_1"/>
    <n v="0"/>
    <n v="39.28925959"/>
    <n v="-123.22602247"/>
    <s v="UNST"/>
  </r>
  <r>
    <s v="A029267"/>
    <n v="19880615"/>
    <n v="11"/>
    <s v="N"/>
    <s v="Y"/>
    <s v="Y"/>
    <s v="Y"/>
    <x v="0"/>
    <s v="West Fork and Below Lake"/>
    <s v="Sonoma (d/s of Clov. Gage)"/>
    <x v="0"/>
    <n v="1988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5"/>
    <s v="Acre-feet per Year"/>
    <s v="U_11"/>
    <n v="0"/>
    <n v="38.639866019999999"/>
    <n v="-122.71154641"/>
    <s v="LAFRANCHI CREEK"/>
  </r>
  <r>
    <s v="A029272"/>
    <n v="19880615"/>
    <n v="21"/>
    <s v="N"/>
    <s v="N"/>
    <s v="N"/>
    <s v="N"/>
    <x v="1"/>
    <s v="Outside"/>
    <s v="Outside"/>
    <x v="0"/>
    <n v="1988"/>
    <x v="1"/>
    <x v="0"/>
    <s v="N"/>
    <s v="N"/>
    <s v="N"/>
    <s v="Y"/>
    <s v="N"/>
    <x v="1"/>
    <s v="N"/>
    <x v="1"/>
    <s v="N"/>
    <n v="1.4035043330000001"/>
    <n v="1.240853333"/>
    <n v="1.101730667"/>
    <n v="1.0587660000000001"/>
    <n v="1.0925240000000001"/>
    <n v="1.421918"/>
    <n v="1.420895"/>
    <n v="1.4802266669999999"/>
    <n v="1.3073456670000001"/>
    <n v="1.350310667"/>
    <n v="1.2756339999999999"/>
    <n v="1.365654667"/>
    <n v="15.519363001"/>
    <n v="6.7229093339999997"/>
    <n v="2.2299124449539534E-2"/>
    <n v="0.49267819050793654"/>
    <m/>
    <m/>
    <n v="31.5"/>
    <s v="Acre-feet per Year"/>
    <s v="L_21"/>
    <n v="0"/>
    <n v="38.456841679999997"/>
    <n v="-123.11300439"/>
    <s v="JENNER GULCH"/>
  </r>
  <r>
    <s v="A029277"/>
    <n v="19880621"/>
    <n v="23"/>
    <s v="N"/>
    <s v="N"/>
    <s v="N"/>
    <s v="N"/>
    <x v="1"/>
    <s v="Outside"/>
    <s v="Outside"/>
    <x v="0"/>
    <n v="1988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"/>
    <s v="Acre-feet per Year"/>
    <s v="L_23"/>
    <n v="0"/>
    <n v="38.516664839999997"/>
    <n v="-122.84112773"/>
    <s v="UNST"/>
  </r>
  <r>
    <s v="A029327"/>
    <n v="19880822"/>
    <n v="9"/>
    <s v="N"/>
    <s v="Y"/>
    <s v="Y"/>
    <s v="Y"/>
    <x v="0"/>
    <s v="West Fork and Below Lake"/>
    <s v="Sonoma (d/s of Clov. Gage)"/>
    <x v="0"/>
    <n v="1988"/>
    <x v="1"/>
    <x v="0"/>
    <s v="Y"/>
    <s v="N"/>
    <s v="N"/>
    <s v="Y"/>
    <s v="N"/>
    <x v="1"/>
    <s v="N"/>
    <x v="0"/>
    <s v="N"/>
    <n v="1.74"/>
    <n v="0.52"/>
    <n v="0.28000000000000003"/>
    <n v="0"/>
    <n v="0"/>
    <n v="0"/>
    <n v="0"/>
    <n v="0"/>
    <n v="0"/>
    <n v="0.01"/>
    <n v="0.45"/>
    <n v="0.46"/>
    <n v="3.46"/>
    <n v="0"/>
    <n v="0"/>
    <n v="0.54601562484374999"/>
    <m/>
    <m/>
    <n v="6.4"/>
    <s v="Acre-feet per Year"/>
    <s v="U_9"/>
    <n v="3.4039024194010059E-4"/>
    <n v="38.771018410000003"/>
    <n v="-123.0076475"/>
    <s v="UNST"/>
  </r>
  <r>
    <s v="A029332"/>
    <n v="19880906"/>
    <n v="23"/>
    <s v="N"/>
    <s v="N"/>
    <s v="N"/>
    <s v="N"/>
    <x v="1"/>
    <s v="Outside"/>
    <s v="Outside"/>
    <x v="0"/>
    <n v="1988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1.3"/>
    <s v="Acre-feet per Year"/>
    <s v="L_26"/>
    <n v="0"/>
    <n v="38.48791473"/>
    <n v="-122.73387825"/>
    <s v="UNST"/>
  </r>
  <r>
    <s v="A029333"/>
    <n v="19880906"/>
    <n v="18"/>
    <s v="N"/>
    <s v="N"/>
    <s v="N"/>
    <s v="N"/>
    <x v="1"/>
    <s v="Outside"/>
    <s v="Outside"/>
    <x v="0"/>
    <n v="1988"/>
    <x v="1"/>
    <x v="0"/>
    <s v="N"/>
    <s v="N"/>
    <s v="N"/>
    <s v="Y"/>
    <s v="N"/>
    <x v="1"/>
    <s v="N"/>
    <x v="1"/>
    <s v="N"/>
    <n v="0"/>
    <n v="0"/>
    <n v="3.8808100000000002E-3"/>
    <n v="0"/>
    <n v="0"/>
    <n v="1.6699999999999999E-5"/>
    <n v="0.16879866700000001"/>
    <n v="1.0000000000000001E-5"/>
    <n v="2.6699999999999998E-5"/>
    <n v="0"/>
    <n v="0"/>
    <n v="0"/>
    <n v="0.17273287700000001"/>
    <n v="0.16885206700000002"/>
    <n v="5.6006307218109332E-4"/>
    <n v="1.3494756015625E-2"/>
    <m/>
    <m/>
    <n v="12.8"/>
    <s v="Acre-feet per Year"/>
    <s v="L_18"/>
    <n v="0"/>
    <n v="38.438701010000003"/>
    <n v="-122.89310728"/>
    <s v="UNST"/>
  </r>
  <r>
    <s v="A029338"/>
    <n v="19880928"/>
    <n v="4"/>
    <s v="Y"/>
    <s v="N"/>
    <s v="Y"/>
    <s v="Y"/>
    <x v="0"/>
    <s v="West Fork and Below Lake"/>
    <s v="Mendocino (d/s of lake)"/>
    <x v="0"/>
    <n v="1988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3.4"/>
    <s v="Acre-feet per Year"/>
    <s v="U_4"/>
    <n v="0"/>
    <n v="39.2012"/>
    <n v="-123.2272"/>
    <s v="UNST"/>
  </r>
  <r>
    <s v="A029372"/>
    <n v="19881118"/>
    <n v="9"/>
    <s v="N"/>
    <s v="Y"/>
    <s v="Y"/>
    <s v="Y"/>
    <x v="0"/>
    <s v="West Fork and Below Lake"/>
    <s v="Sonoma (d/s of Clov. Gage)"/>
    <x v="0"/>
    <n v="1988"/>
    <x v="1"/>
    <x v="0"/>
    <s v="Y"/>
    <s v="N"/>
    <s v="N"/>
    <s v="Y"/>
    <s v="N"/>
    <x v="1"/>
    <s v="N"/>
    <x v="1"/>
    <s v="N"/>
    <n v="0.61"/>
    <n v="0.51"/>
    <n v="0.46"/>
    <n v="0"/>
    <n v="0.05"/>
    <n v="0"/>
    <n v="0"/>
    <n v="0"/>
    <n v="0"/>
    <n v="0"/>
    <n v="0.08"/>
    <n v="0.25"/>
    <n v="1.9600000000000002"/>
    <n v="5.1147999999999999E-2"/>
    <n v="1.6965208969528669E-4"/>
    <n v="0.2861328985507246"/>
    <m/>
    <m/>
    <n v="6.9"/>
    <s v="Acre-feet per Year"/>
    <s v="U_9"/>
    <n v="0"/>
    <n v="38.761106429999998"/>
    <n v="-123.00495401000001"/>
    <s v="UNST"/>
  </r>
  <r>
    <s v="A029591"/>
    <n v="19881102"/>
    <n v="4"/>
    <s v="Y"/>
    <s v="N"/>
    <s v="Y"/>
    <s v="Y"/>
    <x v="0"/>
    <s v="West Fork and Below Lake"/>
    <s v="Mendocino (d/s of lake)"/>
    <x v="0"/>
    <n v="1988"/>
    <x v="1"/>
    <x v="1"/>
    <s v="Y"/>
    <s v="N"/>
    <s v="N"/>
    <s v="Y"/>
    <s v="N"/>
    <x v="1"/>
    <s v="N"/>
    <x v="0"/>
    <s v="N"/>
    <n v="0"/>
    <n v="0"/>
    <n v="0.5"/>
    <n v="1.33"/>
    <n v="0"/>
    <n v="0"/>
    <n v="0"/>
    <n v="0"/>
    <n v="0"/>
    <n v="0"/>
    <n v="0"/>
    <n v="0"/>
    <n v="1.83"/>
    <n v="0"/>
    <n v="0"/>
    <n v="6.1111111111110998E-2"/>
    <m/>
    <m/>
    <n v="30"/>
    <s v="Acre-feet per Year"/>
    <s v="U_4"/>
    <n v="0"/>
    <n v="39.142487150000001"/>
    <n v="-123.18593371"/>
    <s v="RUSSIAN RIVER UNDERFLOW"/>
  </r>
  <r>
    <s v="A029592"/>
    <n v="19881102"/>
    <n v="4"/>
    <s v="Y"/>
    <s v="N"/>
    <s v="Y"/>
    <s v="Y"/>
    <x v="0"/>
    <s v="West Fork and Below Lake"/>
    <s v="Mendocino (d/s of lake)"/>
    <x v="0"/>
    <n v="1988"/>
    <x v="1"/>
    <x v="1"/>
    <s v="Y"/>
    <s v="N"/>
    <s v="N"/>
    <s v="Y"/>
    <s v="N"/>
    <x v="1"/>
    <s v="N"/>
    <x v="1"/>
    <s v="N"/>
    <n v="0"/>
    <n v="0"/>
    <n v="0"/>
    <n v="0.66"/>
    <n v="28.33"/>
    <n v="31.66"/>
    <n v="0"/>
    <n v="0"/>
    <n v="0"/>
    <n v="0"/>
    <n v="0"/>
    <n v="0"/>
    <n v="60.65"/>
    <n v="60"/>
    <n v="0.19901316535773056"/>
    <n v="0.33703703703703708"/>
    <m/>
    <m/>
    <n v="180"/>
    <s v="Acre-feet per Year"/>
    <s v="U_4"/>
    <n v="3.4039024194010059E-4"/>
    <n v="39.142487150000001"/>
    <n v="-123.18593371"/>
    <s v="RUSSIAN RIVER UNDERFLOW"/>
  </r>
  <r>
    <s v="A030879"/>
    <n v="19880327"/>
    <n v="18"/>
    <s v="N"/>
    <s v="N"/>
    <s v="N"/>
    <s v="N"/>
    <x v="1"/>
    <s v="Outside"/>
    <s v="Outside"/>
    <x v="0"/>
    <n v="1988"/>
    <x v="1"/>
    <x v="1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2.8"/>
    <s v="Acre-feet per Year"/>
    <s v="L_18"/>
    <n v="3.4039024194010059E-4"/>
    <n v="38.515369560000003"/>
    <n v="-122.8678508"/>
    <s v="RUSSIAN RIVER UNDERFLOW"/>
  </r>
  <r>
    <s v="A029044"/>
    <n v="19870604"/>
    <n v="23"/>
    <s v="N"/>
    <s v="N"/>
    <s v="N"/>
    <s v="N"/>
    <x v="1"/>
    <s v="Outside"/>
    <s v="Outside"/>
    <x v="0"/>
    <n v="1987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.5"/>
    <s v="Acre-feet per Year"/>
    <s v="L_24"/>
    <n v="0"/>
    <n v="38.561377159999999"/>
    <n v="-122.63233579"/>
    <s v="UNST"/>
  </r>
  <r>
    <s v="A029070"/>
    <n v="19870716"/>
    <n v="23"/>
    <s v="N"/>
    <s v="N"/>
    <s v="N"/>
    <s v="N"/>
    <x v="1"/>
    <s v="Outside"/>
    <s v="Outside"/>
    <x v="0"/>
    <n v="1987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25"/>
    <s v="Acre-feet per Year"/>
    <s v="L_23"/>
    <n v="0"/>
    <n v="38.544928290000001"/>
    <n v="-122.73498867000001"/>
    <s v="UNST"/>
  </r>
  <r>
    <s v="A029086"/>
    <n v="19870810"/>
    <n v="7"/>
    <s v="N"/>
    <s v="Y"/>
    <s v="Y"/>
    <s v="Y"/>
    <x v="0"/>
    <s v="West Fork and Below Lake"/>
    <s v="Sonoma (d/s of Clov. Gage)"/>
    <x v="0"/>
    <n v="1987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2.5"/>
    <s v="Acre-feet per Year"/>
    <s v="U_7"/>
    <n v="0"/>
    <n v="38.777366469999997"/>
    <n v="-122.74510701"/>
    <s v="UNST"/>
  </r>
  <r>
    <s v="A029087"/>
    <n v="19870810"/>
    <n v="7"/>
    <s v="N"/>
    <s v="Y"/>
    <s v="Y"/>
    <s v="Y"/>
    <x v="0"/>
    <s v="West Fork and Below Lake"/>
    <s v="Sonoma (d/s of Clov. Gage)"/>
    <x v="0"/>
    <n v="1987"/>
    <x v="1"/>
    <x v="0"/>
    <s v="Y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0.6"/>
    <n v="0.63"/>
    <n v="1.23"/>
    <n v="0"/>
    <n v="0"/>
    <n v="0.64736842105263159"/>
    <m/>
    <m/>
    <n v="1.9"/>
    <s v="Acre-feet per Year"/>
    <s v="U_7"/>
    <n v="0"/>
    <n v="38.805382639999998"/>
    <n v="-122.76505258"/>
    <s v="UNST"/>
  </r>
  <r>
    <s v="A029108"/>
    <n v="19870911"/>
    <n v="12"/>
    <s v="N"/>
    <s v="Y"/>
    <s v="Y"/>
    <s v="Y"/>
    <x v="0"/>
    <s v="West Fork and Below Lake"/>
    <s v="Sonoma (d/s of Clov. Gage)"/>
    <x v="0"/>
    <n v="1987"/>
    <x v="1"/>
    <x v="0"/>
    <s v="Y"/>
    <s v="N"/>
    <s v="N"/>
    <s v="Y"/>
    <s v="N"/>
    <x v="1"/>
    <s v="N"/>
    <x v="0"/>
    <s v="N"/>
    <n v="2.13"/>
    <n v="0.8"/>
    <n v="1.38"/>
    <n v="0"/>
    <n v="0"/>
    <n v="0"/>
    <n v="0"/>
    <n v="0"/>
    <n v="0"/>
    <n v="0"/>
    <n v="0"/>
    <n v="0.4"/>
    <n v="4.71"/>
    <n v="0"/>
    <n v="0"/>
    <n v="0.40689655172413802"/>
    <m/>
    <m/>
    <n v="11.6"/>
    <s v="Acre-feet per Year"/>
    <s v="U_12"/>
    <n v="0"/>
    <n v="38.613254499999996"/>
    <n v="-122.68459405"/>
    <s v="BIDWELL CREEK"/>
  </r>
  <r>
    <s v="A029122"/>
    <n v="19871006"/>
    <n v="10"/>
    <s v="N"/>
    <s v="Y"/>
    <s v="Y"/>
    <s v="Y"/>
    <x v="0"/>
    <s v="West Fork and Below Lake"/>
    <s v="Sonoma (d/s of Clov. Gage)"/>
    <x v="0"/>
    <n v="1987"/>
    <x v="1"/>
    <x v="0"/>
    <s v="Y"/>
    <s v="N"/>
    <s v="N"/>
    <s v="Y"/>
    <s v="N"/>
    <x v="1"/>
    <s v="N"/>
    <x v="0"/>
    <s v="N"/>
    <n v="0.96"/>
    <n v="0"/>
    <n v="0"/>
    <n v="0"/>
    <n v="0"/>
    <n v="0"/>
    <n v="0"/>
    <n v="0"/>
    <n v="0"/>
    <n v="0"/>
    <n v="0.6"/>
    <n v="0.23"/>
    <n v="1.79"/>
    <n v="0"/>
    <n v="0"/>
    <n v="0.12000000000000001"/>
    <m/>
    <m/>
    <n v="15"/>
    <s v="Acre-feet per Year"/>
    <s v="U_10"/>
    <n v="0"/>
    <n v="38.715204700000001"/>
    <n v="-122.87799646000001"/>
    <s v="UNST"/>
  </r>
  <r>
    <s v="A028878"/>
    <n v="19860812"/>
    <n v="16"/>
    <s v="N"/>
    <s v="N"/>
    <s v="N"/>
    <s v="N"/>
    <x v="1"/>
    <s v="Outside"/>
    <s v="Outside"/>
    <x v="0"/>
    <n v="1986"/>
    <x v="1"/>
    <x v="0"/>
    <s v="N"/>
    <s v="N"/>
    <s v="N"/>
    <s v="Y"/>
    <s v="N"/>
    <x v="1"/>
    <s v="N"/>
    <x v="1"/>
    <s v="N"/>
    <n v="6.8533299999999999E-4"/>
    <n v="6.8533299999999999E-4"/>
    <n v="6.8533299999999999E-4"/>
    <n v="6.8533299999999999E-4"/>
    <n v="6.8533299999999999E-4"/>
    <n v="6.8533299999999999E-4"/>
    <n v="6.8533299999999999E-4"/>
    <n v="6.8533299999999999E-4"/>
    <n v="6.8533299999999999E-4"/>
    <n v="6.8533299999999999E-4"/>
    <n v="6.8533299999999999E-4"/>
    <n v="6.8533299999999999E-4"/>
    <n v="8.223995999999999E-3"/>
    <n v="3.4266649999999997E-3"/>
    <n v="1.1365857471175795E-5"/>
    <n v="1.0279994999999998E-2"/>
    <m/>
    <m/>
    <n v="0.8"/>
    <s v="Acre-feet per Year"/>
    <s v="L_16"/>
    <n v="3.4039024194010059E-4"/>
    <n v="38.603946299999997"/>
    <n v="-122.88380134000001"/>
    <s v="DRY CREEK UNDERFLOW"/>
  </r>
  <r>
    <s v="A028824"/>
    <n v="19860408"/>
    <n v="2"/>
    <s v="N"/>
    <s v="N"/>
    <s v="Y"/>
    <s v="N"/>
    <x v="0"/>
    <s v="Outside"/>
    <s v="Outside"/>
    <x v="0"/>
    <n v="1986"/>
    <x v="1"/>
    <x v="0"/>
    <s v="Y"/>
    <s v="N"/>
    <s v="N"/>
    <s v="Y"/>
    <s v="N"/>
    <x v="1"/>
    <s v="N"/>
    <x v="1"/>
    <s v="N"/>
    <n v="1.33"/>
    <n v="1"/>
    <n v="1.66"/>
    <n v="1.33"/>
    <n v="1.33"/>
    <n v="2.33"/>
    <n v="3.33"/>
    <n v="3"/>
    <n v="1"/>
    <n v="0"/>
    <n v="0.66"/>
    <n v="1"/>
    <n v="17.970000000000002"/>
    <n v="10.999999999"/>
    <n v="3.6485746978933718E-2"/>
    <n v="0.78260869560869584"/>
    <m/>
    <m/>
    <n v="23"/>
    <s v="Acre-feet per Year"/>
    <s v="U_2"/>
    <n v="0"/>
    <n v="39.326104059999999"/>
    <n v="-123.13942568"/>
    <s v="UNST"/>
  </r>
  <r>
    <s v="A028715"/>
    <n v="19860114"/>
    <n v="1"/>
    <s v="N"/>
    <s v="N"/>
    <s v="Y"/>
    <s v="Y"/>
    <x v="0"/>
    <s v="West Fork and Below Lake"/>
    <s v="Outside"/>
    <x v="0"/>
    <n v="1986"/>
    <x v="1"/>
    <x v="0"/>
    <s v="Y"/>
    <s v="N"/>
    <s v="N"/>
    <s v="Y"/>
    <s v="N"/>
    <x v="1"/>
    <s v="N"/>
    <x v="1"/>
    <s v="N"/>
    <n v="0.24"/>
    <n v="0.24"/>
    <n v="0.24"/>
    <n v="0.1"/>
    <n v="7.0000000000000007E-2"/>
    <n v="7.0000000000000007E-2"/>
    <n v="7.0000000000000007E-2"/>
    <n v="7.0000000000000007E-2"/>
    <n v="0.31"/>
    <n v="0.24"/>
    <n v="0.24"/>
    <n v="0.24"/>
    <n v="2.13"/>
    <n v="0.59000000000000008"/>
    <n v="1.9569627926843505E-3"/>
    <n v="0.92753623173913069"/>
    <m/>
    <m/>
    <n v="2.2999999999999998"/>
    <s v="Acre-feet per Year"/>
    <s v="U_1"/>
    <n v="3.4039024194010059E-4"/>
    <n v="39.237116749999998"/>
    <n v="-123.32425083"/>
    <s v="UNST"/>
  </r>
  <r>
    <s v="A028738"/>
    <n v="19860117"/>
    <n v="1"/>
    <s v="N"/>
    <s v="N"/>
    <s v="Y"/>
    <s v="Y"/>
    <x v="0"/>
    <s v="West Fork and Below Lake"/>
    <s v="Outside"/>
    <x v="0"/>
    <n v="1986"/>
    <x v="1"/>
    <x v="0"/>
    <s v="Y"/>
    <s v="N"/>
    <s v="N"/>
    <s v="Y"/>
    <s v="N"/>
    <x v="1"/>
    <s v="N"/>
    <x v="0"/>
    <s v="N"/>
    <n v="0.23"/>
    <n v="0"/>
    <n v="0"/>
    <n v="0"/>
    <n v="0"/>
    <n v="0"/>
    <n v="0"/>
    <n v="0"/>
    <n v="0"/>
    <n v="0"/>
    <n v="0.55000000000000004"/>
    <n v="0.3"/>
    <n v="1.08"/>
    <n v="0"/>
    <n v="0"/>
    <n v="0.84615358769230775"/>
    <m/>
    <m/>
    <n v="1.3"/>
    <s v="Acre-feet per Year"/>
    <s v="U_1"/>
    <n v="0"/>
    <n v="39.233702090000001"/>
    <n v="-123.33477944000001"/>
    <s v="UNST"/>
  </r>
  <r>
    <s v="A028786"/>
    <n v="19860128"/>
    <n v="1"/>
    <s v="N"/>
    <s v="N"/>
    <s v="Y"/>
    <s v="Y"/>
    <x v="0"/>
    <s v="West Fork and Below Lake"/>
    <s v="Outside"/>
    <x v="0"/>
    <n v="1986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4.6"/>
    <s v="Acre-feet per Year"/>
    <s v="U_1"/>
    <n v="3.4039024194010059E-4"/>
    <n v="39.246953300000001"/>
    <n v="-123.30412889999999"/>
    <s v="ELDRIDGE CREEK"/>
  </r>
  <r>
    <s v="A028787"/>
    <n v="19860128"/>
    <n v="1"/>
    <s v="N"/>
    <s v="N"/>
    <s v="Y"/>
    <s v="Y"/>
    <x v="0"/>
    <s v="West Fork and Below Lake"/>
    <s v="Outside"/>
    <x v="0"/>
    <n v="1986"/>
    <x v="1"/>
    <x v="0"/>
    <s v="Y"/>
    <s v="N"/>
    <s v="N"/>
    <s v="Y"/>
    <s v="N"/>
    <x v="1"/>
    <s v="N"/>
    <x v="1"/>
    <s v="N"/>
    <n v="0"/>
    <n v="0"/>
    <n v="0"/>
    <n v="0"/>
    <n v="6.76"/>
    <n v="1.1000000000000001"/>
    <n v="0.43"/>
    <n v="0"/>
    <n v="0"/>
    <n v="0"/>
    <n v="0"/>
    <n v="0"/>
    <n v="8.2899999999999991"/>
    <n v="8.3000000000000007"/>
    <n v="2.7530154541152728E-2"/>
    <n v="1"/>
    <m/>
    <m/>
    <n v="8.3000000000000007"/>
    <s v="Acre-feet per Year"/>
    <s v="U_1"/>
    <n v="0"/>
    <n v="39.246678760000002"/>
    <n v="-123.30412382999999"/>
    <s v="ELDRIDGE CREEK"/>
  </r>
  <r>
    <s v="A028790"/>
    <n v="19860130"/>
    <n v="12"/>
    <s v="N"/>
    <s v="Y"/>
    <s v="Y"/>
    <s v="Y"/>
    <x v="0"/>
    <s v="West Fork and Below Lake"/>
    <s v="Sonoma (d/s of Clov. Gage)"/>
    <x v="0"/>
    <n v="1986"/>
    <x v="1"/>
    <x v="0"/>
    <s v="Y"/>
    <s v="N"/>
    <s v="N"/>
    <s v="Y"/>
    <s v="N"/>
    <x v="1"/>
    <s v="N"/>
    <x v="1"/>
    <s v="N"/>
    <n v="0.96"/>
    <n v="0.96"/>
    <n v="0.66"/>
    <n v="0.26"/>
    <n v="0.26"/>
    <n v="0"/>
    <n v="0"/>
    <n v="0"/>
    <n v="0"/>
    <n v="0.03"/>
    <n v="0.63"/>
    <n v="0.76"/>
    <n v="4.5199999999999996"/>
    <n v="0.266666666666667"/>
    <n v="8.845029571454702E-4"/>
    <n v="0.65238095238095262"/>
    <m/>
    <m/>
    <n v="7"/>
    <s v="Acre-feet per Year"/>
    <s v="U_12"/>
    <n v="0"/>
    <n v="38.645446389999996"/>
    <n v="-122.77503917999999"/>
    <s v="UNST"/>
  </r>
  <r>
    <s v="A028828"/>
    <n v="19860418"/>
    <n v="21"/>
    <s v="N"/>
    <s v="N"/>
    <s v="N"/>
    <s v="N"/>
    <x v="1"/>
    <s v="Outside"/>
    <s v="Outside"/>
    <x v="0"/>
    <n v="1986"/>
    <x v="1"/>
    <x v="0"/>
    <s v="N"/>
    <s v="N"/>
    <s v="N"/>
    <s v="Y"/>
    <s v="N"/>
    <x v="1"/>
    <s v="N"/>
    <x v="0"/>
    <s v="N"/>
    <n v="1"/>
    <n v="0.66666666699999999"/>
    <n v="0.5"/>
    <n v="0.16666666699999999"/>
    <n v="0"/>
    <n v="0"/>
    <n v="0"/>
    <n v="0"/>
    <n v="0"/>
    <n v="0"/>
    <n v="0.33333333300000001"/>
    <n v="0.33333333300000001"/>
    <n v="3"/>
    <n v="0"/>
    <n v="0"/>
    <n v="1"/>
    <m/>
    <m/>
    <n v="3"/>
    <s v="Acre-feet per Year"/>
    <s v="L_21"/>
    <n v="0"/>
    <n v="38.417729199999997"/>
    <n v="-122.95741925999999"/>
    <s v="UNST"/>
  </r>
  <r>
    <s v="A028854"/>
    <n v="19860609"/>
    <n v="5"/>
    <s v="Y"/>
    <s v="N"/>
    <s v="Y"/>
    <s v="Y"/>
    <x v="0"/>
    <s v="West Fork and Below Lake"/>
    <s v="Mendocino (d/s of lake)"/>
    <x v="0"/>
    <n v="1986"/>
    <x v="1"/>
    <x v="1"/>
    <s v="Y"/>
    <s v="N"/>
    <s v="N"/>
    <s v="Y"/>
    <s v="N"/>
    <x v="1"/>
    <s v="N"/>
    <x v="0"/>
    <s v="N"/>
    <n v="0"/>
    <n v="0"/>
    <n v="2.58"/>
    <n v="0"/>
    <n v="0"/>
    <n v="0"/>
    <n v="0"/>
    <n v="0"/>
    <n v="0"/>
    <n v="0"/>
    <n v="0"/>
    <n v="0"/>
    <n v="2.58"/>
    <n v="0"/>
    <n v="0"/>
    <n v="2.5833333333333298E-2"/>
    <m/>
    <m/>
    <n v="100"/>
    <s v="Acre-feet per Year"/>
    <s v="U_5"/>
    <n v="0"/>
    <n v="39.102213470000002"/>
    <n v="-123.17741135"/>
    <s v="RUSSIAN RIVER UNDERFLOW"/>
  </r>
  <r>
    <s v="A028855"/>
    <n v="19860609"/>
    <n v="12"/>
    <s v="N"/>
    <s v="Y"/>
    <s v="Y"/>
    <s v="Y"/>
    <x v="0"/>
    <s v="West Fork and Below Lake"/>
    <s v="Sonoma (d/s of Clov. Gage)"/>
    <x v="0"/>
    <n v="1986"/>
    <x v="1"/>
    <x v="1"/>
    <s v="Y"/>
    <s v="N"/>
    <s v="N"/>
    <s v="Y"/>
    <s v="N"/>
    <x v="1"/>
    <s v="N"/>
    <x v="0"/>
    <s v="N"/>
    <n v="8.66"/>
    <n v="0"/>
    <n v="0"/>
    <n v="0"/>
    <n v="0"/>
    <n v="0"/>
    <n v="0"/>
    <n v="0"/>
    <n v="0"/>
    <n v="0"/>
    <n v="0"/>
    <n v="0"/>
    <n v="8.66"/>
    <n v="0"/>
    <n v="0"/>
    <n v="0.54166666666666685"/>
    <m/>
    <m/>
    <n v="16"/>
    <s v="Acre-feet per Year"/>
    <s v="U_12"/>
    <n v="0"/>
    <n v="38.635983680000002"/>
    <n v="-122.80174755"/>
    <s v="UNST"/>
  </r>
  <r>
    <s v="A028860"/>
    <n v="19860619"/>
    <n v="21"/>
    <s v="N"/>
    <s v="N"/>
    <s v="N"/>
    <s v="N"/>
    <x v="1"/>
    <s v="Outside"/>
    <s v="Outside"/>
    <x v="0"/>
    <n v="1986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8.6"/>
    <s v="Acre-feet per Year"/>
    <s v="L_21"/>
    <n v="3.4039024194010059E-4"/>
    <n v="38.4758"/>
    <n v="-123.0497"/>
    <s v="AUSTIN CREEK UNDERFLOW"/>
  </r>
  <r>
    <s v="A028886"/>
    <n v="19860908"/>
    <n v="5"/>
    <s v="Y"/>
    <s v="N"/>
    <s v="Y"/>
    <s v="Y"/>
    <x v="0"/>
    <s v="West Fork and Below Lake"/>
    <s v="Mendocino (d/s of lake)"/>
    <x v="0"/>
    <n v="1986"/>
    <x v="1"/>
    <x v="1"/>
    <s v="Y"/>
    <s v="N"/>
    <s v="N"/>
    <s v="Y"/>
    <s v="N"/>
    <x v="1"/>
    <s v="N"/>
    <x v="0"/>
    <s v="N"/>
    <n v="4.66"/>
    <n v="1.33"/>
    <n v="0"/>
    <n v="0"/>
    <n v="0"/>
    <n v="0"/>
    <n v="0"/>
    <n v="0"/>
    <n v="0"/>
    <n v="0"/>
    <n v="0"/>
    <n v="0"/>
    <n v="5.99"/>
    <n v="0"/>
    <n v="0"/>
    <n v="1"/>
    <m/>
    <m/>
    <n v="6"/>
    <s v="Acre-feet per Year"/>
    <s v="U_5"/>
    <n v="0"/>
    <n v="39.044600000000003"/>
    <n v="-123.1442"/>
    <s v="UNST"/>
  </r>
  <r>
    <s v="A028925"/>
    <n v="19861022"/>
    <n v="1"/>
    <s v="N"/>
    <s v="N"/>
    <s v="Y"/>
    <s v="Y"/>
    <x v="0"/>
    <s v="West Fork and Below Lake"/>
    <s v="Outside"/>
    <x v="0"/>
    <n v="1986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.2000000000000002"/>
    <s v="Acre-feet per Year"/>
    <s v="U_1"/>
    <n v="0"/>
    <n v="39.25327377"/>
    <n v="-123.2469421"/>
    <s v="UNST"/>
  </r>
  <r>
    <s v="A028926"/>
    <n v="19861022"/>
    <n v="1"/>
    <s v="N"/>
    <s v="N"/>
    <s v="Y"/>
    <s v="Y"/>
    <x v="0"/>
    <s v="West Fork and Below Lake"/>
    <s v="Outside"/>
    <x v="0"/>
    <n v="1986"/>
    <x v="1"/>
    <x v="0"/>
    <s v="Y"/>
    <s v="N"/>
    <s v="N"/>
    <s v="Y"/>
    <s v="N"/>
    <x v="1"/>
    <s v="N"/>
    <x v="0"/>
    <s v="N"/>
    <n v="3.84"/>
    <n v="0"/>
    <n v="1.3"/>
    <n v="0.06"/>
    <n v="0"/>
    <n v="0"/>
    <n v="0"/>
    <n v="0"/>
    <n v="0"/>
    <n v="0"/>
    <n v="0"/>
    <n v="0"/>
    <n v="5.1999999999999993"/>
    <n v="0"/>
    <n v="0"/>
    <n v="0.65125"/>
    <m/>
    <m/>
    <n v="8"/>
    <s v="Acre-feet per Year"/>
    <s v="U_1"/>
    <n v="0"/>
    <n v="39.313824740000001"/>
    <n v="-123.21381207"/>
    <s v="UNST"/>
  </r>
  <r>
    <s v="A028927"/>
    <n v="19861022"/>
    <n v="1"/>
    <s v="N"/>
    <s v="N"/>
    <s v="Y"/>
    <s v="Y"/>
    <x v="0"/>
    <s v="West Fork and Below Lake"/>
    <s v="Outside"/>
    <x v="0"/>
    <n v="1986"/>
    <x v="1"/>
    <x v="0"/>
    <s v="Y"/>
    <s v="N"/>
    <s v="N"/>
    <s v="Y"/>
    <s v="N"/>
    <x v="1"/>
    <s v="N"/>
    <x v="0"/>
    <s v="N"/>
    <n v="0.11"/>
    <n v="0"/>
    <n v="1.33"/>
    <n v="0.54"/>
    <n v="0"/>
    <n v="0"/>
    <n v="0"/>
    <n v="0"/>
    <n v="0"/>
    <n v="0"/>
    <n v="2.76"/>
    <n v="6.3"/>
    <n v="11.04"/>
    <n v="0"/>
    <n v="0"/>
    <n v="0.30712962963888896"/>
    <m/>
    <m/>
    <n v="36"/>
    <s v="Acre-feet per Year"/>
    <s v="U_1"/>
    <n v="0"/>
    <n v="39.31931909"/>
    <n v="-123.21355303999999"/>
    <s v="UNST"/>
  </r>
  <r>
    <s v="A028386"/>
    <n v="19850206"/>
    <n v="23"/>
    <s v="N"/>
    <s v="N"/>
    <s v="N"/>
    <s v="N"/>
    <x v="1"/>
    <s v="Outside"/>
    <s v="Outside"/>
    <x v="0"/>
    <n v="1985"/>
    <x v="1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"/>
    <s v="Acre-feet per Year"/>
    <s v="L_24"/>
    <n v="0"/>
    <n v="38.560782830000001"/>
    <n v="-122.62982778999999"/>
    <s v="Unnamed Stream"/>
  </r>
  <r>
    <s v="A028632"/>
    <n v="19851203"/>
    <n v="1"/>
    <s v="N"/>
    <s v="N"/>
    <s v="Y"/>
    <s v="Y"/>
    <x v="0"/>
    <s v="West Fork and Below Lake"/>
    <s v="Outside"/>
    <x v="0"/>
    <n v="1985"/>
    <x v="1"/>
    <x v="0"/>
    <s v="Y"/>
    <s v="N"/>
    <s v="N"/>
    <s v="Y"/>
    <s v="N"/>
    <x v="1"/>
    <s v="N"/>
    <x v="0"/>
    <s v="N"/>
    <n v="0.08"/>
    <n v="0.08"/>
    <n v="0.08"/>
    <n v="0.02"/>
    <n v="0"/>
    <n v="0"/>
    <n v="0"/>
    <n v="0"/>
    <n v="0"/>
    <n v="0.04"/>
    <n v="0.1"/>
    <n v="0.1"/>
    <n v="0.5"/>
    <n v="0"/>
    <n v="0"/>
    <n v="0.36666666571428574"/>
    <m/>
    <m/>
    <n v="1.4"/>
    <s v="Acre-feet per Year"/>
    <s v="U_1"/>
    <n v="3.4039024194010059E-4"/>
    <n v="39.26214555"/>
    <n v="-123.28356903"/>
    <s v="UNST"/>
  </r>
  <r>
    <s v="A028633"/>
    <n v="19851203"/>
    <n v="1"/>
    <s v="N"/>
    <s v="N"/>
    <s v="Y"/>
    <s v="Y"/>
    <x v="0"/>
    <s v="West Fork and Below Lake"/>
    <s v="Outside"/>
    <x v="0"/>
    <n v="1985"/>
    <x v="1"/>
    <x v="0"/>
    <s v="Y"/>
    <s v="N"/>
    <s v="N"/>
    <s v="Y"/>
    <s v="N"/>
    <x v="1"/>
    <s v="N"/>
    <x v="1"/>
    <s v="N"/>
    <n v="0.08"/>
    <n v="7.0000000000000007E-2"/>
    <n v="0.05"/>
    <n v="0.05"/>
    <n v="3.3333333333333301E-3"/>
    <n v="0"/>
    <n v="0"/>
    <n v="0"/>
    <n v="0"/>
    <n v="0.01"/>
    <n v="7.0000000000000007E-2"/>
    <n v="0.1"/>
    <n v="0.43333333333333335"/>
    <n v="3.3333333333333301E-3"/>
    <n v="1.1056286964318353E-5"/>
    <n v="0.23859649122807"/>
    <m/>
    <m/>
    <n v="1.9"/>
    <s v="Acre-feet per Year"/>
    <s v="U_1"/>
    <n v="3.4039024194010059E-4"/>
    <n v="39.262"/>
    <n v="-123.2814"/>
    <s v="UNST"/>
  </r>
  <r>
    <s v="A028635"/>
    <n v="19851203"/>
    <n v="1"/>
    <s v="N"/>
    <s v="N"/>
    <s v="Y"/>
    <s v="Y"/>
    <x v="0"/>
    <s v="West Fork and Below Lake"/>
    <s v="Outside"/>
    <x v="0"/>
    <n v="1985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4"/>
    <s v="Acre-feet per Year"/>
    <s v="U_1"/>
    <n v="0"/>
    <n v="39.243699999999997"/>
    <n v="-123.3211"/>
    <s v="UNST"/>
  </r>
  <r>
    <s v="A028636"/>
    <n v="19851203"/>
    <n v="1"/>
    <s v="N"/>
    <s v="N"/>
    <s v="Y"/>
    <s v="Y"/>
    <x v="0"/>
    <s v="West Fork and Below Lake"/>
    <s v="Outside"/>
    <x v="0"/>
    <n v="1985"/>
    <x v="1"/>
    <x v="0"/>
    <s v="Y"/>
    <s v="N"/>
    <s v="N"/>
    <s v="Y"/>
    <s v="N"/>
    <x v="1"/>
    <s v="N"/>
    <x v="1"/>
    <s v="N"/>
    <n v="0.26"/>
    <n v="0.26"/>
    <n v="0.26"/>
    <n v="0.13"/>
    <n v="0.16"/>
    <n v="0.03"/>
    <n v="0.03"/>
    <n v="0.03"/>
    <n v="0.03"/>
    <n v="0.26"/>
    <n v="0.33"/>
    <n v="0.83"/>
    <n v="2.6100000000000003"/>
    <n v="0.30000000000000016"/>
    <n v="9.9506582678865322E-4"/>
    <n v="1.2121212121212122"/>
    <m/>
    <m/>
    <n v="2.2000000000000002"/>
    <s v="Acre-feet per Year"/>
    <s v="U_1"/>
    <n v="3.4039024194010059E-4"/>
    <n v="39.26462918"/>
    <n v="-123.26983795"/>
    <s v="UNST"/>
  </r>
  <r>
    <s v="A028640"/>
    <n v="19851203"/>
    <n v="1"/>
    <s v="N"/>
    <s v="N"/>
    <s v="Y"/>
    <s v="Y"/>
    <x v="0"/>
    <s v="West Fork and Below Lake"/>
    <s v="Outside"/>
    <x v="0"/>
    <n v="1985"/>
    <x v="1"/>
    <x v="0"/>
    <s v="Y"/>
    <s v="N"/>
    <s v="N"/>
    <s v="Y"/>
    <s v="N"/>
    <x v="1"/>
    <s v="N"/>
    <x v="0"/>
    <s v="N"/>
    <n v="0.46"/>
    <n v="0.46"/>
    <n v="0.46"/>
    <n v="0.46"/>
    <n v="0"/>
    <n v="0"/>
    <n v="0"/>
    <n v="0"/>
    <n v="0"/>
    <n v="0"/>
    <n v="0.46"/>
    <n v="0.46"/>
    <n v="2.7600000000000002"/>
    <n v="0"/>
    <n v="0"/>
    <n v="0.552396"/>
    <m/>
    <m/>
    <n v="5"/>
    <s v="Acre-feet per Year"/>
    <s v="U_1"/>
    <n v="3.4039024194010059E-4"/>
    <n v="39.252918180000002"/>
    <n v="-123.31094935"/>
    <s v="UNST (AKA REDWOOD CREEK)"/>
  </r>
  <r>
    <s v="A028641"/>
    <n v="19851203"/>
    <n v="1"/>
    <s v="N"/>
    <s v="N"/>
    <s v="Y"/>
    <s v="Y"/>
    <x v="0"/>
    <s v="West Fork and Below Lake"/>
    <s v="Outside"/>
    <x v="0"/>
    <n v="1985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"/>
    <s v="Acre-feet per Year"/>
    <s v="U_1"/>
    <n v="3.4039024194010059E-4"/>
    <n v="39.244182270000003"/>
    <n v="-123.29401344999999"/>
    <s v="UNST"/>
  </r>
  <r>
    <s v="A028642"/>
    <n v="19851203"/>
    <n v="1"/>
    <s v="N"/>
    <s v="N"/>
    <s v="Y"/>
    <s v="Y"/>
    <x v="0"/>
    <s v="West Fork and Below Lake"/>
    <s v="Outside"/>
    <x v="0"/>
    <n v="1985"/>
    <x v="1"/>
    <x v="0"/>
    <s v="Y"/>
    <s v="N"/>
    <s v="N"/>
    <s v="Y"/>
    <s v="N"/>
    <x v="1"/>
    <s v="N"/>
    <x v="0"/>
    <s v="N"/>
    <n v="0.56000000000000005"/>
    <n v="0"/>
    <n v="0"/>
    <n v="0"/>
    <n v="0"/>
    <n v="0"/>
    <n v="0"/>
    <n v="0"/>
    <n v="0"/>
    <n v="0"/>
    <n v="0"/>
    <n v="0"/>
    <n v="0.56000000000000005"/>
    <n v="0"/>
    <n v="0"/>
    <n v="0.3333333335294118"/>
    <m/>
    <m/>
    <n v="1.7"/>
    <s v="Acre-feet per Year"/>
    <s v="U_1"/>
    <n v="3.4039024194010059E-4"/>
    <n v="39.256630649999998"/>
    <n v="-123.29812652"/>
    <s v="UNST"/>
  </r>
  <r>
    <s v="A028643"/>
    <n v="19851203"/>
    <n v="1"/>
    <s v="N"/>
    <s v="N"/>
    <s v="Y"/>
    <s v="Y"/>
    <x v="0"/>
    <s v="West Fork and Below Lake"/>
    <s v="Outside"/>
    <x v="0"/>
    <n v="1985"/>
    <x v="1"/>
    <x v="0"/>
    <s v="Y"/>
    <s v="N"/>
    <s v="N"/>
    <s v="Y"/>
    <s v="N"/>
    <x v="1"/>
    <s v="N"/>
    <x v="0"/>
    <s v="N"/>
    <n v="0.66"/>
    <n v="0.66"/>
    <n v="0.33"/>
    <n v="0.2"/>
    <n v="0"/>
    <n v="0"/>
    <n v="0"/>
    <n v="0"/>
    <n v="0"/>
    <n v="0.03"/>
    <n v="0.26"/>
    <n v="0.5"/>
    <n v="2.64"/>
    <n v="0"/>
    <n v="0"/>
    <n v="0.44444444449999998"/>
    <m/>
    <m/>
    <n v="6"/>
    <s v="Acre-feet per Year"/>
    <s v="U_1"/>
    <n v="3.4039024194010059E-4"/>
    <n v="39.241300160000002"/>
    <n v="-123.28142496"/>
    <s v="UNST"/>
  </r>
  <r>
    <s v="A028647"/>
    <n v="19851203"/>
    <n v="1"/>
    <s v="N"/>
    <s v="N"/>
    <s v="Y"/>
    <s v="Y"/>
    <x v="0"/>
    <s v="West Fork and Below Lake"/>
    <s v="Outside"/>
    <x v="0"/>
    <n v="1985"/>
    <x v="1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7"/>
    <s v="Acre-feet per Year"/>
    <s v="U_1"/>
    <n v="3.4039024194010059E-4"/>
    <n v="39.24997509"/>
    <n v="-123.27910998999999"/>
    <s v="UNST"/>
  </r>
  <r>
    <s v="A028648"/>
    <n v="19851203"/>
    <n v="1"/>
    <s v="N"/>
    <s v="N"/>
    <s v="Y"/>
    <s v="Y"/>
    <x v="0"/>
    <s v="West Fork and Below Lake"/>
    <s v="Outside"/>
    <x v="0"/>
    <n v="1985"/>
    <x v="1"/>
    <x v="0"/>
    <s v="Y"/>
    <s v="N"/>
    <s v="N"/>
    <s v="Y"/>
    <s v="N"/>
    <x v="1"/>
    <s v="N"/>
    <x v="1"/>
    <s v="N"/>
    <n v="0"/>
    <n v="0"/>
    <n v="0"/>
    <n v="0"/>
    <n v="0"/>
    <n v="2.3785E-3"/>
    <n v="2.9615000000000002E-3"/>
    <n v="2.9615000000000002E-3"/>
    <n v="2.9155000000000001E-3"/>
    <n v="2.7234999999999998E-3"/>
    <n v="0"/>
    <n v="0"/>
    <n v="1.39405E-2"/>
    <n v="1.1217E-2"/>
    <n v="3.7205511263627721E-5"/>
    <n v="4.9787500000000005E-3"/>
    <m/>
    <m/>
    <n v="2.8"/>
    <s v="Acre-feet per Year"/>
    <s v="U_1"/>
    <n v="3.4039024194010059E-4"/>
    <n v="39.236739880000002"/>
    <n v="-123.31382735"/>
    <s v="UNST"/>
  </r>
  <r>
    <s v="A028649"/>
    <n v="19851203"/>
    <n v="1"/>
    <s v="N"/>
    <s v="N"/>
    <s v="Y"/>
    <s v="Y"/>
    <x v="0"/>
    <s v="West Fork and Below Lake"/>
    <s v="Outside"/>
    <x v="0"/>
    <n v="1985"/>
    <x v="1"/>
    <x v="0"/>
    <s v="Y"/>
    <s v="N"/>
    <s v="N"/>
    <s v="Y"/>
    <s v="N"/>
    <x v="1"/>
    <s v="N"/>
    <x v="0"/>
    <s v="N"/>
    <n v="7.0000000000000007E-2"/>
    <n v="7.0000000000000007E-2"/>
    <n v="7.0000000000000007E-2"/>
    <n v="7.0000000000000007E-2"/>
    <n v="0"/>
    <n v="0"/>
    <n v="0"/>
    <n v="0"/>
    <n v="0"/>
    <n v="0"/>
    <n v="0.01"/>
    <n v="7.0000000000000007E-2"/>
    <n v="0.36000000000000004"/>
    <n v="0"/>
    <n v="0"/>
    <n v="0.35757575818181814"/>
    <m/>
    <m/>
    <n v="1.1000000000000001"/>
    <s v="Acre-feet per Year"/>
    <s v="U_1"/>
    <n v="3.4039024194010059E-4"/>
    <n v="39.258375970000003"/>
    <n v="-123.26407429"/>
    <s v="UNST"/>
  </r>
  <r>
    <s v="A028650"/>
    <n v="19851203"/>
    <n v="1"/>
    <s v="N"/>
    <s v="N"/>
    <s v="Y"/>
    <s v="Y"/>
    <x v="0"/>
    <s v="West Fork and Below Lake"/>
    <s v="Outside"/>
    <x v="0"/>
    <n v="1985"/>
    <x v="1"/>
    <x v="0"/>
    <s v="Y"/>
    <s v="N"/>
    <s v="N"/>
    <s v="Y"/>
    <s v="N"/>
    <x v="1"/>
    <s v="N"/>
    <x v="0"/>
    <s v="N"/>
    <n v="0.7"/>
    <n v="0.7"/>
    <n v="0.7"/>
    <n v="0.7"/>
    <n v="0"/>
    <n v="0"/>
    <n v="0"/>
    <n v="0"/>
    <n v="0"/>
    <n v="0"/>
    <n v="0.7"/>
    <n v="0.7"/>
    <n v="4.2"/>
    <n v="0"/>
    <n v="0"/>
    <n v="1"/>
    <m/>
    <m/>
    <n v="4.2"/>
    <s v="Acre-feet per Year"/>
    <s v="U_1"/>
    <n v="3.4039024194010059E-4"/>
    <n v="39.261358250000001"/>
    <n v="-123.29273846"/>
    <s v="UNST"/>
  </r>
  <r>
    <s v="A028651"/>
    <n v="19851203"/>
    <n v="1"/>
    <s v="N"/>
    <s v="N"/>
    <s v="Y"/>
    <s v="Y"/>
    <x v="0"/>
    <s v="West Fork and Below Lake"/>
    <s v="Outside"/>
    <x v="0"/>
    <n v="1985"/>
    <x v="1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"/>
    <s v="Acre-feet per Year"/>
    <s v="U_1"/>
    <n v="0"/>
    <n v="39.239586150000001"/>
    <n v="-123.28748508"/>
    <s v="UNST"/>
  </r>
  <r>
    <s v="A028653"/>
    <n v="19851204"/>
    <n v="1"/>
    <s v="N"/>
    <s v="N"/>
    <s v="Y"/>
    <s v="Y"/>
    <x v="0"/>
    <s v="West Fork and Below Lake"/>
    <s v="Outside"/>
    <x v="0"/>
    <n v="1985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.2999999999999998"/>
    <s v="Acre-feet per Year"/>
    <s v="U_1"/>
    <n v="3.4039024194010059E-4"/>
    <n v="39.260616249999998"/>
    <n v="-123.28530732999999"/>
    <s v="UNST"/>
  </r>
  <r>
    <s v="A028676"/>
    <n v="19851223"/>
    <n v="1"/>
    <s v="N"/>
    <s v="N"/>
    <s v="Y"/>
    <s v="Y"/>
    <x v="0"/>
    <s v="West Fork and Below Lake"/>
    <s v="Outside"/>
    <x v="0"/>
    <n v="1985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.8"/>
    <s v="Acre-feet per Year"/>
    <s v="U_1"/>
    <n v="3.4039024194010059E-4"/>
    <n v="39.246289900000001"/>
    <n v="-123.32044969"/>
    <s v="UNST"/>
  </r>
  <r>
    <s v="A028402"/>
    <n v="19850307"/>
    <n v="16"/>
    <s v="N"/>
    <s v="N"/>
    <s v="N"/>
    <s v="N"/>
    <x v="1"/>
    <s v="Outside"/>
    <s v="Outside"/>
    <x v="0"/>
    <n v="1985"/>
    <x v="1"/>
    <x v="0"/>
    <s v="N"/>
    <s v="N"/>
    <s v="N"/>
    <s v="Y"/>
    <s v="N"/>
    <x v="1"/>
    <s v="N"/>
    <x v="0"/>
    <s v="N"/>
    <n v="0.1"/>
    <n v="0"/>
    <n v="0"/>
    <n v="0"/>
    <n v="0"/>
    <n v="0"/>
    <n v="0"/>
    <n v="0"/>
    <n v="0"/>
    <n v="0"/>
    <n v="0.1"/>
    <n v="0.233333333"/>
    <n v="0.43333333299999999"/>
    <n v="0"/>
    <n v="0"/>
    <n v="0.61904761857142854"/>
    <m/>
    <m/>
    <n v="0.7"/>
    <s v="Acre-feet per Year"/>
    <s v="L_16"/>
    <n v="0"/>
    <n v="38.632880630000002"/>
    <n v="-122.94087562999999"/>
    <s v="KELLEY CREEK"/>
  </r>
  <r>
    <s v="A028668"/>
    <n v="19851218"/>
    <n v="2"/>
    <s v="N"/>
    <s v="N"/>
    <s v="Y"/>
    <s v="N"/>
    <x v="0"/>
    <s v="Outside"/>
    <s v="Outside"/>
    <x v="0"/>
    <n v="1985"/>
    <x v="1"/>
    <x v="0"/>
    <s v="Y"/>
    <s v="N"/>
    <s v="N"/>
    <s v="Y"/>
    <s v="N"/>
    <x v="1"/>
    <s v="Y"/>
    <x v="0"/>
    <s v="Y"/>
    <n v="0"/>
    <n v="0"/>
    <n v="0"/>
    <n v="0"/>
    <n v="0"/>
    <n v="0"/>
    <n v="0"/>
    <n v="0"/>
    <n v="0"/>
    <n v="0"/>
    <n v="0"/>
    <n v="0"/>
    <n v="0"/>
    <n v="0"/>
    <n v="0"/>
    <n v="0"/>
    <m/>
    <m/>
    <n v="89321"/>
    <s v="Acre-feet per Year"/>
    <s v="U_2"/>
    <n v="0"/>
    <n v="39.354463039999999"/>
    <n v="-123.12785492"/>
    <s v="POWERHOUSE CANAL"/>
  </r>
  <r>
    <s v="A028116"/>
    <n v="19840418"/>
    <n v="2"/>
    <s v="N"/>
    <s v="N"/>
    <s v="Y"/>
    <s v="N"/>
    <x v="0"/>
    <s v="Outside"/>
    <s v="Outside"/>
    <x v="0"/>
    <n v="1984"/>
    <x v="1"/>
    <x v="0"/>
    <s v="Y"/>
    <s v="N"/>
    <s v="N"/>
    <s v="Y"/>
    <s v="N"/>
    <x v="1"/>
    <s v="N"/>
    <x v="1"/>
    <s v="N"/>
    <n v="0"/>
    <n v="0"/>
    <n v="0"/>
    <n v="0"/>
    <n v="0"/>
    <n v="2.66"/>
    <n v="3"/>
    <n v="3"/>
    <n v="2"/>
    <n v="0"/>
    <n v="0"/>
    <n v="0"/>
    <n v="10.66"/>
    <n v="10.666666666999999"/>
    <n v="3.5380118286924389E-2"/>
    <n v="0.62745098041176472"/>
    <m/>
    <m/>
    <n v="17"/>
    <s v="Acre-feet per Year"/>
    <s v="U_2"/>
    <n v="0"/>
    <n v="39.329621359999997"/>
    <n v="-123.14478585000001"/>
    <s v="UNST"/>
  </r>
  <r>
    <s v="A027953"/>
    <n v="19840119"/>
    <n v="15"/>
    <s v="N"/>
    <s v="N"/>
    <s v="N"/>
    <s v="N"/>
    <x v="1"/>
    <s v="Outside"/>
    <s v="Outside"/>
    <x v="0"/>
    <n v="1984"/>
    <x v="1"/>
    <x v="0"/>
    <s v="N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0.33333333300000001"/>
    <n v="0.133333333"/>
    <n v="0.46666666600000001"/>
    <n v="0"/>
    <n v="0"/>
    <n v="1.5053763419354839E-2"/>
    <m/>
    <m/>
    <n v="31"/>
    <s v="Acre-feet per Year"/>
    <s v="L_15"/>
    <n v="0"/>
    <n v="38.676049190000001"/>
    <n v="-122.91674860000001"/>
    <s v="UNST"/>
  </r>
  <r>
    <s v="A027941"/>
    <n v="19840109"/>
    <n v="12"/>
    <s v="N"/>
    <s v="Y"/>
    <s v="Y"/>
    <s v="Y"/>
    <x v="0"/>
    <s v="West Fork and Below Lake"/>
    <s v="Sonoma (d/s of Clov. Gage)"/>
    <x v="0"/>
    <n v="1984"/>
    <x v="1"/>
    <x v="1"/>
    <s v="Y"/>
    <s v="N"/>
    <s v="N"/>
    <s v="Y"/>
    <s v="N"/>
    <x v="1"/>
    <s v="N"/>
    <x v="1"/>
    <s v="N"/>
    <n v="6.2"/>
    <n v="0"/>
    <n v="0"/>
    <n v="0"/>
    <n v="0"/>
    <n v="1.7"/>
    <n v="23.36"/>
    <n v="29.76"/>
    <n v="13.9"/>
    <n v="12.13"/>
    <n v="2.36"/>
    <n v="0"/>
    <n v="89.41"/>
    <n v="68.733333333333405"/>
    <n v="0.22798063720424488"/>
    <n v="0.15132543711223923"/>
    <m/>
    <m/>
    <n v="591"/>
    <s v="Acre-feet per Year"/>
    <s v="U_12"/>
    <n v="0"/>
    <n v="38.65040638"/>
    <n v="-122.80085923999999"/>
    <s v="RUSSIAN RIVER UNDERFLOW"/>
  </r>
  <r>
    <s v="A027942"/>
    <n v="19840109"/>
    <n v="12"/>
    <s v="N"/>
    <s v="Y"/>
    <s v="Y"/>
    <s v="Y"/>
    <x v="0"/>
    <s v="West Fork and Below Lake"/>
    <s v="Sonoma (d/s of Clov. Gage)"/>
    <x v="0"/>
    <n v="1984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60"/>
    <s v="Acre-feet per Year"/>
    <s v="U_12"/>
    <n v="0"/>
    <n v="38.665417849999997"/>
    <n v="-122.79419802"/>
    <s v="UNST"/>
  </r>
  <r>
    <s v="A027943"/>
    <n v="19840109"/>
    <n v="12"/>
    <s v="N"/>
    <s v="Y"/>
    <s v="Y"/>
    <s v="Y"/>
    <x v="0"/>
    <s v="West Fork and Below Lake"/>
    <s v="Sonoma (d/s of Clov. Gage)"/>
    <x v="0"/>
    <n v="1984"/>
    <x v="1"/>
    <x v="0"/>
    <s v="Y"/>
    <s v="N"/>
    <s v="N"/>
    <s v="Y"/>
    <s v="N"/>
    <x v="1"/>
    <s v="N"/>
    <x v="0"/>
    <s v="N"/>
    <n v="17.23"/>
    <n v="0"/>
    <n v="0"/>
    <n v="1.1599999999999999"/>
    <n v="0"/>
    <n v="0"/>
    <n v="0"/>
    <n v="0"/>
    <n v="0"/>
    <n v="1.23"/>
    <n v="10.029999999999999"/>
    <n v="0"/>
    <n v="29.65"/>
    <n v="0"/>
    <n v="0"/>
    <n v="0.74166666666666503"/>
    <m/>
    <m/>
    <n v="40"/>
    <s v="Acre-feet per Year"/>
    <s v="U_12"/>
    <n v="0"/>
    <n v="38.665417849999997"/>
    <n v="-122.79419802"/>
    <s v="UNST"/>
  </r>
  <r>
    <s v="A027955"/>
    <n v="19840123"/>
    <n v="9"/>
    <s v="N"/>
    <s v="Y"/>
    <s v="Y"/>
    <s v="Y"/>
    <x v="0"/>
    <s v="West Fork and Below Lake"/>
    <s v="Sonoma (d/s of Clov. Gage)"/>
    <x v="0"/>
    <n v="1984"/>
    <x v="1"/>
    <x v="1"/>
    <s v="Y"/>
    <s v="N"/>
    <s v="N"/>
    <s v="Y"/>
    <s v="N"/>
    <x v="1"/>
    <s v="N"/>
    <x v="0"/>
    <s v="N"/>
    <n v="0"/>
    <n v="0"/>
    <n v="2.0299999999999998"/>
    <n v="0"/>
    <n v="0"/>
    <n v="0"/>
    <n v="0"/>
    <n v="0"/>
    <n v="0"/>
    <n v="0"/>
    <n v="0"/>
    <n v="0"/>
    <n v="2.0299999999999998"/>
    <n v="0"/>
    <n v="0"/>
    <n v="0.16666666666666641"/>
    <m/>
    <m/>
    <n v="12.2"/>
    <s v="Acre-feet per Year"/>
    <s v="U_9"/>
    <n v="0"/>
    <n v="38.724378469999998"/>
    <n v="-122.90918184"/>
    <s v="RUSSIAN RIVER UNDERFLOW"/>
  </r>
  <r>
    <s v="A027992"/>
    <n v="19840306"/>
    <n v="5"/>
    <s v="Y"/>
    <s v="N"/>
    <s v="Y"/>
    <s v="Y"/>
    <x v="0"/>
    <s v="West Fork and Below Lake"/>
    <s v="Mendocino (d/s of lake)"/>
    <x v="0"/>
    <n v="1984"/>
    <x v="1"/>
    <x v="1"/>
    <s v="Y"/>
    <s v="N"/>
    <s v="N"/>
    <s v="Y"/>
    <s v="N"/>
    <x v="1"/>
    <s v="N"/>
    <x v="0"/>
    <s v="N"/>
    <n v="1.4"/>
    <n v="1.33"/>
    <n v="0"/>
    <n v="0.5"/>
    <n v="0"/>
    <n v="0"/>
    <n v="0"/>
    <n v="0"/>
    <n v="0"/>
    <n v="0"/>
    <n v="0"/>
    <n v="0.63"/>
    <n v="3.86"/>
    <n v="0"/>
    <n v="0"/>
    <n v="0.24166666666666642"/>
    <m/>
    <m/>
    <n v="16"/>
    <s v="Acre-feet per Year"/>
    <s v="U_5"/>
    <n v="0"/>
    <n v="39.066702800000002"/>
    <n v="-123.14845520999999"/>
    <s v="UNST"/>
  </r>
  <r>
    <s v="A028127"/>
    <n v="19840430"/>
    <n v="1"/>
    <s v="N"/>
    <s v="N"/>
    <s v="Y"/>
    <s v="Y"/>
    <x v="0"/>
    <s v="West Fork and Below Lake"/>
    <s v="Outside"/>
    <x v="0"/>
    <n v="1984"/>
    <x v="1"/>
    <x v="0"/>
    <s v="Y"/>
    <s v="N"/>
    <s v="N"/>
    <s v="Y"/>
    <s v="N"/>
    <x v="1"/>
    <s v="N"/>
    <x v="0"/>
    <s v="N"/>
    <n v="16"/>
    <n v="21.33"/>
    <n v="4.66"/>
    <n v="0"/>
    <n v="0"/>
    <n v="0"/>
    <n v="0"/>
    <n v="0"/>
    <n v="0"/>
    <n v="0"/>
    <n v="4.66"/>
    <n v="2.33"/>
    <n v="48.97999999999999"/>
    <n v="0"/>
    <n v="0"/>
    <n v="0.99999999993877553"/>
    <m/>
    <m/>
    <n v="49"/>
    <s v="Acre-feet per Year"/>
    <s v="U_1"/>
    <n v="0"/>
    <n v="39.323667919999998"/>
    <n v="-123.31933397"/>
    <s v="UNST"/>
  </r>
  <r>
    <s v="A028176"/>
    <n v="19840620"/>
    <n v="10"/>
    <s v="N"/>
    <s v="Y"/>
    <s v="Y"/>
    <s v="Y"/>
    <x v="0"/>
    <s v="West Fork and Below Lake"/>
    <s v="Sonoma (d/s of Clov. Gage)"/>
    <x v="0"/>
    <n v="1984"/>
    <x v="1"/>
    <x v="0"/>
    <s v="Y"/>
    <s v="N"/>
    <s v="N"/>
    <s v="Y"/>
    <s v="N"/>
    <x v="1"/>
    <s v="N"/>
    <x v="0"/>
    <s v="N"/>
    <n v="2.66"/>
    <n v="0.26"/>
    <n v="0"/>
    <n v="0"/>
    <n v="0"/>
    <n v="0"/>
    <n v="0"/>
    <n v="0"/>
    <n v="0"/>
    <n v="0"/>
    <n v="1.4"/>
    <n v="27.26"/>
    <n v="31.580000000000002"/>
    <n v="0"/>
    <n v="0"/>
    <n v="0.68695652182608691"/>
    <m/>
    <m/>
    <n v="46"/>
    <s v="Acre-feet per Year"/>
    <s v="U_10"/>
    <n v="0"/>
    <n v="38.653399999999998"/>
    <n v="-122.8412"/>
    <s v="UNST"/>
  </r>
  <r>
    <s v="A028319"/>
    <n v="19841109"/>
    <n v="7"/>
    <s v="N"/>
    <s v="Y"/>
    <s v="Y"/>
    <s v="Y"/>
    <x v="0"/>
    <s v="West Fork and Below Lake"/>
    <s v="Sonoma (d/s of Clov. Gage)"/>
    <x v="0"/>
    <n v="1984"/>
    <x v="1"/>
    <x v="0"/>
    <s v="Y"/>
    <s v="N"/>
    <s v="N"/>
    <s v="Y"/>
    <s v="N"/>
    <x v="1"/>
    <s v="N"/>
    <x v="1"/>
    <s v="N"/>
    <n v="166.63"/>
    <n v="180.16"/>
    <n v="216"/>
    <n v="153.56"/>
    <n v="5.7333330000000002E-3"/>
    <n v="0.01"/>
    <n v="0.01"/>
    <n v="0.05"/>
    <n v="0.04"/>
    <n v="0.03"/>
    <n v="7.0000000000000007E-2"/>
    <n v="7.0000000000000007E-2"/>
    <n v="716.63573333299985"/>
    <n v="0.12933333299999999"/>
    <n v="4.2898393310992377E-4"/>
    <n v="0.22243814400993173"/>
    <m/>
    <m/>
    <n v="3222"/>
    <s v="Acre-feet per Year"/>
    <s v="U_7"/>
    <n v="0"/>
    <n v="38.786069679999997"/>
    <n v="-122.77887905999999"/>
    <s v="BIG SULPHUR CREEK"/>
  </r>
  <r>
    <s v="A028320"/>
    <n v="19841109"/>
    <n v="7"/>
    <s v="N"/>
    <s v="Y"/>
    <s v="Y"/>
    <s v="Y"/>
    <x v="0"/>
    <s v="West Fork and Below Lake"/>
    <s v="Sonoma (d/s of Clov. Gage)"/>
    <x v="0"/>
    <n v="1984"/>
    <x v="1"/>
    <x v="0"/>
    <s v="Y"/>
    <s v="N"/>
    <s v="N"/>
    <s v="Y"/>
    <s v="N"/>
    <x v="1"/>
    <s v="N"/>
    <x v="1"/>
    <s v="N"/>
    <n v="100.53"/>
    <n v="99.46"/>
    <n v="105.48"/>
    <n v="79.73"/>
    <n v="15.54"/>
    <n v="0.02"/>
    <n v="0.02"/>
    <n v="0.01"/>
    <n v="0.03"/>
    <n v="0.02"/>
    <n v="0.01"/>
    <n v="0.03"/>
    <n v="400.87999999999994"/>
    <n v="15.646666663"/>
    <n v="5.189821099834848E-2"/>
    <n v="0.13816115320330802"/>
    <m/>
    <m/>
    <n v="2902"/>
    <s v="Acre-feet per Year"/>
    <s v="U_7"/>
    <n v="0"/>
    <n v="38.797718949999997"/>
    <n v="-122.80216595"/>
    <s v="BIG SULPHUR CREEK"/>
  </r>
  <r>
    <s v="A028370"/>
    <n v="19840117"/>
    <n v="23"/>
    <s v="N"/>
    <s v="N"/>
    <s v="N"/>
    <s v="N"/>
    <x v="1"/>
    <s v="Outside"/>
    <s v="Outside"/>
    <x v="0"/>
    <n v="1984"/>
    <x v="1"/>
    <x v="0"/>
    <s v="N"/>
    <s v="N"/>
    <s v="N"/>
    <s v="Y"/>
    <s v="N"/>
    <x v="1"/>
    <s v="N"/>
    <x v="0"/>
    <s v="N"/>
    <n v="0"/>
    <n v="0.16666666699999999"/>
    <n v="0.3"/>
    <n v="0"/>
    <n v="0"/>
    <n v="0"/>
    <n v="0"/>
    <n v="0"/>
    <n v="0"/>
    <n v="0"/>
    <n v="0"/>
    <n v="0.5"/>
    <n v="0.96666666699999992"/>
    <n v="0"/>
    <n v="0"/>
    <n v="0.10861423224719099"/>
    <m/>
    <m/>
    <n v="8.9"/>
    <s v="Acre-feet per Year"/>
    <s v="L_27"/>
    <n v="3.4039024194010059E-4"/>
    <n v="38.356413279999998"/>
    <n v="-122.60262964"/>
    <s v="UNST"/>
  </r>
  <r>
    <s v="A028365"/>
    <n v="19841227"/>
    <n v="19"/>
    <s v="N"/>
    <s v="N"/>
    <s v="N"/>
    <s v="N"/>
    <x v="1"/>
    <s v="Outside"/>
    <s v="Outside"/>
    <x v="0"/>
    <n v="1984"/>
    <x v="1"/>
    <x v="0"/>
    <s v="N"/>
    <s v="N"/>
    <s v="N"/>
    <s v="Y"/>
    <s v="N"/>
    <x v="1"/>
    <s v="N"/>
    <x v="1"/>
    <s v="N"/>
    <n v="0.09"/>
    <n v="0.85666666700000005"/>
    <n v="0.75666666699999996"/>
    <n v="0.19166666700000001"/>
    <n v="2.5000000000000001E-2"/>
    <n v="0"/>
    <n v="0"/>
    <n v="0"/>
    <n v="0"/>
    <n v="0"/>
    <n v="0.72333333300000002"/>
    <n v="0.42333333299999998"/>
    <n v="3.0666666669999998"/>
    <n v="2.5000000000000001E-2"/>
    <n v="8.2922152232387723E-5"/>
    <n v="0.73015873015873023"/>
    <m/>
    <m/>
    <n v="4.2"/>
    <s v="Acre-feet per Year"/>
    <s v="L_19"/>
    <n v="0"/>
    <n v="38.48619498"/>
    <n v="-122.9714374"/>
    <s v="UNST"/>
  </r>
  <r>
    <s v="A027757"/>
    <n v="19830524"/>
    <n v="17"/>
    <s v="N"/>
    <s v="N"/>
    <s v="N"/>
    <s v="N"/>
    <x v="1"/>
    <s v="Outside"/>
    <s v="Outside"/>
    <x v="0"/>
    <n v="1983"/>
    <x v="1"/>
    <x v="0"/>
    <s v="N"/>
    <s v="N"/>
    <s v="N"/>
    <s v="Y"/>
    <s v="N"/>
    <x v="1"/>
    <s v="N"/>
    <x v="0"/>
    <s v="N"/>
    <n v="2.0666666669999998"/>
    <n v="0.76666666699999997"/>
    <n v="0.46666666699999998"/>
    <n v="0"/>
    <n v="0"/>
    <n v="0"/>
    <n v="0"/>
    <n v="0"/>
    <n v="0"/>
    <n v="0"/>
    <n v="2.233333333"/>
    <n v="4.903333333"/>
    <n v="10.436666667000001"/>
    <n v="0"/>
    <n v="0"/>
    <n v="0.37273809525000001"/>
    <m/>
    <m/>
    <n v="28"/>
    <s v="Acre-feet per Year"/>
    <s v="L_17"/>
    <n v="0"/>
    <n v="38.560294990000003"/>
    <n v="-122.88238659"/>
    <s v="UNST"/>
  </r>
  <r>
    <s v="A027791"/>
    <n v="19830706"/>
    <n v="1"/>
    <s v="N"/>
    <s v="N"/>
    <s v="Y"/>
    <s v="Y"/>
    <x v="0"/>
    <s v="West Fork and Below Lake"/>
    <s v="Outside"/>
    <x v="0"/>
    <n v="1983"/>
    <x v="1"/>
    <x v="0"/>
    <s v="Y"/>
    <s v="N"/>
    <s v="N"/>
    <s v="Y"/>
    <s v="N"/>
    <x v="1"/>
    <s v="N"/>
    <x v="1"/>
    <s v="N"/>
    <n v="8.6199999999999992"/>
    <n v="7.56"/>
    <n v="4.46"/>
    <n v="3.06"/>
    <n v="1.42"/>
    <n v="0"/>
    <n v="0"/>
    <n v="0.01"/>
    <n v="0.01"/>
    <n v="0"/>
    <n v="2.4"/>
    <n v="3.64"/>
    <n v="31.18"/>
    <n v="1.446666666"/>
    <n v="4.7984285403029131E-3"/>
    <n v="0.85049954588555843"/>
    <m/>
    <m/>
    <n v="36.700000000000003"/>
    <s v="Acre-feet per Year"/>
    <s v="U_1"/>
    <n v="0"/>
    <n v="39.301001880000001"/>
    <n v="-123.2058164"/>
    <s v="UNST"/>
  </r>
  <r>
    <s v="A027892"/>
    <n v="19830928"/>
    <n v="6"/>
    <s v="Y"/>
    <s v="N"/>
    <s v="Y"/>
    <s v="Y"/>
    <x v="0"/>
    <s v="West Fork and Below Lake"/>
    <s v="Mendocino (d/s of lake)"/>
    <x v="0"/>
    <n v="1983"/>
    <x v="1"/>
    <x v="0"/>
    <s v="Y"/>
    <s v="N"/>
    <s v="N"/>
    <s v="Y"/>
    <s v="N"/>
    <x v="1"/>
    <s v="N"/>
    <x v="0"/>
    <s v="N"/>
    <n v="0.33"/>
    <n v="2.33"/>
    <n v="0"/>
    <n v="0"/>
    <n v="0"/>
    <n v="0"/>
    <n v="0"/>
    <n v="0"/>
    <n v="0"/>
    <n v="0.33"/>
    <n v="9.33"/>
    <n v="30.66"/>
    <n v="42.980000000000004"/>
    <n v="0"/>
    <n v="0"/>
    <n v="0.12427745665317919"/>
    <m/>
    <m/>
    <n v="346"/>
    <s v="Acre-feet per Year"/>
    <s v="U_6"/>
    <n v="3.4039024194010059E-4"/>
    <n v="38.927392769999997"/>
    <n v="-123.08240707"/>
    <s v="UNST"/>
  </r>
  <r>
    <s v="A027702"/>
    <n v="19830404"/>
    <n v="16"/>
    <s v="N"/>
    <s v="N"/>
    <s v="N"/>
    <s v="N"/>
    <x v="1"/>
    <s v="Outside"/>
    <s v="Outside"/>
    <x v="0"/>
    <n v="1983"/>
    <x v="1"/>
    <x v="0"/>
    <s v="N"/>
    <s v="N"/>
    <s v="N"/>
    <s v="Y"/>
    <s v="N"/>
    <x v="1"/>
    <s v="N"/>
    <x v="1"/>
    <s v="N"/>
    <n v="0"/>
    <n v="0"/>
    <n v="0"/>
    <n v="0"/>
    <n v="3.3333333E-2"/>
    <n v="0"/>
    <n v="0"/>
    <n v="0"/>
    <n v="0"/>
    <n v="0"/>
    <n v="0.66666666699999999"/>
    <n v="0.53333333299999997"/>
    <n v="1.233333333"/>
    <n v="3.3333333E-2"/>
    <n v="1.1056286853755495E-4"/>
    <n v="1.072463767826087E-2"/>
    <m/>
    <m/>
    <n v="115"/>
    <s v="Acre-feet per Year"/>
    <s v="L_16"/>
    <n v="0"/>
    <n v="38.671840070000002"/>
    <n v="-122.91073958"/>
    <s v="UNST"/>
  </r>
  <r>
    <s v="A027177"/>
    <n v="19820111"/>
    <n v="7"/>
    <s v="N"/>
    <s v="Y"/>
    <s v="Y"/>
    <s v="Y"/>
    <x v="0"/>
    <s v="West Fork and Below Lake"/>
    <s v="Sonoma (d/s of Clov. Gage)"/>
    <x v="0"/>
    <n v="1982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000"/>
    <s v="Acre-feet per Year"/>
    <s v="U_7"/>
    <n v="0"/>
    <n v="38.772912390000002"/>
    <n v="-122.75453154"/>
    <s v="BIG SULPHUR CREEK"/>
  </r>
  <r>
    <s v="A027249"/>
    <n v="19820315"/>
    <n v="21"/>
    <s v="N"/>
    <s v="N"/>
    <s v="N"/>
    <s v="N"/>
    <x v="1"/>
    <s v="Outside"/>
    <s v="Outside"/>
    <x v="0"/>
    <n v="1982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9"/>
    <s v="Acre-feet per Year"/>
    <s v="L_21"/>
    <n v="3.4039024194010059E-4"/>
    <n v="38.45042771"/>
    <n v="-123.05004719999999"/>
    <s v="FREEZEOUT CREEK"/>
  </r>
  <r>
    <s v="A027301"/>
    <n v="19820419"/>
    <n v="1"/>
    <s v="N"/>
    <s v="N"/>
    <s v="Y"/>
    <s v="Y"/>
    <x v="0"/>
    <s v="West Fork and Below Lake"/>
    <s v="Outside"/>
    <x v="0"/>
    <n v="1982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.0999999999999996"/>
    <s v="Acre-feet per Year"/>
    <s v="U_1"/>
    <n v="0"/>
    <n v="39.2714"/>
    <n v="-123.254"/>
    <s v="UNNAMED STREAM"/>
  </r>
  <r>
    <s v="A027327"/>
    <n v="19820505"/>
    <n v="12"/>
    <s v="N"/>
    <s v="Y"/>
    <s v="Y"/>
    <s v="Y"/>
    <x v="0"/>
    <s v="West Fork and Below Lake"/>
    <s v="Sonoma (d/s of Clov. Gage)"/>
    <x v="0"/>
    <n v="1982"/>
    <x v="1"/>
    <x v="1"/>
    <s v="Y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1.5"/>
    <n v="0.5"/>
    <n v="2"/>
    <n v="0"/>
    <n v="0"/>
    <n v="0.66666666666666663"/>
    <m/>
    <m/>
    <n v="3"/>
    <s v="Acre-feet per Year"/>
    <s v="U_12"/>
    <n v="0"/>
    <n v="38.652473649999997"/>
    <n v="-122.81944249999999"/>
    <s v="RUSSIAN RIVER"/>
  </r>
  <r>
    <s v="A027362"/>
    <n v="19820614"/>
    <n v="18"/>
    <s v="N"/>
    <s v="N"/>
    <s v="N"/>
    <s v="N"/>
    <x v="1"/>
    <s v="Outside"/>
    <s v="Outside"/>
    <x v="0"/>
    <n v="1982"/>
    <x v="1"/>
    <x v="1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13"/>
    <s v="Acre-feet per Year"/>
    <s v="L_18"/>
    <n v="3.4039024194010059E-4"/>
    <n v="38.5018824"/>
    <n v="-122.90185327"/>
    <s v="RUSSIAN RIVER"/>
  </r>
  <r>
    <s v="A027424"/>
    <n v="19820714"/>
    <n v="23"/>
    <s v="N"/>
    <s v="N"/>
    <s v="N"/>
    <s v="N"/>
    <x v="1"/>
    <s v="Outside"/>
    <s v="Outside"/>
    <x v="0"/>
    <n v="1982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.2"/>
    <s v="Acre-feet per Year"/>
    <s v="L_27"/>
    <n v="0"/>
    <n v="38.493741100000001"/>
    <n v="-122.59662278"/>
    <s v="UNST"/>
  </r>
  <r>
    <s v="A027440"/>
    <n v="19820720"/>
    <n v="12"/>
    <s v="N"/>
    <s v="Y"/>
    <s v="Y"/>
    <s v="Y"/>
    <x v="0"/>
    <s v="West Fork and Below Lake"/>
    <s v="Sonoma (d/s of Clov. Gage)"/>
    <x v="0"/>
    <n v="1982"/>
    <x v="1"/>
    <x v="0"/>
    <s v="Y"/>
    <s v="N"/>
    <s v="N"/>
    <s v="Y"/>
    <s v="N"/>
    <x v="1"/>
    <s v="N"/>
    <x v="1"/>
    <s v="N"/>
    <n v="1"/>
    <n v="1"/>
    <n v="1"/>
    <n v="1"/>
    <n v="0.66"/>
    <n v="0"/>
    <n v="0"/>
    <n v="0"/>
    <n v="0"/>
    <n v="1"/>
    <n v="1"/>
    <n v="1"/>
    <n v="7.66"/>
    <n v="0.66666666699999999"/>
    <n v="2.2112573939693015E-3"/>
    <n v="0.33333333334782611"/>
    <m/>
    <m/>
    <n v="23"/>
    <s v="Acre-feet per Year"/>
    <s v="U_12"/>
    <n v="0"/>
    <n v="38.584125419999999"/>
    <n v="-122.64023389"/>
    <s v="UNST"/>
  </r>
  <r>
    <s v="A027460"/>
    <n v="19820729"/>
    <n v="1"/>
    <s v="N"/>
    <s v="N"/>
    <s v="Y"/>
    <s v="Y"/>
    <x v="0"/>
    <s v="West Fork and Below Lake"/>
    <s v="Outside"/>
    <x v="0"/>
    <n v="1982"/>
    <x v="1"/>
    <x v="0"/>
    <s v="Y"/>
    <s v="N"/>
    <s v="N"/>
    <s v="Y"/>
    <s v="N"/>
    <x v="1"/>
    <s v="N"/>
    <x v="1"/>
    <s v="N"/>
    <n v="0"/>
    <n v="0"/>
    <n v="0"/>
    <n v="0"/>
    <n v="2.1483330000000001E-3"/>
    <n v="2.1483330000000001E-3"/>
    <n v="2.1483330000000001E-3"/>
    <n v="2.1483330000000001E-3"/>
    <n v="2.1483330000000001E-3"/>
    <n v="2.1483330000000001E-3"/>
    <n v="0"/>
    <n v="0.16"/>
    <n v="0.17288999800000002"/>
    <n v="1.0741665000000001E-2"/>
    <n v="3.5628879214372448E-5"/>
    <n v="1.2825476071428572E-2"/>
    <m/>
    <m/>
    <n v="14"/>
    <s v="Acre-feet per Year"/>
    <s v="U_1"/>
    <n v="3.4039024194010059E-4"/>
    <n v="39.251952070000002"/>
    <n v="-123.16877909999999"/>
    <s v="UNST"/>
  </r>
  <r>
    <s v="A027478"/>
    <n v="19820813"/>
    <n v="17"/>
    <s v="N"/>
    <s v="N"/>
    <s v="N"/>
    <s v="N"/>
    <x v="1"/>
    <s v="Outside"/>
    <s v="Outside"/>
    <x v="0"/>
    <n v="1982"/>
    <x v="1"/>
    <x v="1"/>
    <s v="N"/>
    <s v="N"/>
    <s v="N"/>
    <s v="Y"/>
    <s v="N"/>
    <x v="1"/>
    <s v="N"/>
    <x v="0"/>
    <s v="N"/>
    <n v="0"/>
    <n v="0.123333333"/>
    <n v="0.24666666700000001"/>
    <n v="0.02"/>
    <n v="0"/>
    <n v="0"/>
    <n v="0"/>
    <n v="0"/>
    <n v="0"/>
    <n v="0"/>
    <n v="0"/>
    <n v="0"/>
    <n v="0.39"/>
    <n v="0"/>
    <n v="0"/>
    <n v="3.7142857142857142E-3"/>
    <m/>
    <m/>
    <n v="105"/>
    <s v="Acre-feet per Year"/>
    <s v="L_17"/>
    <n v="0"/>
    <n v="38.52781135"/>
    <n v="-122.85646579"/>
    <s v="RUSSIAN RIVER UNDERFLOW"/>
  </r>
  <r>
    <s v="A027479"/>
    <n v="19820813"/>
    <n v="17"/>
    <s v="N"/>
    <s v="N"/>
    <s v="N"/>
    <s v="N"/>
    <x v="1"/>
    <s v="Outside"/>
    <s v="Outside"/>
    <x v="0"/>
    <n v="1982"/>
    <x v="1"/>
    <x v="1"/>
    <s v="N"/>
    <s v="N"/>
    <s v="N"/>
    <s v="Y"/>
    <s v="N"/>
    <x v="1"/>
    <s v="N"/>
    <x v="1"/>
    <s v="N"/>
    <n v="0"/>
    <n v="0"/>
    <n v="0"/>
    <n v="0"/>
    <n v="0.133333333"/>
    <n v="1.066666667"/>
    <n v="2.8"/>
    <n v="1.8333333329999999"/>
    <n v="1.433333333"/>
    <n v="0.33333333300000001"/>
    <n v="0"/>
    <n v="0"/>
    <n v="7.5999999989999996"/>
    <n v="7.2666666659999999"/>
    <n v="2.4102705580002774E-2"/>
    <n v="2.5333333329999999E-2"/>
    <m/>
    <m/>
    <n v="300"/>
    <s v="Acre-feet per Year"/>
    <s v="L_17"/>
    <n v="0"/>
    <n v="38.52781135"/>
    <n v="-122.85646579"/>
    <s v="RUSSIAN RIVER UNDERFLOW"/>
  </r>
  <r>
    <s v="A027541"/>
    <n v="19820930"/>
    <n v="9"/>
    <s v="N"/>
    <s v="Y"/>
    <s v="Y"/>
    <s v="Y"/>
    <x v="0"/>
    <s v="West Fork and Below Lake"/>
    <s v="Sonoma (d/s of Clov. Gage)"/>
    <x v="0"/>
    <n v="1982"/>
    <x v="1"/>
    <x v="0"/>
    <s v="Y"/>
    <s v="N"/>
    <s v="N"/>
    <s v="Y"/>
    <s v="N"/>
    <x v="1"/>
    <s v="N"/>
    <x v="0"/>
    <s v="N"/>
    <n v="1.7"/>
    <n v="0"/>
    <n v="0"/>
    <n v="0"/>
    <n v="0"/>
    <n v="0"/>
    <n v="0"/>
    <n v="0"/>
    <n v="0"/>
    <n v="0"/>
    <n v="0"/>
    <n v="0"/>
    <n v="1.7"/>
    <n v="0"/>
    <n v="0"/>
    <n v="0.5"/>
    <m/>
    <m/>
    <n v="3.4"/>
    <s v="Acre-feet per Year"/>
    <s v="U_9"/>
    <n v="3.4039024194010059E-4"/>
    <n v="38.771987119999999"/>
    <n v="-122.9572678"/>
    <s v="UNST"/>
  </r>
  <r>
    <s v="A027557"/>
    <n v="19821021"/>
    <n v="10"/>
    <s v="N"/>
    <s v="Y"/>
    <s v="Y"/>
    <s v="Y"/>
    <x v="0"/>
    <s v="West Fork and Below Lake"/>
    <s v="Sonoma (d/s of Clov. Gage)"/>
    <x v="0"/>
    <n v="1982"/>
    <x v="1"/>
    <x v="0"/>
    <s v="Y"/>
    <s v="N"/>
    <s v="N"/>
    <s v="Y"/>
    <s v="N"/>
    <x v="1"/>
    <s v="N"/>
    <x v="0"/>
    <s v="N"/>
    <n v="4"/>
    <n v="4"/>
    <n v="2"/>
    <n v="0"/>
    <n v="0"/>
    <n v="0"/>
    <n v="0"/>
    <n v="0"/>
    <n v="0"/>
    <n v="0"/>
    <n v="0"/>
    <n v="4"/>
    <n v="14"/>
    <n v="0"/>
    <n v="0"/>
    <n v="1"/>
    <m/>
    <m/>
    <n v="14"/>
    <s v="Acre-feet per Year"/>
    <s v="U_10"/>
    <n v="0"/>
    <n v="38.697057999999998"/>
    <n v="-122.83595099999999"/>
    <s v="GIRD CREEK"/>
  </r>
  <r>
    <s v="A027581"/>
    <n v="19821112"/>
    <n v="5"/>
    <s v="Y"/>
    <s v="N"/>
    <s v="Y"/>
    <s v="Y"/>
    <x v="0"/>
    <s v="West Fork and Below Lake"/>
    <s v="Mendocino (d/s of lake)"/>
    <x v="0"/>
    <n v="1982"/>
    <x v="1"/>
    <x v="1"/>
    <s v="Y"/>
    <s v="N"/>
    <s v="N"/>
    <s v="Y"/>
    <s v="N"/>
    <x v="1"/>
    <s v="N"/>
    <x v="1"/>
    <s v="N"/>
    <n v="0"/>
    <n v="0"/>
    <n v="7.66"/>
    <n v="10.33"/>
    <n v="9.33"/>
    <n v="0"/>
    <n v="0"/>
    <n v="0"/>
    <n v="0"/>
    <n v="0"/>
    <n v="0"/>
    <n v="0"/>
    <n v="27.32"/>
    <n v="9.3333333333333304"/>
    <n v="3.0957603500091409E-2"/>
    <n v="0.91111111111110998"/>
    <m/>
    <m/>
    <n v="30"/>
    <s v="Acre-feet per Year"/>
    <s v="U_5"/>
    <n v="0"/>
    <n v="39.043999999999997"/>
    <n v="-123.1344"/>
    <s v="RUSSIAN RIVER"/>
  </r>
  <r>
    <s v="A027582"/>
    <n v="19821112"/>
    <n v="5"/>
    <s v="Y"/>
    <s v="N"/>
    <s v="Y"/>
    <s v="Y"/>
    <x v="0"/>
    <s v="West Fork and Below Lake"/>
    <s v="Mendocino (d/s of lake)"/>
    <x v="0"/>
    <n v="1982"/>
    <x v="1"/>
    <x v="1"/>
    <s v="Y"/>
    <s v="N"/>
    <s v="N"/>
    <s v="Y"/>
    <s v="N"/>
    <x v="1"/>
    <s v="N"/>
    <x v="1"/>
    <s v="N"/>
    <n v="7.33"/>
    <n v="10.66"/>
    <n v="6"/>
    <n v="6.66"/>
    <n v="11.33"/>
    <n v="18.329999999999998"/>
    <n v="18.66"/>
    <n v="13"/>
    <n v="10.33"/>
    <n v="9.33"/>
    <n v="0"/>
    <n v="0"/>
    <n v="111.63"/>
    <n v="71.6666666666666"/>
    <n v="0.23771016973284462"/>
    <n v="0.97101449275362284"/>
    <m/>
    <m/>
    <n v="115"/>
    <s v="Acre-feet per Year"/>
    <s v="U_5"/>
    <n v="0"/>
    <n v="39.043799999999997"/>
    <n v="-123.1343"/>
    <s v="RUSSIAN RIVER"/>
  </r>
  <r>
    <s v="A027583"/>
    <n v="19821112"/>
    <n v="5"/>
    <s v="Y"/>
    <s v="N"/>
    <s v="Y"/>
    <s v="Y"/>
    <x v="0"/>
    <s v="West Fork and Below Lake"/>
    <s v="Mendocino (d/s of lake)"/>
    <x v="0"/>
    <n v="1982"/>
    <x v="1"/>
    <x v="1"/>
    <s v="Y"/>
    <s v="N"/>
    <s v="N"/>
    <s v="Y"/>
    <s v="N"/>
    <x v="1"/>
    <s v="N"/>
    <x v="1"/>
    <s v="N"/>
    <n v="8.33"/>
    <n v="6.33"/>
    <n v="5.33"/>
    <n v="0"/>
    <n v="4"/>
    <n v="4.66"/>
    <n v="4.66"/>
    <n v="4.33"/>
    <n v="2.33"/>
    <n v="0"/>
    <n v="0"/>
    <n v="0"/>
    <n v="39.97"/>
    <n v="20"/>
    <n v="6.6337721785910173E-2"/>
    <n v="0.99999999999999978"/>
    <m/>
    <m/>
    <n v="40"/>
    <s v="Acre-feet per Year"/>
    <s v="U_5"/>
    <n v="0"/>
    <n v="39.040500000000002"/>
    <n v="-123.1301"/>
    <s v="RUSSIAN RIVER"/>
  </r>
  <r>
    <s v="A027584"/>
    <n v="19821112"/>
    <n v="5"/>
    <s v="Y"/>
    <s v="N"/>
    <s v="Y"/>
    <s v="Y"/>
    <x v="0"/>
    <s v="West Fork and Below Lake"/>
    <s v="Mendocino (d/s of lake)"/>
    <x v="0"/>
    <n v="1982"/>
    <x v="1"/>
    <x v="1"/>
    <s v="Y"/>
    <s v="N"/>
    <s v="N"/>
    <s v="Y"/>
    <s v="N"/>
    <x v="1"/>
    <s v="N"/>
    <x v="1"/>
    <s v="N"/>
    <n v="0"/>
    <n v="0"/>
    <n v="2.33"/>
    <n v="4"/>
    <n v="4.33"/>
    <n v="0"/>
    <n v="0"/>
    <n v="0"/>
    <n v="0"/>
    <n v="0"/>
    <n v="0"/>
    <n v="0"/>
    <n v="10.66"/>
    <n v="4.3333333333333304"/>
    <n v="1.4373173053613863E-2"/>
    <n v="0.10158730158730153"/>
    <m/>
    <m/>
    <n v="105"/>
    <s v="Acre-feet per Year"/>
    <s v="U_5"/>
    <n v="0"/>
    <n v="39.043799999999997"/>
    <n v="-123.1343"/>
    <s v="RUSSIAN RIVER"/>
  </r>
  <r>
    <s v="A027596"/>
    <n v="19821123"/>
    <n v="12"/>
    <s v="N"/>
    <s v="Y"/>
    <s v="Y"/>
    <s v="Y"/>
    <x v="0"/>
    <s v="West Fork and Below Lake"/>
    <s v="Sonoma (d/s of Clov. Gage)"/>
    <x v="0"/>
    <n v="1982"/>
    <x v="1"/>
    <x v="0"/>
    <s v="Y"/>
    <s v="N"/>
    <s v="N"/>
    <s v="Y"/>
    <s v="N"/>
    <x v="1"/>
    <s v="N"/>
    <x v="1"/>
    <s v="N"/>
    <n v="0"/>
    <n v="0"/>
    <n v="2.2000000000000002"/>
    <n v="0.66"/>
    <n v="5.03"/>
    <n v="3.26"/>
    <n v="0"/>
    <n v="0"/>
    <n v="0"/>
    <n v="0"/>
    <n v="0"/>
    <n v="0"/>
    <n v="11.15"/>
    <n v="8.3000000000000007"/>
    <n v="2.7530154541152728E-2"/>
    <n v="0.22333333334000002"/>
    <m/>
    <m/>
    <n v="50"/>
    <s v="Acre-feet per Year"/>
    <s v="U_12"/>
    <n v="0"/>
    <n v="38.631684730000003"/>
    <n v="-122.76739071999999"/>
    <s v="MAACAMA CREEK"/>
  </r>
  <r>
    <s v="A026740"/>
    <n v="19810305"/>
    <n v="23"/>
    <s v="N"/>
    <s v="N"/>
    <s v="N"/>
    <s v="N"/>
    <x v="1"/>
    <s v="Outside"/>
    <s v="Outside"/>
    <x v="0"/>
    <n v="1981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"/>
    <s v="Acre-feet per Year"/>
    <s v="L_27"/>
    <n v="0"/>
    <n v="38.381427279999997"/>
    <n v="-122.59760706"/>
    <s v="UNST"/>
  </r>
  <r>
    <s v="A026927"/>
    <n v="19810721"/>
    <n v="1"/>
    <s v="N"/>
    <s v="N"/>
    <s v="Y"/>
    <s v="Y"/>
    <x v="0"/>
    <s v="West Fork and Below Lake"/>
    <s v="Outside"/>
    <x v="0"/>
    <n v="1981"/>
    <x v="1"/>
    <x v="0"/>
    <s v="Y"/>
    <s v="N"/>
    <s v="N"/>
    <s v="Y"/>
    <s v="N"/>
    <x v="1"/>
    <s v="N"/>
    <x v="1"/>
    <s v="N"/>
    <n v="0.5"/>
    <n v="0.46"/>
    <n v="0.8"/>
    <n v="0"/>
    <n v="0.66"/>
    <n v="0"/>
    <n v="0"/>
    <n v="0"/>
    <n v="0"/>
    <n v="0.08"/>
    <n v="1.83"/>
    <n v="2.33"/>
    <n v="6.66"/>
    <n v="0.66666666699999999"/>
    <n v="2.2112573939693015E-3"/>
    <n v="0.55694444441666668"/>
    <m/>
    <m/>
    <n v="12"/>
    <s v="Acre-feet per Year"/>
    <s v="U_1"/>
    <n v="0"/>
    <n v="39.2270374"/>
    <n v="-123.20226012000001"/>
    <s v="WEST FORK RUSSIAN RIVER"/>
  </r>
  <r>
    <s v="A026975"/>
    <n v="19810901"/>
    <n v="23"/>
    <s v="N"/>
    <s v="N"/>
    <s v="N"/>
    <s v="N"/>
    <x v="1"/>
    <s v="Outside"/>
    <s v="Outside"/>
    <x v="0"/>
    <n v="1981"/>
    <x v="1"/>
    <x v="0"/>
    <s v="N"/>
    <s v="N"/>
    <s v="N"/>
    <s v="Y"/>
    <s v="N"/>
    <x v="1"/>
    <s v="N"/>
    <x v="0"/>
    <s v="N"/>
    <n v="2.3333333330000001"/>
    <n v="1.066666667"/>
    <n v="0.5"/>
    <n v="0"/>
    <n v="0"/>
    <n v="0"/>
    <n v="0"/>
    <n v="0"/>
    <n v="0"/>
    <n v="0"/>
    <n v="0.6"/>
    <n v="0.5"/>
    <n v="5"/>
    <n v="0"/>
    <n v="0"/>
    <n v="1"/>
    <m/>
    <m/>
    <n v="5"/>
    <s v="Acre-feet per Year"/>
    <s v="L_27"/>
    <n v="0"/>
    <n v="38.36627816"/>
    <n v="-122.60654909"/>
    <s v="UNST"/>
  </r>
  <r>
    <s v="A026993"/>
    <n v="19810908"/>
    <n v="23"/>
    <s v="N"/>
    <s v="N"/>
    <s v="N"/>
    <s v="N"/>
    <x v="1"/>
    <s v="Outside"/>
    <s v="Outside"/>
    <x v="0"/>
    <n v="1981"/>
    <x v="1"/>
    <x v="0"/>
    <s v="N"/>
    <s v="N"/>
    <s v="N"/>
    <s v="Y"/>
    <s v="N"/>
    <x v="1"/>
    <s v="N"/>
    <x v="1"/>
    <s v="N"/>
    <n v="1.2266667E-2"/>
    <n v="1.2273333000000001E-2"/>
    <n v="1.5333332999999999E-2"/>
    <n v="6.1333330000000004E-3"/>
    <n v="3.0666669999999999E-3"/>
    <n v="0"/>
    <n v="0"/>
    <n v="0"/>
    <n v="0"/>
    <n v="0"/>
    <n v="6.1333330000000004E-3"/>
    <n v="9.1999999999999998E-3"/>
    <n v="6.4406666000000001E-2"/>
    <n v="3.0666669999999999E-3"/>
    <n v="1.017178511280159E-5"/>
    <n v="1.6514529743589745E-2"/>
    <m/>
    <m/>
    <n v="3.9"/>
    <s v="Acre-feet per Year"/>
    <s v="L_23"/>
    <n v="0"/>
    <n v="38.518163360000003"/>
    <n v="-122.84719152"/>
    <s v="UNNAMED STREAM"/>
  </r>
  <r>
    <s v="A027022"/>
    <n v="19810923"/>
    <n v="23"/>
    <s v="N"/>
    <s v="N"/>
    <s v="N"/>
    <s v="N"/>
    <x v="1"/>
    <s v="Outside"/>
    <s v="Outside"/>
    <x v="0"/>
    <n v="1981"/>
    <x v="1"/>
    <x v="0"/>
    <s v="N"/>
    <s v="N"/>
    <s v="N"/>
    <s v="Y"/>
    <s v="N"/>
    <x v="1"/>
    <s v="N"/>
    <x v="0"/>
    <s v="N"/>
    <n v="1.3333333329999999"/>
    <n v="0"/>
    <n v="0"/>
    <n v="0"/>
    <n v="0"/>
    <n v="0"/>
    <n v="0"/>
    <n v="0"/>
    <n v="0"/>
    <n v="0"/>
    <n v="3.3333333330000001"/>
    <n v="4"/>
    <n v="8.6666666660000011"/>
    <n v="0"/>
    <n v="0"/>
    <n v="0.28888888886666669"/>
    <m/>
    <m/>
    <n v="30"/>
    <s v="Acre-feet per Year"/>
    <s v="L_26"/>
    <n v="0"/>
    <n v="38.487998650000002"/>
    <n v="-122.73580068"/>
    <s v="UNST"/>
  </r>
  <r>
    <s v="A027036"/>
    <n v="19811007"/>
    <n v="1"/>
    <s v="N"/>
    <s v="N"/>
    <s v="Y"/>
    <s v="Y"/>
    <x v="0"/>
    <s v="West Fork and Below Lake"/>
    <s v="Outside"/>
    <x v="0"/>
    <n v="1981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.5"/>
    <s v="Acre-feet per Year"/>
    <s v="U_1"/>
    <n v="0"/>
    <n v="39.2545"/>
    <n v="-123.2269"/>
    <s v="UNST"/>
  </r>
  <r>
    <s v="A027046"/>
    <n v="19811016"/>
    <n v="23"/>
    <s v="N"/>
    <s v="N"/>
    <s v="N"/>
    <s v="N"/>
    <x v="1"/>
    <s v="Outside"/>
    <s v="Outside"/>
    <x v="0"/>
    <n v="1981"/>
    <x v="1"/>
    <x v="0"/>
    <s v="N"/>
    <s v="N"/>
    <s v="N"/>
    <s v="Y"/>
    <s v="N"/>
    <x v="1"/>
    <s v="N"/>
    <x v="0"/>
    <s v="N"/>
    <n v="3.3333333E-2"/>
    <n v="3.3333333E-2"/>
    <n v="3.3333333E-2"/>
    <n v="3.3333333E-2"/>
    <n v="0"/>
    <n v="0"/>
    <n v="0"/>
    <n v="0"/>
    <n v="0"/>
    <n v="0"/>
    <n v="0"/>
    <n v="0"/>
    <n v="0.133333332"/>
    <n v="0"/>
    <n v="0"/>
    <n v="3.0303029999999998E-2"/>
    <m/>
    <m/>
    <n v="4.4000000000000004"/>
    <s v="Acre-feet per Year"/>
    <s v="L_24"/>
    <n v="0"/>
    <n v="38.490527159999999"/>
    <n v="-122.72674257"/>
    <s v="UNST"/>
  </r>
  <r>
    <s v="A027075"/>
    <n v="19811102"/>
    <n v="4"/>
    <s v="Y"/>
    <s v="N"/>
    <s v="Y"/>
    <s v="Y"/>
    <x v="0"/>
    <s v="West Fork and Below Lake"/>
    <s v="Mendocino (d/s of lake)"/>
    <x v="0"/>
    <n v="1981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.4"/>
    <s v="Acre-feet per Year"/>
    <s v="U_4"/>
    <n v="0"/>
    <n v="39.128174549999997"/>
    <n v="-123.16250663"/>
    <s v="UNST"/>
  </r>
  <r>
    <s v="A027081"/>
    <n v="19811105"/>
    <n v="21"/>
    <s v="N"/>
    <s v="N"/>
    <s v="N"/>
    <s v="N"/>
    <x v="1"/>
    <s v="Outside"/>
    <s v="Outside"/>
    <x v="0"/>
    <n v="1981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.5"/>
    <s v="Acre-feet per Year"/>
    <s v="L_21"/>
    <n v="0"/>
    <n v="38.421152910000004"/>
    <n v="-122.94175717"/>
    <s v="UNST"/>
  </r>
  <r>
    <s v="A027143"/>
    <n v="19811211"/>
    <n v="23"/>
    <s v="N"/>
    <s v="N"/>
    <s v="N"/>
    <s v="N"/>
    <x v="1"/>
    <s v="Outside"/>
    <s v="Outside"/>
    <x v="0"/>
    <n v="1981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6"/>
    <s v="Acre-feet per Year"/>
    <s v="L_28"/>
    <n v="0"/>
    <n v="38.375387029999999"/>
    <n v="-122.64848498000001"/>
    <s v="UNST"/>
  </r>
  <r>
    <s v="A027149"/>
    <n v="19811211"/>
    <n v="17"/>
    <s v="N"/>
    <s v="N"/>
    <s v="N"/>
    <s v="N"/>
    <x v="1"/>
    <s v="Outside"/>
    <s v="Outside"/>
    <x v="0"/>
    <n v="1981"/>
    <x v="1"/>
    <x v="1"/>
    <s v="N"/>
    <s v="N"/>
    <s v="N"/>
    <s v="Y"/>
    <s v="N"/>
    <x v="1"/>
    <s v="N"/>
    <x v="0"/>
    <s v="N"/>
    <n v="7.1"/>
    <n v="0"/>
    <n v="0"/>
    <n v="0"/>
    <n v="0"/>
    <n v="0"/>
    <n v="0"/>
    <n v="0"/>
    <n v="0"/>
    <n v="0"/>
    <n v="0.3"/>
    <n v="0"/>
    <n v="7.3999999999999995"/>
    <n v="0"/>
    <n v="0"/>
    <n v="0.67272727272727273"/>
    <m/>
    <m/>
    <n v="11"/>
    <s v="Acre-feet per Year"/>
    <s v="L_17"/>
    <n v="0"/>
    <n v="38.56444553"/>
    <n v="-122.84116616"/>
    <s v="UNST"/>
  </r>
  <r>
    <s v="A027158"/>
    <n v="19811223"/>
    <n v="23"/>
    <s v="N"/>
    <s v="N"/>
    <s v="N"/>
    <s v="N"/>
    <x v="1"/>
    <s v="Outside"/>
    <s v="Outside"/>
    <x v="0"/>
    <n v="1981"/>
    <x v="1"/>
    <x v="0"/>
    <s v="N"/>
    <s v="N"/>
    <s v="N"/>
    <s v="Y"/>
    <s v="N"/>
    <x v="1"/>
    <s v="N"/>
    <x v="1"/>
    <s v="N"/>
    <n v="2.9333333E-2"/>
    <n v="2.9333333E-2"/>
    <n v="2.9333333E-2"/>
    <n v="2.9333333E-2"/>
    <n v="2.9333333E-2"/>
    <n v="0"/>
    <n v="0"/>
    <n v="0"/>
    <n v="0"/>
    <n v="0"/>
    <n v="2.9333333E-2"/>
    <n v="2.9333333E-2"/>
    <n v="0.20533333099999998"/>
    <n v="2.9333333333333302E-2"/>
    <n v="9.7295325286001486E-5"/>
    <n v="8.2133333333333242E-3"/>
    <m/>
    <m/>
    <n v="25"/>
    <s v="Acre-feet per Year"/>
    <s v="L_24"/>
    <n v="0"/>
    <n v="38.502899999999997"/>
    <n v="-122.64530000000001"/>
    <s v="UNST"/>
  </r>
  <r>
    <s v="A027031"/>
    <n v="19811005"/>
    <n v="16"/>
    <s v="N"/>
    <s v="N"/>
    <s v="N"/>
    <s v="N"/>
    <x v="1"/>
    <s v="Outside"/>
    <s v="Outside"/>
    <x v="0"/>
    <n v="1981"/>
    <x v="1"/>
    <x v="0"/>
    <s v="N"/>
    <s v="N"/>
    <s v="N"/>
    <s v="Y"/>
    <s v="N"/>
    <x v="1"/>
    <s v="N"/>
    <x v="0"/>
    <s v="N"/>
    <n v="3.3555549999999998"/>
    <n v="3.3555549999999998"/>
    <n v="3.35555"/>
    <n v="3.35555"/>
    <n v="0"/>
    <n v="0"/>
    <n v="0"/>
    <n v="0"/>
    <n v="0"/>
    <n v="0"/>
    <n v="0"/>
    <n v="0"/>
    <n v="13.42221"/>
    <n v="0"/>
    <n v="0"/>
    <n v="0.67111049999999994"/>
    <m/>
    <m/>
    <n v="20"/>
    <s v="Acre-feet per Year"/>
    <s v="L_16"/>
    <n v="0"/>
    <n v="38.658700000000003"/>
    <n v="-122.90770000000001"/>
    <s v="UNST"/>
  </r>
  <r>
    <s v="A026938"/>
    <n v="19810804"/>
    <n v="2"/>
    <s v="N"/>
    <s v="N"/>
    <s v="Y"/>
    <s v="N"/>
    <x v="0"/>
    <s v="Outside"/>
    <s v="Outside"/>
    <x v="0"/>
    <n v="1981"/>
    <x v="1"/>
    <x v="0"/>
    <s v="Y"/>
    <s v="N"/>
    <s v="N"/>
    <s v="Y"/>
    <s v="N"/>
    <x v="1"/>
    <s v="N"/>
    <x v="1"/>
    <s v="N"/>
    <n v="0.66"/>
    <n v="0.33"/>
    <n v="0.67"/>
    <n v="0.34"/>
    <n v="0.34"/>
    <n v="0.67"/>
    <n v="0.67"/>
    <n v="2.0460000000000001E-3"/>
    <n v="2.0462670000000001E-3"/>
    <n v="0"/>
    <n v="0"/>
    <n v="0"/>
    <n v="3.6840922669999996"/>
    <n v="1.7046502670000001"/>
    <n v="5.6541307577261755E-3"/>
    <n v="0.26586006671428569"/>
    <m/>
    <m/>
    <n v="14"/>
    <s v="Acre-feet per Year"/>
    <s v="U_2"/>
    <n v="3.4039024194010059E-4"/>
    <n v="39.298262770000001"/>
    <n v="-123.06334879000001"/>
    <s v="UNST"/>
  </r>
  <r>
    <s v="A026769"/>
    <n v="19810331"/>
    <n v="2"/>
    <s v="N"/>
    <s v="N"/>
    <s v="Y"/>
    <s v="N"/>
    <x v="0"/>
    <s v="Outside"/>
    <s v="Outside"/>
    <x v="0"/>
    <n v="1981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"/>
    <s v="Acre-feet per Year"/>
    <s v="U_2"/>
    <n v="0"/>
    <n v="39.306572500000001"/>
    <n v="-123.05534485"/>
    <s v="UNST"/>
  </r>
  <r>
    <s v="A026181"/>
    <n v="19800122"/>
    <n v="7"/>
    <s v="N"/>
    <s v="Y"/>
    <s v="Y"/>
    <s v="Y"/>
    <x v="0"/>
    <s v="West Fork and Below Lake"/>
    <s v="Sonoma (d/s of Clov. Gage)"/>
    <x v="0"/>
    <n v="1980"/>
    <x v="1"/>
    <x v="0"/>
    <s v="Y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0.43"/>
    <n v="0.45"/>
    <n v="0.88"/>
    <n v="0"/>
    <n v="0"/>
    <n v="0.17051282057692307"/>
    <m/>
    <m/>
    <n v="5.2"/>
    <s v="Acre-feet per Year"/>
    <s v="U_7"/>
    <n v="0"/>
    <n v="38.805519920000002"/>
    <n v="-122.76505406"/>
    <s v="UNST"/>
  </r>
  <r>
    <s v="A026182"/>
    <n v="19800122"/>
    <n v="7"/>
    <s v="N"/>
    <s v="Y"/>
    <s v="Y"/>
    <s v="Y"/>
    <x v="0"/>
    <s v="West Fork and Below Lake"/>
    <s v="Sonoma (d/s of Clov. Gage)"/>
    <x v="0"/>
    <n v="1980"/>
    <x v="1"/>
    <x v="0"/>
    <s v="Y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0.16"/>
    <n v="0.13"/>
    <n v="0.29000000000000004"/>
    <n v="0"/>
    <n v="0"/>
    <n v="0.19999999999999998"/>
    <m/>
    <m/>
    <n v="1.5"/>
    <s v="Acre-feet per Year"/>
    <s v="U_7"/>
    <n v="0"/>
    <n v="38.767490850000002"/>
    <n v="-122.74360077999999"/>
    <s v="UNST"/>
  </r>
  <r>
    <s v="A026183"/>
    <n v="19800122"/>
    <n v="7"/>
    <s v="N"/>
    <s v="Y"/>
    <s v="Y"/>
    <s v="Y"/>
    <x v="0"/>
    <s v="West Fork and Below Lake"/>
    <s v="Sonoma (d/s of Clov. Gage)"/>
    <x v="0"/>
    <n v="1980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1.6"/>
    <s v="Acre-feet per Year"/>
    <s v="U_7"/>
    <n v="0"/>
    <n v="38.777366469999997"/>
    <n v="-122.74510701"/>
    <s v="UNST"/>
  </r>
  <r>
    <s v="A026184"/>
    <n v="19800122"/>
    <n v="7"/>
    <s v="N"/>
    <s v="Y"/>
    <s v="Y"/>
    <s v="Y"/>
    <x v="0"/>
    <s v="West Fork and Below Lake"/>
    <s v="Sonoma (d/s of Clov. Gage)"/>
    <x v="0"/>
    <n v="1980"/>
    <x v="1"/>
    <x v="0"/>
    <s v="Y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0.4"/>
    <n v="0.32"/>
    <n v="0.72"/>
    <n v="0"/>
    <n v="0"/>
    <n v="0.3"/>
    <m/>
    <m/>
    <n v="2.4"/>
    <s v="Acre-feet per Year"/>
    <s v="U_7"/>
    <n v="0"/>
    <n v="38.767803299999997"/>
    <n v="-122.73764118"/>
    <s v="UNST"/>
  </r>
  <r>
    <s v="A026201"/>
    <n v="19800213"/>
    <n v="1"/>
    <s v="N"/>
    <s v="N"/>
    <s v="Y"/>
    <s v="Y"/>
    <x v="0"/>
    <s v="West Fork and Below Lake"/>
    <s v="Outside"/>
    <x v="0"/>
    <n v="1980"/>
    <x v="1"/>
    <x v="0"/>
    <s v="Y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0"/>
    <n v="6.9050000000000003E-4"/>
    <n v="6.9050000000000003E-4"/>
    <n v="0"/>
    <n v="0"/>
    <n v="3.4525000000000002E-4"/>
    <m/>
    <m/>
    <n v="2"/>
    <s v="Acre-feet per Year"/>
    <s v="U_1"/>
    <n v="0"/>
    <n v="39.296517190000003"/>
    <n v="-123.22782712"/>
    <s v="UNST"/>
  </r>
  <r>
    <s v="A026224"/>
    <n v="19800220"/>
    <n v="9"/>
    <s v="N"/>
    <s v="Y"/>
    <s v="Y"/>
    <s v="Y"/>
    <x v="0"/>
    <s v="West Fork and Below Lake"/>
    <s v="Sonoma (d/s of Clov. Gage)"/>
    <x v="0"/>
    <n v="1980"/>
    <x v="1"/>
    <x v="0"/>
    <s v="Y"/>
    <s v="N"/>
    <s v="N"/>
    <s v="Y"/>
    <s v="N"/>
    <x v="1"/>
    <s v="N"/>
    <x v="1"/>
    <s v="N"/>
    <n v="0"/>
    <n v="0.66"/>
    <n v="2.72"/>
    <n v="2.29"/>
    <n v="1.98"/>
    <n v="0"/>
    <n v="0"/>
    <n v="0"/>
    <n v="0"/>
    <n v="0"/>
    <n v="0"/>
    <n v="0"/>
    <n v="7.65"/>
    <n v="1.9859249999999999"/>
    <n v="6.5870870068841835E-3"/>
    <n v="3.1307491159183673E-2"/>
    <m/>
    <m/>
    <n v="245"/>
    <s v="Acre-feet per Year"/>
    <s v="U_9"/>
    <n v="0"/>
    <n v="38.752966180000001"/>
    <n v="-122.91317994000001"/>
    <s v="UNST"/>
  </r>
  <r>
    <s v="A026228"/>
    <n v="19800221"/>
    <n v="21"/>
    <s v="N"/>
    <s v="N"/>
    <s v="N"/>
    <s v="N"/>
    <x v="1"/>
    <s v="Outside"/>
    <s v="Outside"/>
    <x v="0"/>
    <n v="1980"/>
    <x v="1"/>
    <x v="0"/>
    <s v="N"/>
    <s v="N"/>
    <s v="N"/>
    <s v="Y"/>
    <s v="N"/>
    <x v="1"/>
    <s v="N"/>
    <x v="0"/>
    <s v="N"/>
    <n v="1"/>
    <n v="0.5"/>
    <n v="0.5"/>
    <n v="0"/>
    <n v="0"/>
    <n v="0"/>
    <n v="0"/>
    <n v="0"/>
    <n v="0"/>
    <n v="0"/>
    <n v="0.5"/>
    <n v="0.5"/>
    <n v="3"/>
    <n v="0"/>
    <n v="0"/>
    <n v="1"/>
    <m/>
    <m/>
    <n v="3"/>
    <s v="Acre-feet per Year"/>
    <s v="L_21"/>
    <n v="0"/>
    <n v="38.417729199999997"/>
    <n v="-122.95741925999999"/>
    <s v="UNST"/>
  </r>
  <r>
    <s v="A026233"/>
    <n v="19800226"/>
    <n v="17"/>
    <s v="N"/>
    <s v="N"/>
    <s v="N"/>
    <s v="N"/>
    <x v="1"/>
    <s v="Outside"/>
    <s v="Outside"/>
    <x v="0"/>
    <n v="1980"/>
    <x v="1"/>
    <x v="1"/>
    <s v="N"/>
    <s v="N"/>
    <s v="N"/>
    <s v="Y"/>
    <s v="N"/>
    <x v="1"/>
    <s v="N"/>
    <x v="1"/>
    <s v="N"/>
    <n v="0.21221799999999999"/>
    <n v="0.21221799999999999"/>
    <n v="0.21221799999999999"/>
    <n v="0.29899700000000001"/>
    <n v="0.29899700000000001"/>
    <n v="0.29899700000000001"/>
    <n v="0.59820700000000004"/>
    <n v="0.59820700000000004"/>
    <n v="0.59820700000000004"/>
    <n v="0.26313700000000001"/>
    <n v="0.26319799999999999"/>
    <n v="0.26319799999999999"/>
    <n v="4.1177989999999998"/>
    <n v="2.3926150000000002"/>
    <n v="7.9360314105397737E-3"/>
    <n v="0.51472487499999997"/>
    <m/>
    <m/>
    <n v="8"/>
    <s v="Acre-feet per Year"/>
    <s v="L_17"/>
    <n v="3.4039024194010059E-4"/>
    <n v="38.536271480000003"/>
    <n v="-122.86355972"/>
    <s v="RUSSIAN RIVER UNDERFLOW"/>
  </r>
  <r>
    <s v="A026240"/>
    <n v="19800229"/>
    <n v="23"/>
    <s v="N"/>
    <s v="N"/>
    <s v="N"/>
    <s v="N"/>
    <x v="1"/>
    <s v="Outside"/>
    <s v="Outside"/>
    <x v="0"/>
    <n v="1980"/>
    <x v="1"/>
    <x v="0"/>
    <s v="N"/>
    <s v="N"/>
    <s v="N"/>
    <s v="Y"/>
    <s v="N"/>
    <x v="1"/>
    <s v="N"/>
    <x v="1"/>
    <s v="N"/>
    <n v="0"/>
    <n v="0"/>
    <n v="0.66666666699999999"/>
    <n v="2.0666666669999998"/>
    <n v="2.0666666669999998"/>
    <n v="0.16666666699999999"/>
    <n v="0"/>
    <n v="0"/>
    <n v="0"/>
    <n v="0"/>
    <n v="0"/>
    <n v="0"/>
    <n v="4.9666666679999993"/>
    <n v="2.2333333339999997"/>
    <n v="7.4077122683045594E-3"/>
    <n v="7.0952380971428558E-2"/>
    <m/>
    <m/>
    <n v="70"/>
    <s v="Acre-feet per Year"/>
    <s v="L_24"/>
    <n v="0"/>
    <n v="38.486700769999999"/>
    <n v="-122.80706010999999"/>
    <s v="UNST"/>
  </r>
  <r>
    <s v="A026241"/>
    <n v="19800228"/>
    <n v="23"/>
    <s v="N"/>
    <s v="N"/>
    <s v="N"/>
    <s v="N"/>
    <x v="1"/>
    <s v="Outside"/>
    <s v="Outside"/>
    <x v="0"/>
    <n v="1980"/>
    <x v="1"/>
    <x v="0"/>
    <s v="N"/>
    <s v="N"/>
    <s v="N"/>
    <s v="Y"/>
    <s v="N"/>
    <x v="1"/>
    <s v="N"/>
    <x v="1"/>
    <s v="N"/>
    <n v="0.16666666699999999"/>
    <n v="0.73333333300000003"/>
    <n v="0.53333333299999997"/>
    <n v="3.3333333E-2"/>
    <n v="1.5333333330000001"/>
    <n v="0.7"/>
    <n v="1.4"/>
    <n v="0"/>
    <n v="0"/>
    <n v="0"/>
    <n v="1"/>
    <n v="0"/>
    <n v="6.0999999989999996"/>
    <n v="3.6333333329999999"/>
    <n v="1.2051352790001387E-2"/>
    <n v="0.10166666664999999"/>
    <m/>
    <m/>
    <n v="60"/>
    <s v="Acre-feet per Year"/>
    <s v="L_24"/>
    <n v="0"/>
    <n v="38.486700769999999"/>
    <n v="-122.80706010999999"/>
    <s v="UNST"/>
  </r>
  <r>
    <s v="A026250"/>
    <n v="19800310"/>
    <n v="1"/>
    <s v="N"/>
    <s v="N"/>
    <s v="Y"/>
    <s v="Y"/>
    <x v="0"/>
    <s v="West Fork and Below Lake"/>
    <s v="Outside"/>
    <x v="0"/>
    <n v="1980"/>
    <x v="1"/>
    <x v="0"/>
    <s v="Y"/>
    <s v="N"/>
    <s v="N"/>
    <s v="Y"/>
    <s v="N"/>
    <x v="1"/>
    <s v="N"/>
    <x v="0"/>
    <s v="N"/>
    <n v="1.83"/>
    <n v="3"/>
    <n v="1.83"/>
    <n v="0.66"/>
    <n v="0"/>
    <n v="0"/>
    <n v="0"/>
    <n v="0"/>
    <n v="0"/>
    <n v="0"/>
    <n v="0"/>
    <n v="0"/>
    <n v="7.32"/>
    <n v="0"/>
    <n v="0"/>
    <n v="0.91666666662499996"/>
    <m/>
    <m/>
    <n v="8"/>
    <s v="Acre-feet per Year"/>
    <s v="U_1"/>
    <n v="0"/>
    <n v="39.276773409999997"/>
    <n v="-123.21211542"/>
    <s v="UNST"/>
  </r>
  <r>
    <s v="A026298A"/>
    <n v="19800415"/>
    <n v="17"/>
    <s v="N"/>
    <s v="N"/>
    <s v="N"/>
    <s v="N"/>
    <x v="1"/>
    <s v="Outside"/>
    <s v="Outside"/>
    <x v="0"/>
    <n v="1980"/>
    <x v="1"/>
    <x v="0"/>
    <s v="N"/>
    <s v="N"/>
    <s v="N"/>
    <s v="Y"/>
    <s v="N"/>
    <x v="1"/>
    <s v="N"/>
    <x v="1"/>
    <s v="N"/>
    <n v="1.8666667000000001E-2"/>
    <n v="2.8666667E-2"/>
    <n v="4.7666667000000003E-2"/>
    <n v="6.4000000000000001E-2"/>
    <n v="6.7000000000000004E-2"/>
    <n v="6.4000000000000001E-2"/>
    <n v="6.7000000000000004E-2"/>
    <n v="6.7000000000000004E-2"/>
    <n v="6.4000000000000001E-2"/>
    <n v="0.29466666699999999"/>
    <n v="10.36333333"/>
    <n v="2.7426666669999999"/>
    <n v="13.888666665000001"/>
    <n v="0.32900000000000001"/>
    <n v="1.0912555233782224E-3"/>
    <n v="0.18768468466216218"/>
    <m/>
    <m/>
    <n v="74"/>
    <s v="Acre-feet per Year"/>
    <s v="L_17"/>
    <n v="3.4039024194010059E-4"/>
    <n v="38.54425415"/>
    <n v="-122.89722387"/>
    <s v="UNST"/>
  </r>
  <r>
    <s v="A026298B"/>
    <n v="19800415"/>
    <n v="18"/>
    <s v="N"/>
    <s v="N"/>
    <s v="N"/>
    <s v="N"/>
    <x v="1"/>
    <s v="Outside"/>
    <s v="Outside"/>
    <x v="0"/>
    <n v="1980"/>
    <x v="1"/>
    <x v="0"/>
    <s v="N"/>
    <s v="N"/>
    <s v="N"/>
    <s v="Y"/>
    <s v="N"/>
    <x v="1"/>
    <s v="N"/>
    <x v="1"/>
    <s v="N"/>
    <n v="0"/>
    <n v="0"/>
    <n v="0"/>
    <n v="0.50666666699999996"/>
    <n v="1.758"/>
    <n v="3.3723333329999998"/>
    <n v="6.4266666670000001"/>
    <n v="4.2893333330000001"/>
    <n v="2.7773333330000001"/>
    <n v="1.0133333330000001"/>
    <n v="0"/>
    <n v="0"/>
    <n v="20.143666666000001"/>
    <n v="18.623666665999998"/>
    <n v="6.1772580896131871E-2"/>
    <n v="5.0485380115288227E-2"/>
    <m/>
    <m/>
    <n v="399"/>
    <s v="Acre-feet per Year"/>
    <s v="L_18"/>
    <n v="3.4039024194010059E-4"/>
    <n v="38.53464391"/>
    <n v="-122.89710314"/>
    <s v="RUSSIAN RIVER UNDERFLOW"/>
  </r>
  <r>
    <s v="A026402"/>
    <n v="19800605"/>
    <n v="11"/>
    <s v="N"/>
    <s v="Y"/>
    <s v="Y"/>
    <s v="Y"/>
    <x v="0"/>
    <s v="West Fork and Below Lake"/>
    <s v="Sonoma (d/s of Clov. Gage)"/>
    <x v="0"/>
    <n v="1980"/>
    <x v="1"/>
    <x v="0"/>
    <s v="Y"/>
    <s v="N"/>
    <s v="N"/>
    <s v="Y"/>
    <s v="N"/>
    <x v="1"/>
    <s v="N"/>
    <x v="0"/>
    <s v="N"/>
    <n v="20.329999999999998"/>
    <n v="5.33"/>
    <n v="6"/>
    <n v="0"/>
    <n v="0"/>
    <n v="0"/>
    <n v="0"/>
    <n v="0"/>
    <n v="0"/>
    <n v="0"/>
    <n v="0"/>
    <n v="7"/>
    <n v="38.659999999999997"/>
    <n v="0"/>
    <n v="0"/>
    <n v="0.41134751769148936"/>
    <m/>
    <m/>
    <n v="94"/>
    <s v="Acre-feet per Year"/>
    <s v="U_11"/>
    <n v="0"/>
    <n v="38.639866019999999"/>
    <n v="-122.71154641"/>
    <s v="LAFRANCHI CREEK"/>
  </r>
  <r>
    <s v="A026412"/>
    <n v="19800611"/>
    <n v="11"/>
    <s v="N"/>
    <s v="Y"/>
    <s v="Y"/>
    <s v="Y"/>
    <x v="0"/>
    <s v="West Fork and Below Lake"/>
    <s v="Sonoma (d/s of Clov. Gage)"/>
    <x v="0"/>
    <n v="1980"/>
    <x v="1"/>
    <x v="0"/>
    <s v="Y"/>
    <s v="N"/>
    <s v="N"/>
    <s v="Y"/>
    <s v="N"/>
    <x v="1"/>
    <s v="N"/>
    <x v="1"/>
    <s v="N"/>
    <n v="23.66"/>
    <n v="16"/>
    <n v="1.66"/>
    <n v="0"/>
    <n v="2.33"/>
    <n v="0"/>
    <n v="0"/>
    <n v="0"/>
    <n v="0"/>
    <n v="0"/>
    <n v="7.33"/>
    <n v="19.66"/>
    <n v="70.639999999999986"/>
    <n v="2.3333333330000001"/>
    <n v="7.7394008739172264E-3"/>
    <n v="0.43353783234969323"/>
    <m/>
    <m/>
    <n v="163"/>
    <s v="Acre-feet per Year"/>
    <s v="U_11"/>
    <n v="0"/>
    <n v="38.647210979999997"/>
    <n v="-122.70032707999999"/>
    <s v="LAFRANCHI CREEK"/>
  </r>
  <r>
    <s v="A026413"/>
    <n v="19800611"/>
    <n v="11"/>
    <s v="N"/>
    <s v="Y"/>
    <s v="Y"/>
    <s v="Y"/>
    <x v="0"/>
    <s v="West Fork and Below Lake"/>
    <s v="Sonoma (d/s of Clov. Gage)"/>
    <x v="0"/>
    <n v="1980"/>
    <x v="1"/>
    <x v="0"/>
    <s v="Y"/>
    <s v="N"/>
    <s v="N"/>
    <s v="Y"/>
    <s v="N"/>
    <x v="1"/>
    <s v="N"/>
    <x v="1"/>
    <s v="N"/>
    <n v="0"/>
    <n v="0"/>
    <n v="0.4"/>
    <n v="0"/>
    <n v="0.5"/>
    <n v="0"/>
    <n v="0"/>
    <n v="0"/>
    <n v="0"/>
    <n v="0"/>
    <n v="0"/>
    <n v="0"/>
    <n v="0.9"/>
    <n v="0.5"/>
    <n v="1.6584430446477544E-3"/>
    <n v="1.5000000000000001E-2"/>
    <m/>
    <m/>
    <n v="60"/>
    <s v="Acre-feet per Year"/>
    <s v="U_11"/>
    <n v="0"/>
    <n v="38.647210979999997"/>
    <n v="-122.70032707999999"/>
    <s v="LAFRANCHI CREEK"/>
  </r>
  <r>
    <s v="A026503"/>
    <n v="19800820"/>
    <n v="23"/>
    <s v="N"/>
    <s v="N"/>
    <s v="N"/>
    <s v="N"/>
    <x v="1"/>
    <s v="Outside"/>
    <s v="Outside"/>
    <x v="0"/>
    <n v="1980"/>
    <x v="1"/>
    <x v="0"/>
    <s v="N"/>
    <s v="N"/>
    <s v="N"/>
    <s v="Y"/>
    <s v="N"/>
    <x v="1"/>
    <s v="N"/>
    <x v="0"/>
    <s v="N"/>
    <n v="3"/>
    <n v="1.5"/>
    <n v="0"/>
    <n v="0"/>
    <n v="0"/>
    <n v="0"/>
    <n v="0"/>
    <n v="0"/>
    <n v="0"/>
    <n v="0.5"/>
    <n v="2"/>
    <n v="2.5"/>
    <n v="9.5"/>
    <n v="0"/>
    <n v="0"/>
    <n v="0.95959595959595956"/>
    <m/>
    <m/>
    <n v="9.9"/>
    <s v="Acre-feet per Year"/>
    <s v="L_23"/>
    <n v="0"/>
    <n v="38.52713035"/>
    <n v="-122.74634122000001"/>
    <s v="UNST"/>
  </r>
  <r>
    <s v="A026440"/>
    <n v="19800702"/>
    <n v="16"/>
    <s v="N"/>
    <s v="N"/>
    <s v="N"/>
    <s v="N"/>
    <x v="1"/>
    <s v="Outside"/>
    <s v="Outside"/>
    <x v="0"/>
    <n v="1980"/>
    <x v="1"/>
    <x v="0"/>
    <s v="N"/>
    <s v="N"/>
    <s v="N"/>
    <s v="Y"/>
    <s v="N"/>
    <x v="1"/>
    <s v="N"/>
    <x v="0"/>
    <s v="N"/>
    <n v="6.3"/>
    <n v="1.0333333330000001"/>
    <n v="1"/>
    <n v="0.16666666699999999"/>
    <n v="0"/>
    <n v="0"/>
    <n v="0"/>
    <n v="0"/>
    <n v="0"/>
    <n v="0"/>
    <n v="1.9"/>
    <n v="3.0666666669999998"/>
    <n v="13.466666666999998"/>
    <n v="0"/>
    <n v="0"/>
    <n v="0.44888888889999995"/>
    <m/>
    <m/>
    <n v="30"/>
    <s v="Acre-feet per Year"/>
    <s v="L_16"/>
    <n v="0"/>
    <n v="38.673996770000002"/>
    <n v="-122.91584646"/>
    <s v="UNST"/>
  </r>
  <r>
    <s v="A026600"/>
    <n v="19801103"/>
    <n v="12"/>
    <s v="N"/>
    <s v="Y"/>
    <s v="Y"/>
    <s v="Y"/>
    <x v="0"/>
    <s v="West Fork and Below Lake"/>
    <s v="Sonoma (d/s of Clov. Gage)"/>
    <x v="0"/>
    <n v="1980"/>
    <x v="1"/>
    <x v="0"/>
    <s v="Y"/>
    <s v="N"/>
    <s v="N"/>
    <s v="Y"/>
    <s v="N"/>
    <x v="1"/>
    <s v="N"/>
    <x v="1"/>
    <s v="N"/>
    <n v="0.46"/>
    <n v="0.46"/>
    <n v="0.46"/>
    <n v="0.46"/>
    <n v="0.46"/>
    <n v="0"/>
    <n v="0"/>
    <n v="0"/>
    <n v="0"/>
    <n v="0"/>
    <n v="0"/>
    <n v="0"/>
    <n v="2.3000000000000003"/>
    <n v="0.46033299999999999"/>
    <n v="1.5268721241436694E-3"/>
    <n v="0.42623425925925923"/>
    <m/>
    <m/>
    <n v="5.4"/>
    <s v="Acre-feet per Year"/>
    <s v="U_12"/>
    <n v="0"/>
    <n v="38.620975649999998"/>
    <n v="-122.67906769"/>
    <s v="UNST"/>
  </r>
  <r>
    <s v="A026624"/>
    <n v="19801118"/>
    <n v="22"/>
    <s v="N"/>
    <s v="N"/>
    <s v="N"/>
    <s v="N"/>
    <x v="1"/>
    <s v="Outside"/>
    <s v="Outside"/>
    <x v="0"/>
    <n v="1980"/>
    <x v="1"/>
    <x v="0"/>
    <s v="N"/>
    <s v="N"/>
    <s v="N"/>
    <s v="Y"/>
    <s v="N"/>
    <x v="1"/>
    <s v="Y"/>
    <x v="0"/>
    <s v="Y"/>
    <n v="0"/>
    <n v="0"/>
    <n v="0"/>
    <n v="0"/>
    <n v="0"/>
    <n v="0"/>
    <n v="0"/>
    <n v="0"/>
    <n v="0"/>
    <n v="0"/>
    <n v="0"/>
    <n v="0"/>
    <n v="0"/>
    <n v="0"/>
    <n v="0"/>
    <n v="0"/>
    <m/>
    <m/>
    <n v="209953.5"/>
    <s v="Acre-feet per Year"/>
    <s v="L_22"/>
    <n v="0"/>
    <n v="38.72180771"/>
    <n v="-123.01163133999999"/>
    <s v="DRY CREEK"/>
  </r>
  <r>
    <s v="A026672"/>
    <n v="19801223"/>
    <n v="12"/>
    <s v="N"/>
    <s v="Y"/>
    <s v="Y"/>
    <s v="Y"/>
    <x v="0"/>
    <s v="West Fork and Below Lake"/>
    <s v="Sonoma (d/s of Clov. Gage)"/>
    <x v="0"/>
    <n v="1980"/>
    <x v="1"/>
    <x v="0"/>
    <s v="Y"/>
    <s v="N"/>
    <s v="N"/>
    <s v="Y"/>
    <s v="N"/>
    <x v="1"/>
    <s v="N"/>
    <x v="1"/>
    <s v="N"/>
    <n v="0"/>
    <n v="0"/>
    <n v="0.28000000000000003"/>
    <n v="0.24"/>
    <n v="0.22"/>
    <n v="0"/>
    <n v="0"/>
    <n v="0"/>
    <n v="0"/>
    <n v="0"/>
    <n v="0"/>
    <n v="0"/>
    <n v="0.74"/>
    <n v="0.22"/>
    <n v="7.2971493964501199E-4"/>
    <n v="0.43529411764705883"/>
    <m/>
    <m/>
    <n v="1.7"/>
    <s v="Acre-feet per Year"/>
    <s v="U_12"/>
    <n v="0"/>
    <n v="38.631966239999997"/>
    <n v="-122.76634349"/>
    <s v="MAACAMA CREEK"/>
  </r>
  <r>
    <s v="A026442"/>
    <n v="19800702"/>
    <n v="16"/>
    <s v="N"/>
    <s v="N"/>
    <s v="N"/>
    <s v="N"/>
    <x v="1"/>
    <s v="Outside"/>
    <s v="Outside"/>
    <x v="0"/>
    <n v="1980"/>
    <x v="1"/>
    <x v="0"/>
    <s v="N"/>
    <s v="N"/>
    <s v="N"/>
    <s v="Y"/>
    <s v="N"/>
    <x v="1"/>
    <s v="N"/>
    <x v="0"/>
    <s v="N"/>
    <n v="184.7"/>
    <n v="32.133333329999999"/>
    <n v="16"/>
    <n v="11.7"/>
    <n v="0"/>
    <n v="0"/>
    <n v="0"/>
    <n v="0"/>
    <n v="0"/>
    <n v="0"/>
    <n v="7.3666666669999996"/>
    <n v="33.433333330000004"/>
    <n v="285.33333332699999"/>
    <n v="0"/>
    <n v="0"/>
    <n v="0.41715399609210524"/>
    <m/>
    <m/>
    <n v="684"/>
    <s v="Acre-feet per Year"/>
    <s v="L_16"/>
    <n v="0"/>
    <n v="38.665478"/>
    <n v="-122.90223905000001"/>
    <m/>
  </r>
  <r>
    <s v="A026561"/>
    <n v="19801002"/>
    <n v="16"/>
    <s v="N"/>
    <s v="N"/>
    <s v="N"/>
    <s v="N"/>
    <x v="1"/>
    <s v="Outside"/>
    <s v="Outside"/>
    <x v="0"/>
    <n v="1980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4"/>
    <s v="Acre-feet per Year"/>
    <s v="L_16"/>
    <n v="0"/>
    <n v="38.643599999999999"/>
    <n v="-122.9511"/>
    <s v="CRANE CREEK"/>
  </r>
  <r>
    <s v="A026470"/>
    <n v="19800725"/>
    <n v="2"/>
    <s v="N"/>
    <s v="N"/>
    <s v="Y"/>
    <s v="N"/>
    <x v="0"/>
    <s v="Outside"/>
    <s v="Outside"/>
    <x v="0"/>
    <n v="1980"/>
    <x v="1"/>
    <x v="0"/>
    <s v="Y"/>
    <s v="N"/>
    <s v="N"/>
    <s v="Y"/>
    <s v="N"/>
    <x v="1"/>
    <s v="Y"/>
    <x v="0"/>
    <s v="Y"/>
    <n v="0"/>
    <n v="0"/>
    <n v="0"/>
    <n v="0"/>
    <n v="0"/>
    <n v="0"/>
    <n v="0"/>
    <n v="0"/>
    <n v="0"/>
    <n v="0"/>
    <n v="0"/>
    <n v="0"/>
    <n v="0"/>
    <n v="0"/>
    <n v="0"/>
    <n v="0"/>
    <m/>
    <m/>
    <n v="50000"/>
    <s v="Acre-feet per Year"/>
    <s v="U_2"/>
    <n v="0"/>
    <n v="39.359981429999998"/>
    <n v="-123.12865413999999"/>
    <s v="POWERHOUSE CANAL"/>
  </r>
  <r>
    <s v="A025998"/>
    <n v="19790521"/>
    <n v="15"/>
    <s v="N"/>
    <s v="N"/>
    <s v="N"/>
    <s v="N"/>
    <x v="1"/>
    <s v="Outside"/>
    <s v="Outside"/>
    <x v="0"/>
    <n v="1979"/>
    <x v="1"/>
    <x v="0"/>
    <s v="N"/>
    <s v="N"/>
    <s v="N"/>
    <s v="Y"/>
    <s v="N"/>
    <x v="1"/>
    <s v="N"/>
    <x v="1"/>
    <s v="N"/>
    <n v="0"/>
    <n v="0"/>
    <n v="0.323333333"/>
    <n v="0.57666666700000002"/>
    <n v="0.26666666700000002"/>
    <n v="0.64333333299999995"/>
    <n v="1.3733333329999999"/>
    <n v="1.5633333330000001"/>
    <n v="1.0633333330000001"/>
    <n v="0.49666666700000001"/>
    <n v="0"/>
    <n v="0"/>
    <n v="6.3066666660000008"/>
    <n v="4.9099999990000001"/>
    <n v="1.6285910695124063E-2"/>
    <n v="0.33192982452631581"/>
    <m/>
    <m/>
    <n v="19"/>
    <s v="Acre-feet per Year"/>
    <s v="L_15"/>
    <n v="0"/>
    <n v="38.674774960000001"/>
    <n v="-122.95561587"/>
    <s v="UNST"/>
  </r>
  <r>
    <s v="A025939"/>
    <n v="19790313"/>
    <n v="17"/>
    <s v="N"/>
    <s v="N"/>
    <s v="N"/>
    <s v="N"/>
    <x v="1"/>
    <s v="Outside"/>
    <s v="Outside"/>
    <x v="0"/>
    <n v="1979"/>
    <x v="1"/>
    <x v="1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9.4"/>
    <s v="Acre-feet per Year"/>
    <s v="L_17"/>
    <n v="3.4039024194010059E-4"/>
    <n v="38.5822"/>
    <n v="-122.83880000000001"/>
    <s v="UNST"/>
  </r>
  <r>
    <s v="A025940"/>
    <n v="19790314"/>
    <n v="23"/>
    <s v="N"/>
    <s v="N"/>
    <s v="N"/>
    <s v="N"/>
    <x v="1"/>
    <s v="Outside"/>
    <s v="Outside"/>
    <x v="0"/>
    <n v="1979"/>
    <x v="1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.2"/>
    <s v="Acre-feet per Year"/>
    <s v="L_24"/>
    <n v="0"/>
    <n v="38.560787449999999"/>
    <n v="-122.62983391"/>
    <s v="Unnamed Stream"/>
  </r>
  <r>
    <s v="A025964"/>
    <n v="19790404"/>
    <n v="14"/>
    <s v="N"/>
    <s v="N"/>
    <s v="N"/>
    <s v="N"/>
    <x v="1"/>
    <s v="Outside"/>
    <s v="Outside"/>
    <x v="0"/>
    <n v="1979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25"/>
    <s v="Acre-feet per Year"/>
    <s v="L_14"/>
    <n v="0"/>
    <n v="38.694200000000002"/>
    <n v="-122.9914"/>
    <s v="FALL CREEK"/>
  </r>
  <r>
    <s v="A026022A"/>
    <n v="19790612"/>
    <n v="1"/>
    <s v="N"/>
    <s v="N"/>
    <s v="Y"/>
    <s v="Y"/>
    <x v="0"/>
    <s v="West Fork and Below Lake"/>
    <s v="Outside"/>
    <x v="0"/>
    <n v="1979"/>
    <x v="1"/>
    <x v="0"/>
    <s v="Y"/>
    <s v="N"/>
    <s v="N"/>
    <s v="Y"/>
    <s v="N"/>
    <x v="1"/>
    <s v="N"/>
    <x v="0"/>
    <s v="N"/>
    <n v="20.16"/>
    <n v="0"/>
    <n v="0"/>
    <n v="0"/>
    <n v="0"/>
    <n v="0"/>
    <n v="0"/>
    <n v="0"/>
    <n v="0"/>
    <n v="0"/>
    <n v="0"/>
    <n v="0"/>
    <n v="20.16"/>
    <n v="0"/>
    <n v="0"/>
    <n v="0.40740740747474752"/>
    <m/>
    <m/>
    <n v="49.5"/>
    <s v="Acre-feet per Year"/>
    <s v="U_1"/>
    <n v="0"/>
    <n v="39.282332259999997"/>
    <n v="-123.2319971"/>
    <s v="UNST"/>
  </r>
  <r>
    <s v="A026022B"/>
    <n v="19790612"/>
    <n v="1"/>
    <s v="N"/>
    <s v="N"/>
    <s v="Y"/>
    <s v="Y"/>
    <x v="0"/>
    <s v="West Fork and Below Lake"/>
    <s v="Outside"/>
    <x v="0"/>
    <n v="1979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00"/>
    <s v="Acre-feet per Year"/>
    <s v="U_1"/>
    <n v="0"/>
    <n v="39.282332259999997"/>
    <n v="-123.2319971"/>
    <s v="UNST"/>
  </r>
  <r>
    <s v="A026055A"/>
    <n v="19790726"/>
    <n v="1"/>
    <s v="N"/>
    <s v="N"/>
    <s v="Y"/>
    <s v="Y"/>
    <x v="0"/>
    <s v="West Fork and Below Lake"/>
    <s v="Outside"/>
    <x v="0"/>
    <n v="1979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8"/>
    <s v="Acre-feet per Year"/>
    <s v="U_1"/>
    <n v="0"/>
    <n v="39.31656375"/>
    <n v="-123.22764557000001"/>
    <s v="UNST"/>
  </r>
  <r>
    <s v="A026055B"/>
    <n v="19790726"/>
    <n v="1"/>
    <s v="N"/>
    <s v="N"/>
    <s v="Y"/>
    <s v="Y"/>
    <x v="0"/>
    <s v="West Fork and Below Lake"/>
    <s v="Outside"/>
    <x v="0"/>
    <n v="1979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3"/>
    <s v="Acre-feet per Year"/>
    <s v="U_1"/>
    <n v="0"/>
    <n v="39.31656375"/>
    <n v="-123.22764557000001"/>
    <s v="UNST"/>
  </r>
  <r>
    <s v="A026079"/>
    <n v="19790830"/>
    <n v="1"/>
    <s v="N"/>
    <s v="N"/>
    <s v="Y"/>
    <s v="Y"/>
    <x v="0"/>
    <s v="West Fork and Below Lake"/>
    <s v="Outside"/>
    <x v="0"/>
    <n v="1979"/>
    <x v="1"/>
    <x v="0"/>
    <s v="Y"/>
    <s v="N"/>
    <s v="N"/>
    <s v="Y"/>
    <s v="N"/>
    <x v="1"/>
    <s v="N"/>
    <x v="0"/>
    <s v="N"/>
    <n v="0.51"/>
    <n v="0.51"/>
    <n v="0"/>
    <n v="0"/>
    <n v="0"/>
    <n v="0"/>
    <n v="0"/>
    <n v="0"/>
    <n v="0"/>
    <n v="0"/>
    <n v="0"/>
    <n v="0.17"/>
    <n v="1.19"/>
    <n v="0"/>
    <n v="0"/>
    <n v="0.27045454545454545"/>
    <m/>
    <m/>
    <n v="4.4000000000000004"/>
    <s v="Acre-feet per Year"/>
    <s v="U_1"/>
    <n v="0"/>
    <n v="39.246285069999999"/>
    <n v="-123.21300506"/>
    <s v="UNST"/>
  </r>
  <r>
    <s v="A026110"/>
    <n v="19791010"/>
    <n v="1"/>
    <s v="N"/>
    <s v="N"/>
    <s v="Y"/>
    <s v="Y"/>
    <x v="0"/>
    <s v="West Fork and Below Lake"/>
    <s v="Outside"/>
    <x v="0"/>
    <n v="1979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6.2"/>
    <s v="Acre-feet per Year"/>
    <s v="U_1"/>
    <n v="0"/>
    <n v="39.243654370000002"/>
    <n v="-123.20183627999999"/>
    <s v="WEST FORK RUSSIAN RIVER"/>
  </r>
  <r>
    <s v="A026111"/>
    <n v="19791010"/>
    <n v="4"/>
    <s v="Y"/>
    <s v="N"/>
    <s v="Y"/>
    <s v="Y"/>
    <x v="0"/>
    <s v="West Fork and Below Lake"/>
    <s v="Mendocino (d/s of lake)"/>
    <x v="0"/>
    <n v="1979"/>
    <x v="1"/>
    <x v="0"/>
    <s v="Y"/>
    <s v="N"/>
    <s v="N"/>
    <s v="Y"/>
    <s v="N"/>
    <x v="1"/>
    <s v="N"/>
    <x v="0"/>
    <s v="N"/>
    <n v="1.66"/>
    <n v="3.66"/>
    <n v="1.33"/>
    <n v="0"/>
    <n v="0"/>
    <n v="0"/>
    <n v="0"/>
    <n v="0"/>
    <n v="0"/>
    <n v="0"/>
    <n v="0"/>
    <n v="0"/>
    <n v="6.65"/>
    <n v="0"/>
    <n v="0"/>
    <n v="0.95238095242857135"/>
    <m/>
    <m/>
    <n v="7"/>
    <s v="Acre-feet per Year"/>
    <s v="U_4"/>
    <n v="0"/>
    <n v="39.201201159999997"/>
    <n v="-123.22712568"/>
    <s v="UNST"/>
  </r>
  <r>
    <s v="A026113"/>
    <n v="19791012"/>
    <n v="21"/>
    <s v="N"/>
    <s v="N"/>
    <s v="N"/>
    <s v="N"/>
    <x v="1"/>
    <s v="Outside"/>
    <s v="Outside"/>
    <x v="0"/>
    <n v="1979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.7"/>
    <s v="Acre-feet per Year"/>
    <s v="L_21"/>
    <n v="3.4039024194010059E-4"/>
    <n v="38.486019929999998"/>
    <n v="-123.06174992"/>
    <s v="AUSTIN CREEK UNDERFLOW"/>
  </r>
  <r>
    <s v="A026143"/>
    <n v="19791203"/>
    <n v="1"/>
    <s v="N"/>
    <s v="N"/>
    <s v="Y"/>
    <s v="Y"/>
    <x v="0"/>
    <s v="West Fork and Below Lake"/>
    <s v="Outside"/>
    <x v="0"/>
    <n v="1979"/>
    <x v="1"/>
    <x v="0"/>
    <s v="Y"/>
    <s v="N"/>
    <s v="N"/>
    <s v="Y"/>
    <s v="N"/>
    <x v="1"/>
    <s v="N"/>
    <x v="0"/>
    <s v="N"/>
    <n v="2.73"/>
    <n v="0.33"/>
    <n v="0.53"/>
    <n v="0"/>
    <n v="0"/>
    <n v="0"/>
    <n v="0"/>
    <n v="0"/>
    <n v="0"/>
    <n v="0"/>
    <n v="0"/>
    <n v="0"/>
    <n v="3.59"/>
    <n v="0"/>
    <n v="0"/>
    <n v="0.9999999997222222"/>
    <m/>
    <m/>
    <n v="3.6"/>
    <s v="Acre-feet per Year"/>
    <s v="U_1"/>
    <n v="0"/>
    <n v="39.293448689999998"/>
    <n v="-123.19261234"/>
    <s v="UNST"/>
  </r>
  <r>
    <s v="A026016"/>
    <n v="19790606"/>
    <n v="2"/>
    <s v="N"/>
    <s v="N"/>
    <s v="Y"/>
    <s v="N"/>
    <x v="0"/>
    <s v="Outside"/>
    <s v="Outside"/>
    <x v="0"/>
    <n v="1979"/>
    <x v="1"/>
    <x v="0"/>
    <s v="Y"/>
    <s v="N"/>
    <s v="N"/>
    <s v="Y"/>
    <s v="N"/>
    <x v="1"/>
    <s v="N"/>
    <x v="1"/>
    <s v="N"/>
    <n v="0"/>
    <n v="0"/>
    <n v="0"/>
    <n v="0"/>
    <n v="0"/>
    <n v="0"/>
    <n v="0"/>
    <n v="0"/>
    <n v="5.1146669999999998E-3"/>
    <n v="5.1146669999999998E-3"/>
    <n v="0"/>
    <n v="0"/>
    <n v="1.0229334E-2"/>
    <n v="5.1146669999999998E-3"/>
    <n v="1.6964767823678792E-5"/>
    <n v="2.6919299999999999E-3"/>
    <m/>
    <m/>
    <n v="3.8"/>
    <s v="Acre-feet per Year"/>
    <s v="U_2"/>
    <n v="0"/>
    <n v="39.272913690000003"/>
    <n v="-123.10253365"/>
    <s v="EAST FORK RUSSIAN RIVER"/>
  </r>
  <r>
    <s v="A025674"/>
    <n v="19780209"/>
    <n v="21"/>
    <s v="N"/>
    <s v="N"/>
    <s v="N"/>
    <s v="N"/>
    <x v="1"/>
    <s v="Outside"/>
    <s v="Outside"/>
    <x v="0"/>
    <n v="1978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1.3"/>
    <s v="Acre-feet per Year"/>
    <s v="L_21"/>
    <n v="3.4039024194010059E-4"/>
    <n v="38.501328340000001"/>
    <n v="-123.06931582"/>
    <s v="AUSTIN CREEK UNDERFLOW"/>
  </r>
  <r>
    <s v="A025682"/>
    <n v="19780223"/>
    <n v="9"/>
    <s v="N"/>
    <s v="Y"/>
    <s v="Y"/>
    <s v="Y"/>
    <x v="0"/>
    <s v="West Fork and Below Lake"/>
    <s v="Sonoma (d/s of Clov. Gage)"/>
    <x v="0"/>
    <n v="1978"/>
    <x v="1"/>
    <x v="1"/>
    <s v="Y"/>
    <s v="N"/>
    <s v="N"/>
    <s v="Y"/>
    <s v="N"/>
    <x v="1"/>
    <s v="N"/>
    <x v="1"/>
    <s v="N"/>
    <n v="2.02"/>
    <n v="2.02"/>
    <n v="2.02"/>
    <n v="2.02"/>
    <n v="2.02"/>
    <n v="2.02"/>
    <n v="2.02"/>
    <n v="2.02"/>
    <n v="2.02"/>
    <n v="2.02"/>
    <n v="2.02"/>
    <n v="2.02"/>
    <n v="24.24"/>
    <n v="10.125"/>
    <n v="3.3583471654117035E-2"/>
    <n v="0.99999999999999967"/>
    <m/>
    <m/>
    <n v="24.3"/>
    <s v="Acre-feet per Year"/>
    <s v="U_9"/>
    <n v="3.4039024194010059E-4"/>
    <n v="38.790790659999999"/>
    <n v="-123.0048922"/>
    <s v="RUSSIAN RIVER UNDERFLOW"/>
  </r>
  <r>
    <s v="A025691"/>
    <n v="19780307"/>
    <n v="3"/>
    <s v="N"/>
    <s v="N"/>
    <s v="Y"/>
    <s v="N"/>
    <x v="0"/>
    <s v="Outside"/>
    <s v="Outside"/>
    <x v="0"/>
    <n v="1978"/>
    <x v="1"/>
    <x v="1"/>
    <s v="Y"/>
    <s v="N"/>
    <s v="N"/>
    <s v="Y"/>
    <s v="N"/>
    <x v="1"/>
    <s v="Y"/>
    <x v="0"/>
    <s v="Y"/>
    <n v="0"/>
    <n v="0"/>
    <n v="0"/>
    <n v="0"/>
    <n v="0"/>
    <n v="0"/>
    <n v="0"/>
    <n v="0"/>
    <n v="0"/>
    <n v="0"/>
    <n v="0"/>
    <n v="0"/>
    <n v="0"/>
    <n v="0"/>
    <n v="0"/>
    <n v="0"/>
    <m/>
    <m/>
    <n v="289591"/>
    <s v="Acre-feet per Year"/>
    <s v="U_3"/>
    <n v="0"/>
    <n v="39.197992820000003"/>
    <n v="-123.18271"/>
    <s v="EAST FORK RUSSIAN RIVER"/>
  </r>
  <r>
    <s v="A025694"/>
    <n v="19780313"/>
    <n v="9"/>
    <s v="N"/>
    <s v="Y"/>
    <s v="Y"/>
    <s v="Y"/>
    <x v="0"/>
    <s v="West Fork and Below Lake"/>
    <s v="Sonoma (d/s of Clov. Gage)"/>
    <x v="0"/>
    <n v="1978"/>
    <x v="1"/>
    <x v="1"/>
    <s v="Y"/>
    <s v="N"/>
    <s v="N"/>
    <s v="Y"/>
    <s v="N"/>
    <x v="1"/>
    <s v="N"/>
    <x v="0"/>
    <s v="N"/>
    <n v="0.53"/>
    <n v="0.33"/>
    <n v="1.2"/>
    <n v="0"/>
    <n v="0"/>
    <n v="0"/>
    <n v="0"/>
    <n v="0"/>
    <n v="0"/>
    <n v="3.333333E-3"/>
    <n v="1.6"/>
    <n v="5"/>
    <n v="8.6633333330000006"/>
    <n v="0"/>
    <n v="0"/>
    <n v="0.51019607835294112"/>
    <m/>
    <m/>
    <n v="17"/>
    <s v="Acre-feet per Year"/>
    <s v="U_9"/>
    <n v="0"/>
    <n v="38.773723400000002"/>
    <n v="-122.97764049"/>
    <s v="UNST"/>
  </r>
  <r>
    <s v="A025740"/>
    <n v="19780516"/>
    <n v="1"/>
    <s v="N"/>
    <s v="N"/>
    <s v="Y"/>
    <s v="Y"/>
    <x v="0"/>
    <s v="West Fork and Below Lake"/>
    <s v="Outside"/>
    <x v="0"/>
    <n v="1978"/>
    <x v="1"/>
    <x v="0"/>
    <s v="Y"/>
    <s v="N"/>
    <s v="N"/>
    <s v="Y"/>
    <s v="N"/>
    <x v="1"/>
    <s v="N"/>
    <x v="0"/>
    <s v="N"/>
    <n v="8.6"/>
    <n v="0"/>
    <n v="0"/>
    <n v="0"/>
    <n v="0"/>
    <n v="0"/>
    <n v="0"/>
    <n v="0"/>
    <n v="0"/>
    <n v="0"/>
    <n v="0"/>
    <n v="0"/>
    <n v="8.6"/>
    <n v="0"/>
    <n v="0"/>
    <n v="1"/>
    <m/>
    <m/>
    <n v="8.6"/>
    <s v="Acre-feet per Year"/>
    <s v="U_1"/>
    <n v="0"/>
    <n v="39.270255980000002"/>
    <n v="-123.17809018"/>
    <s v="UNST"/>
  </r>
  <r>
    <s v="A025749A"/>
    <n v="19780526"/>
    <n v="6"/>
    <s v="Y"/>
    <s v="N"/>
    <s v="Y"/>
    <s v="Y"/>
    <x v="0"/>
    <s v="West Fork and Below Lake"/>
    <s v="Mendocino (d/s of lake)"/>
    <x v="0"/>
    <n v="1978"/>
    <x v="1"/>
    <x v="0"/>
    <s v="Y"/>
    <s v="N"/>
    <s v="N"/>
    <s v="Y"/>
    <s v="N"/>
    <x v="1"/>
    <s v="N"/>
    <x v="0"/>
    <s v="N"/>
    <n v="0.33"/>
    <n v="2"/>
    <n v="0"/>
    <n v="0"/>
    <n v="0"/>
    <n v="0"/>
    <n v="0"/>
    <n v="0"/>
    <n v="0"/>
    <n v="0"/>
    <n v="0.86"/>
    <n v="0.26"/>
    <n v="3.45"/>
    <n v="0"/>
    <n v="0"/>
    <n v="0.20634920636904761"/>
    <m/>
    <m/>
    <n v="16.8"/>
    <s v="Acre-feet per Year"/>
    <s v="U_6"/>
    <n v="0"/>
    <n v="38.979863330000001"/>
    <n v="-123.15163484999999"/>
    <s v="UNST"/>
  </r>
  <r>
    <s v="A025749B"/>
    <n v="19780526"/>
    <n v="6"/>
    <s v="Y"/>
    <s v="N"/>
    <s v="Y"/>
    <s v="Y"/>
    <x v="0"/>
    <s v="West Fork and Below Lake"/>
    <s v="Mendocino (d/s of lake)"/>
    <x v="0"/>
    <n v="1978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6"/>
    <s v="Acre-feet per Year"/>
    <s v="U_6"/>
    <n v="0"/>
    <n v="38.979863330000001"/>
    <n v="-123.15163484999999"/>
    <s v="UNST"/>
  </r>
  <r>
    <s v="A025762"/>
    <n v="19780615"/>
    <n v="9"/>
    <s v="N"/>
    <s v="Y"/>
    <s v="Y"/>
    <s v="Y"/>
    <x v="0"/>
    <s v="West Fork and Below Lake"/>
    <s v="Sonoma (d/s of Clov. Gage)"/>
    <x v="0"/>
    <n v="1978"/>
    <x v="1"/>
    <x v="0"/>
    <s v="Y"/>
    <s v="N"/>
    <s v="N"/>
    <s v="Y"/>
    <s v="N"/>
    <x v="1"/>
    <s v="N"/>
    <x v="0"/>
    <s v="N"/>
    <n v="1.33"/>
    <n v="1"/>
    <n v="0"/>
    <n v="0"/>
    <n v="0"/>
    <n v="0"/>
    <n v="0"/>
    <n v="0"/>
    <n v="0"/>
    <n v="0"/>
    <n v="5.33"/>
    <n v="3.16"/>
    <n v="10.82"/>
    <n v="0"/>
    <n v="0"/>
    <n v="0.67708333333333315"/>
    <m/>
    <m/>
    <n v="16"/>
    <s v="Acre-feet per Year"/>
    <s v="U_9"/>
    <n v="0"/>
    <n v="38.735450219999997"/>
    <n v="-122.95713109"/>
    <s v="UNST"/>
  </r>
  <r>
    <s v="A025773"/>
    <n v="19780627"/>
    <n v="23"/>
    <s v="N"/>
    <s v="N"/>
    <s v="N"/>
    <s v="N"/>
    <x v="1"/>
    <s v="Outside"/>
    <s v="Outside"/>
    <x v="0"/>
    <n v="1978"/>
    <x v="1"/>
    <x v="0"/>
    <s v="N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3.333333E-3"/>
    <n v="0.46333333300000001"/>
    <n v="0.46666666600000001"/>
    <n v="0"/>
    <n v="0"/>
    <n v="8.484848472727273E-2"/>
    <m/>
    <m/>
    <n v="5.5"/>
    <s v="Acre-feet per Year"/>
    <s v="L_24"/>
    <n v="0"/>
    <n v="38.524043390000003"/>
    <n v="-122.57747565"/>
    <s v="UNST"/>
  </r>
  <r>
    <s v="A025822A"/>
    <n v="19780912"/>
    <n v="6"/>
    <s v="Y"/>
    <s v="N"/>
    <s v="Y"/>
    <s v="Y"/>
    <x v="0"/>
    <s v="West Fork and Below Lake"/>
    <s v="Mendocino (d/s of lake)"/>
    <x v="0"/>
    <n v="1978"/>
    <x v="1"/>
    <x v="1"/>
    <s v="Y"/>
    <s v="N"/>
    <s v="N"/>
    <s v="Y"/>
    <s v="N"/>
    <x v="1"/>
    <s v="N"/>
    <x v="1"/>
    <s v="N"/>
    <n v="0"/>
    <n v="0"/>
    <n v="0"/>
    <n v="0"/>
    <n v="1.25"/>
    <n v="13"/>
    <n v="10.76"/>
    <n v="0"/>
    <n v="0"/>
    <n v="0"/>
    <n v="0"/>
    <n v="0"/>
    <n v="25.009999999999998"/>
    <n v="25.019999999999968"/>
    <n v="8.298848995417353E-2"/>
    <n v="0.65326370757180074"/>
    <m/>
    <m/>
    <n v="38.299999999999997"/>
    <s v="Acre-feet per Year"/>
    <s v="U_6"/>
    <n v="0"/>
    <n v="39.023601829999997"/>
    <n v="-123.12963851000001"/>
    <s v="RUSSIAN RIVER"/>
  </r>
  <r>
    <s v="A025822B"/>
    <n v="19780912"/>
    <n v="6"/>
    <s v="Y"/>
    <s v="N"/>
    <s v="Y"/>
    <s v="Y"/>
    <x v="0"/>
    <s v="West Fork and Below Lake"/>
    <s v="Mendocino (d/s of lake)"/>
    <x v="0"/>
    <n v="1978"/>
    <x v="1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96"/>
    <s v="Acre-feet per Year"/>
    <s v="U_6"/>
    <n v="0"/>
    <n v="39.023601829999997"/>
    <n v="-123.12963851000001"/>
    <s v="RUSSIAN RIVER"/>
  </r>
  <r>
    <s v="A025823A01"/>
    <n v="19780914"/>
    <n v="1"/>
    <s v="N"/>
    <s v="N"/>
    <s v="Y"/>
    <s v="Y"/>
    <x v="0"/>
    <s v="West Fork and Below Lake"/>
    <s v="Outside"/>
    <x v="0"/>
    <n v="1978"/>
    <x v="1"/>
    <x v="0"/>
    <s v="Y"/>
    <s v="N"/>
    <s v="N"/>
    <s v="Y"/>
    <s v="N"/>
    <x v="1"/>
    <s v="N"/>
    <x v="0"/>
    <s v="N"/>
    <n v="0.66"/>
    <n v="1"/>
    <n v="0"/>
    <n v="0"/>
    <n v="0"/>
    <n v="0"/>
    <n v="0"/>
    <n v="0"/>
    <n v="0"/>
    <n v="0"/>
    <n v="0"/>
    <n v="0.66"/>
    <n v="2.3200000000000003"/>
    <n v="0"/>
    <n v="0"/>
    <n v="0.12027491412371134"/>
    <m/>
    <m/>
    <n v="19.399999999999999"/>
    <s v="Acre-feet per Year"/>
    <s v="U_1"/>
    <n v="0"/>
    <n v="39.259599999999999"/>
    <n v="-123.23990000000001"/>
    <s v="UNNAMED STREAM"/>
  </r>
  <r>
    <s v="A025823A02"/>
    <n v="19780914"/>
    <n v="1"/>
    <s v="N"/>
    <s v="N"/>
    <s v="Y"/>
    <s v="Y"/>
    <x v="0"/>
    <s v="West Fork and Below Lake"/>
    <s v="Outside"/>
    <x v="0"/>
    <n v="1978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8.1"/>
    <s v="Acre-feet per Year"/>
    <s v="U_1"/>
    <n v="0"/>
    <n v="39.261600000000001"/>
    <n v="-123.2435"/>
    <s v="UNNAMED STREAM"/>
  </r>
  <r>
    <s v="A025823A03"/>
    <n v="19780914"/>
    <n v="1"/>
    <s v="N"/>
    <s v="N"/>
    <s v="Y"/>
    <s v="Y"/>
    <x v="0"/>
    <s v="West Fork and Below Lake"/>
    <s v="Outside"/>
    <x v="0"/>
    <n v="1978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9"/>
    <s v="Acre-feet per Year"/>
    <s v="U_1"/>
    <n v="0"/>
    <n v="39.255000000000003"/>
    <n v="-123.23990000000001"/>
    <s v="UNNAMED STREAM"/>
  </r>
  <r>
    <s v="A025823B"/>
    <n v="19780914"/>
    <n v="1"/>
    <s v="N"/>
    <s v="N"/>
    <s v="Y"/>
    <s v="Y"/>
    <x v="0"/>
    <s v="West Fork and Below Lake"/>
    <s v="Outside"/>
    <x v="0"/>
    <n v="1978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95.6"/>
    <s v="Acre-feet per Year"/>
    <s v="U_1"/>
    <n v="0"/>
    <n v="39.254794769999997"/>
    <n v="-123.23946366"/>
    <s v="UNST"/>
  </r>
  <r>
    <s v="A025830"/>
    <n v="19780921"/>
    <n v="21"/>
    <s v="N"/>
    <s v="N"/>
    <s v="N"/>
    <s v="N"/>
    <x v="1"/>
    <s v="Outside"/>
    <s v="Outside"/>
    <x v="0"/>
    <n v="1978"/>
    <x v="1"/>
    <x v="0"/>
    <s v="N"/>
    <s v="N"/>
    <s v="N"/>
    <s v="Y"/>
    <s v="N"/>
    <x v="1"/>
    <s v="N"/>
    <x v="1"/>
    <s v="N"/>
    <n v="0.15230299999999999"/>
    <n v="0.25297866699999999"/>
    <n v="0.28901633300000001"/>
    <n v="0.20341000000000001"/>
    <n v="0.22227566700000001"/>
    <n v="0.21961866699999999"/>
    <n v="0.225478333"/>
    <n v="0.23662566700000001"/>
    <n v="0.20541100000000001"/>
    <n v="0.158354667"/>
    <n v="0.19546966700000001"/>
    <n v="0.20131499999999999"/>
    <n v="2.5622566680000007"/>
    <n v="1.1094093333333341"/>
    <n v="3.6797843850679408E-3"/>
    <n v="1.1140246376811602"/>
    <m/>
    <m/>
    <n v="2.2999999999999998"/>
    <s v="Acre-feet per Year"/>
    <s v="L_21"/>
    <n v="3.4039024194010059E-4"/>
    <n v="38.491744150000002"/>
    <n v="-123.06637723"/>
    <s v="AUSTIN CREEK UNDERFLOW"/>
  </r>
  <r>
    <s v="A025831"/>
    <n v="19780921"/>
    <n v="21"/>
    <s v="N"/>
    <s v="N"/>
    <s v="N"/>
    <s v="N"/>
    <x v="1"/>
    <s v="Outside"/>
    <s v="Outside"/>
    <x v="0"/>
    <n v="1978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"/>
    <s v="Acre-feet per Year"/>
    <s v="L_21"/>
    <n v="0"/>
    <n v="38.551211700000003"/>
    <n v="-123.01900654000001"/>
    <s v="UNST"/>
  </r>
  <r>
    <s v="A025850"/>
    <n v="19781012"/>
    <n v="5"/>
    <s v="Y"/>
    <s v="N"/>
    <s v="Y"/>
    <s v="Y"/>
    <x v="0"/>
    <s v="West Fork and Below Lake"/>
    <s v="Mendocino (d/s of lake)"/>
    <x v="0"/>
    <n v="1978"/>
    <x v="1"/>
    <x v="1"/>
    <s v="Y"/>
    <s v="N"/>
    <s v="N"/>
    <s v="Y"/>
    <s v="N"/>
    <x v="1"/>
    <s v="N"/>
    <x v="1"/>
    <s v="N"/>
    <n v="0"/>
    <n v="0"/>
    <n v="0"/>
    <n v="0"/>
    <n v="6.33"/>
    <n v="7"/>
    <n v="8"/>
    <n v="8.66"/>
    <n v="9.66"/>
    <n v="1.66"/>
    <n v="0"/>
    <n v="0"/>
    <n v="41.309999999999995"/>
    <n v="39.666666666666671"/>
    <n v="0.13156981487538855"/>
    <n v="0.91851851851851873"/>
    <m/>
    <m/>
    <n v="45"/>
    <s v="Acre-feet per Year"/>
    <s v="U_5"/>
    <n v="0"/>
    <n v="39.044600000000003"/>
    <n v="-123.1442"/>
    <m/>
  </r>
  <r>
    <s v="A025869"/>
    <n v="19781115"/>
    <n v="23"/>
    <s v="N"/>
    <s v="N"/>
    <s v="N"/>
    <s v="N"/>
    <x v="1"/>
    <s v="Outside"/>
    <s v="Outside"/>
    <x v="0"/>
    <n v="1978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"/>
    <s v="Acre-feet per Year"/>
    <s v="L_24"/>
    <n v="0"/>
    <n v="38.490082559999998"/>
    <n v="-122.79452001999999"/>
    <s v="UNST"/>
  </r>
  <r>
    <s v="A025887A"/>
    <n v="19781219"/>
    <n v="6"/>
    <s v="Y"/>
    <s v="N"/>
    <s v="Y"/>
    <s v="Y"/>
    <x v="0"/>
    <s v="West Fork and Below Lake"/>
    <s v="Mendocino (d/s of lake)"/>
    <x v="0"/>
    <n v="1978"/>
    <x v="1"/>
    <x v="0"/>
    <s v="Y"/>
    <s v="N"/>
    <s v="N"/>
    <s v="Y"/>
    <s v="N"/>
    <x v="1"/>
    <s v="N"/>
    <x v="0"/>
    <s v="N"/>
    <n v="31.16"/>
    <n v="6.63"/>
    <n v="10.199999999999999"/>
    <n v="3.6"/>
    <n v="0"/>
    <n v="0"/>
    <n v="0"/>
    <n v="0"/>
    <n v="0"/>
    <n v="0"/>
    <n v="0.93"/>
    <n v="4"/>
    <n v="56.519999999999996"/>
    <n v="0"/>
    <n v="0"/>
    <n v="0.4633879781639344"/>
    <m/>
    <m/>
    <n v="122"/>
    <s v="Acre-feet per Year"/>
    <s v="U_6"/>
    <n v="0"/>
    <n v="38.96476801"/>
    <n v="-123.0590373"/>
    <s v="UNST"/>
  </r>
  <r>
    <s v="A025887B"/>
    <n v="19781219"/>
    <n v="6"/>
    <s v="Y"/>
    <s v="N"/>
    <s v="Y"/>
    <s v="Y"/>
    <x v="0"/>
    <s v="West Fork and Below Lake"/>
    <s v="Mendocino (d/s of lake)"/>
    <x v="0"/>
    <n v="1978"/>
    <x v="1"/>
    <x v="0"/>
    <s v="Y"/>
    <s v="N"/>
    <s v="N"/>
    <s v="Y"/>
    <s v="N"/>
    <x v="1"/>
    <s v="N"/>
    <x v="0"/>
    <s v="N"/>
    <n v="0"/>
    <n v="0"/>
    <n v="2.5"/>
    <n v="6.23"/>
    <n v="0"/>
    <n v="0"/>
    <n v="0"/>
    <n v="0"/>
    <n v="0"/>
    <n v="0"/>
    <n v="0"/>
    <n v="0"/>
    <n v="8.73"/>
    <n v="0"/>
    <n v="0"/>
    <n v="0.72777777775000008"/>
    <m/>
    <m/>
    <n v="12"/>
    <s v="Acre-feet per Year"/>
    <s v="U_6"/>
    <n v="0"/>
    <n v="38.96476801"/>
    <n v="-123.0590373"/>
    <s v="UNST"/>
  </r>
  <r>
    <s v="A025888A"/>
    <n v="19781219"/>
    <n v="6"/>
    <s v="Y"/>
    <s v="N"/>
    <s v="Y"/>
    <s v="Y"/>
    <x v="0"/>
    <s v="West Fork and Below Lake"/>
    <s v="Mendocino (d/s of lake)"/>
    <x v="0"/>
    <n v="1978"/>
    <x v="1"/>
    <x v="0"/>
    <s v="Y"/>
    <s v="N"/>
    <s v="N"/>
    <s v="Y"/>
    <s v="N"/>
    <x v="1"/>
    <s v="N"/>
    <x v="0"/>
    <s v="N"/>
    <n v="0"/>
    <n v="0"/>
    <n v="0.66"/>
    <n v="0"/>
    <n v="0"/>
    <n v="0"/>
    <n v="0"/>
    <n v="0"/>
    <n v="0"/>
    <n v="0"/>
    <n v="0"/>
    <n v="0"/>
    <n v="0.66"/>
    <n v="0"/>
    <n v="0"/>
    <n v="1.6064257036144578E-3"/>
    <m/>
    <m/>
    <n v="415"/>
    <s v="Acre-feet per Year"/>
    <s v="U_6"/>
    <n v="0"/>
    <n v="38.947998669999997"/>
    <n v="-123.04494630000001"/>
    <s v="COLEMAN CREEK"/>
  </r>
  <r>
    <s v="A025888B"/>
    <n v="19781219"/>
    <n v="6"/>
    <s v="Y"/>
    <s v="N"/>
    <s v="Y"/>
    <s v="Y"/>
    <x v="0"/>
    <s v="West Fork and Below Lake"/>
    <s v="Mendocino (d/s of lake)"/>
    <x v="0"/>
    <n v="1978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08"/>
    <s v="Acre-feet per Year"/>
    <s v="U_6"/>
    <n v="0"/>
    <n v="38.947993580000002"/>
    <n v="-123.04493361"/>
    <s v="COLEMAN CREEK"/>
  </r>
  <r>
    <s v="C002935"/>
    <n v="19780103"/>
    <n v="9"/>
    <s v="N"/>
    <s v="Y"/>
    <s v="Y"/>
    <s v="Y"/>
    <x v="0"/>
    <s v="West Fork and Below Lake"/>
    <s v="Sonoma (d/s of Clov. Gage)"/>
    <x v="0"/>
    <n v="1978"/>
    <x v="1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s v="Acre-feet per Year"/>
    <s v="U_9"/>
    <n v="0"/>
    <n v="38.847479989999997"/>
    <n v="-123.05309878"/>
    <s v="UNST"/>
  </r>
  <r>
    <s v="C002936"/>
    <n v="19780103"/>
    <n v="9"/>
    <s v="N"/>
    <s v="Y"/>
    <s v="Y"/>
    <s v="Y"/>
    <x v="0"/>
    <s v="West Fork and Below Lake"/>
    <s v="Sonoma (d/s of Clov. Gage)"/>
    <x v="0"/>
    <n v="1978"/>
    <x v="1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s v="Acre-feet per Year"/>
    <s v="U_9"/>
    <n v="0"/>
    <n v="38.845551729999997"/>
    <n v="-123.05377253"/>
    <s v="UNST"/>
  </r>
  <r>
    <s v="A025268"/>
    <n v="19770228"/>
    <n v="5"/>
    <s v="Y"/>
    <s v="N"/>
    <s v="Y"/>
    <s v="Y"/>
    <x v="0"/>
    <s v="West Fork and Below Lake"/>
    <s v="Mendocino (d/s of lake)"/>
    <x v="0"/>
    <n v="1977"/>
    <x v="1"/>
    <x v="1"/>
    <s v="Y"/>
    <s v="N"/>
    <s v="N"/>
    <s v="Y"/>
    <s v="N"/>
    <x v="1"/>
    <s v="N"/>
    <x v="0"/>
    <s v="N"/>
    <n v="0"/>
    <n v="0"/>
    <n v="0.44"/>
    <n v="0"/>
    <n v="0"/>
    <n v="0"/>
    <n v="0"/>
    <n v="0"/>
    <n v="0"/>
    <n v="0"/>
    <n v="0"/>
    <n v="0"/>
    <n v="0.44"/>
    <n v="0"/>
    <n v="0"/>
    <n v="2.3783783783783784E-2"/>
    <m/>
    <m/>
    <n v="18.5"/>
    <s v="Acre-feet per Year"/>
    <s v="U_5"/>
    <n v="0"/>
    <n v="39.102828219999999"/>
    <n v="-123.17853524"/>
    <s v="RUSSIAN RIVER UNDERFLOW"/>
  </r>
  <r>
    <s v="A025282"/>
    <n v="19770307"/>
    <n v="12"/>
    <s v="N"/>
    <s v="Y"/>
    <s v="Y"/>
    <s v="Y"/>
    <x v="0"/>
    <s v="West Fork and Below Lake"/>
    <s v="Sonoma (d/s of Clov. Gage)"/>
    <x v="0"/>
    <n v="1977"/>
    <x v="1"/>
    <x v="0"/>
    <s v="Y"/>
    <s v="N"/>
    <s v="N"/>
    <s v="Y"/>
    <s v="N"/>
    <x v="1"/>
    <s v="N"/>
    <x v="0"/>
    <s v="N"/>
    <n v="4.7300000000000004"/>
    <n v="5.13"/>
    <n v="3.8"/>
    <n v="1.26"/>
    <n v="0"/>
    <n v="0"/>
    <n v="0"/>
    <n v="0"/>
    <n v="0"/>
    <n v="0"/>
    <n v="0.7"/>
    <n v="1"/>
    <n v="16.619999999999997"/>
    <n v="0"/>
    <n v="0"/>
    <n v="0.33945578230612244"/>
    <m/>
    <m/>
    <n v="49"/>
    <s v="Acre-feet per Year"/>
    <s v="U_12"/>
    <n v="0"/>
    <n v="38.665546759999998"/>
    <n v="-122.79542533999999"/>
    <s v="UNST"/>
  </r>
  <r>
    <s v="A025301"/>
    <n v="19770318"/>
    <n v="17"/>
    <s v="N"/>
    <s v="N"/>
    <s v="N"/>
    <s v="N"/>
    <x v="1"/>
    <s v="Outside"/>
    <s v="Outside"/>
    <x v="0"/>
    <n v="1977"/>
    <x v="1"/>
    <x v="1"/>
    <s v="N"/>
    <s v="N"/>
    <s v="N"/>
    <s v="Y"/>
    <s v="N"/>
    <x v="1"/>
    <s v="N"/>
    <x v="0"/>
    <s v="N"/>
    <n v="0.2"/>
    <n v="0"/>
    <n v="0"/>
    <n v="0"/>
    <n v="0"/>
    <n v="0"/>
    <n v="0"/>
    <n v="0"/>
    <n v="0"/>
    <n v="0"/>
    <n v="2.5"/>
    <n v="0"/>
    <n v="2.7"/>
    <n v="0"/>
    <n v="0"/>
    <n v="0.54"/>
    <m/>
    <m/>
    <n v="5"/>
    <s v="Acre-feet per Year"/>
    <s v="L_17"/>
    <n v="0"/>
    <n v="38.534859429999997"/>
    <n v="-122.86878689"/>
    <s v="UNST"/>
  </r>
  <r>
    <s v="A025325"/>
    <n v="19770412"/>
    <n v="18"/>
    <s v="N"/>
    <s v="N"/>
    <s v="N"/>
    <s v="N"/>
    <x v="1"/>
    <s v="Outside"/>
    <s v="Outside"/>
    <x v="0"/>
    <n v="1977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"/>
    <s v="Acre-feet per Year"/>
    <s v="L_18"/>
    <n v="0"/>
    <n v="38.421884370000001"/>
    <n v="-122.91907747"/>
    <s v="UNST"/>
  </r>
  <r>
    <s v="A025334"/>
    <n v="19770421"/>
    <n v="1"/>
    <s v="N"/>
    <s v="N"/>
    <s v="Y"/>
    <s v="Y"/>
    <x v="0"/>
    <s v="West Fork and Below Lake"/>
    <s v="Outside"/>
    <x v="0"/>
    <n v="1977"/>
    <x v="1"/>
    <x v="0"/>
    <s v="Y"/>
    <s v="N"/>
    <s v="N"/>
    <s v="Y"/>
    <s v="N"/>
    <x v="1"/>
    <s v="N"/>
    <x v="0"/>
    <s v="N"/>
    <n v="8"/>
    <n v="0"/>
    <n v="0"/>
    <n v="0"/>
    <n v="0"/>
    <n v="0"/>
    <n v="0"/>
    <n v="0"/>
    <n v="0"/>
    <n v="0"/>
    <n v="0"/>
    <n v="0"/>
    <n v="8"/>
    <n v="0"/>
    <n v="0"/>
    <n v="0.66666666666666663"/>
    <m/>
    <m/>
    <n v="12"/>
    <s v="Acre-feet per Year"/>
    <s v="U_1"/>
    <n v="0"/>
    <n v="39.268169880000002"/>
    <n v="-123.17637744"/>
    <s v="UNST"/>
  </r>
  <r>
    <s v="A025344"/>
    <n v="19770427"/>
    <n v="12"/>
    <s v="N"/>
    <s v="Y"/>
    <s v="Y"/>
    <s v="Y"/>
    <x v="0"/>
    <s v="West Fork and Below Lake"/>
    <s v="Sonoma (d/s of Clov. Gage)"/>
    <x v="0"/>
    <n v="1977"/>
    <x v="1"/>
    <x v="1"/>
    <s v="Y"/>
    <s v="N"/>
    <s v="N"/>
    <s v="Y"/>
    <s v="N"/>
    <x v="1"/>
    <s v="N"/>
    <x v="1"/>
    <s v="N"/>
    <n v="1.06"/>
    <n v="0.03"/>
    <n v="5.5"/>
    <n v="1.5"/>
    <n v="2.36"/>
    <n v="2.6"/>
    <n v="2.5299999999999998"/>
    <n v="5.43"/>
    <n v="7.5"/>
    <n v="2.4300000000000002"/>
    <n v="0.03"/>
    <n v="0.03"/>
    <n v="31"/>
    <n v="20.43333333333333"/>
    <n v="6.7775039091271555E-2"/>
    <n v="0.11004728132387706"/>
    <m/>
    <m/>
    <n v="282"/>
    <s v="Acre-feet per Year"/>
    <s v="U_12"/>
    <n v="3.4039024194010059E-4"/>
    <n v="38.639175399999999"/>
    <n v="-122.7968327"/>
    <s v="RUSSIAN RIVER UNDERFLOW"/>
  </r>
  <r>
    <s v="A025363"/>
    <n v="19770512"/>
    <n v="17"/>
    <s v="N"/>
    <s v="N"/>
    <s v="N"/>
    <s v="N"/>
    <x v="1"/>
    <s v="Outside"/>
    <s v="Outside"/>
    <x v="0"/>
    <n v="1977"/>
    <x v="1"/>
    <x v="1"/>
    <s v="N"/>
    <s v="N"/>
    <s v="N"/>
    <s v="Y"/>
    <s v="N"/>
    <x v="1"/>
    <s v="N"/>
    <x v="1"/>
    <s v="N"/>
    <n v="0"/>
    <n v="0"/>
    <n v="0"/>
    <n v="0"/>
    <n v="2.5599999999999999E-4"/>
    <n v="2.5599999999999999E-4"/>
    <n v="2.5599999999999999E-4"/>
    <n v="2.5599999999999999E-4"/>
    <n v="2.5599999999999999E-4"/>
    <n v="0"/>
    <n v="0"/>
    <n v="0"/>
    <n v="1.2799999999999999E-3"/>
    <n v="1.2799999999999999E-3"/>
    <n v="4.2456141942982514E-6"/>
    <n v="4.2666666666666669E-3"/>
    <m/>
    <m/>
    <n v="0.3"/>
    <s v="Acre-feet per Year"/>
    <s v="L_17"/>
    <n v="0"/>
    <n v="38.536613359999997"/>
    <n v="-122.85447361999999"/>
    <s v="RUSSIAN RIVER"/>
  </r>
  <r>
    <s v="A025367"/>
    <n v="19770517"/>
    <n v="17"/>
    <s v="N"/>
    <s v="N"/>
    <s v="N"/>
    <s v="N"/>
    <x v="1"/>
    <s v="Outside"/>
    <s v="Outside"/>
    <x v="0"/>
    <n v="1977"/>
    <x v="1"/>
    <x v="0"/>
    <s v="N"/>
    <s v="N"/>
    <s v="N"/>
    <s v="Y"/>
    <s v="N"/>
    <x v="1"/>
    <s v="N"/>
    <x v="1"/>
    <s v="N"/>
    <n v="1.51"/>
    <n v="1.673333333"/>
    <n v="1"/>
    <n v="0.49333333299999999"/>
    <n v="0.25"/>
    <n v="0"/>
    <n v="0"/>
    <n v="0"/>
    <n v="0"/>
    <n v="0.03"/>
    <n v="0.35"/>
    <n v="0.41666666699999999"/>
    <n v="5.7233333330000002"/>
    <n v="0.25"/>
    <n v="8.2922152232387718E-4"/>
    <n v="0.26015151513636364"/>
    <m/>
    <m/>
    <n v="22"/>
    <s v="Acre-feet per Year"/>
    <s v="L_17"/>
    <n v="0"/>
    <n v="38.544308010000002"/>
    <n v="-122.89023127999999"/>
    <s v="UNST"/>
  </r>
  <r>
    <s v="A025393A"/>
    <n v="19770613"/>
    <n v="17"/>
    <s v="N"/>
    <s v="N"/>
    <s v="N"/>
    <s v="N"/>
    <x v="1"/>
    <s v="Outside"/>
    <s v="Outside"/>
    <x v="0"/>
    <n v="1977"/>
    <x v="1"/>
    <x v="1"/>
    <s v="N"/>
    <s v="N"/>
    <s v="N"/>
    <s v="Y"/>
    <s v="N"/>
    <x v="1"/>
    <s v="N"/>
    <x v="1"/>
    <s v="N"/>
    <n v="0"/>
    <n v="0"/>
    <n v="0"/>
    <n v="0"/>
    <n v="0.82"/>
    <n v="0.90333333299999996"/>
    <n v="0.43666666700000001"/>
    <n v="0.68"/>
    <n v="0"/>
    <n v="0"/>
    <n v="0"/>
    <n v="0"/>
    <n v="2.84"/>
    <n v="2.84"/>
    <n v="9.419956493599245E-3"/>
    <n v="0.35499999999999998"/>
    <m/>
    <m/>
    <n v="8"/>
    <s v="Acre-feet per Year"/>
    <s v="L_17"/>
    <n v="0"/>
    <n v="38.537700000000001"/>
    <n v="-122.8626"/>
    <s v="RUSSIAN RIVER UNDERFLOW"/>
  </r>
  <r>
    <s v="A025393B"/>
    <n v="19770613"/>
    <n v="17"/>
    <s v="N"/>
    <s v="N"/>
    <s v="N"/>
    <s v="N"/>
    <x v="1"/>
    <s v="Outside"/>
    <s v="Outside"/>
    <x v="0"/>
    <n v="1977"/>
    <x v="1"/>
    <x v="1"/>
    <s v="N"/>
    <s v="N"/>
    <s v="N"/>
    <s v="Y"/>
    <s v="N"/>
    <x v="1"/>
    <s v="N"/>
    <x v="1"/>
    <s v="N"/>
    <n v="7.3333333000000001E-2"/>
    <n v="8.6666667000000003E-2"/>
    <n v="0.556666667"/>
    <n v="0.48333333299999998"/>
    <n v="0.35333333300000003"/>
    <n v="0.676666667"/>
    <n v="0"/>
    <n v="0"/>
    <n v="0"/>
    <n v="0"/>
    <n v="0.55000000000000004"/>
    <n v="3.333333E-3"/>
    <n v="2.7833333330000003"/>
    <n v="1.03"/>
    <n v="3.4163926719743744E-3"/>
    <n v="0.32364341081395354"/>
    <m/>
    <m/>
    <n v="8.6"/>
    <s v="Acre-feet per Year"/>
    <s v="L_17"/>
    <n v="0"/>
    <n v="38.537700000000001"/>
    <n v="-122.8626"/>
    <s v="RUSSIAN RIVER UNDERFLOW"/>
  </r>
  <r>
    <s v="A025394"/>
    <n v="19770615"/>
    <n v="13"/>
    <s v="N"/>
    <s v="Y"/>
    <s v="Y"/>
    <s v="Y"/>
    <x v="0"/>
    <s v="West Fork and Below Lake"/>
    <s v="Sonoma (d/s of Clov. Gage)"/>
    <x v="0"/>
    <n v="1977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896"/>
    <s v="Acre-feet per Year"/>
    <s v="U_13"/>
    <n v="0"/>
    <n v="38.60827081"/>
    <n v="-122.85638188"/>
    <s v="RUSSIAN RIVER"/>
  </r>
  <r>
    <s v="A025405"/>
    <n v="19770624"/>
    <n v="9"/>
    <s v="N"/>
    <s v="Y"/>
    <s v="Y"/>
    <s v="Y"/>
    <x v="0"/>
    <s v="West Fork and Below Lake"/>
    <s v="Sonoma (d/s of Clov. Gage)"/>
    <x v="0"/>
    <n v="1977"/>
    <x v="1"/>
    <x v="0"/>
    <s v="Y"/>
    <s v="N"/>
    <s v="N"/>
    <s v="Y"/>
    <s v="N"/>
    <x v="1"/>
    <s v="N"/>
    <x v="0"/>
    <s v="N"/>
    <n v="0.43"/>
    <n v="0.53"/>
    <n v="0.5"/>
    <n v="0.11"/>
    <n v="0"/>
    <n v="0"/>
    <n v="0"/>
    <n v="0"/>
    <n v="0"/>
    <n v="0"/>
    <n v="0.13"/>
    <n v="0.18"/>
    <n v="1.8800000000000001"/>
    <n v="0"/>
    <n v="0"/>
    <n v="0.9999999821052632"/>
    <m/>
    <m/>
    <n v="1.9"/>
    <s v="Acre-feet per Year"/>
    <s v="U_9"/>
    <n v="0"/>
    <n v="38.778059919999997"/>
    <n v="-122.95138912"/>
    <s v="UNST"/>
  </r>
  <r>
    <s v="A025596"/>
    <n v="19771208"/>
    <n v="6"/>
    <s v="Y"/>
    <s v="N"/>
    <s v="Y"/>
    <s v="Y"/>
    <x v="0"/>
    <s v="West Fork and Below Lake"/>
    <s v="Mendocino (d/s of lake)"/>
    <x v="0"/>
    <n v="1977"/>
    <x v="1"/>
    <x v="1"/>
    <s v="Y"/>
    <s v="N"/>
    <s v="N"/>
    <s v="Y"/>
    <s v="N"/>
    <x v="1"/>
    <s v="N"/>
    <x v="1"/>
    <s v="N"/>
    <n v="0"/>
    <n v="0"/>
    <n v="0"/>
    <n v="15.2"/>
    <n v="19.8"/>
    <n v="85.03"/>
    <n v="117.66"/>
    <n v="25.8"/>
    <n v="0"/>
    <n v="0"/>
    <n v="0"/>
    <n v="0"/>
    <n v="263.49"/>
    <n v="248.3000000000003"/>
    <n v="0.82358281597207583"/>
    <n v="0.44063545150501721"/>
    <m/>
    <m/>
    <n v="598"/>
    <s v="Acre-feet per Year"/>
    <s v="U_6"/>
    <n v="0"/>
    <n v="38.983488280000003"/>
    <n v="-123.10331651"/>
    <s v="RUSSIAN RIVER"/>
  </r>
  <r>
    <s v="A025600"/>
    <n v="19771128"/>
    <n v="1"/>
    <s v="N"/>
    <s v="N"/>
    <s v="Y"/>
    <s v="Y"/>
    <x v="0"/>
    <s v="West Fork and Below Lake"/>
    <s v="Outside"/>
    <x v="0"/>
    <n v="1977"/>
    <x v="1"/>
    <x v="0"/>
    <s v="Y"/>
    <s v="N"/>
    <s v="N"/>
    <s v="Y"/>
    <s v="N"/>
    <x v="1"/>
    <s v="N"/>
    <x v="0"/>
    <s v="N"/>
    <n v="22.66"/>
    <n v="0"/>
    <n v="0"/>
    <n v="0"/>
    <n v="0"/>
    <n v="0"/>
    <n v="0"/>
    <n v="0"/>
    <n v="0"/>
    <n v="0"/>
    <n v="0"/>
    <n v="11.33"/>
    <n v="33.99"/>
    <n v="0"/>
    <n v="0"/>
    <n v="0.97982708933717566"/>
    <m/>
    <m/>
    <n v="34.700000000000003"/>
    <s v="Acre-feet per Year"/>
    <s v="U_1"/>
    <n v="0"/>
    <n v="39.214593469999997"/>
    <n v="-123.22393393"/>
    <s v="UNST"/>
  </r>
  <r>
    <s v="A025623"/>
    <n v="19771230"/>
    <n v="17"/>
    <s v="N"/>
    <s v="N"/>
    <s v="N"/>
    <s v="N"/>
    <x v="1"/>
    <s v="Outside"/>
    <s v="Outside"/>
    <x v="0"/>
    <n v="1977"/>
    <x v="1"/>
    <x v="0"/>
    <s v="N"/>
    <s v="N"/>
    <s v="N"/>
    <s v="Y"/>
    <s v="N"/>
    <x v="1"/>
    <s v="N"/>
    <x v="0"/>
    <s v="N"/>
    <n v="0"/>
    <n v="0"/>
    <n v="0"/>
    <n v="0"/>
    <n v="0"/>
    <n v="0"/>
    <n v="0"/>
    <n v="0"/>
    <n v="0"/>
    <n v="0.66666666699999999"/>
    <n v="2"/>
    <n v="1.3333333329999999"/>
    <n v="4"/>
    <n v="0"/>
    <n v="0"/>
    <n v="0.14285714285714285"/>
    <m/>
    <m/>
    <n v="28"/>
    <s v="Acre-feet per Year"/>
    <s v="L_17"/>
    <n v="0"/>
    <n v="38.585032120000001"/>
    <n v="-122.82321612"/>
    <s v="UNST"/>
  </r>
  <r>
    <s v="C001166"/>
    <n v="19770927"/>
    <n v="23"/>
    <s v="N"/>
    <s v="N"/>
    <s v="N"/>
    <s v="N"/>
    <x v="1"/>
    <s v="Outside"/>
    <s v="Outside"/>
    <x v="0"/>
    <n v="1977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s v="Acre-feet per Year"/>
    <s v="L_28"/>
    <n v="0"/>
    <n v="38.315799650000002"/>
    <n v="-122.78178491"/>
    <s v="UNST"/>
  </r>
  <r>
    <s v="C001216"/>
    <n v="19771128"/>
    <n v="23"/>
    <s v="N"/>
    <s v="N"/>
    <s v="N"/>
    <s v="N"/>
    <x v="1"/>
    <s v="Outside"/>
    <s v="Outside"/>
    <x v="0"/>
    <n v="1977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s v="Acre-feet per Year"/>
    <s v="L_23"/>
    <n v="0"/>
    <n v="38.518777700000001"/>
    <n v="-122.81441309"/>
    <s v="UNST"/>
  </r>
  <r>
    <s v="A025070"/>
    <n v="19760521"/>
    <n v="2"/>
    <s v="N"/>
    <s v="N"/>
    <s v="Y"/>
    <s v="N"/>
    <x v="0"/>
    <s v="Outside"/>
    <s v="Outside"/>
    <x v="0"/>
    <n v="1976"/>
    <x v="1"/>
    <x v="0"/>
    <s v="Y"/>
    <s v="N"/>
    <s v="N"/>
    <s v="Y"/>
    <s v="N"/>
    <x v="1"/>
    <s v="N"/>
    <x v="1"/>
    <s v="N"/>
    <n v="0"/>
    <n v="0"/>
    <n v="0"/>
    <n v="0"/>
    <n v="0"/>
    <n v="1"/>
    <n v="2"/>
    <n v="2.66"/>
    <n v="2"/>
    <n v="0.66"/>
    <n v="0"/>
    <n v="0"/>
    <n v="8.32"/>
    <n v="7.6666666669999994"/>
    <n v="2.5429460019037863E-2"/>
    <n v="0.29761904764285713"/>
    <m/>
    <m/>
    <n v="28"/>
    <s v="Acre-feet per Year"/>
    <s v="U_2"/>
    <n v="0"/>
    <n v="39.329621359999997"/>
    <n v="-123.14478585000001"/>
    <s v="UNST"/>
  </r>
  <r>
    <s v="A024967"/>
    <n v="19760106"/>
    <n v="13"/>
    <s v="N"/>
    <s v="Y"/>
    <s v="Y"/>
    <s v="Y"/>
    <x v="0"/>
    <s v="West Fork and Below Lake"/>
    <s v="Sonoma (d/s of Clov. Gage)"/>
    <x v="0"/>
    <n v="1976"/>
    <x v="1"/>
    <x v="0"/>
    <s v="Y"/>
    <s v="N"/>
    <s v="N"/>
    <s v="Y"/>
    <s v="N"/>
    <x v="1"/>
    <s v="N"/>
    <x v="1"/>
    <s v="N"/>
    <n v="0.2"/>
    <n v="0.13"/>
    <n v="0.1"/>
    <n v="0.36"/>
    <n v="0.66"/>
    <n v="15.73"/>
    <n v="5.33"/>
    <n v="0.63"/>
    <n v="0.73"/>
    <n v="0.6"/>
    <n v="0.36"/>
    <n v="0.13"/>
    <n v="24.959999999999997"/>
    <n v="23.099999996000001"/>
    <n v="7.6620068649458722E-2"/>
    <n v="0.99999999983999999"/>
    <m/>
    <m/>
    <n v="25"/>
    <s v="Acre-feet per Year"/>
    <s v="L_13"/>
    <n v="3.4039024194010059E-4"/>
    <n v="38.587679960000003"/>
    <n v="-122.85578488"/>
    <s v="RUSSIAN RIVER UNDERFLOW"/>
  </r>
  <r>
    <s v="A024968A"/>
    <n v="19760106"/>
    <n v="13"/>
    <s v="N"/>
    <s v="Y"/>
    <s v="Y"/>
    <s v="Y"/>
    <x v="0"/>
    <s v="West Fork and Below Lake"/>
    <s v="Sonoma (d/s of Clov. Gage)"/>
    <x v="0"/>
    <n v="1976"/>
    <x v="1"/>
    <x v="0"/>
    <s v="Y"/>
    <s v="N"/>
    <s v="N"/>
    <s v="Y"/>
    <s v="N"/>
    <x v="1"/>
    <s v="N"/>
    <x v="1"/>
    <s v="N"/>
    <n v="0"/>
    <n v="0"/>
    <n v="0"/>
    <n v="0"/>
    <n v="0"/>
    <n v="10.1"/>
    <n v="9.36"/>
    <n v="0"/>
    <n v="0"/>
    <n v="0"/>
    <n v="0"/>
    <n v="0"/>
    <n v="19.46"/>
    <n v="19.466666666999998"/>
    <n v="6.4568715872724863E-2"/>
    <n v="0.86135693216814146"/>
    <m/>
    <m/>
    <n v="22.6"/>
    <s v="Acre-feet per Year"/>
    <s v="L_13"/>
    <n v="0"/>
    <n v="38.587679960000003"/>
    <n v="-122.85578488"/>
    <s v="RUSSIAN RIVER UNDERFLOW"/>
  </r>
  <r>
    <s v="A024968B"/>
    <n v="19760106"/>
    <n v="13"/>
    <s v="N"/>
    <s v="Y"/>
    <s v="Y"/>
    <s v="Y"/>
    <x v="0"/>
    <s v="West Fork and Below Lake"/>
    <s v="Sonoma (d/s of Clov. Gage)"/>
    <x v="0"/>
    <n v="1976"/>
    <x v="1"/>
    <x v="0"/>
    <s v="Y"/>
    <s v="N"/>
    <s v="N"/>
    <s v="Y"/>
    <s v="N"/>
    <x v="1"/>
    <s v="N"/>
    <x v="1"/>
    <s v="N"/>
    <n v="0"/>
    <n v="0"/>
    <n v="0.62"/>
    <n v="0.01"/>
    <n v="1.36"/>
    <n v="0"/>
    <n v="0"/>
    <n v="0"/>
    <n v="0"/>
    <n v="0"/>
    <n v="0"/>
    <n v="0"/>
    <n v="1.9900000000000002"/>
    <n v="1.3633333329999999"/>
    <n v="4.5220213673005825E-3"/>
    <n v="2.281904761142857E-2"/>
    <m/>
    <m/>
    <n v="87.5"/>
    <s v="Acre-feet per Year"/>
    <s v="L_13"/>
    <n v="0"/>
    <n v="38.587679960000003"/>
    <n v="-122.85578488"/>
    <s v="RUSSIAN RIVER UNDERFLOW"/>
  </r>
  <r>
    <s v="A024969B"/>
    <n v="19760106"/>
    <n v="13"/>
    <s v="N"/>
    <s v="Y"/>
    <s v="Y"/>
    <s v="Y"/>
    <x v="0"/>
    <s v="West Fork and Below Lake"/>
    <s v="Sonoma (d/s of Clov. Gage)"/>
    <x v="0"/>
    <n v="1976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0"/>
    <s v="Acre-feet per Year"/>
    <s v="L_13"/>
    <n v="0"/>
    <n v="38.587679960000003"/>
    <n v="-122.85578488"/>
    <s v="RUSSIAN RIVER UNDERFLOW"/>
  </r>
  <r>
    <s v="A024972"/>
    <n v="19760112"/>
    <n v="9"/>
    <s v="N"/>
    <s v="Y"/>
    <s v="Y"/>
    <s v="Y"/>
    <x v="0"/>
    <s v="West Fork and Below Lake"/>
    <s v="Sonoma (d/s of Clov. Gage)"/>
    <x v="0"/>
    <n v="1976"/>
    <x v="1"/>
    <x v="1"/>
    <s v="Y"/>
    <s v="N"/>
    <s v="N"/>
    <s v="Y"/>
    <s v="N"/>
    <x v="1"/>
    <s v="N"/>
    <x v="1"/>
    <s v="N"/>
    <n v="0"/>
    <n v="0"/>
    <n v="0"/>
    <n v="0"/>
    <n v="0"/>
    <n v="0.04"/>
    <n v="0.04"/>
    <n v="0.04"/>
    <n v="0.02"/>
    <n v="0"/>
    <n v="0"/>
    <n v="0"/>
    <n v="0.13999999999999999"/>
    <n v="0.15753466666666671"/>
    <n v="5.2252454444847167E-4"/>
    <n v="1.9691833333333339E-2"/>
    <m/>
    <m/>
    <n v="8"/>
    <s v="Acre-feet per Year"/>
    <s v="U_9"/>
    <n v="0"/>
    <n v="38.710999999999999"/>
    <n v="-122.8998"/>
    <s v="RUSSIAN RIVER UNDERFLOW"/>
  </r>
  <r>
    <s v="A024993"/>
    <n v="19760209"/>
    <n v="9"/>
    <s v="N"/>
    <s v="Y"/>
    <s v="Y"/>
    <s v="Y"/>
    <x v="0"/>
    <s v="West Fork and Below Lake"/>
    <s v="Sonoma (d/s of Clov. Gage)"/>
    <x v="0"/>
    <n v="1976"/>
    <x v="1"/>
    <x v="1"/>
    <s v="Y"/>
    <s v="N"/>
    <s v="N"/>
    <s v="Y"/>
    <s v="N"/>
    <x v="1"/>
    <s v="N"/>
    <x v="1"/>
    <s v="N"/>
    <n v="0.01"/>
    <n v="0.02"/>
    <n v="0.04"/>
    <n v="0.09"/>
    <n v="0.14000000000000001"/>
    <n v="0.45"/>
    <n v="0.59"/>
    <n v="0.71"/>
    <n v="0.56999999999999995"/>
    <n v="0.37"/>
    <n v="0.04"/>
    <n v="0.01"/>
    <n v="3.0399999999999996"/>
    <n v="2.4833723333333326"/>
    <n v="8.2370631469746609E-3"/>
    <n v="0.18262482352941176"/>
    <m/>
    <m/>
    <n v="17"/>
    <s v="Acre-feet per Year"/>
    <s v="U_9"/>
    <n v="3.4039024194010059E-4"/>
    <n v="38.785362839999998"/>
    <n v="-122.99744779"/>
    <s v="RUSSIAN RIVER"/>
  </r>
  <r>
    <s v="A024996"/>
    <n v="19760218"/>
    <n v="1"/>
    <s v="N"/>
    <s v="N"/>
    <s v="Y"/>
    <s v="Y"/>
    <x v="0"/>
    <s v="West Fork and Below Lake"/>
    <s v="Outside"/>
    <x v="0"/>
    <n v="1976"/>
    <x v="1"/>
    <x v="0"/>
    <s v="Y"/>
    <s v="N"/>
    <s v="N"/>
    <s v="Y"/>
    <s v="N"/>
    <x v="1"/>
    <s v="N"/>
    <x v="0"/>
    <s v="N"/>
    <n v="0.9"/>
    <n v="0"/>
    <n v="0"/>
    <n v="0"/>
    <n v="0"/>
    <n v="0"/>
    <n v="0"/>
    <n v="0"/>
    <n v="0"/>
    <n v="0"/>
    <n v="0"/>
    <n v="0"/>
    <n v="0.9"/>
    <n v="0"/>
    <n v="0"/>
    <n v="1"/>
    <m/>
    <m/>
    <n v="0.9"/>
    <s v="Acre-feet per Year"/>
    <s v="U_1"/>
    <n v="0"/>
    <n v="39.271136310000003"/>
    <n v="-123.17245258"/>
    <s v="UNST"/>
  </r>
  <r>
    <s v="A025005"/>
    <n v="19760225"/>
    <n v="9"/>
    <s v="N"/>
    <s v="Y"/>
    <s v="Y"/>
    <s v="Y"/>
    <x v="0"/>
    <s v="West Fork and Below Lake"/>
    <s v="Sonoma (d/s of Clov. Gage)"/>
    <x v="0"/>
    <n v="1976"/>
    <x v="1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.3"/>
    <s v="Acre-feet per Year"/>
    <s v="U_9"/>
    <n v="3.4039024194010059E-4"/>
    <n v="38.830568499999998"/>
    <n v="-123.00931558000001"/>
    <s v="RUSSIAN RIVER UNDERFLOW"/>
  </r>
  <r>
    <s v="A025010"/>
    <n v="19760227"/>
    <n v="17"/>
    <s v="N"/>
    <s v="N"/>
    <s v="N"/>
    <s v="N"/>
    <x v="1"/>
    <s v="Outside"/>
    <s v="Outside"/>
    <x v="0"/>
    <n v="1976"/>
    <x v="1"/>
    <x v="1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"/>
    <s v="Acre-feet per Year"/>
    <s v="L_17"/>
    <n v="3.4039024194010059E-4"/>
    <n v="38.528575449999998"/>
    <n v="-122.86451542"/>
    <s v="RUSSIAN RIVER UNDERFLOW"/>
  </r>
  <r>
    <s v="A025015"/>
    <n v="19760302"/>
    <n v="9"/>
    <s v="N"/>
    <s v="Y"/>
    <s v="Y"/>
    <s v="Y"/>
    <x v="0"/>
    <s v="West Fork and Below Lake"/>
    <s v="Sonoma (d/s of Clov. Gage)"/>
    <x v="0"/>
    <n v="1976"/>
    <x v="1"/>
    <x v="1"/>
    <s v="Y"/>
    <s v="N"/>
    <s v="N"/>
    <s v="Y"/>
    <s v="N"/>
    <x v="1"/>
    <s v="N"/>
    <x v="1"/>
    <s v="N"/>
    <n v="0.02"/>
    <n v="0.03"/>
    <n v="0.02"/>
    <n v="0.03"/>
    <n v="0.08"/>
    <n v="0.08"/>
    <n v="0.1"/>
    <n v="0.1"/>
    <n v="0.1"/>
    <n v="0.11"/>
    <n v="0.03"/>
    <n v="0.03"/>
    <n v="0.73"/>
    <n v="0.47812999999999972"/>
    <n v="1.5859027458748609E-3"/>
    <n v="0.48917291666666657"/>
    <m/>
    <m/>
    <n v="1.6"/>
    <s v="Acre-feet per Year"/>
    <s v="U_9"/>
    <n v="3.4039024194010059E-4"/>
    <n v="38.830568499999998"/>
    <n v="-123.00931558000001"/>
    <s v="RUSSIAN RIVER UNDERFLOW"/>
  </r>
  <r>
    <s v="A025021"/>
    <n v="19760312"/>
    <n v="17"/>
    <s v="N"/>
    <s v="N"/>
    <s v="N"/>
    <s v="N"/>
    <x v="1"/>
    <s v="Outside"/>
    <s v="Outside"/>
    <x v="0"/>
    <n v="1976"/>
    <x v="1"/>
    <x v="1"/>
    <s v="N"/>
    <s v="N"/>
    <s v="N"/>
    <s v="Y"/>
    <s v="N"/>
    <x v="1"/>
    <s v="N"/>
    <x v="1"/>
    <s v="N"/>
    <n v="0"/>
    <n v="0"/>
    <n v="0"/>
    <n v="0"/>
    <n v="1.7000000000000001E-2"/>
    <n v="1.7000000000000001E-2"/>
    <n v="1.7000000000000001E-2"/>
    <n v="1.7000000000000001E-2"/>
    <n v="1.7000000000000001E-2"/>
    <n v="1.7000000000000001E-2"/>
    <n v="0"/>
    <n v="0"/>
    <n v="0.10200000000000001"/>
    <n v="8.5000000000000006E-2"/>
    <n v="2.819353175901183E-4"/>
    <n v="1.02"/>
    <m/>
    <m/>
    <n v="0.1"/>
    <s v="Acre-feet per Year"/>
    <s v="L_17"/>
    <n v="0"/>
    <n v="38.58424514"/>
    <n v="-122.85609354"/>
    <s v="RUSSIAN RIVER"/>
  </r>
  <r>
    <s v="A025025"/>
    <n v="19760322"/>
    <n v="10"/>
    <s v="N"/>
    <s v="Y"/>
    <s v="Y"/>
    <s v="Y"/>
    <x v="0"/>
    <s v="West Fork and Below Lake"/>
    <s v="Sonoma (d/s of Clov. Gage)"/>
    <x v="0"/>
    <n v="1976"/>
    <x v="1"/>
    <x v="1"/>
    <s v="Y"/>
    <s v="N"/>
    <s v="N"/>
    <s v="Y"/>
    <s v="N"/>
    <x v="1"/>
    <s v="N"/>
    <x v="1"/>
    <s v="N"/>
    <n v="0.49"/>
    <n v="0.51"/>
    <n v="0.47"/>
    <n v="0.53"/>
    <n v="0.61"/>
    <n v="0.85"/>
    <n v="1.31"/>
    <n v="1.64"/>
    <n v="1.39"/>
    <n v="0.81"/>
    <n v="0.49"/>
    <n v="0.45"/>
    <n v="9.5499999999999989"/>
    <n v="5.8166666666666655"/>
    <n v="1.929322075273554E-2"/>
    <n v="0.17412121212121209"/>
    <m/>
    <m/>
    <n v="55"/>
    <s v="Acre-feet per Year"/>
    <s v="U_10"/>
    <n v="3.4039024194010059E-4"/>
    <n v="38.677706829999998"/>
    <n v="-122.86159519"/>
    <s v="RUSSIAN RIVER UNDERFLOW"/>
  </r>
  <r>
    <s v="A025028"/>
    <n v="19760324"/>
    <n v="9"/>
    <s v="N"/>
    <s v="Y"/>
    <s v="Y"/>
    <s v="Y"/>
    <x v="0"/>
    <s v="West Fork and Below Lake"/>
    <s v="Sonoma (d/s of Clov. Gage)"/>
    <x v="0"/>
    <n v="1976"/>
    <x v="1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.4"/>
    <s v="Acre-feet per Year"/>
    <s v="U_9"/>
    <n v="0"/>
    <n v="38.830568499999998"/>
    <n v="-123.00931558000001"/>
    <s v="RUSSIAN RIVER"/>
  </r>
  <r>
    <s v="A025032"/>
    <n v="19760331"/>
    <n v="12"/>
    <s v="N"/>
    <s v="Y"/>
    <s v="Y"/>
    <s v="Y"/>
    <x v="0"/>
    <s v="West Fork and Below Lake"/>
    <s v="Sonoma (d/s of Clov. Gage)"/>
    <x v="0"/>
    <n v="1976"/>
    <x v="1"/>
    <x v="0"/>
    <s v="Y"/>
    <s v="N"/>
    <s v="N"/>
    <s v="Y"/>
    <s v="N"/>
    <x v="1"/>
    <s v="N"/>
    <x v="0"/>
    <s v="N"/>
    <n v="2.66"/>
    <n v="2"/>
    <n v="2"/>
    <n v="0"/>
    <n v="0"/>
    <n v="0"/>
    <n v="0"/>
    <n v="0"/>
    <n v="0"/>
    <n v="0"/>
    <n v="0"/>
    <n v="1.33"/>
    <n v="7.99"/>
    <n v="0"/>
    <n v="0"/>
    <n v="0.34782608695652167"/>
    <m/>
    <m/>
    <n v="23"/>
    <s v="Acre-feet per Year"/>
    <s v="U_12"/>
    <n v="0"/>
    <n v="38.614201999999999"/>
    <n v="-122.66325341"/>
    <s v="UNST"/>
  </r>
  <r>
    <s v="A025052"/>
    <n v="19760420"/>
    <n v="5"/>
    <s v="Y"/>
    <s v="N"/>
    <s v="Y"/>
    <s v="Y"/>
    <x v="0"/>
    <s v="West Fork and Below Lake"/>
    <s v="Mendocino (d/s of lake)"/>
    <x v="0"/>
    <n v="1976"/>
    <x v="1"/>
    <x v="0"/>
    <s v="Y"/>
    <s v="N"/>
    <s v="N"/>
    <s v="Y"/>
    <s v="N"/>
    <x v="1"/>
    <s v="N"/>
    <x v="1"/>
    <s v="N"/>
    <n v="0"/>
    <n v="0"/>
    <n v="0"/>
    <n v="1.6899999999999999E-4"/>
    <n v="1.6899999999999999E-4"/>
    <n v="5.3700000000000004E-4"/>
    <n v="5.3700000000000004E-4"/>
    <n v="6.8999999999999997E-4"/>
    <n v="6.8999999999999997E-4"/>
    <n v="4.6000000000000001E-4"/>
    <n v="0"/>
    <n v="0"/>
    <n v="3.2520000000000001E-3"/>
    <n v="2.6230000000000003E-3"/>
    <n v="8.7001922122221228E-6"/>
    <n v="3.6133333333333335E-4"/>
    <m/>
    <m/>
    <n v="9"/>
    <s v="Acre-feet per Year"/>
    <s v="U_5"/>
    <n v="0"/>
    <n v="39.08004983"/>
    <n v="-123.22319679"/>
    <s v="UNST"/>
  </r>
  <r>
    <s v="A025065"/>
    <n v="19760517"/>
    <n v="23"/>
    <s v="N"/>
    <s v="N"/>
    <s v="N"/>
    <s v="N"/>
    <x v="1"/>
    <s v="Outside"/>
    <s v="Outside"/>
    <x v="0"/>
    <n v="1976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.3"/>
    <s v="Acre-feet per Year"/>
    <s v="L_23"/>
    <n v="0"/>
    <n v="38.555385569999999"/>
    <n v="-122.76132459"/>
    <s v="UNST"/>
  </r>
  <r>
    <s v="A025084"/>
    <n v="19760614"/>
    <n v="13"/>
    <s v="N"/>
    <s v="Y"/>
    <s v="Y"/>
    <s v="Y"/>
    <x v="0"/>
    <s v="West Fork and Below Lake"/>
    <s v="Sonoma (d/s of Clov. Gage)"/>
    <x v="0"/>
    <n v="1976"/>
    <x v="1"/>
    <x v="1"/>
    <s v="Y"/>
    <s v="N"/>
    <s v="N"/>
    <s v="Y"/>
    <s v="N"/>
    <x v="1"/>
    <s v="N"/>
    <x v="1"/>
    <s v="N"/>
    <n v="0.01"/>
    <n v="0.01"/>
    <n v="0.01"/>
    <n v="0.01"/>
    <n v="0.01"/>
    <n v="0.01"/>
    <n v="3.6825E-3"/>
    <n v="9.5134999999999994E-3"/>
    <n v="6.1380000000000002E-3"/>
    <n v="5.8310000000000002E-3"/>
    <n v="0.01"/>
    <n v="0.01"/>
    <n v="0.10516499999999999"/>
    <n v="5.1556999999999999E-2"/>
    <n v="1.7100869610580855E-4"/>
    <n v="0.81478499999999987"/>
    <m/>
    <m/>
    <n v="0.2"/>
    <s v="Acre-feet per Year"/>
    <s v="U_13"/>
    <n v="3.4039024194010059E-4"/>
    <n v="38.614222550000001"/>
    <n v="-122.8309031"/>
    <s v="RUSSIAN RIVER"/>
  </r>
  <r>
    <s v="A025110"/>
    <n v="19760721"/>
    <n v="9"/>
    <s v="N"/>
    <s v="Y"/>
    <s v="Y"/>
    <s v="Y"/>
    <x v="0"/>
    <s v="West Fork and Below Lake"/>
    <s v="Sonoma (d/s of Clov. Gage)"/>
    <x v="0"/>
    <n v="1976"/>
    <x v="1"/>
    <x v="1"/>
    <s v="Y"/>
    <s v="N"/>
    <s v="N"/>
    <s v="Y"/>
    <s v="N"/>
    <x v="1"/>
    <s v="N"/>
    <x v="1"/>
    <s v="N"/>
    <n v="0.01"/>
    <n v="0.01"/>
    <n v="0.01"/>
    <n v="0.01"/>
    <n v="0.01"/>
    <n v="0.02"/>
    <n v="0.02"/>
    <n v="0.02"/>
    <n v="0.02"/>
    <n v="0.02"/>
    <n v="0.01"/>
    <n v="0.01"/>
    <n v="0.17"/>
    <n v="9.8000000000000004E-2"/>
    <n v="3.2505483675095988E-4"/>
    <n v="0.65666666666666662"/>
    <m/>
    <m/>
    <n v="0.3"/>
    <s v="Acre-feet per Year"/>
    <s v="U_9"/>
    <n v="3.4039024194010059E-4"/>
    <n v="38.78954418"/>
    <n v="-122.99013809"/>
    <s v="RUSSIAN RIVER UNDERFLOW"/>
  </r>
  <r>
    <s v="A025123"/>
    <n v="19760804"/>
    <n v="4"/>
    <s v="Y"/>
    <s v="N"/>
    <s v="Y"/>
    <s v="Y"/>
    <x v="0"/>
    <s v="West Fork and Below Lake"/>
    <s v="Mendocino (d/s of lake)"/>
    <x v="0"/>
    <n v="1976"/>
    <x v="1"/>
    <x v="0"/>
    <s v="Y"/>
    <s v="N"/>
    <s v="N"/>
    <s v="Y"/>
    <s v="N"/>
    <x v="1"/>
    <s v="N"/>
    <x v="1"/>
    <s v="N"/>
    <n v="1.69"/>
    <n v="1.58"/>
    <n v="1.1200000000000001"/>
    <n v="0.04"/>
    <n v="3.333333E-3"/>
    <n v="3.333333E-3"/>
    <n v="3.333333E-3"/>
    <n v="0"/>
    <n v="3.333333E-3"/>
    <n v="0"/>
    <n v="0.1"/>
    <n v="3.333333E-3"/>
    <n v="4.5466666649999983"/>
    <n v="1.3333332E-2"/>
    <n v="4.4225143434758663E-5"/>
    <n v="0.40744047607142841"/>
    <m/>
    <m/>
    <n v="11.2"/>
    <s v="Acre-feet per Year"/>
    <s v="U_4"/>
    <n v="0"/>
    <n v="39.127933259999999"/>
    <n v="-123.15915342"/>
    <s v="UNST"/>
  </r>
  <r>
    <s v="A025137"/>
    <n v="19760827"/>
    <n v="21"/>
    <s v="N"/>
    <s v="N"/>
    <s v="N"/>
    <s v="N"/>
    <x v="1"/>
    <s v="Outside"/>
    <s v="Outside"/>
    <x v="0"/>
    <n v="1976"/>
    <x v="1"/>
    <x v="0"/>
    <s v="N"/>
    <s v="N"/>
    <s v="N"/>
    <s v="Y"/>
    <s v="N"/>
    <x v="1"/>
    <s v="N"/>
    <x v="0"/>
    <s v="N"/>
    <n v="3"/>
    <n v="3"/>
    <n v="3"/>
    <n v="3"/>
    <n v="0"/>
    <n v="0"/>
    <n v="0"/>
    <n v="0"/>
    <n v="0"/>
    <n v="0"/>
    <n v="2"/>
    <n v="2"/>
    <n v="16"/>
    <n v="0"/>
    <n v="0"/>
    <n v="0.88888888888888884"/>
    <m/>
    <m/>
    <n v="18"/>
    <s v="Acre-feet per Year"/>
    <s v="L_21"/>
    <n v="0"/>
    <n v="38.424728049999999"/>
    <n v="-122.94110603"/>
    <s v="LANCEL CREEK"/>
  </r>
  <r>
    <s v="A025154"/>
    <n v="19760921"/>
    <n v="10"/>
    <s v="N"/>
    <s v="Y"/>
    <s v="Y"/>
    <s v="Y"/>
    <x v="0"/>
    <s v="West Fork and Below Lake"/>
    <s v="Sonoma (d/s of Clov. Gage)"/>
    <x v="0"/>
    <n v="1976"/>
    <x v="1"/>
    <x v="1"/>
    <s v="Y"/>
    <s v="N"/>
    <s v="N"/>
    <s v="Y"/>
    <s v="N"/>
    <x v="1"/>
    <s v="N"/>
    <x v="1"/>
    <s v="N"/>
    <n v="0"/>
    <n v="0"/>
    <n v="0"/>
    <n v="0"/>
    <n v="0.78"/>
    <n v="3.18"/>
    <n v="7.05"/>
    <n v="8.7799999999999994"/>
    <n v="0"/>
    <n v="0"/>
    <n v="0"/>
    <n v="0"/>
    <n v="19.79"/>
    <n v="19.806666666666668"/>
    <n v="6.5696457141979719E-2"/>
    <n v="0.1125378787878788"/>
    <m/>
    <m/>
    <n v="176"/>
    <s v="Acre-feet per Year"/>
    <s v="U_10"/>
    <n v="0"/>
    <n v="38.679060270000001"/>
    <n v="-122.84600253000001"/>
    <s v="RUSSIAN RIVER UNDERFLOW"/>
  </r>
  <r>
    <s v="A025157"/>
    <n v="19760921"/>
    <n v="9"/>
    <s v="N"/>
    <s v="Y"/>
    <s v="Y"/>
    <s v="Y"/>
    <x v="0"/>
    <s v="West Fork and Below Lake"/>
    <s v="Sonoma (d/s of Clov. Gage)"/>
    <x v="0"/>
    <n v="1976"/>
    <x v="1"/>
    <x v="1"/>
    <s v="Y"/>
    <s v="N"/>
    <s v="N"/>
    <s v="Y"/>
    <s v="N"/>
    <x v="1"/>
    <s v="N"/>
    <x v="1"/>
    <s v="N"/>
    <n v="0.04"/>
    <n v="0.04"/>
    <n v="0.04"/>
    <n v="0.04"/>
    <n v="0.05"/>
    <n v="0.05"/>
    <n v="0.05"/>
    <n v="0.05"/>
    <n v="0.05"/>
    <n v="0.04"/>
    <n v="0.04"/>
    <n v="0.04"/>
    <n v="0.52999999999999992"/>
    <n v="0.2666666666666665"/>
    <n v="8.8450295714546858E-4"/>
    <n v="0.44615384615384612"/>
    <m/>
    <m/>
    <n v="1.3"/>
    <s v="Acre-feet per Year"/>
    <s v="U_9"/>
    <n v="3.4039024194010059E-4"/>
    <n v="38.830025470000002"/>
    <n v="-123.00860573999999"/>
    <s v="RUSSIAN RIVER UNDERFLOW"/>
  </r>
  <r>
    <s v="A025207"/>
    <n v="19761207"/>
    <n v="13"/>
    <s v="N"/>
    <s v="Y"/>
    <s v="Y"/>
    <s v="Y"/>
    <x v="0"/>
    <s v="West Fork and Below Lake"/>
    <s v="Sonoma (d/s of Clov. Gage)"/>
    <x v="0"/>
    <n v="1976"/>
    <x v="1"/>
    <x v="1"/>
    <s v="Y"/>
    <s v="N"/>
    <s v="N"/>
    <s v="Y"/>
    <s v="N"/>
    <x v="1"/>
    <s v="N"/>
    <x v="1"/>
    <s v="N"/>
    <n v="3.8E-3"/>
    <n v="3.8E-3"/>
    <n v="3.8E-3"/>
    <n v="5.3333333333333297E-3"/>
    <n v="8.5566666666666708E-3"/>
    <n v="0.01"/>
    <n v="0.01"/>
    <n v="9.4039999999999992E-3"/>
    <n v="9.3299999999999998E-3"/>
    <n v="8.3803333333333299E-3"/>
    <n v="8.3436666666666694E-3"/>
    <n v="5.5579999999999996E-3"/>
    <n v="8.6306000000000008E-2"/>
    <n v="4.8616333333333366E-2"/>
    <n v="1.61254839745887E-4"/>
    <n v="7.3026388888888905E-2"/>
    <m/>
    <m/>
    <n v="1.2"/>
    <s v="Acre-feet per Year"/>
    <s v="U_13"/>
    <n v="3.4039024194010059E-4"/>
    <n v="38.620141009999998"/>
    <n v="-122.82887186000001"/>
    <s v="RUSSIAN RIVER UNDERFLOW"/>
  </r>
  <r>
    <s v="C000222"/>
    <n v="19760322"/>
    <n v="5"/>
    <s v="Y"/>
    <s v="N"/>
    <s v="Y"/>
    <s v="Y"/>
    <x v="0"/>
    <s v="West Fork and Below Lake"/>
    <s v="Mendocino (d/s of lake)"/>
    <x v="0"/>
    <n v="1976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s v="Acre-feet per Year"/>
    <s v="U_5"/>
    <n v="0"/>
    <n v="39.086334579999999"/>
    <n v="-123.23916095"/>
    <s v="UNST"/>
  </r>
  <r>
    <s v="C000223"/>
    <n v="19760322"/>
    <n v="5"/>
    <s v="Y"/>
    <s v="N"/>
    <s v="Y"/>
    <s v="Y"/>
    <x v="0"/>
    <s v="West Fork and Below Lake"/>
    <s v="Mendocino (d/s of lake)"/>
    <x v="0"/>
    <n v="1976"/>
    <x v="1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s v="Acre-feet per Year"/>
    <s v="U_5"/>
    <n v="0"/>
    <n v="39.067665589999997"/>
    <n v="-123.22580121999999"/>
    <s v="UNST"/>
  </r>
  <r>
    <s v="C000511"/>
    <n v="19761203"/>
    <n v="21"/>
    <s v="N"/>
    <s v="N"/>
    <s v="N"/>
    <s v="N"/>
    <x v="1"/>
    <s v="Outside"/>
    <s v="Outside"/>
    <x v="0"/>
    <n v="1976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s v="Acre-feet per Year"/>
    <s v="L_21"/>
    <n v="0"/>
    <n v="38.434298320000003"/>
    <n v="-122.94611962"/>
    <s v="NORTH FORK LANCEL CREEK"/>
  </r>
  <r>
    <s v="C000512"/>
    <n v="19761203"/>
    <n v="21"/>
    <s v="N"/>
    <s v="N"/>
    <s v="N"/>
    <s v="N"/>
    <x v="1"/>
    <s v="Outside"/>
    <s v="Outside"/>
    <x v="0"/>
    <n v="1976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s v="Acre-feet per Year"/>
    <s v="L_21"/>
    <n v="0"/>
    <n v="38.442995760000002"/>
    <n v="-122.95705886"/>
    <s v="GRUB CREEK"/>
  </r>
  <r>
    <s v="A025012"/>
    <n v="19760227"/>
    <n v="19"/>
    <s v="N"/>
    <s v="N"/>
    <s v="N"/>
    <s v="N"/>
    <x v="1"/>
    <s v="Outside"/>
    <s v="Outside"/>
    <x v="0"/>
    <n v="1976"/>
    <x v="1"/>
    <x v="1"/>
    <s v="N"/>
    <s v="N"/>
    <s v="N"/>
    <s v="Y"/>
    <s v="N"/>
    <x v="1"/>
    <s v="N"/>
    <x v="1"/>
    <s v="N"/>
    <n v="0"/>
    <n v="0"/>
    <n v="3.0690000000000001E-3"/>
    <n v="3.0690000000000001E-3"/>
    <n v="3.0690000000000001E-3"/>
    <n v="6.1380000000000002E-3"/>
    <n v="7.672E-3"/>
    <n v="7.672E-3"/>
    <n v="7.672E-3"/>
    <n v="4.6030000000000003E-3"/>
    <n v="0"/>
    <n v="0"/>
    <n v="4.2964000000000002E-2"/>
    <n v="3.2222999999999995E-2"/>
    <n v="1.0688002045536916E-4"/>
    <n v="6.1377142857142866E-2"/>
    <m/>
    <m/>
    <n v="0.7"/>
    <s v="Acre-feet per Year"/>
    <s v="L_19"/>
    <n v="3.4039024194010059E-4"/>
    <n v="38.507329439999999"/>
    <n v="-122.94778481"/>
    <s v="RUSSIAN RIVER UNDERFLOW"/>
  </r>
  <r>
    <s v="A025125"/>
    <n v="19760811"/>
    <n v="16"/>
    <s v="N"/>
    <s v="N"/>
    <s v="N"/>
    <s v="N"/>
    <x v="1"/>
    <s v="Outside"/>
    <s v="Outside"/>
    <x v="0"/>
    <n v="1976"/>
    <x v="1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.3"/>
    <s v="Acre-feet per Year"/>
    <s v="L_16"/>
    <n v="3.4039024194010059E-4"/>
    <n v="38.59912439"/>
    <n v="-122.97174963000001"/>
    <s v="UNST"/>
  </r>
  <r>
    <s v="A025201"/>
    <n v="19761123"/>
    <n v="2"/>
    <s v="N"/>
    <s v="N"/>
    <s v="Y"/>
    <s v="N"/>
    <x v="0"/>
    <s v="Outside"/>
    <s v="Outside"/>
    <x v="0"/>
    <n v="1976"/>
    <x v="1"/>
    <x v="0"/>
    <s v="Y"/>
    <s v="N"/>
    <s v="N"/>
    <s v="Y"/>
    <s v="N"/>
    <x v="1"/>
    <s v="N"/>
    <x v="0"/>
    <s v="N"/>
    <n v="0.21"/>
    <n v="0.3"/>
    <n v="0.15"/>
    <n v="0.03"/>
    <n v="0"/>
    <n v="0"/>
    <n v="0"/>
    <n v="0"/>
    <n v="0"/>
    <n v="0"/>
    <n v="0"/>
    <n v="0"/>
    <n v="0.69000000000000006"/>
    <n v="0"/>
    <n v="0"/>
    <n v="0.13999999999999999"/>
    <m/>
    <m/>
    <n v="5"/>
    <s v="Acre-feet per Year"/>
    <s v="U_2"/>
    <n v="0"/>
    <n v="39.306572500000001"/>
    <n v="-123.05534485"/>
    <s v="UNST"/>
  </r>
  <r>
    <s v="A024995"/>
    <n v="19760218"/>
    <n v="2"/>
    <s v="N"/>
    <s v="N"/>
    <s v="Y"/>
    <s v="N"/>
    <x v="0"/>
    <s v="Outside"/>
    <s v="Outside"/>
    <x v="0"/>
    <n v="1976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8"/>
    <s v="Acre-feet per Year"/>
    <s v="U_2"/>
    <n v="0"/>
    <n v="39.292445960000002"/>
    <n v="-123.09859818"/>
    <s v="EAST FORK RUSSIAN RIVER"/>
  </r>
  <r>
    <s v="A025019"/>
    <n v="19760312"/>
    <n v="2"/>
    <s v="N"/>
    <s v="N"/>
    <s v="Y"/>
    <s v="N"/>
    <x v="0"/>
    <s v="Outside"/>
    <s v="Outside"/>
    <x v="0"/>
    <n v="1976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4"/>
    <s v="Acre-feet per Year"/>
    <s v="U_2"/>
    <n v="0"/>
    <n v="39.358559900000003"/>
    <n v="-123.10493332"/>
    <s v="UNST"/>
  </r>
  <r>
    <s v="A023998"/>
    <n v="19750313"/>
    <n v="23"/>
    <s v="N"/>
    <s v="N"/>
    <s v="N"/>
    <s v="N"/>
    <x v="1"/>
    <s v="Outside"/>
    <s v="Outside"/>
    <x v="0"/>
    <n v="1975"/>
    <x v="1"/>
    <x v="0"/>
    <s v="N"/>
    <s v="N"/>
    <s v="N"/>
    <s v="Y"/>
    <s v="N"/>
    <x v="1"/>
    <s v="N"/>
    <x v="0"/>
    <s v="N"/>
    <n v="2"/>
    <n v="2"/>
    <n v="1.3333333329999999"/>
    <n v="0"/>
    <n v="0"/>
    <n v="0"/>
    <n v="0"/>
    <n v="0"/>
    <n v="0"/>
    <n v="0"/>
    <n v="1.3333333329999999"/>
    <n v="1.6666666670000001"/>
    <n v="8.3333333329999988"/>
    <n v="0"/>
    <n v="0"/>
    <n v="0.17730496453191485"/>
    <m/>
    <m/>
    <n v="47"/>
    <s v="Acre-feet per Year"/>
    <s v="L_23"/>
    <n v="0"/>
    <n v="38.508176890000001"/>
    <n v="-122.83770767"/>
    <s v="UNST"/>
  </r>
  <r>
    <s v="A024741"/>
    <n v="19750121"/>
    <n v="5"/>
    <s v="Y"/>
    <s v="N"/>
    <s v="Y"/>
    <s v="Y"/>
    <x v="0"/>
    <s v="West Fork and Below Lake"/>
    <s v="Mendocino (d/s of lake)"/>
    <x v="0"/>
    <n v="1975"/>
    <x v="1"/>
    <x v="1"/>
    <s v="Y"/>
    <s v="N"/>
    <s v="N"/>
    <s v="Y"/>
    <s v="N"/>
    <x v="1"/>
    <s v="N"/>
    <x v="1"/>
    <s v="N"/>
    <n v="6"/>
    <n v="6"/>
    <n v="2.1800000000000002"/>
    <n v="0.46"/>
    <n v="0.71"/>
    <n v="1.42"/>
    <n v="1.21"/>
    <n v="0"/>
    <n v="0"/>
    <n v="0"/>
    <n v="0"/>
    <n v="0"/>
    <n v="17.980000000000004"/>
    <n v="3.3533333333333335"/>
    <n v="1.1122624686104275E-2"/>
    <n v="0.99999999999999978"/>
    <m/>
    <m/>
    <n v="18"/>
    <s v="Acre-feet per Year"/>
    <s v="U_5"/>
    <n v="0"/>
    <n v="39.047848270000003"/>
    <n v="-123.12967949999999"/>
    <s v="UNST"/>
  </r>
  <r>
    <s v="A024761"/>
    <n v="19750228"/>
    <n v="18"/>
    <s v="N"/>
    <s v="N"/>
    <s v="N"/>
    <s v="N"/>
    <x v="1"/>
    <s v="Outside"/>
    <s v="Outside"/>
    <x v="0"/>
    <n v="1975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86"/>
    <s v="Acre-feet per Year"/>
    <s v="L_18"/>
    <n v="0"/>
    <n v="38.461334610000002"/>
    <n v="-122.89583451"/>
    <s v="GREEN VALLEY CREEK"/>
  </r>
  <r>
    <s v="A024762A"/>
    <n v="19750228"/>
    <n v="17"/>
    <s v="N"/>
    <s v="N"/>
    <s v="N"/>
    <s v="N"/>
    <x v="1"/>
    <s v="Outside"/>
    <s v="Outside"/>
    <x v="0"/>
    <n v="1975"/>
    <x v="1"/>
    <x v="1"/>
    <s v="N"/>
    <s v="N"/>
    <s v="N"/>
    <s v="Y"/>
    <s v="N"/>
    <x v="1"/>
    <s v="N"/>
    <x v="1"/>
    <s v="N"/>
    <n v="0"/>
    <n v="0"/>
    <n v="0"/>
    <n v="0"/>
    <n v="0"/>
    <n v="3.3300000000000003E-5"/>
    <n v="0.11"/>
    <n v="0.01"/>
    <n v="0"/>
    <n v="0"/>
    <n v="0"/>
    <n v="0"/>
    <n v="0.1200333"/>
    <n v="0.1200333"/>
    <n v="3.9813678302223461E-4"/>
    <n v="3.872041935483871E-3"/>
    <m/>
    <m/>
    <n v="31"/>
    <s v="Acre-feet per Year"/>
    <s v="L_17"/>
    <n v="0"/>
    <n v="38.581911210000001"/>
    <n v="-122.85606555"/>
    <s v="RUSSIAN RIVER UNDERFLOW"/>
  </r>
  <r>
    <s v="A024762B"/>
    <n v="19750228"/>
    <n v="17"/>
    <s v="N"/>
    <s v="N"/>
    <s v="N"/>
    <s v="N"/>
    <x v="1"/>
    <s v="Outside"/>
    <s v="Outside"/>
    <x v="0"/>
    <n v="1975"/>
    <x v="1"/>
    <x v="1"/>
    <s v="N"/>
    <s v="N"/>
    <s v="N"/>
    <s v="Y"/>
    <s v="N"/>
    <x v="1"/>
    <s v="N"/>
    <x v="1"/>
    <s v="N"/>
    <n v="0"/>
    <n v="0"/>
    <n v="0.66666666699999999"/>
    <n v="0.3"/>
    <n v="1.6666700000000001E-4"/>
    <n v="0"/>
    <n v="0"/>
    <n v="0"/>
    <n v="0"/>
    <n v="0"/>
    <n v="0"/>
    <n v="0"/>
    <n v="0.96683333399999993"/>
    <n v="1.6666700000000001E-4"/>
    <n v="5.5281545384461463E-7"/>
    <n v="2.4790598307692306E-2"/>
    <m/>
    <m/>
    <n v="39"/>
    <s v="Acre-feet per Year"/>
    <s v="L_17"/>
    <n v="0"/>
    <n v="38.581911210000001"/>
    <n v="-122.85606555"/>
    <s v="RUSSIAN RIVER UNDERFLOW"/>
  </r>
  <r>
    <s v="A024763B"/>
    <n v="19750228"/>
    <n v="6"/>
    <s v="Y"/>
    <s v="N"/>
    <s v="Y"/>
    <s v="Y"/>
    <x v="0"/>
    <s v="West Fork and Below Lake"/>
    <s v="Mendocino (d/s of lake)"/>
    <x v="0"/>
    <n v="1975"/>
    <x v="1"/>
    <x v="1"/>
    <s v="Y"/>
    <s v="N"/>
    <s v="N"/>
    <s v="Y"/>
    <s v="N"/>
    <x v="1"/>
    <s v="N"/>
    <x v="1"/>
    <s v="N"/>
    <n v="0"/>
    <n v="0"/>
    <n v="28.66"/>
    <n v="28.66"/>
    <n v="28.66"/>
    <n v="0"/>
    <n v="0"/>
    <n v="0"/>
    <n v="0"/>
    <n v="0"/>
    <n v="0"/>
    <n v="0"/>
    <n v="85.98"/>
    <n v="28.66"/>
    <n v="9.5061955319209288E-2"/>
    <n v="0.99976744186046518"/>
    <m/>
    <m/>
    <n v="86"/>
    <s v="Acre-feet per Year"/>
    <s v="U_6"/>
    <n v="0"/>
    <n v="38.994260189999999"/>
    <n v="-123.11007112"/>
    <s v="RUSSIAN RIVER"/>
  </r>
  <r>
    <s v="A024774"/>
    <n v="19750311"/>
    <n v="1"/>
    <s v="N"/>
    <s v="N"/>
    <s v="Y"/>
    <s v="Y"/>
    <x v="0"/>
    <s v="West Fork and Below Lake"/>
    <s v="Outside"/>
    <x v="0"/>
    <n v="1975"/>
    <x v="1"/>
    <x v="0"/>
    <s v="Y"/>
    <s v="N"/>
    <s v="N"/>
    <s v="Y"/>
    <s v="N"/>
    <x v="1"/>
    <s v="N"/>
    <x v="1"/>
    <s v="N"/>
    <n v="0.13"/>
    <n v="0.13"/>
    <n v="0.13"/>
    <n v="0.13"/>
    <n v="0"/>
    <n v="0.41"/>
    <n v="0.41"/>
    <n v="0.41"/>
    <n v="0.41"/>
    <n v="0.41"/>
    <n v="0.12"/>
    <n v="0.12"/>
    <n v="2.81"/>
    <n v="1.6481399999999999"/>
    <n v="5.4666926392115001E-3"/>
    <n v="0.32695367816091953"/>
    <m/>
    <m/>
    <n v="8.6999999999999993"/>
    <s v="Acre-feet per Year"/>
    <s v="U_1"/>
    <n v="0"/>
    <n v="39.245699999999999"/>
    <n v="-123.221"/>
    <s v="UNNAMED STREAM"/>
  </r>
  <r>
    <s v="A024780"/>
    <n v="19750318"/>
    <n v="18"/>
    <s v="N"/>
    <s v="N"/>
    <s v="N"/>
    <s v="N"/>
    <x v="1"/>
    <s v="Outside"/>
    <s v="Outside"/>
    <x v="0"/>
    <n v="1975"/>
    <x v="1"/>
    <x v="0"/>
    <s v="N"/>
    <s v="N"/>
    <s v="N"/>
    <s v="Y"/>
    <s v="N"/>
    <x v="1"/>
    <s v="N"/>
    <x v="1"/>
    <s v="N"/>
    <n v="1.5"/>
    <n v="1.5"/>
    <n v="1.2343333329999999"/>
    <n v="0.26166666700000002"/>
    <n v="0.33333333300000001"/>
    <n v="0"/>
    <n v="0"/>
    <n v="0"/>
    <n v="0"/>
    <n v="0"/>
    <n v="0"/>
    <n v="0"/>
    <n v="4.8293333330000001"/>
    <n v="0.33333333300000001"/>
    <n v="1.1056286953262076E-3"/>
    <n v="0.79169398901639354"/>
    <m/>
    <m/>
    <n v="6.1"/>
    <s v="Acre-feet per Year"/>
    <s v="L_18"/>
    <n v="0"/>
    <n v="38.444048500000001"/>
    <n v="-122.89404691999999"/>
    <s v="UNST"/>
  </r>
  <r>
    <s v="A024783"/>
    <n v="19750320"/>
    <n v="23"/>
    <s v="N"/>
    <s v="N"/>
    <s v="N"/>
    <s v="N"/>
    <x v="1"/>
    <s v="Outside"/>
    <s v="Outside"/>
    <x v="0"/>
    <n v="1975"/>
    <x v="1"/>
    <x v="0"/>
    <s v="N"/>
    <s v="N"/>
    <s v="N"/>
    <s v="Y"/>
    <s v="N"/>
    <x v="1"/>
    <s v="N"/>
    <x v="0"/>
    <s v="N"/>
    <n v="0.25"/>
    <n v="0.5"/>
    <n v="0.75"/>
    <n v="0.25"/>
    <n v="0"/>
    <n v="0"/>
    <n v="0"/>
    <n v="0"/>
    <n v="0"/>
    <n v="0"/>
    <n v="0"/>
    <n v="0.25"/>
    <n v="2"/>
    <n v="0"/>
    <n v="0"/>
    <n v="1"/>
    <m/>
    <m/>
    <n v="2"/>
    <s v="Acre-feet per Year"/>
    <s v="L_24"/>
    <n v="0"/>
    <n v="38.555799999999998"/>
    <n v="-122.6121"/>
    <s v="UNST"/>
  </r>
  <r>
    <s v="A024789A"/>
    <n v="19750327"/>
    <n v="5"/>
    <s v="Y"/>
    <s v="N"/>
    <s v="Y"/>
    <s v="Y"/>
    <x v="0"/>
    <s v="West Fork and Below Lake"/>
    <s v="Mendocino (d/s of lake)"/>
    <x v="0"/>
    <n v="1975"/>
    <x v="1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2.4"/>
    <s v="Acre-feet per Year"/>
    <s v="U_5"/>
    <n v="0"/>
    <n v="39.085533220000002"/>
    <n v="-123.17043983000001"/>
    <s v="RUSSIAN RIVER"/>
  </r>
  <r>
    <s v="A024789B"/>
    <n v="19750327"/>
    <n v="5"/>
    <s v="Y"/>
    <s v="N"/>
    <s v="Y"/>
    <s v="Y"/>
    <x v="0"/>
    <s v="West Fork and Below Lake"/>
    <s v="Mendocino (d/s of lake)"/>
    <x v="0"/>
    <n v="1975"/>
    <x v="1"/>
    <x v="1"/>
    <s v="Y"/>
    <s v="N"/>
    <s v="N"/>
    <s v="Y"/>
    <s v="N"/>
    <x v="1"/>
    <s v="N"/>
    <x v="1"/>
    <s v="N"/>
    <n v="0"/>
    <n v="0"/>
    <n v="1.1299999999999999"/>
    <n v="0.06"/>
    <n v="0.03"/>
    <n v="0"/>
    <n v="0"/>
    <n v="0"/>
    <n v="0"/>
    <n v="0"/>
    <n v="0"/>
    <n v="0"/>
    <n v="1.22"/>
    <n v="3.3333333333333298E-2"/>
    <n v="1.1056286964318352E-4"/>
    <n v="5.3478260869565065E-2"/>
    <m/>
    <m/>
    <n v="23"/>
    <s v="Acre-feet per Year"/>
    <s v="U_5"/>
    <n v="0"/>
    <n v="39.089599999999997"/>
    <n v="-123.1729"/>
    <s v="RUSSIAN RIVER"/>
  </r>
  <r>
    <s v="A024790A"/>
    <n v="19750331"/>
    <n v="9"/>
    <s v="N"/>
    <s v="Y"/>
    <s v="Y"/>
    <s v="Y"/>
    <x v="0"/>
    <s v="West Fork and Below Lake"/>
    <s v="Sonoma (d/s of Clov. Gage)"/>
    <x v="0"/>
    <n v="1975"/>
    <x v="1"/>
    <x v="0"/>
    <s v="Y"/>
    <s v="N"/>
    <s v="N"/>
    <s v="Y"/>
    <s v="N"/>
    <x v="1"/>
    <s v="N"/>
    <x v="0"/>
    <s v="N"/>
    <n v="5"/>
    <n v="4"/>
    <n v="5"/>
    <n v="0"/>
    <n v="0"/>
    <n v="0"/>
    <n v="0"/>
    <n v="0"/>
    <n v="0"/>
    <n v="0"/>
    <n v="0"/>
    <n v="0"/>
    <n v="14"/>
    <n v="0"/>
    <n v="0"/>
    <n v="0.23333333333333334"/>
    <m/>
    <m/>
    <n v="60"/>
    <s v="Acre-feet per Year"/>
    <s v="U_9"/>
    <n v="0"/>
    <n v="38.866318919999998"/>
    <n v="-123.04986518"/>
    <s v="EDWARDS CREEK"/>
  </r>
  <r>
    <s v="A024791"/>
    <n v="19750331"/>
    <n v="9"/>
    <s v="N"/>
    <s v="Y"/>
    <s v="Y"/>
    <s v="Y"/>
    <x v="0"/>
    <s v="West Fork and Below Lake"/>
    <s v="Sonoma (d/s of Clov. Gage)"/>
    <x v="0"/>
    <n v="1975"/>
    <x v="1"/>
    <x v="1"/>
    <s v="Y"/>
    <s v="N"/>
    <s v="N"/>
    <s v="Y"/>
    <s v="N"/>
    <x v="1"/>
    <s v="N"/>
    <x v="1"/>
    <s v="N"/>
    <n v="0"/>
    <n v="0"/>
    <n v="0"/>
    <n v="0"/>
    <n v="8.3333333333333297E-3"/>
    <n v="1.02"/>
    <n v="2.76"/>
    <n v="2.85"/>
    <n v="2.2200000000000002"/>
    <n v="0.45"/>
    <n v="0"/>
    <n v="0"/>
    <n v="9.3083333333333336"/>
    <n v="8.8689999999999927"/>
    <n v="2.9417462725961845E-2"/>
    <n v="0.95125850340135976"/>
    <m/>
    <m/>
    <n v="9.8000000000000007"/>
    <s v="Acre-feet per Year"/>
    <s v="U_9"/>
    <n v="0"/>
    <n v="38.725565789999997"/>
    <n v="-122.9229947"/>
    <s v="RUSSIAN RIVER UNDERFLOW"/>
  </r>
  <r>
    <s v="A024805"/>
    <n v="19750506"/>
    <n v="1"/>
    <s v="N"/>
    <s v="N"/>
    <s v="Y"/>
    <s v="Y"/>
    <x v="0"/>
    <s v="West Fork and Below Lake"/>
    <s v="Outside"/>
    <x v="0"/>
    <n v="1975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"/>
    <s v="Acre-feet per Year"/>
    <s v="U_1"/>
    <n v="3.4039024194010059E-4"/>
    <n v="39.2545"/>
    <n v="-123.2269"/>
    <s v="UNST"/>
  </r>
  <r>
    <s v="A024807"/>
    <n v="19750507"/>
    <n v="5"/>
    <s v="Y"/>
    <s v="N"/>
    <s v="Y"/>
    <s v="Y"/>
    <x v="0"/>
    <s v="West Fork and Below Lake"/>
    <s v="Mendocino (d/s of lake)"/>
    <x v="0"/>
    <n v="1975"/>
    <x v="1"/>
    <x v="0"/>
    <s v="Y"/>
    <s v="N"/>
    <s v="N"/>
    <s v="Y"/>
    <s v="N"/>
    <x v="1"/>
    <s v="N"/>
    <x v="1"/>
    <s v="N"/>
    <n v="0"/>
    <n v="0"/>
    <n v="0"/>
    <n v="0"/>
    <n v="0.1"/>
    <n v="0.15"/>
    <n v="0"/>
    <n v="0"/>
    <n v="0"/>
    <n v="0"/>
    <n v="0"/>
    <n v="0"/>
    <n v="0.25"/>
    <n v="0.25896266700000004"/>
    <n v="8.5894966781916533E-4"/>
    <n v="0.25896266700000004"/>
    <m/>
    <m/>
    <n v="1"/>
    <s v="Acre-feet per Year"/>
    <s v="U_5"/>
    <n v="0"/>
    <n v="39.09478283"/>
    <n v="-123.23226080000001"/>
    <s v="UNST"/>
  </r>
  <r>
    <s v="A024817"/>
    <n v="19750602"/>
    <n v="23"/>
    <s v="N"/>
    <s v="N"/>
    <s v="N"/>
    <s v="N"/>
    <x v="1"/>
    <s v="Outside"/>
    <s v="Outside"/>
    <x v="0"/>
    <n v="1975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"/>
    <s v="Acre-feet per Year"/>
    <s v="L_28"/>
    <n v="0"/>
    <n v="38.331499999999998"/>
    <n v="-122.77209999999999"/>
    <s v="UNST"/>
  </r>
  <r>
    <s v="A024820"/>
    <n v="19750612"/>
    <n v="4"/>
    <s v="Y"/>
    <s v="N"/>
    <s v="Y"/>
    <s v="Y"/>
    <x v="0"/>
    <s v="West Fork and Below Lake"/>
    <s v="Mendocino (d/s of lake)"/>
    <x v="0"/>
    <n v="1975"/>
    <x v="1"/>
    <x v="1"/>
    <s v="Y"/>
    <s v="N"/>
    <s v="N"/>
    <s v="Y"/>
    <s v="N"/>
    <x v="1"/>
    <s v="N"/>
    <x v="1"/>
    <s v="N"/>
    <n v="0"/>
    <n v="0"/>
    <n v="0"/>
    <n v="0"/>
    <n v="0"/>
    <n v="2.9"/>
    <n v="3.63"/>
    <n v="3.8"/>
    <n v="2.13"/>
    <n v="0"/>
    <n v="0"/>
    <n v="0"/>
    <n v="12.459999999999997"/>
    <n v="12.466666666666658"/>
    <n v="4.1350513246550646E-2"/>
    <n v="0.31166666666666643"/>
    <m/>
    <m/>
    <n v="40"/>
    <s v="Acre-feet per Year"/>
    <s v="U_4"/>
    <n v="0"/>
    <n v="39.164802739999999"/>
    <n v="-123.19273783"/>
    <s v="RUSSIAN RIVER"/>
  </r>
  <r>
    <s v="A024827"/>
    <n v="19750626"/>
    <n v="21"/>
    <s v="N"/>
    <s v="N"/>
    <s v="N"/>
    <s v="N"/>
    <x v="1"/>
    <s v="Outside"/>
    <s v="Outside"/>
    <x v="0"/>
    <n v="1975"/>
    <x v="1"/>
    <x v="0"/>
    <s v="N"/>
    <s v="N"/>
    <s v="N"/>
    <s v="Y"/>
    <s v="N"/>
    <x v="1"/>
    <s v="N"/>
    <x v="0"/>
    <s v="N"/>
    <n v="3.0666666669999998"/>
    <n v="3.8"/>
    <n v="0.8"/>
    <n v="0.2"/>
    <n v="0"/>
    <n v="0"/>
    <n v="0"/>
    <n v="0"/>
    <n v="0"/>
    <n v="0"/>
    <n v="0.66666666699999999"/>
    <n v="2.1333333329999999"/>
    <n v="10.666666666999999"/>
    <n v="0"/>
    <n v="0"/>
    <n v="0.50793650795238088"/>
    <m/>
    <m/>
    <n v="21"/>
    <s v="Acre-feet per Year"/>
    <s v="L_21"/>
    <n v="0"/>
    <n v="38.432071000000001"/>
    <n v="-122.95046739999999"/>
    <s v="NORTH FORK LANCEL CREEK"/>
  </r>
  <r>
    <s v="A024854"/>
    <n v="19750808"/>
    <n v="6"/>
    <s v="Y"/>
    <s v="N"/>
    <s v="Y"/>
    <s v="Y"/>
    <x v="0"/>
    <s v="West Fork and Below Lake"/>
    <s v="Mendocino (d/s of lake)"/>
    <x v="0"/>
    <n v="1975"/>
    <x v="1"/>
    <x v="0"/>
    <s v="Y"/>
    <s v="N"/>
    <s v="N"/>
    <s v="Y"/>
    <s v="N"/>
    <x v="1"/>
    <s v="N"/>
    <x v="0"/>
    <s v="N"/>
    <n v="0.33"/>
    <n v="0.33"/>
    <n v="0.33"/>
    <n v="0"/>
    <n v="0"/>
    <n v="0"/>
    <n v="0"/>
    <n v="0"/>
    <n v="0"/>
    <n v="0"/>
    <n v="0"/>
    <n v="0.33"/>
    <n v="1.32"/>
    <n v="0"/>
    <n v="0"/>
    <n v="0.1904761902857143"/>
    <m/>
    <m/>
    <n v="7"/>
    <s v="Acre-feet per Year"/>
    <s v="U_6"/>
    <n v="0"/>
    <n v="38.873636810000001"/>
    <n v="-123.10477400000001"/>
    <s v="UNST"/>
  </r>
  <r>
    <s v="A024864A"/>
    <n v="19750825"/>
    <n v="12"/>
    <s v="N"/>
    <s v="Y"/>
    <s v="Y"/>
    <s v="Y"/>
    <x v="0"/>
    <s v="West Fork and Below Lake"/>
    <s v="Sonoma (d/s of Clov. Gage)"/>
    <x v="0"/>
    <n v="1975"/>
    <x v="1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1"/>
    <s v="Acre-feet per Year"/>
    <s v="U_12"/>
    <n v="0"/>
    <n v="38.651142569999998"/>
    <n v="-122.81347409"/>
    <s v="RUSSIAN RIVER"/>
  </r>
  <r>
    <s v="A024864B"/>
    <n v="19750825"/>
    <n v="12"/>
    <s v="N"/>
    <s v="Y"/>
    <s v="Y"/>
    <s v="Y"/>
    <x v="0"/>
    <s v="West Fork and Below Lake"/>
    <s v="Sonoma (d/s of Clov. Gage)"/>
    <x v="0"/>
    <n v="1975"/>
    <x v="1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0"/>
    <s v="Acre-feet per Year"/>
    <s v="U_12"/>
    <n v="0"/>
    <n v="38.652208940000001"/>
    <n v="-122.8180387"/>
    <s v="RUSSIAN RIVER"/>
  </r>
  <r>
    <s v="A024865A01"/>
    <n v="19750826"/>
    <n v="18"/>
    <s v="N"/>
    <s v="N"/>
    <s v="N"/>
    <s v="N"/>
    <x v="1"/>
    <s v="Outside"/>
    <s v="Outside"/>
    <x v="0"/>
    <n v="1975"/>
    <x v="1"/>
    <x v="1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3"/>
    <s v="Acre-feet per Year"/>
    <s v="L_18"/>
    <n v="3.4039024194010059E-4"/>
    <n v="38.503399999999999"/>
    <n v="-122.8891"/>
    <s v="RUSSIAN RIVER UNDERFLOW"/>
  </r>
  <r>
    <s v="A024865A02"/>
    <n v="19750826"/>
    <n v="18"/>
    <s v="N"/>
    <s v="N"/>
    <s v="N"/>
    <s v="N"/>
    <x v="1"/>
    <s v="Outside"/>
    <s v="Outside"/>
    <x v="0"/>
    <n v="1975"/>
    <x v="1"/>
    <x v="1"/>
    <s v="N"/>
    <s v="N"/>
    <s v="N"/>
    <s v="Y"/>
    <s v="N"/>
    <x v="1"/>
    <s v="N"/>
    <x v="1"/>
    <s v="N"/>
    <n v="0"/>
    <n v="0"/>
    <n v="0"/>
    <n v="0"/>
    <n v="0"/>
    <n v="0.28000000000000003"/>
    <n v="0.33666666699999998"/>
    <n v="0.193333333"/>
    <n v="0.16"/>
    <n v="0"/>
    <n v="0"/>
    <n v="0"/>
    <n v="0.97000000000000008"/>
    <n v="0.97000000000000008"/>
    <n v="3.2173795066166438E-3"/>
    <n v="1.5980230642504121E-2"/>
    <m/>
    <m/>
    <n v="60.7"/>
    <s v="Acre-feet per Year"/>
    <s v="L_18"/>
    <n v="0"/>
    <n v="38.503300000000003"/>
    <n v="-122.8891"/>
    <s v="RUSSIAN RIVER UNDERFLOW"/>
  </r>
  <r>
    <s v="A024865B"/>
    <n v="19750826"/>
    <n v="18"/>
    <s v="N"/>
    <s v="N"/>
    <s v="N"/>
    <s v="N"/>
    <x v="1"/>
    <s v="Outside"/>
    <s v="Outside"/>
    <x v="0"/>
    <n v="1975"/>
    <x v="1"/>
    <x v="1"/>
    <s v="N"/>
    <s v="N"/>
    <s v="N"/>
    <s v="Y"/>
    <s v="N"/>
    <x v="1"/>
    <s v="N"/>
    <x v="1"/>
    <s v="N"/>
    <n v="0"/>
    <n v="0"/>
    <n v="0"/>
    <n v="2.3563000000000001E-2"/>
    <n v="3.4091999999999997E-2"/>
    <n v="0"/>
    <n v="0"/>
    <n v="0"/>
    <n v="0"/>
    <n v="0"/>
    <n v="2.6596999999999999E-2"/>
    <n v="0"/>
    <n v="8.4251999999999994E-2"/>
    <n v="3.4091999999999997E-2"/>
    <n v="1.1307928055626249E-4"/>
    <n v="1.3811803278688524E-3"/>
    <m/>
    <m/>
    <n v="61"/>
    <s v="Acre-feet per Year"/>
    <s v="L_18"/>
    <n v="0"/>
    <n v="38.503399999999999"/>
    <n v="-122.8891"/>
    <s v="RUSSIAN RIVER UNDERFLOW"/>
  </r>
  <r>
    <s v="A024877"/>
    <n v="19750910"/>
    <n v="12"/>
    <s v="N"/>
    <s v="Y"/>
    <s v="Y"/>
    <s v="Y"/>
    <x v="0"/>
    <s v="West Fork and Below Lake"/>
    <s v="Sonoma (d/s of Clov. Gage)"/>
    <x v="0"/>
    <n v="1975"/>
    <x v="1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2"/>
    <s v="Acre-feet per Year"/>
    <s v="U_12"/>
    <n v="0"/>
    <n v="38.652473649999997"/>
    <n v="-122.81944249999999"/>
    <s v="RUSSIAN RIVER"/>
  </r>
  <r>
    <s v="A024884"/>
    <n v="19750924"/>
    <n v="20"/>
    <s v="N"/>
    <s v="N"/>
    <s v="N"/>
    <s v="N"/>
    <x v="1"/>
    <s v="Outside"/>
    <s v="Outside"/>
    <x v="0"/>
    <n v="1975"/>
    <x v="1"/>
    <x v="0"/>
    <s v="N"/>
    <s v="N"/>
    <s v="N"/>
    <s v="Y"/>
    <s v="N"/>
    <x v="1"/>
    <s v="N"/>
    <x v="1"/>
    <s v="N"/>
    <n v="9.2066639999999998E-3"/>
    <n v="9.2066639999999998E-3"/>
    <n v="9.2066639999999998E-3"/>
    <n v="9.2066639999999998E-3"/>
    <n v="0.11968663"/>
    <n v="0.11968663"/>
    <n v="0.11968663"/>
    <n v="0.11968663"/>
    <n v="0.11968663"/>
    <n v="0.11968663"/>
    <n v="9.2066639999999998E-3"/>
    <n v="9.2066639999999998E-3"/>
    <n v="0.77335976400000006"/>
    <n v="0.59843314999999997"/>
    <n v="1.984934590608293E-3"/>
    <n v="0.51557317600000008"/>
    <m/>
    <m/>
    <n v="1.5"/>
    <s v="Acre-feet per Year"/>
    <s v="L_20"/>
    <n v="3.4039024194010059E-4"/>
    <n v="38.53143764"/>
    <n v="-123.13724033"/>
    <s v="POLE MOUNTAIN CREEK"/>
  </r>
  <r>
    <s v="A024889"/>
    <n v="19750929"/>
    <n v="13"/>
    <s v="N"/>
    <s v="Y"/>
    <s v="Y"/>
    <s v="Y"/>
    <x v="0"/>
    <s v="West Fork and Below Lake"/>
    <s v="Sonoma (d/s of Clov. Gage)"/>
    <x v="0"/>
    <n v="1975"/>
    <x v="1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2"/>
    <s v="Acre-feet per Year"/>
    <s v="U_13"/>
    <n v="3.4039024194010059E-4"/>
    <n v="38.611115169999998"/>
    <n v="-122.84294147999999"/>
    <s v="RUSSIAN RIVER"/>
  </r>
  <r>
    <s v="A024890"/>
    <n v="19750922"/>
    <n v="9"/>
    <s v="N"/>
    <s v="Y"/>
    <s v="Y"/>
    <s v="Y"/>
    <x v="0"/>
    <s v="West Fork and Below Lake"/>
    <s v="Sonoma (d/s of Clov. Gage)"/>
    <x v="0"/>
    <n v="1975"/>
    <x v="1"/>
    <x v="1"/>
    <s v="Y"/>
    <s v="N"/>
    <s v="N"/>
    <s v="Y"/>
    <s v="N"/>
    <x v="1"/>
    <s v="N"/>
    <x v="1"/>
    <s v="N"/>
    <n v="0.93"/>
    <n v="0.9"/>
    <n v="0.93"/>
    <n v="1.2"/>
    <n v="1.86"/>
    <n v="2.1"/>
    <n v="2.33"/>
    <n v="2.2999999999999998"/>
    <n v="2.36"/>
    <n v="2.2599999999999998"/>
    <n v="1.43"/>
    <n v="1.23"/>
    <n v="19.830000000000002"/>
    <n v="10.966666666666672"/>
    <n v="3.6375184112607428E-2"/>
    <n v="0.10915750915750921"/>
    <m/>
    <m/>
    <n v="182"/>
    <s v="Acre-feet per Year"/>
    <s v="U_9"/>
    <n v="3.4039024194010059E-4"/>
    <n v="38.770428649999999"/>
    <n v="-122.97759528"/>
    <s v="RUSSIAN RIVER UNDERFLOW"/>
  </r>
  <r>
    <s v="A024891"/>
    <n v="19750930"/>
    <n v="17"/>
    <s v="N"/>
    <s v="N"/>
    <s v="N"/>
    <s v="N"/>
    <x v="1"/>
    <s v="Outside"/>
    <s v="Outside"/>
    <x v="0"/>
    <n v="1975"/>
    <x v="1"/>
    <x v="1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6"/>
    <s v="Acre-feet per Year"/>
    <s v="L_17"/>
    <n v="0"/>
    <n v="38.553072649999997"/>
    <n v="-122.85676884999999"/>
    <s v="RUSSIAN RIVER UNDERFLOW"/>
  </r>
  <r>
    <s v="A024892A"/>
    <n v="19750930"/>
    <n v="17"/>
    <s v="N"/>
    <s v="N"/>
    <s v="N"/>
    <s v="N"/>
    <x v="1"/>
    <s v="Outside"/>
    <s v="Outside"/>
    <x v="0"/>
    <n v="1975"/>
    <x v="1"/>
    <x v="1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95"/>
    <s v="Acre-feet per Year"/>
    <s v="L_17"/>
    <n v="0"/>
    <n v="38.5377425"/>
    <n v="-122.85029158"/>
    <s v="RUSSIAN RIVER UNDERFLOW"/>
  </r>
  <r>
    <s v="A024892B"/>
    <n v="19750930"/>
    <n v="17"/>
    <s v="N"/>
    <s v="N"/>
    <s v="N"/>
    <s v="N"/>
    <x v="1"/>
    <s v="Outside"/>
    <s v="Outside"/>
    <x v="0"/>
    <n v="1975"/>
    <x v="1"/>
    <x v="1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3.4"/>
    <s v="Acre-feet per Year"/>
    <s v="L_17"/>
    <n v="0"/>
    <n v="38.53802357"/>
    <n v="-122.85015857"/>
    <s v="RUSSIAN RIVER UNDERFLOW"/>
  </r>
  <r>
    <s v="A024893A"/>
    <n v="19750930"/>
    <n v="9"/>
    <s v="N"/>
    <s v="Y"/>
    <s v="Y"/>
    <s v="Y"/>
    <x v="0"/>
    <s v="West Fork and Below Lake"/>
    <s v="Sonoma (d/s of Clov. Gage)"/>
    <x v="0"/>
    <n v="1975"/>
    <x v="1"/>
    <x v="1"/>
    <s v="Y"/>
    <s v="N"/>
    <s v="N"/>
    <s v="Y"/>
    <s v="N"/>
    <x v="1"/>
    <s v="N"/>
    <x v="1"/>
    <s v="N"/>
    <n v="0"/>
    <n v="0"/>
    <n v="0"/>
    <n v="0"/>
    <n v="0"/>
    <n v="6.9"/>
    <n v="8.93"/>
    <n v="8.36"/>
    <n v="0"/>
    <n v="0"/>
    <n v="0"/>
    <n v="0"/>
    <n v="24.189999999999998"/>
    <n v="24.200000000000003"/>
    <n v="8.0268643360951325E-2"/>
    <n v="0.57619047619047625"/>
    <m/>
    <m/>
    <n v="42"/>
    <s v="Acre-feet per Year"/>
    <s v="U_9"/>
    <n v="0"/>
    <n v="38.799338349999999"/>
    <n v="-123.00080182000001"/>
    <s v="RUSSIAN RIVER UNDERFLOW"/>
  </r>
  <r>
    <s v="A024893B"/>
    <n v="19750930"/>
    <n v="9"/>
    <s v="N"/>
    <s v="Y"/>
    <s v="Y"/>
    <s v="Y"/>
    <x v="0"/>
    <s v="West Fork and Below Lake"/>
    <s v="Sonoma (d/s of Clov. Gage)"/>
    <x v="0"/>
    <n v="1975"/>
    <x v="1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50"/>
    <s v="Acre-feet per Year"/>
    <s v="U_9"/>
    <n v="0"/>
    <n v="38.799338349999999"/>
    <n v="-123.00080182000001"/>
    <s v="RUSSIAN RIVER UNDERFLOW"/>
  </r>
  <r>
    <s v="A024894"/>
    <n v="19750930"/>
    <n v="9"/>
    <s v="N"/>
    <s v="Y"/>
    <s v="Y"/>
    <s v="Y"/>
    <x v="0"/>
    <s v="West Fork and Below Lake"/>
    <s v="Sonoma (d/s of Clov. Gage)"/>
    <x v="0"/>
    <n v="1975"/>
    <x v="1"/>
    <x v="1"/>
    <s v="Y"/>
    <s v="N"/>
    <s v="N"/>
    <s v="Y"/>
    <s v="N"/>
    <x v="1"/>
    <s v="N"/>
    <x v="1"/>
    <s v="N"/>
    <n v="0"/>
    <n v="0"/>
    <n v="0"/>
    <n v="0"/>
    <n v="0"/>
    <n v="10.06"/>
    <n v="11.6"/>
    <n v="13.63"/>
    <n v="11.06"/>
    <n v="3.06"/>
    <n v="0"/>
    <n v="0"/>
    <n v="49.410000000000004"/>
    <n v="46.366666666666696"/>
    <n v="0.15379295167366855"/>
    <n v="0.96738421395955698"/>
    <m/>
    <m/>
    <n v="51.1"/>
    <s v="Acre-feet per Year"/>
    <s v="U_9"/>
    <n v="0"/>
    <n v="38.728049830000003"/>
    <n v="-122.91688852"/>
    <s v="RUSSIAN RIVER UNDERFLOW"/>
  </r>
  <r>
    <s v="A024898"/>
    <n v="19751010"/>
    <n v="4"/>
    <s v="Y"/>
    <s v="N"/>
    <s v="Y"/>
    <s v="Y"/>
    <x v="0"/>
    <s v="West Fork and Below Lake"/>
    <s v="Mendocino (d/s of lake)"/>
    <x v="0"/>
    <n v="1975"/>
    <x v="1"/>
    <x v="0"/>
    <s v="Y"/>
    <s v="N"/>
    <s v="N"/>
    <s v="Y"/>
    <s v="N"/>
    <x v="1"/>
    <s v="N"/>
    <x v="0"/>
    <s v="N"/>
    <n v="1.88"/>
    <n v="0"/>
    <n v="0"/>
    <n v="0.17"/>
    <n v="0"/>
    <n v="0"/>
    <n v="0"/>
    <n v="0"/>
    <n v="0"/>
    <n v="0.02"/>
    <n v="3.94"/>
    <n v="2"/>
    <n v="8.01"/>
    <n v="0"/>
    <n v="0"/>
    <n v="0.32093333336000002"/>
    <m/>
    <m/>
    <n v="25"/>
    <s v="Acre-feet per Year"/>
    <s v="U_4"/>
    <n v="0"/>
    <n v="39.142984349999999"/>
    <n v="-123.16433649"/>
    <s v="MCCLURE CREEK"/>
  </r>
  <r>
    <s v="A024899"/>
    <n v="19751014"/>
    <n v="9"/>
    <s v="N"/>
    <s v="Y"/>
    <s v="Y"/>
    <s v="Y"/>
    <x v="0"/>
    <s v="West Fork and Below Lake"/>
    <s v="Sonoma (d/s of Clov. Gage)"/>
    <x v="0"/>
    <n v="1975"/>
    <x v="1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2.6"/>
    <s v="Acre-feet per Year"/>
    <s v="U_9"/>
    <n v="3.4039024194010059E-4"/>
    <n v="38.780080759999997"/>
    <n v="-122.98895407000001"/>
    <s v="RUSSIAN RIVER UNDERFLOW"/>
  </r>
  <r>
    <s v="A024905"/>
    <n v="19751017"/>
    <n v="17"/>
    <s v="N"/>
    <s v="N"/>
    <s v="N"/>
    <s v="N"/>
    <x v="1"/>
    <s v="Outside"/>
    <s v="Outside"/>
    <x v="0"/>
    <n v="1975"/>
    <x v="1"/>
    <x v="1"/>
    <s v="N"/>
    <s v="N"/>
    <s v="N"/>
    <s v="Y"/>
    <s v="N"/>
    <x v="1"/>
    <s v="N"/>
    <x v="0"/>
    <s v="N"/>
    <n v="0"/>
    <n v="0"/>
    <n v="0"/>
    <n v="6.6666666999999999E-2"/>
    <n v="0"/>
    <n v="0"/>
    <n v="0"/>
    <n v="0"/>
    <n v="0"/>
    <n v="0"/>
    <n v="0"/>
    <n v="0"/>
    <n v="6.6666666999999999E-2"/>
    <n v="0"/>
    <n v="0"/>
    <n v="1.9607843235294117E-3"/>
    <m/>
    <m/>
    <n v="34"/>
    <s v="Acre-feet per Year"/>
    <s v="L_17"/>
    <n v="0"/>
    <n v="38.529135019999998"/>
    <n v="-122.86312384"/>
    <s v="RUSSIAN RIVER UNDERFLOW"/>
  </r>
  <r>
    <s v="A024909"/>
    <n v="19751021"/>
    <n v="9"/>
    <s v="N"/>
    <s v="Y"/>
    <s v="Y"/>
    <s v="Y"/>
    <x v="0"/>
    <s v="West Fork and Below Lake"/>
    <s v="Sonoma (d/s of Clov. Gage)"/>
    <x v="0"/>
    <n v="1975"/>
    <x v="1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.9"/>
    <s v="Acre-feet per Year"/>
    <s v="U_9"/>
    <n v="3.4039024194010059E-4"/>
    <n v="38.831932160000001"/>
    <n v="-123.01038815"/>
    <s v="RUSSIAN RIVER UNDERFLOW"/>
  </r>
  <r>
    <s v="A024912"/>
    <n v="19751022"/>
    <n v="9"/>
    <s v="N"/>
    <s v="Y"/>
    <s v="Y"/>
    <s v="Y"/>
    <x v="0"/>
    <s v="West Fork and Below Lake"/>
    <s v="Sonoma (d/s of Clov. Gage)"/>
    <x v="0"/>
    <n v="1975"/>
    <x v="1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5"/>
    <s v="Acre-feet per Year"/>
    <s v="U_9"/>
    <n v="3.4039024194010059E-4"/>
    <n v="38.776045770000003"/>
    <n v="-122.99521251"/>
    <s v="RUSSIAN RIVER UNDERFLOW"/>
  </r>
  <r>
    <s v="A024919"/>
    <n v="19751027"/>
    <n v="9"/>
    <s v="N"/>
    <s v="Y"/>
    <s v="Y"/>
    <s v="Y"/>
    <x v="0"/>
    <s v="West Fork and Below Lake"/>
    <s v="Sonoma (d/s of Clov. Gage)"/>
    <x v="0"/>
    <n v="1975"/>
    <x v="1"/>
    <x v="1"/>
    <s v="Y"/>
    <s v="N"/>
    <s v="N"/>
    <s v="Y"/>
    <s v="N"/>
    <x v="1"/>
    <s v="N"/>
    <x v="1"/>
    <s v="N"/>
    <n v="0.05"/>
    <n v="0.05"/>
    <n v="7.0000000000000007E-2"/>
    <n v="7.0000000000000007E-2"/>
    <n v="0.08"/>
    <n v="0.08"/>
    <n v="0.08"/>
    <n v="0.08"/>
    <n v="0.08"/>
    <n v="0.08"/>
    <n v="0.06"/>
    <n v="0.06"/>
    <n v="0.84000000000000008"/>
    <n v="0.40959166499999999"/>
    <n v="1.3585688959298862E-3"/>
    <n v="0.66695820461538446"/>
    <m/>
    <m/>
    <n v="1.3"/>
    <s v="Acre-feet per Year"/>
    <s v="U_9"/>
    <n v="3.4039024194010059E-4"/>
    <n v="38.830568499999998"/>
    <n v="-123.00931558000001"/>
    <s v="RUSSIAN RIVER UNDERFLOW"/>
  </r>
  <r>
    <s v="A024921"/>
    <n v="19751029"/>
    <n v="21"/>
    <s v="N"/>
    <s v="N"/>
    <s v="N"/>
    <s v="N"/>
    <x v="1"/>
    <s v="Outside"/>
    <s v="Outside"/>
    <x v="0"/>
    <n v="1975"/>
    <x v="1"/>
    <x v="1"/>
    <s v="N"/>
    <s v="N"/>
    <s v="N"/>
    <s v="Y"/>
    <s v="N"/>
    <x v="1"/>
    <s v="N"/>
    <x v="1"/>
    <s v="N"/>
    <n v="1.0226670000000001E-3"/>
    <n v="1.0226670000000001E-3"/>
    <n v="5.1133299999999999E-4"/>
    <n v="1.6366670000000001E-3"/>
    <n v="2.1483330000000001E-3"/>
    <n v="2.66E-3"/>
    <n v="5.8313330000000002E-3"/>
    <n v="9.3100000000000006E-3"/>
    <n v="7.9799999999999992E-3"/>
    <n v="1.841E-3"/>
    <n v="1.0226670000000001E-3"/>
    <n v="1.0226670000000001E-3"/>
    <n v="3.6009334000000004E-2"/>
    <n v="2.7929665999999999E-2"/>
    <n v="9.2639520634069729E-5"/>
    <n v="7.2018668000000008E-2"/>
    <m/>
    <m/>
    <n v="0.5"/>
    <s v="Acre-feet per Year"/>
    <s v="L_21"/>
    <n v="0"/>
    <n v="38.475038550000001"/>
    <n v="-122.99975619999999"/>
    <s v="RUSSIAN RIVER"/>
  </r>
  <r>
    <s v="A024929"/>
    <n v="19751117"/>
    <n v="21"/>
    <s v="N"/>
    <s v="N"/>
    <s v="N"/>
    <s v="N"/>
    <x v="1"/>
    <s v="Outside"/>
    <s v="Outside"/>
    <x v="0"/>
    <n v="1975"/>
    <x v="1"/>
    <x v="1"/>
    <s v="N"/>
    <s v="N"/>
    <s v="N"/>
    <s v="Y"/>
    <s v="N"/>
    <x v="1"/>
    <s v="N"/>
    <x v="1"/>
    <s v="N"/>
    <n v="49.506666670000001"/>
    <n v="43.58"/>
    <n v="52.4"/>
    <n v="48.36"/>
    <n v="57.27"/>
    <n v="65.593333329999993"/>
    <n v="77.686666669999994"/>
    <n v="76.856666669999996"/>
    <n v="67.373333329999994"/>
    <n v="58.516666669999999"/>
    <n v="50.49"/>
    <n v="45.25"/>
    <n v="692.88333333999992"/>
    <n v="344.78"/>
    <n v="1.1435959858673055"/>
    <n v="0.609396071539138"/>
    <m/>
    <m/>
    <n v="1137"/>
    <s v="Acre-feet per Year"/>
    <s v="L_21"/>
    <n v="0"/>
    <n v="38.472099999999998"/>
    <n v="-123.0167"/>
    <s v="RUSSIAN RIVER UNDERFLOW"/>
  </r>
  <r>
    <s v="A024931"/>
    <n v="19751117"/>
    <n v="13"/>
    <s v="N"/>
    <s v="Y"/>
    <s v="Y"/>
    <s v="Y"/>
    <x v="0"/>
    <s v="West Fork and Below Lake"/>
    <s v="Sonoma (d/s of Clov. Gage)"/>
    <x v="0"/>
    <n v="1975"/>
    <x v="1"/>
    <x v="0"/>
    <s v="Y"/>
    <s v="N"/>
    <s v="N"/>
    <s v="Y"/>
    <s v="N"/>
    <x v="1"/>
    <s v="N"/>
    <x v="1"/>
    <s v="N"/>
    <n v="0.19"/>
    <n v="0.16"/>
    <n v="0.18"/>
    <n v="0.18"/>
    <n v="0.18"/>
    <n v="0.18"/>
    <n v="0.18"/>
    <n v="0.18"/>
    <n v="0.18"/>
    <n v="0.18"/>
    <n v="0.18"/>
    <n v="0.18"/>
    <n v="2.1499999999999995"/>
    <n v="0.93672766800000007"/>
    <n v="3.1070189714474221E-3"/>
    <n v="0.48286101478260873"/>
    <m/>
    <m/>
    <n v="4.5999999999999996"/>
    <s v="Acre-feet per Year"/>
    <s v="U_13"/>
    <n v="3.4039024194010059E-4"/>
    <n v="38.596487089999997"/>
    <n v="-122.85309119"/>
    <s v="RUSSIAN RIVER UNDERFLOW"/>
  </r>
  <r>
    <s v="A024932"/>
    <n v="19751117"/>
    <n v="13"/>
    <s v="N"/>
    <s v="Y"/>
    <s v="Y"/>
    <s v="Y"/>
    <x v="0"/>
    <s v="West Fork and Below Lake"/>
    <s v="Sonoma (d/s of Clov. Gage)"/>
    <x v="0"/>
    <n v="1975"/>
    <x v="1"/>
    <x v="1"/>
    <s v="Y"/>
    <s v="N"/>
    <s v="N"/>
    <s v="Y"/>
    <s v="N"/>
    <x v="1"/>
    <s v="N"/>
    <x v="1"/>
    <s v="N"/>
    <n v="0.01"/>
    <n v="0.01"/>
    <n v="0.01"/>
    <n v="0.01"/>
    <n v="0.01"/>
    <n v="0.01"/>
    <n v="0.01"/>
    <n v="0.01"/>
    <n v="0.01"/>
    <n v="0.01"/>
    <n v="0.01"/>
    <n v="0.01"/>
    <n v="0.11999999999999998"/>
    <n v="7.6534999999999992E-2"/>
    <n v="2.5385787684423179E-4"/>
    <n v="0.91374833333333316"/>
    <m/>
    <m/>
    <n v="0.2"/>
    <s v="Acre-feet per Year"/>
    <s v="U_13"/>
    <n v="3.4039024194010059E-4"/>
    <n v="38.619192460000001"/>
    <n v="-122.82711071"/>
    <s v="RUSSIAN RIVER UNDERFLOW"/>
  </r>
  <r>
    <s v="A024935"/>
    <n v="19751118"/>
    <n v="13"/>
    <s v="N"/>
    <s v="Y"/>
    <s v="Y"/>
    <s v="Y"/>
    <x v="0"/>
    <s v="West Fork and Below Lake"/>
    <s v="Sonoma (d/s of Clov. Gage)"/>
    <x v="0"/>
    <n v="1975"/>
    <x v="1"/>
    <x v="1"/>
    <s v="Y"/>
    <s v="N"/>
    <s v="N"/>
    <s v="Y"/>
    <s v="N"/>
    <x v="1"/>
    <s v="N"/>
    <x v="1"/>
    <s v="N"/>
    <n v="0.02"/>
    <n v="0.02"/>
    <n v="0.02"/>
    <n v="0.02"/>
    <n v="0.02"/>
    <n v="0.02"/>
    <n v="0.02"/>
    <n v="0.02"/>
    <n v="0.02"/>
    <n v="0.02"/>
    <n v="0.02"/>
    <n v="0.02"/>
    <n v="0.23999999999999996"/>
    <n v="0.11499999999999999"/>
    <n v="3.8144190026898349E-4"/>
    <n v="0.68999999999999984"/>
    <m/>
    <m/>
    <n v="0.4"/>
    <s v="Acre-feet per Year"/>
    <s v="U_13"/>
    <n v="3.4039024194010059E-4"/>
    <n v="38.614222550000001"/>
    <n v="-122.8309031"/>
    <s v="RUSSIAN RIVER"/>
  </r>
  <r>
    <s v="A024951"/>
    <n v="19751205"/>
    <n v="9"/>
    <s v="N"/>
    <s v="Y"/>
    <s v="Y"/>
    <s v="Y"/>
    <x v="0"/>
    <s v="West Fork and Below Lake"/>
    <s v="Sonoma (d/s of Clov. Gage)"/>
    <x v="0"/>
    <n v="1975"/>
    <x v="1"/>
    <x v="1"/>
    <s v="Y"/>
    <s v="N"/>
    <s v="N"/>
    <s v="Y"/>
    <s v="N"/>
    <x v="1"/>
    <s v="N"/>
    <x v="1"/>
    <s v="N"/>
    <n v="0.06"/>
    <n v="0.05"/>
    <n v="0.03"/>
    <n v="0.13"/>
    <n v="0.17"/>
    <n v="0.28000000000000003"/>
    <n v="0.63"/>
    <n v="0.39"/>
    <n v="0.34"/>
    <n v="0.27"/>
    <n v="0.12"/>
    <n v="0.12"/>
    <n v="2.5900000000000003"/>
    <n v="1.8333333333333339"/>
    <n v="6.0809578303751026E-3"/>
    <n v="0.23939393939393946"/>
    <m/>
    <m/>
    <n v="11"/>
    <s v="Acre-feet per Year"/>
    <s v="U_9"/>
    <n v="3.4039024194010059E-4"/>
    <n v="38.764487850000002"/>
    <n v="-122.96558843"/>
    <s v="RUSSIAN RIVER UNDERFLOW"/>
  </r>
  <r>
    <s v="A024955"/>
    <n v="19751210"/>
    <n v="3"/>
    <s v="N"/>
    <s v="N"/>
    <s v="Y"/>
    <s v="N"/>
    <x v="0"/>
    <s v="Outside"/>
    <s v="Outside"/>
    <x v="0"/>
    <n v="1975"/>
    <x v="1"/>
    <x v="1"/>
    <s v="Y"/>
    <s v="N"/>
    <s v="N"/>
    <s v="Y"/>
    <s v="N"/>
    <x v="1"/>
    <s v="N"/>
    <x v="0"/>
    <s v="N"/>
    <n v="0"/>
    <n v="0"/>
    <n v="0"/>
    <n v="18.510000000000002"/>
    <n v="0"/>
    <n v="0"/>
    <n v="0"/>
    <n v="0"/>
    <n v="0"/>
    <n v="0"/>
    <n v="0"/>
    <n v="0"/>
    <n v="18.510000000000002"/>
    <n v="0"/>
    <n v="0"/>
    <n v="3.7782312925170002E-3"/>
    <m/>
    <m/>
    <n v="4900"/>
    <s v="Acre-feet per Year"/>
    <s v="U_3"/>
    <n v="3.4039024194010059E-4"/>
    <n v="39.197400860000002"/>
    <n v="-123.18693491000001"/>
    <s v="LAKE MENDOCINO"/>
  </r>
  <r>
    <s v="A024958A"/>
    <n v="19751216"/>
    <n v="12"/>
    <s v="N"/>
    <s v="Y"/>
    <s v="Y"/>
    <s v="Y"/>
    <x v="0"/>
    <s v="West Fork and Below Lake"/>
    <s v="Sonoma (d/s of Clov. Gage)"/>
    <x v="0"/>
    <n v="1975"/>
    <x v="1"/>
    <x v="1"/>
    <s v="Y"/>
    <s v="N"/>
    <s v="N"/>
    <s v="Y"/>
    <s v="N"/>
    <x v="1"/>
    <s v="N"/>
    <x v="1"/>
    <s v="N"/>
    <n v="0"/>
    <n v="0"/>
    <n v="0"/>
    <n v="0"/>
    <n v="0.03"/>
    <n v="0.11"/>
    <n v="0.22"/>
    <n v="0.22"/>
    <n v="0"/>
    <n v="0"/>
    <n v="0"/>
    <n v="0"/>
    <n v="0.57999999999999996"/>
    <n v="0.59539999999999971"/>
    <n v="1.9748739775665453E-3"/>
    <n v="1.4244019138755976E-2"/>
    <m/>
    <m/>
    <n v="41.8"/>
    <s v="Acre-feet per Year"/>
    <s v="U_12"/>
    <n v="0"/>
    <n v="38.640808120000003"/>
    <n v="-122.79900076"/>
    <s v="RUSSIAN RIVER UNDERFLOW"/>
  </r>
  <r>
    <s v="A024958B"/>
    <n v="19751216"/>
    <n v="12"/>
    <s v="N"/>
    <s v="Y"/>
    <s v="Y"/>
    <s v="Y"/>
    <x v="0"/>
    <s v="West Fork and Below Lake"/>
    <s v="Sonoma (d/s of Clov. Gage)"/>
    <x v="0"/>
    <n v="1975"/>
    <x v="1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3"/>
    <s v="Acre-feet per Year"/>
    <s v="U_12"/>
    <n v="0"/>
    <n v="38.640808120000003"/>
    <n v="-122.79900076"/>
    <s v="RUSSIAN RIVER UNDERFLOW"/>
  </r>
  <r>
    <s v="A024959"/>
    <n v="19751217"/>
    <n v="1"/>
    <s v="N"/>
    <s v="N"/>
    <s v="Y"/>
    <s v="Y"/>
    <x v="0"/>
    <s v="West Fork and Below Lake"/>
    <s v="Outside"/>
    <x v="0"/>
    <n v="1975"/>
    <x v="1"/>
    <x v="0"/>
    <s v="Y"/>
    <s v="N"/>
    <s v="N"/>
    <s v="Y"/>
    <s v="N"/>
    <x v="1"/>
    <s v="N"/>
    <x v="0"/>
    <s v="N"/>
    <n v="0.76"/>
    <n v="0.73"/>
    <n v="0"/>
    <n v="0"/>
    <n v="0"/>
    <n v="0"/>
    <n v="0"/>
    <n v="0"/>
    <n v="0"/>
    <n v="0"/>
    <n v="0"/>
    <n v="1.45"/>
    <n v="2.94"/>
    <n v="0"/>
    <n v="0"/>
    <n v="0.70238095238095244"/>
    <m/>
    <m/>
    <n v="4.2"/>
    <s v="Acre-feet per Year"/>
    <s v="U_1"/>
    <n v="0"/>
    <n v="39.247727079999997"/>
    <n v="-123.20631989"/>
    <s v="UNST"/>
  </r>
  <r>
    <s v="A024962"/>
    <n v="19751229"/>
    <n v="21"/>
    <s v="N"/>
    <s v="N"/>
    <s v="N"/>
    <s v="N"/>
    <x v="1"/>
    <s v="Outside"/>
    <s v="Outside"/>
    <x v="0"/>
    <n v="1975"/>
    <x v="1"/>
    <x v="1"/>
    <s v="N"/>
    <s v="N"/>
    <s v="N"/>
    <s v="Y"/>
    <s v="N"/>
    <x v="1"/>
    <s v="N"/>
    <x v="1"/>
    <s v="N"/>
    <n v="0"/>
    <n v="0"/>
    <n v="0"/>
    <n v="0"/>
    <n v="0"/>
    <n v="7.67E-4"/>
    <n v="1.534E-3"/>
    <n v="1.534E-3"/>
    <n v="7.67E-4"/>
    <n v="0"/>
    <n v="0"/>
    <n v="0"/>
    <n v="4.6020000000000002E-3"/>
    <n v="4.6020000000000002E-3"/>
    <n v="1.5264309782937934E-5"/>
    <n v="1.3945454545454547E-3"/>
    <m/>
    <m/>
    <n v="3.3"/>
    <s v="Acre-feet per Year"/>
    <s v="L_21"/>
    <n v="3.4039024194010059E-4"/>
    <n v="38.46339888"/>
    <n v="-123.0429029"/>
    <s v="RUSSIAN RIVER UNDERFLOW"/>
  </r>
  <r>
    <s v="A024963"/>
    <n v="19751229"/>
    <n v="21"/>
    <s v="N"/>
    <s v="N"/>
    <s v="N"/>
    <s v="N"/>
    <x v="1"/>
    <s v="Outside"/>
    <s v="Outside"/>
    <x v="0"/>
    <n v="1975"/>
    <x v="1"/>
    <x v="1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6"/>
    <s v="Acre-feet per Year"/>
    <s v="L_21"/>
    <n v="0"/>
    <n v="38.501089729999997"/>
    <n v="-123.00396437000001"/>
    <s v="RUSSIAN RIVER UNDERFLOW"/>
  </r>
  <r>
    <s v="A024782"/>
    <n v="19750320"/>
    <n v="16"/>
    <s v="N"/>
    <s v="N"/>
    <s v="N"/>
    <s v="N"/>
    <x v="1"/>
    <s v="Outside"/>
    <s v="Outside"/>
    <x v="0"/>
    <n v="1975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0"/>
    <s v="Acre-feet per Year"/>
    <s v="L_16"/>
    <n v="0"/>
    <n v="38.66037884"/>
    <n v="-122.90148714999999"/>
    <s v="UNST"/>
  </r>
  <r>
    <s v="C000028"/>
    <n v="19750422"/>
    <n v="23"/>
    <s v="N"/>
    <s v="N"/>
    <s v="N"/>
    <s v="N"/>
    <x v="1"/>
    <s v="Outside"/>
    <s v="Outside"/>
    <x v="0"/>
    <n v="1975"/>
    <x v="1"/>
    <x v="0"/>
    <s v="N"/>
    <s v="N"/>
    <s v="N"/>
    <s v="Y"/>
    <s v="N"/>
    <x v="1"/>
    <s v="N"/>
    <x v="0"/>
    <s v="N"/>
    <n v="1"/>
    <n v="1.1666666670000001"/>
    <n v="0.16666666699999999"/>
    <n v="0.16666666699999999"/>
    <n v="0"/>
    <n v="0"/>
    <n v="0"/>
    <n v="0"/>
    <n v="0"/>
    <n v="0"/>
    <n v="0.16666666699999999"/>
    <n v="0"/>
    <n v="2.666666668"/>
    <n v="0"/>
    <n v="0"/>
    <n v="0"/>
    <m/>
    <m/>
    <n v="0"/>
    <s v="Acre-feet per Year"/>
    <s v="L_27"/>
    <n v="0"/>
    <n v="38.44760144"/>
    <n v="-122.59815902"/>
    <s v="UNST"/>
  </r>
  <r>
    <s v="A024946"/>
    <n v="19751128"/>
    <n v="2"/>
    <s v="N"/>
    <s v="N"/>
    <s v="Y"/>
    <s v="N"/>
    <x v="0"/>
    <s v="Outside"/>
    <s v="Outside"/>
    <x v="0"/>
    <n v="1975"/>
    <x v="1"/>
    <x v="0"/>
    <s v="Y"/>
    <s v="N"/>
    <s v="N"/>
    <s v="Y"/>
    <s v="N"/>
    <x v="1"/>
    <s v="N"/>
    <x v="1"/>
    <s v="N"/>
    <n v="0"/>
    <n v="0"/>
    <n v="0"/>
    <n v="0"/>
    <n v="4.6035E-3"/>
    <n v="4.6035E-3"/>
    <n v="0"/>
    <n v="0"/>
    <n v="0"/>
    <n v="0"/>
    <n v="0"/>
    <n v="0"/>
    <n v="9.2069999999999999E-3"/>
    <n v="9.2069999999999999E-3"/>
    <n v="3.0538570224143753E-5"/>
    <n v="9.2069999999999999E-2"/>
    <m/>
    <m/>
    <n v="0.1"/>
    <s v="Acre-feet per Year"/>
    <s v="U_2"/>
    <n v="0"/>
    <n v="39.296909280000001"/>
    <n v="-123.06120806"/>
    <s v="BURRIGHT CREEK"/>
  </r>
  <r>
    <s v="A024571B"/>
    <n v="19740305"/>
    <n v="2"/>
    <s v="N"/>
    <s v="N"/>
    <s v="Y"/>
    <s v="N"/>
    <x v="0"/>
    <s v="Outside"/>
    <s v="Outside"/>
    <x v="0"/>
    <n v="1974"/>
    <x v="1"/>
    <x v="0"/>
    <s v="Y"/>
    <s v="N"/>
    <s v="N"/>
    <s v="Y"/>
    <s v="N"/>
    <x v="1"/>
    <s v="N"/>
    <x v="1"/>
    <s v="N"/>
    <n v="0"/>
    <n v="0"/>
    <n v="3.33"/>
    <n v="1.66"/>
    <n v="3.66"/>
    <n v="14.33"/>
    <n v="11"/>
    <n v="10.83"/>
    <n v="6.66"/>
    <n v="6.66"/>
    <n v="0"/>
    <n v="0"/>
    <n v="58.129999999999995"/>
    <n v="46.499999999999943"/>
    <n v="0.15423520315224098"/>
    <n v="0.33622350674373763"/>
    <m/>
    <m/>
    <n v="173"/>
    <s v="Acre-feet per Year"/>
    <s v="U_2"/>
    <n v="0"/>
    <n v="39.359190079999998"/>
    <n v="-123.12900333"/>
    <s v="POWERHOUSE CANAL"/>
  </r>
  <r>
    <s v="A024571A"/>
    <n v="19740305"/>
    <n v="2"/>
    <s v="N"/>
    <s v="N"/>
    <s v="Y"/>
    <s v="N"/>
    <x v="0"/>
    <s v="Outside"/>
    <s v="Outside"/>
    <x v="0"/>
    <n v="1974"/>
    <x v="1"/>
    <x v="0"/>
    <s v="Y"/>
    <s v="N"/>
    <s v="N"/>
    <s v="Y"/>
    <s v="N"/>
    <x v="1"/>
    <s v="N"/>
    <x v="1"/>
    <s v="N"/>
    <n v="0"/>
    <n v="0"/>
    <n v="8.0299999999999994"/>
    <n v="8.43"/>
    <n v="5.53"/>
    <n v="6.76"/>
    <n v="7.73"/>
    <n v="3.06"/>
    <n v="5.4"/>
    <n v="8.16"/>
    <n v="0"/>
    <n v="0"/>
    <n v="53.100000000000009"/>
    <n v="28.5"/>
    <n v="9.4531253544922006E-2"/>
    <n v="0.20202788339543729"/>
    <m/>
    <m/>
    <n v="263"/>
    <s v="Acre-feet per Year"/>
    <s v="U_2"/>
    <n v="0"/>
    <n v="39.359154420000003"/>
    <n v="-123.12899461000001"/>
    <s v="POWERHOUSE CANAL"/>
  </r>
  <r>
    <s v="A024522A"/>
    <n v="19740111"/>
    <n v="6"/>
    <s v="Y"/>
    <s v="N"/>
    <s v="Y"/>
    <s v="Y"/>
    <x v="0"/>
    <s v="West Fork and Below Lake"/>
    <s v="Mendocino (d/s of lake)"/>
    <x v="0"/>
    <n v="1974"/>
    <x v="1"/>
    <x v="1"/>
    <s v="Y"/>
    <s v="N"/>
    <s v="N"/>
    <s v="Y"/>
    <s v="N"/>
    <x v="1"/>
    <s v="N"/>
    <x v="1"/>
    <s v="N"/>
    <n v="0"/>
    <n v="0"/>
    <n v="0"/>
    <n v="0"/>
    <n v="0.64"/>
    <n v="2.16"/>
    <n v="5.2"/>
    <n v="2.4"/>
    <n v="0"/>
    <n v="0"/>
    <n v="0"/>
    <n v="0"/>
    <n v="10.4"/>
    <n v="10.413333333333338"/>
    <n v="3.4539840476530581E-2"/>
    <n v="0.11969348659003837"/>
    <m/>
    <m/>
    <n v="87"/>
    <s v="Acre-feet per Year"/>
    <s v="U_6"/>
    <n v="0"/>
    <n v="38.981933730000002"/>
    <n v="-123.09344127999999"/>
    <s v="RUSSIAN RIVER"/>
  </r>
  <r>
    <s v="A024569"/>
    <n v="19740301"/>
    <n v="23"/>
    <s v="N"/>
    <s v="N"/>
    <s v="N"/>
    <s v="N"/>
    <x v="1"/>
    <s v="Outside"/>
    <s v="Outside"/>
    <x v="0"/>
    <n v="1974"/>
    <x v="1"/>
    <x v="0"/>
    <s v="N"/>
    <s v="N"/>
    <s v="N"/>
    <s v="Y"/>
    <s v="N"/>
    <x v="1"/>
    <s v="N"/>
    <x v="0"/>
    <s v="N"/>
    <n v="4.0666666669999998"/>
    <n v="10.733333330000001"/>
    <n v="0.53333333299999997"/>
    <n v="0.5"/>
    <n v="0"/>
    <n v="0"/>
    <n v="0"/>
    <n v="0"/>
    <n v="0"/>
    <n v="0"/>
    <n v="0.46666666699999998"/>
    <n v="2.7"/>
    <n v="18.999999997"/>
    <n v="0"/>
    <n v="0"/>
    <n v="0.55882352932352941"/>
    <m/>
    <m/>
    <n v="34"/>
    <s v="Acre-feet per Year"/>
    <s v="L_23"/>
    <n v="0"/>
    <n v="38.564670640000003"/>
    <n v="-122.76911834000001"/>
    <s v="UNST"/>
  </r>
  <r>
    <s v="A024593A"/>
    <n v="19740412"/>
    <n v="6"/>
    <s v="Y"/>
    <s v="N"/>
    <s v="Y"/>
    <s v="Y"/>
    <x v="0"/>
    <s v="West Fork and Below Lake"/>
    <s v="Mendocino (d/s of lake)"/>
    <x v="0"/>
    <n v="1974"/>
    <x v="1"/>
    <x v="0"/>
    <s v="Y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8.33"/>
    <n v="53.33"/>
    <n v="61.66"/>
    <n v="0"/>
    <n v="0"/>
    <n v="3.6274509801764707E-2"/>
    <m/>
    <m/>
    <n v="1700"/>
    <s v="Acre-feet per Year"/>
    <s v="U_6"/>
    <n v="0"/>
    <n v="38.962699999999998"/>
    <n v="-123.0322"/>
    <s v="UNNAMED STREAM"/>
  </r>
  <r>
    <s v="A024593B"/>
    <n v="19740412"/>
    <n v="6"/>
    <s v="Y"/>
    <s v="N"/>
    <s v="Y"/>
    <s v="Y"/>
    <x v="0"/>
    <s v="West Fork and Below Lake"/>
    <s v="Mendocino (d/s of lake)"/>
    <x v="0"/>
    <n v="1974"/>
    <x v="1"/>
    <x v="0"/>
    <s v="Y"/>
    <s v="N"/>
    <s v="N"/>
    <s v="Y"/>
    <s v="N"/>
    <x v="1"/>
    <s v="N"/>
    <x v="0"/>
    <s v="N"/>
    <n v="0"/>
    <n v="0"/>
    <n v="10.029999999999999"/>
    <n v="4.5999999999999996"/>
    <n v="0"/>
    <n v="0"/>
    <n v="0"/>
    <n v="0"/>
    <n v="0"/>
    <n v="0"/>
    <n v="0"/>
    <n v="0"/>
    <n v="14.629999999999999"/>
    <n v="0"/>
    <n v="0"/>
    <n v="4.572916665625E-2"/>
    <m/>
    <m/>
    <n v="320"/>
    <s v="Acre-feet per Year"/>
    <s v="U_6"/>
    <n v="0"/>
    <n v="38.962699999999998"/>
    <n v="-123.0322"/>
    <s v="UNNAMED STREAM"/>
  </r>
  <r>
    <s v="A024604"/>
    <n v="19740507"/>
    <n v="12"/>
    <s v="N"/>
    <s v="Y"/>
    <s v="Y"/>
    <s v="Y"/>
    <x v="0"/>
    <s v="West Fork and Below Lake"/>
    <s v="Sonoma (d/s of Clov. Gage)"/>
    <x v="0"/>
    <n v="1974"/>
    <x v="1"/>
    <x v="0"/>
    <s v="Y"/>
    <s v="N"/>
    <s v="N"/>
    <s v="Y"/>
    <s v="N"/>
    <x v="1"/>
    <s v="N"/>
    <x v="1"/>
    <s v="N"/>
    <n v="0"/>
    <n v="0"/>
    <n v="0"/>
    <n v="0"/>
    <n v="0.91"/>
    <n v="0.7"/>
    <n v="2.13"/>
    <n v="0.96"/>
    <n v="0.2"/>
    <n v="0.13"/>
    <n v="0"/>
    <n v="0"/>
    <n v="5.0299999999999994"/>
    <n v="4.9293750010000004"/>
    <n v="1.635017536973794E-2"/>
    <n v="0.26645833336842112"/>
    <m/>
    <m/>
    <n v="19"/>
    <s v="Acre-feet per Year"/>
    <s v="U_12"/>
    <n v="0"/>
    <n v="38.649181040000002"/>
    <n v="-122.77913478000001"/>
    <s v="UNST"/>
  </r>
  <r>
    <s v="A024617"/>
    <n v="19740606"/>
    <n v="5"/>
    <s v="Y"/>
    <s v="N"/>
    <s v="Y"/>
    <s v="Y"/>
    <x v="0"/>
    <s v="West Fork and Below Lake"/>
    <s v="Mendocino (d/s of lake)"/>
    <x v="0"/>
    <n v="1974"/>
    <x v="1"/>
    <x v="1"/>
    <s v="Y"/>
    <s v="N"/>
    <s v="N"/>
    <s v="Y"/>
    <s v="N"/>
    <x v="1"/>
    <s v="N"/>
    <x v="1"/>
    <s v="N"/>
    <n v="0"/>
    <n v="0"/>
    <n v="4.1500000000000004"/>
    <n v="0.16"/>
    <n v="0.08"/>
    <n v="0"/>
    <n v="0"/>
    <n v="0"/>
    <n v="0"/>
    <n v="0"/>
    <n v="0"/>
    <n v="0"/>
    <n v="4.3900000000000006"/>
    <n v="0.08"/>
    <n v="2.6535088714364075E-4"/>
    <n v="4.0709876543209907E-2"/>
    <m/>
    <m/>
    <n v="108"/>
    <s v="Acre-feet per Year"/>
    <s v="U_5"/>
    <n v="0"/>
    <n v="39.088535610000001"/>
    <n v="-123.17225119"/>
    <s v="RUSSIAN RIVER"/>
  </r>
  <r>
    <s v="A024644"/>
    <n v="19740712"/>
    <n v="23"/>
    <s v="N"/>
    <s v="N"/>
    <s v="N"/>
    <s v="N"/>
    <x v="1"/>
    <s v="Outside"/>
    <s v="Outside"/>
    <x v="0"/>
    <n v="1974"/>
    <x v="1"/>
    <x v="0"/>
    <s v="N"/>
    <s v="N"/>
    <s v="N"/>
    <s v="Y"/>
    <s v="N"/>
    <x v="1"/>
    <s v="N"/>
    <x v="0"/>
    <s v="N"/>
    <n v="2"/>
    <n v="0"/>
    <n v="1.6666666670000001"/>
    <n v="0"/>
    <n v="0"/>
    <n v="0"/>
    <n v="0"/>
    <n v="0"/>
    <n v="0"/>
    <n v="0"/>
    <n v="3.3333333330000001"/>
    <n v="2"/>
    <n v="9"/>
    <n v="0"/>
    <n v="0"/>
    <n v="0.75"/>
    <m/>
    <m/>
    <n v="12"/>
    <s v="Acre-feet per Year"/>
    <s v="L_24"/>
    <n v="0"/>
    <n v="38.523843460000002"/>
    <n v="-122.5622687"/>
    <s v="UNST"/>
  </r>
  <r>
    <s v="A024645"/>
    <n v="19740717"/>
    <n v="4"/>
    <s v="Y"/>
    <s v="N"/>
    <s v="Y"/>
    <s v="Y"/>
    <x v="0"/>
    <s v="West Fork and Below Lake"/>
    <s v="Mendocino (d/s of lake)"/>
    <x v="0"/>
    <n v="1974"/>
    <x v="1"/>
    <x v="1"/>
    <s v="Y"/>
    <s v="N"/>
    <s v="N"/>
    <s v="Y"/>
    <s v="N"/>
    <x v="1"/>
    <s v="N"/>
    <x v="0"/>
    <s v="N"/>
    <n v="0.66"/>
    <n v="0.66"/>
    <n v="0"/>
    <n v="0"/>
    <n v="0"/>
    <n v="0"/>
    <n v="0"/>
    <n v="0"/>
    <n v="0"/>
    <n v="0"/>
    <n v="0"/>
    <n v="0.33"/>
    <n v="1.6500000000000001"/>
    <n v="0"/>
    <n v="0"/>
    <n v="0.32051282051282054"/>
    <m/>
    <m/>
    <n v="5.2"/>
    <s v="Acre-feet per Year"/>
    <s v="U_4"/>
    <n v="0"/>
    <n v="39.17180544"/>
    <n v="-123.1926794"/>
    <s v="UNST"/>
  </r>
  <r>
    <s v="A024678B"/>
    <n v="19740826"/>
    <n v="10"/>
    <s v="N"/>
    <s v="Y"/>
    <s v="Y"/>
    <s v="Y"/>
    <x v="0"/>
    <s v="West Fork and Below Lake"/>
    <s v="Sonoma (d/s of Clov. Gage)"/>
    <x v="0"/>
    <n v="1974"/>
    <x v="1"/>
    <x v="1"/>
    <s v="Y"/>
    <s v="N"/>
    <s v="N"/>
    <s v="Y"/>
    <s v="N"/>
    <x v="1"/>
    <s v="N"/>
    <x v="0"/>
    <s v="N"/>
    <n v="0"/>
    <n v="0"/>
    <n v="0.9"/>
    <n v="0"/>
    <n v="0"/>
    <n v="0"/>
    <n v="0"/>
    <n v="0"/>
    <n v="0"/>
    <n v="0"/>
    <n v="0"/>
    <n v="0"/>
    <n v="0.9"/>
    <n v="0"/>
    <n v="0"/>
    <n v="8.1818181818181825E-3"/>
    <m/>
    <m/>
    <n v="110"/>
    <s v="Acre-feet per Year"/>
    <s v="U_10"/>
    <n v="0"/>
    <n v="38.693275450000002"/>
    <n v="-122.87282077"/>
    <s v="RUSSIAN RIVER UNDERFLOW"/>
  </r>
  <r>
    <s v="A024682"/>
    <n v="19740829"/>
    <n v="12"/>
    <s v="N"/>
    <s v="Y"/>
    <s v="Y"/>
    <s v="Y"/>
    <x v="0"/>
    <s v="West Fork and Below Lake"/>
    <s v="Sonoma (d/s of Clov. Gage)"/>
    <x v="0"/>
    <n v="1974"/>
    <x v="1"/>
    <x v="0"/>
    <s v="Y"/>
    <s v="N"/>
    <s v="N"/>
    <s v="Y"/>
    <s v="N"/>
    <x v="1"/>
    <s v="N"/>
    <x v="0"/>
    <s v="N"/>
    <n v="0"/>
    <n v="0"/>
    <n v="0"/>
    <n v="0"/>
    <n v="0"/>
    <n v="0"/>
    <n v="0"/>
    <n v="0"/>
    <n v="0"/>
    <n v="1.66"/>
    <n v="1.66"/>
    <n v="1.66"/>
    <n v="4.9799999999999995"/>
    <n v="0"/>
    <n v="0"/>
    <n v="0.33333333339999999"/>
    <m/>
    <m/>
    <n v="15"/>
    <s v="Acre-feet per Year"/>
    <s v="U_12"/>
    <n v="3.4039024194010059E-4"/>
    <n v="38.584125419999999"/>
    <n v="-122.64023389"/>
    <s v="UNST"/>
  </r>
  <r>
    <s v="A024691A"/>
    <n v="19740919"/>
    <n v="4"/>
    <s v="Y"/>
    <s v="N"/>
    <s v="Y"/>
    <s v="Y"/>
    <x v="0"/>
    <s v="West Fork and Below Lake"/>
    <s v="Mendocino (d/s of lake)"/>
    <x v="0"/>
    <n v="1974"/>
    <x v="1"/>
    <x v="0"/>
    <s v="Y"/>
    <s v="N"/>
    <s v="N"/>
    <s v="Y"/>
    <s v="N"/>
    <x v="1"/>
    <s v="N"/>
    <x v="0"/>
    <s v="N"/>
    <n v="6.1"/>
    <n v="7.33"/>
    <n v="6.5"/>
    <n v="0.36"/>
    <n v="0"/>
    <n v="0"/>
    <n v="0"/>
    <n v="0"/>
    <n v="0"/>
    <n v="0"/>
    <n v="0"/>
    <n v="0"/>
    <n v="20.29"/>
    <n v="0"/>
    <n v="0"/>
    <n v="0.26710526315789473"/>
    <m/>
    <m/>
    <n v="76"/>
    <s v="Acre-feet per Year"/>
    <s v="U_4"/>
    <n v="0"/>
    <n v="39.18292099"/>
    <n v="-123.22508349"/>
    <s v="ACKERMAN CREEK"/>
  </r>
  <r>
    <s v="A024691B"/>
    <n v="19740919"/>
    <n v="4"/>
    <s v="Y"/>
    <s v="N"/>
    <s v="Y"/>
    <s v="Y"/>
    <x v="0"/>
    <s v="West Fork and Below Lake"/>
    <s v="Mendocino (d/s of lake)"/>
    <x v="0"/>
    <n v="1974"/>
    <x v="1"/>
    <x v="0"/>
    <s v="Y"/>
    <s v="N"/>
    <s v="N"/>
    <s v="Y"/>
    <s v="N"/>
    <x v="1"/>
    <s v="N"/>
    <x v="0"/>
    <s v="N"/>
    <n v="0"/>
    <n v="0"/>
    <n v="0.74"/>
    <n v="1.86"/>
    <n v="0"/>
    <n v="0"/>
    <n v="0"/>
    <n v="0"/>
    <n v="0"/>
    <n v="0"/>
    <n v="0"/>
    <n v="0"/>
    <n v="2.6"/>
    <n v="0"/>
    <n v="0"/>
    <n v="1.1794871796380091E-2"/>
    <m/>
    <m/>
    <n v="221"/>
    <s v="Acre-feet per Year"/>
    <s v="U_4"/>
    <n v="0"/>
    <n v="39.17180544"/>
    <n v="-123.1926794"/>
    <s v="ACKERMAN CREEK"/>
  </r>
  <r>
    <s v="A024706"/>
    <n v="19741108"/>
    <n v="23"/>
    <s v="N"/>
    <s v="N"/>
    <s v="N"/>
    <s v="N"/>
    <x v="1"/>
    <s v="Outside"/>
    <s v="Outside"/>
    <x v="0"/>
    <n v="1974"/>
    <x v="1"/>
    <x v="0"/>
    <s v="N"/>
    <s v="N"/>
    <s v="N"/>
    <s v="Y"/>
    <s v="N"/>
    <x v="1"/>
    <s v="N"/>
    <x v="0"/>
    <s v="N"/>
    <n v="1.266666667"/>
    <n v="0"/>
    <n v="0"/>
    <n v="0"/>
    <n v="0"/>
    <n v="0"/>
    <n v="0"/>
    <n v="0"/>
    <n v="0"/>
    <n v="8.3333332999999996E-2"/>
    <n v="2.1666666669999999"/>
    <n v="4.0666666669999998"/>
    <n v="7.5833333339999998"/>
    <n v="0"/>
    <n v="0"/>
    <n v="0.23697916668749999"/>
    <m/>
    <m/>
    <n v="32"/>
    <s v="Acre-feet per Year"/>
    <s v="L_23"/>
    <n v="0"/>
    <n v="38.54113658"/>
    <n v="-122.8366958"/>
    <s v="UNST"/>
  </r>
  <r>
    <s v="A024725"/>
    <n v="19741217"/>
    <n v="1"/>
    <s v="N"/>
    <s v="N"/>
    <s v="Y"/>
    <s v="Y"/>
    <x v="0"/>
    <s v="West Fork and Below Lake"/>
    <s v="Outside"/>
    <x v="0"/>
    <n v="1974"/>
    <x v="1"/>
    <x v="0"/>
    <s v="Y"/>
    <s v="N"/>
    <s v="N"/>
    <s v="Y"/>
    <s v="N"/>
    <x v="1"/>
    <s v="N"/>
    <x v="1"/>
    <s v="N"/>
    <n v="3.33"/>
    <n v="3.33"/>
    <n v="4"/>
    <n v="4.33"/>
    <n v="1"/>
    <n v="0.66"/>
    <n v="0.66"/>
    <n v="0.66"/>
    <n v="0.66"/>
    <n v="0.66"/>
    <n v="0.33"/>
    <n v="0"/>
    <n v="19.619999999999997"/>
    <n v="3.6666666679999995"/>
    <n v="1.2161915665172713E-2"/>
    <n v="0.98333333335000028"/>
    <m/>
    <m/>
    <n v="20"/>
    <s v="Acre-feet per Year"/>
    <s v="U_1"/>
    <n v="3.4039024194010059E-4"/>
    <n v="39.293500000000002"/>
    <n v="-123.2107"/>
    <s v="WEST FORK RUSSIAN RIVER"/>
  </r>
  <r>
    <s v="A024544"/>
    <n v="19740208"/>
    <n v="16"/>
    <s v="N"/>
    <s v="N"/>
    <s v="N"/>
    <s v="N"/>
    <x v="1"/>
    <s v="Outside"/>
    <s v="Outside"/>
    <x v="0"/>
    <n v="1974"/>
    <x v="1"/>
    <x v="0"/>
    <s v="N"/>
    <s v="N"/>
    <s v="N"/>
    <s v="Y"/>
    <s v="N"/>
    <x v="1"/>
    <s v="N"/>
    <x v="0"/>
    <s v="N"/>
    <n v="8.9666666670000001"/>
    <n v="0.33333333300000001"/>
    <n v="0.46666666699999998"/>
    <n v="0"/>
    <n v="0"/>
    <n v="0"/>
    <n v="0"/>
    <n v="0"/>
    <n v="0"/>
    <n v="0"/>
    <n v="0.2"/>
    <n v="2.733333333"/>
    <n v="12.7"/>
    <n v="0"/>
    <n v="0"/>
    <n v="0.57727272727272727"/>
    <m/>
    <m/>
    <n v="22"/>
    <s v="Acre-feet per Year"/>
    <s v="L_16"/>
    <n v="0"/>
    <n v="38.587899999999998"/>
    <n v="-122.89149999999999"/>
    <s v="UNST"/>
  </r>
  <r>
    <s v="A024688A"/>
    <n v="19740917"/>
    <n v="16"/>
    <s v="N"/>
    <s v="N"/>
    <s v="N"/>
    <s v="N"/>
    <x v="1"/>
    <s v="Outside"/>
    <s v="Outside"/>
    <x v="0"/>
    <n v="1974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.2"/>
    <s v="Acre-feet per Year"/>
    <s v="L_16"/>
    <n v="0"/>
    <n v="38.587552330000001"/>
    <n v="-122.87292715"/>
    <s v="DRY CREEK UNDERFLOW"/>
  </r>
  <r>
    <s v="A024688B"/>
    <n v="19740917"/>
    <n v="16"/>
    <s v="N"/>
    <s v="N"/>
    <s v="N"/>
    <s v="N"/>
    <x v="1"/>
    <s v="Outside"/>
    <s v="Outside"/>
    <x v="0"/>
    <n v="1974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.5"/>
    <s v="Acre-feet per Year"/>
    <s v="L_16"/>
    <n v="0"/>
    <n v="38.587552330000001"/>
    <n v="-122.87292715"/>
    <s v="DRY CREEK UNDERFLOW"/>
  </r>
  <r>
    <s v="A013281A01"/>
    <n v="19730614"/>
    <n v="12"/>
    <s v="N"/>
    <s v="Y"/>
    <s v="Y"/>
    <s v="Y"/>
    <x v="0"/>
    <s v="West Fork and Below Lake"/>
    <s v="Sonoma (d/s of Clov. Gage)"/>
    <x v="0"/>
    <n v="1973"/>
    <x v="1"/>
    <x v="1"/>
    <s v="Y"/>
    <s v="N"/>
    <s v="N"/>
    <s v="Y"/>
    <s v="N"/>
    <x v="1"/>
    <s v="N"/>
    <x v="1"/>
    <s v="N"/>
    <n v="0"/>
    <n v="0"/>
    <n v="0"/>
    <n v="0"/>
    <n v="5"/>
    <n v="15.66"/>
    <n v="17.64"/>
    <n v="17.68"/>
    <n v="17.079999999999998"/>
    <n v="6.57"/>
    <n v="0"/>
    <n v="0"/>
    <n v="79.63"/>
    <n v="73.076666666666711"/>
    <n v="0.24238697911875165"/>
    <n v="0.40025125628140723"/>
    <m/>
    <m/>
    <n v="199"/>
    <s v="Acre-feet per Year"/>
    <s v="U_12"/>
    <n v="0"/>
    <n v="38.638919659999999"/>
    <n v="-122.79407788"/>
    <s v="RUSSIAN RIVER"/>
  </r>
  <r>
    <s v="A013281A02"/>
    <n v="19730614"/>
    <n v="12"/>
    <s v="N"/>
    <s v="Y"/>
    <s v="Y"/>
    <s v="Y"/>
    <x v="0"/>
    <s v="West Fork and Below Lake"/>
    <s v="Sonoma (d/s of Clov. Gage)"/>
    <x v="0"/>
    <n v="1973"/>
    <x v="1"/>
    <x v="1"/>
    <s v="Y"/>
    <s v="N"/>
    <s v="N"/>
    <s v="Y"/>
    <s v="N"/>
    <x v="1"/>
    <s v="N"/>
    <x v="1"/>
    <s v="N"/>
    <n v="0"/>
    <n v="0"/>
    <n v="0"/>
    <n v="0"/>
    <n v="1.66"/>
    <n v="10.25"/>
    <n v="11.43"/>
    <n v="13.64"/>
    <n v="10.17"/>
    <n v="7.87"/>
    <n v="0"/>
    <n v="0"/>
    <n v="55.02"/>
    <n v="47.169999999999966"/>
    <n v="0.15645751683206904"/>
    <n v="0.72046247818499065"/>
    <m/>
    <m/>
    <n v="76.400000000000006"/>
    <s v="Acre-feet per Year"/>
    <s v="U_12"/>
    <n v="0"/>
    <n v="38.638919659999999"/>
    <n v="-122.79407788"/>
    <s v="RUSSIAN RIVER"/>
  </r>
  <r>
    <s v="A013281A03"/>
    <n v="19730614"/>
    <n v="12"/>
    <s v="N"/>
    <s v="Y"/>
    <s v="Y"/>
    <s v="Y"/>
    <x v="0"/>
    <s v="West Fork and Below Lake"/>
    <s v="Sonoma (d/s of Clov. Gage)"/>
    <x v="0"/>
    <n v="1973"/>
    <x v="1"/>
    <x v="1"/>
    <s v="Y"/>
    <s v="N"/>
    <s v="N"/>
    <s v="Y"/>
    <s v="N"/>
    <x v="1"/>
    <s v="N"/>
    <x v="1"/>
    <s v="N"/>
    <n v="0"/>
    <n v="0"/>
    <n v="0"/>
    <n v="0"/>
    <n v="0.7"/>
    <n v="1.63"/>
    <n v="3.03"/>
    <n v="3.56"/>
    <n v="2.73"/>
    <n v="1.46"/>
    <n v="0"/>
    <n v="0"/>
    <n v="13.11"/>
    <n v="11.666666666666661"/>
    <n v="3.8697004375114252E-2"/>
    <n v="0.18681839734471312"/>
    <m/>
    <m/>
    <n v="70.3"/>
    <s v="Acre-feet per Year"/>
    <s v="U_12"/>
    <n v="0"/>
    <n v="38.64335346"/>
    <n v="-122.78817481999999"/>
    <s v="RUSSIAN RIVER"/>
  </r>
  <r>
    <s v="A024300A"/>
    <n v="19730213"/>
    <n v="14"/>
    <s v="N"/>
    <s v="N"/>
    <s v="N"/>
    <s v="N"/>
    <x v="1"/>
    <s v="Outside"/>
    <s v="Outside"/>
    <x v="0"/>
    <n v="1973"/>
    <x v="1"/>
    <x v="0"/>
    <s v="N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122.3"/>
    <n v="36.966666670000002"/>
    <n v="159.26666667000001"/>
    <n v="0"/>
    <n v="0"/>
    <n v="0.28957575758181819"/>
    <m/>
    <m/>
    <n v="550"/>
    <s v="Acre-feet per Year"/>
    <s v="L_14"/>
    <n v="0"/>
    <n v="38.694200000000002"/>
    <n v="-122.9914"/>
    <s v="FALL CREEK"/>
  </r>
  <r>
    <s v="A024301"/>
    <n v="19730215"/>
    <n v="23"/>
    <s v="N"/>
    <s v="N"/>
    <s v="N"/>
    <s v="N"/>
    <x v="1"/>
    <s v="Outside"/>
    <s v="Outside"/>
    <x v="0"/>
    <n v="1973"/>
    <x v="1"/>
    <x v="0"/>
    <s v="N"/>
    <s v="N"/>
    <s v="N"/>
    <s v="Y"/>
    <s v="N"/>
    <x v="1"/>
    <s v="N"/>
    <x v="0"/>
    <s v="N"/>
    <n v="2.9666666670000001"/>
    <n v="0"/>
    <n v="0.3"/>
    <n v="0"/>
    <n v="0"/>
    <n v="0"/>
    <n v="0"/>
    <n v="0"/>
    <n v="0"/>
    <n v="0"/>
    <n v="5.3833333330000004"/>
    <n v="5.25"/>
    <n v="13.9"/>
    <n v="0"/>
    <n v="0"/>
    <n v="0.47931034482758622"/>
    <m/>
    <m/>
    <n v="29"/>
    <s v="Acre-feet per Year"/>
    <s v="L_24"/>
    <n v="0"/>
    <n v="38.48383707"/>
    <n v="-122.82379734"/>
    <s v="UNST"/>
  </r>
  <r>
    <s v="A024310A"/>
    <n v="19730228"/>
    <n v="10"/>
    <s v="N"/>
    <s v="Y"/>
    <s v="Y"/>
    <s v="Y"/>
    <x v="0"/>
    <s v="West Fork and Below Lake"/>
    <s v="Sonoma (d/s of Clov. Gage)"/>
    <x v="0"/>
    <n v="1973"/>
    <x v="1"/>
    <x v="1"/>
    <s v="Y"/>
    <s v="N"/>
    <s v="N"/>
    <s v="Y"/>
    <s v="N"/>
    <x v="1"/>
    <s v="N"/>
    <x v="1"/>
    <s v="N"/>
    <n v="0"/>
    <n v="0"/>
    <n v="0"/>
    <n v="0"/>
    <n v="1.06"/>
    <n v="3.13"/>
    <n v="4.2"/>
    <n v="0"/>
    <n v="0"/>
    <n v="0"/>
    <n v="0"/>
    <n v="0"/>
    <n v="8.39"/>
    <n v="8.4"/>
    <n v="2.7861843150082277E-2"/>
    <n v="0.19310344827586207"/>
    <m/>
    <m/>
    <n v="43.5"/>
    <s v="Acre-feet per Year"/>
    <s v="U_10"/>
    <n v="0"/>
    <n v="38.674597339999998"/>
    <n v="-122.83616092"/>
    <s v="RUSSIAN RIVER UNDERFLOW"/>
  </r>
  <r>
    <s v="A024310B"/>
    <n v="19730228"/>
    <n v="10"/>
    <s v="N"/>
    <s v="Y"/>
    <s v="Y"/>
    <s v="Y"/>
    <x v="0"/>
    <s v="West Fork and Below Lake"/>
    <s v="Sonoma (d/s of Clov. Gage)"/>
    <x v="0"/>
    <n v="1973"/>
    <x v="1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5"/>
    <s v="Acre-feet per Year"/>
    <s v="U_10"/>
    <n v="0"/>
    <n v="38.674597339999998"/>
    <n v="-122.83616092"/>
    <s v="RUSSIAN RIVER UNDERFLOW"/>
  </r>
  <r>
    <s v="A024311A"/>
    <n v="19730208"/>
    <n v="10"/>
    <s v="N"/>
    <s v="Y"/>
    <s v="Y"/>
    <s v="Y"/>
    <x v="0"/>
    <s v="West Fork and Below Lake"/>
    <s v="Sonoma (d/s of Clov. Gage)"/>
    <x v="0"/>
    <n v="1973"/>
    <x v="1"/>
    <x v="1"/>
    <s v="Y"/>
    <s v="N"/>
    <s v="N"/>
    <s v="Y"/>
    <s v="N"/>
    <x v="1"/>
    <s v="N"/>
    <x v="1"/>
    <s v="N"/>
    <n v="0"/>
    <n v="0"/>
    <n v="0"/>
    <n v="0"/>
    <n v="0"/>
    <n v="0.26"/>
    <n v="0.63"/>
    <n v="0"/>
    <n v="0"/>
    <n v="0"/>
    <n v="0"/>
    <n v="0"/>
    <n v="0.89"/>
    <n v="0.89999999999999991"/>
    <n v="2.9851974803659577E-3"/>
    <n v="1.6513761467889906E-2"/>
    <m/>
    <m/>
    <n v="54.5"/>
    <s v="Acre-feet per Year"/>
    <s v="U_10"/>
    <n v="0"/>
    <n v="38.682987109999999"/>
    <n v="-122.85307569"/>
    <s v="RUSSIAN RIVER UNDERFLOW"/>
  </r>
  <r>
    <s v="A024311B"/>
    <n v="19730228"/>
    <n v="10"/>
    <s v="N"/>
    <s v="Y"/>
    <s v="Y"/>
    <s v="Y"/>
    <x v="0"/>
    <s v="West Fork and Below Lake"/>
    <s v="Sonoma (d/s of Clov. Gage)"/>
    <x v="0"/>
    <n v="1973"/>
    <x v="1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5.5"/>
    <s v="Acre-feet per Year"/>
    <s v="U_10"/>
    <n v="0"/>
    <n v="38.682987109999999"/>
    <n v="-122.85307569"/>
    <s v="RUSSIAN RIVER UNDERFLOW"/>
  </r>
  <r>
    <s v="A024344"/>
    <n v="19730405"/>
    <n v="1"/>
    <s v="N"/>
    <s v="N"/>
    <s v="Y"/>
    <s v="Y"/>
    <x v="0"/>
    <s v="West Fork and Below Lake"/>
    <s v="Outside"/>
    <x v="0"/>
    <n v="1973"/>
    <x v="1"/>
    <x v="0"/>
    <s v="Y"/>
    <s v="N"/>
    <s v="N"/>
    <s v="Y"/>
    <s v="N"/>
    <x v="1"/>
    <s v="N"/>
    <x v="0"/>
    <s v="N"/>
    <n v="2"/>
    <n v="0.5"/>
    <n v="0"/>
    <n v="0"/>
    <n v="0"/>
    <n v="0"/>
    <n v="0"/>
    <n v="0"/>
    <n v="0"/>
    <n v="0"/>
    <n v="0.5"/>
    <n v="1.5"/>
    <n v="4.5"/>
    <n v="0"/>
    <n v="0"/>
    <n v="0.75"/>
    <m/>
    <m/>
    <n v="6"/>
    <s v="Acre-feet per Year"/>
    <s v="U_1"/>
    <n v="0"/>
    <n v="39.2411095"/>
    <n v="-123.19561346"/>
    <s v="UNST"/>
  </r>
  <r>
    <s v="A024378"/>
    <n v="19730524"/>
    <n v="9"/>
    <s v="N"/>
    <s v="Y"/>
    <s v="Y"/>
    <s v="Y"/>
    <x v="0"/>
    <s v="West Fork and Below Lake"/>
    <s v="Sonoma (d/s of Clov. Gage)"/>
    <x v="0"/>
    <n v="1973"/>
    <x v="1"/>
    <x v="0"/>
    <s v="Y"/>
    <s v="N"/>
    <s v="N"/>
    <s v="Y"/>
    <s v="N"/>
    <x v="1"/>
    <s v="N"/>
    <x v="0"/>
    <s v="N"/>
    <n v="5"/>
    <n v="1.5"/>
    <n v="1.5"/>
    <n v="1"/>
    <n v="0"/>
    <n v="0"/>
    <n v="0"/>
    <n v="0"/>
    <n v="0"/>
    <n v="0"/>
    <n v="3"/>
    <n v="5"/>
    <n v="17"/>
    <n v="0"/>
    <n v="0"/>
    <n v="1"/>
    <m/>
    <m/>
    <n v="17"/>
    <s v="Acre-feet per Year"/>
    <s v="U_9"/>
    <n v="0"/>
    <n v="38.749222230000001"/>
    <n v="-122.9850191"/>
    <s v="UNST"/>
  </r>
  <r>
    <s v="A024391"/>
    <n v="19730605"/>
    <n v="12"/>
    <s v="N"/>
    <s v="Y"/>
    <s v="Y"/>
    <s v="Y"/>
    <x v="0"/>
    <s v="West Fork and Below Lake"/>
    <s v="Sonoma (d/s of Clov. Gage)"/>
    <x v="0"/>
    <n v="1973"/>
    <x v="1"/>
    <x v="0"/>
    <s v="Y"/>
    <s v="N"/>
    <s v="N"/>
    <s v="Y"/>
    <s v="N"/>
    <x v="1"/>
    <s v="N"/>
    <x v="0"/>
    <s v="N"/>
    <n v="0.5"/>
    <n v="0.5"/>
    <n v="0.1"/>
    <n v="0"/>
    <n v="0"/>
    <n v="0"/>
    <n v="0"/>
    <n v="0"/>
    <n v="0"/>
    <n v="0"/>
    <n v="0.14000000000000001"/>
    <n v="0.2"/>
    <n v="1.4400000000000002"/>
    <n v="0"/>
    <n v="0"/>
    <n v="0.48222222233333339"/>
    <m/>
    <m/>
    <n v="3"/>
    <s v="Acre-feet per Year"/>
    <s v="U_12"/>
    <n v="0"/>
    <n v="38.626944680000001"/>
    <n v="-122.77819166"/>
    <s v="UNST"/>
  </r>
  <r>
    <s v="A024404"/>
    <n v="19730626"/>
    <n v="6"/>
    <s v="Y"/>
    <s v="N"/>
    <s v="Y"/>
    <s v="Y"/>
    <x v="0"/>
    <s v="West Fork and Below Lake"/>
    <s v="Mendocino (d/s of lake)"/>
    <x v="0"/>
    <n v="1973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5"/>
    <s v="Acre-feet per Year"/>
    <s v="U_6"/>
    <n v="0"/>
    <n v="38.974899999999998"/>
    <n v="-123.0586"/>
    <s v="UNNAMED STREAM"/>
  </r>
  <r>
    <s v="A024405"/>
    <n v="19730629"/>
    <n v="1"/>
    <s v="N"/>
    <s v="N"/>
    <s v="Y"/>
    <s v="Y"/>
    <x v="0"/>
    <s v="West Fork and Below Lake"/>
    <s v="Outside"/>
    <x v="0"/>
    <n v="1973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4"/>
    <s v="Acre-feet per Year"/>
    <s v="U_1"/>
    <n v="0"/>
    <n v="39.29255655"/>
    <n v="-123.19931141000001"/>
    <s v="UNCR"/>
  </r>
  <r>
    <s v="A024409"/>
    <n v="19730706"/>
    <n v="5"/>
    <s v="Y"/>
    <s v="N"/>
    <s v="Y"/>
    <s v="Y"/>
    <x v="0"/>
    <s v="West Fork and Below Lake"/>
    <s v="Mendocino (d/s of lake)"/>
    <x v="0"/>
    <n v="1973"/>
    <x v="1"/>
    <x v="0"/>
    <s v="Y"/>
    <s v="N"/>
    <s v="N"/>
    <s v="Y"/>
    <s v="N"/>
    <x v="1"/>
    <s v="N"/>
    <x v="1"/>
    <s v="N"/>
    <n v="0.54"/>
    <n v="0.53"/>
    <n v="0.5"/>
    <n v="0.56000000000000005"/>
    <n v="0.66"/>
    <n v="0"/>
    <n v="0"/>
    <n v="0"/>
    <n v="0"/>
    <n v="0"/>
    <n v="0"/>
    <n v="0"/>
    <n v="2.79"/>
    <n v="0.664925667"/>
    <n v="2.2054826952878376E-3"/>
    <n v="0.14050389999999999"/>
    <m/>
    <m/>
    <n v="20"/>
    <s v="Acre-feet per Year"/>
    <s v="U_5"/>
    <n v="0"/>
    <n v="39.080474240000001"/>
    <n v="-123.1819828"/>
    <s v="UNST"/>
  </r>
  <r>
    <s v="A024412"/>
    <n v="19730710"/>
    <n v="23"/>
    <s v="N"/>
    <s v="N"/>
    <s v="N"/>
    <s v="N"/>
    <x v="1"/>
    <s v="Outside"/>
    <s v="Outside"/>
    <x v="0"/>
    <n v="1973"/>
    <x v="1"/>
    <x v="0"/>
    <s v="N"/>
    <s v="N"/>
    <s v="N"/>
    <s v="Y"/>
    <s v="N"/>
    <x v="1"/>
    <s v="N"/>
    <x v="0"/>
    <s v="N"/>
    <n v="0"/>
    <n v="0"/>
    <n v="0.13503066699999999"/>
    <n v="0"/>
    <n v="0"/>
    <n v="0"/>
    <n v="0"/>
    <n v="0"/>
    <n v="0"/>
    <n v="0"/>
    <n v="0"/>
    <n v="0"/>
    <n v="0.13503066699999999"/>
    <n v="0"/>
    <n v="0"/>
    <n v="2.0153830895522386E-2"/>
    <m/>
    <m/>
    <n v="6.7"/>
    <s v="Acre-feet per Year"/>
    <s v="L_25"/>
    <n v="0"/>
    <n v="38.425540050000002"/>
    <n v="-122.79624765"/>
    <s v="UNST"/>
  </r>
  <r>
    <s v="A024425"/>
    <n v="19730731"/>
    <n v="1"/>
    <s v="N"/>
    <s v="N"/>
    <s v="Y"/>
    <s v="Y"/>
    <x v="0"/>
    <s v="West Fork and Below Lake"/>
    <s v="Outside"/>
    <x v="0"/>
    <n v="1973"/>
    <x v="1"/>
    <x v="0"/>
    <s v="Y"/>
    <s v="N"/>
    <s v="N"/>
    <s v="Y"/>
    <s v="N"/>
    <x v="1"/>
    <s v="N"/>
    <x v="1"/>
    <s v="N"/>
    <n v="18.73"/>
    <n v="24.9"/>
    <n v="22.58"/>
    <n v="27.7"/>
    <n v="14.23"/>
    <n v="0"/>
    <n v="0"/>
    <n v="0"/>
    <n v="0"/>
    <n v="0"/>
    <n v="0.76"/>
    <n v="2.76"/>
    <n v="111.66000000000001"/>
    <n v="14.233333330000001"/>
    <n v="4.7210345326583129E-2"/>
    <n v="0.44674666661599999"/>
    <m/>
    <m/>
    <n v="250"/>
    <s v="Acre-feet per Year"/>
    <s v="U_1"/>
    <n v="0"/>
    <n v="39.262300000000003"/>
    <n v="-123.1901"/>
    <s v="UNST"/>
  </r>
  <r>
    <s v="A024457"/>
    <n v="19730913"/>
    <n v="4"/>
    <s v="Y"/>
    <s v="N"/>
    <s v="Y"/>
    <s v="Y"/>
    <x v="0"/>
    <s v="West Fork and Below Lake"/>
    <s v="Mendocino (d/s of lake)"/>
    <x v="0"/>
    <n v="1973"/>
    <x v="1"/>
    <x v="0"/>
    <s v="Y"/>
    <s v="N"/>
    <s v="N"/>
    <s v="Y"/>
    <s v="N"/>
    <x v="1"/>
    <s v="N"/>
    <x v="0"/>
    <s v="N"/>
    <n v="3.66"/>
    <n v="5.66"/>
    <n v="6.5"/>
    <n v="0.66"/>
    <n v="0"/>
    <n v="0"/>
    <n v="0"/>
    <n v="0"/>
    <n v="0"/>
    <n v="0"/>
    <n v="0"/>
    <n v="0"/>
    <n v="16.48"/>
    <n v="0"/>
    <n v="0"/>
    <n v="0.68750000004166667"/>
    <m/>
    <m/>
    <n v="24"/>
    <s v="Acre-feet per Year"/>
    <s v="U_4"/>
    <n v="0"/>
    <n v="39.193962980000002"/>
    <n v="-123.21422577"/>
    <s v="UNST"/>
  </r>
  <r>
    <s v="A024488"/>
    <n v="19731010"/>
    <n v="1"/>
    <s v="N"/>
    <s v="N"/>
    <s v="Y"/>
    <s v="Y"/>
    <x v="0"/>
    <s v="West Fork and Below Lake"/>
    <s v="Outside"/>
    <x v="0"/>
    <n v="1973"/>
    <x v="1"/>
    <x v="0"/>
    <s v="Y"/>
    <s v="N"/>
    <s v="N"/>
    <s v="Y"/>
    <s v="N"/>
    <x v="1"/>
    <s v="N"/>
    <x v="1"/>
    <s v="N"/>
    <n v="1.63"/>
    <n v="0.04"/>
    <n v="0.61"/>
    <n v="0.1"/>
    <n v="7.0000000000000007E-2"/>
    <n v="0"/>
    <n v="0"/>
    <n v="0"/>
    <n v="0"/>
    <n v="0"/>
    <n v="0.43"/>
    <n v="0.1"/>
    <n v="2.98"/>
    <n v="7.3333333000000001E-2"/>
    <n v="2.432383121093753E-4"/>
    <n v="0.99888888866666681"/>
    <m/>
    <m/>
    <n v="3"/>
    <s v="Acre-feet per Year"/>
    <s v="U_1"/>
    <n v="0"/>
    <n v="39.298556490000003"/>
    <n v="-123.20330079999999"/>
    <s v="UNST"/>
  </r>
  <r>
    <s v="A024502"/>
    <n v="19731116"/>
    <n v="1"/>
    <s v="N"/>
    <s v="N"/>
    <s v="Y"/>
    <s v="Y"/>
    <x v="0"/>
    <s v="West Fork and Below Lake"/>
    <s v="Outside"/>
    <x v="0"/>
    <n v="1973"/>
    <x v="1"/>
    <x v="0"/>
    <s v="Y"/>
    <s v="N"/>
    <s v="N"/>
    <s v="Y"/>
    <s v="N"/>
    <x v="1"/>
    <s v="N"/>
    <x v="0"/>
    <s v="N"/>
    <n v="1.66"/>
    <n v="1.33"/>
    <n v="0.4"/>
    <n v="0"/>
    <n v="0"/>
    <n v="0"/>
    <n v="0"/>
    <n v="0"/>
    <n v="0"/>
    <n v="0"/>
    <n v="0"/>
    <n v="0"/>
    <n v="3.39"/>
    <n v="0"/>
    <n v="0"/>
    <n v="0.33999999999999997"/>
    <m/>
    <m/>
    <n v="10"/>
    <s v="Acre-feet per Year"/>
    <s v="U_1"/>
    <n v="0"/>
    <n v="39.23941791"/>
    <n v="-123.21324042000001"/>
    <s v="UNST"/>
  </r>
  <r>
    <s v="A024318"/>
    <n v="19730309"/>
    <n v="2"/>
    <s v="N"/>
    <s v="N"/>
    <s v="Y"/>
    <s v="N"/>
    <x v="0"/>
    <s v="Outside"/>
    <s v="Outside"/>
    <x v="0"/>
    <n v="1973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3.5"/>
    <s v="Acre-feet per Year"/>
    <s v="U_2"/>
    <n v="0"/>
    <n v="39.318728620000002"/>
    <n v="-123.10678430999999"/>
    <s v="EAST FORK RUSSIAN RIVER"/>
  </r>
  <r>
    <s v="A024209B"/>
    <n v="19721017"/>
    <n v="2"/>
    <s v="N"/>
    <s v="N"/>
    <s v="Y"/>
    <s v="N"/>
    <x v="0"/>
    <s v="Outside"/>
    <s v="Outside"/>
    <x v="0"/>
    <n v="1972"/>
    <x v="1"/>
    <x v="0"/>
    <s v="Y"/>
    <s v="N"/>
    <s v="N"/>
    <s v="Y"/>
    <s v="N"/>
    <x v="1"/>
    <s v="N"/>
    <x v="1"/>
    <s v="N"/>
    <n v="0"/>
    <n v="0"/>
    <n v="4.16"/>
    <n v="3.83"/>
    <n v="6.6"/>
    <n v="21.16"/>
    <n v="22.51"/>
    <n v="14.27"/>
    <n v="10.81"/>
    <n v="17.3"/>
    <n v="0"/>
    <n v="0"/>
    <n v="100.64"/>
    <n v="75.363333339999997"/>
    <n v="0.24997159199838642"/>
    <n v="0.58186897884393063"/>
    <m/>
    <m/>
    <n v="173"/>
    <s v="Acre-feet per Year"/>
    <s v="U_2"/>
    <n v="0"/>
    <n v="39.359154420000003"/>
    <n v="-123.12899461000001"/>
    <s v="POWERHOUSE CANAL"/>
  </r>
  <r>
    <s v="A024209A"/>
    <n v="19721017"/>
    <n v="2"/>
    <s v="N"/>
    <s v="N"/>
    <s v="Y"/>
    <s v="N"/>
    <x v="0"/>
    <s v="Outside"/>
    <s v="Outside"/>
    <x v="0"/>
    <n v="1972"/>
    <x v="1"/>
    <x v="0"/>
    <s v="Y"/>
    <s v="N"/>
    <s v="N"/>
    <s v="Y"/>
    <s v="N"/>
    <x v="1"/>
    <s v="N"/>
    <x v="1"/>
    <s v="N"/>
    <n v="0"/>
    <n v="0"/>
    <n v="8.16"/>
    <n v="5"/>
    <n v="5.76"/>
    <n v="8.83"/>
    <n v="14.34"/>
    <n v="3.64"/>
    <n v="3.51"/>
    <n v="13.46"/>
    <n v="0"/>
    <n v="0"/>
    <n v="62.7"/>
    <n v="36.09933333"/>
    <n v="0.11973737655511872"/>
    <n v="0.27881185185333335"/>
    <m/>
    <m/>
    <n v="225"/>
    <s v="Acre-feet per Year"/>
    <s v="U_2"/>
    <n v="0"/>
    <n v="39.359154420000003"/>
    <n v="-123.12899461000001"/>
    <s v="POWERHOUSE CANAL"/>
  </r>
  <r>
    <s v="A024004"/>
    <n v="19720320"/>
    <n v="23"/>
    <s v="N"/>
    <s v="N"/>
    <s v="N"/>
    <s v="N"/>
    <x v="1"/>
    <s v="Outside"/>
    <s v="Outside"/>
    <x v="0"/>
    <n v="1972"/>
    <x v="1"/>
    <x v="0"/>
    <s v="N"/>
    <s v="N"/>
    <s v="N"/>
    <s v="Y"/>
    <s v="N"/>
    <x v="1"/>
    <s v="N"/>
    <x v="0"/>
    <s v="N"/>
    <n v="6"/>
    <n v="2.5"/>
    <n v="1.5"/>
    <n v="0"/>
    <n v="0"/>
    <n v="0"/>
    <n v="0"/>
    <n v="0"/>
    <n v="0"/>
    <n v="0"/>
    <n v="0.66666666699999999"/>
    <n v="2.3333333330000001"/>
    <n v="13"/>
    <n v="0"/>
    <n v="0"/>
    <n v="1"/>
    <m/>
    <m/>
    <n v="13"/>
    <s v="Acre-feet per Year"/>
    <s v="L_27"/>
    <n v="0"/>
    <n v="38.36627816"/>
    <n v="-122.60654909"/>
    <s v="UNST"/>
  </r>
  <r>
    <s v="A024010"/>
    <n v="19720331"/>
    <n v="1"/>
    <s v="N"/>
    <s v="N"/>
    <s v="Y"/>
    <s v="Y"/>
    <x v="0"/>
    <s v="West Fork and Below Lake"/>
    <s v="Outside"/>
    <x v="0"/>
    <n v="1972"/>
    <x v="1"/>
    <x v="0"/>
    <s v="Y"/>
    <s v="N"/>
    <s v="N"/>
    <s v="Y"/>
    <s v="N"/>
    <x v="1"/>
    <s v="N"/>
    <x v="1"/>
    <s v="N"/>
    <n v="0"/>
    <n v="0"/>
    <n v="0.01"/>
    <n v="0.65"/>
    <n v="0.13"/>
    <n v="1.33"/>
    <n v="2.2200000000000002"/>
    <n v="1.85"/>
    <n v="0"/>
    <n v="0"/>
    <n v="0"/>
    <n v="0"/>
    <n v="6.1899999999999995"/>
    <n v="5.5400000000000009"/>
    <n v="1.8375548934697124E-2"/>
    <n v="0.66028368787234037"/>
    <m/>
    <m/>
    <n v="9.4"/>
    <s v="Acre-feet per Year"/>
    <s v="U_1"/>
    <n v="0"/>
    <n v="39.272100000000002"/>
    <n v="-123.17059999999999"/>
    <s v="UNST"/>
  </r>
  <r>
    <s v="A024013"/>
    <n v="19720331"/>
    <n v="5"/>
    <s v="Y"/>
    <s v="N"/>
    <s v="Y"/>
    <s v="Y"/>
    <x v="0"/>
    <s v="West Fork and Below Lake"/>
    <s v="Mendocino (d/s of lake)"/>
    <x v="0"/>
    <n v="1972"/>
    <x v="1"/>
    <x v="1"/>
    <s v="Y"/>
    <s v="N"/>
    <s v="N"/>
    <s v="Y"/>
    <s v="N"/>
    <x v="1"/>
    <s v="N"/>
    <x v="1"/>
    <s v="N"/>
    <n v="0"/>
    <n v="0"/>
    <n v="0"/>
    <n v="0.52"/>
    <n v="1.1599999999999999"/>
    <n v="0"/>
    <n v="0"/>
    <n v="0"/>
    <n v="0"/>
    <n v="0"/>
    <n v="0"/>
    <n v="0"/>
    <n v="1.68"/>
    <n v="1.16333333333333"/>
    <n v="3.8586441505470978E-3"/>
    <n v="3.2687338501291914E-2"/>
    <m/>
    <m/>
    <n v="51.6"/>
    <s v="Acre-feet per Year"/>
    <s v="U_5"/>
    <n v="0"/>
    <n v="39.076900000000002"/>
    <n v="-123.1628"/>
    <s v="RUSSIAN RIVER"/>
  </r>
  <r>
    <s v="A024014"/>
    <n v="19720403"/>
    <n v="5"/>
    <s v="Y"/>
    <s v="N"/>
    <s v="Y"/>
    <s v="Y"/>
    <x v="0"/>
    <s v="West Fork and Below Lake"/>
    <s v="Mendocino (d/s of lake)"/>
    <x v="0"/>
    <n v="1972"/>
    <x v="1"/>
    <x v="1"/>
    <s v="Y"/>
    <s v="N"/>
    <s v="N"/>
    <s v="Y"/>
    <s v="N"/>
    <x v="1"/>
    <s v="N"/>
    <x v="0"/>
    <s v="N"/>
    <n v="0"/>
    <n v="0"/>
    <n v="0.45"/>
    <n v="0"/>
    <n v="0"/>
    <n v="0"/>
    <n v="0"/>
    <n v="0"/>
    <n v="0"/>
    <n v="0"/>
    <n v="0"/>
    <n v="0"/>
    <n v="0.45"/>
    <n v="0"/>
    <n v="0"/>
    <n v="2.4324324324324326E-2"/>
    <m/>
    <m/>
    <n v="18.5"/>
    <s v="Acre-feet per Year"/>
    <s v="U_5"/>
    <n v="0"/>
    <n v="39.102828219999999"/>
    <n v="-123.17853524"/>
    <s v="RUSSIAN RIVER UNDERFLOW"/>
  </r>
  <r>
    <s v="A024017"/>
    <n v="19720404"/>
    <n v="12"/>
    <s v="N"/>
    <s v="Y"/>
    <s v="Y"/>
    <s v="Y"/>
    <x v="0"/>
    <s v="West Fork and Below Lake"/>
    <s v="Sonoma (d/s of Clov. Gage)"/>
    <x v="0"/>
    <n v="1972"/>
    <x v="1"/>
    <x v="0"/>
    <s v="Y"/>
    <s v="N"/>
    <s v="N"/>
    <s v="Y"/>
    <s v="N"/>
    <x v="1"/>
    <s v="N"/>
    <x v="0"/>
    <s v="N"/>
    <n v="23"/>
    <n v="0"/>
    <n v="0"/>
    <n v="0"/>
    <n v="0"/>
    <n v="0"/>
    <n v="0"/>
    <n v="0"/>
    <n v="0"/>
    <n v="0"/>
    <n v="0"/>
    <n v="0"/>
    <n v="23"/>
    <n v="0"/>
    <n v="0"/>
    <n v="1"/>
    <m/>
    <m/>
    <n v="23"/>
    <s v="Acre-feet per Year"/>
    <s v="U_12"/>
    <n v="0"/>
    <n v="38.590503099999999"/>
    <n v="-122.67772807999999"/>
    <s v="UNST"/>
  </r>
  <r>
    <s v="A024025"/>
    <n v="19720410"/>
    <n v="1"/>
    <s v="N"/>
    <s v="N"/>
    <s v="Y"/>
    <s v="Y"/>
    <x v="0"/>
    <s v="West Fork and Below Lake"/>
    <s v="Outside"/>
    <x v="0"/>
    <n v="1972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3"/>
    <s v="Acre-feet per Year"/>
    <s v="U_1"/>
    <n v="0"/>
    <n v="39.270055339999999"/>
    <n v="-123.19786956999999"/>
    <s v="UNST"/>
  </r>
  <r>
    <s v="A024028"/>
    <n v="19720412"/>
    <n v="1"/>
    <s v="N"/>
    <s v="N"/>
    <s v="Y"/>
    <s v="Y"/>
    <x v="0"/>
    <s v="West Fork and Below Lake"/>
    <s v="Outside"/>
    <x v="0"/>
    <n v="1972"/>
    <x v="1"/>
    <x v="0"/>
    <s v="Y"/>
    <s v="N"/>
    <s v="N"/>
    <s v="Y"/>
    <s v="N"/>
    <x v="1"/>
    <s v="N"/>
    <x v="0"/>
    <s v="N"/>
    <n v="22.33"/>
    <n v="3.66"/>
    <n v="0"/>
    <n v="0"/>
    <n v="0"/>
    <n v="0"/>
    <n v="0"/>
    <n v="0"/>
    <n v="0"/>
    <n v="0"/>
    <n v="0"/>
    <n v="6"/>
    <n v="31.99"/>
    <n v="0"/>
    <n v="0"/>
    <n v="0.82051282043589746"/>
    <m/>
    <m/>
    <n v="39"/>
    <s v="Acre-feet per Year"/>
    <s v="U_1"/>
    <n v="3.4039024194010059E-4"/>
    <n v="39.217100000000002"/>
    <n v="-123.21599999999999"/>
    <s v="UNNAMED STREAM"/>
  </r>
  <r>
    <s v="A024044"/>
    <n v="19720414"/>
    <n v="1"/>
    <s v="N"/>
    <s v="N"/>
    <s v="Y"/>
    <s v="Y"/>
    <x v="0"/>
    <s v="West Fork and Below Lake"/>
    <s v="Outside"/>
    <x v="0"/>
    <n v="1972"/>
    <x v="1"/>
    <x v="0"/>
    <s v="Y"/>
    <s v="N"/>
    <s v="N"/>
    <s v="Y"/>
    <s v="N"/>
    <x v="1"/>
    <s v="N"/>
    <x v="0"/>
    <s v="N"/>
    <n v="3.65"/>
    <n v="4.62"/>
    <n v="2.15"/>
    <n v="1.46"/>
    <n v="0"/>
    <n v="0"/>
    <n v="0"/>
    <n v="0"/>
    <n v="0"/>
    <n v="0"/>
    <n v="0.49"/>
    <n v="0.46"/>
    <n v="12.83"/>
    <n v="0"/>
    <n v="0"/>
    <n v="0.51400000000000001"/>
    <m/>
    <m/>
    <n v="25"/>
    <s v="Acre-feet per Year"/>
    <s v="U_1"/>
    <n v="0"/>
    <n v="39.264105479999998"/>
    <n v="-123.18893783999999"/>
    <s v="UNST"/>
  </r>
  <r>
    <s v="A024050"/>
    <n v="19720419"/>
    <n v="6"/>
    <s v="Y"/>
    <s v="N"/>
    <s v="Y"/>
    <s v="Y"/>
    <x v="0"/>
    <s v="West Fork and Below Lake"/>
    <s v="Mendocino (d/s of lake)"/>
    <x v="0"/>
    <n v="1972"/>
    <x v="1"/>
    <x v="1"/>
    <s v="Y"/>
    <s v="N"/>
    <s v="N"/>
    <s v="Y"/>
    <s v="N"/>
    <x v="1"/>
    <s v="N"/>
    <x v="0"/>
    <s v="N"/>
    <n v="0"/>
    <n v="0"/>
    <n v="0"/>
    <n v="7.0000000000000007E-2"/>
    <n v="0"/>
    <n v="0"/>
    <n v="0"/>
    <n v="0"/>
    <n v="0"/>
    <n v="0"/>
    <n v="0"/>
    <n v="0"/>
    <n v="7.0000000000000007E-2"/>
    <n v="0"/>
    <n v="0"/>
    <n v="1.8181818181818184E-3"/>
    <m/>
    <m/>
    <n v="38.5"/>
    <s v="Acre-feet per Year"/>
    <s v="U_6"/>
    <n v="0"/>
    <n v="39.021674830000002"/>
    <n v="-123.13013587"/>
    <s v="RUSSIAN RIVER"/>
  </r>
  <r>
    <s v="A024051"/>
    <n v="19720424"/>
    <n v="12"/>
    <s v="N"/>
    <s v="Y"/>
    <s v="Y"/>
    <s v="Y"/>
    <x v="0"/>
    <s v="West Fork and Below Lake"/>
    <s v="Sonoma (d/s of Clov. Gage)"/>
    <x v="0"/>
    <n v="1972"/>
    <x v="1"/>
    <x v="1"/>
    <s v="Y"/>
    <s v="N"/>
    <s v="N"/>
    <s v="Y"/>
    <s v="N"/>
    <x v="1"/>
    <s v="N"/>
    <x v="1"/>
    <s v="N"/>
    <n v="0"/>
    <n v="0"/>
    <n v="0"/>
    <n v="0"/>
    <n v="3.89"/>
    <n v="2.63"/>
    <n v="13.81"/>
    <n v="13.34"/>
    <n v="7.01"/>
    <n v="4.8499999999999996"/>
    <n v="11.24"/>
    <n v="0"/>
    <n v="56.77"/>
    <n v="40.689944666666698"/>
    <n v="0.13496391143907074"/>
    <n v="0.72803843589743622"/>
    <m/>
    <m/>
    <n v="78"/>
    <s v="Acre-feet per Year"/>
    <s v="U_12"/>
    <n v="0"/>
    <n v="38.606192669999999"/>
    <n v="-122.78111488"/>
    <s v="UNST"/>
  </r>
  <r>
    <s v="A024053"/>
    <n v="19720427"/>
    <n v="5"/>
    <s v="Y"/>
    <s v="N"/>
    <s v="Y"/>
    <s v="Y"/>
    <x v="0"/>
    <s v="West Fork and Below Lake"/>
    <s v="Mendocino (d/s of lake)"/>
    <x v="0"/>
    <n v="1972"/>
    <x v="1"/>
    <x v="0"/>
    <s v="Y"/>
    <s v="N"/>
    <s v="N"/>
    <s v="Y"/>
    <s v="N"/>
    <x v="1"/>
    <s v="N"/>
    <x v="0"/>
    <s v="N"/>
    <n v="2.08"/>
    <n v="0"/>
    <n v="0"/>
    <n v="0"/>
    <n v="0"/>
    <n v="0"/>
    <n v="0"/>
    <n v="0"/>
    <n v="0"/>
    <n v="0"/>
    <n v="1.33"/>
    <n v="2.04"/>
    <n v="5.45"/>
    <n v="0"/>
    <n v="0"/>
    <n v="0.41414141416666672"/>
    <m/>
    <m/>
    <n v="13.2"/>
    <s v="Acre-feet per Year"/>
    <s v="U_5"/>
    <n v="0"/>
    <n v="39.122437050000002"/>
    <n v="-123.1595923"/>
    <s v="UNST"/>
  </r>
  <r>
    <s v="A024056"/>
    <n v="19720501"/>
    <n v="1"/>
    <s v="N"/>
    <s v="N"/>
    <s v="Y"/>
    <s v="Y"/>
    <x v="0"/>
    <s v="West Fork and Below Lake"/>
    <s v="Outside"/>
    <x v="0"/>
    <n v="1972"/>
    <x v="1"/>
    <x v="0"/>
    <s v="Y"/>
    <s v="N"/>
    <s v="N"/>
    <s v="Y"/>
    <s v="N"/>
    <x v="1"/>
    <s v="N"/>
    <x v="1"/>
    <s v="N"/>
    <n v="10.33"/>
    <n v="10.33"/>
    <n v="9"/>
    <n v="6"/>
    <n v="3.33"/>
    <n v="0"/>
    <n v="0"/>
    <n v="0"/>
    <n v="0"/>
    <n v="0"/>
    <n v="0"/>
    <n v="0"/>
    <n v="38.989999999999995"/>
    <n v="3.3333333330000001"/>
    <n v="1.1056286963212734E-2"/>
    <n v="0.97499999982500007"/>
    <m/>
    <m/>
    <n v="40"/>
    <s v="Acre-feet per Year"/>
    <s v="U_1"/>
    <n v="0"/>
    <n v="39.276773409999997"/>
    <n v="-123.21211542"/>
    <s v="UNST"/>
  </r>
  <r>
    <s v="A024101"/>
    <n v="19720623"/>
    <n v="12"/>
    <s v="N"/>
    <s v="Y"/>
    <s v="Y"/>
    <s v="Y"/>
    <x v="0"/>
    <s v="West Fork and Below Lake"/>
    <s v="Sonoma (d/s of Clov. Gage)"/>
    <x v="0"/>
    <n v="1972"/>
    <x v="1"/>
    <x v="1"/>
    <s v="Y"/>
    <s v="N"/>
    <s v="N"/>
    <s v="Y"/>
    <s v="N"/>
    <x v="1"/>
    <s v="N"/>
    <x v="1"/>
    <s v="N"/>
    <n v="0"/>
    <n v="0.17"/>
    <n v="0.39"/>
    <n v="0.24"/>
    <n v="0.02"/>
    <n v="0.05"/>
    <n v="0.16"/>
    <n v="0.24"/>
    <n v="0.31"/>
    <n v="0.09"/>
    <n v="0"/>
    <n v="0"/>
    <n v="1.6700000000000002"/>
    <n v="0.78666666666666596"/>
    <n v="2.6092837235791315E-3"/>
    <n v="0.13051282051282051"/>
    <m/>
    <m/>
    <n v="13"/>
    <s v="Acre-feet per Year"/>
    <s v="U_12"/>
    <n v="0"/>
    <n v="38.623763500000003"/>
    <n v="-122.78165740999999"/>
    <s v="UNST"/>
  </r>
  <r>
    <s v="A024104"/>
    <n v="19720630"/>
    <n v="1"/>
    <s v="N"/>
    <s v="N"/>
    <s v="Y"/>
    <s v="Y"/>
    <x v="0"/>
    <s v="West Fork and Below Lake"/>
    <s v="Outside"/>
    <x v="0"/>
    <n v="1972"/>
    <x v="1"/>
    <x v="0"/>
    <s v="Y"/>
    <s v="N"/>
    <s v="N"/>
    <s v="Y"/>
    <s v="N"/>
    <x v="1"/>
    <s v="N"/>
    <x v="0"/>
    <s v="N"/>
    <n v="2"/>
    <n v="2"/>
    <n v="1"/>
    <n v="1"/>
    <n v="0"/>
    <n v="0"/>
    <n v="0"/>
    <n v="0"/>
    <n v="0"/>
    <n v="0"/>
    <n v="0"/>
    <n v="1"/>
    <n v="7"/>
    <n v="0"/>
    <n v="0"/>
    <n v="1"/>
    <m/>
    <m/>
    <n v="7"/>
    <s v="Acre-feet per Year"/>
    <s v="U_1"/>
    <n v="0"/>
    <n v="39.279660999999997"/>
    <n v="-123.22488423"/>
    <s v="UNST"/>
  </r>
  <r>
    <s v="A024126"/>
    <n v="19720724"/>
    <n v="1"/>
    <s v="N"/>
    <s v="N"/>
    <s v="Y"/>
    <s v="Y"/>
    <x v="0"/>
    <s v="West Fork and Below Lake"/>
    <s v="Outside"/>
    <x v="0"/>
    <n v="1972"/>
    <x v="1"/>
    <x v="0"/>
    <s v="Y"/>
    <s v="N"/>
    <s v="N"/>
    <s v="Y"/>
    <s v="N"/>
    <x v="1"/>
    <s v="N"/>
    <x v="1"/>
    <s v="N"/>
    <n v="4.33"/>
    <n v="4"/>
    <n v="4.33"/>
    <n v="3.33"/>
    <n v="1.66"/>
    <n v="0"/>
    <n v="0"/>
    <n v="0"/>
    <n v="0"/>
    <n v="0"/>
    <n v="0"/>
    <n v="2.66"/>
    <n v="20.309999999999999"/>
    <n v="1.6666666670000001"/>
    <n v="5.5281434832648111E-3"/>
    <n v="0.6559139784838709"/>
    <m/>
    <m/>
    <n v="31"/>
    <s v="Acre-feet per Year"/>
    <s v="U_1"/>
    <n v="0"/>
    <n v="39.292021939999998"/>
    <n v="-123.19788884"/>
    <s v="UNST"/>
  </r>
  <r>
    <s v="A024130"/>
    <n v="19720727"/>
    <n v="1"/>
    <s v="N"/>
    <s v="N"/>
    <s v="Y"/>
    <s v="Y"/>
    <x v="0"/>
    <s v="West Fork and Below Lake"/>
    <s v="Outside"/>
    <x v="0"/>
    <n v="1972"/>
    <x v="1"/>
    <x v="0"/>
    <s v="Y"/>
    <s v="N"/>
    <s v="N"/>
    <s v="Y"/>
    <s v="N"/>
    <x v="1"/>
    <s v="N"/>
    <x v="0"/>
    <s v="N"/>
    <n v="19.329999999999998"/>
    <n v="9.66"/>
    <n v="4.33"/>
    <n v="0"/>
    <n v="0"/>
    <n v="0"/>
    <n v="0"/>
    <n v="0"/>
    <n v="0"/>
    <n v="0"/>
    <n v="0"/>
    <n v="3.33"/>
    <n v="36.65"/>
    <n v="0"/>
    <n v="0"/>
    <n v="0.93299406267175566"/>
    <m/>
    <m/>
    <n v="39.299999999999997"/>
    <s v="Acre-feet per Year"/>
    <s v="U_1"/>
    <n v="0"/>
    <n v="39.210299999999997"/>
    <n v="-123.2131"/>
    <s v="UNNAMED STREAM"/>
  </r>
  <r>
    <s v="A024139"/>
    <n v="19720808"/>
    <n v="5"/>
    <s v="Y"/>
    <s v="N"/>
    <s v="Y"/>
    <s v="Y"/>
    <x v="0"/>
    <s v="West Fork and Below Lake"/>
    <s v="Mendocino (d/s of lake)"/>
    <x v="0"/>
    <n v="1972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0"/>
    <s v="Acre-feet per Year"/>
    <s v="U_5"/>
    <n v="0"/>
    <n v="39.044998040000003"/>
    <n v="-123.15991108999999"/>
    <s v="MCNAB CREEK"/>
  </r>
  <r>
    <s v="A024140"/>
    <n v="19720808"/>
    <n v="5"/>
    <s v="Y"/>
    <s v="N"/>
    <s v="Y"/>
    <s v="Y"/>
    <x v="0"/>
    <s v="West Fork and Below Lake"/>
    <s v="Mendocino (d/s of lake)"/>
    <x v="0"/>
    <n v="1972"/>
    <x v="1"/>
    <x v="1"/>
    <s v="Y"/>
    <s v="N"/>
    <s v="N"/>
    <s v="Y"/>
    <s v="N"/>
    <x v="1"/>
    <s v="N"/>
    <x v="0"/>
    <s v="N"/>
    <n v="0.83"/>
    <n v="0"/>
    <n v="0"/>
    <n v="0"/>
    <n v="0"/>
    <n v="0"/>
    <n v="0"/>
    <n v="0"/>
    <n v="0"/>
    <n v="0"/>
    <n v="29.3"/>
    <n v="7.3"/>
    <n v="37.43"/>
    <n v="0"/>
    <n v="0"/>
    <n v="6.2388888888888883E-2"/>
    <m/>
    <m/>
    <n v="600"/>
    <s v="Acre-feet per Year"/>
    <s v="U_5"/>
    <n v="0"/>
    <n v="39.059235970000003"/>
    <n v="-123.14483009"/>
    <s v="RUSSIAN RIVER"/>
  </r>
  <r>
    <s v="A024141"/>
    <n v="19720808"/>
    <n v="6"/>
    <s v="Y"/>
    <s v="N"/>
    <s v="Y"/>
    <s v="Y"/>
    <x v="0"/>
    <s v="West Fork and Below Lake"/>
    <s v="Mendocino (d/s of lake)"/>
    <x v="0"/>
    <n v="1972"/>
    <x v="1"/>
    <x v="1"/>
    <s v="Y"/>
    <s v="N"/>
    <s v="N"/>
    <s v="Y"/>
    <s v="N"/>
    <x v="1"/>
    <s v="N"/>
    <x v="0"/>
    <s v="N"/>
    <n v="0"/>
    <n v="0"/>
    <n v="0.64"/>
    <n v="0.24"/>
    <n v="0"/>
    <n v="0"/>
    <n v="0"/>
    <n v="0"/>
    <n v="0"/>
    <n v="0"/>
    <n v="0"/>
    <n v="0"/>
    <n v="0.88"/>
    <n v="0"/>
    <n v="0"/>
    <n v="8.3647798742138308E-3"/>
    <m/>
    <m/>
    <n v="106"/>
    <s v="Acre-feet per Year"/>
    <s v="U_6"/>
    <n v="0"/>
    <n v="38.955800000000004"/>
    <n v="-123.10290000000001"/>
    <s v="RUSSIAN RIVER"/>
  </r>
  <r>
    <s v="A024205"/>
    <n v="19721011"/>
    <n v="9"/>
    <s v="N"/>
    <s v="Y"/>
    <s v="Y"/>
    <s v="Y"/>
    <x v="0"/>
    <s v="West Fork and Below Lake"/>
    <s v="Sonoma (d/s of Clov. Gage)"/>
    <x v="0"/>
    <n v="1972"/>
    <x v="1"/>
    <x v="0"/>
    <s v="Y"/>
    <s v="N"/>
    <s v="N"/>
    <s v="Y"/>
    <s v="N"/>
    <x v="1"/>
    <s v="N"/>
    <x v="1"/>
    <s v="N"/>
    <n v="0"/>
    <n v="0"/>
    <n v="0"/>
    <n v="1.2300000000000001E-4"/>
    <n v="1.5300000000000001E-4"/>
    <n v="0"/>
    <n v="0"/>
    <n v="0"/>
    <n v="0"/>
    <n v="0"/>
    <n v="0"/>
    <n v="0"/>
    <n v="2.7599999999999999E-4"/>
    <n v="1.5300000000000001E-4"/>
    <n v="5.0748357166221282E-7"/>
    <n v="5.5533199195171024E-6"/>
    <m/>
    <m/>
    <n v="49.7"/>
    <s v="Acre-feet per Year"/>
    <s v="U_9"/>
    <n v="3.4039024194010059E-4"/>
    <n v="38.762519930000003"/>
    <n v="-123.00344124"/>
    <s v="UNST"/>
  </r>
  <r>
    <s v="A024247"/>
    <n v="19721122"/>
    <n v="23"/>
    <s v="N"/>
    <s v="N"/>
    <s v="N"/>
    <s v="N"/>
    <x v="1"/>
    <s v="Outside"/>
    <s v="Outside"/>
    <x v="0"/>
    <n v="1972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"/>
    <s v="Acre-feet per Year"/>
    <s v="L_27"/>
    <n v="0"/>
    <n v="38.506094470000001"/>
    <n v="-122.69579845"/>
    <s v="UNST"/>
  </r>
  <r>
    <s v="A024266A"/>
    <n v="19721221"/>
    <n v="9"/>
    <s v="N"/>
    <s v="Y"/>
    <s v="Y"/>
    <s v="Y"/>
    <x v="0"/>
    <s v="West Fork and Below Lake"/>
    <s v="Sonoma (d/s of Clov. Gage)"/>
    <x v="0"/>
    <n v="1972"/>
    <x v="1"/>
    <x v="1"/>
    <s v="Y"/>
    <s v="N"/>
    <s v="N"/>
    <s v="Y"/>
    <s v="N"/>
    <x v="1"/>
    <s v="N"/>
    <x v="1"/>
    <s v="N"/>
    <n v="0"/>
    <n v="0"/>
    <n v="0"/>
    <n v="0"/>
    <n v="0"/>
    <n v="2.15"/>
    <n v="2.15"/>
    <n v="2.16"/>
    <n v="2.16"/>
    <n v="0"/>
    <n v="0"/>
    <n v="0"/>
    <n v="8.620000000000001"/>
    <n v="8.63333333333334"/>
    <n v="2.8635783237584585E-2"/>
    <n v="0.93840579710145011"/>
    <m/>
    <m/>
    <n v="9.1999999999999993"/>
    <s v="Acre-feet per Year"/>
    <s v="U_9"/>
    <n v="0"/>
    <n v="38.722099999999998"/>
    <n v="-122.9051"/>
    <s v="RUSSIAN RIVER UNDERFLOW"/>
  </r>
  <r>
    <s v="A024266B"/>
    <n v="19721221"/>
    <n v="9"/>
    <s v="N"/>
    <s v="Y"/>
    <s v="Y"/>
    <s v="Y"/>
    <x v="0"/>
    <s v="West Fork and Below Lake"/>
    <s v="Sonoma (d/s of Clov. Gage)"/>
    <x v="0"/>
    <n v="1972"/>
    <x v="1"/>
    <x v="1"/>
    <s v="Y"/>
    <s v="N"/>
    <s v="N"/>
    <s v="Y"/>
    <s v="N"/>
    <x v="1"/>
    <s v="N"/>
    <x v="0"/>
    <s v="N"/>
    <n v="0"/>
    <n v="0"/>
    <n v="6.74"/>
    <n v="0"/>
    <n v="0"/>
    <n v="0"/>
    <n v="0"/>
    <n v="0"/>
    <n v="0"/>
    <n v="0"/>
    <n v="0"/>
    <n v="0"/>
    <n v="6.74"/>
    <n v="0"/>
    <n v="0"/>
    <n v="0.1348"/>
    <m/>
    <m/>
    <n v="50"/>
    <s v="Acre-feet per Year"/>
    <s v="U_9"/>
    <n v="0"/>
    <n v="38.722136800000001"/>
    <n v="-122.90507301"/>
    <s v="RUSSIAN RIVER UNDERFLOW"/>
  </r>
  <r>
    <s v="A024268A"/>
    <n v="19721222"/>
    <n v="17"/>
    <s v="N"/>
    <s v="N"/>
    <s v="N"/>
    <s v="N"/>
    <x v="1"/>
    <s v="Outside"/>
    <s v="Outside"/>
    <x v="0"/>
    <n v="1972"/>
    <x v="1"/>
    <x v="1"/>
    <s v="N"/>
    <s v="N"/>
    <s v="N"/>
    <s v="Y"/>
    <s v="N"/>
    <x v="1"/>
    <s v="N"/>
    <x v="1"/>
    <s v="N"/>
    <n v="0"/>
    <n v="0"/>
    <n v="0"/>
    <n v="0"/>
    <n v="2.5"/>
    <n v="8.2333333329999991"/>
    <n v="16.5"/>
    <n v="16.100000000000001"/>
    <n v="8.4666666670000001"/>
    <n v="0"/>
    <n v="0"/>
    <n v="0"/>
    <n v="51.8"/>
    <n v="51.8"/>
    <n v="0.17181469942550737"/>
    <n v="0.50784313725490193"/>
    <m/>
    <m/>
    <n v="102"/>
    <s v="Acre-feet per Year"/>
    <s v="L_17"/>
    <n v="0"/>
    <n v="38.578068399999999"/>
    <n v="-122.85584454000001"/>
    <s v="RUSSIAN RIVER UNDERFLOW"/>
  </r>
  <r>
    <s v="A024268B"/>
    <n v="19721222"/>
    <n v="17"/>
    <s v="N"/>
    <s v="N"/>
    <s v="N"/>
    <s v="N"/>
    <x v="1"/>
    <s v="Outside"/>
    <s v="Outside"/>
    <x v="0"/>
    <n v="1972"/>
    <x v="1"/>
    <x v="1"/>
    <s v="N"/>
    <s v="N"/>
    <s v="N"/>
    <s v="Y"/>
    <s v="N"/>
    <x v="1"/>
    <s v="N"/>
    <x v="0"/>
    <s v="N"/>
    <n v="0"/>
    <n v="0"/>
    <n v="4.5"/>
    <n v="1.4666666669999999"/>
    <n v="0"/>
    <n v="0"/>
    <n v="0"/>
    <n v="0"/>
    <n v="0"/>
    <n v="0"/>
    <n v="0"/>
    <n v="0"/>
    <n v="5.9666666670000001"/>
    <n v="0"/>
    <n v="0"/>
    <n v="5.4740061165137618E-2"/>
    <m/>
    <m/>
    <n v="109"/>
    <s v="Acre-feet per Year"/>
    <s v="L_17"/>
    <n v="0"/>
    <n v="38.578068399999999"/>
    <n v="-122.85584454000001"/>
    <s v="RUSSIAN RIVER UNDERFLOW"/>
  </r>
  <r>
    <s v="A024269A"/>
    <n v="19721222"/>
    <n v="12"/>
    <s v="N"/>
    <s v="Y"/>
    <s v="Y"/>
    <s v="Y"/>
    <x v="0"/>
    <s v="West Fork and Below Lake"/>
    <s v="Sonoma (d/s of Clov. Gage)"/>
    <x v="0"/>
    <n v="1972"/>
    <x v="1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6"/>
    <s v="Acre-feet per Year"/>
    <s v="U_12"/>
    <n v="0"/>
    <n v="38.642526289999999"/>
    <n v="-122.79872819000001"/>
    <s v="RUSSIAN RIVER UNDERFLOW"/>
  </r>
  <r>
    <s v="A024269B"/>
    <n v="19721222"/>
    <n v="12"/>
    <s v="N"/>
    <s v="Y"/>
    <s v="Y"/>
    <s v="Y"/>
    <x v="0"/>
    <s v="West Fork and Below Lake"/>
    <s v="Sonoma (d/s of Clov. Gage)"/>
    <x v="0"/>
    <n v="1972"/>
    <x v="1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3"/>
    <s v="Acre-feet per Year"/>
    <s v="U_12"/>
    <n v="0"/>
    <n v="38.649275660000001"/>
    <n v="-122.80837299"/>
    <s v="RUSSIAN RIVER"/>
  </r>
  <r>
    <s v="A024270A"/>
    <n v="19721222"/>
    <n v="17"/>
    <s v="N"/>
    <s v="N"/>
    <s v="N"/>
    <s v="N"/>
    <x v="1"/>
    <s v="Outside"/>
    <s v="Outside"/>
    <x v="0"/>
    <n v="1972"/>
    <x v="1"/>
    <x v="1"/>
    <s v="N"/>
    <s v="N"/>
    <s v="N"/>
    <s v="Y"/>
    <s v="N"/>
    <x v="1"/>
    <s v="N"/>
    <x v="0"/>
    <s v="N"/>
    <n v="0"/>
    <n v="8.6666667000000003E-2"/>
    <n v="0.51485700000000001"/>
    <n v="0"/>
    <n v="0"/>
    <n v="0"/>
    <n v="0"/>
    <n v="0"/>
    <n v="0"/>
    <n v="1.284334667"/>
    <n v="0.63333333300000005"/>
    <n v="0"/>
    <n v="2.5191916669999999"/>
    <n v="0"/>
    <n v="0"/>
    <n v="2.0153533336E-2"/>
    <m/>
    <m/>
    <n v="125"/>
    <s v="Acre-feet per Year"/>
    <s v="L_17"/>
    <n v="0"/>
    <n v="38.566499999999998"/>
    <n v="-122.85469999999999"/>
    <s v="RUSSIAN RIVER UNDERFLOW"/>
  </r>
  <r>
    <s v="A024270B"/>
    <n v="19721222"/>
    <n v="17"/>
    <s v="N"/>
    <s v="N"/>
    <s v="N"/>
    <s v="N"/>
    <x v="1"/>
    <s v="Outside"/>
    <s v="Outside"/>
    <x v="0"/>
    <n v="1972"/>
    <x v="1"/>
    <x v="1"/>
    <s v="N"/>
    <s v="N"/>
    <s v="N"/>
    <s v="Y"/>
    <s v="N"/>
    <x v="1"/>
    <s v="N"/>
    <x v="0"/>
    <s v="N"/>
    <n v="0"/>
    <n v="0.29333333299999997"/>
    <n v="0.56062633299999998"/>
    <n v="0"/>
    <n v="0"/>
    <n v="0"/>
    <n v="0"/>
    <n v="0"/>
    <n v="0"/>
    <n v="1.850698"/>
    <n v="0.87333333300000004"/>
    <n v="0"/>
    <n v="3.5779909990000003"/>
    <n v="0"/>
    <n v="0"/>
    <n v="5.1854942014492754E-3"/>
    <m/>
    <m/>
    <n v="690"/>
    <s v="Acre-feet per Year"/>
    <s v="L_17"/>
    <n v="0"/>
    <n v="38.566499999999998"/>
    <n v="-122.85469999999999"/>
    <s v="RUSSIAN RIVER UNDERFLOW"/>
  </r>
  <r>
    <s v="A024271A"/>
    <n v="19721222"/>
    <n v="23"/>
    <s v="N"/>
    <s v="N"/>
    <s v="N"/>
    <s v="N"/>
    <x v="1"/>
    <s v="Outside"/>
    <s v="Outside"/>
    <x v="0"/>
    <n v="1972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.5"/>
    <s v="Acre-feet per Year"/>
    <s v="L_24"/>
    <n v="0"/>
    <n v="38.495314870000001"/>
    <n v="-122.86900498"/>
    <s v="MARK WEST CREEK"/>
  </r>
  <r>
    <s v="A024271B"/>
    <n v="19721222"/>
    <n v="23"/>
    <s v="N"/>
    <s v="N"/>
    <s v="N"/>
    <s v="N"/>
    <x v="1"/>
    <s v="Outside"/>
    <s v="Outside"/>
    <x v="0"/>
    <n v="1972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8.7"/>
    <s v="Acre-feet per Year"/>
    <s v="L_24"/>
    <n v="0"/>
    <n v="38.495032430000002"/>
    <n v="-122.87004981"/>
    <s v="MARK WEST CREEK"/>
  </r>
  <r>
    <s v="A024223"/>
    <n v="19721027"/>
    <n v="16"/>
    <s v="N"/>
    <s v="N"/>
    <s v="N"/>
    <s v="N"/>
    <x v="1"/>
    <s v="Outside"/>
    <s v="Outside"/>
    <x v="0"/>
    <n v="1972"/>
    <x v="1"/>
    <x v="0"/>
    <s v="N"/>
    <s v="N"/>
    <s v="N"/>
    <s v="Y"/>
    <s v="N"/>
    <x v="1"/>
    <s v="N"/>
    <x v="0"/>
    <s v="N"/>
    <n v="1"/>
    <n v="1"/>
    <n v="1"/>
    <n v="0.2"/>
    <n v="0"/>
    <n v="0"/>
    <n v="0"/>
    <n v="0"/>
    <n v="0"/>
    <n v="0"/>
    <n v="0"/>
    <n v="0"/>
    <n v="3.2"/>
    <n v="0"/>
    <n v="0"/>
    <n v="1"/>
    <m/>
    <m/>
    <n v="3.2"/>
    <s v="Acre-feet per Year"/>
    <s v="L_16"/>
    <n v="3.4039024194010059E-4"/>
    <n v="38.629712249999997"/>
    <n v="-122.92508014000001"/>
    <s v="UNST"/>
  </r>
  <r>
    <s v="A024163"/>
    <n v="19720825"/>
    <n v="2"/>
    <s v="N"/>
    <s v="N"/>
    <s v="Y"/>
    <s v="N"/>
    <x v="0"/>
    <s v="Outside"/>
    <s v="Outside"/>
    <x v="0"/>
    <n v="1972"/>
    <x v="1"/>
    <x v="0"/>
    <s v="Y"/>
    <s v="N"/>
    <s v="N"/>
    <s v="Y"/>
    <s v="N"/>
    <x v="1"/>
    <s v="N"/>
    <x v="1"/>
    <s v="N"/>
    <n v="0"/>
    <n v="0"/>
    <n v="0"/>
    <n v="0"/>
    <n v="0.47"/>
    <n v="0.75"/>
    <n v="0.91"/>
    <n v="0.74"/>
    <n v="0.4"/>
    <n v="0.19"/>
    <n v="0"/>
    <n v="0"/>
    <n v="3.46"/>
    <n v="3.3036916670000003"/>
    <n v="1.0957968933593793E-2"/>
    <n v="0.25198829741007195"/>
    <m/>
    <m/>
    <n v="13.9"/>
    <s v="Acre-feet per Year"/>
    <s v="U_2"/>
    <n v="0"/>
    <n v="39.263780400000002"/>
    <n v="-123.11016211"/>
    <s v="EAST FORK RUSSIAN RIVER"/>
  </r>
  <r>
    <s v="A024173"/>
    <n v="19720908"/>
    <n v="2"/>
    <s v="N"/>
    <s v="N"/>
    <s v="Y"/>
    <s v="N"/>
    <x v="0"/>
    <s v="Outside"/>
    <s v="Outside"/>
    <x v="0"/>
    <n v="1972"/>
    <x v="1"/>
    <x v="0"/>
    <s v="Y"/>
    <s v="N"/>
    <s v="N"/>
    <s v="Y"/>
    <s v="N"/>
    <x v="1"/>
    <s v="N"/>
    <x v="0"/>
    <s v="N"/>
    <n v="0.26"/>
    <n v="0"/>
    <n v="0"/>
    <n v="0"/>
    <n v="0"/>
    <n v="0"/>
    <n v="0"/>
    <n v="0"/>
    <n v="0"/>
    <n v="0"/>
    <n v="0"/>
    <n v="0"/>
    <n v="0.26"/>
    <n v="0"/>
    <n v="0"/>
    <n v="0.19047619071428573"/>
    <m/>
    <m/>
    <n v="1.4"/>
    <s v="Acre-feet per Year"/>
    <s v="U_2"/>
    <n v="0"/>
    <n v="39.231642090000001"/>
    <n v="-123.11142292"/>
    <s v="UNST"/>
  </r>
  <r>
    <s v="A023671"/>
    <n v="19710113"/>
    <n v="5"/>
    <s v="Y"/>
    <s v="N"/>
    <s v="Y"/>
    <s v="Y"/>
    <x v="0"/>
    <s v="West Fork and Below Lake"/>
    <s v="Mendocino (d/s of lake)"/>
    <x v="0"/>
    <n v="1971"/>
    <x v="1"/>
    <x v="1"/>
    <s v="Y"/>
    <s v="N"/>
    <s v="N"/>
    <s v="Y"/>
    <s v="N"/>
    <x v="1"/>
    <s v="N"/>
    <x v="1"/>
    <s v="N"/>
    <n v="0"/>
    <n v="0"/>
    <n v="0"/>
    <n v="0"/>
    <n v="8.16"/>
    <n v="68.66"/>
    <n v="79.33"/>
    <n v="20.5"/>
    <n v="44.5"/>
    <n v="0"/>
    <n v="0"/>
    <n v="0"/>
    <n v="221.14999999999998"/>
    <n v="221.16666666666669"/>
    <n v="0.73358464008252344"/>
    <n v="0.90642076502732249"/>
    <m/>
    <m/>
    <n v="244"/>
    <s v="Acre-feet per Year"/>
    <s v="U_5"/>
    <n v="0"/>
    <n v="39.112646329999997"/>
    <n v="-123.17758468"/>
    <s v="RUSSIAN RIVER UNDERFLOW"/>
  </r>
  <r>
    <s v="A023678"/>
    <n v="19710122"/>
    <n v="8"/>
    <s v="N"/>
    <s v="Y"/>
    <s v="Y"/>
    <s v="Y"/>
    <x v="0"/>
    <s v="West Fork and Below Lake"/>
    <s v="Sonoma (d/s of Clov. Gage)"/>
    <x v="0"/>
    <n v="1971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.4"/>
    <s v="Acre-feet per Year"/>
    <s v="U_8"/>
    <n v="0"/>
    <n v="38.860543120000003"/>
    <n v="-122.90367264"/>
    <s v="UNST"/>
  </r>
  <r>
    <s v="A023679"/>
    <n v="19710122"/>
    <n v="8"/>
    <s v="N"/>
    <s v="Y"/>
    <s v="Y"/>
    <s v="Y"/>
    <x v="0"/>
    <s v="West Fork and Below Lake"/>
    <s v="Sonoma (d/s of Clov. Gage)"/>
    <x v="0"/>
    <n v="1971"/>
    <x v="1"/>
    <x v="0"/>
    <s v="Y"/>
    <s v="N"/>
    <s v="N"/>
    <s v="Y"/>
    <s v="N"/>
    <x v="1"/>
    <s v="N"/>
    <x v="1"/>
    <s v="N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6.96"/>
    <n v="2.9116666650000003"/>
    <n v="9.6576666578039472E-3"/>
    <n v="0.99828571371428598"/>
    <m/>
    <m/>
    <n v="7"/>
    <s v="Acre-feet per Year"/>
    <s v="U_8"/>
    <n v="0"/>
    <n v="38.853322249999998"/>
    <n v="-122.9141164"/>
    <s v="UNST"/>
  </r>
  <r>
    <s v="A023681"/>
    <n v="19710122"/>
    <n v="6"/>
    <s v="Y"/>
    <s v="N"/>
    <s v="Y"/>
    <s v="Y"/>
    <x v="0"/>
    <s v="West Fork and Below Lake"/>
    <s v="Mendocino (d/s of lake)"/>
    <x v="0"/>
    <n v="1971"/>
    <x v="1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.6"/>
    <s v="Acre-feet per Year"/>
    <s v="U_6"/>
    <n v="0"/>
    <n v="38.867388099999999"/>
    <n v="-122.90621831999999"/>
    <s v="UNST"/>
  </r>
  <r>
    <s v="A023682"/>
    <n v="19710122"/>
    <n v="8"/>
    <s v="N"/>
    <s v="Y"/>
    <s v="Y"/>
    <s v="Y"/>
    <x v="0"/>
    <s v="West Fork and Below Lake"/>
    <s v="Sonoma (d/s of Clov. Gage)"/>
    <x v="0"/>
    <n v="1971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9.6999999999999993"/>
    <s v="Acre-feet per Year"/>
    <s v="U_8"/>
    <n v="0"/>
    <n v="38.840660229999997"/>
    <n v="-122.95222588"/>
    <s v="UNST"/>
  </r>
  <r>
    <s v="A023707"/>
    <n v="19710223"/>
    <n v="1"/>
    <s v="N"/>
    <s v="N"/>
    <s v="Y"/>
    <s v="Y"/>
    <x v="0"/>
    <s v="West Fork and Below Lake"/>
    <s v="Outside"/>
    <x v="0"/>
    <n v="1971"/>
    <x v="1"/>
    <x v="0"/>
    <s v="Y"/>
    <s v="N"/>
    <s v="N"/>
    <s v="Y"/>
    <s v="N"/>
    <x v="1"/>
    <s v="N"/>
    <x v="1"/>
    <s v="N"/>
    <n v="0.66"/>
    <n v="1.33"/>
    <n v="2"/>
    <n v="0.66"/>
    <n v="0.33"/>
    <n v="0.33"/>
    <n v="0.33"/>
    <n v="0.33"/>
    <n v="0"/>
    <n v="0"/>
    <n v="0"/>
    <n v="0.66"/>
    <n v="6.6300000000000008"/>
    <n v="1.333333332"/>
    <n v="4.4225147813048305E-3"/>
    <n v="0.83333333324999992"/>
    <m/>
    <m/>
    <n v="8"/>
    <s v="Acre-feet per Year"/>
    <s v="U_1"/>
    <n v="0"/>
    <n v="39.293520119999997"/>
    <n v="-123.21240289000001"/>
    <s v="UNST"/>
  </r>
  <r>
    <s v="A023737"/>
    <n v="19710324"/>
    <n v="1"/>
    <s v="N"/>
    <s v="N"/>
    <s v="Y"/>
    <s v="Y"/>
    <x v="0"/>
    <s v="West Fork and Below Lake"/>
    <s v="Outside"/>
    <x v="0"/>
    <n v="1971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1"/>
    <s v="Acre-feet per Year"/>
    <s v="U_1"/>
    <n v="0"/>
    <n v="39.268900000000002"/>
    <n v="-123.2123"/>
    <s v="WEST FORK RUSSIAN RIVER"/>
  </r>
  <r>
    <s v="A023748"/>
    <n v="19710405"/>
    <n v="1"/>
    <s v="N"/>
    <s v="N"/>
    <s v="Y"/>
    <s v="Y"/>
    <x v="0"/>
    <s v="West Fork and Below Lake"/>
    <s v="Outside"/>
    <x v="0"/>
    <n v="1971"/>
    <x v="1"/>
    <x v="0"/>
    <s v="Y"/>
    <s v="N"/>
    <s v="N"/>
    <s v="Y"/>
    <s v="N"/>
    <x v="1"/>
    <s v="N"/>
    <x v="1"/>
    <s v="N"/>
    <n v="10"/>
    <n v="10.16"/>
    <n v="11.33"/>
    <n v="5.46"/>
    <n v="4.7300000000000004"/>
    <n v="1.33"/>
    <n v="0"/>
    <n v="0"/>
    <n v="0"/>
    <n v="0"/>
    <n v="2.33"/>
    <n v="7"/>
    <n v="52.34"/>
    <n v="6.0666666659999997"/>
    <n v="2.0122442272848165E-2"/>
    <n v="0.74809523808571421"/>
    <m/>
    <m/>
    <n v="70"/>
    <s v="Acre-feet per Year"/>
    <s v="U_1"/>
    <n v="0"/>
    <n v="39.287367799999998"/>
    <n v="-123.18979945"/>
    <s v="UNST"/>
  </r>
  <r>
    <s v="A023792"/>
    <n v="19710528"/>
    <n v="1"/>
    <s v="N"/>
    <s v="N"/>
    <s v="Y"/>
    <s v="Y"/>
    <x v="0"/>
    <s v="West Fork and Below Lake"/>
    <s v="Outside"/>
    <x v="0"/>
    <n v="1971"/>
    <x v="1"/>
    <x v="0"/>
    <s v="Y"/>
    <s v="N"/>
    <s v="N"/>
    <s v="Y"/>
    <s v="N"/>
    <x v="1"/>
    <s v="N"/>
    <x v="1"/>
    <s v="N"/>
    <n v="0"/>
    <n v="0"/>
    <n v="1"/>
    <n v="1"/>
    <n v="0.66"/>
    <n v="0"/>
    <n v="0"/>
    <n v="0"/>
    <n v="0"/>
    <n v="0"/>
    <n v="0"/>
    <n v="0"/>
    <n v="2.66"/>
    <n v="0.66666666699999999"/>
    <n v="2.2112573939693015E-3"/>
    <n v="0.66666666674999997"/>
    <m/>
    <m/>
    <n v="4"/>
    <s v="Acre-feet per Year"/>
    <s v="U_1"/>
    <n v="0"/>
    <n v="39.270255980000002"/>
    <n v="-123.17809018"/>
    <s v="UNST"/>
  </r>
  <r>
    <s v="A023793"/>
    <n v="19710528"/>
    <n v="6"/>
    <s v="Y"/>
    <s v="N"/>
    <s v="Y"/>
    <s v="Y"/>
    <x v="0"/>
    <s v="West Fork and Below Lake"/>
    <s v="Mendocino (d/s of lake)"/>
    <x v="0"/>
    <n v="1971"/>
    <x v="1"/>
    <x v="0"/>
    <s v="Y"/>
    <s v="N"/>
    <s v="N"/>
    <s v="Y"/>
    <s v="N"/>
    <x v="1"/>
    <s v="N"/>
    <x v="1"/>
    <s v="N"/>
    <n v="0.26"/>
    <n v="3.66"/>
    <n v="5.0999999999999996"/>
    <n v="6.03"/>
    <n v="0.36"/>
    <n v="0"/>
    <n v="0"/>
    <n v="0"/>
    <n v="0"/>
    <n v="0"/>
    <n v="0"/>
    <n v="3.36"/>
    <n v="18.77"/>
    <n v="0.366666667"/>
    <n v="1.2161915671806487E-3"/>
    <n v="5.5131964812316719E-2"/>
    <m/>
    <m/>
    <n v="341"/>
    <s v="Acre-feet per Year"/>
    <s v="U_6"/>
    <n v="0"/>
    <n v="38.974899999999998"/>
    <n v="-123.0586"/>
    <s v="UNNAMED STREAM"/>
  </r>
  <r>
    <s v="A023794"/>
    <n v="19710601"/>
    <n v="5"/>
    <s v="Y"/>
    <s v="N"/>
    <s v="Y"/>
    <s v="Y"/>
    <x v="0"/>
    <s v="West Fork and Below Lake"/>
    <s v="Mendocino (d/s of lake)"/>
    <x v="0"/>
    <n v="1971"/>
    <x v="1"/>
    <x v="0"/>
    <s v="Y"/>
    <s v="N"/>
    <s v="N"/>
    <s v="Y"/>
    <s v="N"/>
    <x v="1"/>
    <s v="N"/>
    <x v="0"/>
    <s v="N"/>
    <n v="2"/>
    <n v="2"/>
    <n v="2"/>
    <n v="0"/>
    <n v="0"/>
    <n v="0"/>
    <n v="0"/>
    <n v="0"/>
    <n v="0"/>
    <n v="0"/>
    <n v="0.33"/>
    <n v="2"/>
    <n v="8.33"/>
    <n v="0"/>
    <n v="0"/>
    <n v="0.66666666666666652"/>
    <m/>
    <m/>
    <n v="12.5"/>
    <s v="Acre-feet per Year"/>
    <s v="U_5"/>
    <n v="0"/>
    <n v="39.102956280000001"/>
    <n v="-123.15804009999999"/>
    <s v="UNST"/>
  </r>
  <r>
    <s v="A023802"/>
    <n v="19710608"/>
    <n v="1"/>
    <s v="N"/>
    <s v="N"/>
    <s v="Y"/>
    <s v="Y"/>
    <x v="0"/>
    <s v="West Fork and Below Lake"/>
    <s v="Outside"/>
    <x v="0"/>
    <n v="1971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4"/>
    <s v="Acre-feet per Year"/>
    <s v="U_1"/>
    <n v="0"/>
    <n v="39.235790029999997"/>
    <n v="-123.2055867"/>
    <s v="UNST"/>
  </r>
  <r>
    <s v="A023817"/>
    <n v="19710629"/>
    <n v="4"/>
    <s v="Y"/>
    <s v="N"/>
    <s v="Y"/>
    <s v="Y"/>
    <x v="0"/>
    <s v="West Fork and Below Lake"/>
    <s v="Mendocino (d/s of lake)"/>
    <x v="0"/>
    <n v="1971"/>
    <x v="1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.8"/>
    <s v="Acre-feet per Year"/>
    <s v="U_4"/>
    <n v="0"/>
    <n v="39.187806780000003"/>
    <n v="-123.19877105"/>
    <s v="RUSSIAN RIVER"/>
  </r>
  <r>
    <s v="A023835"/>
    <n v="19710803"/>
    <n v="6"/>
    <s v="Y"/>
    <s v="N"/>
    <s v="Y"/>
    <s v="Y"/>
    <x v="0"/>
    <s v="West Fork and Below Lake"/>
    <s v="Mendocino (d/s of lake)"/>
    <x v="0"/>
    <n v="1971"/>
    <x v="1"/>
    <x v="0"/>
    <s v="Y"/>
    <s v="N"/>
    <s v="N"/>
    <s v="Y"/>
    <s v="N"/>
    <x v="1"/>
    <s v="N"/>
    <x v="1"/>
    <s v="N"/>
    <n v="0.22"/>
    <n v="0.22"/>
    <n v="0.22"/>
    <n v="0.22"/>
    <n v="0.22"/>
    <n v="0.39"/>
    <n v="0.39"/>
    <n v="0.39"/>
    <n v="0.39"/>
    <n v="0.39"/>
    <n v="0.22"/>
    <n v="0.22"/>
    <n v="3.4900000000000011"/>
    <n v="1.793333332"/>
    <n v="5.9482823823807651E-3"/>
    <n v="0.6616352198113209"/>
    <m/>
    <m/>
    <n v="5.3"/>
    <s v="Acre-feet per Year"/>
    <s v="U_6"/>
    <n v="3.4039024194010059E-4"/>
    <n v="38.945618719999999"/>
    <n v="-123.1294535"/>
    <s v="UNST"/>
  </r>
  <r>
    <s v="A023836"/>
    <n v="19710804"/>
    <n v="1"/>
    <s v="N"/>
    <s v="N"/>
    <s v="Y"/>
    <s v="Y"/>
    <x v="0"/>
    <s v="West Fork and Below Lake"/>
    <s v="Outside"/>
    <x v="0"/>
    <n v="1971"/>
    <x v="1"/>
    <x v="0"/>
    <s v="Y"/>
    <s v="N"/>
    <s v="N"/>
    <s v="Y"/>
    <s v="N"/>
    <x v="1"/>
    <s v="N"/>
    <x v="0"/>
    <s v="N"/>
    <n v="3"/>
    <n v="0.66"/>
    <n v="1"/>
    <n v="0"/>
    <n v="0"/>
    <n v="0"/>
    <n v="0"/>
    <n v="0"/>
    <n v="0"/>
    <n v="0"/>
    <n v="1"/>
    <n v="2.33"/>
    <n v="7.99"/>
    <n v="0"/>
    <n v="0"/>
    <n v="1"/>
    <m/>
    <m/>
    <n v="8"/>
    <s v="Acre-feet per Year"/>
    <s v="U_1"/>
    <n v="0"/>
    <n v="39.285096950000003"/>
    <n v="-123.20377814"/>
    <s v="UNST"/>
  </r>
  <r>
    <s v="A023839"/>
    <n v="19710811"/>
    <n v="5"/>
    <s v="Y"/>
    <s v="N"/>
    <s v="Y"/>
    <s v="Y"/>
    <x v="0"/>
    <s v="West Fork and Below Lake"/>
    <s v="Mendocino (d/s of lake)"/>
    <x v="0"/>
    <n v="1971"/>
    <x v="1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.3"/>
    <s v="Acre-feet per Year"/>
    <s v="U_5"/>
    <n v="0"/>
    <n v="39.117503910000003"/>
    <n v="-123.15863032"/>
    <s v="UNST"/>
  </r>
  <r>
    <s v="A023840"/>
    <n v="19710811"/>
    <n v="5"/>
    <s v="Y"/>
    <s v="N"/>
    <s v="Y"/>
    <s v="Y"/>
    <x v="0"/>
    <s v="West Fork and Below Lake"/>
    <s v="Mendocino (d/s of lake)"/>
    <x v="0"/>
    <n v="1971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6"/>
    <s v="Acre-feet per Year"/>
    <s v="U_5"/>
    <n v="0"/>
    <n v="39.121519759999998"/>
    <n v="-123.15517078000001"/>
    <s v="UNST"/>
  </r>
  <r>
    <s v="A023868"/>
    <n v="19710917"/>
    <n v="1"/>
    <s v="N"/>
    <s v="N"/>
    <s v="Y"/>
    <s v="Y"/>
    <x v="0"/>
    <s v="West Fork and Below Lake"/>
    <s v="Outside"/>
    <x v="0"/>
    <n v="1971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8"/>
    <s v="Acre-feet per Year"/>
    <s v="U_1"/>
    <n v="0"/>
    <n v="39.2288201"/>
    <n v="-123.20246693999999"/>
    <s v="WEST FORK RUSSIAN RIVER"/>
  </r>
  <r>
    <s v="A023880"/>
    <n v="19710930"/>
    <n v="5"/>
    <s v="Y"/>
    <s v="N"/>
    <s v="Y"/>
    <s v="Y"/>
    <x v="0"/>
    <s v="West Fork and Below Lake"/>
    <s v="Mendocino (d/s of lake)"/>
    <x v="0"/>
    <n v="1971"/>
    <x v="1"/>
    <x v="0"/>
    <s v="Y"/>
    <s v="N"/>
    <s v="N"/>
    <s v="Y"/>
    <s v="N"/>
    <x v="1"/>
    <s v="N"/>
    <x v="0"/>
    <s v="N"/>
    <n v="12"/>
    <n v="20"/>
    <n v="10"/>
    <n v="0"/>
    <n v="0"/>
    <n v="0"/>
    <n v="0"/>
    <n v="0"/>
    <n v="0"/>
    <n v="0"/>
    <n v="0"/>
    <n v="7.9"/>
    <n v="49.9"/>
    <n v="0"/>
    <n v="0"/>
    <n v="0.61681087762669962"/>
    <m/>
    <m/>
    <n v="80.900000000000006"/>
    <s v="Acre-feet per Year"/>
    <s v="U_5"/>
    <n v="0"/>
    <n v="39.054794999999999"/>
    <n v="-123.22240905"/>
    <s v="UNST"/>
  </r>
  <r>
    <s v="A023895"/>
    <n v="19711013"/>
    <n v="1"/>
    <s v="N"/>
    <s v="N"/>
    <s v="Y"/>
    <s v="Y"/>
    <x v="0"/>
    <s v="West Fork and Below Lake"/>
    <s v="Outside"/>
    <x v="0"/>
    <n v="1971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8"/>
    <s v="Acre-feet per Year"/>
    <s v="U_1"/>
    <n v="0"/>
    <n v="39.259999749999999"/>
    <n v="-123.24061463"/>
    <s v="UNST"/>
  </r>
  <r>
    <s v="A023902"/>
    <n v="19711021"/>
    <n v="11"/>
    <s v="N"/>
    <s v="Y"/>
    <s v="Y"/>
    <s v="Y"/>
    <x v="0"/>
    <s v="West Fork and Below Lake"/>
    <s v="Sonoma (d/s of Clov. Gage)"/>
    <x v="0"/>
    <n v="1971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2"/>
    <s v="Acre-feet per Year"/>
    <s v="U_11"/>
    <n v="0"/>
    <n v="38.641399999999997"/>
    <n v="-122.7634"/>
    <s v="MAACAMA CREEK"/>
  </r>
  <r>
    <s v="A023915"/>
    <n v="19711103"/>
    <n v="23"/>
    <s v="N"/>
    <s v="N"/>
    <s v="N"/>
    <s v="N"/>
    <x v="1"/>
    <s v="Outside"/>
    <s v="Outside"/>
    <x v="0"/>
    <n v="1971"/>
    <x v="1"/>
    <x v="0"/>
    <s v="N"/>
    <s v="N"/>
    <s v="N"/>
    <s v="Y"/>
    <s v="N"/>
    <x v="1"/>
    <s v="N"/>
    <x v="0"/>
    <s v="N"/>
    <n v="8.3333333330000006"/>
    <n v="1.1000000000000001"/>
    <n v="0"/>
    <n v="0"/>
    <n v="0"/>
    <n v="0"/>
    <n v="0"/>
    <n v="0"/>
    <n v="0"/>
    <n v="0"/>
    <n v="0"/>
    <n v="0"/>
    <n v="9.4333333330000002"/>
    <n v="0"/>
    <n v="0"/>
    <n v="0.34938271603703702"/>
    <m/>
    <m/>
    <n v="27"/>
    <s v="Acre-feet per Year"/>
    <s v="L_24"/>
    <n v="0"/>
    <n v="38.484263509999998"/>
    <n v="-122.80214149"/>
    <s v="UNST"/>
  </r>
  <r>
    <s v="A023926A"/>
    <n v="19711122"/>
    <n v="6"/>
    <s v="Y"/>
    <s v="N"/>
    <s v="Y"/>
    <s v="Y"/>
    <x v="0"/>
    <s v="West Fork and Below Lake"/>
    <s v="Mendocino (d/s of lake)"/>
    <x v="0"/>
    <n v="1971"/>
    <x v="1"/>
    <x v="1"/>
    <s v="Y"/>
    <s v="N"/>
    <s v="N"/>
    <s v="Y"/>
    <s v="N"/>
    <x v="1"/>
    <s v="N"/>
    <x v="1"/>
    <s v="N"/>
    <n v="0"/>
    <n v="0"/>
    <n v="0"/>
    <n v="0"/>
    <n v="0"/>
    <n v="0"/>
    <n v="0.04"/>
    <n v="0"/>
    <n v="0"/>
    <n v="0"/>
    <n v="0"/>
    <n v="0"/>
    <n v="0.04"/>
    <n v="4.33333333333333E-2"/>
    <n v="1.437317305361386E-4"/>
    <n v="2.1885521885521867E-3"/>
    <m/>
    <m/>
    <n v="19.8"/>
    <s v="Acre-feet per Year"/>
    <s v="U_6"/>
    <n v="0"/>
    <n v="38.986203809999999"/>
    <n v="-123.10652532"/>
    <s v="RUSSIAN RIVER UNDERFLOW"/>
  </r>
  <r>
    <s v="A023926B"/>
    <n v="19711122"/>
    <n v="6"/>
    <s v="Y"/>
    <s v="N"/>
    <s v="Y"/>
    <s v="Y"/>
    <x v="0"/>
    <s v="West Fork and Below Lake"/>
    <s v="Mendocino (d/s of lake)"/>
    <x v="0"/>
    <n v="1971"/>
    <x v="1"/>
    <x v="1"/>
    <s v="Y"/>
    <s v="N"/>
    <s v="N"/>
    <s v="Y"/>
    <s v="N"/>
    <x v="1"/>
    <s v="N"/>
    <x v="0"/>
    <s v="N"/>
    <n v="0"/>
    <n v="0"/>
    <n v="0.03"/>
    <n v="0"/>
    <n v="0"/>
    <n v="0"/>
    <n v="0"/>
    <n v="0"/>
    <n v="0"/>
    <n v="0"/>
    <n v="0"/>
    <n v="0"/>
    <n v="0.03"/>
    <n v="0"/>
    <n v="0"/>
    <n v="4.1666666666666621E-4"/>
    <m/>
    <m/>
    <n v="80"/>
    <s v="Acre-feet per Year"/>
    <s v="U_6"/>
    <n v="0"/>
    <n v="38.986699999999999"/>
    <n v="-123.10680000000001"/>
    <s v="RUSSIAN RIVER"/>
  </r>
  <r>
    <s v="A023949"/>
    <n v="19711214"/>
    <n v="1"/>
    <s v="N"/>
    <s v="N"/>
    <s v="Y"/>
    <s v="Y"/>
    <x v="0"/>
    <s v="West Fork and Below Lake"/>
    <s v="Outside"/>
    <x v="0"/>
    <n v="1971"/>
    <x v="1"/>
    <x v="0"/>
    <s v="Y"/>
    <s v="N"/>
    <s v="N"/>
    <s v="Y"/>
    <s v="N"/>
    <x v="1"/>
    <s v="N"/>
    <x v="0"/>
    <s v="N"/>
    <n v="2"/>
    <n v="1.33"/>
    <n v="0"/>
    <n v="3.2"/>
    <n v="0"/>
    <n v="0"/>
    <n v="0"/>
    <n v="0"/>
    <n v="0"/>
    <n v="0"/>
    <n v="0"/>
    <n v="0"/>
    <n v="6.53"/>
    <n v="0"/>
    <n v="0"/>
    <n v="0.18154709258333332"/>
    <m/>
    <m/>
    <n v="36"/>
    <s v="Acre-feet per Year"/>
    <s v="U_1"/>
    <n v="0"/>
    <n v="39.208928499999999"/>
    <n v="-123.20089360999999"/>
    <s v="WEST FORK RUSSIAN RIVER"/>
  </r>
  <r>
    <s v="A024522B"/>
    <n v="19710111"/>
    <n v="6"/>
    <s v="Y"/>
    <s v="N"/>
    <s v="Y"/>
    <s v="Y"/>
    <x v="0"/>
    <s v="West Fork and Below Lake"/>
    <s v="Mendocino (d/s of lake)"/>
    <x v="0"/>
    <n v="1971"/>
    <x v="1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87"/>
    <s v="Acre-feet per Year"/>
    <s v="U_6"/>
    <n v="0"/>
    <n v="38.981933730000002"/>
    <n v="-123.09344127999999"/>
    <s v="RUSSIAN RIVER"/>
  </r>
  <r>
    <s v="A023766"/>
    <n v="19710422"/>
    <n v="16"/>
    <s v="N"/>
    <s v="N"/>
    <s v="N"/>
    <s v="N"/>
    <x v="1"/>
    <s v="Outside"/>
    <s v="Outside"/>
    <x v="0"/>
    <n v="1971"/>
    <x v="1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.5"/>
    <s v="Acre-feet per Year"/>
    <s v="L_16"/>
    <n v="0"/>
    <n v="38.63708579"/>
    <n v="-122.89524072"/>
    <s v="UNST"/>
  </r>
  <r>
    <s v="A023916"/>
    <n v="19711110"/>
    <n v="2"/>
    <s v="N"/>
    <s v="N"/>
    <s v="Y"/>
    <s v="N"/>
    <x v="0"/>
    <s v="Outside"/>
    <s v="Outside"/>
    <x v="0"/>
    <n v="1971"/>
    <x v="1"/>
    <x v="0"/>
    <s v="Y"/>
    <s v="N"/>
    <s v="N"/>
    <s v="Y"/>
    <s v="N"/>
    <x v="1"/>
    <s v="N"/>
    <x v="1"/>
    <s v="N"/>
    <n v="0"/>
    <n v="0"/>
    <n v="0"/>
    <n v="0"/>
    <n v="9.206667E-3"/>
    <n v="0.03"/>
    <n v="0.03"/>
    <n v="0.03"/>
    <n v="0.03"/>
    <n v="0"/>
    <n v="0"/>
    <n v="0"/>
    <n v="0.129206667"/>
    <n v="0.14821999899999999"/>
    <n v="4.9162885283849419E-4"/>
    <n v="8.2344443888888886E-3"/>
    <m/>
    <m/>
    <n v="18"/>
    <s v="Acre-feet per Year"/>
    <s v="U_2"/>
    <n v="0"/>
    <n v="39.272913690000003"/>
    <n v="-123.10253365"/>
    <s v="POWERHOUSE CANAL"/>
  </r>
  <r>
    <s v="A023670"/>
    <n v="19710112"/>
    <n v="2"/>
    <s v="N"/>
    <s v="N"/>
    <s v="Y"/>
    <s v="N"/>
    <x v="0"/>
    <s v="Outside"/>
    <s v="Outside"/>
    <x v="0"/>
    <n v="1971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6"/>
    <s v="Acre-feet per Year"/>
    <s v="U_2"/>
    <n v="0"/>
    <n v="39.288699999999999"/>
    <n v="-123.0919"/>
    <s v="UNST"/>
  </r>
  <r>
    <s v="A023700"/>
    <n v="19710209"/>
    <n v="2"/>
    <s v="N"/>
    <s v="N"/>
    <s v="Y"/>
    <s v="N"/>
    <x v="0"/>
    <s v="Outside"/>
    <s v="Outside"/>
    <x v="0"/>
    <n v="1971"/>
    <x v="1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9"/>
    <s v="Acre-feet per Year"/>
    <s v="U_2"/>
    <n v="0"/>
    <n v="39.341180459999997"/>
    <n v="-123.11350155"/>
    <s v="EAST FORK RUSSIAN RIVER"/>
  </r>
  <r>
    <s v="A023534B"/>
    <n v="19700618"/>
    <n v="2"/>
    <s v="N"/>
    <s v="N"/>
    <s v="Y"/>
    <s v="N"/>
    <x v="0"/>
    <s v="Outside"/>
    <s v="Outside"/>
    <x v="0"/>
    <n v="1970"/>
    <x v="2"/>
    <x v="0"/>
    <s v="Y"/>
    <s v="N"/>
    <s v="N"/>
    <s v="Y"/>
    <s v="N"/>
    <x v="1"/>
    <s v="N"/>
    <x v="1"/>
    <s v="N"/>
    <n v="0"/>
    <n v="0"/>
    <n v="0"/>
    <n v="18.329999999999998"/>
    <n v="9"/>
    <n v="6.66"/>
    <n v="6.66"/>
    <n v="6.66"/>
    <n v="6.66"/>
    <n v="6.33"/>
    <n v="0"/>
    <n v="0"/>
    <n v="60.299999999999983"/>
    <n v="35.666666666666679"/>
    <n v="0.11830227051820653"/>
    <n v="0.60514877967235015"/>
    <m/>
    <m/>
    <n v="99.7"/>
    <s v="Acre-feet per Year"/>
    <s v="U_2"/>
    <n v="0"/>
    <n v="39.33846862"/>
    <n v="-123.10992274"/>
    <s v="EAST FORK RUSSIAN RIVER"/>
  </r>
  <r>
    <s v="A023629"/>
    <n v="19701014"/>
    <n v="2"/>
    <s v="N"/>
    <s v="N"/>
    <s v="Y"/>
    <s v="N"/>
    <x v="0"/>
    <s v="Outside"/>
    <s v="Outside"/>
    <x v="0"/>
    <n v="1970"/>
    <x v="2"/>
    <x v="0"/>
    <s v="Y"/>
    <s v="N"/>
    <s v="N"/>
    <s v="Y"/>
    <s v="N"/>
    <x v="1"/>
    <s v="N"/>
    <x v="1"/>
    <s v="N"/>
    <n v="0"/>
    <n v="0"/>
    <n v="8.16"/>
    <n v="5"/>
    <n v="5.4"/>
    <n v="5.73"/>
    <n v="7.16"/>
    <n v="1.43"/>
    <n v="2.63"/>
    <n v="7.36"/>
    <n v="0"/>
    <n v="0"/>
    <n v="42.870000000000005"/>
    <n v="22.369333333"/>
    <n v="7.4196530559042045E-2"/>
    <n v="0.51074603175"/>
    <m/>
    <m/>
    <n v="84"/>
    <s v="Acre-feet per Year"/>
    <s v="U_2"/>
    <n v="0"/>
    <n v="39.356412470000002"/>
    <n v="-123.12859704"/>
    <s v="POWERHOUSE CANAL"/>
  </r>
  <r>
    <s v="A023446B"/>
    <n v="19700206"/>
    <n v="5"/>
    <s v="Y"/>
    <s v="N"/>
    <s v="Y"/>
    <s v="Y"/>
    <x v="0"/>
    <s v="West Fork and Below Lake"/>
    <s v="Mendocino (d/s of lake)"/>
    <x v="0"/>
    <n v="1970"/>
    <x v="2"/>
    <x v="1"/>
    <s v="Y"/>
    <s v="N"/>
    <s v="N"/>
    <s v="Y"/>
    <s v="N"/>
    <x v="1"/>
    <s v="N"/>
    <x v="0"/>
    <s v="N"/>
    <n v="0"/>
    <n v="0"/>
    <n v="2.1800000000000002"/>
    <n v="1.84"/>
    <n v="0"/>
    <n v="0"/>
    <n v="0"/>
    <n v="0"/>
    <n v="0"/>
    <n v="0"/>
    <n v="0"/>
    <n v="0"/>
    <n v="4.0200000000000005"/>
    <n v="0"/>
    <n v="0"/>
    <n v="1.7341954022988489E-2"/>
    <m/>
    <m/>
    <n v="232"/>
    <s v="Acre-feet per Year"/>
    <s v="U_5"/>
    <n v="0"/>
    <n v="39.039000680000001"/>
    <n v="-123.12741893"/>
    <s v="RUSSIAN RIVER UNDERFLOW"/>
  </r>
  <r>
    <s v="A023451"/>
    <n v="19700218"/>
    <n v="1"/>
    <s v="N"/>
    <s v="N"/>
    <s v="Y"/>
    <s v="Y"/>
    <x v="0"/>
    <s v="West Fork and Below Lake"/>
    <s v="Outside"/>
    <x v="0"/>
    <n v="1970"/>
    <x v="2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5"/>
    <s v="Acre-feet per Year"/>
    <s v="U_1"/>
    <n v="0"/>
    <n v="39.270113010000003"/>
    <n v="-123.19221833"/>
    <s v="UNST"/>
  </r>
  <r>
    <s v="A023481"/>
    <n v="19700406"/>
    <n v="3"/>
    <s v="N"/>
    <s v="N"/>
    <s v="Y"/>
    <s v="N"/>
    <x v="0"/>
    <s v="Outside"/>
    <s v="Outside"/>
    <x v="0"/>
    <n v="1970"/>
    <x v="2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7.5"/>
    <s v="Acre-feet per Year"/>
    <s v="U_3"/>
    <n v="0"/>
    <n v="39.234273430000002"/>
    <n v="-123.17925605000001"/>
    <s v="LAKE MENDOCINO"/>
  </r>
  <r>
    <s v="A023488"/>
    <n v="19700427"/>
    <n v="1"/>
    <s v="N"/>
    <s v="N"/>
    <s v="Y"/>
    <s v="Y"/>
    <x v="0"/>
    <s v="West Fork and Below Lake"/>
    <s v="Outside"/>
    <x v="0"/>
    <n v="1970"/>
    <x v="2"/>
    <x v="0"/>
    <s v="Y"/>
    <s v="N"/>
    <s v="N"/>
    <s v="Y"/>
    <s v="N"/>
    <x v="1"/>
    <s v="N"/>
    <x v="0"/>
    <s v="N"/>
    <n v="1.66"/>
    <n v="0.56000000000000005"/>
    <n v="0.8"/>
    <n v="0"/>
    <n v="0"/>
    <n v="0"/>
    <n v="0"/>
    <n v="0"/>
    <n v="0"/>
    <n v="0"/>
    <n v="0.46"/>
    <n v="0.93"/>
    <n v="4.4099999999999993"/>
    <n v="0"/>
    <n v="0"/>
    <n v="0.42628205134615388"/>
    <m/>
    <m/>
    <n v="10.4"/>
    <s v="Acre-feet per Year"/>
    <s v="U_1"/>
    <n v="0"/>
    <n v="39.237214260000002"/>
    <n v="-123.21390882"/>
    <s v="UNST"/>
  </r>
  <r>
    <s v="A023489"/>
    <n v="19700427"/>
    <n v="1"/>
    <s v="N"/>
    <s v="N"/>
    <s v="Y"/>
    <s v="Y"/>
    <x v="0"/>
    <s v="West Fork and Below Lake"/>
    <s v="Outside"/>
    <x v="0"/>
    <n v="1970"/>
    <x v="2"/>
    <x v="0"/>
    <s v="Y"/>
    <s v="N"/>
    <s v="N"/>
    <s v="Y"/>
    <s v="N"/>
    <x v="1"/>
    <s v="N"/>
    <x v="1"/>
    <s v="N"/>
    <n v="0.25"/>
    <n v="0.3"/>
    <n v="0.9"/>
    <n v="0.62"/>
    <n v="0.66"/>
    <n v="0.66"/>
    <n v="0.66"/>
    <n v="0.5"/>
    <n v="0.48"/>
    <n v="0.45"/>
    <n v="0.35"/>
    <n v="0.35"/>
    <n v="6.1800000000000006"/>
    <n v="2.9833333340000001"/>
    <n v="9.8953768352761928E-3"/>
    <n v="0.88761904771428568"/>
    <m/>
    <m/>
    <n v="7"/>
    <s v="Acre-feet per Year"/>
    <s v="U_1"/>
    <n v="0"/>
    <n v="39.335888650000001"/>
    <n v="-123.23081051"/>
    <s v="UNST"/>
  </r>
  <r>
    <s v="A023536"/>
    <n v="19700624"/>
    <n v="1"/>
    <s v="N"/>
    <s v="N"/>
    <s v="Y"/>
    <s v="Y"/>
    <x v="0"/>
    <s v="West Fork and Below Lake"/>
    <s v="Outside"/>
    <x v="0"/>
    <n v="1970"/>
    <x v="2"/>
    <x v="0"/>
    <s v="Y"/>
    <s v="N"/>
    <s v="N"/>
    <s v="Y"/>
    <s v="N"/>
    <x v="1"/>
    <s v="N"/>
    <x v="1"/>
    <s v="N"/>
    <n v="1.33"/>
    <n v="1.66"/>
    <n v="2.66"/>
    <n v="2"/>
    <n v="1.33"/>
    <n v="0"/>
    <n v="0"/>
    <n v="0"/>
    <n v="0"/>
    <n v="0"/>
    <n v="0"/>
    <n v="0"/>
    <n v="8.98"/>
    <n v="1.3333333329999999"/>
    <n v="4.4225147846217163E-3"/>
    <n v="0.81818181818181823"/>
    <m/>
    <m/>
    <n v="11"/>
    <s v="Acre-feet per Year"/>
    <s v="U_1"/>
    <n v="0"/>
    <n v="39.273716890000003"/>
    <n v="-123.21559578999999"/>
    <s v="UNST"/>
  </r>
  <r>
    <s v="A023539"/>
    <n v="19700629"/>
    <n v="10"/>
    <s v="N"/>
    <s v="Y"/>
    <s v="Y"/>
    <s v="Y"/>
    <x v="0"/>
    <s v="West Fork and Below Lake"/>
    <s v="Sonoma (d/s of Clov. Gage)"/>
    <x v="0"/>
    <n v="1970"/>
    <x v="2"/>
    <x v="0"/>
    <s v="Y"/>
    <s v="N"/>
    <s v="N"/>
    <s v="Y"/>
    <s v="N"/>
    <x v="1"/>
    <s v="N"/>
    <x v="0"/>
    <s v="N"/>
    <n v="1.26"/>
    <n v="1.1000000000000001"/>
    <n v="0.56000000000000005"/>
    <n v="0.14000000000000001"/>
    <n v="0"/>
    <n v="0"/>
    <n v="0"/>
    <n v="0"/>
    <n v="0"/>
    <n v="0"/>
    <n v="0"/>
    <n v="0"/>
    <n v="3.0600000000000005"/>
    <n v="0"/>
    <n v="0"/>
    <n v="0.41022222226666671"/>
    <m/>
    <m/>
    <n v="7.5"/>
    <s v="Acre-feet per Year"/>
    <s v="U_10"/>
    <n v="0"/>
    <n v="38.673745680000003"/>
    <n v="-122.80112155"/>
    <s v="UNST"/>
  </r>
  <r>
    <s v="A023558"/>
    <n v="19700714"/>
    <n v="1"/>
    <s v="N"/>
    <s v="N"/>
    <s v="Y"/>
    <s v="Y"/>
    <x v="0"/>
    <s v="West Fork and Below Lake"/>
    <s v="Outside"/>
    <x v="0"/>
    <n v="1970"/>
    <x v="2"/>
    <x v="0"/>
    <s v="Y"/>
    <s v="N"/>
    <s v="N"/>
    <s v="Y"/>
    <s v="N"/>
    <x v="1"/>
    <s v="N"/>
    <x v="0"/>
    <s v="N"/>
    <n v="3"/>
    <n v="3.16"/>
    <n v="2.83"/>
    <n v="0"/>
    <n v="0"/>
    <n v="0"/>
    <n v="0"/>
    <n v="0"/>
    <n v="0"/>
    <n v="0"/>
    <n v="1.33"/>
    <n v="0.66"/>
    <n v="10.98"/>
    <n v="0"/>
    <n v="0"/>
    <n v="1"/>
    <m/>
    <m/>
    <n v="11"/>
    <s v="Acre-feet per Year"/>
    <s v="U_1"/>
    <n v="0"/>
    <n v="39.291425799999999"/>
    <n v="-123.20247254"/>
    <s v="UNST"/>
  </r>
  <r>
    <s v="A023563"/>
    <n v="19700721"/>
    <n v="6"/>
    <s v="Y"/>
    <s v="N"/>
    <s v="Y"/>
    <s v="Y"/>
    <x v="0"/>
    <s v="West Fork and Below Lake"/>
    <s v="Mendocino (d/s of lake)"/>
    <x v="0"/>
    <n v="1970"/>
    <x v="2"/>
    <x v="1"/>
    <s v="Y"/>
    <s v="N"/>
    <s v="N"/>
    <s v="Y"/>
    <s v="N"/>
    <x v="1"/>
    <s v="N"/>
    <x v="1"/>
    <s v="N"/>
    <n v="0"/>
    <n v="0"/>
    <n v="0"/>
    <n v="0.1"/>
    <n v="0.73"/>
    <n v="1.23"/>
    <n v="1.63"/>
    <n v="0"/>
    <n v="0"/>
    <n v="0"/>
    <n v="0"/>
    <n v="0"/>
    <n v="3.69"/>
    <n v="3.599999999999993"/>
    <n v="1.1940789921463808E-2"/>
    <n v="2.387096774193544E-2"/>
    <m/>
    <m/>
    <n v="155"/>
    <s v="Acre-feet per Year"/>
    <s v="U_6"/>
    <n v="0"/>
    <n v="38.96009463"/>
    <n v="-123.10893235"/>
    <s v="RUSSIAN RIVER UNDERFLOW"/>
  </r>
  <r>
    <s v="A023605"/>
    <n v="19700911"/>
    <n v="1"/>
    <s v="N"/>
    <s v="N"/>
    <s v="Y"/>
    <s v="Y"/>
    <x v="0"/>
    <s v="West Fork and Below Lake"/>
    <s v="Outside"/>
    <x v="0"/>
    <n v="1970"/>
    <x v="2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8.6"/>
    <s v="Acre-feet per Year"/>
    <s v="U_1"/>
    <n v="0"/>
    <n v="39.27584229"/>
    <n v="-123.19584797"/>
    <s v="UNST"/>
  </r>
  <r>
    <s v="A023615"/>
    <n v="19700922"/>
    <n v="1"/>
    <s v="N"/>
    <s v="N"/>
    <s v="Y"/>
    <s v="Y"/>
    <x v="0"/>
    <s v="West Fork and Below Lake"/>
    <s v="Outside"/>
    <x v="0"/>
    <n v="1970"/>
    <x v="2"/>
    <x v="0"/>
    <s v="Y"/>
    <s v="N"/>
    <s v="N"/>
    <s v="Y"/>
    <s v="N"/>
    <x v="1"/>
    <s v="N"/>
    <x v="0"/>
    <s v="N"/>
    <n v="4.93"/>
    <n v="4.2300000000000004"/>
    <n v="1.03"/>
    <n v="0.33"/>
    <n v="0"/>
    <n v="0"/>
    <n v="0"/>
    <n v="0"/>
    <n v="0"/>
    <n v="0"/>
    <n v="0.8"/>
    <n v="5"/>
    <n v="16.32"/>
    <n v="0"/>
    <n v="0"/>
    <n v="0.96078431364705896"/>
    <m/>
    <m/>
    <n v="17"/>
    <s v="Acre-feet per Year"/>
    <s v="U_1"/>
    <n v="0"/>
    <n v="39.248942919999998"/>
    <n v="-123.19486298"/>
    <s v="UNST"/>
  </r>
  <r>
    <s v="A023639"/>
    <n v="19701102"/>
    <n v="17"/>
    <s v="N"/>
    <s v="N"/>
    <s v="N"/>
    <s v="N"/>
    <x v="1"/>
    <s v="Outside"/>
    <s v="Outside"/>
    <x v="0"/>
    <n v="1970"/>
    <x v="2"/>
    <x v="1"/>
    <s v="N"/>
    <s v="N"/>
    <s v="N"/>
    <s v="Y"/>
    <s v="N"/>
    <x v="1"/>
    <s v="N"/>
    <x v="0"/>
    <s v="N"/>
    <n v="0"/>
    <n v="0"/>
    <n v="0"/>
    <n v="0.83333333300000001"/>
    <n v="0"/>
    <n v="0"/>
    <n v="0"/>
    <n v="0"/>
    <n v="0"/>
    <n v="0"/>
    <n v="0"/>
    <n v="0"/>
    <n v="0.83333333300000001"/>
    <n v="0"/>
    <n v="0"/>
    <n v="2.2522522513513513E-2"/>
    <m/>
    <m/>
    <n v="37"/>
    <s v="Acre-feet per Year"/>
    <s v="L_17"/>
    <n v="3.4039024194010059E-4"/>
    <n v="38.542079149999999"/>
    <n v="-122.85803554"/>
    <s v="RUSSIAN RIVER UNDERFLOW"/>
  </r>
  <r>
    <s v="A023654A"/>
    <n v="19701214"/>
    <n v="1"/>
    <s v="N"/>
    <s v="N"/>
    <s v="Y"/>
    <s v="Y"/>
    <x v="0"/>
    <s v="West Fork and Below Lake"/>
    <s v="Outside"/>
    <x v="0"/>
    <n v="1970"/>
    <x v="2"/>
    <x v="0"/>
    <s v="Y"/>
    <s v="N"/>
    <s v="N"/>
    <s v="Y"/>
    <s v="N"/>
    <x v="1"/>
    <s v="N"/>
    <x v="0"/>
    <s v="N"/>
    <n v="0"/>
    <n v="0"/>
    <n v="0"/>
    <n v="0.24"/>
    <n v="0"/>
    <n v="0"/>
    <n v="0"/>
    <n v="0"/>
    <n v="0"/>
    <n v="0"/>
    <n v="0"/>
    <n v="0"/>
    <n v="0.24"/>
    <n v="0"/>
    <n v="0"/>
    <n v="7.7680250783699056E-3"/>
    <m/>
    <m/>
    <n v="31.9"/>
    <s v="Acre-feet per Year"/>
    <s v="U_1"/>
    <n v="0"/>
    <n v="39.271814050000003"/>
    <n v="-123.18694796"/>
    <s v="UNST"/>
  </r>
  <r>
    <s v="A023654B"/>
    <n v="19701214"/>
    <n v="1"/>
    <s v="N"/>
    <s v="N"/>
    <s v="Y"/>
    <s v="Y"/>
    <x v="0"/>
    <s v="West Fork and Below Lake"/>
    <s v="Outside"/>
    <x v="0"/>
    <n v="1970"/>
    <x v="2"/>
    <x v="0"/>
    <s v="Y"/>
    <s v="N"/>
    <s v="N"/>
    <s v="Y"/>
    <s v="N"/>
    <x v="1"/>
    <s v="N"/>
    <x v="1"/>
    <s v="N"/>
    <n v="3.66"/>
    <n v="4"/>
    <n v="5.6"/>
    <n v="5.66"/>
    <n v="4.33"/>
    <n v="5.33"/>
    <n v="3.66"/>
    <n v="2.66"/>
    <n v="2.66"/>
    <n v="2"/>
    <n v="0"/>
    <n v="0"/>
    <n v="39.559999999999988"/>
    <n v="18.666666666999998"/>
    <n v="6.1915207001288455E-2"/>
    <n v="0.73605947957249074"/>
    <m/>
    <m/>
    <n v="53.8"/>
    <s v="Acre-feet per Year"/>
    <s v="U_1"/>
    <n v="0"/>
    <n v="39.271831939999998"/>
    <n v="-123.1851819"/>
    <s v="UNST"/>
  </r>
  <r>
    <s v="A023655"/>
    <n v="19701214"/>
    <n v="17"/>
    <s v="N"/>
    <s v="N"/>
    <s v="N"/>
    <s v="N"/>
    <x v="1"/>
    <s v="Outside"/>
    <s v="Outside"/>
    <x v="0"/>
    <n v="1970"/>
    <x v="2"/>
    <x v="1"/>
    <s v="N"/>
    <s v="N"/>
    <s v="N"/>
    <s v="Y"/>
    <s v="N"/>
    <x v="1"/>
    <s v="N"/>
    <x v="0"/>
    <s v="N"/>
    <n v="0"/>
    <n v="0"/>
    <n v="0.2"/>
    <n v="0"/>
    <n v="0"/>
    <n v="0"/>
    <n v="0"/>
    <n v="0"/>
    <n v="0"/>
    <n v="0"/>
    <n v="0"/>
    <n v="0"/>
    <n v="0.2"/>
    <n v="0"/>
    <n v="0"/>
    <n v="4.2553191489361701E-2"/>
    <m/>
    <m/>
    <n v="4.7"/>
    <s v="Acre-feet per Year"/>
    <s v="L_17"/>
    <n v="0"/>
    <n v="38.531603629999999"/>
    <n v="-122.86350327"/>
    <s v="RUSSIAN RIVER UNDERFLOW"/>
  </r>
  <r>
    <s v="A023663"/>
    <n v="19701221"/>
    <n v="4"/>
    <s v="Y"/>
    <s v="N"/>
    <s v="Y"/>
    <s v="Y"/>
    <x v="0"/>
    <s v="West Fork and Below Lake"/>
    <s v="Mendocino (d/s of lake)"/>
    <x v="0"/>
    <n v="1970"/>
    <x v="2"/>
    <x v="0"/>
    <s v="Y"/>
    <s v="N"/>
    <s v="N"/>
    <s v="Y"/>
    <s v="N"/>
    <x v="1"/>
    <s v="N"/>
    <x v="0"/>
    <s v="N"/>
    <n v="0"/>
    <n v="0"/>
    <n v="0"/>
    <n v="2.64"/>
    <n v="0"/>
    <n v="0"/>
    <n v="0"/>
    <n v="0"/>
    <n v="0"/>
    <n v="0"/>
    <n v="0"/>
    <n v="0"/>
    <n v="2.64"/>
    <n v="0"/>
    <n v="0"/>
    <n v="0.10114942528735632"/>
    <m/>
    <m/>
    <n v="26.1"/>
    <s v="Acre-feet per Year"/>
    <s v="U_4"/>
    <n v="0"/>
    <n v="39.142984349999999"/>
    <n v="-123.16433649"/>
    <s v="MCCLURE CREEK"/>
  </r>
  <r>
    <s v="A023664"/>
    <n v="19701222"/>
    <n v="5"/>
    <s v="Y"/>
    <s v="N"/>
    <s v="Y"/>
    <s v="Y"/>
    <x v="0"/>
    <s v="West Fork and Below Lake"/>
    <s v="Mendocino (d/s of lake)"/>
    <x v="0"/>
    <n v="1970"/>
    <x v="2"/>
    <x v="1"/>
    <s v="Y"/>
    <s v="N"/>
    <s v="N"/>
    <s v="Y"/>
    <s v="N"/>
    <x v="1"/>
    <s v="N"/>
    <x v="1"/>
    <s v="N"/>
    <n v="1.31"/>
    <n v="1.07"/>
    <n v="1.45"/>
    <n v="1.59"/>
    <n v="3.19"/>
    <n v="4.28"/>
    <n v="0"/>
    <n v="0"/>
    <n v="0"/>
    <n v="0"/>
    <n v="2.23"/>
    <n v="1.53"/>
    <n v="16.650000000000002"/>
    <n v="7.4808356666666604"/>
    <n v="2.4813079759072341E-2"/>
    <n v="0.6948695138888884"/>
    <m/>
    <m/>
    <n v="24"/>
    <s v="Acre-feet per Year"/>
    <s v="U_5"/>
    <n v="0"/>
    <n v="39.047400000000003"/>
    <n v="-123.1365"/>
    <m/>
  </r>
  <r>
    <s v="A023540"/>
    <n v="19700629"/>
    <n v="16"/>
    <s v="N"/>
    <s v="N"/>
    <s v="N"/>
    <s v="N"/>
    <x v="1"/>
    <s v="Outside"/>
    <s v="Outside"/>
    <x v="0"/>
    <n v="1970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0"/>
    <s v="Acre-feet per Year"/>
    <s v="L_16"/>
    <n v="0"/>
    <n v="38.641968570000003"/>
    <n v="-122.90300513"/>
    <s v="UNST"/>
  </r>
  <r>
    <s v="A023534A"/>
    <n v="19700618"/>
    <n v="2"/>
    <s v="N"/>
    <s v="N"/>
    <s v="Y"/>
    <s v="N"/>
    <x v="0"/>
    <s v="Outside"/>
    <s v="Outside"/>
    <x v="0"/>
    <n v="1970"/>
    <x v="2"/>
    <x v="0"/>
    <s v="Y"/>
    <s v="N"/>
    <s v="N"/>
    <s v="Y"/>
    <s v="N"/>
    <x v="1"/>
    <s v="N"/>
    <x v="1"/>
    <s v="N"/>
    <n v="0"/>
    <n v="0"/>
    <n v="1.9"/>
    <n v="2.0099999999999998"/>
    <n v="0.97"/>
    <n v="0.43"/>
    <n v="0.46"/>
    <n v="0.45"/>
    <n v="0.3"/>
    <n v="0.14000000000000001"/>
    <n v="0"/>
    <n v="0"/>
    <n v="6.6599999999999993"/>
    <n v="2.6266666659999998"/>
    <n v="8.7123541256716123E-3"/>
    <n v="0.3375420875252525"/>
    <m/>
    <m/>
    <n v="19.8"/>
    <s v="Acre-feet per Year"/>
    <s v="U_2"/>
    <n v="0"/>
    <n v="39.33846862"/>
    <n v="-123.10992274"/>
    <s v="EAST FORK RUSSIAN RIVER"/>
  </r>
  <r>
    <s v="A023213"/>
    <n v="19690121"/>
    <n v="2"/>
    <s v="N"/>
    <s v="N"/>
    <s v="Y"/>
    <s v="N"/>
    <x v="0"/>
    <s v="Outside"/>
    <s v="Outside"/>
    <x v="0"/>
    <n v="1969"/>
    <x v="2"/>
    <x v="0"/>
    <s v="Y"/>
    <s v="N"/>
    <s v="N"/>
    <s v="Y"/>
    <s v="N"/>
    <x v="1"/>
    <s v="N"/>
    <x v="1"/>
    <s v="N"/>
    <n v="0"/>
    <n v="0"/>
    <n v="0"/>
    <n v="0"/>
    <n v="25"/>
    <n v="60"/>
    <n v="60"/>
    <n v="60"/>
    <n v="50"/>
    <n v="30"/>
    <n v="0"/>
    <n v="0"/>
    <n v="285"/>
    <n v="255"/>
    <n v="0.84580595277035475"/>
    <n v="0.92833876221498368"/>
    <m/>
    <m/>
    <n v="307"/>
    <s v="Acre-feet per Year"/>
    <s v="U_2"/>
    <n v="0"/>
    <n v="39.280878719999997"/>
    <n v="-123.10230469"/>
    <s v="EAST FORK RUSSIAN RIVER"/>
  </r>
  <r>
    <s v="A023212A"/>
    <n v="19690121"/>
    <n v="12"/>
    <s v="N"/>
    <s v="Y"/>
    <s v="Y"/>
    <s v="Y"/>
    <x v="0"/>
    <s v="West Fork and Below Lake"/>
    <s v="Sonoma (d/s of Clov. Gage)"/>
    <x v="0"/>
    <n v="1969"/>
    <x v="2"/>
    <x v="1"/>
    <s v="Y"/>
    <s v="N"/>
    <s v="N"/>
    <s v="Y"/>
    <s v="N"/>
    <x v="1"/>
    <s v="N"/>
    <x v="1"/>
    <s v="N"/>
    <n v="0"/>
    <n v="0"/>
    <n v="0"/>
    <n v="2.73"/>
    <n v="2.7"/>
    <n v="1.73"/>
    <n v="0"/>
    <n v="0"/>
    <n v="0"/>
    <n v="0"/>
    <n v="0"/>
    <n v="0"/>
    <n v="7.16"/>
    <n v="4.43333333333333"/>
    <n v="1.4704861662543414E-2"/>
    <n v="9.5555555555555463E-2"/>
    <m/>
    <m/>
    <n v="75"/>
    <s v="Acre-feet per Year"/>
    <s v="U_12"/>
    <n v="0"/>
    <n v="38.65040638"/>
    <n v="-122.80085923999999"/>
    <s v="RUSSIAN RIVER UNDERFLOW"/>
  </r>
  <r>
    <s v="A023212B"/>
    <n v="19690121"/>
    <n v="12"/>
    <s v="N"/>
    <s v="Y"/>
    <s v="Y"/>
    <s v="Y"/>
    <x v="0"/>
    <s v="West Fork and Below Lake"/>
    <s v="Sonoma (d/s of Clov. Gage)"/>
    <x v="0"/>
    <n v="1969"/>
    <x v="2"/>
    <x v="1"/>
    <s v="Y"/>
    <s v="N"/>
    <s v="N"/>
    <s v="Y"/>
    <s v="N"/>
    <x v="1"/>
    <s v="N"/>
    <x v="0"/>
    <s v="N"/>
    <n v="0"/>
    <n v="0"/>
    <n v="0"/>
    <n v="0.28999999999999998"/>
    <n v="0"/>
    <n v="0"/>
    <n v="0"/>
    <n v="0"/>
    <n v="0"/>
    <n v="0"/>
    <n v="0"/>
    <n v="0"/>
    <n v="0.28999999999999998"/>
    <n v="0"/>
    <n v="0"/>
    <n v="6.0068027210884289E-3"/>
    <m/>
    <m/>
    <n v="49"/>
    <s v="Acre-feet per Year"/>
    <s v="U_12"/>
    <n v="0"/>
    <n v="38.65040638"/>
    <n v="-122.80085923999999"/>
    <s v="RUSSIAN RIVER UNDERFLOW"/>
  </r>
  <r>
    <s v="A023338"/>
    <n v="19690826"/>
    <n v="2"/>
    <s v="N"/>
    <s v="N"/>
    <s v="Y"/>
    <s v="N"/>
    <x v="0"/>
    <s v="Outside"/>
    <s v="Outside"/>
    <x v="0"/>
    <n v="1969"/>
    <x v="2"/>
    <x v="0"/>
    <s v="Y"/>
    <s v="N"/>
    <s v="N"/>
    <s v="Y"/>
    <s v="N"/>
    <x v="1"/>
    <s v="N"/>
    <x v="1"/>
    <s v="N"/>
    <n v="0"/>
    <n v="0"/>
    <n v="0"/>
    <n v="8.93"/>
    <n v="4.26"/>
    <n v="4.4000000000000004"/>
    <n v="9.8000000000000007"/>
    <n v="3.26"/>
    <n v="4.2"/>
    <n v="0"/>
    <n v="0"/>
    <n v="0"/>
    <n v="34.85"/>
    <n v="25.933333334"/>
    <n v="8.6017912584608128E-2"/>
    <n v="0.2324444444466667"/>
    <m/>
    <m/>
    <n v="150"/>
    <s v="Acre-feet per Year"/>
    <s v="U_2"/>
    <n v="0"/>
    <n v="39.295985129999998"/>
    <n v="-123.10183375"/>
    <s v="EAST FORK RUSSIAN RIVER"/>
  </r>
  <r>
    <s v="A023250"/>
    <n v="19690321"/>
    <n v="6"/>
    <s v="Y"/>
    <s v="N"/>
    <s v="Y"/>
    <s v="Y"/>
    <x v="0"/>
    <s v="West Fork and Below Lake"/>
    <s v="Mendocino (d/s of lake)"/>
    <x v="0"/>
    <n v="1969"/>
    <x v="2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5"/>
    <s v="Acre-feet per Year"/>
    <s v="U_6"/>
    <n v="0"/>
    <n v="38.97245985"/>
    <n v="-123.13656416000001"/>
    <s v="FELIZ CREEK"/>
  </r>
  <r>
    <s v="A023255"/>
    <n v="19690409"/>
    <n v="12"/>
    <s v="N"/>
    <s v="Y"/>
    <s v="Y"/>
    <s v="Y"/>
    <x v="0"/>
    <s v="West Fork and Below Lake"/>
    <s v="Sonoma (d/s of Clov. Gage)"/>
    <x v="0"/>
    <n v="1969"/>
    <x v="2"/>
    <x v="1"/>
    <s v="Y"/>
    <s v="N"/>
    <s v="N"/>
    <s v="Y"/>
    <s v="N"/>
    <x v="1"/>
    <s v="N"/>
    <x v="0"/>
    <s v="N"/>
    <n v="3.33"/>
    <n v="0"/>
    <n v="0"/>
    <n v="0"/>
    <n v="0"/>
    <n v="0"/>
    <n v="0"/>
    <n v="0"/>
    <n v="0"/>
    <n v="0"/>
    <n v="0"/>
    <n v="0"/>
    <n v="3.33"/>
    <n v="0"/>
    <n v="0"/>
    <n v="0.16666666666666649"/>
    <m/>
    <m/>
    <n v="20"/>
    <s v="Acre-feet per Year"/>
    <s v="U_12"/>
    <n v="0"/>
    <n v="38.635983680000002"/>
    <n v="-122.80174755"/>
    <s v="UNST"/>
  </r>
  <r>
    <s v="A023282"/>
    <n v="19690520"/>
    <n v="1"/>
    <s v="N"/>
    <s v="N"/>
    <s v="Y"/>
    <s v="Y"/>
    <x v="0"/>
    <s v="West Fork and Below Lake"/>
    <s v="Outside"/>
    <x v="0"/>
    <n v="1969"/>
    <x v="2"/>
    <x v="0"/>
    <s v="Y"/>
    <s v="N"/>
    <s v="N"/>
    <s v="Y"/>
    <s v="N"/>
    <x v="1"/>
    <s v="N"/>
    <x v="1"/>
    <s v="N"/>
    <n v="0.33"/>
    <n v="0.33"/>
    <n v="5"/>
    <n v="5"/>
    <n v="3.83"/>
    <n v="0"/>
    <n v="0"/>
    <n v="0"/>
    <n v="0"/>
    <n v="0"/>
    <n v="0"/>
    <n v="0"/>
    <n v="14.49"/>
    <n v="3.8333333330000001"/>
    <n v="1.2714730007860489E-2"/>
    <n v="0.99999999993103461"/>
    <m/>
    <m/>
    <n v="14.5"/>
    <s v="Acre-feet per Year"/>
    <s v="U_1"/>
    <n v="0"/>
    <n v="39.278284239999998"/>
    <n v="-123.19871575000001"/>
    <s v="UNST"/>
  </r>
  <r>
    <s v="A023290"/>
    <n v="19690611"/>
    <n v="12"/>
    <s v="N"/>
    <s v="Y"/>
    <s v="Y"/>
    <s v="Y"/>
    <x v="0"/>
    <s v="West Fork and Below Lake"/>
    <s v="Sonoma (d/s of Clov. Gage)"/>
    <x v="0"/>
    <n v="1969"/>
    <x v="2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.8"/>
    <s v="Acre-feet per Year"/>
    <s v="U_12"/>
    <n v="0"/>
    <n v="38.582543880000003"/>
    <n v="-122.76546273"/>
    <s v="UNST"/>
  </r>
  <r>
    <s v="A023297"/>
    <n v="19690617"/>
    <n v="12"/>
    <s v="N"/>
    <s v="Y"/>
    <s v="Y"/>
    <s v="Y"/>
    <x v="0"/>
    <s v="West Fork and Below Lake"/>
    <s v="Sonoma (d/s of Clov. Gage)"/>
    <x v="0"/>
    <n v="1969"/>
    <x v="2"/>
    <x v="1"/>
    <s v="Y"/>
    <s v="N"/>
    <s v="N"/>
    <s v="Y"/>
    <s v="N"/>
    <x v="1"/>
    <s v="N"/>
    <x v="1"/>
    <s v="N"/>
    <n v="0.09"/>
    <n v="7.0000000000000007E-2"/>
    <n v="0.03"/>
    <n v="0.02"/>
    <n v="3.3333333333333301E-3"/>
    <n v="0"/>
    <n v="0"/>
    <n v="0"/>
    <n v="0"/>
    <n v="0"/>
    <n v="0.74"/>
    <n v="0.84"/>
    <n v="1.7933333333333334"/>
    <n v="3.3333333333333301E-3"/>
    <n v="1.1056286964318353E-5"/>
    <n v="0.4065185185185185"/>
    <m/>
    <m/>
    <n v="4.5"/>
    <s v="Acre-feet per Year"/>
    <s v="U_12"/>
    <n v="0"/>
    <n v="38.649124399999998"/>
    <n v="-122.78753829"/>
    <s v="UNST"/>
  </r>
  <r>
    <s v="A023326"/>
    <n v="19690812"/>
    <n v="5"/>
    <s v="Y"/>
    <s v="N"/>
    <s v="Y"/>
    <s v="Y"/>
    <x v="0"/>
    <s v="West Fork and Below Lake"/>
    <s v="Mendocino (d/s of lake)"/>
    <x v="0"/>
    <n v="1969"/>
    <x v="2"/>
    <x v="0"/>
    <s v="Y"/>
    <s v="N"/>
    <s v="N"/>
    <s v="Y"/>
    <s v="N"/>
    <x v="1"/>
    <s v="N"/>
    <x v="0"/>
    <s v="N"/>
    <n v="4.66"/>
    <n v="3.66"/>
    <n v="0.66"/>
    <n v="0"/>
    <n v="0"/>
    <n v="0"/>
    <n v="0"/>
    <n v="0"/>
    <n v="0"/>
    <n v="0"/>
    <n v="0"/>
    <n v="1"/>
    <n v="9.98"/>
    <n v="0"/>
    <n v="0"/>
    <n v="0.90909090918181823"/>
    <m/>
    <m/>
    <n v="11"/>
    <s v="Acre-feet per Year"/>
    <s v="U_5"/>
    <n v="0"/>
    <n v="39.124409489999998"/>
    <n v="-123.15451281999999"/>
    <s v="UNST"/>
  </r>
  <r>
    <s v="A023328"/>
    <n v="19690814"/>
    <n v="23"/>
    <s v="N"/>
    <s v="N"/>
    <s v="N"/>
    <s v="N"/>
    <x v="1"/>
    <s v="Outside"/>
    <s v="Outside"/>
    <x v="0"/>
    <n v="1969"/>
    <x v="2"/>
    <x v="0"/>
    <s v="N"/>
    <s v="N"/>
    <s v="N"/>
    <s v="Y"/>
    <s v="N"/>
    <x v="1"/>
    <s v="N"/>
    <x v="0"/>
    <s v="N"/>
    <n v="2"/>
    <n v="1.5"/>
    <n v="1.25"/>
    <n v="1"/>
    <n v="0"/>
    <n v="0"/>
    <n v="0"/>
    <n v="0"/>
    <n v="0"/>
    <n v="1"/>
    <n v="1"/>
    <n v="1.75"/>
    <n v="9.5"/>
    <n v="0"/>
    <n v="0"/>
    <n v="0.95"/>
    <m/>
    <m/>
    <n v="10"/>
    <s v="Acre-feet per Year"/>
    <s v="L_27"/>
    <n v="0"/>
    <n v="38.511501539999998"/>
    <n v="-122.55920103"/>
    <s v="UNST"/>
  </r>
  <r>
    <s v="A023337"/>
    <n v="19690825"/>
    <n v="1"/>
    <s v="N"/>
    <s v="N"/>
    <s v="Y"/>
    <s v="Y"/>
    <x v="0"/>
    <s v="West Fork and Below Lake"/>
    <s v="Outside"/>
    <x v="0"/>
    <n v="1969"/>
    <x v="2"/>
    <x v="0"/>
    <s v="Y"/>
    <s v="N"/>
    <s v="N"/>
    <s v="Y"/>
    <s v="N"/>
    <x v="1"/>
    <s v="N"/>
    <x v="1"/>
    <s v="N"/>
    <n v="8.2899999999999991"/>
    <n v="6.23"/>
    <n v="4.13"/>
    <n v="2.4"/>
    <n v="1.42"/>
    <n v="0"/>
    <n v="0"/>
    <n v="0.01"/>
    <n v="0.01"/>
    <n v="0"/>
    <n v="1.73"/>
    <n v="2.97"/>
    <n v="27.19"/>
    <n v="1.446666666"/>
    <n v="4.7984285403029131E-3"/>
    <n v="0.86391534384126978"/>
    <m/>
    <m/>
    <n v="31.5"/>
    <s v="Acre-feet per Year"/>
    <s v="U_1"/>
    <n v="0"/>
    <n v="39.298556490000003"/>
    <n v="-123.20330079999999"/>
    <s v="UNCR"/>
  </r>
  <r>
    <s v="A023387"/>
    <n v="19691031"/>
    <n v="6"/>
    <s v="Y"/>
    <s v="N"/>
    <s v="Y"/>
    <s v="Y"/>
    <x v="0"/>
    <s v="West Fork and Below Lake"/>
    <s v="Mendocino (d/s of lake)"/>
    <x v="0"/>
    <n v="1969"/>
    <x v="2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9"/>
    <s v="Acre-feet per Year"/>
    <s v="U_6"/>
    <n v="0"/>
    <n v="38.928158250000003"/>
    <n v="-123.05886443"/>
    <s v="RUSSIAN RIVER"/>
  </r>
  <r>
    <s v="A023399"/>
    <n v="19691117"/>
    <n v="1"/>
    <s v="N"/>
    <s v="N"/>
    <s v="Y"/>
    <s v="Y"/>
    <x v="0"/>
    <s v="West Fork and Below Lake"/>
    <s v="Outside"/>
    <x v="0"/>
    <n v="1969"/>
    <x v="2"/>
    <x v="0"/>
    <s v="Y"/>
    <s v="N"/>
    <s v="N"/>
    <s v="Y"/>
    <s v="N"/>
    <x v="1"/>
    <s v="N"/>
    <x v="0"/>
    <s v="N"/>
    <n v="6"/>
    <n v="0"/>
    <n v="0"/>
    <n v="0"/>
    <n v="0"/>
    <n v="0"/>
    <n v="0"/>
    <n v="0"/>
    <n v="0"/>
    <n v="0"/>
    <n v="0"/>
    <n v="0"/>
    <n v="6"/>
    <n v="0"/>
    <n v="0"/>
    <n v="1"/>
    <m/>
    <m/>
    <n v="6"/>
    <s v="Acre-feet per Year"/>
    <s v="U_1"/>
    <n v="0"/>
    <n v="39.278305920000001"/>
    <n v="-123.19659629"/>
    <s v="UNCR"/>
  </r>
  <r>
    <s v="A023408"/>
    <n v="19691209"/>
    <n v="1"/>
    <s v="N"/>
    <s v="N"/>
    <s v="Y"/>
    <s v="Y"/>
    <x v="0"/>
    <s v="West Fork and Below Lake"/>
    <s v="Outside"/>
    <x v="0"/>
    <n v="1969"/>
    <x v="2"/>
    <x v="0"/>
    <s v="Y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0"/>
    <n v="2.93"/>
    <n v="2.93"/>
    <n v="0"/>
    <n v="0"/>
    <n v="0.66666666659090912"/>
    <m/>
    <m/>
    <n v="4.4000000000000004"/>
    <s v="Acre-feet per Year"/>
    <s v="U_1"/>
    <n v="0"/>
    <n v="39.293515810000002"/>
    <n v="-123.22600801999999"/>
    <s v="UNST"/>
  </r>
  <r>
    <s v="A023339"/>
    <n v="19690826"/>
    <n v="2"/>
    <s v="N"/>
    <s v="N"/>
    <s v="Y"/>
    <s v="N"/>
    <x v="0"/>
    <s v="Outside"/>
    <s v="Outside"/>
    <x v="0"/>
    <n v="1969"/>
    <x v="2"/>
    <x v="0"/>
    <s v="Y"/>
    <s v="N"/>
    <s v="N"/>
    <s v="Y"/>
    <s v="N"/>
    <x v="1"/>
    <s v="N"/>
    <x v="1"/>
    <s v="N"/>
    <n v="0"/>
    <n v="0"/>
    <n v="0"/>
    <n v="0"/>
    <n v="0.05"/>
    <n v="1.65"/>
    <n v="1.65"/>
    <n v="1.65"/>
    <n v="1.65"/>
    <n v="1.65"/>
    <n v="0"/>
    <n v="0"/>
    <n v="8.3000000000000007"/>
    <n v="6.6666666650000002"/>
    <n v="2.2112573923108583E-2"/>
    <n v="0.34666666658333334"/>
    <m/>
    <m/>
    <n v="24"/>
    <s v="Acre-feet per Year"/>
    <s v="U_2"/>
    <n v="0"/>
    <n v="39.28970717"/>
    <n v="-123.09784886"/>
    <s v="EAST FORK RUSSIAN RIVER"/>
  </r>
  <r>
    <s v="A022608"/>
    <n v="19681014"/>
    <n v="17"/>
    <s v="N"/>
    <s v="N"/>
    <s v="N"/>
    <s v="N"/>
    <x v="1"/>
    <s v="Outside"/>
    <s v="Outside"/>
    <x v="0"/>
    <n v="1968"/>
    <x v="2"/>
    <x v="1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1"/>
    <s v="Acre-feet per Year"/>
    <s v="L_17"/>
    <n v="0"/>
    <n v="38.56444553"/>
    <n v="-122.84116616"/>
    <s v="UNST"/>
  </r>
  <r>
    <s v="A022993"/>
    <n v="19680226"/>
    <n v="9"/>
    <s v="N"/>
    <s v="Y"/>
    <s v="Y"/>
    <s v="Y"/>
    <x v="0"/>
    <s v="West Fork and Below Lake"/>
    <s v="Sonoma (d/s of Clov. Gage)"/>
    <x v="0"/>
    <n v="1968"/>
    <x v="2"/>
    <x v="0"/>
    <s v="Y"/>
    <s v="N"/>
    <s v="N"/>
    <s v="Y"/>
    <s v="N"/>
    <x v="1"/>
    <s v="N"/>
    <x v="1"/>
    <s v="N"/>
    <n v="0"/>
    <n v="0"/>
    <n v="0"/>
    <n v="0"/>
    <n v="0"/>
    <n v="1.7366699999999999E-4"/>
    <n v="1.7899999999999999E-4"/>
    <n v="1.7899999999999999E-4"/>
    <n v="1.7366699999999999E-4"/>
    <n v="7.1299999999999998E-5"/>
    <n v="0"/>
    <n v="0"/>
    <n v="7.76634E-4"/>
    <n v="7.0533399999999995E-4"/>
    <n v="2.3395125329071582E-6"/>
    <n v="7.76634E-3"/>
    <m/>
    <m/>
    <n v="0.1"/>
    <s v="Acre-feet per Year"/>
    <s v="U_9"/>
    <n v="0"/>
    <n v="38.858724510000002"/>
    <n v="-122.99215445"/>
    <s v="ASH CREEK"/>
  </r>
  <r>
    <s v="A023027"/>
    <n v="19680415"/>
    <n v="23"/>
    <s v="N"/>
    <s v="N"/>
    <s v="N"/>
    <s v="N"/>
    <x v="1"/>
    <s v="Outside"/>
    <s v="Outside"/>
    <x v="0"/>
    <n v="1968"/>
    <x v="2"/>
    <x v="0"/>
    <s v="N"/>
    <s v="N"/>
    <s v="N"/>
    <s v="Y"/>
    <s v="N"/>
    <x v="1"/>
    <s v="N"/>
    <x v="0"/>
    <s v="N"/>
    <n v="1"/>
    <n v="0.16666666699999999"/>
    <n v="0.4"/>
    <n v="3.3333333E-2"/>
    <n v="0"/>
    <n v="0"/>
    <n v="0"/>
    <n v="0"/>
    <n v="0"/>
    <n v="0"/>
    <n v="6.6666666999999999E-2"/>
    <n v="0.5"/>
    <n v="2.1666666669999999"/>
    <n v="0"/>
    <n v="0"/>
    <n v="0.24074074077777777"/>
    <m/>
    <m/>
    <n v="9"/>
    <s v="Acre-feet per Year"/>
    <s v="L_27"/>
    <n v="0"/>
    <n v="38.506700000000002"/>
    <n v="-122.5433"/>
    <s v="UNST"/>
  </r>
  <r>
    <s v="A023035"/>
    <n v="19680426"/>
    <n v="4"/>
    <s v="Y"/>
    <s v="N"/>
    <s v="Y"/>
    <s v="Y"/>
    <x v="0"/>
    <s v="West Fork and Below Lake"/>
    <s v="Mendocino (d/s of lake)"/>
    <x v="0"/>
    <n v="1968"/>
    <x v="2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4"/>
    <s v="Acre-feet per Year"/>
    <s v="U_4"/>
    <n v="0"/>
    <n v="39.166677550000003"/>
    <n v="-123.19629688000001"/>
    <s v="RUSSIAN RIVER"/>
  </r>
  <r>
    <s v="A023039"/>
    <n v="19680502"/>
    <n v="4"/>
    <s v="Y"/>
    <s v="N"/>
    <s v="Y"/>
    <s v="Y"/>
    <x v="0"/>
    <s v="West Fork and Below Lake"/>
    <s v="Mendocino (d/s of lake)"/>
    <x v="0"/>
    <n v="1968"/>
    <x v="2"/>
    <x v="1"/>
    <s v="Y"/>
    <s v="N"/>
    <s v="N"/>
    <s v="Y"/>
    <s v="N"/>
    <x v="1"/>
    <s v="N"/>
    <x v="1"/>
    <s v="N"/>
    <n v="0"/>
    <n v="0"/>
    <n v="0"/>
    <n v="0"/>
    <n v="5.2"/>
    <n v="15.03"/>
    <n v="17.18"/>
    <n v="14.07"/>
    <n v="9.15"/>
    <n v="4.8899999999999997"/>
    <n v="0"/>
    <n v="0"/>
    <n v="65.52"/>
    <n v="60.64333333333326"/>
    <n v="0.20114702874184376"/>
    <n v="0.76205426356589057"/>
    <m/>
    <m/>
    <n v="86"/>
    <s v="Acre-feet per Year"/>
    <s v="U_4"/>
    <n v="0"/>
    <n v="39.139482530000002"/>
    <n v="-123.18490668"/>
    <s v="RUSSIAN RIVER UNDERFLOW"/>
  </r>
  <r>
    <s v="A023040"/>
    <n v="19680502"/>
    <n v="4"/>
    <s v="Y"/>
    <s v="N"/>
    <s v="Y"/>
    <s v="Y"/>
    <x v="0"/>
    <s v="West Fork and Below Lake"/>
    <s v="Mendocino (d/s of lake)"/>
    <x v="0"/>
    <n v="1968"/>
    <x v="2"/>
    <x v="1"/>
    <s v="Y"/>
    <s v="N"/>
    <s v="N"/>
    <s v="Y"/>
    <s v="N"/>
    <x v="1"/>
    <s v="N"/>
    <x v="1"/>
    <s v="N"/>
    <n v="0"/>
    <n v="0"/>
    <n v="0"/>
    <n v="0"/>
    <n v="2.39"/>
    <n v="12.21"/>
    <n v="15.36"/>
    <n v="14.25"/>
    <n v="8.9"/>
    <n v="3.96"/>
    <n v="0"/>
    <n v="0"/>
    <n v="57.07"/>
    <n v="53.12333333333337"/>
    <n v="0.17620404535034187"/>
    <n v="0.30043859649122828"/>
    <m/>
    <m/>
    <n v="190"/>
    <s v="Acre-feet per Year"/>
    <s v="U_4"/>
    <n v="0"/>
    <n v="39.123804710000002"/>
    <n v="-123.18746478"/>
    <s v="RUSSIAN RIVER UNDERFLOW"/>
  </r>
  <r>
    <s v="A023058"/>
    <n v="19680603"/>
    <n v="23"/>
    <s v="N"/>
    <s v="N"/>
    <s v="N"/>
    <s v="N"/>
    <x v="1"/>
    <s v="Outside"/>
    <s v="Outside"/>
    <x v="0"/>
    <n v="1968"/>
    <x v="2"/>
    <x v="0"/>
    <s v="N"/>
    <s v="N"/>
    <s v="N"/>
    <s v="Y"/>
    <s v="N"/>
    <x v="1"/>
    <s v="N"/>
    <x v="1"/>
    <s v="N"/>
    <n v="0.53333333299999997"/>
    <n v="0.133333333"/>
    <n v="0"/>
    <n v="0"/>
    <n v="6.6666666999999999E-2"/>
    <n v="0"/>
    <n v="0"/>
    <n v="0"/>
    <n v="0"/>
    <n v="0"/>
    <n v="0.83333333300000001"/>
    <n v="0.7"/>
    <n v="2.2666666659999999"/>
    <n v="6.6666666999999999E-2"/>
    <n v="2.2112574039199597E-4"/>
    <n v="0.13333333329411765"/>
    <m/>
    <m/>
    <n v="17"/>
    <s v="Acre-feet per Year"/>
    <s v="L_27"/>
    <n v="0"/>
    <n v="38.504418180000002"/>
    <n v="-122.54743901000001"/>
    <s v="UNST"/>
  </r>
  <r>
    <s v="A023067"/>
    <n v="19680614"/>
    <n v="14"/>
    <s v="N"/>
    <s v="N"/>
    <s v="N"/>
    <s v="N"/>
    <x v="1"/>
    <s v="Outside"/>
    <s v="Outside"/>
    <x v="0"/>
    <n v="1968"/>
    <x v="2"/>
    <x v="0"/>
    <s v="N"/>
    <s v="N"/>
    <s v="N"/>
    <s v="Y"/>
    <s v="N"/>
    <x v="1"/>
    <s v="N"/>
    <x v="1"/>
    <s v="N"/>
    <n v="0"/>
    <n v="0"/>
    <n v="0"/>
    <n v="0"/>
    <n v="3.5"/>
    <n v="7.25"/>
    <n v="7.25"/>
    <n v="7.25"/>
    <n v="3.5"/>
    <n v="1.7"/>
    <n v="0"/>
    <n v="0"/>
    <n v="30.45"/>
    <n v="28.75"/>
    <n v="9.5360475067245876E-2"/>
    <n v="0.84583333333333333"/>
    <m/>
    <m/>
    <n v="36"/>
    <s v="Acre-feet per Year"/>
    <s v="L_14"/>
    <n v="0"/>
    <n v="38.70733912"/>
    <n v="-122.96937020999999"/>
    <s v="DRY CREEK"/>
  </r>
  <r>
    <s v="A023086"/>
    <n v="19680716"/>
    <n v="12"/>
    <s v="N"/>
    <s v="Y"/>
    <s v="Y"/>
    <s v="Y"/>
    <x v="0"/>
    <s v="West Fork and Below Lake"/>
    <s v="Sonoma (d/s of Clov. Gage)"/>
    <x v="0"/>
    <n v="1968"/>
    <x v="2"/>
    <x v="0"/>
    <s v="Y"/>
    <s v="N"/>
    <s v="N"/>
    <s v="Y"/>
    <s v="N"/>
    <x v="1"/>
    <s v="N"/>
    <x v="1"/>
    <s v="N"/>
    <n v="0"/>
    <n v="0"/>
    <n v="0"/>
    <n v="0"/>
    <n v="0"/>
    <n v="0"/>
    <n v="0"/>
    <n v="0"/>
    <n v="0.2"/>
    <n v="0"/>
    <n v="0.18"/>
    <n v="0"/>
    <n v="0.38"/>
    <n v="0.2"/>
    <n v="6.6337721785910179E-4"/>
    <n v="2.5777777800000002E-2"/>
    <m/>
    <m/>
    <n v="15"/>
    <s v="Acre-feet per Year"/>
    <s v="U_12"/>
    <n v="0"/>
    <n v="38.585651140000003"/>
    <n v="-122.75220136999999"/>
    <s v="BARNES CREEK"/>
  </r>
  <r>
    <s v="A023092"/>
    <n v="19680722"/>
    <n v="12"/>
    <s v="N"/>
    <s v="Y"/>
    <s v="Y"/>
    <s v="Y"/>
    <x v="0"/>
    <s v="West Fork and Below Lake"/>
    <s v="Sonoma (d/s of Clov. Gage)"/>
    <x v="0"/>
    <n v="1968"/>
    <x v="2"/>
    <x v="0"/>
    <s v="Y"/>
    <s v="N"/>
    <s v="N"/>
    <s v="Y"/>
    <s v="N"/>
    <x v="1"/>
    <s v="N"/>
    <x v="0"/>
    <s v="N"/>
    <n v="7.1699999999999995E-5"/>
    <n v="7.1699999999999995E-5"/>
    <n v="7.1699999999999995E-5"/>
    <n v="0"/>
    <n v="0"/>
    <n v="0"/>
    <n v="0"/>
    <n v="0"/>
    <n v="0"/>
    <n v="7.1699999999999995E-5"/>
    <n v="9.2E-5"/>
    <n v="9.2E-5"/>
    <n v="4.7080000000000001E-4"/>
    <n v="0"/>
    <n v="0"/>
    <n v="3.6215384615384614E-4"/>
    <m/>
    <m/>
    <n v="1.3"/>
    <s v="Acre-feet per Year"/>
    <s v="U_12"/>
    <n v="3.4039024194010059E-4"/>
    <n v="38.586731309999998"/>
    <n v="-122.75501169"/>
    <s v="BARNES CREEK"/>
  </r>
  <r>
    <s v="A023098"/>
    <n v="19680726"/>
    <n v="11"/>
    <s v="N"/>
    <s v="Y"/>
    <s v="Y"/>
    <s v="Y"/>
    <x v="0"/>
    <s v="West Fork and Below Lake"/>
    <s v="Sonoma (d/s of Clov. Gage)"/>
    <x v="0"/>
    <n v="1968"/>
    <x v="2"/>
    <x v="0"/>
    <s v="Y"/>
    <s v="N"/>
    <s v="N"/>
    <s v="Y"/>
    <s v="N"/>
    <x v="1"/>
    <s v="N"/>
    <x v="1"/>
    <s v="N"/>
    <n v="3.0699999999999998E-4"/>
    <n v="3.0699999999999998E-4"/>
    <n v="3.0699999999999998E-4"/>
    <n v="3.0699999999999998E-4"/>
    <n v="3.0699999999999998E-4"/>
    <n v="3.0699999999999998E-4"/>
    <n v="3.0699999999999998E-4"/>
    <n v="3.0699999999999998E-4"/>
    <n v="3.0699999999999998E-4"/>
    <n v="3.0699999999999998E-4"/>
    <n v="3.0699999999999998E-4"/>
    <n v="3.0699999999999998E-4"/>
    <n v="3.6839999999999998E-3"/>
    <n v="1.5349999999999999E-3"/>
    <n v="5.0914201470686059E-6"/>
    <n v="2.3615384615384616E-5"/>
    <m/>
    <m/>
    <n v="156"/>
    <s v="Acre-feet per Year"/>
    <s v="U_11"/>
    <n v="3.4039024194010059E-4"/>
    <n v="38.691918749999999"/>
    <n v="-122.66222476999999"/>
    <s v="UNST"/>
  </r>
  <r>
    <s v="A023144"/>
    <n v="19681002"/>
    <n v="23"/>
    <s v="N"/>
    <s v="N"/>
    <s v="N"/>
    <s v="N"/>
    <x v="1"/>
    <s v="Outside"/>
    <s v="Outside"/>
    <x v="0"/>
    <n v="1968"/>
    <x v="2"/>
    <x v="0"/>
    <s v="N"/>
    <s v="N"/>
    <s v="N"/>
    <s v="Y"/>
    <s v="N"/>
    <x v="1"/>
    <s v="N"/>
    <x v="1"/>
    <s v="N"/>
    <n v="1.4366666669999999"/>
    <n v="1.506666667"/>
    <n v="0.96666666700000003"/>
    <n v="0.46666666699999998"/>
    <n v="0.25666666700000001"/>
    <n v="8.6666667000000003E-2"/>
    <n v="7.3333333000000001E-2"/>
    <n v="0.09"/>
    <n v="8.6666667000000003E-2"/>
    <n v="4.6666667000000002E-2"/>
    <n v="0.52666666699999998"/>
    <n v="0.443333333"/>
    <n v="5.9866666690000008"/>
    <n v="0.59333333399999999"/>
    <n v="1.9680190818599261E-3"/>
    <n v="0.46051282069230776"/>
    <m/>
    <m/>
    <n v="13"/>
    <s v="Acre-feet per Year"/>
    <s v="L_27"/>
    <n v="0"/>
    <n v="38.377416859999997"/>
    <n v="-122.62896864"/>
    <s v="UNST"/>
  </r>
  <r>
    <s v="A023163"/>
    <n v="19681118"/>
    <n v="4"/>
    <s v="Y"/>
    <s v="N"/>
    <s v="Y"/>
    <s v="Y"/>
    <x v="0"/>
    <s v="West Fork and Below Lake"/>
    <s v="Mendocino (d/s of lake)"/>
    <x v="0"/>
    <n v="1968"/>
    <x v="2"/>
    <x v="1"/>
    <s v="Y"/>
    <s v="N"/>
    <s v="N"/>
    <s v="Y"/>
    <s v="N"/>
    <x v="1"/>
    <s v="N"/>
    <x v="1"/>
    <s v="N"/>
    <n v="0"/>
    <n v="0"/>
    <n v="0"/>
    <n v="1.2"/>
    <n v="1.17"/>
    <n v="4.75"/>
    <n v="6.68"/>
    <n v="6.57"/>
    <n v="3.47"/>
    <n v="0.72"/>
    <n v="0"/>
    <n v="0"/>
    <n v="24.56"/>
    <n v="22.670000000000012"/>
    <n v="7.5193807644329244E-2"/>
    <n v="0.1182371794871795"/>
    <m/>
    <m/>
    <n v="208"/>
    <s v="Acre-feet per Year"/>
    <s v="U_4"/>
    <n v="0"/>
    <n v="39.12053161"/>
    <n v="-123.18529483"/>
    <s v="RUSSIAN RIVER UNDERFLOW"/>
  </r>
  <r>
    <s v="A023173"/>
    <n v="19681204"/>
    <n v="15"/>
    <s v="N"/>
    <s v="N"/>
    <s v="N"/>
    <s v="N"/>
    <x v="1"/>
    <s v="Outside"/>
    <s v="Outside"/>
    <x v="0"/>
    <n v="1968"/>
    <x v="2"/>
    <x v="0"/>
    <s v="N"/>
    <s v="N"/>
    <s v="N"/>
    <s v="Y"/>
    <s v="N"/>
    <x v="1"/>
    <s v="N"/>
    <x v="1"/>
    <s v="N"/>
    <n v="0"/>
    <n v="0"/>
    <n v="0"/>
    <n v="0"/>
    <n v="0"/>
    <n v="0.16666666699999999"/>
    <n v="0.16666666699999999"/>
    <n v="0"/>
    <n v="0"/>
    <n v="0"/>
    <n v="0"/>
    <n v="0"/>
    <n v="0.33333333399999998"/>
    <n v="0.33333333399999998"/>
    <n v="1.1056286986430939E-3"/>
    <n v="1.4492753652173913E-2"/>
    <m/>
    <m/>
    <n v="23"/>
    <s v="Acre-feet per Year"/>
    <s v="L_15"/>
    <n v="0"/>
    <n v="38.715600000000002"/>
    <n v="-122.95569999999999"/>
    <s v="UNST"/>
  </r>
  <r>
    <s v="A023077"/>
    <n v="19680701"/>
    <n v="16"/>
    <s v="N"/>
    <s v="N"/>
    <s v="N"/>
    <s v="N"/>
    <x v="1"/>
    <s v="Outside"/>
    <s v="Outside"/>
    <x v="0"/>
    <n v="1968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6"/>
    <s v="Acre-feet per Year"/>
    <s v="L_16"/>
    <n v="0"/>
    <n v="38.599266200000002"/>
    <n v="-122.92066121000001"/>
    <s v="WALLACE CREEK"/>
  </r>
  <r>
    <s v="A023094"/>
    <n v="19680723"/>
    <n v="16"/>
    <s v="N"/>
    <s v="N"/>
    <s v="N"/>
    <s v="N"/>
    <x v="1"/>
    <s v="Outside"/>
    <s v="Outside"/>
    <x v="0"/>
    <n v="1968"/>
    <x v="2"/>
    <x v="0"/>
    <s v="N"/>
    <s v="N"/>
    <s v="N"/>
    <s v="Y"/>
    <s v="N"/>
    <x v="1"/>
    <s v="N"/>
    <x v="0"/>
    <s v="N"/>
    <n v="2"/>
    <n v="2"/>
    <n v="2"/>
    <n v="1.3333333329999999"/>
    <n v="0"/>
    <n v="0"/>
    <n v="0"/>
    <n v="0"/>
    <n v="0"/>
    <n v="0"/>
    <n v="0"/>
    <n v="1"/>
    <n v="8.3333333329999988"/>
    <n v="0"/>
    <n v="0"/>
    <n v="0.92592592588888878"/>
    <m/>
    <m/>
    <n v="9"/>
    <s v="Acre-feet per Year"/>
    <s v="L_16"/>
    <n v="3.4039024194010059E-4"/>
    <n v="38.629712249999997"/>
    <n v="-122.92508014000001"/>
    <s v="UNST"/>
  </r>
  <r>
    <s v="A023165"/>
    <n v="19681122"/>
    <n v="16"/>
    <s v="N"/>
    <s v="N"/>
    <s v="N"/>
    <s v="N"/>
    <x v="1"/>
    <s v="Outside"/>
    <s v="Outside"/>
    <x v="0"/>
    <n v="1968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5"/>
    <s v="Acre-feet per Year"/>
    <s v="L_16"/>
    <n v="0"/>
    <n v="38.589735789999999"/>
    <n v="-122.87470328000001"/>
    <s v="DRY CREEK UNDERFLOW"/>
  </r>
  <r>
    <s v="A020509"/>
    <n v="19671127"/>
    <n v="23"/>
    <s v="N"/>
    <s v="N"/>
    <s v="N"/>
    <s v="N"/>
    <x v="1"/>
    <s v="Outside"/>
    <s v="Outside"/>
    <x v="0"/>
    <n v="1967"/>
    <x v="2"/>
    <x v="0"/>
    <s v="N"/>
    <s v="N"/>
    <s v="N"/>
    <s v="Y"/>
    <s v="N"/>
    <x v="1"/>
    <s v="N"/>
    <x v="0"/>
    <s v="N"/>
    <n v="8"/>
    <n v="5"/>
    <n v="3"/>
    <n v="2"/>
    <n v="0"/>
    <n v="0"/>
    <n v="0"/>
    <n v="0"/>
    <n v="0"/>
    <n v="5"/>
    <n v="10"/>
    <n v="15"/>
    <n v="48"/>
    <n v="0"/>
    <n v="0"/>
    <n v="0.44036697247706424"/>
    <m/>
    <m/>
    <n v="109"/>
    <s v="Acre-feet per Year"/>
    <s v="L_23"/>
    <n v="0"/>
    <n v="38.562731839999998"/>
    <n v="-122.79200602"/>
    <s v="UNCR"/>
  </r>
  <r>
    <s v="A022692"/>
    <n v="19670130"/>
    <n v="5"/>
    <s v="Y"/>
    <s v="N"/>
    <s v="Y"/>
    <s v="Y"/>
    <x v="0"/>
    <s v="West Fork and Below Lake"/>
    <s v="Mendocino (d/s of lake)"/>
    <x v="0"/>
    <n v="1967"/>
    <x v="2"/>
    <x v="1"/>
    <s v="Y"/>
    <s v="N"/>
    <s v="N"/>
    <s v="Y"/>
    <s v="N"/>
    <x v="1"/>
    <s v="N"/>
    <x v="1"/>
    <s v="N"/>
    <n v="0"/>
    <n v="0"/>
    <n v="0"/>
    <n v="0.15"/>
    <n v="0.2"/>
    <n v="0.3"/>
    <n v="0.35"/>
    <n v="0.45"/>
    <n v="0.35"/>
    <n v="0.2"/>
    <n v="0"/>
    <n v="0"/>
    <n v="1.9999999999999998"/>
    <n v="1.65"/>
    <n v="5.4728620473375898E-3"/>
    <n v="0.27777777777777773"/>
    <m/>
    <m/>
    <n v="7.2"/>
    <s v="Acre-feet per Year"/>
    <s v="U_5"/>
    <n v="3.4039024194010059E-4"/>
    <n v="39.031275710000003"/>
    <n v="-123.13116896"/>
    <s v="RUSSIAN RIVER UNDERFLOW"/>
  </r>
  <r>
    <s v="A022702"/>
    <n v="19670214"/>
    <n v="6"/>
    <s v="Y"/>
    <s v="N"/>
    <s v="Y"/>
    <s v="Y"/>
    <x v="0"/>
    <s v="West Fork and Below Lake"/>
    <s v="Mendocino (d/s of lake)"/>
    <x v="0"/>
    <n v="1967"/>
    <x v="2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"/>
    <s v="Acre-feet per Year"/>
    <s v="U_6"/>
    <n v="0"/>
    <n v="38.979631240000003"/>
    <n v="-123.10466384999999"/>
    <s v="RUSSIAN RIVER"/>
  </r>
  <r>
    <s v="A022745"/>
    <n v="19670330"/>
    <n v="23"/>
    <s v="N"/>
    <s v="N"/>
    <s v="N"/>
    <s v="N"/>
    <x v="1"/>
    <s v="Outside"/>
    <s v="Outside"/>
    <x v="0"/>
    <n v="1967"/>
    <x v="2"/>
    <x v="0"/>
    <s v="N"/>
    <s v="N"/>
    <s v="N"/>
    <s v="Y"/>
    <s v="N"/>
    <x v="1"/>
    <s v="N"/>
    <x v="0"/>
    <s v="N"/>
    <n v="2.5"/>
    <n v="2.5"/>
    <n v="2.5"/>
    <n v="0"/>
    <n v="0"/>
    <n v="0"/>
    <n v="0"/>
    <n v="0"/>
    <n v="0"/>
    <n v="0"/>
    <n v="0"/>
    <n v="2.5"/>
    <n v="10"/>
    <n v="0"/>
    <n v="0"/>
    <n v="0.5"/>
    <m/>
    <m/>
    <n v="20"/>
    <s v="Acre-feet per Year"/>
    <s v="L_23"/>
    <n v="0"/>
    <n v="38.553952680000002"/>
    <n v="-122.77040166"/>
    <s v="UNST"/>
  </r>
  <r>
    <s v="A022767"/>
    <n v="19670407"/>
    <n v="23"/>
    <s v="N"/>
    <s v="N"/>
    <s v="N"/>
    <s v="N"/>
    <x v="1"/>
    <s v="Outside"/>
    <s v="Outside"/>
    <x v="0"/>
    <n v="1967"/>
    <x v="2"/>
    <x v="0"/>
    <s v="N"/>
    <s v="N"/>
    <s v="N"/>
    <s v="Y"/>
    <s v="N"/>
    <x v="1"/>
    <s v="N"/>
    <x v="0"/>
    <s v="N"/>
    <n v="0"/>
    <n v="0"/>
    <n v="0"/>
    <n v="0.677666667"/>
    <n v="0"/>
    <n v="0"/>
    <n v="0"/>
    <n v="0"/>
    <n v="0"/>
    <n v="0"/>
    <n v="0"/>
    <n v="0"/>
    <n v="0.677666667"/>
    <n v="0"/>
    <n v="0"/>
    <n v="4.5177777800000001E-3"/>
    <m/>
    <m/>
    <n v="150"/>
    <s v="Acre-feet per Year"/>
    <s v="L_24"/>
    <n v="0"/>
    <n v="38.498169679999997"/>
    <n v="-122.8543633"/>
    <s v="MARK WEST CREEK"/>
  </r>
  <r>
    <s v="A022802"/>
    <n v="19670605"/>
    <n v="5"/>
    <s v="Y"/>
    <s v="N"/>
    <s v="Y"/>
    <s v="Y"/>
    <x v="0"/>
    <s v="West Fork and Below Lake"/>
    <s v="Mendocino (d/s of lake)"/>
    <x v="0"/>
    <n v="1967"/>
    <x v="2"/>
    <x v="1"/>
    <s v="Y"/>
    <s v="N"/>
    <s v="N"/>
    <s v="Y"/>
    <s v="N"/>
    <x v="1"/>
    <s v="N"/>
    <x v="1"/>
    <s v="N"/>
    <n v="0"/>
    <n v="0"/>
    <n v="0"/>
    <n v="0"/>
    <n v="11.8"/>
    <n v="23.53"/>
    <n v="43.43"/>
    <n v="53.73"/>
    <n v="45.33"/>
    <n v="19.03"/>
    <n v="0"/>
    <n v="0"/>
    <n v="196.85"/>
    <n v="177.8333333333332"/>
    <n v="0.58985290954638425"/>
    <n v="0.60203873598368962"/>
    <m/>
    <m/>
    <n v="327"/>
    <s v="Acre-feet per Year"/>
    <s v="U_5"/>
    <n v="0"/>
    <n v="39.102828219999999"/>
    <n v="-123.17853524"/>
    <s v="RUSSIAN RIVER UNDERFLOW"/>
  </r>
  <r>
    <s v="A022807"/>
    <n v="19670606"/>
    <n v="14"/>
    <s v="N"/>
    <s v="N"/>
    <s v="N"/>
    <s v="N"/>
    <x v="1"/>
    <s v="Outside"/>
    <s v="Outside"/>
    <x v="0"/>
    <n v="1967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2"/>
    <s v="Acre-feet per Year"/>
    <s v="L_14"/>
    <n v="0"/>
    <n v="38.706731320000003"/>
    <n v="-122.97637116"/>
    <s v="DRY CREEK"/>
  </r>
  <r>
    <s v="A022815"/>
    <n v="19670609"/>
    <n v="4"/>
    <s v="Y"/>
    <s v="N"/>
    <s v="Y"/>
    <s v="Y"/>
    <x v="0"/>
    <s v="West Fork and Below Lake"/>
    <s v="Mendocino (d/s of lake)"/>
    <x v="0"/>
    <n v="1967"/>
    <x v="2"/>
    <x v="1"/>
    <s v="Y"/>
    <s v="N"/>
    <s v="N"/>
    <s v="Y"/>
    <s v="N"/>
    <x v="1"/>
    <s v="N"/>
    <x v="1"/>
    <s v="N"/>
    <n v="0"/>
    <n v="0"/>
    <n v="0"/>
    <n v="0"/>
    <n v="2.66"/>
    <n v="3.6"/>
    <n v="7.03"/>
    <n v="7.5"/>
    <n v="4.2300000000000004"/>
    <n v="0"/>
    <n v="0"/>
    <n v="0"/>
    <n v="25.02"/>
    <n v="25.033333333333331"/>
    <n v="8.3032715102030905E-2"/>
    <n v="0.24785478547854783"/>
    <m/>
    <m/>
    <n v="101"/>
    <s v="Acre-feet per Year"/>
    <s v="U_4"/>
    <n v="0"/>
    <n v="39.164802739999999"/>
    <n v="-123.19273783"/>
    <s v="RUSSIAN RIVER UNDERFLOW"/>
  </r>
  <r>
    <s v="A022881"/>
    <n v="19670810"/>
    <n v="4"/>
    <s v="Y"/>
    <s v="N"/>
    <s v="Y"/>
    <s v="Y"/>
    <x v="0"/>
    <s v="West Fork and Below Lake"/>
    <s v="Mendocino (d/s of lake)"/>
    <x v="0"/>
    <n v="1967"/>
    <x v="2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3"/>
    <s v="Acre-feet per Year"/>
    <s v="U_4"/>
    <n v="0"/>
    <n v="39.170360559999999"/>
    <n v="-123.19971038"/>
    <s v="RUSSIAN RIVER UNDERFLOW"/>
  </r>
  <r>
    <s v="A022919"/>
    <n v="19671005"/>
    <n v="23"/>
    <s v="N"/>
    <s v="N"/>
    <s v="N"/>
    <s v="N"/>
    <x v="1"/>
    <s v="Outside"/>
    <s v="Outside"/>
    <x v="0"/>
    <n v="1967"/>
    <x v="2"/>
    <x v="0"/>
    <s v="N"/>
    <s v="N"/>
    <s v="N"/>
    <s v="Y"/>
    <s v="N"/>
    <x v="1"/>
    <s v="N"/>
    <x v="0"/>
    <s v="N"/>
    <n v="0.66500000000000004"/>
    <n v="0.66500000000000004"/>
    <n v="0.66500000000000004"/>
    <n v="0"/>
    <n v="0"/>
    <n v="0"/>
    <n v="0"/>
    <n v="0"/>
    <n v="0"/>
    <n v="0"/>
    <n v="0.66"/>
    <n v="0.66"/>
    <n v="3.3150000000000004"/>
    <n v="0"/>
    <n v="0"/>
    <n v="0.69062500000000016"/>
    <m/>
    <m/>
    <n v="4.8"/>
    <s v="Acre-feet per Year"/>
    <s v="L_24"/>
    <n v="0"/>
    <n v="38.552100000000003"/>
    <n v="-122.7272"/>
    <s v="UNST"/>
  </r>
  <r>
    <s v="A022929"/>
    <n v="19671013"/>
    <n v="14"/>
    <s v="N"/>
    <s v="N"/>
    <s v="N"/>
    <s v="N"/>
    <x v="1"/>
    <s v="Outside"/>
    <s v="Outside"/>
    <x v="0"/>
    <n v="1967"/>
    <x v="2"/>
    <x v="0"/>
    <s v="N"/>
    <s v="N"/>
    <s v="N"/>
    <s v="Y"/>
    <s v="N"/>
    <x v="1"/>
    <s v="N"/>
    <x v="1"/>
    <s v="N"/>
    <n v="0"/>
    <n v="0"/>
    <n v="0"/>
    <n v="0"/>
    <n v="0"/>
    <n v="3.6876669999999999E-3"/>
    <n v="1.5299999999999999E-5"/>
    <n v="0"/>
    <n v="0"/>
    <n v="0"/>
    <n v="0"/>
    <n v="0"/>
    <n v="3.7029670000000002E-3"/>
    <n v="3.7029670000000002E-3"/>
    <n v="1.2282319731420324E-5"/>
    <n v="9.4947871794871805E-5"/>
    <m/>
    <m/>
    <n v="39"/>
    <s v="Acre-feet per Year"/>
    <s v="L_14"/>
    <n v="0"/>
    <n v="38.706499999999998"/>
    <n v="-122.9667"/>
    <s v="DRY CREEK"/>
  </r>
  <r>
    <s v="A022962"/>
    <n v="19671226"/>
    <n v="22"/>
    <s v="N"/>
    <s v="N"/>
    <s v="N"/>
    <s v="N"/>
    <x v="1"/>
    <s v="Outside"/>
    <s v="Outside"/>
    <x v="0"/>
    <n v="1967"/>
    <x v="2"/>
    <x v="0"/>
    <s v="N"/>
    <s v="N"/>
    <s v="N"/>
    <s v="Y"/>
    <s v="N"/>
    <x v="1"/>
    <s v="N"/>
    <x v="1"/>
    <s v="N"/>
    <n v="0"/>
    <n v="0"/>
    <n v="0"/>
    <n v="6.6666666999999999E-2"/>
    <n v="6.6666666999999999E-2"/>
    <n v="0.13666666699999999"/>
    <n v="0.48499999999999999"/>
    <n v="0.41466666699999999"/>
    <n v="0.2"/>
    <n v="0.133333333"/>
    <n v="6.6666666999999999E-2"/>
    <n v="0"/>
    <n v="1.569666668"/>
    <n v="1.3030000009999998"/>
    <n v="4.3219025776689343E-3"/>
    <n v="3.5674242454545452E-2"/>
    <m/>
    <m/>
    <n v="44"/>
    <s v="Acre-feet per Year"/>
    <s v="L_22"/>
    <n v="0"/>
    <n v="38.895706730000001"/>
    <n v="-123.17838371000001"/>
    <s v="UNCR"/>
  </r>
  <r>
    <s v="A022359"/>
    <n v="19660103"/>
    <n v="15"/>
    <s v="N"/>
    <s v="N"/>
    <s v="N"/>
    <s v="N"/>
    <x v="1"/>
    <s v="Outside"/>
    <s v="Outside"/>
    <x v="0"/>
    <n v="1966"/>
    <x v="2"/>
    <x v="0"/>
    <s v="N"/>
    <s v="N"/>
    <s v="N"/>
    <s v="Y"/>
    <s v="N"/>
    <x v="1"/>
    <s v="N"/>
    <x v="1"/>
    <s v="N"/>
    <n v="0"/>
    <n v="0"/>
    <n v="0"/>
    <n v="0"/>
    <n v="0"/>
    <n v="3.6666666669999999"/>
    <n v="3.6666666669999999"/>
    <n v="3.6666666669999999"/>
    <n v="3"/>
    <n v="1.6666666670000001"/>
    <n v="0"/>
    <n v="0"/>
    <n v="15.666666668"/>
    <n v="14.000000001"/>
    <n v="4.6436405253454015E-2"/>
    <n v="0.97916666674999997"/>
    <m/>
    <m/>
    <n v="16"/>
    <s v="Acre-feet per Year"/>
    <s v="L_15"/>
    <n v="0"/>
    <n v="38.697827740000001"/>
    <n v="-122.95732665"/>
    <s v="DRY CREEK UNDERFLOW"/>
  </r>
  <r>
    <s v="A022426"/>
    <n v="19660317"/>
    <n v="4"/>
    <s v="Y"/>
    <s v="N"/>
    <s v="Y"/>
    <s v="Y"/>
    <x v="0"/>
    <s v="West Fork and Below Lake"/>
    <s v="Mendocino (d/s of lake)"/>
    <x v="0"/>
    <n v="1966"/>
    <x v="2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.1000000000000001"/>
    <s v="Acre-feet per Year"/>
    <s v="U_4"/>
    <n v="0"/>
    <n v="39.168057320000003"/>
    <n v="-123.06915332"/>
    <s v="UNST"/>
  </r>
  <r>
    <s v="A022431"/>
    <n v="19660328"/>
    <n v="23"/>
    <s v="N"/>
    <s v="N"/>
    <s v="N"/>
    <s v="N"/>
    <x v="1"/>
    <s v="Outside"/>
    <s v="Outside"/>
    <x v="0"/>
    <n v="1966"/>
    <x v="2"/>
    <x v="0"/>
    <s v="N"/>
    <s v="N"/>
    <s v="N"/>
    <s v="Y"/>
    <s v="N"/>
    <x v="1"/>
    <s v="N"/>
    <x v="0"/>
    <s v="N"/>
    <n v="56.9"/>
    <n v="20.333333329999999"/>
    <n v="20"/>
    <n v="0"/>
    <n v="0"/>
    <n v="0"/>
    <n v="0"/>
    <n v="0"/>
    <n v="0"/>
    <n v="3.266666667"/>
    <n v="33.866666670000001"/>
    <n v="38.066666669999996"/>
    <n v="172.43333333699999"/>
    <n v="0"/>
    <n v="0"/>
    <n v="0.28738888889499997"/>
    <m/>
    <m/>
    <n v="600"/>
    <s v="Acre-feet per Year"/>
    <s v="L_27"/>
    <n v="0"/>
    <n v="38.4572"/>
    <n v="-122.6397"/>
    <s v="SANTA ROSA CREEK"/>
  </r>
  <r>
    <s v="A022432"/>
    <n v="19660329"/>
    <n v="12"/>
    <s v="N"/>
    <s v="Y"/>
    <s v="Y"/>
    <s v="Y"/>
    <x v="0"/>
    <s v="West Fork and Below Lake"/>
    <s v="Sonoma (d/s of Clov. Gage)"/>
    <x v="0"/>
    <n v="1966"/>
    <x v="2"/>
    <x v="0"/>
    <s v="Y"/>
    <s v="N"/>
    <s v="N"/>
    <s v="Y"/>
    <s v="N"/>
    <x v="1"/>
    <s v="N"/>
    <x v="0"/>
    <s v="N"/>
    <n v="0.13"/>
    <n v="0"/>
    <n v="0"/>
    <n v="0"/>
    <n v="0"/>
    <n v="0"/>
    <n v="0"/>
    <n v="0"/>
    <n v="0"/>
    <n v="0.06"/>
    <n v="0.33"/>
    <n v="0"/>
    <n v="0.52"/>
    <n v="0"/>
    <n v="0"/>
    <n v="4.2666666640000003E-2"/>
    <m/>
    <m/>
    <n v="12.5"/>
    <s v="Acre-feet per Year"/>
    <s v="U_12"/>
    <n v="3.4039024194010059E-4"/>
    <n v="38.581135099999997"/>
    <n v="-122.77087012"/>
    <s v="UNST"/>
  </r>
  <r>
    <s v="A022445"/>
    <n v="19660411"/>
    <n v="12"/>
    <s v="N"/>
    <s v="Y"/>
    <s v="Y"/>
    <s v="Y"/>
    <x v="0"/>
    <s v="West Fork and Below Lake"/>
    <s v="Sonoma (d/s of Clov. Gage)"/>
    <x v="0"/>
    <n v="1966"/>
    <x v="2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8"/>
    <s v="Acre-feet per Year"/>
    <s v="U_12"/>
    <n v="0"/>
    <n v="38.610546579999998"/>
    <n v="-122.76646329"/>
    <s v="FRANZ CREEK"/>
  </r>
  <r>
    <s v="A022496"/>
    <n v="19660614"/>
    <n v="14"/>
    <s v="N"/>
    <s v="N"/>
    <s v="N"/>
    <s v="N"/>
    <x v="1"/>
    <s v="Outside"/>
    <s v="Outside"/>
    <x v="0"/>
    <n v="1966"/>
    <x v="2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.4"/>
    <s v="Acre-feet per Year"/>
    <s v="L_14"/>
    <n v="0"/>
    <n v="38.651428080000002"/>
    <n v="-123.02078856999999"/>
    <s v="UNST"/>
  </r>
  <r>
    <s v="A022498"/>
    <n v="19660615"/>
    <n v="23"/>
    <s v="N"/>
    <s v="N"/>
    <s v="N"/>
    <s v="N"/>
    <x v="1"/>
    <s v="Outside"/>
    <s v="Outside"/>
    <x v="0"/>
    <n v="1966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"/>
    <s v="Acre-feet per Year"/>
    <s v="L_23"/>
    <n v="0"/>
    <n v="38.519893170000003"/>
    <n v="-122.81197902"/>
    <s v="UNXX"/>
  </r>
  <r>
    <s v="A022523"/>
    <n v="19660713"/>
    <n v="21"/>
    <s v="N"/>
    <s v="N"/>
    <s v="N"/>
    <s v="N"/>
    <x v="1"/>
    <s v="Outside"/>
    <s v="Outside"/>
    <x v="0"/>
    <n v="1966"/>
    <x v="2"/>
    <x v="0"/>
    <s v="N"/>
    <s v="N"/>
    <s v="N"/>
    <s v="Y"/>
    <s v="N"/>
    <x v="1"/>
    <s v="N"/>
    <x v="1"/>
    <s v="N"/>
    <n v="5.2400000000000002E-2"/>
    <n v="4.6866667000000001E-2"/>
    <n v="4.2766667000000001E-2"/>
    <n v="5.3499999999999999E-2"/>
    <n v="0.19066666700000001"/>
    <n v="0.27253333299999999"/>
    <n v="0.31263333300000001"/>
    <n v="0.30270000000000002"/>
    <n v="0.35373333299999998"/>
    <n v="0.19723333300000001"/>
    <n v="0.143633333"/>
    <n v="6.7400000000000002E-2"/>
    <n v="2.036066666"/>
    <n v="1.4322666659999999"/>
    <n v="4.7506653806170564E-3"/>
    <n v="0.20360666659999999"/>
    <m/>
    <m/>
    <n v="10"/>
    <s v="Acre-feet per Year"/>
    <s v="L_21"/>
    <n v="3.4039024194010059E-4"/>
    <n v="38.431615059999999"/>
    <n v="-122.9750746"/>
    <s v="UNST"/>
  </r>
  <r>
    <s v="A022583"/>
    <n v="19660921"/>
    <n v="23"/>
    <s v="N"/>
    <s v="N"/>
    <s v="N"/>
    <s v="N"/>
    <x v="1"/>
    <s v="Outside"/>
    <s v="Outside"/>
    <x v="0"/>
    <n v="1966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2"/>
    <s v="Acre-feet per Year"/>
    <s v="L_25"/>
    <n v="0"/>
    <n v="38.464096410000003"/>
    <n v="-122.8574493"/>
    <s v="UNST"/>
  </r>
  <r>
    <s v="A022614"/>
    <n v="19661018"/>
    <n v="8"/>
    <s v="N"/>
    <s v="Y"/>
    <s v="Y"/>
    <s v="Y"/>
    <x v="0"/>
    <s v="West Fork and Below Lake"/>
    <s v="Sonoma (d/s of Clov. Gage)"/>
    <x v="0"/>
    <n v="1966"/>
    <x v="2"/>
    <x v="0"/>
    <s v="Y"/>
    <s v="N"/>
    <s v="N"/>
    <s v="Y"/>
    <s v="N"/>
    <x v="1"/>
    <s v="N"/>
    <x v="1"/>
    <s v="N"/>
    <n v="0.09"/>
    <n v="0.09"/>
    <n v="0.09"/>
    <n v="0.09"/>
    <n v="0.09"/>
    <n v="0.09"/>
    <n v="0.09"/>
    <n v="0.09"/>
    <n v="0.09"/>
    <n v="0.09"/>
    <n v="0.09"/>
    <n v="0.09"/>
    <n v="1.0799999999999998"/>
    <n v="0.46033499999999999"/>
    <n v="1.5268787579158481E-3"/>
    <n v="2.5456313364055298E-2"/>
    <m/>
    <m/>
    <n v="43.4"/>
    <s v="Acre-feet per Year"/>
    <s v="U_8"/>
    <n v="3.4039024194010059E-4"/>
    <n v="38.862779230000001"/>
    <n v="-122.86225619"/>
    <s v="UNSP"/>
  </r>
  <r>
    <s v="A022615"/>
    <n v="19661018"/>
    <n v="6"/>
    <s v="Y"/>
    <s v="N"/>
    <s v="Y"/>
    <s v="Y"/>
    <x v="0"/>
    <s v="West Fork and Below Lake"/>
    <s v="Mendocino (d/s of lake)"/>
    <x v="0"/>
    <n v="1966"/>
    <x v="2"/>
    <x v="0"/>
    <s v="Y"/>
    <s v="N"/>
    <s v="N"/>
    <s v="Y"/>
    <s v="N"/>
    <x v="1"/>
    <s v="N"/>
    <x v="1"/>
    <s v="N"/>
    <n v="0.21"/>
    <n v="0.21"/>
    <n v="0.21"/>
    <n v="0.21"/>
    <n v="0.21"/>
    <n v="0.22"/>
    <n v="0.21"/>
    <n v="0.21"/>
    <n v="0.21"/>
    <n v="0.21"/>
    <n v="0.21"/>
    <n v="0.21"/>
    <n v="2.5299999999999998"/>
    <n v="1.0873189990000001"/>
    <n v="3.6065132624098178E-3"/>
    <n v="0.18507680928571427"/>
    <m/>
    <m/>
    <n v="14"/>
    <s v="Acre-feet per Year"/>
    <s v="U_6"/>
    <n v="3.4039024194010059E-4"/>
    <n v="38.871444570000001"/>
    <n v="-122.8785196"/>
    <s v="HOIL CREEK"/>
  </r>
  <r>
    <s v="A022623"/>
    <n v="19661027"/>
    <n v="8"/>
    <s v="N"/>
    <s v="Y"/>
    <s v="Y"/>
    <s v="Y"/>
    <x v="0"/>
    <s v="West Fork and Below Lake"/>
    <s v="Sonoma (d/s of Clov. Gage)"/>
    <x v="0"/>
    <n v="1966"/>
    <x v="2"/>
    <x v="0"/>
    <s v="Y"/>
    <s v="N"/>
    <s v="N"/>
    <s v="Y"/>
    <s v="N"/>
    <x v="1"/>
    <s v="N"/>
    <x v="1"/>
    <s v="N"/>
    <n v="0"/>
    <n v="0"/>
    <n v="0"/>
    <n v="0"/>
    <n v="0"/>
    <n v="2.0466700000000001E-4"/>
    <n v="6.1399999999999996E-4"/>
    <n v="2.0466700000000001E-4"/>
    <n v="2.0466700000000001E-4"/>
    <n v="2.0466700000000001E-4"/>
    <n v="0"/>
    <n v="0"/>
    <n v="1.4326679999999998E-3"/>
    <n v="1.2280009999999998E-3"/>
    <n v="4.0731394345409734E-6"/>
    <n v="2.0466685714285712E-4"/>
    <m/>
    <m/>
    <n v="7"/>
    <s v="Acre-feet per Year"/>
    <s v="U_8"/>
    <n v="0"/>
    <n v="38.847853180000001"/>
    <n v="-122.87541922"/>
    <s v="UNST"/>
  </r>
  <r>
    <s v="A022652"/>
    <n v="19661202"/>
    <n v="6"/>
    <s v="Y"/>
    <s v="N"/>
    <s v="Y"/>
    <s v="Y"/>
    <x v="0"/>
    <s v="West Fork and Below Lake"/>
    <s v="Mendocino (d/s of lake)"/>
    <x v="0"/>
    <n v="1966"/>
    <x v="2"/>
    <x v="0"/>
    <s v="Y"/>
    <s v="N"/>
    <s v="N"/>
    <s v="Y"/>
    <s v="N"/>
    <x v="1"/>
    <s v="N"/>
    <x v="0"/>
    <s v="N"/>
    <n v="0"/>
    <n v="0.35"/>
    <n v="3.33"/>
    <n v="0"/>
    <n v="0"/>
    <n v="0"/>
    <n v="0"/>
    <n v="0"/>
    <n v="0"/>
    <n v="0"/>
    <n v="0"/>
    <n v="0"/>
    <n v="3.68"/>
    <n v="0"/>
    <n v="0"/>
    <n v="0.12277777776666668"/>
    <m/>
    <m/>
    <n v="30"/>
    <s v="Acre-feet per Year"/>
    <s v="U_6"/>
    <n v="0"/>
    <n v="38.965500079999998"/>
    <n v="-123.08896738"/>
    <s v="UNST"/>
  </r>
  <r>
    <s v="A022661"/>
    <n v="19661215"/>
    <n v="14"/>
    <s v="N"/>
    <s v="N"/>
    <s v="N"/>
    <s v="N"/>
    <x v="1"/>
    <s v="Outside"/>
    <s v="Outside"/>
    <x v="0"/>
    <n v="1966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4.2"/>
    <s v="Acre-feet per Year"/>
    <s v="L_14"/>
    <n v="0"/>
    <n v="38.698076299999997"/>
    <n v="-122.96048374999999"/>
    <s v="DRY CREEK UNDERFLOW"/>
  </r>
  <r>
    <s v="A022667"/>
    <n v="19661220"/>
    <n v="23"/>
    <s v="N"/>
    <s v="N"/>
    <s v="N"/>
    <s v="N"/>
    <x v="1"/>
    <s v="Outside"/>
    <s v="Outside"/>
    <x v="0"/>
    <n v="1966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03"/>
    <s v="Acre-feet per Year"/>
    <s v="L_25"/>
    <n v="0"/>
    <n v="38.465330190000003"/>
    <n v="-122.83895246"/>
    <s v="MARK WEST CREEK"/>
  </r>
  <r>
    <s v="A022378"/>
    <n v="19660201"/>
    <n v="2"/>
    <s v="N"/>
    <s v="N"/>
    <s v="Y"/>
    <s v="N"/>
    <x v="0"/>
    <s v="Outside"/>
    <s v="Outside"/>
    <x v="0"/>
    <n v="1966"/>
    <x v="2"/>
    <x v="0"/>
    <s v="Y"/>
    <s v="N"/>
    <s v="N"/>
    <s v="Y"/>
    <s v="N"/>
    <x v="1"/>
    <s v="N"/>
    <x v="1"/>
    <s v="N"/>
    <n v="0"/>
    <n v="0"/>
    <n v="0"/>
    <n v="0"/>
    <n v="0.55000000000000004"/>
    <n v="6.9"/>
    <n v="9.1"/>
    <n v="3.58"/>
    <n v="3.81"/>
    <n v="7.26"/>
    <n v="0"/>
    <n v="0"/>
    <n v="31.200000000000003"/>
    <n v="23.966333333999998"/>
    <n v="7.9493597646963843E-2"/>
    <n v="0.21687037037499998"/>
    <m/>
    <m/>
    <n v="144"/>
    <s v="Acre-feet per Year"/>
    <s v="U_2"/>
    <n v="0"/>
    <n v="39.342800779999997"/>
    <n v="-123.11635611"/>
    <s v="EAST FORK RUSSIAN RIVER"/>
  </r>
  <r>
    <s v="A022433"/>
    <n v="19660329"/>
    <n v="2"/>
    <s v="N"/>
    <s v="N"/>
    <s v="Y"/>
    <s v="N"/>
    <x v="0"/>
    <s v="Outside"/>
    <s v="Outside"/>
    <x v="0"/>
    <n v="1966"/>
    <x v="2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1.9"/>
    <s v="Acre-feet per Year"/>
    <s v="U_2"/>
    <n v="0"/>
    <n v="39.272913690000003"/>
    <n v="-123.10253365"/>
    <s v="UNST"/>
  </r>
  <r>
    <s v="A022038"/>
    <n v="19650205"/>
    <n v="23"/>
    <s v="N"/>
    <s v="N"/>
    <s v="N"/>
    <s v="N"/>
    <x v="1"/>
    <s v="Outside"/>
    <s v="Outside"/>
    <x v="0"/>
    <n v="1965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.6"/>
    <s v="Acre-feet per Year"/>
    <s v="L_24"/>
    <n v="0"/>
    <n v="38.511362800000001"/>
    <n v="-122.63923253"/>
    <s v="MARK WEST CREEK"/>
  </r>
  <r>
    <s v="A022070"/>
    <n v="19650310"/>
    <n v="9"/>
    <s v="N"/>
    <s v="Y"/>
    <s v="Y"/>
    <s v="Y"/>
    <x v="0"/>
    <s v="West Fork and Below Lake"/>
    <s v="Sonoma (d/s of Clov. Gage)"/>
    <x v="0"/>
    <n v="1965"/>
    <x v="2"/>
    <x v="0"/>
    <s v="Y"/>
    <s v="N"/>
    <s v="N"/>
    <s v="Y"/>
    <s v="N"/>
    <x v="1"/>
    <s v="N"/>
    <x v="1"/>
    <s v="N"/>
    <n v="0.56000000000000005"/>
    <n v="0.56000000000000005"/>
    <n v="0.5"/>
    <n v="0.5"/>
    <n v="0.83"/>
    <n v="0.33"/>
    <n v="0.33"/>
    <n v="0.33"/>
    <n v="0.33"/>
    <n v="0.83"/>
    <n v="0.5"/>
    <n v="0.5"/>
    <n v="6.1000000000000005"/>
    <n v="2.1666666650000002"/>
    <n v="7.1865865212787927E-3"/>
    <n v="0.49066666656000002"/>
    <m/>
    <m/>
    <n v="12.5"/>
    <s v="Acre-feet per Year"/>
    <s v="U_9"/>
    <n v="0"/>
    <n v="38.785362839999998"/>
    <n v="-122.99744779"/>
    <s v="BARRELLI CREEK"/>
  </r>
  <r>
    <s v="A022079"/>
    <n v="19650322"/>
    <n v="10"/>
    <s v="N"/>
    <s v="Y"/>
    <s v="Y"/>
    <s v="Y"/>
    <x v="0"/>
    <s v="West Fork and Below Lake"/>
    <s v="Sonoma (d/s of Clov. Gage)"/>
    <x v="0"/>
    <n v="1965"/>
    <x v="2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9"/>
    <s v="Acre-feet per Year"/>
    <s v="U_10"/>
    <n v="0"/>
    <n v="38.739278140000003"/>
    <n v="-122.85339947999999"/>
    <s v="UNST"/>
  </r>
  <r>
    <s v="A022145"/>
    <n v="19650510"/>
    <n v="12"/>
    <s v="N"/>
    <s v="Y"/>
    <s v="Y"/>
    <s v="Y"/>
    <x v="0"/>
    <s v="West Fork and Below Lake"/>
    <s v="Sonoma (d/s of Clov. Gage)"/>
    <x v="0"/>
    <n v="1965"/>
    <x v="2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"/>
    <s v="Acre-feet per Year"/>
    <s v="U_12"/>
    <n v="0"/>
    <n v="38.668523829999998"/>
    <n v="-122.80176339"/>
    <s v="UNST"/>
  </r>
  <r>
    <s v="A022188"/>
    <n v="19650614"/>
    <n v="9"/>
    <s v="N"/>
    <s v="Y"/>
    <s v="Y"/>
    <s v="Y"/>
    <x v="0"/>
    <s v="West Fork and Below Lake"/>
    <s v="Sonoma (d/s of Clov. Gage)"/>
    <x v="0"/>
    <n v="1965"/>
    <x v="2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6.7"/>
    <s v="Acre-feet per Year"/>
    <s v="U_9"/>
    <n v="0"/>
    <n v="38.769301849999998"/>
    <n v="-123.01300753"/>
    <s v="UNST"/>
  </r>
  <r>
    <s v="A022208"/>
    <n v="19650701"/>
    <n v="4"/>
    <s v="Y"/>
    <s v="N"/>
    <s v="Y"/>
    <s v="Y"/>
    <x v="0"/>
    <s v="West Fork and Below Lake"/>
    <s v="Mendocino (d/s of lake)"/>
    <x v="0"/>
    <n v="1965"/>
    <x v="2"/>
    <x v="1"/>
    <s v="Y"/>
    <s v="N"/>
    <s v="N"/>
    <s v="Y"/>
    <s v="N"/>
    <x v="1"/>
    <s v="N"/>
    <x v="1"/>
    <s v="N"/>
    <n v="0"/>
    <n v="0"/>
    <n v="0"/>
    <n v="0"/>
    <n v="0"/>
    <n v="5.58"/>
    <n v="5"/>
    <n v="2.2400000000000002"/>
    <n v="4.74"/>
    <n v="0.1"/>
    <n v="0"/>
    <n v="0"/>
    <n v="17.660000000000004"/>
    <n v="17.576666666666661"/>
    <n v="5.829980116285071E-2"/>
    <n v="0.31571428571428556"/>
    <m/>
    <m/>
    <n v="56"/>
    <s v="Acre-feet per Year"/>
    <s v="U_4"/>
    <n v="0"/>
    <n v="39.149005520000003"/>
    <n v="-123.18164166"/>
    <s v="RUSSIAN RIVER"/>
  </r>
  <r>
    <s v="A022277"/>
    <n v="19650831"/>
    <n v="1"/>
    <s v="N"/>
    <s v="N"/>
    <s v="Y"/>
    <s v="Y"/>
    <x v="0"/>
    <s v="West Fork and Below Lake"/>
    <s v="Outside"/>
    <x v="0"/>
    <n v="1965"/>
    <x v="2"/>
    <x v="0"/>
    <s v="Y"/>
    <s v="N"/>
    <s v="N"/>
    <s v="Y"/>
    <s v="N"/>
    <x v="1"/>
    <s v="N"/>
    <x v="0"/>
    <s v="N"/>
    <n v="0"/>
    <n v="0"/>
    <n v="0"/>
    <n v="0.16"/>
    <n v="0"/>
    <n v="0"/>
    <n v="0"/>
    <n v="0"/>
    <n v="0"/>
    <n v="0"/>
    <n v="0"/>
    <n v="0"/>
    <n v="0.16"/>
    <n v="0"/>
    <n v="0"/>
    <n v="5.2083333437499997E-3"/>
    <m/>
    <m/>
    <n v="32"/>
    <s v="Acre-feet per Year"/>
    <s v="U_1"/>
    <n v="0"/>
    <n v="39.247745260000002"/>
    <n v="-123.20455443"/>
    <s v="WEST FORK RUSSIAN RIVER"/>
  </r>
  <r>
    <s v="A022306"/>
    <n v="19651006"/>
    <n v="4"/>
    <s v="Y"/>
    <s v="N"/>
    <s v="Y"/>
    <s v="Y"/>
    <x v="0"/>
    <s v="West Fork and Below Lake"/>
    <s v="Mendocino (d/s of lake)"/>
    <x v="0"/>
    <n v="1965"/>
    <x v="2"/>
    <x v="1"/>
    <s v="Y"/>
    <s v="N"/>
    <s v="N"/>
    <s v="Y"/>
    <s v="N"/>
    <x v="1"/>
    <s v="N"/>
    <x v="1"/>
    <s v="N"/>
    <n v="0"/>
    <n v="0"/>
    <n v="0"/>
    <n v="0"/>
    <n v="0.89"/>
    <n v="1.96"/>
    <n v="2.1"/>
    <n v="1.6"/>
    <n v="1.23"/>
    <n v="1.1499999999999999"/>
    <n v="0"/>
    <n v="0"/>
    <n v="8.9300000000000015"/>
    <n v="7.79"/>
    <n v="2.5838542635612013E-2"/>
    <n v="0.20790697674418604"/>
    <m/>
    <m/>
    <n v="43"/>
    <s v="Acre-feet per Year"/>
    <s v="U_4"/>
    <n v="0"/>
    <n v="39.17180544"/>
    <n v="-123.1926794"/>
    <s v="RUSSIAN RIVER"/>
  </r>
  <r>
    <s v="A022342"/>
    <n v="19651123"/>
    <n v="23"/>
    <s v="N"/>
    <s v="N"/>
    <s v="N"/>
    <s v="N"/>
    <x v="1"/>
    <s v="Outside"/>
    <s v="Outside"/>
    <x v="0"/>
    <n v="1965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"/>
    <s v="Acre-feet per Year"/>
    <s v="L_24"/>
    <n v="0"/>
    <n v="38.552"/>
    <n v="-122.5972"/>
    <s v="UNST"/>
  </r>
  <r>
    <s v="A022348"/>
    <n v="19651210"/>
    <n v="21"/>
    <s v="N"/>
    <s v="N"/>
    <s v="N"/>
    <s v="N"/>
    <x v="1"/>
    <s v="Outside"/>
    <s v="Outside"/>
    <x v="0"/>
    <n v="1965"/>
    <x v="2"/>
    <x v="1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.7"/>
    <s v="Acre-feet per Year"/>
    <s v="L_21"/>
    <n v="0"/>
    <n v="38.476187920000001"/>
    <n v="-122.99383357000001"/>
    <s v="RUSSIAN RIVER"/>
  </r>
  <r>
    <s v="A022237"/>
    <n v="19650723"/>
    <n v="15"/>
    <s v="N"/>
    <s v="N"/>
    <s v="N"/>
    <s v="N"/>
    <x v="1"/>
    <s v="Outside"/>
    <s v="Outside"/>
    <x v="0"/>
    <n v="1965"/>
    <x v="2"/>
    <x v="0"/>
    <s v="N"/>
    <s v="N"/>
    <s v="N"/>
    <s v="Y"/>
    <s v="N"/>
    <x v="1"/>
    <s v="N"/>
    <x v="1"/>
    <s v="N"/>
    <n v="1.0229667E-2"/>
    <n v="9.7179999999999992E-3"/>
    <n v="7.1606669999999999E-3"/>
    <n v="3.0690000000000001E-3"/>
    <n v="1.5343329999999999E-3"/>
    <n v="1.02333E-4"/>
    <n v="5.1E-5"/>
    <n v="0"/>
    <n v="0"/>
    <n v="0"/>
    <n v="3.0690000000000001E-3"/>
    <n v="5.1146700000000004E-4"/>
    <n v="3.5445467000000008E-2"/>
    <n v="1.687666E-3"/>
    <n v="5.597795878776994E-6"/>
    <n v="5.7170108064516145E-3"/>
    <m/>
    <m/>
    <n v="6.2"/>
    <s v="Acre-feet per Year"/>
    <s v="L_15"/>
    <n v="0"/>
    <n v="38.684822160000003"/>
    <n v="-122.93578045"/>
    <s v="UNST"/>
  </r>
  <r>
    <s v="A022151"/>
    <n v="19650517"/>
    <n v="16"/>
    <s v="N"/>
    <s v="N"/>
    <s v="N"/>
    <s v="N"/>
    <x v="1"/>
    <s v="Outside"/>
    <s v="Outside"/>
    <x v="0"/>
    <n v="1965"/>
    <x v="2"/>
    <x v="0"/>
    <s v="N"/>
    <s v="N"/>
    <s v="N"/>
    <s v="Y"/>
    <s v="N"/>
    <x v="1"/>
    <s v="N"/>
    <x v="0"/>
    <s v="N"/>
    <n v="5.9666666670000001"/>
    <n v="0.233333333"/>
    <n v="3.1666666669999999"/>
    <n v="0"/>
    <n v="0"/>
    <n v="0"/>
    <n v="0"/>
    <n v="0"/>
    <n v="0"/>
    <n v="0"/>
    <n v="2.0666666669999998"/>
    <n v="8.5333333329999999"/>
    <n v="19.966666666999998"/>
    <n v="0"/>
    <n v="0"/>
    <n v="0.39150326798039214"/>
    <m/>
    <m/>
    <n v="51"/>
    <s v="Acre-feet per Year"/>
    <s v="L_16"/>
    <n v="0"/>
    <n v="38.660971330000002"/>
    <n v="-122.8958909"/>
    <s v="UNST"/>
  </r>
  <r>
    <s v="A022273"/>
    <n v="19650824"/>
    <n v="16"/>
    <s v="N"/>
    <s v="N"/>
    <s v="N"/>
    <s v="N"/>
    <x v="1"/>
    <s v="Outside"/>
    <s v="Outside"/>
    <x v="0"/>
    <n v="1965"/>
    <x v="2"/>
    <x v="0"/>
    <s v="N"/>
    <s v="N"/>
    <s v="N"/>
    <s v="Y"/>
    <s v="N"/>
    <x v="1"/>
    <s v="N"/>
    <x v="0"/>
    <s v="N"/>
    <n v="3.1666666669999999"/>
    <n v="2.6666666669999999"/>
    <n v="0"/>
    <n v="0"/>
    <n v="0"/>
    <n v="0"/>
    <n v="0"/>
    <n v="0"/>
    <n v="0"/>
    <n v="0"/>
    <n v="2"/>
    <n v="2.3333333330000001"/>
    <n v="10.166666666999999"/>
    <n v="0"/>
    <n v="0"/>
    <n v="0.56481481481481499"/>
    <m/>
    <m/>
    <n v="18"/>
    <s v="Acre-feet per Year"/>
    <s v="L_16"/>
    <n v="0"/>
    <n v="38.646468400000003"/>
    <n v="-122.92442208999999"/>
    <s v="UNST"/>
  </r>
  <r>
    <s v="A022090"/>
    <n v="19650326"/>
    <n v="15"/>
    <s v="N"/>
    <s v="N"/>
    <s v="N"/>
    <s v="N"/>
    <x v="1"/>
    <s v="Outside"/>
    <s v="Outside"/>
    <x v="0"/>
    <n v="1965"/>
    <x v="2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"/>
    <s v="Acre-feet per Year"/>
    <s v="L_15"/>
    <n v="0"/>
    <n v="38.64798657"/>
    <n v="-122.94054967"/>
    <s v="UNST"/>
  </r>
  <r>
    <s v="A022141"/>
    <n v="19650507"/>
    <n v="15"/>
    <s v="N"/>
    <s v="N"/>
    <s v="N"/>
    <s v="N"/>
    <x v="1"/>
    <s v="Outside"/>
    <s v="Outside"/>
    <x v="0"/>
    <n v="1965"/>
    <x v="2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2"/>
    <s v="Acre-feet per Year"/>
    <s v="L_15"/>
    <n v="0"/>
    <n v="38.647991589999997"/>
    <n v="-122.94056302"/>
    <s v="UNST"/>
  </r>
  <r>
    <s v="A021596"/>
    <n v="19640114"/>
    <n v="1"/>
    <s v="N"/>
    <s v="N"/>
    <s v="Y"/>
    <s v="Y"/>
    <x v="0"/>
    <s v="West Fork and Below Lake"/>
    <s v="Outside"/>
    <x v="0"/>
    <n v="1964"/>
    <x v="2"/>
    <x v="0"/>
    <s v="Y"/>
    <s v="N"/>
    <s v="N"/>
    <s v="Y"/>
    <s v="N"/>
    <x v="1"/>
    <s v="N"/>
    <x v="1"/>
    <s v="N"/>
    <n v="0"/>
    <n v="0"/>
    <n v="4.6E-5"/>
    <n v="4.6E-5"/>
    <n v="4.6E-5"/>
    <n v="9.2E-5"/>
    <n v="9.2E-5"/>
    <n v="9.2E-5"/>
    <n v="9.2E-5"/>
    <n v="0"/>
    <n v="0"/>
    <n v="0"/>
    <n v="5.0600000000000005E-4"/>
    <n v="4.1400000000000003E-4"/>
    <n v="1.373190840968341E-6"/>
    <n v="1.2650000000000001E-3"/>
    <m/>
    <m/>
    <n v="0.4"/>
    <s v="Acre-feet per Year"/>
    <s v="U_1"/>
    <n v="0"/>
    <n v="39.259827710000003"/>
    <n v="-123.23089821000001"/>
    <s v="FORSYTHE CREEK"/>
  </r>
  <r>
    <s v="A021658"/>
    <n v="19640228"/>
    <n v="18"/>
    <s v="N"/>
    <s v="N"/>
    <s v="N"/>
    <s v="N"/>
    <x v="1"/>
    <s v="Outside"/>
    <s v="Outside"/>
    <x v="0"/>
    <n v="1964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80"/>
    <s v="Acre-feet per Year"/>
    <s v="L_18"/>
    <n v="0"/>
    <n v="38.448021439999998"/>
    <n v="-122.91277838000001"/>
    <s v="UNST"/>
  </r>
  <r>
    <s v="A021660"/>
    <n v="19640228"/>
    <n v="17"/>
    <s v="N"/>
    <s v="N"/>
    <s v="N"/>
    <s v="N"/>
    <x v="1"/>
    <s v="Outside"/>
    <s v="Outside"/>
    <x v="0"/>
    <n v="1964"/>
    <x v="2"/>
    <x v="1"/>
    <s v="N"/>
    <s v="N"/>
    <s v="N"/>
    <s v="Y"/>
    <s v="N"/>
    <x v="1"/>
    <s v="N"/>
    <x v="1"/>
    <s v="N"/>
    <n v="0"/>
    <n v="0"/>
    <n v="6.6666670000000003E-3"/>
    <n v="3.333333E-3"/>
    <n v="0.141323"/>
    <n v="1.3359376670000001"/>
    <n v="3.4807586669999999"/>
    <n v="2.3811640000000001"/>
    <n v="1.3863603330000001"/>
    <n v="1.4730369999999999"/>
    <n v="0.27666666699999998"/>
    <n v="0"/>
    <n v="10.485247334"/>
    <n v="8.7255436670000002"/>
    <n v="2.8941634410612826E-2"/>
    <n v="0.12944749795061727"/>
    <m/>
    <m/>
    <n v="81"/>
    <s v="Acre-feet per Year"/>
    <s v="L_17"/>
    <n v="0"/>
    <n v="38.564296749999997"/>
    <n v="-122.86145045000001"/>
    <s v="RUSSIAN RIVER UNDERFLOW"/>
  </r>
  <r>
    <s v="A021666"/>
    <n v="19640302"/>
    <n v="11"/>
    <s v="N"/>
    <s v="Y"/>
    <s v="Y"/>
    <s v="Y"/>
    <x v="0"/>
    <s v="West Fork and Below Lake"/>
    <s v="Sonoma (d/s of Clov. Gage)"/>
    <x v="0"/>
    <n v="1964"/>
    <x v="2"/>
    <x v="0"/>
    <s v="Y"/>
    <s v="N"/>
    <s v="N"/>
    <s v="Y"/>
    <s v="N"/>
    <x v="1"/>
    <s v="N"/>
    <x v="0"/>
    <s v="N"/>
    <n v="4.13"/>
    <n v="0"/>
    <n v="0"/>
    <n v="0"/>
    <n v="0"/>
    <n v="0"/>
    <n v="0"/>
    <n v="0"/>
    <n v="0"/>
    <n v="0"/>
    <n v="5.3"/>
    <n v="8.6300000000000008"/>
    <n v="18.060000000000002"/>
    <n v="0"/>
    <n v="0"/>
    <n v="0.44065040648780485"/>
    <m/>
    <m/>
    <n v="41"/>
    <s v="Acre-feet per Year"/>
    <s v="U_11"/>
    <n v="0"/>
    <n v="38.657547000000001"/>
    <n v="-122.71653831"/>
    <s v="UNST"/>
  </r>
  <r>
    <s v="A021674"/>
    <n v="19640305"/>
    <n v="12"/>
    <s v="N"/>
    <s v="Y"/>
    <s v="Y"/>
    <s v="Y"/>
    <x v="0"/>
    <s v="West Fork and Below Lake"/>
    <s v="Sonoma (d/s of Clov. Gage)"/>
    <x v="0"/>
    <n v="1964"/>
    <x v="2"/>
    <x v="0"/>
    <s v="Y"/>
    <s v="N"/>
    <s v="N"/>
    <s v="Y"/>
    <s v="N"/>
    <x v="1"/>
    <s v="N"/>
    <x v="1"/>
    <s v="N"/>
    <n v="0"/>
    <n v="0"/>
    <n v="0"/>
    <n v="0"/>
    <n v="0.43"/>
    <n v="0.63"/>
    <n v="0.83"/>
    <n v="0"/>
    <n v="0"/>
    <n v="0"/>
    <n v="0"/>
    <n v="0"/>
    <n v="1.8900000000000001"/>
    <n v="1.8999999990000003"/>
    <n v="6.3020835663445823E-3"/>
    <n v="6.3973063939393948E-2"/>
    <m/>
    <m/>
    <n v="29.7"/>
    <s v="Acre-feet per Year"/>
    <s v="U_12"/>
    <n v="0"/>
    <n v="38.626169930000003"/>
    <n v="-122.77083196"/>
    <s v="MAACAMA CREEK"/>
  </r>
  <r>
    <s v="A021691"/>
    <n v="19640316"/>
    <n v="23"/>
    <s v="N"/>
    <s v="N"/>
    <s v="N"/>
    <s v="N"/>
    <x v="1"/>
    <s v="Outside"/>
    <s v="Outside"/>
    <x v="0"/>
    <n v="1964"/>
    <x v="2"/>
    <x v="0"/>
    <s v="N"/>
    <s v="N"/>
    <s v="N"/>
    <s v="Y"/>
    <s v="N"/>
    <x v="1"/>
    <s v="N"/>
    <x v="0"/>
    <s v="N"/>
    <n v="2"/>
    <n v="1"/>
    <n v="0"/>
    <n v="0"/>
    <n v="0"/>
    <n v="0"/>
    <n v="0"/>
    <n v="0"/>
    <n v="0"/>
    <n v="2"/>
    <n v="3"/>
    <n v="5.5"/>
    <n v="13.5"/>
    <n v="0"/>
    <n v="0"/>
    <n v="1"/>
    <m/>
    <m/>
    <n v="13.5"/>
    <s v="Acre-feet per Year"/>
    <s v="L_23"/>
    <n v="0"/>
    <n v="38.562292460000002"/>
    <n v="-122.79602324"/>
    <s v="UNST"/>
  </r>
  <r>
    <s v="A021710"/>
    <n v="19640320"/>
    <n v="8"/>
    <s v="N"/>
    <s v="Y"/>
    <s v="Y"/>
    <s v="Y"/>
    <x v="0"/>
    <s v="West Fork and Below Lake"/>
    <s v="Sonoma (d/s of Clov. Gage)"/>
    <x v="0"/>
    <n v="1964"/>
    <x v="2"/>
    <x v="0"/>
    <s v="Y"/>
    <s v="N"/>
    <s v="N"/>
    <s v="Y"/>
    <s v="N"/>
    <x v="1"/>
    <s v="N"/>
    <x v="0"/>
    <s v="N"/>
    <n v="6"/>
    <n v="6.66"/>
    <n v="4.66"/>
    <n v="3"/>
    <n v="0"/>
    <n v="0"/>
    <n v="0"/>
    <n v="0"/>
    <n v="0"/>
    <n v="1.66"/>
    <n v="5"/>
    <n v="16"/>
    <n v="42.980000000000004"/>
    <n v="0"/>
    <n v="0"/>
    <n v="1.0000000000232558"/>
    <m/>
    <m/>
    <n v="43"/>
    <s v="Acre-feet per Year"/>
    <s v="U_8"/>
    <n v="0"/>
    <n v="38.775565319999998"/>
    <n v="-122.92013473999999"/>
    <s v="UNST"/>
  </r>
  <r>
    <s v="A021711"/>
    <n v="19640320"/>
    <n v="8"/>
    <s v="N"/>
    <s v="Y"/>
    <s v="Y"/>
    <s v="Y"/>
    <x v="0"/>
    <s v="West Fork and Below Lake"/>
    <s v="Sonoma (d/s of Clov. Gage)"/>
    <x v="0"/>
    <n v="1964"/>
    <x v="2"/>
    <x v="0"/>
    <s v="Y"/>
    <s v="N"/>
    <s v="N"/>
    <s v="Y"/>
    <s v="N"/>
    <x v="1"/>
    <s v="N"/>
    <x v="1"/>
    <s v="N"/>
    <n v="0"/>
    <n v="0"/>
    <n v="0"/>
    <n v="0"/>
    <n v="0"/>
    <n v="0"/>
    <n v="1.66"/>
    <n v="3.33"/>
    <n v="3.33"/>
    <n v="0"/>
    <n v="0"/>
    <n v="0"/>
    <n v="8.32"/>
    <n v="8.3333333330000006"/>
    <n v="2.7640717409690284E-2"/>
    <n v="0.31446540879245283"/>
    <m/>
    <m/>
    <n v="26.5"/>
    <s v="Acre-feet per Year"/>
    <s v="U_8"/>
    <n v="3.4039024194010059E-4"/>
    <n v="38.775148100000003"/>
    <n v="-122.90329118"/>
    <s v="LITTLE SULPHUR CREEK"/>
  </r>
  <r>
    <s v="A021756"/>
    <n v="19640427"/>
    <n v="9"/>
    <s v="N"/>
    <s v="Y"/>
    <s v="Y"/>
    <s v="Y"/>
    <x v="0"/>
    <s v="West Fork and Below Lake"/>
    <s v="Sonoma (d/s of Clov. Gage)"/>
    <x v="0"/>
    <n v="1964"/>
    <x v="2"/>
    <x v="1"/>
    <s v="Y"/>
    <s v="N"/>
    <s v="N"/>
    <s v="Y"/>
    <s v="N"/>
    <x v="1"/>
    <s v="N"/>
    <x v="1"/>
    <s v="N"/>
    <n v="0"/>
    <n v="0"/>
    <n v="0"/>
    <n v="0.23"/>
    <n v="2.4"/>
    <n v="3.43"/>
    <n v="4.66"/>
    <n v="4.43"/>
    <n v="4.9000000000000004"/>
    <n v="1.03"/>
    <n v="0"/>
    <n v="0"/>
    <n v="21.080000000000002"/>
    <n v="19.833333333333329"/>
    <n v="6.5784907437694246E-2"/>
    <n v="0.30142857142857132"/>
    <m/>
    <m/>
    <n v="70"/>
    <s v="Acre-feet per Year"/>
    <s v="U_9"/>
    <n v="3.4039024194010059E-4"/>
    <n v="38.714199999999998"/>
    <n v="-122.90940000000001"/>
    <s v="RUSSIAN RIVER UNDERFLOW"/>
  </r>
  <r>
    <s v="A021783A"/>
    <n v="19640522"/>
    <n v="12"/>
    <s v="N"/>
    <s v="Y"/>
    <s v="Y"/>
    <s v="Y"/>
    <x v="0"/>
    <s v="West Fork and Below Lake"/>
    <s v="Sonoma (d/s of Clov. Gage)"/>
    <x v="0"/>
    <n v="1964"/>
    <x v="2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6"/>
    <s v="Acre-feet per Year"/>
    <s v="U_12"/>
    <n v="0"/>
    <n v="38.609974280000003"/>
    <n v="-122.76995693000001"/>
    <s v="FRANZ CREEK"/>
  </r>
  <r>
    <s v="A021783B"/>
    <n v="19640522"/>
    <n v="12"/>
    <s v="N"/>
    <s v="Y"/>
    <s v="Y"/>
    <s v="Y"/>
    <x v="0"/>
    <s v="West Fork and Below Lake"/>
    <s v="Sonoma (d/s of Clov. Gage)"/>
    <x v="0"/>
    <n v="1964"/>
    <x v="2"/>
    <x v="0"/>
    <s v="Y"/>
    <s v="N"/>
    <s v="N"/>
    <s v="Y"/>
    <s v="N"/>
    <x v="1"/>
    <s v="N"/>
    <x v="1"/>
    <s v="N"/>
    <n v="0"/>
    <n v="0"/>
    <n v="0"/>
    <n v="0"/>
    <n v="0.16"/>
    <n v="0.33"/>
    <n v="0.73"/>
    <n v="0.5"/>
    <n v="0.23"/>
    <n v="1.1599999999999999"/>
    <n v="0"/>
    <n v="0"/>
    <n v="3.11"/>
    <n v="1.9666666660000001"/>
    <n v="6.5232093067365765E-3"/>
    <n v="7.4603174595238103E-2"/>
    <m/>
    <m/>
    <n v="42"/>
    <s v="Acre-feet per Year"/>
    <s v="U_12"/>
    <n v="0"/>
    <n v="38.611114180000001"/>
    <n v="-122.76366951"/>
    <s v="FRANZ CREEK"/>
  </r>
  <r>
    <s v="A021809"/>
    <n v="19640610"/>
    <n v="1"/>
    <s v="N"/>
    <s v="N"/>
    <s v="Y"/>
    <s v="Y"/>
    <x v="0"/>
    <s v="West Fork and Below Lake"/>
    <s v="Outside"/>
    <x v="0"/>
    <n v="1964"/>
    <x v="2"/>
    <x v="0"/>
    <s v="Y"/>
    <s v="N"/>
    <s v="N"/>
    <s v="Y"/>
    <s v="N"/>
    <x v="1"/>
    <s v="N"/>
    <x v="1"/>
    <s v="N"/>
    <n v="0"/>
    <n v="1"/>
    <n v="5.48"/>
    <n v="6.53"/>
    <n v="2.66"/>
    <n v="1.83"/>
    <n v="2.33"/>
    <n v="1"/>
    <n v="1"/>
    <n v="0"/>
    <n v="0"/>
    <n v="0"/>
    <n v="21.83"/>
    <n v="8.8333333330000006"/>
    <n v="2.9299160454338034E-2"/>
    <n v="0.94617604619047613"/>
    <m/>
    <m/>
    <n v="23.1"/>
    <s v="Acre-feet per Year"/>
    <s v="U_1"/>
    <n v="0"/>
    <n v="39.265250160000001"/>
    <n v="-123.184365"/>
    <s v="UNCR"/>
  </r>
  <r>
    <s v="A021817"/>
    <n v="19640616"/>
    <n v="23"/>
    <s v="N"/>
    <s v="N"/>
    <s v="N"/>
    <s v="N"/>
    <x v="1"/>
    <s v="Outside"/>
    <s v="Outside"/>
    <x v="0"/>
    <n v="1964"/>
    <x v="2"/>
    <x v="0"/>
    <s v="N"/>
    <s v="N"/>
    <s v="N"/>
    <s v="Y"/>
    <s v="N"/>
    <x v="1"/>
    <s v="N"/>
    <x v="0"/>
    <s v="N"/>
    <n v="1.5333333330000001"/>
    <n v="0"/>
    <n v="0"/>
    <n v="0"/>
    <n v="0"/>
    <n v="0"/>
    <n v="0"/>
    <n v="0"/>
    <n v="0"/>
    <n v="0"/>
    <n v="0"/>
    <n v="0"/>
    <n v="1.5333333330000001"/>
    <n v="0"/>
    <n v="0"/>
    <n v="0.16487455193548387"/>
    <m/>
    <m/>
    <n v="9.3000000000000007"/>
    <s v="Acre-feet per Year"/>
    <s v="L_27"/>
    <n v="0"/>
    <n v="38.380400000000002"/>
    <n v="-122.6455"/>
    <s v="UNST"/>
  </r>
  <r>
    <s v="A021838"/>
    <n v="19640708"/>
    <n v="4"/>
    <s v="Y"/>
    <s v="N"/>
    <s v="Y"/>
    <s v="Y"/>
    <x v="0"/>
    <s v="West Fork and Below Lake"/>
    <s v="Mendocino (d/s of lake)"/>
    <x v="0"/>
    <n v="1964"/>
    <x v="2"/>
    <x v="1"/>
    <s v="Y"/>
    <s v="N"/>
    <s v="N"/>
    <s v="Y"/>
    <s v="N"/>
    <x v="1"/>
    <s v="N"/>
    <x v="1"/>
    <s v="N"/>
    <n v="0"/>
    <n v="0"/>
    <n v="0"/>
    <n v="0"/>
    <n v="0.83"/>
    <n v="3.6"/>
    <n v="4.5599999999999996"/>
    <n v="3.5"/>
    <n v="2.46"/>
    <n v="0"/>
    <n v="0"/>
    <n v="0"/>
    <n v="14.95"/>
    <n v="14.966666666666674"/>
    <n v="4.9642728469789475E-2"/>
    <n v="0.43507751937984518"/>
    <m/>
    <m/>
    <n v="34.4"/>
    <s v="Acre-feet per Year"/>
    <s v="U_4"/>
    <n v="0"/>
    <n v="39.132292380000003"/>
    <n v="-123.18989877999999"/>
    <s v="RUSSIAN RIVER"/>
  </r>
  <r>
    <s v="A021870"/>
    <n v="19640817"/>
    <n v="4"/>
    <s v="Y"/>
    <s v="N"/>
    <s v="Y"/>
    <s v="Y"/>
    <x v="0"/>
    <s v="West Fork and Below Lake"/>
    <s v="Mendocino (d/s of lake)"/>
    <x v="0"/>
    <n v="1964"/>
    <x v="2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89"/>
    <s v="Acre-feet per Year"/>
    <s v="U_4"/>
    <n v="0"/>
    <n v="39.18957503"/>
    <n v="-123.20038887"/>
    <s v="RUSSIAN RIVER"/>
  </r>
  <r>
    <s v="A021889"/>
    <n v="19640831"/>
    <n v="10"/>
    <s v="N"/>
    <s v="Y"/>
    <s v="Y"/>
    <s v="Y"/>
    <x v="0"/>
    <s v="West Fork and Below Lake"/>
    <s v="Sonoma (d/s of Clov. Gage)"/>
    <x v="0"/>
    <n v="1964"/>
    <x v="2"/>
    <x v="0"/>
    <s v="Y"/>
    <s v="N"/>
    <s v="N"/>
    <s v="Y"/>
    <s v="N"/>
    <x v="1"/>
    <s v="N"/>
    <x v="1"/>
    <s v="N"/>
    <n v="0"/>
    <n v="0"/>
    <n v="0"/>
    <n v="0"/>
    <n v="2"/>
    <n v="2"/>
    <n v="2"/>
    <n v="2"/>
    <n v="2"/>
    <n v="2"/>
    <n v="0"/>
    <n v="0"/>
    <n v="12"/>
    <n v="10"/>
    <n v="3.3168860892955086E-2"/>
    <n v="1"/>
    <m/>
    <m/>
    <n v="12"/>
    <s v="Acre-feet per Year"/>
    <s v="U_10"/>
    <n v="0"/>
    <n v="38.699933719999997"/>
    <n v="-122.82594563000001"/>
    <s v="UNST"/>
  </r>
  <r>
    <s v="A021919"/>
    <n v="19640930"/>
    <n v="18"/>
    <s v="N"/>
    <s v="N"/>
    <s v="N"/>
    <s v="N"/>
    <x v="1"/>
    <s v="Outside"/>
    <s v="Outside"/>
    <x v="0"/>
    <n v="1964"/>
    <x v="2"/>
    <x v="0"/>
    <s v="N"/>
    <s v="N"/>
    <s v="N"/>
    <s v="Y"/>
    <s v="N"/>
    <x v="1"/>
    <s v="N"/>
    <x v="0"/>
    <s v="N"/>
    <n v="0"/>
    <n v="0"/>
    <n v="2"/>
    <n v="4"/>
    <n v="0"/>
    <n v="0"/>
    <n v="0"/>
    <n v="0"/>
    <n v="0"/>
    <n v="0"/>
    <n v="0"/>
    <n v="0"/>
    <n v="6"/>
    <n v="0"/>
    <n v="0"/>
    <n v="0.13333333333333333"/>
    <m/>
    <m/>
    <n v="45"/>
    <s v="Acre-feet per Year"/>
    <s v="L_18"/>
    <n v="0"/>
    <n v="38.436947089999997"/>
    <n v="-122.92415879000001"/>
    <s v="UNST"/>
  </r>
  <r>
    <s v="A021925"/>
    <n v="19641008"/>
    <n v="12"/>
    <s v="N"/>
    <s v="Y"/>
    <s v="Y"/>
    <s v="Y"/>
    <x v="0"/>
    <s v="West Fork and Below Lake"/>
    <s v="Sonoma (d/s of Clov. Gage)"/>
    <x v="0"/>
    <n v="1964"/>
    <x v="2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2"/>
    <s v="Acre-feet per Year"/>
    <s v="U_12"/>
    <n v="3.4039024194010059E-4"/>
    <n v="38.596426180000002"/>
    <n v="-122.78380724"/>
    <s v="UNCR"/>
  </r>
  <r>
    <s v="A021927"/>
    <n v="19641008"/>
    <n v="6"/>
    <s v="Y"/>
    <s v="N"/>
    <s v="Y"/>
    <s v="Y"/>
    <x v="0"/>
    <s v="West Fork and Below Lake"/>
    <s v="Mendocino (d/s of lake)"/>
    <x v="0"/>
    <n v="1964"/>
    <x v="2"/>
    <x v="1"/>
    <s v="Y"/>
    <s v="N"/>
    <s v="N"/>
    <s v="Y"/>
    <s v="N"/>
    <x v="1"/>
    <s v="N"/>
    <x v="1"/>
    <s v="N"/>
    <n v="0"/>
    <n v="0"/>
    <n v="0"/>
    <n v="0"/>
    <n v="0"/>
    <n v="0"/>
    <n v="4.93"/>
    <n v="6.83"/>
    <n v="0"/>
    <n v="0"/>
    <n v="0"/>
    <n v="0"/>
    <n v="11.76"/>
    <n v="11.76666666666666"/>
    <n v="3.9028692984043802E-2"/>
    <n v="0.28015873015873"/>
    <m/>
    <m/>
    <n v="42"/>
    <s v="Acre-feet per Year"/>
    <s v="U_6"/>
    <n v="0"/>
    <n v="38.999699999999997"/>
    <n v="-123.1092"/>
    <s v="RUSSIAN RIVER"/>
  </r>
  <r>
    <s v="A021928"/>
    <n v="19641008"/>
    <n v="6"/>
    <s v="Y"/>
    <s v="N"/>
    <s v="Y"/>
    <s v="Y"/>
    <x v="0"/>
    <s v="West Fork and Below Lake"/>
    <s v="Mendocino (d/s of lake)"/>
    <x v="0"/>
    <n v="1964"/>
    <x v="2"/>
    <x v="1"/>
    <s v="Y"/>
    <s v="N"/>
    <s v="N"/>
    <s v="Y"/>
    <s v="N"/>
    <x v="1"/>
    <s v="N"/>
    <x v="1"/>
    <s v="N"/>
    <n v="0"/>
    <n v="0"/>
    <n v="0"/>
    <n v="0"/>
    <n v="0"/>
    <n v="0.23"/>
    <n v="1.3"/>
    <n v="1.36"/>
    <n v="0"/>
    <n v="0"/>
    <n v="0"/>
    <n v="0"/>
    <n v="2.89"/>
    <n v="2.900000000000003"/>
    <n v="9.6189696589569877E-3"/>
    <n v="1.8471337579617855E-2"/>
    <m/>
    <m/>
    <n v="157"/>
    <s v="Acre-feet per Year"/>
    <s v="U_6"/>
    <n v="0"/>
    <n v="38.990596629999999"/>
    <n v="-123.10659378"/>
    <s v="RUSSIAN RIVER"/>
  </r>
  <r>
    <s v="A021929"/>
    <n v="19641008"/>
    <n v="6"/>
    <s v="Y"/>
    <s v="N"/>
    <s v="Y"/>
    <s v="Y"/>
    <x v="0"/>
    <s v="West Fork and Below Lake"/>
    <s v="Mendocino (d/s of lake)"/>
    <x v="0"/>
    <n v="1964"/>
    <x v="2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1"/>
    <s v="Acre-feet per Year"/>
    <s v="U_6"/>
    <n v="0"/>
    <n v="38.979631240000003"/>
    <n v="-123.10466384999999"/>
    <s v="RUSSIAN RIVER"/>
  </r>
  <r>
    <s v="A021930"/>
    <n v="19641008"/>
    <n v="6"/>
    <s v="Y"/>
    <s v="N"/>
    <s v="Y"/>
    <s v="Y"/>
    <x v="0"/>
    <s v="West Fork and Below Lake"/>
    <s v="Mendocino (d/s of lake)"/>
    <x v="0"/>
    <n v="1964"/>
    <x v="2"/>
    <x v="1"/>
    <s v="Y"/>
    <s v="N"/>
    <s v="N"/>
    <s v="Y"/>
    <s v="N"/>
    <x v="1"/>
    <s v="N"/>
    <x v="1"/>
    <s v="N"/>
    <n v="0"/>
    <n v="0"/>
    <n v="0"/>
    <n v="0"/>
    <n v="0"/>
    <n v="0"/>
    <n v="6.13"/>
    <n v="0"/>
    <n v="0"/>
    <n v="0"/>
    <n v="0"/>
    <n v="0"/>
    <n v="6.13"/>
    <n v="6.1333333333333302"/>
    <n v="2.0343568014345777E-2"/>
    <n v="0.18039215686274501"/>
    <m/>
    <m/>
    <n v="34"/>
    <s v="Acre-feet per Year"/>
    <s v="U_6"/>
    <n v="0"/>
    <n v="38.976095100000002"/>
    <n v="-123.10573033"/>
    <s v="RUSSIAN RIVER"/>
  </r>
  <r>
    <s v="A021931"/>
    <n v="19641008"/>
    <n v="6"/>
    <s v="Y"/>
    <s v="N"/>
    <s v="Y"/>
    <s v="Y"/>
    <x v="0"/>
    <s v="West Fork and Below Lake"/>
    <s v="Mendocino (d/s of lake)"/>
    <x v="0"/>
    <n v="1964"/>
    <x v="2"/>
    <x v="1"/>
    <s v="Y"/>
    <s v="N"/>
    <s v="N"/>
    <s v="Y"/>
    <s v="N"/>
    <x v="1"/>
    <s v="N"/>
    <x v="1"/>
    <s v="N"/>
    <n v="0"/>
    <n v="0"/>
    <n v="0"/>
    <n v="0"/>
    <n v="0"/>
    <n v="0.43"/>
    <n v="5.76"/>
    <n v="9.56"/>
    <n v="1.26"/>
    <n v="1.2"/>
    <n v="0"/>
    <n v="0"/>
    <n v="18.21"/>
    <n v="17.033333333333342"/>
    <n v="5.6497626387666866E-2"/>
    <n v="0.37210884353741513"/>
    <m/>
    <m/>
    <n v="49"/>
    <s v="Acre-feet per Year"/>
    <s v="U_6"/>
    <n v="0"/>
    <n v="38.972477069999997"/>
    <n v="-123.10717158999999"/>
    <s v="RUSSIAN RIVER"/>
  </r>
  <r>
    <s v="A021932"/>
    <n v="19641008"/>
    <n v="6"/>
    <s v="Y"/>
    <s v="N"/>
    <s v="Y"/>
    <s v="Y"/>
    <x v="0"/>
    <s v="West Fork and Below Lake"/>
    <s v="Mendocino (d/s of lake)"/>
    <x v="0"/>
    <n v="1964"/>
    <x v="2"/>
    <x v="1"/>
    <s v="Y"/>
    <s v="N"/>
    <s v="N"/>
    <s v="Y"/>
    <s v="N"/>
    <x v="1"/>
    <s v="N"/>
    <x v="1"/>
    <s v="N"/>
    <n v="0"/>
    <n v="0"/>
    <n v="0"/>
    <n v="1"/>
    <n v="2"/>
    <n v="2"/>
    <n v="2"/>
    <n v="2"/>
    <n v="2"/>
    <n v="1"/>
    <n v="0"/>
    <n v="0"/>
    <n v="12"/>
    <n v="10"/>
    <n v="3.3168860892955086E-2"/>
    <n v="1"/>
    <m/>
    <m/>
    <n v="12"/>
    <s v="Acre-feet per Year"/>
    <s v="U_6"/>
    <n v="3.4039024194010059E-4"/>
    <n v="38.972488749999997"/>
    <n v="-123.10719363"/>
    <s v="RUSSIAN RIVER"/>
  </r>
  <r>
    <s v="A021939"/>
    <n v="19641015"/>
    <n v="4"/>
    <s v="Y"/>
    <s v="N"/>
    <s v="Y"/>
    <s v="Y"/>
    <x v="0"/>
    <s v="West Fork and Below Lake"/>
    <s v="Mendocino (d/s of lake)"/>
    <x v="0"/>
    <n v="1964"/>
    <x v="2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3"/>
    <s v="Acre-feet per Year"/>
    <s v="U_4"/>
    <n v="3.4039024194010059E-4"/>
    <n v="39.160452419999999"/>
    <n v="-123.08984847000001"/>
    <s v="MAYACMAS SPRING"/>
  </r>
  <r>
    <s v="A021941"/>
    <n v="19641015"/>
    <n v="6"/>
    <s v="Y"/>
    <s v="N"/>
    <s v="Y"/>
    <s v="Y"/>
    <x v="0"/>
    <s v="West Fork and Below Lake"/>
    <s v="Mendocino (d/s of lake)"/>
    <x v="0"/>
    <n v="1964"/>
    <x v="2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4"/>
    <s v="Acre-feet per Year"/>
    <s v="U_6"/>
    <n v="3.4039024194010059E-4"/>
    <n v="38.9463832"/>
    <n v="-122.98458719"/>
    <s v="SHELDON SPRING"/>
  </r>
  <r>
    <s v="A021950"/>
    <n v="19641029"/>
    <n v="1"/>
    <s v="N"/>
    <s v="N"/>
    <s v="Y"/>
    <s v="Y"/>
    <x v="0"/>
    <s v="West Fork and Below Lake"/>
    <s v="Outside"/>
    <x v="0"/>
    <n v="1964"/>
    <x v="2"/>
    <x v="0"/>
    <s v="Y"/>
    <s v="N"/>
    <s v="N"/>
    <s v="Y"/>
    <s v="N"/>
    <x v="1"/>
    <s v="N"/>
    <x v="1"/>
    <s v="N"/>
    <n v="7.33"/>
    <n v="6"/>
    <n v="5.66"/>
    <n v="3.66"/>
    <n v="3.33"/>
    <n v="0"/>
    <n v="0"/>
    <n v="0"/>
    <n v="0"/>
    <n v="0"/>
    <n v="0"/>
    <n v="1.33"/>
    <n v="27.310000000000002"/>
    <n v="3.3333333330000001"/>
    <n v="1.1056286963212734E-2"/>
    <n v="0.94252873562068962"/>
    <m/>
    <m/>
    <n v="29"/>
    <s v="Acre-feet per Year"/>
    <s v="U_1"/>
    <n v="0"/>
    <n v="39.287367799999998"/>
    <n v="-123.18979945"/>
    <s v="UNST"/>
  </r>
  <r>
    <s v="A021966"/>
    <n v="19641119"/>
    <n v="1"/>
    <s v="N"/>
    <s v="N"/>
    <s v="Y"/>
    <s v="Y"/>
    <x v="0"/>
    <s v="West Fork and Below Lake"/>
    <s v="Outside"/>
    <x v="0"/>
    <n v="1964"/>
    <x v="2"/>
    <x v="0"/>
    <s v="Y"/>
    <s v="N"/>
    <s v="N"/>
    <s v="Y"/>
    <s v="N"/>
    <x v="1"/>
    <s v="N"/>
    <x v="0"/>
    <s v="N"/>
    <n v="1.2"/>
    <n v="0"/>
    <n v="0"/>
    <n v="0"/>
    <n v="0"/>
    <n v="0"/>
    <n v="0"/>
    <n v="0"/>
    <n v="0"/>
    <n v="0"/>
    <n v="0.48"/>
    <n v="0.61"/>
    <n v="2.29"/>
    <n v="0"/>
    <n v="0"/>
    <n v="0.26744186046511625"/>
    <m/>
    <m/>
    <n v="8.6"/>
    <s v="Acre-feet per Year"/>
    <s v="U_1"/>
    <n v="0"/>
    <n v="39.237395390000003"/>
    <n v="-123.20967472"/>
    <s v="UNST"/>
  </r>
  <r>
    <s v="A021977"/>
    <n v="19641125"/>
    <n v="21"/>
    <s v="N"/>
    <s v="N"/>
    <s v="N"/>
    <s v="N"/>
    <x v="1"/>
    <s v="Outside"/>
    <s v="Outside"/>
    <x v="0"/>
    <n v="1964"/>
    <x v="2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.5"/>
    <s v="Acre-feet per Year"/>
    <s v="L_21"/>
    <n v="0"/>
    <n v="38.451071980000002"/>
    <n v="-123.09894615"/>
    <s v="SAWMILL GULCH"/>
  </r>
  <r>
    <s v="A022005B"/>
    <n v="19641217"/>
    <n v="4"/>
    <s v="Y"/>
    <s v="N"/>
    <s v="Y"/>
    <s v="Y"/>
    <x v="0"/>
    <s v="West Fork and Below Lake"/>
    <s v="Mendocino (d/s of lake)"/>
    <x v="0"/>
    <n v="1964"/>
    <x v="2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.1"/>
    <s v="Acre-feet per Year"/>
    <s v="U_4"/>
    <n v="0"/>
    <n v="39.187255880000002"/>
    <n v="-123.19893815"/>
    <s v="RUSSIAN RIVER"/>
  </r>
  <r>
    <s v="A021886"/>
    <n v="19640828"/>
    <n v="15"/>
    <s v="N"/>
    <s v="N"/>
    <s v="N"/>
    <s v="N"/>
    <x v="1"/>
    <s v="Outside"/>
    <s v="Outside"/>
    <x v="0"/>
    <n v="1964"/>
    <x v="2"/>
    <x v="0"/>
    <s v="N"/>
    <s v="N"/>
    <s v="N"/>
    <s v="Y"/>
    <s v="N"/>
    <x v="1"/>
    <s v="N"/>
    <x v="1"/>
    <s v="N"/>
    <n v="0.28333333300000002"/>
    <n v="0.33333333300000001"/>
    <n v="0.21666666700000001"/>
    <n v="7.3333333000000001E-2"/>
    <n v="8.3333332999999996E-2"/>
    <n v="0"/>
    <n v="0"/>
    <n v="0"/>
    <n v="0"/>
    <n v="0"/>
    <n v="0.15"/>
    <n v="0.25"/>
    <n v="1.389999999"/>
    <n v="8.3333332999999996E-2"/>
    <n v="2.764071730023304E-4"/>
    <n v="0.18533333320000001"/>
    <m/>
    <m/>
    <n v="7.5"/>
    <s v="Acre-feet per Year"/>
    <s v="L_15"/>
    <n v="0"/>
    <n v="38.662393829999999"/>
    <n v="-122.92462858"/>
    <s v="UNST"/>
  </r>
  <r>
    <s v="A021360"/>
    <n v="19630625"/>
    <n v="16"/>
    <s v="N"/>
    <s v="N"/>
    <s v="N"/>
    <s v="N"/>
    <x v="1"/>
    <s v="Outside"/>
    <s v="Outside"/>
    <x v="0"/>
    <n v="1963"/>
    <x v="2"/>
    <x v="0"/>
    <s v="N"/>
    <s v="N"/>
    <s v="N"/>
    <s v="Y"/>
    <s v="N"/>
    <x v="1"/>
    <s v="N"/>
    <x v="1"/>
    <s v="N"/>
    <n v="0"/>
    <n v="0"/>
    <n v="0"/>
    <n v="0"/>
    <n v="0.28666666699999999"/>
    <n v="0.67333333299999998"/>
    <n v="0.81666666700000001"/>
    <n v="0.55000000000000004"/>
    <n v="0.29933333299999998"/>
    <n v="0"/>
    <n v="0"/>
    <n v="0"/>
    <n v="2.6259999999999999"/>
    <n v="2.6259999999999999"/>
    <n v="8.710142870490007E-3"/>
    <n v="0.10099999999999999"/>
    <m/>
    <m/>
    <n v="26"/>
    <s v="Acre-feet per Year"/>
    <s v="L_16"/>
    <n v="0"/>
    <n v="38.643550410000003"/>
    <n v="-122.91142873"/>
    <s v="DRY CREEK"/>
  </r>
  <r>
    <s v="A021191"/>
    <n v="19630313"/>
    <n v="16"/>
    <s v="N"/>
    <s v="N"/>
    <s v="N"/>
    <s v="N"/>
    <x v="1"/>
    <s v="Outside"/>
    <s v="Outside"/>
    <x v="0"/>
    <n v="1963"/>
    <x v="2"/>
    <x v="0"/>
    <s v="N"/>
    <s v="N"/>
    <s v="N"/>
    <s v="Y"/>
    <s v="N"/>
    <x v="1"/>
    <s v="N"/>
    <x v="1"/>
    <s v="N"/>
    <n v="0.41599999999999998"/>
    <n v="0.41599999999999998"/>
    <n v="0.41599999999999998"/>
    <n v="0.41599999999999998"/>
    <n v="0.41699999999999998"/>
    <n v="0.41699999999999998"/>
    <n v="0.41699999999999998"/>
    <n v="0.41699999999999998"/>
    <n v="0.41699999999999998"/>
    <n v="0.41699999999999998"/>
    <n v="0.41699999999999998"/>
    <n v="0.41699999999999998"/>
    <n v="4.9999999999999991"/>
    <n v="2.085"/>
    <n v="6.9157074961811362E-3"/>
    <n v="0.99999999999999978"/>
    <m/>
    <m/>
    <n v="5"/>
    <s v="Acre-feet per Year"/>
    <s v="L_16"/>
    <n v="0"/>
    <n v="38.593651549999997"/>
    <n v="-122.93598462999999"/>
    <s v="UNST"/>
  </r>
  <r>
    <s v="A021210"/>
    <n v="19630329"/>
    <n v="16"/>
    <s v="N"/>
    <s v="N"/>
    <s v="N"/>
    <s v="N"/>
    <x v="1"/>
    <s v="Outside"/>
    <s v="Outside"/>
    <x v="0"/>
    <n v="1963"/>
    <x v="2"/>
    <x v="0"/>
    <s v="N"/>
    <s v="N"/>
    <s v="N"/>
    <s v="Y"/>
    <s v="N"/>
    <x v="1"/>
    <s v="N"/>
    <x v="1"/>
    <s v="N"/>
    <n v="4.6030000000000003E-3"/>
    <n v="1.5343329999999999E-3"/>
    <n v="1.5343329999999999E-3"/>
    <n v="4.6033330000000003E-3"/>
    <n v="4.6033330000000003E-3"/>
    <n v="4.6033330000000003E-3"/>
    <n v="4.6033330000000003E-3"/>
    <n v="4.6033330000000003E-3"/>
    <n v="4.6033330000000003E-3"/>
    <n v="4.6033330000000003E-3"/>
    <n v="4.6033330000000003E-3"/>
    <n v="1.5343329999999999E-3"/>
    <n v="4.6032663000000001E-2"/>
    <n v="2.3016665000000002E-2"/>
    <n v="7.6343655960474832E-5"/>
    <n v="3.0688441999999999E-3"/>
    <m/>
    <m/>
    <n v="15"/>
    <s v="Acre-feet per Year"/>
    <s v="L_16"/>
    <n v="0"/>
    <n v="38.648565509999997"/>
    <n v="-122.97032222999999"/>
    <s v="UNST"/>
  </r>
  <r>
    <s v="A021106"/>
    <n v="19630102"/>
    <n v="5"/>
    <s v="Y"/>
    <s v="N"/>
    <s v="Y"/>
    <s v="Y"/>
    <x v="0"/>
    <s v="West Fork and Below Lake"/>
    <s v="Mendocino (d/s of lake)"/>
    <x v="0"/>
    <n v="1963"/>
    <x v="2"/>
    <x v="0"/>
    <s v="Y"/>
    <s v="N"/>
    <s v="N"/>
    <s v="Y"/>
    <s v="N"/>
    <x v="1"/>
    <s v="N"/>
    <x v="1"/>
    <s v="N"/>
    <n v="0"/>
    <n v="0"/>
    <n v="0"/>
    <n v="0"/>
    <n v="0"/>
    <n v="4.2"/>
    <n v="3.31"/>
    <n v="2.2000000000000002"/>
    <n v="0"/>
    <n v="0"/>
    <n v="0"/>
    <n v="0"/>
    <n v="9.7100000000000009"/>
    <n v="9.7233333340000012"/>
    <n v="3.2251189077127929E-2"/>
    <n v="7.5726895124610602E-2"/>
    <m/>
    <m/>
    <n v="128.4"/>
    <s v="Acre-feet per Year"/>
    <s v="U_5"/>
    <n v="0"/>
    <n v="39.082105800000001"/>
    <n v="-123.14219728"/>
    <s v="MORRISON CREEK"/>
  </r>
  <r>
    <s v="A021121"/>
    <n v="19630116"/>
    <n v="1"/>
    <s v="N"/>
    <s v="N"/>
    <s v="Y"/>
    <s v="Y"/>
    <x v="0"/>
    <s v="West Fork and Below Lake"/>
    <s v="Outside"/>
    <x v="0"/>
    <n v="1963"/>
    <x v="2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.9"/>
    <s v="Acre-feet per Year"/>
    <s v="U_1"/>
    <n v="0"/>
    <n v="39.253990440000003"/>
    <n v="-123.21137136"/>
    <s v="FORSYTHE CREEK"/>
  </r>
  <r>
    <s v="A021126"/>
    <n v="19630121"/>
    <n v="4"/>
    <s v="Y"/>
    <s v="N"/>
    <s v="Y"/>
    <s v="Y"/>
    <x v="0"/>
    <s v="West Fork and Below Lake"/>
    <s v="Mendocino (d/s of lake)"/>
    <x v="0"/>
    <n v="1963"/>
    <x v="2"/>
    <x v="1"/>
    <s v="Y"/>
    <s v="N"/>
    <s v="N"/>
    <s v="Y"/>
    <s v="N"/>
    <x v="1"/>
    <s v="N"/>
    <x v="1"/>
    <s v="N"/>
    <n v="0"/>
    <n v="0"/>
    <n v="0"/>
    <n v="0"/>
    <n v="18.88"/>
    <n v="27.24"/>
    <n v="28.12"/>
    <n v="22.45"/>
    <n v="0"/>
    <n v="0"/>
    <n v="0"/>
    <n v="0"/>
    <n v="96.69"/>
    <n v="96.696666666666601"/>
    <n v="0.32073182854791121"/>
    <n v="0.44975193798449581"/>
    <m/>
    <m/>
    <n v="215"/>
    <s v="Acre-feet per Year"/>
    <s v="U_4"/>
    <n v="0"/>
    <n v="39.152342609999998"/>
    <n v="-123.18292112"/>
    <s v="RUSSIAN RIVER SUBTERRANEAN FLOW"/>
  </r>
  <r>
    <s v="A021127"/>
    <n v="19630121"/>
    <n v="5"/>
    <s v="Y"/>
    <s v="N"/>
    <s v="Y"/>
    <s v="Y"/>
    <x v="0"/>
    <s v="West Fork and Below Lake"/>
    <s v="Mendocino (d/s of lake)"/>
    <x v="0"/>
    <n v="1963"/>
    <x v="2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99.9"/>
    <s v="Acre-feet per Year"/>
    <s v="U_5"/>
    <n v="0"/>
    <n v="39.110371540000003"/>
    <n v="-123.18530115"/>
    <s v="RUSSIAN RIVER"/>
  </r>
  <r>
    <s v="A021148"/>
    <n v="19630204"/>
    <n v="23"/>
    <s v="N"/>
    <s v="N"/>
    <s v="N"/>
    <s v="N"/>
    <x v="1"/>
    <s v="Outside"/>
    <s v="Outside"/>
    <x v="0"/>
    <n v="1963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87"/>
    <s v="Acre-feet per Year"/>
    <s v="L_26"/>
    <n v="0"/>
    <n v="38.445906569999998"/>
    <n v="-122.78949054"/>
    <s v="SANTA ROSA CREEK"/>
  </r>
  <r>
    <s v="A021156"/>
    <n v="19630211"/>
    <n v="23"/>
    <s v="N"/>
    <s v="N"/>
    <s v="N"/>
    <s v="N"/>
    <x v="1"/>
    <s v="Outside"/>
    <s v="Outside"/>
    <x v="0"/>
    <n v="1963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39"/>
    <s v="Acre-feet per Year"/>
    <s v="L_26"/>
    <n v="0"/>
    <n v="38.443541349999997"/>
    <n v="-122.77375195"/>
    <s v="SANTA ROSA CREEK"/>
  </r>
  <r>
    <s v="A021187"/>
    <n v="19630311"/>
    <n v="12"/>
    <s v="N"/>
    <s v="Y"/>
    <s v="Y"/>
    <s v="Y"/>
    <x v="0"/>
    <s v="West Fork and Below Lake"/>
    <s v="Sonoma (d/s of Clov. Gage)"/>
    <x v="0"/>
    <n v="1963"/>
    <x v="2"/>
    <x v="0"/>
    <s v="Y"/>
    <s v="N"/>
    <s v="N"/>
    <s v="Y"/>
    <s v="N"/>
    <x v="1"/>
    <s v="N"/>
    <x v="0"/>
    <s v="N"/>
    <n v="0.66"/>
    <n v="0.66"/>
    <n v="0.66"/>
    <n v="0"/>
    <n v="0"/>
    <n v="0"/>
    <n v="0"/>
    <n v="0"/>
    <n v="0"/>
    <n v="0"/>
    <n v="0.33"/>
    <n v="0.33"/>
    <n v="2.64"/>
    <n v="0"/>
    <n v="0"/>
    <n v="0.29629629633333338"/>
    <m/>
    <m/>
    <n v="9"/>
    <s v="Acre-feet per Year"/>
    <s v="U_12"/>
    <n v="3.4039024194010059E-4"/>
    <n v="38.597497099999998"/>
    <n v="-122.65522511"/>
    <s v="UNST"/>
  </r>
  <r>
    <s v="A021235"/>
    <n v="19630411"/>
    <n v="12"/>
    <s v="N"/>
    <s v="Y"/>
    <s v="Y"/>
    <s v="Y"/>
    <x v="0"/>
    <s v="West Fork and Below Lake"/>
    <s v="Sonoma (d/s of Clov. Gage)"/>
    <x v="0"/>
    <n v="1963"/>
    <x v="2"/>
    <x v="0"/>
    <s v="Y"/>
    <s v="N"/>
    <s v="N"/>
    <s v="Y"/>
    <s v="N"/>
    <x v="1"/>
    <s v="N"/>
    <x v="0"/>
    <s v="N"/>
    <n v="3.33"/>
    <n v="2"/>
    <n v="1"/>
    <n v="0.33"/>
    <n v="0"/>
    <n v="0"/>
    <n v="0"/>
    <n v="0"/>
    <n v="0"/>
    <n v="0.66"/>
    <n v="1"/>
    <n v="2"/>
    <n v="10.32"/>
    <n v="0"/>
    <n v="0"/>
    <n v="0.44927536230434784"/>
    <m/>
    <m/>
    <n v="23"/>
    <s v="Acre-feet per Year"/>
    <s v="U_12"/>
    <n v="0"/>
    <n v="38.649248659999998"/>
    <n v="-122.76898052999999"/>
    <s v="UNST"/>
  </r>
  <r>
    <s v="A021245"/>
    <n v="19630418"/>
    <n v="9"/>
    <s v="N"/>
    <s v="Y"/>
    <s v="Y"/>
    <s v="Y"/>
    <x v="0"/>
    <s v="West Fork and Below Lake"/>
    <s v="Sonoma (d/s of Clov. Gage)"/>
    <x v="0"/>
    <n v="1963"/>
    <x v="2"/>
    <x v="1"/>
    <s v="Y"/>
    <s v="N"/>
    <s v="N"/>
    <s v="Y"/>
    <s v="N"/>
    <x v="1"/>
    <s v="N"/>
    <x v="1"/>
    <s v="N"/>
    <n v="0"/>
    <n v="0"/>
    <n v="0"/>
    <n v="0.06"/>
    <n v="1.6"/>
    <n v="5.13"/>
    <n v="4.5599999999999996"/>
    <n v="8.8000000000000007"/>
    <n v="5.26"/>
    <n v="0"/>
    <n v="0"/>
    <n v="0"/>
    <n v="25.409999999999997"/>
    <n v="25.366666666666671"/>
    <n v="8.4138343798462759E-2"/>
    <n v="0.50866666666666671"/>
    <m/>
    <m/>
    <n v="50"/>
    <s v="Acre-feet per Year"/>
    <s v="U_9"/>
    <n v="0"/>
    <n v="38.810025060000001"/>
    <n v="-123.00340883"/>
    <s v="RUSSIAN RIVER UNDERFLOW"/>
  </r>
  <r>
    <s v="A021271"/>
    <n v="19630502"/>
    <n v="21"/>
    <s v="N"/>
    <s v="N"/>
    <s v="N"/>
    <s v="N"/>
    <x v="1"/>
    <s v="Outside"/>
    <s v="Outside"/>
    <x v="0"/>
    <n v="1963"/>
    <x v="2"/>
    <x v="0"/>
    <s v="N"/>
    <s v="N"/>
    <s v="N"/>
    <s v="Y"/>
    <s v="N"/>
    <x v="1"/>
    <s v="N"/>
    <x v="1"/>
    <s v="N"/>
    <n v="1.162E-2"/>
    <n v="1.162E-2"/>
    <n v="1.162E-2"/>
    <n v="1.162E-2"/>
    <n v="1.162E-2"/>
    <n v="1.162E-2"/>
    <n v="3.066E-2"/>
    <n v="3.066E-2"/>
    <n v="3.066E-2"/>
    <n v="3.066E-2"/>
    <n v="3.066E-2"/>
    <n v="3.066E-2"/>
    <n v="0.25367999999999996"/>
    <n v="0.11521999999999999"/>
    <n v="3.8217161520862856E-4"/>
    <n v="0.84559999999999991"/>
    <m/>
    <m/>
    <n v="0.3"/>
    <s v="Acre-feet per Year"/>
    <s v="L_21"/>
    <n v="3.4039024194010059E-4"/>
    <n v="38.449410520000001"/>
    <n v="-122.97809679"/>
    <s v="UNSP"/>
  </r>
  <r>
    <s v="A021345"/>
    <n v="19630617"/>
    <n v="4"/>
    <s v="Y"/>
    <s v="N"/>
    <s v="Y"/>
    <s v="Y"/>
    <x v="0"/>
    <s v="West Fork and Below Lake"/>
    <s v="Mendocino (d/s of lake)"/>
    <x v="0"/>
    <n v="1963"/>
    <x v="2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.1000000000000001"/>
    <s v="Acre-feet per Year"/>
    <s v="U_4"/>
    <n v="3.4039024194010059E-4"/>
    <n v="39.12902811"/>
    <n v="-123.10276223"/>
    <s v="UNSP"/>
  </r>
  <r>
    <s v="A021355"/>
    <n v="19630624"/>
    <n v="23"/>
    <s v="N"/>
    <s v="N"/>
    <s v="N"/>
    <s v="N"/>
    <x v="1"/>
    <s v="Outside"/>
    <s v="Outside"/>
    <x v="0"/>
    <n v="1963"/>
    <x v="2"/>
    <x v="0"/>
    <s v="N"/>
    <s v="N"/>
    <s v="N"/>
    <s v="Y"/>
    <s v="N"/>
    <x v="1"/>
    <s v="N"/>
    <x v="0"/>
    <s v="N"/>
    <n v="11.66666667"/>
    <n v="3.3333333330000001"/>
    <n v="2.6666666669999999"/>
    <n v="0.5"/>
    <n v="0"/>
    <n v="0"/>
    <n v="0"/>
    <n v="0"/>
    <n v="0"/>
    <n v="0"/>
    <n v="0.16666666699999999"/>
    <n v="3.3333333330000001"/>
    <n v="21.666666670000001"/>
    <n v="0"/>
    <n v="0"/>
    <n v="0.45138888895833335"/>
    <m/>
    <m/>
    <n v="48"/>
    <s v="Acre-feet per Year"/>
    <s v="L_23"/>
    <n v="0"/>
    <n v="38.526820489999999"/>
    <n v="-122.84177171"/>
    <s v="UNST"/>
  </r>
  <r>
    <s v="A021419"/>
    <n v="19630805"/>
    <n v="12"/>
    <s v="N"/>
    <s v="Y"/>
    <s v="Y"/>
    <s v="Y"/>
    <x v="0"/>
    <s v="West Fork and Below Lake"/>
    <s v="Sonoma (d/s of Clov. Gage)"/>
    <x v="0"/>
    <n v="1963"/>
    <x v="2"/>
    <x v="0"/>
    <s v="Y"/>
    <s v="N"/>
    <s v="N"/>
    <s v="Y"/>
    <s v="N"/>
    <x v="1"/>
    <s v="N"/>
    <x v="0"/>
    <s v="N"/>
    <n v="16.329999999999998"/>
    <n v="15.86"/>
    <n v="11.73"/>
    <n v="1.6"/>
    <n v="0"/>
    <n v="0"/>
    <n v="0"/>
    <n v="0"/>
    <n v="0"/>
    <n v="0"/>
    <n v="0"/>
    <n v="8.5"/>
    <n v="54.02"/>
    <n v="0"/>
    <n v="0"/>
    <n v="0.50498442364485985"/>
    <m/>
    <m/>
    <n v="107"/>
    <s v="Acre-feet per Year"/>
    <s v="U_12"/>
    <n v="0"/>
    <n v="38.612044879999999"/>
    <n v="-122.74722998999999"/>
    <s v="UNST"/>
  </r>
  <r>
    <s v="A021429A"/>
    <n v="19630815"/>
    <n v="1"/>
    <s v="N"/>
    <s v="N"/>
    <s v="Y"/>
    <s v="Y"/>
    <x v="0"/>
    <s v="West Fork and Below Lake"/>
    <s v="Outside"/>
    <x v="0"/>
    <n v="1963"/>
    <x v="2"/>
    <x v="0"/>
    <s v="Y"/>
    <s v="N"/>
    <s v="N"/>
    <s v="Y"/>
    <s v="N"/>
    <x v="1"/>
    <s v="N"/>
    <x v="0"/>
    <s v="N"/>
    <n v="68.33"/>
    <n v="0"/>
    <n v="0"/>
    <n v="0"/>
    <n v="0"/>
    <n v="0"/>
    <n v="0"/>
    <n v="0"/>
    <n v="0"/>
    <n v="0"/>
    <n v="0"/>
    <n v="27.33"/>
    <n v="95.66"/>
    <n v="0"/>
    <n v="0"/>
    <n v="0.3298850574482759"/>
    <m/>
    <m/>
    <n v="290"/>
    <s v="Acre-feet per Year"/>
    <s v="U_1"/>
    <n v="3.4039024194010059E-4"/>
    <n v="39.214599999999997"/>
    <n v="-123.2239"/>
    <m/>
  </r>
  <r>
    <s v="A021429B"/>
    <n v="19630815"/>
    <n v="1"/>
    <s v="N"/>
    <s v="N"/>
    <s v="Y"/>
    <s v="Y"/>
    <x v="0"/>
    <s v="West Fork and Below Lake"/>
    <s v="Outside"/>
    <x v="0"/>
    <n v="1963"/>
    <x v="2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90"/>
    <s v="Acre-feet per Year"/>
    <s v="U_1"/>
    <n v="3.4039024194010059E-4"/>
    <n v="39.214700000000001"/>
    <n v="-123.22369999999999"/>
    <m/>
  </r>
  <r>
    <s v="A021429C"/>
    <n v="19630815"/>
    <n v="1"/>
    <s v="N"/>
    <s v="N"/>
    <s v="Y"/>
    <s v="Y"/>
    <x v="0"/>
    <s v="West Fork and Below Lake"/>
    <s v="Outside"/>
    <x v="0"/>
    <n v="1963"/>
    <x v="2"/>
    <x v="0"/>
    <s v="Y"/>
    <s v="N"/>
    <s v="N"/>
    <s v="Y"/>
    <s v="N"/>
    <x v="1"/>
    <s v="N"/>
    <x v="1"/>
    <s v="N"/>
    <n v="1.1200000000000001"/>
    <n v="1.1200000000000001"/>
    <n v="0.02"/>
    <n v="0.02"/>
    <n v="0.45"/>
    <n v="0.45"/>
    <n v="0.45"/>
    <n v="0.45"/>
    <n v="0.45"/>
    <n v="1.55"/>
    <n v="1.55"/>
    <n v="2.2200000000000002"/>
    <n v="9.8500000000000014"/>
    <n v="2.2666666649999998"/>
    <n v="7.5182751302083429E-3"/>
    <n v="3.4104597696551719E-2"/>
    <m/>
    <m/>
    <n v="290"/>
    <s v="Acre-feet per Year"/>
    <s v="U_1"/>
    <n v="3.4039024194010059E-4"/>
    <n v="39.21215763"/>
    <n v="-123.22945470000001"/>
    <s v="UNST"/>
  </r>
  <r>
    <s v="A021466"/>
    <n v="19630918"/>
    <n v="10"/>
    <s v="N"/>
    <s v="Y"/>
    <s v="Y"/>
    <s v="Y"/>
    <x v="0"/>
    <s v="West Fork and Below Lake"/>
    <s v="Sonoma (d/s of Clov. Gage)"/>
    <x v="0"/>
    <n v="1963"/>
    <x v="2"/>
    <x v="1"/>
    <s v="Y"/>
    <s v="N"/>
    <s v="N"/>
    <s v="Y"/>
    <s v="N"/>
    <x v="1"/>
    <s v="N"/>
    <x v="1"/>
    <s v="N"/>
    <n v="2.68"/>
    <n v="2.56"/>
    <n v="0.57999999999999996"/>
    <n v="0.63"/>
    <n v="0"/>
    <n v="0"/>
    <n v="0"/>
    <n v="0"/>
    <n v="0.08"/>
    <n v="0"/>
    <n v="0"/>
    <n v="0"/>
    <n v="6.53"/>
    <n v="8.8333333333333305E-2"/>
    <n v="2.9299160455443656E-4"/>
    <n v="0.15077394636015323"/>
    <m/>
    <m/>
    <n v="43.5"/>
    <s v="Acre-feet per Year"/>
    <s v="U_10"/>
    <n v="0"/>
    <n v="38.66075653"/>
    <n v="-122.85140871999999"/>
    <s v="UNST"/>
  </r>
  <r>
    <s v="A021506"/>
    <n v="19631017"/>
    <n v="12"/>
    <s v="N"/>
    <s v="Y"/>
    <s v="Y"/>
    <s v="Y"/>
    <x v="0"/>
    <s v="West Fork and Below Lake"/>
    <s v="Sonoma (d/s of Clov. Gage)"/>
    <x v="0"/>
    <n v="1963"/>
    <x v="2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8"/>
    <s v="Acre-feet per Year"/>
    <s v="U_12"/>
    <n v="0"/>
    <n v="38.605762800000001"/>
    <n v="-122.67437348999999"/>
    <s v="UNST"/>
  </r>
  <r>
    <s v="A021516"/>
    <n v="19631030"/>
    <n v="6"/>
    <s v="Y"/>
    <s v="N"/>
    <s v="Y"/>
    <s v="Y"/>
    <x v="0"/>
    <s v="West Fork and Below Lake"/>
    <s v="Mendocino (d/s of lake)"/>
    <x v="0"/>
    <n v="1963"/>
    <x v="2"/>
    <x v="1"/>
    <s v="Y"/>
    <s v="N"/>
    <s v="N"/>
    <s v="Y"/>
    <s v="N"/>
    <x v="1"/>
    <s v="N"/>
    <x v="1"/>
    <s v="N"/>
    <n v="0"/>
    <n v="0"/>
    <n v="0"/>
    <n v="0"/>
    <n v="0.5"/>
    <n v="1.26"/>
    <n v="2.04"/>
    <n v="2.2999999999999998"/>
    <n v="1.23"/>
    <n v="0.33"/>
    <n v="0"/>
    <n v="0"/>
    <n v="7.66"/>
    <n v="7.3466666666666693"/>
    <n v="2.4368056469357684E-2"/>
    <n v="7.3142857142857162E-2"/>
    <m/>
    <m/>
    <n v="105"/>
    <s v="Acre-feet per Year"/>
    <s v="U_6"/>
    <n v="0"/>
    <n v="38.955758500000002"/>
    <n v="-123.10288585000001"/>
    <s v="RUSSIAN RIVER"/>
  </r>
  <r>
    <s v="A021570"/>
    <n v="19631205"/>
    <n v="2"/>
    <s v="N"/>
    <s v="N"/>
    <s v="Y"/>
    <s v="N"/>
    <x v="0"/>
    <s v="Outside"/>
    <s v="Outside"/>
    <x v="0"/>
    <n v="1963"/>
    <x v="2"/>
    <x v="0"/>
    <s v="Y"/>
    <s v="N"/>
    <s v="N"/>
    <s v="Y"/>
    <s v="N"/>
    <x v="1"/>
    <s v="N"/>
    <x v="1"/>
    <s v="N"/>
    <n v="0.01"/>
    <n v="0.01"/>
    <n v="0.01"/>
    <n v="0.01"/>
    <n v="0.01"/>
    <n v="0.01"/>
    <n v="0.01"/>
    <n v="0.01"/>
    <n v="0.01"/>
    <n v="0.01"/>
    <n v="0.01"/>
    <n v="0.01"/>
    <n v="0.11999999999999998"/>
    <n v="9.1376666666666495E-2"/>
    <n v="3.0308599455285872E-4"/>
    <n v="8.5665624999999856E-3"/>
    <m/>
    <m/>
    <n v="25.6"/>
    <s v="Acre-feet per Year"/>
    <s v="U_2"/>
    <n v="3.4039024194010059E-4"/>
    <n v="39.191623409999998"/>
    <n v="-123.04410292"/>
    <s v="UNST"/>
  </r>
  <r>
    <s v="A021569"/>
    <n v="19631205"/>
    <n v="2"/>
    <s v="N"/>
    <s v="N"/>
    <s v="Y"/>
    <s v="N"/>
    <x v="0"/>
    <s v="Outside"/>
    <s v="Outside"/>
    <x v="0"/>
    <n v="1963"/>
    <x v="2"/>
    <x v="0"/>
    <s v="Y"/>
    <s v="N"/>
    <s v="N"/>
    <s v="Y"/>
    <s v="N"/>
    <x v="1"/>
    <s v="N"/>
    <x v="1"/>
    <s v="N"/>
    <n v="0"/>
    <n v="0"/>
    <n v="0"/>
    <n v="0.02"/>
    <n v="0.02"/>
    <n v="0.02"/>
    <n v="0.02"/>
    <n v="0.02"/>
    <n v="0.02"/>
    <n v="0.02"/>
    <n v="0"/>
    <n v="0"/>
    <n v="0.14000000000000001"/>
    <n v="0.133333335"/>
    <n v="4.4225148410087804E-4"/>
    <n v="3.9800995522388059E-3"/>
    <m/>
    <m/>
    <n v="46.9"/>
    <s v="Acre-feet per Year"/>
    <s v="U_2"/>
    <n v="3.4039024194010059E-4"/>
    <n v="39.188079430000002"/>
    <n v="-123.04122787999999"/>
    <s v="UNST"/>
  </r>
  <r>
    <s v="A021052"/>
    <n v="19621128"/>
    <n v="16"/>
    <s v="N"/>
    <s v="N"/>
    <s v="N"/>
    <s v="N"/>
    <x v="1"/>
    <s v="Outside"/>
    <s v="Outside"/>
    <x v="0"/>
    <n v="1962"/>
    <x v="2"/>
    <x v="0"/>
    <s v="N"/>
    <s v="N"/>
    <s v="N"/>
    <s v="Y"/>
    <s v="N"/>
    <x v="1"/>
    <s v="N"/>
    <x v="1"/>
    <s v="N"/>
    <n v="0"/>
    <n v="0"/>
    <n v="0"/>
    <n v="0"/>
    <n v="0.16666666699999999"/>
    <n v="0.366853333"/>
    <n v="0.33351999999999998"/>
    <n v="6.6953666999999994E-2"/>
    <n v="0"/>
    <n v="0"/>
    <n v="0"/>
    <n v="0"/>
    <n v="0.93399366699999997"/>
    <n v="0.93399366699999997"/>
    <n v="3.0979506015624022E-3"/>
    <n v="4.9157561421052633E-2"/>
    <m/>
    <m/>
    <n v="19"/>
    <s v="Acre-feet per Year"/>
    <s v="L_16"/>
    <n v="0"/>
    <n v="38.604500000000002"/>
    <n v="-122.99630000000001"/>
    <s v="MILL CREEK"/>
  </r>
  <r>
    <s v="A020557"/>
    <n v="19620115"/>
    <n v="17"/>
    <s v="N"/>
    <s v="N"/>
    <s v="N"/>
    <s v="N"/>
    <x v="1"/>
    <s v="Outside"/>
    <s v="Outside"/>
    <x v="0"/>
    <n v="1962"/>
    <x v="2"/>
    <x v="0"/>
    <s v="N"/>
    <s v="N"/>
    <s v="N"/>
    <s v="Y"/>
    <s v="N"/>
    <x v="1"/>
    <s v="N"/>
    <x v="0"/>
    <s v="N"/>
    <n v="12.9"/>
    <n v="2.6333333329999999"/>
    <n v="1.6666666670000001"/>
    <n v="0.4"/>
    <n v="0"/>
    <n v="0"/>
    <n v="0"/>
    <n v="0"/>
    <n v="0"/>
    <n v="0"/>
    <n v="1.0333333330000001"/>
    <n v="4.733333333"/>
    <n v="23.366666666"/>
    <n v="0"/>
    <n v="0"/>
    <n v="0.4768707482857143"/>
    <m/>
    <m/>
    <n v="49"/>
    <s v="Acre-feet per Year"/>
    <s v="L_17"/>
    <n v="0"/>
    <n v="38.573099999999997"/>
    <n v="-122.8193"/>
    <s v="UNST"/>
  </r>
  <r>
    <s v="A020582"/>
    <n v="19620201"/>
    <n v="9"/>
    <s v="N"/>
    <s v="Y"/>
    <s v="Y"/>
    <s v="Y"/>
    <x v="0"/>
    <s v="West Fork and Below Lake"/>
    <s v="Sonoma (d/s of Clov. Gage)"/>
    <x v="0"/>
    <n v="1962"/>
    <x v="2"/>
    <x v="1"/>
    <s v="Y"/>
    <s v="N"/>
    <s v="N"/>
    <s v="Y"/>
    <s v="N"/>
    <x v="1"/>
    <s v="N"/>
    <x v="0"/>
    <s v="N"/>
    <n v="0.23"/>
    <n v="0"/>
    <n v="0.06"/>
    <n v="0"/>
    <n v="0"/>
    <n v="0"/>
    <n v="0"/>
    <n v="0"/>
    <n v="0"/>
    <n v="0.13"/>
    <n v="0.06"/>
    <n v="0.26"/>
    <n v="0.74"/>
    <n v="0"/>
    <n v="0"/>
    <n v="7.6666666666666633E-2"/>
    <m/>
    <m/>
    <n v="10"/>
    <s v="Acre-feet per Year"/>
    <s v="U_9"/>
    <n v="0"/>
    <n v="38.78685213"/>
    <n v="-122.98378525"/>
    <s v="UNST"/>
  </r>
  <r>
    <s v="A020584"/>
    <n v="19620201"/>
    <n v="20"/>
    <s v="N"/>
    <s v="N"/>
    <s v="N"/>
    <s v="N"/>
    <x v="1"/>
    <s v="Outside"/>
    <s v="Outside"/>
    <x v="0"/>
    <n v="1962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"/>
    <s v="Acre-feet per Year"/>
    <s v="L_20"/>
    <n v="0"/>
    <n v="38.549314889999998"/>
    <n v="-123.10605253999999"/>
    <s v="UNST"/>
  </r>
  <r>
    <s v="A020624"/>
    <n v="19620221"/>
    <n v="9"/>
    <s v="N"/>
    <s v="Y"/>
    <s v="Y"/>
    <s v="Y"/>
    <x v="0"/>
    <s v="West Fork and Below Lake"/>
    <s v="Sonoma (d/s of Clov. Gage)"/>
    <x v="0"/>
    <n v="1962"/>
    <x v="2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3"/>
    <s v="Acre-feet per Year"/>
    <s v="U_9"/>
    <n v="0"/>
    <n v="38.733710670000001"/>
    <n v="-122.93466979"/>
    <s v="RUSSIAN RIVER"/>
  </r>
  <r>
    <s v="A020634"/>
    <n v="19620302"/>
    <n v="23"/>
    <s v="N"/>
    <s v="N"/>
    <s v="N"/>
    <s v="N"/>
    <x v="1"/>
    <s v="Outside"/>
    <s v="Outside"/>
    <x v="0"/>
    <n v="1962"/>
    <x v="2"/>
    <x v="0"/>
    <s v="N"/>
    <s v="N"/>
    <s v="N"/>
    <s v="Y"/>
    <s v="N"/>
    <x v="1"/>
    <s v="N"/>
    <x v="1"/>
    <s v="N"/>
    <n v="0.1"/>
    <n v="0.133333333"/>
    <n v="0.116666667"/>
    <n v="0.133333333"/>
    <n v="0.233333333"/>
    <n v="0.25"/>
    <n v="0.25"/>
    <n v="0.28333333300000002"/>
    <n v="0.33333333300000001"/>
    <n v="0.2"/>
    <n v="0"/>
    <n v="0"/>
    <n v="2.0333333320000002"/>
    <n v="1.349999999"/>
    <n v="4.477796217232051E-3"/>
    <n v="0.13555555546666667"/>
    <m/>
    <m/>
    <n v="15"/>
    <s v="Acre-feet per Year"/>
    <s v="L_23"/>
    <n v="0"/>
    <n v="38.579712020000002"/>
    <n v="-122.77837613"/>
    <s v="UNCR"/>
  </r>
  <r>
    <s v="A020657"/>
    <n v="19620316"/>
    <n v="1"/>
    <s v="N"/>
    <s v="N"/>
    <s v="Y"/>
    <s v="Y"/>
    <x v="0"/>
    <s v="West Fork and Below Lake"/>
    <s v="Outside"/>
    <x v="0"/>
    <n v="1962"/>
    <x v="2"/>
    <x v="0"/>
    <s v="Y"/>
    <s v="N"/>
    <s v="N"/>
    <s v="Y"/>
    <s v="N"/>
    <x v="1"/>
    <s v="N"/>
    <x v="1"/>
    <s v="N"/>
    <n v="8.73"/>
    <n v="7.48"/>
    <n v="4.13"/>
    <n v="2.4"/>
    <n v="1.42"/>
    <n v="0.4"/>
    <n v="0"/>
    <n v="0.01"/>
    <n v="0.24"/>
    <n v="0"/>
    <n v="1.73"/>
    <n v="3.14"/>
    <n v="29.679999999999996"/>
    <n v="2.08"/>
    <n v="6.8991230657346591E-3"/>
    <n v="0.84866666662857126"/>
    <m/>
    <m/>
    <n v="35"/>
    <s v="Acre-feet per Year"/>
    <s v="U_1"/>
    <n v="0"/>
    <n v="39.298556490000003"/>
    <n v="-123.20330079999999"/>
    <s v="UNST"/>
  </r>
  <r>
    <s v="A020662"/>
    <n v="19620320"/>
    <n v="5"/>
    <s v="Y"/>
    <s v="N"/>
    <s v="Y"/>
    <s v="Y"/>
    <x v="0"/>
    <s v="West Fork and Below Lake"/>
    <s v="Mendocino (d/s of lake)"/>
    <x v="0"/>
    <n v="1962"/>
    <x v="2"/>
    <x v="1"/>
    <s v="Y"/>
    <s v="N"/>
    <s v="N"/>
    <s v="Y"/>
    <s v="N"/>
    <x v="1"/>
    <s v="N"/>
    <x v="1"/>
    <s v="N"/>
    <n v="0"/>
    <n v="0"/>
    <n v="0"/>
    <n v="0"/>
    <n v="2.84"/>
    <n v="9.35"/>
    <n v="9.48"/>
    <n v="9.91"/>
    <n v="4.2300000000000004"/>
    <n v="0"/>
    <n v="0"/>
    <n v="0"/>
    <n v="35.81"/>
    <n v="35.832333333333331"/>
    <n v="0.1188517679803331"/>
    <n v="0.40261048689138573"/>
    <m/>
    <m/>
    <n v="89"/>
    <s v="Acre-feet per Year"/>
    <s v="U_5"/>
    <n v="0"/>
    <n v="39.091277570000003"/>
    <n v="-123.1726489"/>
    <s v="RUSSIAN RIVER"/>
  </r>
  <r>
    <s v="A020720"/>
    <n v="19620412"/>
    <n v="8"/>
    <s v="N"/>
    <s v="Y"/>
    <s v="Y"/>
    <s v="Y"/>
    <x v="0"/>
    <s v="West Fork and Below Lake"/>
    <s v="Sonoma (d/s of Clov. Gage)"/>
    <x v="0"/>
    <n v="1962"/>
    <x v="2"/>
    <x v="0"/>
    <s v="Y"/>
    <s v="N"/>
    <s v="N"/>
    <s v="Y"/>
    <s v="N"/>
    <x v="1"/>
    <s v="N"/>
    <x v="0"/>
    <s v="N"/>
    <n v="0.66"/>
    <n v="1"/>
    <n v="1.33"/>
    <n v="1.33"/>
    <n v="0"/>
    <n v="0"/>
    <n v="0"/>
    <n v="0"/>
    <n v="0"/>
    <n v="0.66"/>
    <n v="1"/>
    <n v="1"/>
    <n v="6.98"/>
    <n v="0"/>
    <n v="0"/>
    <n v="0.4375"/>
    <m/>
    <m/>
    <n v="16"/>
    <s v="Acre-feet per Year"/>
    <s v="U_8"/>
    <n v="0"/>
    <n v="38.775054240000003"/>
    <n v="-122.89767727"/>
    <s v="UNCR"/>
  </r>
  <r>
    <s v="A020769"/>
    <n v="19620504"/>
    <n v="17"/>
    <s v="N"/>
    <s v="N"/>
    <s v="N"/>
    <s v="N"/>
    <x v="1"/>
    <s v="Outside"/>
    <s v="Outside"/>
    <x v="0"/>
    <n v="1962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8"/>
    <s v="Acre-feet per Year"/>
    <s v="L_17"/>
    <n v="0"/>
    <n v="38.560294990000003"/>
    <n v="-122.88238659"/>
    <s v="UNST"/>
  </r>
  <r>
    <s v="A020788"/>
    <n v="19620523"/>
    <n v="17"/>
    <s v="N"/>
    <s v="N"/>
    <s v="N"/>
    <s v="N"/>
    <x v="1"/>
    <s v="Outside"/>
    <s v="Outside"/>
    <x v="0"/>
    <n v="1962"/>
    <x v="2"/>
    <x v="0"/>
    <s v="N"/>
    <s v="N"/>
    <s v="N"/>
    <s v="Y"/>
    <s v="N"/>
    <x v="1"/>
    <s v="N"/>
    <x v="0"/>
    <s v="N"/>
    <n v="5.5"/>
    <n v="0"/>
    <n v="1.7"/>
    <n v="0"/>
    <n v="0"/>
    <n v="0"/>
    <n v="0"/>
    <n v="0"/>
    <n v="0"/>
    <n v="0"/>
    <n v="0.66666666699999999"/>
    <n v="3.7"/>
    <n v="11.566666667"/>
    <n v="0"/>
    <n v="0"/>
    <n v="0.23750855579055441"/>
    <m/>
    <m/>
    <n v="48.7"/>
    <s v="Acre-feet per Year"/>
    <s v="L_17"/>
    <n v="3.4039024194010059E-4"/>
    <n v="38.573500000000003"/>
    <n v="-122.8768"/>
    <s v="UNST"/>
  </r>
  <r>
    <s v="A020791"/>
    <n v="19620524"/>
    <n v="1"/>
    <s v="N"/>
    <s v="N"/>
    <s v="Y"/>
    <s v="Y"/>
    <x v="0"/>
    <s v="West Fork and Below Lake"/>
    <s v="Outside"/>
    <x v="0"/>
    <n v="1962"/>
    <x v="2"/>
    <x v="0"/>
    <s v="Y"/>
    <s v="N"/>
    <s v="N"/>
    <s v="Y"/>
    <s v="N"/>
    <x v="1"/>
    <s v="N"/>
    <x v="0"/>
    <s v="N"/>
    <n v="0"/>
    <n v="0"/>
    <n v="0"/>
    <n v="0"/>
    <n v="0"/>
    <n v="0"/>
    <n v="0"/>
    <n v="0"/>
    <n v="0"/>
    <n v="0.1"/>
    <n v="0"/>
    <n v="0.2"/>
    <n v="0.30000000000000004"/>
    <n v="0"/>
    <n v="0"/>
    <n v="3.333333333333334E-2"/>
    <m/>
    <m/>
    <n v="9"/>
    <s v="Acre-feet per Year"/>
    <s v="U_1"/>
    <n v="3.4039024194010059E-4"/>
    <n v="39.27153594"/>
    <n v="-123.18729655999999"/>
    <s v="UNST"/>
  </r>
  <r>
    <s v="A020798"/>
    <n v="19620531"/>
    <n v="18"/>
    <s v="N"/>
    <s v="N"/>
    <s v="N"/>
    <s v="N"/>
    <x v="1"/>
    <s v="Outside"/>
    <s v="Outside"/>
    <x v="0"/>
    <n v="1962"/>
    <x v="2"/>
    <x v="0"/>
    <s v="N"/>
    <s v="N"/>
    <s v="N"/>
    <s v="Y"/>
    <s v="N"/>
    <x v="1"/>
    <s v="N"/>
    <x v="1"/>
    <s v="N"/>
    <n v="1.6666666670000001"/>
    <n v="1.6666666670000001"/>
    <n v="1"/>
    <n v="0.33333333300000001"/>
    <n v="0.33333333300000001"/>
    <n v="0"/>
    <n v="0"/>
    <n v="0"/>
    <n v="0"/>
    <n v="0.33333333300000001"/>
    <n v="1"/>
    <n v="1.3333333329999999"/>
    <n v="7.6666666659999994"/>
    <n v="0.33333333300000001"/>
    <n v="1.1056286953262076E-3"/>
    <n v="0.25555555553333331"/>
    <m/>
    <m/>
    <n v="30"/>
    <s v="Acre-feet per Year"/>
    <s v="L_18"/>
    <n v="0"/>
    <n v="38.458599380000003"/>
    <n v="-122.92932782"/>
    <s v="UNST"/>
  </r>
  <r>
    <s v="A020813"/>
    <n v="19620611"/>
    <n v="9"/>
    <s v="N"/>
    <s v="Y"/>
    <s v="Y"/>
    <s v="Y"/>
    <x v="0"/>
    <s v="West Fork and Below Lake"/>
    <s v="Sonoma (d/s of Clov. Gage)"/>
    <x v="0"/>
    <n v="1962"/>
    <x v="2"/>
    <x v="0"/>
    <s v="Y"/>
    <s v="N"/>
    <s v="N"/>
    <s v="Y"/>
    <s v="N"/>
    <x v="1"/>
    <s v="N"/>
    <x v="0"/>
    <s v="N"/>
    <n v="0.16"/>
    <n v="0.66"/>
    <n v="2"/>
    <n v="0"/>
    <n v="0"/>
    <n v="0"/>
    <n v="0"/>
    <n v="0"/>
    <n v="0"/>
    <n v="0"/>
    <n v="0"/>
    <n v="0"/>
    <n v="2.8200000000000003"/>
    <n v="0"/>
    <n v="0"/>
    <n v="0.1011904762142857"/>
    <m/>
    <m/>
    <n v="28"/>
    <s v="Acre-feet per Year"/>
    <s v="U_9"/>
    <n v="0"/>
    <n v="38.856959680000003"/>
    <n v="-122.9735161"/>
    <s v="ASH CREEK"/>
  </r>
  <r>
    <s v="A020825"/>
    <n v="19620621"/>
    <n v="23"/>
    <s v="N"/>
    <s v="N"/>
    <s v="N"/>
    <s v="N"/>
    <x v="1"/>
    <s v="Outside"/>
    <s v="Outside"/>
    <x v="0"/>
    <n v="1962"/>
    <x v="2"/>
    <x v="0"/>
    <s v="N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0"/>
    <n v="0"/>
    <n v="0"/>
    <n v="0"/>
    <n v="0"/>
    <n v="8.9583333343750002E-2"/>
    <m/>
    <m/>
    <n v="32"/>
    <s v="Acre-feet per Year"/>
    <s v="L_28"/>
    <n v="0"/>
    <n v="38.354052809999999"/>
    <n v="-122.63329713"/>
    <s v="UNST"/>
  </r>
  <r>
    <s v="A020846"/>
    <n v="19620706"/>
    <n v="6"/>
    <s v="Y"/>
    <s v="N"/>
    <s v="Y"/>
    <s v="Y"/>
    <x v="0"/>
    <s v="West Fork and Below Lake"/>
    <s v="Mendocino (d/s of lake)"/>
    <x v="0"/>
    <n v="1962"/>
    <x v="2"/>
    <x v="0"/>
    <s v="Y"/>
    <s v="N"/>
    <s v="N"/>
    <s v="Y"/>
    <s v="N"/>
    <x v="1"/>
    <s v="N"/>
    <x v="1"/>
    <s v="N"/>
    <n v="1.33"/>
    <n v="1.66"/>
    <n v="0.66"/>
    <n v="0.33"/>
    <n v="0.66"/>
    <n v="0"/>
    <n v="0"/>
    <n v="0"/>
    <n v="0"/>
    <n v="0"/>
    <n v="0.66"/>
    <n v="1.33"/>
    <n v="6.6300000000000008"/>
    <n v="0.66666666699999999"/>
    <n v="2.2112573939693015E-3"/>
    <n v="0.21505376345161292"/>
    <m/>
    <m/>
    <n v="31"/>
    <s v="Acre-feet per Year"/>
    <s v="U_6"/>
    <n v="0"/>
    <n v="38.945867929999999"/>
    <n v="-123.10343561000001"/>
    <s v="UNST"/>
  </r>
  <r>
    <s v="A020870"/>
    <n v="19620725"/>
    <n v="12"/>
    <s v="N"/>
    <s v="Y"/>
    <s v="Y"/>
    <s v="Y"/>
    <x v="0"/>
    <s v="West Fork and Below Lake"/>
    <s v="Sonoma (d/s of Clov. Gage)"/>
    <x v="0"/>
    <n v="1962"/>
    <x v="2"/>
    <x v="0"/>
    <s v="Y"/>
    <s v="N"/>
    <s v="N"/>
    <s v="Y"/>
    <s v="N"/>
    <x v="1"/>
    <s v="N"/>
    <x v="1"/>
    <s v="N"/>
    <n v="2.16"/>
    <n v="2"/>
    <n v="1.83"/>
    <n v="1.66"/>
    <n v="0.83"/>
    <n v="0.5"/>
    <n v="0"/>
    <n v="0"/>
    <n v="0"/>
    <n v="0"/>
    <n v="1.1599999999999999"/>
    <n v="1.83"/>
    <n v="11.97"/>
    <n v="1.3333333330000001"/>
    <n v="4.4225147846217163E-3"/>
    <n v="1"/>
    <m/>
    <m/>
    <n v="12"/>
    <s v="Acre-feet per Year"/>
    <s v="U_12"/>
    <n v="0"/>
    <n v="38.597100820000001"/>
    <n v="-122.78556424"/>
    <s v="UNST"/>
  </r>
  <r>
    <s v="A020872"/>
    <n v="19620726"/>
    <n v="1"/>
    <s v="N"/>
    <s v="N"/>
    <s v="Y"/>
    <s v="Y"/>
    <x v="0"/>
    <s v="West Fork and Below Lake"/>
    <s v="Outside"/>
    <x v="0"/>
    <n v="1962"/>
    <x v="2"/>
    <x v="0"/>
    <s v="Y"/>
    <s v="N"/>
    <s v="N"/>
    <s v="Y"/>
    <s v="N"/>
    <x v="1"/>
    <s v="N"/>
    <x v="1"/>
    <s v="N"/>
    <n v="3.8"/>
    <n v="1.86"/>
    <n v="1.53"/>
    <n v="1.4"/>
    <n v="0.33"/>
    <n v="0"/>
    <n v="0"/>
    <n v="0"/>
    <n v="0"/>
    <n v="0"/>
    <n v="0.36"/>
    <n v="1"/>
    <n v="10.28"/>
    <n v="0.33333333300000001"/>
    <n v="1.1056286953262076E-3"/>
    <n v="0.85833333333333339"/>
    <m/>
    <m/>
    <n v="12"/>
    <s v="Acre-feet per Year"/>
    <s v="U_1"/>
    <n v="0"/>
    <n v="39.271297150000002"/>
    <n v="-123.18375985"/>
    <s v="UNCR"/>
  </r>
  <r>
    <s v="A020901"/>
    <n v="19620815"/>
    <n v="11"/>
    <s v="N"/>
    <s v="Y"/>
    <s v="Y"/>
    <s v="Y"/>
    <x v="0"/>
    <s v="West Fork and Below Lake"/>
    <s v="Sonoma (d/s of Clov. Gage)"/>
    <x v="0"/>
    <n v="1962"/>
    <x v="2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3"/>
    <s v="Acre-feet per Year"/>
    <s v="U_11"/>
    <n v="3.4039024194010059E-4"/>
    <n v="38.737615490000003"/>
    <n v="-122.7348745"/>
    <s v="UNSP"/>
  </r>
  <r>
    <s v="A020907"/>
    <n v="19620824"/>
    <n v="12"/>
    <s v="N"/>
    <s v="Y"/>
    <s v="Y"/>
    <s v="Y"/>
    <x v="0"/>
    <s v="West Fork and Below Lake"/>
    <s v="Sonoma (d/s of Clov. Gage)"/>
    <x v="0"/>
    <n v="1962"/>
    <x v="2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1"/>
    <s v="Acre-feet per Year"/>
    <s v="U_12"/>
    <n v="0"/>
    <n v="38.589541099999998"/>
    <n v="-122.65392752"/>
    <s v="UNST"/>
  </r>
  <r>
    <s v="A020920"/>
    <n v="19620830"/>
    <n v="23"/>
    <s v="N"/>
    <s v="N"/>
    <s v="N"/>
    <s v="N"/>
    <x v="1"/>
    <s v="Outside"/>
    <s v="Outside"/>
    <x v="0"/>
    <n v="1962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84"/>
    <s v="Acre-feet per Year"/>
    <s v="L_26"/>
    <n v="0"/>
    <n v="38.445732560000003"/>
    <n v="-122.81462946000001"/>
    <s v="SANTA ROSA CREEK"/>
  </r>
  <r>
    <s v="A020953"/>
    <n v="19620921"/>
    <n v="12"/>
    <s v="N"/>
    <s v="Y"/>
    <s v="Y"/>
    <s v="Y"/>
    <x v="0"/>
    <s v="West Fork and Below Lake"/>
    <s v="Sonoma (d/s of Clov. Gage)"/>
    <x v="0"/>
    <n v="1962"/>
    <x v="2"/>
    <x v="0"/>
    <s v="Y"/>
    <s v="N"/>
    <s v="N"/>
    <s v="Y"/>
    <s v="N"/>
    <x v="1"/>
    <s v="N"/>
    <x v="1"/>
    <s v="N"/>
    <n v="0"/>
    <n v="0"/>
    <n v="0"/>
    <n v="0"/>
    <n v="0.66"/>
    <n v="0.66"/>
    <n v="0.66"/>
    <n v="0.66"/>
    <n v="0"/>
    <n v="0"/>
    <n v="0"/>
    <n v="0"/>
    <n v="2.64"/>
    <n v="2.666666668"/>
    <n v="8.8450295758772061E-3"/>
    <n v="0.1333333334"/>
    <m/>
    <m/>
    <n v="20"/>
    <s v="Acre-feet per Year"/>
    <s v="U_12"/>
    <n v="0"/>
    <n v="38.57574803"/>
    <n v="-122.75489545000001"/>
    <s v="BROOKS CREEK"/>
  </r>
  <r>
    <s v="A020963"/>
    <n v="19621002"/>
    <n v="1"/>
    <s v="N"/>
    <s v="N"/>
    <s v="Y"/>
    <s v="Y"/>
    <x v="0"/>
    <s v="West Fork and Below Lake"/>
    <s v="Outside"/>
    <x v="0"/>
    <n v="1962"/>
    <x v="2"/>
    <x v="0"/>
    <s v="Y"/>
    <s v="N"/>
    <s v="N"/>
    <s v="Y"/>
    <s v="N"/>
    <x v="1"/>
    <s v="N"/>
    <x v="1"/>
    <s v="N"/>
    <n v="0"/>
    <n v="1.5"/>
    <n v="3.33"/>
    <n v="6.5"/>
    <n v="5.66"/>
    <n v="4.33"/>
    <n v="4.66"/>
    <n v="4"/>
    <n v="2.66"/>
    <n v="2.33"/>
    <n v="1.66"/>
    <n v="0"/>
    <n v="36.629999999999995"/>
    <n v="21.333333334000002"/>
    <n v="7.0760236573848792E-2"/>
    <n v="0.76708507671548121"/>
    <m/>
    <m/>
    <n v="47.8"/>
    <s v="Acre-feet per Year"/>
    <s v="U_1"/>
    <n v="0"/>
    <n v="39.32742262"/>
    <n v="-123.22642024"/>
    <s v="MARIPOSA CREEK"/>
  </r>
  <r>
    <s v="A020979"/>
    <n v="19621015"/>
    <n v="17"/>
    <s v="N"/>
    <s v="N"/>
    <s v="N"/>
    <s v="N"/>
    <x v="1"/>
    <s v="Outside"/>
    <s v="Outside"/>
    <x v="0"/>
    <n v="1962"/>
    <x v="2"/>
    <x v="0"/>
    <s v="N"/>
    <s v="N"/>
    <s v="N"/>
    <s v="Y"/>
    <s v="N"/>
    <x v="1"/>
    <s v="N"/>
    <x v="0"/>
    <s v="N"/>
    <n v="0.22"/>
    <n v="0.08"/>
    <n v="0.05"/>
    <n v="0"/>
    <n v="0"/>
    <n v="0"/>
    <n v="0"/>
    <n v="0"/>
    <n v="0"/>
    <n v="0"/>
    <n v="0.236666667"/>
    <n v="0.51666666699999997"/>
    <n v="1.103333334"/>
    <n v="0"/>
    <n v="0"/>
    <n v="0.367777778"/>
    <m/>
    <m/>
    <n v="3"/>
    <s v="Acre-feet per Year"/>
    <s v="L_17"/>
    <n v="0"/>
    <n v="38.560294990000003"/>
    <n v="-122.88238659"/>
    <s v="UNST"/>
  </r>
  <r>
    <s v="A021081"/>
    <n v="19621213"/>
    <n v="23"/>
    <s v="N"/>
    <s v="N"/>
    <s v="N"/>
    <s v="N"/>
    <x v="1"/>
    <s v="Outside"/>
    <s v="Outside"/>
    <x v="0"/>
    <n v="1962"/>
    <x v="2"/>
    <x v="0"/>
    <s v="N"/>
    <s v="N"/>
    <s v="N"/>
    <s v="Y"/>
    <s v="N"/>
    <x v="1"/>
    <s v="N"/>
    <x v="1"/>
    <s v="N"/>
    <n v="5.0000000000000001E-3"/>
    <n v="5.0000000000000001E-3"/>
    <n v="5.0000000000000001E-3"/>
    <n v="5.0000000000000001E-3"/>
    <n v="3.0000000000000001E-3"/>
    <n v="0"/>
    <n v="0"/>
    <n v="0"/>
    <n v="0"/>
    <n v="0"/>
    <n v="0"/>
    <n v="0"/>
    <n v="2.3E-2"/>
    <n v="3.0000000000000001E-3"/>
    <n v="9.9506582678865273E-6"/>
    <n v="7.1874999999999994E-3"/>
    <m/>
    <m/>
    <n v="3.2"/>
    <s v="Acre-feet per Year"/>
    <s v="L_24"/>
    <n v="0"/>
    <n v="38.563400000000001"/>
    <n v="-122.62309999999999"/>
    <s v="UNST"/>
  </r>
  <r>
    <s v="A020583"/>
    <n v="19620201"/>
    <n v="16"/>
    <s v="N"/>
    <s v="N"/>
    <s v="N"/>
    <s v="N"/>
    <x v="1"/>
    <s v="Outside"/>
    <s v="Outside"/>
    <x v="0"/>
    <n v="1962"/>
    <x v="2"/>
    <x v="0"/>
    <s v="N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2"/>
    <n v="1.3333333329999999"/>
    <n v="3.3333333329999997"/>
    <n v="0"/>
    <n v="0"/>
    <n v="0.52910052904761906"/>
    <m/>
    <m/>
    <n v="6.3"/>
    <s v="Acre-feet per Year"/>
    <s v="L_16"/>
    <n v="3.4039024194010059E-4"/>
    <n v="38.593260350000001"/>
    <n v="-122.88069482"/>
    <s v="UNST"/>
  </r>
  <r>
    <s v="A020573"/>
    <n v="19620126"/>
    <n v="15"/>
    <s v="N"/>
    <s v="N"/>
    <s v="N"/>
    <s v="N"/>
    <x v="1"/>
    <s v="Outside"/>
    <s v="Outside"/>
    <x v="0"/>
    <n v="1962"/>
    <x v="2"/>
    <x v="0"/>
    <s v="N"/>
    <s v="N"/>
    <s v="N"/>
    <s v="Y"/>
    <s v="N"/>
    <x v="1"/>
    <s v="N"/>
    <x v="0"/>
    <s v="N"/>
    <n v="0"/>
    <n v="0"/>
    <n v="0"/>
    <n v="0"/>
    <n v="0"/>
    <n v="0"/>
    <n v="0"/>
    <n v="0"/>
    <n v="0"/>
    <n v="0.66666666699999999"/>
    <n v="5"/>
    <n v="5"/>
    <n v="10.666666667000001"/>
    <n v="0"/>
    <n v="0"/>
    <n v="0.46376811595652179"/>
    <m/>
    <m/>
    <n v="23"/>
    <s v="Acre-feet per Year"/>
    <s v="L_15"/>
    <n v="0"/>
    <n v="38.663699999999999"/>
    <n v="-122.94459999999999"/>
    <s v="UNST"/>
  </r>
  <r>
    <s v="A020728"/>
    <n v="19620419"/>
    <n v="16"/>
    <s v="N"/>
    <s v="N"/>
    <s v="N"/>
    <s v="N"/>
    <x v="1"/>
    <s v="Outside"/>
    <s v="Outside"/>
    <x v="0"/>
    <n v="1962"/>
    <x v="2"/>
    <x v="0"/>
    <s v="N"/>
    <s v="N"/>
    <s v="N"/>
    <s v="Y"/>
    <s v="N"/>
    <x v="1"/>
    <s v="N"/>
    <x v="0"/>
    <s v="N"/>
    <n v="3.3333333330000001"/>
    <n v="3"/>
    <n v="1.3333333329999999"/>
    <n v="0.66666666699999999"/>
    <n v="0"/>
    <n v="0"/>
    <n v="0"/>
    <n v="0"/>
    <n v="0"/>
    <n v="0"/>
    <n v="0"/>
    <n v="2"/>
    <n v="10.333333333000001"/>
    <n v="0"/>
    <n v="0"/>
    <n v="0.57407407407407385"/>
    <m/>
    <m/>
    <n v="18"/>
    <s v="Acre-feet per Year"/>
    <s v="L_16"/>
    <n v="0"/>
    <n v="38.581989219999997"/>
    <n v="-122.90568381"/>
    <s v="UNST"/>
  </r>
  <r>
    <s v="A020733"/>
    <n v="19620423"/>
    <n v="16"/>
    <s v="N"/>
    <s v="N"/>
    <s v="N"/>
    <s v="N"/>
    <x v="1"/>
    <s v="Outside"/>
    <s v="Outside"/>
    <x v="0"/>
    <n v="1962"/>
    <x v="2"/>
    <x v="0"/>
    <s v="N"/>
    <s v="N"/>
    <s v="N"/>
    <s v="Y"/>
    <s v="N"/>
    <x v="1"/>
    <s v="N"/>
    <x v="0"/>
    <s v="N"/>
    <n v="5.3333333329999997"/>
    <n v="2.6666666669999999"/>
    <n v="0"/>
    <n v="0"/>
    <n v="0"/>
    <n v="0"/>
    <n v="0"/>
    <n v="0"/>
    <n v="0"/>
    <n v="0"/>
    <n v="2.3333333330000001"/>
    <n v="4.3333333329999997"/>
    <n v="14.666666666000001"/>
    <n v="0"/>
    <n v="0"/>
    <n v="0.91666666662500007"/>
    <m/>
    <m/>
    <n v="16"/>
    <s v="Acre-feet per Year"/>
    <s v="L_16"/>
    <n v="0"/>
    <n v="38.599419930000003"/>
    <n v="-122.90106694000001"/>
    <s v="UNST"/>
  </r>
  <r>
    <s v="A020951"/>
    <n v="19620920"/>
    <n v="16"/>
    <s v="N"/>
    <s v="N"/>
    <s v="N"/>
    <s v="N"/>
    <x v="1"/>
    <s v="Outside"/>
    <s v="Outside"/>
    <x v="0"/>
    <n v="1962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9"/>
    <s v="Acre-feet per Year"/>
    <s v="L_16"/>
    <n v="0"/>
    <n v="38.603626060000003"/>
    <n v="-122.92491692"/>
    <s v="UNST"/>
  </r>
  <r>
    <s v="A021015"/>
    <n v="19621113"/>
    <n v="19"/>
    <s v="N"/>
    <s v="N"/>
    <s v="N"/>
    <s v="N"/>
    <x v="1"/>
    <s v="Outside"/>
    <s v="Outside"/>
    <x v="0"/>
    <n v="1962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"/>
    <s v="Acre-feet per Year"/>
    <s v="L_19"/>
    <n v="0"/>
    <n v="38.481502229999997"/>
    <n v="-122.94953873"/>
    <s v="UNST"/>
  </r>
  <r>
    <s v="A019921"/>
    <n v="19610117"/>
    <n v="12"/>
    <s v="N"/>
    <s v="Y"/>
    <s v="Y"/>
    <s v="Y"/>
    <x v="0"/>
    <s v="West Fork and Below Lake"/>
    <s v="Sonoma (d/s of Clov. Gage)"/>
    <x v="0"/>
    <n v="1961"/>
    <x v="2"/>
    <x v="0"/>
    <s v="Y"/>
    <s v="N"/>
    <s v="N"/>
    <s v="Y"/>
    <s v="N"/>
    <x v="1"/>
    <s v="N"/>
    <x v="0"/>
    <s v="N"/>
    <n v="1.33"/>
    <n v="0.66"/>
    <n v="0"/>
    <n v="0"/>
    <n v="0"/>
    <n v="0"/>
    <n v="0"/>
    <n v="0"/>
    <n v="0"/>
    <n v="0"/>
    <n v="0.33"/>
    <n v="0.66"/>
    <n v="2.9800000000000004"/>
    <n v="0"/>
    <n v="0"/>
    <n v="0.42857142857142855"/>
    <m/>
    <m/>
    <n v="7"/>
    <s v="Acre-feet per Year"/>
    <s v="U_12"/>
    <n v="0"/>
    <n v="38.589025249999999"/>
    <n v="-122.64797498999999"/>
    <s v="UNST"/>
  </r>
  <r>
    <s v="A020071"/>
    <n v="19610406"/>
    <n v="23"/>
    <s v="N"/>
    <s v="N"/>
    <s v="N"/>
    <s v="N"/>
    <x v="1"/>
    <s v="Outside"/>
    <s v="Outside"/>
    <x v="0"/>
    <n v="1961"/>
    <x v="2"/>
    <x v="0"/>
    <s v="N"/>
    <s v="N"/>
    <s v="N"/>
    <s v="Y"/>
    <s v="N"/>
    <x v="1"/>
    <s v="N"/>
    <x v="1"/>
    <s v="N"/>
    <n v="0.8"/>
    <n v="0.3"/>
    <n v="0.8"/>
    <n v="0.2"/>
    <n v="0.05"/>
    <n v="2.5000000000000001E-2"/>
    <n v="0"/>
    <n v="0"/>
    <n v="0"/>
    <n v="0.3"/>
    <n v="0.75"/>
    <n v="0.65"/>
    <n v="3.8749999999999996"/>
    <n v="7.5000000000000011E-2"/>
    <n v="2.4876645669716325E-4"/>
    <n v="0.77499999999999991"/>
    <m/>
    <m/>
    <n v="5"/>
    <s v="Acre-feet per Year"/>
    <s v="L_23"/>
    <n v="0"/>
    <n v="38.561033449999996"/>
    <n v="-122.77922162"/>
    <s v="UNST"/>
  </r>
  <r>
    <s v="A020078"/>
    <n v="19610410"/>
    <n v="23"/>
    <s v="N"/>
    <s v="N"/>
    <s v="N"/>
    <s v="N"/>
    <x v="1"/>
    <s v="Outside"/>
    <s v="Outside"/>
    <x v="0"/>
    <n v="1961"/>
    <x v="2"/>
    <x v="0"/>
    <s v="N"/>
    <s v="N"/>
    <s v="N"/>
    <s v="Y"/>
    <s v="N"/>
    <x v="1"/>
    <s v="N"/>
    <x v="1"/>
    <s v="N"/>
    <n v="5.7355333000000001E-2"/>
    <n v="5.7355333000000001E-2"/>
    <n v="5.7355333000000001E-2"/>
    <n v="5.0688667E-2"/>
    <n v="0.02"/>
    <n v="0"/>
    <n v="0"/>
    <n v="0"/>
    <n v="0"/>
    <n v="6.1380000000000002E-3"/>
    <n v="1.5608667E-2"/>
    <n v="4.5608666999999999E-2"/>
    <n v="0.31011"/>
    <n v="0.02"/>
    <n v="6.6337721785910187E-5"/>
    <n v="2.3854615384615384E-2"/>
    <m/>
    <m/>
    <n v="13"/>
    <s v="Acre-feet per Year"/>
    <s v="L_23"/>
    <n v="0"/>
    <n v="38.562401659999999"/>
    <n v="-122.77993606"/>
    <s v="UNST"/>
  </r>
  <r>
    <s v="A020100"/>
    <n v="19610424"/>
    <n v="10"/>
    <s v="N"/>
    <s v="Y"/>
    <s v="Y"/>
    <s v="Y"/>
    <x v="0"/>
    <s v="West Fork and Below Lake"/>
    <s v="Sonoma (d/s of Clov. Gage)"/>
    <x v="0"/>
    <n v="1961"/>
    <x v="2"/>
    <x v="0"/>
    <s v="Y"/>
    <s v="N"/>
    <s v="N"/>
    <s v="Y"/>
    <s v="N"/>
    <x v="1"/>
    <s v="N"/>
    <x v="0"/>
    <s v="N"/>
    <n v="6.73"/>
    <n v="1.26"/>
    <n v="0"/>
    <n v="0"/>
    <n v="0"/>
    <n v="0"/>
    <n v="0"/>
    <n v="0"/>
    <n v="0"/>
    <n v="1.9"/>
    <n v="2.36"/>
    <n v="35.630000000000003"/>
    <n v="47.88"/>
    <n v="0"/>
    <n v="0"/>
    <n v="0.47899999997000003"/>
    <m/>
    <m/>
    <n v="100"/>
    <s v="Acre-feet per Year"/>
    <s v="U_10"/>
    <n v="0"/>
    <n v="38.650078669999999"/>
    <n v="-122.84707906"/>
    <s v="UNST"/>
  </r>
  <r>
    <s v="A020127"/>
    <n v="19610512"/>
    <n v="23"/>
    <s v="N"/>
    <s v="N"/>
    <s v="N"/>
    <s v="N"/>
    <x v="1"/>
    <s v="Outside"/>
    <s v="Outside"/>
    <x v="0"/>
    <n v="1961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1"/>
    <s v="Acre-feet per Year"/>
    <s v="L_27"/>
    <n v="0"/>
    <n v="38.506394139999998"/>
    <n v="-122.69160778"/>
    <s v="RINCON CREEK"/>
  </r>
  <r>
    <s v="A020129"/>
    <n v="19610515"/>
    <n v="14"/>
    <s v="N"/>
    <s v="N"/>
    <s v="N"/>
    <s v="N"/>
    <x v="1"/>
    <s v="Outside"/>
    <s v="Outside"/>
    <x v="0"/>
    <n v="1961"/>
    <x v="2"/>
    <x v="0"/>
    <s v="N"/>
    <s v="N"/>
    <s v="N"/>
    <s v="Y"/>
    <s v="N"/>
    <x v="1"/>
    <s v="N"/>
    <x v="0"/>
    <s v="N"/>
    <n v="1.1499999999999999"/>
    <n v="1.766666667"/>
    <n v="0.6"/>
    <n v="0.3"/>
    <n v="0"/>
    <n v="0"/>
    <n v="0"/>
    <n v="0"/>
    <n v="0"/>
    <n v="0"/>
    <n v="0.6"/>
    <n v="0.58333333300000001"/>
    <n v="4.9999999999999991"/>
    <n v="0"/>
    <n v="0"/>
    <n v="0.49999999999999989"/>
    <m/>
    <m/>
    <n v="10"/>
    <s v="Acre-feet per Year"/>
    <s v="L_14"/>
    <n v="0"/>
    <n v="38.720999999999997"/>
    <n v="-122.9598"/>
    <s v="UNST"/>
  </r>
  <r>
    <s v="A020134"/>
    <n v="19610517"/>
    <n v="21"/>
    <s v="N"/>
    <s v="N"/>
    <s v="N"/>
    <s v="N"/>
    <x v="1"/>
    <s v="Outside"/>
    <s v="Outside"/>
    <x v="0"/>
    <n v="1961"/>
    <x v="2"/>
    <x v="0"/>
    <s v="N"/>
    <s v="N"/>
    <s v="N"/>
    <s v="Y"/>
    <s v="N"/>
    <x v="1"/>
    <s v="N"/>
    <x v="1"/>
    <s v="N"/>
    <n v="0.11749999999999999"/>
    <n v="8.8400000000000006E-2"/>
    <n v="0.42926666699999999"/>
    <n v="0.20080000000000001"/>
    <n v="3.2899999999999999E-2"/>
    <n v="2.1100000000000001E-2"/>
    <n v="1.3599999999999999E-2"/>
    <n v="4.6899999999999997E-2"/>
    <n v="2.41E-2"/>
    <n v="1.47E-2"/>
    <n v="0.111033333"/>
    <n v="0.20396666699999999"/>
    <n v="1.304266667"/>
    <n v="0.1386"/>
    <n v="4.5972041197635759E-4"/>
    <n v="5.1552042173913043E-2"/>
    <m/>
    <m/>
    <n v="25.3"/>
    <s v="Acre-feet per Year"/>
    <s v="L_21"/>
    <n v="3.4039024194010059E-4"/>
    <n v="38.431881920000002"/>
    <n v="-122.97262053999999"/>
    <s v="UNST"/>
  </r>
  <r>
    <s v="A020147"/>
    <n v="19610525"/>
    <n v="23"/>
    <s v="N"/>
    <s v="N"/>
    <s v="N"/>
    <s v="N"/>
    <x v="1"/>
    <s v="Outside"/>
    <s v="Outside"/>
    <x v="0"/>
    <n v="1961"/>
    <x v="2"/>
    <x v="0"/>
    <s v="N"/>
    <s v="N"/>
    <s v="N"/>
    <s v="Y"/>
    <s v="N"/>
    <x v="1"/>
    <s v="N"/>
    <x v="0"/>
    <s v="N"/>
    <n v="0.1"/>
    <n v="0"/>
    <n v="0"/>
    <n v="0"/>
    <n v="0"/>
    <n v="0"/>
    <n v="0"/>
    <n v="0"/>
    <n v="0"/>
    <n v="0"/>
    <n v="0.66666666699999999"/>
    <n v="0"/>
    <n v="0.76666666699999997"/>
    <n v="0"/>
    <n v="0"/>
    <n v="0.12777777783333333"/>
    <m/>
    <m/>
    <n v="6"/>
    <s v="Acre-feet per Year"/>
    <s v="L_25"/>
    <n v="0"/>
    <n v="38.464096410000003"/>
    <n v="-122.8574493"/>
    <s v="UNST"/>
  </r>
  <r>
    <s v="A020261"/>
    <n v="19610613"/>
    <n v="20"/>
    <s v="N"/>
    <s v="N"/>
    <s v="N"/>
    <s v="N"/>
    <x v="1"/>
    <s v="Outside"/>
    <s v="Outside"/>
    <x v="0"/>
    <n v="1961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.5"/>
    <s v="Acre-feet per Year"/>
    <s v="L_20"/>
    <n v="0"/>
    <n v="38.556115550000001"/>
    <n v="-123.11280266999999"/>
    <s v="UNST"/>
  </r>
  <r>
    <s v="A020264"/>
    <n v="19610614"/>
    <n v="17"/>
    <s v="N"/>
    <s v="N"/>
    <s v="N"/>
    <s v="N"/>
    <x v="1"/>
    <s v="Outside"/>
    <s v="Outside"/>
    <x v="0"/>
    <n v="1961"/>
    <x v="2"/>
    <x v="0"/>
    <s v="N"/>
    <s v="N"/>
    <s v="N"/>
    <s v="Y"/>
    <s v="N"/>
    <x v="1"/>
    <s v="N"/>
    <x v="0"/>
    <s v="N"/>
    <n v="3.8333333330000001"/>
    <n v="1"/>
    <n v="1"/>
    <n v="0.33333333300000001"/>
    <n v="0"/>
    <n v="0"/>
    <n v="0"/>
    <n v="0"/>
    <n v="0"/>
    <n v="0"/>
    <n v="1.066666667"/>
    <n v="3.6"/>
    <n v="10.833333333000001"/>
    <n v="0"/>
    <n v="0"/>
    <n v="1.0833333333333335"/>
    <m/>
    <m/>
    <n v="10"/>
    <s v="Acre-feet per Year"/>
    <s v="L_17"/>
    <n v="0"/>
    <n v="38.564999999999998"/>
    <n v="-122.87820000000001"/>
    <s v="UNST"/>
  </r>
  <r>
    <s v="A020333"/>
    <n v="19610731"/>
    <n v="12"/>
    <s v="N"/>
    <s v="Y"/>
    <s v="Y"/>
    <s v="Y"/>
    <x v="0"/>
    <s v="West Fork and Below Lake"/>
    <s v="Sonoma (d/s of Clov. Gage)"/>
    <x v="0"/>
    <n v="1961"/>
    <x v="2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6"/>
    <s v="Acre-feet per Year"/>
    <s v="U_12"/>
    <n v="0"/>
    <n v="38.615977579999999"/>
    <n v="-122.68847024"/>
    <s v="UNST"/>
  </r>
  <r>
    <s v="A020384"/>
    <n v="19610907"/>
    <n v="21"/>
    <s v="N"/>
    <s v="N"/>
    <s v="N"/>
    <s v="N"/>
    <x v="1"/>
    <s v="Outside"/>
    <s v="Outside"/>
    <x v="0"/>
    <n v="1961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2"/>
    <s v="Acre-feet per Year"/>
    <s v="L_21"/>
    <n v="0"/>
    <n v="38.551211700000003"/>
    <n v="-123.01900654000001"/>
    <s v="UNST"/>
  </r>
  <r>
    <s v="A020401"/>
    <n v="19610919"/>
    <n v="23"/>
    <s v="N"/>
    <s v="N"/>
    <s v="N"/>
    <s v="N"/>
    <x v="1"/>
    <s v="Outside"/>
    <s v="Outside"/>
    <x v="0"/>
    <n v="1961"/>
    <x v="2"/>
    <x v="0"/>
    <s v="N"/>
    <s v="N"/>
    <s v="N"/>
    <s v="Y"/>
    <s v="N"/>
    <x v="1"/>
    <s v="N"/>
    <x v="0"/>
    <s v="N"/>
    <n v="1.53"/>
    <n v="1.276666667"/>
    <n v="1.153333333"/>
    <n v="0.37666666700000001"/>
    <n v="0"/>
    <n v="0"/>
    <n v="0"/>
    <n v="0"/>
    <n v="0"/>
    <n v="0"/>
    <n v="0.87666666699999996"/>
    <n v="1.413333333"/>
    <n v="6.6266666670000003"/>
    <n v="0"/>
    <n v="0"/>
    <n v="0.97450980397058828"/>
    <m/>
    <m/>
    <n v="6.8"/>
    <s v="Acre-feet per Year"/>
    <s v="L_23"/>
    <n v="0"/>
    <n v="38.587733020000002"/>
    <n v="-122.79018435"/>
    <s v="UNST"/>
  </r>
  <r>
    <s v="A020435"/>
    <n v="19611013"/>
    <n v="23"/>
    <s v="N"/>
    <s v="N"/>
    <s v="N"/>
    <s v="N"/>
    <x v="1"/>
    <s v="Outside"/>
    <s v="Outside"/>
    <x v="0"/>
    <n v="1961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"/>
    <s v="Acre-feet per Year"/>
    <s v="L_24"/>
    <n v="0"/>
    <n v="38.516518120000001"/>
    <n v="-122.69764755999999"/>
    <s v="UNST"/>
  </r>
  <r>
    <s v="A020436"/>
    <n v="19611016"/>
    <n v="9"/>
    <s v="N"/>
    <s v="Y"/>
    <s v="Y"/>
    <s v="Y"/>
    <x v="0"/>
    <s v="West Fork and Below Lake"/>
    <s v="Sonoma (d/s of Clov. Gage)"/>
    <x v="0"/>
    <n v="1961"/>
    <x v="2"/>
    <x v="0"/>
    <s v="Y"/>
    <s v="N"/>
    <s v="N"/>
    <s v="Y"/>
    <s v="N"/>
    <x v="1"/>
    <s v="N"/>
    <x v="0"/>
    <s v="N"/>
    <n v="1.33"/>
    <n v="0"/>
    <n v="0"/>
    <n v="0"/>
    <n v="0"/>
    <n v="0"/>
    <n v="0"/>
    <n v="0"/>
    <n v="0"/>
    <n v="3.66"/>
    <n v="4.33"/>
    <n v="4"/>
    <n v="13.32"/>
    <n v="0"/>
    <n v="0"/>
    <n v="0.4301075268709677"/>
    <m/>
    <m/>
    <n v="31"/>
    <s v="Acre-feet per Year"/>
    <s v="U_9"/>
    <n v="0"/>
    <n v="38.74448082"/>
    <n v="-122.92709695000001"/>
    <s v="UNST"/>
  </r>
  <r>
    <s v="A020491"/>
    <n v="19611110"/>
    <n v="23"/>
    <s v="N"/>
    <s v="N"/>
    <s v="N"/>
    <s v="N"/>
    <x v="1"/>
    <s v="Outside"/>
    <s v="Outside"/>
    <x v="0"/>
    <n v="1961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25"/>
    <s v="Acre-feet per Year"/>
    <s v="L_25"/>
    <n v="0"/>
    <n v="38.465330190000003"/>
    <n v="-122.83895246"/>
    <s v="MARK WEST CREEK"/>
  </r>
  <r>
    <s v="A020540"/>
    <n v="19611227"/>
    <n v="5"/>
    <s v="Y"/>
    <s v="N"/>
    <s v="Y"/>
    <s v="Y"/>
    <x v="0"/>
    <s v="West Fork and Below Lake"/>
    <s v="Mendocino (d/s of lake)"/>
    <x v="0"/>
    <n v="1961"/>
    <x v="2"/>
    <x v="1"/>
    <s v="Y"/>
    <s v="N"/>
    <s v="N"/>
    <s v="Y"/>
    <s v="N"/>
    <x v="1"/>
    <s v="N"/>
    <x v="1"/>
    <s v="N"/>
    <n v="0"/>
    <n v="0"/>
    <n v="0"/>
    <n v="0"/>
    <n v="1.34"/>
    <n v="21.95"/>
    <n v="33.64"/>
    <n v="0"/>
    <n v="0"/>
    <n v="0"/>
    <n v="0"/>
    <n v="0"/>
    <n v="56.93"/>
    <n v="56.940000000000026"/>
    <n v="0.18886349392448637"/>
    <n v="0.16315186246418345"/>
    <m/>
    <m/>
    <n v="349"/>
    <s v="Acre-feet per Year"/>
    <s v="U_5"/>
    <n v="0"/>
    <n v="39.076924320000003"/>
    <n v="-123.16277613"/>
    <s v="RUSSIAN RIVER"/>
  </r>
  <r>
    <s v="A020005"/>
    <n v="19610223"/>
    <n v="16"/>
    <s v="N"/>
    <s v="N"/>
    <s v="N"/>
    <s v="N"/>
    <x v="1"/>
    <s v="Outside"/>
    <s v="Outside"/>
    <x v="0"/>
    <n v="1961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.3"/>
    <s v="Acre-feet per Year"/>
    <s v="L_16"/>
    <n v="3.4039024194010059E-4"/>
    <n v="38.575313850000001"/>
    <n v="-122.89341650999999"/>
    <s v="DRY CREEK UNDERFLOW"/>
  </r>
  <r>
    <s v="A020015"/>
    <n v="19610302"/>
    <n v="16"/>
    <s v="N"/>
    <s v="N"/>
    <s v="N"/>
    <s v="N"/>
    <x v="1"/>
    <s v="Outside"/>
    <s v="Outside"/>
    <x v="0"/>
    <n v="1961"/>
    <x v="2"/>
    <x v="0"/>
    <s v="N"/>
    <s v="N"/>
    <s v="N"/>
    <s v="Y"/>
    <s v="N"/>
    <x v="1"/>
    <s v="N"/>
    <x v="0"/>
    <s v="N"/>
    <n v="0.33333333300000001"/>
    <n v="0.46666666699999998"/>
    <n v="0.233333333"/>
    <n v="0.26666666700000002"/>
    <n v="0"/>
    <n v="0"/>
    <n v="0"/>
    <n v="0"/>
    <n v="0"/>
    <n v="0.83333333300000001"/>
    <n v="2.4"/>
    <n v="0.9"/>
    <n v="5.4333333330000002"/>
    <n v="0"/>
    <n v="0"/>
    <n v="0.97023809517857151"/>
    <m/>
    <m/>
    <n v="5.6"/>
    <s v="Acre-feet per Year"/>
    <s v="L_16"/>
    <n v="0"/>
    <n v="38.659700000000001"/>
    <n v="-122.8938"/>
    <s v="UNST"/>
  </r>
  <r>
    <s v="A020114"/>
    <n v="19610508"/>
    <n v="16"/>
    <s v="N"/>
    <s v="N"/>
    <s v="N"/>
    <s v="N"/>
    <x v="1"/>
    <s v="Outside"/>
    <s v="Outside"/>
    <x v="0"/>
    <n v="1961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"/>
    <s v="Acre-feet per Year"/>
    <s v="L_16"/>
    <n v="0"/>
    <n v="38.634322679999997"/>
    <n v="-122.93231708"/>
    <s v="KELLEY CREEK"/>
  </r>
  <r>
    <s v="A020493"/>
    <n v="19611114"/>
    <n v="16"/>
    <s v="N"/>
    <s v="N"/>
    <s v="N"/>
    <s v="N"/>
    <x v="1"/>
    <s v="Outside"/>
    <s v="Outside"/>
    <x v="0"/>
    <n v="1961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9.7"/>
    <s v="Acre-feet per Year"/>
    <s v="L_16"/>
    <n v="0"/>
    <n v="38.628931610000002"/>
    <n v="-122.9196438"/>
    <s v="UNST"/>
  </r>
  <r>
    <s v="A019336"/>
    <n v="19600401"/>
    <n v="1"/>
    <s v="N"/>
    <s v="N"/>
    <s v="Y"/>
    <s v="Y"/>
    <x v="0"/>
    <s v="West Fork and Below Lake"/>
    <s v="Outside"/>
    <x v="0"/>
    <n v="1960"/>
    <x v="2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.7"/>
    <s v="Acre-feet per Year"/>
    <s v="U_1"/>
    <n v="0"/>
    <n v="39.291773790000001"/>
    <n v="-123.22191398"/>
    <s v="UNST"/>
  </r>
  <r>
    <s v="A019339"/>
    <n v="19600404"/>
    <n v="12"/>
    <s v="N"/>
    <s v="Y"/>
    <s v="Y"/>
    <s v="Y"/>
    <x v="0"/>
    <s v="West Fork and Below Lake"/>
    <s v="Sonoma (d/s of Clov. Gage)"/>
    <x v="0"/>
    <n v="1960"/>
    <x v="2"/>
    <x v="1"/>
    <s v="Y"/>
    <s v="N"/>
    <s v="N"/>
    <s v="Y"/>
    <s v="N"/>
    <x v="1"/>
    <s v="N"/>
    <x v="1"/>
    <s v="N"/>
    <n v="0"/>
    <n v="0"/>
    <n v="0"/>
    <n v="0"/>
    <n v="0.19"/>
    <n v="0.39"/>
    <n v="0.57999999999999996"/>
    <n v="0.57999999999999996"/>
    <n v="0.49"/>
    <n v="0.24"/>
    <n v="0"/>
    <n v="0"/>
    <n v="2.4700000000000006"/>
    <n v="2.2587009999999998"/>
    <n v="7.4918539267778556E-3"/>
    <n v="3.3840702702702702E-2"/>
    <m/>
    <m/>
    <n v="74"/>
    <s v="Acre-feet per Year"/>
    <s v="U_12"/>
    <n v="0"/>
    <n v="38.630324280000004"/>
    <n v="-122.84474391000001"/>
    <s v="RUSSIAN RIVER"/>
  </r>
  <r>
    <s v="A019351"/>
    <n v="19600412"/>
    <n v="17"/>
    <s v="N"/>
    <s v="N"/>
    <s v="N"/>
    <s v="N"/>
    <x v="1"/>
    <s v="Outside"/>
    <s v="Outside"/>
    <x v="0"/>
    <n v="1960"/>
    <x v="3"/>
    <x v="1"/>
    <s v="N"/>
    <s v="N"/>
    <s v="N"/>
    <s v="Y"/>
    <s v="N"/>
    <x v="1"/>
    <s v="N"/>
    <x v="1"/>
    <s v="N"/>
    <n v="20872.66"/>
    <n v="3561"/>
    <n v="5227.66"/>
    <n v="4149"/>
    <n v="105.33"/>
    <n v="0"/>
    <n v="85"/>
    <n v="0"/>
    <n v="0"/>
    <n v="0"/>
    <n v="8"/>
    <n v="5651"/>
    <n v="39659.65"/>
    <n v="190.32999999999998"/>
    <n v="0.63130292937561416"/>
    <n v="0.10567002206140959"/>
    <m/>
    <m/>
    <n v="375316"/>
    <s v="Acre-feet per Year"/>
    <s v="L_17"/>
    <n v="0"/>
    <n v="38.555357600000001"/>
    <n v="-122.85524703"/>
    <s v="RUSSIAN RIVER"/>
  </r>
  <r>
    <s v="A019422"/>
    <n v="19600506"/>
    <n v="23"/>
    <s v="N"/>
    <s v="N"/>
    <s v="N"/>
    <s v="N"/>
    <x v="1"/>
    <s v="Outside"/>
    <s v="Outside"/>
    <x v="0"/>
    <n v="1960"/>
    <x v="2"/>
    <x v="0"/>
    <s v="N"/>
    <s v="N"/>
    <s v="N"/>
    <s v="Y"/>
    <s v="N"/>
    <x v="1"/>
    <s v="N"/>
    <x v="0"/>
    <s v="N"/>
    <n v="3.6666666669999999"/>
    <n v="1.5"/>
    <n v="3.5"/>
    <n v="0"/>
    <n v="0"/>
    <n v="0"/>
    <n v="0"/>
    <n v="0"/>
    <n v="0"/>
    <n v="0"/>
    <n v="0.133333333"/>
    <n v="1.5"/>
    <n v="10.299999999999999"/>
    <n v="0"/>
    <n v="0"/>
    <n v="0.2452380952380952"/>
    <m/>
    <m/>
    <n v="42"/>
    <s v="Acre-feet per Year"/>
    <s v="L_27"/>
    <n v="0"/>
    <n v="38.445408380000003"/>
    <n v="-122.59744238"/>
    <s v="UNST"/>
  </r>
  <r>
    <s v="A019427"/>
    <n v="19600509"/>
    <n v="10"/>
    <s v="N"/>
    <s v="Y"/>
    <s v="Y"/>
    <s v="Y"/>
    <x v="0"/>
    <s v="West Fork and Below Lake"/>
    <s v="Sonoma (d/s of Clov. Gage)"/>
    <x v="0"/>
    <n v="1960"/>
    <x v="2"/>
    <x v="0"/>
    <s v="Y"/>
    <s v="N"/>
    <s v="N"/>
    <s v="Y"/>
    <s v="N"/>
    <x v="1"/>
    <s v="N"/>
    <x v="0"/>
    <s v="N"/>
    <n v="0"/>
    <n v="0"/>
    <n v="14.97"/>
    <n v="0"/>
    <n v="0"/>
    <n v="0"/>
    <n v="0"/>
    <n v="0"/>
    <n v="0"/>
    <n v="0"/>
    <n v="0"/>
    <n v="0"/>
    <n v="14.97"/>
    <n v="0"/>
    <n v="0"/>
    <n v="0.998"/>
    <m/>
    <m/>
    <n v="15"/>
    <s v="Acre-feet per Year"/>
    <s v="U_10"/>
    <n v="0"/>
    <n v="38.69175577"/>
    <n v="-122.81744165000001"/>
    <s v="UNST"/>
  </r>
  <r>
    <s v="A019444"/>
    <n v="19600523"/>
    <n v="23"/>
    <s v="N"/>
    <s v="N"/>
    <s v="N"/>
    <s v="N"/>
    <x v="1"/>
    <s v="Outside"/>
    <s v="Outside"/>
    <x v="0"/>
    <n v="1960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7"/>
    <s v="Acre-feet per Year"/>
    <s v="L_23"/>
    <n v="0"/>
    <n v="38.556275380000002"/>
    <n v="-122.75119229000001"/>
    <s v="POOL CREEK"/>
  </r>
  <r>
    <s v="A019470"/>
    <n v="19600602"/>
    <n v="21"/>
    <s v="N"/>
    <s v="N"/>
    <s v="N"/>
    <s v="N"/>
    <x v="1"/>
    <s v="Outside"/>
    <s v="Outside"/>
    <x v="0"/>
    <n v="1960"/>
    <x v="2"/>
    <x v="1"/>
    <s v="N"/>
    <s v="N"/>
    <s v="N"/>
    <s v="Y"/>
    <s v="N"/>
    <x v="1"/>
    <s v="N"/>
    <x v="1"/>
    <s v="N"/>
    <n v="0.20031654700000001"/>
    <n v="0.23140461100000001"/>
    <n v="0.20422431299999999"/>
    <n v="0.185688197"/>
    <n v="0.22783405300000001"/>
    <n v="0.237869673"/>
    <n v="0.32306163100000002"/>
    <n v="0.357750489"/>
    <n v="0.18288519"/>
    <n v="0.18445050299999999"/>
    <n v="0.16226226299999999"/>
    <n v="0.198587603"/>
    <n v="2.6963350730000002"/>
    <n v="1.3294010359999999"/>
    <n v="4.4094718034034383E-3"/>
    <n v="0.21921423357723577"/>
    <m/>
    <m/>
    <n v="12.3"/>
    <s v="Acre-feet per Year"/>
    <s v="L_21"/>
    <n v="3.4039024194010059E-4"/>
    <n v="38.43265263"/>
    <n v="-123.10110716"/>
    <s v="UNST"/>
  </r>
  <r>
    <s v="A019515"/>
    <n v="19600705"/>
    <n v="21"/>
    <s v="N"/>
    <s v="N"/>
    <s v="N"/>
    <s v="N"/>
    <x v="1"/>
    <s v="Outside"/>
    <s v="Outside"/>
    <x v="0"/>
    <n v="1960"/>
    <x v="2"/>
    <x v="0"/>
    <s v="N"/>
    <s v="N"/>
    <s v="N"/>
    <s v="Y"/>
    <s v="N"/>
    <x v="1"/>
    <s v="N"/>
    <x v="1"/>
    <s v="N"/>
    <n v="1.790666667"/>
    <n v="0.39400000000000002"/>
    <n v="0.165333333"/>
    <n v="0.23400000000000001"/>
    <n v="0.02"/>
    <n v="0"/>
    <n v="0"/>
    <n v="0"/>
    <n v="0"/>
    <n v="0"/>
    <n v="1"/>
    <n v="1.3833333329999999"/>
    <n v="4.9873333330000005"/>
    <n v="0.02"/>
    <n v="6.6337721785910187E-5"/>
    <n v="0.29337254900000004"/>
    <m/>
    <m/>
    <n v="17"/>
    <s v="Acre-feet per Year"/>
    <s v="L_21"/>
    <n v="0"/>
    <n v="38.412091959999998"/>
    <n v="-122.94163801000001"/>
    <s v="UNST"/>
  </r>
  <r>
    <s v="A019557"/>
    <n v="19600718"/>
    <n v="23"/>
    <s v="N"/>
    <s v="N"/>
    <s v="N"/>
    <s v="N"/>
    <x v="1"/>
    <s v="Outside"/>
    <s v="Outside"/>
    <x v="0"/>
    <n v="1960"/>
    <x v="2"/>
    <x v="0"/>
    <s v="N"/>
    <s v="N"/>
    <s v="N"/>
    <s v="Y"/>
    <s v="N"/>
    <x v="1"/>
    <s v="N"/>
    <x v="1"/>
    <s v="N"/>
    <n v="0.38866666700000002"/>
    <n v="0.83299999999999996"/>
    <n v="1.594433333"/>
    <n v="0.45553333299999998"/>
    <n v="0.22093333300000001"/>
    <n v="0"/>
    <n v="0"/>
    <n v="0"/>
    <n v="0"/>
    <n v="0"/>
    <n v="0.1111"/>
    <n v="1.356333333"/>
    <n v="4.9599999989999999"/>
    <n v="0.22093333300000001"/>
    <n v="7.3281069888939251E-4"/>
    <n v="0.12097560973170732"/>
    <m/>
    <m/>
    <n v="41"/>
    <s v="Acre-feet per Year"/>
    <s v="L_23"/>
    <n v="0"/>
    <n v="38.566394359999997"/>
    <n v="-122.79851737"/>
    <s v="UNST"/>
  </r>
  <r>
    <s v="A019649"/>
    <n v="19600804"/>
    <n v="14"/>
    <s v="N"/>
    <s v="N"/>
    <s v="N"/>
    <s v="N"/>
    <x v="1"/>
    <s v="Outside"/>
    <s v="Outside"/>
    <x v="0"/>
    <n v="1960"/>
    <x v="2"/>
    <x v="0"/>
    <s v="N"/>
    <s v="N"/>
    <s v="N"/>
    <s v="Y"/>
    <s v="N"/>
    <x v="1"/>
    <s v="N"/>
    <x v="1"/>
    <s v="N"/>
    <n v="2"/>
    <n v="0"/>
    <n v="1"/>
    <n v="1"/>
    <n v="1"/>
    <n v="0.5"/>
    <n v="0"/>
    <n v="0"/>
    <n v="0"/>
    <n v="0"/>
    <n v="0"/>
    <n v="0.5"/>
    <n v="6"/>
    <n v="1.5"/>
    <n v="4.9753291339432633E-3"/>
    <n v="0.4"/>
    <m/>
    <m/>
    <n v="15"/>
    <s v="Acre-feet per Year"/>
    <s v="L_14"/>
    <n v="0"/>
    <n v="38.718699999999998"/>
    <n v="-122.95569999999999"/>
    <s v="UNST"/>
  </r>
  <r>
    <s v="A019652"/>
    <n v="19600809"/>
    <n v="23"/>
    <s v="N"/>
    <s v="N"/>
    <s v="N"/>
    <s v="N"/>
    <x v="1"/>
    <s v="Outside"/>
    <s v="Outside"/>
    <x v="0"/>
    <n v="1960"/>
    <x v="2"/>
    <x v="0"/>
    <s v="N"/>
    <s v="N"/>
    <s v="N"/>
    <s v="Y"/>
    <s v="N"/>
    <x v="1"/>
    <s v="N"/>
    <x v="1"/>
    <s v="N"/>
    <n v="0"/>
    <n v="0"/>
    <n v="0.16666666699999999"/>
    <n v="0.33333333300000001"/>
    <n v="0.5"/>
    <n v="0.5"/>
    <n v="0.66666666699999999"/>
    <n v="0.66666666699999999"/>
    <n v="0.66666666699999999"/>
    <n v="0.66666666699999999"/>
    <n v="0.5"/>
    <n v="0"/>
    <n v="4.6666666679999995"/>
    <n v="3.0000000009999996"/>
    <n v="9.9506582712034115E-3"/>
    <n v="0.23333333339999998"/>
    <m/>
    <m/>
    <n v="20"/>
    <s v="Acre-feet per Year"/>
    <s v="L_28"/>
    <n v="0"/>
    <n v="38.318829409999999"/>
    <n v="-122.78042369000001"/>
    <s v="WEST FORK GOSSAGE CREEK"/>
  </r>
  <r>
    <s v="A019798"/>
    <n v="19601004"/>
    <n v="23"/>
    <s v="N"/>
    <s v="N"/>
    <s v="N"/>
    <s v="N"/>
    <x v="1"/>
    <s v="Outside"/>
    <s v="Outside"/>
    <x v="0"/>
    <n v="1960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6"/>
    <s v="Acre-feet per Year"/>
    <s v="L_23"/>
    <n v="0"/>
    <n v="38.521266079999997"/>
    <n v="-122.81199463"/>
    <s v="UNST"/>
  </r>
  <r>
    <s v="A019806"/>
    <n v="19601007"/>
    <n v="23"/>
    <s v="N"/>
    <s v="N"/>
    <s v="N"/>
    <s v="N"/>
    <x v="1"/>
    <s v="Outside"/>
    <s v="Outside"/>
    <x v="0"/>
    <n v="1960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1"/>
    <s v="Acre-feet per Year"/>
    <s v="L_26"/>
    <n v="0"/>
    <n v="38.473999999999997"/>
    <n v="-122.7145"/>
    <s v="UNST"/>
  </r>
  <r>
    <s v="A019891"/>
    <n v="19601227"/>
    <n v="23"/>
    <s v="N"/>
    <s v="N"/>
    <s v="N"/>
    <s v="N"/>
    <x v="1"/>
    <s v="Outside"/>
    <s v="Outside"/>
    <x v="0"/>
    <n v="1960"/>
    <x v="2"/>
    <x v="0"/>
    <s v="N"/>
    <s v="N"/>
    <s v="N"/>
    <s v="Y"/>
    <s v="N"/>
    <x v="1"/>
    <s v="N"/>
    <x v="1"/>
    <s v="N"/>
    <n v="0.34333333300000002"/>
    <n v="0.34333333300000002"/>
    <n v="0.01"/>
    <n v="0.01"/>
    <n v="0.01"/>
    <n v="0.01"/>
    <n v="0"/>
    <n v="0"/>
    <n v="0"/>
    <n v="0"/>
    <n v="3.333333E-3"/>
    <n v="0.34333333300000002"/>
    <n v="1.0733333320000003"/>
    <n v="0.02"/>
    <n v="6.6337721785910187E-5"/>
    <n v="9.7575757575757482E-2"/>
    <m/>
    <m/>
    <n v="11"/>
    <s v="Acre-feet per Year"/>
    <s v="L_23"/>
    <n v="0"/>
    <n v="38.554664600000002"/>
    <n v="-122.76656254"/>
    <s v="UNST"/>
  </r>
  <r>
    <s v="A019241"/>
    <n v="19600218"/>
    <n v="16"/>
    <s v="N"/>
    <s v="N"/>
    <s v="N"/>
    <s v="N"/>
    <x v="1"/>
    <s v="Outside"/>
    <s v="Outside"/>
    <x v="0"/>
    <n v="1960"/>
    <x v="2"/>
    <x v="0"/>
    <s v="N"/>
    <s v="N"/>
    <s v="N"/>
    <s v="Y"/>
    <s v="N"/>
    <x v="1"/>
    <s v="N"/>
    <x v="0"/>
    <s v="N"/>
    <n v="3"/>
    <n v="2.5"/>
    <n v="0.5"/>
    <n v="0"/>
    <n v="0"/>
    <n v="0"/>
    <n v="0"/>
    <n v="0"/>
    <n v="0"/>
    <n v="0"/>
    <n v="0"/>
    <n v="4.5"/>
    <n v="10.5"/>
    <n v="0"/>
    <n v="0"/>
    <n v="0.29166666666666669"/>
    <m/>
    <m/>
    <n v="36"/>
    <s v="Acre-feet per Year"/>
    <s v="L_16"/>
    <n v="0"/>
    <n v="38.653915400000002"/>
    <n v="-122.90280623"/>
    <s v="UNST"/>
  </r>
  <r>
    <s v="A019554"/>
    <n v="19600718"/>
    <n v="16"/>
    <s v="N"/>
    <s v="N"/>
    <s v="N"/>
    <s v="N"/>
    <x v="1"/>
    <s v="Outside"/>
    <s v="Outside"/>
    <x v="0"/>
    <n v="1960"/>
    <x v="2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8"/>
    <s v="Acre-feet per Year"/>
    <s v="L_16"/>
    <n v="3.4039024194010059E-4"/>
    <n v="38.607552699999999"/>
    <n v="-122.94876606"/>
    <s v="UNST"/>
  </r>
  <r>
    <s v="A019720"/>
    <n v="19600830"/>
    <n v="16"/>
    <s v="N"/>
    <s v="N"/>
    <s v="N"/>
    <s v="N"/>
    <x v="1"/>
    <s v="Outside"/>
    <s v="Outside"/>
    <x v="0"/>
    <n v="1960"/>
    <x v="2"/>
    <x v="0"/>
    <s v="N"/>
    <s v="N"/>
    <s v="N"/>
    <s v="Y"/>
    <s v="N"/>
    <x v="1"/>
    <s v="N"/>
    <x v="1"/>
    <s v="N"/>
    <n v="0.19466666699999999"/>
    <n v="8.4333332999999996E-2"/>
    <n v="8.5633333000000006E-2"/>
    <n v="3.0933333E-2"/>
    <n v="5.6666666999999997E-2"/>
    <n v="0"/>
    <n v="0"/>
    <n v="0"/>
    <n v="0"/>
    <n v="6.8000000000000005E-2"/>
    <n v="0.10199999999999999"/>
    <n v="0.19719999999999999"/>
    <n v="0.81943333299999987"/>
    <n v="5.6666666666666698E-2"/>
    <n v="1.8795687839341229E-4"/>
    <n v="2.2762037037037039E-2"/>
    <m/>
    <m/>
    <n v="36"/>
    <s v="Acre-feet per Year"/>
    <s v="L_16"/>
    <n v="0"/>
    <n v="38.596714759999998"/>
    <n v="-122.89578398"/>
    <s v="UNST"/>
  </r>
  <r>
    <s v="A018522"/>
    <n v="19590205"/>
    <n v="18"/>
    <s v="N"/>
    <s v="N"/>
    <s v="N"/>
    <s v="N"/>
    <x v="1"/>
    <s v="Outside"/>
    <s v="Outside"/>
    <x v="0"/>
    <n v="1959"/>
    <x v="4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3"/>
    <s v="Acre-feet per Year"/>
    <s v="L_18"/>
    <n v="0"/>
    <n v="38.461242200000001"/>
    <n v="-122.90770812"/>
    <s v="THOMAS CREEK"/>
  </r>
  <r>
    <s v="A018648"/>
    <n v="19590417"/>
    <n v="1"/>
    <s v="N"/>
    <s v="N"/>
    <s v="Y"/>
    <s v="Y"/>
    <x v="0"/>
    <s v="West Fork and Below Lake"/>
    <s v="Outside"/>
    <x v="0"/>
    <n v="1959"/>
    <x v="4"/>
    <x v="0"/>
    <s v="Y"/>
    <s v="N"/>
    <s v="N"/>
    <s v="Y"/>
    <s v="N"/>
    <x v="1"/>
    <s v="N"/>
    <x v="1"/>
    <s v="N"/>
    <n v="0.25"/>
    <n v="0.25"/>
    <n v="0.5"/>
    <n v="0.7"/>
    <n v="0.73"/>
    <n v="0.5"/>
    <n v="0.66"/>
    <n v="0.5"/>
    <n v="0.4"/>
    <n v="0.21"/>
    <n v="0.1"/>
    <n v="0.06"/>
    <n v="4.8599999999999994"/>
    <n v="2.8"/>
    <n v="9.2872810500274246E-3"/>
    <n v="0.97666666679999992"/>
    <m/>
    <m/>
    <n v="5"/>
    <s v="Acre-feet per Year"/>
    <s v="U_1"/>
    <n v="3.4039024194010059E-4"/>
    <n v="39.335888650000001"/>
    <n v="-123.23081051"/>
    <s v="UNST"/>
  </r>
  <r>
    <s v="A018649"/>
    <n v="19590417"/>
    <n v="9"/>
    <s v="N"/>
    <s v="Y"/>
    <s v="Y"/>
    <s v="Y"/>
    <x v="0"/>
    <s v="West Fork and Below Lake"/>
    <s v="Sonoma (d/s of Clov. Gage)"/>
    <x v="0"/>
    <n v="1959"/>
    <x v="4"/>
    <x v="1"/>
    <s v="Y"/>
    <s v="N"/>
    <s v="N"/>
    <s v="Y"/>
    <s v="N"/>
    <x v="1"/>
    <s v="N"/>
    <x v="1"/>
    <s v="N"/>
    <n v="0"/>
    <n v="0"/>
    <n v="0"/>
    <n v="0"/>
    <n v="0"/>
    <n v="2.5140000000000002E-3"/>
    <n v="0"/>
    <n v="0"/>
    <n v="0"/>
    <n v="0"/>
    <n v="0"/>
    <n v="0"/>
    <n v="2.5140000000000002E-3"/>
    <n v="2.5140000000000002E-3"/>
    <n v="8.3386516284889106E-6"/>
    <n v="2.6187500000000001E-6"/>
    <m/>
    <m/>
    <n v="960"/>
    <s v="Acre-feet per Year"/>
    <s v="U_9"/>
    <n v="0"/>
    <n v="38.784819730000002"/>
    <n v="-122.99673849"/>
    <s v="RUSSIAN RIVER UNDERFLOW"/>
  </r>
  <r>
    <s v="A018736"/>
    <n v="19590525"/>
    <n v="21"/>
    <s v="N"/>
    <s v="N"/>
    <s v="N"/>
    <s v="N"/>
    <x v="1"/>
    <s v="Outside"/>
    <s v="Outside"/>
    <x v="0"/>
    <n v="1959"/>
    <x v="4"/>
    <x v="0"/>
    <s v="N"/>
    <s v="N"/>
    <s v="N"/>
    <s v="Y"/>
    <s v="N"/>
    <x v="1"/>
    <s v="N"/>
    <x v="1"/>
    <s v="N"/>
    <n v="1.790666667"/>
    <n v="0.39400000000000002"/>
    <n v="0.165333333"/>
    <n v="0.23400000000000001"/>
    <n v="0.02"/>
    <n v="0"/>
    <n v="0"/>
    <n v="0"/>
    <n v="0"/>
    <n v="0"/>
    <n v="1"/>
    <n v="1.3833333329999999"/>
    <n v="4.9873333330000005"/>
    <n v="0.02"/>
    <n v="6.6337721785910187E-5"/>
    <n v="0.35623809521428573"/>
    <m/>
    <m/>
    <n v="14"/>
    <s v="Acre-feet per Year"/>
    <s v="L_21"/>
    <n v="0"/>
    <n v="38.412091959999998"/>
    <n v="-122.94163801000001"/>
    <s v="UNST"/>
  </r>
  <r>
    <s v="A018835"/>
    <n v="19590629"/>
    <n v="10"/>
    <s v="N"/>
    <s v="Y"/>
    <s v="Y"/>
    <s v="Y"/>
    <x v="0"/>
    <s v="West Fork and Below Lake"/>
    <s v="Sonoma (d/s of Clov. Gage)"/>
    <x v="0"/>
    <n v="1959"/>
    <x v="4"/>
    <x v="0"/>
    <s v="Y"/>
    <s v="N"/>
    <s v="N"/>
    <s v="Y"/>
    <s v="N"/>
    <x v="1"/>
    <s v="N"/>
    <x v="0"/>
    <s v="N"/>
    <n v="2"/>
    <n v="1.96"/>
    <n v="0.66"/>
    <n v="0.4"/>
    <n v="0"/>
    <n v="0"/>
    <n v="0"/>
    <n v="0"/>
    <n v="0"/>
    <n v="0"/>
    <n v="0"/>
    <n v="0"/>
    <n v="5.0200000000000005"/>
    <n v="0"/>
    <n v="0"/>
    <n v="0.35952380957142865"/>
    <m/>
    <m/>
    <n v="14"/>
    <s v="Acre-feet per Year"/>
    <s v="U_10"/>
    <n v="0"/>
    <n v="38.674280340000003"/>
    <n v="-122.80322934"/>
    <s v="UNST"/>
  </r>
  <r>
    <s v="A018849"/>
    <n v="19590709"/>
    <n v="23"/>
    <s v="N"/>
    <s v="N"/>
    <s v="N"/>
    <s v="N"/>
    <x v="1"/>
    <s v="Outside"/>
    <s v="Outside"/>
    <x v="0"/>
    <n v="1959"/>
    <x v="4"/>
    <x v="0"/>
    <s v="N"/>
    <s v="N"/>
    <s v="N"/>
    <s v="Y"/>
    <s v="N"/>
    <x v="1"/>
    <s v="N"/>
    <x v="1"/>
    <s v="N"/>
    <n v="3.3333333E-2"/>
    <n v="3.3333333E-2"/>
    <n v="3.3333333E-2"/>
    <n v="0.1"/>
    <n v="6.6666666999999999E-2"/>
    <n v="6.6666666999999999E-2"/>
    <n v="6.6666666999999999E-2"/>
    <n v="6.6666666999999999E-2"/>
    <n v="6.6666666999999999E-2"/>
    <n v="0"/>
    <n v="3.3333333E-2"/>
    <n v="3.3333333E-2"/>
    <n v="0.6"/>
    <n v="0.33333333500000001"/>
    <n v="1.1056287019599799E-3"/>
    <n v="2.4E-2"/>
    <m/>
    <m/>
    <n v="25"/>
    <s v="Acre-feet per Year"/>
    <s v="L_24"/>
    <n v="0"/>
    <n v="38.49626035"/>
    <n v="-122.73204203"/>
    <s v="UNST"/>
  </r>
  <r>
    <s v="A018948"/>
    <n v="19590828"/>
    <n v="12"/>
    <s v="N"/>
    <s v="Y"/>
    <s v="Y"/>
    <s v="Y"/>
    <x v="0"/>
    <s v="West Fork and Below Lake"/>
    <s v="Sonoma (d/s of Clov. Gage)"/>
    <x v="0"/>
    <n v="1959"/>
    <x v="4"/>
    <x v="0"/>
    <s v="Y"/>
    <s v="N"/>
    <s v="N"/>
    <s v="Y"/>
    <s v="N"/>
    <x v="1"/>
    <s v="N"/>
    <x v="0"/>
    <s v="N"/>
    <n v="0.33"/>
    <n v="0.66"/>
    <n v="0.33"/>
    <n v="0"/>
    <n v="0"/>
    <n v="0"/>
    <n v="0"/>
    <n v="0"/>
    <n v="0"/>
    <n v="0"/>
    <n v="0.33"/>
    <n v="0.66"/>
    <n v="2.31"/>
    <n v="0"/>
    <n v="0"/>
    <n v="5.1851851844444449E-2"/>
    <m/>
    <m/>
    <n v="45"/>
    <s v="Acre-feet per Year"/>
    <s v="U_12"/>
    <n v="0"/>
    <n v="38.601345180000003"/>
    <n v="-122.74571813999999"/>
    <s v="MARTIN CREEK"/>
  </r>
  <r>
    <s v="A018958"/>
    <n v="19590902"/>
    <n v="23"/>
    <s v="N"/>
    <s v="N"/>
    <s v="N"/>
    <s v="N"/>
    <x v="1"/>
    <s v="Outside"/>
    <s v="Outside"/>
    <x v="0"/>
    <n v="1959"/>
    <x v="4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5"/>
    <s v="Acre-feet per Year"/>
    <s v="L_27"/>
    <n v="0"/>
    <n v="38.38497606"/>
    <n v="-122.60164863"/>
    <s v="UNST"/>
  </r>
  <r>
    <s v="A018963"/>
    <n v="19590902"/>
    <n v="23"/>
    <s v="N"/>
    <s v="N"/>
    <s v="N"/>
    <s v="N"/>
    <x v="1"/>
    <s v="Outside"/>
    <s v="Outside"/>
    <x v="0"/>
    <n v="1959"/>
    <x v="4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8"/>
    <s v="Acre-feet per Year"/>
    <s v="L_27"/>
    <n v="0"/>
    <n v="38.500061670000001"/>
    <n v="-122.53954349"/>
    <s v="UNST"/>
  </r>
  <r>
    <s v="A019013"/>
    <n v="19591002"/>
    <n v="23"/>
    <s v="N"/>
    <s v="N"/>
    <s v="N"/>
    <s v="N"/>
    <x v="1"/>
    <s v="Outside"/>
    <s v="Outside"/>
    <x v="0"/>
    <n v="1959"/>
    <x v="4"/>
    <x v="0"/>
    <s v="N"/>
    <s v="N"/>
    <s v="N"/>
    <s v="Y"/>
    <s v="N"/>
    <x v="1"/>
    <s v="N"/>
    <x v="0"/>
    <s v="N"/>
    <n v="5"/>
    <n v="5"/>
    <n v="4"/>
    <n v="1.3333333329999999"/>
    <n v="0"/>
    <n v="0"/>
    <n v="0"/>
    <n v="0"/>
    <n v="0"/>
    <n v="0"/>
    <n v="0"/>
    <n v="1.6666666670000001"/>
    <n v="17"/>
    <n v="0"/>
    <n v="0"/>
    <n v="1"/>
    <m/>
    <m/>
    <n v="17"/>
    <s v="Acre-feet per Year"/>
    <s v="L_28"/>
    <n v="3.4039024194010059E-4"/>
    <n v="38.335848439999999"/>
    <n v="-122.78130616999999"/>
    <s v="UNST"/>
  </r>
  <r>
    <s v="A019071"/>
    <n v="19591109"/>
    <n v="2"/>
    <s v="N"/>
    <s v="N"/>
    <s v="Y"/>
    <s v="N"/>
    <x v="0"/>
    <s v="Outside"/>
    <s v="Outside"/>
    <x v="0"/>
    <n v="1959"/>
    <x v="4"/>
    <x v="0"/>
    <s v="Y"/>
    <s v="N"/>
    <s v="N"/>
    <s v="Y"/>
    <s v="N"/>
    <x v="1"/>
    <s v="N"/>
    <x v="1"/>
    <s v="N"/>
    <n v="0"/>
    <n v="0"/>
    <n v="0"/>
    <n v="2"/>
    <n v="10"/>
    <n v="10"/>
    <n v="10"/>
    <n v="10"/>
    <n v="10"/>
    <n v="2"/>
    <n v="0"/>
    <n v="0"/>
    <n v="54"/>
    <n v="50"/>
    <n v="0.16584430446477547"/>
    <n v="0.94736842105263153"/>
    <m/>
    <m/>
    <n v="57"/>
    <s v="Acre-feet per Year"/>
    <s v="U_2"/>
    <n v="0"/>
    <n v="39.329696800000001"/>
    <n v="-123.10837055"/>
    <s v="EAST FORK RUSSIAN RIVER"/>
  </r>
  <r>
    <s v="A019089"/>
    <n v="19591120"/>
    <n v="16"/>
    <s v="N"/>
    <s v="N"/>
    <s v="N"/>
    <s v="N"/>
    <x v="1"/>
    <s v="Outside"/>
    <s v="Outside"/>
    <x v="0"/>
    <n v="1959"/>
    <x v="4"/>
    <x v="0"/>
    <s v="N"/>
    <s v="N"/>
    <s v="N"/>
    <s v="Y"/>
    <s v="N"/>
    <x v="1"/>
    <s v="N"/>
    <x v="0"/>
    <s v="N"/>
    <n v="5.766666667"/>
    <n v="0.16666666699999999"/>
    <n v="0"/>
    <n v="6.6666666999999999E-2"/>
    <n v="0"/>
    <n v="0"/>
    <n v="0"/>
    <n v="0"/>
    <n v="0"/>
    <n v="0.5"/>
    <n v="9.3000000000000007"/>
    <n v="11.33333333"/>
    <n v="27.133333331000003"/>
    <n v="0"/>
    <n v="0"/>
    <n v="0.30148148145555559"/>
    <m/>
    <m/>
    <n v="90"/>
    <s v="Acre-feet per Year"/>
    <s v="L_16"/>
    <n v="3.4039024194010059E-4"/>
    <n v="38.660971330000002"/>
    <n v="-122.8958909"/>
    <s v="UNST"/>
  </r>
  <r>
    <s v="A019135"/>
    <n v="19591214"/>
    <n v="4"/>
    <s v="Y"/>
    <s v="N"/>
    <s v="Y"/>
    <s v="Y"/>
    <x v="0"/>
    <s v="West Fork and Below Lake"/>
    <s v="Mendocino (d/s of lake)"/>
    <x v="0"/>
    <n v="1959"/>
    <x v="4"/>
    <x v="0"/>
    <s v="Y"/>
    <s v="N"/>
    <s v="N"/>
    <s v="Y"/>
    <s v="N"/>
    <x v="1"/>
    <s v="N"/>
    <x v="1"/>
    <s v="N"/>
    <n v="2.8533299999999997E-4"/>
    <n v="1.7200000000000001E-4"/>
    <n v="3.4866699999999999E-4"/>
    <n v="5.8299999999999997E-4"/>
    <n v="5.7066699999999996E-4"/>
    <n v="7.9799999999999999E-4"/>
    <n v="1.9659999999999999E-3"/>
    <n v="1.6806670000000001E-3"/>
    <n v="1.3196670000000001E-3"/>
    <n v="1.2999999999999999E-3"/>
    <n v="5.2166699999999996E-4"/>
    <n v="7.9299999999999998E-4"/>
    <n v="1.0338668000000001E-2"/>
    <n v="6.3350009999999998E-3"/>
    <n v="2.1012476692573139E-5"/>
    <n v="1.0338668000000001E-2"/>
    <m/>
    <m/>
    <n v="1"/>
    <s v="Acre-feet per Year"/>
    <s v="U_4"/>
    <n v="3.4039024194010059E-4"/>
    <n v="39.122010250000002"/>
    <n v="-123.11886899"/>
    <s v="UNST"/>
  </r>
  <r>
    <s v="A019140"/>
    <n v="19591218"/>
    <n v="12"/>
    <s v="N"/>
    <s v="Y"/>
    <s v="Y"/>
    <s v="Y"/>
    <x v="0"/>
    <s v="West Fork and Below Lake"/>
    <s v="Sonoma (d/s of Clov. Gage)"/>
    <x v="0"/>
    <n v="1959"/>
    <x v="4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1"/>
    <s v="Acre-feet per Year"/>
    <s v="U_12"/>
    <n v="0"/>
    <n v="38.614700919999997"/>
    <n v="-122.67200799"/>
    <s v="KELLY CREEK"/>
  </r>
  <r>
    <s v="A017978"/>
    <n v="19580205"/>
    <n v="12"/>
    <s v="N"/>
    <s v="Y"/>
    <s v="Y"/>
    <s v="Y"/>
    <x v="0"/>
    <s v="West Fork and Below Lake"/>
    <s v="Sonoma (d/s of Clov. Gage)"/>
    <x v="0"/>
    <n v="1958"/>
    <x v="4"/>
    <x v="0"/>
    <s v="Y"/>
    <s v="N"/>
    <s v="N"/>
    <s v="Y"/>
    <s v="N"/>
    <x v="1"/>
    <s v="N"/>
    <x v="1"/>
    <s v="N"/>
    <n v="0"/>
    <n v="0"/>
    <n v="0"/>
    <n v="0"/>
    <n v="0"/>
    <n v="8.4600000000000009"/>
    <n v="8.4600000000000009"/>
    <n v="8.4600000000000009"/>
    <n v="8.4600000000000009"/>
    <n v="8.4600000000000009"/>
    <n v="8.4600000000000009"/>
    <n v="0"/>
    <n v="50.760000000000005"/>
    <n v="33.86"/>
    <n v="0.11230976298354593"/>
    <n v="0.6929058663028651"/>
    <m/>
    <m/>
    <n v="73.3"/>
    <s v="Acre-feet per Year"/>
    <s v="U_12"/>
    <n v="3.4039024194010059E-4"/>
    <n v="38.617360060000003"/>
    <n v="-122.77423688"/>
    <s v="MAACAMA CREEK UNDERFLOW"/>
  </r>
  <r>
    <s v="A017999"/>
    <n v="19580213"/>
    <n v="23"/>
    <s v="N"/>
    <s v="N"/>
    <s v="N"/>
    <s v="N"/>
    <x v="1"/>
    <s v="Outside"/>
    <s v="Outside"/>
    <x v="0"/>
    <n v="1958"/>
    <x v="4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.6"/>
    <s v="Acre-feet per Year"/>
    <s v="L_23"/>
    <n v="0"/>
    <n v="38.556855720000001"/>
    <n v="-122.78791902"/>
    <s v="UNST"/>
  </r>
  <r>
    <s v="A018093A"/>
    <n v="19580411"/>
    <n v="6"/>
    <s v="Y"/>
    <s v="N"/>
    <s v="Y"/>
    <s v="Y"/>
    <x v="0"/>
    <s v="West Fork and Below Lake"/>
    <s v="Mendocino (d/s of lake)"/>
    <x v="0"/>
    <n v="1958"/>
    <x v="4"/>
    <x v="1"/>
    <s v="Y"/>
    <s v="N"/>
    <s v="N"/>
    <s v="Y"/>
    <s v="N"/>
    <x v="1"/>
    <s v="N"/>
    <x v="1"/>
    <s v="N"/>
    <n v="0"/>
    <n v="0"/>
    <n v="0"/>
    <n v="0"/>
    <n v="0"/>
    <n v="0"/>
    <n v="0.7"/>
    <n v="0.33"/>
    <n v="0.3"/>
    <n v="0"/>
    <n v="0"/>
    <n v="0"/>
    <n v="1.33"/>
    <n v="1.33"/>
    <n v="4.4114584987630275E-3"/>
    <n v="2.6600000000000002E-2"/>
    <m/>
    <m/>
    <n v="50"/>
    <s v="Acre-feet per Year"/>
    <s v="U_6"/>
    <n v="0"/>
    <n v="38.986203809999999"/>
    <n v="-123.10652532"/>
    <s v="RUSSIAN RIVER UNDERFLOW"/>
  </r>
  <r>
    <s v="A018093B"/>
    <n v="19580411"/>
    <n v="6"/>
    <s v="Y"/>
    <s v="N"/>
    <s v="Y"/>
    <s v="Y"/>
    <x v="0"/>
    <s v="West Fork and Below Lake"/>
    <s v="Mendocino (d/s of lake)"/>
    <x v="0"/>
    <n v="1958"/>
    <x v="4"/>
    <x v="1"/>
    <s v="Y"/>
    <s v="N"/>
    <s v="N"/>
    <s v="Y"/>
    <s v="N"/>
    <x v="1"/>
    <s v="N"/>
    <x v="1"/>
    <s v="N"/>
    <n v="0"/>
    <n v="0"/>
    <n v="0"/>
    <n v="0"/>
    <n v="0"/>
    <n v="0.21"/>
    <n v="0"/>
    <n v="0"/>
    <n v="0"/>
    <n v="0"/>
    <n v="0"/>
    <n v="0"/>
    <n v="0.21"/>
    <n v="0.21666666666666701"/>
    <n v="7.1865865268069481E-4"/>
    <n v="7.7658303464755204E-4"/>
    <m/>
    <m/>
    <n v="279"/>
    <s v="Acre-feet per Year"/>
    <s v="U_6"/>
    <n v="0"/>
    <n v="38.986699999999999"/>
    <n v="-123.10680000000001"/>
    <s v="RUSSIAN RIVER"/>
  </r>
  <r>
    <s v="A018127"/>
    <n v="19580508"/>
    <n v="16"/>
    <s v="N"/>
    <s v="N"/>
    <s v="N"/>
    <s v="N"/>
    <x v="1"/>
    <s v="Outside"/>
    <s v="Outside"/>
    <x v="0"/>
    <n v="1958"/>
    <x v="4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"/>
    <s v="Acre-feet per Year"/>
    <s v="L_16"/>
    <n v="0"/>
    <n v="38.579216930000001"/>
    <n v="-122.88576903000001"/>
    <s v="FELTA CREEK"/>
  </r>
  <r>
    <s v="A018138"/>
    <n v="19580516"/>
    <n v="11"/>
    <s v="N"/>
    <s v="Y"/>
    <s v="Y"/>
    <s v="Y"/>
    <x v="0"/>
    <s v="West Fork and Below Lake"/>
    <s v="Sonoma (d/s of Clov. Gage)"/>
    <x v="0"/>
    <n v="1958"/>
    <x v="4"/>
    <x v="0"/>
    <s v="Y"/>
    <s v="N"/>
    <s v="N"/>
    <s v="Y"/>
    <s v="N"/>
    <x v="1"/>
    <s v="N"/>
    <x v="0"/>
    <s v="N"/>
    <n v="14.53"/>
    <n v="9.66"/>
    <n v="10.93"/>
    <n v="6.06"/>
    <n v="0"/>
    <n v="0"/>
    <n v="0"/>
    <n v="0"/>
    <n v="0"/>
    <n v="0"/>
    <n v="4.9000000000000004"/>
    <n v="11.43"/>
    <n v="57.51"/>
    <n v="0"/>
    <n v="0"/>
    <n v="0.49173789165811965"/>
    <m/>
    <m/>
    <n v="117"/>
    <s v="Acre-feet per Year"/>
    <s v="U_11"/>
    <n v="0"/>
    <n v="38.63853185"/>
    <n v="-122.67272271"/>
    <s v="UNST (AKA SQUIRREL CREEK)"/>
  </r>
  <r>
    <s v="A018192"/>
    <n v="19580623"/>
    <n v="23"/>
    <s v="N"/>
    <s v="N"/>
    <s v="N"/>
    <s v="N"/>
    <x v="1"/>
    <s v="Outside"/>
    <s v="Outside"/>
    <x v="0"/>
    <n v="1958"/>
    <x v="4"/>
    <x v="0"/>
    <s v="N"/>
    <s v="N"/>
    <s v="N"/>
    <s v="Y"/>
    <s v="N"/>
    <x v="1"/>
    <s v="N"/>
    <x v="0"/>
    <s v="N"/>
    <n v="4.8666666669999996"/>
    <n v="0"/>
    <n v="0"/>
    <n v="0"/>
    <n v="0"/>
    <n v="0"/>
    <n v="0"/>
    <n v="0"/>
    <n v="0"/>
    <n v="1.933333333"/>
    <n v="0"/>
    <n v="6.8333333329999997"/>
    <n v="13.633333332999999"/>
    <n v="0"/>
    <n v="0"/>
    <n v="0.45444444443333332"/>
    <m/>
    <m/>
    <n v="30"/>
    <s v="Acre-feet per Year"/>
    <s v="L_24"/>
    <n v="0"/>
    <n v="38.561700000000002"/>
    <n v="-122.7008"/>
    <s v="UNST"/>
  </r>
  <r>
    <s v="A018200"/>
    <n v="19580626"/>
    <n v="5"/>
    <s v="Y"/>
    <s v="N"/>
    <s v="Y"/>
    <s v="Y"/>
    <x v="0"/>
    <s v="West Fork and Below Lake"/>
    <s v="Mendocino (d/s of lake)"/>
    <x v="0"/>
    <n v="1958"/>
    <x v="4"/>
    <x v="0"/>
    <s v="Y"/>
    <s v="N"/>
    <s v="N"/>
    <s v="Y"/>
    <s v="N"/>
    <x v="1"/>
    <s v="N"/>
    <x v="1"/>
    <s v="N"/>
    <n v="0"/>
    <n v="0"/>
    <n v="0"/>
    <n v="0"/>
    <n v="7.0000000000000007E-2"/>
    <n v="0"/>
    <n v="0"/>
    <n v="0"/>
    <n v="0"/>
    <n v="0"/>
    <n v="0"/>
    <n v="0"/>
    <n v="7.0000000000000007E-2"/>
    <n v="7.8533332999999997E-2"/>
    <n v="2.6048611977371198E-4"/>
    <n v="1.1721392985074627E-3"/>
    <m/>
    <m/>
    <n v="67"/>
    <s v="Acre-feet per Year"/>
    <s v="U_5"/>
    <n v="0"/>
    <n v="39.104229160000003"/>
    <n v="-123.19524285999999"/>
    <s v="ROBINSON CREEK"/>
  </r>
  <r>
    <s v="A018235"/>
    <n v="19580724"/>
    <n v="15"/>
    <s v="N"/>
    <s v="N"/>
    <s v="N"/>
    <s v="N"/>
    <x v="1"/>
    <s v="Outside"/>
    <s v="Outside"/>
    <x v="0"/>
    <n v="1958"/>
    <x v="4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"/>
    <s v="Acre-feet per Year"/>
    <s v="L_15"/>
    <n v="3.4039024194010059E-4"/>
    <n v="38.707382359999997"/>
    <n v="-122.93046932999999"/>
    <s v="UNST"/>
  </r>
  <r>
    <s v="A018241"/>
    <n v="19580730"/>
    <n v="10"/>
    <s v="N"/>
    <s v="Y"/>
    <s v="Y"/>
    <s v="Y"/>
    <x v="0"/>
    <s v="West Fork and Below Lake"/>
    <s v="Sonoma (d/s of Clov. Gage)"/>
    <x v="0"/>
    <n v="1958"/>
    <x v="4"/>
    <x v="1"/>
    <s v="Y"/>
    <s v="N"/>
    <s v="N"/>
    <s v="Y"/>
    <s v="N"/>
    <x v="1"/>
    <s v="N"/>
    <x v="1"/>
    <s v="N"/>
    <n v="0"/>
    <n v="0"/>
    <n v="0"/>
    <n v="0.03"/>
    <n v="0.1"/>
    <n v="0.56000000000000005"/>
    <n v="0.83"/>
    <n v="0.83"/>
    <n v="0.46"/>
    <n v="0.03"/>
    <n v="0"/>
    <n v="0"/>
    <n v="2.84"/>
    <n v="2.8"/>
    <n v="9.2872810500274246E-3"/>
    <n v="6.5449010654490103E-2"/>
    <m/>
    <m/>
    <n v="43.8"/>
    <s v="Acre-feet per Year"/>
    <s v="U_10"/>
    <n v="0"/>
    <n v="38.689222209999997"/>
    <n v="-122.86401184"/>
    <s v="RUSSIAN RIVER"/>
  </r>
  <r>
    <s v="A018274A"/>
    <n v="19580819"/>
    <n v="1"/>
    <s v="N"/>
    <s v="N"/>
    <s v="Y"/>
    <s v="Y"/>
    <x v="0"/>
    <s v="West Fork and Below Lake"/>
    <s v="Outside"/>
    <x v="0"/>
    <n v="1958"/>
    <x v="4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8.3000000000000007"/>
    <s v="Acre-feet per Year"/>
    <s v="U_1"/>
    <n v="3.4039024194010059E-4"/>
    <n v="39.24916606"/>
    <n v="-123.17279434"/>
    <s v="UNST"/>
  </r>
  <r>
    <s v="A018274B"/>
    <n v="19580819"/>
    <n v="1"/>
    <s v="N"/>
    <s v="N"/>
    <s v="Y"/>
    <s v="Y"/>
    <x v="0"/>
    <s v="West Fork and Below Lake"/>
    <s v="Outside"/>
    <x v="0"/>
    <n v="1958"/>
    <x v="4"/>
    <x v="0"/>
    <s v="Y"/>
    <s v="N"/>
    <s v="N"/>
    <s v="Y"/>
    <s v="N"/>
    <x v="1"/>
    <s v="N"/>
    <x v="0"/>
    <s v="N"/>
    <n v="1.8"/>
    <n v="0"/>
    <n v="0.75"/>
    <n v="1.25"/>
    <n v="0"/>
    <n v="0"/>
    <n v="0"/>
    <n v="0"/>
    <n v="0"/>
    <n v="0"/>
    <n v="0"/>
    <n v="1.1000000000000001"/>
    <n v="4.9000000000000004"/>
    <n v="0"/>
    <n v="0"/>
    <n v="0.92452830188679258"/>
    <m/>
    <m/>
    <n v="5.3"/>
    <s v="Acre-feet per Year"/>
    <s v="U_1"/>
    <n v="0"/>
    <n v="39.248872050000003"/>
    <n v="-123.17473183"/>
    <s v="UNST"/>
  </r>
  <r>
    <s v="A018277"/>
    <n v="19580820"/>
    <n v="23"/>
    <s v="N"/>
    <s v="N"/>
    <s v="N"/>
    <s v="N"/>
    <x v="1"/>
    <s v="Outside"/>
    <s v="Outside"/>
    <x v="0"/>
    <n v="1958"/>
    <x v="4"/>
    <x v="0"/>
    <s v="N"/>
    <s v="N"/>
    <s v="N"/>
    <s v="Y"/>
    <s v="N"/>
    <x v="1"/>
    <s v="N"/>
    <x v="0"/>
    <s v="N"/>
    <n v="5.6666666670000003"/>
    <n v="1.9"/>
    <n v="2.5333333329999999"/>
    <n v="0"/>
    <n v="0"/>
    <n v="0"/>
    <n v="0"/>
    <n v="0"/>
    <n v="0"/>
    <n v="0"/>
    <n v="0.46666666699999998"/>
    <n v="4.233333333"/>
    <n v="14.8"/>
    <n v="0"/>
    <n v="0"/>
    <n v="0.54814814814814816"/>
    <m/>
    <m/>
    <n v="27"/>
    <s v="Acre-feet per Year"/>
    <s v="L_27"/>
    <n v="0"/>
    <n v="38.509361519999999"/>
    <n v="-122.5473021"/>
    <s v="UNST"/>
  </r>
  <r>
    <s v="A018328"/>
    <n v="19580922"/>
    <n v="1"/>
    <s v="N"/>
    <s v="N"/>
    <s v="Y"/>
    <s v="Y"/>
    <x v="0"/>
    <s v="West Fork and Below Lake"/>
    <s v="Outside"/>
    <x v="0"/>
    <n v="1958"/>
    <x v="4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"/>
    <s v="Acre-feet per Year"/>
    <s v="U_1"/>
    <n v="0"/>
    <n v="39.276937789999998"/>
    <n v="-123.22271721"/>
    <s v="UNSP"/>
  </r>
  <r>
    <s v="A012850"/>
    <n v="19581206"/>
    <n v="12"/>
    <s v="N"/>
    <s v="Y"/>
    <s v="Y"/>
    <s v="Y"/>
    <x v="0"/>
    <s v="West Fork and Below Lake"/>
    <s v="Sonoma (d/s of Clov. Gage)"/>
    <x v="0"/>
    <n v="1958"/>
    <x v="4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1.2"/>
    <s v="Acre-feet per Year"/>
    <s v="U_12"/>
    <n v="0"/>
    <n v="38.6218"/>
    <n v="-122.77419999999999"/>
    <s v="MAACAMA CREEK"/>
  </r>
  <r>
    <s v="A017508"/>
    <n v="19570314"/>
    <n v="2"/>
    <s v="N"/>
    <s v="N"/>
    <s v="Y"/>
    <s v="N"/>
    <x v="0"/>
    <s v="Outside"/>
    <s v="Outside"/>
    <x v="0"/>
    <n v="1957"/>
    <x v="4"/>
    <x v="0"/>
    <s v="Y"/>
    <s v="N"/>
    <s v="N"/>
    <s v="Y"/>
    <s v="N"/>
    <x v="1"/>
    <s v="N"/>
    <x v="1"/>
    <s v="N"/>
    <n v="0"/>
    <n v="0"/>
    <n v="0"/>
    <n v="0"/>
    <n v="10"/>
    <n v="30"/>
    <n v="30"/>
    <n v="30"/>
    <n v="30"/>
    <n v="20"/>
    <n v="0"/>
    <n v="0"/>
    <n v="150"/>
    <n v="130"/>
    <n v="0.43119519160841618"/>
    <n v="0.97402597402597402"/>
    <m/>
    <m/>
    <n v="154"/>
    <s v="Acre-feet per Year"/>
    <s v="U_2"/>
    <n v="0"/>
    <n v="39.281427809999997"/>
    <n v="-123.10231326"/>
    <s v="EAST FORK RUSSIAN RIVER"/>
  </r>
  <r>
    <s v="A017477"/>
    <n v="19570226"/>
    <n v="23"/>
    <s v="N"/>
    <s v="N"/>
    <s v="N"/>
    <s v="N"/>
    <x v="1"/>
    <s v="Outside"/>
    <s v="Outside"/>
    <x v="0"/>
    <n v="1957"/>
    <x v="4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4"/>
    <s v="Acre-feet per Year"/>
    <s v="L_23"/>
    <n v="0"/>
    <n v="38.555771270000001"/>
    <n v="-122.74419278000001"/>
    <s v="UNST"/>
  </r>
  <r>
    <s v="A017479"/>
    <n v="19570226"/>
    <n v="16"/>
    <s v="N"/>
    <s v="N"/>
    <s v="N"/>
    <s v="N"/>
    <x v="1"/>
    <s v="Outside"/>
    <s v="Outside"/>
    <x v="0"/>
    <n v="1957"/>
    <x v="4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4"/>
    <s v="Acre-feet per Year"/>
    <s v="L_16"/>
    <n v="0"/>
    <n v="38.594999999999999"/>
    <n v="-122.96129999999999"/>
    <s v="UNST"/>
  </r>
  <r>
    <s v="A017551"/>
    <n v="19570416"/>
    <n v="16"/>
    <s v="N"/>
    <s v="N"/>
    <s v="N"/>
    <s v="N"/>
    <x v="1"/>
    <s v="Outside"/>
    <s v="Outside"/>
    <x v="0"/>
    <n v="1957"/>
    <x v="4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4.4"/>
    <s v="Acre-feet per Year"/>
    <s v="L_16"/>
    <n v="0"/>
    <n v="38.652758540000001"/>
    <n v="-122.92765539"/>
    <s v="DRY CREEK"/>
  </r>
  <r>
    <s v="A017587"/>
    <n v="19570508"/>
    <n v="4"/>
    <s v="Y"/>
    <s v="N"/>
    <s v="Y"/>
    <s v="Y"/>
    <x v="0"/>
    <s v="West Fork and Below Lake"/>
    <s v="Mendocino (d/s of lake)"/>
    <x v="0"/>
    <n v="1957"/>
    <x v="4"/>
    <x v="1"/>
    <s v="Y"/>
    <s v="N"/>
    <s v="N"/>
    <s v="Y"/>
    <s v="N"/>
    <x v="1"/>
    <s v="N"/>
    <x v="1"/>
    <s v="N"/>
    <n v="32.15"/>
    <n v="32.07"/>
    <n v="33.29"/>
    <n v="44.47"/>
    <n v="58.61"/>
    <n v="66.22"/>
    <n v="0"/>
    <n v="0"/>
    <n v="0"/>
    <n v="0"/>
    <n v="62.56"/>
    <n v="31.09"/>
    <n v="360.45999999999992"/>
    <n v="124.83"/>
    <n v="0.41404689052675842"/>
    <n v="0.25031944444444437"/>
    <m/>
    <m/>
    <n v="1440"/>
    <s v="Acre-feet per Year"/>
    <s v="U_4"/>
    <n v="0.15601216585669261"/>
    <n v="39.191222289999999"/>
    <n v="-123.2004168"/>
    <s v="RUSSIAN RIVER UNDERFLOW"/>
  </r>
  <r>
    <s v="A017622"/>
    <n v="19570524"/>
    <n v="5"/>
    <s v="Y"/>
    <s v="N"/>
    <s v="Y"/>
    <s v="Y"/>
    <x v="0"/>
    <s v="West Fork and Below Lake"/>
    <s v="Mendocino (d/s of lake)"/>
    <x v="0"/>
    <n v="1957"/>
    <x v="4"/>
    <x v="1"/>
    <s v="Y"/>
    <s v="N"/>
    <s v="N"/>
    <s v="Y"/>
    <s v="N"/>
    <x v="1"/>
    <s v="N"/>
    <x v="1"/>
    <s v="N"/>
    <n v="0"/>
    <n v="0"/>
    <n v="0"/>
    <n v="0"/>
    <n v="0.59"/>
    <n v="1.02"/>
    <n v="1.64"/>
    <n v="1.23"/>
    <n v="0.91"/>
    <n v="0.37"/>
    <n v="0"/>
    <n v="0"/>
    <n v="5.7600000000000007"/>
    <n v="5.4066666666666636"/>
    <n v="1.7933297456124379E-2"/>
    <n v="9.6277777777777726E-2"/>
    <m/>
    <m/>
    <n v="60"/>
    <s v="Acre-feet per Year"/>
    <s v="U_5"/>
    <n v="0"/>
    <n v="39.093684680000003"/>
    <n v="-123.17903161"/>
    <s v="RUSSIAN RIVER UNDERFLOW"/>
  </r>
  <r>
    <s v="A017624"/>
    <n v="19570524"/>
    <n v="5"/>
    <s v="Y"/>
    <s v="N"/>
    <s v="Y"/>
    <s v="Y"/>
    <x v="0"/>
    <s v="West Fork and Below Lake"/>
    <s v="Mendocino (d/s of lake)"/>
    <x v="0"/>
    <n v="1957"/>
    <x v="4"/>
    <x v="1"/>
    <s v="Y"/>
    <s v="N"/>
    <s v="N"/>
    <s v="Y"/>
    <s v="N"/>
    <x v="1"/>
    <s v="N"/>
    <x v="1"/>
    <s v="N"/>
    <n v="0"/>
    <n v="0"/>
    <n v="0"/>
    <n v="0"/>
    <n v="1.31"/>
    <n v="33.86"/>
    <n v="0"/>
    <n v="0"/>
    <n v="0"/>
    <n v="0"/>
    <n v="0"/>
    <n v="0"/>
    <n v="35.17"/>
    <n v="35.180000000000035"/>
    <n v="0.11668805262141613"/>
    <n v="0.18322916666666686"/>
    <m/>
    <m/>
    <n v="192"/>
    <s v="Acre-feet per Year"/>
    <s v="U_5"/>
    <n v="0"/>
    <n v="39.059237170000003"/>
    <n v="-123.14483135"/>
    <s v="RUSSIAN RIVER"/>
  </r>
  <r>
    <s v="A017632"/>
    <n v="19570529"/>
    <n v="13"/>
    <s v="N"/>
    <s v="Y"/>
    <s v="Y"/>
    <s v="Y"/>
    <x v="0"/>
    <s v="West Fork and Below Lake"/>
    <s v="Sonoma (d/s of Clov. Gage)"/>
    <x v="0"/>
    <n v="1957"/>
    <x v="4"/>
    <x v="1"/>
    <s v="Y"/>
    <s v="N"/>
    <s v="N"/>
    <s v="Y"/>
    <s v="N"/>
    <x v="1"/>
    <s v="N"/>
    <x v="1"/>
    <s v="N"/>
    <n v="3.06"/>
    <n v="3.44"/>
    <n v="3.15"/>
    <n v="3.83"/>
    <n v="5.71"/>
    <n v="6.49"/>
    <n v="7.22"/>
    <n v="6.75"/>
    <n v="6.9"/>
    <n v="5.77"/>
    <n v="4.79"/>
    <n v="2.95"/>
    <n v="60.059999999999995"/>
    <n v="33.086666666666659"/>
    <n v="0.10974470440782405"/>
    <n v="0.10399653979238753"/>
    <m/>
    <m/>
    <n v="578"/>
    <s v="Acre-feet per Year"/>
    <s v="U_13"/>
    <n v="0"/>
    <n v="38.622951229999998"/>
    <n v="-122.83905584999999"/>
    <s v="RUSSIAN RIVER UNDERFLOW"/>
  </r>
  <r>
    <s v="A017642"/>
    <n v="19570611"/>
    <n v="4"/>
    <s v="Y"/>
    <s v="N"/>
    <s v="Y"/>
    <s v="Y"/>
    <x v="0"/>
    <s v="West Fork and Below Lake"/>
    <s v="Mendocino (d/s of lake)"/>
    <x v="0"/>
    <n v="1957"/>
    <x v="4"/>
    <x v="0"/>
    <s v="Y"/>
    <s v="N"/>
    <s v="N"/>
    <s v="Y"/>
    <s v="N"/>
    <x v="1"/>
    <s v="N"/>
    <x v="1"/>
    <s v="N"/>
    <n v="0"/>
    <n v="0"/>
    <n v="0"/>
    <n v="3"/>
    <n v="4"/>
    <n v="0"/>
    <n v="0"/>
    <n v="0"/>
    <n v="0"/>
    <n v="0"/>
    <n v="0"/>
    <n v="0"/>
    <n v="7"/>
    <n v="4"/>
    <n v="1.3267544357182035E-2"/>
    <n v="1"/>
    <m/>
    <m/>
    <n v="7"/>
    <s v="Acre-feet per Year"/>
    <s v="U_4"/>
    <n v="0"/>
    <n v="39.166050480000003"/>
    <n v="-123.26983362999999"/>
    <s v="UNST"/>
  </r>
  <r>
    <s v="A017689"/>
    <n v="19570628"/>
    <n v="15"/>
    <s v="N"/>
    <s v="N"/>
    <s v="N"/>
    <s v="N"/>
    <x v="1"/>
    <s v="Outside"/>
    <s v="Outside"/>
    <x v="0"/>
    <n v="1957"/>
    <x v="4"/>
    <x v="0"/>
    <s v="N"/>
    <s v="N"/>
    <s v="N"/>
    <s v="Y"/>
    <s v="N"/>
    <x v="1"/>
    <s v="N"/>
    <x v="1"/>
    <s v="N"/>
    <n v="0"/>
    <n v="3.4195000000000003E-2"/>
    <n v="0.118703"/>
    <n v="0.3223085"/>
    <n v="0.165795"/>
    <n v="0.74444500000000002"/>
    <n v="2.2935045000000001"/>
    <n v="1.564479"/>
    <n v="1.3381235"/>
    <n v="0.20493349999999999"/>
    <n v="2.0469999999999999E-2"/>
    <n v="0"/>
    <n v="6.8069570000000006"/>
    <n v="6.1063469999999995"/>
    <n v="2.0254057420711364E-2"/>
    <n v="0.42543481250000004"/>
    <m/>
    <m/>
    <n v="16"/>
    <s v="Acre-feet per Year"/>
    <s v="L_15"/>
    <n v="0"/>
    <n v="38.687287699999999"/>
    <n v="-122.93651355"/>
    <s v="UNST"/>
  </r>
  <r>
    <s v="A017745"/>
    <n v="19570729"/>
    <n v="9"/>
    <s v="N"/>
    <s v="Y"/>
    <s v="Y"/>
    <s v="Y"/>
    <x v="0"/>
    <s v="West Fork and Below Lake"/>
    <s v="Sonoma (d/s of Clov. Gage)"/>
    <x v="0"/>
    <n v="1957"/>
    <x v="4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.6"/>
    <s v="Acre-feet per Year"/>
    <s v="U_9"/>
    <n v="3.4039024194010059E-4"/>
    <n v="38.765853929999999"/>
    <n v="-122.99892841"/>
    <s v="UNST"/>
  </r>
  <r>
    <s v="A017795"/>
    <n v="19570822"/>
    <n v="22"/>
    <s v="N"/>
    <s v="N"/>
    <s v="N"/>
    <s v="N"/>
    <x v="1"/>
    <s v="Outside"/>
    <s v="Outside"/>
    <x v="0"/>
    <n v="1957"/>
    <x v="4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5"/>
    <s v="Acre-feet per Year"/>
    <s v="L_22"/>
    <n v="0"/>
    <n v="38.860749060000003"/>
    <n v="-123.15936511"/>
    <s v="UNCR"/>
  </r>
  <r>
    <s v="A017833"/>
    <n v="19570926"/>
    <n v="16"/>
    <s v="N"/>
    <s v="N"/>
    <s v="N"/>
    <s v="N"/>
    <x v="1"/>
    <s v="Outside"/>
    <s v="Outside"/>
    <x v="0"/>
    <n v="1957"/>
    <x v="4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"/>
    <s v="Acre-feet per Year"/>
    <s v="L_16"/>
    <n v="3.4039024194010059E-4"/>
    <n v="38.577540030000002"/>
    <n v="-122.88959629999999"/>
    <s v="FELTA CREEK"/>
  </r>
  <r>
    <s v="A017868"/>
    <n v="19571031"/>
    <n v="1"/>
    <s v="N"/>
    <s v="N"/>
    <s v="Y"/>
    <s v="Y"/>
    <x v="0"/>
    <s v="West Fork and Below Lake"/>
    <s v="Outside"/>
    <x v="0"/>
    <n v="1957"/>
    <x v="4"/>
    <x v="0"/>
    <s v="Y"/>
    <s v="N"/>
    <s v="N"/>
    <s v="Y"/>
    <s v="N"/>
    <x v="1"/>
    <s v="N"/>
    <x v="0"/>
    <s v="N"/>
    <n v="0"/>
    <n v="0"/>
    <n v="1.66"/>
    <n v="0"/>
    <n v="0"/>
    <n v="0"/>
    <n v="0"/>
    <n v="0"/>
    <n v="0"/>
    <n v="0"/>
    <n v="0"/>
    <n v="0"/>
    <n v="1.66"/>
    <n v="0"/>
    <n v="0"/>
    <n v="3.1446540886792454E-2"/>
    <m/>
    <m/>
    <n v="53"/>
    <s v="Acre-feet per Year"/>
    <s v="U_1"/>
    <n v="0"/>
    <n v="39.292989319999997"/>
    <n v="-123.21062688000001"/>
    <s v="WEST FORK RUSSIAN RIVER"/>
  </r>
  <r>
    <s v="A017885"/>
    <n v="19571119"/>
    <n v="6"/>
    <s v="Y"/>
    <s v="N"/>
    <s v="Y"/>
    <s v="Y"/>
    <x v="0"/>
    <s v="West Fork and Below Lake"/>
    <s v="Mendocino (d/s of lake)"/>
    <x v="0"/>
    <n v="1957"/>
    <x v="4"/>
    <x v="1"/>
    <s v="Y"/>
    <s v="N"/>
    <s v="N"/>
    <s v="Y"/>
    <s v="N"/>
    <x v="1"/>
    <s v="N"/>
    <x v="1"/>
    <s v="N"/>
    <n v="0"/>
    <n v="0"/>
    <n v="0"/>
    <n v="0"/>
    <n v="1.66"/>
    <n v="3.73"/>
    <n v="5.0599999999999996"/>
    <n v="5.23"/>
    <n v="4.3600000000000003"/>
    <n v="0"/>
    <n v="0"/>
    <n v="0"/>
    <n v="20.04"/>
    <n v="20.06666666666667"/>
    <n v="6.6558847525196557E-2"/>
    <n v="0.30084957521239386"/>
    <m/>
    <m/>
    <n v="66.7"/>
    <s v="Acre-feet per Year"/>
    <s v="U_6"/>
    <n v="0"/>
    <n v="38.949023590000003"/>
    <n v="-123.08906650999999"/>
    <s v="RUSSIAN RIVER"/>
  </r>
  <r>
    <s v="A017911A"/>
    <n v="19571210"/>
    <n v="5"/>
    <s v="Y"/>
    <s v="N"/>
    <s v="Y"/>
    <s v="Y"/>
    <x v="0"/>
    <s v="West Fork and Below Lake"/>
    <s v="Mendocino (d/s of lake)"/>
    <x v="0"/>
    <n v="1957"/>
    <x v="4"/>
    <x v="1"/>
    <s v="Y"/>
    <s v="N"/>
    <s v="N"/>
    <s v="Y"/>
    <s v="N"/>
    <x v="1"/>
    <s v="N"/>
    <x v="1"/>
    <s v="N"/>
    <n v="0"/>
    <n v="0"/>
    <n v="0"/>
    <n v="0"/>
    <n v="0"/>
    <n v="9.5"/>
    <n v="6.26"/>
    <n v="0"/>
    <n v="0"/>
    <n v="0"/>
    <n v="0"/>
    <n v="0"/>
    <n v="15.76"/>
    <n v="15.766666666666669"/>
    <n v="5.2296237341225869E-2"/>
    <n v="5.4745370370370382E-2"/>
    <m/>
    <m/>
    <n v="288"/>
    <s v="Acre-feet per Year"/>
    <s v="U_5"/>
    <n v="0"/>
    <n v="39.08011261"/>
    <n v="-123.16330404"/>
    <s v="RUSSIAN RIVER UNDERFLOW"/>
  </r>
  <r>
    <s v="A017911B"/>
    <n v="19571210"/>
    <n v="5"/>
    <s v="Y"/>
    <s v="N"/>
    <s v="Y"/>
    <s v="Y"/>
    <x v="0"/>
    <s v="West Fork and Below Lake"/>
    <s v="Mendocino (d/s of lake)"/>
    <x v="0"/>
    <n v="1957"/>
    <x v="4"/>
    <x v="1"/>
    <s v="Y"/>
    <s v="N"/>
    <s v="N"/>
    <s v="Y"/>
    <s v="N"/>
    <x v="1"/>
    <s v="N"/>
    <x v="1"/>
    <s v="N"/>
    <n v="0"/>
    <n v="0"/>
    <n v="0"/>
    <n v="0"/>
    <n v="1"/>
    <n v="4.8600000000000003"/>
    <n v="7.96"/>
    <n v="7.8"/>
    <n v="1.03"/>
    <n v="0"/>
    <n v="0"/>
    <n v="0"/>
    <n v="22.650000000000002"/>
    <n v="22.666666666666671"/>
    <n v="7.518275135736488E-2"/>
    <n v="0.24113475177304969"/>
    <m/>
    <m/>
    <n v="94"/>
    <s v="Acre-feet per Year"/>
    <s v="U_5"/>
    <n v="0"/>
    <n v="39.08692714"/>
    <n v="-123.16834875000001"/>
    <s v="RUSSIAN RIVER UNDERFLOW"/>
  </r>
  <r>
    <s v="A017919"/>
    <n v="19571218"/>
    <n v="23"/>
    <s v="N"/>
    <s v="N"/>
    <s v="N"/>
    <s v="N"/>
    <x v="1"/>
    <s v="Outside"/>
    <s v="Outside"/>
    <x v="0"/>
    <n v="1957"/>
    <x v="4"/>
    <x v="0"/>
    <s v="N"/>
    <s v="N"/>
    <s v="N"/>
    <s v="Y"/>
    <s v="N"/>
    <x v="1"/>
    <s v="N"/>
    <x v="0"/>
    <s v="N"/>
    <n v="1.8333333329999999"/>
    <n v="0.33333333300000001"/>
    <n v="0"/>
    <n v="0"/>
    <n v="0"/>
    <n v="0"/>
    <n v="0"/>
    <n v="0"/>
    <n v="0"/>
    <n v="0"/>
    <n v="0.33333333300000001"/>
    <n v="1.6333333329999999"/>
    <n v="4.1333333319999994"/>
    <n v="0"/>
    <n v="0"/>
    <n v="0.14761904757142855"/>
    <m/>
    <m/>
    <n v="28"/>
    <s v="Acre-feet per Year"/>
    <s v="L_28"/>
    <n v="0"/>
    <n v="38.354052809999999"/>
    <n v="-122.63329713"/>
    <s v="UNST"/>
  </r>
  <r>
    <s v="A017881"/>
    <n v="19571114"/>
    <n v="2"/>
    <s v="N"/>
    <s v="N"/>
    <s v="Y"/>
    <s v="N"/>
    <x v="0"/>
    <s v="Outside"/>
    <s v="Outside"/>
    <x v="0"/>
    <n v="1957"/>
    <x v="4"/>
    <x v="0"/>
    <s v="Y"/>
    <s v="N"/>
    <s v="N"/>
    <s v="Y"/>
    <s v="N"/>
    <x v="1"/>
    <s v="N"/>
    <x v="1"/>
    <s v="N"/>
    <n v="0"/>
    <n v="0"/>
    <n v="0"/>
    <n v="0"/>
    <n v="0"/>
    <n v="5.94"/>
    <n v="6.37"/>
    <n v="7.32"/>
    <n v="3.51"/>
    <n v="4.82"/>
    <n v="0"/>
    <n v="0"/>
    <n v="27.96"/>
    <n v="23.15"/>
    <n v="7.6785912967191033E-2"/>
    <n v="0.10360493827037037"/>
    <m/>
    <m/>
    <n v="270"/>
    <s v="Acre-feet per Year"/>
    <s v="U_2"/>
    <n v="0"/>
    <n v="39.286412679999998"/>
    <n v="-123.09779764"/>
    <s v="EAST FORK RUSSIAN RIVER"/>
  </r>
  <r>
    <s v="A017871"/>
    <n v="19571104"/>
    <n v="2"/>
    <s v="N"/>
    <s v="N"/>
    <s v="Y"/>
    <s v="N"/>
    <x v="0"/>
    <s v="Outside"/>
    <s v="Outside"/>
    <x v="0"/>
    <n v="1957"/>
    <x v="4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3.5"/>
    <s v="Acre-feet per Year"/>
    <s v="U_2"/>
    <n v="0"/>
    <n v="39.273496049999999"/>
    <n v="-123.06933486"/>
    <s v="UNST"/>
  </r>
  <r>
    <s v="A016821"/>
    <n v="19560106"/>
    <n v="10"/>
    <s v="N"/>
    <s v="Y"/>
    <s v="Y"/>
    <s v="Y"/>
    <x v="0"/>
    <s v="West Fork and Below Lake"/>
    <s v="Sonoma (d/s of Clov. Gage)"/>
    <x v="0"/>
    <n v="1956"/>
    <x v="5"/>
    <x v="1"/>
    <s v="Y"/>
    <s v="N"/>
    <s v="N"/>
    <s v="Y"/>
    <s v="N"/>
    <x v="1"/>
    <s v="N"/>
    <x v="1"/>
    <s v="N"/>
    <n v="0"/>
    <n v="0"/>
    <n v="0"/>
    <n v="0"/>
    <n v="0"/>
    <n v="0.73"/>
    <n v="1.17"/>
    <n v="1.02"/>
    <n v="1.47"/>
    <n v="1.02"/>
    <n v="0"/>
    <n v="0"/>
    <n v="5.41"/>
    <n v="4.4066666666666627"/>
    <n v="1.4616411366828863E-2"/>
    <n v="0.1275430359937402"/>
    <m/>
    <m/>
    <n v="42.6"/>
    <s v="Acre-feet per Year"/>
    <s v="U_10"/>
    <n v="0"/>
    <n v="38.705757030000001"/>
    <n v="-122.89259905999999"/>
    <s v="RUSSIAN RIVER UNDERFLOW"/>
  </r>
  <r>
    <s v="A016825"/>
    <n v="19560106"/>
    <n v="6"/>
    <s v="Y"/>
    <s v="N"/>
    <s v="Y"/>
    <s v="Y"/>
    <x v="0"/>
    <s v="West Fork and Below Lake"/>
    <s v="Mendocino (d/s of lake)"/>
    <x v="0"/>
    <n v="1956"/>
    <x v="5"/>
    <x v="0"/>
    <s v="Y"/>
    <s v="N"/>
    <s v="N"/>
    <s v="Y"/>
    <s v="N"/>
    <x v="1"/>
    <s v="N"/>
    <x v="1"/>
    <s v="N"/>
    <n v="0"/>
    <n v="0"/>
    <n v="0"/>
    <n v="0"/>
    <n v="0"/>
    <n v="0.06"/>
    <n v="0"/>
    <n v="0"/>
    <n v="0"/>
    <n v="0"/>
    <n v="0"/>
    <n v="0"/>
    <n v="0.06"/>
    <n v="6.6666666999999999E-2"/>
    <n v="2.2112574039199597E-4"/>
    <n v="4.7483381054131053E-4"/>
    <m/>
    <m/>
    <n v="140.4"/>
    <s v="Acre-feet per Year"/>
    <s v="U_6"/>
    <n v="0"/>
    <n v="38.968499999999999"/>
    <n v="-123.0483"/>
    <s v="MCDOWELL CREEK"/>
  </r>
  <r>
    <s v="A016904"/>
    <n v="19560221"/>
    <n v="23"/>
    <s v="N"/>
    <s v="N"/>
    <s v="N"/>
    <s v="N"/>
    <x v="1"/>
    <s v="Outside"/>
    <s v="Outside"/>
    <x v="0"/>
    <n v="1956"/>
    <x v="5"/>
    <x v="0"/>
    <s v="N"/>
    <s v="N"/>
    <s v="N"/>
    <s v="Y"/>
    <s v="N"/>
    <x v="1"/>
    <s v="N"/>
    <x v="0"/>
    <s v="N"/>
    <n v="2"/>
    <n v="1.6666666670000001"/>
    <n v="3.6666666669999999"/>
    <n v="0"/>
    <n v="0"/>
    <n v="0"/>
    <n v="0"/>
    <n v="0"/>
    <n v="0"/>
    <n v="0"/>
    <n v="0.66666666699999999"/>
    <n v="1"/>
    <n v="9.0000000010000001"/>
    <n v="0"/>
    <n v="0"/>
    <n v="0.13846153847692308"/>
    <m/>
    <m/>
    <n v="65"/>
    <s v="Acre-feet per Year"/>
    <s v="L_27"/>
    <n v="0"/>
    <n v="38.44462042"/>
    <n v="-122.59045260000001"/>
    <s v="UNST"/>
  </r>
  <r>
    <s v="A016961"/>
    <n v="19560321"/>
    <n v="10"/>
    <s v="N"/>
    <s v="Y"/>
    <s v="Y"/>
    <s v="Y"/>
    <x v="0"/>
    <s v="West Fork and Below Lake"/>
    <s v="Sonoma (d/s of Clov. Gage)"/>
    <x v="0"/>
    <n v="1956"/>
    <x v="5"/>
    <x v="0"/>
    <s v="Y"/>
    <s v="N"/>
    <s v="N"/>
    <s v="Y"/>
    <s v="N"/>
    <x v="1"/>
    <s v="N"/>
    <x v="1"/>
    <s v="N"/>
    <n v="21.6"/>
    <n v="16.100000000000001"/>
    <n v="4.8600000000000003"/>
    <n v="8.9"/>
    <n v="0.66"/>
    <n v="0"/>
    <n v="0"/>
    <n v="0"/>
    <n v="0"/>
    <n v="0"/>
    <n v="8.5299999999999994"/>
    <n v="13.4"/>
    <n v="74.05"/>
    <n v="0.66666666699999999"/>
    <n v="2.2112573939693015E-3"/>
    <n v="0.18065040650487807"/>
    <m/>
    <m/>
    <n v="410"/>
    <s v="Acre-feet per Year"/>
    <s v="U_10"/>
    <n v="0"/>
    <n v="38.653958029999998"/>
    <n v="-122.87934341"/>
    <s v="UNST"/>
  </r>
  <r>
    <s v="A016973"/>
    <n v="19560327"/>
    <n v="6"/>
    <s v="Y"/>
    <s v="N"/>
    <s v="Y"/>
    <s v="Y"/>
    <x v="0"/>
    <s v="West Fork and Below Lake"/>
    <s v="Mendocino (d/s of lake)"/>
    <x v="0"/>
    <n v="1956"/>
    <x v="5"/>
    <x v="0"/>
    <s v="Y"/>
    <s v="N"/>
    <s v="N"/>
    <s v="Y"/>
    <s v="N"/>
    <x v="1"/>
    <s v="N"/>
    <x v="1"/>
    <s v="N"/>
    <n v="6"/>
    <n v="5.35"/>
    <n v="4"/>
    <n v="2.66"/>
    <n v="1.33"/>
    <n v="0"/>
    <n v="0"/>
    <n v="0"/>
    <n v="0"/>
    <n v="0"/>
    <n v="0"/>
    <n v="0"/>
    <n v="19.339999999999996"/>
    <n v="1.3333333329999999"/>
    <n v="4.4225147846217163E-3"/>
    <n v="0.2400744416873449"/>
    <m/>
    <m/>
    <n v="80.599999999999994"/>
    <s v="Acre-feet per Year"/>
    <s v="U_6"/>
    <n v="0"/>
    <n v="38.965500079999998"/>
    <n v="-123.08896738"/>
    <s v="UNST"/>
  </r>
  <r>
    <s v="A017056"/>
    <n v="19560430"/>
    <n v="15"/>
    <s v="N"/>
    <s v="N"/>
    <s v="N"/>
    <s v="N"/>
    <x v="1"/>
    <s v="Outside"/>
    <s v="Outside"/>
    <x v="0"/>
    <n v="1956"/>
    <x v="5"/>
    <x v="0"/>
    <s v="N"/>
    <s v="N"/>
    <s v="N"/>
    <s v="Y"/>
    <s v="N"/>
    <x v="1"/>
    <s v="N"/>
    <x v="1"/>
    <s v="N"/>
    <n v="0"/>
    <n v="0"/>
    <n v="0"/>
    <n v="6.6666670000000003E-3"/>
    <n v="1.0833333329999999"/>
    <n v="2.04"/>
    <n v="3.5233333330000001"/>
    <n v="3.0333333329999999"/>
    <n v="3.423333333"/>
    <n v="0.47666666699999999"/>
    <n v="0"/>
    <n v="0"/>
    <n v="13.586666666000001"/>
    <n v="13.103333332"/>
    <n v="4.3462264052312974E-2"/>
    <n v="5.3176777557729947E-2"/>
    <m/>
    <m/>
    <n v="255.5"/>
    <s v="Acre-feet per Year"/>
    <s v="L_15"/>
    <n v="0"/>
    <n v="38.659578070000002"/>
    <n v="-122.93334777"/>
    <s v="DRY CREEK"/>
  </r>
  <r>
    <s v="A017081"/>
    <n v="19560509"/>
    <n v="23"/>
    <s v="N"/>
    <s v="N"/>
    <s v="N"/>
    <s v="N"/>
    <x v="1"/>
    <s v="Outside"/>
    <s v="Outside"/>
    <x v="0"/>
    <n v="1956"/>
    <x v="5"/>
    <x v="0"/>
    <s v="N"/>
    <s v="N"/>
    <s v="N"/>
    <s v="Y"/>
    <s v="N"/>
    <x v="1"/>
    <s v="N"/>
    <x v="1"/>
    <s v="N"/>
    <n v="0"/>
    <n v="0"/>
    <n v="0"/>
    <n v="0.233333333"/>
    <n v="0.16666666699999999"/>
    <n v="0"/>
    <n v="0.1"/>
    <n v="0"/>
    <n v="0"/>
    <n v="0"/>
    <n v="0"/>
    <n v="0"/>
    <n v="0.5"/>
    <n v="0.26666666699999997"/>
    <n v="8.8450295825109762E-4"/>
    <n v="3.6049026676279743E-3"/>
    <m/>
    <m/>
    <n v="138.69999999999999"/>
    <s v="Acre-feet per Year"/>
    <s v="L_24"/>
    <n v="0"/>
    <n v="38.495314870000001"/>
    <n v="-122.86900498"/>
    <s v="MARK WEST CREEK"/>
  </r>
  <r>
    <s v="A017091A"/>
    <n v="19560514"/>
    <n v="1"/>
    <s v="N"/>
    <s v="N"/>
    <s v="Y"/>
    <s v="Y"/>
    <x v="0"/>
    <s v="West Fork and Below Lake"/>
    <s v="Outside"/>
    <x v="0"/>
    <n v="1956"/>
    <x v="5"/>
    <x v="0"/>
    <s v="Y"/>
    <s v="N"/>
    <s v="N"/>
    <s v="Y"/>
    <s v="N"/>
    <x v="1"/>
    <s v="N"/>
    <x v="0"/>
    <s v="N"/>
    <n v="2"/>
    <n v="2"/>
    <n v="2"/>
    <n v="0"/>
    <n v="0"/>
    <n v="0"/>
    <n v="0"/>
    <n v="0"/>
    <n v="0"/>
    <n v="0"/>
    <n v="0"/>
    <n v="2"/>
    <n v="8"/>
    <n v="0"/>
    <n v="0"/>
    <n v="1"/>
    <m/>
    <m/>
    <n v="8"/>
    <s v="Acre-feet per Year"/>
    <s v="U_1"/>
    <n v="0"/>
    <n v="39.305224940000002"/>
    <n v="-123.19563878"/>
    <s v="UNST"/>
  </r>
  <r>
    <s v="A017091B"/>
    <n v="19560514"/>
    <n v="1"/>
    <s v="N"/>
    <s v="N"/>
    <s v="Y"/>
    <s v="Y"/>
    <x v="0"/>
    <s v="West Fork and Below Lake"/>
    <s v="Outside"/>
    <x v="0"/>
    <n v="1956"/>
    <x v="5"/>
    <x v="0"/>
    <s v="Y"/>
    <s v="N"/>
    <s v="N"/>
    <s v="Y"/>
    <s v="N"/>
    <x v="1"/>
    <s v="N"/>
    <x v="1"/>
    <s v="N"/>
    <n v="8.9700000000000006"/>
    <n v="10.61"/>
    <n v="5.3"/>
    <n v="2.63"/>
    <n v="1.73"/>
    <n v="0"/>
    <n v="0"/>
    <n v="0.01"/>
    <n v="0.24"/>
    <n v="0"/>
    <n v="1.73"/>
    <n v="2.67"/>
    <n v="33.89"/>
    <n v="1.993333333"/>
    <n v="6.611659603556753E-3"/>
    <n v="0.69231292520408172"/>
    <m/>
    <m/>
    <n v="49"/>
    <s v="Acre-feet per Year"/>
    <s v="U_1"/>
    <n v="0"/>
    <n v="39.304549000000002"/>
    <n v="-123.20799761000001"/>
    <s v="UNST"/>
  </r>
  <r>
    <s v="A017091C"/>
    <n v="19560514"/>
    <n v="1"/>
    <s v="N"/>
    <s v="N"/>
    <s v="Y"/>
    <s v="Y"/>
    <x v="0"/>
    <s v="West Fork and Below Lake"/>
    <s v="Outside"/>
    <x v="0"/>
    <n v="1956"/>
    <x v="5"/>
    <x v="0"/>
    <s v="Y"/>
    <s v="N"/>
    <s v="N"/>
    <s v="Y"/>
    <s v="N"/>
    <x v="1"/>
    <s v="N"/>
    <x v="0"/>
    <s v="N"/>
    <n v="4.5"/>
    <n v="1"/>
    <n v="2.66"/>
    <n v="1.66"/>
    <n v="0"/>
    <n v="0"/>
    <n v="0"/>
    <n v="0"/>
    <n v="0"/>
    <n v="0"/>
    <n v="0"/>
    <n v="0"/>
    <n v="9.82"/>
    <n v="0"/>
    <n v="0"/>
    <n v="0.75641025646153837"/>
    <m/>
    <m/>
    <n v="13"/>
    <s v="Acre-feet per Year"/>
    <s v="U_1"/>
    <n v="0"/>
    <n v="39.303014220000001"/>
    <n v="-123.19701506"/>
    <s v="UNST"/>
  </r>
  <r>
    <s v="A017098"/>
    <n v="19560522"/>
    <n v="16"/>
    <s v="N"/>
    <s v="N"/>
    <s v="N"/>
    <s v="N"/>
    <x v="1"/>
    <s v="Outside"/>
    <s v="Outside"/>
    <x v="0"/>
    <n v="1956"/>
    <x v="5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"/>
    <s v="Acre-feet per Year"/>
    <s v="L_16"/>
    <n v="0"/>
    <n v="38.660878920000002"/>
    <n v="-122.90779769"/>
    <s v="UNST"/>
  </r>
  <r>
    <s v="A017100"/>
    <n v="19560523"/>
    <n v="12"/>
    <s v="N"/>
    <s v="Y"/>
    <s v="Y"/>
    <s v="Y"/>
    <x v="0"/>
    <s v="West Fork and Below Lake"/>
    <s v="Sonoma (d/s of Clov. Gage)"/>
    <x v="0"/>
    <n v="1956"/>
    <x v="5"/>
    <x v="1"/>
    <s v="Y"/>
    <s v="N"/>
    <s v="N"/>
    <s v="Y"/>
    <s v="N"/>
    <x v="1"/>
    <s v="N"/>
    <x v="1"/>
    <s v="N"/>
    <n v="0.05"/>
    <n v="0.05"/>
    <n v="0.05"/>
    <n v="0.05"/>
    <n v="0.05"/>
    <n v="0.51"/>
    <n v="0.51"/>
    <n v="0.51"/>
    <n v="0.51"/>
    <n v="0.37"/>
    <n v="0.05"/>
    <n v="0.05"/>
    <n v="2.76"/>
    <n v="2.1148539999999998"/>
    <n v="7.0147298134909638E-3"/>
    <n v="4.6895400000000004E-2"/>
    <m/>
    <m/>
    <n v="60"/>
    <s v="Acre-feet per Year"/>
    <s v="U_12"/>
    <n v="0"/>
    <n v="38.631291390000001"/>
    <n v="-122.82480044"/>
    <s v="RUSSIAN RIVER"/>
  </r>
  <r>
    <s v="A017121"/>
    <n v="19560608"/>
    <n v="12"/>
    <s v="N"/>
    <s v="Y"/>
    <s v="Y"/>
    <s v="Y"/>
    <x v="0"/>
    <s v="West Fork and Below Lake"/>
    <s v="Sonoma (d/s of Clov. Gage)"/>
    <x v="0"/>
    <n v="1956"/>
    <x v="5"/>
    <x v="1"/>
    <s v="Y"/>
    <s v="N"/>
    <s v="N"/>
    <s v="Y"/>
    <s v="N"/>
    <x v="1"/>
    <s v="N"/>
    <x v="1"/>
    <s v="N"/>
    <n v="89.91"/>
    <n v="84.14"/>
    <n v="93.98"/>
    <n v="96.88"/>
    <n v="108.27"/>
    <n v="108.15"/>
    <n v="117.18"/>
    <n v="126.86"/>
    <n v="107.72"/>
    <n v="103.25"/>
    <n v="126.59"/>
    <n v="96.49"/>
    <n v="1259.42"/>
    <n v="568.20000000000005"/>
    <n v="1.8846546759377085"/>
    <n v="0.43491372860480909"/>
    <m/>
    <m/>
    <n v="2895.9"/>
    <s v="Acre-feet per Year"/>
    <s v="U_12"/>
    <n v="0"/>
    <n v="38.633713229999998"/>
    <n v="-122.85437302"/>
    <s v="RUSSIAN RIVER (SUBTERRANEAN STREAM)"/>
  </r>
  <r>
    <s v="A017145"/>
    <n v="19560621"/>
    <n v="6"/>
    <s v="Y"/>
    <s v="N"/>
    <s v="Y"/>
    <s v="Y"/>
    <x v="0"/>
    <s v="West Fork and Below Lake"/>
    <s v="Mendocino (d/s of lake)"/>
    <x v="0"/>
    <n v="1956"/>
    <x v="5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8"/>
    <s v="Acre-feet per Year"/>
    <s v="U_6"/>
    <n v="0"/>
    <n v="38.973700000000001"/>
    <n v="-123.1095"/>
    <s v="RUSSIAN RIVER"/>
  </r>
  <r>
    <s v="A017232"/>
    <n v="19560810"/>
    <n v="4"/>
    <s v="Y"/>
    <s v="N"/>
    <s v="Y"/>
    <s v="Y"/>
    <x v="0"/>
    <s v="West Fork and Below Lake"/>
    <s v="Mendocino (d/s of lake)"/>
    <x v="0"/>
    <n v="1956"/>
    <x v="5"/>
    <x v="1"/>
    <s v="Y"/>
    <s v="N"/>
    <s v="N"/>
    <s v="Y"/>
    <s v="N"/>
    <x v="1"/>
    <s v="N"/>
    <x v="1"/>
    <s v="N"/>
    <n v="39.299999999999997"/>
    <n v="35.450000000000003"/>
    <n v="41.92"/>
    <n v="43.37"/>
    <n v="64.760000000000005"/>
    <n v="48.61"/>
    <n v="0"/>
    <n v="0"/>
    <n v="0"/>
    <n v="0"/>
    <n v="31.97"/>
    <n v="36.93"/>
    <n v="342.31"/>
    <n v="113.37"/>
    <n v="0.37603537594343189"/>
    <n v="0.3868972272453286"/>
    <m/>
    <m/>
    <n v="884.8"/>
    <s v="Acre-feet per Year"/>
    <s v="U_4"/>
    <n v="0"/>
    <n v="39.118699999999997"/>
    <n v="-123.19280000000001"/>
    <s v="RUSSIAN RIVER UNDERFLOW"/>
  </r>
  <r>
    <s v="A017237"/>
    <n v="19560814"/>
    <n v="16"/>
    <s v="N"/>
    <s v="N"/>
    <s v="N"/>
    <s v="N"/>
    <x v="1"/>
    <s v="Outside"/>
    <s v="Outside"/>
    <x v="0"/>
    <n v="1956"/>
    <x v="5"/>
    <x v="0"/>
    <s v="N"/>
    <s v="N"/>
    <s v="N"/>
    <s v="Y"/>
    <s v="N"/>
    <x v="1"/>
    <s v="N"/>
    <x v="0"/>
    <s v="N"/>
    <n v="1.6666666670000001"/>
    <n v="0"/>
    <n v="0"/>
    <n v="0"/>
    <n v="0"/>
    <n v="0"/>
    <n v="0"/>
    <n v="0"/>
    <n v="0"/>
    <n v="0"/>
    <n v="3"/>
    <n v="10.7"/>
    <n v="15.366666667000001"/>
    <n v="0"/>
    <n v="0"/>
    <n v="0.15065359477450982"/>
    <m/>
    <m/>
    <n v="102"/>
    <s v="Acre-feet per Year"/>
    <s v="L_16"/>
    <n v="0"/>
    <n v="38.647101120000002"/>
    <n v="-122.89624188000001"/>
    <s v="UNST"/>
  </r>
  <r>
    <s v="A017240"/>
    <n v="19560815"/>
    <n v="1"/>
    <s v="N"/>
    <s v="N"/>
    <s v="Y"/>
    <s v="Y"/>
    <x v="0"/>
    <s v="West Fork and Below Lake"/>
    <s v="Outside"/>
    <x v="0"/>
    <n v="1956"/>
    <x v="5"/>
    <x v="0"/>
    <s v="Y"/>
    <s v="N"/>
    <s v="N"/>
    <s v="Y"/>
    <s v="N"/>
    <x v="1"/>
    <s v="N"/>
    <x v="1"/>
    <s v="N"/>
    <n v="0"/>
    <n v="0"/>
    <n v="0"/>
    <n v="0"/>
    <n v="0"/>
    <n v="0.33"/>
    <n v="0.33"/>
    <n v="0.33"/>
    <n v="0.33"/>
    <n v="0"/>
    <n v="0"/>
    <n v="0"/>
    <n v="1.32"/>
    <n v="1.337466668"/>
    <n v="4.436224585985615E-3"/>
    <n v="0.32621138243902442"/>
    <m/>
    <m/>
    <n v="4.0999999999999996"/>
    <s v="Acre-feet per Year"/>
    <s v="U_1"/>
    <n v="3.4039024194010059E-4"/>
    <n v="39.286360979999998"/>
    <n v="-123.18754581"/>
    <s v="UNST"/>
  </r>
  <r>
    <s v="A017263"/>
    <n v="19560905"/>
    <n v="16"/>
    <s v="N"/>
    <s v="N"/>
    <s v="N"/>
    <s v="N"/>
    <x v="1"/>
    <s v="Outside"/>
    <s v="Outside"/>
    <x v="0"/>
    <n v="1956"/>
    <x v="5"/>
    <x v="0"/>
    <s v="N"/>
    <s v="N"/>
    <s v="N"/>
    <s v="Y"/>
    <s v="N"/>
    <x v="1"/>
    <s v="N"/>
    <x v="1"/>
    <s v="N"/>
    <n v="0.33333333300000001"/>
    <n v="0.33333333300000001"/>
    <n v="0.33333333300000001"/>
    <n v="0.33333333300000001"/>
    <n v="0.33333333300000001"/>
    <n v="0.33333333300000001"/>
    <n v="0.33333333300000001"/>
    <n v="0.33333333300000001"/>
    <n v="0.33333333300000001"/>
    <n v="0.33333333300000001"/>
    <n v="0.33333333300000001"/>
    <n v="0.33333333300000001"/>
    <n v="3.999999996000001"/>
    <n v="1.6666666650000002"/>
    <n v="5.5281434766310386E-3"/>
    <n v="0.19999999980000005"/>
    <m/>
    <m/>
    <n v="20"/>
    <s v="Acre-feet per Year"/>
    <s v="L_16"/>
    <n v="0"/>
    <n v="38.660346160000003"/>
    <n v="-122.90568951"/>
    <s v="UNST"/>
  </r>
  <r>
    <s v="A017366"/>
    <n v="19561119"/>
    <n v="5"/>
    <s v="Y"/>
    <s v="N"/>
    <s v="Y"/>
    <s v="Y"/>
    <x v="0"/>
    <s v="West Fork and Below Lake"/>
    <s v="Mendocino (d/s of lake)"/>
    <x v="0"/>
    <n v="1956"/>
    <x v="5"/>
    <x v="1"/>
    <s v="Y"/>
    <s v="N"/>
    <s v="N"/>
    <s v="Y"/>
    <s v="N"/>
    <x v="1"/>
    <s v="N"/>
    <x v="1"/>
    <s v="N"/>
    <n v="0"/>
    <n v="0"/>
    <n v="0"/>
    <n v="0"/>
    <n v="0.25"/>
    <n v="0.41"/>
    <n v="0.83"/>
    <n v="1"/>
    <n v="1"/>
    <n v="1"/>
    <n v="0"/>
    <n v="0"/>
    <n v="4.49"/>
    <n v="3.5"/>
    <n v="1.1609101312534282E-2"/>
    <n v="0.16666666666666666"/>
    <m/>
    <m/>
    <n v="27"/>
    <s v="Acre-feet per Year"/>
    <s v="U_5"/>
    <n v="0"/>
    <n v="39.058628169999999"/>
    <n v="-123.1421714"/>
    <s v="RUSSIAN RIVER"/>
  </r>
  <r>
    <s v="A017271"/>
    <n v="19560907"/>
    <n v="2"/>
    <s v="N"/>
    <s v="N"/>
    <s v="Y"/>
    <s v="N"/>
    <x v="0"/>
    <s v="Outside"/>
    <s v="Outside"/>
    <x v="0"/>
    <n v="1956"/>
    <x v="5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91"/>
    <s v="Acre-feet per Year"/>
    <s v="U_2"/>
    <n v="0"/>
    <n v="39.241199999999999"/>
    <n v="-123.1155"/>
    <s v="COLD CREEK"/>
  </r>
  <r>
    <s v="A016381"/>
    <n v="19550517"/>
    <n v="2"/>
    <s v="N"/>
    <s v="N"/>
    <s v="Y"/>
    <s v="N"/>
    <x v="0"/>
    <s v="Outside"/>
    <s v="Outside"/>
    <x v="0"/>
    <n v="1955"/>
    <x v="5"/>
    <x v="0"/>
    <s v="Y"/>
    <s v="N"/>
    <s v="N"/>
    <s v="Y"/>
    <s v="N"/>
    <x v="1"/>
    <s v="N"/>
    <x v="1"/>
    <s v="N"/>
    <n v="18.399999999999999"/>
    <n v="18.399999999999999"/>
    <n v="18.399999999999999"/>
    <n v="18.399999999999999"/>
    <n v="6.13"/>
    <n v="0"/>
    <n v="0"/>
    <n v="0"/>
    <n v="0"/>
    <n v="0"/>
    <n v="12.26"/>
    <n v="18.399999999999999"/>
    <n v="110.38999999999999"/>
    <n v="6.1333333330000004"/>
    <n v="2.0343568013240162E-2"/>
    <n v="1.0000000000271738"/>
    <m/>
    <m/>
    <n v="110.4"/>
    <s v="Acre-feet per Year"/>
    <s v="U_2"/>
    <n v="0"/>
    <n v="39.308598740000001"/>
    <n v="-123.13242753"/>
    <s v="BEVANS CREEK"/>
  </r>
  <r>
    <s v="A016218"/>
    <n v="19550126"/>
    <n v="15"/>
    <s v="N"/>
    <s v="N"/>
    <s v="N"/>
    <s v="N"/>
    <x v="1"/>
    <s v="Outside"/>
    <s v="Outside"/>
    <x v="0"/>
    <n v="1955"/>
    <x v="5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5"/>
    <s v="Acre-feet per Year"/>
    <s v="L_15"/>
    <n v="0"/>
    <n v="38.71603863"/>
    <n v="-122.94670564"/>
    <s v="UNST"/>
  </r>
  <r>
    <s v="A016249"/>
    <n v="19550228"/>
    <n v="6"/>
    <s v="Y"/>
    <s v="N"/>
    <s v="Y"/>
    <s v="Y"/>
    <x v="0"/>
    <s v="West Fork and Below Lake"/>
    <s v="Mendocino (d/s of lake)"/>
    <x v="0"/>
    <n v="1955"/>
    <x v="5"/>
    <x v="1"/>
    <s v="Y"/>
    <s v="N"/>
    <s v="N"/>
    <s v="Y"/>
    <s v="N"/>
    <x v="1"/>
    <s v="N"/>
    <x v="1"/>
    <s v="N"/>
    <n v="0"/>
    <n v="0"/>
    <n v="0"/>
    <n v="0"/>
    <n v="30.59"/>
    <n v="34.200000000000003"/>
    <n v="41.32"/>
    <n v="33.119999999999997"/>
    <n v="38.659999999999997"/>
    <n v="2.23"/>
    <n v="0"/>
    <n v="0"/>
    <n v="180.12"/>
    <n v="177.90666666666658"/>
    <n v="0.59009614785959952"/>
    <n v="0.21343601895734585"/>
    <m/>
    <m/>
    <n v="844"/>
    <s v="Acre-feet per Year"/>
    <s v="U_6"/>
    <n v="0"/>
    <n v="38.938933849999998"/>
    <n v="-123.08152803999999"/>
    <s v="RUSSIAN RIVER"/>
  </r>
  <r>
    <s v="A016308"/>
    <n v="19550411"/>
    <n v="5"/>
    <s v="Y"/>
    <s v="N"/>
    <s v="Y"/>
    <s v="Y"/>
    <x v="0"/>
    <s v="West Fork and Below Lake"/>
    <s v="Mendocino (d/s of lake)"/>
    <x v="0"/>
    <n v="1955"/>
    <x v="5"/>
    <x v="1"/>
    <s v="Y"/>
    <s v="N"/>
    <s v="N"/>
    <s v="Y"/>
    <s v="N"/>
    <x v="1"/>
    <s v="N"/>
    <x v="1"/>
    <s v="N"/>
    <n v="0"/>
    <n v="0"/>
    <n v="0"/>
    <n v="0"/>
    <n v="0"/>
    <n v="1.0900000000000001"/>
    <n v="2.33"/>
    <n v="1.46"/>
    <n v="3.51"/>
    <n v="0.16"/>
    <n v="0"/>
    <n v="0"/>
    <n v="8.5500000000000007"/>
    <n v="8.4206666666666692"/>
    <n v="2.7930392129261059E-2"/>
    <n v="5.6236629556865342E-2"/>
    <m/>
    <m/>
    <n v="152.69999999999999"/>
    <s v="Acre-feet per Year"/>
    <s v="U_5"/>
    <n v="0"/>
    <n v="39.094233780000003"/>
    <n v="-123.17904075"/>
    <s v="RUSSIAN RIVER"/>
  </r>
  <r>
    <s v="A016319"/>
    <n v="19550419"/>
    <n v="9"/>
    <s v="N"/>
    <s v="Y"/>
    <s v="Y"/>
    <s v="Y"/>
    <x v="0"/>
    <s v="West Fork and Below Lake"/>
    <s v="Sonoma (d/s of Clov. Gage)"/>
    <x v="0"/>
    <n v="1955"/>
    <x v="5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94.4"/>
    <s v="Acre-feet per Year"/>
    <s v="U_9"/>
    <n v="0"/>
    <n v="38.802349460000002"/>
    <n v="-123.00189693999999"/>
    <s v="RUSSIAN RIVER UNDERFLOW"/>
  </r>
  <r>
    <s v="A016334"/>
    <n v="19550422"/>
    <n v="9"/>
    <s v="N"/>
    <s v="Y"/>
    <s v="Y"/>
    <s v="Y"/>
    <x v="0"/>
    <s v="West Fork and Below Lake"/>
    <s v="Sonoma (d/s of Clov. Gage)"/>
    <x v="0"/>
    <n v="1955"/>
    <x v="5"/>
    <x v="1"/>
    <s v="Y"/>
    <s v="N"/>
    <s v="N"/>
    <s v="Y"/>
    <s v="N"/>
    <x v="1"/>
    <s v="N"/>
    <x v="1"/>
    <s v="N"/>
    <n v="0"/>
    <n v="0"/>
    <n v="0"/>
    <n v="0"/>
    <n v="0"/>
    <n v="0"/>
    <n v="1"/>
    <n v="1.3"/>
    <n v="1.1000000000000001"/>
    <n v="0"/>
    <n v="0"/>
    <n v="0"/>
    <n v="3.4"/>
    <n v="3.4"/>
    <n v="1.1277412703604731E-2"/>
    <n v="1"/>
    <m/>
    <m/>
    <n v="3.4"/>
    <s v="Acre-feet per Year"/>
    <s v="U_9"/>
    <n v="0"/>
    <n v="38.862591629999997"/>
    <n v="-123.04172834000001"/>
    <s v="RUSSIAN RIVER"/>
  </r>
  <r>
    <s v="A016347"/>
    <n v="19550427"/>
    <n v="1"/>
    <s v="N"/>
    <s v="N"/>
    <s v="Y"/>
    <s v="Y"/>
    <x v="0"/>
    <s v="West Fork and Below Lake"/>
    <s v="Outside"/>
    <x v="0"/>
    <n v="1955"/>
    <x v="5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0.9"/>
    <s v="Acre-feet per Year"/>
    <s v="U_1"/>
    <n v="0"/>
    <n v="39.320898390000004"/>
    <n v="-123.22012029"/>
    <s v="FORSYTHE CREEK"/>
  </r>
  <r>
    <s v="A016357"/>
    <n v="19550503"/>
    <n v="9"/>
    <s v="N"/>
    <s v="Y"/>
    <s v="Y"/>
    <s v="Y"/>
    <x v="0"/>
    <s v="West Fork and Below Lake"/>
    <s v="Sonoma (d/s of Clov. Gage)"/>
    <x v="0"/>
    <n v="1955"/>
    <x v="5"/>
    <x v="1"/>
    <s v="Y"/>
    <s v="N"/>
    <s v="N"/>
    <s v="Y"/>
    <s v="N"/>
    <x v="1"/>
    <s v="N"/>
    <x v="1"/>
    <s v="N"/>
    <n v="0"/>
    <n v="0"/>
    <n v="0"/>
    <n v="0.06"/>
    <n v="0.13"/>
    <n v="0.33"/>
    <n v="1.66"/>
    <n v="2.6"/>
    <n v="1.96"/>
    <n v="0.66"/>
    <n v="0.1"/>
    <n v="0"/>
    <n v="7.4999999999999991"/>
    <n v="6.7000000000000064"/>
    <n v="2.2223136798279929E-2"/>
    <n v="5.3541814735844635E-2"/>
    <m/>
    <m/>
    <n v="140.69999999999999"/>
    <s v="Acre-feet per Year"/>
    <s v="U_9"/>
    <n v="0"/>
    <n v="38.794462369999998"/>
    <n v="-122.99301362"/>
    <s v="RUSSIAN RIVER"/>
  </r>
  <r>
    <s v="A016398"/>
    <n v="19550527"/>
    <n v="9"/>
    <s v="N"/>
    <s v="Y"/>
    <s v="Y"/>
    <s v="Y"/>
    <x v="0"/>
    <s v="West Fork and Below Lake"/>
    <s v="Sonoma (d/s of Clov. Gage)"/>
    <x v="0"/>
    <n v="1955"/>
    <x v="5"/>
    <x v="1"/>
    <s v="Y"/>
    <s v="N"/>
    <s v="N"/>
    <s v="Y"/>
    <s v="N"/>
    <x v="1"/>
    <s v="N"/>
    <x v="1"/>
    <s v="N"/>
    <n v="0"/>
    <n v="0"/>
    <n v="0"/>
    <n v="0"/>
    <n v="3.26"/>
    <n v="10.66"/>
    <n v="12.33"/>
    <n v="12.33"/>
    <n v="13"/>
    <n v="10.33"/>
    <n v="1.66"/>
    <n v="0"/>
    <n v="63.569999999999993"/>
    <n v="51.599999997000005"/>
    <n v="0.17115132219769763"/>
    <n v="0.93255131956011739"/>
    <m/>
    <m/>
    <n v="68.2"/>
    <s v="Acre-feet per Year"/>
    <s v="U_9"/>
    <n v="0"/>
    <n v="38.758236670000002"/>
    <n v="-122.95778801"/>
    <s v="RUSSIAN RIVER"/>
  </r>
  <r>
    <s v="A016405"/>
    <n v="19550603"/>
    <n v="10"/>
    <s v="N"/>
    <s v="Y"/>
    <s v="Y"/>
    <s v="Y"/>
    <x v="0"/>
    <s v="West Fork and Below Lake"/>
    <s v="Sonoma (d/s of Clov. Gage)"/>
    <x v="0"/>
    <n v="1955"/>
    <x v="5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46.80000000000001"/>
    <s v="Acre-feet per Year"/>
    <s v="U_10"/>
    <n v="0"/>
    <n v="38.697082610000002"/>
    <n v="-122.87777316"/>
    <s v="RUSSIAN RIVER UNDERFLOW"/>
  </r>
  <r>
    <s v="A016416"/>
    <n v="19550613"/>
    <n v="4"/>
    <s v="Y"/>
    <s v="N"/>
    <s v="Y"/>
    <s v="Y"/>
    <x v="0"/>
    <s v="West Fork and Below Lake"/>
    <s v="Mendocino (d/s of lake)"/>
    <x v="0"/>
    <n v="1955"/>
    <x v="5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4"/>
    <s v="Acre-feet per Year"/>
    <s v="U_4"/>
    <n v="0"/>
    <n v="39.17180544"/>
    <n v="-123.1926794"/>
    <s v="RUSSIAN RIVER"/>
  </r>
  <r>
    <s v="A016440"/>
    <n v="19550624"/>
    <n v="17"/>
    <s v="N"/>
    <s v="N"/>
    <s v="N"/>
    <s v="N"/>
    <x v="1"/>
    <s v="Outside"/>
    <s v="Outside"/>
    <x v="0"/>
    <n v="1955"/>
    <x v="5"/>
    <x v="1"/>
    <s v="N"/>
    <s v="N"/>
    <s v="N"/>
    <s v="Y"/>
    <s v="N"/>
    <x v="1"/>
    <s v="N"/>
    <x v="0"/>
    <s v="N"/>
    <n v="0"/>
    <n v="0"/>
    <n v="2"/>
    <n v="0.66666666699999999"/>
    <n v="0"/>
    <n v="0"/>
    <n v="0"/>
    <n v="0"/>
    <n v="0"/>
    <n v="0"/>
    <n v="0"/>
    <n v="0"/>
    <n v="2.6666666669999999"/>
    <n v="0"/>
    <n v="0"/>
    <n v="1.1299435028248589E-2"/>
    <m/>
    <m/>
    <n v="236"/>
    <s v="Acre-feet per Year"/>
    <s v="L_17"/>
    <n v="0"/>
    <n v="38.52423924"/>
    <n v="-122.85677252000001"/>
    <s v="RUSSIAN RIVER UNDERFLOW"/>
  </r>
  <r>
    <s v="A016443"/>
    <n v="19550628"/>
    <n v="6"/>
    <s v="Y"/>
    <s v="N"/>
    <s v="Y"/>
    <s v="Y"/>
    <x v="0"/>
    <s v="West Fork and Below Lake"/>
    <s v="Mendocino (d/s of lake)"/>
    <x v="0"/>
    <n v="1955"/>
    <x v="5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44.80000000000001"/>
    <s v="Acre-feet per Year"/>
    <s v="U_6"/>
    <n v="3.4039024194010059E-4"/>
    <n v="38.90412242"/>
    <n v="-123.10419343"/>
    <s v="CUMMISKY CREEK"/>
  </r>
  <r>
    <s v="A016457"/>
    <n v="19550711"/>
    <n v="17"/>
    <s v="N"/>
    <s v="N"/>
    <s v="N"/>
    <s v="N"/>
    <x v="1"/>
    <s v="Outside"/>
    <s v="Outside"/>
    <x v="0"/>
    <n v="1955"/>
    <x v="5"/>
    <x v="1"/>
    <s v="N"/>
    <s v="N"/>
    <s v="N"/>
    <s v="Y"/>
    <s v="N"/>
    <x v="1"/>
    <s v="N"/>
    <x v="0"/>
    <s v="N"/>
    <n v="0"/>
    <n v="0.306666667"/>
    <n v="0.50514033300000005"/>
    <n v="0"/>
    <n v="0"/>
    <n v="0"/>
    <n v="0"/>
    <n v="0"/>
    <n v="0"/>
    <n v="1.8974299999999999"/>
    <n v="0.34666666699999998"/>
    <n v="0"/>
    <n v="3.0559036669999999"/>
    <n v="0"/>
    <n v="0"/>
    <n v="9.9800903559764866E-3"/>
    <m/>
    <m/>
    <n v="306.2"/>
    <s v="Acre-feet per Year"/>
    <s v="L_17"/>
    <n v="0"/>
    <n v="38.564599999999999"/>
    <n v="-122.8531"/>
    <s v="RUSSIAN RIVER UNDERFLOW"/>
  </r>
  <r>
    <s v="A016467"/>
    <n v="19550718"/>
    <n v="11"/>
    <s v="N"/>
    <s v="Y"/>
    <s v="Y"/>
    <s v="Y"/>
    <x v="0"/>
    <s v="West Fork and Below Lake"/>
    <s v="Sonoma (d/s of Clov. Gage)"/>
    <x v="0"/>
    <n v="1955"/>
    <x v="5"/>
    <x v="0"/>
    <s v="Y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3.53"/>
    <n v="5.93"/>
    <n v="9.4599999999999991"/>
    <n v="0"/>
    <n v="0"/>
    <n v="0.37866666663999998"/>
    <m/>
    <m/>
    <n v="25"/>
    <s v="Acre-feet per Year"/>
    <s v="U_11"/>
    <n v="0"/>
    <n v="38.658357780000003"/>
    <n v="-122.71864775"/>
    <s v="UNCR"/>
  </r>
  <r>
    <s v="A016478"/>
    <n v="19550721"/>
    <n v="23"/>
    <s v="N"/>
    <s v="N"/>
    <s v="N"/>
    <s v="N"/>
    <x v="1"/>
    <s v="Outside"/>
    <s v="Outside"/>
    <x v="0"/>
    <n v="1955"/>
    <x v="5"/>
    <x v="0"/>
    <s v="N"/>
    <s v="N"/>
    <s v="N"/>
    <s v="Y"/>
    <s v="N"/>
    <x v="1"/>
    <s v="N"/>
    <x v="0"/>
    <s v="N"/>
    <n v="5.6666666670000003"/>
    <n v="2.733333333"/>
    <n v="6"/>
    <n v="0"/>
    <n v="0"/>
    <n v="0"/>
    <n v="0"/>
    <n v="0"/>
    <n v="0"/>
    <n v="0"/>
    <n v="1.6666666670000001"/>
    <n v="1"/>
    <n v="17.066666667"/>
    <n v="0"/>
    <n v="0"/>
    <n v="0.16569579288349515"/>
    <m/>
    <m/>
    <n v="103"/>
    <s v="Acre-feet per Year"/>
    <s v="L_27"/>
    <n v="0"/>
    <n v="38.44462042"/>
    <n v="-122.59045260000001"/>
    <s v="UNST"/>
  </r>
  <r>
    <s v="A016524"/>
    <n v="19550815"/>
    <n v="15"/>
    <s v="N"/>
    <s v="N"/>
    <s v="N"/>
    <s v="N"/>
    <x v="1"/>
    <s v="Outside"/>
    <s v="Outside"/>
    <x v="0"/>
    <n v="1955"/>
    <x v="5"/>
    <x v="0"/>
    <s v="N"/>
    <s v="N"/>
    <s v="N"/>
    <s v="Y"/>
    <s v="N"/>
    <x v="1"/>
    <s v="N"/>
    <x v="1"/>
    <s v="N"/>
    <n v="0"/>
    <n v="0"/>
    <n v="0"/>
    <n v="0"/>
    <n v="0"/>
    <n v="2.6333333329999999"/>
    <n v="2.653333333"/>
    <n v="3.5833333330000001"/>
    <n v="2.733333333"/>
    <n v="2.5233333330000001"/>
    <n v="0.93333333299999999"/>
    <n v="0"/>
    <n v="15.059999998000002"/>
    <n v="11.603333332000002"/>
    <n v="3.8486934918369714E-2"/>
    <n v="0.38615384610256415"/>
    <m/>
    <m/>
    <n v="39"/>
    <s v="Acre-feet per Year"/>
    <s v="L_15"/>
    <n v="0"/>
    <n v="38.663200000000003"/>
    <n v="-122.9408"/>
    <s v="DRY CREEK"/>
  </r>
  <r>
    <s v="A016525"/>
    <n v="19550815"/>
    <n v="10"/>
    <s v="N"/>
    <s v="Y"/>
    <s v="Y"/>
    <s v="Y"/>
    <x v="0"/>
    <s v="West Fork and Below Lake"/>
    <s v="Sonoma (d/s of Clov. Gage)"/>
    <x v="0"/>
    <n v="1955"/>
    <x v="5"/>
    <x v="1"/>
    <s v="Y"/>
    <s v="N"/>
    <s v="N"/>
    <s v="Y"/>
    <s v="N"/>
    <x v="1"/>
    <s v="N"/>
    <x v="1"/>
    <s v="N"/>
    <n v="0"/>
    <n v="0"/>
    <n v="0"/>
    <n v="0"/>
    <n v="0"/>
    <n v="0.03"/>
    <n v="0.06"/>
    <n v="0.1"/>
    <n v="0.2"/>
    <n v="0.06"/>
    <n v="0"/>
    <n v="0"/>
    <n v="0.45"/>
    <n v="0.4"/>
    <n v="1.3267544357182036E-3"/>
    <n v="1.9525801952580198E-2"/>
    <m/>
    <m/>
    <n v="23.9"/>
    <s v="Acre-feet per Year"/>
    <s v="U_10"/>
    <n v="0"/>
    <n v="38.667433039999999"/>
    <n v="-122.83957950999999"/>
    <s v="RUSSIAN RIVER UNDERFLOW"/>
  </r>
  <r>
    <s v="A016527"/>
    <n v="19550816"/>
    <n v="23"/>
    <s v="N"/>
    <s v="N"/>
    <s v="N"/>
    <s v="N"/>
    <x v="1"/>
    <s v="Outside"/>
    <s v="Outside"/>
    <x v="0"/>
    <n v="1955"/>
    <x v="5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95"/>
    <s v="Acre-feet per Year"/>
    <s v="L_27"/>
    <n v="0"/>
    <n v="38.426544"/>
    <n v="-122.63358871"/>
    <s v="SPRING CREEK"/>
  </r>
  <r>
    <s v="A016545"/>
    <n v="19550823"/>
    <n v="20"/>
    <s v="N"/>
    <s v="N"/>
    <s v="N"/>
    <s v="N"/>
    <x v="1"/>
    <s v="Outside"/>
    <s v="Outside"/>
    <x v="0"/>
    <n v="1955"/>
    <x v="5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6"/>
    <s v="Acre-feet per Year"/>
    <s v="L_20"/>
    <n v="0"/>
    <n v="38.601318560000003"/>
    <n v="-123.00432442"/>
    <s v="GRAY CREEK"/>
  </r>
  <r>
    <s v="A016557"/>
    <n v="19550829"/>
    <n v="6"/>
    <s v="Y"/>
    <s v="N"/>
    <s v="Y"/>
    <s v="Y"/>
    <x v="0"/>
    <s v="West Fork and Below Lake"/>
    <s v="Mendocino (d/s of lake)"/>
    <x v="0"/>
    <n v="1955"/>
    <x v="5"/>
    <x v="1"/>
    <s v="Y"/>
    <s v="N"/>
    <s v="N"/>
    <s v="Y"/>
    <s v="N"/>
    <x v="1"/>
    <s v="N"/>
    <x v="1"/>
    <s v="N"/>
    <n v="0"/>
    <n v="0"/>
    <n v="0"/>
    <n v="52"/>
    <n v="52"/>
    <n v="52"/>
    <n v="52"/>
    <n v="52"/>
    <n v="52"/>
    <n v="0"/>
    <n v="0"/>
    <n v="0"/>
    <n v="312"/>
    <n v="260"/>
    <n v="0.86239038321683237"/>
    <n v="0.99680511182108622"/>
    <m/>
    <m/>
    <n v="313"/>
    <s v="Acre-feet per Year"/>
    <s v="U_6"/>
    <n v="0"/>
    <n v="38.994261129999998"/>
    <n v="-123.11003445"/>
    <s v="RUSSIAN RIVER UNDERFLOW"/>
  </r>
  <r>
    <s v="A016561"/>
    <n v="19550830"/>
    <n v="6"/>
    <s v="Y"/>
    <s v="N"/>
    <s v="Y"/>
    <s v="Y"/>
    <x v="0"/>
    <s v="West Fork and Below Lake"/>
    <s v="Mendocino (d/s of lake)"/>
    <x v="0"/>
    <n v="1955"/>
    <x v="5"/>
    <x v="1"/>
    <s v="Y"/>
    <s v="N"/>
    <s v="N"/>
    <s v="Y"/>
    <s v="N"/>
    <x v="1"/>
    <s v="N"/>
    <x v="1"/>
    <s v="N"/>
    <n v="0"/>
    <n v="0"/>
    <n v="0"/>
    <n v="0"/>
    <n v="2.23"/>
    <n v="8.25"/>
    <n v="11.21"/>
    <n v="8.11"/>
    <n v="3.21"/>
    <n v="0.86"/>
    <n v="0.56000000000000005"/>
    <n v="0"/>
    <n v="34.43"/>
    <n v="33.035999999999966"/>
    <n v="0.10957664884596632"/>
    <n v="5.9032939430267689E-2"/>
    <m/>
    <m/>
    <n v="583.9"/>
    <s v="Acre-feet per Year"/>
    <s v="U_6"/>
    <n v="0"/>
    <n v="39.00378714"/>
    <n v="-123.11305848000001"/>
    <s v="RUSSIAN RIVER UNDERFLOW"/>
  </r>
  <r>
    <s v="A016655"/>
    <n v="19551010"/>
    <n v="6"/>
    <s v="Y"/>
    <s v="N"/>
    <s v="Y"/>
    <s v="Y"/>
    <x v="0"/>
    <s v="West Fork and Below Lake"/>
    <s v="Mendocino (d/s of lake)"/>
    <x v="0"/>
    <n v="1955"/>
    <x v="5"/>
    <x v="1"/>
    <s v="Y"/>
    <s v="N"/>
    <s v="N"/>
    <s v="Y"/>
    <s v="N"/>
    <x v="1"/>
    <s v="N"/>
    <x v="1"/>
    <s v="N"/>
    <n v="0.05"/>
    <n v="0.05"/>
    <n v="0.05"/>
    <n v="0.08"/>
    <n v="0.08"/>
    <n v="0.16"/>
    <n v="0.16"/>
    <n v="0.16"/>
    <n v="0.16"/>
    <n v="0.08"/>
    <n v="0.05"/>
    <n v="0.05"/>
    <n v="1.1300000000000003"/>
    <n v="0.75034266666666527"/>
    <n v="2.4888011532715592E-3"/>
    <n v="3.9810277777777722E-2"/>
    <m/>
    <m/>
    <n v="30"/>
    <s v="Acre-feet per Year"/>
    <s v="U_6"/>
    <n v="0"/>
    <n v="38.971378000000001"/>
    <n v="-123.10629434000001"/>
    <s v="UNST"/>
  </r>
  <r>
    <s v="A016670"/>
    <n v="19551017"/>
    <n v="6"/>
    <s v="Y"/>
    <s v="N"/>
    <s v="Y"/>
    <s v="Y"/>
    <x v="0"/>
    <s v="West Fork and Below Lake"/>
    <s v="Mendocino (d/s of lake)"/>
    <x v="0"/>
    <n v="1955"/>
    <x v="5"/>
    <x v="1"/>
    <s v="Y"/>
    <s v="N"/>
    <s v="N"/>
    <s v="Y"/>
    <s v="N"/>
    <x v="1"/>
    <s v="N"/>
    <x v="1"/>
    <s v="N"/>
    <n v="0"/>
    <n v="0"/>
    <n v="0"/>
    <n v="0"/>
    <n v="0"/>
    <n v="0.16"/>
    <n v="0"/>
    <n v="0.33"/>
    <n v="0"/>
    <n v="0"/>
    <n v="0"/>
    <n v="0"/>
    <n v="0.49"/>
    <n v="0.5"/>
    <n v="1.6584430446477544E-3"/>
    <n v="5.3763440860215058E-3"/>
    <m/>
    <m/>
    <n v="93"/>
    <s v="Acre-feet per Year"/>
    <s v="U_6"/>
    <n v="0"/>
    <n v="38.981699999999996"/>
    <n v="-123.1069"/>
    <s v="RUSSIAN RIVER"/>
  </r>
  <r>
    <s v="A016671"/>
    <n v="19551017"/>
    <n v="6"/>
    <s v="Y"/>
    <s v="N"/>
    <s v="Y"/>
    <s v="Y"/>
    <x v="0"/>
    <s v="West Fork and Below Lake"/>
    <s v="Mendocino (d/s of lake)"/>
    <x v="0"/>
    <n v="1955"/>
    <x v="5"/>
    <x v="1"/>
    <s v="Y"/>
    <s v="N"/>
    <s v="N"/>
    <s v="Y"/>
    <s v="N"/>
    <x v="1"/>
    <s v="N"/>
    <x v="1"/>
    <s v="N"/>
    <n v="0"/>
    <n v="0"/>
    <n v="0"/>
    <n v="0"/>
    <n v="0.09"/>
    <n v="1.27"/>
    <n v="4.57"/>
    <n v="2.9"/>
    <n v="0"/>
    <n v="1.42"/>
    <n v="0"/>
    <n v="0"/>
    <n v="10.25"/>
    <n v="8.8506713333333273"/>
    <n v="2.9356668626459848E-2"/>
    <n v="6.9888517006802695E-2"/>
    <m/>
    <m/>
    <n v="147"/>
    <s v="Acre-feet per Year"/>
    <s v="U_6"/>
    <n v="0"/>
    <n v="39.02152461"/>
    <n v="-123.12741080000001"/>
    <s v="RUSSIAN RIVER"/>
  </r>
  <r>
    <s v="A016673"/>
    <n v="19551017"/>
    <n v="10"/>
    <s v="N"/>
    <s v="Y"/>
    <s v="Y"/>
    <s v="Y"/>
    <x v="0"/>
    <s v="West Fork and Below Lake"/>
    <s v="Sonoma (d/s of Clov. Gage)"/>
    <x v="0"/>
    <n v="1955"/>
    <x v="5"/>
    <x v="1"/>
    <s v="Y"/>
    <s v="N"/>
    <s v="N"/>
    <s v="Y"/>
    <s v="N"/>
    <x v="1"/>
    <s v="N"/>
    <x v="1"/>
    <s v="N"/>
    <n v="0"/>
    <n v="0"/>
    <n v="0"/>
    <n v="0.6"/>
    <n v="3.3333333333333301E-3"/>
    <n v="4.16"/>
    <n v="6.63"/>
    <n v="6.1"/>
    <n v="4.5599999999999996"/>
    <n v="3.53"/>
    <n v="0"/>
    <n v="0"/>
    <n v="25.583333333333332"/>
    <n v="21.470066666666661"/>
    <n v="7.1213765462913844E-2"/>
    <n v="0.10721691792294805"/>
    <m/>
    <m/>
    <n v="238.8"/>
    <s v="Acre-feet per Year"/>
    <s v="U_10"/>
    <n v="0"/>
    <n v="38.71371706"/>
    <n v="-122.89304928999999"/>
    <s v="RUSSIAN RIVER"/>
  </r>
  <r>
    <s v="A016758"/>
    <n v="19551130"/>
    <n v="5"/>
    <s v="Y"/>
    <s v="N"/>
    <s v="Y"/>
    <s v="Y"/>
    <x v="0"/>
    <s v="West Fork and Below Lake"/>
    <s v="Mendocino (d/s of lake)"/>
    <x v="0"/>
    <n v="1955"/>
    <x v="5"/>
    <x v="1"/>
    <s v="Y"/>
    <s v="N"/>
    <s v="N"/>
    <s v="Y"/>
    <s v="N"/>
    <x v="1"/>
    <s v="N"/>
    <x v="1"/>
    <s v="N"/>
    <n v="0"/>
    <n v="0"/>
    <n v="0"/>
    <n v="0.96"/>
    <n v="1.21"/>
    <n v="3.63"/>
    <n v="2.87"/>
    <n v="2.35"/>
    <n v="1.38"/>
    <n v="2.02"/>
    <n v="0"/>
    <n v="0"/>
    <n v="14.419999999999998"/>
    <n v="11.46333333333334"/>
    <n v="3.802257087029088E-2"/>
    <n v="3.9396418507408423E-2"/>
    <m/>
    <m/>
    <n v="366.7"/>
    <s v="Acre-feet per Year"/>
    <s v="U_5"/>
    <n v="0"/>
    <n v="39.087722560000003"/>
    <n v="-123.17118068000001"/>
    <s v="RUSSIAN RIVER"/>
  </r>
  <r>
    <s v="A016777"/>
    <n v="19551209"/>
    <n v="15"/>
    <s v="N"/>
    <s v="N"/>
    <s v="N"/>
    <s v="N"/>
    <x v="1"/>
    <s v="Outside"/>
    <s v="Outside"/>
    <x v="0"/>
    <n v="1955"/>
    <x v="5"/>
    <x v="0"/>
    <s v="N"/>
    <s v="N"/>
    <s v="N"/>
    <s v="Y"/>
    <s v="N"/>
    <x v="1"/>
    <s v="N"/>
    <x v="1"/>
    <s v="N"/>
    <n v="0"/>
    <n v="0"/>
    <n v="0"/>
    <n v="0"/>
    <n v="6.7865667000000005E-2"/>
    <n v="8.1426999999999999E-2"/>
    <n v="8.4757333000000004E-2"/>
    <n v="5.1199000000000001E-2"/>
    <n v="6.4615000000000006E-2"/>
    <n v="3.7613000000000001E-2"/>
    <n v="0"/>
    <n v="0"/>
    <n v="0.38747699999999996"/>
    <n v="0.34986399999999995"/>
    <n v="1.1604590347452837E-3"/>
    <n v="7.4658381502890172E-3"/>
    <m/>
    <m/>
    <n v="51.9"/>
    <s v="Acre-feet per Year"/>
    <s v="L_15"/>
    <n v="0"/>
    <n v="38.655767689999998"/>
    <n v="-122.92909538000001"/>
    <s v="DRY CREEK"/>
  </r>
  <r>
    <s v="A016472"/>
    <n v="19550719"/>
    <n v="2"/>
    <s v="N"/>
    <s v="N"/>
    <s v="Y"/>
    <s v="N"/>
    <x v="0"/>
    <s v="Outside"/>
    <s v="Outside"/>
    <x v="0"/>
    <n v="1955"/>
    <x v="5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28.5"/>
    <s v="Acre-feet per Year"/>
    <s v="U_2"/>
    <n v="0"/>
    <n v="39.320379189999997"/>
    <n v="-123.10645667999999"/>
    <s v="EAST FORK RUSSIAN RIVER"/>
  </r>
  <r>
    <s v="A015704"/>
    <n v="19540125"/>
    <n v="4"/>
    <s v="Y"/>
    <s v="N"/>
    <s v="Y"/>
    <s v="Y"/>
    <x v="0"/>
    <s v="West Fork and Below Lake"/>
    <s v="Mendocino (d/s of lake)"/>
    <x v="0"/>
    <n v="1954"/>
    <x v="6"/>
    <x v="1"/>
    <s v="Y"/>
    <s v="N"/>
    <s v="N"/>
    <s v="Y"/>
    <s v="N"/>
    <x v="1"/>
    <s v="N"/>
    <x v="1"/>
    <s v="N"/>
    <n v="117.86"/>
    <n v="89.56"/>
    <n v="98.7"/>
    <n v="99.16"/>
    <n v="112.16"/>
    <n v="162.6"/>
    <n v="171.1"/>
    <n v="176.46"/>
    <n v="119.13"/>
    <n v="57.8"/>
    <n v="37.130000000000003"/>
    <n v="75.53"/>
    <n v="1317.19"/>
    <n v="741.46666666666704"/>
    <n v="2.4593604723429778"/>
    <n v="9.0971665883956304E-2"/>
    <m/>
    <m/>
    <n v="14479.6"/>
    <s v="Acre-feet per Year"/>
    <s v="U_4"/>
    <n v="0"/>
    <n v="39.162145899999999"/>
    <n v="-123.19745487"/>
    <s v="RUSSIAN RIVER UNDERFLOW"/>
  </r>
  <r>
    <s v="A015780"/>
    <n v="19540317"/>
    <n v="5"/>
    <s v="Y"/>
    <s v="N"/>
    <s v="Y"/>
    <s v="Y"/>
    <x v="0"/>
    <s v="West Fork and Below Lake"/>
    <s v="Mendocino (d/s of lake)"/>
    <x v="0"/>
    <n v="1954"/>
    <x v="6"/>
    <x v="1"/>
    <s v="Y"/>
    <s v="N"/>
    <s v="N"/>
    <s v="Y"/>
    <s v="N"/>
    <x v="1"/>
    <s v="N"/>
    <x v="1"/>
    <s v="N"/>
    <n v="0"/>
    <n v="0"/>
    <n v="0"/>
    <n v="0"/>
    <n v="14.5"/>
    <n v="73.66"/>
    <n v="85"/>
    <n v="23.33"/>
    <n v="53.33"/>
    <n v="5"/>
    <n v="0"/>
    <n v="0"/>
    <n v="254.82"/>
    <n v="249.83333333333331"/>
    <n v="0.82866870797566128"/>
    <n v="0.84690373324471035"/>
    <m/>
    <m/>
    <n v="300.89999999999998"/>
    <s v="Acre-feet per Year"/>
    <s v="U_5"/>
    <n v="0"/>
    <n v="39.036548379999999"/>
    <n v="-123.12544343"/>
    <s v="RUSSIAN RIVER"/>
  </r>
  <r>
    <s v="A015721"/>
    <n v="19540210"/>
    <n v="5"/>
    <s v="Y"/>
    <s v="N"/>
    <s v="Y"/>
    <s v="Y"/>
    <x v="0"/>
    <s v="West Fork and Below Lake"/>
    <s v="Mendocino (d/s of lake)"/>
    <x v="0"/>
    <n v="1954"/>
    <x v="6"/>
    <x v="1"/>
    <s v="Y"/>
    <s v="N"/>
    <s v="N"/>
    <s v="Y"/>
    <s v="N"/>
    <x v="1"/>
    <s v="N"/>
    <x v="1"/>
    <s v="N"/>
    <n v="0"/>
    <n v="0"/>
    <n v="0"/>
    <n v="0"/>
    <n v="0"/>
    <n v="24.43"/>
    <n v="61.46"/>
    <n v="61.46"/>
    <n v="59.11"/>
    <n v="57.03"/>
    <n v="14.46"/>
    <n v="5.33"/>
    <n v="283.27999999999997"/>
    <n v="206.4766666666666"/>
    <n v="0.68485958343077213"/>
    <n v="0.39130755064456713"/>
    <m/>
    <m/>
    <n v="724"/>
    <s v="Acre-feet per Year"/>
    <s v="U_5"/>
    <n v="0"/>
    <n v="39.091099999999997"/>
    <n v="-123.1786"/>
    <s v="RUSSIAN RIVER"/>
  </r>
  <r>
    <s v="A015779"/>
    <n v="19540317"/>
    <n v="13"/>
    <s v="N"/>
    <s v="Y"/>
    <s v="Y"/>
    <s v="Y"/>
    <x v="0"/>
    <s v="West Fork and Below Lake"/>
    <s v="Sonoma (d/s of Clov. Gage)"/>
    <x v="0"/>
    <n v="1954"/>
    <x v="6"/>
    <x v="1"/>
    <s v="Y"/>
    <s v="N"/>
    <s v="N"/>
    <s v="Y"/>
    <s v="N"/>
    <x v="1"/>
    <s v="N"/>
    <x v="1"/>
    <s v="N"/>
    <n v="0"/>
    <n v="0"/>
    <n v="0"/>
    <n v="0"/>
    <n v="0"/>
    <n v="60"/>
    <n v="6"/>
    <n v="0"/>
    <n v="0"/>
    <n v="0"/>
    <n v="0"/>
    <n v="0"/>
    <n v="66"/>
    <n v="66"/>
    <n v="0.2189144818935036"/>
    <n v="0.88"/>
    <m/>
    <m/>
    <n v="75"/>
    <s v="Acre-feet per Year"/>
    <s v="U_13"/>
    <n v="0"/>
    <n v="38.499783219999998"/>
    <n v="-122.99625815"/>
    <s v="RUSSIAN RIVER"/>
  </r>
  <r>
    <s v="A016155"/>
    <n v="19541129"/>
    <n v="4"/>
    <s v="Y"/>
    <s v="N"/>
    <s v="Y"/>
    <s v="Y"/>
    <x v="0"/>
    <s v="West Fork and Below Lake"/>
    <s v="Mendocino (d/s of lake)"/>
    <x v="0"/>
    <n v="1954"/>
    <x v="6"/>
    <x v="1"/>
    <s v="Y"/>
    <s v="N"/>
    <s v="N"/>
    <s v="Y"/>
    <s v="N"/>
    <x v="1"/>
    <s v="N"/>
    <x v="1"/>
    <s v="N"/>
    <n v="0"/>
    <n v="0"/>
    <n v="0"/>
    <n v="0"/>
    <n v="1.66"/>
    <n v="7.23"/>
    <n v="9.2799999999999994"/>
    <n v="6.83"/>
    <n v="4.7300000000000004"/>
    <n v="0"/>
    <n v="0"/>
    <n v="0"/>
    <n v="29.73"/>
    <n v="29.749999999999989"/>
    <n v="9.8677361156541354E-2"/>
    <n v="0.29223968565815317"/>
    <m/>
    <m/>
    <n v="101.8"/>
    <s v="Acre-feet per Year"/>
    <s v="U_4"/>
    <n v="0"/>
    <n v="39.132292380000003"/>
    <n v="-123.18989877999999"/>
    <s v="RUSSIAN RIVER"/>
  </r>
  <r>
    <s v="A015782"/>
    <n v="19540317"/>
    <n v="5"/>
    <s v="Y"/>
    <s v="N"/>
    <s v="Y"/>
    <s v="Y"/>
    <x v="0"/>
    <s v="West Fork and Below Lake"/>
    <s v="Mendocino (d/s of lake)"/>
    <x v="0"/>
    <n v="1954"/>
    <x v="6"/>
    <x v="1"/>
    <s v="Y"/>
    <s v="N"/>
    <s v="N"/>
    <s v="Y"/>
    <s v="N"/>
    <x v="1"/>
    <s v="N"/>
    <x v="1"/>
    <s v="N"/>
    <n v="0"/>
    <n v="0"/>
    <n v="0"/>
    <n v="0"/>
    <n v="2.33"/>
    <n v="5.66"/>
    <n v="6.33"/>
    <n v="5"/>
    <n v="2.33"/>
    <n v="0"/>
    <n v="0"/>
    <n v="0"/>
    <n v="21.65"/>
    <n v="21.666666666666657"/>
    <n v="7.1865865268069332E-2"/>
    <n v="6.7100237431609353E-2"/>
    <m/>
    <m/>
    <n v="322.89999999999998"/>
    <s v="Acre-feet per Year"/>
    <s v="U_5"/>
    <n v="0"/>
    <n v="39.117144359999998"/>
    <n v="-123.18083192"/>
    <s v="RUSSIAN RIVER UNDERFLOW"/>
  </r>
  <r>
    <s v="A015728B"/>
    <n v="19540216"/>
    <n v="12"/>
    <s v="N"/>
    <s v="Y"/>
    <s v="Y"/>
    <s v="Y"/>
    <x v="0"/>
    <s v="West Fork and Below Lake"/>
    <s v="Sonoma (d/s of Clov. Gage)"/>
    <x v="0"/>
    <n v="1954"/>
    <x v="6"/>
    <x v="1"/>
    <s v="Y"/>
    <s v="N"/>
    <s v="N"/>
    <s v="Y"/>
    <s v="N"/>
    <x v="1"/>
    <s v="N"/>
    <x v="1"/>
    <s v="N"/>
    <n v="0"/>
    <n v="0"/>
    <n v="0"/>
    <n v="2"/>
    <n v="2"/>
    <n v="2.66"/>
    <n v="3.4"/>
    <n v="3.56"/>
    <n v="2"/>
    <n v="1.66"/>
    <n v="1.1599999999999999"/>
    <n v="0.8"/>
    <n v="19.240000000000002"/>
    <n v="13.63333333333334"/>
    <n v="4.5220213684062129E-2"/>
    <n v="0.99312714776632394"/>
    <m/>
    <m/>
    <n v="19.399999999999999"/>
    <s v="Acre-feet per Year"/>
    <s v="U_12"/>
    <n v="3.4039024194010059E-4"/>
    <n v="38.658522009999999"/>
    <n v="-122.80625274000001"/>
    <s v="RUSSIAN RIVER UNDERFLOW"/>
  </r>
  <r>
    <s v="A015781"/>
    <n v="19540317"/>
    <n v="5"/>
    <s v="Y"/>
    <s v="N"/>
    <s v="Y"/>
    <s v="Y"/>
    <x v="0"/>
    <s v="West Fork and Below Lake"/>
    <s v="Mendocino (d/s of lake)"/>
    <x v="0"/>
    <n v="1954"/>
    <x v="6"/>
    <x v="1"/>
    <s v="Y"/>
    <s v="N"/>
    <s v="N"/>
    <s v="Y"/>
    <s v="N"/>
    <x v="1"/>
    <s v="N"/>
    <x v="1"/>
    <s v="N"/>
    <n v="0"/>
    <n v="0"/>
    <n v="0"/>
    <n v="0"/>
    <n v="0"/>
    <n v="0"/>
    <n v="3.18"/>
    <n v="2.65"/>
    <n v="6.07"/>
    <n v="6.04"/>
    <n v="0.63"/>
    <n v="0"/>
    <n v="18.57"/>
    <n v="11.91666666666667"/>
    <n v="3.9526225897438164E-2"/>
    <n v="0.33196428571428577"/>
    <m/>
    <m/>
    <n v="56"/>
    <s v="Acre-feet per Year"/>
    <s v="U_5"/>
    <n v="0"/>
    <n v="39.038471919999999"/>
    <n v="-123.12729433"/>
    <s v="RUSSIAN RIVER"/>
  </r>
  <r>
    <s v="A016086"/>
    <n v="19541008"/>
    <n v="2"/>
    <s v="N"/>
    <s v="N"/>
    <s v="Y"/>
    <s v="N"/>
    <x v="0"/>
    <s v="Outside"/>
    <s v="Outside"/>
    <x v="0"/>
    <n v="1954"/>
    <x v="6"/>
    <x v="0"/>
    <s v="Y"/>
    <s v="N"/>
    <s v="N"/>
    <s v="Y"/>
    <s v="N"/>
    <x v="1"/>
    <s v="N"/>
    <x v="1"/>
    <s v="N"/>
    <n v="14.9"/>
    <n v="14.9"/>
    <n v="14.9"/>
    <n v="14.9"/>
    <n v="9.93"/>
    <n v="0"/>
    <n v="0"/>
    <n v="0"/>
    <n v="0"/>
    <n v="0"/>
    <n v="9.93"/>
    <n v="14.9"/>
    <n v="94.360000000000014"/>
    <n v="9.93333333333333"/>
    <n v="3.2947735153668715E-2"/>
    <n v="1.0531994047619049"/>
    <m/>
    <m/>
    <n v="89.6"/>
    <s v="Acre-feet per Year"/>
    <s v="U_2"/>
    <n v="0"/>
    <n v="39.308598740000001"/>
    <n v="-123.13242753"/>
    <s v="BEVANS CREEK"/>
  </r>
  <r>
    <s v="A015760"/>
    <n v="19540305"/>
    <n v="16"/>
    <s v="N"/>
    <s v="N"/>
    <s v="N"/>
    <s v="N"/>
    <x v="1"/>
    <s v="Outside"/>
    <s v="Outside"/>
    <x v="0"/>
    <n v="1954"/>
    <x v="6"/>
    <x v="0"/>
    <s v="N"/>
    <s v="N"/>
    <s v="N"/>
    <s v="Y"/>
    <s v="N"/>
    <x v="1"/>
    <s v="N"/>
    <x v="1"/>
    <s v="N"/>
    <n v="0"/>
    <n v="5.333333E-3"/>
    <n v="0"/>
    <n v="0"/>
    <n v="0.43333333299999999"/>
    <n v="0.75"/>
    <n v="1.311116333"/>
    <n v="1.7787790000000001"/>
    <n v="2.0267653330000002"/>
    <n v="0.124493333"/>
    <n v="0"/>
    <n v="0"/>
    <n v="6.4298206650000003"/>
    <n v="6.2999939989999998"/>
    <n v="2.0896362457928284E-2"/>
    <n v="9.4278895381231673E-2"/>
    <m/>
    <m/>
    <n v="68.2"/>
    <s v="Acre-feet per Year"/>
    <s v="L_16"/>
    <n v="0"/>
    <n v="38.6419"/>
    <n v="-122.9115"/>
    <s v="DRY CREEK UNDERFLOW"/>
  </r>
  <r>
    <s v="A015759"/>
    <n v="19540305"/>
    <n v="16"/>
    <s v="N"/>
    <s v="N"/>
    <s v="N"/>
    <s v="N"/>
    <x v="1"/>
    <s v="Outside"/>
    <s v="Outside"/>
    <x v="0"/>
    <n v="1954"/>
    <x v="6"/>
    <x v="0"/>
    <s v="N"/>
    <s v="N"/>
    <s v="N"/>
    <s v="Y"/>
    <s v="N"/>
    <x v="1"/>
    <s v="N"/>
    <x v="1"/>
    <s v="N"/>
    <n v="0"/>
    <n v="0.12686066700000001"/>
    <n v="3.0460000000000001E-3"/>
    <n v="0.158559333"/>
    <n v="0.33822266699999998"/>
    <n v="0.30552533300000001"/>
    <n v="1.2393506670000001"/>
    <n v="2.1545323330000001"/>
    <n v="2.0570806670000001"/>
    <n v="3.2269332999999997E-2"/>
    <n v="2.61E-4"/>
    <n v="0"/>
    <n v="6.4157080000000013"/>
    <n v="6.0947116670000003"/>
    <n v="2.0215464346539345E-2"/>
    <n v="5.2804181069958857E-2"/>
    <m/>
    <m/>
    <n v="121.5"/>
    <s v="Acre-feet per Year"/>
    <s v="L_16"/>
    <n v="0"/>
    <n v="38.6188"/>
    <n v="-122.88760000000001"/>
    <s v="DRY CREEK"/>
  </r>
  <r>
    <s v="A015983"/>
    <n v="19540806"/>
    <n v="9"/>
    <s v="N"/>
    <s v="Y"/>
    <s v="Y"/>
    <s v="Y"/>
    <x v="0"/>
    <s v="West Fork and Below Lake"/>
    <s v="Sonoma (d/s of Clov. Gage)"/>
    <x v="0"/>
    <n v="1954"/>
    <x v="6"/>
    <x v="1"/>
    <s v="Y"/>
    <s v="N"/>
    <s v="N"/>
    <s v="Y"/>
    <s v="N"/>
    <x v="1"/>
    <s v="N"/>
    <x v="1"/>
    <s v="N"/>
    <n v="0"/>
    <n v="0"/>
    <n v="0"/>
    <n v="0"/>
    <n v="0.62"/>
    <n v="0.77"/>
    <n v="1.49"/>
    <n v="1.17"/>
    <n v="0.52"/>
    <n v="0.51"/>
    <n v="0"/>
    <n v="0"/>
    <n v="5.08"/>
    <n v="4.58"/>
    <n v="1.5191338288973432E-2"/>
    <n v="6.9346049046321523E-2"/>
    <m/>
    <m/>
    <n v="73.400000000000006"/>
    <s v="Acre-feet per Year"/>
    <s v="U_9"/>
    <n v="0"/>
    <n v="38.863508619999998"/>
    <n v="-123.04174528"/>
    <s v="RUSSIAN RIVER"/>
  </r>
  <r>
    <s v="A015729"/>
    <n v="19540216"/>
    <n v="10"/>
    <s v="N"/>
    <s v="Y"/>
    <s v="Y"/>
    <s v="Y"/>
    <x v="0"/>
    <s v="West Fork and Below Lake"/>
    <s v="Sonoma (d/s of Clov. Gage)"/>
    <x v="0"/>
    <n v="1954"/>
    <x v="6"/>
    <x v="1"/>
    <s v="Y"/>
    <s v="N"/>
    <s v="N"/>
    <s v="Y"/>
    <s v="N"/>
    <x v="1"/>
    <s v="N"/>
    <x v="1"/>
    <s v="N"/>
    <n v="0"/>
    <n v="0"/>
    <n v="0"/>
    <n v="0"/>
    <n v="0.23"/>
    <n v="0.73"/>
    <n v="1.56"/>
    <n v="1.1599999999999999"/>
    <n v="0.8"/>
    <n v="0.2"/>
    <n v="0.03"/>
    <n v="0"/>
    <n v="4.71"/>
    <n v="4.5000000000000062"/>
    <n v="1.4925987401829811E-2"/>
    <n v="5.4531490015361055E-2"/>
    <m/>
    <m/>
    <n v="86.8"/>
    <s v="Acre-feet per Year"/>
    <s v="U_10"/>
    <n v="0"/>
    <n v="38.689222209999997"/>
    <n v="-122.86401184"/>
    <s v="RUSSIAN RIVER UNDERFLOW"/>
  </r>
  <r>
    <s v="A015984"/>
    <n v="19540806"/>
    <n v="9"/>
    <s v="N"/>
    <s v="Y"/>
    <s v="Y"/>
    <s v="Y"/>
    <x v="0"/>
    <s v="West Fork and Below Lake"/>
    <s v="Sonoma (d/s of Clov. Gage)"/>
    <x v="0"/>
    <n v="1954"/>
    <x v="6"/>
    <x v="1"/>
    <s v="Y"/>
    <s v="N"/>
    <s v="N"/>
    <s v="Y"/>
    <s v="N"/>
    <x v="1"/>
    <s v="N"/>
    <x v="1"/>
    <s v="N"/>
    <n v="0"/>
    <n v="0"/>
    <n v="0.36"/>
    <n v="0.73"/>
    <n v="0.73"/>
    <n v="0.73"/>
    <n v="0.73"/>
    <n v="0.73"/>
    <n v="0.73"/>
    <n v="0.73"/>
    <n v="0.36"/>
    <n v="0"/>
    <n v="5.830000000000001"/>
    <n v="3.65"/>
    <n v="1.2106634225928607E-2"/>
    <n v="0.65505617977528097"/>
    <m/>
    <m/>
    <n v="8.9"/>
    <s v="Acre-feet per Year"/>
    <s v="U_9"/>
    <n v="3.4039024194010059E-4"/>
    <n v="38.828115709999999"/>
    <n v="-123.00717444"/>
    <s v="RUSSIAN RIVER UNDERFLOW"/>
  </r>
  <r>
    <s v="A015743"/>
    <n v="19540223"/>
    <n v="6"/>
    <s v="Y"/>
    <s v="N"/>
    <s v="Y"/>
    <s v="Y"/>
    <x v="0"/>
    <s v="West Fork and Below Lake"/>
    <s v="Mendocino (d/s of lake)"/>
    <x v="0"/>
    <n v="1954"/>
    <x v="6"/>
    <x v="1"/>
    <s v="Y"/>
    <s v="N"/>
    <s v="N"/>
    <s v="Y"/>
    <s v="N"/>
    <x v="1"/>
    <s v="N"/>
    <x v="1"/>
    <s v="N"/>
    <n v="0"/>
    <n v="0"/>
    <n v="0"/>
    <n v="0"/>
    <n v="0.05"/>
    <n v="0.08"/>
    <n v="0.11"/>
    <n v="0.26"/>
    <n v="0.11"/>
    <n v="0.06"/>
    <n v="0"/>
    <n v="0"/>
    <n v="0.66999999999999993"/>
    <n v="0.64550666666666645"/>
    <n v="2.1410720832141794E-3"/>
    <n v="1.4882914046121586E-2"/>
    <m/>
    <m/>
    <n v="47.7"/>
    <s v="Acre-feet per Year"/>
    <s v="U_6"/>
    <n v="0"/>
    <n v="38.882882000000002"/>
    <n v="-123.05537966"/>
    <s v="RUSSIAN RIVER"/>
  </r>
  <r>
    <s v="A015724"/>
    <n v="19540215"/>
    <n v="23"/>
    <s v="N"/>
    <s v="N"/>
    <s v="N"/>
    <s v="N"/>
    <x v="1"/>
    <s v="Outside"/>
    <s v="Outside"/>
    <x v="0"/>
    <n v="1954"/>
    <x v="6"/>
    <x v="0"/>
    <s v="N"/>
    <s v="N"/>
    <s v="N"/>
    <s v="Y"/>
    <s v="N"/>
    <x v="1"/>
    <s v="N"/>
    <x v="1"/>
    <s v="N"/>
    <n v="0"/>
    <n v="0"/>
    <n v="0"/>
    <n v="0"/>
    <n v="0.16666666699999999"/>
    <n v="0"/>
    <n v="0.1"/>
    <n v="0"/>
    <n v="0"/>
    <n v="0"/>
    <n v="0"/>
    <n v="0"/>
    <n v="0.26666666699999997"/>
    <n v="0.26666666699999997"/>
    <n v="8.8450295825109762E-4"/>
    <n v="1.9521717935578329E-3"/>
    <m/>
    <m/>
    <n v="136.6"/>
    <s v="Acre-feet per Year"/>
    <s v="L_24"/>
    <n v="0"/>
    <n v="38.495314870000001"/>
    <n v="-122.86900498"/>
    <s v="MARK WEST CREEK"/>
  </r>
  <r>
    <s v="A015677"/>
    <n v="19540111"/>
    <n v="4"/>
    <s v="Y"/>
    <s v="N"/>
    <s v="Y"/>
    <s v="Y"/>
    <x v="0"/>
    <s v="West Fork and Below Lake"/>
    <s v="Mendocino (d/s of lake)"/>
    <x v="0"/>
    <n v="1954"/>
    <x v="6"/>
    <x v="1"/>
    <s v="Y"/>
    <s v="N"/>
    <s v="N"/>
    <s v="Y"/>
    <s v="N"/>
    <x v="1"/>
    <s v="N"/>
    <x v="1"/>
    <s v="N"/>
    <n v="0"/>
    <n v="0"/>
    <n v="0"/>
    <n v="0"/>
    <n v="0"/>
    <n v="0"/>
    <n v="0.26"/>
    <n v="0"/>
    <n v="0"/>
    <n v="0"/>
    <n v="0"/>
    <n v="0"/>
    <n v="0.26"/>
    <n v="0.26"/>
    <n v="8.6239038321683239E-4"/>
    <n v="3.329065300896287E-3"/>
    <m/>
    <m/>
    <n v="78.099999999999994"/>
    <s v="Acre-feet per Year"/>
    <s v="U_4"/>
    <n v="0"/>
    <n v="39.116104829999998"/>
    <n v="-123.1885695"/>
    <s v="RUSSIAN RIVER"/>
  </r>
  <r>
    <s v="A016141"/>
    <n v="19541117"/>
    <n v="8"/>
    <s v="N"/>
    <s v="Y"/>
    <s v="Y"/>
    <s v="Y"/>
    <x v="0"/>
    <s v="West Fork and Below Lake"/>
    <s v="Sonoma (d/s of Clov. Gage)"/>
    <x v="0"/>
    <n v="1954"/>
    <x v="6"/>
    <x v="0"/>
    <s v="Y"/>
    <s v="N"/>
    <s v="N"/>
    <s v="Y"/>
    <s v="N"/>
    <x v="1"/>
    <s v="N"/>
    <x v="1"/>
    <s v="N"/>
    <n v="0"/>
    <n v="0"/>
    <n v="0"/>
    <n v="0"/>
    <n v="0.05"/>
    <n v="0.05"/>
    <n v="0.05"/>
    <n v="0.05"/>
    <n v="0.05"/>
    <n v="0"/>
    <n v="0"/>
    <n v="0"/>
    <n v="0.25"/>
    <n v="0.25856666700000003"/>
    <n v="8.5763618092780426E-4"/>
    <n v="5.9577573041474661E-3"/>
    <m/>
    <m/>
    <n v="43.4"/>
    <s v="Acre-feet per Year"/>
    <s v="U_8"/>
    <n v="3.4039024194010059E-4"/>
    <n v="38.831499999999998"/>
    <n v="-122.99639999999999"/>
    <s v="RUSSIAN RIVER UNDERFLOW"/>
  </r>
  <r>
    <s v="A015727"/>
    <n v="19540216"/>
    <n v="9"/>
    <s v="N"/>
    <s v="Y"/>
    <s v="Y"/>
    <s v="Y"/>
    <x v="0"/>
    <s v="West Fork and Below Lake"/>
    <s v="Sonoma (d/s of Clov. Gage)"/>
    <x v="0"/>
    <n v="1954"/>
    <x v="6"/>
    <x v="1"/>
    <s v="Y"/>
    <s v="N"/>
    <s v="N"/>
    <s v="Y"/>
    <s v="N"/>
    <x v="1"/>
    <s v="N"/>
    <x v="1"/>
    <s v="N"/>
    <n v="0"/>
    <n v="0"/>
    <n v="0"/>
    <n v="0"/>
    <n v="0"/>
    <n v="1.2213333333333299E-3"/>
    <n v="0"/>
    <n v="0"/>
    <n v="0"/>
    <n v="0"/>
    <n v="0"/>
    <n v="0"/>
    <n v="1.2213333333333299E-3"/>
    <n v="1.2213333333333299E-3"/>
    <n v="4.0510235437262378E-6"/>
    <n v="8.4346224677716148E-6"/>
    <m/>
    <m/>
    <n v="144.80000000000001"/>
    <s v="Acre-feet per Year"/>
    <s v="U_9"/>
    <n v="0"/>
    <n v="38.784819730000002"/>
    <n v="-122.99673849"/>
    <s v="RUSSIAN RIVER UNDERFLOW"/>
  </r>
  <r>
    <s v="A015736"/>
    <n v="19540218"/>
    <n v="12"/>
    <s v="N"/>
    <s v="Y"/>
    <s v="Y"/>
    <s v="Y"/>
    <x v="1"/>
    <s v="West Fork and Below Lake"/>
    <s v="Sonoma (d/s of Clov. Gage)"/>
    <x v="0"/>
    <n v="1954"/>
    <x v="7"/>
    <x v="1"/>
    <s v="Y"/>
    <s v="N"/>
    <s v="N"/>
    <s v="Y"/>
    <s v="N"/>
    <x v="1"/>
    <s v="N"/>
    <x v="1"/>
    <s v="N"/>
    <n v="150.33000000000001"/>
    <n v="131"/>
    <n v="154.33000000000001"/>
    <n v="582.33000000000004"/>
    <n v="1230"/>
    <n v="1190"/>
    <n v="820"/>
    <n v="266.33"/>
    <n v="248.33"/>
    <n v="252.66"/>
    <n v="198.33"/>
    <n v="139"/>
    <n v="5362.6399999999994"/>
    <n v="3754.6666666666661"/>
    <n v="12.453801636608203"/>
    <n v="0.37036013886203106"/>
    <m/>
    <m/>
    <n v="14479.6"/>
    <s v="Acre-feet per Year"/>
    <s v="U_12"/>
    <n v="0"/>
    <n v="38.510305729999999"/>
    <n v="-122.88386611999999"/>
    <s v="RUSSIAN RIVER"/>
  </r>
  <r>
    <s v="A015737"/>
    <n v="19540218"/>
    <n v="12"/>
    <s v="N"/>
    <s v="Y"/>
    <s v="Y"/>
    <s v="Y"/>
    <x v="1"/>
    <s v="West Fork and Below Lake"/>
    <s v="Sonoma (d/s of Clov. Gage)"/>
    <x v="0"/>
    <n v="1954"/>
    <x v="7"/>
    <x v="1"/>
    <s v="Y"/>
    <s v="N"/>
    <s v="N"/>
    <s v="Y"/>
    <s v="N"/>
    <x v="1"/>
    <s v="N"/>
    <x v="1"/>
    <s v="N"/>
    <n v="0"/>
    <n v="0"/>
    <n v="0"/>
    <n v="0"/>
    <n v="1280.6600000000001"/>
    <n v="2664.66"/>
    <n v="856"/>
    <n v="0"/>
    <n v="0"/>
    <n v="0"/>
    <n v="0"/>
    <n v="0"/>
    <n v="4801.32"/>
    <n v="4801.3333333333403"/>
    <n v="15.925475743404194"/>
    <n v="0.22045903967772973"/>
    <m/>
    <m/>
    <n v="21778.799999999999"/>
    <s v="Acre-feet per Year"/>
    <s v="U_12"/>
    <n v="0"/>
    <n v="38.510305729999999"/>
    <n v="-122.88386611999999"/>
    <s v="RUSSIAN RIVER"/>
  </r>
  <r>
    <s v="A015678"/>
    <n v="19540111"/>
    <n v="4"/>
    <s v="Y"/>
    <s v="N"/>
    <s v="Y"/>
    <s v="Y"/>
    <x v="0"/>
    <s v="West Fork and Below Lake"/>
    <s v="Mendocino (d/s of lake)"/>
    <x v="0"/>
    <n v="1954"/>
    <x v="6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1"/>
    <s v="Acre-feet per Year"/>
    <s v="U_4"/>
    <n v="0"/>
    <n v="39.137683670000001"/>
    <n v="-123.18628701"/>
    <s v="RUSSIAN RIVER"/>
  </r>
  <r>
    <s v="A015685"/>
    <n v="19540115"/>
    <n v="23"/>
    <s v="N"/>
    <s v="N"/>
    <s v="N"/>
    <s v="N"/>
    <x v="1"/>
    <s v="Outside"/>
    <s v="Outside"/>
    <x v="0"/>
    <n v="1954"/>
    <x v="6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2"/>
    <s v="Acre-feet per Year"/>
    <s v="L_25"/>
    <n v="0"/>
    <n v="38.4313255"/>
    <n v="-122.83261924"/>
    <s v="LAGUNA DE SANTA ROSA"/>
  </r>
  <r>
    <s v="A015720"/>
    <n v="19540209"/>
    <n v="23"/>
    <s v="N"/>
    <s v="N"/>
    <s v="N"/>
    <s v="N"/>
    <x v="1"/>
    <s v="Outside"/>
    <s v="Outside"/>
    <x v="0"/>
    <n v="1954"/>
    <x v="6"/>
    <x v="0"/>
    <s v="N"/>
    <s v="N"/>
    <s v="N"/>
    <s v="Y"/>
    <s v="N"/>
    <x v="1"/>
    <s v="N"/>
    <x v="0"/>
    <s v="N"/>
    <n v="0.4"/>
    <n v="0.133333333"/>
    <n v="0"/>
    <n v="0"/>
    <n v="0"/>
    <n v="0"/>
    <n v="0"/>
    <n v="0"/>
    <n v="0"/>
    <n v="0.26666666700000002"/>
    <n v="0.16666666699999999"/>
    <n v="1.0333333330000001"/>
    <n v="2"/>
    <n v="0"/>
    <n v="0"/>
    <n v="8.1632653061224483E-2"/>
    <m/>
    <m/>
    <n v="24.5"/>
    <s v="Acre-feet per Year"/>
    <s v="L_24"/>
    <n v="0"/>
    <n v="38.517537709999999"/>
    <n v="-122.61447197"/>
    <s v="UNST"/>
  </r>
  <r>
    <s v="A015726"/>
    <n v="19540216"/>
    <n v="10"/>
    <s v="N"/>
    <s v="Y"/>
    <s v="Y"/>
    <s v="Y"/>
    <x v="0"/>
    <s v="West Fork and Below Lake"/>
    <s v="Sonoma (d/s of Clov. Gage)"/>
    <x v="0"/>
    <n v="1954"/>
    <x v="6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54.1"/>
    <s v="Acre-feet per Year"/>
    <s v="U_10"/>
    <n v="0"/>
    <n v="38.705199999999998"/>
    <n v="-122.87990000000001"/>
    <s v="RUSSIAN RIVER UNDERFLOW"/>
  </r>
  <r>
    <s v="A015728A"/>
    <n v="19540216"/>
    <n v="12"/>
    <s v="N"/>
    <s v="Y"/>
    <s v="Y"/>
    <s v="Y"/>
    <x v="0"/>
    <s v="West Fork and Below Lake"/>
    <s v="Sonoma (d/s of Clov. Gage)"/>
    <x v="0"/>
    <n v="1954"/>
    <x v="6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53.5"/>
    <s v="Acre-feet per Year"/>
    <s v="U_12"/>
    <n v="3.4039024194010059E-4"/>
    <n v="38.64412471"/>
    <n v="-122.7958866"/>
    <s v="RUSSIAN RIVER UNDERFLOW"/>
  </r>
  <r>
    <s v="A015796"/>
    <n v="19540325"/>
    <n v="4"/>
    <s v="Y"/>
    <s v="N"/>
    <s v="Y"/>
    <s v="Y"/>
    <x v="0"/>
    <s v="West Fork and Below Lake"/>
    <s v="Mendocino (d/s of lake)"/>
    <x v="0"/>
    <n v="1954"/>
    <x v="6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8.2"/>
    <s v="Acre-feet per Year"/>
    <s v="U_4"/>
    <n v="0"/>
    <n v="39.176295789999998"/>
    <n v="-123.19663579"/>
    <s v="RUSSIAN RIVER"/>
  </r>
  <r>
    <s v="A015854"/>
    <n v="19540430"/>
    <n v="9"/>
    <s v="N"/>
    <s v="Y"/>
    <s v="Y"/>
    <s v="Y"/>
    <x v="0"/>
    <s v="West Fork and Below Lake"/>
    <s v="Sonoma (d/s of Clov. Gage)"/>
    <x v="0"/>
    <n v="1954"/>
    <x v="6"/>
    <x v="0"/>
    <s v="Y"/>
    <s v="N"/>
    <s v="N"/>
    <s v="Y"/>
    <s v="N"/>
    <x v="1"/>
    <s v="N"/>
    <x v="0"/>
    <s v="N"/>
    <n v="46.46"/>
    <n v="0"/>
    <n v="9.73"/>
    <n v="1.53"/>
    <n v="0"/>
    <n v="0"/>
    <n v="0"/>
    <n v="0"/>
    <n v="0"/>
    <n v="0"/>
    <n v="1.23"/>
    <n v="14.53"/>
    <n v="73.47999999999999"/>
    <n v="0"/>
    <n v="0"/>
    <n v="0.72772277227722759"/>
    <m/>
    <m/>
    <n v="101"/>
    <s v="Acre-feet per Year"/>
    <s v="U_9"/>
    <n v="0"/>
    <n v="38.747675129999998"/>
    <n v="-122.97307518"/>
    <s v="UNST"/>
  </r>
  <r>
    <s v="A015894"/>
    <n v="19540607"/>
    <n v="21"/>
    <s v="N"/>
    <s v="N"/>
    <s v="N"/>
    <s v="N"/>
    <x v="1"/>
    <s v="Outside"/>
    <s v="Outside"/>
    <x v="0"/>
    <n v="1954"/>
    <x v="6"/>
    <x v="0"/>
    <s v="N"/>
    <s v="N"/>
    <s v="N"/>
    <s v="Y"/>
    <s v="N"/>
    <x v="1"/>
    <s v="N"/>
    <x v="0"/>
    <s v="N"/>
    <n v="82"/>
    <n v="0"/>
    <n v="0"/>
    <n v="0"/>
    <n v="0"/>
    <n v="0"/>
    <n v="0"/>
    <n v="0"/>
    <n v="0"/>
    <n v="0"/>
    <n v="0"/>
    <n v="0"/>
    <n v="82"/>
    <n v="0"/>
    <n v="0"/>
    <n v="1"/>
    <m/>
    <m/>
    <n v="82"/>
    <s v="Acre-feet per Year"/>
    <s v="L_21"/>
    <n v="0"/>
    <n v="38.437065429999997"/>
    <n v="-122.94353762999999"/>
    <s v="NORTH FORK LANCEL CREEK"/>
  </r>
  <r>
    <s v="A015947"/>
    <n v="19540716"/>
    <n v="16"/>
    <s v="N"/>
    <s v="N"/>
    <s v="N"/>
    <s v="N"/>
    <x v="1"/>
    <s v="Outside"/>
    <s v="Outside"/>
    <x v="0"/>
    <n v="1954"/>
    <x v="6"/>
    <x v="0"/>
    <s v="N"/>
    <s v="N"/>
    <s v="N"/>
    <s v="Y"/>
    <s v="N"/>
    <x v="1"/>
    <s v="N"/>
    <x v="0"/>
    <s v="N"/>
    <n v="10"/>
    <n v="0"/>
    <n v="0"/>
    <n v="0"/>
    <n v="0"/>
    <n v="0"/>
    <n v="0"/>
    <n v="0"/>
    <n v="0"/>
    <n v="0"/>
    <n v="10"/>
    <n v="20"/>
    <n v="40"/>
    <n v="0"/>
    <n v="0"/>
    <n v="1"/>
    <m/>
    <m/>
    <n v="40"/>
    <s v="Acre-feet per Year"/>
    <s v="L_16"/>
    <n v="0"/>
    <n v="38.604133760000003"/>
    <n v="-122.89517721999999"/>
    <s v="UNST"/>
  </r>
  <r>
    <s v="A016077"/>
    <n v="19541004"/>
    <n v="11"/>
    <s v="N"/>
    <s v="Y"/>
    <s v="Y"/>
    <s v="Y"/>
    <x v="0"/>
    <s v="West Fork and Below Lake"/>
    <s v="Sonoma (d/s of Clov. Gage)"/>
    <x v="0"/>
    <n v="1954"/>
    <x v="6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0"/>
    <s v="Acre-feet per Year"/>
    <s v="U_11"/>
    <n v="0"/>
    <n v="38.648354490000003"/>
    <n v="-122.73745585"/>
    <s v="UNCR"/>
  </r>
  <r>
    <s v="A016106"/>
    <n v="19541022"/>
    <n v="23"/>
    <s v="N"/>
    <s v="N"/>
    <s v="N"/>
    <s v="N"/>
    <x v="1"/>
    <s v="Outside"/>
    <s v="Outside"/>
    <x v="0"/>
    <n v="1954"/>
    <x v="6"/>
    <x v="0"/>
    <s v="N"/>
    <s v="N"/>
    <s v="N"/>
    <s v="Y"/>
    <s v="N"/>
    <x v="1"/>
    <s v="N"/>
    <x v="0"/>
    <s v="N"/>
    <n v="2.0666666669999998"/>
    <n v="0.7"/>
    <n v="0.1"/>
    <n v="6.6666666999999999E-2"/>
    <n v="0"/>
    <n v="0"/>
    <n v="0"/>
    <n v="0"/>
    <n v="0"/>
    <n v="0"/>
    <n v="0.5"/>
    <n v="0.83333333300000001"/>
    <n v="4.266666667"/>
    <n v="0"/>
    <n v="0"/>
    <n v="0.18550724639130434"/>
    <m/>
    <m/>
    <n v="23"/>
    <s v="Acre-feet per Year"/>
    <s v="L_23"/>
    <n v="0"/>
    <n v="38.567799999999998"/>
    <n v="-122.80459999999999"/>
    <s v="UNST"/>
  </r>
  <r>
    <s v="A016190"/>
    <n v="19541228"/>
    <n v="23"/>
    <s v="N"/>
    <s v="N"/>
    <s v="N"/>
    <s v="N"/>
    <x v="1"/>
    <s v="Outside"/>
    <s v="Outside"/>
    <x v="0"/>
    <n v="1954"/>
    <x v="6"/>
    <x v="0"/>
    <s v="N"/>
    <s v="N"/>
    <s v="N"/>
    <s v="Y"/>
    <s v="N"/>
    <x v="1"/>
    <s v="N"/>
    <x v="0"/>
    <s v="N"/>
    <n v="2.6666666669999999"/>
    <n v="1.1666666670000001"/>
    <n v="1"/>
    <n v="0"/>
    <n v="0"/>
    <n v="0"/>
    <n v="0"/>
    <n v="0"/>
    <n v="0"/>
    <n v="0"/>
    <n v="1.6666666670000001"/>
    <n v="1.1666666670000001"/>
    <n v="7.6666666680000004"/>
    <n v="0"/>
    <n v="0"/>
    <n v="0.51111111120000008"/>
    <m/>
    <m/>
    <n v="15"/>
    <s v="Acre-feet per Year"/>
    <s v="L_27"/>
    <n v="0"/>
    <n v="38.390846590000002"/>
    <n v="-122.63362214"/>
    <s v="UNST"/>
  </r>
  <r>
    <s v="A015348"/>
    <n v="19530518"/>
    <n v="15"/>
    <s v="N"/>
    <s v="N"/>
    <s v="N"/>
    <s v="N"/>
    <x v="1"/>
    <s v="Outside"/>
    <s v="Outside"/>
    <x v="0"/>
    <n v="1953"/>
    <x v="6"/>
    <x v="0"/>
    <s v="N"/>
    <s v="N"/>
    <s v="N"/>
    <s v="Y"/>
    <s v="N"/>
    <x v="1"/>
    <s v="N"/>
    <x v="1"/>
    <s v="N"/>
    <n v="0"/>
    <n v="0"/>
    <n v="0.66666666699999999"/>
    <n v="0.83333333300000001"/>
    <n v="1.6666666670000001"/>
    <n v="3.1"/>
    <n v="3.266666667"/>
    <n v="3.1666666669999999"/>
    <n v="2.5"/>
    <n v="2"/>
    <n v="0"/>
    <n v="0"/>
    <n v="17.200000000999999"/>
    <n v="13.700000000999999"/>
    <n v="4.544133942666536E-2"/>
    <n v="0.23724137932413791"/>
    <m/>
    <m/>
    <n v="72.5"/>
    <s v="Acre-feet per Year"/>
    <s v="L_15"/>
    <n v="0"/>
    <n v="38.686327259999999"/>
    <n v="-122.95331822"/>
    <s v="DRY CREEK UNDERFLOW"/>
  </r>
  <r>
    <s v="A015168"/>
    <n v="19530121"/>
    <n v="4"/>
    <s v="Y"/>
    <s v="N"/>
    <s v="Y"/>
    <s v="Y"/>
    <x v="0"/>
    <s v="West Fork and Below Lake"/>
    <s v="Mendocino (d/s of lake)"/>
    <x v="0"/>
    <n v="1953"/>
    <x v="6"/>
    <x v="1"/>
    <s v="Y"/>
    <s v="N"/>
    <s v="N"/>
    <s v="Y"/>
    <s v="N"/>
    <x v="1"/>
    <s v="N"/>
    <x v="1"/>
    <s v="N"/>
    <n v="0"/>
    <n v="0"/>
    <n v="0"/>
    <n v="0"/>
    <n v="0"/>
    <n v="0.57999999999999996"/>
    <n v="7.69"/>
    <n v="2.2999999999999998"/>
    <n v="1.39"/>
    <n v="0"/>
    <n v="0"/>
    <n v="0"/>
    <n v="11.96"/>
    <n v="11.976666666666674"/>
    <n v="3.9725239062795903E-2"/>
    <n v="0.13609848484848494"/>
    <m/>
    <m/>
    <n v="88"/>
    <s v="Acre-feet per Year"/>
    <s v="U_4"/>
    <n v="0"/>
    <n v="39.166641779999999"/>
    <n v="-123.19630333000001"/>
    <s v="RUSSIAN RIVER"/>
  </r>
  <r>
    <s v="A015664B"/>
    <n v="19531229"/>
    <n v="9"/>
    <s v="N"/>
    <s v="Y"/>
    <s v="Y"/>
    <s v="Y"/>
    <x v="0"/>
    <s v="West Fork and Below Lake"/>
    <s v="Sonoma (d/s of Clov. Gage)"/>
    <x v="0"/>
    <n v="1953"/>
    <x v="6"/>
    <x v="1"/>
    <s v="Y"/>
    <s v="N"/>
    <s v="N"/>
    <s v="Y"/>
    <s v="N"/>
    <x v="1"/>
    <s v="N"/>
    <x v="1"/>
    <s v="N"/>
    <n v="0.08"/>
    <n v="0.08"/>
    <n v="0.08"/>
    <n v="0.14000000000000001"/>
    <n v="1.04"/>
    <n v="1.81"/>
    <n v="2.99"/>
    <n v="2.99"/>
    <n v="2.79"/>
    <n v="1.74"/>
    <n v="0.51"/>
    <n v="0.08"/>
    <n v="14.33"/>
    <n v="11.64"/>
    <n v="3.8608554079399726E-2"/>
    <n v="0.94429824561403519"/>
    <m/>
    <m/>
    <n v="15.2"/>
    <s v="Acre-feet per Year"/>
    <s v="U_9"/>
    <n v="0"/>
    <n v="38.753846529999997"/>
    <n v="-122.95737831"/>
    <s v="RUSSIAN RIVER"/>
  </r>
  <r>
    <s v="A015157"/>
    <n v="19530120"/>
    <n v="5"/>
    <s v="Y"/>
    <s v="N"/>
    <s v="Y"/>
    <s v="Y"/>
    <x v="0"/>
    <s v="West Fork and Below Lake"/>
    <s v="Mendocino (d/s of lake)"/>
    <x v="0"/>
    <n v="1953"/>
    <x v="6"/>
    <x v="1"/>
    <s v="Y"/>
    <s v="N"/>
    <s v="N"/>
    <s v="Y"/>
    <s v="N"/>
    <x v="1"/>
    <s v="N"/>
    <x v="1"/>
    <s v="N"/>
    <n v="0"/>
    <n v="0"/>
    <n v="0"/>
    <n v="0"/>
    <n v="0"/>
    <n v="0"/>
    <n v="5.86"/>
    <n v="3.06"/>
    <n v="0"/>
    <n v="0"/>
    <n v="0"/>
    <n v="0"/>
    <n v="8.92"/>
    <n v="8.9333333333333407"/>
    <n v="2.963084906437324E-2"/>
    <n v="2.6587301587301611E-2"/>
    <m/>
    <m/>
    <n v="336"/>
    <s v="Acre-feet per Year"/>
    <s v="U_5"/>
    <n v="0"/>
    <n v="39.104620310000001"/>
    <n v="-123.18379521"/>
    <s v="RUSSIAN RIVER"/>
  </r>
  <r>
    <s v="A015370"/>
    <n v="19530605"/>
    <n v="12"/>
    <s v="N"/>
    <s v="Y"/>
    <s v="Y"/>
    <s v="Y"/>
    <x v="0"/>
    <s v="West Fork and Below Lake"/>
    <s v="Sonoma (d/s of Clov. Gage)"/>
    <x v="0"/>
    <n v="1953"/>
    <x v="6"/>
    <x v="1"/>
    <s v="Y"/>
    <s v="N"/>
    <s v="N"/>
    <s v="Y"/>
    <s v="N"/>
    <x v="1"/>
    <s v="N"/>
    <x v="1"/>
    <s v="N"/>
    <n v="0"/>
    <n v="0"/>
    <n v="0"/>
    <n v="0.2"/>
    <n v="0.18"/>
    <n v="0.57999999999999996"/>
    <n v="2.12"/>
    <n v="3.24"/>
    <n v="2.2400000000000002"/>
    <n v="1.76"/>
    <n v="0.5"/>
    <n v="0"/>
    <n v="10.82"/>
    <n v="8.3766666666666705"/>
    <n v="2.7784449141332063E-2"/>
    <n v="4.2896715472892775E-2"/>
    <m/>
    <m/>
    <n v="252.7"/>
    <s v="Acre-feet per Year"/>
    <s v="U_12"/>
    <n v="0"/>
    <n v="38.651193810000002"/>
    <n v="-122.80612083"/>
    <s v="RUSSIAN RIVER UNDERFLOW"/>
  </r>
  <r>
    <s v="A015277"/>
    <n v="19530406"/>
    <n v="10"/>
    <s v="N"/>
    <s v="Y"/>
    <s v="Y"/>
    <s v="Y"/>
    <x v="0"/>
    <s v="West Fork and Below Lake"/>
    <s v="Sonoma (d/s of Clov. Gage)"/>
    <x v="0"/>
    <n v="1953"/>
    <x v="6"/>
    <x v="1"/>
    <s v="Y"/>
    <s v="N"/>
    <s v="N"/>
    <s v="Y"/>
    <s v="N"/>
    <x v="1"/>
    <s v="N"/>
    <x v="1"/>
    <s v="N"/>
    <n v="0"/>
    <n v="0"/>
    <n v="0"/>
    <n v="0.03"/>
    <n v="1.1599999999999999"/>
    <n v="1.73"/>
    <n v="2.7"/>
    <n v="1.6"/>
    <n v="1"/>
    <n v="0.4"/>
    <n v="3.3333333333333301E-3"/>
    <n v="0"/>
    <n v="8.6233333333333348"/>
    <n v="8.2000000000000011"/>
    <n v="2.7198465932223179E-2"/>
    <n v="0.13500000000000001"/>
    <m/>
    <m/>
    <n v="64"/>
    <s v="Acre-feet per Year"/>
    <s v="U_10"/>
    <n v="0"/>
    <n v="38.672729279999999"/>
    <n v="-122.86626394"/>
    <s v="RUSSIAN RIVER UNDERFLOW"/>
  </r>
  <r>
    <s v="A015664C"/>
    <n v="19531229"/>
    <n v="9"/>
    <s v="N"/>
    <s v="Y"/>
    <s v="Y"/>
    <s v="Y"/>
    <x v="0"/>
    <s v="West Fork and Below Lake"/>
    <s v="Sonoma (d/s of Clov. Gage)"/>
    <x v="0"/>
    <n v="1953"/>
    <x v="6"/>
    <x v="1"/>
    <s v="Y"/>
    <s v="N"/>
    <s v="N"/>
    <s v="Y"/>
    <s v="N"/>
    <x v="1"/>
    <s v="N"/>
    <x v="1"/>
    <s v="N"/>
    <n v="0"/>
    <n v="0"/>
    <n v="0"/>
    <n v="0"/>
    <n v="3.3333333333333301E-3"/>
    <n v="0.56000000000000005"/>
    <n v="1.66"/>
    <n v="2.16"/>
    <n v="1.43"/>
    <n v="0.43"/>
    <n v="0"/>
    <n v="0"/>
    <n v="6.2433333333333323"/>
    <n v="5.8366666666666704"/>
    <n v="1.935955847452147E-2"/>
    <n v="0.5548672566371684"/>
    <m/>
    <m/>
    <n v="11.3"/>
    <s v="Acre-feet per Year"/>
    <s v="U_9"/>
    <n v="0"/>
    <n v="38.753846529999997"/>
    <n v="-122.95737831"/>
    <s v="RUSSIAN RIVER"/>
  </r>
  <r>
    <s v="A015397"/>
    <n v="19530701"/>
    <n v="9"/>
    <s v="N"/>
    <s v="Y"/>
    <s v="Y"/>
    <s v="Y"/>
    <x v="0"/>
    <s v="West Fork and Below Lake"/>
    <s v="Sonoma (d/s of Clov. Gage)"/>
    <x v="0"/>
    <n v="1953"/>
    <x v="6"/>
    <x v="1"/>
    <s v="Y"/>
    <s v="N"/>
    <s v="N"/>
    <s v="Y"/>
    <s v="N"/>
    <x v="1"/>
    <s v="N"/>
    <x v="1"/>
    <s v="N"/>
    <n v="0"/>
    <n v="0"/>
    <n v="0"/>
    <n v="0"/>
    <n v="0.03"/>
    <n v="0.6"/>
    <n v="1.59"/>
    <n v="1.89"/>
    <n v="1.1599999999999999"/>
    <n v="0.87"/>
    <n v="0.22"/>
    <n v="0"/>
    <n v="6.36"/>
    <n v="5.3020000000000032"/>
    <n v="1.7586130045444799E-2"/>
    <n v="0.26221311475409853"/>
    <m/>
    <m/>
    <n v="24.4"/>
    <s v="Acre-feet per Year"/>
    <s v="U_9"/>
    <n v="0"/>
    <n v="38.715211650000001"/>
    <n v="-122.90997471999999"/>
    <s v="RUSSIAN RIVER UNDERFLOW"/>
  </r>
  <r>
    <s v="A015521"/>
    <n v="19530902"/>
    <n v="12"/>
    <s v="N"/>
    <s v="Y"/>
    <s v="Y"/>
    <s v="Y"/>
    <x v="0"/>
    <s v="West Fork and Below Lake"/>
    <s v="Sonoma (d/s of Clov. Gage)"/>
    <x v="0"/>
    <n v="1953"/>
    <x v="6"/>
    <x v="0"/>
    <s v="Y"/>
    <s v="N"/>
    <s v="N"/>
    <s v="Y"/>
    <s v="N"/>
    <x v="1"/>
    <s v="N"/>
    <x v="1"/>
    <s v="N"/>
    <n v="27.66"/>
    <n v="1.1599999999999999"/>
    <n v="26"/>
    <n v="5.96"/>
    <n v="0.9"/>
    <n v="0"/>
    <n v="0"/>
    <n v="0"/>
    <n v="0"/>
    <n v="0"/>
    <n v="0"/>
    <n v="3.63"/>
    <n v="65.31"/>
    <n v="0.9"/>
    <n v="2.9851974803659581E-3"/>
    <n v="0.67353951890034403"/>
    <m/>
    <m/>
    <n v="97"/>
    <s v="Acre-feet per Year"/>
    <s v="U_12"/>
    <n v="0"/>
    <n v="38.615977579999999"/>
    <n v="-122.68847024"/>
    <s v="UNST"/>
  </r>
  <r>
    <s v="A015314"/>
    <n v="19530424"/>
    <n v="12"/>
    <s v="N"/>
    <s v="Y"/>
    <s v="Y"/>
    <s v="Y"/>
    <x v="0"/>
    <s v="West Fork and Below Lake"/>
    <s v="Sonoma (d/s of Clov. Gage)"/>
    <x v="0"/>
    <n v="1953"/>
    <x v="6"/>
    <x v="0"/>
    <s v="Y"/>
    <s v="N"/>
    <s v="N"/>
    <s v="Y"/>
    <s v="N"/>
    <x v="1"/>
    <s v="N"/>
    <x v="1"/>
    <s v="N"/>
    <n v="1.33"/>
    <n v="1"/>
    <n v="0"/>
    <n v="0"/>
    <n v="0"/>
    <n v="0"/>
    <n v="0"/>
    <n v="0"/>
    <n v="0.33"/>
    <n v="1.41"/>
    <n v="2.83"/>
    <n v="4"/>
    <n v="10.9"/>
    <n v="0.33333333300000001"/>
    <n v="1.1056286953262076E-3"/>
    <n v="0.30324074072222218"/>
    <m/>
    <m/>
    <n v="36"/>
    <s v="Acre-feet per Year"/>
    <s v="U_12"/>
    <n v="3.4039024194010059E-4"/>
    <n v="38.569216050000001"/>
    <n v="-122.65479068"/>
    <s v="UNST"/>
  </r>
  <r>
    <s v="A015603"/>
    <n v="19531109"/>
    <n v="23"/>
    <s v="N"/>
    <s v="N"/>
    <s v="N"/>
    <s v="N"/>
    <x v="1"/>
    <s v="Outside"/>
    <s v="Outside"/>
    <x v="0"/>
    <n v="1953"/>
    <x v="6"/>
    <x v="0"/>
    <s v="N"/>
    <s v="N"/>
    <s v="N"/>
    <s v="Y"/>
    <s v="N"/>
    <x v="1"/>
    <s v="N"/>
    <x v="1"/>
    <s v="N"/>
    <n v="11.6"/>
    <n v="1.1000000000000001"/>
    <n v="8"/>
    <n v="0"/>
    <n v="0.233333333"/>
    <n v="0"/>
    <n v="0"/>
    <n v="0"/>
    <n v="0"/>
    <n v="2"/>
    <n v="1.8666666670000001"/>
    <n v="10.06666667"/>
    <n v="34.866666670000001"/>
    <n v="0.233333333"/>
    <n v="7.7394008639665684E-4"/>
    <n v="0.26215538849624059"/>
    <m/>
    <m/>
    <n v="133"/>
    <s v="Acre-feet per Year"/>
    <s v="L_23"/>
    <n v="0"/>
    <n v="38.571594529999999"/>
    <n v="-122.80102411"/>
    <s v="UNST"/>
  </r>
  <r>
    <s v="A015187"/>
    <n v="19530204"/>
    <n v="4"/>
    <s v="Y"/>
    <s v="N"/>
    <s v="Y"/>
    <s v="Y"/>
    <x v="0"/>
    <s v="West Fork and Below Lake"/>
    <s v="Mendocino (d/s of lake)"/>
    <x v="0"/>
    <n v="1953"/>
    <x v="6"/>
    <x v="0"/>
    <s v="Y"/>
    <s v="N"/>
    <s v="N"/>
    <s v="Y"/>
    <s v="N"/>
    <x v="1"/>
    <s v="N"/>
    <x v="1"/>
    <s v="N"/>
    <n v="0.03"/>
    <n v="0.03"/>
    <n v="0.03"/>
    <n v="0.03"/>
    <n v="0.03"/>
    <n v="0.03"/>
    <n v="0.03"/>
    <n v="0.03"/>
    <n v="0.03"/>
    <n v="0.03"/>
    <n v="0.03"/>
    <n v="0.03"/>
    <n v="0.3600000000000001"/>
    <n v="0.18781600000000001"/>
    <n v="6.2296427774712537E-4"/>
    <n v="0.8961159999999998"/>
    <m/>
    <m/>
    <n v="0.5"/>
    <s v="Acre-feet per Year"/>
    <s v="U_4"/>
    <n v="3.4039024194010059E-4"/>
    <n v="39.147191329999998"/>
    <n v="-123.23599374"/>
    <s v="GIBSON CREEK"/>
  </r>
  <r>
    <s v="A015329B"/>
    <n v="19530501"/>
    <n v="4"/>
    <s v="Y"/>
    <s v="N"/>
    <s v="Y"/>
    <s v="Y"/>
    <x v="0"/>
    <s v="West Fork and Below Lake"/>
    <s v="Mendocino (d/s of lake)"/>
    <x v="0"/>
    <n v="1953"/>
    <x v="6"/>
    <x v="1"/>
    <s v="Y"/>
    <s v="N"/>
    <s v="N"/>
    <s v="Y"/>
    <s v="N"/>
    <x v="1"/>
    <s v="N"/>
    <x v="1"/>
    <s v="N"/>
    <n v="0"/>
    <n v="0"/>
    <n v="0"/>
    <n v="5.4999999999999997E-3"/>
    <n v="8.3000000000000001E-3"/>
    <n v="8.3000000000000001E-3"/>
    <n v="8.3000000000000001E-3"/>
    <n v="0.01"/>
    <n v="0.01"/>
    <n v="9.1999999999999998E-3"/>
    <n v="0"/>
    <n v="0"/>
    <n v="5.9600000000000007E-2"/>
    <n v="4.6899999999999997E-2"/>
    <n v="1.5556195758795936E-4"/>
    <n v="2.7500000000000003E-3"/>
    <m/>
    <m/>
    <n v="22.4"/>
    <s v="Acre-feet per Year"/>
    <s v="U_4"/>
    <n v="0"/>
    <n v="39.194352199999997"/>
    <n v="-123.18970688"/>
    <s v="EAST FORK RUSSIAN RIVER"/>
  </r>
  <r>
    <s v="A015158A"/>
    <n v="19530120"/>
    <n v="4"/>
    <s v="Y"/>
    <s v="N"/>
    <s v="Y"/>
    <s v="Y"/>
    <x v="0"/>
    <s v="West Fork and Below Lake"/>
    <s v="Mendocino (d/s of lake)"/>
    <x v="0"/>
    <n v="1953"/>
    <x v="6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9"/>
    <s v="Acre-feet per Year"/>
    <s v="U_4"/>
    <n v="0"/>
    <n v="39.166674899999997"/>
    <n v="-123.19629856"/>
    <s v="Russian River"/>
  </r>
  <r>
    <s v="A015158B"/>
    <n v="19530120"/>
    <n v="4"/>
    <s v="Y"/>
    <s v="N"/>
    <s v="Y"/>
    <s v="Y"/>
    <x v="0"/>
    <s v="West Fork and Below Lake"/>
    <s v="Mendocino (d/s of lake)"/>
    <x v="0"/>
    <n v="1953"/>
    <x v="6"/>
    <x v="1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4"/>
    <s v="Acre-feet per Year"/>
    <s v="U_4"/>
    <n v="0"/>
    <n v="39.166674899999997"/>
    <n v="-123.19629856"/>
    <s v="Russian River"/>
  </r>
  <r>
    <s v="A015194"/>
    <n v="19530211"/>
    <n v="23"/>
    <s v="N"/>
    <s v="N"/>
    <s v="N"/>
    <s v="N"/>
    <x v="1"/>
    <s v="Outside"/>
    <s v="Outside"/>
    <x v="0"/>
    <n v="1953"/>
    <x v="6"/>
    <x v="0"/>
    <s v="N"/>
    <s v="N"/>
    <s v="N"/>
    <s v="Y"/>
    <s v="N"/>
    <x v="1"/>
    <s v="N"/>
    <x v="0"/>
    <s v="N"/>
    <n v="4.3333333329999997"/>
    <n v="19.2"/>
    <n v="3.8666666670000001"/>
    <n v="2.9"/>
    <n v="0"/>
    <n v="0"/>
    <n v="0"/>
    <n v="0"/>
    <n v="0"/>
    <n v="0"/>
    <n v="0"/>
    <n v="4.4333333330000002"/>
    <n v="34.733333332999997"/>
    <n v="0"/>
    <n v="0"/>
    <n v="0.53435897435384616"/>
    <m/>
    <m/>
    <n v="65"/>
    <s v="Acre-feet per Year"/>
    <s v="L_23"/>
    <n v="0"/>
    <n v="38.567707230000003"/>
    <n v="-122.76670266000001"/>
    <s v="UNST"/>
  </r>
  <r>
    <s v="A015233"/>
    <n v="19530312"/>
    <n v="12"/>
    <s v="N"/>
    <s v="Y"/>
    <s v="Y"/>
    <s v="Y"/>
    <x v="0"/>
    <s v="West Fork and Below Lake"/>
    <s v="Sonoma (d/s of Clov. Gage)"/>
    <x v="0"/>
    <n v="1953"/>
    <x v="6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28.4"/>
    <s v="Acre-feet per Year"/>
    <s v="U_12"/>
    <n v="0"/>
    <n v="38.632594279999999"/>
    <n v="-122.83461810999999"/>
    <s v="RUSSIAN RIVER"/>
  </r>
  <r>
    <s v="A015237"/>
    <n v="19530316"/>
    <n v="17"/>
    <s v="N"/>
    <s v="N"/>
    <s v="N"/>
    <s v="N"/>
    <x v="1"/>
    <s v="Outside"/>
    <s v="Outside"/>
    <x v="0"/>
    <n v="1953"/>
    <x v="6"/>
    <x v="0"/>
    <s v="N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4"/>
    <n v="4"/>
    <n v="8"/>
    <n v="0"/>
    <n v="0"/>
    <n v="0.26666666666666666"/>
    <m/>
    <m/>
    <n v="30"/>
    <s v="Acre-feet per Year"/>
    <s v="L_17"/>
    <n v="0"/>
    <n v="38.572256699999997"/>
    <n v="-122.82411814"/>
    <s v="UNST"/>
  </r>
  <r>
    <s v="A015299"/>
    <n v="19530417"/>
    <n v="16"/>
    <s v="N"/>
    <s v="N"/>
    <s v="N"/>
    <s v="N"/>
    <x v="1"/>
    <s v="Outside"/>
    <s v="Outside"/>
    <x v="0"/>
    <n v="1953"/>
    <x v="6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.2"/>
    <s v="Acre-feet per Year"/>
    <s v="L_16"/>
    <n v="3.4039024194010059E-4"/>
    <n v="38.600465020000001"/>
    <n v="-122.94237291"/>
    <s v="UNST"/>
  </r>
  <r>
    <s v="A015329A"/>
    <n v="19530501"/>
    <n v="4"/>
    <s v="Y"/>
    <s v="N"/>
    <s v="Y"/>
    <s v="Y"/>
    <x v="0"/>
    <s v="West Fork and Below Lake"/>
    <s v="Mendocino (d/s of lake)"/>
    <x v="0"/>
    <n v="1953"/>
    <x v="6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2.200000000000003"/>
    <s v="Acre-feet per Year"/>
    <s v="U_4"/>
    <n v="0"/>
    <n v="39.194352199999997"/>
    <n v="-123.18970688"/>
    <s v="EAST FORK RUSSIAN RIVER"/>
  </r>
  <r>
    <s v="A015399"/>
    <n v="19530706"/>
    <n v="9"/>
    <s v="N"/>
    <s v="Y"/>
    <s v="Y"/>
    <s v="Y"/>
    <x v="0"/>
    <s v="West Fork and Below Lake"/>
    <s v="Sonoma (d/s of Clov. Gage)"/>
    <x v="0"/>
    <n v="1953"/>
    <x v="6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6.700000000000003"/>
    <s v="Acre-feet per Year"/>
    <s v="U_9"/>
    <n v="0"/>
    <n v="38.7102"/>
    <n v="-122.9046"/>
    <s v="RUSSIAN RIVER UNDERFLOW"/>
  </r>
  <r>
    <s v="A015515"/>
    <n v="19530831"/>
    <n v="23"/>
    <s v="N"/>
    <s v="N"/>
    <s v="N"/>
    <s v="N"/>
    <x v="1"/>
    <s v="Outside"/>
    <s v="Outside"/>
    <x v="0"/>
    <n v="1953"/>
    <x v="6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0"/>
    <s v="Acre-feet per Year"/>
    <s v="L_23"/>
    <n v="0"/>
    <n v="38.584268520000002"/>
    <n v="-122.79486901999999"/>
    <s v="UNST"/>
  </r>
  <r>
    <s v="A015610"/>
    <n v="19531112"/>
    <n v="1"/>
    <s v="N"/>
    <s v="N"/>
    <s v="Y"/>
    <s v="Y"/>
    <x v="0"/>
    <s v="West Fork and Below Lake"/>
    <s v="Outside"/>
    <x v="0"/>
    <n v="1953"/>
    <x v="6"/>
    <x v="0"/>
    <s v="Y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6.7"/>
    <s v="Acre-feet per Year"/>
    <s v="U_1"/>
    <n v="0"/>
    <n v="39.254550469999998"/>
    <n v="-123.21032141000001"/>
    <s v="FORSYTHE CREEK"/>
  </r>
  <r>
    <s v="A015624"/>
    <n v="19531130"/>
    <n v="16"/>
    <s v="N"/>
    <s v="N"/>
    <s v="N"/>
    <s v="N"/>
    <x v="1"/>
    <s v="Outside"/>
    <s v="Outside"/>
    <x v="0"/>
    <n v="1953"/>
    <x v="6"/>
    <x v="0"/>
    <s v="N"/>
    <s v="N"/>
    <s v="N"/>
    <s v="Y"/>
    <s v="N"/>
    <x v="1"/>
    <s v="N"/>
    <x v="0"/>
    <s v="N"/>
    <n v="1"/>
    <n v="0.66666666699999999"/>
    <n v="0"/>
    <n v="0"/>
    <n v="0"/>
    <n v="0"/>
    <n v="0"/>
    <n v="0"/>
    <n v="0"/>
    <n v="0"/>
    <n v="1.6666666670000001"/>
    <n v="3.6666666669999999"/>
    <n v="7.0000000010000001"/>
    <n v="0"/>
    <n v="0"/>
    <n v="0.23333333336666667"/>
    <m/>
    <m/>
    <n v="30"/>
    <s v="Acre-feet per Year"/>
    <s v="L_16"/>
    <n v="0"/>
    <n v="38.651600000000002"/>
    <n v="-122.9012"/>
    <s v="UNST"/>
  </r>
  <r>
    <s v="A015663"/>
    <n v="19531228"/>
    <n v="1"/>
    <s v="N"/>
    <s v="N"/>
    <s v="Y"/>
    <s v="Y"/>
    <x v="0"/>
    <s v="West Fork and Below Lake"/>
    <s v="Outside"/>
    <x v="0"/>
    <n v="1953"/>
    <x v="6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59.30000000000001"/>
    <s v="Acre-feet per Year"/>
    <s v="U_1"/>
    <n v="0"/>
    <n v="39.240112500000002"/>
    <n v="-123.19912775"/>
    <s v="WEST FORK RUSSIAN RIVER"/>
  </r>
  <r>
    <s v="A015664A"/>
    <n v="19531229"/>
    <n v="9"/>
    <s v="N"/>
    <s v="Y"/>
    <s v="Y"/>
    <s v="Y"/>
    <x v="0"/>
    <s v="West Fork and Below Lake"/>
    <s v="Sonoma (d/s of Clov. Gage)"/>
    <x v="0"/>
    <n v="1953"/>
    <x v="6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9.5"/>
    <s v="Acre-feet per Year"/>
    <s v="U_9"/>
    <n v="0"/>
    <n v="38.753846529999997"/>
    <n v="-122.95737831"/>
    <s v="RUSSIAN RIVER"/>
  </r>
  <r>
    <s v="A014826"/>
    <n v="19520527"/>
    <n v="13"/>
    <s v="N"/>
    <s v="Y"/>
    <s v="Y"/>
    <s v="Y"/>
    <x v="0"/>
    <s v="West Fork and Below Lake"/>
    <s v="Sonoma (d/s of Clov. Gage)"/>
    <x v="0"/>
    <n v="1952"/>
    <x v="8"/>
    <x v="0"/>
    <s v="Y"/>
    <s v="N"/>
    <s v="N"/>
    <s v="Y"/>
    <s v="N"/>
    <x v="1"/>
    <s v="N"/>
    <x v="1"/>
    <s v="N"/>
    <n v="0"/>
    <n v="0"/>
    <n v="0"/>
    <n v="0"/>
    <n v="0"/>
    <n v="125"/>
    <n v="0"/>
    <n v="0"/>
    <n v="0"/>
    <n v="0"/>
    <n v="0"/>
    <n v="0"/>
    <n v="125"/>
    <n v="125"/>
    <n v="0.41461076116193862"/>
    <n v="0.7498500299940013"/>
    <m/>
    <m/>
    <n v="166.7"/>
    <s v="Acre-feet per Year"/>
    <s v="U_13"/>
    <n v="0"/>
    <n v="38.6011059"/>
    <n v="-122.85979526"/>
    <s v="RUSSIAN RIVER"/>
  </r>
  <r>
    <s v="A014855"/>
    <n v="19520612"/>
    <n v="10"/>
    <s v="N"/>
    <s v="Y"/>
    <s v="Y"/>
    <s v="Y"/>
    <x v="0"/>
    <s v="West Fork and Below Lake"/>
    <s v="Sonoma (d/s of Clov. Gage)"/>
    <x v="0"/>
    <n v="1952"/>
    <x v="8"/>
    <x v="1"/>
    <s v="Y"/>
    <s v="N"/>
    <s v="N"/>
    <s v="Y"/>
    <s v="N"/>
    <x v="1"/>
    <s v="N"/>
    <x v="1"/>
    <s v="N"/>
    <n v="0"/>
    <n v="2.35"/>
    <n v="1.35"/>
    <n v="0.6"/>
    <n v="1.1000000000000001"/>
    <n v="4.93"/>
    <n v="9.7899999999999991"/>
    <n v="12.02"/>
    <n v="9.94"/>
    <n v="6.01"/>
    <n v="0.37"/>
    <n v="0"/>
    <n v="48.459999999999994"/>
    <n v="37.8066666666667"/>
    <n v="0.125400406749299"/>
    <n v="0.14257299627670006"/>
    <m/>
    <m/>
    <n v="340.2"/>
    <s v="Acre-feet per Year"/>
    <s v="U_10"/>
    <n v="0"/>
    <n v="38.701269689999997"/>
    <n v="-122.86871354"/>
    <s v="RUSSIAN RIVER UNDERFLOW"/>
  </r>
  <r>
    <s v="A014875"/>
    <n v="19520625"/>
    <n v="10"/>
    <s v="N"/>
    <s v="Y"/>
    <s v="Y"/>
    <s v="Y"/>
    <x v="0"/>
    <s v="West Fork and Below Lake"/>
    <s v="Sonoma (d/s of Clov. Gage)"/>
    <x v="0"/>
    <n v="1952"/>
    <x v="8"/>
    <x v="1"/>
    <s v="Y"/>
    <s v="N"/>
    <s v="N"/>
    <s v="Y"/>
    <s v="N"/>
    <x v="1"/>
    <s v="N"/>
    <x v="1"/>
    <s v="N"/>
    <n v="0"/>
    <n v="0"/>
    <n v="0"/>
    <n v="1.06"/>
    <n v="2.2599999999999998"/>
    <n v="5.7"/>
    <n v="6.66"/>
    <n v="10.029999999999999"/>
    <n v="5.66"/>
    <n v="0"/>
    <n v="0"/>
    <n v="0"/>
    <n v="31.37"/>
    <n v="30.333333333333307"/>
    <n v="0.10061221137529701"/>
    <n v="0.10680272108843529"/>
    <m/>
    <m/>
    <n v="294"/>
    <s v="Acre-feet per Year"/>
    <s v="U_10"/>
    <n v="0"/>
    <n v="38.672565980000002"/>
    <n v="-122.85119951"/>
    <s v="RUSSIAN RIVER UNDERFLOW"/>
  </r>
  <r>
    <s v="A014997A"/>
    <n v="19520827"/>
    <n v="5"/>
    <s v="Y"/>
    <s v="N"/>
    <s v="Y"/>
    <s v="Y"/>
    <x v="0"/>
    <s v="West Fork and Below Lake"/>
    <s v="Mendocino (d/s of lake)"/>
    <x v="0"/>
    <n v="1952"/>
    <x v="8"/>
    <x v="1"/>
    <s v="Y"/>
    <s v="N"/>
    <s v="N"/>
    <s v="Y"/>
    <s v="N"/>
    <x v="1"/>
    <s v="N"/>
    <x v="1"/>
    <s v="N"/>
    <n v="0"/>
    <n v="0"/>
    <n v="0"/>
    <n v="0"/>
    <n v="1.23"/>
    <n v="5.13"/>
    <n v="8.8800000000000008"/>
    <n v="7.16"/>
    <n v="2.89"/>
    <n v="1.24"/>
    <n v="0"/>
    <n v="0"/>
    <n v="26.529999999999998"/>
    <n v="25.322666666666681"/>
    <n v="8.3992400810533788E-2"/>
    <n v="0.3795476190476193"/>
    <m/>
    <m/>
    <n v="70"/>
    <s v="Acre-feet per Year"/>
    <s v="U_5"/>
    <n v="0"/>
    <n v="39.035699999999999"/>
    <n v="-123.12909999999999"/>
    <s v="RUSSIAN RIVER UNDERFLOW"/>
  </r>
  <r>
    <s v="A014720"/>
    <n v="19520320"/>
    <n v="10"/>
    <s v="N"/>
    <s v="Y"/>
    <s v="Y"/>
    <s v="Y"/>
    <x v="0"/>
    <s v="West Fork and Below Lake"/>
    <s v="Sonoma (d/s of Clov. Gage)"/>
    <x v="0"/>
    <n v="1952"/>
    <x v="8"/>
    <x v="1"/>
    <s v="Y"/>
    <s v="N"/>
    <s v="N"/>
    <s v="Y"/>
    <s v="N"/>
    <x v="1"/>
    <s v="N"/>
    <x v="1"/>
    <s v="N"/>
    <n v="0"/>
    <n v="0"/>
    <n v="0"/>
    <n v="0"/>
    <n v="0.76"/>
    <n v="3.33"/>
    <n v="4.53"/>
    <n v="5"/>
    <n v="6.4"/>
    <n v="0.16"/>
    <n v="0"/>
    <n v="0"/>
    <n v="20.180000000000003"/>
    <n v="20.033333333333324"/>
    <n v="6.644828465555333E-2"/>
    <n v="0.22902494331065751"/>
    <m/>
    <m/>
    <n v="88.2"/>
    <s v="Acre-feet per Year"/>
    <s v="U_10"/>
    <n v="0"/>
    <n v="38.676033349999997"/>
    <n v="-122.86507803000001"/>
    <s v="RUSSIAN RIVER UNDERFLOW"/>
  </r>
  <r>
    <s v="A014925"/>
    <n v="19520724"/>
    <n v="17"/>
    <s v="N"/>
    <s v="N"/>
    <s v="N"/>
    <s v="N"/>
    <x v="1"/>
    <s v="Outside"/>
    <s v="Outside"/>
    <x v="0"/>
    <n v="1952"/>
    <x v="8"/>
    <x v="1"/>
    <s v="N"/>
    <s v="N"/>
    <s v="N"/>
    <s v="Y"/>
    <s v="N"/>
    <x v="1"/>
    <s v="N"/>
    <x v="1"/>
    <s v="N"/>
    <n v="0"/>
    <n v="0"/>
    <n v="0"/>
    <n v="0"/>
    <n v="1.3333333329999999"/>
    <n v="4.8"/>
    <n v="5.2"/>
    <n v="4.5666666669999998"/>
    <n v="1.3333333329999999"/>
    <n v="0.133333333"/>
    <n v="0"/>
    <n v="0"/>
    <n v="17.366666665999997"/>
    <n v="17.233333332999997"/>
    <n v="5.71610036044203E-2"/>
    <n v="0.18673835124731181"/>
    <m/>
    <m/>
    <n v="93"/>
    <s v="Acre-feet per Year"/>
    <s v="L_17"/>
    <n v="3.4039024194010059E-4"/>
    <n v="38.542079149999999"/>
    <n v="-122.85803554"/>
    <s v="RUSSIAN RIVER"/>
  </r>
  <r>
    <s v="A014916A"/>
    <n v="19520721"/>
    <n v="4"/>
    <s v="Y"/>
    <s v="N"/>
    <s v="Y"/>
    <s v="Y"/>
    <x v="0"/>
    <s v="West Fork and Below Lake"/>
    <s v="Mendocino (d/s of lake)"/>
    <x v="0"/>
    <n v="1952"/>
    <x v="8"/>
    <x v="1"/>
    <s v="Y"/>
    <s v="N"/>
    <s v="N"/>
    <s v="Y"/>
    <s v="N"/>
    <x v="1"/>
    <s v="N"/>
    <x v="1"/>
    <s v="N"/>
    <n v="0"/>
    <n v="0"/>
    <n v="0"/>
    <n v="0"/>
    <n v="1.1299999999999999"/>
    <n v="3.42"/>
    <n v="4.95"/>
    <n v="4.33"/>
    <n v="0"/>
    <n v="0"/>
    <n v="0"/>
    <n v="0"/>
    <n v="13.83"/>
    <n v="13.843333333333328"/>
    <n v="4.5916759762814147E-2"/>
    <n v="0.19861310377809652"/>
    <m/>
    <m/>
    <n v="69.7"/>
    <s v="Acre-feet per Year"/>
    <s v="U_4"/>
    <n v="0"/>
    <n v="39.16017677"/>
    <n v="-123.1886037"/>
    <s v="RUSSIAN RIVER"/>
  </r>
  <r>
    <s v="A014916B"/>
    <n v="19520721"/>
    <n v="4"/>
    <s v="Y"/>
    <s v="N"/>
    <s v="Y"/>
    <s v="Y"/>
    <x v="0"/>
    <s v="West Fork and Below Lake"/>
    <s v="Mendocino (d/s of lake)"/>
    <x v="0"/>
    <n v="1952"/>
    <x v="8"/>
    <x v="1"/>
    <s v="Y"/>
    <s v="N"/>
    <s v="N"/>
    <s v="Y"/>
    <s v="N"/>
    <x v="1"/>
    <s v="N"/>
    <x v="1"/>
    <s v="N"/>
    <n v="0"/>
    <n v="0"/>
    <n v="0"/>
    <n v="0"/>
    <n v="0.55000000000000004"/>
    <n v="1.57"/>
    <n v="2.0499999999999998"/>
    <n v="1.76"/>
    <n v="5.12"/>
    <n v="0.3"/>
    <n v="0"/>
    <n v="0"/>
    <n v="11.350000000000001"/>
    <n v="11.080000000000007"/>
    <n v="3.6751097869394261E-2"/>
    <n v="0.100058582308143"/>
    <m/>
    <m/>
    <n v="113.8"/>
    <s v="Acre-feet per Year"/>
    <s v="U_4"/>
    <n v="0"/>
    <n v="39.16017677"/>
    <n v="-123.1886037"/>
    <s v="RUSSIAN RIVER"/>
  </r>
  <r>
    <s v="A014997B"/>
    <n v="19520827"/>
    <n v="5"/>
    <s v="Y"/>
    <s v="N"/>
    <s v="Y"/>
    <s v="Y"/>
    <x v="0"/>
    <s v="West Fork and Below Lake"/>
    <s v="Mendocino (d/s of lake)"/>
    <x v="0"/>
    <n v="1952"/>
    <x v="8"/>
    <x v="1"/>
    <s v="Y"/>
    <s v="N"/>
    <s v="N"/>
    <s v="Y"/>
    <s v="N"/>
    <x v="1"/>
    <s v="N"/>
    <x v="1"/>
    <s v="N"/>
    <n v="0"/>
    <n v="0"/>
    <n v="0"/>
    <n v="0"/>
    <n v="0.33"/>
    <n v="0.4"/>
    <n v="2.5099999999999998"/>
    <n v="3.29"/>
    <n v="2.57"/>
    <n v="0.54"/>
    <n v="0"/>
    <n v="0"/>
    <n v="9.64"/>
    <n v="9.110000000000003"/>
    <n v="3.0216832273482101E-2"/>
    <n v="0.16941520467836263"/>
    <m/>
    <m/>
    <n v="57"/>
    <s v="Acre-feet per Year"/>
    <s v="U_5"/>
    <n v="0"/>
    <n v="39.044703210000002"/>
    <n v="-123.1340241"/>
    <s v="RUSSIAN RIVER UNDERFLOW"/>
  </r>
  <r>
    <s v="A014880"/>
    <n v="19520626"/>
    <n v="9"/>
    <s v="N"/>
    <s v="Y"/>
    <s v="Y"/>
    <s v="Y"/>
    <x v="0"/>
    <s v="West Fork and Below Lake"/>
    <s v="Sonoma (d/s of Clov. Gage)"/>
    <x v="0"/>
    <n v="1952"/>
    <x v="8"/>
    <x v="1"/>
    <s v="Y"/>
    <s v="N"/>
    <s v="N"/>
    <s v="Y"/>
    <s v="N"/>
    <x v="1"/>
    <s v="N"/>
    <x v="1"/>
    <s v="N"/>
    <n v="0.46"/>
    <n v="0.46"/>
    <n v="0.46"/>
    <n v="0.41"/>
    <n v="2.61"/>
    <n v="0.99"/>
    <n v="1.21"/>
    <n v="1.31"/>
    <n v="1.41"/>
    <n v="1.26"/>
    <n v="1.27"/>
    <n v="0.96"/>
    <n v="12.809999999999999"/>
    <n v="7.5639999999999903"/>
    <n v="2.5088926379431199E-2"/>
    <n v="8.8792357274401369E-3"/>
    <m/>
    <m/>
    <n v="1448"/>
    <s v="Acre-feet per Year"/>
    <s v="U_9"/>
    <n v="0"/>
    <n v="38.773897150000003"/>
    <n v="-122.98956981000001"/>
    <s v="RUSSIAN RIVER UNDERFLOW"/>
  </r>
  <r>
    <s v="A014747"/>
    <n v="19520414"/>
    <n v="17"/>
    <s v="N"/>
    <s v="N"/>
    <s v="N"/>
    <s v="N"/>
    <x v="1"/>
    <s v="Outside"/>
    <s v="Outside"/>
    <x v="0"/>
    <n v="1952"/>
    <x v="8"/>
    <x v="1"/>
    <s v="N"/>
    <s v="N"/>
    <s v="N"/>
    <s v="Y"/>
    <s v="N"/>
    <x v="1"/>
    <s v="N"/>
    <x v="1"/>
    <s v="N"/>
    <n v="0"/>
    <n v="0"/>
    <n v="0"/>
    <n v="0"/>
    <n v="2.3333333330000001"/>
    <n v="0.86666666699999995"/>
    <n v="2.5666666669999998"/>
    <n v="0.66666666699999999"/>
    <n v="0.5"/>
    <n v="0.1"/>
    <n v="0"/>
    <n v="0"/>
    <n v="7.0333333339999999"/>
    <n v="6.9333333340000003"/>
    <n v="2.2997076887993455E-2"/>
    <n v="1.0951936054188725E-2"/>
    <m/>
    <m/>
    <n v="642.20000000000005"/>
    <s v="Acre-feet per Year"/>
    <s v="L_17"/>
    <n v="0"/>
    <n v="38.545105980000002"/>
    <n v="-122.85719775"/>
    <s v="RUSSIAN RIVER"/>
  </r>
  <r>
    <s v="A014777"/>
    <n v="19520425"/>
    <n v="10"/>
    <s v="N"/>
    <s v="Y"/>
    <s v="Y"/>
    <s v="Y"/>
    <x v="0"/>
    <s v="West Fork and Below Lake"/>
    <s v="Sonoma (d/s of Clov. Gage)"/>
    <x v="0"/>
    <n v="1952"/>
    <x v="8"/>
    <x v="1"/>
    <s v="Y"/>
    <s v="N"/>
    <s v="N"/>
    <s v="Y"/>
    <s v="N"/>
    <x v="1"/>
    <s v="N"/>
    <x v="1"/>
    <s v="N"/>
    <n v="0"/>
    <n v="0"/>
    <n v="0"/>
    <n v="0"/>
    <n v="0"/>
    <n v="0.96"/>
    <n v="0.63"/>
    <n v="1.06"/>
    <n v="0"/>
    <n v="0"/>
    <n v="0"/>
    <n v="0"/>
    <n v="2.65"/>
    <n v="2.6666666666666701"/>
    <n v="8.845029571454702E-3"/>
    <n v="2.0947892118355616E-2"/>
    <m/>
    <m/>
    <n v="127.3"/>
    <s v="Acre-feet per Year"/>
    <s v="U_10"/>
    <n v="0"/>
    <n v="38.664725079999997"/>
    <n v="-122.83429386"/>
    <s v="RUSSIAN RIVER"/>
  </r>
  <r>
    <s v="A014750"/>
    <n v="19520415"/>
    <n v="12"/>
    <s v="N"/>
    <s v="Y"/>
    <s v="Y"/>
    <s v="Y"/>
    <x v="0"/>
    <s v="West Fork and Below Lake"/>
    <s v="Sonoma (d/s of Clov. Gage)"/>
    <x v="0"/>
    <n v="1952"/>
    <x v="8"/>
    <x v="1"/>
    <s v="Y"/>
    <s v="N"/>
    <s v="N"/>
    <s v="Y"/>
    <s v="N"/>
    <x v="1"/>
    <s v="N"/>
    <x v="1"/>
    <s v="N"/>
    <n v="0"/>
    <n v="0"/>
    <n v="0"/>
    <n v="0"/>
    <n v="0"/>
    <n v="0.38"/>
    <n v="0.3"/>
    <n v="0.97"/>
    <n v="0.14000000000000001"/>
    <n v="0"/>
    <n v="0"/>
    <n v="0"/>
    <n v="1.79"/>
    <n v="1.796666666666666"/>
    <n v="5.9593386737675953E-3"/>
    <n v="4.6788194444444431E-2"/>
    <m/>
    <m/>
    <n v="38.4"/>
    <s v="Acre-feet per Year"/>
    <s v="U_12"/>
    <n v="0"/>
    <n v="38.604916899999999"/>
    <n v="-122.78705015"/>
    <s v="RUSSIAN RIVER"/>
  </r>
  <r>
    <s v="A014624"/>
    <n v="19520121"/>
    <n v="4"/>
    <s v="Y"/>
    <s v="N"/>
    <s v="Y"/>
    <s v="Y"/>
    <x v="0"/>
    <s v="West Fork and Below Lake"/>
    <s v="Mendocino (d/s of lake)"/>
    <x v="0"/>
    <n v="1952"/>
    <x v="8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5.5"/>
    <s v="Acre-feet per Year"/>
    <s v="U_4"/>
    <n v="0"/>
    <n v="39.11908176"/>
    <n v="-123.19284955000001"/>
    <s v="RUSSIAN RIVER"/>
  </r>
  <r>
    <s v="A014715"/>
    <n v="19520317"/>
    <n v="12"/>
    <s v="N"/>
    <s v="Y"/>
    <s v="Y"/>
    <s v="Y"/>
    <x v="0"/>
    <s v="West Fork and Below Lake"/>
    <s v="Sonoma (d/s of Clov. Gage)"/>
    <x v="0"/>
    <n v="1952"/>
    <x v="8"/>
    <x v="1"/>
    <s v="Y"/>
    <s v="N"/>
    <s v="N"/>
    <s v="Y"/>
    <s v="N"/>
    <x v="1"/>
    <s v="N"/>
    <x v="0"/>
    <s v="N"/>
    <n v="0.06"/>
    <n v="0"/>
    <n v="0"/>
    <n v="0"/>
    <n v="0"/>
    <n v="0"/>
    <n v="0"/>
    <n v="0"/>
    <n v="0"/>
    <n v="0"/>
    <n v="2.4300000000000002"/>
    <n v="3.43"/>
    <n v="5.92"/>
    <n v="0"/>
    <n v="0"/>
    <n v="0.19843924191750256"/>
    <m/>
    <m/>
    <n v="29.9"/>
    <s v="Acre-feet per Year"/>
    <s v="U_12"/>
    <n v="0"/>
    <n v="38.627721319999999"/>
    <n v="-122.78520148"/>
    <s v="UNST"/>
  </r>
  <r>
    <s v="A014735"/>
    <n v="19520331"/>
    <n v="12"/>
    <s v="N"/>
    <s v="Y"/>
    <s v="Y"/>
    <s v="Y"/>
    <x v="0"/>
    <s v="West Fork and Below Lake"/>
    <s v="Sonoma (d/s of Clov. Gage)"/>
    <x v="0"/>
    <n v="1952"/>
    <x v="8"/>
    <x v="0"/>
    <s v="Y"/>
    <s v="N"/>
    <s v="N"/>
    <s v="Y"/>
    <s v="N"/>
    <x v="1"/>
    <s v="N"/>
    <x v="0"/>
    <s v="N"/>
    <n v="29.5"/>
    <n v="22.83"/>
    <n v="4.66"/>
    <n v="3.5"/>
    <n v="0"/>
    <n v="0"/>
    <n v="0"/>
    <n v="0"/>
    <n v="0"/>
    <n v="0"/>
    <n v="3.33"/>
    <n v="4.83"/>
    <n v="68.649999999999991"/>
    <n v="0"/>
    <n v="0"/>
    <n v="0.44017094014743591"/>
    <m/>
    <m/>
    <n v="156"/>
    <s v="Acre-feet per Year"/>
    <s v="U_12"/>
    <n v="0"/>
    <n v="38.618600000000001"/>
    <n v="-122.7654"/>
    <s v="UNST"/>
  </r>
  <r>
    <s v="A014749"/>
    <n v="19520415"/>
    <n v="12"/>
    <s v="N"/>
    <s v="Y"/>
    <s v="Y"/>
    <s v="Y"/>
    <x v="0"/>
    <s v="West Fork and Below Lake"/>
    <s v="Sonoma (d/s of Clov. Gage)"/>
    <x v="0"/>
    <n v="1952"/>
    <x v="8"/>
    <x v="0"/>
    <s v="Y"/>
    <s v="N"/>
    <s v="N"/>
    <s v="Y"/>
    <s v="N"/>
    <x v="1"/>
    <s v="N"/>
    <x v="0"/>
    <s v="N"/>
    <n v="0.16"/>
    <n v="0"/>
    <n v="0.16"/>
    <n v="0"/>
    <n v="0"/>
    <n v="0"/>
    <n v="0"/>
    <n v="0"/>
    <n v="0"/>
    <n v="0"/>
    <n v="8.16"/>
    <n v="0"/>
    <n v="8.48"/>
    <n v="0"/>
    <n v="0"/>
    <n v="0.32692307696153844"/>
    <m/>
    <m/>
    <n v="26"/>
    <s v="Acre-feet per Year"/>
    <s v="U_12"/>
    <n v="0"/>
    <n v="38.605933800000003"/>
    <n v="-122.75801468"/>
    <s v="UNST"/>
  </r>
  <r>
    <s v="A014762"/>
    <n v="19520418"/>
    <n v="17"/>
    <s v="N"/>
    <s v="N"/>
    <s v="N"/>
    <s v="N"/>
    <x v="1"/>
    <s v="Outside"/>
    <s v="Outside"/>
    <x v="0"/>
    <n v="1952"/>
    <x v="8"/>
    <x v="1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57"/>
    <s v="Acre-feet per Year"/>
    <s v="L_17"/>
    <n v="0"/>
    <n v="38.559131440000002"/>
    <n v="-122.85439343"/>
    <s v="RUSSIAN RIVER"/>
  </r>
  <r>
    <s v="A014767"/>
    <n v="19520421"/>
    <n v="23"/>
    <s v="N"/>
    <s v="N"/>
    <s v="N"/>
    <s v="N"/>
    <x v="1"/>
    <s v="Outside"/>
    <s v="Outside"/>
    <x v="0"/>
    <n v="1952"/>
    <x v="8"/>
    <x v="0"/>
    <s v="N"/>
    <s v="N"/>
    <s v="N"/>
    <s v="Y"/>
    <s v="N"/>
    <x v="1"/>
    <s v="N"/>
    <x v="0"/>
    <s v="N"/>
    <n v="2.8333333330000001"/>
    <n v="1.3333333329999999"/>
    <n v="1.5"/>
    <n v="0"/>
    <n v="0"/>
    <n v="0"/>
    <n v="0"/>
    <n v="0"/>
    <n v="0"/>
    <n v="0"/>
    <n v="1"/>
    <n v="1"/>
    <n v="7.6666666660000002"/>
    <n v="0"/>
    <n v="0"/>
    <n v="0.30666666664000003"/>
    <m/>
    <m/>
    <n v="25"/>
    <s v="Acre-feet per Year"/>
    <s v="L_27"/>
    <n v="0"/>
    <n v="38.390846590000002"/>
    <n v="-122.63362214"/>
    <s v="UNST"/>
  </r>
  <r>
    <s v="A014797"/>
    <n v="19520507"/>
    <n v="23"/>
    <s v="N"/>
    <s v="N"/>
    <s v="N"/>
    <s v="N"/>
    <x v="1"/>
    <s v="Outside"/>
    <s v="Outside"/>
    <x v="0"/>
    <n v="1952"/>
    <x v="8"/>
    <x v="0"/>
    <s v="N"/>
    <s v="N"/>
    <s v="N"/>
    <s v="Y"/>
    <s v="N"/>
    <x v="1"/>
    <s v="N"/>
    <x v="0"/>
    <s v="N"/>
    <n v="11.66666667"/>
    <n v="5"/>
    <n v="4.3333333329999997"/>
    <n v="0"/>
    <n v="0"/>
    <n v="0"/>
    <n v="0"/>
    <n v="0"/>
    <n v="0"/>
    <n v="0"/>
    <n v="0"/>
    <n v="0"/>
    <n v="21.000000002999997"/>
    <n v="0"/>
    <n v="0"/>
    <n v="0.70000000009999985"/>
    <m/>
    <m/>
    <n v="30"/>
    <s v="Acre-feet per Year"/>
    <s v="L_27"/>
    <n v="0"/>
    <n v="38.4467"/>
    <n v="-122.5996"/>
    <s v="UNST"/>
  </r>
  <r>
    <s v="A014841"/>
    <n v="19520605"/>
    <n v="12"/>
    <s v="N"/>
    <s v="Y"/>
    <s v="Y"/>
    <s v="Y"/>
    <x v="0"/>
    <s v="West Fork and Below Lake"/>
    <s v="Sonoma (d/s of Clov. Gage)"/>
    <x v="0"/>
    <n v="1952"/>
    <x v="8"/>
    <x v="0"/>
    <s v="Y"/>
    <s v="N"/>
    <s v="N"/>
    <s v="Y"/>
    <s v="N"/>
    <x v="1"/>
    <s v="N"/>
    <x v="0"/>
    <s v="N"/>
    <n v="0.03"/>
    <n v="0"/>
    <n v="0.1"/>
    <n v="0.06"/>
    <n v="0"/>
    <n v="0"/>
    <n v="0"/>
    <n v="0"/>
    <n v="0"/>
    <n v="0"/>
    <n v="3.06"/>
    <n v="0.93"/>
    <n v="4.18"/>
    <n v="0"/>
    <n v="0"/>
    <n v="0.93333333333333401"/>
    <m/>
    <m/>
    <n v="4.5"/>
    <s v="Acre-feet per Year"/>
    <s v="U_12"/>
    <n v="0"/>
    <n v="38.635604579999999"/>
    <n v="-122.75587946"/>
    <s v="UNST"/>
  </r>
  <r>
    <s v="A014842"/>
    <n v="19520605"/>
    <n v="12"/>
    <s v="N"/>
    <s v="Y"/>
    <s v="Y"/>
    <s v="Y"/>
    <x v="0"/>
    <s v="West Fork and Below Lake"/>
    <s v="Sonoma (d/s of Clov. Gage)"/>
    <x v="0"/>
    <n v="1952"/>
    <x v="8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8"/>
    <s v="Acre-feet per Year"/>
    <s v="U_12"/>
    <n v="0"/>
    <n v="38.626800000000003"/>
    <n v="-122.75060000000001"/>
    <s v="UNNAMED STREAM"/>
  </r>
  <r>
    <s v="A014856"/>
    <n v="19520612"/>
    <n v="10"/>
    <s v="N"/>
    <s v="Y"/>
    <s v="Y"/>
    <s v="Y"/>
    <x v="0"/>
    <s v="West Fork and Below Lake"/>
    <s v="Sonoma (d/s of Clov. Gage)"/>
    <x v="0"/>
    <n v="1952"/>
    <x v="8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4.7"/>
    <s v="Acre-feet per Year"/>
    <s v="U_10"/>
    <n v="0"/>
    <n v="38.70928335"/>
    <n v="-122.89825078"/>
    <s v="RUSSIAN RIVER UNDERFLOW"/>
  </r>
  <r>
    <s v="A014870"/>
    <n v="19520623"/>
    <n v="23"/>
    <s v="N"/>
    <s v="N"/>
    <s v="N"/>
    <s v="N"/>
    <x v="1"/>
    <s v="Outside"/>
    <s v="Outside"/>
    <x v="0"/>
    <n v="1952"/>
    <x v="8"/>
    <x v="0"/>
    <s v="N"/>
    <s v="N"/>
    <s v="N"/>
    <s v="Y"/>
    <s v="N"/>
    <x v="1"/>
    <s v="N"/>
    <x v="0"/>
    <s v="N"/>
    <n v="0"/>
    <n v="0.2"/>
    <n v="0"/>
    <n v="0"/>
    <n v="0"/>
    <n v="0"/>
    <n v="0"/>
    <n v="0"/>
    <n v="0"/>
    <n v="0"/>
    <n v="0"/>
    <n v="0"/>
    <n v="0.2"/>
    <n v="0"/>
    <n v="0"/>
    <n v="4.3478260869565218E-3"/>
    <m/>
    <m/>
    <n v="46"/>
    <s v="Acre-feet per Year"/>
    <s v="L_24"/>
    <n v="0"/>
    <n v="38.493527780000001"/>
    <n v="-122.72991766"/>
    <s v="UNST"/>
  </r>
  <r>
    <s v="A014872"/>
    <n v="19520624"/>
    <n v="12"/>
    <s v="N"/>
    <s v="Y"/>
    <s v="Y"/>
    <s v="Y"/>
    <x v="0"/>
    <s v="West Fork and Below Lake"/>
    <s v="Sonoma (d/s of Clov. Gage)"/>
    <x v="0"/>
    <n v="1952"/>
    <x v="8"/>
    <x v="0"/>
    <s v="Y"/>
    <s v="N"/>
    <s v="N"/>
    <s v="Y"/>
    <s v="N"/>
    <x v="1"/>
    <s v="N"/>
    <x v="0"/>
    <s v="N"/>
    <n v="0.73"/>
    <n v="0"/>
    <n v="0"/>
    <n v="0"/>
    <n v="0"/>
    <n v="0"/>
    <n v="0"/>
    <n v="0"/>
    <n v="0"/>
    <n v="0"/>
    <n v="1.46"/>
    <n v="1.53"/>
    <n v="3.7199999999999998"/>
    <n v="0"/>
    <n v="0"/>
    <n v="0.62222222216666667"/>
    <m/>
    <m/>
    <n v="6"/>
    <s v="Acre-feet per Year"/>
    <s v="U_12"/>
    <n v="3.4039024194010059E-4"/>
    <n v="38.572347139999998"/>
    <n v="-122.63488144999999"/>
    <s v="UNST"/>
  </r>
  <r>
    <s v="A014904"/>
    <n v="19520710"/>
    <n v="11"/>
    <s v="N"/>
    <s v="Y"/>
    <s v="Y"/>
    <s v="Y"/>
    <x v="0"/>
    <s v="West Fork and Below Lake"/>
    <s v="Sonoma (d/s of Clov. Gage)"/>
    <x v="0"/>
    <n v="1952"/>
    <x v="8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2.2"/>
    <s v="Acre-feet per Year"/>
    <s v="U_11"/>
    <n v="0"/>
    <n v="38.653292520000001"/>
    <n v="-122.73820732999999"/>
    <s v="MAACAMA CREEK"/>
  </r>
  <r>
    <s v="A014942"/>
    <n v="19520730"/>
    <n v="17"/>
    <s v="N"/>
    <s v="N"/>
    <s v="N"/>
    <s v="N"/>
    <x v="1"/>
    <s v="Outside"/>
    <s v="Outside"/>
    <x v="0"/>
    <n v="1952"/>
    <x v="8"/>
    <x v="1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4"/>
    <s v="Acre-feet per Year"/>
    <s v="L_17"/>
    <n v="0"/>
    <n v="38.529194560000001"/>
    <n v="-122.85508403"/>
    <s v="RUSSIAN RIVER UNDERFLOW"/>
  </r>
  <r>
    <s v="A014966"/>
    <n v="19520813"/>
    <n v="23"/>
    <s v="N"/>
    <s v="N"/>
    <s v="N"/>
    <s v="N"/>
    <x v="1"/>
    <s v="Outside"/>
    <s v="Outside"/>
    <x v="0"/>
    <n v="1952"/>
    <x v="8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33"/>
    <s v="Acre-feet per Year"/>
    <s v="L_26"/>
    <n v="0"/>
    <n v="38.484261940000003"/>
    <n v="-122.71864373"/>
    <s v="UNCR"/>
  </r>
  <r>
    <s v="A015075"/>
    <n v="19521106"/>
    <n v="12"/>
    <s v="N"/>
    <s v="Y"/>
    <s v="Y"/>
    <s v="Y"/>
    <x v="0"/>
    <s v="West Fork and Below Lake"/>
    <s v="Sonoma (d/s of Clov. Gage)"/>
    <x v="0"/>
    <n v="1952"/>
    <x v="8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"/>
    <s v="Acre-feet per Year"/>
    <s v="U_12"/>
    <n v="0"/>
    <n v="38.668055000000003"/>
    <n v="-122.79002423"/>
    <s v="UNST"/>
  </r>
  <r>
    <s v="A014259A"/>
    <n v="19510418"/>
    <n v="2"/>
    <s v="N"/>
    <s v="N"/>
    <s v="Y"/>
    <s v="N"/>
    <x v="0"/>
    <s v="Outside"/>
    <s v="Outside"/>
    <x v="0"/>
    <n v="1951"/>
    <x v="8"/>
    <x v="0"/>
    <s v="Y"/>
    <s v="N"/>
    <s v="N"/>
    <s v="Y"/>
    <s v="N"/>
    <x v="1"/>
    <s v="N"/>
    <x v="1"/>
    <s v="N"/>
    <n v="0"/>
    <n v="0"/>
    <n v="0"/>
    <n v="0"/>
    <n v="12"/>
    <n v="12"/>
    <n v="12"/>
    <n v="12"/>
    <n v="12"/>
    <n v="0"/>
    <n v="0"/>
    <n v="0"/>
    <n v="60"/>
    <n v="60"/>
    <n v="0.19901316535773056"/>
    <n v="0.99337748344370869"/>
    <m/>
    <m/>
    <n v="60.4"/>
    <s v="Acre-feet per Year"/>
    <s v="U_2"/>
    <n v="0"/>
    <n v="39.272913690000003"/>
    <n v="-123.10253365"/>
    <s v="EAST FORK RUSSIAN RIVER"/>
  </r>
  <r>
    <s v="A014333"/>
    <n v="19510605"/>
    <n v="17"/>
    <s v="N"/>
    <s v="N"/>
    <s v="N"/>
    <s v="N"/>
    <x v="1"/>
    <s v="Outside"/>
    <s v="Outside"/>
    <x v="0"/>
    <n v="1951"/>
    <x v="8"/>
    <x v="1"/>
    <s v="N"/>
    <s v="N"/>
    <s v="N"/>
    <s v="Y"/>
    <s v="N"/>
    <x v="1"/>
    <s v="N"/>
    <x v="1"/>
    <s v="N"/>
    <n v="0"/>
    <n v="0"/>
    <n v="0"/>
    <n v="0.63333333300000005"/>
    <n v="0"/>
    <n v="4.5666666669999998"/>
    <n v="16.166666670000001"/>
    <n v="25"/>
    <n v="3.6333333329999999"/>
    <n v="0"/>
    <n v="0"/>
    <n v="0"/>
    <n v="50.000000003000004"/>
    <n v="49.366666670000008"/>
    <n v="0.16374360995261128"/>
    <n v="4.7856049007465547E-2"/>
    <m/>
    <m/>
    <n v="1044.8"/>
    <s v="Acre-feet per Year"/>
    <s v="L_17"/>
    <n v="0"/>
    <n v="38.564954"/>
    <n v="-122.84676835"/>
    <s v="RUSSIAN RIVER"/>
  </r>
  <r>
    <s v="A014393"/>
    <n v="19510716"/>
    <n v="9"/>
    <s v="N"/>
    <s v="Y"/>
    <s v="Y"/>
    <s v="Y"/>
    <x v="0"/>
    <s v="West Fork and Below Lake"/>
    <s v="Sonoma (d/s of Clov. Gage)"/>
    <x v="0"/>
    <n v="1951"/>
    <x v="8"/>
    <x v="1"/>
    <s v="Y"/>
    <s v="N"/>
    <s v="N"/>
    <s v="Y"/>
    <s v="N"/>
    <x v="1"/>
    <s v="N"/>
    <x v="1"/>
    <s v="N"/>
    <n v="0"/>
    <n v="0"/>
    <n v="0"/>
    <n v="0"/>
    <n v="0.43"/>
    <n v="1.63"/>
    <n v="5.46"/>
    <n v="5.93"/>
    <n v="2.83"/>
    <n v="0.23"/>
    <n v="0"/>
    <n v="0"/>
    <n v="16.510000000000002"/>
    <n v="16.299999999999994"/>
    <n v="5.406524325551678E-2"/>
    <n v="0.10834425513324593"/>
    <m/>
    <m/>
    <n v="152.6"/>
    <s v="Acre-feet per Year"/>
    <s v="U_9"/>
    <n v="0"/>
    <n v="38.807837650000003"/>
    <n v="-123.00232511999999"/>
    <s v="RUSSIAN RIVER UNDERFLOW"/>
  </r>
  <r>
    <s v="A014459"/>
    <n v="19510831"/>
    <n v="12"/>
    <s v="N"/>
    <s v="Y"/>
    <s v="Y"/>
    <s v="Y"/>
    <x v="0"/>
    <s v="West Fork and Below Lake"/>
    <s v="Sonoma (d/s of Clov. Gage)"/>
    <x v="0"/>
    <n v="1951"/>
    <x v="8"/>
    <x v="1"/>
    <s v="Y"/>
    <s v="N"/>
    <s v="N"/>
    <s v="Y"/>
    <s v="N"/>
    <x v="1"/>
    <s v="N"/>
    <x v="1"/>
    <s v="N"/>
    <n v="0"/>
    <n v="0"/>
    <n v="0"/>
    <n v="2"/>
    <n v="2"/>
    <n v="2"/>
    <n v="2.66"/>
    <n v="2.66"/>
    <n v="2.66"/>
    <n v="2.66"/>
    <n v="2"/>
    <n v="0"/>
    <n v="18.64"/>
    <n v="12.000000000000009"/>
    <n v="3.9802633071546141E-2"/>
    <n v="7.6817558299039829E-2"/>
    <m/>
    <m/>
    <n v="243"/>
    <s v="Acre-feet per Year"/>
    <s v="U_12"/>
    <n v="0"/>
    <n v="38.613454930000003"/>
    <n v="-122.78329441"/>
    <s v="RUSSIAN RIVER"/>
  </r>
  <r>
    <s v="A014215"/>
    <n v="19510326"/>
    <n v="9"/>
    <s v="N"/>
    <s v="Y"/>
    <s v="Y"/>
    <s v="Y"/>
    <x v="0"/>
    <s v="West Fork and Below Lake"/>
    <s v="Sonoma (d/s of Clov. Gage)"/>
    <x v="0"/>
    <n v="1951"/>
    <x v="8"/>
    <x v="1"/>
    <s v="Y"/>
    <s v="N"/>
    <s v="N"/>
    <s v="Y"/>
    <s v="N"/>
    <x v="1"/>
    <s v="N"/>
    <x v="1"/>
    <s v="N"/>
    <n v="0"/>
    <n v="0"/>
    <n v="0"/>
    <n v="1.84"/>
    <n v="1.84"/>
    <n v="2.4500000000000002"/>
    <n v="2.4500000000000002"/>
    <n v="1.84"/>
    <n v="0.61"/>
    <n v="0"/>
    <n v="0"/>
    <n v="0"/>
    <n v="11.030000000000001"/>
    <n v="9.1933333333333334"/>
    <n v="3.049323944759005E-2"/>
    <n v="5.1751094434021275E-2"/>
    <m/>
    <m/>
    <n v="213.2"/>
    <s v="Acre-feet per Year"/>
    <s v="U_9"/>
    <n v="0"/>
    <n v="38.729953430000002"/>
    <n v="-122.92375269999999"/>
    <s v="RUSSIAN RIVER UNDERFLOW"/>
  </r>
  <r>
    <s v="A014136"/>
    <n v="19510122"/>
    <n v="14"/>
    <s v="N"/>
    <s v="N"/>
    <s v="N"/>
    <s v="N"/>
    <x v="1"/>
    <s v="Outside"/>
    <s v="Outside"/>
    <x v="0"/>
    <n v="1951"/>
    <x v="8"/>
    <x v="0"/>
    <s v="N"/>
    <s v="N"/>
    <s v="N"/>
    <s v="Y"/>
    <s v="N"/>
    <x v="1"/>
    <s v="N"/>
    <x v="1"/>
    <s v="N"/>
    <n v="0"/>
    <n v="0"/>
    <n v="5.4830999999999998E-2"/>
    <n v="0.27006200000000002"/>
    <n v="0.123086"/>
    <n v="0.547083333"/>
    <n v="1.8209866669999999"/>
    <n v="1.887050667"/>
    <n v="1.187940333"/>
    <n v="5.4934999999999998E-2"/>
    <n v="4.0920000000000002E-3"/>
    <n v="0"/>
    <n v="5.9500670000000007"/>
    <n v="5.5661470000000008"/>
    <n v="1.8462275555273931E-2"/>
    <n v="7.747483072916668E-2"/>
    <m/>
    <m/>
    <n v="76.8"/>
    <s v="Acre-feet per Year"/>
    <s v="L_14"/>
    <n v="0"/>
    <n v="38.70519204"/>
    <n v="-122.96338329"/>
    <s v="DRY CREEK UNDERFLOW"/>
  </r>
  <r>
    <s v="A014246"/>
    <n v="19510411"/>
    <n v="9"/>
    <s v="N"/>
    <s v="Y"/>
    <s v="Y"/>
    <s v="Y"/>
    <x v="0"/>
    <s v="West Fork and Below Lake"/>
    <s v="Sonoma (d/s of Clov. Gage)"/>
    <x v="0"/>
    <n v="1951"/>
    <x v="8"/>
    <x v="1"/>
    <s v="Y"/>
    <s v="N"/>
    <s v="N"/>
    <s v="Y"/>
    <s v="N"/>
    <x v="1"/>
    <s v="N"/>
    <x v="1"/>
    <s v="N"/>
    <n v="0.02"/>
    <n v="0.02"/>
    <n v="0.04"/>
    <n v="0.08"/>
    <n v="0.47"/>
    <n v="0.74"/>
    <n v="1.17"/>
    <n v="1.59"/>
    <n v="1.4"/>
    <n v="0.7"/>
    <n v="0.38"/>
    <n v="0.04"/>
    <n v="6.6499999999999995"/>
    <n v="5.3953333333333298"/>
    <n v="1.7895706080445693E-2"/>
    <n v="0.17482638888888882"/>
    <m/>
    <m/>
    <n v="38.4"/>
    <s v="Acre-feet per Year"/>
    <s v="U_9"/>
    <n v="0"/>
    <n v="38.71648751"/>
    <n v="-122.90763004"/>
    <s v="RUSSIAN RIVER UNDERFLOW"/>
  </r>
  <r>
    <s v="A014539"/>
    <n v="19511029"/>
    <n v="5"/>
    <s v="Y"/>
    <s v="N"/>
    <s v="Y"/>
    <s v="Y"/>
    <x v="0"/>
    <s v="West Fork and Below Lake"/>
    <s v="Mendocino (d/s of lake)"/>
    <x v="0"/>
    <n v="1951"/>
    <x v="8"/>
    <x v="1"/>
    <s v="Y"/>
    <s v="N"/>
    <s v="N"/>
    <s v="Y"/>
    <s v="N"/>
    <x v="1"/>
    <s v="N"/>
    <x v="1"/>
    <s v="N"/>
    <n v="0"/>
    <n v="0"/>
    <n v="0"/>
    <n v="0"/>
    <n v="0.93"/>
    <n v="4.2"/>
    <n v="0"/>
    <n v="0"/>
    <n v="0"/>
    <n v="0"/>
    <n v="0"/>
    <n v="0"/>
    <n v="5.13"/>
    <n v="5.1333333333333329"/>
    <n v="1.7026681925050278E-2"/>
    <n v="2.5077348965966455E-2"/>
    <m/>
    <m/>
    <n v="204.7"/>
    <s v="Acre-feet per Year"/>
    <s v="U_5"/>
    <n v="0"/>
    <n v="39.090453920000002"/>
    <n v="-123.17263527"/>
    <s v="RUSSIAN RIVER"/>
  </r>
  <r>
    <s v="A014206"/>
    <n v="19510320"/>
    <n v="5"/>
    <s v="Y"/>
    <s v="N"/>
    <s v="Y"/>
    <s v="Y"/>
    <x v="0"/>
    <s v="West Fork and Below Lake"/>
    <s v="Mendocino (d/s of lake)"/>
    <x v="0"/>
    <n v="1951"/>
    <x v="8"/>
    <x v="1"/>
    <s v="Y"/>
    <s v="N"/>
    <s v="N"/>
    <s v="Y"/>
    <s v="N"/>
    <x v="1"/>
    <s v="N"/>
    <x v="1"/>
    <s v="N"/>
    <n v="0"/>
    <n v="0"/>
    <n v="0"/>
    <n v="0"/>
    <n v="0.25"/>
    <n v="0.75"/>
    <n v="0.75"/>
    <n v="0.75"/>
    <n v="0.4"/>
    <n v="0"/>
    <n v="0"/>
    <n v="0"/>
    <n v="2.9"/>
    <n v="2.9"/>
    <n v="9.6189696589569773E-3"/>
    <n v="0.96666666666666667"/>
    <m/>
    <m/>
    <n v="3"/>
    <s v="Acre-feet per Year"/>
    <s v="U_5"/>
    <n v="0"/>
    <n v="39.046995770000002"/>
    <n v="-123.13546934"/>
    <s v="RUSSIAN RIVER"/>
  </r>
  <r>
    <s v="A014604"/>
    <n v="19511217"/>
    <n v="18"/>
    <s v="N"/>
    <s v="N"/>
    <s v="N"/>
    <s v="N"/>
    <x v="1"/>
    <s v="Outside"/>
    <s v="Outside"/>
    <x v="0"/>
    <n v="1951"/>
    <x v="8"/>
    <x v="1"/>
    <s v="N"/>
    <s v="N"/>
    <s v="N"/>
    <s v="Y"/>
    <s v="N"/>
    <x v="1"/>
    <s v="N"/>
    <x v="1"/>
    <s v="N"/>
    <n v="0"/>
    <n v="0"/>
    <n v="0"/>
    <n v="0"/>
    <n v="0"/>
    <n v="0"/>
    <n v="3.3333333E-2"/>
    <n v="6.6666666999999999E-2"/>
    <n v="0"/>
    <n v="0"/>
    <n v="0"/>
    <n v="0"/>
    <n v="0.1"/>
    <n v="0.1"/>
    <n v="3.3168860892955089E-4"/>
    <n v="4.6728971962616828E-3"/>
    <m/>
    <m/>
    <n v="21.4"/>
    <s v="Acre-feet per Year"/>
    <s v="L_18"/>
    <n v="0"/>
    <n v="38.500130319999997"/>
    <n v="-122.88583694"/>
    <s v="RUSSIAN RIVER"/>
  </r>
  <r>
    <s v="A014466"/>
    <n v="19510906"/>
    <n v="12"/>
    <s v="N"/>
    <s v="Y"/>
    <s v="Y"/>
    <s v="Y"/>
    <x v="0"/>
    <s v="West Fork and Below Lake"/>
    <s v="Sonoma (d/s of Clov. Gage)"/>
    <x v="0"/>
    <n v="1951"/>
    <x v="8"/>
    <x v="0"/>
    <s v="Y"/>
    <s v="N"/>
    <s v="N"/>
    <s v="Y"/>
    <s v="N"/>
    <x v="1"/>
    <s v="N"/>
    <x v="1"/>
    <s v="N"/>
    <n v="0.33"/>
    <n v="0"/>
    <n v="0"/>
    <n v="0"/>
    <n v="0"/>
    <n v="0"/>
    <n v="0.03"/>
    <n v="0.03"/>
    <n v="0"/>
    <n v="0"/>
    <n v="0.6"/>
    <n v="0.77"/>
    <n v="1.76"/>
    <n v="7.7744999999999995E-2"/>
    <n v="2.5787130901227932E-4"/>
    <n v="5.9369277766666666E-2"/>
    <m/>
    <m/>
    <n v="30"/>
    <s v="Acre-feet per Year"/>
    <s v="U_12"/>
    <n v="0"/>
    <n v="38.615083200000001"/>
    <n v="-122.65311161"/>
    <s v="UNCR"/>
  </r>
  <r>
    <s v="A014245"/>
    <n v="19510411"/>
    <n v="9"/>
    <s v="N"/>
    <s v="Y"/>
    <s v="Y"/>
    <s v="Y"/>
    <x v="0"/>
    <s v="West Fork and Below Lake"/>
    <s v="Sonoma (d/s of Clov. Gage)"/>
    <x v="0"/>
    <n v="1951"/>
    <x v="8"/>
    <x v="1"/>
    <s v="Y"/>
    <s v="N"/>
    <s v="N"/>
    <s v="Y"/>
    <s v="N"/>
    <x v="1"/>
    <s v="N"/>
    <x v="1"/>
    <s v="N"/>
    <n v="0"/>
    <n v="0"/>
    <n v="0"/>
    <n v="0"/>
    <n v="1.12533333333333E-3"/>
    <n v="2.1993333333333301E-3"/>
    <n v="0"/>
    <n v="0"/>
    <n v="0"/>
    <n v="0"/>
    <n v="0"/>
    <n v="0"/>
    <n v="3.3246666666666598E-3"/>
    <n v="3.3246666666666598E-3"/>
    <n v="1.1027540618211113E-5"/>
    <n v="5.5689558905639192E-5"/>
    <m/>
    <m/>
    <n v="59.7"/>
    <s v="Acre-feet per Year"/>
    <s v="U_9"/>
    <n v="0"/>
    <n v="38.788093410000002"/>
    <n v="-122.99924034999999"/>
    <s v="RUSSIAN RIVER UNDERFLOW"/>
  </r>
  <r>
    <s v="A014144"/>
    <n v="19510202"/>
    <n v="9"/>
    <s v="N"/>
    <s v="Y"/>
    <s v="Y"/>
    <s v="Y"/>
    <x v="0"/>
    <s v="West Fork and Below Lake"/>
    <s v="Sonoma (d/s of Clov. Gage)"/>
    <x v="0"/>
    <n v="1951"/>
    <x v="8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79.8"/>
    <s v="Acre-feet per Year"/>
    <s v="U_9"/>
    <n v="0"/>
    <n v="38.807837650000003"/>
    <n v="-123.00232511999999"/>
    <s v="RUSSIAN RIVER UNDERFLOW"/>
  </r>
  <r>
    <s v="A014160"/>
    <n v="19510213"/>
    <n v="4"/>
    <s v="Y"/>
    <s v="N"/>
    <s v="Y"/>
    <s v="Y"/>
    <x v="0"/>
    <s v="West Fork and Below Lake"/>
    <s v="Mendocino (d/s of lake)"/>
    <x v="0"/>
    <n v="1951"/>
    <x v="8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2.7"/>
    <s v="Acre-feet per Year"/>
    <s v="U_4"/>
    <n v="0"/>
    <n v="39.160679160000001"/>
    <n v="-123.19319745999999"/>
    <s v="RUSSIAN RIVER"/>
  </r>
  <r>
    <s v="A014172"/>
    <n v="19510226"/>
    <n v="9"/>
    <s v="N"/>
    <s v="Y"/>
    <s v="Y"/>
    <s v="Y"/>
    <x v="0"/>
    <s v="West Fork and Below Lake"/>
    <s v="Sonoma (d/s of Clov. Gage)"/>
    <x v="0"/>
    <n v="1951"/>
    <x v="8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66.3"/>
    <s v="Acre-feet per Year"/>
    <s v="U_9"/>
    <n v="0"/>
    <n v="38.721321250000003"/>
    <n v="-122.90401106"/>
    <s v="RUSSIAN RIVER"/>
  </r>
  <r>
    <s v="A014178"/>
    <n v="19510305"/>
    <n v="18"/>
    <s v="N"/>
    <s v="N"/>
    <s v="N"/>
    <s v="N"/>
    <x v="1"/>
    <s v="Outside"/>
    <s v="Outside"/>
    <x v="0"/>
    <n v="1951"/>
    <x v="8"/>
    <x v="1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0.5"/>
    <s v="Acre-feet per Year"/>
    <s v="L_18"/>
    <n v="0"/>
    <n v="38.517800000000001"/>
    <n v="-122.8815"/>
    <s v="RUSSIAN RIVER"/>
  </r>
  <r>
    <s v="A014208"/>
    <n v="19510321"/>
    <n v="17"/>
    <s v="N"/>
    <s v="N"/>
    <s v="N"/>
    <s v="N"/>
    <x v="1"/>
    <s v="Outside"/>
    <s v="Outside"/>
    <x v="0"/>
    <n v="1951"/>
    <x v="8"/>
    <x v="1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53"/>
    <s v="Acre-feet per Year"/>
    <s v="L_17"/>
    <n v="0"/>
    <n v="38.549200079999999"/>
    <n v="-122.86056892000001"/>
    <s v="RUSSIAN RIVER UNDERFLOW"/>
  </r>
  <r>
    <s v="A014301"/>
    <n v="19510510"/>
    <n v="23"/>
    <s v="N"/>
    <s v="N"/>
    <s v="N"/>
    <s v="N"/>
    <x v="1"/>
    <s v="Outside"/>
    <s v="Outside"/>
    <x v="0"/>
    <n v="1951"/>
    <x v="8"/>
    <x v="0"/>
    <s v="N"/>
    <s v="N"/>
    <s v="N"/>
    <s v="Y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.8"/>
    <s v="Acre-feet per Year"/>
    <s v="L_24"/>
    <n v="0"/>
    <n v="38.508000000000003"/>
    <n v="-122.6421"/>
    <s v="MARK WEST CREEK"/>
  </r>
  <r>
    <s v="A014304"/>
    <n v="19510514"/>
    <n v="5"/>
    <s v="Y"/>
    <s v="N"/>
    <s v="Y"/>
    <s v="Y"/>
    <x v="0"/>
    <s v="West Fork and Below Lake"/>
    <s v="Mendocino (d/s of lake)"/>
    <x v="0"/>
    <n v="1951"/>
    <x v="8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9"/>
    <s v="Acre-feet per Year"/>
    <s v="U_5"/>
    <n v="0"/>
    <n v="39.096699999999998"/>
    <n v="-123.1755"/>
    <s v="RUSSIAN RIVER"/>
  </r>
  <r>
    <s v="A014339"/>
    <n v="19510607"/>
    <n v="12"/>
    <s v="N"/>
    <s v="Y"/>
    <s v="Y"/>
    <s v="Y"/>
    <x v="0"/>
    <s v="West Fork and Below Lake"/>
    <s v="Sonoma (d/s of Clov. Gage)"/>
    <x v="0"/>
    <n v="1951"/>
    <x v="8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83.8"/>
    <s v="Acre-feet per Year"/>
    <s v="U_12"/>
    <n v="0"/>
    <n v="38.651000000000003"/>
    <n v="-122.80629999999999"/>
    <s v="RUSSIAN RIVER"/>
  </r>
  <r>
    <s v="A014364"/>
    <n v="19510625"/>
    <n v="23"/>
    <s v="N"/>
    <s v="N"/>
    <s v="N"/>
    <s v="N"/>
    <x v="1"/>
    <s v="Outside"/>
    <s v="Outside"/>
    <x v="0"/>
    <n v="1951"/>
    <x v="8"/>
    <x v="0"/>
    <s v="N"/>
    <s v="N"/>
    <s v="N"/>
    <s v="Y"/>
    <s v="N"/>
    <x v="1"/>
    <s v="N"/>
    <x v="0"/>
    <s v="N"/>
    <n v="13.9"/>
    <n v="25.233333330000001"/>
    <n v="1.5333333330000001"/>
    <n v="0"/>
    <n v="0"/>
    <n v="0"/>
    <n v="0"/>
    <n v="0"/>
    <n v="0"/>
    <n v="0"/>
    <n v="0.73333333300000003"/>
    <n v="6.1333333330000004"/>
    <n v="47.533333329000001"/>
    <n v="0"/>
    <n v="0"/>
    <n v="0.47533333328999999"/>
    <m/>
    <m/>
    <n v="100"/>
    <s v="Acre-feet per Year"/>
    <s v="L_23"/>
    <n v="0"/>
    <n v="38.563767519999999"/>
    <n v="-122.78100025000001"/>
    <s v="UNST"/>
  </r>
  <r>
    <s v="A014379"/>
    <n v="19510629"/>
    <n v="23"/>
    <s v="N"/>
    <s v="N"/>
    <s v="N"/>
    <s v="N"/>
    <x v="1"/>
    <s v="Outside"/>
    <s v="Outside"/>
    <x v="0"/>
    <n v="1951"/>
    <x v="8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5.400000000000006"/>
    <s v="Acre-feet per Year"/>
    <s v="L_24"/>
    <n v="0"/>
    <n v="38.518700430000003"/>
    <n v="-122.65774618"/>
    <s v="MARK WEST CREEK"/>
  </r>
  <r>
    <s v="A014467"/>
    <n v="19510906"/>
    <n v="9"/>
    <s v="N"/>
    <s v="Y"/>
    <s v="Y"/>
    <s v="Y"/>
    <x v="0"/>
    <s v="West Fork and Below Lake"/>
    <s v="Sonoma (d/s of Clov. Gage)"/>
    <x v="0"/>
    <n v="1951"/>
    <x v="8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.3"/>
    <s v="Acre-feet per Year"/>
    <s v="U_9"/>
    <n v="3.4039024194010059E-4"/>
    <n v="38.826459229999998"/>
    <n v="-123.00820416000001"/>
    <s v="RUSSIAN RIVER UNDERFLOW"/>
  </r>
  <r>
    <s v="A014492"/>
    <n v="19510919"/>
    <n v="9"/>
    <s v="N"/>
    <s v="Y"/>
    <s v="Y"/>
    <s v="Y"/>
    <x v="0"/>
    <s v="West Fork and Below Lake"/>
    <s v="Sonoma (d/s of Clov. Gage)"/>
    <x v="0"/>
    <n v="1951"/>
    <x v="8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2.5"/>
    <s v="Acre-feet per Year"/>
    <s v="U_9"/>
    <n v="0"/>
    <n v="38.720195650000001"/>
    <n v="-122.90750202"/>
    <s v="RUSSIAN RIVER"/>
  </r>
  <r>
    <s v="A014513"/>
    <n v="19511005"/>
    <n v="17"/>
    <s v="N"/>
    <s v="N"/>
    <s v="N"/>
    <s v="N"/>
    <x v="1"/>
    <s v="Outside"/>
    <s v="Outside"/>
    <x v="0"/>
    <n v="1951"/>
    <x v="8"/>
    <x v="0"/>
    <s v="N"/>
    <s v="N"/>
    <s v="N"/>
    <s v="Y"/>
    <s v="N"/>
    <x v="1"/>
    <s v="N"/>
    <x v="0"/>
    <s v="N"/>
    <n v="0"/>
    <n v="0"/>
    <n v="0"/>
    <n v="0"/>
    <n v="0"/>
    <n v="0"/>
    <n v="0"/>
    <n v="0"/>
    <n v="0"/>
    <n v="1"/>
    <n v="1"/>
    <n v="1.3333333329999999"/>
    <n v="3.3333333329999997"/>
    <n v="0"/>
    <n v="0"/>
    <n v="0.24691358022222221"/>
    <m/>
    <m/>
    <n v="13.5"/>
    <s v="Acre-feet per Year"/>
    <s v="L_17"/>
    <n v="0"/>
    <n v="38.585032120000001"/>
    <n v="-122.82321612"/>
    <s v="UNST"/>
  </r>
  <r>
    <s v="A013557"/>
    <n v="19500131"/>
    <n v="2"/>
    <s v="N"/>
    <s v="N"/>
    <s v="Y"/>
    <s v="N"/>
    <x v="0"/>
    <s v="Outside"/>
    <s v="Outside"/>
    <x v="0"/>
    <n v="1950"/>
    <x v="9"/>
    <x v="0"/>
    <s v="Y"/>
    <s v="N"/>
    <s v="N"/>
    <s v="Y"/>
    <s v="N"/>
    <x v="1"/>
    <s v="N"/>
    <x v="1"/>
    <s v="N"/>
    <n v="0"/>
    <n v="0"/>
    <n v="0"/>
    <n v="75"/>
    <n v="566.33000000000004"/>
    <n v="1544.66"/>
    <n v="1771"/>
    <n v="1811.66"/>
    <n v="1246"/>
    <n v="825"/>
    <n v="17.329999999999998"/>
    <n v="0"/>
    <n v="7856.9800000000005"/>
    <n v="6939.6500000000005"/>
    <n v="23.018028549579579"/>
    <n v="0.34595330036854227"/>
    <m/>
    <m/>
    <n v="22711.1"/>
    <s v="Acre-feet per Year"/>
    <s v="U_2"/>
    <n v="0"/>
    <n v="39.36080844"/>
    <n v="-123.12831366"/>
    <s v="POWERHOUSE CANAL"/>
  </r>
  <r>
    <s v="A014068"/>
    <n v="19501122"/>
    <n v="16"/>
    <s v="N"/>
    <s v="N"/>
    <s v="N"/>
    <s v="N"/>
    <x v="1"/>
    <s v="Outside"/>
    <s v="Outside"/>
    <x v="0"/>
    <n v="1950"/>
    <x v="8"/>
    <x v="0"/>
    <s v="N"/>
    <s v="N"/>
    <s v="N"/>
    <s v="Y"/>
    <s v="N"/>
    <x v="1"/>
    <s v="N"/>
    <x v="1"/>
    <s v="N"/>
    <n v="0"/>
    <n v="0"/>
    <n v="0"/>
    <n v="10.88666667"/>
    <n v="41.16333333"/>
    <n v="34.26"/>
    <n v="33.33"/>
    <n v="25.45333333"/>
    <n v="31.846666670000001"/>
    <n v="25.34"/>
    <n v="16.52"/>
    <n v="0"/>
    <n v="218.8"/>
    <n v="166.05333333333328"/>
    <n v="0.55077999141448342"/>
    <n v="0.51301289566236818"/>
    <m/>
    <m/>
    <n v="426.5"/>
    <s v="Acre-feet per Year"/>
    <s v="L_16"/>
    <n v="0"/>
    <n v="38.601356600000003"/>
    <n v="-122.87864178"/>
    <s v="DRY CREEK (SUBTERRANEAN STREAM)"/>
  </r>
  <r>
    <s v="A013661"/>
    <n v="19500330"/>
    <n v="6"/>
    <s v="Y"/>
    <s v="N"/>
    <s v="Y"/>
    <s v="Y"/>
    <x v="0"/>
    <s v="West Fork and Below Lake"/>
    <s v="Mendocino (d/s of lake)"/>
    <x v="0"/>
    <n v="1950"/>
    <x v="8"/>
    <x v="1"/>
    <s v="Y"/>
    <s v="N"/>
    <s v="N"/>
    <s v="Y"/>
    <s v="N"/>
    <x v="1"/>
    <s v="N"/>
    <x v="1"/>
    <s v="N"/>
    <n v="0"/>
    <n v="0"/>
    <n v="0"/>
    <n v="0"/>
    <n v="4.49"/>
    <n v="23.8"/>
    <n v="25.71"/>
    <n v="27.79"/>
    <n v="19.010000000000002"/>
    <n v="6.96"/>
    <n v="0"/>
    <n v="0"/>
    <n v="107.75999999999999"/>
    <n v="100.81666666666661"/>
    <n v="0.33439739923580869"/>
    <n v="0.47005378688762872"/>
    <m/>
    <m/>
    <n v="229.3"/>
    <s v="Acre-feet per Year"/>
    <s v="U_6"/>
    <n v="0"/>
    <n v="39.018127759999999"/>
    <n v="-123.12779135"/>
    <s v="RUSSIAN RIVER"/>
  </r>
  <r>
    <s v="A014043"/>
    <n v="19501113"/>
    <n v="14"/>
    <s v="N"/>
    <s v="N"/>
    <s v="N"/>
    <s v="N"/>
    <x v="1"/>
    <s v="Outside"/>
    <s v="Outside"/>
    <x v="0"/>
    <n v="1950"/>
    <x v="8"/>
    <x v="0"/>
    <s v="N"/>
    <s v="N"/>
    <s v="N"/>
    <s v="Y"/>
    <s v="N"/>
    <x v="1"/>
    <s v="N"/>
    <x v="1"/>
    <s v="N"/>
    <n v="0"/>
    <n v="0"/>
    <n v="0"/>
    <n v="6"/>
    <n v="12"/>
    <n v="25"/>
    <n v="25"/>
    <n v="12"/>
    <n v="12"/>
    <n v="6"/>
    <n v="0"/>
    <n v="0"/>
    <n v="98"/>
    <n v="86"/>
    <n v="0.28525220367941378"/>
    <n v="0.54718034617532108"/>
    <m/>
    <m/>
    <n v="179.1"/>
    <s v="Acre-feet per Year"/>
    <s v="L_14"/>
    <n v="0"/>
    <n v="38.70270343"/>
    <n v="-122.96545229"/>
    <s v="DRY CREEK UNDERFLOW"/>
  </r>
  <r>
    <s v="A014049"/>
    <n v="19501114"/>
    <n v="10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N"/>
    <x v="1"/>
    <s v="N"/>
    <n v="0"/>
    <n v="7.92"/>
    <n v="0"/>
    <n v="0"/>
    <n v="0"/>
    <n v="14.48"/>
    <n v="14.48"/>
    <n v="14.48"/>
    <n v="14.48"/>
    <n v="2"/>
    <n v="0"/>
    <n v="0"/>
    <n v="67.84"/>
    <n v="57.92"/>
    <n v="0.19211404229199588"/>
    <n v="0.3878978463884124"/>
    <m/>
    <m/>
    <n v="174.9"/>
    <s v="Acre-feet per Year"/>
    <s v="U_10"/>
    <n v="0"/>
    <n v="38.69175044"/>
    <n v="-122.85633405999999"/>
    <s v="RUSSIAN RIVER UNDERFLOW"/>
  </r>
  <r>
    <s v="A014033"/>
    <n v="19501108"/>
    <n v="10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N"/>
    <x v="1"/>
    <s v="N"/>
    <n v="0"/>
    <n v="0"/>
    <n v="0"/>
    <n v="0"/>
    <n v="2.63"/>
    <n v="11.33"/>
    <n v="11.1"/>
    <n v="10.16"/>
    <n v="5.3"/>
    <n v="2.4300000000000002"/>
    <n v="0"/>
    <n v="0"/>
    <n v="42.949999999999996"/>
    <n v="40.533333333333324"/>
    <n v="0.13444444948611128"/>
    <n v="0.12329029172644664"/>
    <m/>
    <m/>
    <n v="348.5"/>
    <s v="Acre-feet per Year"/>
    <s v="U_10"/>
    <n v="0"/>
    <n v="38.696356020000003"/>
    <n v="-122.86479916"/>
    <s v="RUSSIAN RIVER UNDERFLOW"/>
  </r>
  <r>
    <s v="A014048"/>
    <n v="19501114"/>
    <n v="10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N"/>
    <x v="1"/>
    <s v="N"/>
    <n v="0"/>
    <n v="15.73"/>
    <n v="0"/>
    <n v="0"/>
    <n v="0"/>
    <n v="8.57"/>
    <n v="8.57"/>
    <n v="8.57"/>
    <n v="8.57"/>
    <n v="0"/>
    <n v="0"/>
    <n v="0"/>
    <n v="50.010000000000005"/>
    <n v="34.28"/>
    <n v="0.11370285514105005"/>
    <n v="0.80154914529914589"/>
    <m/>
    <m/>
    <n v="62.4"/>
    <s v="Acre-feet per Year"/>
    <s v="U_10"/>
    <n v="0"/>
    <n v="38.667238879999999"/>
    <n v="-122.82836881999999"/>
    <s v="RUSSIAN RIVER UNDERFLOW"/>
  </r>
  <r>
    <s v="A013755"/>
    <n v="19500524"/>
    <n v="6"/>
    <s v="Y"/>
    <s v="N"/>
    <s v="Y"/>
    <s v="Y"/>
    <x v="0"/>
    <s v="West Fork and Below Lake"/>
    <s v="Mendocino (d/s of lake)"/>
    <x v="0"/>
    <n v="1950"/>
    <x v="8"/>
    <x v="1"/>
    <s v="Y"/>
    <s v="N"/>
    <s v="N"/>
    <s v="Y"/>
    <s v="N"/>
    <x v="1"/>
    <s v="N"/>
    <x v="1"/>
    <s v="N"/>
    <n v="0"/>
    <n v="0"/>
    <n v="0"/>
    <n v="0"/>
    <n v="1.97"/>
    <n v="4.58"/>
    <n v="12.33"/>
    <n v="5.52"/>
    <n v="7.83"/>
    <n v="0.35"/>
    <n v="0"/>
    <n v="0"/>
    <n v="32.58"/>
    <n v="32.246666666666698"/>
    <n v="0.10695852009281595"/>
    <n v="0.37648190916089341"/>
    <m/>
    <m/>
    <n v="86.6"/>
    <s v="Acre-feet per Year"/>
    <s v="U_6"/>
    <n v="0"/>
    <n v="38.961497459999997"/>
    <n v="-123.10578873999999"/>
    <s v="RUSSIAN RIVER"/>
  </r>
  <r>
    <s v="A014051"/>
    <n v="19501114"/>
    <n v="10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N"/>
    <x v="1"/>
    <s v="N"/>
    <n v="0"/>
    <n v="0"/>
    <n v="0"/>
    <n v="0.13"/>
    <n v="0.43"/>
    <n v="4.41"/>
    <n v="7.58"/>
    <n v="7.54"/>
    <n v="4.54"/>
    <n v="1.28"/>
    <n v="0.05"/>
    <n v="0"/>
    <n v="25.96"/>
    <n v="24.513483000000008"/>
    <n v="8.1308430762881981E-2"/>
    <n v="0.19811902439024398"/>
    <m/>
    <m/>
    <n v="131.19999999999999"/>
    <s v="Acre-feet per Year"/>
    <s v="U_10"/>
    <n v="0"/>
    <n v="38.687095499999998"/>
    <n v="-122.85452632000001"/>
    <s v="RUSSIAN RIVER UNDERFLOW"/>
  </r>
  <r>
    <s v="A014055"/>
    <n v="19501114"/>
    <n v="15"/>
    <s v="N"/>
    <s v="N"/>
    <s v="N"/>
    <s v="N"/>
    <x v="1"/>
    <s v="Outside"/>
    <s v="Outside"/>
    <x v="0"/>
    <n v="1950"/>
    <x v="8"/>
    <x v="0"/>
    <s v="N"/>
    <s v="N"/>
    <s v="N"/>
    <s v="Y"/>
    <s v="N"/>
    <x v="1"/>
    <s v="N"/>
    <x v="1"/>
    <s v="N"/>
    <n v="0"/>
    <n v="0"/>
    <n v="0"/>
    <n v="4"/>
    <n v="5"/>
    <n v="5.3333333329999997"/>
    <n v="3.3333333330000001"/>
    <n v="5.6666666670000003"/>
    <n v="5"/>
    <n v="5.3333333329999997"/>
    <n v="2.6666666669999999"/>
    <n v="0"/>
    <n v="36.333333332999999"/>
    <n v="24.333333333333329"/>
    <n v="8.0710894839524039E-2"/>
    <n v="0.14440911499735026"/>
    <m/>
    <m/>
    <n v="251.6"/>
    <s v="Acre-feet per Year"/>
    <s v="L_15"/>
    <n v="0"/>
    <n v="38.662309749999999"/>
    <n v="-122.93513474"/>
    <s v="DRY CREEK UNDERFLOW"/>
  </r>
  <r>
    <s v="A013874"/>
    <n v="19500731"/>
    <n v="12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N"/>
    <x v="1"/>
    <s v="N"/>
    <n v="0.16"/>
    <n v="0.01"/>
    <n v="1.1200000000000001"/>
    <n v="1.29"/>
    <n v="0.91"/>
    <n v="2.13"/>
    <n v="7.37"/>
    <n v="8.91"/>
    <n v="4.55"/>
    <n v="1.64"/>
    <n v="15.92"/>
    <n v="0.02"/>
    <n v="44.03"/>
    <n v="23.903277999999993"/>
    <n v="7.9284450286763355E-2"/>
    <n v="0.17017502508683888"/>
    <m/>
    <m/>
    <n v="259.10000000000002"/>
    <s v="Acre-feet per Year"/>
    <s v="U_12"/>
    <n v="0"/>
    <n v="38.60905691"/>
    <n v="-122.78394606000001"/>
    <s v="RUSSIAN RIVER"/>
  </r>
  <r>
    <s v="A014034"/>
    <n v="19501108"/>
    <n v="10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N"/>
    <x v="1"/>
    <s v="N"/>
    <n v="0"/>
    <n v="0"/>
    <n v="0"/>
    <n v="0"/>
    <n v="1.23"/>
    <n v="3.73"/>
    <n v="5.56"/>
    <n v="6.96"/>
    <n v="5.3"/>
    <n v="2.46"/>
    <n v="0"/>
    <n v="0"/>
    <n v="25.240000000000002"/>
    <n v="22.8"/>
    <n v="7.5625002835937608E-2"/>
    <n v="0.38224911749873935"/>
    <m/>
    <m/>
    <n v="66.099999999999994"/>
    <s v="Acre-feet per Year"/>
    <s v="U_10"/>
    <n v="0"/>
    <n v="38.692721030000001"/>
    <n v="-122.87351476000001"/>
    <s v="RUSSIAN RIVER UNDERFLOW"/>
  </r>
  <r>
    <s v="A013758"/>
    <n v="19500525"/>
    <n v="9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N"/>
    <x v="1"/>
    <s v="N"/>
    <n v="0"/>
    <n v="0"/>
    <n v="0"/>
    <n v="0"/>
    <n v="0"/>
    <n v="5.3"/>
    <n v="5.3"/>
    <n v="5.3"/>
    <n v="5.3"/>
    <n v="0"/>
    <n v="0"/>
    <n v="0"/>
    <n v="21.2"/>
    <n v="21.2"/>
    <n v="7.0317985093064792E-2"/>
    <n v="0.46187363834422657"/>
    <m/>
    <m/>
    <n v="45.9"/>
    <s v="Acre-feet per Year"/>
    <s v="U_9"/>
    <n v="0"/>
    <n v="38.722136800000001"/>
    <n v="-122.90507301"/>
    <s v="RUSSIAN RIVER"/>
  </r>
  <r>
    <s v="A014067"/>
    <n v="19501122"/>
    <n v="15"/>
    <s v="N"/>
    <s v="N"/>
    <s v="N"/>
    <s v="N"/>
    <x v="1"/>
    <s v="Outside"/>
    <s v="Outside"/>
    <x v="0"/>
    <n v="1950"/>
    <x v="8"/>
    <x v="0"/>
    <s v="N"/>
    <s v="N"/>
    <s v="N"/>
    <s v="Y"/>
    <s v="N"/>
    <x v="1"/>
    <s v="N"/>
    <x v="1"/>
    <s v="N"/>
    <n v="0"/>
    <n v="0"/>
    <n v="0"/>
    <n v="0"/>
    <n v="1.0233333330000001"/>
    <n v="2.8910135989999999"/>
    <n v="5.0445998269999999"/>
    <n v="5.3773192720000003"/>
    <n v="5.6113964310000002"/>
    <n v="3.958292921"/>
    <n v="0"/>
    <n v="0"/>
    <n v="23.905955382999998"/>
    <n v="19.947662462"/>
    <n v="6.6164124134169999E-2"/>
    <n v="0.54331716779545447"/>
    <m/>
    <m/>
    <n v="44"/>
    <s v="Acre-feet per Year"/>
    <s v="L_15"/>
    <n v="0"/>
    <n v="38.691272480000002"/>
    <n v="-122.95303398"/>
    <s v="DRY CREEK UNDERFLOW"/>
  </r>
  <r>
    <s v="A013729"/>
    <n v="19500510"/>
    <n v="11"/>
    <s v="N"/>
    <s v="Y"/>
    <s v="Y"/>
    <s v="Y"/>
    <x v="0"/>
    <s v="West Fork and Below Lake"/>
    <s v="Sonoma (d/s of Clov. Gage)"/>
    <x v="0"/>
    <n v="1950"/>
    <x v="8"/>
    <x v="0"/>
    <s v="Y"/>
    <s v="N"/>
    <s v="N"/>
    <s v="Y"/>
    <s v="N"/>
    <x v="1"/>
    <s v="N"/>
    <x v="1"/>
    <s v="N"/>
    <n v="0"/>
    <n v="0"/>
    <n v="0"/>
    <n v="0"/>
    <n v="1.2"/>
    <n v="3.43"/>
    <n v="3.73"/>
    <n v="5"/>
    <n v="5.16"/>
    <n v="2.2599999999999998"/>
    <n v="0"/>
    <n v="0"/>
    <n v="20.78"/>
    <n v="18.533333333000002"/>
    <n v="6.1472955520504476E-2"/>
    <n v="0.20432220039292731"/>
    <m/>
    <m/>
    <n v="101.8"/>
    <s v="Acre-feet per Year"/>
    <s v="U_11"/>
    <n v="0"/>
    <n v="38.662973450000003"/>
    <n v="-122.72709999999999"/>
    <s v="RUSSIAN RIVER UNDERFLOW"/>
  </r>
  <r>
    <s v="A014064"/>
    <n v="19501122"/>
    <n v="15"/>
    <s v="N"/>
    <s v="N"/>
    <s v="N"/>
    <s v="N"/>
    <x v="1"/>
    <s v="Outside"/>
    <s v="Outside"/>
    <x v="0"/>
    <n v="1950"/>
    <x v="8"/>
    <x v="0"/>
    <s v="N"/>
    <s v="N"/>
    <s v="N"/>
    <s v="Y"/>
    <s v="N"/>
    <x v="1"/>
    <s v="N"/>
    <x v="1"/>
    <s v="N"/>
    <n v="0"/>
    <n v="0"/>
    <n v="1"/>
    <n v="1.3333333329999999"/>
    <n v="1.8333333329999999"/>
    <n v="3.6666666669999999"/>
    <n v="4.1666666670000003"/>
    <n v="4.3333333329999997"/>
    <n v="3.31"/>
    <n v="2.3533333330000001"/>
    <n v="0"/>
    <n v="0"/>
    <n v="21.996666665999996"/>
    <n v="17.309999999999999"/>
    <n v="5.7415298205705262E-2"/>
    <n v="0.25787416958968346"/>
    <m/>
    <m/>
    <n v="85.3"/>
    <s v="Acre-feet per Year"/>
    <s v="L_15"/>
    <n v="0"/>
    <n v="38.686327259999999"/>
    <n v="-122.95331822"/>
    <s v="DRY CREEK UNDERFLOW"/>
  </r>
  <r>
    <s v="A014044A"/>
    <n v="19501113"/>
    <n v="10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N"/>
    <x v="1"/>
    <s v="N"/>
    <n v="0"/>
    <n v="0"/>
    <n v="0"/>
    <n v="0.1"/>
    <n v="1"/>
    <n v="2.6"/>
    <n v="3.86"/>
    <n v="5.36"/>
    <n v="3.5"/>
    <n v="1.1599999999999999"/>
    <n v="0"/>
    <n v="0"/>
    <n v="17.580000000000002"/>
    <n v="16.333333333333339"/>
    <n v="5.417580612516E-2"/>
    <n v="0.24275862068965534"/>
    <m/>
    <m/>
    <n v="72.5"/>
    <s v="Acre-feet per Year"/>
    <s v="U_10"/>
    <n v="0"/>
    <n v="38.699889839999997"/>
    <n v="-122.88779483"/>
    <s v="RUSSIAN RIVER UNDERFLOW"/>
  </r>
  <r>
    <s v="A013528"/>
    <n v="19500103"/>
    <n v="5"/>
    <s v="Y"/>
    <s v="N"/>
    <s v="Y"/>
    <s v="Y"/>
    <x v="0"/>
    <s v="West Fork and Below Lake"/>
    <s v="Mendocino (d/s of lake)"/>
    <x v="0"/>
    <n v="1950"/>
    <x v="8"/>
    <x v="1"/>
    <s v="Y"/>
    <s v="N"/>
    <s v="N"/>
    <s v="Y"/>
    <s v="N"/>
    <x v="1"/>
    <s v="N"/>
    <x v="1"/>
    <s v="N"/>
    <n v="0"/>
    <n v="0"/>
    <n v="0"/>
    <n v="0"/>
    <n v="1.44"/>
    <n v="2.72"/>
    <n v="4.9000000000000004"/>
    <n v="3.69"/>
    <n v="2.41"/>
    <n v="1.1100000000000001"/>
    <n v="0"/>
    <n v="0"/>
    <n v="16.27"/>
    <n v="15.18"/>
    <n v="5.035033083550583E-2"/>
    <n v="4.7231081472890693E-2"/>
    <m/>
    <m/>
    <n v="344.9"/>
    <s v="Acre-feet per Year"/>
    <s v="U_5"/>
    <n v="0"/>
    <n v="39.103251139999998"/>
    <n v="-123.18341992000001"/>
    <s v="RUSSIAN RIVER"/>
  </r>
  <r>
    <s v="A013529"/>
    <n v="19500103"/>
    <n v="2"/>
    <s v="N"/>
    <s v="N"/>
    <s v="Y"/>
    <s v="N"/>
    <x v="0"/>
    <s v="Outside"/>
    <s v="Outside"/>
    <x v="0"/>
    <n v="1950"/>
    <x v="8"/>
    <x v="0"/>
    <s v="Y"/>
    <s v="N"/>
    <s v="N"/>
    <s v="Y"/>
    <s v="N"/>
    <x v="1"/>
    <s v="N"/>
    <x v="1"/>
    <s v="N"/>
    <n v="0"/>
    <n v="0"/>
    <n v="3.83"/>
    <n v="3"/>
    <n v="3.31"/>
    <n v="3.7"/>
    <n v="4.22"/>
    <n v="1.03"/>
    <n v="2.54"/>
    <n v="3.58"/>
    <n v="0"/>
    <n v="0"/>
    <n v="25.21"/>
    <n v="14.826666668000001"/>
    <n v="4.9178364421710599E-2"/>
    <n v="0.2286533816485507"/>
    <m/>
    <m/>
    <n v="110.4"/>
    <s v="Acre-feet per Year"/>
    <s v="U_2"/>
    <n v="0"/>
    <n v="39.36080844"/>
    <n v="-123.12831366"/>
    <s v="POWERHOUSE CANAL"/>
  </r>
  <r>
    <s v="A013984"/>
    <n v="19501009"/>
    <n v="10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N"/>
    <x v="1"/>
    <s v="N"/>
    <n v="0"/>
    <n v="0"/>
    <n v="0"/>
    <n v="0"/>
    <n v="0"/>
    <n v="0.48"/>
    <n v="4.75"/>
    <n v="4.8499999999999996"/>
    <n v="3.39"/>
    <n v="4.47"/>
    <n v="0.04"/>
    <n v="0"/>
    <n v="17.98"/>
    <n v="13.480000000000004"/>
    <n v="4.4711624483703472E-2"/>
    <n v="0.14016095534787126"/>
    <m/>
    <m/>
    <n v="128.4"/>
    <s v="Acre-feet per Year"/>
    <s v="U_10"/>
    <n v="0"/>
    <n v="38.707999999999998"/>
    <n v="-122.8963"/>
    <s v="RUSSIAN RIVER UNDERFLOW"/>
  </r>
  <r>
    <s v="A013811"/>
    <n v="19500622"/>
    <n v="9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N"/>
    <x v="1"/>
    <s v="N"/>
    <n v="0"/>
    <n v="0"/>
    <n v="0"/>
    <n v="6.6666666666666697E-3"/>
    <n v="0.44"/>
    <n v="1.43"/>
    <n v="3.5"/>
    <n v="3.83"/>
    <n v="3.56"/>
    <n v="0"/>
    <n v="0"/>
    <n v="0"/>
    <n v="12.766666666666667"/>
    <n v="12.77333333333333"/>
    <n v="4.236769164726796E-2"/>
    <n v="0.10775716694772343"/>
    <m/>
    <m/>
    <n v="118.6"/>
    <s v="Acre-feet per Year"/>
    <s v="U_9"/>
    <n v="0"/>
    <n v="38.792673090000001"/>
    <n v="-123.00948025"/>
    <s v="RUSSIAN RIVER UNDERFLOW"/>
  </r>
  <r>
    <s v="A014066"/>
    <n v="19501122"/>
    <n v="15"/>
    <s v="N"/>
    <s v="N"/>
    <s v="N"/>
    <s v="N"/>
    <x v="1"/>
    <s v="Outside"/>
    <s v="Outside"/>
    <x v="0"/>
    <n v="1950"/>
    <x v="8"/>
    <x v="0"/>
    <s v="N"/>
    <s v="N"/>
    <s v="N"/>
    <s v="Y"/>
    <s v="N"/>
    <x v="1"/>
    <s v="N"/>
    <x v="1"/>
    <s v="N"/>
    <n v="0"/>
    <n v="0"/>
    <n v="0"/>
    <n v="0.51523492999999998"/>
    <n v="0.89972037299999996"/>
    <n v="1.1946040490000001"/>
    <n v="2.2275167589999998"/>
    <n v="3.2273699499999999"/>
    <n v="3.985861753"/>
    <n v="2.2390945000000002"/>
    <n v="0.36405546900000002"/>
    <n v="0.19689493"/>
    <n v="14.850352712999999"/>
    <n v="11.535072884000003"/>
    <n v="3.826052278794944E-2"/>
    <n v="0.23497393534810124"/>
    <m/>
    <m/>
    <n v="63.2"/>
    <s v="Acre-feet per Year"/>
    <s v="L_15"/>
    <n v="3.4039024194010059E-4"/>
    <n v="38.683101010000001"/>
    <n v="-122.94486680999999"/>
    <s v="DRY CREEK UNDERFLOW"/>
  </r>
  <r>
    <s v="A013639"/>
    <n v="19500320"/>
    <n v="16"/>
    <s v="N"/>
    <s v="N"/>
    <s v="N"/>
    <s v="N"/>
    <x v="1"/>
    <s v="Outside"/>
    <s v="Outside"/>
    <x v="0"/>
    <n v="1950"/>
    <x v="8"/>
    <x v="0"/>
    <s v="N"/>
    <s v="N"/>
    <s v="N"/>
    <s v="Y"/>
    <s v="N"/>
    <x v="1"/>
    <s v="N"/>
    <x v="1"/>
    <s v="N"/>
    <n v="0"/>
    <n v="0"/>
    <n v="0"/>
    <n v="0.57666666700000002"/>
    <n v="1.58"/>
    <n v="3.0633333330000001"/>
    <n v="2.5666666669999998"/>
    <n v="2.096666667"/>
    <n v="1.076666667"/>
    <n v="0.296666667"/>
    <n v="0"/>
    <n v="0"/>
    <n v="11.256666667999999"/>
    <n v="10.383333334"/>
    <n v="3.4440333896062963E-2"/>
    <n v="6.6176758777189884E-2"/>
    <m/>
    <m/>
    <n v="170.1"/>
    <s v="Acre-feet per Year"/>
    <s v="L_16"/>
    <n v="0"/>
    <n v="38.636330200000003"/>
    <n v="-122.90415913"/>
    <s v="DRY CREEK UNDERFLOW"/>
  </r>
  <r>
    <s v="A014030"/>
    <n v="19501103"/>
    <n v="10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N"/>
    <x v="1"/>
    <s v="N"/>
    <n v="0"/>
    <n v="0"/>
    <n v="0"/>
    <n v="0"/>
    <n v="0"/>
    <n v="1.2"/>
    <n v="2.63"/>
    <n v="2.5"/>
    <n v="3.03"/>
    <n v="0"/>
    <n v="0"/>
    <n v="0"/>
    <n v="9.36"/>
    <n v="9.36666666666666"/>
    <n v="3.1068166369734581E-2"/>
    <n v="0.48034188034188002"/>
    <m/>
    <m/>
    <n v="19.5"/>
    <s v="Acre-feet per Year"/>
    <s v="U_10"/>
    <n v="0"/>
    <n v="38.688636500000001"/>
    <n v="-122.86890990000001"/>
    <s v="RUSSIAN RIVER UNDERFLOW"/>
  </r>
  <r>
    <s v="A014061"/>
    <n v="19501120"/>
    <n v="17"/>
    <s v="N"/>
    <s v="N"/>
    <s v="N"/>
    <s v="N"/>
    <x v="1"/>
    <s v="Outside"/>
    <s v="Outside"/>
    <x v="0"/>
    <n v="1950"/>
    <x v="8"/>
    <x v="1"/>
    <s v="N"/>
    <s v="N"/>
    <s v="N"/>
    <s v="Y"/>
    <s v="N"/>
    <x v="1"/>
    <s v="N"/>
    <x v="1"/>
    <s v="N"/>
    <n v="0"/>
    <n v="0"/>
    <n v="0"/>
    <n v="0"/>
    <n v="0.41123333299999998"/>
    <n v="1.177466667"/>
    <n v="3.0554000000000001"/>
    <n v="2.8092666670000002"/>
    <n v="1.190066667"/>
    <n v="0.45853333299999999"/>
    <n v="7.6666666999999994E-2"/>
    <n v="0"/>
    <n v="9.1786333340000006"/>
    <n v="8.6434333340000009"/>
    <n v="2.8669283789297707E-2"/>
    <n v="8.3442121218181828E-2"/>
    <m/>
    <m/>
    <n v="110"/>
    <s v="Acre-feet per Year"/>
    <s v="L_17"/>
    <n v="0"/>
    <n v="38.573067680000001"/>
    <n v="-122.86365513"/>
    <s v="RUSSIAN RIVER UNDERFLOW"/>
  </r>
  <r>
    <s v="A014044B"/>
    <n v="19501113"/>
    <n v="10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N"/>
    <x v="1"/>
    <s v="N"/>
    <n v="0"/>
    <n v="0"/>
    <n v="0"/>
    <n v="0.06"/>
    <n v="0.36"/>
    <n v="1.23"/>
    <n v="2.33"/>
    <n v="2.66"/>
    <n v="1.6"/>
    <n v="0.8"/>
    <n v="0"/>
    <n v="0"/>
    <n v="9.0400000000000009"/>
    <n v="8.1999999999999975"/>
    <n v="2.7198465932223165E-2"/>
    <n v="0.15187046342825233"/>
    <m/>
    <m/>
    <n v="59.7"/>
    <s v="Acre-feet per Year"/>
    <s v="U_10"/>
    <n v="0"/>
    <n v="38.701284100000002"/>
    <n v="-122.88500875"/>
    <s v="RUSSIAN RIVER UNDERFLOW"/>
  </r>
  <r>
    <s v="A013706"/>
    <n v="19500426"/>
    <n v="2"/>
    <s v="N"/>
    <s v="N"/>
    <s v="Y"/>
    <s v="N"/>
    <x v="0"/>
    <s v="Outside"/>
    <s v="Outside"/>
    <x v="0"/>
    <n v="1950"/>
    <x v="8"/>
    <x v="0"/>
    <s v="Y"/>
    <s v="N"/>
    <s v="N"/>
    <s v="Y"/>
    <s v="N"/>
    <x v="1"/>
    <s v="N"/>
    <x v="1"/>
    <s v="N"/>
    <n v="0"/>
    <n v="0"/>
    <n v="0"/>
    <n v="1.26"/>
    <n v="1.26"/>
    <n v="1.26"/>
    <n v="1.53"/>
    <n v="1.53"/>
    <n v="1.53"/>
    <n v="1.26"/>
    <n v="0"/>
    <n v="0"/>
    <n v="9.6300000000000008"/>
    <n v="7.1253333349999997"/>
    <n v="2.3633919020455078E-2"/>
    <n v="0.90155763261682254"/>
    <m/>
    <m/>
    <n v="10.7"/>
    <s v="Acre-feet per Year"/>
    <s v="U_2"/>
    <n v="0"/>
    <n v="39.321202810000003"/>
    <n v="-123.10646959"/>
    <s v="EAST FORK RUSSIAN RIVER"/>
  </r>
  <r>
    <s v="A013831"/>
    <n v="19500705"/>
    <n v="10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N"/>
    <x v="1"/>
    <s v="N"/>
    <n v="0"/>
    <n v="0"/>
    <n v="0"/>
    <n v="0"/>
    <n v="0.56000000000000005"/>
    <n v="1.26"/>
    <n v="1.43"/>
    <n v="1.46"/>
    <n v="1.43"/>
    <n v="0.5"/>
    <n v="0"/>
    <n v="0"/>
    <n v="6.64"/>
    <n v="6.166666666666667"/>
    <n v="2.0454130883988973E-2"/>
    <n v="0.14214641080312723"/>
    <m/>
    <m/>
    <n v="46.9"/>
    <s v="Acre-feet per Year"/>
    <s v="U_10"/>
    <n v="0"/>
    <n v="38.682987109999999"/>
    <n v="-122.85307569"/>
    <s v="RUSSIAN RIVER UNDERFLOW"/>
  </r>
  <r>
    <s v="A013832"/>
    <n v="19500705"/>
    <n v="10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N"/>
    <x v="1"/>
    <s v="N"/>
    <n v="0"/>
    <n v="0"/>
    <n v="0"/>
    <n v="0"/>
    <n v="0"/>
    <n v="0.88"/>
    <n v="1.47"/>
    <n v="1.17"/>
    <n v="1.47"/>
    <n v="1.02"/>
    <n v="0"/>
    <n v="0"/>
    <n v="6.01"/>
    <n v="4.9999999999999902"/>
    <n v="1.6584430446477512E-2"/>
    <n v="0.24903581267217606"/>
    <m/>
    <m/>
    <n v="24.2"/>
    <s v="Acre-feet per Year"/>
    <s v="U_10"/>
    <n v="0"/>
    <n v="38.711496179999997"/>
    <n v="-122.89617579"/>
    <s v="RUSSIAN RIVER UNDERFLOW"/>
  </r>
  <r>
    <s v="A013749"/>
    <n v="19500522"/>
    <n v="6"/>
    <s v="Y"/>
    <s v="N"/>
    <s v="Y"/>
    <s v="Y"/>
    <x v="0"/>
    <s v="West Fork and Below Lake"/>
    <s v="Mendocino (d/s of lake)"/>
    <x v="0"/>
    <n v="1950"/>
    <x v="8"/>
    <x v="1"/>
    <s v="Y"/>
    <s v="N"/>
    <s v="N"/>
    <s v="Y"/>
    <s v="N"/>
    <x v="1"/>
    <s v="N"/>
    <x v="1"/>
    <s v="N"/>
    <n v="0"/>
    <n v="0"/>
    <n v="0"/>
    <n v="0"/>
    <n v="2.2000000000000002"/>
    <n v="0"/>
    <n v="2.4300000000000002"/>
    <n v="0"/>
    <n v="0"/>
    <n v="0"/>
    <n v="0"/>
    <n v="0"/>
    <n v="4.6300000000000008"/>
    <n v="4.6333333333333302"/>
    <n v="1.5368238880402516E-2"/>
    <n v="5.2591751797200118E-2"/>
    <m/>
    <m/>
    <n v="88.1"/>
    <s v="Acre-feet per Year"/>
    <s v="U_6"/>
    <n v="0"/>
    <n v="38.965619080000003"/>
    <n v="-123.10550116"/>
    <s v="RUSSIAN RIVER"/>
  </r>
  <r>
    <s v="A013985"/>
    <n v="19501009"/>
    <n v="10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N"/>
    <x v="1"/>
    <s v="N"/>
    <n v="0"/>
    <n v="0"/>
    <n v="0"/>
    <n v="0"/>
    <n v="0.2"/>
    <n v="0.73"/>
    <n v="1.56"/>
    <n v="1.1599999999999999"/>
    <n v="0.8"/>
    <n v="0.2"/>
    <n v="0.03"/>
    <n v="0"/>
    <n v="4.6800000000000006"/>
    <n v="4.466666666666673"/>
    <n v="1.4815424532186629E-2"/>
    <n v="5.824039653035943E-2"/>
    <m/>
    <m/>
    <n v="80.7"/>
    <s v="Acre-feet per Year"/>
    <s v="U_10"/>
    <n v="0"/>
    <n v="38.689222209999997"/>
    <n v="-122.86401184"/>
    <s v="RUSSIAN RIVER UNDERFLOW"/>
  </r>
  <r>
    <s v="A013810"/>
    <n v="19500622"/>
    <n v="9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N"/>
    <x v="1"/>
    <s v="N"/>
    <n v="0.43"/>
    <n v="0.38"/>
    <n v="0.36"/>
    <n v="0.45"/>
    <n v="0.55000000000000004"/>
    <n v="0.45"/>
    <n v="0.49"/>
    <n v="2.31"/>
    <n v="0.63"/>
    <n v="0.35"/>
    <n v="0.17"/>
    <n v="0.31"/>
    <n v="6.879999999999999"/>
    <n v="4.4506666666666632"/>
    <n v="1.4762354354757867E-2"/>
    <n v="0.3098809523809522"/>
    <m/>
    <m/>
    <n v="22.4"/>
    <s v="Acre-feet per Year"/>
    <s v="U_9"/>
    <n v="3.4039024194010059E-4"/>
    <n v="38.792673090000001"/>
    <n v="-123.00948025"/>
    <s v="RUSSIAN RIVER UNDERFLOW"/>
  </r>
  <r>
    <s v="A013932"/>
    <n v="19500905"/>
    <n v="9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N"/>
    <x v="1"/>
    <s v="N"/>
    <n v="0"/>
    <n v="0"/>
    <n v="0"/>
    <n v="0"/>
    <n v="0"/>
    <n v="0.73"/>
    <n v="1.2"/>
    <n v="1.86"/>
    <n v="0.53"/>
    <n v="0.03"/>
    <n v="0"/>
    <n v="0"/>
    <n v="4.3500000000000005"/>
    <n v="4.3333333333333357"/>
    <n v="1.437317305361388E-2"/>
    <n v="5.6857638888888923E-2"/>
    <m/>
    <m/>
    <n v="76.8"/>
    <s v="Acre-feet per Year"/>
    <s v="U_9"/>
    <n v="0"/>
    <n v="38.769599069999998"/>
    <n v="-122.97828543999999"/>
    <s v="RUSSIAN RIVER UNDERFLOW"/>
  </r>
  <r>
    <s v="A013973"/>
    <n v="19501002"/>
    <n v="4"/>
    <s v="Y"/>
    <s v="N"/>
    <s v="Y"/>
    <s v="Y"/>
    <x v="0"/>
    <s v="West Fork and Below Lake"/>
    <s v="Mendocino (d/s of lake)"/>
    <x v="0"/>
    <n v="1950"/>
    <x v="8"/>
    <x v="1"/>
    <s v="Y"/>
    <s v="N"/>
    <s v="N"/>
    <s v="Y"/>
    <s v="N"/>
    <x v="1"/>
    <s v="N"/>
    <x v="1"/>
    <s v="N"/>
    <n v="0"/>
    <n v="0"/>
    <n v="0"/>
    <n v="0.01"/>
    <n v="0.75"/>
    <n v="0.78"/>
    <n v="0.78"/>
    <n v="0.75"/>
    <n v="0.71"/>
    <n v="0.62"/>
    <n v="0.04"/>
    <n v="4.9816666666666698E-3"/>
    <n v="4.4449816666666671"/>
    <n v="3.7946309999999994"/>
    <n v="1.2586358777909505E-2"/>
    <n v="7.1826255341880335E-2"/>
    <m/>
    <m/>
    <n v="62.4"/>
    <s v="Acre-feet per Year"/>
    <s v="U_4"/>
    <n v="0"/>
    <n v="39.160679160000001"/>
    <n v="-123.19319745999999"/>
    <s v="RUSSIAN RIVER"/>
  </r>
  <r>
    <s v="A014054"/>
    <n v="19501114"/>
    <n v="15"/>
    <s v="N"/>
    <s v="N"/>
    <s v="N"/>
    <s v="N"/>
    <x v="1"/>
    <s v="Outside"/>
    <s v="Outside"/>
    <x v="0"/>
    <n v="1950"/>
    <x v="8"/>
    <x v="0"/>
    <s v="N"/>
    <s v="N"/>
    <s v="N"/>
    <s v="Y"/>
    <s v="N"/>
    <x v="1"/>
    <s v="N"/>
    <x v="1"/>
    <s v="N"/>
    <n v="0"/>
    <n v="3.4195000000000003E-2"/>
    <n v="8.7451000000000001E-2"/>
    <n v="0.155863"/>
    <n v="0.171207"/>
    <n v="0.69464950000000003"/>
    <n v="1.5892625"/>
    <n v="1.092651"/>
    <n v="0.18299499999999999"/>
    <n v="0.18606400000000001"/>
    <n v="1.9366000000000001E-2"/>
    <n v="0"/>
    <n v="4.2137039999999999"/>
    <n v="3.7307649999999999"/>
    <n v="1.2374522530930559E-2"/>
    <n v="4.9398640093786639E-2"/>
    <m/>
    <m/>
    <n v="85.3"/>
    <s v="Acre-feet per Year"/>
    <s v="L_15"/>
    <n v="0"/>
    <n v="38.684182210000003"/>
    <n v="-122.94698323999999"/>
    <s v="DRY CREEK UNDERFLOW"/>
  </r>
  <r>
    <s v="A013579"/>
    <n v="19500214"/>
    <n v="12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N"/>
    <x v="1"/>
    <s v="N"/>
    <n v="0"/>
    <n v="0"/>
    <n v="0"/>
    <n v="0"/>
    <n v="0.28999999999999998"/>
    <n v="0.88"/>
    <n v="0.88"/>
    <n v="0.88"/>
    <n v="0.73"/>
    <n v="0.44"/>
    <n v="0"/>
    <n v="0"/>
    <n v="4.0999999999999996"/>
    <n v="3.6826653333333339"/>
    <n v="1.2214981415664145E-2"/>
    <n v="4.9934443099273619E-2"/>
    <m/>
    <m/>
    <n v="82.6"/>
    <s v="Acre-feet per Year"/>
    <s v="U_12"/>
    <n v="0"/>
    <n v="38.630591209999999"/>
    <n v="-122.84579732"/>
    <s v="RUSSIAN RIVER"/>
  </r>
  <r>
    <s v="A013862"/>
    <n v="19500725"/>
    <n v="9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N"/>
    <x v="1"/>
    <s v="N"/>
    <n v="0"/>
    <n v="0"/>
    <n v="0"/>
    <n v="0"/>
    <n v="0"/>
    <n v="1.1000000000000001"/>
    <n v="1.1000000000000001"/>
    <n v="1.1000000000000001"/>
    <n v="0.36"/>
    <n v="0"/>
    <n v="0"/>
    <n v="0"/>
    <n v="3.66"/>
    <n v="3.6826613333333231"/>
    <n v="1.221496814811975E-2"/>
    <n v="7.192697916666646E-2"/>
    <m/>
    <m/>
    <n v="51.2"/>
    <s v="Acre-feet per Year"/>
    <s v="U_9"/>
    <n v="0"/>
    <n v="38.790369720000001"/>
    <n v="-123.00593886999999"/>
    <s v="RUSSIAN RIVER UNDERFLOW"/>
  </r>
  <r>
    <s v="A013967"/>
    <n v="19500927"/>
    <n v="12"/>
    <s v="N"/>
    <s v="Y"/>
    <s v="Y"/>
    <s v="Y"/>
    <x v="0"/>
    <s v="West Fork and Below Lake"/>
    <s v="Sonoma (d/s of Clov. Gage)"/>
    <x v="0"/>
    <n v="1950"/>
    <x v="8"/>
    <x v="0"/>
    <s v="Y"/>
    <s v="N"/>
    <s v="N"/>
    <s v="Y"/>
    <s v="N"/>
    <x v="1"/>
    <s v="N"/>
    <x v="1"/>
    <s v="N"/>
    <n v="0"/>
    <n v="0"/>
    <n v="0"/>
    <n v="0"/>
    <n v="0.66"/>
    <n v="0.66"/>
    <n v="0.66"/>
    <n v="0.66"/>
    <n v="0.66"/>
    <n v="0"/>
    <n v="0"/>
    <n v="0"/>
    <n v="3.3000000000000003"/>
    <n v="3.3333333349999998"/>
    <n v="1.1056286969846507E-2"/>
    <n v="0.11904761910714286"/>
    <m/>
    <m/>
    <n v="28"/>
    <s v="Acre-feet per Year"/>
    <s v="U_12"/>
    <n v="0"/>
    <n v="38.582296890000002"/>
    <n v="-122.76126195000001"/>
    <s v="BROOKS CREEK"/>
  </r>
  <r>
    <s v="A013684B"/>
    <n v="19500411"/>
    <n v="17"/>
    <s v="N"/>
    <s v="N"/>
    <s v="N"/>
    <s v="N"/>
    <x v="1"/>
    <s v="Outside"/>
    <s v="Outside"/>
    <x v="0"/>
    <n v="1950"/>
    <x v="8"/>
    <x v="1"/>
    <s v="N"/>
    <s v="N"/>
    <s v="N"/>
    <s v="Y"/>
    <s v="N"/>
    <x v="1"/>
    <s v="N"/>
    <x v="1"/>
    <s v="N"/>
    <n v="0"/>
    <n v="0"/>
    <n v="0"/>
    <n v="0"/>
    <n v="0.16666666699999999"/>
    <n v="0.46"/>
    <n v="0.87666666699999996"/>
    <n v="0.86333333300000004"/>
    <n v="0.59"/>
    <n v="0.26"/>
    <n v="0"/>
    <n v="0"/>
    <n v="3.2166666670000001"/>
    <n v="2.9566666669999999"/>
    <n v="9.8069265384560164E-3"/>
    <n v="0.18810916181286549"/>
    <m/>
    <m/>
    <n v="17.100000000000001"/>
    <s v="Acre-feet per Year"/>
    <s v="L_17"/>
    <n v="0"/>
    <n v="38.526522620000001"/>
    <n v="-122.86361663"/>
    <s v="RUSSIAN RIVER"/>
  </r>
  <r>
    <s v="A013864"/>
    <n v="19500725"/>
    <n v="9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N"/>
    <x v="1"/>
    <s v="N"/>
    <n v="0"/>
    <n v="0"/>
    <n v="0"/>
    <n v="0.6"/>
    <n v="0.8"/>
    <n v="0.8"/>
    <n v="0.8"/>
    <n v="0"/>
    <n v="0.4"/>
    <n v="0.2"/>
    <n v="0.2"/>
    <n v="0.2"/>
    <n v="4"/>
    <n v="2.8000000000000003"/>
    <n v="9.2872810500274263E-3"/>
    <n v="0.93023255813953487"/>
    <m/>
    <m/>
    <n v="4.3"/>
    <s v="Acre-feet per Year"/>
    <s v="U_9"/>
    <n v="0"/>
    <n v="38.794595010000002"/>
    <n v="-123.0095075"/>
    <s v="RUSSIAN RIVER UNDERFLOW"/>
  </r>
  <r>
    <s v="A013989"/>
    <n v="19501009"/>
    <n v="12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N"/>
    <x v="1"/>
    <s v="N"/>
    <n v="0.05"/>
    <n v="0.05"/>
    <n v="0.05"/>
    <n v="0.05"/>
    <n v="0.05"/>
    <n v="0.48"/>
    <n v="0.48"/>
    <n v="0.48"/>
    <n v="0.48"/>
    <n v="0.34"/>
    <n v="0.05"/>
    <n v="0.05"/>
    <n v="2.6099999999999994"/>
    <n v="1.9948539999999999"/>
    <n v="6.6167034827755034E-3"/>
    <n v="7.8115073313782979E-2"/>
    <m/>
    <m/>
    <n v="34.1"/>
    <s v="Acre-feet per Year"/>
    <s v="U_12"/>
    <n v="0"/>
    <n v="38.635360159999998"/>
    <n v="-122.83184962999999"/>
    <s v="RUSSIAN RIVER"/>
  </r>
  <r>
    <s v="A013988"/>
    <n v="19501009"/>
    <n v="15"/>
    <s v="N"/>
    <s v="N"/>
    <s v="N"/>
    <s v="N"/>
    <x v="1"/>
    <s v="Outside"/>
    <s v="Outside"/>
    <x v="0"/>
    <n v="1950"/>
    <x v="8"/>
    <x v="0"/>
    <s v="N"/>
    <s v="N"/>
    <s v="N"/>
    <s v="Y"/>
    <s v="N"/>
    <x v="1"/>
    <s v="N"/>
    <x v="1"/>
    <s v="N"/>
    <n v="0"/>
    <n v="0"/>
    <n v="0"/>
    <n v="0"/>
    <n v="0"/>
    <n v="0"/>
    <n v="0.34166666699999998"/>
    <n v="0.35499999999999998"/>
    <n v="0.24833333299999999"/>
    <n v="0"/>
    <n v="0"/>
    <n v="0"/>
    <n v="0.94499999999999984"/>
    <n v="0.94499999999999984"/>
    <n v="3.1344573543842557E-3"/>
    <n v="1.6098807495741052E-2"/>
    <m/>
    <m/>
    <n v="58.7"/>
    <s v="Acre-feet per Year"/>
    <s v="L_15"/>
    <n v="0"/>
    <n v="38.65496632"/>
    <n v="-122.92628329"/>
    <s v="DRY CREEK UNDERFLOW"/>
  </r>
  <r>
    <s v="A013695"/>
    <n v="19500419"/>
    <n v="11"/>
    <s v="N"/>
    <s v="Y"/>
    <s v="Y"/>
    <s v="Y"/>
    <x v="0"/>
    <s v="West Fork and Below Lake"/>
    <s v="Sonoma (d/s of Clov. Gage)"/>
    <x v="0"/>
    <n v="1950"/>
    <x v="8"/>
    <x v="0"/>
    <s v="Y"/>
    <s v="N"/>
    <s v="N"/>
    <s v="Y"/>
    <s v="N"/>
    <x v="1"/>
    <s v="N"/>
    <x v="1"/>
    <s v="N"/>
    <n v="14.06"/>
    <n v="13.7"/>
    <n v="7.33"/>
    <n v="6.13"/>
    <n v="0.06"/>
    <n v="0.36"/>
    <n v="0"/>
    <n v="0"/>
    <n v="0"/>
    <n v="0"/>
    <n v="0.83"/>
    <n v="24.33"/>
    <n v="66.8"/>
    <n v="0.43333333400000001"/>
    <n v="1.4373173075726447E-3"/>
    <n v="0.44555555555333332"/>
    <m/>
    <m/>
    <n v="150"/>
    <s v="Acre-feet per Year"/>
    <s v="U_11"/>
    <n v="0"/>
    <n v="38.645409389999998"/>
    <n v="-122.68000067"/>
    <s v="FOOTE CREEK"/>
  </r>
  <r>
    <s v="A014050B"/>
    <n v="19501114"/>
    <n v="17"/>
    <s v="N"/>
    <s v="N"/>
    <s v="N"/>
    <s v="N"/>
    <x v="1"/>
    <s v="Outside"/>
    <s v="Outside"/>
    <x v="0"/>
    <n v="1950"/>
    <x v="8"/>
    <x v="1"/>
    <s v="N"/>
    <s v="N"/>
    <s v="N"/>
    <s v="Y"/>
    <s v="N"/>
    <x v="1"/>
    <s v="N"/>
    <x v="1"/>
    <s v="N"/>
    <n v="0"/>
    <n v="0"/>
    <n v="0"/>
    <n v="0"/>
    <n v="0.03"/>
    <n v="0.03"/>
    <n v="0.03"/>
    <n v="0.03"/>
    <n v="0.03"/>
    <n v="0.03"/>
    <n v="0"/>
    <n v="0"/>
    <n v="0.18"/>
    <n v="0.15"/>
    <n v="4.9753291339432639E-4"/>
    <n v="5.487804878048781E-3"/>
    <m/>
    <m/>
    <n v="32.799999999999997"/>
    <s v="Acre-feet per Year"/>
    <s v="L_17"/>
    <n v="0"/>
    <n v="38.583500000000001"/>
    <n v="-122.8617"/>
    <s v="RUSSIAN RIVER SUBTERRANEAN FLOW"/>
  </r>
  <r>
    <s v="A014047"/>
    <n v="19501114"/>
    <n v="12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N"/>
    <x v="1"/>
    <s v="N"/>
    <n v="0"/>
    <n v="0"/>
    <n v="0"/>
    <n v="8.9999999999999998E-4"/>
    <n v="2.57666666666667E-4"/>
    <n v="0.01"/>
    <n v="0.01"/>
    <n v="0.01"/>
    <n v="0.01"/>
    <n v="0.01"/>
    <n v="0"/>
    <n v="0"/>
    <n v="5.1157666666666671E-2"/>
    <n v="6.5850399999999976E-2"/>
    <n v="2.1841827573454491E-4"/>
    <n v="1.1614997701149417E-3"/>
    <m/>
    <m/>
    <n v="72.5"/>
    <s v="Acre-feet per Year"/>
    <s v="U_12"/>
    <n v="0"/>
    <n v="38.638064730000004"/>
    <n v="-122.79861989"/>
    <s v="RUSSIAN RIVER UNDERFLOW"/>
  </r>
  <r>
    <s v="A013753"/>
    <n v="19500524"/>
    <n v="6"/>
    <s v="Y"/>
    <s v="N"/>
    <s v="Y"/>
    <s v="Y"/>
    <x v="0"/>
    <s v="West Fork and Below Lake"/>
    <s v="Mendocino (d/s of lake)"/>
    <x v="0"/>
    <n v="1950"/>
    <x v="8"/>
    <x v="1"/>
    <s v="Y"/>
    <s v="N"/>
    <s v="N"/>
    <s v="Y"/>
    <s v="N"/>
    <x v="1"/>
    <s v="N"/>
    <x v="1"/>
    <s v="N"/>
    <n v="0"/>
    <n v="0"/>
    <n v="0"/>
    <n v="0"/>
    <n v="0"/>
    <n v="5.5666666666666703E-3"/>
    <n v="5.5666666666666703E-3"/>
    <n v="5.5666666666666703E-3"/>
    <n v="2.3333333333333301E-3"/>
    <n v="0"/>
    <n v="0"/>
    <n v="0"/>
    <n v="1.903333333333334E-2"/>
    <n v="1.903333333333334E-2"/>
    <n v="6.3131398566257881E-5"/>
    <n v="2.5966348340154626E-4"/>
    <m/>
    <m/>
    <n v="73.3"/>
    <s v="Acre-feet per Year"/>
    <s v="U_6"/>
    <n v="0"/>
    <n v="38.957941599999998"/>
    <n v="-123.10432656"/>
    <s v="RUSSIAN RIVER"/>
  </r>
  <r>
    <s v="A013539"/>
    <n v="19500112"/>
    <n v="23"/>
    <s v="N"/>
    <s v="N"/>
    <s v="N"/>
    <s v="N"/>
    <x v="1"/>
    <s v="Outside"/>
    <s v="Outside"/>
    <x v="0"/>
    <n v="1950"/>
    <x v="8"/>
    <x v="0"/>
    <s v="N"/>
    <s v="N"/>
    <s v="N"/>
    <s v="Y"/>
    <s v="N"/>
    <x v="1"/>
    <s v="N"/>
    <x v="1"/>
    <s v="N"/>
    <n v="1.7389999999999999E-2"/>
    <n v="1.9436333E-2"/>
    <n v="1.5855999999999999E-2"/>
    <n v="1.1048000000000001E-2"/>
    <n v="8.1836670000000004E-3"/>
    <n v="2.506E-3"/>
    <n v="1.585667E-3"/>
    <n v="1.0740000000000001E-3"/>
    <n v="1.892667E-3"/>
    <n v="2.557667E-3"/>
    <n v="1.0536333E-2"/>
    <n v="1.1252666999999999E-2"/>
    <n v="0.10331900099999999"/>
    <n v="1.5242001000000002E-2"/>
    <n v="5.0555981089928244E-5"/>
    <n v="6.8879333999999999E-3"/>
    <m/>
    <m/>
    <n v="15"/>
    <s v="Acre-feet per Year"/>
    <s v="L_27"/>
    <n v="0"/>
    <n v="38.47047697"/>
    <n v="-122.63397739"/>
    <s v="UNST"/>
  </r>
  <r>
    <s v="A013578"/>
    <n v="19500210"/>
    <n v="11"/>
    <s v="N"/>
    <s v="Y"/>
    <s v="Y"/>
    <s v="Y"/>
    <x v="0"/>
    <s v="West Fork and Below Lake"/>
    <s v="Sonoma (d/s of Clov. Gage)"/>
    <x v="0"/>
    <n v="1950"/>
    <x v="8"/>
    <x v="0"/>
    <s v="Y"/>
    <s v="N"/>
    <s v="N"/>
    <s v="Y"/>
    <s v="N"/>
    <x v="1"/>
    <s v="N"/>
    <x v="1"/>
    <s v="N"/>
    <n v="8.4400000000000002E-4"/>
    <n v="8.4400000000000002E-4"/>
    <n v="8.4400000000000002E-4"/>
    <n v="8.4400000000000002E-4"/>
    <n v="8.4400000000000002E-4"/>
    <n v="8.4400000000000002E-4"/>
    <n v="8.4400000000000002E-4"/>
    <n v="8.4400000000000002E-4"/>
    <n v="8.4400000000000002E-4"/>
    <n v="8.4400000000000002E-4"/>
    <n v="8.4400000000000002E-4"/>
    <n v="8.4400000000000002E-4"/>
    <n v="1.0127999999999998E-2"/>
    <n v="4.2199999999999998E-3"/>
    <n v="1.3997259296827048E-5"/>
    <n v="2.0878169449598015E-5"/>
    <m/>
    <m/>
    <n v="485.1"/>
    <s v="Acre-feet per Year"/>
    <s v="U_11"/>
    <n v="0"/>
    <n v="38.697977430000002"/>
    <n v="-122.65912738999999"/>
    <s v="BRIGGS CREEK"/>
  </r>
  <r>
    <s v="A013527"/>
    <n v="19500103"/>
    <n v="23"/>
    <s v="N"/>
    <s v="N"/>
    <s v="N"/>
    <s v="N"/>
    <x v="1"/>
    <s v="Outside"/>
    <s v="Outside"/>
    <x v="0"/>
    <n v="1950"/>
    <x v="8"/>
    <x v="0"/>
    <s v="N"/>
    <s v="N"/>
    <s v="N"/>
    <s v="Y"/>
    <s v="N"/>
    <x v="1"/>
    <s v="N"/>
    <x v="0"/>
    <s v="N"/>
    <n v="7.672E-3"/>
    <n v="7.672E-3"/>
    <n v="0"/>
    <n v="0"/>
    <n v="0"/>
    <n v="0"/>
    <n v="0"/>
    <n v="0"/>
    <n v="0"/>
    <n v="0"/>
    <n v="0"/>
    <n v="0"/>
    <n v="1.5344E-2"/>
    <n v="0"/>
    <n v="0"/>
    <n v="2.7400000000000002E-3"/>
    <m/>
    <m/>
    <n v="5.6"/>
    <s v="Acre-feet per Year"/>
    <s v="L_27"/>
    <n v="0"/>
    <n v="38.461880729999997"/>
    <n v="-122.62412242000001"/>
    <s v="LOS ALAMOS CREEK"/>
  </r>
  <r>
    <s v="A013533"/>
    <n v="19500109"/>
    <n v="12"/>
    <s v="N"/>
    <s v="Y"/>
    <s v="Y"/>
    <s v="Y"/>
    <x v="0"/>
    <s v="West Fork and Below Lake"/>
    <s v="Sonoma (d/s of Clov. Gage)"/>
    <x v="0"/>
    <n v="1950"/>
    <x v="8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2.2"/>
    <s v="Acre-feet per Year"/>
    <s v="U_12"/>
    <n v="0"/>
    <n v="38.615037770000001"/>
    <n v="-122.77246164"/>
    <s v="MAACAMA CREEK"/>
  </r>
  <r>
    <s v="A013586"/>
    <n v="19500217"/>
    <n v="23"/>
    <s v="N"/>
    <s v="N"/>
    <s v="N"/>
    <s v="N"/>
    <x v="1"/>
    <s v="Outside"/>
    <s v="Outside"/>
    <x v="0"/>
    <n v="1950"/>
    <x v="8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3.6"/>
    <s v="Acre-feet per Year"/>
    <s v="L_25"/>
    <n v="0"/>
    <n v="38.3782"/>
    <n v="-122.78579999999999"/>
    <s v="LAGUNA DE SANTA ROSA"/>
  </r>
  <r>
    <s v="A013633"/>
    <n v="19500315"/>
    <n v="6"/>
    <s v="Y"/>
    <s v="N"/>
    <s v="Y"/>
    <s v="Y"/>
    <x v="0"/>
    <s v="West Fork and Below Lake"/>
    <s v="Mendocino (d/s of lake)"/>
    <x v="0"/>
    <n v="1950"/>
    <x v="8"/>
    <x v="0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60.6"/>
    <s v="Acre-feet per Year"/>
    <s v="U_6"/>
    <n v="0"/>
    <n v="38.984499999999997"/>
    <n v="-123.16630000000001"/>
    <s v="FELIZ CREEK"/>
  </r>
  <r>
    <s v="A013684A"/>
    <n v="19500411"/>
    <n v="18"/>
    <s v="N"/>
    <s v="N"/>
    <s v="N"/>
    <s v="N"/>
    <x v="1"/>
    <s v="Outside"/>
    <s v="Outside"/>
    <x v="0"/>
    <n v="1950"/>
    <x v="8"/>
    <x v="1"/>
    <s v="N"/>
    <s v="N"/>
    <s v="N"/>
    <s v="Y"/>
    <s v="N"/>
    <x v="1"/>
    <s v="N"/>
    <x v="0"/>
    <s v="N"/>
    <n v="0"/>
    <n v="0"/>
    <n v="0"/>
    <n v="0"/>
    <n v="0"/>
    <n v="0"/>
    <n v="0"/>
    <n v="0"/>
    <n v="0"/>
    <n v="0"/>
    <n v="8.5"/>
    <n v="0"/>
    <n v="8.5"/>
    <n v="0"/>
    <n v="0"/>
    <n v="7.1189279731993294E-2"/>
    <m/>
    <m/>
    <n v="119.4"/>
    <s v="Acre-feet per Year"/>
    <s v="L_18"/>
    <n v="0"/>
    <n v="38.517800000000001"/>
    <n v="-122.8815"/>
    <s v="RUSSIAN RIVER"/>
  </r>
  <r>
    <s v="A013716"/>
    <n v="19500502"/>
    <n v="12"/>
    <s v="N"/>
    <s v="Y"/>
    <s v="Y"/>
    <s v="Y"/>
    <x v="0"/>
    <s v="West Fork and Below Lake"/>
    <s v="Sonoma (d/s of Clov. Gage)"/>
    <x v="0"/>
    <n v="1950"/>
    <x v="8"/>
    <x v="0"/>
    <s v="Y"/>
    <s v="N"/>
    <s v="N"/>
    <s v="Y"/>
    <s v="N"/>
    <x v="1"/>
    <s v="N"/>
    <x v="0"/>
    <s v="N"/>
    <n v="9.3000000000000007"/>
    <n v="1.7"/>
    <n v="3.86"/>
    <n v="2.6"/>
    <n v="0"/>
    <n v="0"/>
    <n v="0"/>
    <n v="0"/>
    <n v="0"/>
    <n v="0"/>
    <n v="3.13"/>
    <n v="26.7"/>
    <n v="47.29"/>
    <n v="0"/>
    <n v="0"/>
    <n v="0.94599999999999995"/>
    <m/>
    <m/>
    <n v="50"/>
    <s v="Acre-feet per Year"/>
    <s v="U_12"/>
    <n v="3.4039024194010059E-4"/>
    <n v="38.624699999999997"/>
    <n v="-122.66070000000001"/>
    <s v="UNST"/>
  </r>
  <r>
    <s v="A013789"/>
    <n v="19500614"/>
    <n v="10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4"/>
    <s v="Acre-feet per Year"/>
    <s v="U_10"/>
    <n v="0"/>
    <n v="38.6724958"/>
    <n v="-122.83053166000001"/>
    <s v="RUSSIAN RIVER UNDERFLOW"/>
  </r>
  <r>
    <s v="A013863"/>
    <n v="19500725"/>
    <n v="9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83.9"/>
    <s v="Acre-feet per Year"/>
    <s v="U_9"/>
    <n v="0"/>
    <n v="38.790790659999999"/>
    <n v="-123.0048922"/>
    <s v="RUSSIAN RIVER UNDERFLOW"/>
  </r>
  <r>
    <s v="A013890"/>
    <n v="19500809"/>
    <n v="16"/>
    <s v="N"/>
    <s v="N"/>
    <s v="N"/>
    <s v="N"/>
    <x v="1"/>
    <s v="Outside"/>
    <s v="Outside"/>
    <x v="0"/>
    <n v="1950"/>
    <x v="8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4"/>
    <s v="Acre-feet per Year"/>
    <s v="L_16"/>
    <n v="0"/>
    <n v="38.641916670000001"/>
    <n v="-122.90965715"/>
    <s v="DRY CREEK"/>
  </r>
  <r>
    <s v="A013914"/>
    <n v="19500823"/>
    <n v="15"/>
    <s v="N"/>
    <s v="N"/>
    <s v="N"/>
    <s v="N"/>
    <x v="1"/>
    <s v="Outside"/>
    <s v="Outside"/>
    <x v="0"/>
    <n v="1950"/>
    <x v="8"/>
    <x v="0"/>
    <s v="N"/>
    <s v="N"/>
    <s v="N"/>
    <s v="Y"/>
    <s v="N"/>
    <x v="1"/>
    <s v="N"/>
    <x v="0"/>
    <s v="N"/>
    <n v="0"/>
    <n v="0"/>
    <n v="0.233333333"/>
    <n v="0"/>
    <n v="0"/>
    <n v="0"/>
    <n v="0"/>
    <n v="0"/>
    <n v="0"/>
    <n v="0"/>
    <n v="0"/>
    <n v="0"/>
    <n v="0.233333333"/>
    <n v="0"/>
    <n v="0"/>
    <n v="5.4263565813953488E-3"/>
    <m/>
    <m/>
    <n v="43"/>
    <s v="Acre-feet per Year"/>
    <s v="L_15"/>
    <n v="0"/>
    <n v="38.669114729999997"/>
    <n v="-122.94257979"/>
    <s v="DRY CREEK"/>
  </r>
  <r>
    <s v="A013933"/>
    <n v="19500905"/>
    <n v="10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26.5"/>
    <s v="Acre-feet per Year"/>
    <s v="U_10"/>
    <n v="0"/>
    <n v="38.707210140000001"/>
    <n v="-122.88210346"/>
    <s v="RUSSIAN RIVER UNDERFLOW"/>
  </r>
  <r>
    <s v="A013958"/>
    <n v="19500921"/>
    <n v="23"/>
    <s v="N"/>
    <s v="N"/>
    <s v="N"/>
    <s v="N"/>
    <x v="1"/>
    <s v="Outside"/>
    <s v="Outside"/>
    <x v="0"/>
    <n v="1950"/>
    <x v="8"/>
    <x v="0"/>
    <s v="N"/>
    <s v="N"/>
    <s v="N"/>
    <s v="Y"/>
    <s v="N"/>
    <x v="1"/>
    <s v="N"/>
    <x v="0"/>
    <s v="N"/>
    <n v="2.0666666669999998"/>
    <n v="0.7"/>
    <n v="0.1"/>
    <n v="6.6666666999999999E-2"/>
    <n v="0"/>
    <n v="0"/>
    <n v="0"/>
    <n v="0"/>
    <n v="0"/>
    <n v="0.26666666700000002"/>
    <n v="0.233333333"/>
    <n v="0.83333333300000001"/>
    <n v="4.266666667"/>
    <n v="0"/>
    <n v="0"/>
    <n v="0.35555555558333335"/>
    <m/>
    <m/>
    <n v="12"/>
    <s v="Acre-feet per Year"/>
    <s v="L_23"/>
    <n v="0"/>
    <n v="38.567451640000002"/>
    <n v="-122.80447534"/>
    <s v="UNST"/>
  </r>
  <r>
    <s v="A013974"/>
    <n v="19501002"/>
    <n v="4"/>
    <s v="Y"/>
    <s v="N"/>
    <s v="Y"/>
    <s v="Y"/>
    <x v="0"/>
    <s v="West Fork and Below Lake"/>
    <s v="Mendocino (d/s of lake)"/>
    <x v="0"/>
    <n v="1950"/>
    <x v="8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44.4"/>
    <s v="Acre-feet per Year"/>
    <s v="U_4"/>
    <n v="0"/>
    <n v="39.160679160000001"/>
    <n v="-123.19319745999999"/>
    <s v="RUSSIAN RIVER UNDERFLOW"/>
  </r>
  <r>
    <s v="A013975"/>
    <n v="19501002"/>
    <n v="23"/>
    <s v="N"/>
    <s v="N"/>
    <s v="N"/>
    <s v="N"/>
    <x v="1"/>
    <s v="Outside"/>
    <s v="Outside"/>
    <x v="0"/>
    <n v="1950"/>
    <x v="8"/>
    <x v="0"/>
    <s v="N"/>
    <s v="N"/>
    <s v="N"/>
    <s v="Y"/>
    <s v="N"/>
    <x v="1"/>
    <s v="N"/>
    <x v="0"/>
    <s v="N"/>
    <n v="0.1"/>
    <n v="0.1"/>
    <n v="0"/>
    <n v="0"/>
    <n v="0"/>
    <n v="0"/>
    <n v="0"/>
    <n v="0"/>
    <n v="0"/>
    <n v="0"/>
    <n v="0.1"/>
    <n v="0.2"/>
    <n v="0.5"/>
    <n v="0"/>
    <n v="0"/>
    <n v="1"/>
    <m/>
    <m/>
    <n v="0.5"/>
    <s v="Acre-feet per Year"/>
    <s v="L_27"/>
    <n v="3.4039024194010059E-4"/>
    <n v="38.363528690000003"/>
    <n v="-122.60722337"/>
    <s v="UNST"/>
  </r>
  <r>
    <s v="A013987"/>
    <n v="19501009"/>
    <n v="9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7"/>
    <s v="Acre-feet per Year"/>
    <s v="U_9"/>
    <n v="0"/>
    <n v="38.803387039999997"/>
    <n v="-123.00893028"/>
    <s v="RUSSIAN RIVER UNDERFLOW"/>
  </r>
  <r>
    <s v="A014045"/>
    <n v="19501113"/>
    <n v="9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0.3"/>
    <s v="Acre-feet per Year"/>
    <s v="U_9"/>
    <n v="3.4039024194010059E-4"/>
    <n v="38.790506999999998"/>
    <n v="-123.00594081"/>
    <s v="RUSSIAN RIVER UNDERFLOW"/>
  </r>
  <r>
    <s v="A014056"/>
    <n v="19501114"/>
    <n v="15"/>
    <s v="N"/>
    <s v="N"/>
    <s v="N"/>
    <s v="N"/>
    <x v="1"/>
    <s v="Outside"/>
    <s v="Outside"/>
    <x v="0"/>
    <n v="1950"/>
    <x v="8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16.6"/>
    <s v="Acre-feet per Year"/>
    <s v="L_15"/>
    <n v="0"/>
    <n v="38.676814200000003"/>
    <n v="-122.94128034000001"/>
    <s v="DRY CREEK UNDERFLOW"/>
  </r>
  <r>
    <s v="A014050A"/>
    <n v="19501115"/>
    <n v="17"/>
    <s v="N"/>
    <s v="N"/>
    <s v="N"/>
    <s v="N"/>
    <x v="1"/>
    <s v="Outside"/>
    <s v="Outside"/>
    <x v="0"/>
    <n v="1950"/>
    <x v="8"/>
    <x v="1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.6"/>
    <s v="Acre-feet per Year"/>
    <s v="L_17"/>
    <n v="3.4039024194010059E-4"/>
    <n v="38.583899549999998"/>
    <n v="-122.86677048999999"/>
    <s v="RUSSIAN RIVER SUBTERRANEAN FLOW"/>
  </r>
  <r>
    <s v="A014065"/>
    <n v="19501122"/>
    <n v="10"/>
    <s v="N"/>
    <s v="Y"/>
    <s v="Y"/>
    <s v="Y"/>
    <x v="0"/>
    <s v="West Fork and Below Lake"/>
    <s v="Sonoma (d/s of Clov. Gage)"/>
    <x v="0"/>
    <n v="1950"/>
    <x v="8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30.5"/>
    <s v="Acre-feet per Year"/>
    <s v="U_10"/>
    <n v="0"/>
    <n v="38.666976769999998"/>
    <n v="-122.82661447"/>
    <s v="RUSSIAN RIVER UNDERFLOW"/>
  </r>
  <r>
    <s v="A014092"/>
    <n v="19501204"/>
    <n v="23"/>
    <s v="N"/>
    <s v="N"/>
    <s v="N"/>
    <s v="N"/>
    <x v="1"/>
    <s v="Outside"/>
    <s v="Outside"/>
    <x v="0"/>
    <n v="1950"/>
    <x v="8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"/>
    <s v="Acre-feet per Year"/>
    <s v="L_27"/>
    <n v="0"/>
    <n v="38.398699649999998"/>
    <n v="-122.63521600999999"/>
    <s v="UNST"/>
  </r>
  <r>
    <s v="A014107"/>
    <n v="19501218"/>
    <n v="23"/>
    <s v="N"/>
    <s v="N"/>
    <s v="N"/>
    <s v="N"/>
    <x v="1"/>
    <s v="Outside"/>
    <s v="Outside"/>
    <x v="0"/>
    <n v="1950"/>
    <x v="8"/>
    <x v="0"/>
    <s v="N"/>
    <s v="N"/>
    <s v="N"/>
    <s v="Y"/>
    <s v="N"/>
    <x v="1"/>
    <s v="N"/>
    <x v="0"/>
    <s v="N"/>
    <n v="3.733333333"/>
    <n v="2.233333333"/>
    <n v="1.233333333"/>
    <n v="0.53333333299999997"/>
    <n v="0"/>
    <n v="0"/>
    <n v="0"/>
    <n v="0"/>
    <n v="0"/>
    <n v="0.66666666699999999"/>
    <n v="2.1333333329999999"/>
    <n v="4.7"/>
    <n v="15.233333332000001"/>
    <n v="0"/>
    <n v="0"/>
    <n v="0.50777777773333332"/>
    <m/>
    <m/>
    <n v="30"/>
    <s v="Acre-feet per Year"/>
    <s v="L_23"/>
    <n v="0"/>
    <n v="38.560955409999998"/>
    <n v="-122.79076221"/>
    <s v="UNST"/>
  </r>
  <r>
    <s v="A013359"/>
    <n v="19490920"/>
    <n v="16"/>
    <s v="N"/>
    <s v="N"/>
    <s v="N"/>
    <s v="N"/>
    <x v="1"/>
    <s v="Outside"/>
    <s v="Outside"/>
    <x v="0"/>
    <n v="1949"/>
    <x v="10"/>
    <x v="0"/>
    <s v="N"/>
    <s v="N"/>
    <s v="N"/>
    <s v="Y"/>
    <s v="N"/>
    <x v="1"/>
    <s v="N"/>
    <x v="1"/>
    <s v="N"/>
    <n v="0"/>
    <n v="0"/>
    <n v="0"/>
    <n v="4.766666667"/>
    <n v="4.733333333"/>
    <n v="15.83333333"/>
    <n v="6.1333333330000004"/>
    <n v="6.733333333"/>
    <n v="2.733333333"/>
    <n v="0"/>
    <n v="0"/>
    <n v="0"/>
    <n v="40.933333329"/>
    <n v="36.166666661999997"/>
    <n v="0.11996071354737543"/>
    <n v="0.24658634535542168"/>
    <m/>
    <m/>
    <n v="166"/>
    <s v="Acre-feet per Year"/>
    <s v="L_16"/>
    <n v="0"/>
    <n v="38.648289470000002"/>
    <n v="-122.97049355999999"/>
    <s v="RUSSIAN RIVER"/>
  </r>
  <r>
    <s v="A012919A"/>
    <n v="19490128"/>
    <n v="3"/>
    <s v="N"/>
    <s v="N"/>
    <s v="Y"/>
    <s v="N"/>
    <x v="0"/>
    <s v="Outside"/>
    <s v="Outside"/>
    <x v="0"/>
    <n v="1949"/>
    <x v="11"/>
    <x v="1"/>
    <s v="Y"/>
    <s v="N"/>
    <s v="N"/>
    <s v="Y"/>
    <s v="N"/>
    <x v="1"/>
    <s v="N"/>
    <x v="1"/>
    <s v="N"/>
    <n v="9523.33"/>
    <n v="4503.33"/>
    <n v="8425.33"/>
    <n v="12960.66"/>
    <n v="1804.33"/>
    <n v="0"/>
    <n v="0"/>
    <n v="0"/>
    <n v="0"/>
    <n v="592.33000000000004"/>
    <n v="1159.33"/>
    <n v="5230.33"/>
    <n v="44198.97"/>
    <n v="1804.3333333333301"/>
    <n v="5.9847681337855194"/>
    <n v="0.27616780385394024"/>
    <m/>
    <m/>
    <n v="160044"/>
    <s v="Acre-feet per Year"/>
    <s v="U_3"/>
    <n v="0"/>
    <n v="38.55560251"/>
    <n v="-122.85517652"/>
    <s v="EAST FORK RUSSIAN RIVER"/>
  </r>
  <r>
    <s v="A012919B"/>
    <n v="19490128"/>
    <n v="3"/>
    <s v="N"/>
    <s v="N"/>
    <s v="Y"/>
    <s v="N"/>
    <x v="0"/>
    <s v="Outside"/>
    <s v="Outside"/>
    <x v="0"/>
    <n v="1949"/>
    <x v="12"/>
    <x v="1"/>
    <s v="Y"/>
    <s v="N"/>
    <s v="N"/>
    <s v="Y"/>
    <s v="N"/>
    <x v="1"/>
    <s v="N"/>
    <x v="1"/>
    <s v="N"/>
    <n v="25.36"/>
    <n v="40.549999999999997"/>
    <n v="100.77"/>
    <n v="73.16"/>
    <n v="147.08000000000001"/>
    <n v="444.88"/>
    <n v="992.43"/>
    <n v="1228.9100000000001"/>
    <n v="833.22"/>
    <n v="522.38"/>
    <n v="193.65"/>
    <n v="55.67"/>
    <n v="4658.0600000000004"/>
    <n v="3646.5400000000041"/>
    <n v="12.095157800059658"/>
    <n v="3.5694278416347404E-2"/>
    <m/>
    <m/>
    <n v="130500"/>
    <s v="Acre-feet per Year"/>
    <s v="U_3"/>
    <n v="0.38293902218261316"/>
    <n v="38.929238769999998"/>
    <n v="-123.0590933"/>
    <s v="East Fork Russian River"/>
  </r>
  <r>
    <s v="A012931"/>
    <n v="19490211"/>
    <n v="23"/>
    <s v="N"/>
    <s v="N"/>
    <s v="N"/>
    <s v="N"/>
    <x v="1"/>
    <s v="Outside"/>
    <s v="Outside"/>
    <x v="0"/>
    <n v="1949"/>
    <x v="1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9.6999999999999993"/>
    <s v="Acre-feet per Year"/>
    <s v="L_24"/>
    <n v="0"/>
    <n v="38.508662899999997"/>
    <n v="-122.76746668"/>
    <s v="MARK WEST CREEK"/>
  </r>
  <r>
    <s v="A012951"/>
    <n v="19490224"/>
    <n v="9"/>
    <s v="N"/>
    <s v="Y"/>
    <s v="Y"/>
    <s v="Y"/>
    <x v="0"/>
    <s v="West Fork and Below Lake"/>
    <s v="Sonoma (d/s of Clov. Gage)"/>
    <x v="0"/>
    <n v="1949"/>
    <x v="10"/>
    <x v="0"/>
    <s v="Y"/>
    <s v="N"/>
    <s v="N"/>
    <s v="Y"/>
    <s v="N"/>
    <x v="1"/>
    <s v="N"/>
    <x v="1"/>
    <s v="N"/>
    <n v="0"/>
    <n v="0"/>
    <n v="6.33"/>
    <n v="9"/>
    <n v="4.66"/>
    <n v="7.33"/>
    <n v="0.66"/>
    <n v="0"/>
    <n v="0"/>
    <n v="0"/>
    <n v="0"/>
    <n v="0"/>
    <n v="27.98"/>
    <n v="12.666666666999999"/>
    <n v="4.2013890465515409E-2"/>
    <n v="1"/>
    <m/>
    <m/>
    <n v="28"/>
    <s v="Acre-feet per Year"/>
    <s v="U_9"/>
    <n v="0"/>
    <n v="38.756496149999997"/>
    <n v="-123.03281573"/>
    <s v="ICARIA CREEK"/>
  </r>
  <r>
    <s v="A012958"/>
    <n v="19490303"/>
    <n v="4"/>
    <s v="Y"/>
    <s v="N"/>
    <s v="Y"/>
    <s v="Y"/>
    <x v="0"/>
    <s v="West Fork and Below Lake"/>
    <s v="Mendocino (d/s of lake)"/>
    <x v="0"/>
    <n v="1949"/>
    <x v="10"/>
    <x v="1"/>
    <s v="Y"/>
    <s v="N"/>
    <s v="N"/>
    <s v="Y"/>
    <s v="N"/>
    <x v="1"/>
    <s v="N"/>
    <x v="1"/>
    <s v="N"/>
    <n v="0"/>
    <n v="0"/>
    <n v="0"/>
    <n v="0"/>
    <n v="2"/>
    <n v="18.43"/>
    <n v="18.309999999999999"/>
    <n v="43.33"/>
    <n v="20.100000000000001"/>
    <n v="0"/>
    <n v="0"/>
    <n v="0"/>
    <n v="102.16999999999999"/>
    <n v="102.18333333333339"/>
    <n v="0.33893047689117967"/>
    <n v="0.22448008201523154"/>
    <m/>
    <m/>
    <n v="455.2"/>
    <s v="Acre-feet per Year"/>
    <s v="U_4"/>
    <n v="0"/>
    <n v="39.156293179999999"/>
    <n v="-123.18654033"/>
    <s v="RUSSIAN RIVER"/>
  </r>
  <r>
    <s v="A013030A"/>
    <n v="19490418"/>
    <n v="6"/>
    <s v="Y"/>
    <s v="N"/>
    <s v="Y"/>
    <s v="Y"/>
    <x v="0"/>
    <s v="West Fork and Below Lake"/>
    <s v="Mendocino (d/s of lake)"/>
    <x v="0"/>
    <n v="1949"/>
    <x v="10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20"/>
    <s v="Acre-feet per Year"/>
    <s v="U_6"/>
    <n v="0"/>
    <n v="39.022510420000003"/>
    <n v="-123.12891707999999"/>
    <s v="RUSSIAN RIVER"/>
  </r>
  <r>
    <s v="A013030B"/>
    <n v="19490418"/>
    <n v="6"/>
    <s v="Y"/>
    <s v="N"/>
    <s v="Y"/>
    <s v="Y"/>
    <x v="0"/>
    <s v="West Fork and Below Lake"/>
    <s v="Mendocino (d/s of lake)"/>
    <x v="0"/>
    <n v="1949"/>
    <x v="10"/>
    <x v="1"/>
    <s v="Y"/>
    <s v="N"/>
    <s v="N"/>
    <s v="Y"/>
    <s v="N"/>
    <x v="1"/>
    <s v="N"/>
    <x v="1"/>
    <s v="N"/>
    <n v="0"/>
    <n v="0"/>
    <n v="0"/>
    <n v="0"/>
    <n v="0"/>
    <n v="6.06"/>
    <n v="18.37"/>
    <n v="27.2"/>
    <n v="15.83"/>
    <n v="4.5"/>
    <n v="0"/>
    <n v="0"/>
    <n v="71.959999999999994"/>
    <n v="67.473333333333272"/>
    <n v="0.2238013607317321"/>
    <n v="0.40011117287381848"/>
    <m/>
    <m/>
    <n v="179.9"/>
    <s v="Acre-feet per Year"/>
    <s v="U_6"/>
    <n v="0"/>
    <n v="39.023601829999997"/>
    <n v="-123.12963851000001"/>
    <s v="RUSSIAN RIVER"/>
  </r>
  <r>
    <s v="A013062"/>
    <n v="19490429"/>
    <n v="17"/>
    <s v="N"/>
    <s v="N"/>
    <s v="N"/>
    <s v="N"/>
    <x v="1"/>
    <s v="Outside"/>
    <s v="Outside"/>
    <x v="0"/>
    <n v="1949"/>
    <x v="10"/>
    <x v="1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36"/>
    <s v="Acre-feet per Year"/>
    <s v="L_17"/>
    <n v="0"/>
    <n v="38.549200079999999"/>
    <n v="-122.86056892000001"/>
    <s v="RUSSIAN RIVER UNDERFLOW"/>
  </r>
  <r>
    <s v="A013076"/>
    <n v="19490509"/>
    <n v="18"/>
    <s v="N"/>
    <s v="N"/>
    <s v="N"/>
    <s v="N"/>
    <x v="1"/>
    <s v="Outside"/>
    <s v="Outside"/>
    <x v="0"/>
    <n v="1949"/>
    <x v="10"/>
    <x v="1"/>
    <s v="N"/>
    <s v="N"/>
    <s v="N"/>
    <s v="Y"/>
    <s v="N"/>
    <x v="1"/>
    <s v="N"/>
    <x v="1"/>
    <s v="N"/>
    <n v="0"/>
    <n v="0"/>
    <n v="0"/>
    <n v="0"/>
    <n v="0.93333333299999999"/>
    <n v="1.6"/>
    <n v="2.0666666669999998"/>
    <n v="0"/>
    <n v="0"/>
    <n v="0"/>
    <n v="0"/>
    <n v="0"/>
    <n v="4.5999999999999996"/>
    <n v="4.5999999999999996"/>
    <n v="1.5257676010759341E-2"/>
    <n v="9.2369477911646583E-2"/>
    <m/>
    <m/>
    <n v="49.8"/>
    <s v="Acre-feet per Year"/>
    <s v="L_18"/>
    <n v="0"/>
    <n v="38.516638329999999"/>
    <n v="-122.88167255"/>
    <s v="RUSSIAN RIVER"/>
  </r>
  <r>
    <s v="A013097"/>
    <n v="19490517"/>
    <n v="17"/>
    <s v="N"/>
    <s v="N"/>
    <s v="N"/>
    <s v="N"/>
    <x v="1"/>
    <s v="Outside"/>
    <s v="Outside"/>
    <x v="0"/>
    <n v="1949"/>
    <x v="10"/>
    <x v="1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4"/>
    <s v="Acre-feet per Year"/>
    <s v="L_17"/>
    <n v="3.4039024194010059E-4"/>
    <n v="38.53718052"/>
    <n v="-122.85203301999999"/>
    <s v="RUSSIAN RIVER UNDERFLOW"/>
  </r>
  <r>
    <s v="A013098"/>
    <n v="19490517"/>
    <n v="17"/>
    <s v="N"/>
    <s v="N"/>
    <s v="N"/>
    <s v="N"/>
    <x v="1"/>
    <s v="Outside"/>
    <s v="Outside"/>
    <x v="0"/>
    <n v="1949"/>
    <x v="10"/>
    <x v="1"/>
    <s v="N"/>
    <s v="N"/>
    <s v="N"/>
    <s v="Y"/>
    <s v="N"/>
    <x v="1"/>
    <s v="N"/>
    <x v="1"/>
    <s v="N"/>
    <n v="0"/>
    <n v="0"/>
    <n v="6.6666670000000003E-3"/>
    <n v="1.6666667E-2"/>
    <n v="0.66666666699999999"/>
    <n v="1.8533333329999999"/>
    <n v="3.5"/>
    <n v="3.3333333330000001"/>
    <n v="2.733333333"/>
    <n v="3.91"/>
    <n v="0"/>
    <n v="0"/>
    <n v="16.02"/>
    <n v="12.086666665999999"/>
    <n v="4.0090096530407127E-2"/>
    <n v="0.11796759941089836"/>
    <m/>
    <m/>
    <n v="135.80000000000001"/>
    <s v="Acre-feet per Year"/>
    <s v="L_17"/>
    <n v="0"/>
    <n v="38.53244815"/>
    <n v="-122.86071665"/>
    <s v="RUSSIAN RIVER UNDERFLOW"/>
  </r>
  <r>
    <s v="A013105"/>
    <n v="19490519"/>
    <n v="18"/>
    <s v="N"/>
    <s v="N"/>
    <s v="N"/>
    <s v="N"/>
    <x v="1"/>
    <s v="Outside"/>
    <s v="Outside"/>
    <x v="0"/>
    <n v="1949"/>
    <x v="10"/>
    <x v="1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.4"/>
    <s v="Acre-feet per Year"/>
    <s v="L_18"/>
    <n v="0"/>
    <n v="38.518316280000001"/>
    <n v="-122.87767359999999"/>
    <s v="RUSSIAN RIVER"/>
  </r>
  <r>
    <s v="A013126A"/>
    <n v="19490601"/>
    <n v="10"/>
    <s v="N"/>
    <s v="Y"/>
    <s v="Y"/>
    <s v="Y"/>
    <x v="0"/>
    <s v="West Fork and Below Lake"/>
    <s v="Sonoma (d/s of Clov. Gage)"/>
    <x v="0"/>
    <n v="1949"/>
    <x v="10"/>
    <x v="1"/>
    <s v="Y"/>
    <s v="N"/>
    <s v="N"/>
    <s v="Y"/>
    <s v="N"/>
    <x v="1"/>
    <s v="N"/>
    <x v="1"/>
    <s v="N"/>
    <n v="0"/>
    <n v="0.08"/>
    <n v="0.2"/>
    <n v="0.06"/>
    <n v="0.24"/>
    <n v="0.83"/>
    <n v="1.54"/>
    <n v="1.95"/>
    <n v="0.78"/>
    <n v="0"/>
    <n v="0"/>
    <n v="0"/>
    <n v="5.6800000000000006"/>
    <n v="5.3700000000000072"/>
    <n v="1.7811678299516905E-2"/>
    <n v="1.6695889343463881E-2"/>
    <m/>
    <m/>
    <n v="342.2"/>
    <s v="Acre-feet per Year"/>
    <s v="U_10"/>
    <n v="0"/>
    <n v="38.67715638"/>
    <n v="-122.86176369"/>
    <s v="RUSSIAN RIVER UNDERFLOW"/>
  </r>
  <r>
    <s v="A013126B"/>
    <n v="19490601"/>
    <n v="10"/>
    <s v="N"/>
    <s v="Y"/>
    <s v="Y"/>
    <s v="Y"/>
    <x v="0"/>
    <s v="West Fork and Below Lake"/>
    <s v="Sonoma (d/s of Clov. Gage)"/>
    <x v="0"/>
    <n v="1949"/>
    <x v="10"/>
    <x v="1"/>
    <s v="Y"/>
    <s v="N"/>
    <s v="N"/>
    <s v="Y"/>
    <s v="N"/>
    <x v="1"/>
    <s v="N"/>
    <x v="1"/>
    <s v="N"/>
    <n v="0"/>
    <n v="0"/>
    <n v="0"/>
    <n v="0"/>
    <n v="0.1"/>
    <n v="0.73"/>
    <n v="1.4"/>
    <n v="2"/>
    <n v="1.66"/>
    <n v="0"/>
    <n v="0"/>
    <n v="0"/>
    <n v="5.8900000000000006"/>
    <n v="5.9000000000000021"/>
    <n v="1.9569627926843511E-2"/>
    <n v="5.8242843040473863E-2"/>
    <m/>
    <m/>
    <n v="101.3"/>
    <s v="Acre-feet per Year"/>
    <s v="U_10"/>
    <n v="0"/>
    <n v="38.676651219999997"/>
    <n v="-122.85580232"/>
    <s v="RUSSIAN RIVER UNDERFLOW"/>
  </r>
  <r>
    <s v="A013135"/>
    <n v="19490606"/>
    <n v="17"/>
    <s v="N"/>
    <s v="N"/>
    <s v="N"/>
    <s v="N"/>
    <x v="1"/>
    <s v="Outside"/>
    <s v="Outside"/>
    <x v="0"/>
    <n v="1949"/>
    <x v="10"/>
    <x v="1"/>
    <s v="N"/>
    <s v="N"/>
    <s v="N"/>
    <s v="Y"/>
    <s v="N"/>
    <x v="1"/>
    <s v="N"/>
    <x v="1"/>
    <s v="N"/>
    <n v="0"/>
    <n v="0"/>
    <n v="0"/>
    <n v="0"/>
    <n v="2.6666667000000002E-2"/>
    <n v="0.263333333"/>
    <n v="0.50666666699999996"/>
    <n v="0.52"/>
    <n v="0"/>
    <n v="0"/>
    <n v="0"/>
    <n v="0"/>
    <n v="1.316666667"/>
    <n v="1.316666667"/>
    <n v="4.3672333520113826E-3"/>
    <n v="1.7279090118110237E-2"/>
    <m/>
    <m/>
    <n v="76.2"/>
    <s v="Acre-feet per Year"/>
    <s v="L_17"/>
    <n v="0"/>
    <n v="38.523363660000001"/>
    <n v="-122.86375321"/>
    <s v="RUSSIAN RIVER"/>
  </r>
  <r>
    <s v="A013151"/>
    <n v="19490613"/>
    <n v="17"/>
    <s v="N"/>
    <s v="N"/>
    <s v="N"/>
    <s v="N"/>
    <x v="1"/>
    <s v="Outside"/>
    <s v="Outside"/>
    <x v="0"/>
    <n v="1949"/>
    <x v="10"/>
    <x v="1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87.6"/>
    <s v="Acre-feet per Year"/>
    <s v="L_17"/>
    <n v="0"/>
    <n v="38.531059679999998"/>
    <n v="-122.8627975"/>
    <s v="RUSSIAN RIVER"/>
  </r>
  <r>
    <s v="A013161"/>
    <n v="19490620"/>
    <n v="11"/>
    <s v="N"/>
    <s v="Y"/>
    <s v="Y"/>
    <s v="Y"/>
    <x v="0"/>
    <s v="West Fork and Below Lake"/>
    <s v="Sonoma (d/s of Clov. Gage)"/>
    <x v="0"/>
    <n v="1949"/>
    <x v="10"/>
    <x v="0"/>
    <s v="Y"/>
    <s v="N"/>
    <s v="N"/>
    <s v="Y"/>
    <s v="N"/>
    <x v="1"/>
    <s v="N"/>
    <x v="1"/>
    <s v="N"/>
    <n v="0"/>
    <n v="0"/>
    <n v="0"/>
    <n v="0"/>
    <n v="0.03"/>
    <n v="0.02"/>
    <n v="0.02"/>
    <n v="0.03"/>
    <n v="0.01"/>
    <n v="0"/>
    <n v="0"/>
    <n v="0"/>
    <n v="0.11"/>
    <n v="0.13034333299999998"/>
    <n v="4.3233398806011221E-4"/>
    <n v="4.494597689655172E-2"/>
    <m/>
    <m/>
    <n v="2.9"/>
    <s v="Acre-feet per Year"/>
    <s v="U_11"/>
    <n v="3.4039024194010059E-4"/>
    <n v="38.642499999999998"/>
    <n v="-122.7521"/>
    <s v="MAACAMA CREEK"/>
  </r>
  <r>
    <s v="A013163"/>
    <n v="19490620"/>
    <n v="23"/>
    <s v="N"/>
    <s v="N"/>
    <s v="N"/>
    <s v="N"/>
    <x v="1"/>
    <s v="Outside"/>
    <s v="Outside"/>
    <x v="0"/>
    <n v="1949"/>
    <x v="1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9"/>
    <s v="Acre-feet per Year"/>
    <s v="L_24"/>
    <n v="0"/>
    <n v="38.508607320000003"/>
    <n v="-122.64095526"/>
    <s v="MARK WEST CREEK"/>
  </r>
  <r>
    <s v="A013182A01"/>
    <n v="19490629"/>
    <n v="12"/>
    <s v="N"/>
    <s v="Y"/>
    <s v="Y"/>
    <s v="Y"/>
    <x v="0"/>
    <s v="West Fork and Below Lake"/>
    <s v="Sonoma (d/s of Clov. Gage)"/>
    <x v="0"/>
    <n v="1949"/>
    <x v="10"/>
    <x v="1"/>
    <s v="Y"/>
    <s v="N"/>
    <s v="N"/>
    <s v="Y"/>
    <s v="N"/>
    <x v="1"/>
    <s v="N"/>
    <x v="1"/>
    <s v="N"/>
    <n v="0"/>
    <n v="0"/>
    <n v="0"/>
    <n v="0"/>
    <n v="0.33"/>
    <n v="2.75"/>
    <n v="2.83"/>
    <n v="3"/>
    <n v="3.33"/>
    <n v="0.74"/>
    <n v="0"/>
    <n v="0"/>
    <n v="12.98"/>
    <n v="12.256666666666662"/>
    <n v="4.0653967167798608E-2"/>
    <n v="0.99999999999999956"/>
    <m/>
    <m/>
    <n v="13"/>
    <s v="Acre-feet per Year"/>
    <s v="U_12"/>
    <n v="0"/>
    <n v="38.638919659999999"/>
    <n v="-122.79407788"/>
    <s v="RUSSIAN RIVER"/>
  </r>
  <r>
    <s v="A013182A02"/>
    <n v="19490629"/>
    <n v="12"/>
    <s v="N"/>
    <s v="Y"/>
    <s v="Y"/>
    <s v="Y"/>
    <x v="0"/>
    <s v="West Fork and Below Lake"/>
    <s v="Sonoma (d/s of Clov. Gage)"/>
    <x v="0"/>
    <n v="1949"/>
    <x v="10"/>
    <x v="1"/>
    <s v="Y"/>
    <s v="N"/>
    <s v="N"/>
    <s v="Y"/>
    <s v="N"/>
    <x v="1"/>
    <s v="N"/>
    <x v="1"/>
    <s v="N"/>
    <n v="0"/>
    <n v="0"/>
    <n v="0"/>
    <n v="0"/>
    <n v="0.3"/>
    <n v="0.66"/>
    <n v="1.2"/>
    <n v="1.4"/>
    <n v="1.1000000000000001"/>
    <n v="0.6"/>
    <n v="0"/>
    <n v="0"/>
    <n v="5.26"/>
    <n v="4.666666666666667"/>
    <n v="1.547880175004571E-2"/>
    <n v="0.40512820512820513"/>
    <m/>
    <m/>
    <n v="13"/>
    <s v="Acre-feet per Year"/>
    <s v="U_12"/>
    <n v="0"/>
    <n v="38.652414620000002"/>
    <n v="-122.78827502"/>
    <s v="RUSSIAN RIVER"/>
  </r>
  <r>
    <s v="A013182B"/>
    <n v="19490629"/>
    <n v="12"/>
    <s v="N"/>
    <s v="Y"/>
    <s v="Y"/>
    <s v="Y"/>
    <x v="0"/>
    <s v="West Fork and Below Lake"/>
    <s v="Sonoma (d/s of Clov. Gage)"/>
    <x v="0"/>
    <n v="1949"/>
    <x v="10"/>
    <x v="1"/>
    <s v="Y"/>
    <s v="N"/>
    <s v="N"/>
    <s v="Y"/>
    <s v="N"/>
    <x v="1"/>
    <s v="N"/>
    <x v="1"/>
    <s v="N"/>
    <n v="0"/>
    <n v="0"/>
    <n v="0"/>
    <n v="0"/>
    <n v="1.2"/>
    <n v="2.76"/>
    <n v="5.0599999999999996"/>
    <n v="6"/>
    <n v="4.63"/>
    <n v="2.46"/>
    <n v="0"/>
    <n v="0"/>
    <n v="22.11"/>
    <n v="19.666666666666671"/>
    <n v="6.523209308947836E-2"/>
    <n v="0.28485628485628495"/>
    <m/>
    <m/>
    <n v="77.7"/>
    <s v="Acre-feet per Year"/>
    <s v="U_12"/>
    <n v="0"/>
    <n v="38.627695240000001"/>
    <n v="-122.78905193"/>
    <s v="RUSSIAN RIVER"/>
  </r>
  <r>
    <s v="A013217"/>
    <n v="19490708"/>
    <n v="12"/>
    <s v="N"/>
    <s v="Y"/>
    <s v="Y"/>
    <s v="Y"/>
    <x v="0"/>
    <s v="West Fork and Below Lake"/>
    <s v="Sonoma (d/s of Clov. Gage)"/>
    <x v="0"/>
    <n v="1949"/>
    <x v="10"/>
    <x v="1"/>
    <s v="Y"/>
    <s v="N"/>
    <s v="N"/>
    <s v="Y"/>
    <s v="N"/>
    <x v="1"/>
    <s v="N"/>
    <x v="1"/>
    <s v="N"/>
    <n v="0"/>
    <n v="0"/>
    <n v="0"/>
    <n v="0"/>
    <n v="31.66"/>
    <n v="77.56"/>
    <n v="88.45"/>
    <n v="89.86"/>
    <n v="78.44"/>
    <n v="69.19"/>
    <n v="0"/>
    <n v="0"/>
    <n v="435.16"/>
    <n v="365.98666666666674"/>
    <n v="1.2139360835342994"/>
    <n v="0.20036376198836095"/>
    <m/>
    <m/>
    <n v="2171.933"/>
    <s v="Acre-feet per Year"/>
    <s v="U_12"/>
    <n v="0"/>
    <n v="38.633328259999999"/>
    <n v="-122.85593332000001"/>
    <s v="RUSSIAN RIVER (SUBTERRANEAN STREAM)"/>
  </r>
  <r>
    <s v="A013221"/>
    <n v="19490708"/>
    <n v="23"/>
    <s v="N"/>
    <s v="N"/>
    <s v="N"/>
    <s v="N"/>
    <x v="1"/>
    <s v="Outside"/>
    <s v="Outside"/>
    <x v="0"/>
    <n v="1949"/>
    <x v="10"/>
    <x v="0"/>
    <s v="N"/>
    <s v="N"/>
    <s v="N"/>
    <s v="Y"/>
    <s v="N"/>
    <x v="1"/>
    <s v="N"/>
    <x v="0"/>
    <s v="N"/>
    <n v="2.9445906669999999"/>
    <n v="0"/>
    <n v="0"/>
    <n v="0"/>
    <n v="0"/>
    <n v="0"/>
    <n v="0"/>
    <n v="0"/>
    <n v="0"/>
    <n v="0"/>
    <n v="0"/>
    <n v="0"/>
    <n v="2.9445906669999999"/>
    <n v="0"/>
    <n v="0"/>
    <n v="8.4131161914285713E-2"/>
    <m/>
    <m/>
    <n v="35"/>
    <s v="Acre-feet per Year"/>
    <s v="L_27"/>
    <n v="0"/>
    <n v="38.39398147"/>
    <n v="-122.61236608"/>
    <s v="UNST"/>
  </r>
  <r>
    <s v="A013256"/>
    <n v="19490725"/>
    <n v="23"/>
    <s v="N"/>
    <s v="N"/>
    <s v="N"/>
    <s v="N"/>
    <x v="1"/>
    <s v="Outside"/>
    <s v="Outside"/>
    <x v="0"/>
    <n v="1949"/>
    <x v="1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52.69999999999999"/>
    <s v="Acre-feet per Year"/>
    <s v="L_25"/>
    <n v="0"/>
    <n v="38.418754880000002"/>
    <n v="-122.82409597"/>
    <s v="LAGUNA DE SANTA ROSA"/>
  </r>
  <r>
    <s v="A013261"/>
    <n v="19490726"/>
    <n v="18"/>
    <s v="N"/>
    <s v="N"/>
    <s v="N"/>
    <s v="N"/>
    <x v="1"/>
    <s v="Outside"/>
    <s v="Outside"/>
    <x v="0"/>
    <n v="1949"/>
    <x v="10"/>
    <x v="1"/>
    <s v="N"/>
    <s v="N"/>
    <s v="N"/>
    <s v="Y"/>
    <s v="N"/>
    <x v="1"/>
    <s v="N"/>
    <x v="1"/>
    <s v="N"/>
    <n v="0"/>
    <n v="0"/>
    <n v="0"/>
    <n v="0.133333333"/>
    <n v="0.15"/>
    <n v="0.3"/>
    <n v="0.2"/>
    <n v="0.31333333299999999"/>
    <n v="0.21666666700000001"/>
    <n v="0.296666667"/>
    <n v="0.133333333"/>
    <n v="0"/>
    <n v="1.7433333329999998"/>
    <n v="1.18"/>
    <n v="3.9139255853687001E-3"/>
    <n v="3.4049479160156243E-2"/>
    <m/>
    <m/>
    <n v="51.2"/>
    <s v="Acre-feet per Year"/>
    <s v="L_18"/>
    <n v="0"/>
    <n v="38.518097009999998"/>
    <n v="-122.87033068"/>
    <s v="RUSSIAN RIVER UNDERFLOW"/>
  </r>
  <r>
    <s v="A013267"/>
    <n v="19490728"/>
    <n v="17"/>
    <s v="N"/>
    <s v="N"/>
    <s v="N"/>
    <s v="N"/>
    <x v="1"/>
    <s v="Outside"/>
    <s v="Outside"/>
    <x v="0"/>
    <n v="1949"/>
    <x v="10"/>
    <x v="1"/>
    <s v="N"/>
    <s v="N"/>
    <s v="N"/>
    <s v="Y"/>
    <s v="N"/>
    <x v="1"/>
    <s v="N"/>
    <x v="1"/>
    <s v="N"/>
    <n v="0"/>
    <n v="0"/>
    <n v="0"/>
    <n v="0"/>
    <n v="1.4"/>
    <n v="4.766666667"/>
    <n v="10.43333333"/>
    <n v="14.1"/>
    <n v="5.6333333330000004"/>
    <n v="0.96666666700000003"/>
    <n v="0"/>
    <n v="0"/>
    <n v="37.299999997"/>
    <n v="36.333333330000002"/>
    <n v="0.12051352790001389"/>
    <n v="0.23637515840937895"/>
    <m/>
    <m/>
    <n v="157.80000000000001"/>
    <s v="Acre-feet per Year"/>
    <s v="L_17"/>
    <n v="0"/>
    <n v="38.562176229999999"/>
    <n v="-122.85110726000001"/>
    <s v="RUSSIAN RIVER UNDERFLOW"/>
  </r>
  <r>
    <s v="A013268"/>
    <n v="19490728"/>
    <n v="17"/>
    <s v="N"/>
    <s v="N"/>
    <s v="N"/>
    <s v="N"/>
    <x v="1"/>
    <s v="Outside"/>
    <s v="Outside"/>
    <x v="0"/>
    <n v="1949"/>
    <x v="10"/>
    <x v="1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6.099999999999994"/>
    <s v="Acre-feet per Year"/>
    <s v="L_17"/>
    <n v="0"/>
    <n v="38.53026706"/>
    <n v="-122.85859281"/>
    <s v="RUSSIAN RIVER UNDERFLOW"/>
  </r>
  <r>
    <s v="A013269"/>
    <n v="19490728"/>
    <n v="23"/>
    <s v="N"/>
    <s v="N"/>
    <s v="N"/>
    <s v="N"/>
    <x v="1"/>
    <s v="Outside"/>
    <s v="Outside"/>
    <x v="0"/>
    <n v="1949"/>
    <x v="1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4.8"/>
    <s v="Acre-feet per Year"/>
    <s v="L_24"/>
    <n v="0"/>
    <n v="38.493589700000001"/>
    <n v="-122.87929176"/>
    <s v="MARK WEST CREEK"/>
  </r>
  <r>
    <s v="A013270"/>
    <n v="19490729"/>
    <n v="4"/>
    <s v="Y"/>
    <s v="N"/>
    <s v="Y"/>
    <s v="Y"/>
    <x v="0"/>
    <s v="West Fork and Below Lake"/>
    <s v="Mendocino (d/s of lake)"/>
    <x v="0"/>
    <n v="1949"/>
    <x v="10"/>
    <x v="1"/>
    <s v="Y"/>
    <s v="N"/>
    <s v="N"/>
    <s v="Y"/>
    <s v="N"/>
    <x v="1"/>
    <s v="N"/>
    <x v="1"/>
    <s v="N"/>
    <n v="0"/>
    <n v="0"/>
    <n v="0"/>
    <n v="0"/>
    <n v="0"/>
    <n v="13.74"/>
    <n v="14.84"/>
    <n v="8.31"/>
    <n v="6.16"/>
    <n v="0"/>
    <n v="0"/>
    <n v="0"/>
    <n v="43.05"/>
    <n v="43.073333333333395"/>
    <n v="0.1428693401529221"/>
    <n v="0.39228901032179775"/>
    <m/>
    <m/>
    <n v="109.8"/>
    <s v="Acre-feet per Year"/>
    <s v="U_4"/>
    <n v="0"/>
    <n v="39.133968340000003"/>
    <n v="-123.18710625999999"/>
    <s v="RUSSIAN RIVER"/>
  </r>
  <r>
    <s v="A013277"/>
    <n v="19490804"/>
    <n v="9"/>
    <s v="N"/>
    <s v="Y"/>
    <s v="Y"/>
    <s v="Y"/>
    <x v="0"/>
    <s v="West Fork and Below Lake"/>
    <s v="Sonoma (d/s of Clov. Gage)"/>
    <x v="0"/>
    <n v="1949"/>
    <x v="10"/>
    <x v="1"/>
    <s v="Y"/>
    <s v="N"/>
    <s v="N"/>
    <s v="Y"/>
    <s v="N"/>
    <x v="1"/>
    <s v="N"/>
    <x v="1"/>
    <s v="N"/>
    <n v="0"/>
    <n v="0"/>
    <n v="0"/>
    <n v="0.33"/>
    <n v="0"/>
    <n v="0.23"/>
    <n v="0.26"/>
    <n v="3.26"/>
    <n v="2.13"/>
    <n v="0"/>
    <n v="0"/>
    <n v="0"/>
    <n v="6.21"/>
    <n v="5.9"/>
    <n v="1.9569627926843504E-2"/>
    <n v="8.3111111111111108E-2"/>
    <m/>
    <m/>
    <n v="75"/>
    <s v="Acre-feet per Year"/>
    <s v="U_9"/>
    <n v="0"/>
    <n v="38.811669389999999"/>
    <n v="-123.00378298"/>
    <s v="RUSSIAN RIVER UNDERFLOW"/>
  </r>
  <r>
    <s v="A013281B"/>
    <n v="19490808"/>
    <n v="12"/>
    <s v="N"/>
    <s v="Y"/>
    <s v="Y"/>
    <s v="Y"/>
    <x v="0"/>
    <s v="West Fork and Below Lake"/>
    <s v="Sonoma (d/s of Clov. Gage)"/>
    <x v="0"/>
    <n v="1949"/>
    <x v="10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0.5"/>
    <s v="Acre-feet per Year"/>
    <s v="U_12"/>
    <n v="0"/>
    <n v="38.627695240000001"/>
    <n v="-122.78905193"/>
    <s v="RUSSIAN RIVER"/>
  </r>
  <r>
    <s v="A013287"/>
    <n v="19490809"/>
    <n v="4"/>
    <s v="Y"/>
    <s v="N"/>
    <s v="Y"/>
    <s v="Y"/>
    <x v="0"/>
    <s v="West Fork and Below Lake"/>
    <s v="Mendocino (d/s of lake)"/>
    <x v="0"/>
    <n v="1949"/>
    <x v="10"/>
    <x v="1"/>
    <s v="Y"/>
    <s v="N"/>
    <s v="N"/>
    <s v="Y"/>
    <s v="N"/>
    <x v="1"/>
    <s v="N"/>
    <x v="1"/>
    <s v="N"/>
    <n v="0"/>
    <n v="0"/>
    <n v="1.03"/>
    <n v="1.53"/>
    <n v="2.66"/>
    <n v="2.8"/>
    <n v="4.53"/>
    <n v="2.86"/>
    <n v="1.3"/>
    <n v="1.03"/>
    <n v="0"/>
    <n v="0"/>
    <n v="17.740000000000002"/>
    <n v="14.166666666666671"/>
    <n v="4.698921959835306E-2"/>
    <n v="0.10414224306369674"/>
    <m/>
    <m/>
    <n v="170.6"/>
    <s v="Acre-feet per Year"/>
    <s v="U_4"/>
    <n v="0"/>
    <n v="39.132292380000003"/>
    <n v="-123.18989877999999"/>
    <s v="RUSSIAN RIVER"/>
  </r>
  <r>
    <s v="A013288"/>
    <n v="19490809"/>
    <n v="4"/>
    <s v="Y"/>
    <s v="N"/>
    <s v="Y"/>
    <s v="Y"/>
    <x v="0"/>
    <s v="West Fork and Below Lake"/>
    <s v="Mendocino (d/s of lake)"/>
    <x v="0"/>
    <n v="1949"/>
    <x v="10"/>
    <x v="1"/>
    <s v="Y"/>
    <s v="N"/>
    <s v="N"/>
    <s v="Y"/>
    <s v="N"/>
    <x v="1"/>
    <s v="N"/>
    <x v="1"/>
    <s v="N"/>
    <n v="0"/>
    <n v="0"/>
    <n v="0"/>
    <n v="0"/>
    <n v="0"/>
    <n v="8.76"/>
    <n v="9.6999999999999993"/>
    <n v="7.73"/>
    <n v="6.5"/>
    <n v="8.9"/>
    <n v="0"/>
    <n v="0"/>
    <n v="41.589999999999996"/>
    <n v="32.700000000000003"/>
    <n v="0.10846217511996316"/>
    <n v="0.21871713985278657"/>
    <m/>
    <m/>
    <n v="190.2"/>
    <s v="Acre-feet per Year"/>
    <s v="U_4"/>
    <n v="0"/>
    <n v="39.132292380000003"/>
    <n v="-123.18989877999999"/>
    <s v="RUSSIAN RIVER"/>
  </r>
  <r>
    <s v="A013289"/>
    <n v="19490809"/>
    <n v="9"/>
    <s v="N"/>
    <s v="Y"/>
    <s v="Y"/>
    <s v="Y"/>
    <x v="0"/>
    <s v="West Fork and Below Lake"/>
    <s v="Sonoma (d/s of Clov. Gage)"/>
    <x v="0"/>
    <n v="1949"/>
    <x v="10"/>
    <x v="1"/>
    <s v="Y"/>
    <s v="N"/>
    <s v="N"/>
    <s v="Y"/>
    <s v="N"/>
    <x v="1"/>
    <s v="N"/>
    <x v="1"/>
    <s v="N"/>
    <n v="0"/>
    <n v="0"/>
    <n v="0"/>
    <n v="0"/>
    <n v="0"/>
    <n v="1.1000000000000001"/>
    <n v="2.5"/>
    <n v="1.4"/>
    <n v="0"/>
    <n v="0"/>
    <n v="0"/>
    <n v="0"/>
    <n v="5"/>
    <n v="5"/>
    <n v="1.6584430446477543E-2"/>
    <n v="0.10706638115631691"/>
    <m/>
    <m/>
    <n v="46.7"/>
    <s v="Acre-feet per Year"/>
    <s v="U_9"/>
    <n v="0"/>
    <n v="38.804042019999997"/>
    <n v="-122.99665663"/>
    <s v="RUSSIAN RIVER UNDERFLOW"/>
  </r>
  <r>
    <s v="A013301"/>
    <n v="19490817"/>
    <n v="23"/>
    <s v="N"/>
    <s v="N"/>
    <s v="N"/>
    <s v="N"/>
    <x v="1"/>
    <s v="Outside"/>
    <s v="Outside"/>
    <x v="0"/>
    <n v="1949"/>
    <x v="10"/>
    <x v="0"/>
    <s v="N"/>
    <s v="N"/>
    <s v="N"/>
    <s v="Y"/>
    <s v="N"/>
    <x v="1"/>
    <s v="N"/>
    <x v="1"/>
    <s v="N"/>
    <n v="0"/>
    <n v="0"/>
    <n v="9.2066667000000005E-2"/>
    <n v="2.2556319999999999"/>
    <n v="3.3143980000000002"/>
    <n v="3.3143980000000002"/>
    <n v="3.3143980000000002"/>
    <n v="3.3143980000000002"/>
    <n v="3.3143980000000002"/>
    <n v="1.196866"/>
    <n v="4.6033333000000003E-2"/>
    <n v="0"/>
    <n v="20.162588000000003"/>
    <n v="16.57199"/>
    <n v="5.4967403102944276E-2"/>
    <n v="0.55239967123287681"/>
    <m/>
    <m/>
    <n v="36.5"/>
    <s v="Acre-feet per Year"/>
    <s v="L_25"/>
    <n v="0"/>
    <n v="38.433980239999997"/>
    <n v="-122.8452185"/>
    <s v="UNST"/>
  </r>
  <r>
    <s v="A013317"/>
    <n v="19490829"/>
    <n v="21"/>
    <s v="N"/>
    <s v="N"/>
    <s v="N"/>
    <s v="N"/>
    <x v="1"/>
    <s v="Outside"/>
    <s v="Outside"/>
    <x v="0"/>
    <n v="1949"/>
    <x v="10"/>
    <x v="1"/>
    <s v="N"/>
    <s v="N"/>
    <s v="N"/>
    <s v="Y"/>
    <s v="N"/>
    <x v="1"/>
    <s v="N"/>
    <x v="1"/>
    <s v="N"/>
    <n v="0"/>
    <n v="0"/>
    <n v="0"/>
    <n v="6"/>
    <n v="13"/>
    <n v="13"/>
    <n v="13"/>
    <n v="13"/>
    <n v="13"/>
    <n v="7"/>
    <n v="0"/>
    <n v="0"/>
    <n v="78"/>
    <n v="65"/>
    <n v="0.21559759580420809"/>
    <n v="0.8904109589041096"/>
    <m/>
    <m/>
    <n v="87.6"/>
    <s v="Acre-feet per Year"/>
    <s v="L_21"/>
    <n v="0"/>
    <n v="38.460012300000002"/>
    <n v="-123.05298188"/>
    <s v="RUSSIAN RIVER"/>
  </r>
  <r>
    <s v="A013330"/>
    <n v="19490906"/>
    <n v="23"/>
    <s v="N"/>
    <s v="N"/>
    <s v="N"/>
    <s v="N"/>
    <x v="1"/>
    <s v="Outside"/>
    <s v="Outside"/>
    <x v="0"/>
    <n v="1949"/>
    <x v="1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1.1"/>
    <s v="Acre-feet per Year"/>
    <s v="L_26"/>
    <n v="0"/>
    <n v="38.44580088"/>
    <n v="-122.80485323000001"/>
    <s v="SANTA ROSA CREEK"/>
  </r>
  <r>
    <s v="A013331"/>
    <n v="19490906"/>
    <n v="12"/>
    <s v="N"/>
    <s v="Y"/>
    <s v="Y"/>
    <s v="Y"/>
    <x v="0"/>
    <s v="West Fork and Below Lake"/>
    <s v="Sonoma (d/s of Clov. Gage)"/>
    <x v="0"/>
    <n v="1949"/>
    <x v="10"/>
    <x v="1"/>
    <s v="Y"/>
    <s v="N"/>
    <s v="N"/>
    <s v="Y"/>
    <s v="N"/>
    <x v="1"/>
    <s v="N"/>
    <x v="1"/>
    <s v="N"/>
    <n v="0"/>
    <n v="0"/>
    <n v="0"/>
    <n v="0.2"/>
    <n v="0.14000000000000001"/>
    <n v="0.33"/>
    <n v="1.41"/>
    <n v="1.76"/>
    <n v="1.18"/>
    <n v="0.94"/>
    <n v="0.14000000000000001"/>
    <n v="0"/>
    <n v="6.0999999999999988"/>
    <n v="4.84570151166667"/>
    <n v="1.6072639936925398E-2"/>
    <n v="1.7598856916236381E-2"/>
    <m/>
    <m/>
    <n v="348.6"/>
    <s v="Acre-feet per Year"/>
    <s v="U_12"/>
    <n v="0"/>
    <n v="38.649280470000001"/>
    <n v="-122.80837566"/>
    <s v="RUSSIAN RIVER"/>
  </r>
  <r>
    <s v="A013376"/>
    <n v="19491003"/>
    <n v="23"/>
    <s v="N"/>
    <s v="N"/>
    <s v="N"/>
    <s v="N"/>
    <x v="1"/>
    <s v="Outside"/>
    <s v="Outside"/>
    <x v="0"/>
    <n v="1949"/>
    <x v="10"/>
    <x v="0"/>
    <s v="N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35"/>
    <s v="Acre-feet per Year"/>
    <s v="L_24"/>
    <n v="0"/>
    <n v="38.503288599999998"/>
    <n v="-122.79082268000001"/>
    <s v="MARK WEST CREEK"/>
  </r>
  <r>
    <s v="A013384"/>
    <n v="19491005"/>
    <n v="18"/>
    <s v="N"/>
    <s v="N"/>
    <s v="N"/>
    <s v="N"/>
    <x v="1"/>
    <s v="Outside"/>
    <s v="Outside"/>
    <x v="0"/>
    <n v="1949"/>
    <x v="10"/>
    <x v="1"/>
    <s v="N"/>
    <s v="N"/>
    <s v="N"/>
    <s v="Y"/>
    <s v="N"/>
    <x v="1"/>
    <s v="N"/>
    <x v="1"/>
    <s v="N"/>
    <n v="0"/>
    <n v="0"/>
    <n v="0"/>
    <n v="0"/>
    <n v="0"/>
    <n v="0"/>
    <n v="4.2166666670000001"/>
    <n v="1.173333333"/>
    <n v="0"/>
    <n v="0"/>
    <n v="0"/>
    <n v="0"/>
    <n v="5.3900000000000006"/>
    <n v="5.3900000000000006"/>
    <n v="1.7878016021302796E-2"/>
    <n v="1.6780821917808223E-2"/>
    <m/>
    <m/>
    <n v="321.2"/>
    <s v="Acre-feet per Year"/>
    <s v="L_18"/>
    <n v="0"/>
    <n v="38.517773030000001"/>
    <n v="-122.88154182"/>
    <s v="RUSSIAN RIVER"/>
  </r>
  <r>
    <s v="A013391"/>
    <n v="19491007"/>
    <n v="12"/>
    <s v="N"/>
    <s v="Y"/>
    <s v="Y"/>
    <s v="Y"/>
    <x v="0"/>
    <s v="West Fork and Below Lake"/>
    <s v="Sonoma (d/s of Clov. Gage)"/>
    <x v="0"/>
    <n v="1949"/>
    <x v="10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3.9"/>
    <s v="Acre-feet per Year"/>
    <s v="U_12"/>
    <n v="0"/>
    <n v="38.651000000000003"/>
    <n v="-122.80629999999999"/>
    <s v="RUSSIAN RIVER"/>
  </r>
  <r>
    <s v="A013393"/>
    <n v="19491011"/>
    <n v="23"/>
    <s v="N"/>
    <s v="N"/>
    <s v="N"/>
    <s v="N"/>
    <x v="1"/>
    <s v="Outside"/>
    <s v="Outside"/>
    <x v="0"/>
    <n v="1949"/>
    <x v="10"/>
    <x v="0"/>
    <s v="N"/>
    <s v="N"/>
    <s v="N"/>
    <s v="Y"/>
    <s v="N"/>
    <x v="1"/>
    <s v="N"/>
    <x v="1"/>
    <s v="N"/>
    <n v="0"/>
    <n v="0"/>
    <n v="0"/>
    <n v="0"/>
    <n v="5.233333333"/>
    <n v="12.03333333"/>
    <n v="17.166666670000001"/>
    <n v="17.2"/>
    <n v="0"/>
    <n v="0"/>
    <n v="0"/>
    <n v="0"/>
    <n v="51.633333332999996"/>
    <n v="51.633333332999996"/>
    <n v="0.17126188507618581"/>
    <n v="0.18414170232881596"/>
    <m/>
    <m/>
    <n v="280.39999999999998"/>
    <s v="Acre-feet per Year"/>
    <s v="L_24"/>
    <n v="0"/>
    <n v="38.495346009999999"/>
    <n v="-122.86552438"/>
    <s v="MARK WEST CREEK"/>
  </r>
  <r>
    <s v="A013406"/>
    <n v="19491020"/>
    <n v="12"/>
    <s v="N"/>
    <s v="Y"/>
    <s v="Y"/>
    <s v="Y"/>
    <x v="0"/>
    <s v="West Fork and Below Lake"/>
    <s v="Sonoma (d/s of Clov. Gage)"/>
    <x v="0"/>
    <n v="1949"/>
    <x v="10"/>
    <x v="1"/>
    <s v="Y"/>
    <s v="N"/>
    <s v="N"/>
    <s v="Y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5.4"/>
    <s v="Acre-feet per Year"/>
    <s v="U_12"/>
    <n v="0"/>
    <n v="38.624478840000002"/>
    <n v="-122.81737054"/>
    <s v="RUSSIAN RIVER"/>
  </r>
  <r>
    <s v="A013453"/>
    <n v="19491109"/>
    <n v="17"/>
    <s v="N"/>
    <s v="N"/>
    <s v="N"/>
    <s v="N"/>
    <x v="1"/>
    <s v="Outside"/>
    <s v="Outside"/>
    <x v="0"/>
    <n v="1949"/>
    <x v="10"/>
    <x v="1"/>
    <s v="N"/>
    <s v="N"/>
    <s v="N"/>
    <s v="Y"/>
    <s v="N"/>
    <x v="1"/>
    <s v="N"/>
    <x v="1"/>
    <s v="N"/>
    <n v="0"/>
    <n v="0"/>
    <n v="0"/>
    <n v="0"/>
    <n v="3.6666666669999999"/>
    <n v="7.8666666669999996"/>
    <n v="10.633333329999999"/>
    <n v="10.7"/>
    <n v="10.7"/>
    <n v="2.3666666670000001"/>
    <n v="3"/>
    <n v="0"/>
    <n v="48.933333330999993"/>
    <n v="43.566666663999996"/>
    <n v="0.14450567061479597"/>
    <n v="0.63715277774739576"/>
    <m/>
    <m/>
    <n v="76.8"/>
    <s v="Acre-feet per Year"/>
    <s v="L_17"/>
    <n v="0"/>
    <n v="38.562477680000001"/>
    <n v="-122.84743847"/>
    <s v="RUSSIAN RIVER"/>
  </r>
  <r>
    <s v="A013468"/>
    <n v="19491117"/>
    <n v="12"/>
    <s v="N"/>
    <s v="Y"/>
    <s v="Y"/>
    <s v="Y"/>
    <x v="0"/>
    <s v="West Fork and Below Lake"/>
    <s v="Sonoma (d/s of Clov. Gage)"/>
    <x v="0"/>
    <n v="1949"/>
    <x v="10"/>
    <x v="1"/>
    <s v="Y"/>
    <s v="N"/>
    <s v="N"/>
    <s v="Y"/>
    <s v="N"/>
    <x v="1"/>
    <s v="N"/>
    <x v="1"/>
    <s v="N"/>
    <n v="0"/>
    <n v="0"/>
    <n v="0"/>
    <n v="0"/>
    <n v="0.28999999999999998"/>
    <n v="0.57999999999999996"/>
    <n v="0.57999999999999996"/>
    <n v="0.49"/>
    <n v="0.54"/>
    <n v="0.39"/>
    <n v="0"/>
    <n v="0"/>
    <n v="2.8699999999999997"/>
    <n v="2.5042123333333319"/>
    <n v="8.3061870530755783E-3"/>
    <n v="4.9691766723842186E-2"/>
    <m/>
    <m/>
    <n v="58.3"/>
    <s v="Acre-feet per Year"/>
    <s v="U_12"/>
    <n v="0"/>
    <n v="38.632911460000003"/>
    <n v="-122.82867022000001"/>
    <s v="RUSSIAN RIVER"/>
  </r>
  <r>
    <s v="A013474"/>
    <n v="19491121"/>
    <n v="10"/>
    <s v="N"/>
    <s v="Y"/>
    <s v="Y"/>
    <s v="Y"/>
    <x v="0"/>
    <s v="West Fork and Below Lake"/>
    <s v="Sonoma (d/s of Clov. Gage)"/>
    <x v="0"/>
    <n v="1949"/>
    <x v="10"/>
    <x v="1"/>
    <s v="Y"/>
    <s v="N"/>
    <s v="N"/>
    <s v="Y"/>
    <s v="N"/>
    <x v="1"/>
    <s v="N"/>
    <x v="1"/>
    <s v="N"/>
    <n v="0"/>
    <n v="0"/>
    <n v="0"/>
    <n v="0"/>
    <n v="0.41"/>
    <n v="1.75"/>
    <n v="4.4800000000000004"/>
    <n v="6.55"/>
    <n v="6.38"/>
    <n v="0.45"/>
    <n v="0.28999999999999998"/>
    <n v="0"/>
    <n v="20.309999999999999"/>
    <n v="19.586666666666666"/>
    <n v="6.4966742202334699E-2"/>
    <n v="9.295839048925468E-2"/>
    <m/>
    <m/>
    <n v="218.7"/>
    <s v="Acre-feet per Year"/>
    <s v="U_10"/>
    <n v="0"/>
    <n v="38.681298380000001"/>
    <n v="-122.85866079"/>
    <s v="RUSSIAN RIVER UNDERFLOW"/>
  </r>
  <r>
    <s v="A012232"/>
    <n v="19480108"/>
    <n v="5"/>
    <s v="Y"/>
    <s v="N"/>
    <s v="Y"/>
    <s v="Y"/>
    <x v="0"/>
    <s v="West Fork and Below Lake"/>
    <s v="Mendocino (d/s of lake)"/>
    <x v="1"/>
    <n v="1948"/>
    <x v="10"/>
    <x v="0"/>
    <s v="Y"/>
    <s v="N"/>
    <s v="Y"/>
    <s v="N"/>
    <s v="N"/>
    <x v="1"/>
    <s v="N"/>
    <x v="1"/>
    <s v="N"/>
    <n v="36.299999999999997"/>
    <n v="1.1000000000000001"/>
    <n v="0"/>
    <n v="0"/>
    <n v="0"/>
    <n v="0"/>
    <n v="0"/>
    <n v="0.63"/>
    <n v="0"/>
    <n v="4.93"/>
    <n v="29.8"/>
    <n v="31.16"/>
    <n v="103.92"/>
    <n v="0.63333333333333297"/>
    <n v="2.1006945232204879E-3"/>
    <n v="1.077029360967185"/>
    <m/>
    <m/>
    <n v="96.5"/>
    <s v="Acre-feet per Year"/>
    <s v="U_5"/>
    <n v="0"/>
    <n v="39.039213250000003"/>
    <n v="-123.19381916"/>
    <s v="MCNAB CREEK"/>
  </r>
  <r>
    <s v="A012330"/>
    <n v="19480216"/>
    <n v="18"/>
    <s v="N"/>
    <s v="N"/>
    <s v="N"/>
    <s v="N"/>
    <x v="1"/>
    <s v="Outside"/>
    <s v="Outside"/>
    <x v="1"/>
    <n v="1948"/>
    <x v="10"/>
    <x v="0"/>
    <s v="N"/>
    <s v="N"/>
    <s v="Y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05.5"/>
    <s v="Acre-feet per Year"/>
    <s v="L_18"/>
    <n v="0"/>
    <n v="38.430329149999999"/>
    <n v="-122.89265374999999"/>
    <s v="PURRINGTON CREEK"/>
  </r>
  <r>
    <s v="A012452"/>
    <n v="19480329"/>
    <n v="18"/>
    <s v="N"/>
    <s v="N"/>
    <s v="N"/>
    <s v="N"/>
    <x v="1"/>
    <s v="Outside"/>
    <s v="Outside"/>
    <x v="1"/>
    <n v="1948"/>
    <x v="10"/>
    <x v="1"/>
    <s v="N"/>
    <s v="N"/>
    <s v="Y"/>
    <s v="N"/>
    <s v="N"/>
    <x v="1"/>
    <s v="N"/>
    <x v="1"/>
    <s v="N"/>
    <n v="0"/>
    <n v="0"/>
    <n v="0"/>
    <n v="0"/>
    <n v="0"/>
    <n v="0"/>
    <n v="0.1"/>
    <n v="0.133333333"/>
    <n v="0"/>
    <n v="0"/>
    <n v="0"/>
    <n v="0"/>
    <n v="0.233333333"/>
    <n v="0.233333333"/>
    <n v="7.7394008639665684E-4"/>
    <n v="6.3233965582655833E-3"/>
    <m/>
    <m/>
    <n v="36.9"/>
    <s v="Acre-feet per Year"/>
    <s v="L_18"/>
    <n v="0"/>
    <n v="38.497923030000003"/>
    <n v="-122.88720735"/>
    <s v="RUSSIAN RIVER"/>
  </r>
  <r>
    <s v="A012483"/>
    <n v="19480423"/>
    <n v="23"/>
    <s v="N"/>
    <s v="N"/>
    <s v="N"/>
    <s v="N"/>
    <x v="1"/>
    <s v="Outside"/>
    <s v="Outside"/>
    <x v="1"/>
    <n v="1948"/>
    <x v="10"/>
    <x v="0"/>
    <s v="N"/>
    <s v="N"/>
    <s v="Y"/>
    <s v="N"/>
    <s v="N"/>
    <x v="1"/>
    <s v="N"/>
    <x v="1"/>
    <s v="N"/>
    <n v="0"/>
    <n v="0"/>
    <n v="0"/>
    <n v="8.5724333E-2"/>
    <n v="1.0633333330000001"/>
    <n v="1E-4"/>
    <n v="0"/>
    <n v="3.7133667000000002E-2"/>
    <n v="0"/>
    <n v="0"/>
    <n v="0"/>
    <n v="0"/>
    <n v="1.186291333"/>
    <n v="1.1005670000000001"/>
    <n v="3.6504553726376906E-3"/>
    <n v="9.0143718313069904E-3"/>
    <m/>
    <m/>
    <n v="131.6"/>
    <s v="Acre-feet per Year"/>
    <s v="L_25"/>
    <n v="0"/>
    <n v="38.3782"/>
    <n v="-122.78579999999999"/>
    <s v="LAGUNA DE SANTA ROSA"/>
  </r>
  <r>
    <s v="A012510"/>
    <n v="19480514"/>
    <n v="23"/>
    <s v="N"/>
    <s v="N"/>
    <s v="N"/>
    <s v="N"/>
    <x v="1"/>
    <s v="Outside"/>
    <s v="Outside"/>
    <x v="1"/>
    <n v="1948"/>
    <x v="10"/>
    <x v="0"/>
    <s v="N"/>
    <s v="N"/>
    <s v="Y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89.7"/>
    <s v="Acre-feet per Year"/>
    <s v="L_25"/>
    <n v="0"/>
    <n v="38.465330190000003"/>
    <n v="-122.83895246"/>
    <s v="LAGUNA DE SANTA ROSA"/>
  </r>
  <r>
    <s v="A012525"/>
    <n v="19480527"/>
    <n v="11"/>
    <s v="N"/>
    <s v="Y"/>
    <s v="Y"/>
    <s v="Y"/>
    <x v="0"/>
    <s v="West Fork and Below Lake"/>
    <s v="Sonoma (d/s of Clov. Gage)"/>
    <x v="1"/>
    <n v="1948"/>
    <x v="10"/>
    <x v="0"/>
    <s v="Y"/>
    <s v="N"/>
    <s v="Y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1.8"/>
    <s v="Acre-feet per Year"/>
    <s v="U_11"/>
    <n v="0"/>
    <n v="38.659607899999997"/>
    <n v="-122.73827274999999"/>
    <s v="MAACAMA CREEK"/>
  </r>
  <r>
    <s v="A012773"/>
    <n v="19481103"/>
    <n v="23"/>
    <s v="N"/>
    <s v="N"/>
    <s v="N"/>
    <s v="N"/>
    <x v="1"/>
    <s v="Outside"/>
    <s v="Outside"/>
    <x v="1"/>
    <n v="1948"/>
    <x v="10"/>
    <x v="0"/>
    <s v="N"/>
    <s v="N"/>
    <s v="Y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.3"/>
    <s v="Acre-feet per Year"/>
    <s v="L_24"/>
    <n v="0"/>
    <n v="38.548200000000001"/>
    <n v="-122.6691"/>
    <s v="UNST"/>
  </r>
  <r>
    <s v="A012877"/>
    <n v="19481223"/>
    <n v="18"/>
    <s v="N"/>
    <s v="N"/>
    <s v="N"/>
    <s v="N"/>
    <x v="1"/>
    <s v="Outside"/>
    <s v="Outside"/>
    <x v="1"/>
    <n v="1948"/>
    <x v="10"/>
    <x v="0"/>
    <s v="N"/>
    <s v="N"/>
    <s v="Y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4.6"/>
    <s v="Acre-feet per Year"/>
    <s v="L_18"/>
    <n v="0"/>
    <n v="38.46353122"/>
    <n v="-122.89586199999999"/>
    <s v="UNST"/>
  </r>
  <r>
    <s v="A011846"/>
    <n v="19470428"/>
    <n v="9"/>
    <s v="N"/>
    <s v="Y"/>
    <s v="Y"/>
    <s v="Y"/>
    <x v="0"/>
    <s v="West Fork and Below Lake"/>
    <s v="Sonoma (d/s of Clov. Gage)"/>
    <x v="1"/>
    <n v="1947"/>
    <x v="10"/>
    <x v="1"/>
    <s v="Y"/>
    <s v="N"/>
    <s v="Y"/>
    <s v="N"/>
    <s v="N"/>
    <x v="1"/>
    <s v="N"/>
    <x v="1"/>
    <s v="N"/>
    <n v="0"/>
    <n v="0"/>
    <n v="0.66"/>
    <n v="2.5"/>
    <n v="3"/>
    <n v="3.33"/>
    <n v="3.66"/>
    <n v="4.33"/>
    <n v="2.66"/>
    <n v="3.33"/>
    <n v="2.33"/>
    <n v="0"/>
    <n v="25.799999999999997"/>
    <n v="17"/>
    <n v="5.6387063518023653E-2"/>
    <n v="0.24325172630257366"/>
    <m/>
    <m/>
    <n v="106.2"/>
    <s v="Acre-feet per Year"/>
    <s v="U_9"/>
    <n v="0"/>
    <n v="38.836282339999997"/>
    <n v="-123.01536531000001"/>
    <s v="RUSSIAN RIVER"/>
  </r>
  <r>
    <s v="A011859"/>
    <n v="19470507"/>
    <n v="23"/>
    <s v="N"/>
    <s v="N"/>
    <s v="N"/>
    <s v="N"/>
    <x v="1"/>
    <s v="Outside"/>
    <s v="Outside"/>
    <x v="1"/>
    <n v="1947"/>
    <x v="10"/>
    <x v="0"/>
    <s v="N"/>
    <s v="N"/>
    <s v="Y"/>
    <s v="N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7.1"/>
    <s v="Acre-feet per Year"/>
    <s v="L_24"/>
    <n v="3.4039024194010059E-4"/>
    <n v="38.490239160000002"/>
    <n v="-122.63554993"/>
    <s v="UNST"/>
  </r>
  <r>
    <s v="A012100"/>
    <n v="19470922"/>
    <n v="23"/>
    <s v="N"/>
    <s v="N"/>
    <s v="N"/>
    <s v="N"/>
    <x v="1"/>
    <s v="Outside"/>
    <s v="Outside"/>
    <x v="1"/>
    <n v="1947"/>
    <x v="10"/>
    <x v="0"/>
    <s v="N"/>
    <s v="N"/>
    <s v="Y"/>
    <s v="N"/>
    <s v="N"/>
    <x v="1"/>
    <s v="N"/>
    <x v="0"/>
    <s v="N"/>
    <n v="3"/>
    <n v="2"/>
    <n v="1"/>
    <n v="1"/>
    <n v="0"/>
    <n v="0"/>
    <n v="0"/>
    <n v="0"/>
    <n v="0"/>
    <n v="1"/>
    <n v="1"/>
    <n v="2"/>
    <n v="11"/>
    <n v="0"/>
    <n v="0"/>
    <n v="1"/>
    <m/>
    <m/>
    <n v="11"/>
    <s v="Acre-feet per Year"/>
    <s v="L_27"/>
    <n v="3.4039024194010059E-4"/>
    <n v="38.393955429999998"/>
    <n v="-122.66679653"/>
    <s v="UNST"/>
  </r>
  <r>
    <s v="A012210"/>
    <n v="19471224"/>
    <n v="23"/>
    <s v="N"/>
    <s v="N"/>
    <s v="N"/>
    <s v="N"/>
    <x v="1"/>
    <s v="Outside"/>
    <s v="Outside"/>
    <x v="1"/>
    <n v="1947"/>
    <x v="10"/>
    <x v="0"/>
    <s v="N"/>
    <s v="N"/>
    <s v="Y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.2000000000000002"/>
    <s v="Acre-feet per Year"/>
    <s v="L_24"/>
    <n v="3.4039024194010059E-4"/>
    <n v="38.520329480000001"/>
    <n v="-122.60575768"/>
    <s v="UNSP"/>
  </r>
  <r>
    <s v="A011315"/>
    <n v="19460313"/>
    <n v="18"/>
    <s v="N"/>
    <s v="N"/>
    <s v="N"/>
    <s v="N"/>
    <x v="1"/>
    <s v="Outside"/>
    <s v="Outside"/>
    <x v="1"/>
    <n v="1946"/>
    <x v="10"/>
    <x v="0"/>
    <s v="N"/>
    <s v="N"/>
    <s v="Y"/>
    <s v="N"/>
    <s v="N"/>
    <x v="1"/>
    <s v="N"/>
    <x v="1"/>
    <s v="N"/>
    <n v="0"/>
    <n v="0"/>
    <n v="0"/>
    <n v="0"/>
    <n v="7.1379333000000003E-2"/>
    <n v="0.204295333"/>
    <n v="0.24039033300000001"/>
    <n v="0.47015933300000001"/>
    <n v="0.110238"/>
    <n v="3.2761332999999997E-2"/>
    <n v="0"/>
    <n v="0"/>
    <n v="1.129223665"/>
    <n v="1.096462332"/>
    <n v="3.6368406564473142E-3"/>
    <n v="3.6544455177993533E-2"/>
    <m/>
    <m/>
    <n v="30.9"/>
    <s v="Acre-feet per Year"/>
    <s v="L_18"/>
    <n v="0"/>
    <n v="38.391139789999997"/>
    <n v="-122.88239584999999"/>
    <s v="WEST FORK ATASCADERO CREEK"/>
  </r>
  <r>
    <s v="A011383"/>
    <n v="19460423"/>
    <n v="2"/>
    <s v="N"/>
    <s v="N"/>
    <s v="Y"/>
    <s v="N"/>
    <x v="0"/>
    <s v="Outside"/>
    <s v="Outside"/>
    <x v="1"/>
    <n v="1946"/>
    <x v="10"/>
    <x v="0"/>
    <s v="Y"/>
    <s v="N"/>
    <s v="Y"/>
    <s v="N"/>
    <s v="N"/>
    <x v="1"/>
    <s v="N"/>
    <x v="1"/>
    <s v="N"/>
    <n v="0"/>
    <n v="0"/>
    <n v="0"/>
    <n v="0"/>
    <n v="0"/>
    <n v="2.66"/>
    <n v="10.19"/>
    <n v="19.45"/>
    <n v="21.71"/>
    <n v="9.6"/>
    <n v="0"/>
    <n v="0"/>
    <n v="63.61"/>
    <n v="54.033333337000002"/>
    <n v="0.1792224117037626"/>
    <n v="9.5292502750823613E-2"/>
    <m/>
    <m/>
    <n v="667.8"/>
    <s v="Acre-feet per Year"/>
    <s v="U_2"/>
    <n v="0"/>
    <n v="39.334625099999997"/>
    <n v="-123.10986229"/>
    <s v="EAST FORK RUSSIAN RIVER"/>
  </r>
  <r>
    <s v="A011327"/>
    <n v="19460325"/>
    <n v="16"/>
    <s v="N"/>
    <s v="N"/>
    <s v="N"/>
    <s v="N"/>
    <x v="1"/>
    <s v="Outside"/>
    <s v="Outside"/>
    <x v="1"/>
    <n v="1946"/>
    <x v="10"/>
    <x v="0"/>
    <s v="N"/>
    <s v="N"/>
    <s v="Y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.4"/>
    <s v="Acre-feet per Year"/>
    <s v="L_16"/>
    <n v="3.4039024194010059E-4"/>
    <n v="38.5895297"/>
    <n v="-122.90164183"/>
    <s v="MILL CREEK"/>
  </r>
  <r>
    <s v="A010976"/>
    <n v="19450208"/>
    <n v="18"/>
    <s v="N"/>
    <s v="N"/>
    <s v="N"/>
    <s v="N"/>
    <x v="1"/>
    <s v="Outside"/>
    <s v="Outside"/>
    <x v="1"/>
    <n v="1945"/>
    <x v="10"/>
    <x v="1"/>
    <s v="N"/>
    <s v="N"/>
    <s v="Y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8.2"/>
    <s v="Acre-feet per Year"/>
    <s v="L_18"/>
    <n v="0"/>
    <n v="38.518316280000001"/>
    <n v="-122.87767359999999"/>
    <s v="RUSSIAN RIVER"/>
  </r>
  <r>
    <s v="A010795"/>
    <n v="19440407"/>
    <n v="18"/>
    <s v="N"/>
    <s v="N"/>
    <s v="N"/>
    <s v="N"/>
    <x v="1"/>
    <s v="Outside"/>
    <s v="Outside"/>
    <x v="1"/>
    <n v="1944"/>
    <x v="10"/>
    <x v="1"/>
    <s v="N"/>
    <s v="N"/>
    <s v="Y"/>
    <s v="N"/>
    <s v="N"/>
    <x v="1"/>
    <s v="N"/>
    <x v="1"/>
    <s v="N"/>
    <n v="0"/>
    <n v="0"/>
    <n v="0"/>
    <n v="0"/>
    <n v="0"/>
    <n v="10.43333333"/>
    <n v="43.066666669999996"/>
    <n v="38.233333330000001"/>
    <n v="37.166666669999998"/>
    <n v="4.9666666670000001"/>
    <n v="0"/>
    <n v="0"/>
    <n v="133.86666666699998"/>
    <n v="128.89999999999998"/>
    <n v="0.42754661691019102"/>
    <n v="0.36675799086849309"/>
    <m/>
    <m/>
    <n v="365"/>
    <s v="Acre-feet per Year"/>
    <s v="L_18"/>
    <n v="0"/>
    <n v="38.517773259999998"/>
    <n v="-122.88154163"/>
    <s v="RUSSIAN RIVER"/>
  </r>
  <r>
    <s v="A010915"/>
    <n v="19441115"/>
    <n v="18"/>
    <s v="N"/>
    <s v="N"/>
    <s v="N"/>
    <s v="N"/>
    <x v="1"/>
    <s v="Outside"/>
    <s v="Outside"/>
    <x v="1"/>
    <n v="1944"/>
    <x v="10"/>
    <x v="0"/>
    <s v="N"/>
    <s v="N"/>
    <s v="Y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0"/>
    <s v="Acre-feet per Year"/>
    <s v="L_18"/>
    <n v="0"/>
    <n v="38.389177740000001"/>
    <n v="-122.88760526"/>
    <s v="S BR OF W FK ATASCADERO CREEK"/>
  </r>
  <r>
    <s v="A009832A"/>
    <n v="19400220"/>
    <n v="1"/>
    <s v="N"/>
    <s v="N"/>
    <s v="Y"/>
    <s v="Y"/>
    <x v="0"/>
    <s v="West Fork and Below Lake"/>
    <s v="Outside"/>
    <x v="1"/>
    <n v="1940"/>
    <x v="10"/>
    <x v="0"/>
    <s v="Y"/>
    <s v="N"/>
    <s v="Y"/>
    <s v="N"/>
    <s v="N"/>
    <x v="1"/>
    <s v="N"/>
    <x v="1"/>
    <s v="N"/>
    <n v="0"/>
    <n v="0"/>
    <n v="0"/>
    <n v="0"/>
    <n v="6.5979999999999997E-3"/>
    <n v="6.4446670000000003E-3"/>
    <n v="8.2349999999999993E-3"/>
    <n v="8.286E-3"/>
    <n v="9.5646670000000007E-3"/>
    <n v="3.5799999999999997E-4"/>
    <n v="0"/>
    <n v="0"/>
    <n v="3.9486333999999998E-2"/>
    <n v="3.9128334000000001E-2"/>
    <n v="1.2978422674190848E-4"/>
    <n v="9.098233640552995E-4"/>
    <m/>
    <m/>
    <n v="43.4"/>
    <s v="Acre-feet per Year"/>
    <s v="U_1"/>
    <n v="0"/>
    <n v="39.275169980000001"/>
    <n v="-123.20784842"/>
    <s v="WEST FORK RUSSIAN RIVER"/>
  </r>
  <r>
    <s v="A009832B"/>
    <n v="19400220"/>
    <n v="1"/>
    <s v="N"/>
    <s v="N"/>
    <s v="Y"/>
    <s v="Y"/>
    <x v="0"/>
    <s v="West Fork and Below Lake"/>
    <s v="Outside"/>
    <x v="1"/>
    <n v="1940"/>
    <x v="10"/>
    <x v="0"/>
    <s v="Y"/>
    <s v="N"/>
    <s v="Y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59.69999999999999"/>
    <s v="Acre-feet per Year"/>
    <s v="U_1"/>
    <n v="0"/>
    <n v="39.273699999999998"/>
    <n v="-123.2077"/>
    <s v="WEST FORK RUSSIAN RIVER"/>
  </r>
  <r>
    <s v="A009992"/>
    <n v="19400828"/>
    <n v="19"/>
    <s v="N"/>
    <s v="N"/>
    <s v="N"/>
    <s v="N"/>
    <x v="1"/>
    <s v="Outside"/>
    <s v="Outside"/>
    <x v="1"/>
    <n v="1940"/>
    <x v="10"/>
    <x v="0"/>
    <s v="N"/>
    <s v="N"/>
    <s v="Y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.3"/>
    <s v="Acre-feet per Year"/>
    <s v="L_19"/>
    <n v="3.4039024194010059E-4"/>
    <n v="38.514842350000002"/>
    <n v="-122.93565123"/>
    <s v="UNST"/>
  </r>
  <r>
    <s v="A009774"/>
    <n v="19391127"/>
    <n v="20"/>
    <s v="N"/>
    <s v="N"/>
    <s v="N"/>
    <s v="N"/>
    <x v="1"/>
    <s v="Outside"/>
    <s v="Outside"/>
    <x v="1"/>
    <n v="1939"/>
    <x v="10"/>
    <x v="0"/>
    <s v="N"/>
    <s v="N"/>
    <s v="Y"/>
    <s v="N"/>
    <s v="N"/>
    <x v="1"/>
    <s v="N"/>
    <x v="1"/>
    <s v="N"/>
    <n v="3.6830000000000001E-3"/>
    <n v="3.6830000000000001E-3"/>
    <n v="3.6830000000000001E-3"/>
    <n v="3.6830000000000001E-3"/>
    <n v="3.6830000000000001E-3"/>
    <n v="4.6030000000000003E-3"/>
    <n v="4.6030000000000003E-3"/>
    <n v="4.6030000000000003E-3"/>
    <n v="4.6030000000000003E-3"/>
    <n v="4.2963330000000003E-3"/>
    <n v="3.6830000000000001E-3"/>
    <n v="3.6830000000000001E-3"/>
    <n v="4.8489333000000003E-2"/>
    <n v="2.2095E-2"/>
    <n v="7.3286598142984269E-5"/>
    <n v="0.48489333000000001"/>
    <m/>
    <m/>
    <n v="0.1"/>
    <s v="Acre-feet per Year"/>
    <s v="L_20"/>
    <n v="3.4039024194010059E-4"/>
    <n v="38.513282420000003"/>
    <n v="-123.11213565"/>
    <s v="UNSP"/>
  </r>
  <r>
    <s v="A009746"/>
    <n v="19391003"/>
    <n v="19"/>
    <s v="N"/>
    <s v="N"/>
    <s v="N"/>
    <s v="N"/>
    <x v="1"/>
    <s v="Outside"/>
    <s v="Outside"/>
    <x v="1"/>
    <n v="1939"/>
    <x v="10"/>
    <x v="0"/>
    <s v="N"/>
    <s v="N"/>
    <s v="Y"/>
    <s v="N"/>
    <s v="N"/>
    <x v="1"/>
    <s v="N"/>
    <x v="1"/>
    <s v="N"/>
    <n v="9.2069999999999999E-3"/>
    <n v="9.2069999999999999E-3"/>
    <n v="9.2069999999999999E-3"/>
    <n v="1.5344E-2"/>
    <n v="2.1482000000000001E-2"/>
    <n v="2.1482000000000001E-2"/>
    <n v="2.1482000000000001E-2"/>
    <n v="2.1482000000000001E-2"/>
    <n v="1.2482E-2"/>
    <n v="1.2482E-2"/>
    <n v="9.2069999999999999E-3"/>
    <n v="9.2069999999999999E-3"/>
    <n v="0.17227099999999998"/>
    <n v="9.8409999999999997E-2"/>
    <n v="3.2641476004757107E-4"/>
    <n v="0.57423666666666662"/>
    <m/>
    <m/>
    <n v="0.3"/>
    <s v="Acre-feet per Year"/>
    <s v="L_19"/>
    <n v="3.4039024194010059E-4"/>
    <n v="38.516239169999999"/>
    <n v="-122.93269853"/>
    <s v="UNST"/>
  </r>
  <r>
    <s v="A008974"/>
    <n v="19370517"/>
    <n v="9"/>
    <s v="N"/>
    <s v="Y"/>
    <s v="Y"/>
    <s v="Y"/>
    <x v="0"/>
    <s v="West Fork and Below Lake"/>
    <s v="Sonoma (d/s of Clov. Gage)"/>
    <x v="1"/>
    <n v="1937"/>
    <x v="10"/>
    <x v="1"/>
    <s v="Y"/>
    <s v="N"/>
    <s v="Y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83.5"/>
    <s v="Acre-feet per Year"/>
    <s v="U_9"/>
    <n v="0"/>
    <n v="38.720195650000001"/>
    <n v="-122.90750202"/>
    <s v="RUSSIAN RIVER"/>
  </r>
  <r>
    <s v="A006926"/>
    <n v="19310328"/>
    <n v="23"/>
    <s v="N"/>
    <s v="N"/>
    <s v="N"/>
    <s v="N"/>
    <x v="1"/>
    <s v="Outside"/>
    <s v="Outside"/>
    <x v="1"/>
    <n v="1931"/>
    <x v="10"/>
    <x v="0"/>
    <s v="N"/>
    <s v="N"/>
    <s v="Y"/>
    <s v="N"/>
    <s v="N"/>
    <x v="1"/>
    <s v="N"/>
    <x v="1"/>
    <s v="N"/>
    <n v="1.1962667E-2"/>
    <n v="1.0465667E-2"/>
    <n v="1.2781667E-2"/>
    <n v="1.8741667E-2"/>
    <n v="2.2275333000000001E-2"/>
    <n v="2.0174667E-2"/>
    <n v="2.5719333E-2"/>
    <n v="2.2730332999999998E-2"/>
    <n v="2.3809332999999998E-2"/>
    <n v="1.9190667000000002E-2"/>
    <n v="1.0986667E-2"/>
    <n v="8.1326669999999997E-3"/>
    <n v="0.20697066800000002"/>
    <n v="0.11470899999999989"/>
    <n v="3.804766864169982E-4"/>
    <n v="7.9604102564102594E-2"/>
    <m/>
    <m/>
    <n v="2.6"/>
    <s v="Acre-feet per Year"/>
    <s v="L_24"/>
    <n v="3.4039024194010059E-4"/>
    <n v="38.544800000000002"/>
    <n v="-122.6026"/>
    <s v="PORTER CREEK"/>
  </r>
  <r>
    <s v="A007006"/>
    <n v="19310714"/>
    <n v="19"/>
    <s v="N"/>
    <s v="N"/>
    <s v="N"/>
    <s v="N"/>
    <x v="1"/>
    <s v="Outside"/>
    <s v="Outside"/>
    <x v="1"/>
    <n v="1931"/>
    <x v="10"/>
    <x v="0"/>
    <s v="N"/>
    <s v="N"/>
    <s v="Y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8"/>
    <s v="Acre-feet per Year"/>
    <s v="L_19"/>
    <n v="3.4039024194010059E-4"/>
    <n v="38.515722269999998"/>
    <n v="-122.92867225000001"/>
    <s v="UNST"/>
  </r>
  <r>
    <s v="A006642"/>
    <n v="19300416"/>
    <n v="1"/>
    <s v="N"/>
    <s v="N"/>
    <s v="Y"/>
    <s v="Y"/>
    <x v="0"/>
    <s v="West Fork and Below Lake"/>
    <s v="Outside"/>
    <x v="1"/>
    <n v="1930"/>
    <x v="10"/>
    <x v="0"/>
    <s v="Y"/>
    <s v="N"/>
    <s v="Y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65"/>
    <s v="Acre-feet per Year"/>
    <s v="U_1"/>
    <n v="0"/>
    <n v="39.249927040000003"/>
    <n v="-123.20600424"/>
    <s v="FORSYTHE CREEK"/>
  </r>
  <r>
    <s v="A006805A"/>
    <n v="19300926"/>
    <n v="1"/>
    <s v="N"/>
    <s v="N"/>
    <s v="Y"/>
    <s v="Y"/>
    <x v="0"/>
    <s v="West Fork and Below Lake"/>
    <s v="Outside"/>
    <x v="1"/>
    <n v="1930"/>
    <x v="10"/>
    <x v="0"/>
    <s v="Y"/>
    <s v="N"/>
    <s v="Y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5.2"/>
    <s v="Acre-feet per Year"/>
    <s v="U_1"/>
    <n v="0"/>
    <n v="39.286404109999999"/>
    <n v="-123.21016064"/>
    <s v="WEST FORK RUSSIAN RIVER"/>
  </r>
  <r>
    <s v="A006854"/>
    <n v="19301226"/>
    <n v="5"/>
    <s v="Y"/>
    <s v="N"/>
    <s v="Y"/>
    <s v="Y"/>
    <x v="0"/>
    <s v="West Fork and Below Lake"/>
    <s v="Mendocino (d/s of lake)"/>
    <x v="1"/>
    <n v="1930"/>
    <x v="10"/>
    <x v="1"/>
    <s v="Y"/>
    <s v="N"/>
    <s v="Y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29.4"/>
    <s v="Acre-feet per Year"/>
    <s v="U_5"/>
    <n v="0"/>
    <n v="39.107756180000003"/>
    <n v="-123.18596230999999"/>
    <s v="RUSSIAN RIVER"/>
  </r>
  <r>
    <s v="A006855"/>
    <n v="19301226"/>
    <n v="5"/>
    <s v="Y"/>
    <s v="N"/>
    <s v="Y"/>
    <s v="Y"/>
    <x v="0"/>
    <s v="West Fork and Below Lake"/>
    <s v="Mendocino (d/s of lake)"/>
    <x v="1"/>
    <n v="1930"/>
    <x v="10"/>
    <x v="1"/>
    <s v="Y"/>
    <s v="N"/>
    <s v="Y"/>
    <s v="N"/>
    <s v="N"/>
    <x v="1"/>
    <s v="N"/>
    <x v="1"/>
    <s v="N"/>
    <n v="0"/>
    <n v="0"/>
    <n v="0"/>
    <n v="0"/>
    <n v="0.18"/>
    <n v="2.4700000000000002"/>
    <n v="4.01"/>
    <n v="3.15"/>
    <n v="0"/>
    <n v="0"/>
    <n v="0"/>
    <n v="0"/>
    <n v="9.81"/>
    <n v="9.8166666666666611"/>
    <n v="3.256076510991756E-2"/>
    <n v="8.8678109003312203E-2"/>
    <m/>
    <m/>
    <n v="110.7"/>
    <s v="Acre-feet per Year"/>
    <s v="U_5"/>
    <n v="0"/>
    <n v="39.106675860000003"/>
    <n v="-123.18418199"/>
    <s v="RUSSIAN RIVER"/>
  </r>
  <r>
    <s v="A006464"/>
    <n v="19291021"/>
    <n v="1"/>
    <s v="N"/>
    <s v="N"/>
    <s v="Y"/>
    <s v="Y"/>
    <x v="0"/>
    <s v="West Fork and Below Lake"/>
    <s v="Outside"/>
    <x v="1"/>
    <n v="1929"/>
    <x v="10"/>
    <x v="0"/>
    <s v="Y"/>
    <s v="N"/>
    <s v="Y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86.3"/>
    <s v="Acre-feet per Year"/>
    <s v="U_1"/>
    <n v="0"/>
    <n v="39.290525799999998"/>
    <n v="-123.20987791"/>
    <s v="WEST FORK RUSSIAN RIVER"/>
  </r>
  <r>
    <s v="A004832"/>
    <n v="19251112"/>
    <n v="4"/>
    <s v="Y"/>
    <s v="N"/>
    <s v="Y"/>
    <s v="Y"/>
    <x v="0"/>
    <s v="West Fork and Below Lake"/>
    <s v="Mendocino (d/s of lake)"/>
    <x v="1"/>
    <n v="1925"/>
    <x v="10"/>
    <x v="1"/>
    <s v="Y"/>
    <s v="N"/>
    <s v="Y"/>
    <s v="N"/>
    <s v="N"/>
    <x v="1"/>
    <s v="N"/>
    <x v="1"/>
    <s v="N"/>
    <n v="0"/>
    <n v="0"/>
    <n v="0"/>
    <n v="0"/>
    <n v="0"/>
    <n v="6.33"/>
    <n v="16.329999999999998"/>
    <n v="10.46"/>
    <n v="0"/>
    <n v="0"/>
    <n v="0"/>
    <n v="0"/>
    <n v="33.119999999999997"/>
    <n v="33.133333333333326"/>
    <n v="0.10989949242532451"/>
    <n v="0.90776255707762532"/>
    <m/>
    <m/>
    <n v="36.5"/>
    <s v="Acre-feet per Year"/>
    <s v="U_4"/>
    <n v="0"/>
    <n v="39.156293179999999"/>
    <n v="-123.18654033"/>
    <s v="RUSSIAN RIVER"/>
  </r>
  <r>
    <s v="A004612"/>
    <n v="19250601"/>
    <n v="16"/>
    <s v="N"/>
    <s v="N"/>
    <s v="N"/>
    <s v="N"/>
    <x v="1"/>
    <s v="Outside"/>
    <s v="Outside"/>
    <x v="1"/>
    <n v="1925"/>
    <x v="10"/>
    <x v="0"/>
    <s v="N"/>
    <s v="N"/>
    <s v="Y"/>
    <s v="N"/>
    <s v="N"/>
    <x v="1"/>
    <s v="N"/>
    <x v="1"/>
    <s v="N"/>
    <n v="0"/>
    <n v="0"/>
    <n v="0"/>
    <n v="6.6666700000000002E-4"/>
    <n v="6.9999999999999999E-4"/>
    <n v="6.9999999999999999E-4"/>
    <n v="6.9999999999999999E-4"/>
    <n v="6.9999999999999999E-4"/>
    <n v="6.9999999999999999E-4"/>
    <n v="6.6666700000000002E-4"/>
    <n v="0"/>
    <n v="0"/>
    <n v="4.8333339999999999E-3"/>
    <n v="3.5000000000000001E-3"/>
    <n v="1.1609101312534283E-5"/>
    <n v="1.1646587951807228E-4"/>
    <m/>
    <m/>
    <n v="41.5"/>
    <s v="Acre-feet per Year"/>
    <s v="L_16"/>
    <n v="0"/>
    <n v="38.595529519999999"/>
    <n v="-122.90696635"/>
    <s v="MILL CREEK"/>
  </r>
  <r>
    <s v="A004307"/>
    <n v="19241107"/>
    <n v="1"/>
    <s v="N"/>
    <s v="N"/>
    <s v="Y"/>
    <s v="Y"/>
    <x v="0"/>
    <s v="West Fork and Below Lake"/>
    <s v="Outside"/>
    <x v="1"/>
    <n v="1924"/>
    <x v="10"/>
    <x v="0"/>
    <s v="Y"/>
    <s v="N"/>
    <s v="Y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67.8"/>
    <s v="Acre-feet per Year"/>
    <s v="U_1"/>
    <n v="0"/>
    <n v="39.279284390000001"/>
    <n v="-123.2082721"/>
    <s v="WEST FORK RUSSIAN RIVER"/>
  </r>
  <r>
    <s v="A004308"/>
    <n v="19241107"/>
    <n v="5"/>
    <s v="Y"/>
    <s v="N"/>
    <s v="Y"/>
    <s v="Y"/>
    <x v="0"/>
    <s v="West Fork and Below Lake"/>
    <s v="Mendocino (d/s of lake)"/>
    <x v="1"/>
    <n v="1924"/>
    <x v="10"/>
    <x v="1"/>
    <s v="Y"/>
    <s v="N"/>
    <s v="Y"/>
    <s v="N"/>
    <s v="N"/>
    <x v="1"/>
    <s v="N"/>
    <x v="1"/>
    <s v="N"/>
    <n v="0"/>
    <n v="0"/>
    <n v="0"/>
    <n v="0"/>
    <n v="0"/>
    <n v="2.69"/>
    <n v="2.61"/>
    <n v="2.16"/>
    <n v="1.3"/>
    <n v="0"/>
    <n v="0"/>
    <n v="0"/>
    <n v="8.76"/>
    <n v="8.7666666666666586"/>
    <n v="2.9078034716157272E-2"/>
    <n v="9.6020445418035699E-2"/>
    <m/>
    <m/>
    <n v="91.3"/>
    <s v="Acre-feet per Year"/>
    <s v="U_5"/>
    <n v="0"/>
    <n v="39.084579570000002"/>
    <n v="-123.17083989"/>
    <s v="RUSSIAN RIVER"/>
  </r>
  <r>
    <s v="A003421"/>
    <n v="19230516"/>
    <n v="4"/>
    <s v="Y"/>
    <s v="N"/>
    <s v="Y"/>
    <s v="Y"/>
    <x v="0"/>
    <s v="West Fork and Below Lake"/>
    <s v="Mendocino (d/s of lake)"/>
    <x v="1"/>
    <n v="1923"/>
    <x v="10"/>
    <x v="1"/>
    <s v="Y"/>
    <s v="N"/>
    <s v="Y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18.9"/>
    <s v="Acre-feet per Year"/>
    <s v="U_4"/>
    <n v="0"/>
    <n v="39.121693559999997"/>
    <n v="-123.19254099"/>
    <s v="UNXX"/>
  </r>
  <r>
    <s v="A003565"/>
    <n v="19230803"/>
    <n v="6"/>
    <s v="Y"/>
    <s v="N"/>
    <s v="Y"/>
    <s v="Y"/>
    <x v="0"/>
    <s v="West Fork and Below Lake"/>
    <s v="Mendocino (d/s of lake)"/>
    <x v="1"/>
    <n v="1923"/>
    <x v="10"/>
    <x v="1"/>
    <s v="Y"/>
    <s v="N"/>
    <s v="Y"/>
    <s v="N"/>
    <s v="N"/>
    <x v="1"/>
    <s v="N"/>
    <x v="1"/>
    <s v="N"/>
    <n v="0.03"/>
    <n v="0"/>
    <n v="0"/>
    <n v="6.6666666666666697E-3"/>
    <n v="0.1"/>
    <n v="0.18"/>
    <n v="2.9"/>
    <n v="3.6"/>
    <n v="0.21"/>
    <n v="0.16"/>
    <n v="0"/>
    <n v="0"/>
    <n v="7.1866666666666665"/>
    <n v="7.0233333333333299"/>
    <n v="2.329559663381878E-2"/>
    <n v="5.6378280072746138E-2"/>
    <m/>
    <d v="2021-05-01T00:00:00"/>
    <n v="128.30000000000001"/>
    <s v="Acre-feet per Year"/>
    <s v="U_6"/>
    <n v="0"/>
    <n v="39.009172380000003"/>
    <n v="-123.11673826000001"/>
    <s v="RUSSIAN RIVER"/>
  </r>
  <r>
    <s v="A003601"/>
    <n v="19230820"/>
    <n v="4"/>
    <s v="Y"/>
    <s v="N"/>
    <s v="Y"/>
    <s v="Y"/>
    <x v="0"/>
    <s v="West Fork and Below Lake"/>
    <s v="Mendocino (d/s of lake)"/>
    <x v="1"/>
    <n v="1923"/>
    <x v="10"/>
    <x v="1"/>
    <s v="Y"/>
    <s v="N"/>
    <s v="Y"/>
    <s v="N"/>
    <s v="N"/>
    <x v="1"/>
    <s v="N"/>
    <x v="1"/>
    <s v="N"/>
    <n v="0"/>
    <n v="0"/>
    <n v="0"/>
    <n v="0"/>
    <n v="0"/>
    <n v="4.32"/>
    <n v="4.8600000000000003"/>
    <n v="2.2599999999999998"/>
    <n v="0"/>
    <n v="0"/>
    <n v="0"/>
    <n v="0"/>
    <n v="11.44"/>
    <n v="11.45333333333333"/>
    <n v="3.7989402009397884E-2"/>
    <n v="0.42263222632226305"/>
    <m/>
    <d v="2021-09-30T00:00:00"/>
    <n v="27.1"/>
    <s v="Acre-feet per Year"/>
    <s v="U_4"/>
    <n v="0.15601216585669261"/>
    <n v="39.18737144"/>
    <n v="-123.20105721"/>
    <s v="RUSSIAN RIVER"/>
  </r>
  <r>
    <s v="A003633"/>
    <n v="19230908"/>
    <n v="17"/>
    <s v="N"/>
    <s v="N"/>
    <s v="N"/>
    <s v="N"/>
    <x v="1"/>
    <s v="Outside"/>
    <s v="Outside"/>
    <x v="1"/>
    <n v="1923"/>
    <x v="10"/>
    <x v="1"/>
    <s v="N"/>
    <s v="N"/>
    <s v="Y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n v="152"/>
    <n v="182"/>
    <s v="Acre-feet per Year"/>
    <s v="L_17"/>
    <n v="0"/>
    <n v="38.536279280000002"/>
    <n v="-122.86251095"/>
    <s v="RUSSIAN RIVER"/>
  </r>
  <r>
    <s v="A002723"/>
    <n v="19220116"/>
    <n v="1"/>
    <s v="N"/>
    <s v="N"/>
    <s v="Y"/>
    <s v="Y"/>
    <x v="0"/>
    <s v="West Fork and Below Lake"/>
    <s v="Outside"/>
    <x v="1"/>
    <n v="1922"/>
    <x v="10"/>
    <x v="0"/>
    <s v="Y"/>
    <s v="N"/>
    <s v="Y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46.7"/>
    <s v="Acre-feet per Year"/>
    <s v="U_1"/>
    <n v="0"/>
    <n v="39.214562049999998"/>
    <n v="-123.20045973000001"/>
    <s v="WEST FORK RUSSIAN RIVER"/>
  </r>
  <r>
    <s v="A002928"/>
    <n v="19220714"/>
    <n v="13"/>
    <s v="N"/>
    <s v="Y"/>
    <s v="Y"/>
    <s v="Y"/>
    <x v="0"/>
    <s v="West Fork and Below Lake"/>
    <s v="Sonoma (d/s of Clov. Gage)"/>
    <x v="1"/>
    <n v="1922"/>
    <x v="10"/>
    <x v="0"/>
    <s v="Y"/>
    <s v="N"/>
    <s v="Y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18.3"/>
    <s v="Acre-feet per Year"/>
    <s v="U_13"/>
    <n v="0"/>
    <n v="38.604198400000001"/>
    <n v="-122.85003381"/>
    <s v="RUSSIAN RIVER"/>
  </r>
  <r>
    <s v="A001983"/>
    <n v="19200826"/>
    <n v="4"/>
    <s v="Y"/>
    <s v="N"/>
    <s v="Y"/>
    <s v="Y"/>
    <x v="0"/>
    <s v="West Fork and Below Lake"/>
    <s v="Mendocino (d/s of lake)"/>
    <x v="1"/>
    <n v="1920"/>
    <x v="10"/>
    <x v="1"/>
    <s v="Y"/>
    <s v="N"/>
    <s v="Y"/>
    <s v="N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69.2"/>
    <s v="Acre-feet per Year"/>
    <s v="U_4"/>
    <n v="3.4039024194010059E-4"/>
    <n v="39.137683670000001"/>
    <n v="-123.18628701"/>
    <s v="RUSSIAN RIVER"/>
  </r>
  <r>
    <s v="A001205"/>
    <n v="19190307"/>
    <n v="23"/>
    <s v="N"/>
    <s v="N"/>
    <s v="N"/>
    <s v="N"/>
    <x v="1"/>
    <s v="Outside"/>
    <s v="Outside"/>
    <x v="1"/>
    <n v="1919"/>
    <x v="10"/>
    <x v="0"/>
    <s v="N"/>
    <s v="N"/>
    <s v="Y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343.6"/>
    <s v="Acre-feet per Year"/>
    <s v="L_24"/>
    <n v="0"/>
    <n v="38.508886369999999"/>
    <n v="-122.77515777000001"/>
    <s v="MARK WEST CREEK"/>
  </r>
  <r>
    <s v="A001029"/>
    <n v="19180726"/>
    <n v="23"/>
    <s v="N"/>
    <s v="N"/>
    <s v="N"/>
    <s v="N"/>
    <x v="1"/>
    <s v="Outside"/>
    <s v="Outside"/>
    <x v="1"/>
    <n v="1918"/>
    <x v="10"/>
    <x v="0"/>
    <s v="N"/>
    <s v="N"/>
    <s v="Y"/>
    <s v="N"/>
    <s v="N"/>
    <x v="1"/>
    <s v="N"/>
    <x v="1"/>
    <s v="N"/>
    <n v="0"/>
    <n v="0"/>
    <n v="0"/>
    <n v="0"/>
    <n v="1"/>
    <n v="2.21"/>
    <n v="2.8833333329999999"/>
    <n v="3.496666667"/>
    <n v="2.246666667"/>
    <n v="1.536666667"/>
    <n v="0.1"/>
    <n v="0"/>
    <n v="13.473333333999999"/>
    <n v="11.836666666999999"/>
    <n v="3.9260875011400138E-2"/>
    <n v="0.14108202443979057"/>
    <m/>
    <m/>
    <n v="95.5"/>
    <s v="Acre-feet per Year"/>
    <s v="L_26"/>
    <n v="0"/>
    <n v="38.43642414"/>
    <n v="-122.72793928"/>
    <s v="SANTA ROSA CREEK"/>
  </r>
  <r>
    <s v="S000113"/>
    <n v="19140101"/>
    <n v="22"/>
    <s v="N"/>
    <s v="N"/>
    <s v="N"/>
    <s v="N"/>
    <x v="1"/>
    <s v="Outside"/>
    <s v="Outside"/>
    <x v="2"/>
    <n v="1914"/>
    <x v="13"/>
    <x v="0"/>
    <s v="N"/>
    <s v="Y"/>
    <s v="N"/>
    <s v="N"/>
    <s v="N"/>
    <x v="1"/>
    <s v="N"/>
    <x v="1"/>
    <s v="N"/>
    <n v="0.228325"/>
    <n v="0.164983667"/>
    <n v="0.228325"/>
    <n v="0.22095999999999999"/>
    <n v="0.13699500000000001"/>
    <n v="8.8384000000000004E-2"/>
    <n v="9.1330333E-2"/>
    <n v="9.1330333E-2"/>
    <n v="8.8384000000000004E-2"/>
    <n v="0.114162667"/>
    <n v="0.17676800000000001"/>
    <n v="0.18265999999999999"/>
    <n v="1.812608"/>
    <n v="0.49642366599999999"/>
    <n v="1.64658075215248E-3"/>
    <n v="0.10008879072335726"/>
    <n v="18.11"/>
    <s v="Acre-feet"/>
    <n v="0"/>
    <s v="Acre-feet per Year"/>
    <s v="L_22"/>
    <n v="3.4039024194010059E-4"/>
    <n v="38.781554069999999"/>
    <n v="-123.05563228"/>
    <s v="UNSP"/>
  </r>
  <r>
    <s v="S000114"/>
    <n v="19140101"/>
    <n v="9"/>
    <s v="N"/>
    <s v="Y"/>
    <s v="Y"/>
    <s v="Y"/>
    <x v="0"/>
    <s v="West Fork and Below Lake"/>
    <s v="Sonoma (d/s of Clov. Gage)"/>
    <x v="2"/>
    <n v="1914"/>
    <x v="13"/>
    <x v="0"/>
    <s v="Y"/>
    <s v="Y"/>
    <s v="N"/>
    <s v="N"/>
    <s v="N"/>
    <x v="1"/>
    <s v="N"/>
    <x v="1"/>
    <s v="N"/>
    <n v="0.22"/>
    <n v="0.16"/>
    <n v="0.22"/>
    <n v="0.22"/>
    <n v="0.13"/>
    <n v="0.08"/>
    <n v="0.09"/>
    <n v="0.09"/>
    <n v="0.08"/>
    <n v="0.11"/>
    <n v="0.17"/>
    <n v="0.18"/>
    <n v="1.7500000000000002"/>
    <n v="0.49642366599999999"/>
    <n v="1.64658075215248E-3"/>
    <n v="5.004439536167863E-2"/>
    <n v="36.22"/>
    <s v="Acre-feet"/>
    <n v="0"/>
    <s v="Acre-feet per Year"/>
    <s v="U_9"/>
    <n v="3.4039024194010059E-4"/>
    <n v="38.786253379999998"/>
    <n v="-123.05219339"/>
    <s v="UNSP"/>
  </r>
  <r>
    <s v="S000115"/>
    <n v="19140101"/>
    <n v="9"/>
    <s v="N"/>
    <s v="Y"/>
    <s v="Y"/>
    <s v="Y"/>
    <x v="0"/>
    <s v="West Fork and Below Lake"/>
    <s v="Sonoma (d/s of Clov. Gage)"/>
    <x v="2"/>
    <n v="1914"/>
    <x v="13"/>
    <x v="0"/>
    <s v="Y"/>
    <s v="Y"/>
    <s v="N"/>
    <s v="N"/>
    <s v="N"/>
    <x v="1"/>
    <s v="N"/>
    <x v="1"/>
    <s v="N"/>
    <n v="0.11"/>
    <n v="0.08"/>
    <n v="0.11"/>
    <n v="0.11"/>
    <n v="0.09"/>
    <n v="0.05"/>
    <n v="0.05"/>
    <n v="0.05"/>
    <n v="0.05"/>
    <n v="0.05"/>
    <n v="0.08"/>
    <n v="0.09"/>
    <n v="0.92000000000000015"/>
    <n v="0.31634200000000001"/>
    <n v="1.0492703792599201E-3"/>
    <n v="2.6903239480949758E-2"/>
    <n v="36.22"/>
    <s v="Acre-feet"/>
    <n v="0"/>
    <s v="Acre-feet per Year"/>
    <s v="U_9"/>
    <n v="3.4039024194010059E-4"/>
    <n v="38.786253379999998"/>
    <n v="-123.05219339"/>
    <s v="UNSP"/>
  </r>
  <r>
    <s v="S000116"/>
    <n v="19140101"/>
    <n v="22"/>
    <s v="N"/>
    <s v="N"/>
    <s v="N"/>
    <s v="N"/>
    <x v="1"/>
    <s v="Outside"/>
    <s v="Outside"/>
    <x v="2"/>
    <n v="1914"/>
    <x v="13"/>
    <x v="0"/>
    <s v="N"/>
    <s v="Y"/>
    <s v="N"/>
    <s v="N"/>
    <s v="N"/>
    <x v="1"/>
    <s v="N"/>
    <x v="1"/>
    <s v="N"/>
    <n v="0.114162667"/>
    <n v="8.2491999999999996E-2"/>
    <n v="0.102746333"/>
    <n v="9.8695332999999996E-2"/>
    <n v="7.9913999999999999E-2"/>
    <n v="4.3455332999999999E-2"/>
    <n v="4.5665333000000002E-2"/>
    <n v="4.5665333000000002E-2"/>
    <n v="4.3823666999999997E-2"/>
    <n v="4.5665333000000002E-2"/>
    <n v="7.6599333000000006E-2"/>
    <n v="7.9913999999999999E-2"/>
    <n v="0.85879866499999991"/>
    <n v="0.25852366599999999"/>
    <n v="8.5749355150907829E-4"/>
    <n v="0.11855310118718938"/>
    <n v="7.2439999999999998"/>
    <s v="Acre-feet"/>
    <n v="0"/>
    <s v="Acre-feet per Year"/>
    <s v="L_22"/>
    <n v="3.4039024194010059E-4"/>
    <n v="38.784867869999999"/>
    <n v="-123.05357631"/>
    <s v="UNSP"/>
  </r>
  <r>
    <s v="S015508"/>
    <n v="19140101"/>
    <n v="6"/>
    <s v="Y"/>
    <s v="N"/>
    <s v="Y"/>
    <s v="Y"/>
    <x v="0"/>
    <s v="West Fork and Below Lake"/>
    <s v="Mendocino (d/s of lake)"/>
    <x v="2"/>
    <n v="1914"/>
    <x v="13"/>
    <x v="1"/>
    <s v="Y"/>
    <s v="Y"/>
    <s v="N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419.4960000000001"/>
    <s v="Acre-feet"/>
    <n v="0"/>
    <s v="Acre-feet per Year"/>
    <s v="U_6"/>
    <n v="0"/>
    <n v="38.928618200000003"/>
    <n v="-123.05871308"/>
    <s v="RUSSIAN RIVER SUBTERRANEAN FLOW"/>
  </r>
  <r>
    <s v="S015510"/>
    <n v="19140101"/>
    <n v="6"/>
    <s v="Y"/>
    <s v="N"/>
    <s v="Y"/>
    <s v="Y"/>
    <x v="0"/>
    <s v="West Fork and Below Lake"/>
    <s v="Mendocino (d/s of lake)"/>
    <x v="2"/>
    <n v="1914"/>
    <x v="13"/>
    <x v="1"/>
    <s v="Y"/>
    <s v="Y"/>
    <s v="N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419.4960000000001"/>
    <s v="Acre-feet"/>
    <n v="0"/>
    <s v="Acre-feet per Year"/>
    <s v="U_6"/>
    <n v="0"/>
    <n v="38.929325730000002"/>
    <n v="-123.06062557"/>
    <s v="RUSSIAN RIVER SUBTERRANEAN FLOW"/>
  </r>
  <r>
    <s v="S019766"/>
    <n v="19140101"/>
    <n v="4"/>
    <s v="Y"/>
    <s v="N"/>
    <s v="Y"/>
    <s v="Y"/>
    <x v="0"/>
    <s v="West Fork and Below Lake"/>
    <s v="Mendocino (d/s of lake)"/>
    <x v="2"/>
    <n v="1914"/>
    <x v="13"/>
    <x v="1"/>
    <s v="Y"/>
    <s v="Y"/>
    <s v="N"/>
    <s v="N"/>
    <s v="N"/>
    <x v="1"/>
    <s v="N"/>
    <x v="1"/>
    <s v="N"/>
    <n v="17.73"/>
    <n v="12.93"/>
    <n v="13.8"/>
    <n v="24.66"/>
    <n v="34.229999999999997"/>
    <n v="10.5"/>
    <n v="8.16"/>
    <n v="0"/>
    <n v="0"/>
    <n v="13.06"/>
    <n v="22.66"/>
    <n v="25.73"/>
    <n v="183.45999999999998"/>
    <n v="52.89999999999997"/>
    <n v="0.1754632741237323"/>
    <n v="0.34987995399507604"/>
    <n v="524.46559999999999"/>
    <s v="Acre-feet"/>
    <n v="0"/>
    <s v="Acre-feet per Year"/>
    <s v="U_4"/>
    <n v="0.688652008225066"/>
    <n v="39.1526"/>
    <n v="-123.1895"/>
    <m/>
  </r>
  <r>
    <s v="S019769"/>
    <n v="19140101"/>
    <n v="4"/>
    <s v="Y"/>
    <s v="N"/>
    <s v="Y"/>
    <s v="Y"/>
    <x v="0"/>
    <s v="West Fork and Below Lake"/>
    <s v="Mendocino (d/s of lake)"/>
    <x v="2"/>
    <n v="1914"/>
    <x v="13"/>
    <x v="1"/>
    <s v="Y"/>
    <s v="Y"/>
    <s v="N"/>
    <s v="N"/>
    <s v="N"/>
    <x v="1"/>
    <s v="N"/>
    <x v="1"/>
    <s v="N"/>
    <n v="2.2599999999999998"/>
    <n v="0"/>
    <n v="0"/>
    <n v="2.16"/>
    <n v="71.2"/>
    <n v="116.33"/>
    <n v="164.03"/>
    <n v="172.2"/>
    <n v="166.6"/>
    <n v="159.1"/>
    <n v="119.46"/>
    <n v="23.5"/>
    <n v="996.84000000000015"/>
    <n v="690.36666666666599"/>
    <n v="2.2898675931799741"/>
    <m/>
    <n v="0"/>
    <s v="Acre-feet"/>
    <n v="0"/>
    <s v="Acre-feet per Year"/>
    <s v="U_4"/>
    <n v="0.688652008225066"/>
    <n v="39.160400000000003"/>
    <n v="-123.19280000000001"/>
    <m/>
  </r>
  <r>
    <s v="S025784"/>
    <n v="19140101"/>
    <n v="21"/>
    <s v="N"/>
    <s v="N"/>
    <s v="N"/>
    <s v="N"/>
    <x v="1"/>
    <s v="Outside"/>
    <s v="Outside"/>
    <x v="2"/>
    <n v="1914"/>
    <x v="13"/>
    <x v="0"/>
    <s v="N"/>
    <s v="Y"/>
    <s v="N"/>
    <s v="N"/>
    <s v="N"/>
    <x v="1"/>
    <s v="N"/>
    <x v="1"/>
    <s v="N"/>
    <n v="2.0439999999999998E-3"/>
    <n v="2.0439999999999998E-3"/>
    <n v="2.0439999999999998E-3"/>
    <n v="2.0439999999999998E-3"/>
    <n v="2.0439999999999998E-3"/>
    <n v="2.0439999999999998E-3"/>
    <n v="2.0439999999999998E-3"/>
    <n v="2.0439999999999998E-3"/>
    <n v="2.0439999999999998E-3"/>
    <n v="2.0439999999999998E-3"/>
    <n v="2.0439999999999998E-3"/>
    <n v="2.0439999999999998E-3"/>
    <n v="2.4528000000000005E-2"/>
    <n v="1.022E-2"/>
    <n v="3.3898575832600101E-5"/>
    <n v="7.665000000000001E-2"/>
    <n v="0.32"/>
    <s v="Acre-feet"/>
    <n v="0"/>
    <s v="Acre-feet per Year"/>
    <s v="L_21"/>
    <n v="3.4039024194010059E-4"/>
    <n v="38.411799999999999"/>
    <n v="-122.947"/>
    <s v="UNNAMED SPRING"/>
  </r>
  <r>
    <s v="S017157"/>
    <n v="19130101"/>
    <n v="4"/>
    <s v="Y"/>
    <s v="N"/>
    <s v="Y"/>
    <s v="Y"/>
    <x v="0"/>
    <s v="West Fork and Below Lake"/>
    <s v="Mendocino (d/s of lake)"/>
    <x v="2"/>
    <n v="1913"/>
    <x v="13"/>
    <x v="0"/>
    <s v="Y"/>
    <s v="Y"/>
    <s v="N"/>
    <s v="N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U_4"/>
    <n v="0"/>
    <n v="39.127600000000001"/>
    <n v="-123.1301"/>
    <s v="MILL CREEK"/>
  </r>
  <r>
    <s v="S027791"/>
    <n v="19130101"/>
    <n v="18"/>
    <s v="N"/>
    <s v="N"/>
    <s v="N"/>
    <s v="N"/>
    <x v="1"/>
    <s v="Outside"/>
    <s v="Outside"/>
    <x v="2"/>
    <n v="1913"/>
    <x v="13"/>
    <x v="0"/>
    <s v="N"/>
    <s v="Y"/>
    <s v="N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1.7"/>
    <s v="Acre-feet"/>
    <n v="0"/>
    <s v="Acre-feet per Year"/>
    <s v="L_18"/>
    <n v="0"/>
    <n v="38.426614569999998"/>
    <n v="-122.89671276999999"/>
    <s v="Unnamed Stream"/>
  </r>
  <r>
    <s v="S014857"/>
    <n v="19120101"/>
    <n v="12"/>
    <s v="N"/>
    <s v="Y"/>
    <s v="Y"/>
    <s v="Y"/>
    <x v="0"/>
    <s v="West Fork and Below Lake"/>
    <s v="Sonoma (d/s of Clov. Gage)"/>
    <x v="2"/>
    <n v="1912"/>
    <x v="13"/>
    <x v="1"/>
    <s v="Y"/>
    <s v="Y"/>
    <s v="N"/>
    <s v="N"/>
    <s v="N"/>
    <x v="1"/>
    <s v="N"/>
    <x v="0"/>
    <s v="N"/>
    <n v="0.18"/>
    <n v="0.18"/>
    <n v="0.18"/>
    <n v="0.16"/>
    <n v="0"/>
    <n v="0"/>
    <n v="0"/>
    <n v="0"/>
    <n v="0"/>
    <n v="0"/>
    <n v="0.02"/>
    <n v="0.02"/>
    <n v="0.7400000000000001"/>
    <n v="0"/>
    <n v="0"/>
    <n v="0"/>
    <n v="0"/>
    <s v="Acre-feet"/>
    <n v="0"/>
    <s v="Acre-feet per Year"/>
    <s v="U_12"/>
    <n v="0"/>
    <n v="38.612233449999998"/>
    <n v="-122.78118104000001"/>
    <s v="UNST"/>
  </r>
  <r>
    <s v="S016900"/>
    <n v="19120101"/>
    <n v="12"/>
    <s v="N"/>
    <s v="Y"/>
    <s v="Y"/>
    <s v="Y"/>
    <x v="0"/>
    <s v="West Fork and Below Lake"/>
    <s v="Sonoma (d/s of Clov. Gage)"/>
    <x v="2"/>
    <n v="1912"/>
    <x v="13"/>
    <x v="0"/>
    <s v="Y"/>
    <s v="Y"/>
    <s v="N"/>
    <s v="N"/>
    <s v="N"/>
    <x v="1"/>
    <s v="N"/>
    <x v="1"/>
    <s v="N"/>
    <n v="0"/>
    <n v="0"/>
    <n v="0.42"/>
    <n v="1.1299999999999999"/>
    <n v="0.39"/>
    <n v="0"/>
    <n v="0"/>
    <n v="0"/>
    <n v="0"/>
    <n v="0"/>
    <n v="0"/>
    <n v="0"/>
    <n v="1.94"/>
    <n v="0.39895533300000002"/>
    <n v="1.3232893942779576E-3"/>
    <n v="0"/>
    <n v="0"/>
    <s v="Acre-feet"/>
    <n v="0"/>
    <s v="Acre-feet per Year"/>
    <s v="U_12"/>
    <n v="0"/>
    <n v="38.581099999999999"/>
    <n v="-122.673"/>
    <s v="FRANZ CREEK"/>
  </r>
  <r>
    <s v="S009905"/>
    <n v="19110101"/>
    <n v="1"/>
    <s v="N"/>
    <s v="N"/>
    <s v="Y"/>
    <s v="Y"/>
    <x v="0"/>
    <s v="West Fork and Below Lake"/>
    <s v="Outside"/>
    <x v="2"/>
    <n v="1911"/>
    <x v="13"/>
    <x v="0"/>
    <s v="Y"/>
    <s v="Y"/>
    <s v="N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U_1"/>
    <n v="0"/>
    <n v="39.211842519999998"/>
    <n v="-123.22441581"/>
    <s v="YORK CREEK"/>
  </r>
  <r>
    <s v="S015509"/>
    <n v="19110101"/>
    <n v="1"/>
    <s v="N"/>
    <s v="N"/>
    <s v="Y"/>
    <s v="Y"/>
    <x v="0"/>
    <s v="West Fork and Below Lake"/>
    <s v="Outside"/>
    <x v="2"/>
    <n v="1911"/>
    <x v="13"/>
    <x v="0"/>
    <s v="Y"/>
    <s v="Y"/>
    <s v="N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62.2"/>
    <s v="Acre-feet"/>
    <n v="0"/>
    <s v="Acre-feet per Year"/>
    <s v="U_1"/>
    <n v="0"/>
    <n v="39.204740780000002"/>
    <n v="-123.21024247"/>
    <s v="YORK CREEK"/>
  </r>
  <r>
    <s v="S019389"/>
    <n v="19110101"/>
    <n v="1"/>
    <s v="N"/>
    <s v="N"/>
    <s v="Y"/>
    <s v="Y"/>
    <x v="0"/>
    <s v="West Fork and Below Lake"/>
    <s v="Outside"/>
    <x v="2"/>
    <n v="1911"/>
    <x v="13"/>
    <x v="0"/>
    <s v="Y"/>
    <s v="Y"/>
    <s v="N"/>
    <s v="N"/>
    <s v="N"/>
    <x v="1"/>
    <s v="N"/>
    <x v="0"/>
    <s v="N"/>
    <n v="0"/>
    <n v="2"/>
    <n v="0"/>
    <n v="0"/>
    <n v="0"/>
    <n v="0"/>
    <n v="0"/>
    <n v="0"/>
    <n v="0"/>
    <n v="0"/>
    <n v="0"/>
    <n v="0"/>
    <n v="2"/>
    <n v="0"/>
    <n v="0"/>
    <n v="4.1300008631701803E-3"/>
    <n v="484.26139999999998"/>
    <s v="Acre-feet"/>
    <n v="0"/>
    <s v="Acre-feet per Year"/>
    <s v="U_1"/>
    <n v="0"/>
    <n v="39.219499999999996"/>
    <n v="-123.21769999999999"/>
    <s v="UNNAMED STREAM"/>
  </r>
  <r>
    <s v="S019392"/>
    <n v="19110101"/>
    <n v="1"/>
    <s v="N"/>
    <s v="N"/>
    <s v="Y"/>
    <s v="Y"/>
    <x v="0"/>
    <s v="West Fork and Below Lake"/>
    <s v="Outside"/>
    <x v="2"/>
    <n v="1911"/>
    <x v="13"/>
    <x v="0"/>
    <s v="Y"/>
    <s v="Y"/>
    <s v="N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484.26139999999998"/>
    <s v="Acre-feet"/>
    <n v="0"/>
    <s v="Acre-feet per Year"/>
    <s v="U_1"/>
    <n v="0"/>
    <n v="39.204700000000003"/>
    <n v="-123.2102"/>
    <s v="YORK CREEK"/>
  </r>
  <r>
    <s v="S019395"/>
    <n v="19110101"/>
    <n v="1"/>
    <s v="N"/>
    <s v="N"/>
    <s v="Y"/>
    <s v="Y"/>
    <x v="0"/>
    <s v="West Fork and Below Lake"/>
    <s v="Outside"/>
    <x v="2"/>
    <n v="1911"/>
    <x v="13"/>
    <x v="0"/>
    <s v="Y"/>
    <s v="Y"/>
    <s v="N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484.26139999999998"/>
    <s v="Acre-feet"/>
    <n v="0"/>
    <s v="Acre-feet per Year"/>
    <s v="U_1"/>
    <n v="0"/>
    <n v="39.2119"/>
    <n v="-123.2244"/>
    <s v="YORK CREEK"/>
  </r>
  <r>
    <s v="S027251"/>
    <n v="19100101"/>
    <n v="16"/>
    <s v="N"/>
    <s v="N"/>
    <s v="N"/>
    <s v="N"/>
    <x v="1"/>
    <s v="Outside"/>
    <s v="Outside"/>
    <x v="2"/>
    <n v="1910"/>
    <x v="13"/>
    <x v="0"/>
    <s v="N"/>
    <s v="Y"/>
    <s v="N"/>
    <s v="N"/>
    <s v="N"/>
    <x v="1"/>
    <s v="N"/>
    <x v="1"/>
    <s v="N"/>
    <n v="0.2"/>
    <n v="0.2"/>
    <n v="0.2"/>
    <n v="0.2"/>
    <n v="0.27500000000000002"/>
    <n v="0.5"/>
    <n v="0.5"/>
    <n v="0.5"/>
    <n v="0.5"/>
    <n v="0.5"/>
    <n v="0.5"/>
    <n v="0.5"/>
    <n v="4.5750000000000002"/>
    <n v="2.2749999999999999"/>
    <n v="7.5459158531472831E-3"/>
    <n v="0.45750000000000002"/>
    <n v="10"/>
    <s v="Acre-feet"/>
    <n v="0"/>
    <s v="Acre-feet per Year"/>
    <s v="L_16"/>
    <n v="3.4039024194010059E-4"/>
    <n v="38.585417999999997"/>
    <n v="-122.94246"/>
    <s v="UNNAMED STREAM"/>
  </r>
  <r>
    <s v="S009040"/>
    <n v="19100101"/>
    <n v="16"/>
    <s v="N"/>
    <s v="N"/>
    <s v="N"/>
    <s v="N"/>
    <x v="1"/>
    <s v="Outside"/>
    <s v="Outside"/>
    <x v="2"/>
    <n v="1910"/>
    <x v="13"/>
    <x v="0"/>
    <s v="N"/>
    <s v="Y"/>
    <s v="N"/>
    <s v="N"/>
    <s v="N"/>
    <x v="1"/>
    <s v="N"/>
    <x v="1"/>
    <s v="N"/>
    <n v="0.133333333"/>
    <n v="0.133333333"/>
    <n v="0.133333333"/>
    <n v="0.133333333"/>
    <n v="0.133333333"/>
    <n v="0.16666666699999999"/>
    <n v="0.16666666699999999"/>
    <n v="0.16666666699999999"/>
    <n v="0.16666666699999999"/>
    <n v="0.16666666699999999"/>
    <n v="0.133333333"/>
    <n v="0.133333333"/>
    <n v="1.7666666659999994"/>
    <n v="0.80000000100000002"/>
    <n v="2.6535088747532934E-3"/>
    <n v="12.251502538141466"/>
    <n v="0.14419999999999999"/>
    <s v="Acre-feet"/>
    <n v="0"/>
    <s v="Acre-feet per Year"/>
    <s v="L_16"/>
    <n v="3.4039024194010059E-4"/>
    <n v="38.595529519999999"/>
    <n v="-122.90696635"/>
    <s v="MILL CREEK"/>
  </r>
  <r>
    <s v="S008380"/>
    <n v="19100101"/>
    <n v="5"/>
    <s v="Y"/>
    <s v="N"/>
    <s v="Y"/>
    <s v="Y"/>
    <x v="0"/>
    <s v="West Fork and Below Lake"/>
    <s v="Mendocino (d/s of lake)"/>
    <x v="2"/>
    <n v="1910"/>
    <x v="13"/>
    <x v="0"/>
    <s v="Y"/>
    <s v="Y"/>
    <s v="N"/>
    <s v="N"/>
    <s v="N"/>
    <x v="1"/>
    <s v="N"/>
    <x v="1"/>
    <s v="N"/>
    <n v="0"/>
    <n v="0"/>
    <n v="0"/>
    <n v="0"/>
    <n v="0.4"/>
    <n v="0.48"/>
    <n v="0.47"/>
    <n v="0.49"/>
    <n v="0.48"/>
    <n v="0.38"/>
    <n v="0"/>
    <n v="0"/>
    <n v="2.7"/>
    <n v="2.346666666"/>
    <n v="7.7836260206688703E-3"/>
    <n v="0.67338242875791232"/>
    <n v="4.0601000000000003"/>
    <s v="Acre-feet"/>
    <n v="0"/>
    <s v="Acre-feet per Year"/>
    <s v="U_5"/>
    <n v="0"/>
    <n v="39.092079099999999"/>
    <n v="-123.21512348"/>
    <s v="ROBINSON CREEK"/>
  </r>
  <r>
    <s v="S014129"/>
    <n v="19100101"/>
    <n v="6"/>
    <s v="Y"/>
    <s v="N"/>
    <s v="Y"/>
    <s v="Y"/>
    <x v="0"/>
    <s v="West Fork and Below Lake"/>
    <s v="Mendocino (d/s of lake)"/>
    <x v="2"/>
    <n v="1910"/>
    <x v="13"/>
    <x v="0"/>
    <s v="Y"/>
    <s v="Y"/>
    <s v="N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U_6"/>
    <n v="0"/>
    <n v="38.974231420000002"/>
    <n v="-123.09490572999999"/>
    <s v="DOOLEY CREEK"/>
  </r>
  <r>
    <s v="S021382"/>
    <n v="19090101"/>
    <n v="1"/>
    <s v="N"/>
    <s v="N"/>
    <s v="Y"/>
    <s v="Y"/>
    <x v="0"/>
    <s v="West Fork and Below Lake"/>
    <s v="Outside"/>
    <x v="2"/>
    <n v="1909"/>
    <x v="13"/>
    <x v="0"/>
    <s v="Y"/>
    <s v="Y"/>
    <s v="N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726.21100000000001"/>
    <s v="Acre-feet"/>
    <n v="0"/>
    <s v="Acre-feet per Year"/>
    <s v="U_1"/>
    <n v="0"/>
    <n v="39.280500000000004"/>
    <n v="-123.2093"/>
    <s v="WEST FORK"/>
  </r>
  <r>
    <s v="S027799"/>
    <n v="19080101"/>
    <n v="16"/>
    <s v="N"/>
    <s v="N"/>
    <s v="N"/>
    <s v="N"/>
    <x v="1"/>
    <s v="Outside"/>
    <s v="Outside"/>
    <x v="2"/>
    <n v="1908"/>
    <x v="13"/>
    <x v="0"/>
    <s v="N"/>
    <s v="Y"/>
    <s v="N"/>
    <s v="N"/>
    <s v="N"/>
    <x v="1"/>
    <s v="N"/>
    <x v="1"/>
    <s v="N"/>
    <n v="0.06"/>
    <n v="0.06"/>
    <n v="0.06"/>
    <n v="0.06"/>
    <n v="0.06"/>
    <n v="0.06"/>
    <n v="0.06"/>
    <n v="0.06"/>
    <n v="0.06"/>
    <n v="0.06"/>
    <n v="0.06"/>
    <n v="0.06"/>
    <n v="0.7200000000000002"/>
    <n v="0.3"/>
    <n v="9.9506582678865279E-4"/>
    <n v="0.97759674134419572"/>
    <n v="0.73650000000000004"/>
    <s v="Acre-feet"/>
    <n v="0"/>
    <s v="Acre-feet per Year"/>
    <s v="L_16"/>
    <n v="3.4039024194010059E-4"/>
    <n v="38.586902000000002"/>
    <n v="-122.943189"/>
    <s v="Unnamed Spring"/>
  </r>
  <r>
    <s v="S017160"/>
    <n v="19080101"/>
    <n v="4"/>
    <s v="Y"/>
    <s v="N"/>
    <s v="Y"/>
    <s v="Y"/>
    <x v="0"/>
    <s v="West Fork and Below Lake"/>
    <s v="Mendocino (d/s of lake)"/>
    <x v="2"/>
    <n v="1908"/>
    <x v="13"/>
    <x v="0"/>
    <s v="Y"/>
    <s v="Y"/>
    <s v="N"/>
    <s v="N"/>
    <s v="N"/>
    <x v="1"/>
    <s v="N"/>
    <x v="0"/>
    <s v="N"/>
    <n v="0"/>
    <n v="0"/>
    <n v="0"/>
    <n v="0"/>
    <n v="0"/>
    <n v="0"/>
    <n v="0"/>
    <n v="0"/>
    <n v="0"/>
    <n v="0"/>
    <n v="0"/>
    <n v="15"/>
    <n v="15"/>
    <n v="0"/>
    <n v="0"/>
    <n v="0"/>
    <n v="0"/>
    <s v="Acre-feet"/>
    <n v="0"/>
    <s v="Acre-feet per Year"/>
    <s v="U_4"/>
    <n v="0"/>
    <n v="39.131500000000003"/>
    <n v="-123.1348"/>
    <s v="MILL CREEK"/>
  </r>
  <r>
    <s v="S009073"/>
    <n v="19060101"/>
    <n v="21"/>
    <s v="N"/>
    <s v="N"/>
    <s v="N"/>
    <s v="N"/>
    <x v="1"/>
    <s v="Outside"/>
    <s v="Outside"/>
    <x v="2"/>
    <n v="1906"/>
    <x v="13"/>
    <x v="0"/>
    <s v="N"/>
    <s v="Y"/>
    <s v="N"/>
    <s v="N"/>
    <s v="N"/>
    <x v="1"/>
    <s v="N"/>
    <x v="1"/>
    <s v="N"/>
    <n v="0"/>
    <n v="0"/>
    <n v="0"/>
    <n v="0"/>
    <n v="0"/>
    <n v="0"/>
    <n v="0"/>
    <n v="0.83986700000000003"/>
    <n v="5.0671315000000003"/>
    <n v="4.0221650000000002"/>
    <n v="4.0484470000000004"/>
    <n v="0.28729399999999999"/>
    <n v="14.2649045"/>
    <n v="5.9069985000000003"/>
    <n v="1.9592841154139441E-2"/>
    <n v="0.35409789451212847"/>
    <n v="40.285200000000003"/>
    <s v="Acre-feet"/>
    <n v="0"/>
    <s v="Acre-feet per Year"/>
    <s v="L_21"/>
    <n v="0"/>
    <n v="38.416133539999997"/>
    <n v="-122.95111521"/>
    <s v="DUTCH BILL CREEK"/>
  </r>
  <r>
    <s v="S009054"/>
    <n v="19050101"/>
    <n v="21"/>
    <s v="N"/>
    <s v="N"/>
    <s v="N"/>
    <s v="N"/>
    <x v="1"/>
    <s v="Outside"/>
    <s v="Outside"/>
    <x v="2"/>
    <n v="1905"/>
    <x v="13"/>
    <x v="1"/>
    <s v="N"/>
    <s v="Y"/>
    <s v="N"/>
    <s v="N"/>
    <s v="N"/>
    <x v="1"/>
    <s v="N"/>
    <x v="1"/>
    <s v="N"/>
    <n v="11.99"/>
    <n v="10.64"/>
    <n v="12.266666669999999"/>
    <n v="11.78333333"/>
    <n v="15.12"/>
    <n v="19.87"/>
    <n v="23.223333329999999"/>
    <n v="23.68"/>
    <n v="20.52333333"/>
    <n v="16.573333330000001"/>
    <n v="14.14"/>
    <n v="12.543333329999999"/>
    <n v="192.35333331999999"/>
    <n v="102.41666665999999"/>
    <n v="0.33970441695656911"/>
    <n v="1.0621387814467145"/>
    <n v="181.1"/>
    <s v="Acre-feet"/>
    <n v="0"/>
    <s v="Acre-feet per Year"/>
    <s v="L_21"/>
    <n v="0"/>
    <n v="38.471594580000001"/>
    <n v="-123.01682418999999"/>
    <s v="RUSSIAN RIVER UNDERFLOW"/>
  </r>
  <r>
    <s v="S015020"/>
    <n v="19050101"/>
    <n v="9"/>
    <s v="N"/>
    <s v="Y"/>
    <s v="Y"/>
    <s v="Y"/>
    <x v="0"/>
    <s v="West Fork and Below Lake"/>
    <s v="Sonoma (d/s of Clov. Gage)"/>
    <x v="2"/>
    <n v="1905"/>
    <x v="13"/>
    <x v="1"/>
    <s v="Y"/>
    <s v="Y"/>
    <s v="N"/>
    <s v="N"/>
    <s v="N"/>
    <x v="1"/>
    <s v="N"/>
    <x v="1"/>
    <s v="N"/>
    <n v="0.56000000000000005"/>
    <n v="0.56000000000000005"/>
    <n v="0.56000000000000005"/>
    <n v="1"/>
    <n v="1"/>
    <n v="2.5"/>
    <n v="3.06"/>
    <n v="3.06"/>
    <n v="3.06"/>
    <n v="3.06"/>
    <n v="2.06"/>
    <n v="0.6"/>
    <n v="21.080000000000002"/>
    <n v="12.70000000000001"/>
    <n v="4.2124453334053E-2"/>
    <n v="1.0063492063492074"/>
    <n v="21"/>
    <s v="Acre-feet"/>
    <n v="0"/>
    <s v="Acre-feet per Year"/>
    <s v="U_9"/>
    <n v="0"/>
    <n v="38.721480460000002"/>
    <n v="-122.91873538999999"/>
    <s v="RUSSIAN RIVER UNDERFLOW"/>
  </r>
  <r>
    <s v="S018456"/>
    <n v="19050101"/>
    <n v="1"/>
    <s v="N"/>
    <s v="N"/>
    <s v="Y"/>
    <s v="Y"/>
    <x v="0"/>
    <s v="West Fork and Below Lake"/>
    <s v="Outside"/>
    <x v="2"/>
    <n v="1905"/>
    <x v="13"/>
    <x v="0"/>
    <s v="Y"/>
    <s v="Y"/>
    <s v="N"/>
    <s v="N"/>
    <s v="N"/>
    <x v="1"/>
    <s v="N"/>
    <x v="1"/>
    <s v="N"/>
    <n v="0.5"/>
    <n v="0.5"/>
    <n v="0.25"/>
    <n v="0.25"/>
    <n v="0.05"/>
    <n v="0.08"/>
    <n v="0.11"/>
    <n v="0.1"/>
    <n v="0.06"/>
    <n v="0"/>
    <n v="0"/>
    <n v="0.08"/>
    <n v="1.9800000000000004"/>
    <n v="0.41666666699999999"/>
    <n v="1.382035871645424E-3"/>
    <n v="0.25099141609356962"/>
    <n v="7.9683999999999999"/>
    <s v="Acre-feet"/>
    <n v="0"/>
    <s v="Acre-feet per Year"/>
    <s v="U_1"/>
    <n v="3.4039024194010059E-4"/>
    <n v="39.289499999999997"/>
    <n v="-123.3283"/>
    <s v="UNNAMED TRIBUTARY"/>
  </r>
  <r>
    <s v="S018457"/>
    <n v="19050101"/>
    <n v="1"/>
    <s v="N"/>
    <s v="N"/>
    <s v="Y"/>
    <s v="Y"/>
    <x v="0"/>
    <s v="West Fork and Below Lake"/>
    <s v="Outside"/>
    <x v="2"/>
    <n v="1905"/>
    <x v="13"/>
    <x v="0"/>
    <s v="Y"/>
    <s v="Y"/>
    <s v="N"/>
    <s v="N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4.4999999999999998E-2"/>
    <s v="Acre-feet"/>
    <n v="0"/>
    <s v="Acre-feet per Year"/>
    <s v="U_1"/>
    <n v="3.4039024194010059E-4"/>
    <n v="39.291400000000003"/>
    <n v="-123.33669999999999"/>
    <s v="UNNAMED TRIBUTARY"/>
  </r>
  <r>
    <s v="S018523"/>
    <n v="19050101"/>
    <n v="1"/>
    <s v="N"/>
    <s v="N"/>
    <s v="Y"/>
    <s v="Y"/>
    <x v="0"/>
    <s v="West Fork and Below Lake"/>
    <s v="Outside"/>
    <x v="2"/>
    <n v="1905"/>
    <x v="13"/>
    <x v="0"/>
    <s v="Y"/>
    <s v="Y"/>
    <s v="N"/>
    <s v="N"/>
    <s v="N"/>
    <x v="1"/>
    <s v="N"/>
    <x v="1"/>
    <s v="N"/>
    <n v="0.02"/>
    <n v="0.02"/>
    <n v="0.03"/>
    <n v="0.03"/>
    <n v="0.04"/>
    <n v="0.05"/>
    <n v="0.06"/>
    <n v="7.0000000000000007E-2"/>
    <n v="0.05"/>
    <n v="0.04"/>
    <n v="0.03"/>
    <n v="0.02"/>
    <n v="0.45999999999999996"/>
    <n v="0.27333333300000001"/>
    <n v="9.0661552996847714E-4"/>
    <n v="1.2382243185583054E-2"/>
    <n v="39.841999999999999"/>
    <s v="Acre-feet"/>
    <n v="0"/>
    <s v="Acre-feet per Year"/>
    <s v="U_1"/>
    <n v="0"/>
    <n v="39.289299999999997"/>
    <n v="-123.32689999999999"/>
    <s v="MILL CREEK"/>
  </r>
  <r>
    <s v="S025957"/>
    <n v="19050101"/>
    <n v="21"/>
    <s v="N"/>
    <s v="N"/>
    <s v="N"/>
    <s v="N"/>
    <x v="1"/>
    <s v="Outside"/>
    <s v="Outside"/>
    <x v="2"/>
    <n v="1905"/>
    <x v="13"/>
    <x v="0"/>
    <s v="N"/>
    <s v="Y"/>
    <s v="N"/>
    <s v="N"/>
    <s v="N"/>
    <x v="1"/>
    <s v="N"/>
    <x v="1"/>
    <s v="N"/>
    <n v="0"/>
    <n v="0"/>
    <n v="0"/>
    <n v="0"/>
    <n v="0"/>
    <n v="6.12855E-2"/>
    <n v="6.12855E-2"/>
    <n v="6.12855E-2"/>
    <n v="6.12855E-2"/>
    <n v="6.12855E-2"/>
    <n v="0"/>
    <n v="0"/>
    <n v="0.30642750000000002"/>
    <n v="0.245142"/>
    <n v="8.1310808970207963E-4"/>
    <n v="3.4546505073280724"/>
    <n v="8.8700000000000001E-2"/>
    <s v="Acre-feet"/>
    <n v="0"/>
    <s v="Acre-feet per Year"/>
    <s v="L_21"/>
    <n v="0"/>
    <n v="38.430799999999998"/>
    <n v="-122.96469999999999"/>
    <s v="DUTCH BILL CREEK"/>
  </r>
  <r>
    <s v="S015197"/>
    <n v="19030101"/>
    <n v="11"/>
    <s v="N"/>
    <s v="Y"/>
    <s v="Y"/>
    <s v="Y"/>
    <x v="0"/>
    <s v="West Fork and Below Lake"/>
    <s v="Sonoma (d/s of Clov. Gage)"/>
    <x v="2"/>
    <n v="1903"/>
    <x v="13"/>
    <x v="0"/>
    <s v="Y"/>
    <s v="Y"/>
    <s v="N"/>
    <s v="N"/>
    <s v="N"/>
    <x v="1"/>
    <s v="N"/>
    <x v="1"/>
    <s v="N"/>
    <n v="1.0200000000000001E-5"/>
    <n v="0"/>
    <n v="0.4"/>
    <n v="0.12"/>
    <n v="0.08"/>
    <n v="0.09"/>
    <n v="0.02"/>
    <n v="0.13"/>
    <n v="0.09"/>
    <n v="0.05"/>
    <n v="4.4805699999999997E-3"/>
    <n v="0.04"/>
    <n v="1.0244907699999999"/>
    <n v="0.42752627700000001"/>
    <n v="1.4180559609895985E-3"/>
    <n v="12.658780999999999"/>
    <n v="8.4000000000000005E-2"/>
    <s v="Acre-feet"/>
    <n v="0"/>
    <s v="Acre-feet per Year"/>
    <s v="U_11"/>
    <n v="3.4039024194010059E-4"/>
    <n v="38.634523110000003"/>
    <n v="-122.66309227000001"/>
    <s v="YELLOWJACKET CREEK"/>
  </r>
  <r>
    <s v="S015198"/>
    <n v="19030101"/>
    <n v="11"/>
    <s v="N"/>
    <s v="Y"/>
    <s v="Y"/>
    <s v="Y"/>
    <x v="0"/>
    <s v="West Fork and Below Lake"/>
    <s v="Sonoma (d/s of Clov. Gage)"/>
    <x v="2"/>
    <n v="1903"/>
    <x v="13"/>
    <x v="0"/>
    <s v="Y"/>
    <s v="Y"/>
    <s v="N"/>
    <s v="N"/>
    <s v="N"/>
    <x v="1"/>
    <s v="N"/>
    <x v="1"/>
    <s v="N"/>
    <n v="0.05"/>
    <n v="0.05"/>
    <n v="0.05"/>
    <n v="0.05"/>
    <n v="0.05"/>
    <n v="0.05"/>
    <n v="0.06"/>
    <n v="0.06"/>
    <n v="0.05"/>
    <n v="0.05"/>
    <n v="0.05"/>
    <n v="0.05"/>
    <n v="0.62000000000000011"/>
    <n v="0.29399900000000001"/>
    <n v="9.7516119336679046E-4"/>
    <n v="3.9822380952380945"/>
    <n v="0.16800000000000001"/>
    <s v="Acre-feet"/>
    <n v="0"/>
    <s v="Acre-feet per Year"/>
    <s v="U_11"/>
    <n v="3.4039024194010059E-4"/>
    <n v="38.634523110000003"/>
    <n v="-122.66309227000001"/>
    <s v="YELLOWJACKET CREEK"/>
  </r>
  <r>
    <s v="S022860"/>
    <n v="19020101"/>
    <n v="9"/>
    <s v="N"/>
    <s v="Y"/>
    <s v="Y"/>
    <s v="Y"/>
    <x v="0"/>
    <s v="West Fork and Below Lake"/>
    <s v="Sonoma (d/s of Clov. Gage)"/>
    <x v="2"/>
    <n v="1902"/>
    <x v="13"/>
    <x v="1"/>
    <s v="Y"/>
    <s v="Y"/>
    <s v="N"/>
    <s v="N"/>
    <s v="N"/>
    <x v="1"/>
    <s v="N"/>
    <x v="1"/>
    <s v="N"/>
    <n v="0"/>
    <n v="0"/>
    <n v="0"/>
    <n v="1.2"/>
    <n v="1.73"/>
    <n v="2.86"/>
    <n v="3.63"/>
    <n v="1.26"/>
    <n v="1.76"/>
    <n v="0.2"/>
    <n v="0.1"/>
    <n v="0"/>
    <n v="12.739999999999997"/>
    <n v="11.266666666666669"/>
    <n v="3.7370249939396083E-2"/>
    <n v="7.8327913777941391E-2"/>
    <n v="162.99"/>
    <s v="Acre-feet"/>
    <n v="0"/>
    <s v="Acre-feet per Year"/>
    <s v="U_9"/>
    <n v="3.4039024194010059E-4"/>
    <n v="38.736499999999999"/>
    <n v="-122.93859999999999"/>
    <s v="RUSSIAN RIVER"/>
  </r>
  <r>
    <s v="S022861"/>
    <n v="19020101"/>
    <n v="9"/>
    <s v="N"/>
    <s v="Y"/>
    <s v="Y"/>
    <s v="Y"/>
    <x v="0"/>
    <s v="West Fork and Below Lake"/>
    <s v="Sonoma (d/s of Clov. Gage)"/>
    <x v="2"/>
    <n v="1902"/>
    <x v="13"/>
    <x v="1"/>
    <s v="Y"/>
    <s v="Y"/>
    <s v="N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79.683999999999997"/>
    <s v="Acre-feet"/>
    <n v="0"/>
    <s v="Acre-feet per Year"/>
    <s v="U_9"/>
    <n v="3.4039024194010059E-4"/>
    <n v="38.738100000000003"/>
    <n v="-122.941"/>
    <s v="RUSSIAN RIVER"/>
  </r>
  <r>
    <s v="S022862"/>
    <n v="19020101"/>
    <n v="9"/>
    <s v="N"/>
    <s v="Y"/>
    <s v="Y"/>
    <s v="Y"/>
    <x v="0"/>
    <s v="West Fork and Below Lake"/>
    <s v="Sonoma (d/s of Clov. Gage)"/>
    <x v="2"/>
    <n v="1902"/>
    <x v="13"/>
    <x v="1"/>
    <s v="Y"/>
    <s v="Y"/>
    <s v="N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2.597999999999999"/>
    <s v="Acre-feet"/>
    <n v="0"/>
    <s v="Acre-feet per Year"/>
    <s v="U_9"/>
    <n v="3.4039024194010059E-4"/>
    <n v="38.738300000000002"/>
    <n v="-122.9404"/>
    <s v="RUSSIAN RIVER"/>
  </r>
  <r>
    <s v="S022864"/>
    <n v="19020101"/>
    <n v="9"/>
    <s v="N"/>
    <s v="Y"/>
    <s v="Y"/>
    <s v="Y"/>
    <x v="0"/>
    <s v="West Fork and Below Lake"/>
    <s v="Sonoma (d/s of Clov. Gage)"/>
    <x v="2"/>
    <n v="1902"/>
    <x v="13"/>
    <x v="1"/>
    <s v="Y"/>
    <s v="Y"/>
    <s v="N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19.526"/>
    <s v="Acre-feet"/>
    <n v="0"/>
    <s v="Acre-feet per Year"/>
    <s v="U_9"/>
    <n v="3.4039024194010059E-4"/>
    <n v="38.738100000000003"/>
    <n v="-122.9391"/>
    <s v="RUSSIAN RIVER"/>
  </r>
  <r>
    <s v="S022865"/>
    <n v="19020101"/>
    <n v="9"/>
    <s v="N"/>
    <s v="Y"/>
    <s v="Y"/>
    <s v="Y"/>
    <x v="0"/>
    <s v="West Fork and Below Lake"/>
    <s v="Sonoma (d/s of Clov. Gage)"/>
    <x v="2"/>
    <n v="1902"/>
    <x v="13"/>
    <x v="1"/>
    <s v="Y"/>
    <s v="Y"/>
    <s v="N"/>
    <s v="N"/>
    <s v="N"/>
    <x v="1"/>
    <s v="N"/>
    <x v="1"/>
    <s v="N"/>
    <n v="0"/>
    <n v="0"/>
    <n v="0"/>
    <n v="1.3"/>
    <n v="7.26"/>
    <n v="15.96"/>
    <n v="26.43"/>
    <n v="23"/>
    <n v="14.73"/>
    <n v="0.8"/>
    <n v="0.1"/>
    <n v="0"/>
    <n v="89.58"/>
    <n v="87.399999999999977"/>
    <n v="0.28989584420442743"/>
    <n v="0.36921961149525684"/>
    <n v="242.67400000000001"/>
    <s v="Acre-feet"/>
    <n v="0"/>
    <s v="Acre-feet per Year"/>
    <s v="U_9"/>
    <n v="3.4039024194010059E-4"/>
    <n v="38.7378"/>
    <n v="-122.9391"/>
    <s v="RUSSIAN RIVER"/>
  </r>
  <r>
    <s v="S022867"/>
    <n v="19020101"/>
    <n v="9"/>
    <s v="N"/>
    <s v="Y"/>
    <s v="Y"/>
    <s v="Y"/>
    <x v="0"/>
    <s v="West Fork and Below Lake"/>
    <s v="Sonoma (d/s of Clov. Gage)"/>
    <x v="2"/>
    <n v="1902"/>
    <x v="13"/>
    <x v="1"/>
    <s v="Y"/>
    <s v="Y"/>
    <s v="N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79.683999999999997"/>
    <s v="Acre-feet"/>
    <n v="0"/>
    <s v="Acre-feet per Year"/>
    <s v="U_9"/>
    <n v="3.4039024194010059E-4"/>
    <n v="38.735300000000002"/>
    <n v="-122.93819999999999"/>
    <s v="RUSSIAN RIVER"/>
  </r>
  <r>
    <s v="S009055"/>
    <n v="19010101"/>
    <n v="19"/>
    <s v="N"/>
    <s v="N"/>
    <s v="N"/>
    <s v="N"/>
    <x v="1"/>
    <s v="Outside"/>
    <s v="Outside"/>
    <x v="2"/>
    <n v="1901"/>
    <x v="13"/>
    <x v="1"/>
    <s v="N"/>
    <s v="Y"/>
    <s v="N"/>
    <s v="N"/>
    <s v="N"/>
    <x v="1"/>
    <s v="N"/>
    <x v="1"/>
    <s v="N"/>
    <n v="37.503333329999997"/>
    <n v="32.943333330000002"/>
    <n v="40.14"/>
    <n v="36.583333330000002"/>
    <n v="42.16"/>
    <n v="45.79"/>
    <n v="54.47666667"/>
    <n v="53.186666670000001"/>
    <n v="46.863333330000003"/>
    <n v="42.313333329999999"/>
    <n v="37.15666667"/>
    <n v="33.666666669999998"/>
    <n v="502.78333332999995"/>
    <n v="242.47666666999999"/>
    <n v="0.80426748265646697"/>
    <n v="0"/>
    <n v="0"/>
    <s v="Acre-feet"/>
    <n v="0"/>
    <s v="Acre-feet per Year"/>
    <s v="L_19"/>
    <n v="0"/>
    <n v="38.510044000000001"/>
    <n v="-122.9845182"/>
    <s v="RUSSIAN RIVER UNDERFLOW"/>
  </r>
  <r>
    <s v="S024683"/>
    <n v="19010101"/>
    <n v="21"/>
    <s v="N"/>
    <s v="N"/>
    <s v="N"/>
    <s v="N"/>
    <x v="1"/>
    <s v="Outside"/>
    <s v="Outside"/>
    <x v="2"/>
    <n v="1901"/>
    <x v="13"/>
    <x v="1"/>
    <s v="N"/>
    <s v="Y"/>
    <s v="N"/>
    <s v="N"/>
    <s v="N"/>
    <x v="1"/>
    <s v="N"/>
    <x v="1"/>
    <s v="N"/>
    <n v="1.1000000000000001"/>
    <n v="0.93333333299999999"/>
    <n v="1.1666666670000001"/>
    <n v="1.1000000000000001"/>
    <n v="4.4333333330000002"/>
    <n v="8.5666666669999998"/>
    <n v="12.66666667"/>
    <n v="5.4"/>
    <n v="5.1666666670000003"/>
    <n v="2.2000000000000002"/>
    <n v="2.5666666669999998"/>
    <n v="1.3"/>
    <n v="46.600000004000002"/>
    <n v="36.233333336999998"/>
    <n v="0.12018183931430251"/>
    <n v="0.22223281989603702"/>
    <n v="209.69"/>
    <s v="Acre-feet"/>
    <n v="0"/>
    <s v="Acre-feet per Year"/>
    <s v="L_21"/>
    <n v="3.4039024194010059E-4"/>
    <n v="38.474699999999999"/>
    <n v="-122.99299999999999"/>
    <s v="RUSSIAN RIVER"/>
  </r>
  <r>
    <s v="S008709"/>
    <n v="19000101"/>
    <n v="18"/>
    <s v="N"/>
    <s v="N"/>
    <s v="N"/>
    <s v="N"/>
    <x v="1"/>
    <s v="Outside"/>
    <s v="Outside"/>
    <x v="2"/>
    <n v="1900"/>
    <x v="13"/>
    <x v="0"/>
    <s v="N"/>
    <s v="Y"/>
    <s v="N"/>
    <s v="N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7.9683999999999999"/>
    <s v="Acre-feet"/>
    <n v="0"/>
    <s v="Acre-feet per Year"/>
    <s v="L_18"/>
    <n v="3.4039024194010059E-4"/>
    <n v="38.438550249999999"/>
    <n v="-122.89485113000001"/>
    <s v="HARRISON CREEK"/>
  </r>
  <r>
    <s v="S010034"/>
    <n v="19000101"/>
    <n v="23"/>
    <s v="N"/>
    <s v="N"/>
    <s v="N"/>
    <s v="N"/>
    <x v="1"/>
    <s v="Outside"/>
    <s v="Outside"/>
    <x v="2"/>
    <n v="1900"/>
    <x v="13"/>
    <x v="0"/>
    <s v="N"/>
    <s v="Y"/>
    <s v="N"/>
    <s v="N"/>
    <s v="N"/>
    <x v="1"/>
    <s v="N"/>
    <x v="1"/>
    <s v="N"/>
    <n v="0"/>
    <n v="0"/>
    <n v="0.66666666699999999"/>
    <n v="0.73333333300000003"/>
    <n v="1.5333333330000001"/>
    <n v="0.7"/>
    <n v="1.233333333"/>
    <n v="0.233333333"/>
    <n v="0"/>
    <n v="0"/>
    <n v="0.5"/>
    <n v="0"/>
    <n v="5.5999999990000005"/>
    <n v="3.6999999990000001"/>
    <n v="1.2272478527076499E-2"/>
    <n v="3.0922142457205967E-2"/>
    <n v="181.1"/>
    <s v="Acre-feet"/>
    <n v="0"/>
    <s v="Acre-feet per Year"/>
    <s v="L_24"/>
    <n v="0"/>
    <n v="38.494364570000002"/>
    <n v="-122.81064071"/>
    <s v="MARK WEST CREEK"/>
  </r>
  <r>
    <s v="S013392"/>
    <n v="19000101"/>
    <n v="9"/>
    <s v="N"/>
    <s v="Y"/>
    <s v="Y"/>
    <s v="Y"/>
    <x v="0"/>
    <s v="West Fork and Below Lake"/>
    <s v="Sonoma (d/s of Clov. Gage)"/>
    <x v="2"/>
    <n v="1900"/>
    <x v="13"/>
    <x v="0"/>
    <s v="Y"/>
    <s v="Y"/>
    <s v="N"/>
    <s v="N"/>
    <s v="N"/>
    <x v="1"/>
    <s v="N"/>
    <x v="1"/>
    <s v="N"/>
    <n v="0.03"/>
    <n v="0.03"/>
    <n v="0.03"/>
    <n v="0.03"/>
    <n v="0.03"/>
    <n v="0.04"/>
    <n v="0.04"/>
    <n v="0.04"/>
    <n v="0.03"/>
    <n v="0.03"/>
    <n v="0.03"/>
    <n v="0.03"/>
    <n v="0.39000000000000012"/>
    <n v="0.200500333"/>
    <n v="6.6503676542681734E-4"/>
    <n v="0.27334523642408576"/>
    <n v="1.6242000000000001"/>
    <s v="Acre-feet"/>
    <n v="0"/>
    <s v="Acre-feet per Year"/>
    <s v="U_9"/>
    <n v="3.4039024194010059E-4"/>
    <n v="38.760149759999997"/>
    <n v="-123.00761654"/>
    <s v="UNST"/>
  </r>
  <r>
    <s v="S015825"/>
    <n v="19000101"/>
    <n v="23"/>
    <s v="N"/>
    <s v="N"/>
    <s v="N"/>
    <s v="N"/>
    <x v="1"/>
    <s v="Outside"/>
    <s v="Outside"/>
    <x v="2"/>
    <n v="1900"/>
    <x v="13"/>
    <x v="0"/>
    <s v="N"/>
    <s v="Y"/>
    <s v="N"/>
    <s v="N"/>
    <s v="N"/>
    <x v="1"/>
    <s v="N"/>
    <x v="1"/>
    <s v="N"/>
    <n v="0.01"/>
    <n v="0.01"/>
    <n v="1.3333332999999999E-2"/>
    <n v="1.6666667E-2"/>
    <n v="5.3333332999999997E-2"/>
    <n v="6.6666666999999999E-2"/>
    <n v="4.3333333000000002E-2"/>
    <n v="0.06"/>
    <n v="1.3333332999999999E-2"/>
    <n v="0"/>
    <n v="0"/>
    <n v="0"/>
    <n v="0.28666666599999996"/>
    <n v="0.236666666"/>
    <n v="7.8499637225534638E-4"/>
    <n v="0"/>
    <n v="0"/>
    <s v="Acre-feet"/>
    <n v="0"/>
    <s v="Acre-feet per Year"/>
    <s v="L_24"/>
    <n v="3.4039024194010059E-4"/>
    <n v="38.53619467"/>
    <n v="-122.68772903"/>
    <s v="UNSP"/>
  </r>
  <r>
    <s v="S015925"/>
    <n v="19000101"/>
    <n v="9"/>
    <s v="N"/>
    <s v="Y"/>
    <s v="Y"/>
    <s v="Y"/>
    <x v="0"/>
    <s v="West Fork and Below Lake"/>
    <s v="Sonoma (d/s of Clov. Gage)"/>
    <x v="2"/>
    <n v="1900"/>
    <x v="13"/>
    <x v="1"/>
    <s v="Y"/>
    <s v="Y"/>
    <s v="N"/>
    <s v="N"/>
    <s v="N"/>
    <x v="1"/>
    <s v="N"/>
    <x v="1"/>
    <s v="N"/>
    <n v="0"/>
    <n v="0"/>
    <n v="0"/>
    <n v="0.61"/>
    <n v="1.84"/>
    <n v="2.4500000000000002"/>
    <n v="2.4500000000000002"/>
    <n v="2.2400000000000002"/>
    <n v="1.84"/>
    <n v="0"/>
    <n v="0"/>
    <n v="0"/>
    <n v="11.43"/>
    <n v="10.82666666666667"/>
    <n v="3.5910820060106055E-2"/>
    <n v="1.3458823529411768"/>
    <n v="8.5"/>
    <s v="Acre-feet"/>
    <n v="0"/>
    <s v="Acre-feet per Year"/>
    <s v="U_9"/>
    <n v="3.4039024194010059E-4"/>
    <n v="38.729953430000002"/>
    <n v="-122.92375269999999"/>
    <s v="RUSSIAN RIVER UNDERFLOW"/>
  </r>
  <r>
    <s v="S017020"/>
    <n v="19000101"/>
    <n v="1"/>
    <s v="N"/>
    <s v="N"/>
    <s v="Y"/>
    <s v="Y"/>
    <x v="0"/>
    <s v="West Fork and Below Lake"/>
    <s v="Outside"/>
    <x v="2"/>
    <n v="1900"/>
    <x v="13"/>
    <x v="0"/>
    <s v="Y"/>
    <s v="Y"/>
    <s v="N"/>
    <s v="N"/>
    <s v="N"/>
    <x v="1"/>
    <s v="N"/>
    <x v="1"/>
    <s v="N"/>
    <n v="0"/>
    <n v="0"/>
    <n v="0"/>
    <n v="0"/>
    <n v="0.22"/>
    <n v="0.56999999999999995"/>
    <n v="0.52"/>
    <n v="0.47"/>
    <n v="0.39"/>
    <n v="0.01"/>
    <n v="0"/>
    <n v="0"/>
    <n v="2.1799999999999997"/>
    <n v="2.1992886669999998"/>
    <n v="7.2947899859175623E-3"/>
    <n v="1.5251242407509662"/>
    <n v="1.4488000000000001"/>
    <s v="Acre-feet"/>
    <n v="0"/>
    <s v="Acre-feet per Year"/>
    <s v="U_1"/>
    <n v="3.4039024194010059E-4"/>
    <n v="39.33"/>
    <n v="-123.2375"/>
    <s v="MIDDLE SPRING"/>
  </r>
  <r>
    <s v="S020096"/>
    <n v="19000101"/>
    <n v="1"/>
    <s v="N"/>
    <s v="N"/>
    <s v="Y"/>
    <s v="Y"/>
    <x v="0"/>
    <s v="West Fork and Below Lake"/>
    <s v="Outside"/>
    <x v="2"/>
    <n v="1900"/>
    <x v="13"/>
    <x v="0"/>
    <s v="Y"/>
    <s v="Y"/>
    <s v="N"/>
    <s v="N"/>
    <s v="N"/>
    <x v="1"/>
    <s v="N"/>
    <x v="1"/>
    <s v="N"/>
    <n v="0.41"/>
    <n v="0.37"/>
    <n v="0.41"/>
    <n v="0.4"/>
    <n v="0.41"/>
    <n v="0.4"/>
    <n v="0.41"/>
    <n v="0.41"/>
    <n v="0.4"/>
    <n v="0.27"/>
    <n v="0.26"/>
    <n v="0.27"/>
    <n v="4.42"/>
    <n v="2.0516489999999998"/>
    <n v="6.8050860282170408E-3"/>
    <n v="0.34275461684765945"/>
    <n v="13.039199999999999"/>
    <s v="Acre-feet"/>
    <n v="0"/>
    <s v="Acre-feet per Year"/>
    <s v="U_1"/>
    <n v="3.4039024194010059E-4"/>
    <n v="39.333199999999998"/>
    <n v="-123.2406"/>
    <s v="ONE INCH SPRING"/>
  </r>
  <r>
    <s v="S023687"/>
    <n v="19000101"/>
    <n v="1"/>
    <s v="N"/>
    <s v="N"/>
    <s v="Y"/>
    <s v="Y"/>
    <x v="0"/>
    <s v="West Fork and Below Lake"/>
    <s v="Outside"/>
    <x v="2"/>
    <n v="1900"/>
    <x v="13"/>
    <x v="0"/>
    <s v="Y"/>
    <s v="Y"/>
    <s v="N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.85"/>
    <s v="Acre-feet"/>
    <n v="0"/>
    <s v="Acre-feet per Year"/>
    <s v="U_1"/>
    <n v="0"/>
    <n v="39.273299999999999"/>
    <n v="-123.2086"/>
    <s v="WEST FORK OF RUSSIAN RIVER"/>
  </r>
  <r>
    <s v="S025594"/>
    <n v="19000101"/>
    <n v="18"/>
    <s v="N"/>
    <s v="N"/>
    <s v="N"/>
    <s v="N"/>
    <x v="1"/>
    <s v="Outside"/>
    <s v="Outside"/>
    <x v="2"/>
    <n v="1900"/>
    <x v="13"/>
    <x v="0"/>
    <s v="N"/>
    <s v="Y"/>
    <s v="N"/>
    <s v="N"/>
    <s v="N"/>
    <x v="1"/>
    <s v="N"/>
    <x v="1"/>
    <s v="N"/>
    <n v="0"/>
    <n v="0"/>
    <n v="2.7299999999999998E-3"/>
    <n v="2.7299999999999998E-3"/>
    <n v="2.7299999999999998E-3"/>
    <n v="2.7299999999999998E-3"/>
    <n v="2.7299999999999998E-3"/>
    <n v="2.7299999999999998E-3"/>
    <n v="2.7299999999999998E-3"/>
    <n v="2.7299999999999998E-3"/>
    <n v="2.7299999999999998E-3"/>
    <n v="0"/>
    <n v="2.4569999999999998E-2"/>
    <n v="1.3649999999999999E-2"/>
    <n v="4.5275495118883693E-5"/>
    <n v="1.0028571428571427"/>
    <n v="2.4500000000000001E-2"/>
    <s v="Acre-feet"/>
    <n v="0"/>
    <s v="Acre-feet per Year"/>
    <s v="L_18"/>
    <n v="0"/>
    <n v="38.417700000000004"/>
    <n v="-122.9006"/>
    <s v="PURRINGTON CREEK"/>
  </r>
  <r>
    <s v="S025690"/>
    <n v="19000101"/>
    <n v="18"/>
    <s v="N"/>
    <s v="N"/>
    <s v="N"/>
    <s v="N"/>
    <x v="1"/>
    <s v="Outside"/>
    <s v="Outside"/>
    <x v="2"/>
    <n v="1900"/>
    <x v="13"/>
    <x v="0"/>
    <s v="N"/>
    <s v="Y"/>
    <s v="N"/>
    <s v="N"/>
    <s v="N"/>
    <x v="1"/>
    <s v="N"/>
    <x v="1"/>
    <s v="N"/>
    <n v="0"/>
    <n v="0"/>
    <n v="1.5"/>
    <n v="3.5"/>
    <n v="2.5"/>
    <n v="2.5"/>
    <n v="2"/>
    <n v="2.5"/>
    <n v="2"/>
    <n v="1"/>
    <n v="0"/>
    <n v="0"/>
    <n v="17.5"/>
    <n v="11.5"/>
    <n v="3.8144190026898353E-2"/>
    <n v="1.0294117647058822"/>
    <n v="17"/>
    <s v="Acre-feet"/>
    <n v="0"/>
    <s v="Acre-feet per Year"/>
    <s v="L_18"/>
    <n v="0"/>
    <n v="38.4176"/>
    <n v="-122.9"/>
    <s v="PURRINGTON CREEK"/>
  </r>
  <r>
    <s v="S008714"/>
    <n v="19000101"/>
    <n v="2"/>
    <s v="N"/>
    <s v="N"/>
    <s v="Y"/>
    <s v="N"/>
    <x v="0"/>
    <s v="Outside"/>
    <s v="Outside"/>
    <x v="2"/>
    <n v="1900"/>
    <x v="13"/>
    <x v="0"/>
    <s v="Y"/>
    <s v="Y"/>
    <s v="N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5.9368"/>
    <s v="Acre-feet"/>
    <n v="0"/>
    <s v="Acre-feet per Year"/>
    <s v="U_2"/>
    <n v="3.4039024194010059E-4"/>
    <n v="39.272913690000003"/>
    <n v="-123.10253365"/>
    <s v="UNSP"/>
  </r>
  <r>
    <s v="S009299"/>
    <n v="18990101"/>
    <n v="23"/>
    <s v="N"/>
    <s v="N"/>
    <s v="N"/>
    <s v="N"/>
    <x v="1"/>
    <s v="Outside"/>
    <s v="Outside"/>
    <x v="2"/>
    <n v="1899"/>
    <x v="13"/>
    <x v="0"/>
    <s v="N"/>
    <s v="Y"/>
    <s v="N"/>
    <s v="N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L_24"/>
    <n v="0"/>
    <n v="38.515241660000001"/>
    <n v="-122.72664438"/>
    <s v="MARK WEST CREEK"/>
  </r>
  <r>
    <s v="S028299"/>
    <n v="18970101"/>
    <n v="20"/>
    <s v="N"/>
    <s v="N"/>
    <s v="N"/>
    <s v="N"/>
    <x v="1"/>
    <s v="Outside"/>
    <s v="Outside"/>
    <x v="2"/>
    <n v="1897"/>
    <x v="13"/>
    <x v="0"/>
    <s v="N"/>
    <s v="Y"/>
    <s v="N"/>
    <s v="N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62439999999999996"/>
    <s v="Acre-feet"/>
    <n v="0"/>
    <s v="Acre-feet per Year"/>
    <s v="L_20"/>
    <n v="3.4039024194010059E-4"/>
    <n v="38.555399999999999"/>
    <n v="-123.10625"/>
    <s v="Unnamed Spring of Percolating Groundwater"/>
  </r>
  <r>
    <s v="S028355"/>
    <n v="18970101"/>
    <n v="20"/>
    <s v="N"/>
    <s v="N"/>
    <s v="N"/>
    <s v="N"/>
    <x v="1"/>
    <s v="Outside"/>
    <s v="Outside"/>
    <x v="2"/>
    <n v="1897"/>
    <x v="13"/>
    <x v="0"/>
    <s v="N"/>
    <s v="Y"/>
    <s v="N"/>
    <s v="N"/>
    <s v="N"/>
    <x v="1"/>
    <s v="N"/>
    <x v="1"/>
    <s v="N"/>
    <n v="0.49268223799999999"/>
    <n v="0.49268223799999999"/>
    <n v="0.49268223799999999"/>
    <n v="0.49268223799999999"/>
    <n v="0.49268223799999999"/>
    <n v="0.49268223799999999"/>
    <n v="0.96280815500000005"/>
    <n v="0.61169982599999995"/>
    <n v="0.21768231499999999"/>
    <n v="0.33076160599999999"/>
    <n v="0.38367536099999999"/>
    <n v="0.43110808299999998"/>
    <n v="5.8938287740000002"/>
    <n v="2.7775547719999998"/>
    <n v="9.212832785503158E-3"/>
    <n v="9.4391876585522105"/>
    <n v="0.62439999999999996"/>
    <s v="Acre-feet"/>
    <n v="0"/>
    <s v="Acre-feet per Year"/>
    <s v="L_20"/>
    <n v="3.4039024194010059E-4"/>
    <n v="38.555399999999999"/>
    <n v="-123.10625"/>
    <s v="Unnamed Spring of Percolation Groundwater"/>
  </r>
  <r>
    <s v="S022853"/>
    <n v="18950101"/>
    <n v="12"/>
    <s v="N"/>
    <s v="Y"/>
    <s v="Y"/>
    <s v="Y"/>
    <x v="0"/>
    <s v="West Fork and Below Lake"/>
    <s v="Sonoma (d/s of Clov. Gage)"/>
    <x v="2"/>
    <n v="1895"/>
    <x v="13"/>
    <x v="1"/>
    <s v="Y"/>
    <s v="Y"/>
    <s v="N"/>
    <s v="N"/>
    <s v="N"/>
    <x v="1"/>
    <s v="N"/>
    <x v="1"/>
    <s v="N"/>
    <n v="0"/>
    <n v="0.6"/>
    <n v="0"/>
    <n v="0.1"/>
    <n v="0.53"/>
    <n v="2.2000000000000002"/>
    <n v="3.06"/>
    <n v="2.46"/>
    <n v="1.66"/>
    <n v="0.43"/>
    <n v="0.3"/>
    <n v="0"/>
    <n v="11.34"/>
    <n v="9.9333333333333425"/>
    <n v="3.2947735153668757E-2"/>
    <n v="0.11623071626752846"/>
    <n v="97.793999999999997"/>
    <s v="Acre-feet"/>
    <n v="0"/>
    <s v="Acre-feet per Year"/>
    <s v="U_12"/>
    <n v="0"/>
    <n v="38.633899999999997"/>
    <n v="-122.8516"/>
    <s v="RUSSIAN RIVER"/>
  </r>
  <r>
    <s v="S022856"/>
    <n v="18950101"/>
    <n v="12"/>
    <s v="N"/>
    <s v="Y"/>
    <s v="Y"/>
    <s v="Y"/>
    <x v="0"/>
    <s v="West Fork and Below Lake"/>
    <s v="Sonoma (d/s of Clov. Gage)"/>
    <x v="2"/>
    <n v="1895"/>
    <x v="13"/>
    <x v="1"/>
    <s v="Y"/>
    <s v="Y"/>
    <s v="N"/>
    <s v="N"/>
    <s v="N"/>
    <x v="1"/>
    <s v="N"/>
    <x v="1"/>
    <s v="N"/>
    <n v="0"/>
    <n v="0.4"/>
    <n v="0"/>
    <n v="0.03"/>
    <n v="0.46"/>
    <n v="1.26"/>
    <n v="2.46"/>
    <n v="2.2599999999999998"/>
    <n v="2"/>
    <n v="0.4"/>
    <n v="0.06"/>
    <n v="0"/>
    <n v="9.3300000000000018"/>
    <n v="8.4666666666666757"/>
    <n v="2.8082968889368676E-2"/>
    <n v="0.19892678644749345"/>
    <n v="47.085999999999999"/>
    <s v="Acre-feet"/>
    <n v="0"/>
    <s v="Acre-feet per Year"/>
    <s v="U_12"/>
    <n v="0"/>
    <n v="38.633499999999998"/>
    <n v="-122.8533"/>
    <s v="RUSSIAN RIVER"/>
  </r>
  <r>
    <s v="S013755"/>
    <n v="18910101"/>
    <n v="13"/>
    <s v="N"/>
    <s v="Y"/>
    <s v="Y"/>
    <s v="Y"/>
    <x v="0"/>
    <s v="West Fork and Below Lake"/>
    <s v="Sonoma (d/s of Clov. Gage)"/>
    <x v="2"/>
    <n v="1891"/>
    <x v="13"/>
    <x v="1"/>
    <s v="Y"/>
    <s v="Y"/>
    <s v="N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5.9086999999999996"/>
    <s v="Acre-feet"/>
    <n v="0"/>
    <s v="Acre-feet per Year"/>
    <s v="U_13"/>
    <n v="3.4039024194010059E-4"/>
    <n v="38.614222550000001"/>
    <n v="-122.8309031"/>
    <s v="RUSSIAN RIVER"/>
  </r>
  <r>
    <s v="S027894"/>
    <n v="18900101"/>
    <n v="2"/>
    <s v="N"/>
    <s v="N"/>
    <s v="Y"/>
    <s v="N"/>
    <x v="0"/>
    <s v="Outside"/>
    <s v="Outside"/>
    <x v="2"/>
    <n v="1890"/>
    <x v="13"/>
    <x v="0"/>
    <s v="Y"/>
    <s v="Y"/>
    <s v="N"/>
    <s v="N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.38E-2"/>
    <s v="Acre-feet"/>
    <n v="0"/>
    <s v="Acre-feet per Year"/>
    <s v="U_2"/>
    <n v="0"/>
    <n v="39.296255559999999"/>
    <n v="-123.06027778000001"/>
    <s v="Unnamed"/>
  </r>
  <r>
    <s v="S014237"/>
    <n v="18860101"/>
    <n v="9"/>
    <s v="N"/>
    <s v="Y"/>
    <s v="Y"/>
    <s v="Y"/>
    <x v="0"/>
    <s v="West Fork and Below Lake"/>
    <s v="Sonoma (d/s of Clov. Gage)"/>
    <x v="2"/>
    <n v="1886"/>
    <x v="13"/>
    <x v="1"/>
    <s v="Y"/>
    <s v="Y"/>
    <s v="N"/>
    <s v="N"/>
    <s v="N"/>
    <x v="1"/>
    <s v="N"/>
    <x v="1"/>
    <s v="N"/>
    <n v="65.44"/>
    <n v="58.77"/>
    <n v="62.69"/>
    <n v="70.23"/>
    <n v="110.77"/>
    <n v="134"/>
    <n v="151.94999999999999"/>
    <n v="150.22999999999999"/>
    <n v="134.58000000000001"/>
    <n v="113.34"/>
    <n v="87.58"/>
    <n v="68.08"/>
    <n v="1207.6599999999999"/>
    <n v="681.54286900000011"/>
    <n v="2.2606000614446518"/>
    <n v="0.34403468092796496"/>
    <n v="3510.4423999999999"/>
    <s v="Acre-feet"/>
    <n v="0"/>
    <s v="Acre-feet per Year"/>
    <s v="U_9"/>
    <n v="0"/>
    <n v="38.811331010000004"/>
    <n v="-123.01114871"/>
    <s v="RUSSIAN RIVER"/>
  </r>
  <r>
    <s v="S008430"/>
    <n v="18810101"/>
    <n v="9"/>
    <s v="N"/>
    <s v="Y"/>
    <s v="Y"/>
    <s v="Y"/>
    <x v="0"/>
    <s v="West Fork and Below Lake"/>
    <s v="Sonoma (d/s of Clov. Gage)"/>
    <x v="2"/>
    <n v="1881"/>
    <x v="13"/>
    <x v="1"/>
    <s v="Y"/>
    <s v="Y"/>
    <s v="N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3.322400000000002"/>
    <s v="Acre-feet"/>
    <n v="0"/>
    <s v="Acre-feet per Year"/>
    <s v="U_9"/>
    <n v="3.4039024194010059E-4"/>
    <n v="38.766327879999999"/>
    <n v="-122.97543448"/>
    <s v="RUSSIAN RIVER"/>
  </r>
  <r>
    <s v="S015418"/>
    <n v="18780101"/>
    <n v="11"/>
    <s v="N"/>
    <s v="Y"/>
    <s v="Y"/>
    <s v="Y"/>
    <x v="0"/>
    <s v="West Fork and Below Lake"/>
    <s v="Sonoma (d/s of Clov. Gage)"/>
    <x v="2"/>
    <n v="1878"/>
    <x v="13"/>
    <x v="0"/>
    <s v="Y"/>
    <s v="Y"/>
    <s v="N"/>
    <s v="N"/>
    <s v="N"/>
    <x v="1"/>
    <s v="N"/>
    <x v="1"/>
    <s v="N"/>
    <n v="0.06"/>
    <n v="0.06"/>
    <n v="0.06"/>
    <n v="1.73"/>
    <n v="2.0499999999999998"/>
    <n v="2.0499999999999998"/>
    <n v="5.33"/>
    <n v="3.71"/>
    <n v="3.71"/>
    <n v="0.38"/>
    <n v="0.06"/>
    <n v="0.06"/>
    <n v="19.259999999999998"/>
    <n v="16.866666667000001"/>
    <n v="5.5944812040556548E-2"/>
    <n v="57.493055559523796"/>
    <n v="0.33600000000000002"/>
    <s v="Acre-feet"/>
    <n v="0"/>
    <s v="Acre-feet per Year"/>
    <s v="U_11"/>
    <n v="3.4039024194010059E-4"/>
    <n v="38.634523110000003"/>
    <n v="-122.66309227000001"/>
    <s v="YELLOW JACKET CREEK"/>
  </r>
  <r>
    <s v="S024229"/>
    <n v="18770101"/>
    <n v="20"/>
    <s v="N"/>
    <s v="N"/>
    <s v="N"/>
    <s v="N"/>
    <x v="1"/>
    <s v="Outside"/>
    <s v="Outside"/>
    <x v="2"/>
    <n v="1877"/>
    <x v="13"/>
    <x v="0"/>
    <s v="N"/>
    <s v="Y"/>
    <s v="N"/>
    <s v="N"/>
    <s v="N"/>
    <x v="1"/>
    <s v="N"/>
    <x v="1"/>
    <s v="N"/>
    <n v="1.25"/>
    <n v="1.25"/>
    <n v="1.25"/>
    <n v="1.25"/>
    <n v="1.25"/>
    <n v="1.25"/>
    <n v="1.25"/>
    <n v="1.25"/>
    <n v="1.25"/>
    <n v="1.25"/>
    <n v="1.25"/>
    <n v="1.25"/>
    <n v="15"/>
    <n v="6.25"/>
    <n v="2.0730538058096933E-2"/>
    <n v="0.51766979569298732"/>
    <n v="28.975999999999999"/>
    <s v="Acre-feet"/>
    <n v="0"/>
    <s v="Acre-feet per Year"/>
    <s v="L_20"/>
    <n v="3.4039024194010059E-4"/>
    <n v="38.536000000000001"/>
    <n v="-123.0894"/>
    <s v="AUSTIN CREEK"/>
  </r>
  <r>
    <s v="S027648"/>
    <n v="18760101"/>
    <n v="18"/>
    <s v="N"/>
    <s v="N"/>
    <s v="N"/>
    <s v="N"/>
    <x v="1"/>
    <s v="Outside"/>
    <s v="Outside"/>
    <x v="2"/>
    <n v="1876"/>
    <x v="13"/>
    <x v="0"/>
    <s v="N"/>
    <s v="Y"/>
    <s v="N"/>
    <s v="N"/>
    <s v="N"/>
    <x v="1"/>
    <s v="N"/>
    <x v="1"/>
    <s v="N"/>
    <n v="6.6746666999999996E-2"/>
    <n v="7.6746667000000005E-2"/>
    <n v="7.6746667000000005E-2"/>
    <n v="6.6746666999999996E-2"/>
    <n v="5.5079999999999997E-2"/>
    <n v="0"/>
    <n v="0"/>
    <n v="0"/>
    <n v="0"/>
    <n v="3.508E-2"/>
    <n v="6.6746666999999996E-2"/>
    <n v="6.6746666999999996E-2"/>
    <n v="0.51064000200000004"/>
    <n v="5.5079999999999997E-2"/>
    <n v="1.8269408579839664E-4"/>
    <n v="1.3277171138845554"/>
    <n v="0.3846"/>
    <s v="Acre-feet"/>
    <n v="0"/>
    <s v="Acre-feet per Year"/>
    <s v="L_18"/>
    <n v="3.4039024194010059E-4"/>
    <n v="38.463985000000001"/>
    <n v="-122.922991"/>
    <s v="Unnamed Spring"/>
  </r>
  <r>
    <s v="S015196"/>
    <n v="18750101"/>
    <n v="11"/>
    <s v="N"/>
    <s v="Y"/>
    <s v="Y"/>
    <s v="Y"/>
    <x v="0"/>
    <s v="West Fork and Below Lake"/>
    <s v="Sonoma (d/s of Clov. Gage)"/>
    <x v="2"/>
    <n v="1875"/>
    <x v="13"/>
    <x v="0"/>
    <s v="Y"/>
    <s v="Y"/>
    <s v="N"/>
    <s v="N"/>
    <s v="N"/>
    <x v="1"/>
    <s v="N"/>
    <x v="1"/>
    <s v="N"/>
    <n v="0.04"/>
    <n v="0.03"/>
    <n v="0.04"/>
    <n v="0.04"/>
    <n v="0.06"/>
    <n v="0.14000000000000001"/>
    <n v="0.18"/>
    <n v="0.31"/>
    <n v="0.33"/>
    <n v="0.21"/>
    <n v="0.05"/>
    <n v="9.8206669999999999E-3"/>
    <n v="1.4398206670000002"/>
    <n v="1.046902333"/>
    <n v="3.4724557851787147E-3"/>
    <n v="4.4232450416666662"/>
    <n v="0.33600000000000002"/>
    <s v="Acre-feet"/>
    <n v="0"/>
    <s v="Acre-feet per Year"/>
    <s v="U_11"/>
    <n v="3.4039024194010059E-4"/>
    <n v="38.634523110000003"/>
    <n v="-122.66309227000001"/>
    <s v="YELLOWJACKET CREEK"/>
  </r>
  <r>
    <s v="S004711"/>
    <n v="18730101"/>
    <n v="23"/>
    <s v="N"/>
    <s v="N"/>
    <s v="N"/>
    <s v="N"/>
    <x v="1"/>
    <s v="Outside"/>
    <s v="Outside"/>
    <x v="2"/>
    <n v="1873"/>
    <x v="13"/>
    <x v="0"/>
    <s v="N"/>
    <s v="Y"/>
    <s v="N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L_27"/>
    <n v="0"/>
    <n v="38.454103029999999"/>
    <n v="-122.66880845"/>
    <s v="SANTA ROSA CREEK"/>
  </r>
  <r>
    <s v="S017281"/>
    <n v="18720101"/>
    <n v="11"/>
    <s v="N"/>
    <s v="Y"/>
    <s v="Y"/>
    <s v="Y"/>
    <x v="0"/>
    <s v="West Fork and Below Lake"/>
    <s v="Sonoma (d/s of Clov. Gage)"/>
    <x v="2"/>
    <n v="1872"/>
    <x v="13"/>
    <x v="0"/>
    <s v="Y"/>
    <s v="Y"/>
    <s v="N"/>
    <s v="N"/>
    <s v="N"/>
    <x v="1"/>
    <s v="N"/>
    <x v="1"/>
    <s v="N"/>
    <n v="0.08"/>
    <n v="0.09"/>
    <n v="0.05"/>
    <n v="0.3"/>
    <n v="0.76"/>
    <n v="1.95"/>
    <n v="2.14"/>
    <n v="2.12"/>
    <n v="1.71"/>
    <n v="1.43"/>
    <n v="0.24"/>
    <n v="0.1"/>
    <n v="10.969999999999999"/>
    <n v="8.7036606589999987"/>
    <n v="2.8869050965785677E-2"/>
    <n v="0.195414351753529"/>
    <n v="56.5032"/>
    <s v="Acre-feet"/>
    <n v="0"/>
    <s v="Acre-feet per Year"/>
    <s v="U_11"/>
    <n v="0"/>
    <n v="38.6342"/>
    <n v="-122.6734"/>
    <s v="REDWOOD CREEK"/>
  </r>
  <r>
    <s v="S017301"/>
    <n v="18720101"/>
    <n v="11"/>
    <s v="N"/>
    <s v="Y"/>
    <s v="Y"/>
    <s v="Y"/>
    <x v="0"/>
    <s v="West Fork and Below Lake"/>
    <s v="Sonoma (d/s of Clov. Gage)"/>
    <x v="2"/>
    <n v="1872"/>
    <x v="13"/>
    <x v="0"/>
    <s v="Y"/>
    <s v="Y"/>
    <s v="N"/>
    <s v="N"/>
    <s v="N"/>
    <x v="1"/>
    <s v="N"/>
    <x v="1"/>
    <s v="N"/>
    <n v="4.5523330000000004E-3"/>
    <n v="5.9433330000000003E-3"/>
    <n v="5.9946670000000004E-3"/>
    <n v="0.01"/>
    <n v="0.06"/>
    <n v="0.06"/>
    <n v="0.08"/>
    <n v="0.09"/>
    <n v="0.08"/>
    <n v="0.03"/>
    <n v="0.03"/>
    <n v="0.02"/>
    <n v="0.47649033299999999"/>
    <n v="0.382331333"/>
    <n v="1.268149479929509E-3"/>
    <n v="8.8291931607413394E-3"/>
    <n v="56.5032"/>
    <s v="Acre-feet"/>
    <n v="0"/>
    <s v="Acre-feet per Year"/>
    <s v="U_11"/>
    <n v="3.4039024194010059E-4"/>
    <n v="38.643700000000003"/>
    <n v="-122.6601"/>
    <s v="KELLOGG CREEK"/>
  </r>
  <r>
    <s v="S023888"/>
    <n v="18720101"/>
    <n v="6"/>
    <s v="Y"/>
    <s v="N"/>
    <s v="Y"/>
    <s v="Y"/>
    <x v="0"/>
    <s v="West Fork and Below Lake"/>
    <s v="Mendocino (d/s of lake)"/>
    <x v="2"/>
    <n v="1872"/>
    <x v="13"/>
    <x v="0"/>
    <s v="Y"/>
    <s v="Y"/>
    <s v="N"/>
    <s v="N"/>
    <s v="N"/>
    <x v="1"/>
    <s v="N"/>
    <x v="0"/>
    <s v="N"/>
    <n v="3.33"/>
    <n v="0"/>
    <n v="0"/>
    <n v="0"/>
    <n v="0"/>
    <n v="0"/>
    <n v="0"/>
    <n v="0"/>
    <n v="0"/>
    <n v="0"/>
    <n v="0"/>
    <n v="13.53"/>
    <n v="16.86"/>
    <n v="0"/>
    <n v="0"/>
    <n v="0"/>
    <n v="0"/>
    <s v="Acre-feet"/>
    <n v="0"/>
    <s v="Acre-feet per Year"/>
    <s v="U_6"/>
    <n v="0"/>
    <n v="38.871200000000002"/>
    <n v="-122.8914"/>
    <s v="TYLER CREEK"/>
  </r>
  <r>
    <s v="S009045"/>
    <n v="18700101"/>
    <n v="16"/>
    <s v="N"/>
    <s v="N"/>
    <s v="N"/>
    <s v="N"/>
    <x v="1"/>
    <s v="Outside"/>
    <s v="Outside"/>
    <x v="2"/>
    <n v="1870"/>
    <x v="13"/>
    <x v="0"/>
    <s v="N"/>
    <s v="Y"/>
    <s v="N"/>
    <s v="N"/>
    <s v="N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28000000000000003"/>
    <s v="Acre-feet"/>
    <n v="0"/>
    <s v="Acre-feet per Year"/>
    <s v="L_16"/>
    <n v="3.4039024194010059E-4"/>
    <n v="38.595529519999999"/>
    <n v="-122.90696635"/>
    <s v="MILL CREEK"/>
  </r>
  <r>
    <s v="S015365"/>
    <n v="18700101"/>
    <n v="4"/>
    <s v="Y"/>
    <s v="N"/>
    <s v="Y"/>
    <s v="Y"/>
    <x v="0"/>
    <s v="West Fork and Below Lake"/>
    <s v="Mendocino (d/s of lake)"/>
    <x v="2"/>
    <n v="1870"/>
    <x v="13"/>
    <x v="1"/>
    <s v="Y"/>
    <s v="Y"/>
    <s v="N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644.71600000000001"/>
    <s v="Acre-feet"/>
    <n v="0"/>
    <s v="Acre-feet per Year"/>
    <s v="U_4"/>
    <n v="0"/>
    <n v="39.115325919999997"/>
    <n v="-123.18415029000001"/>
    <s v="RUSSIAN RIVER"/>
  </r>
  <r>
    <s v="S008628"/>
    <n v="18690101"/>
    <n v="12"/>
    <s v="N"/>
    <s v="Y"/>
    <s v="Y"/>
    <s v="Y"/>
    <x v="0"/>
    <s v="West Fork and Below Lake"/>
    <s v="Sonoma (d/s of Clov. Gage)"/>
    <x v="2"/>
    <n v="1869"/>
    <x v="13"/>
    <x v="1"/>
    <s v="Y"/>
    <s v="Y"/>
    <s v="N"/>
    <s v="N"/>
    <s v="N"/>
    <x v="1"/>
    <s v="N"/>
    <x v="1"/>
    <s v="N"/>
    <n v="0.63"/>
    <n v="1.1499999999999999"/>
    <n v="0.8"/>
    <n v="1.58"/>
    <n v="3.43"/>
    <n v="3.69"/>
    <n v="4.4000000000000004"/>
    <n v="4.32"/>
    <n v="3.95"/>
    <n v="2.83"/>
    <n v="1.92"/>
    <n v="0.84"/>
    <n v="29.540000000000003"/>
    <n v="19.80600033333333"/>
    <n v="6.5694246990215532E-2"/>
    <n v="0"/>
    <n v="0"/>
    <s v="Acre-feet"/>
    <n v="0"/>
    <s v="Acre-feet per Year"/>
    <s v="U_12"/>
    <n v="3.4039024194010059E-4"/>
    <n v="38.645728859999998"/>
    <n v="-122.80220731999999"/>
    <s v="RUSSIAN RIVER"/>
  </r>
  <r>
    <s v="S015686"/>
    <n v="18690101"/>
    <n v="17"/>
    <s v="N"/>
    <s v="N"/>
    <s v="N"/>
    <s v="N"/>
    <x v="1"/>
    <s v="Outside"/>
    <s v="Outside"/>
    <x v="2"/>
    <n v="1869"/>
    <x v="13"/>
    <x v="1"/>
    <s v="N"/>
    <s v="Y"/>
    <s v="N"/>
    <s v="N"/>
    <s v="N"/>
    <x v="1"/>
    <s v="N"/>
    <x v="1"/>
    <s v="N"/>
    <n v="0"/>
    <n v="0"/>
    <n v="0"/>
    <n v="0"/>
    <n v="6.6666670000000003E-3"/>
    <n v="0.16"/>
    <n v="0.35"/>
    <n v="0.486666667"/>
    <n v="0.42"/>
    <n v="0.54333333299999997"/>
    <n v="0.15333333299999999"/>
    <n v="0"/>
    <n v="2.1199999999999997"/>
    <n v="1.4233333339999998"/>
    <n v="4.7210345359751981E-3"/>
    <n v="0.15588235294117644"/>
    <n v="13.6"/>
    <s v="Acre-feet"/>
    <n v="0"/>
    <s v="Acre-feet per Year"/>
    <s v="L_17"/>
    <n v="0"/>
    <n v="38.523363660000001"/>
    <n v="-122.86375321"/>
    <s v="RUSSIAN RIVER UNDERFLOW"/>
  </r>
  <r>
    <s v="S009293"/>
    <n v="18600101"/>
    <n v="17"/>
    <s v="N"/>
    <s v="N"/>
    <s v="N"/>
    <s v="N"/>
    <x v="1"/>
    <s v="Outside"/>
    <s v="Outside"/>
    <x v="2"/>
    <n v="1860"/>
    <x v="13"/>
    <x v="1"/>
    <s v="N"/>
    <s v="Y"/>
    <s v="N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L_17"/>
    <n v="0"/>
    <n v="38.539778249999998"/>
    <n v="-122.8719935"/>
    <s v="UNST"/>
  </r>
  <r>
    <s v="S009294"/>
    <n v="18600101"/>
    <n v="17"/>
    <s v="N"/>
    <s v="N"/>
    <s v="N"/>
    <s v="N"/>
    <x v="1"/>
    <s v="Outside"/>
    <s v="Outside"/>
    <x v="2"/>
    <n v="1860"/>
    <x v="13"/>
    <x v="1"/>
    <s v="N"/>
    <s v="Y"/>
    <s v="N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75.27199999999999"/>
    <s v="Acre-feet"/>
    <n v="0"/>
    <s v="Acre-feet per Year"/>
    <s v="L_17"/>
    <n v="3.4039024194010059E-4"/>
    <n v="38.539778249999998"/>
    <n v="-122.8719935"/>
    <s v="RUSSIAN RIVER"/>
  </r>
  <r>
    <s v="S009295"/>
    <n v="18600101"/>
    <n v="17"/>
    <s v="N"/>
    <s v="N"/>
    <s v="N"/>
    <s v="N"/>
    <x v="1"/>
    <s v="Outside"/>
    <s v="Outside"/>
    <x v="2"/>
    <n v="1860"/>
    <x v="13"/>
    <x v="1"/>
    <s v="N"/>
    <s v="Y"/>
    <s v="N"/>
    <s v="N"/>
    <s v="N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L_17"/>
    <n v="0"/>
    <n v="38.539778249999998"/>
    <n v="-122.8719935"/>
    <s v="UNST"/>
  </r>
  <r>
    <s v="S025243"/>
    <n v="18600101"/>
    <n v="18"/>
    <s v="N"/>
    <s v="N"/>
    <s v="N"/>
    <s v="N"/>
    <x v="1"/>
    <s v="Outside"/>
    <s v="Outside"/>
    <x v="2"/>
    <n v="1860"/>
    <x v="13"/>
    <x v="0"/>
    <s v="N"/>
    <s v="Y"/>
    <s v="N"/>
    <s v="N"/>
    <s v="N"/>
    <x v="1"/>
    <s v="N"/>
    <x v="1"/>
    <s v="N"/>
    <n v="1.2699999999999999E-2"/>
    <n v="3.1513332999999998E-2"/>
    <n v="2.0406667E-2"/>
    <n v="3.388E-2"/>
    <n v="7.8206666999999994E-2"/>
    <n v="0.111306667"/>
    <n v="0.215313333"/>
    <n v="0.23263666699999999"/>
    <n v="0.23472999999999999"/>
    <n v="0.151373333"/>
    <n v="4.5839999999999999E-2"/>
    <n v="1.8686667000000001E-2"/>
    <n v="1.1865933340000001"/>
    <n v="0.87219333399999999"/>
    <n v="2.8929659367208714E-3"/>
    <n v="0.43273160497428981"/>
    <n v="2.7421000000000002"/>
    <s v="Acre-feet"/>
    <n v="0"/>
    <s v="Acre-feet per Year"/>
    <s v="L_18"/>
    <n v="0"/>
    <n v="38.419800000000002"/>
    <n v="-122.9019"/>
    <m/>
  </r>
  <r>
    <s v="S025401"/>
    <n v="18600101"/>
    <n v="1"/>
    <s v="N"/>
    <s v="N"/>
    <s v="Y"/>
    <s v="Y"/>
    <x v="0"/>
    <s v="West Fork and Below Lake"/>
    <s v="Outside"/>
    <x v="2"/>
    <n v="1860"/>
    <x v="13"/>
    <x v="0"/>
    <s v="Y"/>
    <s v="Y"/>
    <s v="N"/>
    <s v="N"/>
    <s v="N"/>
    <x v="1"/>
    <s v="N"/>
    <x v="1"/>
    <s v="N"/>
    <n v="7.0000000000000007E-2"/>
    <n v="0.06"/>
    <n v="0.06"/>
    <n v="0.28000000000000003"/>
    <n v="0.56999999999999995"/>
    <n v="0.64"/>
    <n v="0.72"/>
    <n v="0.67"/>
    <n v="0.56000000000000005"/>
    <n v="0.26"/>
    <n v="7.0000000000000007E-2"/>
    <n v="0.09"/>
    <n v="4.0500000000000007"/>
    <n v="3.1767719999999997"/>
    <n v="1.0536990855663472E-2"/>
    <n v="0.93778777775246069"/>
    <n v="4.3887999999999998"/>
    <s v="Acre-feet"/>
    <n v="0"/>
    <s v="Acre-feet per Year"/>
    <s v="U_1"/>
    <n v="3.4039024194010059E-4"/>
    <n v="39.249600000000001"/>
    <n v="-123.30240000000001"/>
    <s v="COMMONLAND SPRING"/>
  </r>
  <r>
    <s v="S021358"/>
    <n v="18560101"/>
    <n v="1"/>
    <s v="N"/>
    <s v="N"/>
    <s v="Y"/>
    <s v="Y"/>
    <x v="0"/>
    <s v="West Fork and Below Lake"/>
    <s v="Outside"/>
    <x v="2"/>
    <n v="1856"/>
    <x v="13"/>
    <x v="0"/>
    <s v="Y"/>
    <s v="Y"/>
    <s v="N"/>
    <s v="N"/>
    <s v="N"/>
    <x v="1"/>
    <s v="N"/>
    <x v="1"/>
    <s v="N"/>
    <n v="0"/>
    <n v="0"/>
    <n v="0"/>
    <n v="0"/>
    <n v="1.5343329999999999E-3"/>
    <n v="1.5343329999999999E-3"/>
    <n v="0.03"/>
    <n v="0.03"/>
    <n v="1.5343329999999999E-3"/>
    <n v="0"/>
    <n v="0"/>
    <n v="0"/>
    <n v="6.4602998999999994E-2"/>
    <n v="6.5980998999999999E-2"/>
    <n v="2.188514577409209E-4"/>
    <n v="4.0844687918623854E-4"/>
    <n v="161.5412"/>
    <s v="Acre-feet"/>
    <n v="0"/>
    <s v="Acre-feet per Year"/>
    <s v="U_1"/>
    <n v="3.4039024194010059E-4"/>
    <n v="39.2042"/>
    <n v="-123.2122"/>
    <s v="YORK CREEK"/>
  </r>
  <r>
    <s v="S004345"/>
    <n v="18500101"/>
    <n v="15"/>
    <s v="N"/>
    <s v="N"/>
    <s v="N"/>
    <s v="N"/>
    <x v="1"/>
    <s v="Outside"/>
    <s v="Outside"/>
    <x v="2"/>
    <n v="1850"/>
    <x v="13"/>
    <x v="0"/>
    <s v="N"/>
    <s v="Y"/>
    <s v="N"/>
    <s v="N"/>
    <s v="N"/>
    <x v="1"/>
    <s v="N"/>
    <x v="1"/>
    <s v="N"/>
    <n v="0"/>
    <n v="0"/>
    <n v="0"/>
    <n v="0"/>
    <n v="0.443333333"/>
    <n v="1.33"/>
    <n v="1.33"/>
    <n v="1.33"/>
    <n v="2.66"/>
    <n v="1.33"/>
    <n v="0.443333333"/>
    <n v="0"/>
    <n v="8.8666666660000004"/>
    <n v="337.76666666666659"/>
    <n v="1.1203335580943794"/>
    <n v="0.83602555966715264"/>
    <n v="485.34800000000001"/>
    <s v="Acre-feet"/>
    <n v="0"/>
    <s v="Acre-feet per Year"/>
    <s v="L_15"/>
    <n v="0"/>
    <n v="38.66360899"/>
    <n v="-122.94425825"/>
    <s v="DRY CREEK"/>
  </r>
  <r>
    <s v="S015358"/>
    <n v="18500101"/>
    <n v="11"/>
    <s v="N"/>
    <s v="Y"/>
    <s v="Y"/>
    <s v="Y"/>
    <x v="0"/>
    <s v="West Fork and Below Lake"/>
    <s v="Sonoma (d/s of Clov. Gage)"/>
    <x v="2"/>
    <n v="1850"/>
    <x v="13"/>
    <x v="0"/>
    <s v="Y"/>
    <s v="Y"/>
    <s v="N"/>
    <s v="N"/>
    <s v="N"/>
    <x v="1"/>
    <s v="N"/>
    <x v="1"/>
    <s v="N"/>
    <n v="15.8"/>
    <n v="21.86"/>
    <n v="7.63"/>
    <n v="2.16"/>
    <n v="8.6999999999999993"/>
    <n v="13.73"/>
    <n v="27.4"/>
    <n v="31.06"/>
    <n v="17.93"/>
    <n v="12.56"/>
    <n v="13.9"/>
    <n v="28.7"/>
    <n v="201.43"/>
    <n v="98.833333330000002"/>
    <n v="0.32781890848098316"/>
    <n v="0.2927528650498416"/>
    <n v="688.18"/>
    <s v="Acre-feet"/>
    <n v="0"/>
    <s v="Acre-feet per Year"/>
    <s v="U_11"/>
    <n v="3.4039024194010059E-4"/>
    <n v="38.6342"/>
    <n v="-122.6634"/>
    <s v="YELLOWJACKET CREEK"/>
  </r>
  <r>
    <s v="S014910"/>
    <n v="10000000"/>
    <n v="19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"/>
    <n v="0"/>
    <n v="0"/>
    <n v="0.37133333299999999"/>
    <n v="0"/>
    <n v="1.4706666669999999"/>
    <n v="0.44566666700000002"/>
    <n v="1.512"/>
    <n v="0.17"/>
    <n v="0.144666667"/>
    <n v="0"/>
    <n v="4.1143333339999995"/>
    <n v="3.7996666669999999"/>
    <n v="1.2603061511732131E-2"/>
    <n v="3.9169951198613825E-3"/>
    <n v="1050.3800000000001"/>
    <s v="Acre-feet"/>
    <n v="0"/>
    <s v="Acre-feet per Year"/>
    <s v="L_19"/>
    <n v="0"/>
    <n v="38.500138370000002"/>
    <n v="-122.93720595000001"/>
    <s v="RUSSIAN RIVER UNDERFLOW"/>
  </r>
  <r>
    <s v="S015900"/>
    <n v="10000000"/>
    <n v="19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"/>
    <n v="0.91666666699999999"/>
    <n v="1.0333333330000001"/>
    <n v="0.83333333300000001"/>
    <n v="0.26666666700000002"/>
    <n v="0.1"/>
    <n v="0.33333333300000001"/>
    <n v="0.5"/>
    <n v="0.16666666699999999"/>
    <n v="6.6666666999999999E-2"/>
    <n v="0"/>
    <n v="4.2166666670000001"/>
    <n v="2.0333333330000003"/>
    <n v="6.7443350471285742E-3"/>
    <n v="0.20690219170755644"/>
    <n v="20.38"/>
    <s v="Acre-feet"/>
    <n v="0"/>
    <s v="Acre-feet per Year"/>
    <s v="L_19"/>
    <n v="0"/>
    <n v="38.517925599999998"/>
    <n v="-122.97798558"/>
    <s v="RUSSIAN RIVER UNDERFLOW"/>
  </r>
  <r>
    <s v="S008071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1"/>
    <s v="N"/>
    <n v="0"/>
    <n v="0"/>
    <n v="0"/>
    <n v="0"/>
    <n v="0.63"/>
    <n v="18.36"/>
    <n v="29.06"/>
    <n v="28.53"/>
    <n v="13.46"/>
    <n v="8.9"/>
    <n v="4.5"/>
    <n v="0"/>
    <n v="103.44"/>
    <n v="90.066666673"/>
    <n v="0.29874087379688913"/>
    <n v="2.1318037093590581E-2"/>
    <n v="4853.4799999999996"/>
    <s v="Acre-feet"/>
    <n v="0"/>
    <s v="Acre-feet per Year"/>
    <s v="U_2"/>
    <n v="0"/>
    <n v="39.304777059999999"/>
    <n v="-123.10126409999999"/>
    <s v="RUSSIAN RIVER"/>
  </r>
  <r>
    <s v="S024452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1"/>
    <s v="N"/>
    <n v="1.72"/>
    <n v="0.4"/>
    <n v="7"/>
    <n v="10.45"/>
    <n v="12.81"/>
    <n v="19.34"/>
    <n v="4.3899999999999997"/>
    <n v="0"/>
    <n v="0"/>
    <n v="0"/>
    <n v="0.16"/>
    <n v="6.7"/>
    <n v="62.97"/>
    <n v="36.54666666"/>
    <n v="0.12122113025467397"/>
    <n v="31.498333332000001"/>
    <n v="2"/>
    <s v="Acre-feet"/>
    <n v="0"/>
    <s v="Acre-feet per Year"/>
    <s v="U_2"/>
    <n v="0"/>
    <n v="39.225700000000003"/>
    <n v="-123.1186"/>
    <s v="UNNAMED STREAM"/>
  </r>
  <r>
    <s v="S013947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1"/>
    <s v="N"/>
    <n v="0"/>
    <n v="0"/>
    <n v="0"/>
    <n v="4"/>
    <n v="4"/>
    <n v="4"/>
    <n v="4"/>
    <n v="4"/>
    <n v="4"/>
    <n v="0"/>
    <n v="0"/>
    <n v="0"/>
    <n v="24"/>
    <n v="20"/>
    <n v="6.6337721785910173E-2"/>
    <n v="0.42749505708840241"/>
    <n v="56.140999999999998"/>
    <s v="Acre-feet"/>
    <n v="0"/>
    <s v="Acre-feet per Year"/>
    <s v="U_2"/>
    <n v="0"/>
    <n v="39.296634730000001"/>
    <n v="-123.06120393"/>
    <s v="BURRIGHT CREEK"/>
  </r>
  <r>
    <s v="S015214"/>
    <n v="10000000"/>
    <n v="19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"/>
    <n v="0"/>
    <n v="0"/>
    <n v="0.04"/>
    <n v="0.21666666700000001"/>
    <n v="0.366666667"/>
    <n v="0.28333333300000002"/>
    <n v="0.366666667"/>
    <n v="0.1"/>
    <n v="0"/>
    <n v="0"/>
    <n v="1.3733333340000002"/>
    <n v="1.2733333340000001"/>
    <n v="4.2235016225808733E-3"/>
    <n v="0.12638812203202654"/>
    <n v="10.866"/>
    <s v="Acre-feet"/>
    <n v="0"/>
    <s v="Acre-feet per Year"/>
    <s v="L_19"/>
    <n v="0"/>
    <n v="38.517934439999998"/>
    <n v="-122.97693709000001"/>
    <s v="RUSSIAN RIVER"/>
  </r>
  <r>
    <s v="S017348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1"/>
    <s v="N"/>
    <n v="0"/>
    <n v="0"/>
    <n v="2"/>
    <n v="4"/>
    <n v="3.33"/>
    <n v="2.66"/>
    <n v="5.33"/>
    <n v="3.33"/>
    <n v="2.66"/>
    <n v="2.66"/>
    <n v="0"/>
    <n v="0"/>
    <n v="25.97"/>
    <n v="17.333333333333332"/>
    <n v="5.7492692214455486E-2"/>
    <n v="2.1492079342143984E-2"/>
    <n v="1209.748"/>
    <s v="Acre-feet"/>
    <n v="0"/>
    <s v="Acre-feet per Year"/>
    <s v="U_2"/>
    <n v="0"/>
    <n v="39.294600000000003"/>
    <n v="-123.1015"/>
    <s v="EAST FORK RUSSIAN RIVER"/>
  </r>
  <r>
    <s v="S014373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1"/>
    <s v="N"/>
    <n v="0"/>
    <n v="0"/>
    <n v="0"/>
    <n v="3.66"/>
    <n v="1.33"/>
    <n v="4.53"/>
    <n v="1.33"/>
    <n v="3.06"/>
    <n v="3.4"/>
    <n v="0"/>
    <n v="0"/>
    <n v="0"/>
    <n v="17.309999999999999"/>
    <n v="13.666666665999999"/>
    <n v="4.5330776551494027E-2"/>
    <n v="7.142641293669697E-3"/>
    <n v="2426.7399999999998"/>
    <s v="Acre-feet"/>
    <n v="0"/>
    <s v="Acre-feet per Year"/>
    <s v="U_2"/>
    <n v="0"/>
    <n v="39.295985129999998"/>
    <n v="-123.10183375"/>
    <s v="EAST FORK RUSSIAN RIVER"/>
  </r>
  <r>
    <s v="S015023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1"/>
    <s v="N"/>
    <n v="0.08"/>
    <n v="0.31"/>
    <n v="0.2"/>
    <n v="0.45"/>
    <n v="1.02"/>
    <n v="1.49"/>
    <n v="1.51"/>
    <n v="1.75"/>
    <n v="1.98"/>
    <n v="1.49"/>
    <n v="1.42"/>
    <n v="0.22"/>
    <n v="11.92"/>
    <n v="7.7749420010000003"/>
    <n v="2.5788596968196291E-2"/>
    <n v="7.4317032634524357E-3"/>
    <n v="1611.79"/>
    <s v="Acre-feet"/>
    <n v="0"/>
    <s v="Acre-feet per Year"/>
    <s v="U_2"/>
    <n v="0"/>
    <n v="39.258299999999998"/>
    <n v="-123.11620000000001"/>
    <s v="EAST FORK RUSSIAN RIVER"/>
  </r>
  <r>
    <s v="S023470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1"/>
    <s v="N"/>
    <n v="0"/>
    <n v="0"/>
    <n v="0.2"/>
    <n v="1.76"/>
    <n v="0.73"/>
    <n v="0.93"/>
    <n v="1.49"/>
    <n v="2.1"/>
    <n v="2.38"/>
    <n v="6.13"/>
    <n v="0.48"/>
    <n v="0"/>
    <n v="16.2"/>
    <n v="7.6400000000000006"/>
    <n v="2.534100972221769E-2"/>
    <n v="0.4520624303232999"/>
    <n v="35.880000000000003"/>
    <s v="Acre-feet"/>
    <n v="0"/>
    <s v="Acre-feet per Year"/>
    <s v="U_2"/>
    <n v="0"/>
    <n v="39.2699"/>
    <n v="-123.10120000000001"/>
    <s v="RUSSIAN RIVER"/>
  </r>
  <r>
    <s v="S016812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1"/>
    <s v="N"/>
    <n v="0"/>
    <n v="0"/>
    <n v="0.66"/>
    <n v="3.56"/>
    <n v="3.7"/>
    <n v="0"/>
    <n v="0"/>
    <n v="0"/>
    <n v="0"/>
    <n v="0"/>
    <n v="0"/>
    <n v="0"/>
    <n v="7.92"/>
    <n v="3.7"/>
    <n v="1.2272478530393385E-2"/>
    <n v="4.9154363205637756E-3"/>
    <n v="1613.9631999999999"/>
    <s v="Acre-feet"/>
    <n v="0"/>
    <s v="Acre-feet per Year"/>
    <s v="U_2"/>
    <n v="0"/>
    <n v="39.306199999999997"/>
    <n v="-123.1018"/>
    <s v="WEST FORK OF RUSSIAN RIVER"/>
  </r>
  <r>
    <s v="S016911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1"/>
    <s v="N"/>
    <n v="0"/>
    <n v="0"/>
    <n v="3.0688830000000001E-3"/>
    <n v="0.39"/>
    <n v="0"/>
    <n v="0.7"/>
    <n v="0.89"/>
    <n v="0.52"/>
    <n v="0.49"/>
    <n v="0.14000000000000001"/>
    <n v="0"/>
    <n v="0"/>
    <n v="3.1330688830000004"/>
    <n v="2.617385098666666"/>
    <n v="8.6815682240968181E-3"/>
    <n v="0.75113467688207836"/>
    <n v="4.2027999999999999"/>
    <s v="Acre-feet"/>
    <n v="0"/>
    <s v="Acre-feet per Year"/>
    <s v="U_2"/>
    <n v="0"/>
    <n v="39.337499999999999"/>
    <n v="-123.1117"/>
    <s v="BUSCH CREEK"/>
  </r>
  <r>
    <s v="S024104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1"/>
    <s v="N"/>
    <n v="5.43"/>
    <n v="6.06"/>
    <n v="4.43"/>
    <n v="4.76"/>
    <n v="2.13"/>
    <n v="0"/>
    <n v="0"/>
    <n v="0"/>
    <n v="0"/>
    <n v="0"/>
    <n v="2.86"/>
    <n v="5.53"/>
    <n v="31.2"/>
    <n v="2.1333333329999999"/>
    <n v="7.0760236560581235E-3"/>
    <n v="0.74365079364285713"/>
    <n v="42"/>
    <s v="Acre-feet"/>
    <n v="0"/>
    <s v="Acre-feet per Year"/>
    <s v="U_2"/>
    <n v="0"/>
    <n v="39.301099999999998"/>
    <n v="-123.11360000000001"/>
    <s v="UNNAMED TRIBUTARY"/>
  </r>
  <r>
    <s v="S022156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1"/>
    <s v="N"/>
    <n v="0"/>
    <n v="0"/>
    <n v="0.1"/>
    <n v="3.27"/>
    <n v="2.0299999999999998"/>
    <n v="0"/>
    <n v="0"/>
    <n v="0"/>
    <n v="0"/>
    <n v="0"/>
    <n v="0"/>
    <n v="0"/>
    <n v="5.4"/>
    <n v="2.0299999999999998"/>
    <n v="6.7332787612698836E-3"/>
    <n v="5.583579790790676E-3"/>
    <n v="968.52279999999996"/>
    <s v="Acre-feet"/>
    <n v="0"/>
    <s v="Acre-feet per Year"/>
    <s v="U_2"/>
    <n v="0"/>
    <n v="39.340400000000002"/>
    <n v="-123.1143"/>
    <s v="RUSSIAN RIVER CANAL"/>
  </r>
  <r>
    <s v="S024349"/>
    <n v="10000000"/>
    <n v="19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"/>
    <n v="0"/>
    <n v="4.6666667000000002E-2"/>
    <n v="9.3333333000000004E-2"/>
    <n v="9.3333333000000004E-2"/>
    <n v="9.3333333000000004E-2"/>
    <n v="9.3333333000000004E-2"/>
    <n v="4.6666667000000002E-2"/>
    <n v="0"/>
    <n v="0"/>
    <n v="0"/>
    <n v="0.46666666600000006"/>
    <n v="0.41999999900000001"/>
    <n v="1.3930921541872277E-3"/>
    <n v="3.2210565019326343E-2"/>
    <n v="14.488"/>
    <s v="Acre-feet"/>
    <n v="0"/>
    <s v="Acre-feet per Year"/>
    <s v="L_19"/>
    <n v="0"/>
    <n v="38.516100000000002"/>
    <n v="-122.98180000000001"/>
    <s v="RUSSIAN RIVER"/>
  </r>
  <r>
    <s v="S022335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1"/>
    <s v="N"/>
    <n v="0"/>
    <n v="0"/>
    <n v="0"/>
    <n v="0"/>
    <n v="0.17"/>
    <n v="0.55000000000000004"/>
    <n v="0.62"/>
    <n v="0.35"/>
    <n v="0.03"/>
    <n v="0"/>
    <n v="0"/>
    <n v="0"/>
    <n v="1.72"/>
    <n v="1.743666666"/>
    <n v="5.7835437088236789E-3"/>
    <n v="1.2005234470422508E-2"/>
    <n v="145.2422"/>
    <s v="Acre-feet"/>
    <n v="0"/>
    <s v="Acre-feet per Year"/>
    <s v="U_2"/>
    <n v="0"/>
    <n v="39.323"/>
    <n v="-123.107"/>
    <s v="EAST FORK"/>
  </r>
  <r>
    <s v="S024188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1"/>
    <s v="N"/>
    <n v="0"/>
    <n v="0"/>
    <n v="0"/>
    <n v="0"/>
    <n v="0"/>
    <n v="0.36"/>
    <n v="0.36"/>
    <n v="0.36"/>
    <n v="0.36"/>
    <n v="0"/>
    <n v="0"/>
    <n v="0"/>
    <n v="1.44"/>
    <n v="1.47306"/>
    <n v="4.8859722226976422E-3"/>
    <n v="0.64001564129301358"/>
    <n v="2.3016000000000001"/>
    <s v="Acre-feet"/>
    <n v="0"/>
    <s v="Acre-feet per Year"/>
    <s v="U_2"/>
    <n v="0"/>
    <n v="39.226999999999997"/>
    <n v="-123.1131"/>
    <s v="SPRINGS"/>
  </r>
  <r>
    <s v="S008184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1"/>
    <s v="N"/>
    <n v="0"/>
    <n v="0"/>
    <n v="0"/>
    <n v="0.76"/>
    <n v="0"/>
    <n v="0.76"/>
    <n v="0.56000000000000005"/>
    <n v="0"/>
    <n v="0"/>
    <n v="0.7"/>
    <n v="0"/>
    <n v="0"/>
    <n v="2.7800000000000002"/>
    <n v="1.333333334"/>
    <n v="4.422514787938603E-3"/>
    <n v="0.12673009210562047"/>
    <n v="22.094200000000001"/>
    <s v="Acre-feet"/>
    <n v="0"/>
    <s v="Acre-feet per Year"/>
    <s v="U_2"/>
    <n v="0"/>
    <n v="39.318182880000002"/>
    <n v="-123.10642224999999"/>
    <s v="EAST FORK RUSSIAN RIVER"/>
  </r>
  <r>
    <s v="S021388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1"/>
    <s v="N"/>
    <n v="3.33333E-4"/>
    <n v="6.6666700000000002E-4"/>
    <n v="3.333333E-3"/>
    <n v="6.6666670000000003E-3"/>
    <n v="0.1"/>
    <n v="7.0000000000000007E-2"/>
    <n v="0.17"/>
    <n v="0.17"/>
    <n v="0.27"/>
    <n v="0.11"/>
    <n v="0.03"/>
    <n v="0.03"/>
    <n v="0.96100000000000008"/>
    <n v="0.8050666660000001"/>
    <n v="2.670314425410914E-3"/>
    <n v="5.8805330603757186E-2"/>
    <n v="17.023399999999999"/>
    <s v="Acre-feet"/>
    <n v="0"/>
    <s v="Acre-feet per Year"/>
    <s v="U_2"/>
    <n v="3.4039024194010059E-4"/>
    <n v="39.270000000000003"/>
    <n v="-123.101"/>
    <s v="EAST FORK OF RUSSIAN RIVER"/>
  </r>
  <r>
    <s v="S021387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1"/>
    <s v="N"/>
    <n v="0"/>
    <n v="0"/>
    <n v="0"/>
    <n v="1E-3"/>
    <n v="0.01"/>
    <n v="0.02"/>
    <n v="0.06"/>
    <n v="7.0000000000000007E-2"/>
    <n v="0.06"/>
    <n v="0.04"/>
    <n v="0"/>
    <n v="0"/>
    <n v="0.26100000000000001"/>
    <n v="0.24899999999999997"/>
    <n v="8.2590463623458176E-4"/>
    <n v="3.9397684389051037E-2"/>
    <n v="7.6062000000000003"/>
    <s v="Acre-feet"/>
    <n v="0"/>
    <s v="Acre-feet per Year"/>
    <s v="U_2"/>
    <n v="0"/>
    <n v="39.267200000000003"/>
    <n v="-123.09480000000001"/>
    <s v="MEWHINNEY CREEK"/>
  </r>
  <r>
    <s v="S015147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1"/>
    <s v="N"/>
    <n v="4.7569999999999999E-3"/>
    <n v="6.4450000000000002E-3"/>
    <n v="6.4450000000000002E-3"/>
    <n v="0.01"/>
    <n v="0.03"/>
    <n v="0.03"/>
    <n v="0.03"/>
    <n v="0.03"/>
    <n v="0.03"/>
    <n v="0.01"/>
    <n v="0.01"/>
    <n v="9.5139999999999999E-3"/>
    <n v="0.20716100000000001"/>
    <n v="0.18413499999999999"/>
    <n v="6.1075482005242855E-4"/>
    <n v="1.0983253253335752E-2"/>
    <n v="24.267399999999999"/>
    <s v="Acre-feet"/>
    <n v="0"/>
    <s v="Acre-feet per Year"/>
    <s v="U_2"/>
    <n v="3.4039024194010059E-4"/>
    <n v="39.25079289"/>
    <n v="-123.11878711999999"/>
    <s v="EAST FORK RUSSIAN RIVER"/>
  </r>
  <r>
    <s v="S027035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1"/>
    <s v="N"/>
    <n v="0.03"/>
    <n v="0.03"/>
    <n v="0.03"/>
    <n v="0.05"/>
    <n v="0.03"/>
    <n v="0.03"/>
    <n v="0.03"/>
    <n v="0.02"/>
    <n v="0.02"/>
    <n v="0.02"/>
    <n v="0.02"/>
    <n v="0.02"/>
    <n v="0.33000000000000007"/>
    <n v="0.173904001"/>
    <n v="5.7681976178973232E-4"/>
    <n v="0.85610376759061846"/>
    <n v="0.46899999999999997"/>
    <s v="Acre-feet"/>
    <n v="0"/>
    <s v="Acre-feet per Year"/>
    <s v="U_2"/>
    <n v="3.4039024194010059E-4"/>
    <n v="39.294600000000003"/>
    <n v="-123.03654"/>
    <s v="NONE"/>
  </r>
  <r>
    <s v="S026091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1"/>
    <s v="N"/>
    <n v="0"/>
    <n v="0"/>
    <n v="0"/>
    <n v="8.9800000000000004E-4"/>
    <n v="0.01"/>
    <n v="0.01"/>
    <n v="0.02"/>
    <n v="0.01"/>
    <n v="0.01"/>
    <n v="0.02"/>
    <n v="4.0850000000000001E-3"/>
    <n v="0"/>
    <n v="8.4983000000000017E-2"/>
    <n v="8.3186333333333307E-2"/>
    <n v="2.7591959185283254E-4"/>
    <n v="0.1928885057471264"/>
    <n v="0.57999999999999996"/>
    <s v="Acre-feet"/>
    <n v="0"/>
    <s v="Acre-feet per Year"/>
    <s v="U_2"/>
    <n v="0"/>
    <n v="39.349272999999997"/>
    <n v="-123.12259299999999"/>
    <s v="POWER HOUSE CANAL"/>
  </r>
  <r>
    <s v="S027137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1"/>
    <s v="N"/>
    <n v="4.6000000000000001E-4"/>
    <n v="4.6000000000000001E-4"/>
    <n v="4.6000000000000001E-4"/>
    <n v="4.6000000000000001E-4"/>
    <n v="4.6000000000000001E-4"/>
    <n v="1.2279999999999999E-3"/>
    <n v="2.4550000000000002E-3"/>
    <n v="3.6830000000000001E-3"/>
    <n v="3.6830000000000001E-3"/>
    <n v="2.4550000000000002E-3"/>
    <n v="4.6000000000000001E-4"/>
    <n v="4.6000000000000001E-4"/>
    <n v="1.6723999999999999E-2"/>
    <n v="1.1509E-2"/>
    <n v="3.8174042001702013E-5"/>
    <n v="1.847343422070032E-2"/>
    <n v="0.90529999999999999"/>
    <s v="Acre-feet"/>
    <n v="0"/>
    <s v="Acre-feet per Year"/>
    <s v="U_2"/>
    <n v="3.4039024194010059E-4"/>
    <n v="39.220756000000002"/>
    <n v="-123.078857"/>
    <s v="SPRING"/>
  </r>
  <r>
    <s v="S026992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1"/>
    <s v="N"/>
    <n v="0.23"/>
    <n v="0.23"/>
    <n v="0.03"/>
    <n v="0.02"/>
    <n v="0.01"/>
    <n v="0"/>
    <n v="0"/>
    <n v="0"/>
    <n v="0"/>
    <n v="0"/>
    <n v="0"/>
    <n v="0"/>
    <n v="0.52"/>
    <n v="1.0229667E-2"/>
    <n v="3.3930640170425319E-5"/>
    <n v="0.40391474430729135"/>
    <n v="1.3043"/>
    <s v="Acre-feet"/>
    <n v="0"/>
    <s v="Acre-feet per Year"/>
    <s v="U_2"/>
    <n v="0"/>
    <n v="39.29298"/>
    <n v="-123.03757"/>
    <s v="NONE"/>
  </r>
  <r>
    <s v="S017474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0"/>
    <s v="N"/>
    <n v="0"/>
    <n v="0"/>
    <n v="4.7300000000000004"/>
    <n v="9.4700000000000006"/>
    <n v="0"/>
    <n v="0"/>
    <n v="0"/>
    <n v="0"/>
    <n v="0"/>
    <n v="0"/>
    <n v="0"/>
    <n v="0"/>
    <n v="14.200000000000001"/>
    <n v="0"/>
    <n v="0"/>
    <n v="2.9336772798740515E-2"/>
    <n v="484.26139999999998"/>
    <s v="Acre-feet"/>
    <n v="0"/>
    <s v="Acre-feet per Year"/>
    <s v="U_2"/>
    <n v="0"/>
    <n v="39.341799999999999"/>
    <n v="-123.13120000000001"/>
    <s v="BUSCH CREEK"/>
  </r>
  <r>
    <s v="S016707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0"/>
    <s v="N"/>
    <n v="2"/>
    <n v="4.3499999999999996"/>
    <n v="3.26"/>
    <n v="1.41"/>
    <n v="0"/>
    <n v="0"/>
    <n v="0"/>
    <n v="0"/>
    <n v="0"/>
    <n v="0"/>
    <n v="0.73"/>
    <n v="1.2"/>
    <n v="12.95"/>
    <n v="0"/>
    <n v="0"/>
    <n v="1.0231127238305592E-2"/>
    <n v="1267.7"/>
    <s v="Acre-feet"/>
    <n v="0"/>
    <s v="Acre-feet per Year"/>
    <s v="U_2"/>
    <n v="0"/>
    <n v="39.287700000000001"/>
    <n v="-123.1112"/>
    <s v="UNNAMED CREEK"/>
  </r>
  <r>
    <s v="S022895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0"/>
    <s v="N"/>
    <n v="3.33"/>
    <n v="0.66"/>
    <n v="1.33"/>
    <n v="0"/>
    <n v="0"/>
    <n v="0"/>
    <n v="0"/>
    <n v="0"/>
    <n v="0"/>
    <n v="0"/>
    <n v="0"/>
    <n v="1"/>
    <n v="6.32"/>
    <n v="0"/>
    <n v="0"/>
    <n v="100.21097045886074"/>
    <n v="6.3200000000000006E-2"/>
    <s v="Acre-feet"/>
    <n v="0"/>
    <s v="Acre-feet per Year"/>
    <s v="U_2"/>
    <n v="0"/>
    <n v="39.351300000000002"/>
    <n v="-123.15600000000001"/>
    <s v="UNNAMED"/>
  </r>
  <r>
    <s v="S018277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0"/>
    <s v="N"/>
    <n v="3"/>
    <n v="2.5"/>
    <n v="0.5"/>
    <n v="0"/>
    <n v="0"/>
    <n v="0"/>
    <n v="0"/>
    <n v="0"/>
    <n v="0"/>
    <n v="0"/>
    <n v="0"/>
    <n v="0"/>
    <n v="6"/>
    <n v="0"/>
    <n v="0"/>
    <n v="6.1950012947552709E-3"/>
    <n v="968.52279999999996"/>
    <s v="Acre-feet"/>
    <n v="0"/>
    <s v="Acre-feet per Year"/>
    <s v="U_2"/>
    <n v="0"/>
    <n v="39.304600000000001"/>
    <n v="-123.1015"/>
    <s v="EAST FORK RUSSIAN RIVER"/>
  </r>
  <r>
    <s v="S016093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0"/>
    <s v="N"/>
    <n v="0"/>
    <n v="0"/>
    <n v="0"/>
    <n v="2.2400000000000002"/>
    <n v="0"/>
    <n v="0"/>
    <n v="0"/>
    <n v="0"/>
    <n v="0"/>
    <n v="0"/>
    <n v="1.34"/>
    <n v="0.37"/>
    <n v="3.95"/>
    <n v="0"/>
    <n v="0"/>
    <n v="6.2120375483158486E-3"/>
    <n v="637.47199999999998"/>
    <s v="Acre-feet"/>
    <n v="0"/>
    <s v="Acre-feet per Year"/>
    <s v="U_2"/>
    <n v="0"/>
    <n v="39.289200000000001"/>
    <n v="-123.0979"/>
    <s v="EAST FORK RUSSIAN RIVER"/>
  </r>
  <r>
    <s v="S018387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0"/>
    <s v="N"/>
    <n v="0"/>
    <n v="0"/>
    <n v="0"/>
    <n v="3.68"/>
    <n v="0"/>
    <n v="0"/>
    <n v="0"/>
    <n v="0"/>
    <n v="0"/>
    <n v="0"/>
    <n v="0"/>
    <n v="0"/>
    <n v="3.68"/>
    <n v="0"/>
    <n v="0"/>
    <n v="5.5875470006249966E-3"/>
    <n v="659.20399999999995"/>
    <s v="Acre-feet"/>
    <n v="0"/>
    <s v="Acre-feet per Year"/>
    <s v="U_2"/>
    <n v="0"/>
    <n v="39.334699999999998"/>
    <n v="-123.11020000000001"/>
    <s v="EAST BRANCH RUSSIAN RIVER"/>
  </r>
  <r>
    <s v="S016708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0"/>
    <s v="N"/>
    <n v="1.1000000000000001"/>
    <n v="1.1000000000000001"/>
    <n v="1"/>
    <n v="0"/>
    <n v="0"/>
    <n v="0"/>
    <n v="0"/>
    <n v="0"/>
    <n v="0"/>
    <n v="0"/>
    <n v="0"/>
    <n v="0"/>
    <n v="3.2"/>
    <n v="0"/>
    <n v="0"/>
    <n v="0.49082765813853618"/>
    <n v="6.5195999999999996"/>
    <s v="Acre-feet"/>
    <n v="0"/>
    <s v="Acre-feet per Year"/>
    <s v="U_2"/>
    <n v="0"/>
    <n v="39.3583"/>
    <n v="-123.1395"/>
    <s v="UNNAMED STREAM"/>
  </r>
  <r>
    <s v="S000093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0.66666666699999999"/>
    <n v="0.33333333300000001"/>
    <n v="0"/>
    <n v="0"/>
    <n v="0"/>
    <n v="0"/>
    <n v="0"/>
    <n v="0"/>
    <n v="0"/>
    <n v="0"/>
    <n v="0"/>
    <n v="0"/>
    <n v="1"/>
    <n v="0"/>
    <n v="0"/>
    <n v="0.55797344046423392"/>
    <n v="1.7922"/>
    <s v="Acre-feet"/>
    <n v="0"/>
    <s v="Acre-feet per Year"/>
    <s v="L_27"/>
    <n v="3.4039024194010059E-4"/>
    <n v="38.453127119999998"/>
    <n v="-122.59157032"/>
    <s v="UNST"/>
  </r>
  <r>
    <s v="S000549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2.8186"/>
    <s v="Acre-feet"/>
    <n v="0"/>
    <s v="Acre-feet per Year"/>
    <s v="L_25"/>
    <n v="0"/>
    <n v="38.458199999999998"/>
    <n v="-122.8237"/>
    <s v="LAGUNA DE SANTA ROSA"/>
  </r>
  <r>
    <s v="S000632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25"/>
    <s v="Acre-feet"/>
    <n v="0"/>
    <s v="Acre-feet per Year"/>
    <s v="L_26"/>
    <n v="0"/>
    <n v="38.446949889999999"/>
    <n v="-122.79753328"/>
    <s v="SANTA ROSA CREEK"/>
  </r>
  <r>
    <s v="S000652"/>
    <n v="10000000"/>
    <n v="14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6.0000000000000002E-6"/>
    <n v="1.2E-5"/>
    <n v="1.2E-5"/>
    <n v="1.2E-5"/>
    <n v="1.2E-5"/>
    <n v="6.0000000000000002E-6"/>
    <n v="0"/>
    <n v="0"/>
    <n v="6.0000000000000008E-5"/>
    <n v="5.4000000000000005E-5"/>
    <n v="1.7911184882195752E-7"/>
    <n v="0.12000000000000001"/>
    <n v="5.0000000000000001E-4"/>
    <s v="Acre-feet"/>
    <n v="0"/>
    <s v="Acre-feet per Year"/>
    <s v="L_14"/>
    <n v="3.4039024194010059E-4"/>
    <n v="38.730580879999998"/>
    <n v="-122.98125555999999"/>
    <s v="DUTCHER CREEK"/>
  </r>
  <r>
    <s v="S001181"/>
    <n v="10000000"/>
    <n v="21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9.0549999999999997"/>
    <s v="Acre-feet"/>
    <n v="0"/>
    <s v="Acre-feet per Year"/>
    <s v="L_21"/>
    <n v="0"/>
    <n v="38.494569400000003"/>
    <n v="-123.08738479"/>
    <s v="CLEAR CREEK"/>
  </r>
  <r>
    <s v="S002059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2.677"/>
    <s v="Acre-feet"/>
    <n v="0"/>
    <s v="Acre-feet per Year"/>
    <s v="U_6"/>
    <n v="0"/>
    <n v="38.989169080000003"/>
    <n v="-123.16849929999999"/>
    <s v="FELIZ CREEK"/>
  </r>
  <r>
    <s v="S002341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9.841999999999999"/>
    <s v="Acre-feet"/>
    <n v="0"/>
    <s v="Acre-feet per Year"/>
    <s v="U_5"/>
    <n v="0"/>
    <n v="39.10922867"/>
    <n v="-123.17611805"/>
    <s v="HOWELL CREEK"/>
  </r>
  <r>
    <s v="S002378"/>
    <n v="10000000"/>
    <n v="17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79479999999999995"/>
    <s v="Acre-feet"/>
    <n v="0"/>
    <s v="Acre-feet per Year"/>
    <s v="L_17"/>
    <n v="3.4039024194010059E-4"/>
    <n v="38.593456209999999"/>
    <n v="-122.81631530999999"/>
    <s v="UNXX"/>
  </r>
  <r>
    <s v="S002379"/>
    <n v="10000000"/>
    <n v="12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9.7100000000000006E-2"/>
    <s v="Acre-feet"/>
    <n v="0"/>
    <s v="Acre-feet per Year"/>
    <s v="U_12"/>
    <n v="0"/>
    <n v="38.601256489999997"/>
    <n v="-122.80030739999999"/>
    <s v="RUSSIAN RIVER"/>
  </r>
  <r>
    <s v="S002720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2.0299999999999999E-5"/>
    <n v="2.0299999999999999E-5"/>
    <n v="5.1E-5"/>
    <n v="6.6299999999999999E-5"/>
    <n v="1.2300000000000001E-4"/>
    <n v="1.2799999999999999E-4"/>
    <n v="1.2799999999999999E-4"/>
    <n v="1.2799999999999999E-4"/>
    <n v="9.2299999999999994E-5"/>
    <n v="6.6299999999999999E-5"/>
    <n v="5.63E-5"/>
    <n v="5.1E-5"/>
    <n v="9.3080000000000007E-4"/>
    <n v="5.9929999999999998E-4"/>
    <n v="1.9878098333147988E-6"/>
    <n v="5.9831587066915221E-4"/>
    <n v="1.5557000000000001"/>
    <s v="Acre-feet"/>
    <n v="0"/>
    <s v="Acre-feet per Year"/>
    <s v="L_18"/>
    <n v="3.4039024194010059E-4"/>
    <n v="38.441296000000001"/>
    <n v="-122.89488545"/>
    <s v="UNST"/>
  </r>
  <r>
    <s v="S002929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L_27"/>
    <n v="0"/>
    <n v="38.4626643"/>
    <n v="-122.65626023999999"/>
    <s v="SANTA ROSA CREEK"/>
  </r>
  <r>
    <s v="S003106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.36"/>
    <n v="0.36"/>
    <n v="0.36"/>
    <n v="0.36"/>
    <n v="0.46"/>
    <n v="0.55000000000000004"/>
    <n v="0.69"/>
    <n v="0.69"/>
    <n v="0.69"/>
    <n v="0.36"/>
    <n v="0.36"/>
    <n v="0.36"/>
    <n v="5.6000000000000005"/>
    <n v="3.0799999999999996"/>
    <n v="1.0216009155030167E-2"/>
    <n v="40.374909877433318"/>
    <n v="0.13869999999999999"/>
    <s v="Acre-feet"/>
    <n v="0"/>
    <s v="Acre-feet per Year"/>
    <s v="L_18"/>
    <n v="0"/>
    <n v="38.442372689999999"/>
    <n v="-122.89769223"/>
    <s v="HARRISON CREEK"/>
  </r>
  <r>
    <s v="S004241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U_4"/>
    <n v="0"/>
    <n v="39.169168409999997"/>
    <n v="-123.06775908"/>
    <s v="MCCLURE CREEK SPRING"/>
  </r>
  <r>
    <s v="S004341"/>
    <n v="10000000"/>
    <n v="21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0"/>
    <n v="0"/>
    <n v="1.0226670000000001E-3"/>
    <n v="2.1483330000000001E-3"/>
    <n v="1.5343329999999999E-3"/>
    <n v="0"/>
    <n v="0"/>
    <n v="0"/>
    <n v="4.7053329999999999E-3"/>
    <n v="4.7053329999999999E-3"/>
    <n v="1.5607053573203106E-5"/>
    <n v="7.657173311635475E-3"/>
    <n v="0.61450000000000005"/>
    <s v="Acre-feet"/>
    <n v="0"/>
    <s v="Acre-feet per Year"/>
    <s v="L_21"/>
    <n v="3.4039024194010059E-4"/>
    <n v="38.451942010000003"/>
    <n v="-123.09407048999999"/>
    <s v="SHEEPHOUSE CREEK"/>
  </r>
  <r>
    <s v="S004347"/>
    <n v="10000000"/>
    <n v="14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0.59333333300000002"/>
    <n v="1.693333333"/>
    <n v="1.993333333"/>
    <n v="2.3033333329999999"/>
    <n v="2.4700000000000002"/>
    <n v="1.653333333"/>
    <n v="0"/>
    <n v="0"/>
    <n v="10.706666665"/>
    <n v="9.0533333320000011"/>
    <n v="3.0028875390666163E-2"/>
    <n v="5.9120191413583656E-2"/>
    <n v="181.1"/>
    <s v="Acre-feet"/>
    <n v="0"/>
    <s v="Acre-feet per Year"/>
    <s v="L_14"/>
    <n v="0"/>
    <n v="38.706731320000003"/>
    <n v="-122.97637116"/>
    <s v="DRY CREEK"/>
  </r>
  <r>
    <s v="S004460"/>
    <n v="10000000"/>
    <n v="21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54920000000000002"/>
    <s v="Acre-feet"/>
    <n v="0"/>
    <s v="Acre-feet per Year"/>
    <s v="L_21"/>
    <n v="3.4039024194010059E-4"/>
    <n v="38.45028799"/>
    <n v="-123.09474360999999"/>
    <s v="SHEEPHOUSE CREEK"/>
  </r>
  <r>
    <s v="S004997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4.267399999999999"/>
    <s v="Acre-feet"/>
    <n v="0"/>
    <s v="Acre-feet per Year"/>
    <s v="U_12"/>
    <n v="0"/>
    <n v="38.617552240000002"/>
    <n v="-122.7448376"/>
    <s v="FRANZ CREEK"/>
  </r>
  <r>
    <s v="S022857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1.266666667"/>
    <n v="6.3333333329999997"/>
    <n v="10.46666667"/>
    <n v="10"/>
    <n v="6.733333333"/>
    <n v="5.3333333329999997"/>
    <n v="3.0666666669999998"/>
    <n v="0"/>
    <n v="43.200000003"/>
    <n v="34.800000003000001"/>
    <n v="0.11542763591743438"/>
    <n v="0.36142763919983939"/>
    <n v="119.526"/>
    <s v="Acre-feet"/>
    <n v="0"/>
    <s v="Acre-feet per Year"/>
    <s v="L_15"/>
    <n v="0"/>
    <n v="38.661700000000003"/>
    <n v="-122.9341"/>
    <s v="DRY CREEK"/>
  </r>
  <r>
    <s v="S019030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.02"/>
    <n v="0.76"/>
    <n v="2.4666666670000001"/>
    <n v="3.7966666670000002"/>
    <n v="4.2"/>
    <n v="3.72"/>
    <n v="2.21"/>
    <n v="0"/>
    <n v="0"/>
    <n v="17.173333334000002"/>
    <n v="14.943333334"/>
    <n v="4.9565334463250482E-2"/>
    <n v="1.0093707694297018"/>
    <n v="17.0139"/>
    <s v="Acre-feet"/>
    <n v="0"/>
    <s v="Acre-feet per Year"/>
    <s v="L_15"/>
    <n v="0"/>
    <n v="38.676600000000001"/>
    <n v="-122.9448"/>
    <s v="DRY CREEK"/>
  </r>
  <r>
    <s v="S006298"/>
    <n v="10000000"/>
    <n v="9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U_9"/>
    <n v="3.4039024194010059E-4"/>
    <n v="38.771559250000003"/>
    <n v="-123.00602402"/>
    <s v="BLOXUM CREEK"/>
  </r>
  <r>
    <s v="S006491"/>
    <n v="10000000"/>
    <n v="9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6.6666670000000003E-3"/>
    <n v="6.6666670000000003E-3"/>
    <n v="6.6666670000000003E-3"/>
    <n v="6.6666670000000003E-3"/>
    <n v="0.33"/>
    <n v="0.33"/>
    <n v="0.33"/>
    <n v="0.33"/>
    <n v="0.33"/>
    <n v="6.6666670000000003E-3"/>
    <n v="6.6666670000000003E-3"/>
    <n v="6.6666670000000003E-3"/>
    <n v="1.6966666690000001"/>
    <n v="1.6666666650000002"/>
    <n v="5.5281434766310386E-3"/>
    <n v="5.129740520958085E-2"/>
    <n v="33.4"/>
    <s v="Acre-feet"/>
    <n v="0"/>
    <s v="Acre-feet per Year"/>
    <s v="U_9"/>
    <n v="3.4039024194010059E-4"/>
    <n v="38.766815510000001"/>
    <n v="-123.01472596000001"/>
    <s v="ICARIA CREEK"/>
  </r>
  <r>
    <s v="S008453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0"/>
    <s v="N"/>
    <n v="0"/>
    <n v="0"/>
    <n v="1.06"/>
    <n v="2.13"/>
    <n v="0"/>
    <n v="0"/>
    <n v="0"/>
    <n v="0"/>
    <n v="0"/>
    <n v="0"/>
    <n v="0"/>
    <n v="0"/>
    <n v="3.19"/>
    <n v="0"/>
    <n v="0"/>
    <n v="4.4275161592797777E-2"/>
    <n v="72.2"/>
    <s v="Acre-feet"/>
    <n v="0"/>
    <s v="Acre-feet per Year"/>
    <s v="U_2"/>
    <n v="0"/>
    <n v="39.33840146"/>
    <n v="-123.11699372"/>
    <s v="BUSCH CREEK"/>
  </r>
  <r>
    <s v="S008074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23.57"/>
    <s v="Acre-feet"/>
    <n v="0"/>
    <s v="Acre-feet per Year"/>
    <s v="U_6"/>
    <n v="0"/>
    <n v="39.020713890000003"/>
    <n v="-123.13012055999999"/>
    <s v="RUSSIAN RIVER"/>
  </r>
  <r>
    <s v="S008075"/>
    <n v="10000000"/>
    <n v="5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5.5746"/>
    <s v="Acre-feet"/>
    <n v="0"/>
    <s v="Acre-feet per Year"/>
    <s v="U_5"/>
    <n v="3.4039024194010059E-4"/>
    <n v="39.102800000000002"/>
    <n v="-123.1785"/>
    <s v="RUSSIAN RIVER UNDERFLOW"/>
  </r>
  <r>
    <s v="S008080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6"/>
    <s v="Acre-feet"/>
    <n v="0"/>
    <s v="Acre-feet per Year"/>
    <s v="U_1"/>
    <n v="0"/>
    <n v="39.269353590000001"/>
    <n v="-123.21269461"/>
    <s v="UNXX"/>
  </r>
  <r>
    <s v="S008081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44.550600000000003"/>
    <s v="Acre-feet"/>
    <n v="0"/>
    <s v="Acre-feet per Year"/>
    <s v="U_5"/>
    <n v="0"/>
    <n v="39.044998040000003"/>
    <n v="-123.15991108999999"/>
    <s v="MACNAB CREEK"/>
  </r>
  <r>
    <s v="S008082"/>
    <n v="10000000"/>
    <n v="5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44.550600000000003"/>
    <s v="Acre-feet"/>
    <n v="0"/>
    <s v="Acre-feet per Year"/>
    <s v="U_5"/>
    <n v="0"/>
    <n v="39.058878579999998"/>
    <n v="-123.14464089000001"/>
    <s v="RUSSIAN RIVER"/>
  </r>
  <r>
    <s v="S008118"/>
    <n v="10000000"/>
    <n v="9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0.0626"/>
    <s v="Acre-feet"/>
    <n v="0"/>
    <s v="Acre-feet per Year"/>
    <s v="U_9"/>
    <n v="3.4039024194010059E-4"/>
    <n v="38.763349669999997"/>
    <n v="-123.00275144"/>
    <s v="RAINS CREEK"/>
  </r>
  <r>
    <s v="S008121"/>
    <n v="10000000"/>
    <n v="9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U_9"/>
    <n v="0"/>
    <n v="38.749210339999998"/>
    <n v="-122.98642162"/>
    <s v="UNST"/>
  </r>
  <r>
    <s v="S008122"/>
    <n v="10000000"/>
    <n v="9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U_9"/>
    <n v="0"/>
    <n v="38.749222230000001"/>
    <n v="-122.9850191"/>
    <s v="UNST"/>
  </r>
  <r>
    <s v="S008128"/>
    <n v="10000000"/>
    <n v="12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3.89"/>
    <n v="2.63"/>
    <n v="13.81"/>
    <n v="13.34"/>
    <n v="7.01"/>
    <n v="4.8499999999999996"/>
    <n v="11.24"/>
    <n v="0"/>
    <n v="56.77"/>
    <n v="40.689944666666698"/>
    <n v="0.13496391143907074"/>
    <n v="15.754910109865726"/>
    <n v="3.6044"/>
    <s v="Acre-feet"/>
    <n v="0"/>
    <s v="Acre-feet per Year"/>
    <s v="U_12"/>
    <n v="0"/>
    <n v="38.609099999999998"/>
    <n v="-122.7839"/>
    <s v="RUSSIAN RIVER"/>
  </r>
  <r>
    <s v="S008348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.4001999999999999"/>
    <s v="Acre-feet"/>
    <n v="0"/>
    <s v="Acre-feet per Year"/>
    <s v="U_6"/>
    <n v="0"/>
    <n v="38.972416320000001"/>
    <n v="-123.083445"/>
    <s v="DOOLEY CREEK"/>
  </r>
  <r>
    <s v="S008384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7.889399999999998"/>
    <s v="Acre-feet"/>
    <n v="0"/>
    <s v="Acre-feet per Year"/>
    <s v="U_5"/>
    <n v="0"/>
    <n v="39.091634249999998"/>
    <n v="-123.21828723"/>
    <s v="ROBINSON CREEK"/>
  </r>
  <r>
    <s v="S008392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0"/>
    <n v="0"/>
    <n v="1.1100000000000001"/>
    <n v="0"/>
    <n v="0"/>
    <n v="0"/>
    <n v="0"/>
    <n v="0"/>
    <n v="0"/>
    <n v="0"/>
    <n v="0"/>
    <n v="0"/>
    <n v="1.1100000000000001"/>
    <n v="0"/>
    <n v="0"/>
    <n v="3.3879244270362439E-4"/>
    <n v="3296.02"/>
    <s v="Acre-feet"/>
    <n v="0"/>
    <s v="Acre-feet per Year"/>
    <s v="U_4"/>
    <n v="0"/>
    <n v="39.182724409999999"/>
    <n v="-123.22549995"/>
    <s v="ACKERMAN CREEK"/>
  </r>
  <r>
    <s v="S014374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0"/>
    <s v="N"/>
    <n v="0"/>
    <n v="0"/>
    <n v="0"/>
    <n v="1.95"/>
    <n v="0"/>
    <n v="0"/>
    <n v="0"/>
    <n v="0"/>
    <n v="0"/>
    <n v="0"/>
    <n v="0.05"/>
    <n v="0"/>
    <n v="2"/>
    <n v="0"/>
    <n v="0"/>
    <n v="8.2689808838194451E-4"/>
    <n v="2426.7399999999998"/>
    <s v="Acre-feet"/>
    <n v="0"/>
    <s v="Acre-feet per Year"/>
    <s v="U_2"/>
    <n v="0"/>
    <n v="39.286412679999998"/>
    <n v="-123.09779764"/>
    <s v="EAST FORK RUSSIAN RIVER"/>
  </r>
  <r>
    <s v="S008502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.4449999999999998"/>
    <s v="Acre-feet"/>
    <n v="0"/>
    <s v="Acre-feet per Year"/>
    <s v="L_18"/>
    <n v="0"/>
    <n v="38.430329149999999"/>
    <n v="-122.89265374999999"/>
    <s v="PURRINGTON CREEK"/>
  </r>
  <r>
    <s v="S008582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5.7299999999999997E-5"/>
    <n v="5.7299999999999997E-5"/>
    <n v="5.7299999999999997E-5"/>
    <n v="5.7299999999999997E-5"/>
    <n v="4.8566700000000001E-4"/>
    <n v="4.8566700000000001E-4"/>
    <n v="4.8566700000000001E-4"/>
    <n v="4.8566700000000001E-4"/>
    <n v="4.8566700000000001E-4"/>
    <n v="4.8566700000000001E-4"/>
    <n v="5.7299999999999997E-5"/>
    <n v="5.7299999999999997E-5"/>
    <n v="3.2578020000000002E-3"/>
    <n v="2.4283350000000002E-3"/>
    <n v="8.0545105816494116E-6"/>
    <n v="1.5513342857142858E-2"/>
    <n v="0.21"/>
    <s v="Acre-feet"/>
    <n v="0"/>
    <s v="Acre-feet per Year"/>
    <s v="L_20"/>
    <n v="3.4039024194010059E-4"/>
    <n v="38.56035103"/>
    <n v="-123.10062752"/>
    <s v="BIG AUSTIN CREEK"/>
  </r>
  <r>
    <s v="S008583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17469999999999999"/>
    <s v="Acre-feet"/>
    <n v="0"/>
    <s v="Acre-feet per Year"/>
    <s v="L_20"/>
    <n v="3.4039024194010059E-4"/>
    <n v="38.56035103"/>
    <n v="-123.10062752"/>
    <s v="BIG AUSTIN CREEK"/>
  </r>
  <r>
    <s v="S008584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7.0000000000000007E-2"/>
    <s v="Acre-feet"/>
    <n v="0"/>
    <s v="Acre-feet per Year"/>
    <s v="L_20"/>
    <n v="3.4039024194010059E-4"/>
    <n v="38.56035103"/>
    <n v="-123.10062752"/>
    <s v="BIG AUSTIN CREEK"/>
  </r>
  <r>
    <s v="S008585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5.21E-2"/>
    <s v="Acre-feet"/>
    <n v="0"/>
    <s v="Acre-feet per Year"/>
    <s v="L_20"/>
    <n v="3.4039024194010059E-4"/>
    <n v="38.563632599999998"/>
    <n v="-123.10207715"/>
    <s v="BIG AUSTIN CREEK"/>
  </r>
  <r>
    <s v="S008586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3.0699999999999998E-4"/>
    <n v="3.0699999999999998E-4"/>
    <n v="1.227667E-3"/>
    <n v="1.534667E-3"/>
    <n v="1.7899999999999999E-3"/>
    <n v="1.7899999999999999E-3"/>
    <n v="1.7390000000000001E-3"/>
    <n v="1.1253330000000001E-3"/>
    <n v="2.0466700000000001E-4"/>
    <n v="2.0466700000000001E-4"/>
    <n v="1.0230000999999999E-2"/>
    <n v="8.081333999999999E-3"/>
    <n v="2.6804864327550829E-5"/>
    <n v="5.8557532913566107E-2"/>
    <n v="0.17469999999999999"/>
    <s v="Acre-feet"/>
    <n v="0"/>
    <s v="Acre-feet per Year"/>
    <s v="L_20"/>
    <n v="3.4039024194010059E-4"/>
    <n v="38.563632599999998"/>
    <n v="-123.10207715"/>
    <s v="BIG AUSTIN CREEK"/>
  </r>
  <r>
    <s v="S008587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35"/>
    <s v="Acre-feet"/>
    <n v="0"/>
    <s v="Acre-feet per Year"/>
    <s v="L_20"/>
    <n v="3.4039024194010059E-4"/>
    <n v="38.563632599999998"/>
    <n v="-123.10207715"/>
    <s v="BIG AUSTIN CREEK"/>
  </r>
  <r>
    <s v="S008588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4.0933300000000001E-4"/>
    <n v="4.0933300000000001E-4"/>
    <n v="1.023E-3"/>
    <n v="1.023E-3"/>
    <n v="3.7850000000000002E-3"/>
    <n v="3.7850000000000002E-3"/>
    <n v="3.7850000000000002E-3"/>
    <n v="3.7850000000000002E-3"/>
    <n v="2.7620000000000001E-3"/>
    <n v="1.8413329999999999E-3"/>
    <n v="5.6266699999999998E-4"/>
    <n v="5.6266699999999998E-4"/>
    <n v="2.3733333000000002E-2"/>
    <n v="1.7902000000000001E-2"/>
    <n v="5.9378894770568205E-5"/>
    <n v="0.11301587142857145"/>
    <n v="0.21"/>
    <s v="Acre-feet"/>
    <n v="0"/>
    <s v="Acre-feet per Year"/>
    <s v="L_20"/>
    <n v="3.4039024194010059E-4"/>
    <n v="38.566355000000001"/>
    <n v="-123.1045676"/>
    <s v="BIG AUSTIN CREEK"/>
  </r>
  <r>
    <s v="S008589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2.8029333E-2"/>
    <n v="1.4730666999999999E-2"/>
    <n v="2.4858000000000002E-2"/>
    <n v="5.6263000000000001E-2"/>
    <n v="6.6697332999999998E-2"/>
    <n v="5.6979000000000002E-2"/>
    <n v="5.6979000000000002E-2"/>
    <n v="6.5980999999999998E-2"/>
    <n v="5.1956333E-2"/>
    <n v="6.3842999999999997E-2"/>
    <n v="3.3860000000000001E-2"/>
    <n v="2.8745E-2"/>
    <n v="0.54892166600000003"/>
    <n v="0.29859266600000001"/>
    <n v="9.9039786022106003E-4"/>
    <n v="3.1420816599885519"/>
    <n v="0.17469999999999999"/>
    <s v="Acre-feet"/>
    <n v="0"/>
    <s v="Acre-feet per Year"/>
    <s v="L_20"/>
    <n v="3.4039024194010059E-4"/>
    <n v="38.566355000000001"/>
    <n v="-123.1045676"/>
    <s v="BIG AUSTIN CREEK"/>
  </r>
  <r>
    <s v="S008590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1.033333E-3"/>
    <n v="1.033333E-3"/>
    <n v="1.1356669999999999E-3"/>
    <n v="1.892667E-3"/>
    <n v="3.5806670000000001E-3"/>
    <n v="3.5806670000000001E-3"/>
    <n v="3.5806670000000001E-3"/>
    <n v="3.5806670000000001E-3"/>
    <n v="2.557667E-3"/>
    <n v="2.250667E-3"/>
    <n v="8.7966699999999999E-4"/>
    <n v="8.7966699999999999E-4"/>
    <n v="2.5985336000000001E-2"/>
    <n v="1.6880335E-2"/>
    <n v="5.5990148344148107E-5"/>
    <n v="0.19092825863335783"/>
    <n v="0.1361"/>
    <s v="Acre-feet"/>
    <n v="0"/>
    <s v="Acre-feet per Year"/>
    <s v="L_20"/>
    <n v="3.4039024194010059E-4"/>
    <n v="38.56699708"/>
    <n v="-123.09478371"/>
    <s v="UNSP"/>
  </r>
  <r>
    <s v="S008596"/>
    <n v="10000000"/>
    <n v="4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0"/>
    <n v="1.17"/>
    <n v="0.2"/>
    <n v="0"/>
    <n v="0.84"/>
    <n v="3.22"/>
    <n v="0"/>
    <n v="0"/>
    <n v="0"/>
    <n v="0"/>
    <n v="0"/>
    <n v="5.43"/>
    <n v="4.0666666666666629"/>
    <n v="1.3488670096468392E-2"/>
    <n v="0.22784442994271817"/>
    <n v="23.905200000000001"/>
    <s v="Acre-feet"/>
    <n v="0"/>
    <s v="Acre-feet per Year"/>
    <s v="U_4"/>
    <n v="3.4039024194010059E-4"/>
    <n v="39.139029540000003"/>
    <n v="-123.18895411"/>
    <s v="RUSSIAN RIVER UNDERFLOW"/>
  </r>
  <r>
    <s v="S008659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U_1"/>
    <n v="0"/>
    <n v="39.246654360000001"/>
    <n v="-123.20382956"/>
    <s v="WEST FORK RUSSIAN RIVER"/>
  </r>
  <r>
    <s v="S015865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2"/>
    <n v="1.5"/>
    <n v="3"/>
    <n v="3.5"/>
    <n v="3.5"/>
    <n v="4"/>
    <n v="3.5"/>
    <n v="3"/>
    <n v="0"/>
    <n v="0"/>
    <n v="24"/>
    <n v="17.5"/>
    <n v="5.8045506562671406E-2"/>
    <n v="0.46412686134210018"/>
    <n v="51.71"/>
    <s v="Acre-feet"/>
    <n v="0"/>
    <s v="Acre-feet per Year"/>
    <s v="L_15"/>
    <n v="0"/>
    <n v="38.687557099999999"/>
    <n v="-122.9540354"/>
    <s v="DRY CREEK UNDERFLOW"/>
  </r>
  <r>
    <s v="S015520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1"/>
    <n v="2"/>
    <n v="0"/>
    <n v="2"/>
    <n v="3"/>
    <n v="3"/>
    <n v="2.5"/>
    <n v="2"/>
    <n v="0"/>
    <n v="0"/>
    <n v="15.5"/>
    <n v="10.5"/>
    <n v="3.4827303937602846E-2"/>
    <n v="3.291848957227201E-2"/>
    <n v="470.86"/>
    <s v="Acre-feet"/>
    <n v="0"/>
    <s v="Acre-feet per Year"/>
    <s v="L_15"/>
    <n v="0"/>
    <n v="38.686327259999999"/>
    <n v="-122.95331822"/>
    <s v="DRY CREEK SUBTERRANEAN"/>
  </r>
  <r>
    <s v="S008703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U_12"/>
    <n v="0"/>
    <n v="38.64943916"/>
    <n v="-122.78158882"/>
    <s v="UNST"/>
  </r>
  <r>
    <s v="S008765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0"/>
    <n v="1.55"/>
    <n v="1.98"/>
    <n v="2.33"/>
    <n v="7.99"/>
    <n v="1.79"/>
    <n v="1.5"/>
    <n v="1.1000000000000001"/>
    <n v="0"/>
    <n v="18.240000000000002"/>
    <n v="15.660000001"/>
    <n v="5.1942436161684556E-2"/>
    <n v="5.6602179435932438E-2"/>
    <n v="322.72019999999998"/>
    <s v="Acre-feet"/>
    <n v="0"/>
    <s v="Acre-feet per Year"/>
    <s v="U_5"/>
    <n v="0"/>
    <n v="39.098700000000001"/>
    <n v="-123.2139"/>
    <s v="ROBINSON CREEK"/>
  </r>
  <r>
    <s v="S008766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0"/>
    <n v="1.1499999999999999"/>
    <n v="2.02"/>
    <n v="4.79"/>
    <n v="1.84"/>
    <n v="1.23"/>
    <n v="0.73"/>
    <n v="0"/>
    <n v="0"/>
    <n v="11.760000000000002"/>
    <n v="11.05"/>
    <n v="3.6651591286715378E-2"/>
    <n v="4.8708491355224391E-2"/>
    <n v="241.9496"/>
    <s v="Acre-feet"/>
    <n v="0"/>
    <s v="Acre-feet per Year"/>
    <s v="U_5"/>
    <n v="0"/>
    <n v="39.098599999999998"/>
    <n v="-123.21380000000001"/>
    <s v="ROBINSON CREEK"/>
  </r>
  <r>
    <s v="S008824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2.235799999999998"/>
    <s v="Acre-feet"/>
    <n v="0"/>
    <s v="Acre-feet per Year"/>
    <s v="U_1"/>
    <n v="0"/>
    <n v="39.251010639999997"/>
    <n v="-123.20743542"/>
    <s v="FORSYTHE CREEK"/>
  </r>
  <r>
    <s v="S008910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0"/>
    <n v="0"/>
    <n v="1.5343329999999999E-3"/>
    <n v="0.01"/>
    <n v="0.01"/>
    <n v="0.01"/>
    <n v="0"/>
    <n v="0"/>
    <n v="0"/>
    <n v="3.1534333000000005E-2"/>
    <n v="4.2787332999999997E-2"/>
    <n v="1.4192070962575467E-4"/>
    <n v="2.3770740555555553E-4"/>
    <n v="180"/>
    <s v="Acre-feet"/>
    <n v="0"/>
    <s v="Acre-feet per Year"/>
    <s v="U_4"/>
    <n v="0"/>
    <n v="39.142984349999999"/>
    <n v="-123.16433649"/>
    <s v="MCCLURE CREEK"/>
  </r>
  <r>
    <s v="S009291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5.3333332999999997E-2"/>
    <n v="0.08"/>
    <n v="0.133333333"/>
    <n v="0.163333333"/>
    <n v="1.03"/>
    <n v="1.6266666670000001"/>
    <n v="2.5233333330000001"/>
    <n v="2.096666667"/>
    <n v="1.54"/>
    <n v="1.423333333"/>
    <n v="0.306666667"/>
    <n v="0.04"/>
    <n v="11.016666665999999"/>
    <n v="8.8166666669999998"/>
    <n v="2.92438790217277E-2"/>
    <n v="2.9694519315363879"/>
    <n v="3.71"/>
    <s v="Acre-feet"/>
    <n v="0"/>
    <s v="Acre-feet per Year"/>
    <s v="L_17"/>
    <n v="3.4039024194010059E-4"/>
    <n v="38.536279280000002"/>
    <n v="-122.86251095"/>
    <s v="RUSSIAN RIVER UNDERFLOW"/>
  </r>
  <r>
    <s v="S009292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"/>
    <n v="0"/>
    <n v="0"/>
    <n v="0"/>
    <n v="0.193333333"/>
    <n v="0.236666667"/>
    <n v="0.43"/>
    <n v="8.3233333330000008"/>
    <n v="2.076666667"/>
    <n v="0"/>
    <n v="0"/>
    <n v="11.26"/>
    <n v="9.1833333330000002"/>
    <n v="3.0460070585591463E-2"/>
    <n v="0.15543898398674766"/>
    <n v="72.44"/>
    <s v="Acre-feet"/>
    <n v="0"/>
    <s v="Acre-feet per Year"/>
    <s v="L_17"/>
    <n v="0"/>
    <n v="38.536279280000002"/>
    <n v="-122.86251095"/>
    <s v="RUSSIAN RIVER UNDERFLOW"/>
  </r>
  <r>
    <s v="S008591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7.7746669999999999E-3"/>
    <n v="7.7746669999999999E-3"/>
    <n v="7.7746669999999999E-3"/>
    <n v="9.1043329999999992E-3"/>
    <n v="1.5242E-2"/>
    <n v="1.5242E-2"/>
    <n v="1.5242E-2"/>
    <n v="1.5242E-2"/>
    <n v="1.5242E-2"/>
    <n v="1.3912333000000001E-2"/>
    <n v="7.7746669999999999E-3"/>
    <n v="7.7746669999999999E-3"/>
    <n v="0.13810000100000003"/>
    <n v="7.621E-2"/>
    <n v="2.5277988886521072E-4"/>
    <n v="0.18497187382802038"/>
    <n v="0.74660000000000004"/>
    <s v="Acre-feet"/>
    <n v="0"/>
    <s v="Acre-feet per Year"/>
    <s v="L_20"/>
    <n v="3.4039024194010059E-4"/>
    <n v="38.570321640000003"/>
    <n v="-123.09168653"/>
    <s v="UNSP"/>
  </r>
  <r>
    <s v="S009525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0"/>
    <n v="0.1"/>
    <n v="0.28999999999999998"/>
    <n v="0.42"/>
    <n v="0.43"/>
    <n v="0.38"/>
    <n v="0.25"/>
    <n v="7.0000000000000007E-2"/>
    <n v="0"/>
    <n v="1.9400000000000002"/>
    <n v="1.6533436670000001"/>
    <n v="5.483952609897127E-3"/>
    <n v="1.1573806744919413"/>
    <n v="1.7123999999999999"/>
    <s v="Acre-feet"/>
    <n v="0"/>
    <s v="Acre-feet per Year"/>
    <s v="U_5"/>
    <n v="3.4039024194010059E-4"/>
    <n v="39.094359849999996"/>
    <n v="-123.23331061"/>
    <s v="ROBINSON CREEK"/>
  </r>
  <r>
    <s v="S009689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.6999999999999999E-3"/>
    <s v="Acre-feet"/>
    <n v="0"/>
    <s v="Acre-feet per Year"/>
    <s v="L_24"/>
    <n v="0"/>
    <n v="38.494341040000002"/>
    <n v="-122.85222108000001"/>
    <s v="WINDSOR CREEK"/>
  </r>
  <r>
    <s v="S010433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4.0220000000000002"/>
    <s v="Acre-feet"/>
    <n v="0"/>
    <s v="Acre-feet per Year"/>
    <s v="U_1"/>
    <n v="0"/>
    <n v="39.227268350000003"/>
    <n v="-123.20650065"/>
    <s v="UNST"/>
  </r>
  <r>
    <s v="S010522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s v="Acre-feet per Year"/>
    <s v="U_1"/>
    <n v="0"/>
    <n v="39.279840749999998"/>
    <n v="-123.20757499"/>
    <s v="WEST FORK RUSSIAN RIVER"/>
  </r>
  <r>
    <s v="S010843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0.16"/>
    <n v="0.66"/>
    <n v="0"/>
    <n v="0"/>
    <n v="0"/>
    <n v="0"/>
    <n v="0"/>
    <n v="0"/>
    <n v="0"/>
    <n v="0"/>
    <n v="0"/>
    <n v="0"/>
    <n v="0.82000000000000006"/>
    <n v="0"/>
    <n v="0"/>
    <n v="4.1306187600807749E-4"/>
    <n v="2017.454"/>
    <s v="Acre-feet"/>
    <n v="0"/>
    <s v="Acre-feet per Year"/>
    <s v="U_4"/>
    <n v="0"/>
    <n v="39.138264249999999"/>
    <n v="-123.16954798"/>
    <s v="MCCLURE CREEK"/>
  </r>
  <r>
    <s v="S010889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.36"/>
    <n v="0.25"/>
    <n v="0.06"/>
    <n v="0.04"/>
    <n v="3.333333E-3"/>
    <n v="3.333333E-3"/>
    <n v="3.333333E-3"/>
    <n v="0"/>
    <n v="3.333333E-3"/>
    <n v="0"/>
    <n v="0.1"/>
    <n v="3.333333E-3"/>
    <n v="0.82666666500000019"/>
    <n v="1.3333332E-2"/>
    <n v="4.4225143434758663E-5"/>
    <n v="1.2873885524789213E-3"/>
    <n v="644.71600000000001"/>
    <s v="Acre-feet"/>
    <n v="0"/>
    <s v="Acre-feet per Year"/>
    <s v="U_4"/>
    <n v="0"/>
    <n v="39.12912893"/>
    <n v="-123.14930133999999"/>
    <s v="UNST"/>
  </r>
  <r>
    <s v="S010997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448.8"/>
    <s v="Acre-feet"/>
    <n v="0"/>
    <s v="Acre-feet per Year"/>
    <s v="U_5"/>
    <n v="0"/>
    <n v="39.121900189999998"/>
    <n v="-123.15834968999999"/>
    <s v="UNST"/>
  </r>
  <r>
    <s v="S010999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"/>
    <n v="0"/>
    <n v="0"/>
    <n v="0"/>
    <n v="0"/>
    <n v="1.5"/>
    <n v="0"/>
    <n v="0"/>
    <n v="0"/>
    <n v="0"/>
    <n v="0"/>
    <n v="1.5"/>
    <n v="1.5"/>
    <n v="4.9753291339432633E-3"/>
    <n v="2.0706791827719492E-3"/>
    <n v="724.4"/>
    <s v="Acre-feet"/>
    <n v="0"/>
    <s v="Acre-feet per Year"/>
    <s v="U_12"/>
    <n v="0"/>
    <n v="38.633055319999997"/>
    <n v="-122.76775557000001"/>
    <s v="MAACAMA CREEK"/>
  </r>
  <r>
    <s v="S011135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.46"/>
    <n v="0.46"/>
    <n v="0.46"/>
    <n v="0.43"/>
    <n v="0.15"/>
    <n v="0.26"/>
    <n v="0.26"/>
    <n v="0.26"/>
    <n v="0.26"/>
    <n v="0.26"/>
    <n v="0.39"/>
    <n v="0.62"/>
    <n v="4.2699999999999987"/>
    <n v="1.2196992"/>
    <n v="4.0456033096048609E-3"/>
    <n v="140.97306818181818"/>
    <n v="3.0800000000000001E-2"/>
    <s v="Acre-feet"/>
    <n v="0"/>
    <s v="Acre-feet per Year"/>
    <s v="U_1"/>
    <n v="3.4039024194010059E-4"/>
    <n v="39.303938479999999"/>
    <n v="-123.24014969"/>
    <s v="UNCR"/>
  </r>
  <r>
    <s v="S011330"/>
    <n v="10000000"/>
    <n v="12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.01"/>
    <n v="0.09"/>
    <n v="0.39"/>
    <n v="0.55000000000000004"/>
    <n v="0.66"/>
    <n v="1.1399999999999999"/>
    <n v="1.76"/>
    <n v="2.56"/>
    <n v="2.75"/>
    <n v="0.93"/>
    <n v="0.54"/>
    <n v="0.01"/>
    <n v="11.389999999999999"/>
    <n v="8.8933333333333326"/>
    <n v="2.9498173620801392E-2"/>
    <n v="0.44720375439968713"/>
    <n v="25.57"/>
    <s v="Acre-feet"/>
    <n v="0"/>
    <s v="Acre-feet per Year"/>
    <s v="U_12"/>
    <n v="0"/>
    <n v="38.622229709999999"/>
    <n v="-122.785141"/>
    <s v="UNST"/>
  </r>
  <r>
    <s v="S011331"/>
    <n v="10000000"/>
    <n v="12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.01"/>
    <n v="0.18"/>
    <n v="0.2"/>
    <n v="0.31"/>
    <n v="0.36"/>
    <n v="0.97"/>
    <n v="2.19"/>
    <n v="2.83"/>
    <n v="3.79"/>
    <n v="1.83"/>
    <n v="0.43"/>
    <n v="8.3333333333333297E-3"/>
    <n v="13.108333333333333"/>
    <n v="10.156666666666663"/>
    <n v="3.3688506380278038E-2"/>
    <n v="8.1413699209035587E-2"/>
    <n v="161.5412"/>
    <s v="Acre-feet"/>
    <n v="0"/>
    <s v="Acre-feet per Year"/>
    <s v="U_12"/>
    <n v="0"/>
    <n v="38.622229709999999"/>
    <n v="-122.785141"/>
    <s v="RUSSIAN RIVER"/>
  </r>
  <r>
    <s v="S012241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.02"/>
    <n v="0.68"/>
    <n v="0.68"/>
    <n v="0.02"/>
    <n v="0.02"/>
    <n v="0.02"/>
    <n v="0.02"/>
    <n v="0.02"/>
    <n v="0.02"/>
    <n v="0.02"/>
    <n v="0"/>
    <n v="1.5200000000000002"/>
    <n v="0.12833333499999999"/>
    <n v="4.2566705365440044E-4"/>
    <n v="8.7060556046383242E-2"/>
    <n v="18.11"/>
    <s v="Acre-feet"/>
    <n v="0"/>
    <s v="Acre-feet per Year"/>
    <s v="U_12"/>
    <n v="0"/>
    <n v="38.66980994"/>
    <n v="-122.79442211"/>
    <s v="UNST"/>
  </r>
  <r>
    <s v="S012429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.5"/>
    <s v="Acre-feet"/>
    <n v="0"/>
    <s v="Acre-feet per Year"/>
    <s v="U_4"/>
    <n v="0"/>
    <n v="39.169474100000002"/>
    <n v="-123.10868342000001"/>
    <s v="UNST"/>
  </r>
  <r>
    <s v="S012430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0.75"/>
    <n v="0"/>
    <n v="0"/>
    <n v="0"/>
    <n v="0"/>
    <n v="0"/>
    <n v="0"/>
    <n v="0"/>
    <n v="0"/>
    <n v="0"/>
    <n v="0"/>
    <n v="0"/>
    <n v="0.75"/>
    <n v="0"/>
    <n v="0"/>
    <n v="0.5"/>
    <n v="1.5"/>
    <s v="Acre-feet"/>
    <n v="0"/>
    <s v="Acre-feet per Year"/>
    <s v="U_4"/>
    <n v="0"/>
    <n v="39.169949379999998"/>
    <n v="-123.11645158"/>
    <s v="UNST"/>
  </r>
  <r>
    <s v="S012431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0.5"/>
    <n v="0.5"/>
    <n v="0.5"/>
    <n v="0.5"/>
    <n v="0"/>
    <n v="0"/>
    <n v="0"/>
    <n v="0"/>
    <n v="0"/>
    <n v="0"/>
    <n v="0"/>
    <n v="0"/>
    <n v="2"/>
    <n v="0"/>
    <n v="0"/>
    <n v="0.5"/>
    <n v="4"/>
    <s v="Acre-feet"/>
    <n v="0"/>
    <s v="Acre-feet per Year"/>
    <s v="U_4"/>
    <n v="0"/>
    <n v="39.131613029999997"/>
    <n v="-123.10527044"/>
    <s v="WILLOW CREEK"/>
  </r>
  <r>
    <s v="S012432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.5"/>
    <n v="0.5"/>
    <n v="0.5"/>
    <n v="0.5"/>
    <n v="0.5"/>
    <n v="0"/>
    <n v="0"/>
    <n v="0"/>
    <n v="0"/>
    <n v="0"/>
    <n v="0"/>
    <n v="0"/>
    <n v="2.5"/>
    <n v="0.5"/>
    <n v="1.6584430446477544E-3"/>
    <n v="0.41666666666666669"/>
    <n v="6"/>
    <s v="Acre-feet"/>
    <n v="0"/>
    <s v="Acre-feet per Year"/>
    <s v="U_4"/>
    <n v="0"/>
    <n v="39.137957739999997"/>
    <n v="-123.11665263"/>
    <s v="UNST"/>
  </r>
  <r>
    <s v="S012433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0.75"/>
    <n v="0"/>
    <n v="0"/>
    <n v="0"/>
    <n v="0"/>
    <n v="0"/>
    <n v="0"/>
    <n v="0"/>
    <n v="0"/>
    <n v="0"/>
    <n v="0"/>
    <n v="0"/>
    <n v="0.75"/>
    <n v="0"/>
    <n v="0"/>
    <n v="0.5"/>
    <n v="1.5"/>
    <s v="Acre-feet"/>
    <n v="0"/>
    <s v="Acre-feet per Year"/>
    <s v="U_4"/>
    <n v="0"/>
    <n v="39.169578450000003"/>
    <n v="-123.12649934"/>
    <s v="UNST"/>
  </r>
  <r>
    <s v="S012484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62.2"/>
    <s v="Acre-feet"/>
    <n v="0"/>
    <s v="Acre-feet per Year"/>
    <s v="U_12"/>
    <n v="0"/>
    <n v="38.634730490000003"/>
    <n v="-122.7635724"/>
    <s v="MAACAMA CREEK"/>
  </r>
  <r>
    <s v="S012533"/>
    <n v="10000000"/>
    <n v="7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2.6085000000000001E-3"/>
    <n v="0"/>
    <n v="0"/>
    <n v="0"/>
    <n v="0"/>
    <n v="0"/>
    <n v="0"/>
    <n v="0"/>
    <n v="0"/>
    <n v="0"/>
    <n v="0"/>
    <n v="0"/>
    <n v="2.6085000000000001E-3"/>
    <n v="0"/>
    <n v="0"/>
    <n v="5.1745685379884949E-3"/>
    <n v="0.50409999999999999"/>
    <s v="Acre-feet"/>
    <n v="0"/>
    <s v="Acre-feet per Year"/>
    <s v="U_7"/>
    <n v="3.4039024194010059E-4"/>
    <n v="38.744493239999997"/>
    <n v="-122.73284167"/>
    <s v="PINE FLAT SPRING"/>
  </r>
  <r>
    <s v="S012593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56010000000000004"/>
    <s v="Acre-feet"/>
    <n v="0"/>
    <s v="Acre-feet per Year"/>
    <s v="U_5"/>
    <n v="0"/>
    <n v="39.043775459999999"/>
    <n v="-123.07238622"/>
    <s v="UNST"/>
  </r>
  <r>
    <s v="S012594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56010000000000004"/>
    <s v="Acre-feet"/>
    <n v="0"/>
    <s v="Acre-feet per Year"/>
    <s v="U_5"/>
    <n v="0"/>
    <n v="39.044411590000003"/>
    <n v="-123.07785391"/>
    <s v="UNST"/>
  </r>
  <r>
    <s v="S012595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56010000000000004"/>
    <s v="Acre-feet"/>
    <n v="0"/>
    <s v="Acre-feet per Year"/>
    <s v="U_6"/>
    <n v="0"/>
    <n v="38.94340751"/>
    <n v="-122.9792715"/>
    <s v="UNST"/>
  </r>
  <r>
    <s v="S012597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56010000000000004"/>
    <s v="Acre-feet"/>
    <n v="0"/>
    <s v="Acre-feet per Year"/>
    <s v="U_5"/>
    <n v="0"/>
    <n v="39.044269419999999"/>
    <n v="-123.06341431"/>
    <s v="UNST"/>
  </r>
  <r>
    <s v="S012749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.26"/>
    <n v="0.26"/>
    <n v="0.26"/>
    <n v="0.26"/>
    <n v="0.26"/>
    <n v="0.25"/>
    <n v="0.25"/>
    <n v="0.25"/>
    <n v="0.25"/>
    <n v="0.25"/>
    <n v="0.25"/>
    <n v="0.25"/>
    <n v="3.05"/>
    <n v="1.29199"/>
    <n v="4.2853836585089048E-3"/>
    <n v="2.5708393262792426"/>
    <n v="1.2097"/>
    <s v="Acre-feet"/>
    <n v="0"/>
    <s v="Acre-feet per Year"/>
    <s v="U_5"/>
    <n v="0"/>
    <n v="39.121500330000003"/>
    <n v="-123.14318477"/>
    <s v="UNSP"/>
  </r>
  <r>
    <s v="S012751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4032"/>
    <s v="Acre-feet"/>
    <n v="0"/>
    <s v="Acre-feet per Year"/>
    <s v="U_4"/>
    <n v="3.4039024194010059E-4"/>
    <n v="39.148875820000001"/>
    <n v="-123.23249653000001"/>
    <s v="GIBSON CREEK"/>
  </r>
  <r>
    <s v="S012930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62.99"/>
    <s v="Acre-feet"/>
    <n v="0"/>
    <s v="Acre-feet per Year"/>
    <s v="L_18"/>
    <n v="0"/>
    <n v="38.432944339999999"/>
    <n v="-122.89181356"/>
    <s v="GREEN VALLEY CREEK"/>
  </r>
  <r>
    <s v="S013153"/>
    <n v="10000000"/>
    <n v="4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97.793999999999997"/>
    <s v="Acre-feet"/>
    <n v="0"/>
    <s v="Acre-feet per Year"/>
    <s v="U_4"/>
    <n v="0"/>
    <n v="39.155554219999999"/>
    <n v="-123.18411748"/>
    <s v="RUSSIAN RIVER"/>
  </r>
  <r>
    <s v="S013187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81100"/>
    <s v="Acre-feet"/>
    <n v="0"/>
    <s v="Acre-feet per Year"/>
    <s v="U_4"/>
    <n v="0"/>
    <n v="39.200716190000001"/>
    <n v="-123.22492917"/>
    <s v="HENSLEY CREEK"/>
  </r>
  <r>
    <s v="S013246"/>
    <n v="10000000"/>
    <n v="9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"/>
    <n v="0"/>
    <n v="0"/>
    <n v="1.42"/>
    <n v="2.02"/>
    <n v="2.02"/>
    <n v="2.02"/>
    <n v="1.42"/>
    <n v="1.42"/>
    <n v="0"/>
    <n v="0"/>
    <n v="10.32"/>
    <n v="8.9304640000000006"/>
    <n v="2.962133181255433E-2"/>
    <n v="0.31773412479293212"/>
    <n v="32.597999999999999"/>
    <s v="Acre-feet"/>
    <n v="0"/>
    <s v="Acre-feet per Year"/>
    <s v="U_9"/>
    <n v="0"/>
    <n v="38.754069940000001"/>
    <n v="-122.9124927"/>
    <s v="OAK FLAT CREEK"/>
  </r>
  <r>
    <s v="S013696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7.4"/>
    <n v="8.1999999999999993"/>
    <n v="8.1999999999999993"/>
    <n v="8.1999999999999993"/>
    <n v="5.2"/>
    <n v="5"/>
    <n v="0"/>
    <n v="0"/>
    <n v="42.199999999999996"/>
    <n v="37.199999999999996"/>
    <n v="0.12338816252179292"/>
    <n v="0.26182070865311236"/>
    <n v="161.179"/>
    <s v="Acre-feet"/>
    <n v="0"/>
    <s v="Acre-feet per Year"/>
    <s v="U_9"/>
    <n v="0"/>
    <n v="38.858847419999996"/>
    <n v="-123.0409746"/>
    <s v="RUSSIAN RIVER"/>
  </r>
  <r>
    <s v="S025305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2.1333333329999999"/>
    <n v="5.4666666670000001"/>
    <n v="1.9"/>
    <n v="0"/>
    <n v="2.1"/>
    <n v="1.933333333"/>
    <n v="5.0333333329999999"/>
    <n v="3"/>
    <n v="2.6666666669999999"/>
    <n v="1.1000000000000001"/>
    <n v="0"/>
    <n v="25.333333333000002"/>
    <n v="12.066666666"/>
    <n v="4.0023758808621218E-2"/>
    <n v="2.094096576400083E-2"/>
    <n v="1209.75"/>
    <s v="Acre-feet"/>
    <n v="0"/>
    <s v="Acre-feet per Year"/>
    <s v="L_16"/>
    <n v="0"/>
    <n v="38.596200000000003"/>
    <n v="-122.8759"/>
    <s v="DRY CREEK UNDERFLOW"/>
  </r>
  <r>
    <s v="S013724"/>
    <n v="10000000"/>
    <n v="10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8.6928000000000001"/>
    <s v="Acre-feet"/>
    <n v="0"/>
    <s v="Acre-feet per Year"/>
    <s v="U_10"/>
    <n v="0"/>
    <n v="38.680318669999998"/>
    <n v="-122.80364774"/>
    <s v="SAUSAL CREEK"/>
  </r>
  <r>
    <s v="S018225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.14333333300000001"/>
    <n v="1.3666666670000001"/>
    <n v="1.403333333"/>
    <n v="3.07"/>
    <n v="3.5433333330000001"/>
    <n v="2.2933333330000001"/>
    <n v="1.653333333"/>
    <n v="0"/>
    <n v="0"/>
    <n v="0"/>
    <n v="13.473333331999999"/>
    <n v="11.963333331999998"/>
    <n v="3.9681013910516087E-2"/>
    <n v="3.7087339120132692E-2"/>
    <n v="363.28660000000002"/>
    <s v="Acre-feet"/>
    <n v="0"/>
    <s v="Acre-feet per Year"/>
    <s v="L_16"/>
    <n v="0"/>
    <n v="38.637099999999997"/>
    <n v="-122.9021"/>
    <s v="DRY CREEK UNDERFLOW"/>
  </r>
  <r>
    <s v="S013792"/>
    <n v="10000000"/>
    <n v="8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.03"/>
    <n v="0.03"/>
    <n v="0.03"/>
    <n v="0.03"/>
    <n v="0.03"/>
    <n v="0.03"/>
    <n v="0.03"/>
    <n v="0.03"/>
    <n v="0.03"/>
    <n v="0.03"/>
    <n v="0.03"/>
    <n v="0.03"/>
    <n v="0.3600000000000001"/>
    <n v="0.172541001"/>
    <n v="5.7229884605002252E-4"/>
    <n v="1.0241334686425798E-2"/>
    <n v="40.2042"/>
    <s v="Acre-feet"/>
    <n v="0"/>
    <s v="Acre-feet per Year"/>
    <s v="U_8"/>
    <n v="3.4039024194010059E-4"/>
    <n v="38.750091210000001"/>
    <n v="-122.83915165000001"/>
    <s v="UNSP"/>
  </r>
  <r>
    <s v="S013793"/>
    <n v="10000000"/>
    <n v="8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.01"/>
    <n v="0.01"/>
    <n v="0.01"/>
    <n v="0.01"/>
    <n v="0.01"/>
    <n v="0.01"/>
    <n v="0.01"/>
    <n v="0.01"/>
    <n v="0.01"/>
    <n v="0.01"/>
    <n v="0.01"/>
    <n v="0.01"/>
    <n v="0.11999999999999998"/>
    <n v="7.5708333000000003E-2"/>
    <n v="2.5111591657145214E-4"/>
    <n v="4.4117198451903037E-3"/>
    <n v="40.2042"/>
    <s v="Acre-feet"/>
    <n v="0"/>
    <s v="Acre-feet per Year"/>
    <s v="U_8"/>
    <n v="3.4039024194010059E-4"/>
    <n v="38.750300000000003"/>
    <n v="-122.8394"/>
    <s v="UNSP"/>
  </r>
  <r>
    <s v="S019972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.02"/>
    <n v="4.3333333000000002E-2"/>
    <n v="0.12"/>
    <n v="0.16"/>
    <n v="0.556666667"/>
    <n v="1.086666667"/>
    <n v="2.923333333"/>
    <n v="1.836666667"/>
    <n v="1.586666667"/>
    <n v="0.59"/>
    <n v="0.116666667"/>
    <n v="7.3333333000000001E-2"/>
    <n v="9.1133333340000018"/>
    <n v="7.9900000010000003"/>
    <n v="2.6501919856788004E-2"/>
    <n v="0.71758530188976399"/>
    <n v="12.7"/>
    <s v="Acre-feet"/>
    <n v="0"/>
    <s v="Acre-feet per Year"/>
    <s v="L_16"/>
    <n v="3.4039024194010059E-4"/>
    <n v="38.586100000000002"/>
    <n v="-122.876"/>
    <s v="MILL CREEK"/>
  </r>
  <r>
    <s v="S013850"/>
    <n v="10000000"/>
    <n v="21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8.9999999999999993E-3"/>
    <n v="8.9999999999999993E-3"/>
    <n v="2.3333333000000001E-2"/>
    <n v="4.9000000000000002E-2"/>
    <n v="9.4333333000000005E-2"/>
    <n v="0.116833333"/>
    <n v="0.212666667"/>
    <n v="0.225566667"/>
    <n v="0.21160000000000001"/>
    <n v="0.237666667"/>
    <n v="8.9999999999999993E-3"/>
    <n v="8.9999999999999993E-3"/>
    <n v="1.2069999999999999"/>
    <n v="0.86099999999999999"/>
    <n v="2.8558389228834336E-3"/>
    <n v="0.74829510229386231"/>
    <n v="1.613"/>
    <s v="Acre-feet"/>
    <n v="0"/>
    <s v="Acre-feet per Year"/>
    <s v="L_21"/>
    <n v="3.4039024194010059E-4"/>
    <n v="38.550289970000001"/>
    <n v="-122.99871115000001"/>
    <s v="EAST BRANCH FIFE CREEK"/>
  </r>
  <r>
    <s v="S013977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0"/>
    <n v="0.1"/>
    <n v="0.36"/>
    <n v="0.4"/>
    <n v="0.93"/>
    <n v="0.73"/>
    <n v="0"/>
    <n v="0"/>
    <n v="0"/>
    <n v="2.52"/>
    <n v="2.5333333329999999"/>
    <n v="8.4027780917763275E-3"/>
    <n v="0.11281119560570706"/>
    <n v="22.456399999999999"/>
    <s v="Acre-feet"/>
    <n v="0"/>
    <s v="Acre-feet per Year"/>
    <s v="U_4"/>
    <n v="0"/>
    <n v="39.179055179999999"/>
    <n v="-123.20867794999999"/>
    <s v="ACKERMAN CREEK"/>
  </r>
  <r>
    <s v="S014005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34.86"/>
    <n v="9.16"/>
    <n v="0"/>
    <n v="11.53"/>
    <n v="34.700000000000003"/>
    <n v="19.87"/>
    <n v="1.86"/>
    <n v="0"/>
    <n v="0"/>
    <n v="111.98"/>
    <n v="75.279999999999973"/>
    <n v="0.24969518480216585"/>
    <n v="0.10664077127642695"/>
    <n v="1050.3800000000001"/>
    <s v="Acre-feet"/>
    <n v="0"/>
    <s v="Acre-feet per Year"/>
    <s v="U_9"/>
    <n v="0"/>
    <n v="38.768894950000004"/>
    <n v="-122.98038037000001"/>
    <s v="RUSSIAN RIVER"/>
  </r>
  <r>
    <s v="S014016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0"/>
    <s v="N"/>
    <n v="0"/>
    <n v="2.83"/>
    <n v="4.16"/>
    <n v="2.5"/>
    <n v="0"/>
    <n v="0"/>
    <n v="0"/>
    <n v="0"/>
    <n v="0"/>
    <n v="0"/>
    <n v="0"/>
    <n v="0"/>
    <n v="9.49"/>
    <n v="0"/>
    <n v="0"/>
    <n v="4.7089053827249596E-3"/>
    <n v="2017.454"/>
    <s v="Acre-feet"/>
    <n v="0"/>
    <s v="Acre-feet per Year"/>
    <s v="U_1"/>
    <n v="0"/>
    <n v="39.292716609999999"/>
    <n v="-123.21044551999999"/>
    <s v="WEST FORK RUSSIAN RIVER"/>
  </r>
  <r>
    <s v="S014057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.4"/>
    <n v="0.2"/>
    <n v="2.33"/>
    <n v="2.73"/>
    <n v="3.36"/>
    <n v="1.46"/>
    <n v="1.63"/>
    <n v="0.06"/>
    <n v="0"/>
    <n v="12.17"/>
    <n v="10.1"/>
    <n v="3.3500549501884642E-2"/>
    <n v="7.8423860395243385E-3"/>
    <n v="1555.6489999999999"/>
    <s v="Acre-feet"/>
    <n v="0"/>
    <s v="Acre-feet per Year"/>
    <s v="U_10"/>
    <n v="0"/>
    <n v="38.699239089999999"/>
    <n v="-122.86483416"/>
    <s v="RUSSIAN RIVER UNDERFLOW"/>
  </r>
  <r>
    <s v="S022463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6.5000000000000002E-2"/>
    <n v="0"/>
    <n v="0"/>
    <n v="0.32200000000000001"/>
    <n v="1.22"/>
    <n v="2.19"/>
    <n v="1.68"/>
    <n v="0.26700000000000002"/>
    <n v="7.5999999999999998E-2"/>
    <n v="0"/>
    <n v="0"/>
    <n v="5.8199999999999994"/>
    <n v="5.6790000000000003"/>
    <n v="1.8836596101109198E-2"/>
    <n v="0.4228544857450085"/>
    <n v="13.7636"/>
    <s v="Acre-feet"/>
    <n v="0"/>
    <s v="Acre-feet per Year"/>
    <s v="L_16"/>
    <n v="0"/>
    <n v="38.627099999999999"/>
    <n v="-122.8995"/>
    <s v="DRY CREEK UNDERFLOW"/>
  </r>
  <r>
    <s v="S014059"/>
    <n v="10000000"/>
    <n v="14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6.6666666999999999E-2"/>
    <n v="0.16666666699999999"/>
    <n v="0.1"/>
    <n v="0.83333333300000001"/>
    <n v="2.0333333329999999"/>
    <n v="2.266666667"/>
    <n v="0.53333333299999997"/>
    <n v="0.6"/>
    <n v="0"/>
    <n v="0"/>
    <n v="6.6"/>
    <n v="5.7666666659999999"/>
    <n v="1.9127376446059514E-2"/>
    <n v="3.9136548127992167E-3"/>
    <n v="1686.4032"/>
    <s v="Acre-feet"/>
    <n v="0"/>
    <s v="Acre-feet per Year"/>
    <s v="L_14"/>
    <n v="0"/>
    <n v="38.707826670000003"/>
    <n v="-122.97673664"/>
    <s v="DRY CREEK"/>
  </r>
  <r>
    <s v="S014060"/>
    <n v="10000000"/>
    <n v="13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686.4032"/>
    <s v="Acre-feet"/>
    <n v="0"/>
    <s v="Acre-feet per Year"/>
    <s v="L_13"/>
    <n v="0"/>
    <n v="38.595324179999999"/>
    <n v="-122.86182506"/>
    <s v="RUSSIAN RIVER UNDERFLOW"/>
  </r>
  <r>
    <s v="S014061"/>
    <n v="10000000"/>
    <n v="13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"/>
    <n v="0"/>
    <n v="0"/>
    <n v="0"/>
    <n v="2.46"/>
    <n v="2.63"/>
    <n v="1.1299999999999999"/>
    <n v="2.46"/>
    <n v="0.46"/>
    <n v="0"/>
    <n v="0"/>
    <n v="9.14"/>
    <n v="8.6999999999999993"/>
    <n v="2.8856908976870928E-2"/>
    <n v="5.4356316846410156E-3"/>
    <n v="1686.4032"/>
    <s v="Acre-feet"/>
    <n v="0"/>
    <s v="Acre-feet per Year"/>
    <s v="L_13"/>
    <n v="0"/>
    <n v="38.595324179999999"/>
    <n v="-122.86182506"/>
    <s v="RUSSIAN RIVER SUBTERRANEAN FLOW"/>
  </r>
  <r>
    <s v="S014062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839.32"/>
    <s v="Acre-feet"/>
    <n v="0"/>
    <s v="Acre-feet per Year"/>
    <s v="U_10"/>
    <n v="0"/>
    <n v="38.713305200000001"/>
    <n v="-122.89304413000001"/>
    <s v="RUSSIAN RIVER UNDERFLOW"/>
  </r>
  <r>
    <s v="S014063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0"/>
    <s v="N"/>
    <n v="0"/>
    <n v="0"/>
    <n v="8.3333300000000001E-4"/>
    <n v="0"/>
    <n v="0"/>
    <n v="0"/>
    <n v="0"/>
    <n v="0"/>
    <n v="0"/>
    <n v="0"/>
    <n v="0"/>
    <n v="4.0000000000000002E-4"/>
    <n v="1.2333330000000001E-3"/>
    <n v="0"/>
    <n v="0"/>
    <n v="3.2123735453153162E-7"/>
    <n v="3839.32"/>
    <s v="Acre-feet"/>
    <n v="0"/>
    <s v="Acre-feet per Year"/>
    <s v="U_10"/>
    <n v="0"/>
    <n v="38.71167655"/>
    <n v="-122.89057034"/>
    <s v="RUSSIAN RIVER UNDERFLOW"/>
  </r>
  <r>
    <s v="S014064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839.32"/>
    <s v="Acre-feet"/>
    <n v="0"/>
    <s v="Acre-feet per Year"/>
    <s v="U_10"/>
    <n v="0"/>
    <n v="38.710446320000003"/>
    <n v="-122.889854"/>
    <s v="RUSSIAN RIVER UNDERFLOW"/>
  </r>
  <r>
    <s v="S014065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839.32"/>
    <s v="Acre-feet"/>
    <n v="0"/>
    <s v="Acre-feet per Year"/>
    <s v="U_10"/>
    <n v="0"/>
    <n v="38.709357390000001"/>
    <n v="-122.88861375"/>
    <s v="RUSSIAN RIVER UNDERFLOW"/>
  </r>
  <r>
    <s v="S014066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.02"/>
    <n v="0.01"/>
    <n v="0.02"/>
    <n v="0.02"/>
    <n v="0.02"/>
    <n v="0.02"/>
    <n v="0.02"/>
    <n v="0.02"/>
    <n v="0.02"/>
    <n v="0.02"/>
    <n v="0.02"/>
    <n v="0.02"/>
    <n v="0.22999999999999995"/>
    <n v="0.10300000000000001"/>
    <n v="3.4163926719743749E-4"/>
    <n v="6.4073846410301813E-5"/>
    <n v="3839.32"/>
    <s v="Acre-feet"/>
    <n v="0"/>
    <s v="Acre-feet per Year"/>
    <s v="U_10"/>
    <n v="0"/>
    <n v="38.712926889999999"/>
    <n v="-122.88865828"/>
    <s v="RUSSIAN RIVER UNDERFLOW"/>
  </r>
  <r>
    <s v="S014070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15.733333330000001"/>
    <n v="0.76666666699999997"/>
    <n v="0"/>
    <n v="1.1666666670000001"/>
    <n v="5.233333333"/>
    <n v="9.4666666670000001"/>
    <n v="17.733333330000001"/>
    <n v="11.3"/>
    <n v="1"/>
    <n v="0"/>
    <n v="0"/>
    <n v="62.399999993999998"/>
    <n v="44.899999996999995"/>
    <n v="0.14892818539941768"/>
    <n v="7.3655625476725411E-2"/>
    <n v="847.18579999999997"/>
    <s v="Acre-feet"/>
    <n v="0"/>
    <s v="Acre-feet per Year"/>
    <s v="L_23"/>
    <n v="0"/>
    <n v="38.519080580000001"/>
    <n v="-122.82979619"/>
    <s v="WINDSOR CREEK UNDERFLOW"/>
  </r>
  <r>
    <s v="S014071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.1"/>
    <n v="0.46"/>
    <n v="0.06"/>
    <n v="0"/>
    <n v="0.33"/>
    <n v="1.03"/>
    <n v="0.1"/>
    <n v="0.16"/>
    <n v="3.7"/>
    <n v="1.53"/>
    <n v="0.76"/>
    <n v="0"/>
    <n v="8.23"/>
    <n v="5.3333333333333304"/>
    <n v="1.7690059142909369E-2"/>
    <n v="9.3157086136497601E-3"/>
    <n v="887.39"/>
    <s v="Acre-feet"/>
    <n v="0"/>
    <s v="Acre-feet per Year"/>
    <s v="U_9"/>
    <n v="0"/>
    <n v="38.716367980000001"/>
    <n v="-122.90535022"/>
    <s v="RUSSIAN RIVER UNDERFLOW"/>
  </r>
  <r>
    <s v="S014072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0"/>
    <s v="N"/>
    <n v="0"/>
    <n v="0.16"/>
    <n v="0"/>
    <n v="0"/>
    <n v="0"/>
    <n v="0"/>
    <n v="0"/>
    <n v="0"/>
    <n v="0"/>
    <n v="0"/>
    <n v="0.56000000000000005"/>
    <n v="0.8"/>
    <n v="1.52"/>
    <n v="0"/>
    <n v="0"/>
    <n v="1.7279136944672964E-3"/>
    <n v="887.39"/>
    <s v="Acre-feet"/>
    <n v="0"/>
    <s v="Acre-feet per Year"/>
    <s v="U_9"/>
    <n v="0"/>
    <n v="38.715404229999997"/>
    <n v="-122.90568847999999"/>
    <s v="RUSSIAN RIVER UNDERFLOW"/>
  </r>
  <r>
    <s v="S014073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.46"/>
    <n v="0"/>
    <n v="0.03"/>
    <n v="0.73"/>
    <n v="1.1299999999999999"/>
    <n v="2.8"/>
    <n v="2.2000000000000002"/>
    <n v="2.1"/>
    <n v="1.1000000000000001"/>
    <n v="1.3"/>
    <n v="0"/>
    <n v="11.85"/>
    <n v="8.9666666666666632"/>
    <n v="2.9741411934016384E-2"/>
    <n v="7.3525013870617767E-3"/>
    <n v="1613.9631999999999"/>
    <s v="Acre-feet"/>
    <n v="0"/>
    <s v="Acre-feet per Year"/>
    <s v="U_9"/>
    <n v="0"/>
    <n v="38.715173190000002"/>
    <n v="-122.90007754"/>
    <s v="RUSSIAN RIVER UNDERFLOW"/>
  </r>
  <r>
    <s v="S014074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.17"/>
    <n v="0.06"/>
    <n v="3.3333333333333301E-3"/>
    <n v="7.0000000000000007E-2"/>
    <n v="0.53"/>
    <n v="0.86"/>
    <n v="0.86"/>
    <n v="0.8"/>
    <n v="0.95"/>
    <n v="0.36"/>
    <n v="0"/>
    <n v="4.663333333333334"/>
    <n v="3.1366666666666676"/>
    <n v="1.0403966033423584E-2"/>
    <n v="1.1664867369136219E-2"/>
    <n v="403.49079999999998"/>
    <s v="Acre-feet"/>
    <n v="0"/>
    <s v="Acre-feet per Year"/>
    <s v="U_9"/>
    <n v="0"/>
    <n v="38.79283925"/>
    <n v="-123.0061492"/>
    <s v="RUSSIAN RIVER UNDERFLOW"/>
  </r>
  <r>
    <s v="S014075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6.6666670000000003E-3"/>
    <n v="1.74"/>
    <n v="1.4666666669999999"/>
    <n v="6.6666666999999999E-2"/>
    <n v="0.42"/>
    <n v="6.8966666669999999"/>
    <n v="11.29"/>
    <n v="15.91333333"/>
    <n v="4.7566666670000002"/>
    <n v="1.046666667"/>
    <n v="0.3"/>
    <n v="0.01"/>
    <n v="43.913333331999986"/>
    <n v="39.276666663999997"/>
    <n v="0.13027622929171825"/>
    <n v="0.1088335430002369"/>
    <n v="403.49079999999998"/>
    <s v="Acre-feet"/>
    <n v="0"/>
    <s v="Acre-feet per Year"/>
    <s v="L_24"/>
    <n v="0"/>
    <n v="38.500831640000001"/>
    <n v="-122.78869879"/>
    <s v="MARK WEST CREEK UNDERFLOW"/>
  </r>
  <r>
    <s v="S014076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968.16060000000004"/>
    <s v="Acre-feet"/>
    <n v="0"/>
    <s v="Acre-feet per Year"/>
    <s v="L_24"/>
    <n v="0"/>
    <n v="38.503577450000002"/>
    <n v="-122.78872911000001"/>
    <s v="MARK WEST CREEK"/>
  </r>
  <r>
    <s v="S014077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0"/>
    <s v="N"/>
    <n v="0"/>
    <n v="0.03"/>
    <n v="0.9"/>
    <n v="0"/>
    <n v="0"/>
    <n v="0"/>
    <n v="0"/>
    <n v="0"/>
    <n v="0"/>
    <n v="1.63"/>
    <n v="0.73"/>
    <n v="0"/>
    <n v="3.29"/>
    <n v="0"/>
    <n v="0"/>
    <n v="1.635725027683405E-3"/>
    <n v="2017.454"/>
    <s v="Acre-feet"/>
    <n v="0"/>
    <s v="Acre-feet per Year"/>
    <s v="U_9"/>
    <n v="0"/>
    <n v="38.809457760000001"/>
    <n v="-123.00550663"/>
    <s v="RUSSIAN RIVER UNDERFLOW"/>
  </r>
  <r>
    <s v="S014078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0"/>
    <s v="N"/>
    <n v="0"/>
    <n v="0.33"/>
    <n v="1.26"/>
    <n v="0.4"/>
    <n v="0"/>
    <n v="0"/>
    <n v="0"/>
    <n v="0"/>
    <n v="0"/>
    <n v="0.2"/>
    <n v="0.5"/>
    <n v="0"/>
    <n v="2.6900000000000004"/>
    <n v="0"/>
    <n v="0"/>
    <n v="2.6814550568269877E-3"/>
    <n v="1006.9160000000001"/>
    <s v="Acre-feet"/>
    <n v="0"/>
    <s v="Acre-feet per Year"/>
    <s v="U_9"/>
    <n v="0"/>
    <n v="38.813046739999997"/>
    <n v="-123.00327591999999"/>
    <s v="RUSSIAN RIVER UNDERFLOW"/>
  </r>
  <r>
    <s v="S014079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.33"/>
    <n v="1.26"/>
    <n v="0.73"/>
    <n v="0"/>
    <n v="3.03"/>
    <n v="3.8"/>
    <n v="6.2"/>
    <n v="3.33"/>
    <n v="0.36"/>
    <n v="0"/>
    <n v="0"/>
    <n v="19.04"/>
    <n v="16.36666666666666"/>
    <n v="5.4286368994803144E-2"/>
    <n v="2.3712282133044136E-2"/>
    <n v="804.08399999999995"/>
    <s v="Acre-feet"/>
    <n v="0"/>
    <s v="Acre-feet per Year"/>
    <s v="U_9"/>
    <n v="0"/>
    <n v="38.813046739999997"/>
    <n v="-123.00327591999999"/>
    <s v="RUSSIAN RIVER UNDERFLOW"/>
  </r>
  <r>
    <s v="S014080"/>
    <n v="10000000"/>
    <n v="18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"/>
    <n v="0"/>
    <n v="0.133333333"/>
    <n v="0"/>
    <n v="0.133333333"/>
    <n v="0.16666666699999999"/>
    <n v="0"/>
    <n v="0"/>
    <n v="0.16666666699999999"/>
    <n v="0.3"/>
    <n v="0"/>
    <n v="0.89999999999999991"/>
    <n v="0.3"/>
    <n v="9.9506582678865279E-4"/>
    <n v="5.3094338019793561E-4"/>
    <n v="1695.096"/>
    <s v="Acre-feet"/>
    <n v="0"/>
    <s v="Acre-feet per Year"/>
    <s v="L_18"/>
    <n v="0"/>
    <n v="38.503543229999998"/>
    <n v="-122.90614819"/>
    <s v="RUSSIAN RIVER UNDERFLOW"/>
  </r>
  <r>
    <s v="S014081"/>
    <n v="10000000"/>
    <n v="18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"/>
    <n v="0"/>
    <n v="0.133333333"/>
    <n v="0"/>
    <n v="0.133333333"/>
    <n v="0.16666666699999999"/>
    <n v="0"/>
    <n v="0"/>
    <n v="0.16666666699999999"/>
    <n v="0.3"/>
    <n v="0"/>
    <n v="0.89999999999999991"/>
    <n v="0.3"/>
    <n v="9.9506582678865279E-4"/>
    <n v="2.2385720894831881E-3"/>
    <n v="402.04199999999997"/>
    <s v="Acre-feet"/>
    <n v="0"/>
    <s v="Acre-feet per Year"/>
    <s v="L_18"/>
    <n v="0"/>
    <n v="38.50951396"/>
    <n v="-122.91513601"/>
    <s v="RUSSIAN RIVER UNDERFLOW"/>
  </r>
  <r>
    <s v="S014082"/>
    <n v="10000000"/>
    <n v="18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209.748"/>
    <s v="Acre-feet"/>
    <n v="0"/>
    <s v="Acre-feet per Year"/>
    <s v="L_18"/>
    <n v="0"/>
    <n v="38.504221479999998"/>
    <n v="-122.90720519"/>
    <s v="RUSSIAN RIVER UNDERFLOW"/>
  </r>
  <r>
    <s v="S014083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3.2"/>
    <n v="2.1"/>
    <n v="6.6666666999999999E-2"/>
    <n v="0.16666666699999999"/>
    <n v="1.066666667"/>
    <n v="1.4666666669999999"/>
    <n v="5.266666667"/>
    <n v="1.4666666669999999"/>
    <n v="0"/>
    <n v="0.76666666699999997"/>
    <n v="0"/>
    <n v="15.566666669"/>
    <n v="9.4333333350000004"/>
    <n v="3.1289292114549117E-2"/>
    <n v="5.8473601118636297E-3"/>
    <n v="2662.17"/>
    <s v="Acre-feet"/>
    <n v="0"/>
    <s v="Acre-feet per Year"/>
    <s v="L_17"/>
    <n v="0"/>
    <n v="38.560247760000003"/>
    <n v="-122.85195861"/>
    <s v="RUSSIAN RIVER UNDERFLOW"/>
  </r>
  <r>
    <s v="S014084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8.4666666670000001"/>
    <n v="2.6666666669999999"/>
    <n v="6.6666666999999999E-2"/>
    <n v="0.56666666700000001"/>
    <n v="2.233333333"/>
    <n v="6.2"/>
    <n v="6.1333333330000004"/>
    <n v="2.8666666670000001"/>
    <n v="0.3"/>
    <n v="0.4"/>
    <n v="0"/>
    <n v="29.900000000999999"/>
    <n v="18"/>
    <n v="5.9703949607319159E-2"/>
    <n v="7.7150539024239198E-3"/>
    <n v="3875.54"/>
    <s v="Acre-feet"/>
    <n v="0"/>
    <s v="Acre-feet per Year"/>
    <s v="L_17"/>
    <n v="0"/>
    <n v="38.560229759999999"/>
    <n v="-122.85440656999999"/>
    <s v="RUSSIAN RIVER UNDERFLOW"/>
  </r>
  <r>
    <s v="S014085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.233333333"/>
    <n v="1.6333333329999999"/>
    <n v="0.366666667"/>
    <n v="0.66666666699999999"/>
    <n v="1.4"/>
    <n v="2.3333333330000001"/>
    <n v="1.8"/>
    <n v="0.96666666700000003"/>
    <n v="0.53333333299999997"/>
    <n v="1.1000000000000001"/>
    <n v="0.1"/>
    <n v="11.133333332999999"/>
    <n v="7.1666666670000003"/>
    <n v="2.3771016974390109E-2"/>
    <n v="7.6845205225013801E-3"/>
    <n v="1448.8"/>
    <s v="Acre-feet"/>
    <n v="0"/>
    <s v="Acre-feet per Year"/>
    <s v="L_17"/>
    <n v="0"/>
    <n v="38.556649919999998"/>
    <n v="-122.85576261999999"/>
    <s v="RUSSIAN RIVER UNDERFLOW"/>
  </r>
  <r>
    <s v="S014086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.03"/>
    <n v="1.56"/>
    <n v="4.9000000000000004"/>
    <n v="1.03"/>
    <n v="4.13"/>
    <n v="15.23"/>
    <n v="21.26"/>
    <n v="23.43"/>
    <n v="15.86"/>
    <n v="3.9"/>
    <n v="2.8"/>
    <n v="0.23"/>
    <n v="94.36"/>
    <n v="79.933333333333337"/>
    <n v="0.26512976140435435"/>
    <n v="5.7155589138500586E-2"/>
    <n v="1651.6320000000001"/>
    <s v="Acre-feet"/>
    <n v="0"/>
    <s v="Acre-feet per Year"/>
    <s v="U_10"/>
    <n v="0"/>
    <n v="38.678505850000001"/>
    <n v="-122.86493288"/>
    <s v="RUSSIAN RIVER UNDERFLOW"/>
  </r>
  <r>
    <s v="S014087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481.726"/>
    <s v="Acre-feet"/>
    <n v="0"/>
    <s v="Acre-feet per Year"/>
    <s v="U_10"/>
    <n v="0"/>
    <n v="38.679352999999999"/>
    <n v="-122.86179026000001"/>
    <s v="RUSSIAN RIVER UNDERFLOW"/>
  </r>
  <r>
    <s v="S014088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3.06"/>
    <n v="0.2"/>
    <n v="1.9"/>
    <n v="2.23"/>
    <n v="0.73"/>
    <n v="0.5"/>
    <n v="0.8"/>
    <n v="2.56"/>
    <n v="0.73"/>
    <n v="1.96"/>
    <n v="0"/>
    <n v="14.670000000000002"/>
    <n v="6.833333333333333"/>
    <n v="2.2665388276852647E-2"/>
    <n v="3.6563344128225424E-3"/>
    <n v="4020.42"/>
    <s v="Acre-feet"/>
    <n v="0"/>
    <s v="Acre-feet per Year"/>
    <s v="U_10"/>
    <n v="0"/>
    <n v="38.662538499999997"/>
    <n v="-122.8328673"/>
    <s v="RUSSIAN RIVER UNDERFLOW"/>
  </r>
  <r>
    <s v="S014089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.23"/>
    <n v="0.93"/>
    <n v="0.4"/>
    <n v="0.6"/>
    <n v="3.5"/>
    <n v="6.73"/>
    <n v="6.16"/>
    <n v="3.16"/>
    <n v="1.1000000000000001"/>
    <n v="0.9"/>
    <n v="0"/>
    <n v="23.71"/>
    <n v="20.166666666666671"/>
    <n v="6.6890536134126113E-2"/>
    <n v="1.0706779797629832E-2"/>
    <n v="2216.6640000000002"/>
    <s v="Acre-feet"/>
    <n v="0"/>
    <s v="Acre-feet per Year"/>
    <s v="U_10"/>
    <n v="0"/>
    <n v="38.681917009999999"/>
    <n v="-122.8492092"/>
    <s v="RUSSIAN RIVER UNDERFLOW"/>
  </r>
  <r>
    <s v="S014090"/>
    <n v="10000000"/>
    <n v="18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"/>
    <n v="0.83333333300000001"/>
    <n v="1.7"/>
    <n v="3.0333333329999999"/>
    <n v="3.4333333330000002"/>
    <n v="4.4666666670000001"/>
    <n v="3.1"/>
    <n v="1.4666666669999999"/>
    <n v="2.1333333329999999"/>
    <n v="1.3666666670000001"/>
    <n v="0"/>
    <n v="21.533333332999998"/>
    <n v="15.5"/>
    <n v="5.1411734384080386E-2"/>
    <n v="8.0886394681782148E-3"/>
    <n v="2662.17"/>
    <s v="Acre-feet"/>
    <n v="0"/>
    <s v="Acre-feet per Year"/>
    <s v="L_18"/>
    <n v="0"/>
    <n v="38.519013299999997"/>
    <n v="-122.87628401000001"/>
    <s v="RUSSIAN RIVER UNDERFLOW"/>
  </r>
  <r>
    <s v="S014091"/>
    <n v="10000000"/>
    <n v="18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.16666666699999999"/>
    <n v="0.33333333300000001"/>
    <n v="0"/>
    <n v="0.1"/>
    <n v="0"/>
    <n v="0"/>
    <n v="0"/>
    <n v="0"/>
    <n v="3.3333333E-2"/>
    <n v="0.16666666699999999"/>
    <n v="0"/>
    <n v="0.79999999999999993"/>
    <n v="0.1"/>
    <n v="3.3168860892955089E-4"/>
    <n v="7.6162912469772827E-4"/>
    <n v="1050.3800000000001"/>
    <s v="Acre-feet"/>
    <n v="0"/>
    <s v="Acre-feet per Year"/>
    <s v="L_18"/>
    <n v="0"/>
    <n v="38.51816178"/>
    <n v="-122.87994368"/>
    <s v="RUSSIAN RIVER UNDERFLOW"/>
  </r>
  <r>
    <s v="S014092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.16"/>
    <n v="1.86"/>
    <n v="1.1299999999999999"/>
    <n v="1.63"/>
    <n v="5.0999999999999996"/>
    <n v="7.53"/>
    <n v="9.66"/>
    <n v="5.13"/>
    <n v="0.76"/>
    <n v="0"/>
    <n v="0"/>
    <n v="32.96"/>
    <n v="29.066666666666659"/>
    <n v="9.6410822328856102E-2"/>
    <n v="7.4680232821283402E-2"/>
    <n v="441.88400000000001"/>
    <s v="Acre-feet"/>
    <n v="0"/>
    <s v="Acre-feet per Year"/>
    <s v="U_10"/>
    <n v="0"/>
    <n v="38.685079020000003"/>
    <n v="-122.82962728"/>
    <s v="RUSSIAN RIVER UNDERFLOW"/>
  </r>
  <r>
    <s v="S014094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.06"/>
    <n v="0.6"/>
    <n v="0.23"/>
    <n v="1.5"/>
    <n v="1.7"/>
    <n v="5.23"/>
    <n v="10.6"/>
    <n v="4.2300000000000004"/>
    <n v="1.36"/>
    <n v="0.46"/>
    <n v="0"/>
    <n v="25.970000000000002"/>
    <n v="23.266666666666662"/>
    <n v="7.7172883010942162E-2"/>
    <n v="2.6885222847475996E-2"/>
    <n v="967.07399999999996"/>
    <s v="Acre-feet"/>
    <n v="0"/>
    <s v="Acre-feet per Year"/>
    <s v="U_10"/>
    <n v="0"/>
    <n v="38.663429610000001"/>
    <n v="-122.82342113999999"/>
    <s v="RUSSIAN RIVER UNDERFLOW"/>
  </r>
  <r>
    <s v="S014095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2.8000000000000007"/>
    <n v="9.287281050027428E-3"/>
    <n v="2.8105026832034447E-3"/>
    <n v="2419.4960000000001"/>
    <s v="Acre-feet"/>
    <n v="0"/>
    <s v="Acre-feet per Year"/>
    <s v="U_10"/>
    <n v="0"/>
    <n v="38.693280710000003"/>
    <n v="-122.87212006"/>
    <s v="RUSSIAN RIVER UNDERFLOW"/>
  </r>
  <r>
    <s v="S014096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448.8"/>
    <s v="Acre-feet"/>
    <n v="0"/>
    <s v="Acre-feet per Year"/>
    <s v="L_24"/>
    <n v="0"/>
    <n v="38.493589700000001"/>
    <n v="-122.87929176"/>
    <s v="MARK WEST CREEK"/>
  </r>
  <r>
    <s v="S014097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369.116"/>
    <s v="Acre-feet"/>
    <n v="0"/>
    <s v="Acre-feet per Year"/>
    <s v="L_24"/>
    <n v="0"/>
    <n v="38.49417716"/>
    <n v="-122.87423242"/>
    <s v="MARK WEST CREEK"/>
  </r>
  <r>
    <s v="S014200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0"/>
    <s v="N"/>
    <n v="6.48"/>
    <n v="3.91"/>
    <n v="2.3199999999999998"/>
    <n v="0"/>
    <n v="0"/>
    <n v="0"/>
    <n v="0"/>
    <n v="0"/>
    <n v="0"/>
    <n v="0"/>
    <n v="0"/>
    <n v="0"/>
    <n v="12.71"/>
    <n v="0"/>
    <n v="0"/>
    <n v="0.29291326154978831"/>
    <n v="43.463999999999999"/>
    <s v="Acre-feet"/>
    <n v="0"/>
    <s v="Acre-feet per Year"/>
    <s v="U_9"/>
    <n v="0"/>
    <n v="38.740246689999999"/>
    <n v="-122.94818447999999"/>
    <s v="UNST"/>
  </r>
  <r>
    <s v="S014205"/>
    <n v="10000000"/>
    <n v="13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7.67E-4"/>
    <n v="7.67E-4"/>
    <n v="7.67E-4"/>
    <n v="7.67E-4"/>
    <n v="1.0740000000000001E-3"/>
    <n v="1.0740000000000001E-3"/>
    <n v="1.0740000000000001E-3"/>
    <n v="1.0740000000000001E-3"/>
    <n v="1.0740000000000001E-3"/>
    <n v="1.0740000000000001E-3"/>
    <n v="7.67E-4"/>
    <n v="7.67E-4"/>
    <n v="1.1046000000000002E-2"/>
    <n v="5.3700000000000006E-3"/>
    <n v="1.7811678299516885E-5"/>
    <n v="8.7666666666666684E-2"/>
    <n v="0.126"/>
    <s v="Acre-feet"/>
    <n v="0"/>
    <s v="Acre-feet per Year"/>
    <s v="U_13"/>
    <n v="3.4039024194010059E-4"/>
    <n v="38.612985690000002"/>
    <n v="-122.83106368999999"/>
    <s v="RUSSIAN RIVER"/>
  </r>
  <r>
    <s v="S014230"/>
    <n v="10000000"/>
    <n v="10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"/>
    <n v="0"/>
    <n v="3.34"/>
    <n v="3.34"/>
    <n v="3.34"/>
    <n v="3.34"/>
    <n v="3.34"/>
    <n v="3.34"/>
    <n v="3.34"/>
    <n v="0"/>
    <n v="0"/>
    <n v="23.38"/>
    <n v="16.721666665000001"/>
    <n v="5.5463863550974928E-2"/>
    <n v="1.6721666665000003"/>
    <n v="14"/>
    <s v="Acre-feet"/>
    <n v="0"/>
    <s v="Acre-feet per Year"/>
    <s v="U_10"/>
    <n v="3.4039024194010059E-4"/>
    <n v="38.701046939999998"/>
    <n v="-122.82385597"/>
    <s v="UNST"/>
  </r>
  <r>
    <s v="S014231"/>
    <n v="10000000"/>
    <n v="10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"/>
    <n v="0"/>
    <n v="4"/>
    <n v="4"/>
    <n v="4"/>
    <n v="4"/>
    <n v="4"/>
    <n v="4"/>
    <n v="4"/>
    <n v="0"/>
    <n v="0"/>
    <n v="28"/>
    <n v="20"/>
    <n v="6.6337721785910173E-2"/>
    <n v="0.69644465006143641"/>
    <n v="40.2042"/>
    <s v="Acre-feet"/>
    <n v="0"/>
    <s v="Acre-feet per Year"/>
    <s v="U_10"/>
    <n v="0"/>
    <n v="38.699791449999999"/>
    <n v="-122.82664482"/>
    <s v="UNST"/>
  </r>
  <r>
    <s v="S014292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.03"/>
    <n v="0.03"/>
    <n v="0.06"/>
    <n v="0.13"/>
    <n v="0.13"/>
    <n v="0.13"/>
    <n v="0.13"/>
    <n v="0.13"/>
    <n v="0.13"/>
    <n v="0.06"/>
    <n v="0.03"/>
    <n v="0.03"/>
    <n v="1.02"/>
    <n v="0.67761000000000005"/>
    <n v="2.2475551829675301E-3"/>
    <n v="7.4502047694643844E-2"/>
    <n v="14.488"/>
    <s v="Acre-feet"/>
    <n v="0"/>
    <s v="Acre-feet per Year"/>
    <s v="U_1"/>
    <n v="3.4039024194010059E-4"/>
    <n v="39.253326020000003"/>
    <n v="-123.3113101"/>
    <s v="UNST"/>
  </r>
  <r>
    <s v="S014293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.06"/>
    <n v="0.06"/>
    <n v="0.06"/>
    <n v="7.0000000000000007E-2"/>
    <n v="7.0000000000000007E-2"/>
    <n v="7.0000000000000007E-2"/>
    <n v="0.04"/>
    <n v="0.04"/>
    <n v="0.04"/>
    <n v="0.04"/>
    <n v="0.04"/>
    <n v="0.06"/>
    <n v="0.65000000000000013"/>
    <n v="0.291543"/>
    <n v="9.6701492113148053E-4"/>
    <n v="4.8718870789619E-2"/>
    <n v="14.488"/>
    <s v="Acre-feet"/>
    <n v="0"/>
    <s v="Acre-feet per Year"/>
    <s v="U_1"/>
    <n v="3.4039024194010059E-4"/>
    <n v="39.253326020000003"/>
    <n v="-123.3113101"/>
    <s v="UNST"/>
  </r>
  <r>
    <s v="S014322"/>
    <n v="10000000"/>
    <n v="4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08"/>
    <s v="Acre-feet"/>
    <n v="0"/>
    <s v="Acre-feet per Year"/>
    <s v="U_4"/>
    <n v="0"/>
    <n v="39.179444029999999"/>
    <n v="-123.19757102"/>
    <s v="RUSSIAN RIVER"/>
  </r>
  <r>
    <s v="S026633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0"/>
    <s v="N"/>
    <n v="0"/>
    <n v="0"/>
    <n v="0.73"/>
    <n v="0.73"/>
    <n v="0"/>
    <n v="0"/>
    <n v="0"/>
    <n v="0"/>
    <n v="0"/>
    <n v="7.6666670000000003E-3"/>
    <n v="0"/>
    <n v="0"/>
    <n v="1.467666667"/>
    <n v="0"/>
    <n v="0"/>
    <n v="546.96444481481478"/>
    <n v="2.7000000000000001E-3"/>
    <s v="Acre-feet"/>
    <n v="0"/>
    <s v="Acre-feet per Year"/>
    <s v="U_2"/>
    <n v="3.4039024194010059E-4"/>
    <n v="39.307949000000001"/>
    <n v="-123.09672399999999"/>
    <s v="EEL RIVER"/>
  </r>
  <r>
    <s v="S014392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8.07"/>
    <n v="0"/>
    <n v="0"/>
    <n v="9.35"/>
    <n v="9.35"/>
    <n v="9.35"/>
    <n v="9.35"/>
    <n v="17.68"/>
    <n v="0"/>
    <n v="0"/>
    <n v="63.150000000000006"/>
    <n v="37.41333333333332"/>
    <n v="0.12409576488750926"/>
    <n v="2.6028059591605746E-2"/>
    <n v="2426.7399999999998"/>
    <s v="Acre-feet"/>
    <n v="0"/>
    <s v="Acre-feet per Year"/>
    <s v="U_10"/>
    <n v="0"/>
    <n v="38.702439509999998"/>
    <n v="-122.87748872"/>
    <s v="RUSSIAN RIVER"/>
  </r>
  <r>
    <s v="S014393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2"/>
    <n v="0"/>
    <n v="0"/>
    <n v="0"/>
    <n v="6.11"/>
    <n v="6.11"/>
    <n v="6.11"/>
    <n v="6.11"/>
    <n v="2"/>
    <n v="0"/>
    <n v="0"/>
    <n v="28.439999999999998"/>
    <n v="24.466666666666679"/>
    <n v="8.1153146318096836E-2"/>
    <n v="2.9115623998745666E-2"/>
    <n v="977.94"/>
    <s v="Acre-feet"/>
    <n v="0"/>
    <s v="Acre-feet per Year"/>
    <s v="U_10"/>
    <n v="0"/>
    <n v="38.691207730000002"/>
    <n v="-122.85545159"/>
    <s v="RUSSIAN RIVER"/>
  </r>
  <r>
    <s v="S014479"/>
    <n v="10000000"/>
    <n v="21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1.38E-2"/>
    <n v="1.38E-2"/>
    <n v="1.38E-2"/>
    <n v="1.38E-2"/>
    <n v="1.38E-2"/>
    <n v="1.38E-2"/>
    <n v="4.5999999999999999E-2"/>
    <n v="4.5999999999999999E-2"/>
    <n v="4.5999999999999999E-2"/>
    <n v="4.5999999999999999E-2"/>
    <n v="4.5999999999999999E-2"/>
    <n v="4.5999999999999999E-2"/>
    <n v="0.35879999999999995"/>
    <n v="0.1656"/>
    <n v="5.492763363873363E-4"/>
    <n v="1.1244124099028516"/>
    <n v="0.31909999999999999"/>
    <s v="Acre-feet"/>
    <n v="0"/>
    <s v="Acre-feet per Year"/>
    <s v="L_21"/>
    <n v="3.4039024194010059E-4"/>
    <n v="38.44636363"/>
    <n v="-122.98119783999999"/>
    <s v="UNST"/>
  </r>
  <r>
    <s v="S014554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6.8999999999999997E-4"/>
    <n v="6.8999999999999997E-4"/>
    <n v="6.8999999999999997E-4"/>
    <n v="6.8999999999999997E-4"/>
    <n v="1.6100000000000001E-3"/>
    <n v="3.8344999999999998E-3"/>
    <n v="3.8344999999999998E-3"/>
    <n v="3.8344999999999998E-3"/>
    <n v="3.8344999999999998E-3"/>
    <n v="1.9599999999999999E-3"/>
    <n v="6.8999999999999997E-4"/>
    <n v="6.8999999999999997E-4"/>
    <n v="2.3047999999999999E-2"/>
    <n v="1.6947999999999998E-2"/>
    <n v="5.6214585441380278E-5"/>
    <n v="2.85778053316801E-3"/>
    <n v="8.0649999999999995"/>
    <s v="Acre-feet"/>
    <n v="0"/>
    <s v="Acre-feet per Year"/>
    <s v="U_6"/>
    <n v="0"/>
    <n v="38.994282419999998"/>
    <n v="-123.19233602"/>
    <s v="UNST"/>
  </r>
  <r>
    <s v="S014724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847.548"/>
    <s v="Acre-feet"/>
    <n v="0"/>
    <s v="Acre-feet per Year"/>
    <s v="U_4"/>
    <n v="0"/>
    <n v="39.148793750000003"/>
    <n v="-123.14609384000001"/>
    <s v="MCCLURE CREEK"/>
  </r>
  <r>
    <s v="S014749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847.548"/>
    <s v="Acre-feet"/>
    <n v="0"/>
    <s v="Acre-feet per Year"/>
    <s v="U_4"/>
    <n v="0"/>
    <n v="39.145198270000002"/>
    <n v="-123.16260968"/>
    <s v="UNST"/>
  </r>
  <r>
    <s v="S014851"/>
    <n v="10000000"/>
    <n v="12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.06"/>
    <n v="1.03"/>
    <n v="0.63"/>
    <n v="3.3"/>
    <n v="7.56"/>
    <n v="14"/>
    <n v="16.46"/>
    <n v="12.7"/>
    <n v="6.83"/>
    <n v="4.4000000000000004"/>
    <n v="0.23"/>
    <n v="67.2"/>
    <n v="54.033333333333374"/>
    <n v="0.1792224116916008"/>
    <n v="0.42187473855060853"/>
    <n v="159.36799999999999"/>
    <s v="Acre-feet"/>
    <n v="0"/>
    <s v="Acre-feet per Year"/>
    <s v="U_12"/>
    <n v="3.4039024194010059E-4"/>
    <n v="38.627837280000001"/>
    <n v="-122.78835337"/>
    <s v="RUSSIAN RIVER UNDERFLOW"/>
  </r>
  <r>
    <s v="S014861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.66"/>
    <n v="0.66"/>
    <n v="0.66"/>
    <n v="0.66"/>
    <n v="0.66"/>
    <n v="0.66"/>
    <n v="0.53"/>
    <n v="0.53"/>
    <n v="0.53"/>
    <n v="0.53"/>
    <n v="0.53"/>
    <n v="0.53"/>
    <n v="7.1400000000000015"/>
    <n v="2.936925"/>
    <n v="9.7414456778042117E-3"/>
    <n v="0.98282824146121683"/>
    <n v="7.3254000000000001"/>
    <s v="Acre-feet"/>
    <n v="0"/>
    <s v="Acre-feet per Year"/>
    <s v="U_1"/>
    <n v="3.4039024194010059E-4"/>
    <n v="39.339399999999998"/>
    <n v="-123.2349"/>
    <s v="UNSP (AKA SPRING #1)"/>
  </r>
  <r>
    <s v="S014862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.26"/>
    <n v="0.26"/>
    <n v="0.26"/>
    <n v="0.26"/>
    <n v="0.26"/>
    <n v="0.26"/>
    <n v="0.26"/>
    <n v="0.13"/>
    <n v="0.13"/>
    <n v="0.13"/>
    <n v="0.26"/>
    <n v="0.26"/>
    <n v="2.7299999999999995"/>
    <n v="1.060608"/>
    <n v="3.5179159213955314E-3"/>
    <n v="1.0000344827586207"/>
    <n v="2.7839999999999998"/>
    <s v="Acre-feet"/>
    <n v="0"/>
    <s v="Acre-feet per Year"/>
    <s v="U_1"/>
    <n v="3.4039024194010059E-4"/>
    <n v="39.338585610000003"/>
    <n v="-123.23545446"/>
    <s v="UNSP (AKA SPRING #2)"/>
  </r>
  <r>
    <s v="S014863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.26"/>
    <n v="0.26"/>
    <n v="0.26"/>
    <n v="0.26"/>
    <n v="0.26"/>
    <n v="0.13"/>
    <n v="0.13"/>
    <n v="0.13"/>
    <n v="0.13"/>
    <n v="0.13"/>
    <n v="0.13"/>
    <n v="0.17"/>
    <n v="2.2499999999999996"/>
    <n v="0.79545600000000005"/>
    <n v="2.6384369410466487E-3"/>
    <n v="0.82542528735632192"/>
    <n v="2.7839999999999998"/>
    <s v="Acre-feet"/>
    <n v="0"/>
    <s v="Acre-feet per Year"/>
    <s v="U_1"/>
    <n v="3.4039024194010059E-4"/>
    <n v="39.338036549999998"/>
    <n v="-123.23544484"/>
    <s v="UNSP (AKA SPRING #3)"/>
  </r>
  <r>
    <s v="S014864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.66"/>
    <n v="0.66"/>
    <n v="0.66"/>
    <n v="0.66"/>
    <n v="0.53"/>
    <n v="0.53"/>
    <n v="0.53"/>
    <n v="0.53"/>
    <n v="0.53"/>
    <n v="0.53"/>
    <n v="0.53"/>
    <n v="0.53"/>
    <n v="6.8800000000000017"/>
    <n v="2.6515200000000001"/>
    <n v="8.7947898034888283E-3"/>
    <n v="0.94546491853639814"/>
    <n v="7.2915999999999999"/>
    <s v="Acre-feet"/>
    <n v="0"/>
    <s v="Acre-feet per Year"/>
    <s v="U_1"/>
    <n v="3.4039024194010059E-4"/>
    <n v="39.327986289999998"/>
    <n v="-123.23809736"/>
    <s v="UNSP (AKA SPRING #4)"/>
  </r>
  <r>
    <s v="S014865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.66"/>
    <n v="0.66"/>
    <n v="0.66"/>
    <n v="0.66"/>
    <n v="0.53"/>
    <n v="0.53"/>
    <n v="0.53"/>
    <n v="0.53"/>
    <n v="0.53"/>
    <n v="0.53"/>
    <n v="0.53"/>
    <n v="0.53"/>
    <n v="6.8800000000000017"/>
    <n v="2.6515200000000001"/>
    <n v="8.7947898034888283E-3"/>
    <n v="0.92857843269308482"/>
    <n v="7.4241999999999999"/>
    <s v="Acre-feet"/>
    <n v="0"/>
    <s v="Acre-feet per Year"/>
    <s v="U_1"/>
    <n v="3.4039024194010059E-4"/>
    <n v="39.33616198"/>
    <n v="-123.25680456000001"/>
    <s v="UNSP (AKA SPRING #6)"/>
  </r>
  <r>
    <s v="S014866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.26"/>
    <n v="0.26"/>
    <n v="0.26"/>
    <n v="0.26"/>
    <n v="0.13"/>
    <n v="0.13"/>
    <n v="0.13"/>
    <n v="0.13"/>
    <n v="0.13"/>
    <n v="0.13"/>
    <n v="0.13"/>
    <n v="0.13"/>
    <n v="2.0799999999999992"/>
    <n v="0.66288000000000002"/>
    <n v="2.1986974508722071E-3"/>
    <n v="0.80000603432019612"/>
    <n v="2.6515"/>
    <s v="Acre-feet"/>
    <n v="0"/>
    <s v="Acre-feet per Year"/>
    <s v="U_1"/>
    <n v="3.4039024194010059E-4"/>
    <n v="39.336233790000001"/>
    <n v="-123.25008756"/>
    <s v="UNSP(AKA SPRING #5)"/>
  </r>
  <r>
    <s v="S014922"/>
    <n v="10000000"/>
    <n v="13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"/>
    <n v="0"/>
    <n v="0"/>
    <n v="2.5"/>
    <n v="4.3"/>
    <n v="6.8"/>
    <n v="10.3"/>
    <n v="11.1"/>
    <n v="7.9"/>
    <n v="0"/>
    <n v="0"/>
    <n v="42.9"/>
    <n v="35"/>
    <n v="0.11609101312534281"/>
    <n v="6.5801582919197493E-2"/>
    <n v="651.96"/>
    <s v="Acre-feet"/>
    <n v="0"/>
    <s v="Acre-feet per Year"/>
    <s v="L_13"/>
    <n v="0"/>
    <n v="38.589563210000001"/>
    <n v="-122.86105571"/>
    <s v="RUSSIAN RIVER UNDERFLOW"/>
  </r>
  <r>
    <s v="S014923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967.07399999999996"/>
    <s v="Acre-feet"/>
    <n v="0"/>
    <s v="Acre-feet per Year"/>
    <s v="U_10"/>
    <n v="0"/>
    <n v="38.697160179999997"/>
    <n v="-122.867437"/>
    <s v="RUSSIAN RIVER UNDERFLOW"/>
  </r>
  <r>
    <s v="S017038"/>
    <n v="10000000"/>
    <n v="17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3.0789667E-2"/>
    <n v="0.88529533299999996"/>
    <n v="1.5098276669999999"/>
    <n v="1.6341186670000001"/>
    <n v="0.90885099999999996"/>
    <n v="0.32093633300000002"/>
    <n v="7.6666666999999994E-2"/>
    <n v="0"/>
    <n v="5.3664853339999992"/>
    <n v="4.9688823339999999"/>
    <n v="1.64812166929908E-2"/>
    <n v="0.89740557424749146"/>
    <n v="5.98"/>
    <s v="Acre-feet"/>
    <n v="0"/>
    <s v="Acre-feet per Year"/>
    <s v="L_16"/>
    <n v="0"/>
    <n v="38.586399999999998"/>
    <n v="-122.8638"/>
    <s v="DRY CREEK"/>
  </r>
  <r>
    <s v="S019384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.163333333"/>
    <n v="0.163333333"/>
    <n v="0.163333333"/>
    <n v="0.18666666700000001"/>
    <n v="0.21"/>
    <n v="0.926666667"/>
    <n v="1.276666667"/>
    <n v="1.51"/>
    <n v="1.5433333330000001"/>
    <n v="1.086666667"/>
    <n v="0.27333333300000001"/>
    <n v="0.12"/>
    <n v="7.6233333329999997"/>
    <n v="5.4666666670000001"/>
    <n v="1.8132310622587744E-2"/>
    <n v="5.6731276319764955E-2"/>
    <n v="134.37620000000001"/>
    <s v="Acre-feet"/>
    <n v="0"/>
    <s v="Acre-feet per Year"/>
    <s v="L_16"/>
    <n v="3.4039024194010059E-4"/>
    <n v="38.5989"/>
    <n v="-122.87869999999999"/>
    <s v="DRY CREEK"/>
  </r>
  <r>
    <s v="S014926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9.841999999999999"/>
    <s v="Acre-feet"/>
    <n v="0"/>
    <s v="Acre-feet per Year"/>
    <s v="L_17"/>
    <n v="3.4039024194010059E-4"/>
    <n v="38.557998269999999"/>
    <n v="-122.85910121000001"/>
    <s v="RUSSIAN RIVER UNDERFLOW"/>
  </r>
  <r>
    <s v="S014927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724.4"/>
    <s v="Acre-feet"/>
    <n v="0"/>
    <s v="Acre-feet per Year"/>
    <s v="L_17"/>
    <n v="0"/>
    <n v="38.558825890000001"/>
    <n v="-122.85858657"/>
    <s v="RUSSIAN RIVER UNDERFLOW"/>
  </r>
  <r>
    <s v="S014928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807.70600000000002"/>
    <s v="Acre-feet"/>
    <n v="0"/>
    <s v="Acre-feet per Year"/>
    <s v="L_17"/>
    <n v="0"/>
    <n v="38.557998269999999"/>
    <n v="-122.85910121000001"/>
    <s v="RUSSIAN RIVER UNDERFLOW"/>
  </r>
  <r>
    <s v="S014929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"/>
    <n v="0"/>
    <n v="1.1000000000000001"/>
    <n v="0"/>
    <n v="2.0666666669999998"/>
    <n v="2.1666666669999999"/>
    <n v="2.733333333"/>
    <n v="1.4"/>
    <n v="1.433333333"/>
    <n v="0.1"/>
    <n v="0"/>
    <n v="11"/>
    <n v="8.3666666669999987"/>
    <n v="2.7751280281544718E-2"/>
    <n v="9.0928027985993781E-3"/>
    <n v="1209.748"/>
    <s v="Acre-feet"/>
    <n v="0"/>
    <s v="Acre-feet per Year"/>
    <s v="L_17"/>
    <n v="0"/>
    <n v="38.557307940000001"/>
    <n v="-122.85961748"/>
    <s v="RUSSIAN RIVER UNDERFLOW"/>
  </r>
  <r>
    <s v="S014930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684.55799999999999"/>
    <s v="Acre-feet"/>
    <n v="0"/>
    <s v="Acre-feet per Year"/>
    <s v="L_17"/>
    <n v="0"/>
    <n v="38.556618899999997"/>
    <n v="-122.85995891"/>
    <s v="RUSSIAN RIVER UNDERFLOW"/>
  </r>
  <r>
    <s v="S014931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9.841999999999999"/>
    <s v="Acre-feet"/>
    <n v="0"/>
    <s v="Acre-feet per Year"/>
    <s v="L_17"/>
    <n v="3.4039024194010059E-4"/>
    <n v="38.557702949999999"/>
    <n v="-122.86189546999999"/>
    <s v="RUSSIAN RIVER UNDERFLOW"/>
  </r>
  <r>
    <s v="S014946"/>
    <n v="10000000"/>
    <n v="12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.82"/>
    <n v="0.82"/>
    <n v="0.82"/>
    <n v="1.1599999999999999"/>
    <n v="4"/>
    <n v="8.08"/>
    <n v="9.76"/>
    <n v="11.64"/>
    <n v="9.84"/>
    <n v="8.99"/>
    <n v="2.58"/>
    <n v="1.8"/>
    <n v="60.309999999999995"/>
    <n v="43.336666666666673"/>
    <n v="0.14374278682310307"/>
    <n v="4.9878156442498767E-2"/>
    <n v="1209.748"/>
    <s v="Acre-feet"/>
    <n v="0"/>
    <s v="Acre-feet per Year"/>
    <s v="U_12"/>
    <n v="3.4039024194010059E-4"/>
    <n v="38.63372888"/>
    <n v="-122.79016900000001"/>
    <s v="RUSSIAN RIVER"/>
  </r>
  <r>
    <s v="S014973"/>
    <n v="10000000"/>
    <n v="11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.02"/>
    <n v="0.01"/>
    <n v="0.01"/>
    <n v="0.03"/>
    <n v="0.03"/>
    <n v="0.02"/>
    <n v="0.02"/>
    <n v="0.02"/>
    <n v="0.02"/>
    <n v="0.01"/>
    <n v="8.6666669999999994E-3"/>
    <n v="0.01"/>
    <n v="0.208666667"/>
    <n v="0.13266666700000002"/>
    <n v="4.4004022228549963E-4"/>
    <n v="4.7447820033655115E-2"/>
    <n v="5.6455000000000002"/>
    <s v="Acre-feet"/>
    <n v="0"/>
    <s v="Acre-feet per Year"/>
    <s v="U_11"/>
    <n v="3.4039024194010059E-4"/>
    <n v="38.707323209999998"/>
    <n v="-122.70442263"/>
    <s v="UNSP (AKA LITTLE BRIGGS SPRING)"/>
  </r>
  <r>
    <s v="S014974"/>
    <n v="10000000"/>
    <n v="11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.02"/>
    <n v="0.01"/>
    <n v="0.01"/>
    <n v="0.03"/>
    <n v="0.03"/>
    <n v="0.02"/>
    <n v="0.02"/>
    <n v="0.02"/>
    <n v="0.02"/>
    <n v="0.01"/>
    <n v="8.6666669999999994E-3"/>
    <n v="0.01"/>
    <n v="0.208666667"/>
    <n v="0.13266666700000002"/>
    <n v="4.4004022228549963E-4"/>
    <n v="4.7447820033655115E-2"/>
    <n v="5.6455000000000002"/>
    <s v="Acre-feet"/>
    <n v="0"/>
    <s v="Acre-feet per Year"/>
    <s v="U_11"/>
    <n v="3.4039024194010059E-4"/>
    <n v="38.707321090000001"/>
    <n v="-122.70477307"/>
    <s v="UNSP (AKA LITTLE BRIGGS SPRING)"/>
  </r>
  <r>
    <s v="S014975"/>
    <n v="10000000"/>
    <n v="11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.02"/>
    <n v="0.01"/>
    <n v="0.01"/>
    <n v="0.03"/>
    <n v="0.03"/>
    <n v="0.02"/>
    <n v="0.02"/>
    <n v="0.02"/>
    <n v="0.02"/>
    <n v="0.01"/>
    <n v="8.6666669999999994E-3"/>
    <n v="0.01"/>
    <n v="0.208666667"/>
    <n v="0.13266666700000002"/>
    <n v="4.4004022228549963E-4"/>
    <n v="4.7447820033655115E-2"/>
    <n v="5.6455000000000002"/>
    <s v="Acre-feet"/>
    <n v="0"/>
    <s v="Acre-feet per Year"/>
    <s v="U_11"/>
    <n v="3.4039024194010059E-4"/>
    <n v="38.707318970000003"/>
    <n v="-122.7051235"/>
    <s v="UNSP (AKA LITTLE BRIGGS SPRING)"/>
  </r>
  <r>
    <s v="S014976"/>
    <n v="10000000"/>
    <n v="11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.02"/>
    <n v="0.01"/>
    <n v="0.01"/>
    <n v="0.03"/>
    <n v="0.03"/>
    <n v="0.02"/>
    <n v="0.02"/>
    <n v="0.02"/>
    <n v="0.02"/>
    <n v="0.01"/>
    <n v="8.6666669999999994E-3"/>
    <n v="0.01"/>
    <n v="0.208666667"/>
    <n v="0.13266666700000002"/>
    <n v="4.4004022228549963E-4"/>
    <n v="4.7447820033655115E-2"/>
    <n v="5.6455000000000002"/>
    <s v="Acre-feet"/>
    <n v="0"/>
    <s v="Acre-feet per Year"/>
    <s v="U_11"/>
    <n v="3.4039024194010059E-4"/>
    <n v="38.707316849999998"/>
    <n v="-122.70547394"/>
    <s v="UNSP (AKA LITTLE BRIGGS SPRING)"/>
  </r>
  <r>
    <s v="S014977"/>
    <n v="10000000"/>
    <n v="11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.02"/>
    <n v="0.01"/>
    <n v="0.01"/>
    <n v="0.03"/>
    <n v="0.03"/>
    <n v="0.02"/>
    <n v="0.02"/>
    <n v="0.02"/>
    <n v="0.02"/>
    <n v="0.01"/>
    <n v="8.6666669999999994E-3"/>
    <n v="0.01"/>
    <n v="0.208666667"/>
    <n v="0.13266666700000002"/>
    <n v="4.4004022228549963E-4"/>
    <n v="4.7447820033655115E-2"/>
    <n v="5.6455000000000002"/>
    <s v="Acre-feet"/>
    <n v="0"/>
    <s v="Acre-feet per Year"/>
    <s v="U_11"/>
    <n v="3.4039024194010059E-4"/>
    <n v="38.70731473"/>
    <n v="-122.70582437"/>
    <s v="UNSP (AKA LITTLE BRIGGS SPRING)"/>
  </r>
  <r>
    <s v="S014978"/>
    <n v="10000000"/>
    <n v="11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8.6E-3"/>
    <n v="7.9333330000000007E-3"/>
    <n v="5.333333E-3"/>
    <n v="0.01"/>
    <n v="0.01"/>
    <n v="6.7333330000000002E-3"/>
    <n v="6.0000000000000001E-3"/>
    <n v="4.8666669999999999E-3"/>
    <n v="4.4666669999999997E-3"/>
    <n v="3.4666670000000001E-3"/>
    <n v="3.9333329999999998E-3"/>
    <n v="6.5333329999999997E-3"/>
    <n v="7.7866666000000001E-2"/>
    <n v="3.2199999999999999E-2"/>
    <n v="1.0680373207531539E-4"/>
    <n v="1.9508162678239307E-2"/>
    <n v="4.0324999999999998"/>
    <s v="Acre-feet"/>
    <n v="0"/>
    <s v="Acre-feet per Year"/>
    <s v="U_11"/>
    <n v="3.4039024194010059E-4"/>
    <n v="38.695472559999999"/>
    <n v="-122.71148861"/>
    <s v="UNSP (AKA RED HILL SPRING)"/>
  </r>
  <r>
    <s v="S014979"/>
    <n v="10000000"/>
    <n v="11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8.6E-3"/>
    <n v="7.9333330000000007E-3"/>
    <n v="5.333333E-3"/>
    <n v="0.01"/>
    <n v="0.01"/>
    <n v="6.7333330000000002E-3"/>
    <n v="6.0000000000000001E-3"/>
    <n v="4.8666669999999999E-3"/>
    <n v="4.4666669999999997E-3"/>
    <n v="3.4666670000000001E-3"/>
    <n v="3.9333329999999998E-3"/>
    <n v="6.5333329999999997E-3"/>
    <n v="7.7866666000000001E-2"/>
    <n v="3.2199999999999999E-2"/>
    <n v="1.0680373207531539E-4"/>
    <n v="3.2513604463732172E-2"/>
    <n v="2.4195000000000002"/>
    <s v="Acre-feet"/>
    <n v="0"/>
    <s v="Acre-feet per Year"/>
    <s v="U_11"/>
    <n v="3.4039024194010059E-4"/>
    <n v="38.704895200000003"/>
    <n v="-122.69721450999999"/>
    <s v="UNSP (AKA DEER CABIN SPRING)"/>
  </r>
  <r>
    <s v="S014980"/>
    <n v="10000000"/>
    <n v="11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8.6E-3"/>
    <n v="7.9333330000000007E-3"/>
    <n v="5.333333E-3"/>
    <n v="0.01"/>
    <n v="0.01"/>
    <n v="6.7333330000000002E-3"/>
    <n v="6.0000000000000001E-3"/>
    <n v="4.8666669999999999E-3"/>
    <n v="4.4666669999999997E-3"/>
    <n v="3.4666670000000001E-3"/>
    <n v="3.9333329999999998E-3"/>
    <n v="6.5333329999999997E-3"/>
    <n v="7.7866666000000001E-2"/>
    <n v="3.2199999999999999E-2"/>
    <n v="1.0680373207531539E-4"/>
    <n v="3.2513604463732172E-2"/>
    <n v="2.4195000000000002"/>
    <s v="Acre-feet"/>
    <n v="0"/>
    <s v="Acre-feet per Year"/>
    <s v="U_11"/>
    <n v="3.4039024194010059E-4"/>
    <n v="38.704875229999999"/>
    <n v="-122.70054354"/>
    <s v="UNSP (AKA DEER CABIN SPRING)"/>
  </r>
  <r>
    <s v="S014996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0"/>
    <s v="N"/>
    <n v="3.31"/>
    <n v="0"/>
    <n v="0"/>
    <n v="8.83"/>
    <n v="0"/>
    <n v="0"/>
    <n v="0"/>
    <n v="0"/>
    <n v="0"/>
    <n v="0"/>
    <n v="0"/>
    <n v="0"/>
    <n v="12.14"/>
    <n v="0"/>
    <n v="0"/>
    <n v="3.3535799740474881E-2"/>
    <n v="362.2"/>
    <s v="Acre-feet"/>
    <n v="0"/>
    <s v="Acre-feet per Year"/>
    <s v="U_1"/>
    <n v="0"/>
    <n v="39.24938341"/>
    <n v="-123.20546523"/>
    <s v="WEST BRANCH RUSSIAN RIVER"/>
  </r>
  <r>
    <s v="S019287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0"/>
    <s v="N"/>
    <n v="0"/>
    <n v="0"/>
    <n v="0"/>
    <n v="0.03"/>
    <n v="0"/>
    <n v="0"/>
    <n v="0"/>
    <n v="0"/>
    <n v="0"/>
    <n v="0"/>
    <n v="0"/>
    <n v="0"/>
    <n v="0.03"/>
    <n v="0"/>
    <n v="0"/>
    <n v="4.091913802444183E-5"/>
    <n v="767.86400000000003"/>
    <s v="Acre-feet"/>
    <n v="0"/>
    <s v="Acre-feet per Year"/>
    <s v="U_2"/>
    <n v="0"/>
    <n v="39.3401"/>
    <n v="-123.1232"/>
    <s v="BUSH CREEK"/>
  </r>
  <r>
    <s v="S015035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.1"/>
    <n v="0.53"/>
    <n v="0.13"/>
    <n v="2.13"/>
    <n v="3.5"/>
    <n v="8.76"/>
    <n v="17.2"/>
    <n v="20.76"/>
    <n v="13.76"/>
    <n v="5.96"/>
    <n v="3.06"/>
    <n v="0.13"/>
    <n v="76.02"/>
    <n v="64.000000000000071"/>
    <n v="0.21228070971491281"/>
    <n v="0.47730200960460528"/>
    <n v="159.36799999999999"/>
    <s v="Acre-feet"/>
    <n v="0"/>
    <s v="Acre-feet per Year"/>
    <s v="U_10"/>
    <n v="0"/>
    <n v="38.695027240000002"/>
    <n v="-122.87722223999999"/>
    <s v="RUSSIAN RIVER UNDERFLOW"/>
  </r>
  <r>
    <s v="S015036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.1"/>
    <n v="0.1"/>
    <n v="0.1"/>
    <n v="0.1"/>
    <n v="0.1"/>
    <n v="0.1"/>
    <n v="0.1"/>
    <n v="0.1"/>
    <n v="0.1"/>
    <n v="0.1"/>
    <n v="0.1"/>
    <n v="0.1"/>
    <n v="1.2"/>
    <n v="0.5"/>
    <n v="1.6584430446477544E-3"/>
    <n v="9.2030185900975527E-3"/>
    <n v="130.392"/>
    <s v="Acre-feet"/>
    <n v="0"/>
    <s v="Acre-feet per Year"/>
    <s v="U_10"/>
    <n v="0"/>
    <n v="38.693349310000002"/>
    <n v="-122.88123109"/>
    <s v="RUSSIAN RIVER UNDERFLOW"/>
  </r>
  <r>
    <s v="S015037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.13"/>
    <n v="0.03"/>
    <n v="0.1"/>
    <n v="0.13"/>
    <n v="0.26"/>
    <n v="1.86"/>
    <n v="1.8"/>
    <n v="0.96"/>
    <n v="0.16"/>
    <n v="0.46"/>
    <n v="0"/>
    <n v="5.8900000000000006"/>
    <n v="5.0333333333333368"/>
    <n v="1.6694993316120739E-2"/>
    <n v="5.2843139001205332E-2"/>
    <n v="112.282"/>
    <s v="Acre-feet"/>
    <n v="0"/>
    <s v="Acre-feet per Year"/>
    <s v="U_10"/>
    <n v="0"/>
    <n v="38.699080809999998"/>
    <n v="-122.88585744"/>
    <s v="RUSSIAN RIVER UNDERFLOW"/>
  </r>
  <r>
    <s v="S015038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0"/>
    <s v="N"/>
    <n v="0"/>
    <n v="0.8"/>
    <n v="0.06"/>
    <n v="0.63"/>
    <n v="0"/>
    <n v="0"/>
    <n v="0"/>
    <n v="0"/>
    <n v="0"/>
    <n v="0"/>
    <n v="1.53"/>
    <n v="0"/>
    <n v="3.0200000000000005"/>
    <n v="0"/>
    <n v="0"/>
    <n v="6.2498111320811655E-3"/>
    <n v="485.34800000000001"/>
    <s v="Acre-feet"/>
    <n v="0"/>
    <s v="Acre-feet per Year"/>
    <s v="U_10"/>
    <n v="0"/>
    <n v="38.699114530000003"/>
    <n v="-122.8832297"/>
    <s v="RUSSIAN RIVER UNDERFLOW"/>
  </r>
  <r>
    <s v="S015041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0"/>
    <n v="0.18"/>
    <n v="0.05"/>
    <n v="0.49"/>
    <n v="4.3600000000000003"/>
    <n v="9.57"/>
    <n v="4.1100000000000003"/>
    <n v="5.92"/>
    <n v="0"/>
    <n v="2.4900000000000002"/>
    <n v="0"/>
    <n v="27.17"/>
    <n v="24.470000000000013"/>
    <n v="8.1164202605061145E-2"/>
    <n v="5.6028526610459588E-2"/>
    <n v="485.34800000000001"/>
    <s v="Acre-feet"/>
    <n v="0"/>
    <s v="Acre-feet per Year"/>
    <s v="U_6"/>
    <n v="0"/>
    <n v="38.962053230000002"/>
    <n v="-123.10509394"/>
    <s v="RUSSIAN RIVER UNDERFLOW"/>
  </r>
  <r>
    <s v="S015042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0"/>
    <s v="N"/>
    <n v="0"/>
    <n v="0"/>
    <n v="0"/>
    <n v="0.06"/>
    <n v="0"/>
    <n v="0"/>
    <n v="0"/>
    <n v="0"/>
    <n v="0"/>
    <n v="0"/>
    <n v="0"/>
    <n v="0"/>
    <n v="0.06"/>
    <n v="0"/>
    <n v="0"/>
    <n v="9.203018590097556E-5"/>
    <n v="724.4"/>
    <s v="Acre-feet"/>
    <n v="0"/>
    <s v="Acre-feet per Year"/>
    <s v="U_6"/>
    <n v="0"/>
    <n v="38.962084849999997"/>
    <n v="-123.10175303"/>
    <s v="RUSSIAN RIVER UNDERFLOW"/>
  </r>
  <r>
    <s v="S015043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0"/>
    <n v="0.03"/>
    <n v="0.08"/>
    <n v="0.28000000000000003"/>
    <n v="0.51"/>
    <n v="1.3"/>
    <n v="1.25"/>
    <n v="1.06"/>
    <n v="0.45"/>
    <n v="0.35"/>
    <n v="0"/>
    <n v="5.31"/>
    <n v="4.416666666666667"/>
    <n v="1.4649580227721833E-2"/>
    <n v="1.8889785593264329E-2"/>
    <n v="282.51600000000002"/>
    <s v="Acre-feet"/>
    <n v="0"/>
    <s v="Acre-feet per Year"/>
    <s v="U_6"/>
    <n v="0"/>
    <n v="38.96212027"/>
    <n v="-123.11248123999999"/>
    <s v="RUSSIAN RIVER UNDERFLOW"/>
  </r>
  <r>
    <s v="S015044"/>
    <n v="10000000"/>
    <n v="12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.54"/>
    <n v="0.91"/>
    <n v="2.5299999999999998"/>
    <n v="2.1800000000000002"/>
    <n v="3.96"/>
    <n v="5.3"/>
    <n v="6.56"/>
    <n v="7.02"/>
    <n v="4.42"/>
    <n v="3.29"/>
    <n v="0.83"/>
    <n v="0"/>
    <n v="37.54"/>
    <n v="27.27666666666666"/>
    <n v="9.0473596229017142E-2"/>
    <n v="2.5869432804882686E-2"/>
    <n v="1452.422"/>
    <s v="Acre-feet"/>
    <n v="0"/>
    <s v="Acre-feet per Year"/>
    <s v="U_12"/>
    <n v="0"/>
    <n v="38.630483239999997"/>
    <n v="-122.86049953"/>
    <s v="RUSSIAN RIVER UNDERFLOW"/>
  </r>
  <r>
    <s v="S015093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.02"/>
    <n v="0.02"/>
    <n v="0.08"/>
    <n v="0.2"/>
    <n v="0.11"/>
    <n v="0.03"/>
    <n v="0"/>
    <n v="0.45999999999999996"/>
    <n v="0.3360000000000003"/>
    <n v="1.1144737260032921E-3"/>
    <n v="7.9245154087187345E-4"/>
    <n v="604.87400000000002"/>
    <s v="Acre-feet"/>
    <n v="0"/>
    <s v="Acre-feet per Year"/>
    <s v="U_10"/>
    <n v="0"/>
    <n v="38.7070662"/>
    <n v="-122.88297781999999"/>
    <s v="RUSSIAN RIVER UNDERFLOW"/>
  </r>
  <r>
    <s v="S015094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289.432"/>
    <s v="Acre-feet"/>
    <n v="0"/>
    <s v="Acre-feet per Year"/>
    <s v="U_10"/>
    <n v="0"/>
    <n v="38.70762732"/>
    <n v="-122.8814077"/>
    <s v="RUSSIAN RIVER UNDERFLOW"/>
  </r>
  <r>
    <s v="S015107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1.5"/>
    <n v="1.5"/>
    <n v="2"/>
    <n v="2"/>
    <n v="2"/>
    <n v="1"/>
    <n v="1"/>
    <n v="0"/>
    <n v="0"/>
    <n v="11"/>
    <n v="8.5"/>
    <n v="2.8193531759011826E-2"/>
    <n v="9.0928027985993781E-3"/>
    <n v="1209.748"/>
    <s v="Acre-feet"/>
    <n v="0"/>
    <s v="Acre-feet per Year"/>
    <s v="U_10"/>
    <n v="0"/>
    <n v="38.705199999999998"/>
    <n v="-122.87990000000001"/>
    <m/>
  </r>
  <r>
    <s v="S008451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9.920999999999999"/>
    <s v="Acre-feet"/>
    <n v="0"/>
    <s v="Acre-feet per Year"/>
    <s v="U_2"/>
    <n v="0"/>
    <n v="39.339442179999999"/>
    <n v="-123.12302151"/>
    <s v="BUSCH CREEK"/>
  </r>
  <r>
    <s v="S015184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0"/>
    <n v="0"/>
    <n v="1.1000000000000001"/>
    <n v="10.96"/>
    <n v="12.3"/>
    <n v="23.43"/>
    <n v="0"/>
    <n v="0"/>
    <n v="0"/>
    <n v="0"/>
    <n v="0"/>
    <n v="47.79"/>
    <n v="46.7"/>
    <n v="0.15489858037010029"/>
    <n v="2.693291562897937E-2"/>
    <n v="1774.78"/>
    <s v="Acre-feet"/>
    <n v="0"/>
    <s v="Acre-feet per Year"/>
    <s v="U_6"/>
    <n v="0"/>
    <n v="38.960133030000001"/>
    <n v="-123.10488821"/>
    <s v="RUSSIAN RIVER"/>
  </r>
  <r>
    <s v="S015199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1"/>
    <s v="Acre-feet"/>
    <n v="0"/>
    <s v="Acre-feet per Year"/>
    <s v="U_6"/>
    <n v="0"/>
    <n v="38.981699999999996"/>
    <n v="-123.1069"/>
    <s v="RUSSIAN RIVER"/>
  </r>
  <r>
    <s v="S015200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0"/>
    <n v="0"/>
    <n v="0.04"/>
    <n v="6.6666666666666697E-3"/>
    <n v="0"/>
    <n v="0"/>
    <n v="0"/>
    <n v="0"/>
    <n v="0"/>
    <n v="0"/>
    <n v="0"/>
    <n v="4.6666666666666669E-2"/>
    <n v="6.6666666666666697E-3"/>
    <n v="2.2112573928636737E-5"/>
    <n v="5.2434456928838959E-4"/>
    <n v="89"/>
    <s v="Acre-feet"/>
    <n v="0"/>
    <s v="Acre-feet per Year"/>
    <s v="U_6"/>
    <n v="0"/>
    <n v="38.986699999999999"/>
    <n v="-123.10680000000001"/>
    <s v="RUSSIAN RIVER"/>
  </r>
  <r>
    <s v="S015201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0"/>
    <n v="0"/>
    <n v="0"/>
    <n v="0.11"/>
    <n v="0"/>
    <n v="0"/>
    <n v="0"/>
    <n v="0"/>
    <n v="0"/>
    <n v="0"/>
    <n v="0"/>
    <n v="0.11"/>
    <n v="0.11"/>
    <n v="3.6485746982250599E-4"/>
    <n v="1.2359550561797752E-3"/>
    <n v="89"/>
    <s v="Acre-feet"/>
    <n v="0"/>
    <s v="Acre-feet per Year"/>
    <s v="U_6"/>
    <n v="0"/>
    <n v="38.9758"/>
    <n v="-123.1083"/>
    <s v="RUSSIAN RIVER"/>
  </r>
  <r>
    <s v="S015202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0"/>
    <s v="N"/>
    <n v="0"/>
    <n v="0"/>
    <n v="0"/>
    <n v="6.6666666666666697E-3"/>
    <n v="0"/>
    <n v="0"/>
    <n v="0"/>
    <n v="0"/>
    <n v="0"/>
    <n v="0"/>
    <n v="0"/>
    <n v="0"/>
    <n v="6.6666666666666697E-3"/>
    <n v="0"/>
    <n v="0"/>
    <n v="1.3333333333333339E-4"/>
    <n v="50"/>
    <s v="Acre-feet"/>
    <n v="0"/>
    <s v="Acre-feet per Year"/>
    <s v="U_6"/>
    <n v="0"/>
    <n v="38.973700000000001"/>
    <n v="-123.10939999999999"/>
    <s v="RUSSIAN RIVER"/>
  </r>
  <r>
    <s v="S015228"/>
    <n v="10000000"/>
    <n v="4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4.8499999999999996"/>
    <n v="4.76"/>
    <n v="4.0599999999999996"/>
    <n v="5.07"/>
    <n v="30.69"/>
    <n v="51.95"/>
    <n v="61.9"/>
    <n v="69.92"/>
    <n v="53.42"/>
    <n v="21.84"/>
    <n v="36.479999999999997"/>
    <n v="21.43"/>
    <n v="366.37"/>
    <n v="267.90699999999998"/>
    <n v="0.88861700152489187"/>
    <n v="0.59510345275603338"/>
    <n v="615.74"/>
    <s v="Acre-feet"/>
    <n v="0"/>
    <s v="Acre-feet per Year"/>
    <s v="U_4"/>
    <n v="0"/>
    <n v="39.148316180000002"/>
    <n v="-123.1802936"/>
    <s v="RUSSIAN RIVER"/>
  </r>
  <r>
    <s v="S015238"/>
    <n v="10000000"/>
    <n v="5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1.33"/>
    <n v="1.66"/>
    <n v="1.66"/>
    <n v="1.33"/>
    <n v="1.66"/>
    <n v="1.66"/>
    <n v="1.33"/>
    <n v="1.33"/>
    <n v="0.66"/>
    <n v="0"/>
    <n v="0"/>
    <n v="12.620000000000001"/>
    <n v="7.3333333333333304"/>
    <n v="2.4323831321500393E-2"/>
    <n v="6.830365359838028E-3"/>
    <n v="1854.4639999999999"/>
    <s v="Acre-feet"/>
    <n v="0"/>
    <s v="Acre-feet per Year"/>
    <s v="U_5"/>
    <n v="0"/>
    <n v="39.108899999999998"/>
    <n v="-123.1649"/>
    <s v="RUSSIAN RIVER"/>
  </r>
  <r>
    <s v="S015246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.13"/>
    <n v="0.76"/>
    <n v="0.66"/>
    <n v="1.06"/>
    <n v="1.33"/>
    <n v="0.2"/>
    <n v="0"/>
    <n v="0"/>
    <n v="4.1400000000000006"/>
    <n v="3.9666666666666668"/>
    <n v="1.3156981487538853E-2"/>
    <n v="2.0915951341130804E-3"/>
    <n v="1992.1"/>
    <s v="Acre-feet"/>
    <n v="0"/>
    <s v="Acre-feet per Year"/>
    <s v="U_10"/>
    <n v="0"/>
    <n v="38.663373999999997"/>
    <n v="-122.85021413"/>
    <s v="RUSSIAN RIVER UNDERFLOW"/>
  </r>
  <r>
    <s v="S015247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22.466666666666661"/>
    <n v="7.4519374139505754E-2"/>
    <n v="3.446823441984101E-2"/>
    <n v="967.07399999999996"/>
    <s v="Acre-feet"/>
    <n v="0"/>
    <s v="Acre-feet per Year"/>
    <s v="U_10"/>
    <n v="0"/>
    <n v="38.667433039999999"/>
    <n v="-122.83957950999999"/>
    <s v="RUSSIAN RIVER UNDERFLOW"/>
  </r>
  <r>
    <s v="S015273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.103312"/>
    <n v="0.115856667"/>
    <n v="0.12669133299999999"/>
    <n v="0.26371233300000002"/>
    <n v="0.22842000000000001"/>
    <n v="0.30093666699999999"/>
    <n v="0"/>
    <n v="0"/>
    <n v="0"/>
    <n v="1.1389290000000001"/>
    <n v="1.035617"/>
    <n v="3.4350236211379472E-3"/>
    <n v="2.5155803423522919E-2"/>
    <n v="45.274999999999999"/>
    <s v="Acre-feet"/>
    <n v="0"/>
    <s v="Acre-feet per Year"/>
    <s v="L_24"/>
    <n v="0"/>
    <n v="38.492199999999997"/>
    <n v="-122.8841"/>
    <s v="MARK WEST CREEK"/>
  </r>
  <r>
    <s v="S015303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"/>
    <n v="0"/>
    <n v="0"/>
    <n v="0.01"/>
    <n v="0.03"/>
    <n v="0.01"/>
    <n v="0"/>
    <n v="0"/>
    <n v="0"/>
    <n v="0"/>
    <n v="0"/>
    <n v="0"/>
    <n v="0.05"/>
    <n v="4.7260000000000003E-2"/>
    <n v="1.5675603658010578E-4"/>
    <n v="3.5996756756756758"/>
    <n v="1.8499999999999999E-2"/>
    <s v="Acre-feet"/>
    <n v="0"/>
    <s v="Acre-feet per Year"/>
    <s v="U_1"/>
    <n v="3.4039024194010059E-4"/>
    <n v="39.249704530000002"/>
    <n v="-123.17386275"/>
    <s v="UNST"/>
  </r>
  <r>
    <s v="S015313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585.78"/>
    <s v="Acre-feet"/>
    <n v="0"/>
    <s v="Acre-feet per Year"/>
    <s v="U_6"/>
    <n v="0"/>
    <n v="38.990322079999999"/>
    <n v="-123.1065895"/>
    <s v="RUSSIAN RIVER"/>
  </r>
  <r>
    <s v="S015314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4.0999999999999996"/>
    <n v="0"/>
    <n v="0"/>
    <n v="0"/>
    <n v="0"/>
    <n v="0"/>
    <n v="4.0999999999999996"/>
    <n v="4.0999999999999996"/>
    <n v="1.3599232966111586E-2"/>
    <n v="2.7609055770292652E-3"/>
    <n v="1485.02"/>
    <s v="Acre-feet"/>
    <n v="0"/>
    <s v="Acre-feet per Year"/>
    <s v="U_6"/>
    <n v="0"/>
    <n v="38.984037389999997"/>
    <n v="-123.10332505"/>
    <s v="RUSSIAN RIVER"/>
  </r>
  <r>
    <s v="S015315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169.9059999999999"/>
    <s v="Acre-feet"/>
    <n v="0"/>
    <s v="Acre-feet per Year"/>
    <s v="U_6"/>
    <n v="0"/>
    <n v="38.983200410000002"/>
    <n v="-123.10471937"/>
    <s v="RUSSIAN RIVER"/>
  </r>
  <r>
    <s v="S015316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927.23199999999997"/>
    <s v="Acre-feet"/>
    <n v="0"/>
    <s v="Acre-feet per Year"/>
    <s v="U_6"/>
    <n v="0"/>
    <n v="38.979761850000003"/>
    <n v="-123.10536951"/>
    <s v="RUSSIAN RIVER"/>
  </r>
  <r>
    <s v="S015317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811"/>
    <s v="Acre-feet"/>
    <n v="0"/>
    <s v="Acre-feet per Year"/>
    <s v="U_6"/>
    <n v="0"/>
    <n v="38.97688239"/>
    <n v="-123.10497289"/>
    <s v="RUSSIAN RIVER"/>
  </r>
  <r>
    <s v="S015318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0"/>
    <n v="0.2"/>
    <n v="0"/>
    <n v="0.16"/>
    <n v="0.13"/>
    <n v="3.93"/>
    <n v="15.3"/>
    <n v="1.6"/>
    <n v="0"/>
    <n v="0"/>
    <n v="0"/>
    <n v="21.32"/>
    <n v="21.133333333333333"/>
    <n v="7.0096859353778421E-2"/>
    <n v="2.6531224764245194E-2"/>
    <n v="804.08399999999995"/>
    <s v="Acre-feet"/>
    <n v="0"/>
    <s v="Acre-feet per Year"/>
    <s v="U_6"/>
    <n v="0"/>
    <n v="38.973500000000001"/>
    <n v="-123.1087"/>
    <s v="RUSSIAN RIVER"/>
  </r>
  <r>
    <s v="S015320"/>
    <n v="10000000"/>
    <n v="4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0.456666666666667"/>
    <n v="1.5147113141116169E-3"/>
    <n v="1.3182702304734334E-3"/>
    <n v="804.08399999999995"/>
    <s v="Acre-feet"/>
    <n v="0"/>
    <s v="Acre-feet per Year"/>
    <s v="U_4"/>
    <n v="0"/>
    <n v="39.16017677"/>
    <n v="-123.1886037"/>
    <s v="RUSSIAN RIVER"/>
  </r>
  <r>
    <s v="S015334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807.70600000000002"/>
    <s v="Acre-feet"/>
    <n v="0"/>
    <s v="Acre-feet per Year"/>
    <s v="L_17"/>
    <n v="0"/>
    <n v="38.530772089999999"/>
    <n v="-122.86454200999999"/>
    <s v="RUSSIAN RIVER UNDERFLOW"/>
  </r>
  <r>
    <s v="S015336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8.3333333333333297E-3"/>
    <n v="1.1200000000000001"/>
    <n v="0.56999999999999995"/>
    <n v="0.2"/>
    <n v="0.24"/>
    <n v="1.31"/>
    <n v="3.19"/>
    <n v="4.8600000000000003"/>
    <n v="3.37"/>
    <n v="2.0699999999999998"/>
    <n v="0.48"/>
    <n v="0"/>
    <n v="17.418333333333337"/>
    <n v="12.989999999999995"/>
    <n v="4.3086350299948652E-2"/>
    <n v="1.5446027835591607E-2"/>
    <n v="1130.0640000000001"/>
    <s v="Acre-feet"/>
    <n v="0"/>
    <s v="Acre-feet per Year"/>
    <s v="U_10"/>
    <n v="0"/>
    <n v="38.699630069999998"/>
    <n v="-122.86764228"/>
    <s v="RUSSIAN RIVER UNDERFLOW"/>
  </r>
  <r>
    <s v="S015337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8.3333333333333297E-3"/>
    <n v="1.17"/>
    <n v="0.56999999999999995"/>
    <n v="0.2"/>
    <n v="0.24"/>
    <n v="1.31"/>
    <n v="3.17"/>
    <n v="4.8600000000000003"/>
    <n v="3.37"/>
    <n v="2.0699999999999998"/>
    <n v="0.48"/>
    <n v="0"/>
    <n v="17.448333333333334"/>
    <n v="12.978333333333325"/>
    <n v="4.3047653295573522E-2"/>
    <n v="1.0830054500028472E-2"/>
    <n v="1615.412"/>
    <s v="Acre-feet"/>
    <n v="0"/>
    <s v="Acre-feet per Year"/>
    <s v="U_10"/>
    <n v="0"/>
    <n v="38.697298770000003"/>
    <n v="-122.86726348000001"/>
    <s v="RUSSIAN RIVER UNDERFLOW"/>
  </r>
  <r>
    <s v="S015338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.12"/>
    <n v="0.12"/>
    <n v="0.12"/>
    <n v="0.12"/>
    <n v="0.12"/>
    <n v="0.12"/>
    <n v="0.12"/>
    <n v="0.12"/>
    <n v="0.12"/>
    <n v="0.12"/>
    <n v="0.12"/>
    <n v="0.12"/>
    <n v="1.4400000000000004"/>
    <n v="0.6"/>
    <n v="1.9901316535773056E-3"/>
    <n v="5.6795771870316335E-2"/>
    <n v="25.353999999999999"/>
    <s v="Acre-feet"/>
    <n v="0"/>
    <s v="Acre-feet per Year"/>
    <s v="U_10"/>
    <n v="3.4039024194010059E-4"/>
    <n v="38.701010799999999"/>
    <n v="-122.86660781"/>
    <s v="RUSSIAN RIVER UNDERFLOW"/>
  </r>
  <r>
    <s v="S015349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0"/>
    <n v="0"/>
    <n v="0.66"/>
    <n v="0"/>
    <n v="0"/>
    <n v="1.03"/>
    <n v="0.9"/>
    <n v="0"/>
    <n v="0"/>
    <n v="0"/>
    <n v="0"/>
    <n v="2.59"/>
    <n v="1.93333333333333"/>
    <n v="6.4126464393046406E-3"/>
    <n v="1.4649703061787923E-3"/>
    <n v="1774.78"/>
    <s v="Acre-feet"/>
    <n v="0"/>
    <s v="Acre-feet per Year"/>
    <s v="U_6"/>
    <n v="0"/>
    <n v="39.011355340000001"/>
    <n v="-123.11818049"/>
    <s v="RUSSIAN RIVER"/>
  </r>
  <r>
    <s v="S015362"/>
    <n v="10000000"/>
    <n v="4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0"/>
    <s v="N"/>
    <n v="6.6666666666666697E-3"/>
    <n v="0.14000000000000001"/>
    <n v="1.0900000000000001"/>
    <n v="0.06"/>
    <n v="0"/>
    <n v="0"/>
    <n v="0"/>
    <n v="0"/>
    <n v="0"/>
    <n v="0"/>
    <n v="0"/>
    <n v="0"/>
    <n v="1.2966666666666669"/>
    <n v="0"/>
    <n v="0"/>
    <n v="8.0115563619152601E-4"/>
    <n v="1622.6559999999999"/>
    <s v="Acre-feet"/>
    <n v="0"/>
    <s v="Acre-feet per Year"/>
    <s v="U_4"/>
    <n v="0"/>
    <n v="39.119497180000003"/>
    <n v="-123.19250402999999"/>
    <s v="RUSSIAN RIVER"/>
  </r>
  <r>
    <s v="S015371"/>
    <n v="10000000"/>
    <n v="4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6.6266666666666598"/>
    <n v="2.1979898485064885E-2"/>
    <n v="3.6454179192997502E-3"/>
    <n v="3259.8"/>
    <s v="Acre-feet"/>
    <n v="0"/>
    <s v="Acre-feet per Year"/>
    <s v="U_4"/>
    <n v="0"/>
    <n v="39.164105579999998"/>
    <n v="-123.19378429"/>
    <s v="RUSSIAN RIVER UNDERFLOW"/>
  </r>
  <r>
    <s v="S015400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12.8"/>
    <n v="4.2456141942982514E-2"/>
    <n v="0.24011512139618155"/>
    <n v="119.526"/>
    <s v="Acre-feet"/>
    <n v="0"/>
    <s v="Acre-feet per Year"/>
    <s v="U_6"/>
    <n v="3.4039024194010059E-4"/>
    <n v="38.984189630000003"/>
    <n v="-123.10174415"/>
    <s v="RUSSIAN RIVER"/>
  </r>
  <r>
    <s v="S015401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61.573999999999998"/>
    <s v="Acre-feet"/>
    <n v="0"/>
    <s v="Acre-feet per Year"/>
    <s v="U_6"/>
    <n v="3.4039024194010059E-4"/>
    <n v="38.984745369999999"/>
    <n v="-123.1010491"/>
    <s v="RUSSIAN RIVER"/>
  </r>
  <r>
    <s v="S015402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10.199999999999999"/>
    <n v="3.3832238110814192E-2"/>
    <n v="0.20748623730401755"/>
    <n v="119.526"/>
    <s v="Acre-feet"/>
    <n v="0"/>
    <s v="Acre-feet per Year"/>
    <s v="U_6"/>
    <n v="3.4039024194010059E-4"/>
    <n v="38.984467500000001"/>
    <n v="-123.10139662"/>
    <s v="RUSSIAN RIVER"/>
  </r>
  <r>
    <s v="S015403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0"/>
    <n v="1.5"/>
    <n v="0.75"/>
    <n v="0.53"/>
    <n v="0"/>
    <n v="0"/>
    <n v="0"/>
    <n v="0"/>
    <n v="0"/>
    <n v="0.2"/>
    <n v="1.96"/>
    <n v="0"/>
    <n v="4.9400000000000004"/>
    <n v="0"/>
    <n v="0"/>
    <n v="0.26470588235294118"/>
    <n v="18.7"/>
    <s v="Acre-feet"/>
    <n v="0"/>
    <s v="Acre-feet per Year"/>
    <s v="U_5"/>
    <n v="0"/>
    <n v="39.039203180000001"/>
    <n v="-123.1938588"/>
    <s v="MCNAB CREEK"/>
  </r>
  <r>
    <s v="S015404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20.66"/>
    <n v="0"/>
    <n v="0"/>
    <n v="0"/>
    <n v="0"/>
    <n v="0"/>
    <n v="0"/>
    <n v="2.66"/>
    <n v="0"/>
    <n v="0.03"/>
    <n v="3.73"/>
    <n v="0.73"/>
    <n v="27.810000000000002"/>
    <n v="2.6666666669999999"/>
    <n v="8.8450295725603194E-3"/>
    <n v="0.46676728720442739"/>
    <n v="59.63"/>
    <s v="Acre-feet"/>
    <n v="0"/>
    <s v="Acre-feet per Year"/>
    <s v="U_5"/>
    <n v="0"/>
    <n v="39.036476800000003"/>
    <n v="-123.18431901"/>
    <s v="UNST"/>
  </r>
  <r>
    <s v="S015414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4.488"/>
    <s v="Acre-feet"/>
    <n v="0"/>
    <s v="Acre-feet per Year"/>
    <s v="U_4"/>
    <n v="0"/>
    <n v="39.13079355"/>
    <n v="-123.14756551000001"/>
    <s v="SF MILL CREEK"/>
  </r>
  <r>
    <s v="S015459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"/>
    <n v="6.6666670000000003E-3"/>
    <n v="6.6666700000000002E-4"/>
    <n v="2.8366666669999998"/>
    <n v="4.1033333330000001"/>
    <n v="5.19"/>
    <n v="3.6033333330000001"/>
    <n v="1.51"/>
    <n v="0.45"/>
    <n v="10.130000000000001"/>
    <n v="0"/>
    <n v="27.830666667000003"/>
    <n v="17.243333332999999"/>
    <n v="5.7194172465313262E-2"/>
    <n v="0.2744208671905814"/>
    <n v="101.416"/>
    <s v="Acre-feet"/>
    <n v="0"/>
    <s v="Acre-feet per Year"/>
    <s v="L_17"/>
    <n v="0"/>
    <n v="38.544899999999998"/>
    <n v="-122.8488"/>
    <s v="RUSSIAN RIVER UNDERFLOW"/>
  </r>
  <r>
    <s v="S015460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.2"/>
    <n v="3.3333333E-2"/>
    <n v="0"/>
    <n v="3.3333333E-2"/>
    <n v="0"/>
    <n v="0"/>
    <n v="0"/>
    <n v="0"/>
    <n v="0"/>
    <n v="0.266666666"/>
    <n v="6.6666665999999999E-2"/>
    <n v="2.211257370751099E-4"/>
    <n v="1.1155174020715157E-2"/>
    <n v="23.905200000000001"/>
    <s v="Acre-feet"/>
    <n v="0"/>
    <s v="Acre-feet per Year"/>
    <s v="L_24"/>
    <n v="0"/>
    <n v="38.494773559999999"/>
    <n v="-122.86795014"/>
    <s v="MARK WEST CREEK UNDERFLOW"/>
  </r>
  <r>
    <s v="S015461"/>
    <n v="10000000"/>
    <n v="18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"/>
    <n v="0"/>
    <n v="0"/>
    <n v="0.43333333299999999"/>
    <n v="0.96666666700000003"/>
    <n v="0.97899999999999998"/>
    <n v="0.89166666699999997"/>
    <n v="0.125"/>
    <n v="0"/>
    <n v="0"/>
    <n v="0"/>
    <n v="3.395666667"/>
    <n v="3.395666667"/>
    <n v="1.1263039531656745E-2"/>
    <n v="1.053383712208166E-2"/>
    <n v="322.358"/>
    <s v="Acre-feet"/>
    <n v="0"/>
    <s v="Acre-feet per Year"/>
    <s v="L_18"/>
    <n v="0"/>
    <n v="38.497923030000003"/>
    <n v="-122.88720735"/>
    <s v="RUSSIAN RIVER SUBTERRANEAN FLOW"/>
  </r>
  <r>
    <s v="S015462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"/>
    <n v="0"/>
    <n v="0"/>
    <n v="0"/>
    <n v="0"/>
    <n v="0.14000000000000001"/>
    <n v="0.13666666699999999"/>
    <n v="0.1"/>
    <n v="3.3333333E-2"/>
    <n v="3.3333333E-2"/>
    <n v="0"/>
    <n v="0.443333333"/>
    <n v="0.37666666699999996"/>
    <n v="1.2493604280736036E-3"/>
    <n v="5.5636430525576026E-5"/>
    <n v="7968.4"/>
    <s v="Acre-feet"/>
    <n v="0"/>
    <s v="Acre-feet per Year"/>
    <s v="L_17"/>
    <n v="0"/>
    <n v="38.573491429999997"/>
    <n v="-122.8433716"/>
    <s v="RUSSIAN RIVER SUBTERRANEAN FLOW"/>
  </r>
  <r>
    <s v="S015463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.6"/>
    <n v="0.43333333299999999"/>
    <n v="0.93333333299999999"/>
    <n v="0.63333333300000005"/>
    <n v="1.1000000000000001"/>
    <n v="0.83333333300000001"/>
    <n v="0.96666666700000003"/>
    <n v="1.0333333330000001"/>
    <n v="1.9666666669999999"/>
    <n v="1.233333333"/>
    <n v="1.066666667"/>
    <n v="0.7"/>
    <n v="11.499999999"/>
    <n v="5.9"/>
    <n v="1.9569627926843504E-2"/>
    <n v="5.1210345375928466E-2"/>
    <n v="224.56399999999999"/>
    <s v="Acre-feet"/>
    <n v="0"/>
    <s v="Acre-feet per Year"/>
    <s v="L_17"/>
    <n v="0"/>
    <n v="38.573491429999997"/>
    <n v="-122.8433716"/>
    <s v="RUSSIAN RIVER SUBTERRANEAN FLOW"/>
  </r>
  <r>
    <s v="S015472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6.46"/>
    <n v="1.3"/>
    <n v="0"/>
    <n v="1.35"/>
    <n v="3.07"/>
    <n v="3.94"/>
    <n v="6.9"/>
    <n v="8.15"/>
    <n v="2.15"/>
    <n v="0"/>
    <n v="0"/>
    <n v="33.32"/>
    <n v="23.433333333333341"/>
    <n v="7.7725697359158116E-2"/>
    <n v="1.8791061427331845E-2"/>
    <n v="1774.78"/>
    <s v="Acre-feet"/>
    <n v="0"/>
    <s v="Acre-feet per Year"/>
    <s v="U_10"/>
    <n v="0"/>
    <n v="38.66861583"/>
    <n v="-122.86551341000001"/>
    <s v="RUSSIAN RIVER SUBTERRANEAN FLOW"/>
  </r>
  <r>
    <s v="S015473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"/>
    <n v="0.2"/>
    <n v="0"/>
    <n v="1.233333333"/>
    <n v="0.366666667"/>
    <n v="0.86666666699999995"/>
    <n v="0.7"/>
    <n v="0.4"/>
    <n v="0.26666666700000002"/>
    <n v="0.133333333"/>
    <n v="0"/>
    <n v="4.1666666670000003"/>
    <n v="3.5666666670000002"/>
    <n v="1.1830227052926278E-2"/>
    <n v="0.12781970265046938"/>
    <n v="32.597999999999999"/>
    <s v="Acre-feet"/>
    <n v="0"/>
    <s v="Acre-feet per Year"/>
    <s v="L_17"/>
    <n v="0"/>
    <n v="38.533258910000001"/>
    <n v="-122.86247447"/>
    <s v="RUSSIAN RIVER SUBTERRANEAN FLOW"/>
  </r>
  <r>
    <s v="S015474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0"/>
    <s v="N"/>
    <n v="0"/>
    <n v="0.04"/>
    <n v="0.05"/>
    <n v="0.01"/>
    <n v="0"/>
    <n v="0"/>
    <n v="0"/>
    <n v="0"/>
    <n v="0"/>
    <n v="0"/>
    <n v="0"/>
    <n v="0"/>
    <n v="9.9999999999999992E-2"/>
    <n v="0"/>
    <n v="0"/>
    <n v="1.5510705488928458E-4"/>
    <n v="644.71600000000001"/>
    <s v="Acre-feet"/>
    <n v="0"/>
    <s v="Acre-feet per Year"/>
    <s v="L_17"/>
    <n v="0"/>
    <n v="38.531070069999998"/>
    <n v="-122.86139924"/>
    <s v="RUSSIAN RIVER SUBTERRANEAN FLOW"/>
  </r>
  <r>
    <s v="S015477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26.375"/>
    <s v="Acre-feet"/>
    <n v="0"/>
    <s v="Acre-feet per Year"/>
    <s v="U_6"/>
    <n v="0"/>
    <n v="39.018099999999997"/>
    <n v="-123.12779999999999"/>
    <s v="RUSSIAN RIVER"/>
  </r>
  <r>
    <s v="S015478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79.683999999999997"/>
    <s v="Acre-feet"/>
    <n v="0"/>
    <s v="Acre-feet per Year"/>
    <s v="U_6"/>
    <n v="0"/>
    <n v="38.986199999999997"/>
    <n v="-123.1065"/>
    <s v="RUSSIAN RIVER"/>
  </r>
  <r>
    <s v="S015479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45.274999999999999"/>
    <s v="Acre-feet"/>
    <n v="0"/>
    <s v="Acre-feet per Year"/>
    <s v="U_6"/>
    <n v="0"/>
    <n v="38.986199999999997"/>
    <n v="-123.1066"/>
    <s v="RUSSIAN RIVER"/>
  </r>
  <r>
    <s v="S015480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615.412"/>
    <s v="Acre-feet"/>
    <n v="0"/>
    <s v="Acre-feet per Year"/>
    <s v="U_6"/>
    <n v="0"/>
    <n v="39.021700000000003"/>
    <n v="-123.1301"/>
    <s v="RUSSIAN RIVER"/>
  </r>
  <r>
    <s v="S021568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.41666666699999999"/>
    <n v="0.16666666699999999"/>
    <n v="8.3333332999999996E-2"/>
    <n v="1.1666666670000001"/>
    <n v="1.5833333329999999"/>
    <n v="2"/>
    <n v="2.5"/>
    <n v="2.0666666669999998"/>
    <n v="8.3333332999999996E-2"/>
    <n v="0"/>
    <n v="10.066666667000002"/>
    <n v="7.3333333329999997"/>
    <n v="2.432383132039477E-2"/>
    <n v="7.3549109863374014"/>
    <n v="1.3687"/>
    <s v="Acre-feet"/>
    <n v="0"/>
    <s v="Acre-feet per Year"/>
    <s v="L_15"/>
    <n v="0"/>
    <n v="38.689700000000002"/>
    <n v="-122.9569"/>
    <s v="DRY CREEK"/>
  </r>
  <r>
    <s v="S015522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028.32"/>
    <s v="Acre-feet"/>
    <n v="0"/>
    <s v="Acre-feet per Year"/>
    <s v="U_10"/>
    <n v="0"/>
    <n v="38.671619649999997"/>
    <n v="-122.83017116000001"/>
    <s v="RUSSIAN RIVER SUBTERRANEAN"/>
  </r>
  <r>
    <s v="S015532"/>
    <n v="10000000"/>
    <n v="4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006.9160000000001"/>
    <s v="Acre-feet"/>
    <n v="0"/>
    <s v="Acre-feet per Year"/>
    <s v="U_4"/>
    <n v="0"/>
    <n v="39.157991150000001"/>
    <n v="-123.18750891000001"/>
    <s v="RUSSIAN RIVER"/>
  </r>
  <r>
    <s v="S015549"/>
    <n v="10000000"/>
    <n v="8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5.353999999999999"/>
    <s v="Acre-feet"/>
    <n v="0"/>
    <s v="Acre-feet per Year"/>
    <s v="U_8"/>
    <n v="3.4039024194010059E-4"/>
    <n v="38.817999999999998"/>
    <n v="-122.9512"/>
    <s v="BIG SULPHUR CREEK"/>
  </r>
  <r>
    <s v="S015621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.92"/>
    <n v="0"/>
    <n v="0.01"/>
    <n v="0.18"/>
    <n v="0.71"/>
    <n v="1.1499999999999999"/>
    <n v="1.47"/>
    <n v="0.61"/>
    <n v="0.13"/>
    <n v="0.03"/>
    <n v="0"/>
    <n v="5.21"/>
    <n v="4.1500000010000004"/>
    <n v="1.3765077273893251E-2"/>
    <n v="3.6004566212328767E-2"/>
    <n v="146"/>
    <s v="Acre-feet"/>
    <n v="0"/>
    <s v="Acre-feet per Year"/>
    <s v="U_4"/>
    <n v="0"/>
    <n v="39.13079355"/>
    <n v="-123.14756551000001"/>
    <s v="SOUTH FORK MILL CREEK"/>
  </r>
  <r>
    <s v="S015677"/>
    <n v="10000000"/>
    <n v="5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0"/>
    <n v="0.03"/>
    <n v="0"/>
    <n v="0"/>
    <n v="3"/>
    <n v="3.13"/>
    <n v="3.06"/>
    <n v="0.66"/>
    <n v="0.5"/>
    <n v="0"/>
    <n v="0"/>
    <n v="10.38"/>
    <n v="9.8666666666666671"/>
    <n v="3.2726609414382359E-2"/>
    <n v="3.2500000000000008E-2"/>
    <n v="320"/>
    <s v="Acre-feet"/>
    <n v="0"/>
    <s v="Acre-feet per Year"/>
    <s v="U_5"/>
    <n v="0"/>
    <n v="39.081696579999999"/>
    <n v="-123.16967185"/>
    <s v="RUSSIAN RIVER"/>
  </r>
  <r>
    <s v="S015689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0"/>
    <n v="5.0000000000000001E-4"/>
    <n v="0"/>
    <n v="0"/>
    <n v="0"/>
    <n v="0"/>
    <n v="0"/>
    <n v="0"/>
    <n v="0"/>
    <n v="5.0000000000000001E-4"/>
    <n v="5.0000000000000001E-4"/>
    <n v="1.6584430446477546E-6"/>
    <n v="5.579734404642339E-4"/>
    <n v="0.89610000000000001"/>
    <s v="Acre-feet"/>
    <n v="0"/>
    <s v="Acre-feet per Year"/>
    <s v="U_5"/>
    <n v="0"/>
    <n v="39.101853970000001"/>
    <n v="-123.19925569999999"/>
    <s v="ROBINSON CREEK"/>
  </r>
  <r>
    <s v="S015690"/>
    <n v="10000000"/>
    <n v="5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.03"/>
    <n v="4.33333333333333E-5"/>
    <n v="0.08"/>
    <n v="0.09"/>
    <n v="0.19"/>
    <n v="2.63333333333333E-3"/>
    <n v="0.01"/>
    <n v="0"/>
    <n v="3.1666666666666701E-3"/>
    <n v="0"/>
    <n v="0"/>
    <n v="0"/>
    <n v="0.40584333333333328"/>
    <n v="0.2150000000000003"/>
    <n v="7.1313050919853552E-4"/>
    <n v="0.30834404608865423"/>
    <n v="1.4001999999999999"/>
    <s v="Acre-feet"/>
    <n v="0"/>
    <s v="Acre-feet per Year"/>
    <s v="U_5"/>
    <n v="0"/>
    <n v="39.092064020000002"/>
    <n v="-123.17636184"/>
    <s v="RUSSIAN RIVER"/>
  </r>
  <r>
    <s v="S015691"/>
    <n v="10000000"/>
    <n v="5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0"/>
    <s v="N"/>
    <n v="0"/>
    <n v="0"/>
    <n v="0"/>
    <n v="0"/>
    <n v="0"/>
    <n v="0"/>
    <n v="0"/>
    <n v="0"/>
    <n v="0"/>
    <n v="0.97"/>
    <n v="0"/>
    <n v="0"/>
    <n v="0.97"/>
    <n v="0"/>
    <n v="0"/>
    <n v="13.857142857142856"/>
    <n v="7.0000000000000007E-2"/>
    <s v="Acre-feet"/>
    <n v="0"/>
    <s v="Acre-feet per Year"/>
    <s v="U_5"/>
    <n v="0"/>
    <n v="39.092206619999999"/>
    <n v="-123.17583565"/>
    <s v="RUSSIAN RIVER"/>
  </r>
  <r>
    <s v="S015721"/>
    <n v="10000000"/>
    <n v="11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0"/>
    <n v="0"/>
    <n v="0.16"/>
    <n v="0.35"/>
    <n v="0"/>
    <n v="0"/>
    <n v="0"/>
    <n v="0"/>
    <n v="0"/>
    <n v="0"/>
    <n v="0"/>
    <n v="0"/>
    <n v="0.51"/>
    <n v="0"/>
    <n v="0"/>
    <n v="3.2469076864852117E-4"/>
    <n v="1611.79"/>
    <s v="Acre-feet"/>
    <n v="0"/>
    <s v="Acre-feet per Year"/>
    <s v="U_11"/>
    <n v="0"/>
    <n v="38.657547000000001"/>
    <n v="-122.71653831"/>
    <s v="UNST"/>
  </r>
  <r>
    <s v="S015722"/>
    <n v="10000000"/>
    <n v="11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0"/>
    <n v="0"/>
    <n v="0.76"/>
    <n v="1.77"/>
    <n v="0"/>
    <n v="0"/>
    <n v="0"/>
    <n v="0"/>
    <n v="0"/>
    <n v="0"/>
    <n v="0"/>
    <n v="0"/>
    <n v="2.5300000000000002"/>
    <n v="0"/>
    <n v="0"/>
    <n v="1.967274479770938E-3"/>
    <n v="1289.432"/>
    <s v="Acre-feet"/>
    <n v="0"/>
    <s v="Acre-feet per Year"/>
    <s v="U_11"/>
    <n v="0"/>
    <n v="38.65889937"/>
    <n v="-122.71987897"/>
    <s v="UNST"/>
  </r>
  <r>
    <s v="S015723"/>
    <n v="10000000"/>
    <n v="11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5"/>
    <s v="Acre-feet"/>
    <n v="0"/>
    <s v="Acre-feet per Year"/>
    <s v="U_11"/>
    <n v="0"/>
    <n v="38.653412400000001"/>
    <n v="-122.72482076999999"/>
    <s v="UNST"/>
  </r>
  <r>
    <s v="S015745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0"/>
    <n v="0"/>
    <n v="0.16"/>
    <n v="0"/>
    <n v="0"/>
    <n v="0"/>
    <n v="0"/>
    <n v="0"/>
    <n v="0"/>
    <n v="0.16"/>
    <n v="0.16666666699999999"/>
    <n v="5.5281434932154695E-4"/>
    <n v="5.27426161392405E-2"/>
    <n v="3.16"/>
    <s v="Acre-feet"/>
    <n v="0"/>
    <s v="Acre-feet per Year"/>
    <s v="U_5"/>
    <n v="0"/>
    <n v="39.127327020000003"/>
    <n v="-123.15103486"/>
    <s v="UNST"/>
  </r>
  <r>
    <s v="S015746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0"/>
    <s v="N"/>
    <n v="0"/>
    <n v="0"/>
    <n v="0.16"/>
    <n v="1.08"/>
    <n v="0"/>
    <n v="0"/>
    <n v="0"/>
    <n v="0"/>
    <n v="0"/>
    <n v="0"/>
    <n v="0"/>
    <n v="0"/>
    <n v="1.24"/>
    <n v="0"/>
    <n v="0"/>
    <n v="0.21606008093587523"/>
    <n v="5.77"/>
    <s v="Acre-feet"/>
    <n v="0"/>
    <s v="Acre-feet per Year"/>
    <s v="U_1"/>
    <n v="0"/>
    <n v="39.278577630000001"/>
    <n v="-123.22345221"/>
    <s v="UNST"/>
  </r>
  <r>
    <s v="S015751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.02"/>
    <n v="0.02"/>
    <n v="0.05"/>
    <n v="0.05"/>
    <n v="0.02"/>
    <n v="0.09"/>
    <n v="7.0000000000000007E-2"/>
    <n v="0.08"/>
    <n v="0.21"/>
    <n v="0.27"/>
    <n v="0.19"/>
    <n v="0.17"/>
    <n v="1.24"/>
    <n v="0.49333333333333301"/>
    <n v="1.6363304707191165E-3"/>
    <n v="1.0914280916799599"/>
    <n v="1.1911"/>
    <s v="Acre-feet"/>
    <n v="0"/>
    <s v="Acre-feet per Year"/>
    <s v="U_10"/>
    <n v="3.4039024194010059E-4"/>
    <n v="38.682288069999998"/>
    <n v="-122.83590083"/>
    <s v="RUSSIAN RIVER UNDERFLOW"/>
  </r>
  <r>
    <s v="S015752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.06"/>
    <n v="0.06"/>
    <n v="0.06"/>
    <n v="0.12"/>
    <n v="0.48"/>
    <n v="1.29"/>
    <n v="2.2999999999999998"/>
    <n v="2.87"/>
    <n v="2.91"/>
    <n v="2.8"/>
    <n v="0.31"/>
    <n v="0.14000000000000001"/>
    <n v="13.4"/>
    <n v="9.8533333333333299"/>
    <n v="3.2682384266525068E-2"/>
    <n v="0.79058823529411759"/>
    <n v="17"/>
    <s v="Acre-feet"/>
    <n v="0"/>
    <s v="Acre-feet per Year"/>
    <s v="U_10"/>
    <n v="0"/>
    <n v="38.678567389999998"/>
    <n v="-122.83778393999999"/>
    <s v="RUSSIAN RIVER UNDERFLOW"/>
  </r>
  <r>
    <s v="S015753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0"/>
    <s v="N"/>
    <n v="0"/>
    <n v="0"/>
    <n v="0.13"/>
    <n v="6.6666666666666697E-4"/>
    <n v="0"/>
    <n v="0"/>
    <n v="0"/>
    <n v="0"/>
    <n v="0"/>
    <n v="0"/>
    <n v="0.09"/>
    <n v="0"/>
    <n v="0.22066666666666668"/>
    <n v="0"/>
    <n v="0"/>
    <n v="5.5999999999999918E-2"/>
    <n v="4"/>
    <s v="Acre-feet"/>
    <n v="0"/>
    <s v="Acre-feet per Year"/>
    <s v="U_10"/>
    <n v="0"/>
    <n v="38.678567389999998"/>
    <n v="-122.83778393999999"/>
    <s v="RUSSIAN RIVER UNDERFLOW"/>
  </r>
  <r>
    <s v="S015758"/>
    <n v="10000000"/>
    <n v="11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.68"/>
    <n v="0.62"/>
    <n v="0.68"/>
    <n v="0.66"/>
    <n v="0.69"/>
    <n v="0.68"/>
    <n v="0.71"/>
    <n v="0.71"/>
    <n v="0.69"/>
    <n v="0.7"/>
    <n v="0.66"/>
    <n v="0.68"/>
    <n v="8.16"/>
    <n v="3.48"/>
    <n v="1.1542763590748371E-2"/>
    <n v="0.68"/>
    <n v="12"/>
    <s v="Acre-feet"/>
    <n v="0"/>
    <s v="Acre-feet per Year"/>
    <s v="U_11"/>
    <n v="3.4039024194010059E-4"/>
    <n v="38.691607130000001"/>
    <n v="-122.66870385999999"/>
    <s v="UNST"/>
  </r>
  <r>
    <s v="S015759"/>
    <n v="10000000"/>
    <n v="11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"/>
    <n v="0"/>
    <n v="0"/>
    <n v="0"/>
    <n v="1E-3"/>
    <n v="1E-3"/>
    <n v="1E-3"/>
    <n v="0"/>
    <n v="0"/>
    <n v="0"/>
    <n v="0"/>
    <n v="3.0000000000000001E-3"/>
    <n v="3.0000000000000001E-3"/>
    <n v="9.9506582678865273E-6"/>
    <n v="0.7142857142857143"/>
    <n v="4.1999999999999997E-3"/>
    <s v="Acre-feet"/>
    <n v="0"/>
    <s v="Acre-feet per Year"/>
    <s v="U_11"/>
    <n v="0"/>
    <n v="38.690625930000003"/>
    <n v="-122.67219838"/>
    <s v="UNST"/>
  </r>
  <r>
    <s v="S015790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0.4"/>
    <n v="0.5"/>
    <n v="0.53"/>
    <n v="0.56999999999999995"/>
    <n v="0.56999999999999995"/>
    <n v="0.52"/>
    <n v="0.5"/>
    <n v="0"/>
    <n v="0"/>
    <n v="3.59"/>
    <n v="2.7074866659999999"/>
    <n v="8.9804248594084757E-3"/>
    <n v="35.13599220817121"/>
    <n v="0.1028"/>
    <s v="Acre-feet"/>
    <n v="0"/>
    <s v="Acre-feet per Year"/>
    <s v="U_6"/>
    <n v="0"/>
    <n v="38.945618719999999"/>
    <n v="-123.1294535"/>
    <s v="UNST"/>
  </r>
  <r>
    <s v="S015800"/>
    <n v="10000000"/>
    <n v="4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s v="Acre-feet per Year"/>
    <s v="U_4"/>
    <n v="0"/>
    <n v="39.17159917"/>
    <n v="-123.19271120000001"/>
    <s v="RUSSIAN RIVER"/>
  </r>
  <r>
    <s v="S015805"/>
    <n v="10000000"/>
    <n v="5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1.66"/>
    <n v="1.66"/>
    <n v="2"/>
    <n v="2.33"/>
    <n v="2.83"/>
    <n v="3"/>
    <n v="3"/>
    <n v="3"/>
    <n v="3"/>
    <n v="3"/>
    <n v="2"/>
    <n v="1.66"/>
    <n v="29.14"/>
    <n v="14.833333333000001"/>
    <n v="4.920047699011109E-2"/>
    <n v="0.72553897181592042"/>
    <n v="40.200000000000003"/>
    <s v="Acre-feet"/>
    <n v="0"/>
    <s v="Acre-feet per Year"/>
    <s v="U_5"/>
    <n v="3.4039024194010059E-4"/>
    <n v="39.04892624"/>
    <n v="-123.13743712"/>
    <s v="RUSSIAN RIVER UNDERFLOW"/>
  </r>
  <r>
    <s v="S015806"/>
    <n v="10000000"/>
    <n v="5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1.33"/>
    <n v="1.66"/>
    <n v="1.66"/>
    <n v="2.16"/>
    <n v="2.33"/>
    <n v="2.33"/>
    <n v="2.66"/>
    <n v="2.33"/>
    <n v="2.33"/>
    <n v="2"/>
    <n v="1.66"/>
    <n v="1.66"/>
    <n v="24.11"/>
    <n v="11.999999999000002"/>
    <n v="3.9802633068229232E-2"/>
    <n v="8.6309523810714286E-2"/>
    <n v="280"/>
    <s v="Acre-feet"/>
    <n v="0"/>
    <s v="Acre-feet per Year"/>
    <s v="U_5"/>
    <n v="0"/>
    <n v="39.043821870000002"/>
    <n v="-123.13429524"/>
    <s v="RUSSIAN RIVER"/>
  </r>
  <r>
    <s v="S015813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"/>
    <n v="0"/>
    <n v="0"/>
    <n v="50"/>
    <n v="50"/>
    <n v="50"/>
    <n v="50"/>
    <n v="50"/>
    <n v="0"/>
    <n v="0"/>
    <n v="0"/>
    <n v="250"/>
    <n v="250"/>
    <n v="0.82922152232387725"/>
    <n v="59.523809523809518"/>
    <n v="4.2"/>
    <s v="Acre-feet"/>
    <n v="0"/>
    <s v="Acre-feet per Year"/>
    <s v="U_12"/>
    <n v="3.4039024194010059E-4"/>
    <n v="38.631966239999997"/>
    <n v="-122.76634349"/>
    <s v="MAACAMA CREEK"/>
  </r>
  <r>
    <s v="S015816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1.1000000000000001"/>
    <n v="1.1000000000000001"/>
    <n v="1.1000000000000001"/>
    <n v="0.36"/>
    <n v="0"/>
    <n v="0"/>
    <n v="0"/>
    <n v="3.66"/>
    <n v="3.6826613333333231"/>
    <n v="1.221496814811975E-2"/>
    <n v="4.5594081674932745E-3"/>
    <n v="807.70600000000002"/>
    <s v="Acre-feet"/>
    <n v="0"/>
    <s v="Acre-feet per Year"/>
    <s v="U_9"/>
    <n v="0"/>
    <n v="38.790369720000001"/>
    <n v="-123.00593886999999"/>
    <s v="RUSSIAN RIVER UNDERFLOW"/>
  </r>
  <r>
    <s v="S008592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2.0766333000000001E-2"/>
    <n v="2.0766333000000001E-2"/>
    <n v="2.0868667E-2"/>
    <n v="2.1993667000000001E-2"/>
    <n v="1.1763667E-2"/>
    <n v="1.1763667E-2"/>
    <n v="1.1763667E-2"/>
    <n v="1.1763667E-2"/>
    <n v="1.1763667E-2"/>
    <n v="1.2684667E-2"/>
    <n v="2.0766333000000001E-2"/>
    <n v="2.0766333000000001E-2"/>
    <n v="0.19743066800000003"/>
    <n v="5.8818334999999999E-2"/>
    <n v="1.9509371715702319E-4"/>
    <n v="3.7534347528517116"/>
    <n v="5.2600000000000001E-2"/>
    <s v="Acre-feet"/>
    <n v="0"/>
    <s v="Acre-feet per Year"/>
    <s v="L_20"/>
    <n v="3.4039024194010059E-4"/>
    <n v="38.561121460000003"/>
    <n v="-123.10623541"/>
    <s v="UNSP"/>
  </r>
  <r>
    <s v="S021488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6.6666666999999999E-2"/>
    <n v="0.1"/>
    <n v="0.1"/>
    <n v="1.2"/>
    <n v="1.2"/>
    <n v="1.266666667"/>
    <n v="1.1333333329999999"/>
    <n v="1"/>
    <n v="0"/>
    <n v="0"/>
    <n v="6.0666666669999998"/>
    <n v="4.9000000000000004"/>
    <n v="1.6252741837547997E-2"/>
    <n v="1.2527669285637881E-2"/>
    <n v="484.26139999999998"/>
    <s v="Acre-feet"/>
    <n v="0"/>
    <s v="Acre-feet per Year"/>
    <s v="L_15"/>
    <n v="0"/>
    <n v="38.661999999999999"/>
    <n v="-122.9348"/>
    <m/>
  </r>
  <r>
    <s v="S024512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2.4E-2"/>
    <n v="0.26268233299999999"/>
    <n v="1.0875683330000001"/>
    <n v="0.26884166700000001"/>
    <n v="1.214082667"/>
    <n v="1.4280713330000001"/>
    <n v="0.23370233300000001"/>
    <n v="0.52258033299999995"/>
    <n v="0.258590667"/>
    <n v="0"/>
    <n v="5.3001196659999996"/>
    <n v="4.2322663330000001"/>
    <n v="1.4037945326121414E-2"/>
    <n v="2.4339829928130235E-3"/>
    <n v="2177.5500000000002"/>
    <s v="Acre-feet"/>
    <n v="0"/>
    <s v="Acre-feet per Year"/>
    <s v="L_16"/>
    <n v="0"/>
    <n v="38.600999999999999"/>
    <n v="-122.87609999999999"/>
    <s v="DRY CREEK UNDERFLOW"/>
  </r>
  <r>
    <s v="S015830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2.1"/>
    <s v="Acre-feet"/>
    <n v="0"/>
    <s v="Acre-feet per Year"/>
    <s v="U_6"/>
    <n v="0"/>
    <n v="38.960589200000001"/>
    <n v="-123.0556548"/>
    <s v="UNST"/>
  </r>
  <r>
    <s v="S015831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0"/>
    <n v="0"/>
    <n v="0"/>
    <n v="0.73"/>
    <n v="0"/>
    <n v="0"/>
    <n v="0"/>
    <n v="0"/>
    <n v="0"/>
    <n v="0"/>
    <n v="0"/>
    <n v="0"/>
    <n v="0.73"/>
    <n v="0"/>
    <n v="0"/>
    <n v="6.7488802963371996E-4"/>
    <n v="1086.5999999999999"/>
    <s v="Acre-feet"/>
    <n v="0"/>
    <s v="Acre-feet per Year"/>
    <s v="U_6"/>
    <n v="0"/>
    <n v="38.966051579999998"/>
    <n v="-123.05890167"/>
    <s v="UNST"/>
  </r>
  <r>
    <s v="S015833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"/>
    <n v="0"/>
    <n v="0"/>
    <n v="1.2"/>
    <n v="0"/>
    <n v="0"/>
    <n v="0"/>
    <n v="0"/>
    <n v="0"/>
    <n v="0"/>
    <n v="0"/>
    <n v="1.2"/>
    <n v="1.2"/>
    <n v="3.9802633071546112E-3"/>
    <n v="1"/>
    <n v="1.2"/>
    <s v="Acre-feet"/>
    <n v="0"/>
    <s v="Acre-feet per Year"/>
    <s v="U_12"/>
    <n v="0"/>
    <n v="38.611114180000001"/>
    <n v="-122.76366951"/>
    <s v="FRANZ CREEK"/>
  </r>
  <r>
    <s v="S015840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0"/>
    <n v="0.92"/>
    <n v="0.92"/>
    <n v="0.92"/>
    <n v="0"/>
    <n v="0"/>
    <n v="0"/>
    <n v="0"/>
    <n v="0"/>
    <n v="0"/>
    <n v="0"/>
    <n v="0"/>
    <n v="2.7600000000000002"/>
    <n v="0"/>
    <n v="0"/>
    <n v="0.34302665840049595"/>
    <n v="8.0649999999999995"/>
    <s v="Acre-feet"/>
    <n v="0"/>
    <s v="Acre-feet per Year"/>
    <s v="U_12"/>
    <n v="0"/>
    <n v="38.620975649999998"/>
    <n v="-122.67906769"/>
    <s v="UNST"/>
  </r>
  <r>
    <s v="S015850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4.7300000000000004"/>
    <n v="5.13"/>
    <n v="3.8"/>
    <n v="1.26"/>
    <n v="0"/>
    <n v="0"/>
    <n v="0"/>
    <n v="0"/>
    <n v="0"/>
    <n v="0"/>
    <n v="0.7"/>
    <n v="1"/>
    <n v="16.619999999999997"/>
    <n v="0"/>
    <n v="0"/>
    <n v="0.46203703702777776"/>
    <n v="36"/>
    <s v="Acre-feet"/>
    <n v="0"/>
    <s v="Acre-feet per Year"/>
    <s v="U_12"/>
    <n v="0"/>
    <n v="38.665546759999998"/>
    <n v="-122.79542533999999"/>
    <s v="UNST"/>
  </r>
  <r>
    <s v="S015862"/>
    <n v="10000000"/>
    <n v="17"/>
    <s v="N"/>
    <s v="N"/>
    <s v="N"/>
    <s v="N"/>
    <x v="1"/>
    <s v="Outside"/>
    <s v="Outside"/>
    <x v="3"/>
    <n v="1000"/>
    <x v="14"/>
    <x v="0"/>
    <s v="N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4.5279999999999996"/>
    <s v="Acre-feet"/>
    <n v="0"/>
    <s v="Acre-feet per Year"/>
    <s v="L_17"/>
    <n v="3.4039024194010059E-4"/>
    <n v="38.573700000000002"/>
    <n v="-122.8767"/>
    <s v="UNST"/>
  </r>
  <r>
    <s v="S015863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1.33"/>
    <n v="1.33"/>
    <n v="0.83"/>
    <n v="0"/>
    <n v="0"/>
    <n v="0"/>
    <n v="0"/>
    <n v="0"/>
    <n v="0"/>
    <n v="0"/>
    <n v="0.16"/>
    <n v="0.83"/>
    <n v="4.4800000000000004"/>
    <n v="0"/>
    <n v="0"/>
    <n v="0.19565217386956521"/>
    <n v="23"/>
    <s v="Acre-feet"/>
    <n v="0"/>
    <s v="Acre-feet per Year"/>
    <s v="U_12"/>
    <n v="0"/>
    <n v="38.614201999999999"/>
    <n v="-122.66325341"/>
    <s v="UNST"/>
  </r>
  <r>
    <s v="S005225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0.47494933299999997"/>
    <n v="1.0552760000000001"/>
    <n v="1.0552760000000001"/>
    <n v="1.0552760000000001"/>
    <n v="1.0552760000000001"/>
    <n v="0.47494933299999997"/>
    <n v="0"/>
    <n v="0"/>
    <n v="5.1710026659999997"/>
    <n v="4.6960533330000001"/>
    <n v="1.5576273974817511E-2"/>
    <n v="2.3404344425233769E-2"/>
    <n v="220.94200000000001"/>
    <s v="Acre-feet"/>
    <n v="0"/>
    <s v="Acre-feet per Year"/>
    <s v="L_15"/>
    <n v="0"/>
    <n v="38.700613779999998"/>
    <n v="-122.95245805"/>
    <s v="DRY CREEK"/>
  </r>
  <r>
    <s v="S015871"/>
    <n v="10000000"/>
    <n v="8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5"/>
    <s v="Acre-feet"/>
    <n v="0"/>
    <s v="Acre-feet per Year"/>
    <s v="U_8"/>
    <n v="0"/>
    <n v="38.785407450000001"/>
    <n v="-122.90815768"/>
    <s v="LITTLE SULPHER CREEK"/>
  </r>
  <r>
    <s v="S015872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0"/>
    <n v="0"/>
    <n v="0.101273"/>
    <n v="0"/>
    <n v="0"/>
    <n v="0"/>
    <n v="0"/>
    <n v="0"/>
    <n v="0"/>
    <n v="0"/>
    <n v="0"/>
    <n v="0"/>
    <n v="0.101273"/>
    <n v="0"/>
    <n v="0"/>
    <n v="1.6878833333333332E-2"/>
    <n v="6"/>
    <s v="Acre-feet"/>
    <n v="0"/>
    <s v="Acre-feet per Year"/>
    <s v="L_25"/>
    <n v="0"/>
    <n v="38.425540050000002"/>
    <n v="-122.79624765"/>
    <s v="UNST"/>
  </r>
  <r>
    <s v="S015874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0"/>
    <s v="N"/>
    <n v="0"/>
    <n v="0.56000000000000005"/>
    <n v="0"/>
    <n v="0"/>
    <n v="0"/>
    <n v="0"/>
    <n v="0"/>
    <n v="0"/>
    <n v="0"/>
    <n v="0"/>
    <n v="0"/>
    <n v="0"/>
    <n v="0.56000000000000005"/>
    <n v="0"/>
    <n v="0"/>
    <n v="1.4166666666666675E-2"/>
    <n v="40"/>
    <s v="Acre-feet"/>
    <n v="0"/>
    <s v="Acre-feet per Year"/>
    <s v="U_9"/>
    <n v="0"/>
    <n v="38.773723400000002"/>
    <n v="-122.97764049"/>
    <s v="UNST"/>
  </r>
  <r>
    <s v="S015884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.1"/>
    <n v="0.11"/>
    <n v="0.2"/>
    <n v="0.19"/>
    <n v="0.16"/>
    <n v="0.13"/>
    <n v="0"/>
    <n v="0"/>
    <n v="0.89000000000000012"/>
    <n v="0.79668399999999995"/>
    <n v="2.6425100771643034E-3"/>
    <n v="9.8447096801597064E-4"/>
    <n v="941.72"/>
    <s v="Acre-feet"/>
    <n v="0"/>
    <s v="Acre-feet per Year"/>
    <s v="U_9"/>
    <n v="3.4039024194010059E-4"/>
    <n v="38.765825659999997"/>
    <n v="-122.96981558"/>
    <s v="UNST"/>
  </r>
  <r>
    <s v="S015885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2.5"/>
    <n v="10"/>
    <n v="2.5499999999999998"/>
    <n v="0.05"/>
    <n v="0.05"/>
    <n v="0.05"/>
    <n v="0.05"/>
    <n v="0.05"/>
    <n v="0.05"/>
    <n v="0.1"/>
    <n v="0.1"/>
    <n v="0.1"/>
    <n v="15.650000000000004"/>
    <n v="0.25"/>
    <n v="8.2922152232387718E-4"/>
    <n v="8.4992958890019135E-2"/>
    <n v="184.13290000000001"/>
    <s v="Acre-feet"/>
    <n v="0"/>
    <s v="Acre-feet per Year"/>
    <s v="L_24"/>
    <n v="0"/>
    <n v="38.493527780000001"/>
    <n v="-122.72991766"/>
    <s v="UNST"/>
  </r>
  <r>
    <s v="S015886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3.443333333"/>
    <n v="3.443333333"/>
    <n v="2.076666667"/>
    <n v="3.3333333E-2"/>
    <n v="0"/>
    <n v="0"/>
    <n v="0"/>
    <n v="0"/>
    <n v="0"/>
    <n v="0"/>
    <n v="0"/>
    <n v="0"/>
    <n v="8.9966666659999994"/>
    <n v="0"/>
    <n v="0"/>
    <n v="0.4885987588251906"/>
    <n v="18.4132"/>
    <s v="Acre-feet"/>
    <n v="0"/>
    <s v="Acre-feet per Year"/>
    <s v="L_24"/>
    <n v="0"/>
    <n v="38.49626035"/>
    <n v="-122.73204203"/>
    <s v="UNST"/>
  </r>
  <r>
    <s v="S015887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2.0459333E-2"/>
    <n v="2.0459333E-2"/>
    <n v="0"/>
    <n v="0"/>
    <n v="0"/>
    <n v="0"/>
    <n v="0"/>
    <n v="0"/>
    <n v="3.3333333E-2"/>
    <n v="3.3333333E-2"/>
    <n v="3.3333333E-2"/>
    <n v="0"/>
    <n v="0.140918665"/>
    <n v="3.3333333E-2"/>
    <n v="1.1056286853755495E-4"/>
    <n v="0.12580900366038744"/>
    <n v="1.1201000000000001"/>
    <s v="Acre-feet"/>
    <n v="0"/>
    <s v="Acre-feet per Year"/>
    <s v="L_24"/>
    <n v="0"/>
    <n v="38.490527159999999"/>
    <n v="-122.72674257"/>
    <s v="UNST"/>
  </r>
  <r>
    <s v="S015895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L_24"/>
    <n v="0"/>
    <n v="38.51131041"/>
    <n v="-122.64866824000001"/>
    <s v="MARK WEST CREEK"/>
  </r>
  <r>
    <s v="S015903"/>
    <n v="10000000"/>
    <n v="9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1.74"/>
    <n v="0.52"/>
    <n v="0.28000000000000003"/>
    <n v="0"/>
    <n v="0"/>
    <n v="0"/>
    <n v="0"/>
    <n v="0"/>
    <n v="0"/>
    <n v="0.01"/>
    <n v="0.45"/>
    <n v="0.46"/>
    <n v="3.46"/>
    <n v="0"/>
    <n v="0"/>
    <n v="0.54789902775164623"/>
    <n v="6.3780000000000001"/>
    <s v="Acre-feet"/>
    <n v="0"/>
    <s v="Acre-feet per Year"/>
    <s v="U_9"/>
    <n v="0"/>
    <n v="38.771275580000001"/>
    <n v="-123.00707236"/>
    <s v="UNST"/>
  </r>
  <r>
    <s v="S015906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"/>
    <s v="Acre-feet"/>
    <n v="0"/>
    <s v="Acre-feet per Year"/>
    <s v="L_18"/>
    <n v="3.4039024194010059E-4"/>
    <n v="38.391643569999999"/>
    <n v="-122.88833364"/>
    <s v="SOUTH BRANCH OF WEST FORK ATASCADERO CREEK"/>
  </r>
  <r>
    <s v="S015908"/>
    <n v="10000000"/>
    <n v="21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0.66666666699999999"/>
    <n v="0.33333333300000001"/>
    <n v="0.33333333300000001"/>
    <n v="0"/>
    <n v="0"/>
    <n v="0"/>
    <n v="0"/>
    <n v="0"/>
    <n v="0"/>
    <n v="0"/>
    <n v="0.33333333300000001"/>
    <n v="0.33333333300000001"/>
    <n v="1.9999999990000004"/>
    <n v="0"/>
    <n v="0"/>
    <n v="0.33333333316666675"/>
    <n v="6"/>
    <s v="Acre-feet"/>
    <n v="0"/>
    <s v="Acre-feet per Year"/>
    <s v="L_21"/>
    <n v="0"/>
    <n v="38.417729199999997"/>
    <n v="-122.95741925999999"/>
    <s v="UNST"/>
  </r>
  <r>
    <s v="S015910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0.5"/>
    <n v="0.5"/>
    <n v="0"/>
    <n v="0"/>
    <n v="0"/>
    <n v="0"/>
    <n v="0"/>
    <n v="0"/>
    <n v="0"/>
    <n v="0"/>
    <n v="0"/>
    <n v="0.5"/>
    <n v="1.5"/>
    <n v="0"/>
    <n v="0"/>
    <n v="0"/>
    <n v="0"/>
    <s v="Acre-feet"/>
    <n v="0"/>
    <s v="Acre-feet per Year"/>
    <s v="U_12"/>
    <n v="0"/>
    <n v="38.584125419999999"/>
    <n v="-122.64023389"/>
    <s v="UNST"/>
  </r>
  <r>
    <s v="S014058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6.6666666999999999E-2"/>
    <n v="0.2"/>
    <n v="0"/>
    <n v="0.76666666699999997"/>
    <n v="0.86666666699999995"/>
    <n v="1.3666666670000001"/>
    <n v="1.6333333329999999"/>
    <n v="0.63333333300000005"/>
    <n v="0"/>
    <n v="0"/>
    <n v="5.5333333340000008"/>
    <n v="4.6333333339999996"/>
    <n v="1.5368238882613782E-2"/>
    <n v="5.9629238334904531E-3"/>
    <n v="927.95640000000003"/>
    <s v="Acre-feet"/>
    <n v="0"/>
    <s v="Acre-feet per Year"/>
    <s v="L_16"/>
    <n v="0"/>
    <n v="38.648702520000001"/>
    <n v="-122.88435610000001"/>
    <s v="DRY CREEK"/>
  </r>
  <r>
    <s v="S015923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65280000000000005"/>
    <s v="Acre-feet"/>
    <n v="0"/>
    <s v="Acre-feet per Year"/>
    <s v="L_18"/>
    <n v="0"/>
    <n v="38.437077739999999"/>
    <n v="-122.88994477"/>
    <s v="PURRINGTON CREEK"/>
  </r>
  <r>
    <s v="S015924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4.0199999999999996"/>
    <n v="7.41"/>
    <n v="2.96"/>
    <n v="0"/>
    <n v="0"/>
    <n v="0"/>
    <n v="0"/>
    <n v="14.39"/>
    <n v="14.393333333333329"/>
    <n v="4.7741047111926685E-2"/>
    <n v="0.47818383167220357"/>
    <n v="30.1"/>
    <s v="Acre-feet"/>
    <n v="0"/>
    <s v="Acre-feet per Year"/>
    <s v="U_6"/>
    <n v="0"/>
    <n v="39.012989169999997"/>
    <n v="-123.11961415"/>
    <s v="RUSSIAN RIVER UNDERFLOW"/>
  </r>
  <r>
    <s v="S015942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.48"/>
    <n v="1.3"/>
    <n v="0"/>
    <n v="0"/>
    <n v="0"/>
    <n v="0"/>
    <n v="0"/>
    <n v="8.24"/>
    <n v="3.35"/>
    <n v="0.57999999999999996"/>
    <n v="0"/>
    <n v="13.95"/>
    <n v="8.24"/>
    <n v="2.7331141375794996E-2"/>
    <n v="3.740178234771685E-3"/>
    <n v="3730.66"/>
    <s v="Acre-feet"/>
    <n v="0"/>
    <s v="Acre-feet per Year"/>
    <s v="U_10"/>
    <n v="0"/>
    <n v="38.67906687"/>
    <n v="-122.84600521"/>
    <s v="RUSSIAN RIVER UNDERFLOW"/>
  </r>
  <r>
    <s v="S023678"/>
    <n v="10000000"/>
    <n v="17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0.15666666700000001"/>
    <n v="1.4"/>
    <n v="1.8433333329999999"/>
    <n v="1.34"/>
    <n v="0.96666666700000003"/>
    <n v="0.70666666700000003"/>
    <n v="0.11333333299999999"/>
    <n v="0"/>
    <n v="6.5266666670000006"/>
    <n v="5.7066666670000004"/>
    <n v="1.892836328401867E-2"/>
    <n v="0"/>
    <n v="0"/>
    <s v="Acre-feet"/>
    <n v="0"/>
    <s v="Acre-feet per Year"/>
    <s v="L_16"/>
    <n v="0"/>
    <n v="38.584400000000002"/>
    <n v="-122.87139999999999"/>
    <s v="MILL CREEK"/>
  </r>
  <r>
    <s v="S015945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3.43"/>
    <n v="5.83"/>
    <n v="3.03"/>
    <n v="0.03"/>
    <n v="0.2"/>
    <n v="0.4"/>
    <n v="0.56000000000000005"/>
    <n v="2.6"/>
    <n v="1.43"/>
    <n v="0"/>
    <n v="0"/>
    <n v="17.509999999999998"/>
    <n v="3.8000000000000003"/>
    <n v="1.2604167139322935E-2"/>
    <n v="0.19099491648511244"/>
    <n v="91.8"/>
    <s v="Acre-feet"/>
    <n v="0"/>
    <s v="Acre-feet per Year"/>
    <s v="U_10"/>
    <n v="0"/>
    <n v="38.677199999999999"/>
    <n v="-122.8567"/>
    <s v="RUSSIAN RIVER UNDERFLOW"/>
  </r>
  <r>
    <s v="S015948"/>
    <n v="10000000"/>
    <n v="21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L_21"/>
    <n v="3.4039024194010059E-4"/>
    <n v="38.551200000000001"/>
    <n v="-123.01900000000001"/>
    <s v="UNNAMED STREAM"/>
  </r>
  <r>
    <s v="S015950"/>
    <n v="10000000"/>
    <n v="9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.3E-2"/>
    <s v="Acre-feet"/>
    <n v="0"/>
    <s v="Acre-feet per Year"/>
    <s v="U_9"/>
    <n v="3.4039024194010059E-4"/>
    <n v="38.765853929999999"/>
    <n v="-122.99892841"/>
    <s v="RAINS CREEK (SHOWN AS UNST)"/>
  </r>
  <r>
    <s v="S015951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.5"/>
    <n v="2.56"/>
    <n v="0"/>
    <n v="0"/>
    <n v="0"/>
    <n v="0"/>
    <n v="3.96"/>
    <n v="1.23"/>
    <n v="0.56000000000000005"/>
    <n v="1.2"/>
    <n v="0"/>
    <n v="10.01"/>
    <n v="5.2"/>
    <n v="1.7247807664336649E-2"/>
    <n v="0.92473118279569932"/>
    <n v="10.85"/>
    <s v="Acre-feet"/>
    <n v="0"/>
    <s v="Acre-feet per Year"/>
    <s v="U_10"/>
    <n v="0"/>
    <n v="38.667000000000002"/>
    <n v="-122.8266"/>
    <s v="RUSSIAN RIVER UNDERFLOW"/>
  </r>
  <r>
    <s v="S015952"/>
    <n v="10000000"/>
    <n v="13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.01"/>
    <n v="0.01"/>
    <n v="0.01"/>
    <n v="0.01"/>
    <n v="0.01"/>
    <n v="0.01"/>
    <n v="3.6825E-3"/>
    <n v="9.5134999999999994E-3"/>
    <n v="6.1380000000000002E-3"/>
    <n v="5.8310000000000002E-3"/>
    <n v="0.01"/>
    <n v="0.01"/>
    <n v="0.10516499999999999"/>
    <n v="5.1556999999999999E-2"/>
    <n v="1.7100869610580855E-4"/>
    <n v="1.365943000838223"/>
    <n v="0.1193"/>
    <s v="Acre-feet"/>
    <n v="0"/>
    <s v="Acre-feet per Year"/>
    <s v="U_13"/>
    <n v="3.4039024194010059E-4"/>
    <n v="38.614199999999997"/>
    <n v="-122.8309"/>
    <s v="RUSSIAN RIVER"/>
  </r>
  <r>
    <s v="S015953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9.956800000000001"/>
    <s v="Acre-feet"/>
    <n v="0"/>
    <s v="Acre-feet per Year"/>
    <s v="U_12"/>
    <n v="3.4039024194010059E-4"/>
    <n v="38.617400000000004"/>
    <n v="-122.7743"/>
    <s v="MAACAMA CREEK"/>
  </r>
  <r>
    <s v="S015901"/>
    <n v="10000000"/>
    <n v="19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"/>
    <n v="0.41666666699999999"/>
    <n v="0.66"/>
    <n v="0.85"/>
    <n v="0"/>
    <n v="0"/>
    <n v="0"/>
    <n v="0"/>
    <n v="0.22666666699999999"/>
    <n v="0.33333333300000001"/>
    <n v="0"/>
    <n v="2.4866666670000002"/>
    <n v="0.85"/>
    <n v="2.8193531759011826E-3"/>
    <n v="6.5784832460317466E-2"/>
    <n v="37.799999999999997"/>
    <s v="Acre-feet"/>
    <n v="0"/>
    <s v="Acre-feet per Year"/>
    <s v="L_19"/>
    <n v="0"/>
    <n v="38.516949830000001"/>
    <n v="-122.97971989"/>
    <s v="RUSSIAN RIVER UNDERFLOW"/>
  </r>
  <r>
    <s v="S015962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.1"/>
    <n v="0"/>
    <n v="0.93"/>
    <n v="1.96"/>
    <n v="2.56"/>
    <n v="4.9000000000000004"/>
    <n v="5.93"/>
    <n v="1.36"/>
    <n v="0"/>
    <n v="0"/>
    <n v="17.740000000000002"/>
    <n v="16.300000000000004"/>
    <n v="5.4065243255516815E-2"/>
    <n v="51.082997891508548"/>
    <n v="0.3478"/>
    <s v="Acre-feet"/>
    <n v="0"/>
    <s v="Acre-feet per Year"/>
    <s v="U_10"/>
    <n v="0"/>
    <n v="38.671858980000003"/>
    <n v="-122.85399335"/>
    <s v="RUSSIAN RIVER UNDERFLOW"/>
  </r>
  <r>
    <s v="S015963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.1"/>
    <n v="0"/>
    <n v="0"/>
    <n v="0"/>
    <n v="0"/>
    <n v="0"/>
    <n v="0.56000000000000005"/>
    <n v="0.43"/>
    <n v="0"/>
    <n v="0"/>
    <n v="1.0900000000000001"/>
    <n v="0.56666666666666698"/>
    <n v="1.8795687839341228E-3"/>
    <n v="3.8935847881181953E-4"/>
    <n v="2825.16"/>
    <s v="Acre-feet"/>
    <n v="0"/>
    <s v="Acre-feet per Year"/>
    <s v="U_10"/>
    <n v="0"/>
    <n v="38.671190520000003"/>
    <n v="-122.85153337"/>
    <s v="RUSSIAN RIVER UNDERFLOW"/>
  </r>
  <r>
    <s v="S015964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310.5079999999998"/>
    <s v="Acre-feet"/>
    <n v="0"/>
    <s v="Acre-feet per Year"/>
    <s v="U_10"/>
    <n v="0"/>
    <n v="38.671401770000003"/>
    <n v="-122.84137767"/>
    <s v="RUSSIAN RIVER UNDERFLOW"/>
  </r>
  <r>
    <s v="S015965"/>
    <n v="10000000"/>
    <n v="10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"/>
    <n v="0.15"/>
    <n v="0"/>
    <n v="1.4"/>
    <n v="2.95"/>
    <n v="3.85"/>
    <n v="7.35"/>
    <n v="8.0500000000000007"/>
    <n v="1.4"/>
    <n v="0"/>
    <n v="0"/>
    <n v="25.15"/>
    <n v="23.6"/>
    <n v="7.8278511707374016E-2"/>
    <n v="1.1534348050213626E-2"/>
    <n v="2180.444"/>
    <s v="Acre-feet"/>
    <n v="0"/>
    <s v="Acre-feet per Year"/>
    <s v="U_10"/>
    <n v="0"/>
    <n v="38.671335200000001"/>
    <n v="-122.81212832"/>
    <s v="RUSSIAN RIVER UNDERFLOW"/>
  </r>
  <r>
    <s v="S015981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6.5500000000000003E-2"/>
    <s v="Acre-feet"/>
    <n v="0"/>
    <s v="Acre-feet per Year"/>
    <s v="L_24"/>
    <n v="3.4039024194010059E-4"/>
    <n v="38.518722769999997"/>
    <n v="-122.59787978"/>
    <s v="MARK WEST CREEK"/>
  </r>
  <r>
    <s v="S015989"/>
    <n v="10000000"/>
    <n v="11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4.488"/>
    <s v="Acre-feet"/>
    <n v="0"/>
    <s v="Acre-feet per Year"/>
    <s v="U_11"/>
    <n v="0"/>
    <n v="38.645215129999997"/>
    <n v="-122.68034897"/>
    <s v="FOOTE CREEK"/>
  </r>
  <r>
    <s v="S015990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1.45"/>
    <n v="1.45"/>
    <n v="1.53"/>
    <n v="1.95"/>
    <n v="2.19"/>
    <n v="2.0099999999999998"/>
    <n v="2.2200000000000002"/>
    <n v="1.42"/>
    <n v="1.45"/>
    <n v="1.85"/>
    <n v="1.73"/>
    <n v="0.92"/>
    <n v="20.170000000000002"/>
    <n v="9.3033333333333292"/>
    <n v="3.085809691741254E-2"/>
    <n v="0.50691899670364571"/>
    <n v="39.841999999999999"/>
    <s v="Acre-feet"/>
    <n v="0"/>
    <s v="Acre-feet per Year"/>
    <s v="U_9"/>
    <n v="0"/>
    <n v="38.789983630000002"/>
    <n v="-123.00295102"/>
    <s v="UNDERFLOW RUSSIAN RIVER"/>
  </r>
  <r>
    <s v="S015997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3.3666666670000001"/>
    <n v="2.1666666669999999"/>
    <n v="0.56666666700000001"/>
    <n v="0.233333333"/>
    <n v="0.63333333300000005"/>
    <n v="6.6666666999999999E-2"/>
    <n v="0.1"/>
    <n v="0.133333333"/>
    <n v="0"/>
    <n v="0"/>
    <n v="0"/>
    <n v="7.266666667"/>
    <n v="1.166666666"/>
    <n v="3.8697004353001698E-3"/>
    <n v="1.6377616757006503E-3"/>
    <n v="4436.95"/>
    <s v="Acre-feet"/>
    <n v="0"/>
    <s v="Acre-feet per Year"/>
    <s v="L_24"/>
    <n v="0"/>
    <n v="38.483702260000001"/>
    <n v="-122.82344642"/>
    <s v="UNST"/>
  </r>
  <r>
    <s v="S015998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28.933333333333341"/>
    <n v="9.5968570850283416E-2"/>
    <n v="1.5856210011195603E-2"/>
    <n v="1973.99"/>
    <s v="Acre-feet"/>
    <n v="0"/>
    <s v="Acre-feet per Year"/>
    <s v="U_10"/>
    <n v="0"/>
    <n v="38.693159170000001"/>
    <n v="-122.87001622"/>
    <s v="RUSSIAN RIVER UNDERFLOW"/>
  </r>
  <r>
    <s v="S015999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7.9"/>
    <n v="2.6203400105434524E-2"/>
    <n v="7.8794383883756536E-3"/>
    <n v="1611.79"/>
    <s v="Acre-feet"/>
    <n v="0"/>
    <s v="Acre-feet per Year"/>
    <s v="U_10"/>
    <n v="0"/>
    <n v="38.692200769999999"/>
    <n v="-122.86965413999999"/>
    <s v="RUSSIAN RIVER UNDERFLOW"/>
  </r>
  <r>
    <s v="S016000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8.7666666666666728"/>
    <n v="2.9078034716157317E-2"/>
    <n v="6.9281151183880488E-3"/>
    <n v="1611.79"/>
    <s v="Acre-feet"/>
    <n v="0"/>
    <s v="Acre-feet per Year"/>
    <s v="U_10"/>
    <n v="0"/>
    <n v="38.692893759999997"/>
    <n v="-122.86878661999999"/>
    <s v="RUSSIAN RIVER UNDERFLOW"/>
  </r>
  <r>
    <s v="S016001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17.166666666666671"/>
    <n v="5.6939877866239587E-2"/>
    <n v="1.2358339249559572E-2"/>
    <n v="1774.78"/>
    <s v="Acre-feet"/>
    <n v="0"/>
    <s v="Acre-feet per Year"/>
    <s v="U_10"/>
    <n v="0"/>
    <n v="38.692629650000001"/>
    <n v="-122.86738185"/>
    <s v="RUSSIAN RIVER UNDERFLOW"/>
  </r>
  <r>
    <s v="S016002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6.8000000000000034"/>
    <n v="2.2554825407209472E-2"/>
    <n v="1.915222787668951E-2"/>
    <n v="402.04199999999997"/>
    <s v="Acre-feet"/>
    <n v="0"/>
    <s v="Acre-feet per Year"/>
    <s v="U_9"/>
    <n v="0"/>
    <n v="38.804023970000003"/>
    <n v="-122.99876202999999"/>
    <s v="RUSSIAN RIVER UNDERFLOW"/>
  </r>
  <r>
    <s v="S016003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42.166666666666664"/>
    <n v="0.1398620300986273"/>
    <n v="5.9570890603469304E-2"/>
    <n v="804.08399999999995"/>
    <s v="Acre-feet"/>
    <n v="0"/>
    <s v="Acre-feet per Year"/>
    <s v="U_9"/>
    <n v="0"/>
    <n v="38.80345827"/>
    <n v="-123.00068426"/>
    <s v="RUSSIAN RIVER UNDERFLOW"/>
  </r>
  <r>
    <s v="S016004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1.33333333333333E-3"/>
    <n v="4.4225147857273347E-6"/>
    <n v="1.10215791498174E-6"/>
    <n v="1209.748"/>
    <s v="Acre-feet"/>
    <n v="0"/>
    <s v="Acre-feet per Year"/>
    <s v="U_9"/>
    <n v="0"/>
    <n v="38.80302073"/>
    <n v="-123.00366106"/>
    <s v="RUSSIAN RIVER UNDERFLOW"/>
  </r>
  <r>
    <s v="S016005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1.666666666666667E-2"/>
    <n v="5.5281434821591827E-5"/>
    <n v="1.3943967560753871E-4"/>
    <n v="119.526"/>
    <s v="Acre-feet"/>
    <n v="0"/>
    <s v="Acre-feet per Year"/>
    <s v="U_9"/>
    <n v="0"/>
    <n v="38.802349460000002"/>
    <n v="-123.00189693999999"/>
    <s v="RUSSIAN RIVER UNDERFLOW"/>
  </r>
  <r>
    <s v="S016006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3.2999999999999958"/>
    <n v="1.0945724094675167E-2"/>
    <n v="5.8594758649182224E-3"/>
    <n v="1006.9160000000001"/>
    <s v="Acre-feet"/>
    <n v="0"/>
    <s v="Acre-feet per Year"/>
    <s v="U_9"/>
    <n v="0"/>
    <n v="38.799338349999999"/>
    <n v="-123.00080182000001"/>
    <s v="RUSSIAN RIVER UNDERFLOW"/>
  </r>
  <r>
    <s v="S016007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8.5333333333333314"/>
    <n v="2.8304094628655005E-2"/>
    <n v="6.8170508074796672E-3"/>
    <n v="1369.116"/>
    <s v="Acre-feet"/>
    <n v="0"/>
    <s v="Acre-feet per Year"/>
    <s v="U_9"/>
    <n v="0"/>
    <n v="38.80044865"/>
    <n v="-122.99941373"/>
    <s v="RUSSIAN RIVER UNDERFLOW"/>
  </r>
  <r>
    <s v="S016008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7.6666666666666696"/>
    <n v="2.5429460017932247E-2"/>
    <n v="1.0306002091532467E-2"/>
    <n v="967.07399999999996"/>
    <s v="Acre-feet"/>
    <n v="0"/>
    <s v="Acre-feet per Year"/>
    <s v="U_9"/>
    <n v="0"/>
    <n v="38.800469720000002"/>
    <n v="-122.99695755"/>
    <s v="RUSSIAN RIVER UNDERFLOW"/>
  </r>
  <r>
    <s v="S016009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0.8"/>
    <n v="2.6535088714364071E-3"/>
    <n v="2.0451152422439013E-3"/>
    <n v="521.56799999999998"/>
    <s v="Acre-feet"/>
    <n v="0"/>
    <s v="Acre-feet per Year"/>
    <s v="U_9"/>
    <n v="0"/>
    <n v="38.728362969999999"/>
    <n v="-122.91443509"/>
    <s v="RUSSIAN RIVER UNDERFLOW"/>
  </r>
  <r>
    <s v="S016010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0.1"/>
    <n v="3.3168860892955089E-4"/>
    <n v="1.8240217025418579E-3"/>
    <n v="402.04199999999997"/>
    <s v="Acre-feet"/>
    <n v="0"/>
    <s v="Acre-feet per Year"/>
    <s v="U_9"/>
    <n v="0"/>
    <n v="38.728049830000003"/>
    <n v="-122.91688852"/>
    <s v="RUSSIAN RIVER UNDERFLOW"/>
  </r>
  <r>
    <s v="S016011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0"/>
    <s v="N"/>
    <n v="0"/>
    <n v="0"/>
    <n v="0"/>
    <n v="0"/>
    <n v="0"/>
    <n v="0"/>
    <n v="0"/>
    <n v="0"/>
    <n v="0"/>
    <n v="0"/>
    <n v="0"/>
    <n v="0"/>
    <n v="0"/>
    <n v="0"/>
    <n v="0"/>
    <n v="2.0758688549092223E-6"/>
    <n v="481.726"/>
    <s v="Acre-feet"/>
    <n v="0"/>
    <s v="Acre-feet per Year"/>
    <s v="U_9"/>
    <n v="0"/>
    <n v="38.728597440000001"/>
    <n v="-122.91639426"/>
    <s v="RUSSIAN RIVER UNDERFLOW"/>
  </r>
  <r>
    <s v="S016012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2.3333333333333299"/>
    <n v="7.7394008750228437E-3"/>
    <n v="6.9625833528078824E-3"/>
    <n v="967.07399999999996"/>
    <s v="Acre-feet"/>
    <n v="0"/>
    <s v="Acre-feet per Year"/>
    <s v="U_9"/>
    <n v="0"/>
    <n v="38.729211249999999"/>
    <n v="-122.91586228"/>
    <s v="RUSSIAN RIVER UNDERFLOW"/>
  </r>
  <r>
    <s v="S016013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0"/>
    <s v="N"/>
    <n v="0"/>
    <n v="0"/>
    <n v="0"/>
    <n v="0"/>
    <n v="0"/>
    <n v="0"/>
    <n v="0"/>
    <n v="0"/>
    <n v="0"/>
    <n v="0"/>
    <n v="0"/>
    <n v="0"/>
    <n v="0"/>
    <n v="0"/>
    <n v="0"/>
    <n v="7.2698890119262695E-4"/>
    <n v="2017.454"/>
    <s v="Acre-feet"/>
    <n v="0"/>
    <s v="Acre-feet per Year"/>
    <s v="U_9"/>
    <n v="0"/>
    <n v="38.724378469999998"/>
    <n v="-122.90918184"/>
    <s v="RUSSIAN RIVER UNDERFLOW"/>
  </r>
  <r>
    <s v="S016021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79.683999999999997"/>
    <s v="Acre-feet"/>
    <n v="0"/>
    <s v="Acre-feet per Year"/>
    <s v="U_10"/>
    <n v="0"/>
    <n v="38.701897989999999"/>
    <n v="-122.89306936"/>
    <s v="RUSSIAN RIVER UNDERFLOW"/>
  </r>
  <r>
    <s v="S016022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.04"/>
    <n v="0.04"/>
    <n v="0.02"/>
    <n v="0.03"/>
    <n v="0.09"/>
    <n v="0.12"/>
    <n v="0.17"/>
    <n v="0.24"/>
    <n v="0.23"/>
    <n v="0.17"/>
    <n v="0.08"/>
    <n v="0.03"/>
    <n v="1.26"/>
    <n v="0.86333333333333373"/>
    <n v="2.8635783237584574E-3"/>
    <n v="1.6314442046082032E-2"/>
    <n v="79.683999999999997"/>
    <s v="Acre-feet"/>
    <n v="0"/>
    <s v="Acre-feet per Year"/>
    <s v="U_10"/>
    <n v="0"/>
    <n v="38.701396619999997"/>
    <n v="-122.89077125"/>
    <s v="RUSSIAN RIVER UNDERFLOW"/>
  </r>
  <r>
    <s v="S016023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.04"/>
    <n v="0.46"/>
    <n v="0"/>
    <n v="0.28999999999999998"/>
    <n v="1.56"/>
    <n v="2.72"/>
    <n v="5.4"/>
    <n v="2.06"/>
    <n v="0.96"/>
    <n v="0.03"/>
    <n v="0"/>
    <n v="13.520000000000001"/>
    <n v="12.04333333333334"/>
    <n v="3.9946364802082267E-2"/>
    <n v="1.7013034820875801E-2"/>
    <n v="796.84"/>
    <s v="Acre-feet"/>
    <n v="0"/>
    <s v="Acre-feet per Year"/>
    <s v="U_10"/>
    <n v="0"/>
    <n v="38.700897169999998"/>
    <n v="-122.89036901999999"/>
    <s v="RUSSIAN RIVER UNDERFLOW"/>
  </r>
  <r>
    <s v="S016024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0"/>
    <s v="N"/>
    <n v="0"/>
    <n v="0.03"/>
    <n v="0.46"/>
    <n v="0"/>
    <n v="0"/>
    <n v="0"/>
    <n v="0"/>
    <n v="0"/>
    <n v="0"/>
    <n v="0"/>
    <n v="0.63"/>
    <n v="0"/>
    <n v="1.1200000000000001"/>
    <n v="0"/>
    <n v="0"/>
    <n v="9.3627358486928999E-4"/>
    <n v="1210.4724000000001"/>
    <s v="Acre-feet"/>
    <n v="0"/>
    <s v="Acre-feet per Year"/>
    <s v="U_10"/>
    <n v="0"/>
    <n v="38.702973319999998"/>
    <n v="-122.89142526000001"/>
    <s v="RUSSIAN RIVER UNDERFLOW"/>
  </r>
  <r>
    <s v="S016025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210.4724000000001"/>
    <s v="Acre-feet"/>
    <n v="0"/>
    <s v="Acre-feet per Year"/>
    <s v="L_24"/>
    <n v="0"/>
    <n v="38.496000870000003"/>
    <n v="-122.8051663"/>
    <s v="MARK WEST CREEK"/>
  </r>
  <r>
    <s v="S015828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0.114666667"/>
    <n v="0.53166666699999998"/>
    <n v="0.752"/>
    <n v="1.296666667"/>
    <n v="1.0900000000000001"/>
    <n v="0.81966666700000002"/>
    <n v="0.103333333"/>
    <n v="0"/>
    <n v="4.7080000010000003"/>
    <n v="3.7850000010000002"/>
    <n v="1.2554413851300388E-2"/>
    <n v="0.99155451675407014"/>
    <n v="4.7481"/>
    <s v="Acre-feet"/>
    <n v="0"/>
    <s v="Acre-feet per Year"/>
    <s v="L_16"/>
    <n v="0"/>
    <n v="38.644497680000001"/>
    <n v="-122.91319161"/>
    <s v="DRY CREEK UNDERFLOW"/>
  </r>
  <r>
    <s v="S016068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6.5140000000000003E-2"/>
    <n v="5.5137667000000001E-2"/>
    <n v="1.32422"/>
    <n v="0.18515300000000001"/>
    <n v="1.6703809999999999"/>
    <n v="1.1857249999999999"/>
    <n v="0.113446667"/>
    <n v="0"/>
    <n v="0"/>
    <n v="0"/>
    <n v="4.5992033339999994"/>
    <n v="4.4789256669999995"/>
    <n v="1.4856086239860906E-2"/>
    <n v="5.7198045651946803E-3"/>
    <n v="804.08399999999995"/>
    <s v="Acre-feet"/>
    <n v="0"/>
    <s v="Acre-feet per Year"/>
    <s v="L_16"/>
    <n v="0"/>
    <n v="38.6511"/>
    <n v="-122.9284"/>
    <s v="DRY CREEK UNDERFLOW"/>
  </r>
  <r>
    <s v="S018222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.123333333"/>
    <n v="0.21"/>
    <n v="0.796666667"/>
    <n v="1.6466666670000001"/>
    <n v="1.3833333329999999"/>
    <n v="1.1299999999999999"/>
    <n v="0.56999999999999995"/>
    <n v="0.206666667"/>
    <n v="0"/>
    <n v="0"/>
    <n v="6.0666666670000007"/>
    <n v="5.5266666670000006"/>
    <n v="1.8331323787945476E-2"/>
    <n v="5.0148185134424692E-2"/>
    <n v="120.9748"/>
    <s v="Acre-feet"/>
    <n v="0"/>
    <s v="Acre-feet per Year"/>
    <s v="L_16"/>
    <n v="0"/>
    <n v="38.641300000000001"/>
    <n v="-122.90600000000001"/>
    <s v="DRY CREEK"/>
  </r>
  <r>
    <s v="S016044"/>
    <n v="10000000"/>
    <n v="9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72.44"/>
    <s v="Acre-feet"/>
    <n v="0"/>
    <s v="Acre-feet per Year"/>
    <s v="U_9"/>
    <n v="0"/>
    <n v="38.717799999999997"/>
    <n v="-122.9075"/>
    <s v="WOOD CREEK"/>
  </r>
  <r>
    <s v="S016045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4.0000000000000001E-3"/>
    <n v="2E-3"/>
    <n v="8.1836666666666707E-3"/>
    <n v="0.24"/>
    <n v="0.31"/>
    <n v="1.17"/>
    <n v="1.53"/>
    <n v="0.79"/>
    <n v="0.38"/>
    <n v="0.02"/>
    <n v="0"/>
    <n v="4.4541836666666663"/>
    <n v="4.0592930000000038"/>
    <n v="1.3464212484074648E-2"/>
    <n v="0.11254790589495184"/>
    <n v="39.841999999999999"/>
    <s v="Acre-feet"/>
    <n v="0"/>
    <s v="Acre-feet per Year"/>
    <s v="U_9"/>
    <n v="0"/>
    <n v="38.725999999999999"/>
    <n v="-122.9307"/>
    <s v="RUSSIAN RIVER"/>
  </r>
  <r>
    <s v="S022466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6.6288E-2"/>
    <n v="6.6288E-2"/>
    <n v="0.127666"/>
    <n v="0.158354667"/>
    <n v="0.23507666699999999"/>
    <n v="0.57270100000000002"/>
    <n v="0.92952800000000002"/>
    <n v="1.1010899999999999"/>
    <n v="0.79908466700000003"/>
    <n v="0.51901033299999999"/>
    <n v="0.158355"/>
    <n v="6.6288E-2"/>
    <n v="4.7997303339999995"/>
    <n v="3.6374803340000001"/>
    <n v="1.2065107919930583E-2"/>
    <n v="0.33129005618442847"/>
    <n v="14.488"/>
    <s v="Acre-feet"/>
    <n v="0"/>
    <s v="Acre-feet per Year"/>
    <s v="L_16"/>
    <n v="0"/>
    <n v="38.6374"/>
    <n v="-122.9076"/>
    <s v="DRY CREEK UNDERFLOW"/>
  </r>
  <r>
    <s v="S015944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3.3333333E-2"/>
    <n v="0"/>
    <n v="0.1"/>
    <n v="5.3666666669999996"/>
    <n v="1.0333333330000001"/>
    <n v="0.1"/>
    <n v="0"/>
    <n v="0"/>
    <n v="0"/>
    <n v="6.6333333329999995"/>
    <n v="6.5999999999999988"/>
    <n v="2.1891448189350356E-2"/>
    <n v="7.8600888383578652E-3"/>
    <n v="843.92600000000004"/>
    <s v="Acre-feet"/>
    <n v="0"/>
    <s v="Acre-feet per Year"/>
    <s v="L_16"/>
    <n v="0"/>
    <n v="38.617699999999999"/>
    <n v="-122.887"/>
    <s v="DRY CREEK UNDERFLOW"/>
  </r>
  <r>
    <s v="S016048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.5"/>
    <n v="0.5"/>
    <n v="0.5"/>
    <n v="0.5"/>
    <n v="0.5"/>
    <n v="1"/>
    <n v="1"/>
    <n v="1"/>
    <n v="1"/>
    <n v="0.5"/>
    <n v="0.5"/>
    <n v="0.5"/>
    <n v="8"/>
    <n v="4.5"/>
    <n v="1.492598740182979E-2"/>
    <n v="0.10039656643742784"/>
    <n v="79.683999999999997"/>
    <s v="Acre-feet"/>
    <n v="0"/>
    <s v="Acre-feet per Year"/>
    <s v="L_16"/>
    <n v="3.4039024194010059E-4"/>
    <n v="38.650199999999998"/>
    <n v="-122.9281"/>
    <m/>
  </r>
  <r>
    <s v="S016038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5.1103000000000003E-2"/>
    <n v="4.7056332999999999E-2"/>
    <n v="0.159582"/>
    <n v="0.34632766700000001"/>
    <n v="0.40758233300000002"/>
    <n v="0.885235667"/>
    <n v="0.99314100000000005"/>
    <n v="1.087593"/>
    <n v="0.129406667"/>
    <n v="7.1903330000000001E-3"/>
    <n v="0"/>
    <n v="4.1142179999999993"/>
    <n v="3.7198796670000003"/>
    <n v="1.2338417121325511E-2"/>
    <n v="6.6817455419495228E-2"/>
    <n v="61.573999999999998"/>
    <s v="Acre-feet"/>
    <n v="0"/>
    <s v="Acre-feet per Year"/>
    <s v="L_16"/>
    <n v="0"/>
    <n v="38.625500000000002"/>
    <n v="-122.89239999999999"/>
    <s v="DRY CREEK"/>
  </r>
  <r>
    <s v="S013814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.97"/>
    <n v="0.97"/>
    <n v="0.97"/>
    <n v="0.97"/>
    <n v="0.97"/>
    <n v="0.97"/>
    <n v="0.97"/>
    <n v="0.97"/>
    <n v="0.97"/>
    <n v="0.97"/>
    <n v="0.97"/>
    <n v="0.97"/>
    <n v="11.64"/>
    <n v="4.8499999999999996"/>
    <n v="1.6086897533083216E-2"/>
    <n v="3.6081835089894607"/>
    <n v="3.226"/>
    <s v="Acre-feet"/>
    <n v="0"/>
    <s v="Acre-feet per Year"/>
    <s v="L_16"/>
    <n v="3.4039024194010059E-4"/>
    <n v="38.576110610000001"/>
    <n v="-122.89692467"/>
    <s v="UNSP"/>
  </r>
  <r>
    <s v="S016053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6.6666670000000003E-3"/>
    <n v="0"/>
    <n v="0"/>
    <n v="7.3333333000000001E-2"/>
    <n v="0.267250667"/>
    <n v="0.50432299999999997"/>
    <n v="0.95888899999999999"/>
    <n v="0.34332699999999999"/>
    <n v="2.0698332999999999E-2"/>
    <n v="0"/>
    <n v="0"/>
    <n v="2.1744879999999998"/>
    <n v="2.1471230000000001"/>
    <n v="7.1217624107064413E-3"/>
    <n v="5.457778223984739E-2"/>
    <n v="39.841999999999999"/>
    <s v="Acre-feet"/>
    <n v="0"/>
    <s v="Acre-feet per Year"/>
    <s v="L_16"/>
    <n v="0"/>
    <n v="38.643099999999997"/>
    <n v="-122.91079999999999"/>
    <s v="WOODS NORTH DRIP WELL"/>
  </r>
  <r>
    <s v="S016046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.109470333"/>
    <n v="3.0460000000000001E-3"/>
    <n v="0.158559333"/>
    <n v="0.26691700000000002"/>
    <n v="0.30126866699999999"/>
    <n v="0.88102133299999996"/>
    <n v="0.94035299999999999"/>
    <n v="1.3392710000000001"/>
    <n v="1.2609E-2"/>
    <n v="2.61E-4"/>
    <n v="0"/>
    <n v="4.0127766660000006"/>
    <n v="3.728831"/>
    <n v="1.2368107673233862E-2"/>
    <n v="3.3170351726144621E-3"/>
    <n v="1209.748"/>
    <s v="Acre-feet"/>
    <n v="0"/>
    <s v="Acre-feet per Year"/>
    <s v="L_16"/>
    <n v="0"/>
    <n v="38.614899999999999"/>
    <n v="-122.8877"/>
    <s v="DRY CREEK"/>
  </r>
  <r>
    <s v="S016067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.100389667"/>
    <n v="0"/>
    <n v="0.16918666700000001"/>
    <n v="0.18319733299999999"/>
    <n v="0.36125800000000002"/>
    <n v="0.88832299999999997"/>
    <n v="0.65494766699999996"/>
    <n v="0.11275300000000001"/>
    <n v="0"/>
    <n v="0"/>
    <n v="2.470055334"/>
    <n v="2.2569126669999999"/>
    <n v="7.4859222299271276E-3"/>
    <n v="4.083586555216458E-3"/>
    <n v="604.87400000000002"/>
    <s v="Acre-feet"/>
    <n v="0"/>
    <s v="Acre-feet per Year"/>
    <s v="L_16"/>
    <n v="0"/>
    <n v="38.651299999999999"/>
    <n v="-122.9268"/>
    <s v="DRY CREEK UNDERFLOW"/>
  </r>
  <r>
    <s v="S005226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0.404479333"/>
    <n v="1.044649333"/>
    <n v="1.044649333"/>
    <n v="1.044649333"/>
    <n v="1.044649333"/>
    <n v="0.404479333"/>
    <n v="0"/>
    <n v="0"/>
    <n v="4.9875559979999995"/>
    <n v="4.5830766649999992"/>
    <n v="1.5201543236313352E-2"/>
    <n v="3.129584356959992E-2"/>
    <n v="159.36799999999999"/>
    <s v="Acre-feet"/>
    <n v="0"/>
    <s v="Acre-feet per Year"/>
    <s v="L_15"/>
    <n v="0"/>
    <n v="38.699518349999998"/>
    <n v="-122.95209298"/>
    <s v="DRY CREEK"/>
  </r>
  <r>
    <s v="S016047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6.1299999999999999E-5"/>
    <n v="4.6666670000000002E-3"/>
    <n v="2.291333E-3"/>
    <n v="3.33333E-4"/>
    <n v="0.57745533299999996"/>
    <n v="0.42307566699999999"/>
    <n v="0.82019399999999998"/>
    <n v="0.72386600000000001"/>
    <n v="6.6666700000000002E-4"/>
    <n v="0"/>
    <n v="0"/>
    <n v="2.5526103"/>
    <n v="2.544924333"/>
    <n v="8.4412241184373526E-3"/>
    <n v="1.2813665478640631E-2"/>
    <n v="199.21"/>
    <s v="Acre-feet"/>
    <n v="0"/>
    <s v="Acre-feet per Year"/>
    <s v="L_16"/>
    <n v="0"/>
    <n v="38.647399999999998"/>
    <n v="-122.9186"/>
    <s v="DRY CREEK "/>
  </r>
  <r>
    <s v="S016056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4.0792666999999998E-2"/>
    <n v="1.023E-3"/>
    <n v="7.4676332999999998E-2"/>
    <n v="4.1714332999999999E-2"/>
    <n v="8.0286667000000006E-2"/>
    <n v="0.53553600000000001"/>
    <n v="0.782462667"/>
    <n v="1.2842960000000001"/>
    <n v="3.5230000000000001E-3"/>
    <n v="0"/>
    <n v="0"/>
    <n v="2.8443106669999998"/>
    <n v="2.7242956669999998"/>
    <n v="9.036178401000329E-3"/>
    <n v="7.1389756212037539E-2"/>
    <n v="39.841999999999999"/>
    <s v="Acre-feet"/>
    <n v="0"/>
    <s v="Acre-feet per Year"/>
    <s v="L_16"/>
    <n v="0"/>
    <n v="38.626800000000003"/>
    <n v="-122.8956"/>
    <s v="DRY CREEK UNDERFLOW"/>
  </r>
  <r>
    <s v="S016057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.182111"/>
    <n v="0.16867399999999999"/>
    <n v="0.179018333"/>
    <n v="0.237289"/>
    <n v="0.17045533299999999"/>
    <n v="0.60387199999999996"/>
    <n v="0.59361466699999998"/>
    <n v="1.4867189999999999"/>
    <n v="0.28270699999999999"/>
    <n v="0"/>
    <n v="0"/>
    <n v="3.9044603329999998"/>
    <n v="3.0919499999999998"/>
    <n v="1.0255645943797249E-2"/>
    <n v="4.1460947341035552E-2"/>
    <n v="94.171999999999997"/>
    <s v="Acre-feet"/>
    <n v="0"/>
    <s v="Acre-feet per Year"/>
    <s v="L_16"/>
    <n v="0"/>
    <n v="38.612699999999997"/>
    <n v="-122.8865"/>
    <s v="DRY CREEK UNDERFLOW"/>
  </r>
  <r>
    <s v="S016050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1.7229667000000001E-2"/>
    <n v="0"/>
    <n v="0"/>
    <n v="0"/>
    <n v="6.6554000000000002E-2"/>
    <n v="0.31250366699999998"/>
    <n v="0.55635100000000004"/>
    <n v="1.6970133329999999"/>
    <n v="0.28473566700000003"/>
    <n v="2.6013329999999999E-3"/>
    <n v="0"/>
    <n v="2.9369886669999996"/>
    <n v="2.632422"/>
    <n v="8.7314439129554632E-3"/>
    <n v="4.7698519943482634E-2"/>
    <n v="61.573999999999998"/>
    <s v="Acre-feet"/>
    <n v="0"/>
    <s v="Acre-feet per Year"/>
    <s v="L_16"/>
    <n v="3.4039024194010059E-4"/>
    <n v="38.625799999999998"/>
    <n v="-122.8877"/>
    <s v="DRIP PUMP"/>
  </r>
  <r>
    <s v="S018138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0"/>
    <n v="0"/>
    <n v="0.51333333299999995"/>
    <n v="0.85666666700000005"/>
    <n v="0.18"/>
    <n v="0"/>
    <n v="0.06"/>
    <n v="0"/>
    <n v="1.61"/>
    <n v="1.55"/>
    <n v="5.1411734384080397E-3"/>
    <n v="1.6629472424306464E-3"/>
    <n v="968.16060000000004"/>
    <s v="Acre-feet"/>
    <n v="0"/>
    <s v="Acre-feet per Year"/>
    <s v="L_15"/>
    <n v="0"/>
    <n v="38.655900000000003"/>
    <n v="-122.9285"/>
    <s v="DRY CREEK"/>
  </r>
  <r>
    <s v="S018141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0"/>
    <n v="0"/>
    <n v="0.65240733299999998"/>
    <n v="0.70907399999999998"/>
    <n v="0.42750133299999998"/>
    <n v="0"/>
    <n v="5.3333332999999997E-2"/>
    <n v="0"/>
    <n v="1.842315999"/>
    <n v="1.7889826659999999"/>
    <n v="5.933851718846193E-3"/>
    <n v="1.842315999"/>
    <n v="1"/>
    <s v="Acre-feet"/>
    <n v="0"/>
    <s v="Acre-feet per Year"/>
    <s v="L_15"/>
    <n v="0"/>
    <n v="38.657499999999999"/>
    <n v="-122.9281"/>
    <s v="DRY CREEK"/>
  </r>
  <r>
    <s v="S014925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0"/>
    <n v="0.53333333299999997"/>
    <n v="0.2"/>
    <n v="0.53333333299999997"/>
    <n v="0.83333333300000001"/>
    <n v="0.233333333"/>
    <n v="0"/>
    <n v="0"/>
    <n v="2.333333332"/>
    <n v="2.099999999"/>
    <n v="6.9654607842036826E-3"/>
    <n v="1.6105282523467698E-2"/>
    <n v="144.88"/>
    <s v="Acre-feet"/>
    <n v="0"/>
    <s v="Acre-feet per Year"/>
    <s v="L_16"/>
    <n v="0"/>
    <n v="38.621811180000002"/>
    <n v="-122.88174743"/>
    <s v="DRY CREEK UNDERFLOW"/>
  </r>
  <r>
    <s v="S018213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.86333333300000004"/>
    <n v="1.1133333329999999"/>
    <n v="0.426666667"/>
    <n v="0.94"/>
    <n v="0.84333333300000002"/>
    <n v="0.50333333300000005"/>
    <n v="0.18333333299999999"/>
    <n v="0"/>
    <n v="0"/>
    <n v="0"/>
    <n v="4.8733333319999996"/>
    <n v="2.8966666659999998"/>
    <n v="9.6079133697814009E-3"/>
    <n v="4.8311716966037387E-3"/>
    <n v="1008.727"/>
    <s v="Acre-feet"/>
    <n v="0"/>
    <s v="Acre-feet per Year"/>
    <s v="L_16"/>
    <n v="0"/>
    <n v="38.643599999999999"/>
    <n v="-122.911"/>
    <m/>
  </r>
  <r>
    <s v="S016063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.13"/>
    <n v="0.33"/>
    <n v="0.9"/>
    <n v="2.33"/>
    <n v="3.9"/>
    <n v="2.86"/>
    <n v="0.9"/>
    <n v="0.06"/>
    <n v="0"/>
    <n v="11.41"/>
    <n v="10.333333333333332"/>
    <n v="3.4274489589386919E-2"/>
    <n v="5.6368488864347498E-2"/>
    <n v="202.83199999999999"/>
    <s v="Acre-feet"/>
    <n v="0"/>
    <s v="Acre-feet per Year"/>
    <s v="U_10"/>
    <n v="0"/>
    <n v="38.708399999999997"/>
    <n v="-122.8843"/>
    <s v="RUSSIAN RIVER UNDERFLOW"/>
  </r>
  <r>
    <s v="S016064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0"/>
    <s v="N"/>
    <n v="0.01"/>
    <n v="0.16"/>
    <n v="0.56999999999999995"/>
    <n v="0"/>
    <n v="0"/>
    <n v="0"/>
    <n v="0"/>
    <n v="0"/>
    <n v="0"/>
    <n v="0"/>
    <n v="0"/>
    <n v="0"/>
    <n v="0.74"/>
    <n v="0"/>
    <n v="0"/>
    <n v="6.2823001153959395E-4"/>
    <n v="1209.748"/>
    <s v="Acre-feet"/>
    <n v="0"/>
    <s v="Acre-feet per Year"/>
    <s v="U_10"/>
    <n v="0"/>
    <n v="38.708799999999997"/>
    <n v="-122.88460000000001"/>
    <s v="RUSSIAN RIVER UNDERFLOW"/>
  </r>
  <r>
    <s v="S025398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.02"/>
    <n v="2.3333333000000001E-2"/>
    <n v="0.09"/>
    <n v="0.3"/>
    <n v="0.48333333299999998"/>
    <n v="0.323333333"/>
    <n v="0.31333333299999999"/>
    <n v="0.49"/>
    <n v="0.48333333299999998"/>
    <n v="0.42333333299999998"/>
    <n v="0.32"/>
    <n v="0.08"/>
    <n v="3.3499999980000004"/>
    <n v="2.0933333319999998"/>
    <n v="6.9433482091694173E-3"/>
    <n v="5.3685897403846159"/>
    <n v="0.624"/>
    <s v="Acre-feet"/>
    <n v="0"/>
    <s v="Acre-feet per Year"/>
    <s v="L_16"/>
    <n v="0"/>
    <n v="38.581499999999998"/>
    <n v="-122.8814"/>
    <s v="MILL CREEK UNDERFLOW"/>
  </r>
  <r>
    <s v="S015916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0"/>
    <n v="0.16900599999999999"/>
    <n v="0.26475766699999997"/>
    <n v="0.435888"/>
    <n v="0.45065033300000001"/>
    <n v="0"/>
    <n v="0"/>
    <n v="0"/>
    <n v="1.3203019999999999"/>
    <n v="1.3203019999999999"/>
    <n v="4.3792913374690393E-3"/>
    <n v="26.196468253968252"/>
    <n v="5.04E-2"/>
    <s v="Acre-feet"/>
    <n v="0"/>
    <s v="Acre-feet per Year"/>
    <s v="L_16"/>
    <n v="0"/>
    <n v="38.598255819999999"/>
    <n v="-122.99325853000001"/>
    <s v="MILL CREEK"/>
  </r>
  <r>
    <s v="S016049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.78959066700000002"/>
    <n v="0.32527899999999998"/>
    <n v="3.5803666999999997E-2"/>
    <n v="0.26949733300000001"/>
    <n v="3.0699999999999998E-3"/>
    <n v="0.33243466700000002"/>
    <n v="0.392605333"/>
    <n v="0.91232733300000002"/>
    <n v="2.6603667000000001E-2"/>
    <n v="0"/>
    <n v="0"/>
    <n v="3.0872116669999996"/>
    <n v="1.9099346660000001"/>
    <n v="6.335035725118664E-3"/>
    <n v="6.3608208275299366E-3"/>
    <n v="485.34800000000001"/>
    <s v="Acre-feet"/>
    <n v="0"/>
    <s v="Acre-feet per Year"/>
    <s v="L_16"/>
    <n v="0"/>
    <n v="38.639699999999998"/>
    <n v="-122.90730000000001"/>
    <s v="DRY CREEK"/>
  </r>
  <r>
    <s v="S022598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.28000000000000003"/>
    <n v="0.01"/>
    <n v="8.3333332999999996E-2"/>
    <n v="0.19"/>
    <n v="1.05"/>
    <n v="0.36"/>
    <n v="6.6666666999999999E-2"/>
    <n v="0"/>
    <n v="0"/>
    <n v="0"/>
    <n v="2.04"/>
    <n v="1.7500000000000002"/>
    <n v="5.8045506562671417E-3"/>
    <n v="1.7067416294362734E-3"/>
    <n v="1195.26"/>
    <s v="Acre-feet"/>
    <n v="0"/>
    <s v="Acre-feet per Year"/>
    <s v="L_16"/>
    <n v="0"/>
    <n v="38.644399999999997"/>
    <n v="-122.9113"/>
    <s v="DRY CREEK UNDERFLOW"/>
  </r>
  <r>
    <s v="S016060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3.9462667E-2"/>
    <n v="3.2462667000000001E-2"/>
    <n v="0.220216667"/>
    <n v="0.19342899999999999"/>
    <n v="0.23631366700000001"/>
    <n v="0.68498000000000003"/>
    <n v="0.462391"/>
    <n v="0.191121333"/>
    <n v="0"/>
    <n v="0"/>
    <n v="2.060377001"/>
    <n v="1.797330334"/>
    <n v="5.9615399827134506E-3"/>
    <n v="5.1713694116761209E-2"/>
    <n v="39.841999999999999"/>
    <s v="Acre-feet"/>
    <n v="0"/>
    <s v="Acre-feet per Year"/>
    <s v="L_15"/>
    <n v="0"/>
    <n v="38.668599999999998"/>
    <n v="-122.93899999999999"/>
    <s v="DRY CREEK UNDERFLOW"/>
  </r>
  <r>
    <s v="S016118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.15"/>
    <n v="0.56000000000000005"/>
    <n v="1.44"/>
    <n v="1.43"/>
    <n v="1.26"/>
    <n v="0.56999999999999995"/>
    <n v="0.47"/>
    <n v="0"/>
    <n v="5.88"/>
    <n v="4.8566666666666674"/>
    <n v="1.6109010107011858E-2"/>
    <n v="3.7000317922460391E-2"/>
    <n v="159.36799999999999"/>
    <s v="Acre-feet"/>
    <n v="0"/>
    <s v="Acre-feet per Year"/>
    <s v="U_10"/>
    <n v="0"/>
    <n v="38.683326659999999"/>
    <n v="-122.84037693000001"/>
    <s v="Russian River underflow"/>
  </r>
  <r>
    <s v="S016134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2.4127666999999998E-2"/>
    <n v="2.4127666999999998E-2"/>
    <n v="2.4127666999999998E-2"/>
    <n v="2.4127666999999998E-2"/>
    <n v="2.4127666999999998E-2"/>
    <n v="2.4127666999999998E-2"/>
    <n v="2.4127666999999998E-2"/>
    <n v="2.4127666999999998E-2"/>
    <n v="2.4127666999999998E-2"/>
    <n v="2.4127666999999998E-2"/>
    <n v="2.4127666999999998E-2"/>
    <n v="2.4127666999999998E-2"/>
    <n v="0.28953200399999995"/>
    <n v="0.12063833499999999"/>
    <n v="4.0014361519727148E-4"/>
    <n v="7.1799629014259139E-2"/>
    <n v="4.0324999999999998"/>
    <s v="Acre-feet"/>
    <n v="0"/>
    <s v="Acre-feet per Year"/>
    <s v="L_18"/>
    <n v="3.4039024194010059E-4"/>
    <n v="38.378900000000002"/>
    <n v="-122.892"/>
    <m/>
  </r>
  <r>
    <s v="S016164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.16"/>
    <n v="0.43"/>
    <n v="0.56000000000000005"/>
    <n v="1.46"/>
    <n v="1.1299999999999999"/>
    <n v="0.2"/>
    <n v="0"/>
    <n v="0"/>
    <n v="3.94"/>
    <n v="3.7666666666666666"/>
    <n v="1.2493604269679751E-2"/>
    <n v="3.1290263206331676E-3"/>
    <n v="1267.7"/>
    <s v="Acre-feet"/>
    <n v="0"/>
    <s v="Acre-feet per Year"/>
    <s v="U_10"/>
    <n v="0"/>
    <n v="38.6845"/>
    <n v="-122.8511"/>
    <s v="UNDERFLOW OF RUSSIAN RIVER"/>
  </r>
  <r>
    <s v="S016165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.06"/>
    <n v="0.06"/>
    <n v="0.06"/>
    <n v="0.1"/>
    <n v="0.1"/>
    <n v="0.1"/>
    <n v="0.1"/>
    <n v="0.1"/>
    <n v="0.1"/>
    <n v="0.1"/>
    <n v="0.06"/>
    <n v="0.06"/>
    <n v="1"/>
    <n v="0.5"/>
    <n v="1.6584430446477544E-3"/>
    <n v="6.9022639425731641E-2"/>
    <n v="14.488"/>
    <s v="Acre-feet"/>
    <n v="0"/>
    <s v="Acre-feet per Year"/>
    <s v="U_10"/>
    <n v="3.4039024194010059E-4"/>
    <n v="38.6858"/>
    <n v="-122.8421"/>
    <s v="UNDERFLOW OF RUSSIAN RIVER"/>
  </r>
  <r>
    <s v="S016166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6.53"/>
    <n v="6.8"/>
    <n v="0.73"/>
    <n v="0"/>
    <n v="0"/>
    <n v="14.06"/>
    <n v="13.333333333333329"/>
    <n v="4.4225147857273439E-2"/>
    <n v="2.1575965805673138E-2"/>
    <n v="651.96"/>
    <s v="Acre-feet"/>
    <n v="0"/>
    <s v="Acre-feet per Year"/>
    <s v="U_10"/>
    <n v="0"/>
    <n v="38.674700000000001"/>
    <n v="-122.8353"/>
    <s v="UNDERFLOW OF THE RUSSIAN RIVER"/>
  </r>
  <r>
    <s v="S016167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.06"/>
    <n v="0.06"/>
    <n v="0.06"/>
    <n v="0.1"/>
    <n v="0.1"/>
    <n v="0.1"/>
    <n v="0.1"/>
    <n v="0.1"/>
    <n v="0.1"/>
    <n v="0.1"/>
    <n v="0.06"/>
    <n v="0.06"/>
    <n v="1"/>
    <n v="0.5"/>
    <n v="1.6584430446477544E-3"/>
    <n v="3.9441508243275226E-2"/>
    <n v="25.353999999999999"/>
    <s v="Acre-feet"/>
    <n v="0"/>
    <s v="Acre-feet per Year"/>
    <s v="U_10"/>
    <n v="3.4039024194010059E-4"/>
    <n v="38.674999999999997"/>
    <n v="-122.8342"/>
    <s v="UNDERFLOW OF RUSSIAN RIVER"/>
  </r>
  <r>
    <s v="S016304"/>
    <n v="10000000"/>
    <n v="10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.73"/>
    <n v="1.88"/>
    <n v="2.76"/>
    <n v="2.4300000000000002"/>
    <n v="4.22"/>
    <n v="5.61"/>
    <n v="6.32"/>
    <n v="4.82"/>
    <n v="3.59"/>
    <n v="1.19"/>
    <n v="0.68"/>
    <n v="0.56999999999999995"/>
    <n v="34.799999999999997"/>
    <n v="24.576666667000001"/>
    <n v="8.1518003789024934E-2"/>
    <n v="2.9786324786324783"/>
    <n v="11.7"/>
    <s v="Acre-feet"/>
    <n v="0"/>
    <s v="Acre-feet per Year"/>
    <s v="U_10"/>
    <n v="0"/>
    <n v="38.714100000000002"/>
    <n v="-122.8165"/>
    <m/>
  </r>
  <r>
    <s v="S016322"/>
    <n v="10000000"/>
    <n v="18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.16666666699999999"/>
    <n v="1.9"/>
    <n v="0.133333333"/>
    <n v="0"/>
    <n v="0"/>
    <n v="0"/>
    <n v="1.8"/>
    <n v="0.4"/>
    <n v="1.1000000000000001"/>
    <n v="0.56666666700000001"/>
    <n v="0"/>
    <n v="6.0666666669999998"/>
    <n v="2.2000000000000002"/>
    <n v="7.2971493964501212E-3"/>
    <n v="0.44413859078729667"/>
    <n v="13.6594"/>
    <s v="Acre-feet"/>
    <n v="0"/>
    <s v="Acre-feet per Year"/>
    <s v="L_18"/>
    <n v="0"/>
    <n v="38.518300000000004"/>
    <n v="-122.8826"/>
    <s v="RUSSIAN RIVER UNDERFLOW"/>
  </r>
  <r>
    <s v="S016328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.3902000000000001"/>
    <s v="Acre-feet"/>
    <n v="0"/>
    <s v="Acre-feet per Year"/>
    <s v="L_24"/>
    <n v="0"/>
    <n v="38.4893"/>
    <n v="-122.7991"/>
    <s v="UNNAMED"/>
  </r>
  <r>
    <s v="S016329"/>
    <n v="10000000"/>
    <n v="5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0"/>
    <s v="N"/>
    <n v="0"/>
    <n v="0"/>
    <n v="0.73"/>
    <n v="0.9"/>
    <n v="0"/>
    <n v="0"/>
    <n v="0"/>
    <n v="0"/>
    <n v="0"/>
    <n v="0"/>
    <n v="0"/>
    <n v="0"/>
    <n v="1.63"/>
    <n v="0"/>
    <n v="0"/>
    <n v="1.9103313840155942E-2"/>
    <n v="85.5"/>
    <s v="Acre-feet"/>
    <n v="0"/>
    <s v="Acre-feet per Year"/>
    <s v="U_5"/>
    <n v="0"/>
    <n v="39.087200000000003"/>
    <n v="-123.1683"/>
    <s v="RUSSIAN RIVER UNDERFLOW"/>
  </r>
  <r>
    <s v="S016352"/>
    <n v="10000000"/>
    <n v="5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0"/>
    <n v="0.08"/>
    <n v="0.24"/>
    <n v="0.02"/>
    <n v="1.27"/>
    <n v="1.51"/>
    <n v="1.93"/>
    <n v="1.1299999999999999"/>
    <n v="2.56"/>
    <n v="1.66"/>
    <n v="0"/>
    <n v="10.4"/>
    <n v="5.8893333333333402"/>
    <n v="1.9534247808557708E-2"/>
    <n v="0.29831428571428581"/>
    <n v="35"/>
    <s v="Acre-feet"/>
    <n v="0"/>
    <s v="Acre-feet per Year"/>
    <s v="U_5"/>
    <n v="0"/>
    <n v="39.059399999999997"/>
    <n v="-123.1446"/>
    <s v="MAIN STEM- RUSSIAN RIVER"/>
  </r>
  <r>
    <s v="S016363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5"/>
    <s v="Acre-feet"/>
    <n v="0"/>
    <s v="Acre-feet per Year"/>
    <s v="U_5"/>
    <n v="0"/>
    <n v="39.1004"/>
    <n v="-123.1998"/>
    <s v="ROBINSON CREEK"/>
  </r>
  <r>
    <s v="S016364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5"/>
    <s v="Acre-feet"/>
    <n v="0"/>
    <s v="Acre-feet per Year"/>
    <s v="U_5"/>
    <n v="0"/>
    <n v="39.100200000000001"/>
    <n v="-123.2003"/>
    <s v="ROBINSON CREEK"/>
  </r>
  <r>
    <s v="S016366"/>
    <n v="10000000"/>
    <n v="4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9.2"/>
    <s v="Acre-feet"/>
    <n v="0"/>
    <s v="Acre-feet per Year"/>
    <s v="U_4"/>
    <n v="0"/>
    <n v="39.124200000000002"/>
    <n v="-123.1831"/>
    <s v="RUSSIAN RIVER"/>
  </r>
  <r>
    <s v="S016367"/>
    <n v="10000000"/>
    <n v="4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0"/>
    <n v="0"/>
    <n v="0"/>
    <n v="1.88"/>
    <n v="0"/>
    <n v="0"/>
    <n v="0"/>
    <n v="0"/>
    <n v="0"/>
    <n v="0"/>
    <n v="0"/>
    <n v="1.88"/>
    <n v="1.88333333333333"/>
    <n v="6.2468021348398642E-3"/>
    <n v="0.11078431372549"/>
    <n v="17"/>
    <s v="Acre-feet"/>
    <n v="0"/>
    <s v="Acre-feet per Year"/>
    <s v="U_4"/>
    <n v="0"/>
    <n v="39.133699999999997"/>
    <n v="-123.1874"/>
    <s v="RUSSIAN RIVER"/>
  </r>
  <r>
    <s v="S016368"/>
    <n v="10000000"/>
    <n v="4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9.82"/>
    <s v="Acre-feet"/>
    <n v="0"/>
    <s v="Acre-feet per Year"/>
    <s v="U_4"/>
    <n v="0"/>
    <n v="39.130299999999998"/>
    <n v="-123.1901"/>
    <s v="RUSSIAN RIVER"/>
  </r>
  <r>
    <s v="S016369"/>
    <n v="10000000"/>
    <n v="4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0"/>
    <s v="N"/>
    <n v="0"/>
    <n v="0"/>
    <n v="0.09"/>
    <n v="0.03"/>
    <n v="0"/>
    <n v="0"/>
    <n v="0"/>
    <n v="0"/>
    <n v="0"/>
    <n v="0"/>
    <n v="0"/>
    <n v="0"/>
    <n v="0.12"/>
    <n v="0"/>
    <n v="0"/>
    <n v="2.9595015576323994E-2"/>
    <n v="4.28"/>
    <s v="Acre-feet"/>
    <n v="0"/>
    <s v="Acre-feet per Year"/>
    <s v="U_4"/>
    <n v="0"/>
    <n v="39.139299999999999"/>
    <n v="-123.1858"/>
    <s v="RUSSIAN RIVER"/>
  </r>
  <r>
    <s v="S016370"/>
    <n v="10000000"/>
    <n v="4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8"/>
    <s v="Acre-feet"/>
    <n v="0"/>
    <s v="Acre-feet per Year"/>
    <s v="U_4"/>
    <n v="0"/>
    <n v="39.120600000000003"/>
    <n v="-123.19240000000001"/>
    <s v="RUSSIAN RIVER"/>
  </r>
  <r>
    <s v="S016399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5.33"/>
    <n v="2.66"/>
    <n v="2"/>
    <n v="0"/>
    <n v="0"/>
    <n v="0"/>
    <n v="0"/>
    <n v="0"/>
    <n v="0"/>
    <n v="0"/>
    <n v="0"/>
    <n v="0.66"/>
    <n v="10.65"/>
    <n v="0"/>
    <n v="0"/>
    <n v="0.53333333334999999"/>
    <n v="20"/>
    <s v="Acre-feet"/>
    <n v="0"/>
    <s v="Acre-feet per Year"/>
    <s v="U_12"/>
    <n v="0"/>
    <n v="38.6004"/>
    <n v="-122.7552"/>
    <s v="UNST"/>
  </r>
  <r>
    <s v="S016628"/>
    <n v="10000000"/>
    <n v="22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8.2760000000000004E-3"/>
    <n v="6.8026670000000001E-3"/>
    <n v="1.7964000000000001E-2"/>
    <n v="1.6142332999999998E-2"/>
    <n v="4.1573332999999997E-2"/>
    <n v="1.4699667E-2"/>
    <n v="2.0183E-2"/>
    <n v="2.0223999999999999E-2"/>
    <n v="1.4914667E-2"/>
    <n v="1.5457E-2"/>
    <n v="9.206667E-3"/>
    <n v="7.9023329999999992E-3"/>
    <n v="0.193345667"/>
    <n v="0.11159466699999998"/>
    <n v="3.7014679861186454E-4"/>
    <n v="0.40389736160434508"/>
    <n v="0.47870000000000001"/>
    <s v="Acre-feet"/>
    <n v="0"/>
    <s v="Acre-feet per Year"/>
    <s v="L_22"/>
    <n v="3.4039024194010059E-4"/>
    <n v="38.756"/>
    <n v="-123.1143"/>
    <s v="RAINS CREEK"/>
  </r>
  <r>
    <s v="S016632"/>
    <n v="10000000"/>
    <n v="12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.01"/>
    <n v="0.67"/>
    <n v="0.49"/>
    <n v="0.68"/>
    <n v="0.87"/>
    <n v="0.38"/>
    <n v="0.3"/>
    <n v="0.06"/>
    <n v="0"/>
    <n v="3.46"/>
    <n v="3.1000000000000005"/>
    <n v="1.0282346876816081E-2"/>
    <n v="7.1930848366880667E-3"/>
    <n v="484.26139999999998"/>
    <s v="Acre-feet"/>
    <n v="0"/>
    <s v="Acre-feet per Year"/>
    <s v="U_12"/>
    <n v="0"/>
    <n v="38.639699999999998"/>
    <n v="-122.7984"/>
    <s v="RUSSIAN RIVER UNDERFLOW"/>
  </r>
  <r>
    <s v="S016633"/>
    <n v="10000000"/>
    <n v="12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.06"/>
    <n v="0.1"/>
    <n v="0.03"/>
    <n v="0.06"/>
    <n v="0.74"/>
    <n v="1.5"/>
    <n v="2.74"/>
    <n v="2.5299999999999998"/>
    <n v="1.83"/>
    <n v="0"/>
    <n v="0"/>
    <n v="9.59"/>
    <n v="7.5899999999999981"/>
    <n v="2.5175165417752908E-2"/>
    <n v="5.2114348408238684E-2"/>
    <n v="184.72200000000001"/>
    <s v="Acre-feet"/>
    <n v="0"/>
    <s v="Acre-feet per Year"/>
    <s v="U_12"/>
    <n v="0"/>
    <n v="38.625599999999999"/>
    <n v="-122.8171"/>
    <s v="UNDERFLOW OF RUSSIAN RIVER"/>
  </r>
  <r>
    <s v="S016670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12"/>
    <n v="0.1"/>
    <n v="0"/>
    <n v="2.1"/>
    <n v="0.9"/>
    <n v="0"/>
    <n v="0"/>
    <n v="0"/>
    <n v="0"/>
    <n v="0"/>
    <n v="0"/>
    <n v="15.1"/>
    <n v="3"/>
    <n v="9.9506582678865266E-3"/>
    <n v="1.4375749728669623E-2"/>
    <n v="1050.3800000000001"/>
    <s v="Acre-feet"/>
    <n v="0"/>
    <s v="Acre-feet per Year"/>
    <s v="U_6"/>
    <n v="0"/>
    <n v="38.969499999999996"/>
    <n v="-123.1294"/>
    <s v="POINT #4 - FELIZ CREEK"/>
  </r>
  <r>
    <s v="S016671"/>
    <n v="10000000"/>
    <n v="5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0"/>
    <s v="N"/>
    <n v="0"/>
    <n v="0"/>
    <n v="0"/>
    <n v="0"/>
    <n v="0"/>
    <n v="0"/>
    <n v="0"/>
    <n v="0"/>
    <n v="0"/>
    <n v="0"/>
    <n v="10.33"/>
    <n v="0"/>
    <n v="10.33"/>
    <n v="0"/>
    <n v="0"/>
    <n v="9.8377095273456273E-3"/>
    <n v="1050.3800000000001"/>
    <s v="Acre-feet"/>
    <n v="0"/>
    <s v="Acre-feet per Year"/>
    <s v="U_5"/>
    <n v="0"/>
    <n v="39.059600000000003"/>
    <n v="-123.1447"/>
    <s v="RUSSIAN RIVER"/>
  </r>
  <r>
    <s v="S016680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"/>
    <n v="0"/>
    <n v="0.63333333300000005"/>
    <n v="0"/>
    <n v="0.233333333"/>
    <n v="0.63333333300000005"/>
    <n v="0.366666667"/>
    <n v="0"/>
    <n v="0"/>
    <n v="0"/>
    <n v="0"/>
    <n v="1.8666666660000002"/>
    <n v="1.233333333"/>
    <n v="4.0908261756921653E-3"/>
    <n v="6.0370849482535578E-2"/>
    <n v="30.92"/>
    <s v="Acre-feet"/>
    <n v="0"/>
    <s v="Acre-feet per Year"/>
    <s v="L_17"/>
    <n v="0"/>
    <n v="38.545099999999998"/>
    <n v="-122.85899999999999"/>
    <s v="RUSSIAN RIVER UNDERFLOW"/>
  </r>
  <r>
    <s v="S016681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"/>
    <n v="0"/>
    <n v="0.16666666699999999"/>
    <n v="1.8666666670000001"/>
    <n v="2.2000000000000002"/>
    <n v="2.4333333330000002"/>
    <n v="3.4"/>
    <n v="1.4666666669999999"/>
    <n v="0.1"/>
    <n v="0"/>
    <n v="0"/>
    <n v="11.633333334"/>
    <n v="11.366666667000001"/>
    <n v="3.7701938549431255E-2"/>
    <n v="2.3969055881553028E-2"/>
    <n v="485.34800000000001"/>
    <s v="Acre-feet"/>
    <n v="0"/>
    <s v="Acre-feet per Year"/>
    <s v="L_17"/>
    <n v="0"/>
    <n v="38.542400000000001"/>
    <n v="-122.8596"/>
    <s v="RUSSIAN RIVER UNDERFLOW"/>
  </r>
  <r>
    <s v="S016682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967.07399999999996"/>
    <s v="Acre-feet"/>
    <n v="0"/>
    <s v="Acre-feet per Year"/>
    <s v="L_24"/>
    <n v="0"/>
    <n v="38.494100000000003"/>
    <n v="-122.8747"/>
    <s v="MARK WEST CREEK"/>
  </r>
  <r>
    <s v="S016683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967.07399999999996"/>
    <s v="Acre-feet"/>
    <n v="0"/>
    <s v="Acre-feet per Year"/>
    <s v="L_24"/>
    <n v="0"/>
    <n v="38.492800000000003"/>
    <n v="-122.8862"/>
    <s v="MARK WEST CREEK"/>
  </r>
  <r>
    <s v="S016684"/>
    <n v="10000000"/>
    <n v="18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.16666666699999999"/>
    <n v="0.8"/>
    <n v="3.3333333E-2"/>
    <n v="0"/>
    <n v="0"/>
    <n v="0"/>
    <n v="0"/>
    <n v="1.266666667"/>
    <n v="0.8"/>
    <n v="0.9"/>
    <n v="0"/>
    <n v="3.9666666669999997"/>
    <n v="1.266666667"/>
    <n v="4.2013890475466062E-3"/>
    <n v="3.2769575473178894E-3"/>
    <n v="1210.4724000000001"/>
    <s v="Acre-feet"/>
    <n v="0"/>
    <s v="Acre-feet per Year"/>
    <s v="L_18"/>
    <n v="0"/>
    <n v="38.496000000000002"/>
    <n v="-122.8877"/>
    <s v="RUSSIAN RIVER UNDERFLOW"/>
  </r>
  <r>
    <s v="S016685"/>
    <n v="10000000"/>
    <n v="18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3.3333333E-2"/>
    <n v="0"/>
    <n v="0.2"/>
    <n v="0"/>
    <n v="0"/>
    <n v="0"/>
    <n v="0"/>
    <n v="2.8333333330000001"/>
    <n v="2.6333333329999999"/>
    <n v="1.266666667"/>
    <n v="0"/>
    <n v="6.9666666660000001"/>
    <n v="2.8333333330000001"/>
    <n v="9.3978439185649805E-3"/>
    <n v="2.8793875526142633E-2"/>
    <n v="241.9496"/>
    <s v="Acre-feet"/>
    <n v="0"/>
    <s v="Acre-feet per Year"/>
    <s v="L_18"/>
    <n v="0"/>
    <n v="38.498800000000003"/>
    <n v="-122.88330000000001"/>
    <s v="RUSSIAN RIVER UNDERFLOW"/>
  </r>
  <r>
    <s v="S016686"/>
    <n v="10000000"/>
    <n v="18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0"/>
    <s v="N"/>
    <n v="0"/>
    <n v="0"/>
    <n v="0.1"/>
    <n v="0.4"/>
    <n v="0"/>
    <n v="0"/>
    <n v="0"/>
    <n v="0"/>
    <n v="0"/>
    <n v="0"/>
    <n v="0.16666666699999999"/>
    <n v="0"/>
    <n v="0.66666666699999999"/>
    <n v="0"/>
    <n v="0"/>
    <n v="2.848790773780858E-4"/>
    <n v="2340.1741999999999"/>
    <s v="Acre-feet"/>
    <n v="0"/>
    <s v="Acre-feet per Year"/>
    <s v="L_18"/>
    <n v="0"/>
    <n v="38.498899999999999"/>
    <n v="-122.8847"/>
    <s v="RUSSIAN RIVER UNDERFLOW"/>
  </r>
  <r>
    <s v="S016687"/>
    <n v="10000000"/>
    <n v="14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14.733333333000001"/>
    <n v="4.8868788381181541E-2"/>
    <n v="0.10135701191398851"/>
    <n v="161.5412"/>
    <s v="Acre-feet"/>
    <n v="0"/>
    <s v="Acre-feet per Year"/>
    <s v="L_14"/>
    <n v="0"/>
    <n v="38.707099999999997"/>
    <n v="-122.9802"/>
    <s v="UNDERFLOW TO DRY CREEK"/>
  </r>
  <r>
    <s v="S016690"/>
    <n v="10000000"/>
    <n v="8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5.8690000000000001E-3"/>
    <n v="4.98933333333333E-3"/>
    <n v="4.87166666666667E-3"/>
    <n v="6.45333333333333E-3"/>
    <n v="6.0906666666666696E-3"/>
    <n v="5.744E-3"/>
    <n v="5.9659999999999999E-3"/>
    <n v="5.1026666666666703E-3"/>
    <n v="4.9266666666666703E-3"/>
    <n v="3.7759999999999998E-3"/>
    <n v="4.9523333333333303E-3"/>
    <n v="5.8593333333333301E-3"/>
    <n v="6.4601000000000006E-2"/>
    <n v="2.7830000000000008E-2"/>
    <n v="9.2308939865094034E-5"/>
    <n v="8.107148235530345E-3"/>
    <n v="7.9683999999999999"/>
    <s v="Acre-feet"/>
    <n v="0"/>
    <s v="Acre-feet per Year"/>
    <s v="U_8"/>
    <n v="3.4039024194010059E-4"/>
    <n v="38.8279"/>
    <n v="-122.9931"/>
    <s v="UNNAMED STREAM"/>
  </r>
  <r>
    <s v="S008593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8.1836999999999993E-2"/>
    <n v="8.1836999999999993E-2"/>
    <n v="8.8997667000000003E-2"/>
    <n v="0.189248"/>
    <n v="0.21737933300000001"/>
    <n v="0.28387200000000001"/>
    <n v="0.265970333"/>
    <n v="0.25880966700000002"/>
    <n v="0.25880966700000002"/>
    <n v="0.128381667"/>
    <n v="9.7693000000000002E-2"/>
    <n v="9.1044E-2"/>
    <n v="2.0438793340000001"/>
    <n v="1.2848409999999999"/>
    <n v="4.2616712398565312E-3"/>
    <n v="15.017482248346806"/>
    <n v="0.1361"/>
    <s v="Acre-feet"/>
    <n v="0"/>
    <s v="Acre-feet per Year"/>
    <s v="L_20"/>
    <n v="3.4039024194010059E-4"/>
    <n v="38.578552199999997"/>
    <n v="-123.09251205"/>
    <s v="UNSP"/>
  </r>
  <r>
    <s v="S009324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2.8033667000000002E-2"/>
    <n v="3.1098000000000001E-2"/>
    <n v="3.1199999999999999E-2"/>
    <n v="4.6647000000000001E-2"/>
    <n v="6.2400999999999998E-2"/>
    <n v="6.2400999999999998E-2"/>
    <n v="9.3089667000000001E-2"/>
    <n v="9.3601000000000004E-2"/>
    <n v="9.3601000000000004E-2"/>
    <n v="6.2912333000000001E-2"/>
    <n v="4.6647000000000001E-2"/>
    <n v="3.1098000000000001E-2"/>
    <n v="0.68272966699999993"/>
    <n v="0.40509366699999999"/>
    <n v="1.3436495489340071E-3"/>
    <n v="2.7089222195770344E-2"/>
    <n v="25.202999999999999"/>
    <s v="Acre-feet"/>
    <n v="0"/>
    <s v="Acre-feet per Year"/>
    <s v="L_20"/>
    <n v="3.4039024194010059E-4"/>
    <n v="38.536894670000002"/>
    <n v="-123.14082354"/>
    <s v="WARD CREEK"/>
  </r>
  <r>
    <s v="S016731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1.7413330000000001E-3"/>
    <n v="1.2987667E-2"/>
    <n v="0.118286667"/>
    <n v="0"/>
    <n v="0.110016667"/>
    <n v="0.20245299999999999"/>
    <n v="0.245119"/>
    <n v="0.13400833300000001"/>
    <n v="0"/>
    <n v="0"/>
    <n v="0.82461266700000002"/>
    <n v="0.67587533399999999"/>
    <n v="2.2418014934425558E-3"/>
    <n v="6.9792527168393251E-2"/>
    <n v="11.815200000000001"/>
    <s v="Acre-feet"/>
    <n v="0"/>
    <s v="Acre-feet per Year"/>
    <s v="L_24"/>
    <n v="0"/>
    <n v="38.496000000000002"/>
    <n v="-122.8661"/>
    <s v="MARK WEST CREEK"/>
  </r>
  <r>
    <s v="S016732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.108178333"/>
    <n v="6.9808866999999997E-2"/>
    <n v="6.0784333000000003E-2"/>
    <n v="0.17049700000000001"/>
    <n v="0.39417799999999997"/>
    <n v="0.84954966700000001"/>
    <n v="1.0297343329999999"/>
    <n v="0.84083399999999997"/>
    <n v="0.93730466700000004"/>
    <n v="0.88308766699999997"/>
    <n v="0.78054066700000002"/>
    <n v="0.140038833"/>
    <n v="6.2645363670000007"/>
    <n v="4.0516006669999998"/>
    <n v="1.3438697891752706E-2"/>
    <n v="0.14061620644839801"/>
    <n v="44.550600000000003"/>
    <s v="Acre-feet"/>
    <n v="0"/>
    <s v="Acre-feet per Year"/>
    <s v="L_17"/>
    <n v="0"/>
    <n v="38.522300000000001"/>
    <n v="-122.8633"/>
    <s v="RUSSIAN RIVER UNDERFLOW"/>
  </r>
  <r>
    <s v="S016773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22.93"/>
    <n v="7.03"/>
    <n v="7.43"/>
    <n v="2"/>
    <n v="0"/>
    <n v="0"/>
    <n v="0"/>
    <n v="0"/>
    <n v="0"/>
    <n v="0"/>
    <n v="1.86"/>
    <n v="61.06"/>
    <n v="102.31"/>
    <n v="0"/>
    <n v="0"/>
    <n v="0.88753975137033814"/>
    <n v="115.3"/>
    <s v="Acre-feet"/>
    <n v="0"/>
    <s v="Acre-feet per Year"/>
    <s v="U_12"/>
    <n v="0"/>
    <n v="38.6248"/>
    <n v="-122.66070000000001"/>
    <s v="UNNAMED STREAM"/>
  </r>
  <r>
    <s v="S016774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.5"/>
    <n v="0"/>
    <n v="0"/>
    <n v="0"/>
    <n v="0"/>
    <n v="0.86"/>
    <n v="0"/>
    <n v="0"/>
    <n v="0"/>
    <n v="0"/>
    <n v="2.23"/>
    <n v="2.2599999999999998"/>
    <n v="5.85"/>
    <n v="0.86666666699999995"/>
    <n v="2.8746346118284031E-3"/>
    <n v="0.48087431696721317"/>
    <n v="12.2"/>
    <s v="Acre-feet"/>
    <n v="0"/>
    <s v="Acre-feet per Year"/>
    <s v="U_12"/>
    <n v="0"/>
    <n v="38.636000000000003"/>
    <n v="-122.65260000000001"/>
    <s v="UNNAMED STREAM"/>
  </r>
  <r>
    <s v="S016775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0"/>
    <n v="0.13"/>
    <n v="0"/>
    <n v="0"/>
    <n v="0"/>
    <n v="0"/>
    <n v="0"/>
    <n v="0"/>
    <n v="0"/>
    <n v="0"/>
    <n v="0.1"/>
    <n v="0.66"/>
    <n v="0.89"/>
    <n v="0"/>
    <n v="0"/>
    <n v="0.5"/>
    <n v="1.8"/>
    <s v="Acre-feet"/>
    <n v="0"/>
    <s v="Acre-feet per Year"/>
    <s v="U_12"/>
    <n v="0"/>
    <n v="38.634300000000003"/>
    <n v="-122.6592"/>
    <s v="UNNAMED STREAM"/>
  </r>
  <r>
    <s v="S016776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8.9600000000000009"/>
    <n v="1.06"/>
    <n v="1"/>
    <n v="0.16"/>
    <n v="0.73"/>
    <n v="0"/>
    <n v="0"/>
    <n v="0"/>
    <n v="0.5"/>
    <n v="0"/>
    <n v="1.33"/>
    <n v="8.9"/>
    <n v="22.64"/>
    <n v="1.233333333"/>
    <n v="4.0908261756921653E-3"/>
    <n v="0.27846027846437343"/>
    <n v="81.400000000000006"/>
    <s v="Acre-feet"/>
    <n v="0"/>
    <s v="Acre-feet per Year"/>
    <s v="U_12"/>
    <n v="0"/>
    <n v="38.632300000000001"/>
    <n v="-122.6613"/>
    <s v="UNNAMED STREAM"/>
  </r>
  <r>
    <s v="S016777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.9"/>
    <n v="0.9"/>
    <n v="0.86"/>
    <n v="0"/>
    <n v="0"/>
    <n v="0"/>
    <n v="0"/>
    <n v="0"/>
    <n v="0.33"/>
    <n v="0"/>
    <n v="0.6"/>
    <n v="6.2"/>
    <n v="9.7900000000000009"/>
    <n v="0.33333333300000001"/>
    <n v="1.1056286953262076E-3"/>
    <n v="0.48039215686274517"/>
    <n v="20.399999999999999"/>
    <s v="Acre-feet"/>
    <n v="0"/>
    <s v="Acre-feet per Year"/>
    <s v="U_12"/>
    <n v="0"/>
    <n v="38.632899999999999"/>
    <n v="-122.6627"/>
    <s v="UNNAMED STREAM"/>
  </r>
  <r>
    <s v="S016778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1"/>
    <n v="0"/>
    <n v="6.6666666999999999E-2"/>
    <n v="0"/>
    <n v="0"/>
    <n v="0"/>
    <n v="0"/>
    <n v="0"/>
    <n v="0"/>
    <n v="0"/>
    <n v="0.366666667"/>
    <n v="0.46666666699999998"/>
    <n v="1.900000001"/>
    <n v="0"/>
    <n v="0"/>
    <n v="0.27142857157142858"/>
    <n v="7"/>
    <s v="Acre-feet"/>
    <n v="0"/>
    <s v="Acre-feet per Year"/>
    <s v="L_23"/>
    <n v="0"/>
    <n v="38.580100000000002"/>
    <n v="-122.7756"/>
    <s v="UNNAMED STREAM"/>
  </r>
  <r>
    <s v="S016779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3.3333333E-2"/>
    <n v="0"/>
    <n v="0"/>
    <n v="0"/>
    <n v="0"/>
    <n v="0"/>
    <n v="0"/>
    <n v="0"/>
    <n v="0"/>
    <n v="0"/>
    <n v="5.6666666999999997E-2"/>
    <n v="6.3333333000000006E-2"/>
    <n v="0.15333333300000002"/>
    <n v="0"/>
    <n v="0"/>
    <n v="3.0666666600000003E-2"/>
    <n v="5"/>
    <s v="Acre-feet"/>
    <n v="0"/>
    <s v="Acre-feet per Year"/>
    <s v="L_23"/>
    <n v="0"/>
    <n v="38.578299999999999"/>
    <n v="-122.7747"/>
    <s v="UNNAMED STREAM"/>
  </r>
  <r>
    <s v="S016781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3.46"/>
    <n v="0.8"/>
    <n v="0"/>
    <n v="0"/>
    <n v="0"/>
    <n v="0"/>
    <n v="0"/>
    <n v="0"/>
    <n v="0"/>
    <n v="0.16"/>
    <n v="0.46"/>
    <n v="2.5"/>
    <n v="7.38"/>
    <n v="0"/>
    <n v="0"/>
    <n v="0.33636363640909095"/>
    <n v="22"/>
    <s v="Acre-feet"/>
    <n v="0"/>
    <s v="Acre-feet per Year"/>
    <s v="U_5"/>
    <n v="0"/>
    <n v="39.067799999999998"/>
    <n v="-123.1962"/>
    <s v="POINT #1 - UNNAMED STREAM"/>
  </r>
  <r>
    <s v="S016782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0.03"/>
    <n v="0.03"/>
    <n v="0"/>
    <n v="0"/>
    <n v="0"/>
    <n v="0"/>
    <n v="0"/>
    <n v="0"/>
    <n v="0"/>
    <n v="0"/>
    <n v="0.8"/>
    <n v="3.6"/>
    <n v="4.46"/>
    <n v="0"/>
    <n v="0"/>
    <n v="0.49629629622222221"/>
    <n v="9"/>
    <s v="Acre-feet"/>
    <n v="0"/>
    <s v="Acre-feet per Year"/>
    <s v="U_5"/>
    <n v="0"/>
    <n v="39.066699999999997"/>
    <n v="-123.1981"/>
    <s v="POINT #2 - UNNAMED STREAM"/>
  </r>
  <r>
    <s v="S016783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1.56"/>
    <n v="0.86"/>
    <n v="0"/>
    <n v="0"/>
    <n v="0"/>
    <n v="0"/>
    <n v="0"/>
    <n v="0"/>
    <n v="0"/>
    <n v="0"/>
    <n v="0.83"/>
    <n v="2.46"/>
    <n v="5.71"/>
    <n v="0"/>
    <n v="0"/>
    <n v="0.47777777783333336"/>
    <n v="12"/>
    <s v="Acre-feet"/>
    <n v="0"/>
    <s v="Acre-feet per Year"/>
    <s v="U_5"/>
    <n v="0"/>
    <n v="39.0625"/>
    <n v="-123.20099999999999"/>
    <s v="POINT #3 - UNNAMED STREAM"/>
  </r>
  <r>
    <s v="S016790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0"/>
    <n v="1"/>
    <n v="0"/>
    <n v="0.2"/>
    <n v="0"/>
    <n v="0"/>
    <n v="0"/>
    <n v="0"/>
    <n v="0"/>
    <n v="0"/>
    <n v="0.6"/>
    <n v="0.36"/>
    <n v="2.1599999999999997"/>
    <n v="0"/>
    <n v="0"/>
    <n v="0.18207282915966386"/>
    <n v="11.9"/>
    <s v="Acre-feet"/>
    <n v="0"/>
    <s v="Acre-feet per Year"/>
    <s v="U_12"/>
    <n v="3.4039024194010059E-4"/>
    <n v="38.629800000000003"/>
    <n v="-122.6662"/>
    <s v="UNNAMED STREAM"/>
  </r>
  <r>
    <s v="S016819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5.93"/>
    <n v="0"/>
    <n v="0"/>
    <n v="0"/>
    <n v="0.13"/>
    <n v="0"/>
    <n v="0"/>
    <n v="0"/>
    <n v="0"/>
    <n v="0.16"/>
    <n v="0.36"/>
    <n v="5.53"/>
    <n v="12.11"/>
    <n v="0.133333333"/>
    <n v="4.4225147746710584E-4"/>
    <n v="0.70134874757225429"/>
    <n v="17.3"/>
    <s v="Acre-feet"/>
    <n v="0"/>
    <s v="Acre-feet per Year"/>
    <s v="U_6"/>
    <n v="0"/>
    <n v="38.961500000000001"/>
    <n v="-123.0842"/>
    <s v="UNNAMED STREAM"/>
  </r>
  <r>
    <s v="S016836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19.100000000000001"/>
    <n v="0.36"/>
    <n v="8.4"/>
    <n v="0"/>
    <n v="0"/>
    <n v="0"/>
    <n v="0"/>
    <n v="0"/>
    <n v="0"/>
    <n v="0"/>
    <n v="3.63"/>
    <n v="14.76"/>
    <n v="46.25"/>
    <n v="0"/>
    <n v="0"/>
    <n v="0.58417508421717179"/>
    <n v="79.2"/>
    <s v="Acre-feet"/>
    <n v="0"/>
    <s v="Acre-feet per Year"/>
    <s v="U_6"/>
    <n v="0"/>
    <n v="38.965800000000002"/>
    <n v="-123.1339"/>
    <s v="POINT #1 - UNNAMED STREAM"/>
  </r>
  <r>
    <s v="S016837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6.73"/>
    <n v="5.36"/>
    <n v="0.7"/>
    <n v="0.1"/>
    <n v="5.6"/>
    <n v="0"/>
    <n v="0"/>
    <n v="0"/>
    <n v="0"/>
    <n v="0"/>
    <n v="0.6"/>
    <n v="2.2999999999999998"/>
    <n v="21.39"/>
    <n v="5.6"/>
    <n v="1.8574562100054849E-2"/>
    <n v="0.89915966386554624"/>
    <n v="23.8"/>
    <s v="Acre-feet"/>
    <n v="0"/>
    <s v="Acre-feet per Year"/>
    <s v="U_6"/>
    <n v="0"/>
    <n v="38.982199999999999"/>
    <n v="-123.1447"/>
    <s v="POINT #1"/>
  </r>
  <r>
    <s v="S016838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3.83"/>
    <n v="1.7"/>
    <n v="0"/>
    <n v="0"/>
    <n v="0"/>
    <n v="0"/>
    <n v="0"/>
    <n v="0"/>
    <n v="0"/>
    <n v="0"/>
    <n v="0.56000000000000005"/>
    <n v="1.03"/>
    <n v="7.12"/>
    <n v="0"/>
    <n v="0"/>
    <n v="0.40301318265536723"/>
    <n v="17.7"/>
    <s v="Acre-feet"/>
    <n v="0"/>
    <s v="Acre-feet per Year"/>
    <s v="U_6"/>
    <n v="0"/>
    <n v="38.9816"/>
    <n v="-123.1427"/>
    <s v="POINT #2 - UNNAMED STREAM"/>
  </r>
  <r>
    <s v="S016839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25.13"/>
    <n v="13.53"/>
    <n v="7.13"/>
    <n v="8.23"/>
    <n v="0"/>
    <n v="0"/>
    <n v="0"/>
    <n v="0"/>
    <n v="0"/>
    <n v="0"/>
    <n v="0.53"/>
    <n v="1.56"/>
    <n v="56.11"/>
    <n v="0"/>
    <n v="0"/>
    <n v="0.66039215677647056"/>
    <n v="85"/>
    <s v="Acre-feet"/>
    <n v="0"/>
    <s v="Acre-feet per Year"/>
    <s v="U_6"/>
    <n v="0"/>
    <n v="38.982100000000003"/>
    <n v="-123.139"/>
    <s v="POINT #3 - UNNAMED STREAM"/>
  </r>
  <r>
    <s v="S016840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0"/>
    <s v="Acre-feet"/>
    <n v="0"/>
    <s v="Acre-feet per Year"/>
    <s v="U_6"/>
    <n v="0"/>
    <n v="38.975999999999999"/>
    <n v="-123.13939999999999"/>
    <s v="POINT #4 - UNNAMED STREAM"/>
  </r>
  <r>
    <s v="S016841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2.7"/>
    <n v="7.6"/>
    <n v="10.199999999999999"/>
    <n v="0"/>
    <n v="5.66"/>
    <n v="0"/>
    <n v="0"/>
    <n v="0"/>
    <n v="0"/>
    <n v="0"/>
    <n v="26.16"/>
    <n v="15.866666667000001"/>
    <n v="5.2627925951261041E-2"/>
    <n v="5.4034177960498198E-2"/>
    <n v="484.26139999999998"/>
    <s v="Acre-feet"/>
    <n v="0"/>
    <s v="Acre-feet per Year"/>
    <s v="U_6"/>
    <n v="0"/>
    <n v="38.978099999999998"/>
    <n v="-123.1485"/>
    <s v="POINT #5 - FELIZ CREEK"/>
  </r>
  <r>
    <s v="S016842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22.72019999999998"/>
    <s v="Acre-feet"/>
    <n v="0"/>
    <s v="Acre-feet per Year"/>
    <s v="U_6"/>
    <n v="0"/>
    <n v="38.9726"/>
    <n v="-123.1421"/>
    <s v="POINT #6"/>
  </r>
  <r>
    <s v="S016853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7.4"/>
    <n v="4.1666666670000003"/>
    <n v="2.5"/>
    <n v="4.5666666669999998"/>
    <n v="0.1"/>
    <n v="0"/>
    <n v="0"/>
    <n v="0"/>
    <n v="0"/>
    <n v="0"/>
    <n v="1.3333333329999999"/>
    <n v="4"/>
    <n v="24.066666667"/>
    <n v="0.1"/>
    <n v="3.3168860892955089E-4"/>
    <n v="1.3370370370555555"/>
    <n v="18"/>
    <s v="Acre-feet"/>
    <n v="0"/>
    <s v="Acre-feet per Year"/>
    <s v="L_27"/>
    <n v="0"/>
    <n v="38.398700959999999"/>
    <n v="-122.63521733"/>
    <s v="UNNAMED STREAM"/>
  </r>
  <r>
    <s v="S016885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0"/>
    <n v="1.03"/>
    <n v="0.93"/>
    <n v="0"/>
    <n v="0"/>
    <n v="0"/>
    <n v="0"/>
    <n v="0"/>
    <n v="0"/>
    <n v="0"/>
    <n v="0"/>
    <n v="0.56000000000000005"/>
    <n v="2.52"/>
    <n v="0"/>
    <n v="0"/>
    <n v="0.10872675248927037"/>
    <n v="23.3"/>
    <s v="Acre-feet"/>
    <n v="0"/>
    <s v="Acre-feet per Year"/>
    <s v="U_6"/>
    <n v="0"/>
    <n v="38.955246250000002"/>
    <n v="-123.05095163999999"/>
    <s v="UNNAMED STREAM"/>
  </r>
  <r>
    <s v="S016886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0"/>
    <n v="0.1"/>
    <n v="0.5"/>
    <n v="0"/>
    <n v="0"/>
    <n v="0"/>
    <n v="0"/>
    <n v="0"/>
    <n v="0"/>
    <n v="0.06"/>
    <n v="0.26"/>
    <n v="1.66"/>
    <n v="2.58"/>
    <n v="0"/>
    <n v="0"/>
    <n v="0.23636363645454547"/>
    <n v="11"/>
    <s v="Acre-feet"/>
    <n v="0"/>
    <s v="Acre-feet per Year"/>
    <s v="U_6"/>
    <n v="0"/>
    <n v="38.960500000000003"/>
    <n v="-123.0474"/>
    <s v="UNNAMED STREAM"/>
  </r>
  <r>
    <s v="S016887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1.03"/>
    <n v="0.86"/>
    <n v="2.83"/>
    <n v="0"/>
    <n v="0"/>
    <n v="0"/>
    <n v="0"/>
    <n v="0"/>
    <n v="0"/>
    <n v="0"/>
    <n v="0.16"/>
    <n v="1.8"/>
    <n v="6.6800000000000006"/>
    <n v="0"/>
    <n v="0"/>
    <n v="0.34895833333333337"/>
    <n v="19.2"/>
    <s v="Acre-feet"/>
    <n v="0"/>
    <s v="Acre-feet per Year"/>
    <s v="U_6"/>
    <n v="0"/>
    <n v="38.963500000000003"/>
    <n v="-123.0568"/>
    <s v="UNNAMED STREAM"/>
  </r>
  <r>
    <s v="S016892"/>
    <n v="10000000"/>
    <n v="14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3.4333333330000002"/>
    <n v="0"/>
    <n v="0"/>
    <n v="0"/>
    <n v="0"/>
    <n v="0"/>
    <n v="0"/>
    <n v="0"/>
    <n v="0"/>
    <n v="0"/>
    <n v="2.1"/>
    <n v="3.0333333329999999"/>
    <n v="8.5666666659999997"/>
    <n v="0"/>
    <n v="0"/>
    <n v="0.41585760517799314"/>
    <n v="20.6"/>
    <s v="Acre-feet"/>
    <n v="0"/>
    <s v="Acre-feet per Year"/>
    <s v="L_14"/>
    <n v="0"/>
    <n v="38.690899999999999"/>
    <n v="-123.00709999999999"/>
    <s v="FALL CREEK"/>
  </r>
  <r>
    <s v="S016896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0"/>
    <s v="N"/>
    <n v="0.06"/>
    <n v="0"/>
    <n v="0"/>
    <n v="0.13"/>
    <n v="0"/>
    <n v="0"/>
    <n v="0"/>
    <n v="0"/>
    <n v="0"/>
    <n v="0"/>
    <n v="0.23"/>
    <n v="0.46"/>
    <n v="0.88000000000000012"/>
    <n v="0"/>
    <n v="0"/>
    <n v="0"/>
    <m/>
    <m/>
    <n v="0"/>
    <s v="Acre-feet per Year"/>
    <s v="U_1"/>
    <n v="0"/>
    <n v="39.324100000000001"/>
    <n v="-123.22880000000001"/>
    <s v="UNNAMED STREAM"/>
  </r>
  <r>
    <s v="S016897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0"/>
    <s v="N"/>
    <n v="0.46"/>
    <n v="0"/>
    <n v="0.06"/>
    <n v="0"/>
    <n v="0"/>
    <n v="0"/>
    <n v="0"/>
    <n v="0"/>
    <n v="0"/>
    <n v="0"/>
    <n v="0"/>
    <n v="0"/>
    <n v="0.52"/>
    <n v="0"/>
    <n v="0"/>
    <n v="5.0775275043317641E-4"/>
    <n v="1050.3800000000001"/>
    <s v="Acre-feet"/>
    <n v="0"/>
    <s v="Acre-feet per Year"/>
    <s v="U_1"/>
    <n v="0"/>
    <n v="39.3247"/>
    <n v="-123.23260000000001"/>
    <s v="UNNAMED STREAM"/>
  </r>
  <r>
    <s v="S016901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4.5"/>
    <s v="Acre-feet"/>
    <n v="0"/>
    <s v="Acre-feet per Year"/>
    <s v="U_12"/>
    <n v="0"/>
    <n v="38.622999999999998"/>
    <n v="-122.70489999999999"/>
    <s v="UNNAMED STREAM"/>
  </r>
  <r>
    <s v="S017033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9.3353999999999999"/>
    <s v="Acre-feet"/>
    <n v="0"/>
    <s v="Acre-feet per Year"/>
    <s v="L_17"/>
    <n v="0"/>
    <n v="38.563099999999999"/>
    <n v="-122.86150000000001"/>
    <s v="RUSSIAN RIVER"/>
  </r>
  <r>
    <s v="S017034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5.0146670000000004E-3"/>
    <n v="0"/>
    <n v="0.114568"/>
    <n v="6.4228332999999999E-2"/>
    <n v="0.21129266699999999"/>
    <n v="0.81928666699999997"/>
    <n v="1.886213667"/>
    <n v="1.547328"/>
    <n v="0.886648667"/>
    <n v="0.59763666699999995"/>
    <n v="0.103333333"/>
    <n v="1.8099667E-2"/>
    <n v="6.2536503350000006"/>
    <n v="5.3507696680000008"/>
    <n v="1.7747893478813552E-2"/>
    <n v="0.92509620340236698"/>
    <n v="6.76"/>
    <s v="Acre-feet"/>
    <n v="0"/>
    <s v="Acre-feet per Year"/>
    <s v="L_17"/>
    <n v="0"/>
    <n v="38.566099999999999"/>
    <n v="-122.8618"/>
    <s v="RUSSIAN RIVER"/>
  </r>
  <r>
    <s v="S017035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.06"/>
    <n v="0.60679366700000004"/>
    <n v="0"/>
    <n v="0.26252033299999999"/>
    <n v="2.2775726669999998"/>
    <n v="3.7468720000000002"/>
    <n v="3.096473"/>
    <n v="2.9102809999999999"/>
    <n v="2.1542889999999999"/>
    <n v="0.24253833299999999"/>
    <n v="0"/>
    <n v="15.357340000000001"/>
    <n v="12.293718999999999"/>
    <n v="4.0776865536807899E-2"/>
    <n v="0.57864883195177097"/>
    <n v="26.54"/>
    <s v="Acre-feet"/>
    <n v="0"/>
    <s v="Acre-feet per Year"/>
    <s v="L_17"/>
    <n v="0"/>
    <n v="38.5807"/>
    <n v="-122.864"/>
    <s v="RUSSIAN RIVER UNDERFLOW"/>
  </r>
  <r>
    <s v="S017036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.46351733299999998"/>
    <n v="3.3542113329999999"/>
    <n v="0"/>
    <n v="0"/>
    <n v="0"/>
    <n v="1.92"/>
    <n v="0"/>
    <n v="0"/>
    <n v="2.9763519999999999"/>
    <n v="2.72"/>
    <n v="0.32413599999999998"/>
    <n v="11.758216665999999"/>
    <n v="1.92"/>
    <n v="6.3684212914473775E-3"/>
    <n v="0.43565085831789552"/>
    <n v="26.99"/>
    <s v="Acre-feet"/>
    <n v="0"/>
    <s v="Acre-feet per Year"/>
    <s v="L_17"/>
    <n v="0"/>
    <n v="38.573799999999999"/>
    <n v="-122.8616"/>
    <s v="RUSSIAN RIVER UNDERFLOW"/>
  </r>
  <r>
    <s v="S017037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3.105599999999999"/>
    <s v="Acre-feet"/>
    <n v="0"/>
    <s v="Acre-feet per Year"/>
    <s v="L_17"/>
    <n v="0"/>
    <n v="38.574399999999997"/>
    <n v="-122.8613"/>
    <s v="RUSSIAN RIVER UNDERFLOW"/>
  </r>
  <r>
    <s v="S018216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.16666666699999999"/>
    <n v="0.51666666699999997"/>
    <n v="0.60333333300000003"/>
    <n v="0.81666666700000001"/>
    <n v="0.34333333300000002"/>
    <n v="0.206666667"/>
    <n v="0"/>
    <n v="0"/>
    <n v="0"/>
    <n v="2.653333334"/>
    <n v="2.4866666670000002"/>
    <n v="8.2479900764871276E-3"/>
    <n v="6.5759450624400858E-3"/>
    <n v="403.49079999999998"/>
    <s v="Acre-feet"/>
    <n v="0"/>
    <s v="Acre-feet per Year"/>
    <s v="L_16"/>
    <n v="0"/>
    <n v="38.642499999999998"/>
    <n v="-122.90860000000001"/>
    <m/>
  </r>
  <r>
    <s v="S017039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7.0000000000000007E-2"/>
    <n v="0"/>
    <n v="7.0000000000000007E-2"/>
    <n v="0.37"/>
    <n v="1.28"/>
    <n v="1.51"/>
    <n v="1.43"/>
    <n v="1.28"/>
    <n v="0.64"/>
    <n v="0"/>
    <n v="0"/>
    <n v="6.6499999999999995"/>
    <n v="5.8944313333333325"/>
    <n v="1.955115729384091E-2"/>
    <n v="0.74358668891360757"/>
    <n v="8.99"/>
    <s v="Acre-feet"/>
    <n v="0"/>
    <s v="Acre-feet per Year"/>
    <s v="U_10"/>
    <n v="0"/>
    <n v="38.712000000000003"/>
    <n v="-122.896"/>
    <s v="RUSSIAN RIVER"/>
  </r>
  <r>
    <s v="S017040"/>
    <n v="10000000"/>
    <n v="13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"/>
    <n v="0.12"/>
    <n v="0.57999999999999996"/>
    <n v="0.36"/>
    <n v="0.41"/>
    <n v="0.37"/>
    <n v="0.28999999999999998"/>
    <n v="0.36"/>
    <n v="0.33"/>
    <n v="0.33"/>
    <n v="0"/>
    <n v="3.15"/>
    <n v="1.7968739990000002"/>
    <n v="5.9600263714998936E-3"/>
    <n v="0.11053970969235538"/>
    <n v="28.724699999999999"/>
    <s v="Acre-feet"/>
    <n v="0"/>
    <s v="Acre-feet per Year"/>
    <s v="U_13"/>
    <n v="0"/>
    <n v="38.605899999999998"/>
    <n v="-122.85769999999999"/>
    <s v="RUSSIAN RIVER UNDERFLOW"/>
  </r>
  <r>
    <s v="S017041"/>
    <n v="10000000"/>
    <n v="13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43.125300000000003"/>
    <s v="Acre-feet"/>
    <n v="0"/>
    <s v="Acre-feet per Year"/>
    <s v="U_13"/>
    <n v="0"/>
    <n v="38.6021"/>
    <n v="-122.8584"/>
    <s v="RUSSIAN RIVER UNDERFLOW"/>
  </r>
  <r>
    <s v="S017049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11.06"/>
    <n v="0"/>
    <n v="0"/>
    <n v="0"/>
    <n v="0.53"/>
    <n v="0"/>
    <n v="0"/>
    <n v="0"/>
    <n v="0"/>
    <n v="0"/>
    <n v="3.6"/>
    <n v="14.83"/>
    <n v="30.02"/>
    <n v="0.53333333299999997"/>
    <n v="1.7690059131853094E-3"/>
    <n v="0.76226734347715741"/>
    <n v="39.4"/>
    <s v="Acre-feet"/>
    <n v="0"/>
    <s v="Acre-feet per Year"/>
    <s v="U_6"/>
    <n v="0"/>
    <n v="38.959200000000003"/>
    <n v="-123.0782"/>
    <s v="UNNAMED STREAM"/>
  </r>
  <r>
    <s v="S017050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50"/>
    <s v="Acre-feet"/>
    <n v="0"/>
    <s v="Acre-feet per Year"/>
    <s v="U_6"/>
    <n v="0"/>
    <n v="38.978499999999997"/>
    <n v="-123.0802"/>
    <s v="UNNAMED STREAM"/>
  </r>
  <r>
    <s v="S017052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U_6"/>
    <n v="0"/>
    <n v="38.982300000000002"/>
    <n v="-123.0808"/>
    <s v="UNNAMED STREAM"/>
  </r>
  <r>
    <s v="S017203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.3257000000000001"/>
    <s v="Acre-feet"/>
    <n v="0"/>
    <s v="Acre-feet per Year"/>
    <s v="U_1"/>
    <n v="0"/>
    <n v="39.228400000000001"/>
    <n v="-123.2029"/>
    <s v="RUSSIAN RIVER"/>
  </r>
  <r>
    <s v="S017309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1.96"/>
    <n v="0"/>
    <n v="0"/>
    <n v="0"/>
    <n v="0"/>
    <n v="0"/>
    <n v="0"/>
    <n v="0"/>
    <n v="0"/>
    <n v="0"/>
    <n v="0"/>
    <n v="1.96"/>
    <n v="3.92"/>
    <n v="0"/>
    <n v="0"/>
    <n v="1.9496520535288537E-3"/>
    <n v="2017.454"/>
    <s v="Acre-feet"/>
    <n v="0"/>
    <s v="Acre-feet per Year"/>
    <s v="U_6"/>
    <n v="0"/>
    <n v="38.993600000000001"/>
    <n v="-123.15349999999999"/>
    <s v="UNNAMED CREEK"/>
  </r>
  <r>
    <s v="S017312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14.26"/>
    <n v="4"/>
    <n v="1.66"/>
    <n v="0"/>
    <n v="0"/>
    <n v="0"/>
    <n v="0"/>
    <n v="0"/>
    <n v="0"/>
    <n v="0"/>
    <n v="0"/>
    <n v="12.66"/>
    <n v="32.58"/>
    <n v="0"/>
    <n v="0"/>
    <n v="1.6158980579978527E-2"/>
    <n v="2017.454"/>
    <s v="Acre-feet"/>
    <n v="0"/>
    <s v="Acre-feet per Year"/>
    <s v="U_6"/>
    <n v="0"/>
    <n v="38.991900000000001"/>
    <n v="-123.1512"/>
    <s v="UNNAMED CREEK"/>
  </r>
  <r>
    <s v="S017651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61.5412"/>
    <s v="Acre-feet"/>
    <n v="0"/>
    <s v="Acre-feet per Year"/>
    <s v="L_18"/>
    <n v="0"/>
    <n v="38.406999999999996"/>
    <n v="-122.8583"/>
    <s v="ATTASCADERO CREEK"/>
  </r>
  <r>
    <s v="S017657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0"/>
    <n v="0"/>
    <n v="4.5999999999999999E-3"/>
    <n v="4.5999999999999999E-3"/>
    <n v="4.5999999999999999E-3"/>
    <n v="0"/>
    <n v="0"/>
    <n v="0"/>
    <n v="0"/>
    <n v="1.38E-2"/>
    <n v="1.38E-2"/>
    <n v="4.577302803227802E-5"/>
    <n v="3.0000391309451864E-4"/>
    <n v="45.999400000000001"/>
    <s v="Acre-feet"/>
    <n v="0"/>
    <s v="Acre-feet per Year"/>
    <s v="U_4"/>
    <n v="3.4039024194010059E-4"/>
    <n v="39.129600000000003"/>
    <n v="-123.2188"/>
    <s v="DOOLAN CREEK"/>
  </r>
  <r>
    <s v="S017742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9.17"/>
    <s v="Acre-feet"/>
    <n v="0"/>
    <s v="Acre-feet per Year"/>
    <s v="U_1"/>
    <n v="3.4039024194010059E-4"/>
    <n v="39.317900000000002"/>
    <n v="-123.193"/>
    <m/>
  </r>
  <r>
    <s v="S017745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9.06"/>
    <s v="Acre-feet"/>
    <n v="0"/>
    <s v="Acre-feet per Year"/>
    <s v="U_1"/>
    <n v="3.4039024194010059E-4"/>
    <n v="39.320099999999996"/>
    <n v="-123.2034"/>
    <m/>
  </r>
  <r>
    <s v="S017748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.21"/>
    <n v="0.16"/>
    <n v="0.1"/>
    <n v="0.28999999999999998"/>
    <n v="0.08"/>
    <n v="0.01"/>
    <n v="0"/>
    <n v="0"/>
    <n v="0"/>
    <n v="0"/>
    <n v="0"/>
    <n v="0"/>
    <n v="0.85"/>
    <n v="0.10466666699999999"/>
    <n v="3.4716741178522528E-4"/>
    <n v="0.42232854880382775"/>
    <n v="2.09"/>
    <s v="Acre-feet"/>
    <n v="0"/>
    <s v="Acre-feet per Year"/>
    <s v="U_1"/>
    <n v="3.4039024194010059E-4"/>
    <n v="39.320900000000002"/>
    <n v="-123.19929999999999"/>
    <m/>
  </r>
  <r>
    <s v="S017751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.35"/>
    <n v="0.4"/>
    <n v="0.55000000000000004"/>
    <n v="0.99"/>
    <n v="0.51"/>
    <n v="0.45"/>
    <n v="1.5E-3"/>
    <n v="0.65"/>
    <n v="0.48"/>
    <n v="0.55000000000000004"/>
    <n v="0.47"/>
    <n v="0.5"/>
    <n v="5.9014999999999995"/>
    <n v="2.1065"/>
    <n v="6.9870205471009895E-3"/>
    <n v="0.55571161048689133"/>
    <n v="10.68"/>
    <s v="Acre-feet"/>
    <n v="0"/>
    <s v="Acre-feet per Year"/>
    <s v="U_1"/>
    <n v="3.4039024194010059E-4"/>
    <n v="39.313600000000001"/>
    <n v="-123.1951"/>
    <m/>
  </r>
  <r>
    <s v="S017791"/>
    <n v="10000000"/>
    <n v="5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3"/>
    <s v="Acre-feet"/>
    <n v="0"/>
    <s v="Acre-feet per Year"/>
    <s v="U_5"/>
    <n v="0"/>
    <n v="39.035699999999999"/>
    <n v="-123.129"/>
    <m/>
  </r>
  <r>
    <s v="S017975"/>
    <n v="10000000"/>
    <n v="10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40"/>
    <s v="Acre-feet"/>
    <n v="0"/>
    <s v="Acre-feet per Year"/>
    <s v="U_10"/>
    <n v="0"/>
    <n v="38.6858"/>
    <n v="-122.809"/>
    <s v="UNNAMED STREAM"/>
  </r>
  <r>
    <s v="S017987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403.49079999999998"/>
    <s v="Acre-feet"/>
    <n v="0"/>
    <s v="Acre-feet per Year"/>
    <s v="U_9"/>
    <n v="0"/>
    <n v="38.717500000000001"/>
    <n v="-122.91119999999999"/>
    <s v="RUSSIAN RIVER UNDERFLOW"/>
  </r>
  <r>
    <s v="S017990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.2"/>
    <n v="0"/>
    <n v="0.1"/>
    <n v="0.16"/>
    <n v="0.34"/>
    <n v="0.5"/>
    <n v="0.76"/>
    <n v="0.68"/>
    <n v="0.37"/>
    <n v="0"/>
    <n v="0"/>
    <n v="3.1100000000000003"/>
    <n v="2.4633333333333329"/>
    <n v="8.1705960666312687E-3"/>
    <n v="7.7655632627394071E-3"/>
    <n v="403.49079999999998"/>
    <s v="Acre-feet"/>
    <n v="0"/>
    <s v="Acre-feet per Year"/>
    <s v="U_9"/>
    <n v="0"/>
    <n v="38.718200000000003"/>
    <n v="-122.91030000000001"/>
    <s v="RUSSIAN RIVER UNDERFLOW"/>
  </r>
  <r>
    <s v="S017992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.7"/>
    <n v="1.5"/>
    <n v="1.56"/>
    <n v="0.73"/>
    <n v="0"/>
    <n v="0"/>
    <n v="0"/>
    <n v="0"/>
    <n v="0"/>
    <n v="0"/>
    <n v="0"/>
    <n v="4.49"/>
    <n v="0.73333333333333295"/>
    <n v="2.4323831321500389E-3"/>
    <n v="2.7881676608239913E-3"/>
    <n v="1613.9631999999999"/>
    <s v="Acre-feet"/>
    <n v="0"/>
    <s v="Acre-feet per Year"/>
    <s v="U_10"/>
    <n v="0"/>
    <n v="38.663499999999999"/>
    <n v="-122.8386"/>
    <s v="RUSSIAN RIVER UNDERFLOW"/>
  </r>
  <r>
    <s v="S017993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.05"/>
    <n v="0.05"/>
    <n v="0.05"/>
    <n v="0.05"/>
    <n v="0.05"/>
    <n v="0.17"/>
    <n v="0.17"/>
    <n v="0.17"/>
    <n v="0.17"/>
    <n v="0.17"/>
    <n v="0.05"/>
    <n v="0.05"/>
    <n v="1.2000000000000002"/>
    <n v="0.74999999999999878"/>
    <n v="2.4876645669716277E-3"/>
    <n v="3.1422919330152864E-2"/>
    <n v="40.2042"/>
    <s v="Acre-feet"/>
    <n v="0"/>
    <s v="Acre-feet per Year"/>
    <s v="U_9"/>
    <n v="3.4039024194010059E-4"/>
    <n v="38.718600000000002"/>
    <n v="-122.91370000000001"/>
    <s v="RUSSIAN RIVER UNDERFLOW"/>
  </r>
  <r>
    <s v="S017995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2.4"/>
    <n v="0"/>
    <n v="1.26"/>
    <n v="2.33"/>
    <n v="4.22"/>
    <n v="6.11"/>
    <n v="9.2799999999999994"/>
    <n v="8.5399999999999991"/>
    <n v="4.3499999999999996"/>
    <n v="0.1"/>
    <n v="0"/>
    <n v="38.590000000000003"/>
    <n v="30.496666666666659"/>
    <n v="0.10115396943654868"/>
    <n v="1.1964647106529024E-2"/>
    <n v="3227.5641999999998"/>
    <s v="Acre-feet"/>
    <n v="0"/>
    <s v="Acre-feet per Year"/>
    <s v="U_9"/>
    <n v="0"/>
    <n v="38.716799999999999"/>
    <n v="-122.9139"/>
    <s v="RUSSIAN RIVER UNDERFLOW"/>
  </r>
  <r>
    <s v="S018130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0"/>
    <n v="0.06"/>
    <n v="0"/>
    <n v="0"/>
    <n v="0"/>
    <n v="0"/>
    <n v="0"/>
    <n v="0"/>
    <n v="0"/>
    <n v="0"/>
    <n v="0.06"/>
    <n v="0"/>
    <n v="0.12"/>
    <n v="0"/>
    <n v="0"/>
    <n v="6.4630796897721769E-3"/>
    <n v="20.63"/>
    <s v="Acre-feet"/>
    <n v="0"/>
    <s v="Acre-feet per Year"/>
    <s v="U_6"/>
    <n v="0"/>
    <n v="38.957599999999999"/>
    <n v="-123.09739999999999"/>
    <s v="POINT 3 - UNNAMED STREAM"/>
  </r>
  <r>
    <s v="S018133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0"/>
    <n v="0"/>
    <n v="0"/>
    <n v="0"/>
    <n v="0"/>
    <n v="0"/>
    <n v="0"/>
    <n v="0"/>
    <n v="0"/>
    <n v="0"/>
    <n v="0.73"/>
    <n v="0"/>
    <n v="0.73"/>
    <n v="0"/>
    <n v="0"/>
    <n v="5.2380952357142858E-2"/>
    <n v="14"/>
    <s v="Acre-feet"/>
    <n v="0"/>
    <s v="Acre-feet per Year"/>
    <s v="U_6"/>
    <n v="0"/>
    <n v="38.996600000000001"/>
    <n v="-123.1031"/>
    <s v="POINT 4 - UNNAMED STREAM"/>
  </r>
  <r>
    <s v="S018136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0"/>
    <s v="N"/>
    <n v="0"/>
    <n v="6.6666666666666697E-3"/>
    <n v="0"/>
    <n v="0"/>
    <n v="0"/>
    <n v="0"/>
    <n v="0"/>
    <n v="0"/>
    <n v="0"/>
    <n v="0"/>
    <n v="0"/>
    <n v="0"/>
    <n v="6.6666666666666697E-3"/>
    <n v="0"/>
    <n v="0"/>
    <n v="9.5238095238095281E-4"/>
    <n v="7"/>
    <s v="Acre-feet"/>
    <n v="0"/>
    <s v="Acre-feet per Year"/>
    <s v="U_6"/>
    <n v="0"/>
    <n v="38.968299999999999"/>
    <n v="-123.0996"/>
    <s v="POINT #2 - UNNAMED STREAM"/>
  </r>
  <r>
    <s v="S016054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.105339"/>
    <n v="0.26359900000000003"/>
    <n v="0.25536500000000001"/>
    <n v="0.418991"/>
    <n v="0.36751466700000002"/>
    <n v="0.557152333"/>
    <n v="0.72868366699999998"/>
    <n v="8.0814667000000007E-2"/>
    <n v="3.2274333000000002E-2"/>
    <n v="0"/>
    <n v="2.8097336669999997"/>
    <n v="2.3277066669999997"/>
    <n v="7.7207378637327122E-3"/>
    <n v="7.7574093511871885E-3"/>
    <n v="362.2"/>
    <s v="Acre-feet"/>
    <n v="0"/>
    <s v="Acre-feet per Year"/>
    <s v="L_15"/>
    <n v="0"/>
    <n v="38.668199999999999"/>
    <n v="-122.9387"/>
    <s v="TURBINE WELL"/>
  </r>
  <r>
    <s v="S018139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U_6"/>
    <n v="0"/>
    <n v="39.002099999999999"/>
    <n v="-123.1084"/>
    <s v="RUSSIAN RIVER"/>
  </r>
  <r>
    <s v="S016069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5.0000000000000001E-3"/>
    <n v="0"/>
    <n v="0.14481333299999999"/>
    <n v="0.114188333"/>
    <n v="0.35318033300000001"/>
    <n v="0.368979"/>
    <n v="0.70104833300000002"/>
    <n v="0.15568599999999999"/>
    <n v="1.01333E-4"/>
    <n v="0"/>
    <n v="1.842996665"/>
    <n v="1.6822093319999998"/>
    <n v="5.5796967325938895E-3"/>
    <n v="4.6257634280407613E-2"/>
    <n v="39.841999999999999"/>
    <s v="Acre-feet"/>
    <n v="0"/>
    <s v="Acre-feet per Year"/>
    <s v="L_15"/>
    <n v="3.4039024194010059E-4"/>
    <n v="38.654699999999998"/>
    <n v="-122.9251"/>
    <s v="DRY CREEK UNDERFLOW"/>
  </r>
  <r>
    <s v="S018142"/>
    <n v="10000000"/>
    <n v="22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1.266666667"/>
    <n v="0"/>
    <n v="1.8533333329999999"/>
    <n v="0"/>
    <n v="0"/>
    <n v="0"/>
    <n v="0"/>
    <n v="0"/>
    <n v="0"/>
    <n v="0"/>
    <n v="3.7433333329999998"/>
    <n v="2.0533333329999999"/>
    <n v="8.9166666659999994"/>
    <n v="0"/>
    <n v="0"/>
    <n v="0.85326953741626799"/>
    <n v="10.45"/>
    <s v="Acre-feet"/>
    <n v="0"/>
    <s v="Acre-feet per Year"/>
    <s v="L_22"/>
    <n v="0"/>
    <n v="38.824100000000001"/>
    <n v="-123.1383"/>
    <s v="MC CHRISTIAN CREEK"/>
  </r>
  <r>
    <s v="S018151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U_6"/>
    <n v="0"/>
    <n v="38.998699999999999"/>
    <n v="-123.1022"/>
    <s v="POINT 5"/>
  </r>
  <r>
    <s v="S013563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.33"/>
    <n v="0.33"/>
    <n v="0.33"/>
    <n v="0.33"/>
    <n v="0.33"/>
    <n v="0.33"/>
    <n v="0.33"/>
    <n v="0.33"/>
    <n v="0.33"/>
    <n v="0.33"/>
    <n v="0.33"/>
    <n v="0.33"/>
    <n v="3.9600000000000004"/>
    <n v="1.6500000000000001"/>
    <n v="5.4728620473375907E-3"/>
    <n v="0.982021078735276"/>
    <n v="4.0324999999999998"/>
    <s v="Acre-feet"/>
    <n v="0"/>
    <s v="Acre-feet per Year"/>
    <s v="L_16"/>
    <n v="3.4039024194010059E-4"/>
    <n v="38.575004190000001"/>
    <n v="-122.89796020999999"/>
    <s v="FELTA CREEK UNDERFLOW"/>
  </r>
  <r>
    <s v="S018154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2.8"/>
    <n v="0"/>
    <n v="0"/>
    <n v="0"/>
    <n v="0"/>
    <n v="0"/>
    <n v="0"/>
    <n v="0"/>
    <n v="0"/>
    <n v="0"/>
    <n v="0"/>
    <n v="3.96"/>
    <n v="6.76"/>
    <n v="0"/>
    <n v="0"/>
    <n v="0.29420289856521736"/>
    <n v="23"/>
    <s v="Acre-feet"/>
    <n v="0"/>
    <s v="Acre-feet per Year"/>
    <s v="U_6"/>
    <n v="0"/>
    <n v="38.968899999999998"/>
    <n v="-123.0921"/>
    <s v="POINT #6-UNNAMED STREAM"/>
  </r>
  <r>
    <s v="S018157"/>
    <n v="10000000"/>
    <n v="14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.53333333299999997"/>
    <n v="2.0666666669999998"/>
    <n v="4.233333333"/>
    <n v="8.3000000000000007"/>
    <n v="9.0666666669999998"/>
    <n v="6.9333333330000002"/>
    <n v="0.86666666699999995"/>
    <n v="0.2"/>
    <n v="0"/>
    <n v="32.200000000000003"/>
    <n v="30.6"/>
    <n v="0.10149671433244259"/>
    <n v="0.11397584561582354"/>
    <n v="282.51600000000002"/>
    <s v="Acre-feet"/>
    <n v="0"/>
    <s v="Acre-feet per Year"/>
    <s v="L_14"/>
    <n v="0"/>
    <n v="38.713900000000002"/>
    <n v="-122.9868"/>
    <s v="DRY CREEK"/>
  </r>
  <r>
    <s v="S018160"/>
    <n v="10000000"/>
    <n v="14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.5"/>
    <n v="0.7"/>
    <n v="0.26666666700000002"/>
    <n v="0.4"/>
    <n v="0.7"/>
    <n v="1.1333333329999999"/>
    <n v="1.3666666670000001"/>
    <n v="1.233333333"/>
    <n v="1.1666666670000001"/>
    <n v="1.233333333"/>
    <n v="0.9"/>
    <n v="0.8"/>
    <n v="10.4"/>
    <n v="5.6000000000000005"/>
    <n v="1.8574562100054853E-2"/>
    <n v="0.12875972197804647"/>
    <n v="80.770600000000002"/>
    <s v="Acre-feet"/>
    <n v="0"/>
    <s v="Acre-feet per Year"/>
    <s v="L_14"/>
    <n v="0"/>
    <n v="38.711799999999997"/>
    <n v="-122.9828"/>
    <s v="DRY CREEK UNDERFLOW"/>
  </r>
  <r>
    <s v="S018187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7.0000000000000007E-2"/>
    <n v="0.8400000000000003"/>
    <n v="0.38800000099999998"/>
    <n v="1.2869518059635437E-3"/>
    <n v="2.5658015847598017E-3"/>
    <n v="362.2"/>
    <s v="Acre-feet"/>
    <n v="0"/>
    <s v="Acre-feet per Year"/>
    <s v="U_6"/>
    <n v="3.4039024194010059E-4"/>
    <n v="38.960599999999999"/>
    <n v="-123.02719999999999"/>
    <s v="UNNAMED STREAM UNDERFLOW"/>
  </r>
  <r>
    <s v="S016061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5.0999999999999997E-2"/>
    <n v="6.9560000000000004E-3"/>
    <n v="4.0920000000000002E-3"/>
    <n v="8.8666667000000005E-2"/>
    <n v="0.21440899999999999"/>
    <n v="0.25842999999999999"/>
    <n v="0.24112166700000001"/>
    <n v="0.24647266700000001"/>
    <n v="0.30641800000000002"/>
    <n v="4.7211666999999999E-2"/>
    <n v="0"/>
    <n v="1.464777668"/>
    <n v="1.049100001"/>
    <n v="3.4797451995968046E-3"/>
    <n v="3.2878966119423759E-3"/>
    <n v="445.50599999999997"/>
    <s v="Acre-feet"/>
    <n v="0"/>
    <s v="Acre-feet per Year"/>
    <s v="L_16"/>
    <n v="0"/>
    <n v="38.624499999999998"/>
    <n v="-122.88500000000001"/>
    <s v="DRY CREEK UNDERFLOW"/>
  </r>
  <r>
    <s v="S018193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3.43"/>
    <n v="0.06"/>
    <n v="1.8"/>
    <n v="0"/>
    <n v="0"/>
    <n v="0"/>
    <n v="0"/>
    <n v="0"/>
    <n v="0"/>
    <n v="0"/>
    <n v="0.03"/>
    <n v="1.1000000000000001"/>
    <n v="6.42"/>
    <n v="0"/>
    <n v="0"/>
    <n v="0.54985754982905988"/>
    <n v="11.7"/>
    <s v="Acre-feet"/>
    <n v="0"/>
    <s v="Acre-feet per Year"/>
    <s v="U_6"/>
    <n v="0"/>
    <n v="38.96170214"/>
    <n v="-123.07063706"/>
    <s v="UNNAMED STREAM"/>
  </r>
  <r>
    <s v="S018205"/>
    <n v="10000000"/>
    <n v="22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0.823333333"/>
    <n v="0"/>
    <n v="1.6966666669999999"/>
    <n v="0"/>
    <n v="0"/>
    <n v="0"/>
    <n v="0"/>
    <n v="0"/>
    <n v="0"/>
    <n v="0"/>
    <n v="3.47"/>
    <n v="1.88"/>
    <n v="7.87"/>
    <n v="0"/>
    <n v="0"/>
    <n v="0.51203643461288229"/>
    <n v="15.37"/>
    <s v="Acre-feet"/>
    <n v="0"/>
    <s v="Acre-feet per Year"/>
    <s v="L_22"/>
    <n v="0"/>
    <n v="38.808700000000002"/>
    <n v="-123.2025"/>
    <m/>
  </r>
  <r>
    <s v="S018208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13.66"/>
    <n v="8.66"/>
    <n v="1"/>
    <n v="1.4"/>
    <n v="6.63"/>
    <n v="0"/>
    <n v="0"/>
    <n v="0"/>
    <n v="0"/>
    <n v="0"/>
    <n v="0"/>
    <n v="0.33"/>
    <n v="31.679999999999996"/>
    <n v="6.6333333330000004"/>
    <n v="2.2002011057887919E-2"/>
    <n v="1.136200716953405"/>
    <n v="27.9"/>
    <s v="Acre-feet"/>
    <n v="0"/>
    <s v="Acre-feet per Year"/>
    <s v="U_6"/>
    <n v="0"/>
    <n v="38.96334658"/>
    <n v="-123.07072762999999"/>
    <m/>
  </r>
  <r>
    <s v="S018211"/>
    <n v="10000000"/>
    <n v="10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"/>
    <n v="0"/>
    <n v="0.4"/>
    <n v="0.66"/>
    <n v="0"/>
    <n v="1.06"/>
    <n v="1.1000000000000001"/>
    <n v="3.36"/>
    <n v="1.23"/>
    <n v="2.4300000000000002"/>
    <n v="3.33"/>
    <n v="13.57"/>
    <n v="6.2000000000000064"/>
    <n v="2.0564693753632179E-2"/>
    <n v="0.73513513513513495"/>
    <n v="18.5"/>
    <s v="Acre-feet"/>
    <n v="0"/>
    <s v="Acre-feet per Year"/>
    <s v="U_10"/>
    <n v="0"/>
    <n v="38.705399999999997"/>
    <n v="-122.82299999999999"/>
    <m/>
  </r>
  <r>
    <s v="S024495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0.161"/>
    <n v="9.2999999999999999E-2"/>
    <n v="0.14499999999999999"/>
    <n v="0.14499999999999999"/>
    <n v="1.2250000000000001"/>
    <n v="0"/>
    <n v="0"/>
    <n v="0"/>
    <n v="1.7690000000000001"/>
    <n v="1.7690000000000001"/>
    <n v="5.8675714919637564E-3"/>
    <n v="3.7569553582805933E-3"/>
    <n v="470.86"/>
    <s v="Acre-feet"/>
    <n v="0"/>
    <s v="Acre-feet per Year"/>
    <s v="L_16"/>
    <n v="0"/>
    <n v="38.6312"/>
    <n v="-122.8982"/>
    <s v="DRY CREEK UNDERFLOW"/>
  </r>
  <r>
    <s v="S018214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1.78"/>
    <n v="0.48"/>
    <n v="0.63"/>
    <n v="0.56000000000000005"/>
    <n v="0"/>
    <n v="0"/>
    <n v="0"/>
    <n v="0"/>
    <n v="0"/>
    <n v="0"/>
    <n v="0.2"/>
    <n v="0.89"/>
    <n v="4.54"/>
    <n v="0"/>
    <n v="0"/>
    <n v="0.57552742620253161"/>
    <n v="7.9"/>
    <s v="Acre-feet"/>
    <n v="0"/>
    <s v="Acre-feet per Year"/>
    <s v="U_6"/>
    <n v="0"/>
    <n v="38.958199999999998"/>
    <n v="-123.02549999999999"/>
    <m/>
  </r>
  <r>
    <s v="S016032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1.6372332999999999E-2"/>
    <n v="1.6372332999999999E-2"/>
    <n v="1.6372332999999999E-2"/>
    <n v="1.6372332999999999E-2"/>
    <n v="8.1861666999999999E-2"/>
    <n v="8.1861666999999999E-2"/>
    <n v="8.1861666999999999E-2"/>
    <n v="8.1861666999999999E-2"/>
    <n v="8.1861666999999999E-2"/>
    <n v="8.1861666999999999E-2"/>
    <n v="1.6372332999999999E-2"/>
    <n v="1.6372332999999999E-2"/>
    <n v="0.58940399999999982"/>
    <n v="0.40930833499999997"/>
    <n v="1.357629122594206E-3"/>
    <n v="2.9587068922242853E-2"/>
    <n v="19.920999999999999"/>
    <s v="Acre-feet"/>
    <n v="0"/>
    <s v="Acre-feet per Year"/>
    <s v="L_16"/>
    <n v="3.4039024194010059E-4"/>
    <n v="38.583499969999998"/>
    <n v="-122.88766941999999"/>
    <s v="DRY CREEK"/>
  </r>
  <r>
    <s v="S018217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3.02"/>
    <n v="0.83"/>
    <n v="1.07"/>
    <n v="0.95"/>
    <n v="0"/>
    <n v="0"/>
    <n v="0"/>
    <n v="0"/>
    <n v="0"/>
    <n v="0"/>
    <n v="0.6"/>
    <n v="1.78"/>
    <n v="8.25"/>
    <n v="0"/>
    <n v="0"/>
    <n v="0.61840796029850753"/>
    <n v="13.4"/>
    <s v="Acre-feet"/>
    <n v="0"/>
    <s v="Acre-feet per Year"/>
    <s v="U_6"/>
    <n v="0"/>
    <n v="38.9619"/>
    <n v="-123.02670000000001"/>
    <m/>
  </r>
  <r>
    <s v="S018220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.01"/>
    <n v="0.04"/>
    <n v="0.04"/>
    <n v="3.333333E-3"/>
    <n v="3.333333E-3"/>
    <n v="0"/>
    <n v="0"/>
    <n v="0"/>
    <n v="0"/>
    <n v="0"/>
    <n v="0"/>
    <n v="0"/>
    <n v="9.6666665999999984E-2"/>
    <n v="3.333333E-3"/>
    <n v="1.1056285858689666E-5"/>
    <n v="1.871345E-2"/>
    <n v="5.7"/>
    <s v="Acre-feet"/>
    <n v="0"/>
    <s v="Acre-feet per Year"/>
    <s v="U_6"/>
    <n v="0"/>
    <n v="38.965000000000003"/>
    <n v="-123.02679999999999"/>
    <s v="UNNAMED STREAM"/>
  </r>
  <r>
    <s v="S025818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3.0214667000000001E-2"/>
    <n v="4.0280000000000003E-2"/>
    <n v="4.0280000000000003E-2"/>
    <n v="4.0280000000000003E-2"/>
    <n v="0.31774999999999998"/>
    <n v="4.7449333000000003E-2"/>
    <n v="7.3701332999999994E-2"/>
    <n v="7.0249332999999997E-2"/>
    <n v="5.8022667E-2"/>
    <n v="5.1361333000000002E-2"/>
    <n v="3.6253332999999999E-2"/>
    <n v="9.8197667000000002E-2"/>
    <n v="0.90403966600000008"/>
    <n v="0.56717266599999994"/>
    <n v="1.8812471260840479E-3"/>
    <n v="2.1171889133489463"/>
    <n v="0.42699999999999999"/>
    <s v="Acre-feet"/>
    <n v="0"/>
    <s v="Acre-feet per Year"/>
    <s v="L_16"/>
    <n v="3.4039024194010059E-4"/>
    <n v="38.589100000000002"/>
    <n v="-122.922"/>
    <s v="MILLS CREEK"/>
  </r>
  <r>
    <s v="S018223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.01"/>
    <n v="0.1"/>
    <n v="0.15"/>
    <n v="0.11"/>
    <n v="0.2"/>
    <n v="0.05"/>
    <n v="0.03"/>
    <n v="0.03"/>
    <n v="0.01"/>
    <n v="0.01"/>
    <n v="0.12"/>
    <n v="0.12"/>
    <n v="0.94000000000000017"/>
    <n v="0.33666666600000006"/>
    <n v="1.1166849811848976E-3"/>
    <n v="2.7056874654886802E-3"/>
    <n v="362.2"/>
    <s v="Acre-feet"/>
    <n v="0"/>
    <s v="Acre-feet per Year"/>
    <s v="U_6"/>
    <n v="0"/>
    <n v="38.962299999999999"/>
    <n v="-123.0227"/>
    <s v="UNNAMED STREAM"/>
  </r>
  <r>
    <s v="S025242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.194333333"/>
    <n v="0.18133333300000001"/>
    <n v="0.17399999999999999"/>
    <n v="0.13700000000000001"/>
    <n v="0.116333333"/>
    <n v="9.9000000000000005E-2"/>
    <n v="6.9000000000000006E-2"/>
    <n v="6.9000000000000006E-2"/>
    <n v="6.6000000000000003E-2"/>
    <n v="6.9000000000000006E-2"/>
    <n v="7.6999999999999999E-2"/>
    <n v="0.10299999999999999"/>
    <n v="1.3549999989999999"/>
    <n v="0.41933333300000003"/>
    <n v="1.3908808990056216E-3"/>
    <n v="1.1200198371631673"/>
    <n v="1.2098"/>
    <s v="Acre-feet"/>
    <n v="0"/>
    <s v="Acre-feet per Year"/>
    <s v="L_16"/>
    <n v="3.4039024194010059E-4"/>
    <n v="38.587200000000003"/>
    <n v="-122.9618"/>
    <s v="UNNAMED SPRINGS"/>
  </r>
  <r>
    <s v="S018467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7.0000000000000007E-2"/>
    <n v="0.57999999999999996"/>
    <n v="0"/>
    <n v="0"/>
    <n v="0.13"/>
    <n v="0"/>
    <n v="0"/>
    <n v="0"/>
    <n v="0"/>
    <n v="0"/>
    <n v="0"/>
    <n v="0.77999999999999992"/>
    <n v="0.134866666666667"/>
    <n v="4.4733737057632209E-4"/>
    <n v="1.3167315286599644E-3"/>
    <n v="604.87400000000002"/>
    <s v="Acre-feet"/>
    <n v="0"/>
    <s v="Acre-feet per Year"/>
    <s v="U_10"/>
    <n v="0"/>
    <n v="38.686"/>
    <n v="-122.8545"/>
    <s v="RUSSIAN RIVER UNDERFLOW"/>
  </r>
  <r>
    <s v="S018470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.09"/>
    <n v="0.24"/>
    <n v="0.28000000000000003"/>
    <n v="0.12"/>
    <n v="7.0000000000000007E-2"/>
    <n v="0.28000000000000003"/>
    <n v="0.45"/>
    <n v="0.37"/>
    <n v="0.26"/>
    <n v="0.2"/>
    <n v="0.09"/>
    <n v="0.06"/>
    <n v="2.5100000000000002"/>
    <n v="1.4509333333333332"/>
    <n v="4.8125805898284971E-3"/>
    <n v="3.9193017976562987E-2"/>
    <n v="65.195999999999998"/>
    <s v="Acre-feet"/>
    <n v="0"/>
    <s v="Acre-feet per Year"/>
    <s v="U_10"/>
    <n v="3.4039024194010059E-4"/>
    <n v="38.6877"/>
    <n v="-122.8535"/>
    <s v="RUSSIAN RIVER UNDERFLOW"/>
  </r>
  <r>
    <s v="S018473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72.44"/>
    <s v="Acre-feet"/>
    <n v="0"/>
    <s v="Acre-feet per Year"/>
    <s v="U_10"/>
    <n v="3.4039024194010059E-4"/>
    <n v="38.6967"/>
    <n v="-122.86"/>
    <s v="RUSSIAN RIVER UNDERFLOW"/>
  </r>
  <r>
    <s v="S018474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2.2999999999999998"/>
    <n v="0"/>
    <n v="0"/>
    <n v="0"/>
    <n v="0"/>
    <n v="0"/>
    <n v="0"/>
    <n v="0"/>
    <n v="0"/>
    <n v="0"/>
    <n v="0.26"/>
    <n v="4.9000000000000004"/>
    <n v="7.46"/>
    <n v="0"/>
    <n v="0"/>
    <n v="0.19047619048469386"/>
    <n v="39.200000000000003"/>
    <s v="Acre-feet"/>
    <n v="0"/>
    <s v="Acre-feet per Year"/>
    <s v="U_6"/>
    <n v="0"/>
    <n v="38.949469229999998"/>
    <n v="-123.05934899"/>
    <s v="DOOLEY CREEK"/>
  </r>
  <r>
    <s v="S018477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0.6"/>
    <n v="0"/>
    <n v="0"/>
    <n v="0"/>
    <n v="0"/>
    <n v="0"/>
    <n v="0"/>
    <n v="0"/>
    <n v="0"/>
    <n v="0"/>
    <n v="0.33"/>
    <n v="2.93"/>
    <n v="3.8600000000000003"/>
    <n v="0"/>
    <n v="0"/>
    <n v="0.12275132273015875"/>
    <n v="31.5"/>
    <s v="Acre-feet"/>
    <n v="0"/>
    <s v="Acre-feet per Year"/>
    <s v="U_6"/>
    <n v="0"/>
    <n v="38.951167400000003"/>
    <n v="-123.06241034999999"/>
    <s v="DOOLEY CREEK"/>
  </r>
  <r>
    <s v="S018479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0"/>
    <s v="N"/>
    <n v="2.62"/>
    <n v="6.16"/>
    <n v="0"/>
    <n v="0"/>
    <n v="0"/>
    <n v="0"/>
    <n v="0"/>
    <n v="0"/>
    <n v="0"/>
    <n v="1.06"/>
    <n v="10.23"/>
    <n v="19.329999999999998"/>
    <n v="39.4"/>
    <n v="0"/>
    <n v="0"/>
    <n v="0.78853333321999997"/>
    <n v="50"/>
    <s v="Acre-feet"/>
    <n v="0"/>
    <s v="Acre-feet per Year"/>
    <s v="U_1"/>
    <n v="0"/>
    <n v="39.321100000000001"/>
    <n v="-123.34"/>
    <s v="WALKER CREEK"/>
  </r>
  <r>
    <s v="S018480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18.93"/>
    <n v="0"/>
    <n v="2.4"/>
    <n v="0"/>
    <n v="0"/>
    <n v="0"/>
    <n v="0"/>
    <n v="0"/>
    <n v="0"/>
    <n v="0"/>
    <n v="0.4"/>
    <n v="1.7"/>
    <n v="23.429999999999996"/>
    <n v="0"/>
    <n v="0"/>
    <n v="0.3210045661643835"/>
    <n v="73"/>
    <s v="Acre-feet"/>
    <n v="0"/>
    <s v="Acre-feet per Year"/>
    <s v="U_6"/>
    <n v="0"/>
    <n v="38.956024499999998"/>
    <n v="-123.06439209"/>
    <s v="DOOLEY CREEK"/>
  </r>
  <r>
    <s v="S018483"/>
    <n v="10000000"/>
    <n v="8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5"/>
    <n v="5"/>
    <n v="5"/>
    <n v="0"/>
    <n v="0"/>
    <n v="0"/>
    <n v="0"/>
    <n v="0"/>
    <n v="0"/>
    <n v="0"/>
    <n v="0"/>
    <n v="0"/>
    <n v="15"/>
    <n v="0"/>
    <n v="0"/>
    <n v="1.0804347669502208"/>
    <n v="13.8833"/>
    <s v="Acre-feet"/>
    <n v="0"/>
    <s v="Acre-feet per Year"/>
    <s v="U_8"/>
    <n v="0"/>
    <n v="38.844200000000001"/>
    <n v="-122.9572"/>
    <s v="UNNAMED SPRING"/>
  </r>
  <r>
    <s v="S018486"/>
    <n v="10000000"/>
    <n v="8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2.12"/>
    <n v="2.12"/>
    <n v="2.12"/>
    <n v="0"/>
    <n v="0"/>
    <n v="0"/>
    <n v="0"/>
    <n v="0"/>
    <n v="0"/>
    <n v="0"/>
    <n v="0"/>
    <n v="0"/>
    <n v="6.36"/>
    <n v="0"/>
    <n v="0"/>
    <n v="0.35636985956611467"/>
    <n v="17.880299999999998"/>
    <s v="Acre-feet"/>
    <n v="0"/>
    <s v="Acre-feet per Year"/>
    <s v="U_8"/>
    <n v="0"/>
    <n v="38.838099999999997"/>
    <n v="-122.9727"/>
    <s v="CARPENTER CREEK"/>
  </r>
  <r>
    <s v="S018490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.01"/>
    <n v="0.2"/>
    <n v="0.72"/>
    <n v="0"/>
    <n v="0"/>
    <n v="0.15"/>
    <n v="0"/>
    <n v="0"/>
    <n v="0"/>
    <n v="0"/>
    <n v="0"/>
    <n v="0"/>
    <n v="1.0799999999999998"/>
    <n v="0.159"/>
    <n v="5.2738488819798596E-4"/>
    <n v="1.1384622712719487E-3"/>
    <n v="968.52279999999996"/>
    <s v="Acre-feet"/>
    <n v="0"/>
    <s v="Acre-feet per Year"/>
    <s v="U_10"/>
    <n v="0"/>
    <n v="38.686999999999998"/>
    <n v="-122.85420000000001"/>
    <s v="RUSSIAN RIVER UNDERFLOW"/>
  </r>
  <r>
    <s v="S018503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2.597999999999999"/>
    <s v="Acre-feet"/>
    <n v="0"/>
    <s v="Acre-feet per Year"/>
    <s v="U_1"/>
    <n v="0"/>
    <n v="39.291400000000003"/>
    <n v="-123.3366"/>
    <m/>
  </r>
  <r>
    <s v="S025235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3.9123333000000003E-2"/>
    <n v="3.9123333000000003E-2"/>
    <n v="3.9323333000000002E-2"/>
    <n v="3.9323333000000002E-2"/>
    <n v="3.9456667000000001E-2"/>
    <n v="3.9456667000000001E-2"/>
    <n v="3.9456667000000001E-2"/>
    <n v="3.9456667000000001E-2"/>
    <n v="3.9456667000000001E-2"/>
    <n v="3.9456667000000001E-2"/>
    <n v="3.9123333000000003E-2"/>
    <n v="3.9123333000000003E-2"/>
    <n v="0.47187999999999997"/>
    <n v="0.197283335"/>
    <n v="6.5436634951132589E-4"/>
    <n v="0.39004794180856339"/>
    <n v="1.2098"/>
    <s v="Acre-feet"/>
    <n v="0"/>
    <s v="Acre-feet per Year"/>
    <s v="L_16"/>
    <n v="3.4039024194010059E-4"/>
    <n v="38.568800000000003"/>
    <n v="-122.9528"/>
    <s v="UNNAMED CREEK "/>
  </r>
  <r>
    <s v="S015821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5"/>
    <n v="4.3333333329999997"/>
    <n v="4"/>
    <n v="1.3333333329999999"/>
    <n v="0"/>
    <n v="0"/>
    <n v="0"/>
    <n v="0"/>
    <n v="0"/>
    <n v="0"/>
    <n v="0.33333333300000001"/>
    <n v="2"/>
    <n v="16.999999999"/>
    <n v="0"/>
    <n v="0"/>
    <n v="1.0119047618452381"/>
    <n v="16.8"/>
    <s v="Acre-feet"/>
    <n v="0"/>
    <s v="Acre-feet per Year"/>
    <s v="L_28"/>
    <n v="0"/>
    <n v="38.335848439999999"/>
    <n v="-122.78130616999999"/>
    <s v="UNST"/>
  </r>
  <r>
    <s v="S016699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1.278667E-3"/>
    <n v="3.1403329999999999E-3"/>
    <n v="3.621333E-3"/>
    <n v="2.7209999999999999E-3"/>
    <n v="6.9566699999999997E-4"/>
    <n v="0"/>
    <n v="0"/>
    <n v="0"/>
    <n v="0"/>
    <n v="1.1457E-2"/>
    <n v="1.0178332999999999E-2"/>
    <n v="3.3760371139917426E-5"/>
    <n v="1.7573163997791276E-3"/>
    <n v="6.5195999999999996"/>
    <s v="Acre-feet"/>
    <n v="0"/>
    <s v="Acre-feet per Year"/>
    <s v="L_28"/>
    <n v="0"/>
    <n v="38.339300000000001"/>
    <n v="-122.7783"/>
    <s v="UNNAMED CREEK"/>
  </r>
  <r>
    <s v="S016700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8.8000000000000003E-4"/>
    <n v="1.2377667E-2"/>
    <n v="1.7819999999999999E-2"/>
    <n v="1.5191E-2"/>
    <n v="5.0633329999999997E-3"/>
    <n v="5.2579999999999997E-3"/>
    <n v="5.1353329999999997E-3"/>
    <n v="1.186667E-3"/>
    <n v="0"/>
    <n v="6.2911999999999996E-2"/>
    <n v="5.5709999999999996E-2"/>
    <n v="1.8478372403465279E-4"/>
    <n v="4.8248358795018095E-3"/>
    <n v="13.039199999999999"/>
    <s v="Acre-feet"/>
    <n v="0"/>
    <s v="Acre-feet per Year"/>
    <s v="L_28"/>
    <n v="0"/>
    <n v="38.339799999999997"/>
    <n v="-122.7783"/>
    <s v="UNNAMED CREEK"/>
  </r>
  <r>
    <s v="S018710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.2"/>
    <n v="0.2"/>
    <n v="0.1"/>
    <n v="1"/>
    <n v="2.4300000000000002"/>
    <n v="4.2300000000000004"/>
    <n v="3.93"/>
    <n v="0.96"/>
    <n v="0.23"/>
    <n v="0"/>
    <n v="13.280000000000001"/>
    <n v="11.69999999999999"/>
    <n v="3.8807567244757424E-2"/>
    <n v="5.6492375653060315E-5"/>
    <n v="235430"/>
    <s v="Acre-feet"/>
    <n v="0"/>
    <s v="Acre-feet per Year"/>
    <s v="U_9"/>
    <n v="0"/>
    <n v="38.793799999999997"/>
    <n v="-122.9961"/>
    <s v="RUSSIAN RIVER UNDERFLOW"/>
  </r>
  <r>
    <s v="S018763"/>
    <n v="10000000"/>
    <n v="10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4.03"/>
    <n v="1.46"/>
    <n v="2.4"/>
    <n v="0"/>
    <n v="0"/>
    <n v="0"/>
    <n v="0"/>
    <n v="0"/>
    <n v="0"/>
    <n v="0"/>
    <n v="0"/>
    <n v="1.43"/>
    <n v="9.32"/>
    <n v="0"/>
    <n v="0"/>
    <n v="0.53949903658959542"/>
    <n v="17.3"/>
    <s v="Acre-feet"/>
    <n v="0"/>
    <s v="Acre-feet per Year"/>
    <s v="U_10"/>
    <n v="0"/>
    <n v="38.692399999999999"/>
    <n v="-122.8374"/>
    <s v="UNNAMED STREAM"/>
  </r>
  <r>
    <s v="S018787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.51"/>
    <n v="0.51"/>
    <n v="0.21"/>
    <n v="0"/>
    <n v="0"/>
    <n v="0"/>
    <n v="1.23"/>
    <n v="1.243992999999999"/>
    <n v="4.1261830768809845E-3"/>
    <n v="0.95898319457292558"/>
    <n v="1.2971999999999999"/>
    <s v="Acre-feet"/>
    <n v="0"/>
    <s v="Acre-feet per Year"/>
    <s v="U_10"/>
    <n v="0"/>
    <n v="38.6753"/>
    <n v="-122.8387"/>
    <s v="RUSSIAN RIVER"/>
  </r>
  <r>
    <s v="S025301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.05"/>
    <n v="0"/>
    <n v="8.3333332999999996E-2"/>
    <n v="2"/>
    <n v="1.4666666669999999"/>
    <n v="0.35"/>
    <n v="0.46666666699999998"/>
    <n v="0"/>
    <n v="0"/>
    <n v="0"/>
    <n v="4.4166666669999994"/>
    <n v="4.3666666669999996"/>
    <n v="1.4483735924362685E-2"/>
    <n v="0"/>
    <m/>
    <m/>
    <n v="0"/>
    <s v="Acre-feet per Year"/>
    <s v="L_15"/>
    <n v="0"/>
    <n v="38.676699999999997"/>
    <n v="-122.9404"/>
    <s v="DRY CREEK UNDERFLOW"/>
  </r>
  <r>
    <s v="S008661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0"/>
    <n v="0"/>
    <n v="8.7666667000000004E-2"/>
    <n v="8.7666667000000004E-2"/>
    <n v="0"/>
    <n v="0"/>
    <n v="0"/>
    <n v="0"/>
    <n v="0.17533333400000001"/>
    <n v="0.17533333400000001"/>
    <n v="5.8156069653440335E-4"/>
    <n v="0.16698412761904763"/>
    <n v="1.05"/>
    <s v="Acre-feet"/>
    <n v="0"/>
    <s v="Acre-feet per Year"/>
    <s v="L_15"/>
    <n v="0"/>
    <n v="38.65686599"/>
    <n v="-122.92910969"/>
    <s v="DRY CREEK"/>
  </r>
  <r>
    <s v="S019039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"/>
    <n v="2.66"/>
    <n v="0.96"/>
    <n v="1.93"/>
    <n v="1.28"/>
    <n v="2.84"/>
    <n v="0"/>
    <n v="0"/>
    <n v="0"/>
    <n v="0"/>
    <n v="0"/>
    <n v="2.81"/>
    <n v="12.48"/>
    <n v="4.13"/>
    <n v="1.3698739548790452E-2"/>
    <n v="0.46621940614983232"/>
    <n v="26.83"/>
    <s v="Acre-feet"/>
    <n v="0"/>
    <s v="Acre-feet per Year"/>
    <s v="U_1"/>
    <n v="0"/>
    <n v="39.278799999999997"/>
    <n v="-123.19459999999999"/>
    <s v="UNNAMED CREEK"/>
  </r>
  <r>
    <s v="S015823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.4"/>
    <n v="0"/>
    <n v="0"/>
    <n v="2.5000000000000001E-2"/>
    <n v="6.5000000000000002E-2"/>
    <n v="6.5000000000000002E-2"/>
    <n v="7.4999999999999997E-2"/>
    <n v="5.5E-2"/>
    <n v="0.04"/>
    <n v="0"/>
    <n v="0"/>
    <n v="0.72500000000000009"/>
    <n v="0.28499999999999998"/>
    <n v="9.4531253544922003E-4"/>
    <n v="9.098438833391899E-4"/>
    <n v="796.84"/>
    <s v="Acre-feet"/>
    <n v="0"/>
    <s v="Acre-feet per Year"/>
    <s v="L_15"/>
    <n v="0"/>
    <n v="38.655767689999998"/>
    <n v="-122.92909538000001"/>
    <s v="DRY CREEK"/>
  </r>
  <r>
    <s v="S019190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16.866666670000001"/>
    <n v="0"/>
    <n v="0.76666666699999997"/>
    <n v="3.766666667"/>
    <n v="0"/>
    <n v="0"/>
    <n v="0"/>
    <n v="0"/>
    <n v="0"/>
    <n v="0"/>
    <n v="0.3"/>
    <n v="1.566666667"/>
    <n v="23.266666670999999"/>
    <n v="0"/>
    <n v="0"/>
    <n v="1.0249632894713656"/>
    <n v="22.7"/>
    <s v="Acre-feet"/>
    <n v="0"/>
    <s v="Acre-feet per Year"/>
    <s v="L_24"/>
    <n v="0"/>
    <n v="38.519199999999998"/>
    <n v="-122.6713"/>
    <s v="UNNAMED STREAM"/>
  </r>
  <r>
    <s v="S019193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7.9333333330000002"/>
    <n v="0"/>
    <n v="0"/>
    <n v="0.66666666699999999"/>
    <n v="0"/>
    <n v="0"/>
    <n v="0"/>
    <n v="0"/>
    <n v="0"/>
    <n v="0"/>
    <n v="2.6666666669999999"/>
    <n v="3.3333333E-2"/>
    <n v="11.299999999999999"/>
    <n v="0"/>
    <n v="0"/>
    <n v="0.16642120765832102"/>
    <n v="67.900000000000006"/>
    <s v="Acre-feet"/>
    <n v="0"/>
    <s v="Acre-feet per Year"/>
    <s v="L_18"/>
    <n v="0"/>
    <n v="38.468600000000002"/>
    <n v="-122.8699"/>
    <s v="UNNAMED STREAM"/>
  </r>
  <r>
    <s v="S019196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0"/>
    <s v="N"/>
    <n v="0"/>
    <n v="0"/>
    <n v="0"/>
    <n v="0"/>
    <n v="0"/>
    <n v="0"/>
    <n v="0"/>
    <n v="0"/>
    <n v="0"/>
    <n v="0"/>
    <n v="0.96"/>
    <n v="0.46"/>
    <n v="1.42"/>
    <n v="0"/>
    <n v="0"/>
    <n v="0"/>
    <n v="0"/>
    <s v="Acre-feet"/>
    <n v="0"/>
    <s v="Acre-feet per Year"/>
    <s v="U_6"/>
    <n v="0"/>
    <n v="39.008899999999997"/>
    <n v="-123.113"/>
    <s v="RUSSIAN RIVER UNDERFLOW"/>
  </r>
  <r>
    <s v="S019202"/>
    <n v="10000000"/>
    <n v="10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12.92"/>
    <n v="0.23"/>
    <n v="3.03"/>
    <n v="1.82"/>
    <n v="0"/>
    <n v="0"/>
    <n v="0"/>
    <n v="0"/>
    <n v="0"/>
    <n v="0.04"/>
    <n v="1.05"/>
    <n v="7.33"/>
    <n v="26.42"/>
    <n v="0"/>
    <n v="0"/>
    <n v="0.34950215873645252"/>
    <n v="75.66"/>
    <s v="Acre-feet"/>
    <n v="0"/>
    <s v="Acre-feet per Year"/>
    <s v="U_10"/>
    <n v="0"/>
    <n v="38.707599999999999"/>
    <n v="-122.83969999999999"/>
    <s v="UNNAMED STREAM"/>
  </r>
  <r>
    <s v="S019205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1.233333333"/>
    <n v="1.8"/>
    <n v="0.53333333299999997"/>
    <n v="0"/>
    <n v="0"/>
    <n v="3.3333333E-2"/>
    <n v="0"/>
    <n v="0"/>
    <n v="0"/>
    <n v="0"/>
    <n v="1.8"/>
    <n v="2.6"/>
    <n v="7.9999999989999999"/>
    <n v="3.3333333E-2"/>
    <n v="1.1056286853755495E-4"/>
    <n v="0"/>
    <n v="0"/>
    <s v="Acre-feet"/>
    <n v="0"/>
    <s v="Acre-feet per Year"/>
    <s v="L_23"/>
    <n v="0"/>
    <n v="38.5291"/>
    <n v="-122.83710000000001"/>
    <s v="UNNAMED STREAM"/>
  </r>
  <r>
    <s v="S019214"/>
    <n v="10000000"/>
    <n v="10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2.5099999999999998"/>
    <n v="0"/>
    <n v="0.47"/>
    <n v="0.31"/>
    <n v="0"/>
    <n v="0"/>
    <n v="0"/>
    <n v="0"/>
    <n v="0"/>
    <n v="0"/>
    <n v="0.43"/>
    <n v="0.83"/>
    <n v="4.55"/>
    <n v="0"/>
    <n v="0"/>
    <n v="0.22715187766699896"/>
    <n v="20.059999999999999"/>
    <s v="Acre-feet"/>
    <n v="0"/>
    <s v="Acre-feet per Year"/>
    <s v="U_10"/>
    <n v="0"/>
    <n v="38.7117"/>
    <n v="-122.84399999999999"/>
    <s v="UNNAMED STREAM"/>
  </r>
  <r>
    <s v="S019220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0"/>
    <n v="0"/>
    <n v="0"/>
    <n v="0"/>
    <n v="0"/>
    <n v="0"/>
    <n v="0"/>
    <n v="0"/>
    <n v="0"/>
    <n v="0"/>
    <n v="0.73"/>
    <n v="0.33"/>
    <n v="1.06"/>
    <n v="0"/>
    <n v="0"/>
    <n v="0.53333333300000008"/>
    <n v="2"/>
    <s v="Acre-feet"/>
    <n v="0"/>
    <s v="Acre-feet per Year"/>
    <s v="U_6"/>
    <n v="0"/>
    <n v="38.872599999999998"/>
    <n v="-123.0642"/>
    <s v="UNNAMED STREAM"/>
  </r>
  <r>
    <s v="S019232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0"/>
    <n v="0"/>
    <n v="2.4333333330000002"/>
    <n v="0.43333333299999999"/>
    <n v="0"/>
    <n v="0"/>
    <n v="0"/>
    <n v="0"/>
    <n v="0"/>
    <n v="0"/>
    <n v="1.266666667"/>
    <n v="0"/>
    <n v="4.1333333330000004"/>
    <n v="0"/>
    <n v="0"/>
    <n v="0.14252873562068966"/>
    <n v="29"/>
    <s v="Acre-feet"/>
    <n v="0"/>
    <s v="Acre-feet per Year"/>
    <s v="L_27"/>
    <n v="0"/>
    <n v="38.501899999999999"/>
    <n v="-122.69280000000001"/>
    <s v="UNNAMED STREAM"/>
  </r>
  <r>
    <s v="S019235"/>
    <n v="10000000"/>
    <n v="9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0"/>
    <n v="0"/>
    <n v="0.03"/>
    <n v="0"/>
    <n v="0"/>
    <n v="0"/>
    <n v="0"/>
    <n v="0"/>
    <n v="0"/>
    <n v="0"/>
    <n v="6.7"/>
    <n v="5.4"/>
    <n v="12.13"/>
    <n v="0"/>
    <n v="0"/>
    <n v="0.45786163520754714"/>
    <n v="26.5"/>
    <s v="Acre-feet"/>
    <n v="0"/>
    <s v="Acre-feet per Year"/>
    <s v="U_9"/>
    <n v="0"/>
    <n v="38.869999999999997"/>
    <n v="-123.05419999999999"/>
    <s v="UNNAMED STREAM"/>
  </r>
  <r>
    <s v="S019291"/>
    <n v="10000000"/>
    <n v="5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1.51"/>
    <n v="1.38"/>
    <n v="2.29"/>
    <n v="1.79"/>
    <n v="4.25"/>
    <n v="8.73"/>
    <n v="7.63"/>
    <n v="9.02"/>
    <n v="3.95"/>
    <n v="1.63"/>
    <n v="1.57"/>
    <n v="1.1299999999999999"/>
    <n v="44.88"/>
    <n v="33.599333333333327"/>
    <n v="0.11144516134293622"/>
    <n v="6.1710131470385961E-2"/>
    <n v="728.02200000000005"/>
    <s v="Acre-feet"/>
    <n v="0"/>
    <s v="Acre-feet per Year"/>
    <s v="U_5"/>
    <n v="3.4039024194010059E-4"/>
    <n v="39.035299999999999"/>
    <n v="-123.1294"/>
    <s v="RUSSIAN RIVER UNDERFLOW"/>
  </r>
  <r>
    <s v="S019312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811"/>
    <s v="Acre-feet"/>
    <n v="0"/>
    <s v="Acre-feet per Year"/>
    <s v="L_27"/>
    <n v="0"/>
    <n v="38.502400000000002"/>
    <n v="-122.6949"/>
    <s v="UNNAMED STREAM"/>
  </r>
  <r>
    <s v="S016066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0"/>
    <n v="3.0333333000000001E-2"/>
    <n v="3.9333332999999998E-2"/>
    <n v="3.4000000000000002E-2"/>
    <n v="1.4999999999999999E-2"/>
    <n v="0.34"/>
    <n v="0"/>
    <n v="0"/>
    <n v="0.45866666600000006"/>
    <n v="0.118666666"/>
    <n v="3.9360381371847635E-4"/>
    <n v="2.1105589269280328E-2"/>
    <n v="21.731999999999999"/>
    <s v="Acre-feet"/>
    <n v="0"/>
    <s v="Acre-feet per Year"/>
    <s v="L_16"/>
    <n v="0"/>
    <n v="38.651400000000002"/>
    <n v="-122.9286"/>
    <s v="DRY CREEK UNDERFLOW"/>
  </r>
  <r>
    <s v="S019386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0"/>
    <s v="N"/>
    <n v="10"/>
    <n v="3.66"/>
    <n v="0"/>
    <n v="0"/>
    <n v="0"/>
    <n v="0"/>
    <n v="0"/>
    <n v="0"/>
    <n v="0"/>
    <n v="0"/>
    <n v="0"/>
    <n v="0"/>
    <n v="13.66"/>
    <n v="0"/>
    <n v="0"/>
    <n v="1.451245239243087E-3"/>
    <n v="9417.2000000000007"/>
    <s v="Acre-feet"/>
    <n v="0"/>
    <s v="Acre-feet per Year"/>
    <s v="U_1"/>
    <n v="0"/>
    <n v="39.213700000000003"/>
    <n v="-123.2103"/>
    <s v="UNNAMED STREAM"/>
  </r>
  <r>
    <s v="S019394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0"/>
    <s v="N"/>
    <n v="4"/>
    <n v="4"/>
    <n v="4"/>
    <n v="4"/>
    <n v="0"/>
    <n v="0"/>
    <n v="0"/>
    <n v="0"/>
    <n v="0"/>
    <n v="0"/>
    <n v="0"/>
    <n v="0"/>
    <n v="16"/>
    <n v="0"/>
    <n v="0"/>
    <n v="1"/>
    <n v="16"/>
    <s v="Acre-feet"/>
    <n v="0"/>
    <s v="Acre-feet per Year"/>
    <s v="U_1"/>
    <n v="3.4039024194010059E-4"/>
    <n v="39.225099999999998"/>
    <n v="-123.2195"/>
    <s v="UNNAMED STREAM"/>
  </r>
  <r>
    <s v="S020134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2.9154442999999999E-2"/>
    <n v="2.9154442999999999E-2"/>
    <n v="2.9154442999999999E-2"/>
    <n v="2.9154442999999999E-2"/>
    <n v="2.9154442999999999E-2"/>
    <n v="2.9154442999999999E-2"/>
    <n v="0"/>
    <n v="0"/>
    <n v="0.17492665799999998"/>
    <n v="0.14577221499999998"/>
    <n v="4.8350983213929407E-4"/>
    <n v="0.24147799282164548"/>
    <n v="0.72440000000000004"/>
    <s v="Acre-feet"/>
    <n v="0"/>
    <s v="Acre-feet per Year"/>
    <s v="L_16"/>
    <n v="0"/>
    <n v="38.638300000000001"/>
    <n v="-122.87430000000001"/>
    <s v="NORTON SLOUGH"/>
  </r>
  <r>
    <s v="S024511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0"/>
    <n v="1.7000000000000001E-2"/>
    <n v="3.9E-2"/>
    <n v="2.5000000000000001E-2"/>
    <n v="0"/>
    <n v="0"/>
    <n v="0"/>
    <n v="0"/>
    <n v="8.1000000000000003E-2"/>
    <n v="8.1000000000000003E-2"/>
    <n v="2.6866777323293622E-4"/>
    <n v="0"/>
    <n v="0"/>
    <s v="Acre-feet"/>
    <n v="0"/>
    <s v="Acre-feet per Year"/>
    <s v="L_16"/>
    <n v="0"/>
    <n v="38.631999999999998"/>
    <n v="-122.8952"/>
    <s v="DRY CREEK UNDERFLOW"/>
  </r>
  <r>
    <s v="S013709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8.5023330000000008E-3"/>
    <n v="6.8793329999999996E-3"/>
    <n v="6.2630000000000003E-3"/>
    <n v="7.540667E-3"/>
    <n v="1.7891332999999999E-2"/>
    <n v="2.1598666999999998E-2"/>
    <n v="2.4741666999999998E-2"/>
    <n v="2.1971000000000001E-2"/>
    <n v="1.7688333000000001E-2"/>
    <n v="1.166E-2"/>
    <n v="1.5364667E-2"/>
    <n v="7.5310000000000004E-3"/>
    <n v="0.167632"/>
    <n v="0.103891"/>
    <n v="3.4459461270299971E-4"/>
    <n v="3.4641868154577392E-2"/>
    <n v="4.8390000000000004"/>
    <s v="Acre-feet"/>
    <n v="0"/>
    <s v="Acre-feet per Year"/>
    <s v="L_16"/>
    <n v="3.4039024194010059E-4"/>
    <n v="38.57936222"/>
    <n v="-122.88472133"/>
    <s v="FELTA CREEK"/>
  </r>
  <r>
    <s v="S019547"/>
    <n v="10000000"/>
    <n v="5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40.333333333333286"/>
    <n v="0.13378107226825206"/>
    <n v="8.9602902658918349E-2"/>
    <n v="645.44039999999995"/>
    <s v="Acre-feet"/>
    <n v="0"/>
    <s v="Acre-feet per Year"/>
    <s v="U_5"/>
    <n v="0"/>
    <n v="39.099499999999999"/>
    <n v="-123.17100000000001"/>
    <s v="UNDERFLOW OF RUSSIAN RIVER"/>
  </r>
  <r>
    <s v="S019550"/>
    <n v="10000000"/>
    <n v="5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565.03200000000004"/>
    <s v="Acre-feet"/>
    <n v="0"/>
    <s v="Acre-feet per Year"/>
    <s v="U_5"/>
    <n v="0"/>
    <n v="39.098500000000001"/>
    <n v="-123.17270000000001"/>
    <s v="UNDERFLOW OF RUSSIAN RIVER"/>
  </r>
  <r>
    <s v="S019553"/>
    <n v="10000000"/>
    <n v="5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0.63000000000000012"/>
    <n v="2.0896382362561709E-3"/>
    <n v="0.10307380820909262"/>
    <n v="10.866"/>
    <s v="Acre-feet"/>
    <n v="0"/>
    <s v="Acre-feet per Year"/>
    <s v="U_5"/>
    <n v="3.4039024194010059E-4"/>
    <n v="39.098199999999999"/>
    <n v="-123.1747"/>
    <s v="UNDERFLOW TO RUSSIAN RIVER"/>
  </r>
  <r>
    <s v="S019556"/>
    <n v="10000000"/>
    <n v="5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484.26139999999998"/>
    <s v="Acre-feet"/>
    <n v="0"/>
    <s v="Acre-feet per Year"/>
    <s v="U_5"/>
    <n v="0"/>
    <n v="39.098100000000002"/>
    <n v="-123.175"/>
    <s v="UNDERFLOW OF RUSSAIN RIVER"/>
  </r>
  <r>
    <s v="S019559"/>
    <n v="10000000"/>
    <n v="5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443.69499999999999"/>
    <s v="Acre-feet"/>
    <n v="0"/>
    <s v="Acre-feet per Year"/>
    <s v="U_5"/>
    <n v="0"/>
    <n v="39.097900000000003"/>
    <n v="-123.17619999999999"/>
    <s v="UNDERFLOW OF RUSSIAN RIVER"/>
  </r>
  <r>
    <s v="S019594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.73"/>
    <n v="0.09"/>
    <n v="7.0000000000000007E-2"/>
    <n v="0.11"/>
    <n v="0.11"/>
    <n v="0.11"/>
    <n v="0.16"/>
    <n v="0.16"/>
    <n v="0.17"/>
    <n v="0.17"/>
    <n v="0.17"/>
    <n v="0.14000000000000001"/>
    <n v="2.19"/>
    <n v="0.72927433333333402"/>
    <n v="2.418919891513592E-3"/>
    <n v="1.2676732477230304"/>
    <n v="1.7677"/>
    <s v="Acre-feet"/>
    <n v="0"/>
    <s v="Acre-feet per Year"/>
    <s v="U_1"/>
    <n v="3.4039024194010059E-4"/>
    <n v="39.359699999999997"/>
    <n v="-123.2343"/>
    <s v="SPRING CREEK"/>
  </r>
  <r>
    <s v="S019643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0"/>
    <n v="0.4"/>
    <n v="0.21"/>
    <n v="0"/>
    <n v="0"/>
    <n v="0"/>
    <n v="0"/>
    <n v="0"/>
    <n v="0"/>
    <n v="0"/>
    <n v="0"/>
    <n v="0"/>
    <n v="0.61"/>
    <n v="0"/>
    <n v="0"/>
    <n v="9.9462365645161296E-2"/>
    <n v="6.2"/>
    <s v="Acre-feet"/>
    <n v="0"/>
    <s v="Acre-feet per Year"/>
    <s v="U_4"/>
    <n v="0"/>
    <n v="39.184199999999997"/>
    <n v="-123.2196"/>
    <m/>
  </r>
  <r>
    <s v="S019697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84"/>
    <s v="Acre-feet"/>
    <n v="0"/>
    <s v="Acre-feet per Year"/>
    <s v="L_26"/>
    <n v="3.4039024194010059E-4"/>
    <n v="38.482399999999998"/>
    <n v="-122.73050000000001"/>
    <s v="UNNAMED STREAM"/>
  </r>
  <r>
    <s v="S019738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.4"/>
    <n v="1.1599999999999999"/>
    <n v="3.7"/>
    <n v="0.76"/>
    <n v="0"/>
    <n v="0"/>
    <n v="0"/>
    <n v="0"/>
    <n v="0"/>
    <n v="0"/>
    <n v="0"/>
    <n v="6.02"/>
    <n v="0.76666666699999997"/>
    <n v="2.5429460028988521E-3"/>
    <n v="0.27424242427272733"/>
    <n v="22"/>
    <s v="Acre-feet"/>
    <n v="0"/>
    <s v="Acre-feet per Year"/>
    <s v="U_12"/>
    <n v="0"/>
    <n v="38.615900000000003"/>
    <n v="-122.68859999999999"/>
    <s v="UNNAMED STREAM"/>
  </r>
  <r>
    <s v="S019760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"/>
    <n v="0"/>
    <n v="0"/>
    <n v="0"/>
    <n v="0"/>
    <n v="0"/>
    <n v="0.86666666699999995"/>
    <n v="0"/>
    <n v="4.1333333330000004"/>
    <n v="0"/>
    <n v="0"/>
    <n v="5"/>
    <n v="0.86666666699999995"/>
    <n v="2.8746346118284031E-3"/>
    <n v="4.425946740989525E-3"/>
    <n v="1129.7018"/>
    <s v="Acre-feet"/>
    <n v="0"/>
    <s v="Acre-feet per Year"/>
    <s v="L_17"/>
    <n v="0"/>
    <n v="38.584299999999999"/>
    <n v="-122.8565"/>
    <m/>
  </r>
  <r>
    <s v="S019762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0"/>
    <s v="Acre-feet"/>
    <n v="0"/>
    <s v="Acre-feet per Year"/>
    <s v="L_23"/>
    <n v="0"/>
    <n v="38.567900000000002"/>
    <n v="-122.80410000000001"/>
    <m/>
  </r>
  <r>
    <s v="S019763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6.6666670000000003E-3"/>
    <n v="0.01"/>
    <n v="0"/>
    <n v="0"/>
    <n v="0"/>
    <n v="4.4733333330000002"/>
    <n v="11.643333330000001"/>
    <n v="16.16333333"/>
    <n v="15.15"/>
    <n v="16.059999999999999"/>
    <n v="2.1796666669999998"/>
    <n v="0.83933333300000001"/>
    <n v="66.525666659999999"/>
    <n v="47.429999993000003"/>
    <n v="0.15731990719206781"/>
    <n v="9.1606525734256289E-2"/>
    <n v="726.21100000000001"/>
    <s v="Acre-feet"/>
    <n v="0"/>
    <s v="Acre-feet per Year"/>
    <s v="L_17"/>
    <n v="0"/>
    <n v="38.586399999999998"/>
    <n v="-122.85639999999999"/>
    <m/>
  </r>
  <r>
    <s v="S019893"/>
    <n v="10000000"/>
    <n v="9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25.1"/>
    <s v="Acre-feet"/>
    <n v="0"/>
    <s v="Acre-feet per Year"/>
    <s v="U_9"/>
    <n v="0"/>
    <n v="38.8508"/>
    <n v="-122.99420000000001"/>
    <m/>
  </r>
  <r>
    <s v="S019908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0.01"/>
    <n v="0.01"/>
    <n v="0.01"/>
    <n v="0"/>
    <n v="0"/>
    <n v="0"/>
    <n v="0"/>
    <n v="0"/>
    <n v="0"/>
    <n v="0.01"/>
    <n v="0.03"/>
    <n v="0.03"/>
    <n v="0.1"/>
    <n v="0"/>
    <n v="0"/>
    <n v="6.7488802994048721E-3"/>
    <n v="16.298999999999999"/>
    <s v="Acre-feet"/>
    <n v="0"/>
    <s v="Acre-feet per Year"/>
    <s v="U_12"/>
    <n v="3.4039024194010059E-4"/>
    <n v="38.586799999999997"/>
    <n v="-122.75660000000001"/>
    <s v="BARNES CREEK"/>
  </r>
  <r>
    <s v="S019911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0.2"/>
    <n v="0.2"/>
    <n v="0"/>
    <n v="0"/>
    <n v="0"/>
    <n v="0"/>
    <n v="0"/>
    <n v="0"/>
    <n v="0"/>
    <n v="0"/>
    <n v="0"/>
    <n v="0.6"/>
    <n v="1"/>
    <n v="0"/>
    <n v="0"/>
    <n v="0.66666666666666663"/>
    <n v="1.5"/>
    <s v="Acre-feet"/>
    <n v="0"/>
    <s v="Acre-feet per Year"/>
    <s v="U_12"/>
    <n v="0"/>
    <n v="38.606299999999997"/>
    <n v="-122.758"/>
    <m/>
  </r>
  <r>
    <s v="S019914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.6"/>
    <n v="0"/>
    <n v="0.06"/>
    <n v="0"/>
    <n v="0"/>
    <n v="0.3"/>
    <n v="0"/>
    <n v="0"/>
    <n v="0"/>
    <n v="0.3"/>
    <n v="1.03"/>
    <n v="2.29"/>
    <n v="0.3"/>
    <n v="9.9506582678865279E-4"/>
    <n v="0"/>
    <n v="0"/>
    <s v="Acre-feet"/>
    <n v="0"/>
    <s v="Acre-feet per Year"/>
    <s v="U_12"/>
    <n v="0"/>
    <n v="38.607100000000003"/>
    <n v="-122.7573"/>
    <m/>
  </r>
  <r>
    <s v="S019917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1.73"/>
    <n v="1.73"/>
    <n v="4.66"/>
    <n v="0.33"/>
    <n v="0"/>
    <n v="0"/>
    <n v="0"/>
    <n v="0"/>
    <n v="0"/>
    <n v="0"/>
    <n v="0.1"/>
    <n v="0.7"/>
    <n v="9.25"/>
    <n v="0"/>
    <n v="0"/>
    <n v="1.1031746030952378"/>
    <n v="8.4"/>
    <s v="Acre-feet"/>
    <n v="0"/>
    <s v="Acre-feet per Year"/>
    <s v="U_12"/>
    <n v="0"/>
    <n v="38.600999999999999"/>
    <n v="-122.7535"/>
    <m/>
  </r>
  <r>
    <s v="S019924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"/>
    <n v="0"/>
    <n v="0"/>
    <n v="6.6666700000000002E-4"/>
    <n v="2E-3"/>
    <n v="0.33"/>
    <n v="1.5E-3"/>
    <n v="0.33"/>
    <n v="0"/>
    <n v="3.33333E-4"/>
    <n v="0"/>
    <n v="0"/>
    <n v="0.66450000000000009"/>
    <n v="0.67023333399999996"/>
    <n v="2.2230876221267506E-3"/>
    <n v="33.561666700000004"/>
    <n v="0.02"/>
    <s v="Acre-feet"/>
    <n v="0"/>
    <s v="Acre-feet per Year"/>
    <s v="U_1"/>
    <n v="3.4039024194010059E-4"/>
    <n v="39.284399999999998"/>
    <n v="-123.3507"/>
    <m/>
  </r>
  <r>
    <s v="S008664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40.928600000000003"/>
    <s v="Acre-feet"/>
    <n v="0"/>
    <s v="Acre-feet per Year"/>
    <s v="L_15"/>
    <n v="3.4039024194010059E-4"/>
    <n v="38.669955479999999"/>
    <n v="-122.94048923"/>
    <s v="DRY CREEK"/>
  </r>
  <r>
    <s v="S019932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22.358"/>
    <s v="Acre-feet"/>
    <n v="0"/>
    <s v="Acre-feet per Year"/>
    <s v="U_6"/>
    <n v="0"/>
    <n v="38.976199999999999"/>
    <n v="-123.10509999999999"/>
    <s v="RUSSIAN RIVER"/>
  </r>
  <r>
    <s v="S019943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01.416"/>
    <s v="Acre-feet"/>
    <n v="0"/>
    <s v="Acre-feet per Year"/>
    <s v="U_1"/>
    <n v="0"/>
    <n v="39.224400000000003"/>
    <n v="-123.19159999999999"/>
    <m/>
  </r>
  <r>
    <s v="S025251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5.6263329999999999E-3"/>
    <n v="5.6263329999999999E-3"/>
    <n v="4.2963330000000003E-3"/>
    <n v="4.2963330000000003E-3"/>
    <n v="4.2963330000000003E-3"/>
    <n v="5.0123329999999999E-3"/>
    <n v="5.0123329999999999E-3"/>
    <n v="5.4216669999999998E-3"/>
    <n v="5.3270000000000001E-3"/>
    <n v="4.9103330000000002E-3"/>
    <n v="4.5009999999999998E-3"/>
    <n v="4.5009999999999998E-3"/>
    <n v="5.8827330999999997E-2"/>
    <n v="2.5069665999999997E-2"/>
    <n v="8.3153226418684577E-5"/>
    <n v="0"/>
    <m/>
    <m/>
    <n v="0"/>
    <s v="Acre-feet per Year"/>
    <s v="L_16"/>
    <n v="3.4039024194010059E-4"/>
    <n v="38.590499999999999"/>
    <n v="-122.9404"/>
    <s v="SPRING"/>
  </r>
  <r>
    <s v="S020069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.08"/>
    <n v="0.1"/>
    <n v="0.08"/>
    <n v="0.09"/>
    <n v="0.05"/>
    <n v="0.18"/>
    <n v="0.01"/>
    <n v="0"/>
    <n v="0.09"/>
    <n v="0"/>
    <n v="0.15"/>
    <n v="0.1"/>
    <n v="0.92999999999999994"/>
    <n v="0.34333333300000002"/>
    <n v="1.1387975562191627E-3"/>
    <n v="5.9014872552636734E-3"/>
    <n v="161.5412"/>
    <s v="Acre-feet"/>
    <n v="0"/>
    <s v="Acre-feet per Year"/>
    <s v="U_5"/>
    <n v="0"/>
    <n v="39.122999999999998"/>
    <n v="-123.14919999999999"/>
    <s v="SMITH VONEYARDS POND"/>
  </r>
  <r>
    <s v="S020083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967.07399999999996"/>
    <s v="Acre-feet"/>
    <n v="0"/>
    <s v="Acre-feet per Year"/>
    <s v="U_10"/>
    <n v="3.4039024194010059E-4"/>
    <n v="38.686999999999998"/>
    <n v="-122.85420000000001"/>
    <s v="RUSSIAN RIVER"/>
  </r>
  <r>
    <s v="S020086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774.78"/>
    <s v="Acre-feet"/>
    <n v="0"/>
    <s v="Acre-feet per Year"/>
    <s v="U_10"/>
    <n v="0"/>
    <n v="38.686999999999998"/>
    <n v="-122.8541"/>
    <s v="RUSSIAN RIVER"/>
  </r>
  <r>
    <s v="S020090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U_10"/>
    <n v="0"/>
    <n v="38.703499999999998"/>
    <n v="-122.8745"/>
    <s v="RUSSIAN RIVER"/>
  </r>
  <r>
    <s v="S020091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U_10"/>
    <n v="0"/>
    <n v="38.703200000000002"/>
    <n v="-122.8764"/>
    <s v="RUSSIAN RIVER"/>
  </r>
  <r>
    <s v="S020094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U_10"/>
    <n v="0"/>
    <n v="38.705800000000004"/>
    <n v="-122.8823"/>
    <s v="RUSSIAN RIVER"/>
  </r>
  <r>
    <s v="S020098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.08"/>
    <n v="1.66"/>
    <n v="3.66"/>
    <n v="4.33"/>
    <n v="4"/>
    <n v="3.33"/>
    <n v="2.66"/>
    <n v="0"/>
    <n v="0"/>
    <n v="19.720000000000002"/>
    <n v="17"/>
    <n v="5.6387063518023653E-2"/>
    <n v="0.48765432098765443"/>
    <n v="40.5"/>
    <s v="Acre-feet"/>
    <n v="0"/>
    <s v="Acre-feet per Year"/>
    <s v="U_10"/>
    <n v="0"/>
    <n v="38.7057"/>
    <n v="-122.8775"/>
    <s v="RUSSIAN RIVER"/>
  </r>
  <r>
    <s v="S020102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60.4"/>
    <s v="Acre-feet"/>
    <n v="0"/>
    <s v="Acre-feet per Year"/>
    <s v="U_10"/>
    <n v="0"/>
    <n v="38.705199999999998"/>
    <n v="-122.8832"/>
    <s v="RUSSIAN RIVER"/>
  </r>
  <r>
    <s v="S013760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1.6666669999999999E-3"/>
    <n v="2E-3"/>
    <n v="2.0666669999999999E-3"/>
    <n v="2.3333329999999999E-3"/>
    <n v="2.6666670000000002E-3"/>
    <n v="1.6666669999999999E-3"/>
    <n v="0"/>
    <n v="0"/>
    <n v="0"/>
    <n v="0"/>
    <n v="1.2400001000000001E-2"/>
    <n v="8.7333339999999988E-3"/>
    <n v="2.8967474057771502E-5"/>
    <n v="6.1134342707265131E-4"/>
    <n v="20.283200000000001"/>
    <s v="Acre-feet"/>
    <n v="0"/>
    <s v="Acre-feet per Year"/>
    <s v="L_16"/>
    <n v="0"/>
    <n v="38.581849400000003"/>
    <n v="-122.88265308"/>
    <s v="MILL CREEK"/>
  </r>
  <r>
    <s v="S020148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0"/>
    <s v="N"/>
    <n v="1.34"/>
    <n v="1.36"/>
    <n v="1.37"/>
    <n v="0"/>
    <n v="0"/>
    <n v="0"/>
    <n v="0"/>
    <n v="0"/>
    <n v="0"/>
    <n v="0"/>
    <n v="0"/>
    <n v="0"/>
    <n v="4.07"/>
    <n v="0"/>
    <n v="0"/>
    <n v="0.99514622307861167"/>
    <n v="4.0998999999999999"/>
    <s v="Acre-feet"/>
    <n v="0"/>
    <s v="Acre-feet per Year"/>
    <s v="U_1"/>
    <n v="0"/>
    <n v="39.271299999999997"/>
    <n v="-123.2538"/>
    <m/>
  </r>
  <r>
    <s v="S020152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0"/>
    <s v="N"/>
    <n v="3.41"/>
    <n v="2.04"/>
    <n v="2.0099999999999998"/>
    <n v="0"/>
    <n v="0"/>
    <n v="0"/>
    <n v="0"/>
    <n v="0"/>
    <n v="0"/>
    <n v="0"/>
    <n v="0"/>
    <n v="0"/>
    <n v="7.46"/>
    <n v="0"/>
    <n v="0"/>
    <n v="0.82959259255555562"/>
    <n v="9"/>
    <s v="Acre-feet"/>
    <n v="0"/>
    <s v="Acre-feet per Year"/>
    <s v="U_1"/>
    <n v="0"/>
    <n v="39.273400000000002"/>
    <n v="-123.2574"/>
    <m/>
  </r>
  <r>
    <s v="S020175"/>
    <n v="10000000"/>
    <n v="9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.21"/>
    <n v="0.2"/>
    <n v="0.24"/>
    <n v="0.25"/>
    <n v="0.35"/>
    <n v="1.2"/>
    <n v="1.21"/>
    <n v="1.25"/>
    <n v="0.98"/>
    <n v="0.51"/>
    <n v="0.26"/>
    <n v="0.21"/>
    <n v="6.87"/>
    <n v="4.99"/>
    <n v="1.6551261585584592E-2"/>
    <n v="0.98438171657830631"/>
    <n v="6.9790000000000001"/>
    <s v="Acre-feet"/>
    <n v="0"/>
    <s v="Acre-feet per Year"/>
    <s v="U_9"/>
    <n v="0"/>
    <n v="38.758600000000001"/>
    <n v="-123.00839999999999"/>
    <s v="RAIN CREEK"/>
  </r>
  <r>
    <s v="S020240"/>
    <n v="10000000"/>
    <n v="9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2.33"/>
    <n v="0.33"/>
    <n v="0"/>
    <n v="0"/>
    <n v="0"/>
    <n v="0"/>
    <n v="0"/>
    <n v="0"/>
    <n v="0"/>
    <n v="0"/>
    <n v="0"/>
    <n v="0.33"/>
    <n v="2.99"/>
    <n v="0"/>
    <n v="0"/>
    <n v="37.546933654568214"/>
    <n v="7.9899999999999999E-2"/>
    <s v="Acre-feet"/>
    <n v="0"/>
    <s v="Acre-feet per Year"/>
    <s v="U_9"/>
    <n v="3.4039024194010059E-4"/>
    <n v="38.759500000000003"/>
    <n v="-123"/>
    <s v="BARRELLI CREEK"/>
  </r>
  <r>
    <s v="S020289"/>
    <n v="10000000"/>
    <n v="10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0"/>
    <n v="13.73"/>
    <n v="12.66"/>
    <n v="0"/>
    <n v="0"/>
    <n v="0"/>
    <n v="0"/>
    <n v="0"/>
    <n v="0"/>
    <n v="0"/>
    <n v="0"/>
    <n v="0"/>
    <n v="26.39"/>
    <n v="0"/>
    <n v="0"/>
    <n v="0.92936759380499823"/>
    <n v="28.41"/>
    <s v="Acre-feet"/>
    <n v="0"/>
    <s v="Acre-feet per Year"/>
    <s v="U_10"/>
    <n v="0"/>
    <n v="38.688800000000001"/>
    <n v="-122.8129"/>
    <s v="UNNAMED STREAM"/>
  </r>
  <r>
    <s v="S020290"/>
    <n v="10000000"/>
    <n v="10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9.5500000000000007"/>
    <s v="Acre-feet"/>
    <n v="0"/>
    <s v="Acre-feet per Year"/>
    <s v="U_10"/>
    <n v="0"/>
    <n v="38.691600000000001"/>
    <n v="-122.81740000000001"/>
    <s v="UNNAMED STREAM"/>
  </r>
  <r>
    <s v="S020291"/>
    <n v="10000000"/>
    <n v="10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"/>
    <n v="0"/>
    <n v="0"/>
    <n v="0.08"/>
    <n v="0"/>
    <n v="0"/>
    <n v="0"/>
    <n v="0"/>
    <n v="0"/>
    <n v="0.1"/>
    <n v="0"/>
    <n v="0.18"/>
    <n v="8.6666667000000003E-2"/>
    <n v="2.874634621779062E-4"/>
    <n v="1.3333333357142856"/>
    <n v="0.14000000000000001"/>
    <s v="Acre-feet"/>
    <n v="0"/>
    <s v="Acre-feet per Year"/>
    <s v="U_10"/>
    <n v="0"/>
    <n v="38.694400000000002"/>
    <n v="-122.8257"/>
    <s v="UNNAMED STREAM"/>
  </r>
  <r>
    <s v="S020293"/>
    <n v="10000000"/>
    <n v="10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18.190000000000001"/>
    <n v="3.66"/>
    <n v="3.77"/>
    <n v="3.18"/>
    <n v="0"/>
    <n v="0"/>
    <n v="0"/>
    <n v="0"/>
    <n v="0"/>
    <n v="1.41"/>
    <n v="0"/>
    <n v="1.87"/>
    <n v="32.08"/>
    <n v="0"/>
    <n v="0"/>
    <n v="1.7721332595251243E-2"/>
    <n v="1811"/>
    <s v="Acre-feet"/>
    <n v="0"/>
    <s v="Acre-feet per Year"/>
    <s v="U_10"/>
    <n v="0"/>
    <n v="38.695399999999999"/>
    <n v="-122.8228"/>
    <s v="UNNAMED STREAM"/>
  </r>
  <r>
    <s v="S020294"/>
    <n v="10000000"/>
    <n v="10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5.74"/>
    <n v="1.1499999999999999"/>
    <n v="1.19"/>
    <n v="1"/>
    <n v="0"/>
    <n v="0"/>
    <n v="0"/>
    <n v="0"/>
    <n v="0"/>
    <n v="0.44"/>
    <n v="0"/>
    <n v="0.59"/>
    <n v="10.11"/>
    <n v="0"/>
    <n v="0"/>
    <n v="5.5972759066813919E-3"/>
    <n v="1811"/>
    <s v="Acre-feet"/>
    <n v="0"/>
    <s v="Acre-feet per Year"/>
    <s v="U_10"/>
    <n v="0"/>
    <n v="38.696899999999999"/>
    <n v="-122.8252"/>
    <s v="UNNAMED STREAM"/>
  </r>
  <r>
    <s v="S020356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.06"/>
    <n v="1.1599999999999999"/>
    <n v="3.73"/>
    <n v="0.66"/>
    <n v="0.4"/>
    <n v="0.53"/>
    <n v="0.03"/>
    <n v="0"/>
    <n v="6.5700000000000012"/>
    <n v="6.0333333333333341"/>
    <n v="2.0011879405416242E-2"/>
    <n v="1.8221976808393155E-2"/>
    <n v="362.2"/>
    <s v="Acre-feet"/>
    <n v="0"/>
    <s v="Acre-feet per Year"/>
    <s v="U_10"/>
    <n v="0"/>
    <n v="38.668199999999999"/>
    <n v="-122.8552"/>
    <s v="RUSSIAN RIVER UNDERFLOW"/>
  </r>
  <r>
    <s v="S020357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57.951999999999998"/>
    <s v="Acre-feet"/>
    <n v="0"/>
    <s v="Acre-feet per Year"/>
    <s v="U_10"/>
    <n v="0"/>
    <n v="38.671399999999998"/>
    <n v="-122.8583"/>
    <s v="RUSSIAN RIVER UNDERFLOW"/>
  </r>
  <r>
    <s v="S020358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5.1999999999999957"/>
    <n v="1.7247807664336635E-2"/>
    <n v="26.227272727272709"/>
    <n v="0.22"/>
    <s v="Acre-feet"/>
    <n v="0"/>
    <s v="Acre-feet per Year"/>
    <s v="U_10"/>
    <n v="0"/>
    <n v="38.672600000000003"/>
    <n v="-122.8665"/>
    <s v="RUSSIAN RIVER UNDERFLOW"/>
  </r>
  <r>
    <s v="S020359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013.8320000000001"/>
    <s v="Acre-feet"/>
    <n v="0"/>
    <s v="Acre-feet per Year"/>
    <s v="U_10"/>
    <n v="0"/>
    <n v="38.671500000000002"/>
    <n v="-122.8562"/>
    <s v="RUSSIAN RIVER UNDERFLOW"/>
  </r>
  <r>
    <s v="S020360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419.4960000000001"/>
    <s v="Acre-feet"/>
    <n v="0"/>
    <s v="Acre-feet per Year"/>
    <s v="U_10"/>
    <n v="0"/>
    <n v="38.673699999999997"/>
    <n v="-122.861"/>
    <s v="RUSSIAN RIVER UNDERFLOW"/>
  </r>
  <r>
    <s v="S020361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30.13333333333334"/>
    <n v="9.9948834157438021E-2"/>
    <n v="1.4321209906386946E-2"/>
    <n v="2741.8539999999998"/>
    <s v="Acre-feet"/>
    <n v="0"/>
    <s v="Acre-feet per Year"/>
    <s v="U_10"/>
    <n v="0"/>
    <n v="38.667900000000003"/>
    <n v="-122.8563"/>
    <s v="RUSSIAN RIVER UNDERFLOW"/>
  </r>
  <r>
    <s v="S020362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15.133999999999999"/>
    <n v="5.0197754075398233E-2"/>
    <n v="6.886545457203761E-3"/>
    <n v="2662.8944000000001"/>
    <s v="Acre-feet"/>
    <n v="0"/>
    <s v="Acre-feet per Year"/>
    <s v="U_10"/>
    <n v="0"/>
    <n v="38.667900000000003"/>
    <n v="-122.86069999999999"/>
    <s v="RUSSIAN RIVER UNDERFLOW"/>
  </r>
  <r>
    <s v="S020363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371.6514"/>
    <s v="Acre-feet"/>
    <n v="0"/>
    <s v="Acre-feet per Year"/>
    <s v="U_10"/>
    <n v="0"/>
    <n v="38.672699999999999"/>
    <n v="-122.867"/>
    <s v="RUSSIAN RIVER UNDERFLOW"/>
  </r>
  <r>
    <s v="S020364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41.9496"/>
    <s v="Acre-feet"/>
    <n v="0"/>
    <s v="Acre-feet per Year"/>
    <s v="U_10"/>
    <n v="0"/>
    <n v="38.673900000000003"/>
    <n v="-122.8642"/>
    <s v="RUSSIAN RIVER UNDERFLOW"/>
  </r>
  <r>
    <s v="S020433"/>
    <n v="10000000"/>
    <n v="11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0.26"/>
    <n v="0.16"/>
    <n v="0.33"/>
    <n v="0.4"/>
    <n v="0"/>
    <n v="0"/>
    <n v="0"/>
    <n v="0"/>
    <n v="0"/>
    <n v="0"/>
    <n v="2.5299999999999998"/>
    <n v="0.63"/>
    <n v="4.3099999999999996"/>
    <n v="0"/>
    <n v="0"/>
    <n v="1.0833333332499999"/>
    <n v="4"/>
    <s v="Acre-feet"/>
    <n v="0"/>
    <s v="Acre-feet per Year"/>
    <s v="U_11"/>
    <n v="0"/>
    <n v="38.6389"/>
    <n v="-122.6478"/>
    <m/>
  </r>
  <r>
    <s v="S020523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"/>
    <n v="0"/>
    <n v="0"/>
    <n v="0"/>
    <n v="0"/>
    <n v="7.6666670000000003E-3"/>
    <n v="7.6666670000000003E-3"/>
    <n v="0.01"/>
    <n v="7.6666670000000003E-3"/>
    <n v="7.6666670000000003E-3"/>
    <n v="5.0000000000000001E-3"/>
    <n v="0"/>
    <n v="4.5666668000000001E-2"/>
    <n v="3.3000001000000001E-2"/>
    <n v="1.094572442636379E-4"/>
    <n v="6.3040679182771956E-3"/>
    <n v="7.2439999999999998"/>
    <s v="Acre-feet"/>
    <n v="0"/>
    <s v="Acre-feet per Year"/>
    <s v="U_1"/>
    <n v="3.4039024194010059E-4"/>
    <n v="39.300600000000003"/>
    <n v="-123.21259999999999"/>
    <s v="RUSSIAN RIVER"/>
  </r>
  <r>
    <s v="S020527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.01"/>
    <n v="0.01"/>
    <n v="0.01"/>
    <n v="0.01"/>
    <n v="0.01"/>
    <n v="0.01"/>
    <n v="0.01"/>
    <n v="0.01"/>
    <n v="0.01"/>
    <n v="0.01"/>
    <n v="0.01"/>
    <n v="0.01"/>
    <n v="0.11999999999999998"/>
    <n v="6.6666665E-2"/>
    <n v="2.2112573375822377E-4"/>
    <n v="2.2087244064053012E-2"/>
    <n v="7.2439999999999998"/>
    <s v="Acre-feet"/>
    <n v="0"/>
    <s v="Acre-feet per Year"/>
    <s v="U_1"/>
    <n v="0"/>
    <n v="39.300600000000003"/>
    <n v="-123.21250000000001"/>
    <s v="RUSSIAN RIVER"/>
  </r>
  <r>
    <s v="S016059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.108560667"/>
    <n v="6.5469666999999995E-2"/>
    <n v="0"/>
    <n v="0"/>
    <n v="0"/>
    <n v="0"/>
    <n v="0"/>
    <n v="1.7999999999999999E-2"/>
    <n v="0.33839066699999998"/>
    <n v="0.29948866699999999"/>
    <n v="0"/>
    <n v="0.82990966799999999"/>
    <n v="1.7999999999999999E-2"/>
    <n v="5.9703949607319164E-5"/>
    <n v="2.5458913675685622E-3"/>
    <n v="325.98"/>
    <s v="Acre-feet"/>
    <n v="0"/>
    <s v="Acre-feet per Year"/>
    <s v="L_15"/>
    <n v="0"/>
    <n v="38.668799999999997"/>
    <n v="-122.9391"/>
    <s v="DRY CREEK UNDERFLOW"/>
  </r>
  <r>
    <s v="S020627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4.8"/>
    <n v="5.4"/>
    <n v="4.4000000000000004"/>
    <n v="3.33"/>
    <n v="3.33"/>
    <n v="3.33"/>
    <n v="3.76"/>
    <n v="2.73"/>
    <n v="1.9"/>
    <n v="1.83"/>
    <n v="1.83"/>
    <n v="1.96"/>
    <n v="38.599999999999994"/>
    <n v="15.066666666666661"/>
    <n v="4.9974417078718983E-2"/>
    <n v="2.8822242116781043"/>
    <n v="13.404"/>
    <s v="Acre-feet"/>
    <n v="0"/>
    <s v="Acre-feet per Year"/>
    <s v="U_1"/>
    <n v="0"/>
    <n v="39.272100000000002"/>
    <n v="-123.2636"/>
    <s v="UNNAMED STREAM "/>
  </r>
  <r>
    <s v="S020709"/>
    <n v="10000000"/>
    <n v="4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7.06"/>
    <n v="4.84"/>
    <n v="6.43"/>
    <n v="23.74"/>
    <n v="33.67"/>
    <n v="44.32"/>
    <n v="19.21"/>
    <n v="10.119999999999999"/>
    <n v="10.119999999999999"/>
    <n v="0"/>
    <n v="1.1000000000000001"/>
    <n v="9.09"/>
    <n v="169.70000000000002"/>
    <n v="117.46833333333331"/>
    <n v="0.38962908076606123"/>
    <n v="0.10508155195083356"/>
    <n v="1615.412"/>
    <s v="Acre-feet"/>
    <n v="0"/>
    <s v="Acre-feet per Year"/>
    <s v="U_4"/>
    <n v="0.15601216585669261"/>
    <n v="39.188000000000002"/>
    <n v="-123.2002"/>
    <s v="RUSSIAN RIVER"/>
  </r>
  <r>
    <s v="S020788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0"/>
    <s v="N"/>
    <n v="0"/>
    <n v="0"/>
    <n v="2.71"/>
    <n v="0.13"/>
    <n v="0"/>
    <n v="0"/>
    <n v="0"/>
    <n v="0"/>
    <n v="0"/>
    <n v="0"/>
    <n v="0"/>
    <n v="0"/>
    <n v="2.84"/>
    <n v="0"/>
    <n v="0"/>
    <n v="1.8567194560305853"/>
    <n v="1.5344"/>
    <s v="Acre-feet"/>
    <n v="0"/>
    <s v="Acre-feet per Year"/>
    <s v="U_6"/>
    <n v="0"/>
    <n v="39.0199"/>
    <n v="-123.12739999999999"/>
    <s v="RUSSIAN RIVER"/>
  </r>
  <r>
    <s v="S020828"/>
    <n v="10000000"/>
    <n v="18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.56666666700000001"/>
    <n v="1.8666666670000001"/>
    <n v="0.133333333"/>
    <n v="0"/>
    <n v="0"/>
    <n v="0"/>
    <n v="0"/>
    <n v="4.8333333329999997"/>
    <n v="2.8666666670000001"/>
    <n v="1.733333333"/>
    <n v="0"/>
    <n v="12"/>
    <n v="4.8333333329999997"/>
    <n v="1.6031616097155997E-2"/>
    <n v="4.6532116466785371E-3"/>
    <n v="2578.864"/>
    <s v="Acre-feet"/>
    <n v="0"/>
    <s v="Acre-feet per Year"/>
    <s v="L_18"/>
    <n v="0"/>
    <n v="38.4968"/>
    <n v="-122.88679999999999"/>
    <s v="UNDERFLOW OF RUSSIAN RIVER"/>
  </r>
  <r>
    <s v="S021071"/>
    <n v="10000000"/>
    <n v="11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0.1"/>
    <n v="0.1"/>
    <n v="0.1"/>
    <n v="0.1"/>
    <n v="0"/>
    <n v="0"/>
    <n v="0"/>
    <n v="0"/>
    <n v="0"/>
    <n v="1.25"/>
    <n v="1.35"/>
    <n v="0.1"/>
    <n v="3.1"/>
    <n v="0"/>
    <n v="0"/>
    <n v="1.7388888888888887"/>
    <n v="1.8"/>
    <s v="Acre-feet"/>
    <n v="0"/>
    <s v="Acre-feet per Year"/>
    <s v="U_11"/>
    <n v="0"/>
    <n v="38.644300000000001"/>
    <n v="-122.724"/>
    <s v="UNNAMED STREAM"/>
  </r>
  <r>
    <s v="S021080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613.9631999999999"/>
    <s v="Acre-feet"/>
    <n v="0"/>
    <s v="Acre-feet per Year"/>
    <s v="U_6"/>
    <n v="0"/>
    <n v="38.983899999999998"/>
    <n v="-123.12350000000001"/>
    <s v="UNNAMED STREAM"/>
  </r>
  <r>
    <s v="S021081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5"/>
    <s v="Acre-feet"/>
    <n v="0"/>
    <s v="Acre-feet per Year"/>
    <s v="U_12"/>
    <n v="0"/>
    <n v="38.610500000000002"/>
    <n v="-122.75230000000001"/>
    <s v="UNNAMED STREAM"/>
  </r>
  <r>
    <s v="S021082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0"/>
    <s v="Acre-feet"/>
    <n v="0"/>
    <s v="Acre-feet per Year"/>
    <s v="U_12"/>
    <n v="0"/>
    <n v="38.610399999999998"/>
    <n v="-122.75579999999999"/>
    <s v="UNNAMED STREAM"/>
  </r>
  <r>
    <s v="S021309"/>
    <n v="10000000"/>
    <n v="5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0"/>
    <s v="N"/>
    <n v="0"/>
    <n v="0"/>
    <n v="0.33"/>
    <n v="0.86"/>
    <n v="0"/>
    <n v="0"/>
    <n v="0"/>
    <n v="0"/>
    <n v="0"/>
    <n v="0"/>
    <n v="0"/>
    <n v="0"/>
    <n v="1.19"/>
    <n v="0"/>
    <n v="0"/>
    <n v="2.2400856608756716E-4"/>
    <n v="5356.9380000000001"/>
    <s v="Acre-feet"/>
    <n v="0"/>
    <s v="Acre-feet per Year"/>
    <s v="U_5"/>
    <n v="0"/>
    <n v="39.081699999999998"/>
    <n v="-123.16930000000001"/>
    <s v="RUSSIAN RIVER"/>
  </r>
  <r>
    <s v="S021321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"/>
    <n v="0"/>
    <n v="7.0000000000000007E-2"/>
    <n v="0.39"/>
    <n v="0.15"/>
    <n v="0.57999999999999996"/>
    <n v="1.01"/>
    <n v="0.59"/>
    <n v="0.23"/>
    <n v="0"/>
    <n v="0"/>
    <n v="0"/>
    <n v="3.02"/>
    <n v="2.5866729990000001"/>
    <n v="8.5796996879393961E-3"/>
    <n v="0.54443926131002196"/>
    <n v="5.6166999999999998"/>
    <s v="Acre-feet"/>
    <n v="0"/>
    <s v="Acre-feet per Year"/>
    <s v="U_1"/>
    <n v="0"/>
    <n v="39.197299999999998"/>
    <n v="-123.19589999999999"/>
    <s v="RUSSIAN RIVER"/>
  </r>
  <r>
    <s v="S021339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.8"/>
    <s v="Acre-feet"/>
    <n v="0"/>
    <s v="Acre-feet per Year"/>
    <s v="U_5"/>
    <n v="0"/>
    <n v="39.082500000000003"/>
    <n v="-123.1895"/>
    <s v="UNNAMED DRAINAGE"/>
  </r>
  <r>
    <s v="S021352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0"/>
    <s v="N"/>
    <n v="0.16"/>
    <n v="0.08"/>
    <n v="0.08"/>
    <n v="0.08"/>
    <n v="0"/>
    <n v="0"/>
    <n v="0"/>
    <n v="0"/>
    <n v="0"/>
    <n v="0"/>
    <n v="0"/>
    <n v="0"/>
    <n v="0.4"/>
    <n v="0"/>
    <n v="0"/>
    <n v="6.1728394962962962"/>
    <n v="6.7500000000000004E-2"/>
    <s v="Acre-feet"/>
    <n v="0"/>
    <s v="Acre-feet per Year"/>
    <s v="U_1"/>
    <n v="0"/>
    <n v="39.230899999999998"/>
    <n v="-123.2075"/>
    <s v="NO BODY/RUN-OFF"/>
  </r>
  <r>
    <s v="S021353"/>
    <n v="10000000"/>
    <n v="14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3.36"/>
    <s v="Acre-feet"/>
    <n v="0"/>
    <s v="Acre-feet per Year"/>
    <s v="L_14"/>
    <n v="0"/>
    <n v="38.6999"/>
    <n v="-122.9599"/>
    <s v="DRY CREEK"/>
  </r>
  <r>
    <s v="S021381"/>
    <n v="10000000"/>
    <n v="4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20.66"/>
    <n v="17"/>
    <n v="4.33"/>
    <n v="0"/>
    <n v="0"/>
    <n v="0"/>
    <n v="41.989999999999995"/>
    <n v="42.000000000000028"/>
    <n v="0.13930921575041147"/>
    <n v="6.9394395113841545E-2"/>
    <n v="605.23620000000005"/>
    <s v="Acre-feet"/>
    <n v="0"/>
    <s v="Acre-feet per Year"/>
    <s v="U_4"/>
    <n v="0"/>
    <n v="39.142200000000003"/>
    <n v="-123.18380000000001"/>
    <s v="POTENTIALLY RUSSIAN RIVER UNDERFLOW"/>
  </r>
  <r>
    <s v="S021384"/>
    <n v="10000000"/>
    <n v="4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5.66"/>
    <n v="4.33"/>
    <n v="1.33"/>
    <n v="0"/>
    <n v="0"/>
    <n v="0"/>
    <n v="11.32"/>
    <n v="11.33333333333333"/>
    <n v="3.7591375678682426E-2"/>
    <n v="4.6841711386724057E-2"/>
    <n v="241.9496"/>
    <s v="Acre-feet"/>
    <n v="0"/>
    <s v="Acre-feet per Year"/>
    <s v="U_4"/>
    <n v="0"/>
    <n v="39.142200000000003"/>
    <n v="-123.18380000000001"/>
    <s v="RUSSIAN RIVER UNDERFLOW"/>
  </r>
  <r>
    <s v="S021385"/>
    <n v="10000000"/>
    <n v="4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U_4"/>
    <n v="0"/>
    <n v="39.142299999999999"/>
    <n v="-123.1807"/>
    <s v="RUSSIAN RIVER"/>
  </r>
  <r>
    <s v="S021386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54"/>
    <s v="Acre-feet"/>
    <n v="0"/>
    <s v="Acre-feet per Year"/>
    <s v="U_1"/>
    <n v="0"/>
    <n v="39.278799999999997"/>
    <n v="-123.2246"/>
    <s v="RUSSIAN RIVER"/>
  </r>
  <r>
    <s v="S021394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8"/>
    <s v="Acre-feet"/>
    <n v="0"/>
    <s v="Acre-feet per Year"/>
    <s v="U_6"/>
    <n v="0"/>
    <n v="39.017600000000002"/>
    <n v="-123.1399"/>
    <s v="CRAWFORD CREEK"/>
  </r>
  <r>
    <s v="S021395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2"/>
    <s v="Acre-feet"/>
    <n v="0"/>
    <s v="Acre-feet per Year"/>
    <s v="U_6"/>
    <n v="0"/>
    <n v="39.011853189999997"/>
    <n v="-123.14153412"/>
    <s v="UNNAMED STREAM"/>
  </r>
  <r>
    <s v="S021396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826.2123999999999"/>
    <s v="Acre-feet"/>
    <n v="0"/>
    <s v="Acre-feet per Year"/>
    <s v="U_6"/>
    <n v="0"/>
    <n v="38.984699999999997"/>
    <n v="-123.1272"/>
    <s v="UNNAMED STREAM"/>
  </r>
  <r>
    <s v="S021397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191.31"/>
    <s v="Acre-feet"/>
    <n v="0"/>
    <s v="Acre-feet per Year"/>
    <s v="U_6"/>
    <n v="0"/>
    <n v="38.984000000000002"/>
    <n v="-123.12439999999999"/>
    <s v="UNNAMED STREAM"/>
  </r>
  <r>
    <s v="S021398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017.454"/>
    <s v="Acre-feet"/>
    <n v="0"/>
    <s v="Acre-feet per Year"/>
    <s v="U_5"/>
    <n v="0"/>
    <n v="39.1006"/>
    <n v="-123.18940000000001"/>
    <s v="ROBINSON CREEK"/>
  </r>
  <r>
    <s v="S021399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0"/>
    <n v="0"/>
    <n v="0.04"/>
    <n v="0"/>
    <n v="0"/>
    <n v="0"/>
    <n v="0"/>
    <n v="0"/>
    <n v="0"/>
    <n v="0"/>
    <n v="0"/>
    <n v="0"/>
    <n v="0.04"/>
    <n v="0"/>
    <n v="0"/>
    <n v="4.5057618556169168E-5"/>
    <n v="887.75220000000002"/>
    <s v="Acre-feet"/>
    <n v="0"/>
    <s v="Acre-feet per Year"/>
    <s v="U_6"/>
    <n v="0"/>
    <n v="38.979999999999997"/>
    <n v="-123.11360000000001"/>
    <s v="UNNAMED SLOUGH"/>
  </r>
  <r>
    <s v="S021466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0"/>
    <n v="0"/>
    <n v="4.4999999999999999E-4"/>
    <n v="0"/>
    <n v="3.5400000000000002E-3"/>
    <n v="0"/>
    <n v="0"/>
    <n v="0"/>
    <n v="0"/>
    <n v="3.9900000000000005E-3"/>
    <n v="3.9900000000000005E-3"/>
    <n v="1.3234375496289084E-5"/>
    <n v="1.5737161789066815E-3"/>
    <n v="2.5354000000000001"/>
    <s v="Acre-feet"/>
    <n v="0"/>
    <s v="Acre-feet per Year"/>
    <s v="U_5"/>
    <n v="3.4039024194010059E-4"/>
    <n v="39.093699999999998"/>
    <n v="-123.2443"/>
    <s v="ROBINSON CREEK"/>
  </r>
  <r>
    <s v="S021470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0"/>
    <s v="N"/>
    <n v="0"/>
    <n v="1.2"/>
    <n v="1"/>
    <n v="0"/>
    <n v="0"/>
    <n v="0"/>
    <n v="0"/>
    <n v="0"/>
    <n v="0"/>
    <n v="0.06"/>
    <n v="1.36"/>
    <n v="0"/>
    <n v="3.62"/>
    <n v="0"/>
    <n v="0"/>
    <n v="1.5007914816287165E-3"/>
    <n v="2420.9448000000002"/>
    <s v="Acre-feet"/>
    <n v="0"/>
    <s v="Acre-feet per Year"/>
    <s v="U_10"/>
    <n v="0"/>
    <n v="38.687600000000003"/>
    <n v="-122.86150000000001"/>
    <s v="RUSSIAN RIVER UNDERFLOW"/>
  </r>
  <r>
    <s v="S021471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0"/>
    <s v="N"/>
    <n v="0"/>
    <n v="0.5"/>
    <n v="1.5"/>
    <n v="0"/>
    <n v="0"/>
    <n v="0"/>
    <n v="0"/>
    <n v="0"/>
    <n v="0"/>
    <n v="0.06"/>
    <n v="4.26"/>
    <n v="0"/>
    <n v="6.32"/>
    <n v="0"/>
    <n v="0"/>
    <n v="2.2423358965356966E-3"/>
    <n v="2824.4355999999998"/>
    <s v="Acre-feet"/>
    <n v="0"/>
    <s v="Acre-feet per Year"/>
    <s v="U_10"/>
    <n v="0"/>
    <n v="38.695099999999996"/>
    <n v="-122.86279999999999"/>
    <s v="RUSSIAN RIVER UNDERFLOW"/>
  </r>
  <r>
    <s v="S021472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0"/>
    <s v="N"/>
    <n v="0"/>
    <n v="0.46"/>
    <n v="1"/>
    <n v="0"/>
    <n v="0"/>
    <n v="0"/>
    <n v="0"/>
    <n v="0"/>
    <n v="0"/>
    <n v="0.16"/>
    <n v="0.8"/>
    <n v="0"/>
    <n v="2.42"/>
    <n v="0"/>
    <n v="0"/>
    <n v="1.4358203827252009E-3"/>
    <n v="1694.7338"/>
    <s v="Acre-feet"/>
    <n v="0"/>
    <s v="Acre-feet per Year"/>
    <s v="U_10"/>
    <n v="0"/>
    <n v="38.694299999999998"/>
    <n v="-122.8599"/>
    <s v="RUSSIAN RIVER"/>
  </r>
  <r>
    <s v="S021473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.33"/>
    <n v="1.43"/>
    <n v="0"/>
    <n v="1.33"/>
    <n v="1.36"/>
    <n v="0.96"/>
    <n v="0.93"/>
    <n v="1.46"/>
    <n v="0.2"/>
    <n v="0.16"/>
    <n v="0"/>
    <n v="8.16"/>
    <n v="6.06666666666667"/>
    <n v="2.0122442275059431E-2"/>
    <n v="7.526404830997333E-3"/>
    <n v="1089.4975999999999"/>
    <s v="Acre-feet"/>
    <n v="0"/>
    <s v="Acre-feet per Year"/>
    <s v="U_10"/>
    <n v="3.4039024194010059E-4"/>
    <n v="38.692900000000002"/>
    <n v="-122.86020000000001"/>
    <s v="RUSSIAN RIVER UNDERFLOW"/>
  </r>
  <r>
    <s v="S021475"/>
    <n v="10000000"/>
    <n v="4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19.45"/>
    <n v="16.329999999999998"/>
    <n v="17.09"/>
    <n v="18.87"/>
    <n v="13.51"/>
    <n v="25.84"/>
    <n v="29.39"/>
    <n v="32.19"/>
    <n v="32.6"/>
    <n v="14.48"/>
    <n v="8.1199999999999992"/>
    <n v="5.83"/>
    <n v="233.70000000000002"/>
    <n v="133.55593333333331"/>
    <n v="0.44298981741621163"/>
    <n v="0.24134444744098957"/>
    <n v="968.52279999999996"/>
    <s v="Acre-feet"/>
    <n v="0"/>
    <s v="Acre-feet per Year"/>
    <s v="U_4"/>
    <n v="3.4039024194010059E-4"/>
    <n v="39.148499999999999"/>
    <n v="-123.1799"/>
    <s v="RUSSIAN RIVER"/>
  </r>
  <r>
    <s v="S021480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.4"/>
    <n v="3.35"/>
    <n v="6.24"/>
    <n v="4.45"/>
    <n v="3.19"/>
    <n v="0"/>
    <n v="0"/>
    <n v="0"/>
    <n v="17.630000000000003"/>
    <n v="17.64"/>
    <n v="5.8509870615172779E-2"/>
    <n v="0.14581549215208456"/>
    <n v="120.9748"/>
    <s v="Acre-feet"/>
    <n v="0"/>
    <s v="Acre-feet per Year"/>
    <s v="U_9"/>
    <n v="0"/>
    <n v="38.721600000000002"/>
    <n v="-122.8989"/>
    <s v="RUSSIAN RIVER UNDERFLOW"/>
  </r>
  <r>
    <s v="S021482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9"/>
    <s v="Acre-feet"/>
    <n v="0"/>
    <s v="Acre-feet per Year"/>
    <s v="U_1"/>
    <n v="0"/>
    <n v="39.271799999999999"/>
    <n v="-123.2105"/>
    <s v="RUSSIAN RIVER UNDERFLOW"/>
  </r>
  <r>
    <s v="S021483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484.26139999999998"/>
    <s v="Acre-feet"/>
    <n v="0"/>
    <s v="Acre-feet per Year"/>
    <s v="U_1"/>
    <n v="0"/>
    <n v="39.271900000000002"/>
    <n v="-123.2094"/>
    <s v="WEST FORK OF RUSSIAN RIVER"/>
  </r>
  <r>
    <s v="S021484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80.770600000000002"/>
    <s v="Acre-feet"/>
    <n v="0"/>
    <s v="Acre-feet per Year"/>
    <s v="U_1"/>
    <n v="0"/>
    <n v="39.273899999999998"/>
    <n v="-123.208"/>
    <s v="WEST FORK OF RUSSIAN RIVER"/>
  </r>
  <r>
    <s v="S021485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67.37"/>
    <s v="Acre-feet"/>
    <n v="0"/>
    <s v="Acre-feet per Year"/>
    <s v="L_18"/>
    <n v="0"/>
    <n v="38.562800000000003"/>
    <n v="-122.9759"/>
    <s v="PORTER CREEK"/>
  </r>
  <r>
    <s v="S021487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0"/>
    <s v="N"/>
    <n v="4"/>
    <n v="4.16"/>
    <n v="0.5"/>
    <n v="0"/>
    <n v="0"/>
    <n v="0"/>
    <n v="0"/>
    <n v="0"/>
    <n v="0"/>
    <n v="0"/>
    <n v="0"/>
    <n v="1.33"/>
    <n v="9.99"/>
    <n v="0"/>
    <n v="0"/>
    <n v="1.666666666666667"/>
    <n v="6"/>
    <s v="Acre-feet"/>
    <n v="0"/>
    <s v="Acre-feet per Year"/>
    <s v="U_1"/>
    <n v="0"/>
    <n v="39.253300000000003"/>
    <n v="-123.1931"/>
    <s v="SALT HALLOW CR."/>
  </r>
  <r>
    <s v="S019027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0"/>
    <n v="1.64"/>
    <n v="3.3"/>
    <n v="0.206666667"/>
    <n v="0"/>
    <n v="0"/>
    <n v="0"/>
    <n v="0"/>
    <n v="0"/>
    <n v="2"/>
    <n v="0"/>
    <n v="0"/>
    <n v="7.1466666669999999"/>
    <n v="0"/>
    <n v="0"/>
    <n v="0.1401307189607843"/>
    <n v="51"/>
    <s v="Acre-feet"/>
    <n v="0"/>
    <s v="Acre-feet per Year"/>
    <s v="L_15"/>
    <n v="0"/>
    <n v="38.676499999999997"/>
    <n v="-122.94459999999999"/>
    <s v="DRY CREEK"/>
  </r>
  <r>
    <s v="S019045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0"/>
    <n v="2.29"/>
    <n v="4.4000000000000004"/>
    <n v="8.6666667000000003E-2"/>
    <n v="0"/>
    <n v="0"/>
    <n v="0"/>
    <n v="0"/>
    <n v="0"/>
    <n v="2.7566666670000002"/>
    <n v="0"/>
    <n v="0"/>
    <n v="9.5333333340000017"/>
    <n v="0"/>
    <n v="0"/>
    <n v="0.16436781610344831"/>
    <n v="58"/>
    <s v="Acre-feet"/>
    <n v="0"/>
    <s v="Acre-feet per Year"/>
    <s v="L_15"/>
    <n v="0"/>
    <n v="38.676499999999997"/>
    <n v="-122.9448"/>
    <s v="DRY CREEK"/>
  </r>
  <r>
    <s v="S021985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3.33333E-4"/>
    <n v="1.4E-3"/>
    <n v="2.8E-3"/>
    <n v="3.6666670000000002E-3"/>
    <n v="3.6666670000000002E-3"/>
    <n v="3.6666670000000002E-3"/>
    <n v="3.1333329999999999E-3"/>
    <n v="2.5999999999999999E-3"/>
    <n v="1.7333330000000001E-3"/>
    <n v="0"/>
    <n v="2.3000000000000003E-2"/>
    <n v="1.6933334000000001E-2"/>
    <n v="5.6165939989994684E-5"/>
    <n v="1.5875207067918279E-5"/>
    <n v="1448.8"/>
    <s v="Acre-feet"/>
    <n v="0"/>
    <s v="Acre-feet per Year"/>
    <s v="U_5"/>
    <n v="0"/>
    <n v="39.041400000000003"/>
    <n v="-123.1529"/>
    <s v="MCNABB CREEK"/>
  </r>
  <r>
    <s v="S021986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0.14000000000000001"/>
    <n v="0.6"/>
    <n v="1.18"/>
    <n v="1"/>
    <n v="0.89"/>
    <n v="0.34"/>
    <n v="0.67"/>
    <n v="0.67"/>
    <n v="0.01"/>
    <n v="5.5"/>
    <n v="4.0259999989999997"/>
    <n v="1.3353783392186833E-2"/>
    <n v="3.8210933186085035E-3"/>
    <n v="1448.8"/>
    <s v="Acre-feet"/>
    <n v="0"/>
    <s v="Acre-feet per Year"/>
    <s v="U_5"/>
    <n v="0"/>
    <n v="39.041400000000003"/>
    <n v="-123.15300000000001"/>
    <s v="UNNAMED TRIBUTARY"/>
  </r>
  <r>
    <s v="S019926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5.25"/>
    <n v="0.55333333299999998"/>
    <n v="3.2166666670000001"/>
    <n v="0"/>
    <n v="0"/>
    <n v="0"/>
    <n v="0"/>
    <n v="0"/>
    <n v="0"/>
    <n v="0"/>
    <n v="5.2"/>
    <n v="12.34333333"/>
    <n v="26.563333329999999"/>
    <n v="0"/>
    <n v="0"/>
    <n v="0.37996471649263341"/>
    <n v="69.91"/>
    <s v="Acre-feet"/>
    <n v="0"/>
    <s v="Acre-feet per Year"/>
    <s v="L_15"/>
    <n v="0"/>
    <n v="38.659399999999998"/>
    <n v="-122.95099999999999"/>
    <m/>
  </r>
  <r>
    <s v="S020596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807.70600000000002"/>
    <s v="Acre-feet"/>
    <n v="0"/>
    <s v="Acre-feet per Year"/>
    <s v="L_15"/>
    <n v="0"/>
    <n v="38.665799999999997"/>
    <n v="-122.9409"/>
    <s v="DRY CREEK"/>
  </r>
  <r>
    <s v="S021993"/>
    <n v="10000000"/>
    <n v="8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22.358"/>
    <s v="Acre-feet"/>
    <n v="0"/>
    <s v="Acre-feet per Year"/>
    <s v="U_8"/>
    <n v="0"/>
    <n v="38.804299999999998"/>
    <n v="-122.80500000000001"/>
    <s v="UNNAMED TRIBUTARY"/>
  </r>
  <r>
    <s v="S021994"/>
    <n v="10000000"/>
    <n v="7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42.67400000000001"/>
    <s v="Acre-feet"/>
    <n v="0"/>
    <s v="Acre-feet per Year"/>
    <s v="U_7"/>
    <n v="0"/>
    <n v="38.78"/>
    <n v="-122.76009999999999"/>
    <s v="UNNAMED TRIBUTARY"/>
  </r>
  <r>
    <s v="S021995"/>
    <n v="10000000"/>
    <n v="8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02.83199999999999"/>
    <s v="Acre-feet"/>
    <n v="0"/>
    <s v="Acre-feet per Year"/>
    <s v="U_8"/>
    <n v="0"/>
    <n v="38.8127"/>
    <n v="-122.80589999999999"/>
    <s v="UNNMED TRIBUTARY"/>
  </r>
  <r>
    <s v="S021996"/>
    <n v="10000000"/>
    <n v="8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98.42"/>
    <s v="Acre-feet"/>
    <n v="0"/>
    <s v="Acre-feet per Year"/>
    <s v="U_8"/>
    <n v="0"/>
    <n v="38.807699999999997"/>
    <n v="-122.8158"/>
    <s v="UNNAMED TRIBUTARY"/>
  </r>
  <r>
    <s v="S021997"/>
    <n v="10000000"/>
    <n v="7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15.11399999999998"/>
    <s v="Acre-feet"/>
    <n v="0"/>
    <s v="Acre-feet per Year"/>
    <s v="U_7"/>
    <n v="0"/>
    <n v="38.794899999999998"/>
    <n v="-122.7572"/>
    <s v="UNNAMED TRIBUTARY"/>
  </r>
  <r>
    <s v="S021998"/>
    <n v="10000000"/>
    <n v="7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0"/>
    <n v="7.77"/>
    <n v="9.34"/>
    <n v="0"/>
    <n v="0"/>
    <n v="0"/>
    <n v="0"/>
    <n v="0"/>
    <n v="0"/>
    <n v="0"/>
    <n v="0"/>
    <n v="0"/>
    <n v="17.11"/>
    <n v="0"/>
    <n v="0"/>
    <n v="4.2969730435219108E-2"/>
    <n v="398.42"/>
    <s v="Acre-feet"/>
    <n v="0"/>
    <s v="Acre-feet per Year"/>
    <s v="U_7"/>
    <n v="0"/>
    <n v="38.784799999999997"/>
    <n v="-122.7835"/>
    <s v="UNNAMED TRIBUTARY"/>
  </r>
  <r>
    <s v="S021999"/>
    <n v="10000000"/>
    <n v="7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724.4"/>
    <s v="Acre-feet"/>
    <n v="0"/>
    <s v="Acre-feet per Year"/>
    <s v="U_7"/>
    <n v="0"/>
    <n v="38.784100000000002"/>
    <n v="-122.7683"/>
    <s v="UNNAMED TRIBUTARY"/>
  </r>
  <r>
    <s v="S022000"/>
    <n v="10000000"/>
    <n v="8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98.42"/>
    <s v="Acre-feet"/>
    <n v="0"/>
    <s v="Acre-feet per Year"/>
    <s v="U_8"/>
    <n v="0"/>
    <n v="38.808999999999997"/>
    <n v="-122.81019999999999"/>
    <s v="UNNAMED TRIBUTARY"/>
  </r>
  <r>
    <s v="S022001"/>
    <n v="10000000"/>
    <n v="7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1.61"/>
    <n v="6.23"/>
    <n v="7.13"/>
    <n v="0"/>
    <n v="0"/>
    <n v="0"/>
    <n v="0"/>
    <n v="0"/>
    <n v="0"/>
    <n v="0"/>
    <n v="0"/>
    <n v="0"/>
    <n v="14.97"/>
    <n v="0"/>
    <n v="0"/>
    <n v="2.2976869745076383E-2"/>
    <n v="651.96"/>
    <s v="Acre-feet"/>
    <n v="0"/>
    <s v="Acre-feet per Year"/>
    <s v="U_7"/>
    <n v="0"/>
    <n v="38.807099999999998"/>
    <n v="-122.7847"/>
    <s v="COBB CREEK"/>
  </r>
  <r>
    <s v="S022002"/>
    <n v="10000000"/>
    <n v="8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42.67400000000001"/>
    <s v="Acre-feet"/>
    <n v="0"/>
    <s v="Acre-feet per Year"/>
    <s v="U_8"/>
    <n v="0"/>
    <n v="38.8232"/>
    <n v="-122.8015"/>
    <s v="SQUAW CREEK"/>
  </r>
  <r>
    <s v="S022003"/>
    <n v="10000000"/>
    <n v="8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19.526"/>
    <s v="Acre-feet"/>
    <n v="0"/>
    <s v="Acre-feet per Year"/>
    <s v="U_8"/>
    <n v="0"/>
    <n v="38.804499999999997"/>
    <n v="-122.807"/>
    <s v="UNNAMED TRIBUTARY"/>
  </r>
  <r>
    <s v="S022004"/>
    <n v="10000000"/>
    <n v="8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50.707999999999998"/>
    <s v="Acre-feet"/>
    <n v="0"/>
    <s v="Acre-feet per Year"/>
    <s v="U_8"/>
    <n v="0"/>
    <n v="38.811399999999999"/>
    <n v="-122.82089999999999"/>
    <s v="UNNAMED TRIBUTARY"/>
  </r>
  <r>
    <s v="S022006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1"/>
    <n v="2"/>
    <n v="1.33"/>
    <n v="2"/>
    <n v="0"/>
    <n v="0"/>
    <n v="0"/>
    <n v="0"/>
    <n v="0"/>
    <n v="0"/>
    <n v="0"/>
    <n v="6.33"/>
    <n v="2"/>
    <n v="6.6337721785910174E-3"/>
    <n v="0.57575757572727271"/>
    <n v="11"/>
    <s v="Acre-feet"/>
    <n v="0"/>
    <s v="Acre-feet per Year"/>
    <s v="U_12"/>
    <n v="0"/>
    <n v="38.623600000000003"/>
    <n v="-122.669"/>
    <s v="UNNAMED STREAM"/>
  </r>
  <r>
    <s v="S022008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0"/>
    <s v="N"/>
    <n v="0"/>
    <n v="0"/>
    <n v="1.03"/>
    <n v="1.66"/>
    <n v="0"/>
    <n v="0"/>
    <n v="0"/>
    <n v="0"/>
    <n v="0"/>
    <n v="0"/>
    <n v="0"/>
    <n v="0"/>
    <n v="2.69"/>
    <n v="0"/>
    <n v="0"/>
    <n v="2.2589227448421264E-3"/>
    <n v="1195.26"/>
    <s v="Acre-feet"/>
    <n v="0"/>
    <s v="Acre-feet per Year"/>
    <s v="U_6"/>
    <n v="0"/>
    <n v="38.965699999999998"/>
    <n v="-123.1054"/>
    <s v="RUSSIAN RIVER"/>
  </r>
  <r>
    <s v="S022009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0"/>
    <s v="N"/>
    <n v="0"/>
    <n v="0.03"/>
    <n v="0.46"/>
    <n v="0"/>
    <n v="0"/>
    <n v="0"/>
    <n v="0"/>
    <n v="0"/>
    <n v="0"/>
    <n v="0"/>
    <n v="0.56000000000000005"/>
    <n v="0"/>
    <n v="1.05"/>
    <n v="0"/>
    <n v="0"/>
    <n v="1.4724829744156092E-3"/>
    <n v="724.4"/>
    <s v="Acre-feet"/>
    <n v="0"/>
    <s v="Acre-feet per Year"/>
    <s v="U_10"/>
    <n v="0"/>
    <n v="38.701099999999997"/>
    <n v="-122.8847"/>
    <s v="RUSSIAN RIVER UNDERFLOW"/>
  </r>
  <r>
    <s v="S022012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0"/>
    <s v="N"/>
    <n v="0"/>
    <n v="0.33"/>
    <n v="0.03"/>
    <n v="0"/>
    <n v="0"/>
    <n v="0"/>
    <n v="0"/>
    <n v="0"/>
    <n v="0"/>
    <n v="0"/>
    <n v="0.36"/>
    <n v="1.33"/>
    <n v="2.0499999999999998"/>
    <n v="0"/>
    <n v="0"/>
    <n v="4.3891319429695931E-3"/>
    <n v="470.86"/>
    <s v="Acre-feet"/>
    <n v="0"/>
    <s v="Acre-feet per Year"/>
    <s v="U_10"/>
    <n v="0"/>
    <n v="38.6995"/>
    <n v="-122.88800000000001"/>
    <s v="RUSSIAN RIVER UNDERFLOW"/>
  </r>
  <r>
    <s v="S022013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.5"/>
    <n v="1.03"/>
    <n v="0.33"/>
    <n v="0.66"/>
    <n v="1"/>
    <n v="3.7"/>
    <n v="2.7"/>
    <n v="0.4"/>
    <n v="0.1"/>
    <n v="0"/>
    <n v="10.420000000000002"/>
    <n v="8.4"/>
    <n v="2.7861843150082277E-2"/>
    <n v="1.6944381286473721E-2"/>
    <n v="615.74"/>
    <s v="Acre-feet"/>
    <n v="0"/>
    <s v="Acre-feet per Year"/>
    <s v="U_9"/>
    <n v="0"/>
    <n v="38.792400000000001"/>
    <n v="-123.0003"/>
    <s v="RUSSIAN RIVER"/>
  </r>
  <r>
    <s v="S022014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0"/>
    <s v="N"/>
    <n v="0"/>
    <n v="0"/>
    <n v="0"/>
    <n v="0"/>
    <n v="0"/>
    <n v="0"/>
    <n v="0"/>
    <n v="0"/>
    <n v="0"/>
    <n v="0"/>
    <n v="0"/>
    <n v="3.3333333333333301E-5"/>
    <n v="3.3333333333333301E-5"/>
    <n v="0"/>
    <n v="0"/>
    <n v="5.4135403471162018E-8"/>
    <n v="615.74"/>
    <s v="Acre-feet"/>
    <n v="0"/>
    <s v="Acre-feet per Year"/>
    <s v="U_9"/>
    <n v="0"/>
    <n v="38.793834599999997"/>
    <n v="-122.997703"/>
    <s v="RUSSIAN RIVER"/>
  </r>
  <r>
    <s v="S022015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.46666666699999998"/>
    <n v="0.233333333"/>
    <n v="0.2"/>
    <n v="0.26666666700000002"/>
    <n v="0.5"/>
    <n v="1.766666667"/>
    <n v="3.1"/>
    <n v="2.6"/>
    <n v="2.5333333329999999"/>
    <n v="0.9"/>
    <n v="0.33333333300000001"/>
    <n v="0.3"/>
    <n v="13.200000000000001"/>
    <n v="10.5"/>
    <n v="3.4827303937602846E-2"/>
    <n v="6.5078488601404125E-2"/>
    <n v="202.83199999999999"/>
    <s v="Acre-feet"/>
    <n v="0"/>
    <s v="Acre-feet per Year"/>
    <s v="L_17"/>
    <n v="0"/>
    <n v="38.529499999999999"/>
    <n v="-122.8642"/>
    <s v="RUSSIAN RIVER UNDERFLOW"/>
  </r>
  <r>
    <s v="S022016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.2"/>
    <n v="0.16666666699999999"/>
    <n v="0.26666666700000002"/>
    <n v="0.233333333"/>
    <n v="0.63333333300000005"/>
    <n v="1"/>
    <n v="1.3666666670000001"/>
    <n v="1.233333333"/>
    <n v="1"/>
    <n v="0.83333333300000001"/>
    <n v="0.6"/>
    <n v="1.4"/>
    <n v="8.9333333329999984"/>
    <n v="5.2333333333333325"/>
    <n v="1.7358370533979831E-2"/>
    <n v="0.11210949918846107"/>
    <n v="79.683999999999997"/>
    <s v="Acre-feet"/>
    <n v="0"/>
    <s v="Acre-feet per Year"/>
    <s v="L_17"/>
    <n v="3.4039024194010059E-4"/>
    <n v="38.529899999999998"/>
    <n v="-122.8642"/>
    <s v="RUSSIAN RIVER UNDERFLOW"/>
  </r>
  <r>
    <s v="S022017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0"/>
    <s v="N"/>
    <n v="0"/>
    <n v="6.6666666999999999E-2"/>
    <n v="6.6666666999999999E-2"/>
    <n v="0"/>
    <n v="0"/>
    <n v="0"/>
    <n v="0"/>
    <n v="0"/>
    <n v="0"/>
    <n v="0"/>
    <n v="0"/>
    <n v="0"/>
    <n v="0.133333334"/>
    <n v="0"/>
    <n v="0"/>
    <n v="1.1155174104378963E-4"/>
    <n v="1195.26"/>
    <s v="Acre-feet"/>
    <n v="0"/>
    <s v="Acre-feet per Year"/>
    <s v="L_17"/>
    <n v="0"/>
    <n v="38.5289"/>
    <n v="-122.8638"/>
    <s v="RUSSIAN RIVER UNDERFLOW"/>
  </r>
  <r>
    <s v="S022128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0"/>
    <n v="0"/>
    <n v="6.2359667000000001E-2"/>
    <n v="0.129112333"/>
    <n v="3.288E-2"/>
    <n v="2.9479667000000001E-2"/>
    <n v="0"/>
    <n v="0"/>
    <n v="0.25383166699999998"/>
    <n v="0.224352"/>
    <n v="7.4415002790562601E-4"/>
    <n v="4.1939273790959621E-4"/>
    <n v="605.23620000000005"/>
    <s v="Acre-feet"/>
    <n v="0"/>
    <s v="Acre-feet per Year"/>
    <s v="L_24"/>
    <n v="0"/>
    <n v="38.489199999999997"/>
    <n v="-122.78530000000001"/>
    <s v="MARK WEST CREEK"/>
  </r>
  <r>
    <s v="S022130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8.0399999999999991"/>
    <s v="Acre-feet"/>
    <n v="0"/>
    <s v="Acre-feet per Year"/>
    <s v="U_1"/>
    <n v="0"/>
    <n v="39.304499999999997"/>
    <n v="-123.208"/>
    <s v="UNNAMED STREAM"/>
  </r>
  <r>
    <s v="S021990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L_15"/>
    <n v="0"/>
    <n v="38.691099999999999"/>
    <n v="-122.95610000000001"/>
    <s v="DRY CREEK"/>
  </r>
  <r>
    <s v="S009168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12.282"/>
    <s v="Acre-feet"/>
    <n v="0"/>
    <s v="Acre-feet per Year"/>
    <s v="L_16"/>
    <n v="0"/>
    <n v="38.574732310000002"/>
    <n v="-122.89760698000001"/>
    <s v="FELTA CREEK"/>
  </r>
  <r>
    <s v="S022309"/>
    <n v="10000000"/>
    <n v="22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9.15"/>
    <n v="0"/>
    <n v="0"/>
    <n v="0"/>
    <n v="0"/>
    <n v="0"/>
    <n v="0"/>
    <n v="0"/>
    <n v="0"/>
    <n v="0"/>
    <n v="0"/>
    <n v="0"/>
    <n v="9.15"/>
    <n v="0"/>
    <n v="0"/>
    <n v="0"/>
    <n v="0"/>
    <s v="Acre-feet"/>
    <n v="0"/>
    <s v="Acre-feet per Year"/>
    <s v="L_22"/>
    <n v="0"/>
    <n v="38.887300000000003"/>
    <n v="-123.1613"/>
    <s v="UNNAMED STREAM"/>
  </r>
  <r>
    <s v="S022310"/>
    <n v="10000000"/>
    <n v="22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L_22"/>
    <n v="0"/>
    <n v="38.899000000000001"/>
    <n v="-123.1596"/>
    <s v="UNNAMED STREAM"/>
  </r>
  <r>
    <s v="S022312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897.6"/>
    <s v="Acre-feet"/>
    <n v="0"/>
    <s v="Acre-feet per Year"/>
    <s v="U_1"/>
    <n v="0"/>
    <n v="39.2789"/>
    <n v="-123.1767"/>
    <s v="UNNAMED SEASONAL WATER COURSE"/>
  </r>
  <r>
    <s v="S022313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6.1"/>
    <n v="2.82"/>
    <n v="0.91"/>
    <n v="2.68"/>
    <n v="0.22"/>
    <n v="0"/>
    <n v="0"/>
    <n v="0"/>
    <n v="0"/>
    <n v="0"/>
    <n v="0.01"/>
    <n v="0.71"/>
    <n v="13.45"/>
    <n v="0.22666666699999999"/>
    <n v="7.5182751467927733E-4"/>
    <n v="0.46168779263446386"/>
    <n v="29.19"/>
    <s v="Acre-feet"/>
    <n v="0"/>
    <s v="Acre-feet per Year"/>
    <s v="U_4"/>
    <n v="0"/>
    <n v="39.146900000000002"/>
    <n v="-123.16549999999999"/>
    <s v="MCCLURE CREEK"/>
  </r>
  <r>
    <s v="S022314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61.5412"/>
    <s v="Acre-feet"/>
    <n v="0"/>
    <s v="Acre-feet per Year"/>
    <s v="U_4"/>
    <n v="0"/>
    <n v="39.142699999999998"/>
    <n v="-123.1639"/>
    <s v="MCCLURE CREEK"/>
  </r>
  <r>
    <s v="S022316"/>
    <n v="10000000"/>
    <n v="9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3.0000000000000001E-3"/>
    <n v="0"/>
    <n v="3.0000000000000001E-3"/>
    <n v="3.0000000000000001E-3"/>
    <n v="0"/>
    <n v="0"/>
    <n v="0"/>
    <n v="0"/>
    <n v="0"/>
    <n v="0"/>
    <n v="3.0000000000000001E-3"/>
    <n v="3.0000000000000001E-3"/>
    <n v="1.4999999999999999E-2"/>
    <n v="0"/>
    <n v="0"/>
    <n v="1.5789473684210526E-3"/>
    <n v="9.5"/>
    <s v="Acre-feet"/>
    <n v="0"/>
    <s v="Acre-feet per Year"/>
    <s v="U_9"/>
    <n v="0"/>
    <n v="38.8504"/>
    <n v="-122.9877"/>
    <s v="UNNAMED SEASONAL STREAM"/>
  </r>
  <r>
    <s v="S022319"/>
    <n v="10000000"/>
    <n v="9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0"/>
    <n v="0"/>
    <n v="0"/>
    <n v="0"/>
    <n v="0"/>
    <n v="0"/>
    <n v="0"/>
    <n v="0"/>
    <n v="0"/>
    <n v="0"/>
    <n v="0"/>
    <n v="0"/>
    <n v="0"/>
    <n v="0"/>
    <n v="0"/>
    <n v="0.5681054397595221"/>
    <n v="64.471599999999995"/>
    <s v="Acre-feet"/>
    <n v="0"/>
    <s v="Acre-feet per Year"/>
    <s v="U_9"/>
    <n v="0"/>
    <n v="38.737200000000001"/>
    <n v="-122.8997"/>
    <s v="GILL CREEK"/>
  </r>
  <r>
    <s v="S022326"/>
    <n v="10000000"/>
    <n v="9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11.22"/>
    <n v="10.47"/>
    <n v="11.91"/>
    <n v="1"/>
    <n v="0"/>
    <n v="0"/>
    <n v="0"/>
    <n v="0"/>
    <n v="0"/>
    <n v="0"/>
    <n v="0"/>
    <n v="2.02"/>
    <n v="36.620000000000005"/>
    <n v="0"/>
    <n v="0"/>
    <n v="0.5681054397595221"/>
    <n v="64.471599999999995"/>
    <s v="Acre-feet"/>
    <n v="0"/>
    <s v="Acre-feet per Year"/>
    <s v="U_9"/>
    <n v="0"/>
    <n v="38.738999999999997"/>
    <n v="-122.893"/>
    <s v="GILL CREEK"/>
  </r>
  <r>
    <s v="S022339"/>
    <n v="10000000"/>
    <n v="9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4"/>
    <s v="Acre-feet"/>
    <n v="0"/>
    <s v="Acre-feet per Year"/>
    <s v="U_9"/>
    <n v="0"/>
    <n v="38.868499999999997"/>
    <n v="-123.05249999999999"/>
    <s v="EDWARDS CREEK"/>
  </r>
  <r>
    <s v="S022386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0"/>
    <n v="0.33"/>
    <n v="0.63"/>
    <n v="0"/>
    <n v="0"/>
    <n v="0"/>
    <n v="0"/>
    <n v="0"/>
    <n v="0"/>
    <n v="0"/>
    <n v="0.83"/>
    <n v="0.3"/>
    <n v="2.09"/>
    <n v="0"/>
    <n v="0"/>
    <n v="0"/>
    <n v="0"/>
    <s v="Acre-feet"/>
    <n v="0"/>
    <s v="Acre-feet per Year"/>
    <s v="U_6"/>
    <n v="0"/>
    <n v="38.986600000000003"/>
    <n v="-123.1585"/>
    <s v="UNNAMED STREAM"/>
  </r>
  <r>
    <s v="S022400"/>
    <n v="10000000"/>
    <n v="18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0"/>
    <s v="N"/>
    <n v="0"/>
    <n v="0.233333333"/>
    <n v="1.066666667"/>
    <n v="0.1"/>
    <n v="0"/>
    <n v="0"/>
    <n v="0"/>
    <n v="0"/>
    <n v="0"/>
    <n v="0"/>
    <n v="0"/>
    <n v="0"/>
    <n v="1.4000000000000001"/>
    <n v="0"/>
    <n v="0"/>
    <n v="5.4211329703239444E-4"/>
    <n v="2582.4859999999999"/>
    <s v="Acre-feet"/>
    <n v="0"/>
    <s v="Acre-feet per Year"/>
    <s v="L_18"/>
    <n v="0"/>
    <n v="38.497500000000002"/>
    <n v="-122.8858"/>
    <s v="RUSSIAN RIVER"/>
  </r>
  <r>
    <s v="S022407"/>
    <n v="10000000"/>
    <n v="13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403.49079999999998"/>
    <s v="Acre-feet"/>
    <n v="0"/>
    <s v="Acre-feet per Year"/>
    <s v="U_13"/>
    <n v="0"/>
    <n v="38.601599999999998"/>
    <n v="-122.8455"/>
    <s v="RUSSIAN RIVER UNDERFLOW"/>
  </r>
  <r>
    <s v="S022408"/>
    <n v="10000000"/>
    <n v="13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403.49079999999998"/>
    <s v="Acre-feet"/>
    <n v="0"/>
    <s v="Acre-feet per Year"/>
    <s v="U_13"/>
    <n v="0"/>
    <n v="38.601599999999998"/>
    <n v="-122.8455"/>
    <s v="RUSSIAN RIVER UNDERFLOW"/>
  </r>
  <r>
    <s v="S022409"/>
    <n v="10000000"/>
    <n v="13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"/>
    <n v="0.04"/>
    <n v="0.05"/>
    <n v="0.17"/>
    <n v="0.28999999999999998"/>
    <n v="0.38"/>
    <n v="0.28000000000000003"/>
    <n v="0.28999999999999998"/>
    <n v="0.05"/>
    <n v="0.01"/>
    <n v="0"/>
    <n v="1.56"/>
    <n v="1.435196999"/>
    <n v="4.7603849613817601E-3"/>
    <n v="6.6096312954828287E-3"/>
    <n v="242.67400000000001"/>
    <s v="Acre-feet"/>
    <n v="0"/>
    <s v="Acre-feet per Year"/>
    <s v="U_13"/>
    <n v="0"/>
    <n v="38.597999999999999"/>
    <n v="-122.84780000000001"/>
    <s v="RUSSIAN RIVER UNDERFLOW"/>
  </r>
  <r>
    <s v="S022410"/>
    <n v="10000000"/>
    <n v="13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2.9999999999999997E-4"/>
    <n v="0.08"/>
    <n v="0.05"/>
    <n v="0.26"/>
    <n v="0.28000000000000003"/>
    <n v="0.39"/>
    <n v="0.64"/>
    <n v="0.17"/>
    <n v="0.09"/>
    <n v="0"/>
    <n v="0"/>
    <n v="1.9602999999999999"/>
    <n v="1.7615670000000001"/>
    <n v="5.8429170776620222E-3"/>
    <n v="8.2405545423077878E-3"/>
    <n v="242.67400000000001"/>
    <s v="Acre-feet"/>
    <n v="0"/>
    <s v="Acre-feet per Year"/>
    <s v="U_13"/>
    <n v="0"/>
    <n v="38.6"/>
    <n v="-122.8503"/>
    <s v="RUSSIAN RIVER UNDERFLOW"/>
  </r>
  <r>
    <s v="S022411"/>
    <n v="10000000"/>
    <n v="13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42.67400000000001"/>
    <s v="Acre-feet"/>
    <n v="0"/>
    <s v="Acre-feet per Year"/>
    <s v="U_13"/>
    <n v="0"/>
    <n v="38.6"/>
    <n v="-122.8503"/>
    <s v="RUSSIAN RIVER UNDERFLOW"/>
  </r>
  <r>
    <s v="S014924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42.67400000000001"/>
    <s v="Acre-feet"/>
    <n v="0"/>
    <s v="Acre-feet per Year"/>
    <s v="L_16"/>
    <n v="0"/>
    <n v="38.620199999999997"/>
    <n v="-122.8882"/>
    <s v="DRY CREEK UNDERFLOW"/>
  </r>
  <r>
    <s v="S022464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.03"/>
    <n v="0"/>
    <n v="0.69"/>
    <n v="1.04"/>
    <n v="1.95"/>
    <n v="2.2400000000000002"/>
    <n v="2.0299999999999998"/>
    <n v="0.91"/>
    <n v="0.5"/>
    <n v="0"/>
    <n v="9.39"/>
    <n v="7.9618166666666639"/>
    <n v="2.6408438947187796E-2"/>
    <n v="5.828181706379959E-2"/>
    <n v="161.5412"/>
    <s v="Acre-feet"/>
    <n v="0"/>
    <s v="Acre-feet per Year"/>
    <s v="U_9"/>
    <n v="0"/>
    <n v="38.724499999999999"/>
    <n v="-122.9265"/>
    <s v="RUSSIAN RIVER"/>
  </r>
  <r>
    <s v="S022465"/>
    <n v="10000000"/>
    <n v="13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6.22"/>
    <s v="Acre-feet"/>
    <n v="0"/>
    <s v="Acre-feet per Year"/>
    <s v="U_13"/>
    <n v="0"/>
    <n v="38.598599999999998"/>
    <n v="-122.846"/>
    <s v="RUSSIAN RIVER UNDERFLOW"/>
  </r>
  <r>
    <s v="S016039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.44492199999999998"/>
    <n v="0.32223299999999999"/>
    <n v="0"/>
    <n v="5.0000000000000001E-3"/>
    <n v="5.0000000000000001E-4"/>
    <n v="0"/>
    <n v="0"/>
    <n v="0"/>
    <n v="3.0061999999999998E-2"/>
    <n v="0"/>
    <n v="0"/>
    <n v="0.80271700000000001"/>
    <n v="5.4999999999999997E-3"/>
    <n v="1.8242873491125299E-5"/>
    <n v="7.9150922931292892E-4"/>
    <n v="1014.16"/>
    <s v="Acre-feet"/>
    <n v="0"/>
    <s v="Acre-feet per Year"/>
    <s v="L_16"/>
    <n v="0"/>
    <n v="38.625399999999999"/>
    <n v="-122.8922"/>
    <s v="DRY CREEK"/>
  </r>
  <r>
    <s v="S022490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4.7567899285256101E-4"/>
    <n v="4.7567899285256101E-4"/>
    <n v="4.7567899285256101E-4"/>
    <n v="4.7567899285256101E-4"/>
    <n v="9.2066901896879305E-4"/>
    <n v="9.2066901896879305E-4"/>
    <n v="9.2066901896879305E-4"/>
    <n v="9.2066901896879305E-4"/>
    <n v="9.2066901896879305E-4"/>
    <n v="4.7567899285256101E-4"/>
    <n v="4.7567899285256101E-4"/>
    <n v="4.7567899285256101E-4"/>
    <n v="7.9330980448118933E-3"/>
    <n v="4.6033450948439652E-3"/>
    <n v="1.5268771309314663E-5"/>
    <n v="6.8923527756836606E-2"/>
    <n v="0.11509999999999999"/>
    <s v="Acre-feet"/>
    <n v="0"/>
    <s v="Acre-feet per Year"/>
    <s v="U_6"/>
    <n v="3.4039024194010059E-4"/>
    <n v="38.9895"/>
    <n v="-123.1628"/>
    <s v="FELIZ CREEK"/>
  </r>
  <r>
    <s v="S022512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3.36"/>
    <n v="3.36"/>
    <n v="4.1500000000000004"/>
    <n v="3.02"/>
    <n v="0.26"/>
    <n v="0"/>
    <n v="0"/>
    <n v="0"/>
    <n v="0"/>
    <n v="0"/>
    <n v="0"/>
    <n v="2.33"/>
    <n v="16.48"/>
    <n v="0.26666666700000002"/>
    <n v="8.8450295825109784E-4"/>
    <n v="4.1065361332895574E-2"/>
    <n v="402.04199999999997"/>
    <s v="Acre-feet"/>
    <n v="0"/>
    <s v="Acre-feet per Year"/>
    <s v="U_12"/>
    <n v="3.4039024194010059E-4"/>
    <n v="38.6051"/>
    <n v="-122.67440000000001"/>
    <s v="UNNAMED STREAM"/>
  </r>
  <r>
    <s v="S022523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.01"/>
    <n v="6.6666666666666697E-3"/>
    <n v="6.6666666666666697E-3"/>
    <n v="0.02"/>
    <n v="0.02"/>
    <n v="0.04"/>
    <n v="0.06"/>
    <n v="0.04"/>
    <n v="0.04"/>
    <n v="0.04"/>
    <n v="0.03"/>
    <n v="0.02"/>
    <n v="0.33333333333333337"/>
    <n v="0.21333333333333332"/>
    <n v="7.0760236571637525E-4"/>
    <n v="5.015645131603165E-3"/>
    <n v="72.44"/>
    <s v="Acre-feet"/>
    <n v="0"/>
    <s v="Acre-feet per Year"/>
    <s v="U_9"/>
    <n v="0"/>
    <n v="38.790399999999998"/>
    <n v="-123.0033"/>
    <s v="RUSSIAN RIVER UNDERFLOW"/>
  </r>
  <r>
    <s v="S022528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3.3333333E-2"/>
    <n v="6.6666666999999999E-2"/>
    <n v="0.16666666699999999"/>
    <n v="0.133333333"/>
    <n v="3.3333333E-2"/>
    <n v="0.26666666700000002"/>
    <n v="0.7"/>
    <n v="0.46666666699999998"/>
    <n v="0.366666667"/>
    <n v="0.1"/>
    <n v="0.233333333"/>
    <n v="0"/>
    <n v="2.5666666669999998"/>
    <n v="1.833333334"/>
    <n v="6.0809578325863572E-3"/>
    <n v="1.5747387367323146E-2"/>
    <n v="162.99"/>
    <s v="Acre-feet"/>
    <n v="0"/>
    <s v="Acre-feet per Year"/>
    <s v="L_17"/>
    <n v="0"/>
    <n v="38.529600000000002"/>
    <n v="-122.8634"/>
    <s v="RUSSIAN RIVER UNDERFLOW"/>
  </r>
  <r>
    <s v="S022557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8976"/>
    <s v="Acre-feet"/>
    <n v="0"/>
    <s v="Acre-feet per Year"/>
    <s v="L_18"/>
    <n v="0"/>
    <n v="38.447000000000003"/>
    <n v="-122.8843"/>
    <s v="ATASCADERO CREEK"/>
  </r>
  <r>
    <s v="S022558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19.526"/>
    <s v="Acre-feet"/>
    <n v="0"/>
    <s v="Acre-feet per Year"/>
    <s v="L_18"/>
    <n v="0"/>
    <n v="38.447200000000002"/>
    <n v="-122.8854"/>
    <s v="ATASCADERO CREEK"/>
  </r>
  <r>
    <s v="S022559"/>
    <n v="10000000"/>
    <n v="21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10"/>
    <n v="0.66666666699999999"/>
    <n v="1.3333333329999999"/>
    <n v="0"/>
    <n v="0"/>
    <n v="0"/>
    <n v="0"/>
    <n v="0"/>
    <n v="0"/>
    <n v="0"/>
    <n v="0"/>
    <n v="0"/>
    <n v="12"/>
    <n v="0"/>
    <n v="0"/>
    <n v="5.0198283218713918E-4"/>
    <n v="23905.200000000001"/>
    <s v="Acre-feet"/>
    <n v="0"/>
    <s v="Acre-feet per Year"/>
    <s v="L_21"/>
    <n v="0"/>
    <n v="38.5045"/>
    <n v="-123.0047"/>
    <s v="UNNAMED STREAM"/>
  </r>
  <r>
    <s v="S022560"/>
    <n v="10000000"/>
    <n v="21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7.6666666670000003"/>
    <n v="1.3333333329999999"/>
    <n v="1"/>
    <n v="0"/>
    <n v="0"/>
    <n v="0"/>
    <n v="0"/>
    <n v="0"/>
    <n v="0"/>
    <n v="0"/>
    <n v="0"/>
    <n v="0"/>
    <n v="10"/>
    <n v="0"/>
    <n v="0"/>
    <n v="2.7609055770292656E-2"/>
    <n v="362.2"/>
    <s v="Acre-feet"/>
    <n v="0"/>
    <s v="Acre-feet per Year"/>
    <s v="L_21"/>
    <n v="0"/>
    <n v="38.5122"/>
    <n v="-123.0091"/>
    <s v="UNNAMED STREAM"/>
  </r>
  <r>
    <s v="S022561"/>
    <n v="10000000"/>
    <n v="21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402.04199999999997"/>
    <s v="Acre-feet"/>
    <n v="0"/>
    <s v="Acre-feet per Year"/>
    <s v="L_21"/>
    <n v="0"/>
    <n v="38.5045"/>
    <n v="-123.00449999999999"/>
    <s v="LIVEREAU CREEK"/>
  </r>
  <r>
    <s v="S016051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0"/>
    <n v="5.2166699999999996E-4"/>
    <n v="0"/>
    <n v="0"/>
    <n v="0"/>
    <n v="0"/>
    <n v="0"/>
    <n v="0"/>
    <n v="0"/>
    <n v="0"/>
    <n v="0"/>
    <n v="0"/>
    <n v="5.2166699999999996E-4"/>
    <n v="0"/>
    <n v="0"/>
    <n v="8.8360326972523056E-7"/>
    <n v="590.38599999999997"/>
    <s v="Acre-feet"/>
    <n v="0"/>
    <s v="Acre-feet per Year"/>
    <s v="L_16"/>
    <n v="0"/>
    <n v="38.624400000000001"/>
    <n v="-122.88930000000001"/>
    <s v="FROST PUMP"/>
  </r>
  <r>
    <s v="S022607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1.2"/>
    <n v="2.5"/>
    <n v="1.5"/>
    <n v="2"/>
    <n v="0"/>
    <n v="0"/>
    <n v="0"/>
    <n v="0"/>
    <n v="0"/>
    <n v="0"/>
    <n v="0"/>
    <n v="0"/>
    <n v="7.2"/>
    <n v="0"/>
    <n v="0"/>
    <n v="9.9392600773053559"/>
    <n v="0.72440000000000004"/>
    <s v="Acre-feet"/>
    <n v="0"/>
    <s v="Acre-feet per Year"/>
    <s v="L_24"/>
    <n v="0"/>
    <n v="38.498199999999997"/>
    <n v="-122.85939999999999"/>
    <m/>
  </r>
  <r>
    <s v="S016052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209.748"/>
    <s v="Acre-feet"/>
    <n v="0"/>
    <s v="Acre-feet per Year"/>
    <s v="L_16"/>
    <n v="0"/>
    <n v="38.642800000000001"/>
    <n v="-122.9105"/>
    <s v="WOODS NORTH PORTABLE"/>
  </r>
  <r>
    <s v="S022713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15.11399999999998"/>
    <s v="Acre-feet"/>
    <n v="0"/>
    <s v="Acre-feet per Year"/>
    <s v="L_25"/>
    <n v="0"/>
    <n v="38.439"/>
    <n v="-122.8112"/>
    <s v="UNKNOWN TRIBUTARY"/>
  </r>
  <r>
    <s v="S022724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724.4"/>
    <s v="Acre-feet"/>
    <n v="0"/>
    <s v="Acre-feet per Year"/>
    <s v="U_5"/>
    <n v="0"/>
    <n v="39.104599999999998"/>
    <n v="-123.15989999999999"/>
    <m/>
  </r>
  <r>
    <s v="S022725"/>
    <n v="10000000"/>
    <n v="5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807.70600000000002"/>
    <s v="Acre-feet"/>
    <n v="0"/>
    <s v="Acre-feet per Year"/>
    <s v="U_5"/>
    <n v="0"/>
    <n v="39.107500000000002"/>
    <n v="-123.16849999999999"/>
    <s v="UNDERFLOW"/>
  </r>
  <r>
    <s v="S022726"/>
    <n v="10000000"/>
    <n v="5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402.04199999999997"/>
    <s v="Acre-feet"/>
    <n v="0"/>
    <s v="Acre-feet per Year"/>
    <s v="U_5"/>
    <n v="0"/>
    <n v="39.108899999999998"/>
    <n v="-123.1649"/>
    <s v="UNDERFLOW"/>
  </r>
  <r>
    <s v="S022777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2"/>
    <n v="2"/>
    <n v="2"/>
    <n v="0"/>
    <n v="0"/>
    <n v="0"/>
    <n v="0"/>
    <n v="0"/>
    <n v="0"/>
    <n v="0"/>
    <n v="0"/>
    <n v="6"/>
    <n v="12"/>
    <n v="0"/>
    <n v="0"/>
    <n v="0.66666666666666663"/>
    <n v="18"/>
    <s v="Acre-feet"/>
    <n v="0"/>
    <s v="Acre-feet per Year"/>
    <s v="L_18"/>
    <n v="0"/>
    <n v="38.442300000000003"/>
    <n v="-122.87690000000001"/>
    <s v="UNNAMED "/>
  </r>
  <r>
    <s v="S022799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1.9526"/>
    <s v="Acre-feet"/>
    <n v="0"/>
    <s v="Acre-feet per Year"/>
    <s v="U_6"/>
    <n v="0"/>
    <n v="38.978200000000001"/>
    <n v="-123.2137"/>
    <s v="UNNAMED"/>
  </r>
  <r>
    <s v="S022800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7.9683999999999999"/>
    <s v="Acre-feet"/>
    <n v="0"/>
    <s v="Acre-feet per Year"/>
    <s v="U_6"/>
    <n v="0"/>
    <n v="38.974699999999999"/>
    <n v="-123.2055"/>
    <s v="UNNAMED"/>
  </r>
  <r>
    <s v="S022801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6.298999999999999"/>
    <s v="Acre-feet"/>
    <n v="0"/>
    <s v="Acre-feet per Year"/>
    <s v="U_6"/>
    <n v="0"/>
    <n v="38.9726"/>
    <n v="-123.2076"/>
    <s v="UNNAMED"/>
  </r>
  <r>
    <s v="S022803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0"/>
    <n v="0.1"/>
    <n v="0.1"/>
    <n v="0.3"/>
    <n v="0.4"/>
    <n v="0.4"/>
    <n v="0.2"/>
    <n v="0"/>
    <n v="0"/>
    <n v="1.5"/>
    <n v="1.3"/>
    <n v="4.3119519160841622E-3"/>
    <n v="5.1766979569298731E-3"/>
    <n v="289.76"/>
    <s v="Acre-feet"/>
    <n v="0"/>
    <s v="Acre-feet per Year"/>
    <s v="U_6"/>
    <n v="0"/>
    <n v="38.982199999999999"/>
    <n v="-123.1901"/>
    <s v="UNNAMED"/>
  </r>
  <r>
    <s v="S022804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1.9526"/>
    <s v="Acre-feet"/>
    <n v="0"/>
    <s v="Acre-feet per Year"/>
    <s v="U_6"/>
    <n v="0"/>
    <n v="38.979900000000001"/>
    <n v="-123.182"/>
    <s v="UNNAMED"/>
  </r>
  <r>
    <s v="S022832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7.37"/>
    <s v="Acre-feet"/>
    <n v="0"/>
    <s v="Acre-feet per Year"/>
    <s v="L_27"/>
    <n v="3.4039024194010059E-4"/>
    <n v="38.371099999999998"/>
    <n v="-122.6083"/>
    <s v="UNKNOWN"/>
  </r>
  <r>
    <s v="S021991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L_15"/>
    <n v="0"/>
    <n v="38.6935"/>
    <n v="-122.9558"/>
    <s v="DRY CREEK"/>
  </r>
  <r>
    <s v="S022859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010.538"/>
    <s v="Acre-feet"/>
    <n v="0"/>
    <s v="Acre-feet per Year"/>
    <s v="L_15"/>
    <n v="0"/>
    <n v="38.6599"/>
    <n v="-122.9337"/>
    <s v="DRY CREEK"/>
  </r>
  <r>
    <s v="S022868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.06"/>
    <n v="0.66"/>
    <n v="1.1599999999999999"/>
    <n v="1.66"/>
    <n v="2.36"/>
    <n v="1.21"/>
    <n v="0.63"/>
    <n v="0"/>
    <n v="7.74"/>
    <n v="5.92"/>
    <n v="1.9635965648629416E-2"/>
    <n v="1.9318048031466025E-2"/>
    <n v="402.04199999999997"/>
    <s v="Acre-feet"/>
    <n v="0"/>
    <s v="Acre-feet per Year"/>
    <s v="U_9"/>
    <n v="3.4039024194010059E-4"/>
    <n v="38.807499999999997"/>
    <n v="-123.00020000000001"/>
    <s v="RUSSIAN RIVER"/>
  </r>
  <r>
    <s v="S022869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22.358"/>
    <s v="Acre-feet"/>
    <n v="0"/>
    <s v="Acre-feet per Year"/>
    <s v="U_9"/>
    <n v="3.4039024194010059E-4"/>
    <n v="38.807899999999997"/>
    <n v="-122.99809999999999"/>
    <s v="RUSSIAN RIVER"/>
  </r>
  <r>
    <s v="S022870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2.597999999999999"/>
    <s v="Acre-feet"/>
    <n v="0"/>
    <s v="Acre-feet per Year"/>
    <s v="U_9"/>
    <n v="3.4039024194010059E-4"/>
    <n v="38.808799999999998"/>
    <n v="-122.9974"/>
    <s v="RUSSIAN RIVER"/>
  </r>
  <r>
    <s v="S022877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1.66"/>
    <n v="2.66"/>
    <n v="1.33"/>
    <n v="0"/>
    <n v="0"/>
    <n v="0.66"/>
    <n v="0.33"/>
    <n v="0"/>
    <n v="0"/>
    <n v="0"/>
    <n v="1.33"/>
    <n v="0.66"/>
    <n v="8.6300000000000008"/>
    <n v="1"/>
    <n v="3.3168860892955087E-3"/>
    <n v="0"/>
    <n v="0"/>
    <s v="Acre-feet"/>
    <n v="0"/>
    <s v="Acre-feet per Year"/>
    <s v="U_5"/>
    <n v="0"/>
    <n v="39.083300000000001"/>
    <n v="-123.15"/>
    <s v="UNNAMED STREAM TRIBUTARY TO MORRISON CREEK"/>
  </r>
  <r>
    <s v="S022879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3.66"/>
    <n v="3.66"/>
    <n v="2"/>
    <n v="0"/>
    <n v="0"/>
    <n v="0"/>
    <n v="0"/>
    <n v="0"/>
    <n v="0"/>
    <n v="0"/>
    <n v="0"/>
    <n v="2.33"/>
    <n v="11.65"/>
    <n v="0"/>
    <n v="0"/>
    <n v="0.23333333333999998"/>
    <n v="50"/>
    <s v="Acre-feet"/>
    <n v="0"/>
    <s v="Acre-feet per Year"/>
    <s v="U_5"/>
    <n v="0"/>
    <n v="39.087200000000003"/>
    <n v="-123.1431"/>
    <s v="UNNAMED CREEK TRIBUTARY TO HOWELL CREEK"/>
  </r>
  <r>
    <s v="S022882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3.33"/>
    <n v="1.66"/>
    <n v="1.66"/>
    <n v="0"/>
    <n v="0"/>
    <n v="0"/>
    <n v="0"/>
    <n v="0"/>
    <n v="0"/>
    <n v="0"/>
    <n v="3"/>
    <n v="3"/>
    <n v="12.65"/>
    <n v="0"/>
    <n v="0"/>
    <n v="0"/>
    <n v="0"/>
    <s v="Acre-feet"/>
    <n v="0"/>
    <s v="Acre-feet per Year"/>
    <s v="U_5"/>
    <n v="0"/>
    <n v="39.088000000000001"/>
    <n v="-123.1378"/>
    <s v="UNLIMITED STREAM TRIBUTARY TO"/>
  </r>
  <r>
    <s v="S022886"/>
    <n v="10000000"/>
    <n v="13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3.33333333333333E-4"/>
    <n v="3.33333333333333E-4"/>
    <n v="3.33333333333333E-4"/>
    <n v="3.33333333333333E-4"/>
    <n v="3.33333333333333E-4"/>
    <n v="3.33333333333333E-4"/>
    <n v="3.33333333333333E-4"/>
    <n v="3.33333333333333E-4"/>
    <n v="3.33333333333333E-4"/>
    <n v="3.33333333333333E-4"/>
    <n v="3.33333333333333E-4"/>
    <n v="3.33333333333333E-4"/>
    <n v="3.9999999999999957E-3"/>
    <n v="1.666666666666665E-3"/>
    <n v="5.5281434821591766E-6"/>
    <n v="0"/>
    <n v="0"/>
    <s v="Acre-feet"/>
    <n v="0"/>
    <s v="Acre-feet per Year"/>
    <s v="U_13"/>
    <n v="3.4039024194010059E-4"/>
    <n v="38.615600000000001"/>
    <n v="-122.82980000000001"/>
    <s v="RUSSIAN RIVER"/>
  </r>
  <r>
    <s v="S022889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.5"/>
    <n v="2.36"/>
    <n v="0"/>
    <n v="0"/>
    <n v="0"/>
    <n v="0"/>
    <n v="4.63"/>
    <n v="1.33"/>
    <n v="0"/>
    <n v="1.06"/>
    <n v="0"/>
    <n v="9.8800000000000008"/>
    <n v="5.9666666666666597"/>
    <n v="1.9790753666129847E-2"/>
    <n v="2.4535875415251105E-3"/>
    <n v="4034.9079999999999"/>
    <s v="Acre-feet"/>
    <n v="0"/>
    <s v="Acre-feet per Year"/>
    <s v="U_10"/>
    <n v="0"/>
    <n v="38.667900000000003"/>
    <n v="-122.83199999999999"/>
    <s v="RUSSIAN RIVER"/>
  </r>
  <r>
    <s v="S022890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44.88"/>
    <s v="Acre-feet"/>
    <n v="0"/>
    <s v="Acre-feet per Year"/>
    <s v="U_10"/>
    <n v="0"/>
    <n v="38.667099999999998"/>
    <n v="-122.82470000000001"/>
    <s v="RUSSIAN RIVER"/>
  </r>
  <r>
    <s v="S022914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"/>
    <s v="Acre-feet"/>
    <n v="0"/>
    <s v="Acre-feet per Year"/>
    <s v="U_6"/>
    <n v="0"/>
    <n v="38.984099999999998"/>
    <n v="-123.1237"/>
    <s v="UNNAMED STREAM"/>
  </r>
  <r>
    <s v="S023451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"/>
    <n v="0"/>
    <n v="5"/>
    <n v="5"/>
    <n v="0"/>
    <n v="0"/>
    <n v="0"/>
    <n v="0"/>
    <n v="0"/>
    <n v="0"/>
    <n v="0"/>
    <n v="10"/>
    <n v="5"/>
    <n v="1.6584430446477543E-2"/>
    <n v="1.2380742497889083E-2"/>
    <n v="807.70600000000002"/>
    <s v="Acre-feet"/>
    <n v="0"/>
    <s v="Acre-feet per Year"/>
    <s v="U_12"/>
    <n v="0"/>
    <n v="38.616599999999998"/>
    <n v="-122.7735"/>
    <s v="MAACAMA CREEK"/>
  </r>
  <r>
    <s v="S023462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"/>
    <n v="0"/>
    <n v="3.33333333333333E-4"/>
    <n v="1.4338884950483501E-3"/>
    <n v="1.33333333333333E-3"/>
    <n v="0"/>
    <n v="0"/>
    <n v="0"/>
    <n v="0"/>
    <n v="0"/>
    <n v="0"/>
    <n v="0"/>
    <n v="3.1005551617150134E-3"/>
    <n v="1.33333333333333E-3"/>
    <n v="4.4225147857273347E-6"/>
    <n v="2.0670367744766756"/>
    <n v="1.5E-3"/>
    <s v="Acre-feet"/>
    <n v="0"/>
    <s v="Acre-feet per Year"/>
    <s v="U_1"/>
    <n v="3.4039024194010059E-4"/>
    <n v="39.297499999999999"/>
    <n v="-123.3502"/>
    <s v="MILL CREEK"/>
  </r>
  <r>
    <s v="S023512"/>
    <n v="10000000"/>
    <n v="17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1"/>
    <n v="0"/>
    <n v="0"/>
    <n v="0"/>
    <n v="0"/>
    <n v="0"/>
    <n v="0"/>
    <n v="0"/>
    <n v="0"/>
    <n v="0"/>
    <n v="0"/>
    <n v="0"/>
    <n v="1"/>
    <n v="0"/>
    <n v="0"/>
    <n v="0"/>
    <n v="0"/>
    <s v="Acre-feet"/>
    <n v="0"/>
    <s v="Acre-feet per Year"/>
    <s v="L_17"/>
    <n v="0"/>
    <n v="38.590699999999998"/>
    <n v="-122.80880000000001"/>
    <s v="UNNAMED CREEK"/>
  </r>
  <r>
    <s v="S023513"/>
    <n v="10000000"/>
    <n v="17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24.716666669999999"/>
    <n v="0.13"/>
    <n v="17.00333333"/>
    <n v="0.306666667"/>
    <n v="2.153333333"/>
    <n v="0"/>
    <n v="0"/>
    <n v="0"/>
    <n v="0"/>
    <n v="0"/>
    <n v="0.9"/>
    <n v="14.41385633"/>
    <n v="59.623856329999995"/>
    <n v="2.153333333"/>
    <n v="7.1423613778440337E-3"/>
    <n v="0.44869573841872445"/>
    <n v="132.8826"/>
    <s v="Acre-feet"/>
    <n v="0"/>
    <s v="Acre-feet per Year"/>
    <s v="L_17"/>
    <n v="0"/>
    <n v="38.585900000000002"/>
    <n v="-122.8133"/>
    <s v="UNNAMED CREEK"/>
  </r>
  <r>
    <s v="S023514"/>
    <n v="10000000"/>
    <n v="17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0.7"/>
    <n v="0"/>
    <n v="0"/>
    <n v="0"/>
    <n v="0"/>
    <n v="0"/>
    <n v="0"/>
    <n v="0"/>
    <n v="0"/>
    <n v="0"/>
    <n v="0"/>
    <n v="0"/>
    <n v="0.7"/>
    <n v="0"/>
    <n v="0"/>
    <n v="0"/>
    <n v="0"/>
    <s v="Acre-feet"/>
    <n v="0"/>
    <s v="Acre-feet per Year"/>
    <s v="L_17"/>
    <n v="0"/>
    <n v="38.590000000000003"/>
    <n v="-122.8134"/>
    <s v="UNNAMED CREEK"/>
  </r>
  <r>
    <s v="S023515"/>
    <n v="10000000"/>
    <n v="17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16.261333329999999"/>
    <n v="5.2033333329999998"/>
    <n v="4.3266666669999996"/>
    <n v="0.21"/>
    <n v="0"/>
    <n v="0"/>
    <n v="0"/>
    <n v="0"/>
    <n v="0"/>
    <n v="0"/>
    <n v="0.10705099999999999"/>
    <n v="5.8537176669999997"/>
    <n v="31.962101996999998"/>
    <n v="0"/>
    <n v="0"/>
    <n v="0.31704408564190262"/>
    <n v="100.8128"/>
    <s v="Acre-feet"/>
    <n v="0"/>
    <s v="Acre-feet per Year"/>
    <s v="L_17"/>
    <n v="0"/>
    <n v="38.576000000000001"/>
    <n v="-122.8126"/>
    <s v="UNNAMED CREEK"/>
  </r>
  <r>
    <s v="S016055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0"/>
    <n v="3.7880333000000002E-2"/>
    <n v="0.317994"/>
    <n v="0"/>
    <n v="0"/>
    <n v="0"/>
    <n v="0"/>
    <n v="0"/>
    <n v="0"/>
    <n v="0"/>
    <n v="0.32230466699999999"/>
    <n v="0"/>
    <n v="0.67817899999999998"/>
    <n v="0"/>
    <n v="0"/>
    <n v="8.4341810059645507E-4"/>
    <n v="804.08399999999995"/>
    <s v="Acre-feet"/>
    <n v="0"/>
    <s v="Acre-feet per Year"/>
    <s v="L_16"/>
    <n v="0"/>
    <n v="38.627000000000002"/>
    <n v="-122.8959"/>
    <s v="DRY CREEK UNDERFLOW"/>
  </r>
  <r>
    <s v="S016058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412.58"/>
    <s v="Acre-feet"/>
    <n v="0"/>
    <s v="Acre-feet per Year"/>
    <s v="L_16"/>
    <n v="0"/>
    <n v="38.611699999999999"/>
    <n v="-122.8862"/>
    <s v="DRY CREEK"/>
  </r>
  <r>
    <s v="S023681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U_1"/>
    <n v="0"/>
    <n v="39.271599999999999"/>
    <n v="-123.21080000000001"/>
    <s v="WEST FORK OF RUSSIAN RIVER"/>
  </r>
  <r>
    <s v="S016062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0"/>
    <n v="0"/>
    <n v="0"/>
    <n v="0"/>
    <n v="0"/>
    <n v="0"/>
    <n v="0"/>
    <n v="0"/>
    <n v="0"/>
    <n v="3.33333E-4"/>
    <n v="0"/>
    <n v="0"/>
    <n v="3.33333E-4"/>
    <n v="0"/>
    <n v="0"/>
    <n v="1.5338348978464939E-5"/>
    <n v="21.731999999999999"/>
    <s v="Acre-feet"/>
    <n v="0"/>
    <s v="Acre-feet per Year"/>
    <s v="L_16"/>
    <n v="0"/>
    <n v="38.629399999999997"/>
    <n v="-122.8874"/>
    <s v="DRY CREEK UNDERFLOW"/>
  </r>
  <r>
    <s v="S023685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470.86"/>
    <s v="Acre-feet"/>
    <n v="0"/>
    <s v="Acre-feet per Year"/>
    <s v="U_1"/>
    <n v="0"/>
    <n v="39.269500000000001"/>
    <n v="-123.2092"/>
    <s v="WEST FORK OF RUSSIAN RIVER"/>
  </r>
  <r>
    <s v="S023695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.2"/>
    <n v="0.03"/>
    <n v="0.23"/>
    <n v="0.96"/>
    <n v="0.96"/>
    <n v="3.63"/>
    <n v="5.36"/>
    <n v="3.2"/>
    <n v="0.3"/>
    <n v="0.73"/>
    <n v="0"/>
    <n v="15.600000000000001"/>
    <n v="14.133333333333333"/>
    <n v="4.6878656728709861E-2"/>
    <n v="2.3978976215309734E-2"/>
    <n v="651.96"/>
    <s v="Acre-feet"/>
    <n v="0"/>
    <s v="Acre-feet per Year"/>
    <s v="U_9"/>
    <n v="0"/>
    <n v="38.804600000000001"/>
    <n v="-123.0046"/>
    <s v="RUSSIAN RIVER"/>
  </r>
  <r>
    <s v="S023696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.3"/>
    <n v="0"/>
    <n v="0.26"/>
    <n v="0.5"/>
    <n v="1.43"/>
    <n v="1.9"/>
    <n v="3.3"/>
    <n v="3.13"/>
    <n v="0.73"/>
    <n v="0.46"/>
    <n v="0"/>
    <n v="12.010000000000002"/>
    <n v="10.266666666666659"/>
    <n v="3.4053363850100535E-2"/>
    <n v="2.0764310693907589E-2"/>
    <n v="579.52"/>
    <s v="Acre-feet"/>
    <n v="0"/>
    <s v="Acre-feet per Year"/>
    <s v="U_9"/>
    <n v="0"/>
    <n v="38.805100000000003"/>
    <n v="-123.0052"/>
    <s v="RUSSIAN RIVER"/>
  </r>
  <r>
    <s v="S023697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.03"/>
    <n v="0"/>
    <n v="0.1"/>
    <n v="0"/>
    <n v="1.93"/>
    <n v="2.93"/>
    <n v="4.5999999999999996"/>
    <n v="2.8"/>
    <n v="0.63"/>
    <n v="0.3"/>
    <n v="0"/>
    <n v="13.320000000000002"/>
    <n v="12.266666666666659"/>
    <n v="4.0687136028691548E-2"/>
    <n v="1.6732761072904629E-2"/>
    <n v="796.84"/>
    <s v="Acre-feet"/>
    <n v="0"/>
    <s v="Acre-feet per Year"/>
    <s v="U_9"/>
    <n v="0"/>
    <n v="38.805999999999997"/>
    <n v="-122.9974"/>
    <s v="RUSSIAN RIVER"/>
  </r>
  <r>
    <s v="S023707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1166"/>
    <s v="Acre-feet"/>
    <n v="0"/>
    <s v="Acre-feet per Year"/>
    <s v="L_24"/>
    <n v="0"/>
    <n v="38.508200000000002"/>
    <n v="-122.7169"/>
    <s v="UNNAMED CREEK"/>
  </r>
  <r>
    <s v="S023711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.35"/>
    <n v="0.35"/>
    <n v="0.35"/>
    <n v="0.35"/>
    <n v="0.35"/>
    <n v="0.35"/>
    <n v="0.35"/>
    <n v="0.35"/>
    <n v="0.35"/>
    <n v="0.35"/>
    <n v="0.35"/>
    <n v="0.35"/>
    <n v="4.2"/>
    <n v="1.775573335"/>
    <n v="5.8893744953855348E-3"/>
    <n v="0.926386087826087"/>
    <n v="4.5999999999999996"/>
    <s v="Acre-feet"/>
    <n v="0"/>
    <s v="Acre-feet per Year"/>
    <s v="U_6"/>
    <n v="0"/>
    <n v="39.014299999999999"/>
    <n v="-123.1495"/>
    <s v="UNNAMED DITCH"/>
  </r>
  <r>
    <s v="S023712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1"/>
    <n v="1"/>
    <n v="0"/>
    <n v="0"/>
    <n v="0"/>
    <n v="0"/>
    <n v="3.0690000000000001E-3"/>
    <n v="3.0690000000000001E-3"/>
    <n v="3.0690000000000001E-3"/>
    <n v="0"/>
    <n v="0"/>
    <n v="1"/>
    <n v="3.009207"/>
    <n v="9.2069999999999999E-3"/>
    <n v="3.0538570224143753E-5"/>
    <n v="0.65370647144439853"/>
    <n v="4.6032999999999999"/>
    <s v="Acre-feet"/>
    <n v="0"/>
    <s v="Acre-feet per Year"/>
    <s v="U_6"/>
    <n v="0"/>
    <n v="39.013500000000001"/>
    <n v="-123.1482"/>
    <s v="UNNAMED DITCH"/>
  </r>
  <r>
    <s v="S023728"/>
    <n v="10000000"/>
    <n v="9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5.09"/>
    <n v="1.2"/>
    <n v="2.54"/>
    <n v="0.3"/>
    <n v="0"/>
    <n v="0"/>
    <n v="0"/>
    <n v="0"/>
    <n v="0"/>
    <n v="0"/>
    <n v="0.19"/>
    <n v="2.3199999999999998"/>
    <n v="11.64"/>
    <n v="0"/>
    <n v="0"/>
    <n v="8.1890473309138533E-3"/>
    <n v="1423.4459999999999"/>
    <s v="Acre-feet"/>
    <n v="0"/>
    <s v="Acre-feet per Year"/>
    <s v="U_9"/>
    <n v="3.4039024194010059E-4"/>
    <n v="38.8504"/>
    <n v="-122.9877"/>
    <s v="UNNAMED STREAM #2"/>
  </r>
  <r>
    <s v="S023729"/>
    <n v="10000000"/>
    <n v="9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2.71"/>
    <n v="0"/>
    <n v="0"/>
    <n v="0"/>
    <n v="0"/>
    <n v="0"/>
    <n v="0"/>
    <n v="0"/>
    <n v="0"/>
    <n v="0.12"/>
    <n v="2.2400000000000002"/>
    <n v="6.85"/>
    <n v="11.92"/>
    <n v="0"/>
    <n v="0"/>
    <n v="0.88345679007407396"/>
    <n v="13.5"/>
    <s v="Acre-feet"/>
    <n v="0"/>
    <s v="Acre-feet per Year"/>
    <s v="U_9"/>
    <n v="3.4039024194010059E-4"/>
    <n v="38.849299999999999"/>
    <n v="-122.9901"/>
    <s v="UNNAMED STREAM #1"/>
  </r>
  <r>
    <s v="S023849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1.3"/>
    <n v="1.4"/>
    <n v="1.266666667"/>
    <n v="1.8333333329999999"/>
    <n v="0.33333333300000001"/>
    <n v="0.66666666699999999"/>
    <n v="0.6"/>
    <n v="0"/>
    <n v="7.3999999999999995"/>
    <n v="6.1333333329999995"/>
    <n v="2.0343568013240158E-2"/>
    <n v="0.37185929648241206"/>
    <n v="19.899999999999999"/>
    <s v="Acre-feet"/>
    <n v="0"/>
    <s v="Acre-feet per Year"/>
    <s v="L_25"/>
    <n v="0"/>
    <n v="38.464399999999998"/>
    <n v="-122.8575"/>
    <s v="UNNAMED STREAM"/>
  </r>
  <r>
    <s v="S023862"/>
    <n v="10000000"/>
    <n v="9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"/>
    <n v="0"/>
    <n v="0"/>
    <n v="0"/>
    <n v="1.99"/>
    <n v="1.99"/>
    <n v="1.99"/>
    <n v="1.99"/>
    <n v="0"/>
    <n v="0"/>
    <n v="0"/>
    <n v="7.96"/>
    <n v="7.96"/>
    <n v="2.6402413270792253E-2"/>
    <n v="0.21976808393152955"/>
    <n v="36.22"/>
    <s v="Acre-feet"/>
    <n v="0"/>
    <s v="Acre-feet per Year"/>
    <s v="U_9"/>
    <n v="0"/>
    <n v="38.825699999999998"/>
    <n v="-123.0171"/>
    <s v="OAT VALLEY CREEK"/>
  </r>
  <r>
    <s v="S023869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2"/>
    <n v="2"/>
    <n v="2"/>
    <n v="0"/>
    <n v="0"/>
    <n v="0"/>
    <n v="0"/>
    <n v="0"/>
    <n v="0"/>
    <n v="0"/>
    <n v="0"/>
    <n v="2"/>
    <n v="8"/>
    <n v="0"/>
    <n v="0"/>
    <n v="0.25806451612903225"/>
    <n v="31"/>
    <s v="Acre-feet"/>
    <n v="0"/>
    <s v="Acre-feet per Year"/>
    <s v="U_6"/>
    <n v="0"/>
    <n v="38.9405"/>
    <n v="-123.1653"/>
    <s v="RID-1714 UNNAMED SPRING"/>
  </r>
  <r>
    <s v="S023870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1"/>
    <n v="1"/>
    <n v="1"/>
    <n v="0.66"/>
    <n v="0.66"/>
    <n v="0"/>
    <n v="0"/>
    <n v="0"/>
    <n v="0"/>
    <n v="0"/>
    <n v="0.33"/>
    <n v="0.33"/>
    <n v="4.9800000000000004"/>
    <n v="0.66666666699999999"/>
    <n v="2.2112573939693015E-3"/>
    <n v="1.2499999999999998"/>
    <n v="4"/>
    <s v="Acre-feet"/>
    <n v="0"/>
    <s v="Acre-feet per Year"/>
    <s v="U_6"/>
    <n v="0"/>
    <n v="38.947099999999999"/>
    <n v="-123.1605"/>
    <s v="RID-1939 ON-STREAM STORAGE"/>
  </r>
  <r>
    <s v="S023896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.93"/>
    <n v="0.93"/>
    <n v="0"/>
    <n v="0"/>
    <n v="0"/>
    <n v="0"/>
    <n v="0.01"/>
    <n v="0.01"/>
    <n v="0.01"/>
    <n v="0"/>
    <n v="0"/>
    <n v="0.93"/>
    <n v="2.8200000000000003"/>
    <n v="3.0689001E-2"/>
    <n v="1.0179192051127597E-4"/>
    <n v="0.31452099999999994"/>
    <n v="9"/>
    <s v="Acre-feet"/>
    <n v="0"/>
    <s v="Acre-feet per Year"/>
    <s v="U_6"/>
    <n v="0"/>
    <n v="39.0137"/>
    <n v="-123.1503"/>
    <s v="UNNAMED"/>
  </r>
  <r>
    <s v="S023897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0"/>
    <n v="0.34"/>
    <n v="0.34"/>
    <n v="0.4"/>
    <n v="0.4"/>
    <n v="0.06"/>
    <n v="0"/>
    <n v="0"/>
    <n v="0"/>
    <n v="1.54"/>
    <n v="1.5707996669999997"/>
    <n v="5.2101635645423168E-3"/>
    <n v="0.17453329633333331"/>
    <n v="9"/>
    <s v="Acre-feet"/>
    <n v="0"/>
    <s v="Acre-feet per Year"/>
    <s v="U_6"/>
    <n v="0"/>
    <n v="39.0137"/>
    <n v="-123.1503"/>
    <s v="UNNAMED"/>
  </r>
  <r>
    <s v="S023905"/>
    <n v="10000000"/>
    <n v="9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0.15"/>
    <n v="4.9753291339432639E-4"/>
    <n v="0.38055555549999992"/>
    <n v="6"/>
    <s v="Acre-feet"/>
    <n v="0"/>
    <s v="Acre-feet per Year"/>
    <s v="U_9"/>
    <n v="0"/>
    <n v="38.8551"/>
    <n v="-122.97539999999999"/>
    <s v="UNNAMED STREAM"/>
  </r>
  <r>
    <s v="S023907"/>
    <n v="10000000"/>
    <n v="9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0"/>
    <n v="0"/>
    <n v="0"/>
    <n v="0"/>
    <n v="0"/>
    <n v="0"/>
    <n v="0"/>
    <n v="0"/>
    <n v="0"/>
    <n v="0"/>
    <n v="0"/>
    <n v="0"/>
    <n v="0"/>
    <n v="0"/>
    <n v="0"/>
    <n v="0.39166666649999993"/>
    <n v="6"/>
    <s v="Acre-feet"/>
    <n v="0"/>
    <s v="Acre-feet per Year"/>
    <s v="U_9"/>
    <n v="0"/>
    <n v="38.8568"/>
    <n v="-122.9739"/>
    <s v="UNNAMED STREAM"/>
  </r>
  <r>
    <s v="S023909"/>
    <n v="10000000"/>
    <n v="8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0"/>
    <n v="0"/>
    <n v="0"/>
    <n v="0"/>
    <n v="0"/>
    <n v="0"/>
    <n v="0"/>
    <n v="0"/>
    <n v="0"/>
    <n v="0"/>
    <n v="0"/>
    <n v="0"/>
    <n v="0"/>
    <n v="0"/>
    <n v="0"/>
    <n v="0.65134099655172417"/>
    <n v="1.74"/>
    <s v="Acre-feet"/>
    <n v="0"/>
    <s v="Acre-feet per Year"/>
    <s v="U_8"/>
    <n v="0"/>
    <n v="38.852400000000003"/>
    <n v="-122.9717"/>
    <s v="UNNAMED STREAM "/>
  </r>
  <r>
    <s v="S023910"/>
    <n v="10000000"/>
    <n v="8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0"/>
    <n v="0"/>
    <n v="0"/>
    <n v="0"/>
    <n v="0"/>
    <n v="0"/>
    <n v="0"/>
    <n v="0"/>
    <n v="0"/>
    <n v="0"/>
    <n v="0"/>
    <n v="0"/>
    <n v="0"/>
    <n v="0"/>
    <n v="0"/>
    <n v="1.3333333333333333"/>
    <n v="1.5"/>
    <s v="Acre-feet"/>
    <n v="0"/>
    <s v="Acre-feet per Year"/>
    <s v="U_8"/>
    <n v="0"/>
    <n v="38.852800000000002"/>
    <n v="-122.9671"/>
    <s v="UNNAMED SPRING"/>
  </r>
  <r>
    <s v="S023932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0.41"/>
    <n v="0.53"/>
    <n v="0.16"/>
    <n v="0.8"/>
    <n v="0"/>
    <n v="0"/>
    <n v="0"/>
    <n v="0"/>
    <n v="0"/>
    <n v="0"/>
    <n v="1.33"/>
    <n v="0.81"/>
    <n v="4.04"/>
    <n v="0"/>
    <n v="0"/>
    <n v="0.31282051284615381"/>
    <n v="13"/>
    <s v="Acre-feet"/>
    <n v="0"/>
    <s v="Acre-feet per Year"/>
    <s v="U_6"/>
    <n v="0"/>
    <n v="38.955599999999997"/>
    <n v="-123.11620000000001"/>
    <s v="UNNAMED STREAM"/>
  </r>
  <r>
    <s v="S023954"/>
    <n v="10000000"/>
    <n v="12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5.86"/>
    <n v="4.2"/>
    <n v="4.33"/>
    <n v="0"/>
    <n v="0"/>
    <n v="0"/>
    <n v="0"/>
    <n v="0"/>
    <n v="2.9"/>
    <n v="10.16"/>
    <n v="10.199999999999999"/>
    <n v="4.3600000000000003"/>
    <n v="42.01"/>
    <n v="2.9"/>
    <n v="9.6189696589569773E-3"/>
    <n v="0.23208172280507988"/>
    <n v="181.1"/>
    <s v="Acre-feet"/>
    <n v="0"/>
    <s v="Acre-feet per Year"/>
    <s v="U_12"/>
    <n v="3.4039024194010059E-4"/>
    <n v="38.649900000000002"/>
    <n v="-122.79810000000001"/>
    <s v="UNDERFLOW OF RUSSIAN RIVER"/>
  </r>
  <r>
    <s v="S023955"/>
    <n v="10000000"/>
    <n v="12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3.07"/>
    <n v="3.23"/>
    <n v="1.87"/>
    <n v="0"/>
    <n v="0"/>
    <n v="0"/>
    <n v="9.26"/>
    <n v="16.43"/>
    <n v="16.73"/>
    <n v="17.559999999999999"/>
    <n v="12.56"/>
    <n v="2.8"/>
    <n v="83.51"/>
    <n v="42.433333333333266"/>
    <n v="0.14074653305577256"/>
    <n v="0.25628361658179433"/>
    <n v="325.98"/>
    <s v="Acre-feet"/>
    <n v="0"/>
    <s v="Acre-feet per Year"/>
    <s v="U_12"/>
    <n v="3.4039024194010059E-4"/>
    <n v="38.650300000000001"/>
    <n v="-122.8008"/>
    <s v="UNDERFLOW OF RUSSIAN RIVER"/>
  </r>
  <r>
    <s v="S023956"/>
    <n v="10000000"/>
    <n v="10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.33"/>
    <n v="0.93"/>
    <n v="1.23"/>
    <n v="1"/>
    <n v="0.6"/>
    <n v="0.16"/>
    <n v="0"/>
    <n v="0"/>
    <n v="4.25"/>
    <n v="4.0999999999999961"/>
    <n v="1.3599232966111574E-2"/>
    <n v="6.9293316443087387E-3"/>
    <n v="615.74"/>
    <s v="Acre-feet"/>
    <n v="0"/>
    <s v="Acre-feet per Year"/>
    <s v="U_10"/>
    <n v="0"/>
    <n v="38.694299999999998"/>
    <n v="-122.8582"/>
    <s v="RUSSIAN RIVER UNDERFLOW"/>
  </r>
  <r>
    <s v="S023959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0"/>
    <s v="N"/>
    <n v="2.81"/>
    <n v="0"/>
    <n v="0"/>
    <n v="0"/>
    <n v="0"/>
    <n v="0"/>
    <n v="0"/>
    <n v="0"/>
    <n v="0"/>
    <n v="0"/>
    <n v="0"/>
    <n v="0"/>
    <n v="2.81"/>
    <n v="0"/>
    <n v="0"/>
    <n v="0.63863636363636356"/>
    <n v="4.4000000000000004"/>
    <s v="Acre-feet"/>
    <n v="0"/>
    <s v="Acre-feet per Year"/>
    <s v="U_1"/>
    <n v="0"/>
    <n v="39.207700000000003"/>
    <n v="-123.1915"/>
    <m/>
  </r>
  <r>
    <s v="S023960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.5"/>
    <n v="0"/>
    <n v="0"/>
    <n v="0.05"/>
    <n v="0.05"/>
    <n v="0.05"/>
    <n v="0.05"/>
    <n v="0"/>
    <n v="0"/>
    <n v="0"/>
    <n v="0"/>
    <n v="0.8"/>
    <n v="1.5000000000000002"/>
    <n v="0.15000000000000002"/>
    <n v="4.975329133943265E-4"/>
    <n v="5.0000000000000009"/>
    <n v="0.3"/>
    <s v="Acre-feet"/>
    <n v="0"/>
    <s v="Acre-feet per Year"/>
    <s v="U_1"/>
    <n v="3.4039024194010059E-4"/>
    <n v="39.205399999999997"/>
    <n v="-123.1888"/>
    <m/>
  </r>
  <r>
    <s v="S023995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.28"/>
    <s v="Acre-feet"/>
    <n v="0"/>
    <s v="Acre-feet per Year"/>
    <s v="U_6"/>
    <n v="3.4039024194010059E-4"/>
    <n v="38.996000000000002"/>
    <n v="-123.2024"/>
    <s v="UNNAMED"/>
  </r>
  <r>
    <s v="S023996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U_6"/>
    <n v="3.4039024194010059E-4"/>
    <n v="38.996400000000001"/>
    <n v="-123.2026"/>
    <s v="UNNAMED"/>
  </r>
  <r>
    <s v="S023997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.5"/>
    <s v="Acre-feet"/>
    <n v="0"/>
    <s v="Acre-feet per Year"/>
    <s v="U_6"/>
    <n v="3.4039024194010059E-4"/>
    <n v="38.9953"/>
    <n v="-123.2015"/>
    <s v="UNNAMED"/>
  </r>
  <r>
    <s v="S024090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0.66"/>
    <n v="0"/>
    <n v="0"/>
    <n v="0"/>
    <n v="0"/>
    <n v="0"/>
    <n v="0"/>
    <n v="0"/>
    <n v="0"/>
    <n v="0"/>
    <n v="0"/>
    <n v="1.33"/>
    <n v="1.9900000000000002"/>
    <n v="0"/>
    <n v="0"/>
    <n v="0.4081632653061224"/>
    <n v="4.9000000000000004"/>
    <s v="Acre-feet"/>
    <n v="0"/>
    <s v="Acre-feet per Year"/>
    <s v="U_5"/>
    <n v="0"/>
    <n v="39.11"/>
    <n v="-123.20440000000001"/>
    <s v="UNNAMED"/>
  </r>
  <r>
    <s v="S024097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0"/>
    <n v="0"/>
    <n v="0"/>
    <n v="0"/>
    <n v="0"/>
    <n v="0"/>
    <n v="0"/>
    <n v="0"/>
    <n v="0"/>
    <n v="0.06"/>
    <n v="5.73"/>
    <n v="7"/>
    <n v="12.79"/>
    <n v="0"/>
    <n v="0"/>
    <n v="0"/>
    <n v="0"/>
    <s v="Acre-feet"/>
    <n v="0"/>
    <s v="Acre-feet per Year"/>
    <s v="U_6"/>
    <n v="0"/>
    <n v="38.92"/>
    <n v="-122.9742"/>
    <s v="JAKES CREEK"/>
  </r>
  <r>
    <s v="S024131"/>
    <n v="10000000"/>
    <n v="21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"/>
    <n v="0"/>
    <n v="0"/>
    <n v="0"/>
    <n v="6.1377700000000003E-4"/>
    <n v="6.1786929999999999E-3"/>
    <n v="6.1786929999999999E-3"/>
    <n v="6.1377749999999998E-3"/>
    <n v="3.7235829999999999E-3"/>
    <n v="0"/>
    <n v="0"/>
    <n v="2.2832520999999998E-2"/>
    <n v="1.9108938338893138E-2"/>
    <n v="6.3382171757480279E-5"/>
    <n v="3.0854758935998521"/>
    <n v="7.4000000000000003E-3"/>
    <s v="Acre-feet"/>
    <n v="0"/>
    <s v="Acre-feet per Year"/>
    <s v="L_21"/>
    <n v="3.4039024194010059E-4"/>
    <n v="38.447000000000003"/>
    <n v="-123.05500000000001"/>
    <s v="RUSSIAN RIVER"/>
  </r>
  <r>
    <s v="S018671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4.488"/>
    <s v="Acre-feet"/>
    <n v="0"/>
    <s v="Acre-feet per Year"/>
    <s v="L_20"/>
    <n v="3.4039024194010059E-4"/>
    <n v="38.5092"/>
    <n v="-123.08839999999999"/>
    <s v="UNNAMED SPRING "/>
  </r>
  <r>
    <s v="S024280"/>
    <n v="10000000"/>
    <n v="21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72.44"/>
    <s v="Acre-feet"/>
    <n v="0"/>
    <s v="Acre-feet per Year"/>
    <s v="L_21"/>
    <n v="0"/>
    <n v="38.439100000000003"/>
    <n v="-122.9757"/>
    <s v="DUTCH BILL CREEK"/>
  </r>
  <r>
    <s v="S015955"/>
    <n v="10000000"/>
    <n v="19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1028"/>
    <s v="Acre-feet"/>
    <n v="0"/>
    <s v="Acre-feet per Year"/>
    <s v="L_19"/>
    <n v="3.4039024194010059E-4"/>
    <n v="38.516199999999998"/>
    <n v="-122.93389999999999"/>
    <s v="UNNAMED STREAM"/>
  </r>
  <r>
    <s v="S024370"/>
    <n v="10000000"/>
    <n v="5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426.7399999999998"/>
    <s v="Acre-feet"/>
    <n v="0"/>
    <s v="Acre-feet per Year"/>
    <s v="U_5"/>
    <n v="0"/>
    <n v="39.104599999999998"/>
    <n v="-123.1837"/>
    <s v="RUSSIAN RIVER"/>
  </r>
  <r>
    <s v="S024372"/>
    <n v="10000000"/>
    <n v="8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1.08"/>
    <n v="0.66"/>
    <n v="0.6"/>
    <n v="0"/>
    <n v="0"/>
    <n v="0"/>
    <n v="0"/>
    <n v="0"/>
    <n v="0"/>
    <n v="0"/>
    <n v="0"/>
    <n v="0"/>
    <n v="2.3400000000000003"/>
    <n v="0"/>
    <n v="0"/>
    <n v="0"/>
    <m/>
    <m/>
    <n v="0"/>
    <s v="Acre-feet per Year"/>
    <s v="U_8"/>
    <n v="3.4039024194010059E-4"/>
    <n v="38.8521"/>
    <n v="-122.95269999999999"/>
    <s v="UNNAMED"/>
  </r>
  <r>
    <s v="S024404"/>
    <n v="10000000"/>
    <n v="11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.37"/>
    <n v="0.32"/>
    <n v="0.35"/>
    <n v="0.34"/>
    <n v="0.32"/>
    <n v="0.32"/>
    <n v="0.27"/>
    <n v="0.25"/>
    <n v="0.25"/>
    <n v="0.27"/>
    <n v="0.32"/>
    <n v="0.37"/>
    <n v="3.75"/>
    <n v="1.425189166"/>
    <n v="4.7271901193200686E-3"/>
    <n v="1.504224034043566"/>
    <n v="2.5203000000000002"/>
    <s v="Acre-feet"/>
    <n v="0"/>
    <s v="Acre-feet per Year"/>
    <s v="U_11"/>
    <n v="3.4039024194010059E-4"/>
    <n v="38.682499999999997"/>
    <n v="-122.6546"/>
    <s v="UNNAMED STREAM"/>
  </r>
  <r>
    <s v="S024405"/>
    <n v="10000000"/>
    <n v="11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.38"/>
    <n v="0.36"/>
    <n v="0.36"/>
    <n v="0.37"/>
    <n v="0.35"/>
    <n v="0.34"/>
    <n v="0.28000000000000003"/>
    <n v="0.25"/>
    <n v="0.24"/>
    <n v="0.27"/>
    <n v="0.35"/>
    <n v="0.4"/>
    <n v="3.9500000000000006"/>
    <n v="1.4820655"/>
    <n v="4.9158424403747941E-3"/>
    <n v="1.5925443395627503"/>
    <n v="2.5203000000000002"/>
    <s v="Acre-feet"/>
    <n v="0"/>
    <s v="Acre-feet per Year"/>
    <s v="U_11"/>
    <n v="3.4039024194010059E-4"/>
    <n v="38.6858"/>
    <n v="-122.6525"/>
    <s v="UNNAMED STREAM"/>
  </r>
  <r>
    <s v="S024410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7.0000000000000007E-2"/>
    <n v="0.1"/>
    <n v="0.1"/>
    <n v="0.1"/>
    <n v="0.14000000000000001"/>
    <n v="0.1"/>
    <n v="7.0000000000000007E-2"/>
    <n v="0"/>
    <n v="0"/>
    <n v="0.67999999999999994"/>
    <n v="0.55333333333333201"/>
    <n v="1.8353436360768439E-3"/>
    <n v="5.8006905052735973E-2"/>
    <n v="11.9526"/>
    <s v="Acre-feet"/>
    <n v="0"/>
    <s v="Acre-feet per Year"/>
    <s v="U_4"/>
    <n v="0"/>
    <n v="39.11736338"/>
    <n v="-123.11754121"/>
    <s v="MILL CREEK"/>
  </r>
  <r>
    <s v="S024444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s v="Acre-feet per Year"/>
    <s v="U_6"/>
    <n v="0"/>
    <n v="38.999400000000001"/>
    <n v="-123.10980000000001"/>
    <s v="MAIN STEM OF RUSSIAN RIVER"/>
  </r>
  <r>
    <s v="S024445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s v="Acre-feet per Year"/>
    <s v="U_6"/>
    <n v="0"/>
    <n v="38.995699999999999"/>
    <n v="-123.1236"/>
    <s v="UNNAMED TRIBUTARY"/>
  </r>
  <r>
    <s v="S024464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.6293000000000002"/>
    <s v="Acre-feet"/>
    <n v="0"/>
    <s v="Acre-feet per Year"/>
    <s v="U_6"/>
    <n v="0"/>
    <n v="38.994"/>
    <n v="-123.1315"/>
    <s v="UNNAMED TRIBUTARY"/>
  </r>
  <r>
    <s v="S024466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688.18"/>
    <s v="Acre-feet"/>
    <n v="0"/>
    <s v="Acre-feet per Year"/>
    <s v="U_6"/>
    <n v="0"/>
    <n v="39.003799999999998"/>
    <n v="-123.113"/>
    <s v="MAIN STEM RUSSIAN RIVER"/>
  </r>
  <r>
    <s v="S024467"/>
    <n v="10000000"/>
    <n v="6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629.9"/>
    <s v="Acre-feet"/>
    <n v="0"/>
    <s v="Acre-feet per Year"/>
    <s v="U_6"/>
    <n v="0"/>
    <n v="38.995100000000001"/>
    <n v="-123.11579999999999"/>
    <s v="MAIN STEM RUSSIAN RIVER UNDERFLOW"/>
  </r>
  <r>
    <s v="S024481"/>
    <n v="10000000"/>
    <n v="13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2.9999999999999997E-4"/>
    <n v="0.03"/>
    <n v="0.03"/>
    <n v="0.16"/>
    <n v="0.27"/>
    <n v="0.43"/>
    <n v="0.61"/>
    <n v="0.16"/>
    <n v="0.2"/>
    <n v="0.13"/>
    <n v="0"/>
    <n v="2.0202999999999998"/>
    <n v="1.644910667"/>
    <n v="5.4559813095060973E-3"/>
    <n v="1.4338452063292904"/>
    <n v="1.4346000000000001"/>
    <s v="Acre-feet"/>
    <n v="0"/>
    <s v="Acre-feet per Year"/>
    <s v="U_13"/>
    <n v="0"/>
    <n v="38.599800000000002"/>
    <n v="-122.85"/>
    <s v="RUSSIAN RIVER UNDERFLOW"/>
  </r>
  <r>
    <s v="S016065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9.841999999999999"/>
    <s v="Acre-feet"/>
    <n v="0"/>
    <s v="Acre-feet per Year"/>
    <s v="L_16"/>
    <n v="0"/>
    <n v="38.651200000000003"/>
    <n v="-122.9271"/>
    <s v="DRY CREEK UNDERFLOW"/>
  </r>
  <r>
    <s v="S024509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.03"/>
    <n v="0.33"/>
    <n v="1.2"/>
    <n v="1.3"/>
    <n v="1.4"/>
    <n v="1.23"/>
    <n v="0.63"/>
    <n v="0.53"/>
    <n v="0"/>
    <n v="6.65"/>
    <n v="5.4666666666666623"/>
    <n v="1.8132310621482104E-2"/>
    <n v="4.1330853482124369E-2"/>
    <n v="161.30000000000001"/>
    <s v="Acre-feet"/>
    <n v="0"/>
    <s v="Acre-feet per Year"/>
    <s v="U_9"/>
    <n v="0"/>
    <n v="38.768599999999999"/>
    <n v="-122.9759"/>
    <s v="RUSSIAN RIVER"/>
  </r>
  <r>
    <s v="S018153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0"/>
    <n v="0"/>
    <n v="0"/>
    <n v="0"/>
    <n v="0"/>
    <n v="0"/>
    <n v="0"/>
    <n v="0"/>
    <n v="0"/>
    <n v="0"/>
    <n v="0.35666666699999999"/>
    <n v="0.12"/>
    <n v="0.47666666699999999"/>
    <n v="0"/>
    <n v="0"/>
    <n v="6.3555555599999994E-2"/>
    <n v="7.5"/>
    <s v="Acre-feet"/>
    <n v="0"/>
    <s v="Acre-feet per Year"/>
    <s v="L_16"/>
    <n v="0"/>
    <n v="38.627299999999998"/>
    <n v="-122.92019999999999"/>
    <s v="UNNAMED STREAM"/>
  </r>
  <r>
    <s v="S018190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0"/>
    <n v="0"/>
    <n v="0"/>
    <n v="0"/>
    <n v="0"/>
    <n v="0"/>
    <n v="0"/>
    <n v="0"/>
    <n v="0"/>
    <n v="0"/>
    <n v="0.35666666699999999"/>
    <n v="0.12"/>
    <n v="0.47666666699999999"/>
    <n v="0"/>
    <n v="0"/>
    <n v="5.4166666704545452E-2"/>
    <n v="8.8000000000000007"/>
    <s v="Acre-feet"/>
    <n v="0"/>
    <s v="Acre-feet per Year"/>
    <s v="L_16"/>
    <n v="0"/>
    <n v="38.627200000000002"/>
    <n v="-122.9192"/>
    <s v="UNNAMED STREAM"/>
  </r>
  <r>
    <s v="S018640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322.358"/>
    <s v="Acre-feet"/>
    <n v="0"/>
    <s v="Acre-feet per Year"/>
    <s v="L_16"/>
    <n v="0"/>
    <n v="38.6111"/>
    <n v="-122.87779999999999"/>
    <s v="DRY CREEK "/>
  </r>
  <r>
    <s v="S024526"/>
    <n v="10000000"/>
    <n v="8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"/>
    <n v="0"/>
    <n v="0"/>
    <n v="0"/>
    <n v="0"/>
    <n v="2.4300000000000002"/>
    <n v="7.5"/>
    <n v="6.2"/>
    <n v="0.83"/>
    <n v="0"/>
    <n v="0"/>
    <n v="16.959999999999997"/>
    <n v="16.133333332999999"/>
    <n v="5.3512428906195252E-2"/>
    <n v="0.94785847296089387"/>
    <n v="17.899999999999999"/>
    <s v="Acre-feet"/>
    <n v="0"/>
    <s v="Acre-feet per Year"/>
    <s v="U_8"/>
    <n v="0"/>
    <n v="38.775146479999997"/>
    <n v="-122.90329154"/>
    <s v="Little Sulphur Creek"/>
  </r>
  <r>
    <s v="S024552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0"/>
    <n v="0.01"/>
    <n v="0.02"/>
    <n v="0.02"/>
    <n v="0.02"/>
    <n v="0.02"/>
    <n v="0.01"/>
    <n v="0.01"/>
    <n v="0.01"/>
    <n v="0.12"/>
    <n v="0.11866431293720128"/>
    <n v="3.9359600887721203E-4"/>
    <n v="1.4912392849210563E-2"/>
    <n v="10.866"/>
    <s v="Acre-feet"/>
    <n v="0"/>
    <s v="Acre-feet per Year"/>
    <s v="U_4"/>
    <n v="3.4039024194010059E-4"/>
    <n v="39.1205"/>
    <n v="-123.1212"/>
    <s v="MILL CREEK"/>
  </r>
  <r>
    <s v="S024597"/>
    <n v="10000000"/>
    <n v="5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0"/>
    <n v="0"/>
    <n v="0.03"/>
    <n v="0.46"/>
    <n v="0.3"/>
    <n v="0"/>
    <n v="0"/>
    <n v="0"/>
    <n v="0"/>
    <n v="0"/>
    <n v="0"/>
    <n v="0.79"/>
    <n v="0.76666666666666705"/>
    <n v="2.5429460017932248E-3"/>
    <n v="7.9355238685678894E-3"/>
    <n v="100.8125"/>
    <s v="Acre-feet"/>
    <n v="0"/>
    <s v="Acre-feet per Year"/>
    <s v="U_5"/>
    <n v="3.4039024194010059E-4"/>
    <n v="39.059800000000003"/>
    <n v="-123.14449999999999"/>
    <s v="RUSSIAN RIVER"/>
  </r>
  <r>
    <s v="S024621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"/>
    <n v="0"/>
    <n v="0"/>
    <n v="0"/>
    <n v="4.333333E-3"/>
    <n v="0.08"/>
    <n v="0.1"/>
    <n v="0.09"/>
    <n v="4.333333E-3"/>
    <n v="0"/>
    <n v="0"/>
    <n v="0.27866666599999995"/>
    <n v="0.28033333299999996"/>
    <n v="9.2983373259354564E-4"/>
    <n v="1.1227682653624673E-2"/>
    <n v="25.353999999999999"/>
    <s v="Acre-feet"/>
    <n v="0"/>
    <s v="Acre-feet per Year"/>
    <s v="U_12"/>
    <n v="0"/>
    <n v="38.584800000000001"/>
    <n v="-122.7482"/>
    <s v="BARNES CREEK"/>
  </r>
  <r>
    <s v="S024681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.13"/>
    <n v="1.26"/>
    <n v="2.96"/>
    <n v="3.53"/>
    <n v="2.2599999999999998"/>
    <n v="0.96"/>
    <n v="0.26"/>
    <n v="0"/>
    <n v="11.359999999999998"/>
    <n v="10.166666666666671"/>
    <n v="3.372167524117102E-2"/>
    <n v="0.14135151890886552"/>
    <n v="80.650000000000006"/>
    <s v="Acre-feet"/>
    <n v="0"/>
    <s v="Acre-feet per Year"/>
    <s v="U_9"/>
    <n v="0"/>
    <n v="38.749699999999997"/>
    <n v="-122.95059999999999"/>
    <s v="RUSSIAN RIVER UNDERFLOW"/>
  </r>
  <r>
    <s v="S024682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.16"/>
    <n v="0.6"/>
    <n v="0.56000000000000005"/>
    <n v="0.4"/>
    <n v="0.4"/>
    <n v="0.26"/>
    <n v="0"/>
    <n v="2.38"/>
    <n v="1.7333333333333338"/>
    <n v="5.7492692214455507E-3"/>
    <n v="2.9758214507129579E-2"/>
    <n v="80.650000000000006"/>
    <s v="Acre-feet"/>
    <n v="0"/>
    <s v="Acre-feet per Year"/>
    <s v="U_9"/>
    <n v="0"/>
    <n v="38.749699999999997"/>
    <n v="-122.95059999999999"/>
    <s v="RUSSIAN RIVER UNDERFLOW"/>
  </r>
  <r>
    <s v="S024728"/>
    <n v="10000000"/>
    <n v="12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.03"/>
    <n v="1.03"/>
    <n v="0.66"/>
    <n v="0"/>
    <n v="0"/>
    <n v="0"/>
    <n v="0"/>
    <n v="4.33"/>
    <n v="0"/>
    <n v="0"/>
    <n v="6.0500000000000007"/>
    <n v="0.66666666666666696"/>
    <n v="2.2112573928636738E-3"/>
    <n v="2.5074051112488785E-3"/>
    <n v="2419.5"/>
    <s v="Acre-feet"/>
    <n v="0"/>
    <s v="Acre-feet per Year"/>
    <s v="U_12"/>
    <n v="0"/>
    <n v="38.6494"/>
    <n v="-122.8022"/>
    <s v="UNDERFLOW OF RUSSIAN RIVER"/>
  </r>
  <r>
    <s v="S018674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4.3E-3"/>
    <n v="4.3E-3"/>
    <n v="4.3E-3"/>
    <n v="4.3E-3"/>
    <n v="5.1000000000000004E-3"/>
    <n v="5.1000000000000004E-3"/>
    <n v="5.1000000000000004E-3"/>
    <n v="5.1000000000000004E-3"/>
    <n v="5.1000000000000004E-3"/>
    <n v="4.7000000000000002E-3"/>
    <n v="4.4999999999999997E-3"/>
    <n v="4.3E-3"/>
    <n v="5.62E-2"/>
    <n v="2.5500000000000002E-2"/>
    <n v="8.4580595277035489E-5"/>
    <n v="3.8790723357261182E-3"/>
    <n v="14.488"/>
    <s v="Acre-feet"/>
    <n v="0"/>
    <s v="Acre-feet per Year"/>
    <s v="L_20"/>
    <n v="3.4039024194010059E-4"/>
    <n v="38.507199999999997"/>
    <n v="-123.0784"/>
    <s v="UNNAMED SPRING"/>
  </r>
  <r>
    <s v="S018677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4.488"/>
    <s v="Acre-feet"/>
    <n v="0"/>
    <s v="Acre-feet per Year"/>
    <s v="L_20"/>
    <n v="3.4039024194010059E-4"/>
    <n v="38.508600000000001"/>
    <n v="-123.0855"/>
    <s v="UNNAMED SPRING "/>
  </r>
  <r>
    <s v="S024858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.5"/>
    <n v="0.133333333"/>
    <n v="2.1666666669999999"/>
    <n v="0.5"/>
    <n v="0.46666666699999998"/>
    <n v="0.233333333"/>
    <n v="0"/>
    <n v="0"/>
    <n v="0"/>
    <n v="0"/>
    <n v="0"/>
    <n v="0"/>
    <n v="4"/>
    <n v="0.7"/>
    <n v="2.3218202625068561E-3"/>
    <n v="2"/>
    <n v="2"/>
    <s v="Acre-feet"/>
    <n v="0"/>
    <s v="Acre-feet per Year"/>
    <s v="L_27"/>
    <n v="0"/>
    <n v="38.397599999999997"/>
    <n v="-122.6409"/>
    <s v="UNNAMED STREAM"/>
  </r>
  <r>
    <s v="S025029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.05"/>
    <n v="0.43"/>
    <n v="0"/>
    <n v="0.17"/>
    <n v="0.61"/>
    <n v="2.86"/>
    <n v="2.88"/>
    <n v="1.95"/>
    <n v="0.97"/>
    <n v="0"/>
    <n v="0"/>
    <n v="9.92"/>
    <n v="8.4833333329999991"/>
    <n v="2.8138250323084604E-2"/>
    <n v="4.4847733379924482E-2"/>
    <n v="221.78749999999999"/>
    <s v="Acre-feet"/>
    <n v="0"/>
    <s v="Acre-feet per Year"/>
    <s v="U_12"/>
    <n v="0"/>
    <n v="38.659199999999998"/>
    <n v="-122.8125"/>
    <s v="SAUSAL CREEK UNDERFLOW"/>
  </r>
  <r>
    <s v="S019406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4.6666666670000003"/>
    <n v="5"/>
    <n v="3.4166666669999999"/>
    <n v="0.75"/>
    <n v="0"/>
    <n v="0"/>
    <n v="0"/>
    <n v="0"/>
    <n v="0"/>
    <n v="6.6666666999999999E-2"/>
    <n v="3.233333333"/>
    <n v="3.766666667"/>
    <n v="20.900000000999999"/>
    <n v="0"/>
    <n v="0"/>
    <n v="0.44468085108510635"/>
    <n v="47"/>
    <s v="Acre-feet"/>
    <n v="0"/>
    <s v="Acre-feet per Year"/>
    <s v="L_16"/>
    <n v="0"/>
    <n v="38.595300000000002"/>
    <n v="-122.89239999999999"/>
    <s v="UNNAMED STREAM"/>
  </r>
  <r>
    <s v="S025066"/>
    <n v="10000000"/>
    <n v="18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"/>
    <n v="0"/>
    <n v="0"/>
    <n v="0"/>
    <n v="7.3684399999999995E-4"/>
    <n v="9.82178E-4"/>
    <n v="9.82178E-4"/>
    <n v="8.5951099999999998E-4"/>
    <n v="2.4566699999999998E-4"/>
    <n v="0"/>
    <n v="0"/>
    <n v="3.806378E-3"/>
    <n v="3.5607106069952231E-3"/>
    <n v="1.1810471480349424E-5"/>
    <n v="1.8878498567448927E-4"/>
    <n v="20.162500000000001"/>
    <s v="Acre-feet"/>
    <n v="0"/>
    <s v="Acre-feet per Year"/>
    <s v="L_18"/>
    <n v="0"/>
    <n v="38.5045"/>
    <n v="-122.91079999999999"/>
    <s v="RUSSIAN RIVER"/>
  </r>
  <r>
    <s v="S025197"/>
    <n v="10000000"/>
    <n v="21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.54141333300000005"/>
    <n v="0.59844333299999997"/>
    <n v="0.66503800000000002"/>
    <n v="0.64792400000000006"/>
    <n v="0.63651766700000001"/>
    <n v="0.65475733300000005"/>
    <n v="0.78726366699999994"/>
    <n v="0.74008233300000004"/>
    <n v="0.58999333300000001"/>
    <n v="0.58189133299999996"/>
    <n v="0.61394333300000004"/>
    <n v="0.65482866699999998"/>
    <n v="7.7120963320000007"/>
    <n v="3.4086143330000001"/>
    <n v="1.130598546490099E-2"/>
    <n v="0"/>
    <m/>
    <m/>
    <n v="0"/>
    <s v="Acre-feet per Year"/>
    <s v="L_21"/>
    <n v="3.4039024194010059E-4"/>
    <n v="38.437899999999999"/>
    <n v="-122.9804"/>
    <s v="SPRINGS"/>
  </r>
  <r>
    <s v="S025227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6.1376670000000003E-3"/>
    <n v="8.7757000000000002E-2"/>
    <n v="9.1439667000000002E-2"/>
    <n v="9.1439667000000002E-2"/>
    <n v="9.1439667000000002E-2"/>
    <n v="9.1439667000000002E-2"/>
    <n v="8.3153667000000001E-2"/>
    <n v="0"/>
    <n v="0"/>
    <n v="7.3333333000000001E-2"/>
    <n v="0.61614033499999998"/>
    <n v="0.448912335"/>
    <n v="1.4889910792746654E-3"/>
    <n v="7.6396817730936151E-2"/>
    <n v="8.0649999999999995"/>
    <s v="Acre-feet"/>
    <n v="0"/>
    <s v="Acre-feet per Year"/>
    <s v="L_18"/>
    <n v="0"/>
    <n v="38.378300000000003"/>
    <n v="-122.8929"/>
    <s v="JONIVE CREEK"/>
  </r>
  <r>
    <s v="S019409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3.95"/>
    <n v="5.0999999999999996"/>
    <n v="1.8333333329999999"/>
    <n v="0.8"/>
    <n v="0"/>
    <n v="0"/>
    <n v="0"/>
    <n v="0"/>
    <n v="0"/>
    <n v="0.1"/>
    <n v="3.5833333330000001"/>
    <n v="5.3"/>
    <n v="20.666666666000001"/>
    <n v="0"/>
    <n v="0"/>
    <n v="0.43055555554166669"/>
    <n v="48"/>
    <s v="Acre-feet"/>
    <n v="0"/>
    <s v="Acre-feet per Year"/>
    <s v="L_16"/>
    <n v="0"/>
    <n v="38.592399999999998"/>
    <n v="-122.89579999999999"/>
    <s v="UNNAMED STREAM"/>
  </r>
  <r>
    <s v="S019412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3.0666666669999998"/>
    <n v="0.4"/>
    <n v="0.63333333300000005"/>
    <n v="0"/>
    <n v="0"/>
    <n v="0"/>
    <n v="0"/>
    <n v="0"/>
    <n v="0"/>
    <n v="6.6666666999999999E-2"/>
    <n v="2.2000000000000002"/>
    <n v="3.0333333329999999"/>
    <n v="9.3999999999999986"/>
    <n v="0"/>
    <n v="0"/>
    <n v="0"/>
    <n v="0"/>
    <s v="Acre-feet"/>
    <n v="0"/>
    <s v="Acre-feet per Year"/>
    <s v="L_16"/>
    <n v="0"/>
    <n v="38.590800000000002"/>
    <n v="-122.9006"/>
    <s v="UNNAMED STREAM"/>
  </r>
  <r>
    <s v="S025236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1.5610333000000001E-2"/>
    <n v="3.2192667000000001E-2"/>
    <n v="2.7803999999999999E-2"/>
    <n v="1.0229667E-2"/>
    <n v="2.2867333E-2"/>
    <n v="2.3703999999999999E-2"/>
    <n v="3.5506999999999997E-2"/>
    <n v="2.4664667000000001E-2"/>
    <n v="2.7703999999999999E-2"/>
    <n v="3.6011333E-2"/>
    <n v="3.1164667E-2"/>
    <n v="2.5175333000000001E-2"/>
    <n v="0.312635"/>
    <n v="0.13444700000000001"/>
    <n v="4.459453840475133E-4"/>
    <n v="1.1574787115883005"/>
    <n v="0.27010000000000001"/>
    <s v="Acre-feet"/>
    <n v="0"/>
    <s v="Acre-feet per Year"/>
    <s v="L_18"/>
    <n v="3.4039024194010059E-4"/>
    <n v="38.363599999999998"/>
    <n v="-122.8725"/>
    <s v="UNNAMED CREEK"/>
  </r>
  <r>
    <s v="S025237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1.4270306999999999E-2"/>
    <n v="3.4064603999999998E-2"/>
    <n v="3.5200091000000003E-2"/>
    <n v="3.5200091000000003E-2"/>
    <n v="3.4064603999999998E-2"/>
    <n v="2.3783845000000001E-2"/>
    <n v="1.2275533E-2"/>
    <n v="0"/>
    <n v="0.18885907500000002"/>
    <n v="0.15279969700000001"/>
    <n v="5.0681918942786883E-4"/>
    <n v="0.89932892857142865"/>
    <n v="0.21"/>
    <s v="Acre-feet"/>
    <n v="0"/>
    <s v="Acre-feet per Year"/>
    <s v="L_18"/>
    <n v="3.4039024194010059E-4"/>
    <n v="38.443600000000004"/>
    <n v="-122.8934"/>
    <s v="UNNAMED"/>
  </r>
  <r>
    <s v="S022288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4.267399999999999"/>
    <s v="Acre-feet"/>
    <n v="0"/>
    <s v="Acre-feet per Year"/>
    <s v="L_16"/>
    <n v="0"/>
    <n v="38.636800000000001"/>
    <n v="-122.9062"/>
    <s v="DRY CREEK"/>
  </r>
  <r>
    <s v="S025250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1.1256669999999999E-3"/>
    <n v="3.1723329999999998E-3"/>
    <n v="3.0699999999999998E-3"/>
    <n v="7.2639999999999996E-3"/>
    <n v="7.5706669999999997E-3"/>
    <n v="5.1146669999999998E-3"/>
    <n v="4.3986670000000002E-3"/>
    <n v="1.227667E-3"/>
    <n v="0"/>
    <n v="3.2943668000000002E-2"/>
    <n v="2.6191666999999998E-2"/>
    <n v="8.6874775927760244E-5"/>
    <n v="1.0730836482084691"/>
    <n v="3.0700000000000002E-2"/>
    <s v="Acre-feet"/>
    <n v="0"/>
    <s v="Acre-feet per Year"/>
    <s v="L_18"/>
    <n v="0"/>
    <n v="38.437199999999997"/>
    <n v="-122.9019"/>
    <s v="UNKNOWN"/>
  </r>
  <r>
    <s v="S022703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.3"/>
    <n v="0.2"/>
    <n v="0"/>
    <n v="0.26666666700000002"/>
    <n v="0"/>
    <n v="0"/>
    <n v="0"/>
    <n v="0"/>
    <n v="0.1"/>
    <n v="3.0333333329999999"/>
    <n v="0.6"/>
    <n v="4.5"/>
    <n v="0.26666666700000002"/>
    <n v="8.8450295825109784E-4"/>
    <n v="3.1060187741579237"/>
    <n v="1.4488000000000001"/>
    <s v="Acre-feet"/>
    <n v="0"/>
    <s v="Acre-feet per Year"/>
    <s v="L_16"/>
    <n v="3.4039024194010059E-4"/>
    <n v="38.623699999999999"/>
    <n v="-122.9576"/>
    <s v="WALLACE CREEK"/>
  </r>
  <r>
    <s v="S025263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1.4270326E-2"/>
    <n v="1.2889327000000001E-2"/>
    <n v="1.4270326E-2"/>
    <n v="1.3809993E-2"/>
    <n v="1.4270326E-2"/>
    <n v="1.3809993E-2"/>
    <n v="1.4270326E-2"/>
    <n v="1.4270326E-2"/>
    <n v="1.3809972E-2"/>
    <n v="1.4270326E-2"/>
    <n v="1.3809993E-2"/>
    <n v="1.4270326E-2"/>
    <n v="0.16802155999999999"/>
    <n v="7.0430942999999996E-2"/>
    <n v="2.3361141509266491E-4"/>
    <n v="1.0001283333333333"/>
    <n v="0.16800000000000001"/>
    <s v="Acre-feet"/>
    <n v="0"/>
    <s v="Acre-feet per Year"/>
    <s v="L_18"/>
    <n v="3.4039024194010059E-4"/>
    <n v="38.415100000000002"/>
    <n v="-122.9162"/>
    <s v="PURRINGTON CREEK"/>
  </r>
  <r>
    <s v="S023680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L_16"/>
    <n v="3.4039024194010059E-4"/>
    <n v="38.583599999999997"/>
    <n v="-122.8736"/>
    <s v="MILL CREEK"/>
  </r>
  <r>
    <s v="S022287"/>
    <n v="10000000"/>
    <n v="15"/>
    <s v="N"/>
    <s v="N"/>
    <s v="N"/>
    <s v="N"/>
    <x v="1"/>
    <s v="Outside"/>
    <s v="Outside"/>
    <x v="3"/>
    <n v="1000"/>
    <x v="14"/>
    <x v="0"/>
    <s v="N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13.0064"/>
    <s v="Acre-feet"/>
    <n v="0"/>
    <s v="Acre-feet per Year"/>
    <s v="L_15"/>
    <n v="0"/>
    <n v="38.679299999999998"/>
    <n v="-122.9425"/>
    <s v="DRY CREEK"/>
  </r>
  <r>
    <s v="S023682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L_16"/>
    <n v="0"/>
    <n v="38.582700000000003"/>
    <n v="-122.87949999999999"/>
    <s v="MILL CREEK"/>
  </r>
  <r>
    <s v="S025343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6.6666670000000003E-3"/>
    <n v="0.24333333300000001"/>
    <n v="0.31"/>
    <n v="7.0000000000000007E-2"/>
    <n v="0.31666666700000001"/>
    <n v="0.28999999999999998"/>
    <n v="0.86666666699999995"/>
    <n v="0.76"/>
    <n v="1.93"/>
    <n v="0.33333333300000001"/>
    <n v="0.21333333300000001"/>
    <n v="1.3333332999999999E-2"/>
    <n v="5.3533333330000001"/>
    <n v="4.1633333339999998"/>
    <n v="1.3809302420644893E-2"/>
    <n v="0"/>
    <m/>
    <m/>
    <n v="0"/>
    <s v="Acre-feet per Year"/>
    <s v="L_17"/>
    <n v="0"/>
    <n v="38.538499999999999"/>
    <n v="-122.8635"/>
    <s v="RUSSIAN RIVER UNDERFLOW"/>
  </r>
  <r>
    <s v="S025344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.04"/>
    <n v="0"/>
    <n v="0"/>
    <n v="0"/>
    <n v="0.06"/>
    <n v="0.12"/>
    <n v="0.86"/>
    <n v="0.28666666699999999"/>
    <n v="0.50333333300000005"/>
    <n v="0"/>
    <n v="0"/>
    <n v="0"/>
    <n v="1.87"/>
    <n v="1.83"/>
    <n v="6.0699015434107816E-3"/>
    <n v="0"/>
    <m/>
    <m/>
    <n v="0"/>
    <s v="Acre-feet per Year"/>
    <s v="L_17"/>
    <n v="0"/>
    <n v="38.537700000000001"/>
    <n v="-122.8633"/>
    <s v="RUSSIAN RIVER UNDERFLOW"/>
  </r>
  <r>
    <s v="S025345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.04"/>
    <n v="0"/>
    <n v="0.33"/>
    <n v="0.11333333299999999"/>
    <n v="0.443333333"/>
    <n v="1.393333333"/>
    <n v="2.903333333"/>
    <n v="1.846666667"/>
    <n v="2.5633333330000001"/>
    <n v="1.04"/>
    <n v="1.1466666670000001"/>
    <n v="3.333333E-3"/>
    <n v="11.823333331999999"/>
    <n v="9.1499999990000003"/>
    <n v="3.0349507713737022E-2"/>
    <n v="0"/>
    <m/>
    <m/>
    <n v="0"/>
    <s v="Acre-feet per Year"/>
    <s v="L_17"/>
    <n v="0"/>
    <n v="38.537300000000002"/>
    <n v="-122.86360000000001"/>
    <s v="RUSSIAN RIVER UNDERFLOW"/>
  </r>
  <r>
    <s v="S025346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6.6666670000000003E-3"/>
    <n v="6.3333333000000006E-2"/>
    <n v="6.6666670000000003E-3"/>
    <n v="0.50333333300000005"/>
    <n v="0.13666666699999999"/>
    <n v="9.3333333000000004E-2"/>
    <n v="1.2733333330000001"/>
    <n v="0.943333333"/>
    <n v="2.2633333329999998"/>
    <n v="1.06"/>
    <n v="0.263333333"/>
    <n v="0"/>
    <n v="6.6133333319999998"/>
    <n v="4.7099999989999999"/>
    <n v="1.5622533477264961E-2"/>
    <n v="0"/>
    <m/>
    <m/>
    <n v="0"/>
    <s v="Acre-feet per Year"/>
    <s v="L_17"/>
    <n v="0"/>
    <n v="38.536200000000001"/>
    <n v="-122.8627"/>
    <s v="RUSSIAN RIVER UNDERFLOW"/>
  </r>
  <r>
    <s v="S025354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0"/>
    <n v="0.29249999999999998"/>
    <n v="0.29249999999999998"/>
    <n v="0.29249999999999998"/>
    <n v="0.29249999999999998"/>
    <n v="0"/>
    <n v="0"/>
    <n v="0"/>
    <n v="1.17"/>
    <n v="1.17"/>
    <n v="3.880756724475745E-3"/>
    <n v="0"/>
    <m/>
    <m/>
    <n v="0"/>
    <s v="Acre-feet per Year"/>
    <s v="L_18"/>
    <n v="0"/>
    <n v="38.400599999999997"/>
    <n v="-122.8648"/>
    <s v="JONIVE CREEK"/>
  </r>
  <r>
    <s v="S024513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0"/>
    <n v="0"/>
    <n v="1.6E-2"/>
    <n v="0"/>
    <n v="0"/>
    <n v="0"/>
    <n v="0"/>
    <n v="0"/>
    <n v="0"/>
    <n v="0"/>
    <n v="0"/>
    <n v="0"/>
    <n v="1.6E-2"/>
    <n v="0"/>
    <n v="0"/>
    <n v="3.4204844261068479E-5"/>
    <n v="467.77"/>
    <s v="Acre-feet"/>
    <n v="0"/>
    <s v="Acre-feet per Year"/>
    <s v="L_16"/>
    <n v="0"/>
    <n v="38.600200000000001"/>
    <n v="-122.8775"/>
    <s v="DRY CREEK UNDERFLOW"/>
  </r>
  <r>
    <s v="S025471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1.534E-3"/>
    <n v="1.534E-3"/>
    <n v="3.068E-3"/>
    <n v="1.534E-3"/>
    <n v="1.534E-3"/>
    <n v="0"/>
    <n v="0"/>
    <n v="0"/>
    <n v="9.2040000000000004E-3"/>
    <n v="9.2040000000000004E-3"/>
    <n v="3.0528619565875868E-5"/>
    <n v="4.6020000000000003E-5"/>
    <n v="200"/>
    <s v="Gallons"/>
    <n v="0"/>
    <s v="Acre-feet per Year"/>
    <s v="L_24"/>
    <n v="0"/>
    <n v="38.548200000000001"/>
    <n v="-122.7204"/>
    <s v="SEASONAL UNNAMED TRIBUTARY TO MARK WEST CREEK"/>
  </r>
  <r>
    <s v="S025479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1"/>
    <s v="Acre-feet"/>
    <n v="0"/>
    <s v="Acre-feet per Year"/>
    <s v="L_17"/>
    <n v="0"/>
    <n v="38.569299999999998"/>
    <n v="-122.8505"/>
    <s v="RUSSIAN RIVER UNDERFLOW"/>
  </r>
  <r>
    <s v="S025481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0"/>
    <s v="N"/>
    <n v="3.3333333333333301E-5"/>
    <n v="0.06"/>
    <n v="3.3333333333333301E-5"/>
    <n v="3.3333333333333301E-5"/>
    <n v="0"/>
    <n v="0"/>
    <n v="0"/>
    <n v="0"/>
    <n v="0"/>
    <n v="0"/>
    <n v="1E-4"/>
    <n v="0"/>
    <n v="6.020000000000001E-2"/>
    <n v="0"/>
    <n v="0"/>
    <n v="0.66866666666666685"/>
    <n v="0.1"/>
    <s v="Acre-feet"/>
    <n v="0"/>
    <s v="Acre-feet per Year"/>
    <s v="U_9"/>
    <n v="0"/>
    <n v="38.807000000000002"/>
    <n v="-123.00539999999999"/>
    <s v="RUSSIAN RIVER UNDERFLOW"/>
  </r>
  <r>
    <s v="S025482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0"/>
    <s v="N"/>
    <n v="0.01"/>
    <n v="0.5"/>
    <n v="0.13"/>
    <n v="0"/>
    <n v="0"/>
    <n v="0"/>
    <n v="0"/>
    <n v="0"/>
    <n v="0"/>
    <n v="0"/>
    <n v="0.7"/>
    <n v="0"/>
    <n v="1.3399999999999999"/>
    <n v="0"/>
    <n v="0"/>
    <n v="2.6933333333333325"/>
    <n v="0.5"/>
    <s v="Acre-feet"/>
    <n v="0"/>
    <s v="Acre-feet per Year"/>
    <s v="U_9"/>
    <n v="0"/>
    <n v="38.808300000000003"/>
    <n v="-123"/>
    <s v="RUSSIAN RIVER UNDERFLOW"/>
  </r>
  <r>
    <s v="S025484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0"/>
    <s v="N"/>
    <n v="0"/>
    <n v="0.133333333"/>
    <n v="0"/>
    <n v="0"/>
    <n v="0"/>
    <n v="0"/>
    <n v="0"/>
    <n v="0"/>
    <n v="0"/>
    <n v="0"/>
    <n v="3.3333333E-2"/>
    <n v="0"/>
    <n v="0.16666666599999999"/>
    <n v="0"/>
    <n v="0"/>
    <n v="2.192982447368421E-2"/>
    <n v="7.6"/>
    <s v="Acre-feet"/>
    <n v="0"/>
    <s v="Acre-feet per Year"/>
    <s v="L_17"/>
    <n v="0"/>
    <n v="38.5792"/>
    <n v="-122.85599999999999"/>
    <s v="RUSSIAN RIVER UNDERFLOW"/>
  </r>
  <r>
    <s v="S025485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0"/>
    <s v="N"/>
    <n v="0"/>
    <n v="0.133333333"/>
    <n v="0"/>
    <n v="0"/>
    <n v="0"/>
    <n v="0"/>
    <n v="0"/>
    <n v="0"/>
    <n v="0"/>
    <n v="0.6"/>
    <n v="0"/>
    <n v="0"/>
    <n v="0.73333333300000003"/>
    <n v="0"/>
    <n v="0"/>
    <n v="0.29333333319999999"/>
    <n v="2.5"/>
    <s v="Acre-feet"/>
    <n v="0"/>
    <s v="Acre-feet per Year"/>
    <s v="L_17"/>
    <n v="0"/>
    <n v="38.578099999999999"/>
    <n v="-122.8558"/>
    <s v="RUSSIAN RIVER UNDERFLOW"/>
  </r>
  <r>
    <s v="S025486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.01"/>
    <n v="0.26666666700000002"/>
    <n v="0"/>
    <n v="3.3333333E-2"/>
    <n v="3.3333333E-2"/>
    <n v="0"/>
    <n v="0"/>
    <n v="0"/>
    <n v="6.6666666999999999E-2"/>
    <n v="0.16666666699999999"/>
    <n v="0.366666667"/>
    <n v="7.0000000000000007E-2"/>
    <n v="1.0133333340000001"/>
    <n v="0.1"/>
    <n v="3.3168860892955089E-4"/>
    <n v="0.37530864222222227"/>
    <n v="2.7"/>
    <s v="Acre-feet"/>
    <n v="0"/>
    <s v="Acre-feet per Year"/>
    <s v="L_17"/>
    <n v="0"/>
    <n v="38.576799999999999"/>
    <n v="-122.8557"/>
    <s v="RUSSIAN RIVER UNDERFLOW"/>
  </r>
  <r>
    <s v="S025487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.46666666699999998"/>
    <n v="0"/>
    <n v="0"/>
    <n v="0.66666666699999999"/>
    <n v="0"/>
    <n v="0"/>
    <n v="0"/>
    <n v="1.3666666670000001"/>
    <n v="3"/>
    <n v="1.3"/>
    <n v="0"/>
    <n v="6.8000000009999999"/>
    <n v="2.0333333339999999"/>
    <n v="6.7443350504454583E-3"/>
    <n v="0.73118279580645151"/>
    <n v="9.3000000000000007"/>
    <s v="Acre-feet"/>
    <n v="0"/>
    <s v="Acre-feet per Year"/>
    <s v="L_17"/>
    <n v="0"/>
    <n v="38.575099999999999"/>
    <n v="-122.8549"/>
    <s v="RUSSIAN RIVER UNDERFLOW"/>
  </r>
  <r>
    <s v="S025488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.2"/>
    <n v="0"/>
    <n v="0"/>
    <n v="0"/>
    <n v="0"/>
    <n v="3.333333E-3"/>
    <n v="0"/>
    <n v="3.333333E-3"/>
    <n v="0.133333333"/>
    <n v="0"/>
    <n v="0"/>
    <n v="0.339999999"/>
    <n v="6.6666659999999999E-3"/>
    <n v="2.2112571717379331E-5"/>
    <n v="0.17894736789473684"/>
    <n v="1.9"/>
    <s v="Acre-feet"/>
    <n v="0"/>
    <s v="Acre-feet per Year"/>
    <s v="L_17"/>
    <n v="0"/>
    <n v="38.582299999999996"/>
    <n v="-122.8562"/>
    <s v="RUSSIAN RIVER UNDERFLOW"/>
  </r>
  <r>
    <s v="S025489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3.3333333333333301E-3"/>
    <n v="0"/>
    <n v="0.03"/>
    <n v="0.2"/>
    <n v="1.5"/>
    <n v="3.23"/>
    <n v="7.46"/>
    <n v="10.130000000000001"/>
    <n v="7.46"/>
    <n v="1.1599999999999999"/>
    <n v="0.46"/>
    <n v="3.3333333333333301E-3"/>
    <n v="31.63666666666667"/>
    <n v="29.799999999999969"/>
    <n v="9.884320546100607E-2"/>
    <n v="1.5838333333333323"/>
    <n v="20"/>
    <s v="Acre-feet"/>
    <n v="0"/>
    <s v="Acre-feet per Year"/>
    <s v="U_9"/>
    <n v="0"/>
    <n v="38.807000000000002"/>
    <n v="-123.0056"/>
    <s v="RUSSIAN RIVER UNDERFLOW"/>
  </r>
  <r>
    <s v="S025553"/>
    <n v="10000000"/>
    <n v="17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2.8642999999999998E-2"/>
    <n v="0.20671500000000001"/>
    <n v="0.16886533300000001"/>
    <n v="0.15757399999999999"/>
    <n v="0.19599366700000001"/>
    <n v="0.245199"/>
    <n v="6.8207000000000004E-2"/>
    <n v="0"/>
    <n v="0"/>
    <n v="1.071197"/>
    <n v="0.97434700000000007"/>
    <n v="3.2317980104468115E-3"/>
    <n v="5.2101021400778205"/>
    <n v="0.2056"/>
    <s v="Acre-feet"/>
    <n v="0"/>
    <s v="Acre-feet per Year"/>
    <s v="L_17"/>
    <n v="0"/>
    <n v="38.5745"/>
    <n v="-122.8781"/>
    <s v="RUSSIAN RIVER UNDERFLOW"/>
  </r>
  <r>
    <s v="S025576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"/>
    <n v="0"/>
    <n v="0"/>
    <n v="2.94"/>
    <n v="2.23"/>
    <n v="0.79"/>
    <n v="0"/>
    <n v="0"/>
    <n v="0"/>
    <n v="0"/>
    <n v="0"/>
    <n v="0"/>
    <n v="5.96"/>
    <n v="3.0233333330000001"/>
    <n v="1.0028052275531127E-2"/>
    <n v="0.59666666660000001"/>
    <n v="10"/>
    <s v="Acre-feet"/>
    <n v="0"/>
    <s v="Acre-feet per Year"/>
    <s v="U_1"/>
    <n v="0"/>
    <n v="39.267699999999998"/>
    <n v="-123.24120000000001"/>
    <s v="FORSYTHE CREEK"/>
  </r>
  <r>
    <s v="S025590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2.6595417E-2"/>
    <n v="2.6595417E-2"/>
    <n v="2.6595417E-2"/>
    <n v="2.6288417000000001E-2"/>
    <n v="2.9766417E-2"/>
    <n v="2.9357417E-2"/>
    <n v="2.9766417E-2"/>
    <n v="2.9766417E-2"/>
    <n v="2.9357417E-2"/>
    <n v="2.6595417E-2"/>
    <n v="2.6288417000000001E-2"/>
    <n v="2.6595417E-2"/>
    <n v="0.33356800400000003"/>
    <n v="0.14801408500000002"/>
    <n v="4.909458595563031E-4"/>
    <n v="0.99781036195034412"/>
    <n v="0.33429999999999999"/>
    <s v="Acre-feet"/>
    <n v="0"/>
    <s v="Acre-feet per Year"/>
    <s v="L_18"/>
    <n v="3.4039024194010059E-4"/>
    <n v="38.396900000000002"/>
    <n v="-122.89870000000001"/>
    <s v="REDWOOD CREEK"/>
  </r>
  <r>
    <s v="S025611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13.96"/>
    <n v="37.229999999999997"/>
    <n v="37"/>
    <n v="13.43"/>
    <n v="0"/>
    <n v="0"/>
    <n v="101.62"/>
    <n v="88.2"/>
    <n v="0.29254935307586388"/>
    <n v="2.1042097998619731"/>
    <n v="48.3"/>
    <s v="Acre-feet"/>
    <n v="0"/>
    <s v="Acre-feet per Year"/>
    <s v="U_9"/>
    <n v="0"/>
    <n v="38.770000000000003"/>
    <n v="-122.9846"/>
    <s v="UNDERFLOW OF THE RUSSIAN RIVER"/>
  </r>
  <r>
    <s v="S025675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4.6050000000000003E-4"/>
    <n v="6.1399999999999996E-4"/>
    <n v="6.1399999999999996E-4"/>
    <n v="6.1399999999999996E-4"/>
    <n v="7.6749999999999995E-4"/>
    <n v="9.2100000000000005E-4"/>
    <n v="3.0690000000000001E-3"/>
    <n v="1.688E-3"/>
    <n v="0"/>
    <n v="0"/>
    <n v="0"/>
    <n v="0"/>
    <n v="8.7480000000000006E-3"/>
    <n v="6.4454999999999998E-3"/>
    <n v="2.1378989288554204E-5"/>
    <n v="0.76069565217391311"/>
    <n v="1.15E-2"/>
    <s v="Acre-feet"/>
    <n v="0"/>
    <s v="Acre-feet per Year"/>
    <s v="L_24"/>
    <n v="3.4039024194010059E-4"/>
    <n v="38.540399999999998"/>
    <n v="-122.63760000000001"/>
    <s v="HUMBUG CREEK"/>
  </r>
  <r>
    <s v="S025689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3.0689322000000002E-2"/>
    <n v="3.9895885999999998E-2"/>
    <n v="3.6826587000000001E-2"/>
    <n v="0"/>
    <n v="0"/>
    <n v="0"/>
    <n v="0"/>
    <n v="0"/>
    <n v="0"/>
    <n v="0"/>
    <n v="0"/>
    <n v="0"/>
    <n v="0.107411795"/>
    <n v="0"/>
    <n v="0"/>
    <n v="0.27683452371886574"/>
    <n v="0.38800000000000001"/>
    <s v="Acre-feet"/>
    <n v="0"/>
    <s v="Acre-feet per Year"/>
    <s v="L_24"/>
    <n v="3.4039024194010059E-4"/>
    <n v="38.547800000000002"/>
    <n v="-122.6559"/>
    <s v="UNNAMED TRIBUTARY"/>
  </r>
  <r>
    <s v="S025698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3.5803700000000001E-4"/>
    <n v="0"/>
    <n v="7.1607400000000003E-4"/>
    <n v="7.1607400000000003E-4"/>
    <n v="7.1607400000000003E-4"/>
    <n v="3.5803700000000001E-4"/>
    <n v="0"/>
    <n v="0"/>
    <n v="2.8642960000000001E-3"/>
    <n v="2.5062579727134992E-3"/>
    <n v="8.312972205879369E-6"/>
    <n v="7.9563745165507919E-4"/>
    <n v="3.6"/>
    <s v="Acre-feet"/>
    <n v="0"/>
    <s v="Acre-feet per Year"/>
    <s v="L_24"/>
    <n v="0"/>
    <n v="38.516399999999997"/>
    <n v="-122.60380000000001"/>
    <s v="SPRING"/>
  </r>
  <r>
    <s v="S025702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8.4000000000000005E-2"/>
    <s v="Acre-feet"/>
    <n v="0"/>
    <s v="Acre-feet per Year"/>
    <s v="L_18"/>
    <n v="3.4039024194010059E-4"/>
    <n v="38.395000000000003"/>
    <n v="-122.8918"/>
    <s v="REDWOOD CREEK"/>
  </r>
  <r>
    <s v="S025703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5.6649999999999999E-3"/>
    <n v="5.4749999999999998E-3"/>
    <n v="7.5529999999999998E-3"/>
    <n v="7.6880000000000004E-3"/>
    <n v="8.8970000000000004E-3"/>
    <n v="1.2616E-2"/>
    <n v="1.319E-2"/>
    <n v="1.3172E-2"/>
    <n v="1.0879E-2"/>
    <n v="9.6299999999999997E-3"/>
    <n v="6.7980000000000002E-3"/>
    <n v="5.6649999999999999E-3"/>
    <n v="0.107228"/>
    <n v="5.8754000000000001E-2"/>
    <n v="1.9488032529046834E-4"/>
    <n v="1.0002611940298507"/>
    <n v="0.1072"/>
    <s v="Acre-feet"/>
    <n v="0"/>
    <s v="Acre-feet per Year"/>
    <s v="L_18"/>
    <n v="3.4039024194010059E-4"/>
    <n v="38.386000000000003"/>
    <n v="-122.88939999999999"/>
    <s v="UNNAMED CREEK"/>
  </r>
  <r>
    <s v="S025714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1.5344E-2"/>
    <n v="1.5344E-2"/>
    <n v="1.5344E-2"/>
    <n v="1.5344E-2"/>
    <n v="1.5344E-2"/>
    <n v="5.1146669999999998E-3"/>
    <n v="0"/>
    <n v="0"/>
    <n v="0"/>
    <n v="0"/>
    <n v="0"/>
    <n v="1.5344E-2"/>
    <n v="9.7178666999999996E-2"/>
    <n v="2.0458667E-2"/>
    <n v="6.7859067977829097E-5"/>
    <n v="3.1654288925081429"/>
    <n v="3.0700000000000002E-2"/>
    <s v="Acre-feet"/>
    <n v="0"/>
    <s v="Acre-feet per Year"/>
    <s v="L_18"/>
    <n v="3.4039024194010059E-4"/>
    <n v="38.409300000000002"/>
    <n v="-122.93300000000001"/>
    <s v="UNNAMED TRIBUTARY"/>
  </r>
  <r>
    <s v="S025769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6.1399999999999996E-4"/>
    <n v="6.1399999999999996E-4"/>
    <n v="6.1399999999999996E-4"/>
    <n v="1.2279999999999999E-3"/>
    <n v="1.534E-3"/>
    <n v="1.534E-3"/>
    <n v="1.5345000000000001E-3"/>
    <n v="1.5345000000000001E-3"/>
    <n v="1.5345000000000001E-3"/>
    <n v="6.1399999999999996E-4"/>
    <n v="6.1399999999999996E-4"/>
    <n v="6.1399999999999996E-4"/>
    <n v="1.2583499999999999E-2"/>
    <n v="7.6715000000000004E-3"/>
    <n v="2.5445491634030498E-5"/>
    <n v="2.2402528039878938E-2"/>
    <n v="0.56169999999999998"/>
    <s v="Acre-feet"/>
    <n v="0"/>
    <s v="Acre-feet per Year"/>
    <s v="L_24"/>
    <n v="3.4039024194010059E-4"/>
    <n v="38.540799999999997"/>
    <n v="-122.6447"/>
    <s v="HUMBUG CREEK"/>
  </r>
  <r>
    <s v="S025792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4.3333333000000002E-2"/>
    <n v="4.2999999999999997E-2"/>
    <n v="4.3666666999999999E-2"/>
    <n v="4.7666667000000003E-2"/>
    <n v="5.3999999999999999E-2"/>
    <n v="6.5000000000000002E-2"/>
    <n v="6.5000000000000002E-2"/>
    <n v="7.2999999999999995E-2"/>
    <n v="6.9666667000000002E-2"/>
    <n v="5.7666666999999998E-2"/>
    <n v="5.2999999999999999E-2"/>
    <n v="4.4666667E-2"/>
    <n v="0.65966666800000007"/>
    <n v="0.32666666700000002"/>
    <n v="1.0835161236088285E-3"/>
    <n v="0.94643711334289826"/>
    <n v="0.69699999999999995"/>
    <s v="Acre-feet"/>
    <n v="0"/>
    <s v="Acre-feet per Year"/>
    <s v="L_18"/>
    <n v="0"/>
    <n v="38.399299999999997"/>
    <n v="-122.8995"/>
    <s v="REDWOOD CREEK"/>
  </r>
  <r>
    <s v="S025816"/>
    <n v="10000000"/>
    <n v="21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3.3758000000000003E-2"/>
    <n v="3.3758000000000003E-2"/>
    <n v="3.3758000000000003E-2"/>
    <n v="3.3758000000000003E-2"/>
    <n v="3.3758000000000003E-2"/>
    <n v="3.3758000000000003E-2"/>
    <n v="3.3758000000000003E-2"/>
    <n v="3.3758000000000003E-2"/>
    <n v="3.3758000000000003E-2"/>
    <n v="3.3758000000000003E-2"/>
    <n v="3.3758000000000003E-2"/>
    <n v="3.3758000000000003E-2"/>
    <n v="0.40509600000000007"/>
    <n v="0.16879000000000002"/>
    <n v="5.5985720301218896E-4"/>
    <n v="0.42144818976279658"/>
    <n v="0.96120000000000005"/>
    <s v="Acre-feet"/>
    <n v="0"/>
    <s v="Acre-feet per Year"/>
    <s v="L_21"/>
    <n v="0"/>
    <n v="38.449399999999997"/>
    <n v="-122.9816"/>
    <s v="UNKNOWN"/>
  </r>
  <r>
    <s v="S025042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0"/>
    <n v="0.03"/>
    <n v="0.77333333299999996"/>
    <n v="0"/>
    <n v="0"/>
    <n v="0"/>
    <n v="0"/>
    <n v="0"/>
    <n v="0"/>
    <n v="0"/>
    <n v="0"/>
    <n v="0"/>
    <n v="0.80333333299999998"/>
    <n v="0"/>
    <n v="0"/>
    <n v="0.83006130708824133"/>
    <n v="0.96779999999999999"/>
    <s v="Acre-feet"/>
    <n v="0"/>
    <s v="Acre-feet per Year"/>
    <s v="L_16"/>
    <n v="0"/>
    <n v="38.64"/>
    <n v="-122.907"/>
    <s v="DRY CREEK UNDERFLOW"/>
  </r>
  <r>
    <s v="S025827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0.01"/>
    <n v="1.6666667E-2"/>
    <n v="1.6666667E-2"/>
    <n v="2.3333333000000001E-2"/>
    <n v="2.3333333000000001E-2"/>
    <n v="6.6666670000000003E-3"/>
    <n v="0"/>
    <n v="0"/>
    <n v="9.6666666999999998E-2"/>
    <n v="0.09"/>
    <n v="2.9851974803659579E-4"/>
    <n v="1.9687712219959268"/>
    <n v="4.9099999999999998E-2"/>
    <s v="Acre-feet"/>
    <n v="0"/>
    <s v="Acre-feet per Year"/>
    <s v="L_24"/>
    <n v="0"/>
    <n v="38.507800000000003"/>
    <n v="-122.73090000000001"/>
    <s v="MARK WEST CREEK"/>
  </r>
  <r>
    <s v="S025833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5.2170539999999996E-3"/>
    <n v="5.600776E-3"/>
    <n v="5.8510819999999996E-3"/>
    <n v="5.8001980000000003E-3"/>
    <n v="5.8309429999999999E-3"/>
    <n v="5.6004990000000001E-3"/>
    <n v="5.9841649999999996E-3"/>
    <n v="6.1378869999999999E-3"/>
    <n v="5.8923209999999998E-3"/>
    <n v="5.7232539999999997E-3"/>
    <n v="5.8309429999999999E-3"/>
    <n v="5.5239989999999999E-3"/>
    <n v="6.8993121000000004E-2"/>
    <n v="2.944581466836069E-2"/>
    <n v="9.7668413061459224E-5"/>
    <n v="0.9569087543100786"/>
    <n v="7.2099999999999997E-2"/>
    <s v="Acre-feet"/>
    <n v="0"/>
    <s v="Acre-feet per Year"/>
    <s v="L_18"/>
    <n v="3.4039024194010059E-4"/>
    <n v="38.384"/>
    <n v="-122.8903"/>
    <s v="JONIVE"/>
  </r>
  <r>
    <s v="S025834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4.1938510000000002E-3"/>
    <n v="4.6444440000000002E-3"/>
    <n v="4.6239840000000003E-3"/>
    <n v="1.874174E-2"/>
    <n v="4.6649029999999998E-3"/>
    <n v="4.7978880000000002E-3"/>
    <n v="4.6751329999999997E-3"/>
    <n v="4.6649029999999998E-3"/>
    <n v="3.1149620000000002E-3"/>
    <n v="3.1661100000000002E-3"/>
    <n v="3.2479470000000002E-3"/>
    <n v="3.1558810000000001E-3"/>
    <n v="6.3691745999999994E-2"/>
    <n v="2.1917788564916673E-2"/>
    <n v="7.269880799909229E-5"/>
    <n v="1.1393872279135624"/>
    <n v="5.5899999999999998E-2"/>
    <s v="Acre-feet"/>
    <n v="0"/>
    <s v="Acre-feet per Year"/>
    <s v="L_18"/>
    <n v="3.4039024194010059E-4"/>
    <n v="38.383400000000002"/>
    <n v="-122.8901"/>
    <s v="JONIVE"/>
  </r>
  <r>
    <s v="S025847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3.0699999999999998E-4"/>
    <n v="0"/>
    <n v="1.1303667E-2"/>
    <n v="4.6954000000000003E-2"/>
    <n v="0.14154766699999999"/>
    <n v="0.48278799999999999"/>
    <n v="0.54037866700000003"/>
    <n v="0.52073899999999995"/>
    <n v="0.45993400000000001"/>
    <n v="0.43539299999999997"/>
    <n v="0.152503"/>
    <n v="5.2304000000000003E-2"/>
    <n v="2.8441520009999994"/>
    <n v="2.145387334"/>
    <n v="7.1160054042953783E-3"/>
    <n v="0.33858952392857133"/>
    <n v="8.4"/>
    <s v="Acre-feet"/>
    <n v="0"/>
    <s v="Acre-feet per Year"/>
    <s v="L_18"/>
    <n v="0"/>
    <n v="38.378399999999999"/>
    <n v="-122.893"/>
    <s v="JONIVE"/>
  </r>
  <r>
    <s v="S025883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7.8933300000000003E-4"/>
    <n v="1.5790000000000001E-3"/>
    <n v="1.5790000000000001E-3"/>
    <n v="1.5790000000000001E-3"/>
    <n v="1.5790000000000001E-3"/>
    <n v="1.5790000000000001E-3"/>
    <n v="7.8933300000000003E-4"/>
    <n v="0"/>
    <n v="0"/>
    <n v="9.4736660000000021E-3"/>
    <n v="7.895000000000001E-3"/>
    <n v="2.6186815674988046E-5"/>
    <n v="0.39473608333333343"/>
    <n v="2.4E-2"/>
    <s v="Acre-feet"/>
    <n v="0"/>
    <s v="Acre-feet per Year"/>
    <s v="L_24"/>
    <n v="0"/>
    <n v="38.520000000000003"/>
    <n v="-122.6109"/>
    <s v="JOHNSON CREEK"/>
  </r>
  <r>
    <s v="S025889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1.3333332999999999E-2"/>
    <n v="1.3333332999999999E-2"/>
    <n v="1.3333332999999999E-2"/>
    <n v="2.6666667000000002E-2"/>
    <n v="0.04"/>
    <n v="5.3333332999999997E-2"/>
    <n v="5.3333332999999997E-2"/>
    <n v="5.3333332999999997E-2"/>
    <n v="0.04"/>
    <n v="2.6666667000000002E-2"/>
    <n v="2.6666667000000002E-2"/>
    <n v="2.6666667000000002E-2"/>
    <n v="0.38666666599999988"/>
    <n v="0.23999999899999999"/>
    <n v="7.9605265811403603E-4"/>
    <n v="1.2888888866666663"/>
    <n v="0.3"/>
    <s v="Acre-feet"/>
    <n v="0"/>
    <s v="Acre-feet per Year"/>
    <s v="L_18"/>
    <n v="3.4039024194010059E-4"/>
    <n v="38.393799999999999"/>
    <n v="-122.88809999999999"/>
    <s v="UNNAMED SPRING"/>
  </r>
  <r>
    <s v="S025890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4.0899999999999998E-5"/>
    <n v="4.0899999999999998E-5"/>
    <n v="6.1299999999999999E-5"/>
    <n v="1.0217000000000001E-4"/>
    <n v="1.2283699999999999E-4"/>
    <n v="1.2283699999999999E-4"/>
    <n v="6.1299999999999999E-5"/>
    <n v="6.1299999999999999E-5"/>
    <n v="4.0899999999999998E-5"/>
    <n v="0"/>
    <n v="6.5444400000000001E-4"/>
    <n v="4.7034837088116919E-4"/>
    <n v="1.5600919684985549E-6"/>
    <n v="1.6358896550877539E-2"/>
    <n v="0.04"/>
    <s v="Acre-feet"/>
    <n v="0"/>
    <s v="Acre-feet per Year"/>
    <s v="L_18"/>
    <n v="3.4039024194010059E-4"/>
    <n v="38.393500000000003"/>
    <n v="-122.8891"/>
    <s v="JOVINE CREEK"/>
  </r>
  <r>
    <s v="S025891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3.4525E-2"/>
    <n v="3.4525E-2"/>
    <n v="3.4525E-2"/>
    <n v="3.4525E-2"/>
    <n v="3.4525E-2"/>
    <n v="3.4525E-2"/>
    <n v="3.4525E-2"/>
    <n v="3.4525E-2"/>
    <n v="3.4525E-2"/>
    <n v="3.4525E-2"/>
    <n v="3.4525E-2"/>
    <n v="3.4525E-2"/>
    <n v="0.41430000000000011"/>
    <n v="0.172625"/>
    <n v="5.725774611646373E-4"/>
    <n v="1.0000000000000002"/>
    <n v="0.4143"/>
    <s v="Acre-feet"/>
    <n v="0"/>
    <s v="Acre-feet per Year"/>
    <s v="L_24"/>
    <n v="3.4039024194010059E-4"/>
    <n v="38.518799999999999"/>
    <n v="-122.6096"/>
    <s v="UNNAMED SPRING"/>
  </r>
  <r>
    <s v="S025893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L_18"/>
    <n v="0"/>
    <n v="38.3767"/>
    <n v="-122.89279999999999"/>
    <s v="UNNAMED"/>
  </r>
  <r>
    <s v="S026037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0"/>
    <n v="5.1366670000000001E-3"/>
    <n v="5.396667E-3"/>
    <n v="5.396667E-3"/>
    <n v="6.0033329999999996E-3"/>
    <n v="1.0200000000000001E-3"/>
    <n v="0"/>
    <n v="0"/>
    <n v="2.2953333999999999E-2"/>
    <n v="2.1933333999999999E-2"/>
    <n v="7.2750370436472221E-5"/>
    <n v="1.0247024107142857"/>
    <n v="2.24E-2"/>
    <s v="Acre-feet"/>
    <n v="0"/>
    <s v="Acre-feet per Year"/>
    <s v="L_18"/>
    <n v="0"/>
    <n v="38.434538000000003"/>
    <n v="-122.900131"/>
    <s v="WEST BRANCH GREEN VALLEY CREEK"/>
  </r>
  <r>
    <s v="S026053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94769999999999999"/>
    <s v="Acre-feet"/>
    <n v="0"/>
    <s v="Acre-feet per Year"/>
    <s v="U_1"/>
    <n v="3.4039024194010059E-4"/>
    <n v="39.340262000000003"/>
    <n v="-123.22880600000001"/>
    <s v="UNNAMED TRIBUTARY"/>
  </r>
  <r>
    <s v="S026054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.5"/>
    <s v="Acre-feet"/>
    <n v="0"/>
    <s v="Acre-feet per Year"/>
    <s v="U_1"/>
    <n v="3.4039024194010059E-4"/>
    <n v="39.340164000000001"/>
    <n v="-123.22929600000001"/>
    <s v="UNNAMED TRIBUTARY"/>
  </r>
  <r>
    <s v="S026123"/>
    <n v="10000000"/>
    <n v="13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2.1186669999999999E-3"/>
    <n v="0.03"/>
    <n v="0.01"/>
    <n v="0.08"/>
    <n v="0.5"/>
    <n v="0.4"/>
    <n v="0.28999999999999998"/>
    <n v="0.17"/>
    <n v="1.621333E-3"/>
    <n v="3.5399999999999999E-4"/>
    <n v="0"/>
    <n v="1.4840939999999998"/>
    <n v="1.465142666"/>
    <n v="4.8597113276887356E-3"/>
    <n v="1.1978934377952755"/>
    <n v="1.27"/>
    <s v="Acre-feet"/>
    <n v="0"/>
    <s v="Acre-feet per Year"/>
    <s v="U_13"/>
    <n v="0"/>
    <n v="38.600614"/>
    <n v="-122.843324"/>
    <s v="RUSSIAN RIVER UNDERFLOW"/>
  </r>
  <r>
    <s v="S026217"/>
    <n v="10000000"/>
    <n v="4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1"/>
    <s v="N"/>
    <x v="1"/>
    <s v="N"/>
    <n v="0"/>
    <n v="0"/>
    <n v="0"/>
    <n v="0"/>
    <n v="3.97"/>
    <n v="3.97"/>
    <n v="3.97"/>
    <n v="3.97"/>
    <n v="3.97"/>
    <n v="3.97"/>
    <n v="0"/>
    <n v="0"/>
    <n v="23.82"/>
    <n v="19.885999999999999"/>
    <n v="6.5959596771730494E-2"/>
    <n v="3.5510714285714284"/>
    <n v="6.72"/>
    <s v="Acre-feet"/>
    <n v="0"/>
    <s v="Acre-feet per Year"/>
    <s v="U_4"/>
    <n v="3.4039024194010059E-4"/>
    <n v="39.189822220000003"/>
    <n v="-123.1991"/>
    <s v="WELL"/>
  </r>
  <r>
    <s v="S026284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"/>
    <n v="0"/>
    <n v="0"/>
    <n v="6.1399999999999996E-4"/>
    <n v="9.2100000000000005E-4"/>
    <n v="3.6830000000000001E-3"/>
    <n v="0.01"/>
    <n v="0.01"/>
    <n v="0.01"/>
    <n v="3.0690000000000001E-3"/>
    <n v="0"/>
    <n v="0"/>
    <n v="3.8287000000000002E-2"/>
    <n v="4.1432000000000004E-2"/>
    <n v="1.3742522445169155E-4"/>
    <n v="4.5373629689228617E-2"/>
    <n v="0.99429999999999996"/>
    <s v="Acre-feet"/>
    <n v="0"/>
    <s v="Acre-feet per Year"/>
    <s v="U_1"/>
    <n v="3.4039024194010059E-4"/>
    <n v="39.328916999999997"/>
    <n v="-123.37200900000001"/>
    <s v="FORSYTHE CREEK"/>
  </r>
  <r>
    <s v="S026323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40360000000000001"/>
    <s v="Acre-feet"/>
    <n v="0"/>
    <s v="Acre-feet per Year"/>
    <s v="U_1"/>
    <n v="3.4039024194010059E-4"/>
    <n v="39.344560000000001"/>
    <n v="-123.22754"/>
    <s v="RUSSIAN RIVER"/>
  </r>
  <r>
    <s v="S026464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8.2900000000000001E-2"/>
    <s v="Acre-feet"/>
    <n v="0"/>
    <s v="Acre-feet per Year"/>
    <s v="U_6"/>
    <n v="0"/>
    <n v="38.987520000000004"/>
    <n v="-123.19167400000001"/>
    <s v="UNNAMED SPRING"/>
  </r>
  <r>
    <s v="S024769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7.4675899999999996E-3"/>
    <n v="7.4676270000000001E-3"/>
    <n v="1.1354884000000001E-2"/>
    <n v="1.0894441E-2"/>
    <n v="1.4833069000000001E-2"/>
    <n v="1.0587775000000001E-2"/>
    <n v="4.3987389999999996E-3"/>
    <n v="0"/>
    <n v="0"/>
    <n v="7.3397940000000002E-3"/>
    <n v="9.8204039999999996E-3"/>
    <n v="9.2886119999999999E-3"/>
    <n v="9.3452935000000015E-2"/>
    <n v="2.981958327169985E-2"/>
    <n v="9.8908160942490301E-5"/>
    <n v="0.11587468753642471"/>
    <n v="0.80649999999999999"/>
    <s v="Acre-feet"/>
    <n v="0"/>
    <s v="Acre-feet per Year"/>
    <s v="L_20"/>
    <n v="3.4039024194010059E-4"/>
    <n v="38.526299999999999"/>
    <n v="-123.1433"/>
    <s v="UNNAMED TRIBUTARY"/>
  </r>
  <r>
    <s v="S016698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535.4"/>
    <s v="Acre-feet"/>
    <n v="0"/>
    <s v="Acre-feet per Year"/>
    <s v="U_2"/>
    <n v="0"/>
    <n v="39.280299999999997"/>
    <n v="-123.06950000000001"/>
    <s v="UNNAMED CREEK"/>
  </r>
  <r>
    <s v="S026639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1048"/>
    <s v="Acre-feet"/>
    <n v="0"/>
    <s v="Acre-feet per Year"/>
    <s v="L_26"/>
    <n v="0"/>
    <n v="38.476622999999996"/>
    <n v="-122.777047"/>
    <s v="IRRIGATION WELL"/>
  </r>
  <r>
    <s v="S026643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.09"/>
    <n v="0.09"/>
    <n v="0.09"/>
    <n v="0.09"/>
    <n v="0.09"/>
    <n v="0.09"/>
    <n v="0.09"/>
    <n v="0.09"/>
    <n v="0.09"/>
    <n v="0.09"/>
    <n v="0.09"/>
    <n v="0.09"/>
    <n v="1.0799999999999998"/>
    <n v="0.45999999999999996"/>
    <n v="1.525767601075934E-3"/>
    <n v="6.2022471910112351"/>
    <n v="0.17799999999999999"/>
    <s v="Acre-feet"/>
    <n v="0"/>
    <s v="Acre-feet per Year"/>
    <s v="U_6"/>
    <n v="0"/>
    <n v="39.001208329999997"/>
    <n v="-123.15877222"/>
    <s v="SPRING 2"/>
  </r>
  <r>
    <s v="S026644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U_5"/>
    <n v="0"/>
    <n v="39.10119444"/>
    <n v="-123.11294444000001"/>
    <s v="UNNAMED STREAM"/>
  </r>
  <r>
    <s v="S026645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.02"/>
    <n v="0.02"/>
    <n v="0.02"/>
    <n v="0.02"/>
    <n v="0.02"/>
    <n v="0.02"/>
    <n v="0.02"/>
    <n v="0.02"/>
    <n v="0.02"/>
    <n v="0.02"/>
    <n v="0.02"/>
    <n v="0.02"/>
    <n v="0.23999999999999996"/>
    <n v="0.13500000000000001"/>
    <n v="4.4777962205489374E-4"/>
    <n v="0.81612090680100768"/>
    <n v="0.39700000000000002"/>
    <s v="Acre-feet"/>
    <n v="0"/>
    <s v="Acre-feet per Year"/>
    <s v="U_6"/>
    <n v="3.4039024194010059E-4"/>
    <n v="39.00199722"/>
    <n v="-123.16924167000001"/>
    <s v="UNNAMED SPRING"/>
  </r>
  <r>
    <s v="S026652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.08"/>
    <n v="0.08"/>
    <n v="0.08"/>
    <n v="0.08"/>
    <n v="0.08"/>
    <n v="0.08"/>
    <n v="0.08"/>
    <n v="0.08"/>
    <n v="0.08"/>
    <n v="0"/>
    <n v="0.72"/>
    <n v="0.42833333500000004"/>
    <n v="1.4207328804430534E-3"/>
    <n v="3.994818668393783"/>
    <n v="0.193"/>
    <s v="Acre-feet"/>
    <n v="0"/>
    <s v="Acre-feet per Year"/>
    <s v="U_6"/>
    <n v="0"/>
    <n v="39.003916670000002"/>
    <n v="-123.17158611000001"/>
    <s v="UNNAMED TRIBUTARY"/>
  </r>
  <r>
    <s v="S026656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U_6"/>
    <n v="0"/>
    <n v="39.001961999999999"/>
    <n v="-123.169123"/>
    <s v="UNNAMED TRIBUTARY"/>
  </r>
  <r>
    <s v="S026678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2.8540000000000002E-3"/>
    <n v="2.578E-3"/>
    <n v="0.03"/>
    <n v="2.915333E-3"/>
    <n v="4.0920000000000002E-3"/>
    <n v="5.1146669999999998E-3"/>
    <n v="5.6263329999999999E-3"/>
    <n v="6.1376670000000003E-3"/>
    <n v="6.1376670000000003E-3"/>
    <n v="3.621333E-3"/>
    <n v="2.8540000000000002E-3"/>
    <n v="2.8540000000000002E-3"/>
    <n v="7.478499999999999E-2"/>
    <n v="2.7108333999999998E-2"/>
    <n v="8.9915255948576483E-5"/>
    <n v="0.59482864084507048"/>
    <n v="0.14199999999999999"/>
    <s v="Acre-feet"/>
    <n v="0"/>
    <s v="Acre-feet per Year"/>
    <s v="U_4"/>
    <n v="3.4039024194010059E-4"/>
    <n v="39.215789999999998"/>
    <n v="-123.3404"/>
    <s v="ACKERMAN CREEK"/>
  </r>
  <r>
    <s v="S026687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.02"/>
    <n v="0.03"/>
    <n v="0.03"/>
    <n v="0.03"/>
    <n v="0.03"/>
    <n v="0.01"/>
    <n v="0.01"/>
    <n v="0.01"/>
    <n v="0.01"/>
    <n v="0.01"/>
    <n v="0.01"/>
    <n v="0.01"/>
    <n v="0.21000000000000008"/>
    <n v="0.103333333"/>
    <n v="3.4274489478824054E-4"/>
    <n v="6.2898550869565204"/>
    <n v="4.5999999999999999E-2"/>
    <s v="Acre-feet"/>
    <n v="0"/>
    <s v="Acre-feet per Year"/>
    <s v="U_1"/>
    <n v="0"/>
    <n v="39.276649999999997"/>
    <n v="-123.17252000000001"/>
    <s v="UNNAMED STREAM"/>
  </r>
  <r>
    <s v="S026690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7.0666669999999996E-3"/>
    <n v="7.0666669999999996E-3"/>
    <n v="7.0666669999999996E-3"/>
    <n v="7.0666669999999996E-3"/>
    <n v="0.02"/>
    <n v="0.02"/>
    <n v="0.02"/>
    <n v="0.02"/>
    <n v="0.02"/>
    <n v="0.02"/>
    <n v="7.0666669999999996E-3"/>
    <n v="7.0666669999999996E-3"/>
    <n v="0.16240000199999999"/>
    <n v="0.11199999899999999"/>
    <n v="3.714912386842109E-4"/>
    <n v="29.522222333333328"/>
    <n v="6.0000000000000001E-3"/>
    <s v="Acre-feet"/>
    <n v="0"/>
    <s v="Acre-feet per Year"/>
    <s v="U_1"/>
    <n v="3.4039024194010059E-4"/>
    <n v="39.25994"/>
    <n v="-123.30073"/>
    <s v="UNNAMED SPRING REACH 2"/>
  </r>
  <r>
    <s v="S026692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7.0233329999999997E-3"/>
    <n v="7.0233329999999997E-3"/>
    <n v="7.0233329999999997E-3"/>
    <n v="7.0233329999999997E-3"/>
    <n v="7.6366669999999998E-3"/>
    <n v="6.0000000000000001E-3"/>
    <n v="6.0000000000000001E-3"/>
    <n v="6.0000000000000001E-3"/>
    <n v="6.0000000000000001E-3"/>
    <n v="6.0000000000000001E-3"/>
    <n v="7.0233329999999997E-3"/>
    <n v="7.0233329999999997E-3"/>
    <n v="7.9776664999999997E-2"/>
    <n v="3.1636667E-2"/>
    <n v="1.0493522068397429E-4"/>
    <n v="0.26070805555555554"/>
    <n v="0.30599999999999999"/>
    <s v="Acre-feet"/>
    <n v="0"/>
    <s v="Acre-feet per Year"/>
    <s v="U_1"/>
    <n v="3.4039024194010059E-4"/>
    <n v="39.258000000000003"/>
    <n v="-123.30253"/>
    <s v="UNNAMED SPRING REACH 1"/>
  </r>
  <r>
    <s v="S026695"/>
    <n v="10000000"/>
    <n v="22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.5779000000000001"/>
    <s v="Acre-feet"/>
    <n v="0"/>
    <s v="Acre-feet per Year"/>
    <s v="L_22"/>
    <n v="0"/>
    <n v="38.798935"/>
    <n v="-123.04805711"/>
    <s v="UNDERGROUND WELL"/>
  </r>
  <r>
    <s v="S024770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0"/>
    <n v="4.5009239999999999E-3"/>
    <n v="3.8055319999999999E-3"/>
    <n v="3.631591E-3"/>
    <n v="3.7902249999999999E-3"/>
    <n v="6.8027010000000004E-3"/>
    <n v="7.0583310000000002E-3"/>
    <n v="0"/>
    <n v="2.9589304000000004E-2"/>
    <n v="1.572827238216239E-2"/>
    <n v="5.2168887873045165E-5"/>
    <n v="3.6688536279380922E-2"/>
    <n v="0.80649999999999999"/>
    <s v="Acre-feet"/>
    <n v="0"/>
    <s v="Acre-feet per Year"/>
    <s v="L_20"/>
    <n v="3.4039024194010059E-4"/>
    <n v="38.5276"/>
    <n v="-123.1379"/>
    <s v="POLE MOUNTAIN CREEK"/>
  </r>
  <r>
    <s v="S026745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34599999999999997"/>
    <s v="Acre-feet"/>
    <n v="0"/>
    <s v="Acre-feet per Year"/>
    <s v="U_6"/>
    <n v="0"/>
    <n v="38.925087040000001"/>
    <n v="-123.12927664"/>
    <s v="UN-CLASSED CLASS II WATERCOURSE"/>
  </r>
  <r>
    <s v="S026754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23599999999999999"/>
    <s v="Acre-feet"/>
    <n v="0"/>
    <s v="Acre-feet per Year"/>
    <s v="U_6"/>
    <n v="0"/>
    <n v="38.928058120000003"/>
    <n v="-123.11370361"/>
    <s v="UN-CLASSED CLASS II WATERCOURSE"/>
  </r>
  <r>
    <s v="S026496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38300000000000001"/>
    <s v="Acre-feet"/>
    <n v="0"/>
    <s v="Acre-feet per Year"/>
    <s v="L_20"/>
    <n v="0"/>
    <n v="38.56"/>
    <n v="-123.16"/>
    <m/>
  </r>
  <r>
    <s v="S026792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0"/>
    <s v="N"/>
    <n v="6.6666670000000003E-3"/>
    <n v="3.333333E-3"/>
    <n v="3.333333E-3"/>
    <n v="0"/>
    <n v="0"/>
    <n v="0"/>
    <n v="0"/>
    <n v="0"/>
    <n v="0"/>
    <n v="0"/>
    <n v="3.333333E-3"/>
    <n v="0.01"/>
    <n v="2.6666665999999999E-2"/>
    <n v="0"/>
    <n v="0"/>
    <n v="1.1594202608695652"/>
    <n v="2.3E-2"/>
    <s v="Acre-feet"/>
    <n v="0"/>
    <s v="Acre-feet per Year"/>
    <s v="U_1"/>
    <n v="0"/>
    <n v="39.332250000000002"/>
    <n v="-123.38305556"/>
    <s v="UNNAMED POND"/>
  </r>
  <r>
    <s v="S026794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19600000000000001"/>
    <s v="Acre-feet"/>
    <n v="0"/>
    <s v="Acre-feet per Year"/>
    <s v="U_1"/>
    <n v="0"/>
    <n v="39.332222219999998"/>
    <n v="-123.38325"/>
    <s v="UNNAMED STREAM"/>
  </r>
  <r>
    <s v="S026797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3.333333E-3"/>
    <n v="3.333333E-3"/>
    <n v="0.04"/>
    <n v="0.08"/>
    <n v="0.14000000000000001"/>
    <n v="0.14000000000000001"/>
    <n v="0.09"/>
    <n v="0.02"/>
    <n v="0"/>
    <n v="0"/>
    <n v="0.516666666"/>
    <n v="0.50333333199999997"/>
    <n v="1.6694993271895581E-3"/>
    <n v="0.42666666480000004"/>
    <n v="1.25"/>
    <s v="Acre-feet"/>
    <n v="0"/>
    <s v="Acre-feet per Year"/>
    <s v="U_6"/>
    <n v="3.4039024194010059E-4"/>
    <n v="38.924983330000003"/>
    <n v="-123.14491944"/>
    <s v="UNNAMED SPRING"/>
  </r>
  <r>
    <s v="S026853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.06"/>
    <n v="0.15"/>
    <n v="0.15"/>
    <n v="0.15"/>
    <n v="0.15"/>
    <n v="0.18"/>
    <n v="0.21"/>
    <n v="0.28000000000000003"/>
    <n v="0.28000000000000003"/>
    <n v="0.18"/>
    <n v="0.15"/>
    <n v="0.15"/>
    <n v="2.09"/>
    <n v="1.1000000000000001"/>
    <n v="3.6485746982250606E-3"/>
    <n v="1.0318439891384843"/>
    <n v="2.0255000000000001"/>
    <s v="Acre-feet"/>
    <n v="0"/>
    <s v="Acre-feet per Year"/>
    <s v="L_18"/>
    <n v="3.4039024194010059E-4"/>
    <n v="38.399650700000002"/>
    <n v="-122.8713609"/>
    <s v="ATASCADERO CREEK"/>
  </r>
  <r>
    <s v="S026889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.8899999999999999E-2"/>
    <s v="Acre-feet"/>
    <n v="0"/>
    <s v="Acre-feet per Year"/>
    <s v="U_6"/>
    <n v="0"/>
    <n v="38.987520000000004"/>
    <n v="-123.19167400000001"/>
    <s v="UNNAMED SPRING"/>
  </r>
  <r>
    <s v="S026735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3.3333333E-2"/>
    <n v="5.2201333000000003E-2"/>
    <n v="5.2201333000000003E-2"/>
    <n v="5.2201333000000003E-2"/>
    <n v="5.2201333000000003E-2"/>
    <n v="5.2201333000000003E-2"/>
    <n v="5.2201333000000003E-2"/>
    <n v="5.2201333000000003E-2"/>
    <n v="5.2201333000000003E-2"/>
    <n v="5.2201333000000003E-2"/>
    <n v="0"/>
    <n v="0.50314533000000006"/>
    <n v="0.26100666500000003"/>
    <n v="8.6572937635191315E-4"/>
    <n v="0.9904435629921261"/>
    <n v="0.50800000000000001"/>
    <s v="Acre-feet"/>
    <n v="0"/>
    <s v="Acre-feet per Year"/>
    <s v="L_20"/>
    <n v="3.4039024194010059E-4"/>
    <n v="38.535122999999999"/>
    <n v="-123.14657"/>
    <s v="WARD CREEK"/>
  </r>
  <r>
    <s v="S026905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0"/>
    <n v="0"/>
    <n v="0"/>
    <n v="8.9999999999999998E-4"/>
    <n v="0"/>
    <n v="0"/>
    <n v="0"/>
    <n v="0"/>
    <n v="0"/>
    <n v="8.9999999999999998E-4"/>
    <n v="8.9999999999999998E-4"/>
    <n v="2.9851974803659585E-6"/>
    <n v="2.4456521739130436E-2"/>
    <n v="3.6799999999999999E-2"/>
    <s v="Acre-feet"/>
    <n v="0"/>
    <s v="Acre-feet per Year"/>
    <s v="U_5"/>
    <n v="3.4039024194010059E-4"/>
    <n v="39.095182000000001"/>
    <n v="-123.245464"/>
    <s v="ROBINSON CREEK"/>
  </r>
  <r>
    <s v="S026919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0.02"/>
    <n v="0.35666666699999999"/>
    <n v="1.2266666669999999"/>
    <n v="0.28333333300000002"/>
    <n v="0.53333333299999997"/>
    <n v="0.22666666699999999"/>
    <n v="0"/>
    <n v="0"/>
    <n v="2.6466666669999999"/>
    <n v="2.42"/>
    <n v="8.0268643360951325E-3"/>
    <n v="1.5495706481264637"/>
    <n v="1.708"/>
    <s v="Acre-feet"/>
    <n v="0"/>
    <s v="Acre-feet per Year"/>
    <s v="L_24"/>
    <n v="0"/>
    <n v="38.491641780000002"/>
    <n v="-122.86225048999999"/>
    <s v="MARK WEST CREEK"/>
  </r>
  <r>
    <s v="S026934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0"/>
    <n v="0.48"/>
    <n v="0.48"/>
    <n v="0.48"/>
    <n v="0.48"/>
    <n v="0.48"/>
    <n v="0.48"/>
    <n v="0"/>
    <n v="0"/>
    <n v="2.88"/>
    <n v="2.4"/>
    <n v="7.9605266143092223E-3"/>
    <n v="1.0200467521428065"/>
    <n v="2.8233999999999999"/>
    <s v="Acre-feet"/>
    <n v="0"/>
    <s v="Acre-feet per Year"/>
    <s v="U_6"/>
    <n v="0"/>
    <n v="39.012217999999997"/>
    <n v="-123.184516"/>
    <s v="UNNAMED SPRING 2"/>
  </r>
  <r>
    <s v="S026314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17460000000000001"/>
    <s v="Acre-feet"/>
    <n v="0"/>
    <s v="Acre-feet per Year"/>
    <s v="U_2"/>
    <n v="3.4039024194010059E-4"/>
    <n v="39.25"/>
    <n v="-123.128"/>
    <s v="WELL"/>
  </r>
  <r>
    <s v="S026879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23530000000000001"/>
    <s v="Acre-feet"/>
    <n v="0"/>
    <s v="Acre-feet per Year"/>
    <s v="U_2"/>
    <n v="3.4039024194010059E-4"/>
    <n v="39.260489999999997"/>
    <n v="-123.116347"/>
    <s v="EEL RIVER DIVERSION"/>
  </r>
  <r>
    <s v="S027033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8.9999999999999993E-3"/>
    <s v="Acre-feet"/>
    <n v="0"/>
    <s v="Acre-feet per Year"/>
    <s v="U_2"/>
    <n v="3.4039024194010059E-4"/>
    <n v="39.292580000000001"/>
    <n v="-123.03681"/>
    <s v="NONE"/>
  </r>
  <r>
    <s v="S027081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U_6"/>
    <n v="0"/>
    <n v="39.002789999999997"/>
    <n v="-123.158371"/>
    <s v="UNNAMED TRIBUTARY"/>
  </r>
  <r>
    <s v="S027088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.75"/>
    <n v="0.75"/>
    <n v="0.75"/>
    <n v="0.06"/>
    <n v="0.06"/>
    <n v="0.06"/>
    <n v="0.06"/>
    <n v="0.06"/>
    <n v="0.06"/>
    <n v="0.06"/>
    <n v="0"/>
    <n v="0.75"/>
    <n v="3.4200000000000004"/>
    <n v="0.306666665"/>
    <n v="1.017178395189146E-3"/>
    <n v="20.571885608878222"/>
    <n v="0.16669999999999999"/>
    <s v="Acre-feet"/>
    <n v="0"/>
    <s v="Acre-feet per Year"/>
    <s v="U_6"/>
    <n v="0"/>
    <n v="39.003796999999999"/>
    <n v="-123.15563899999999"/>
    <s v="UNNAMED TRIBUTARY"/>
  </r>
  <r>
    <s v="S027089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.03"/>
    <n v="0.03"/>
    <n v="0.03"/>
    <n v="0.03"/>
    <n v="0.03"/>
    <n v="0.03"/>
    <n v="0.03"/>
    <n v="0.03"/>
    <n v="0.03"/>
    <n v="0.03"/>
    <n v="0.03"/>
    <n v="0.03"/>
    <n v="0.3600000000000001"/>
    <n v="0.16866666499999999"/>
    <n v="5.5944811486636559E-4"/>
    <n v="5.1111110606060592E-2"/>
    <n v="7.92"/>
    <s v="Acre-feet"/>
    <n v="0"/>
    <s v="Acre-feet per Year"/>
    <s v="U_6"/>
    <n v="3.4039024194010059E-4"/>
    <n v="39.004519000000002"/>
    <n v="-123.155573"/>
    <s v="SPRING 1"/>
  </r>
  <r>
    <s v="S027090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.02"/>
    <n v="0.02"/>
    <n v="0.02"/>
    <n v="0.02"/>
    <n v="0.02"/>
    <n v="0.02"/>
    <n v="0.02"/>
    <n v="0.02"/>
    <n v="0.02"/>
    <n v="0.02"/>
    <n v="0.02"/>
    <n v="0.02"/>
    <n v="0.23999999999999996"/>
    <n v="0.12266666500000001"/>
    <n v="4.0687135475877227E-4"/>
    <n v="0.88835243210621595"/>
    <n v="0.33139999999999997"/>
    <s v="Acre-feet"/>
    <n v="0"/>
    <s v="Acre-feet per Year"/>
    <s v="U_6"/>
    <n v="3.4039024194010059E-4"/>
    <n v="39.001387999999999"/>
    <n v="-123.158976"/>
    <s v="SPRING 2"/>
  </r>
  <r>
    <s v="S027091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.01"/>
    <n v="0.01"/>
    <n v="0"/>
    <n v="0"/>
    <n v="0.05"/>
    <n v="0.05"/>
    <n v="0.05"/>
    <n v="0.05"/>
    <n v="0.05"/>
    <n v="7.0000000000000007E-2"/>
    <n v="0.01"/>
    <n v="0.01"/>
    <n v="0.36000000000000004"/>
    <n v="0.29166666499999999"/>
    <n v="9.6742510384971339E-4"/>
    <n v="0.7183908"/>
    <n v="0.57999999999999996"/>
    <s v="Acre-feet"/>
    <n v="0"/>
    <s v="Acre-feet per Year"/>
    <s v="U_6"/>
    <n v="0"/>
    <n v="39.001207999999998"/>
    <n v="-123.158771"/>
    <s v="UNNAMED TRIBUTARY"/>
  </r>
  <r>
    <s v="S027405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s v="Acre-feet per Year"/>
    <s v="U_2"/>
    <n v="0"/>
    <n v="39.32755556"/>
    <n v="-123.11661389"/>
    <s v="POTTER VALLEY IRRIGATION DISTRICT"/>
  </r>
  <r>
    <s v="S027159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.02"/>
    <n v="0.02"/>
    <n v="0.03"/>
    <n v="0.03"/>
    <n v="0.03"/>
    <n v="0.04"/>
    <n v="0.03"/>
    <n v="0.02"/>
    <n v="0.02"/>
    <n v="0.03"/>
    <n v="0.02"/>
    <n v="0.02"/>
    <n v="0.31000000000000005"/>
    <n v="0.1532"/>
    <n v="5.0814694888007197E-4"/>
    <n v="0.9148791745859356"/>
    <n v="0.36830000000000002"/>
    <s v="Acre-feet"/>
    <n v="0"/>
    <s v="Acre-feet per Year"/>
    <s v="U_6"/>
    <n v="3.4039024194010059E-4"/>
    <n v="38.992673430000004"/>
    <n v="-123.21487148"/>
    <s v="FELIZ CREEK"/>
  </r>
  <r>
    <s v="S027190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58230000000000004"/>
    <s v="Acre-feet"/>
    <n v="0"/>
    <s v="Acre-feet per Year"/>
    <s v="U_1"/>
    <n v="3.4039024194010059E-4"/>
    <n v="39.270389999999999"/>
    <n v="-123.1983"/>
    <s v="WELL"/>
  </r>
  <r>
    <s v="S025228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3.1E-2"/>
    <n v="3.1E-2"/>
    <n v="3.1E-2"/>
    <n v="3.1E-2"/>
    <n v="3.1E-2"/>
    <n v="0"/>
    <n v="0"/>
    <n v="0"/>
    <n v="0"/>
    <n v="0"/>
    <n v="0.155"/>
    <n v="9.2999999999999999E-2"/>
    <n v="3.0847040630448233E-4"/>
    <n v="1.9218846869187851E-2"/>
    <n v="8.0649999999999995"/>
    <s v="Acre-feet"/>
    <n v="0"/>
    <s v="Acre-feet per Year"/>
    <s v="L_16"/>
    <n v="3.4039024194010059E-4"/>
    <n v="38.5901"/>
    <n v="-122.90260000000001"/>
    <s v="MILL CREEK"/>
  </r>
  <r>
    <s v="S027297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5.5239999999999997E-2"/>
    <n v="5.5239999999999997E-2"/>
    <n v="5.5239999999999997E-2"/>
    <n v="5.5239999999999997E-2"/>
    <n v="5.5239999999999997E-2"/>
    <n v="5.5239999999999997E-2"/>
    <n v="5.5239999999999997E-2"/>
    <n v="5.5239999999999997E-2"/>
    <n v="5.5239999999999997E-2"/>
    <n v="5.5239999999999997E-2"/>
    <n v="5.5239999999999997E-2"/>
    <n v="5.5239999999999997E-2"/>
    <n v="0.66287999999999991"/>
    <n v="0.2762"/>
    <n v="9.1612393786341965E-4"/>
    <n v="1.1999999999999997"/>
    <n v="0.5524"/>
    <s v="Acre-feet"/>
    <n v="0"/>
    <s v="Acre-feet per Year"/>
    <s v="L_18"/>
    <n v="3.4039024194010059E-4"/>
    <n v="38.41667004"/>
    <n v="-122.91852823000001"/>
    <s v="074-010-021-000"/>
  </r>
  <r>
    <s v="S027304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.13"/>
    <n v="0.13"/>
    <n v="0.13"/>
    <n v="0.13"/>
    <n v="0.13"/>
    <n v="0.13"/>
    <n v="0.14000000000000001"/>
    <n v="0.14000000000000001"/>
    <n v="0.13"/>
    <n v="0.13"/>
    <n v="0.13"/>
    <n v="0.02"/>
    <n v="1.4699999999999998"/>
    <n v="0.7"/>
    <n v="2.3218202625068561E-3"/>
    <n v="2.590339558573854"/>
    <n v="0.58899999999999997"/>
    <s v="Acre-feet"/>
    <n v="0"/>
    <s v="Acre-feet per Year"/>
    <s v="U_4"/>
    <n v="3.4039024194010059E-4"/>
    <n v="39.119399999999999"/>
    <n v="-123.11966"/>
    <s v="MILL CREEK"/>
  </r>
  <r>
    <s v="S027305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.01"/>
    <n v="0"/>
    <n v="0"/>
    <n v="0.01"/>
    <n v="0.02"/>
    <n v="0.02"/>
    <n v="0.03"/>
    <n v="0.03"/>
    <n v="0.02"/>
    <n v="0.01"/>
    <n v="0"/>
    <n v="0"/>
    <n v="0.15"/>
    <n v="0.14000000000000001"/>
    <n v="4.6436405250137129E-4"/>
    <n v="7.9900407424173842E-2"/>
    <n v="2.2090000000000001"/>
    <s v="Acre-feet"/>
    <n v="0"/>
    <s v="Acre-feet per Year"/>
    <s v="U_4"/>
    <n v="0"/>
    <n v="39.120552000000004"/>
    <n v="-123.118605"/>
    <s v="UNNAMED STREAM ON PARCEL"/>
  </r>
  <r>
    <s v="S027326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6.1380000000000002E-3"/>
    <n v="6.1380000000000002E-3"/>
    <n v="6.1380000000000002E-3"/>
    <n v="6.1380000000000002E-3"/>
    <n v="6.1380000000000002E-3"/>
    <n v="6.9049999999999997E-3"/>
    <n v="6.9049999999999997E-3"/>
    <n v="6.9049999999999997E-3"/>
    <n v="6.9049999999999997E-3"/>
    <n v="6.1380000000000002E-3"/>
    <n v="6.1380000000000002E-3"/>
    <n v="6.1380000000000002E-3"/>
    <n v="7.6724000000000014E-2"/>
    <n v="3.3758000000000003E-2"/>
    <n v="1.119714406024378E-4"/>
    <n v="1.0003129074315515"/>
    <n v="7.6700000000000004E-2"/>
    <s v="Acre-feet"/>
    <n v="0"/>
    <s v="Acre-feet per Year"/>
    <s v="L_24"/>
    <n v="3.4039024194010059E-4"/>
    <n v="38.518749999999997"/>
    <n v="-122.61055555999999"/>
    <s v="UNNAMED SPRING"/>
  </r>
  <r>
    <s v="S027330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.5"/>
    <n v="0.5"/>
    <n v="0.16666666699999999"/>
    <n v="0"/>
    <n v="8.3333332999999996E-2"/>
    <n v="0"/>
    <n v="0"/>
    <n v="0"/>
    <n v="0"/>
    <n v="0"/>
    <n v="0"/>
    <n v="0"/>
    <n v="1.2499999999999998"/>
    <n v="8.3333332999999996E-2"/>
    <n v="2.764071730023304E-4"/>
    <n v="0.62499999999999989"/>
    <n v="2"/>
    <s v="Acre-feet"/>
    <n v="0"/>
    <s v="Acre-feet per Year"/>
    <s v="L_18"/>
    <n v="0"/>
    <n v="38.427779999999998"/>
    <n v="-122.89386"/>
    <s v="PURRINGTON CREEK"/>
  </r>
  <r>
    <s v="S027331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0"/>
    <s v="N"/>
    <n v="0.41666666699999999"/>
    <n v="0.75"/>
    <n v="0.33700000000000002"/>
    <n v="0"/>
    <n v="0"/>
    <n v="0"/>
    <n v="0"/>
    <n v="0"/>
    <n v="0"/>
    <n v="0"/>
    <n v="0"/>
    <n v="0"/>
    <n v="1.5036666669999998"/>
    <n v="0"/>
    <n v="0"/>
    <n v="0.30073333339999997"/>
    <n v="5"/>
    <s v="Acre-feet"/>
    <n v="0"/>
    <s v="Acre-feet per Year"/>
    <s v="L_18"/>
    <n v="0"/>
    <n v="38.429969999999997"/>
    <n v="-122.90472"/>
    <s v="GREEN VALLEY CREEK"/>
  </r>
  <r>
    <s v="S027371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s v="Acre-feet per Year"/>
    <s v="U_6"/>
    <n v="3.4039024194010059E-4"/>
    <n v="38.949083999999999"/>
    <n v="-123.121568"/>
    <s v="NA"/>
  </r>
  <r>
    <s v="S027372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.01"/>
    <n v="0"/>
    <n v="0"/>
    <n v="0.01"/>
    <n v="0.02"/>
    <n v="0.02"/>
    <n v="0.03"/>
    <n v="0.03"/>
    <n v="0.02"/>
    <n v="0.01"/>
    <n v="0"/>
    <n v="0"/>
    <n v="0.15"/>
    <n v="0.14000000000000001"/>
    <n v="4.6436405250137129E-4"/>
    <n v="0"/>
    <m/>
    <m/>
    <n v="0"/>
    <s v="Acre-feet per Year"/>
    <s v="U_4"/>
    <n v="0"/>
    <n v="39.119419999999998"/>
    <n v="-123.11993"/>
    <s v="MILL CREEK AND CREEK ON PROPERTY"/>
  </r>
  <r>
    <s v="S027379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.05"/>
    <n v="0.05"/>
    <n v="0.05"/>
    <n v="0.09"/>
    <n v="0.09"/>
    <n v="0.13"/>
    <n v="0.13"/>
    <n v="0.13"/>
    <n v="0.13"/>
    <n v="0.13"/>
    <n v="0.09"/>
    <n v="0.05"/>
    <n v="1.1200000000000001"/>
    <n v="0.61"/>
    <n v="2.0233005144702602E-3"/>
    <n v="1.7377812257564005"/>
    <n v="0.64449999999999996"/>
    <s v="Acre-feet"/>
    <n v="0"/>
    <s v="Acre-feet per Year"/>
    <s v="U_1"/>
    <n v="0"/>
    <n v="39.252035999999997"/>
    <n v="-123.287156"/>
    <s v="UNNAMED"/>
  </r>
  <r>
    <s v="S027382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9.206667E-3"/>
    <n v="9.206667E-3"/>
    <n v="9.2743329999999992E-3"/>
    <n v="9.2743329999999992E-3"/>
    <n v="9.2743329999999992E-3"/>
    <n v="9.2743329999999992E-3"/>
    <n v="9.8203330000000005E-3"/>
    <n v="9.8203330000000005E-3"/>
    <n v="9.8203330000000005E-3"/>
    <n v="9.2743329999999992E-3"/>
    <n v="9.206667E-3"/>
    <n v="9.206667E-3"/>
    <n v="0.11265933199999999"/>
    <n v="4.8009665E-2"/>
    <n v="1.5924258999023747E-4"/>
    <n v="0.12835744787512815"/>
    <n v="0.87770000000000004"/>
    <s v="Acre-feet"/>
    <n v="0"/>
    <s v="Acre-feet per Year"/>
    <s v="U_4"/>
    <n v="3.4039024194010059E-4"/>
    <n v="39.167430000000003"/>
    <n v="-123.24187000000001"/>
    <s v="SPRING"/>
  </r>
  <r>
    <s v="S027385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9.1999999999999998E-3"/>
    <s v="Acre-feet"/>
    <n v="0"/>
    <s v="Acre-feet per Year"/>
    <s v="L_27"/>
    <n v="3.4039024194010059E-4"/>
    <n v="38.375222219999998"/>
    <n v="-122.60011111"/>
    <s v="WELL"/>
  </r>
  <r>
    <s v="S028307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"/>
    <s v="Acre-feet"/>
    <n v="0"/>
    <s v="Acre-feet per Year"/>
    <s v="U_2"/>
    <n v="0"/>
    <n v="39.213101999999999"/>
    <n v="-123.082155"/>
    <s v="Unnamed Stream"/>
  </r>
  <r>
    <s v="S027413"/>
    <n v="10000000"/>
    <n v="11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"/>
    <n v="6.6666670000000003E-3"/>
    <n v="0.02"/>
    <n v="0.05"/>
    <n v="0.1"/>
    <n v="0.11"/>
    <n v="0.12"/>
    <n v="7.0000000000000007E-2"/>
    <n v="0.01"/>
    <n v="0"/>
    <n v="0"/>
    <n v="0.486666667"/>
    <n v="0.47333333400000005"/>
    <n v="1.5699927511444651E-3"/>
    <n v="0.22962963022222224"/>
    <n v="2.25"/>
    <s v="Acre-feet"/>
    <n v="0"/>
    <s v="Acre-feet per Year"/>
    <s v="U_11"/>
    <n v="0"/>
    <n v="38.662049490000001"/>
    <n v="-122.75614984000001"/>
    <s v="UNNAMED STREAM"/>
  </r>
  <r>
    <s v="S027435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4.8630000000000001E-3"/>
    <n v="9.3803329999999994E-3"/>
    <n v="1.1362000000000001E-2"/>
    <n v="2.7400332999999999E-2"/>
    <n v="3.9353332999999997E-2"/>
    <n v="5.4626000000000001E-2"/>
    <n v="4.8825667000000003E-2"/>
    <n v="5.2026000000000003E-2"/>
    <n v="5.1496E-2"/>
    <n v="3.653E-2"/>
    <n v="1.0014667E-2"/>
    <n v="1.1978667E-2"/>
    <n v="0.35785600000000001"/>
    <n v="0.24632700000000002"/>
    <n v="8.1703859971789499E-4"/>
    <n v="1.3940631086871835"/>
    <n v="0.25669999999999998"/>
    <s v="Acre-feet"/>
    <n v="0"/>
    <s v="Acre-feet per Year"/>
    <s v="L_18"/>
    <n v="3.4039024194010059E-4"/>
    <n v="38.392222220000001"/>
    <n v="-122.8875"/>
    <s v="ATASCADERO CREEK"/>
  </r>
  <r>
    <s v="S026781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2.5000000000000001E-3"/>
    <n v="2.5000000000000001E-3"/>
    <n v="2.5000000000000001E-3"/>
    <n v="2.5000000000000001E-3"/>
    <n v="2.5000000000000001E-3"/>
    <n v="2.5000000000000001E-3"/>
    <n v="2.5000000000000001E-3"/>
    <n v="2.5000000000000001E-3"/>
    <n v="2.5000000000000001E-3"/>
    <n v="2.5000000000000001E-3"/>
    <n v="2.5000000000000001E-3"/>
    <n v="2.5000000000000001E-3"/>
    <n v="2.9999999999999995E-2"/>
    <n v="1.2500000000000001E-2"/>
    <n v="4.1461076116193862E-5"/>
    <n v="5.9055118110236213E-2"/>
    <n v="0.50800000000000001"/>
    <s v="Acre-feet"/>
    <n v="0"/>
    <s v="Acre-feet per Year"/>
    <s v="L_20"/>
    <n v="3.4039024194010059E-4"/>
    <n v="38.535122999999999"/>
    <n v="-123.14657"/>
    <s v="WARD CREEK"/>
  </r>
  <r>
    <s v="S027456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1.6367333000000001E-2"/>
    <n v="1.6367333000000001E-2"/>
    <n v="1.6367333000000001E-2"/>
    <n v="1.6367333000000001E-2"/>
    <n v="2.1482000000000001E-2"/>
    <n v="2.2505000000000001E-2"/>
    <n v="2.2505000000000001E-2"/>
    <n v="2.2505000000000001E-2"/>
    <n v="2.0459000000000001E-2"/>
    <n v="1.8924666999999999E-2"/>
    <n v="1.6367333000000001E-2"/>
    <n v="1.6367333000000001E-2"/>
    <n v="0.22658466500000005"/>
    <n v="0.109456"/>
    <n v="3.6305308378992927E-4"/>
    <n v="2.5176073888888895"/>
    <n v="0.09"/>
    <s v="Acre-feet"/>
    <n v="0"/>
    <s v="Acre-feet per Year"/>
    <s v="L_24"/>
    <n v="3.4039024194010059E-4"/>
    <n v="38.490250000000003"/>
    <n v="-122.63553333"/>
    <s v="UNNAMED SPRING"/>
  </r>
  <r>
    <s v="S027491"/>
    <n v="10000000"/>
    <n v="4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.02"/>
    <n v="0.02"/>
    <n v="0.02"/>
    <n v="0.02"/>
    <n v="0.02"/>
    <n v="0.02"/>
    <n v="0.02"/>
    <n v="0.02"/>
    <n v="0.02"/>
    <n v="0.02"/>
    <n v="0.02"/>
    <n v="0.02"/>
    <n v="0.23999999999999996"/>
    <n v="0.123333335"/>
    <n v="4.0908262320792294E-4"/>
    <n v="5.5272727999999987"/>
    <n v="5.5E-2"/>
    <s v="Acre-feet"/>
    <n v="0"/>
    <s v="Acre-feet per Year"/>
    <s v="U_4"/>
    <n v="3.4039024194010059E-4"/>
    <n v="39.192619999999998"/>
    <n v="-123.13776"/>
    <s v="SPRING POINT OF DIVERSION"/>
  </r>
  <r>
    <s v="S026903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1.53444E-3"/>
    <n v="3.0688899999999999E-3"/>
    <n v="4.6033317999999997E-2"/>
    <n v="4.7567762E-2"/>
    <n v="7.3653308000000001E-2"/>
    <n v="8.5928859999999996E-2"/>
    <n v="8.8997748000000002E-2"/>
    <n v="8.8997748000000002E-2"/>
    <n v="7.6722196000000006E-2"/>
    <n v="6.1377756999999998E-2"/>
    <n v="3.0688880000000002E-2"/>
    <n v="3.0688899999999999E-3"/>
    <n v="0.60763979700000004"/>
    <n v="0.41429986000000002"/>
    <n v="1.374185442431077E-3"/>
    <n v="5.4643866636690657"/>
    <n v="0.11119999999999999"/>
    <s v="Acre-feet"/>
    <n v="0"/>
    <s v="Acre-feet per Year"/>
    <s v="L_20"/>
    <n v="0"/>
    <n v="38.528201000000003"/>
    <n v="-123.127084"/>
    <s v="SPRING UNNAMED"/>
  </r>
  <r>
    <s v="S027502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s v="Acre-feet per Year"/>
    <s v="U_1"/>
    <n v="3.4039024194010059E-4"/>
    <n v="39.246724999999998"/>
    <n v="-123.326274"/>
    <s v="UNNAMED SPRING TRIBUTARY TO ELDRIDGE CREEK"/>
  </r>
  <r>
    <s v="S027519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.4E-2"/>
    <s v="Acre-feet"/>
    <n v="0"/>
    <s v="Acre-feet per Year"/>
    <s v="U_5"/>
    <n v="0"/>
    <n v="39.082505560000001"/>
    <n v="-123.18689166999999"/>
    <s v="SPRING POINT OF DIVERSION"/>
  </r>
  <r>
    <s v="S027572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.01"/>
    <n v="0.01"/>
    <n v="0.01"/>
    <n v="0.01"/>
    <n v="0.01"/>
    <n v="0.01"/>
    <n v="0.01"/>
    <n v="0.01"/>
    <n v="0.01"/>
    <n v="0.01"/>
    <n v="0.01"/>
    <n v="0.01"/>
    <n v="0.11999999999999998"/>
    <n v="6.8000000000000005E-2"/>
    <n v="2.2554825407209464E-4"/>
    <n v="1.5288461538461542"/>
    <n v="0.104"/>
    <s v="Acre-feet"/>
    <n v="0"/>
    <s v="Acre-feet per Year"/>
    <s v="U_5"/>
    <n v="0"/>
    <n v="39.08396389"/>
    <n v="-123.18689166999999"/>
    <s v="WELL +1.1K WATER TANK"/>
  </r>
  <r>
    <s v="S027597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4.4999999999999997E-3"/>
    <n v="5.0000000000000001E-3"/>
    <n v="5.0000000000000001E-3"/>
    <n v="5.0000000000000001E-3"/>
    <n v="5.0000000000000001E-3"/>
    <n v="6.0000000000000001E-3"/>
    <n v="0.01"/>
    <n v="0.01"/>
    <n v="0.01"/>
    <n v="4.4999999999999997E-3"/>
    <n v="4.4999999999999997E-3"/>
    <n v="4.4999999999999997E-3"/>
    <n v="7.400000000000001E-2"/>
    <n v="5.4499999999999993E-2"/>
    <n v="1.8077029186660523E-4"/>
    <n v="1.286764705882353"/>
    <n v="6.8000000000000005E-2"/>
    <s v="Acre-feet"/>
    <n v="0"/>
    <s v="Acre-feet per Year"/>
    <s v="U_6"/>
    <n v="0"/>
    <n v="38.874229999999997"/>
    <n v="-123.10799"/>
    <s v="UNNAMED SPRING"/>
  </r>
  <r>
    <s v="S027620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0"/>
    <s v="N"/>
    <n v="0"/>
    <n v="0"/>
    <n v="0"/>
    <n v="0"/>
    <n v="0"/>
    <n v="0"/>
    <n v="0"/>
    <n v="0"/>
    <n v="0"/>
    <n v="0"/>
    <n v="2.73"/>
    <n v="3.06"/>
    <n v="5.79"/>
    <n v="0"/>
    <n v="0"/>
    <n v="0.99656357388316141"/>
    <n v="5.82"/>
    <s v="Acre-feet"/>
    <n v="0"/>
    <s v="Acre-feet per Year"/>
    <s v="U_12"/>
    <n v="0"/>
    <n v="38.59877315"/>
    <n v="-122.7585277"/>
    <s v="UNNAMED STREAM"/>
  </r>
  <r>
    <s v="S027644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0"/>
    <s v="N"/>
    <n v="1.66"/>
    <n v="1"/>
    <n v="0.33"/>
    <n v="0.16"/>
    <n v="0"/>
    <n v="0"/>
    <n v="0"/>
    <n v="0"/>
    <n v="0"/>
    <n v="0"/>
    <n v="0"/>
    <n v="0.16"/>
    <n v="3.3100000000000005"/>
    <n v="0"/>
    <n v="0"/>
    <n v="1.6666666670000001"/>
    <n v="2"/>
    <s v="Acre-feet"/>
    <n v="0"/>
    <s v="Acre-feet per Year"/>
    <s v="U_5"/>
    <n v="0"/>
    <n v="39.03"/>
    <n v="-123.116"/>
    <s v="Unnamed"/>
  </r>
  <r>
    <s v="S027650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0.01"/>
    <n v="0.01"/>
    <n v="0.01"/>
    <n v="0.02"/>
    <n v="0.02"/>
    <n v="0.01"/>
    <n v="0.01"/>
    <n v="0"/>
    <n v="0"/>
    <n v="0.09"/>
    <n v="9.0225E-2"/>
    <n v="2.9926604740668732E-4"/>
    <n v="1.0000258620689655"/>
    <n v="0.11600000000000001"/>
    <s v="Acre-feet"/>
    <n v="0"/>
    <s v="Acre-feet per Year"/>
    <s v="U_6"/>
    <n v="0"/>
    <n v="38.971260000000001"/>
    <n v="-123.183604"/>
    <s v="Unnamed Spring"/>
  </r>
  <r>
    <s v="S027438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1.534444E-3"/>
    <n v="7.6722179999999997E-3"/>
    <n v="1.5344437000000001E-2"/>
    <n v="3.3757759999999998E-2"/>
    <n v="3.3757759999999998E-2"/>
    <n v="3.3757759999999998E-2"/>
    <n v="3.3757759999999998E-2"/>
    <n v="0"/>
    <n v="0"/>
    <n v="0.15958213899999998"/>
    <n v="0.12428993619783284"/>
    <n v="4.1225556041401808E-4"/>
    <n v="39.895535075847576"/>
    <n v="4.0000000000000001E-3"/>
    <s v="Acre-feet"/>
    <n v="0"/>
    <s v="Acre-feet per Year"/>
    <s v="L_20"/>
    <n v="3.4039024194010059E-4"/>
    <n v="38.519841999999997"/>
    <n v="-123.129936"/>
    <s v="POLE MOUNTAIN CREEK"/>
  </r>
  <r>
    <s v="S027664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1E-3"/>
    <n v="1E-3"/>
    <n v="3.0000000000000001E-3"/>
    <n v="4.0000000000000001E-3"/>
    <n v="4.0000000000000001E-3"/>
    <n v="4.0000000000000001E-3"/>
    <n v="3.0000000000000001E-3"/>
    <n v="3.0000000000000001E-3"/>
    <n v="0"/>
    <n v="2.3E-2"/>
    <n v="1.6E-2"/>
    <n v="5.3070177428728148E-5"/>
    <n v="9.9913119026933103E-2"/>
    <n v="0.23019999999999999"/>
    <s v="Acre-feet"/>
    <n v="0"/>
    <s v="Acre-feet per Year"/>
    <s v="U_6"/>
    <n v="3.4039024194010059E-4"/>
    <n v="38.972954199999997"/>
    <n v="-123.1163918"/>
    <s v="No Name"/>
  </r>
  <r>
    <s v="S027765"/>
    <n v="10000000"/>
    <n v="9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19.350000000000001"/>
    <n v="6.4181745827868106E-2"/>
    <n v="1.7086956521739129"/>
    <n v="11.5"/>
    <s v="Acre-feet"/>
    <n v="0"/>
    <s v="Acre-feet per Year"/>
    <s v="U_9"/>
    <n v="0"/>
    <n v="38.771627760000001"/>
    <n v="-122.98803281000001"/>
    <s v="Russian River Underflow"/>
  </r>
  <r>
    <s v="S027768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.84E-2"/>
    <s v="Acre-feet"/>
    <n v="0"/>
    <s v="Acre-feet per Year"/>
    <s v="L_24"/>
    <n v="0"/>
    <n v="38.533357780000003"/>
    <n v="-122.59175944"/>
    <s v="Koi Spring"/>
  </r>
  <r>
    <s v="S025300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1.4E-2"/>
    <s v="Acre-feet"/>
    <n v="0"/>
    <s v="Acre-feet per Year"/>
    <s v="L_16"/>
    <n v="3.4039024194010059E-4"/>
    <n v="38.592199999999998"/>
    <n v="-122.91970000000001"/>
    <s v="MILL CREEK"/>
  </r>
  <r>
    <s v="S027851"/>
    <n v="10000000"/>
    <n v="12"/>
    <s v="N"/>
    <s v="Y"/>
    <s v="Y"/>
    <s v="Y"/>
    <x v="0"/>
    <s v="West Fork and Below Lake"/>
    <s v="Sonoma (d/s of Clov. Gage)"/>
    <x v="3"/>
    <n v="1000"/>
    <x v="14"/>
    <x v="0"/>
    <s v="Y"/>
    <s v="N"/>
    <s v="N"/>
    <s v="N"/>
    <s v="Y"/>
    <x v="1"/>
    <s v="N"/>
    <x v="1"/>
    <s v="N"/>
    <n v="0"/>
    <n v="0.02"/>
    <n v="0.01"/>
    <n v="0.06"/>
    <n v="0"/>
    <n v="0.25"/>
    <n v="0.33"/>
    <n v="0.42"/>
    <n v="0.69"/>
    <n v="0.31"/>
    <n v="0.35"/>
    <n v="0"/>
    <n v="2.44"/>
    <n v="1.7000000000000002"/>
    <n v="5.6387063518023662E-3"/>
    <n v="0.70170454545454541"/>
    <n v="3.52"/>
    <s v="Acre-feet"/>
    <n v="0"/>
    <s v="Acre-feet per Year"/>
    <s v="U_12"/>
    <n v="0"/>
    <n v="38.653766740000002"/>
    <n v="-122.80970845"/>
    <s v="Sausal Creek"/>
  </r>
  <r>
    <s v="S027865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s v="Acre-feet per Year"/>
    <s v="U_6"/>
    <n v="0"/>
    <n v="38.881888969999999"/>
    <n v="-122.91519205"/>
    <s v="Unnamed Streams"/>
  </r>
  <r>
    <s v="S027883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33139999999999997"/>
    <s v="Acre-feet"/>
    <n v="0"/>
    <s v="Acre-feet per Year"/>
    <s v="L_18"/>
    <n v="0"/>
    <n v="38.546711000000002"/>
    <n v="-122.9599"/>
    <s v="Unnamed Tributary"/>
  </r>
  <r>
    <s v="S027934"/>
    <n v="10000000"/>
    <n v="16"/>
    <s v="N"/>
    <s v="N"/>
    <s v="N"/>
    <s v="N"/>
    <x v="1"/>
    <s v="Outside"/>
    <s v="Outside"/>
    <x v="3"/>
    <n v="1000"/>
    <x v="14"/>
    <x v="0"/>
    <s v="N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5.5199999999999999E-2"/>
    <s v="Acre-feet"/>
    <n v="0"/>
    <s v="Acre-feet per Year"/>
    <s v="L_16"/>
    <n v="3.4039024194010059E-4"/>
    <n v="38.567248399999997"/>
    <n v="-122.96417415000001"/>
    <s v="Unnamed Spring"/>
  </r>
  <r>
    <s v="S027935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8.7150000000000005E-2"/>
    <n v="2.8906662268210362E-4"/>
    <n v="1.9918478260869568"/>
    <n v="5.5199999999999999E-2"/>
    <s v="Acre-feet"/>
    <n v="0"/>
    <s v="Acre-feet per Year"/>
    <s v="U_5"/>
    <n v="3.4039024194010059E-4"/>
    <n v="39.055999999999997"/>
    <n v="-123.1917"/>
    <s v="Unnamed Tributary"/>
  </r>
  <r>
    <s v="S027936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0.16750000000000001"/>
    <n v="5.5557841995699782E-4"/>
    <n v="4.470468431771895"/>
    <n v="4.9099999999999998E-2"/>
    <s v="Acre-feet"/>
    <n v="0"/>
    <s v="Acre-feet per Year"/>
    <s v="U_5"/>
    <n v="3.4039024194010059E-4"/>
    <n v="39.053800000000003"/>
    <n v="-123.1866"/>
    <s v="Unnamed Tributary"/>
  </r>
  <r>
    <s v="S027937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8.1299999999999997E-2"/>
    <s v="Acre-feet"/>
    <n v="0"/>
    <s v="Acre-feet per Year"/>
    <s v="U_5"/>
    <n v="0"/>
    <n v="39.054499999999997"/>
    <n v="-123.1949"/>
    <s v="Unnamed Tributary"/>
  </r>
  <r>
    <s v="S027938"/>
    <n v="10000000"/>
    <n v="5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0.11899999999999999"/>
    <n v="3.9470944462616556E-4"/>
    <n v="1.8982712765957444"/>
    <n v="0.15040000000000001"/>
    <s v="Acre-feet"/>
    <n v="0"/>
    <s v="Acre-feet per Year"/>
    <s v="U_5"/>
    <n v="3.4039024194010059E-4"/>
    <n v="39.055700000000002"/>
    <n v="-123.188"/>
    <s v="Unnamed Tributary"/>
  </r>
  <r>
    <s v="S027965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1.6525000000000001E-3"/>
    <n v="1.6525000000000001E-3"/>
    <n v="1.6525000000000001E-3"/>
    <n v="2.9025000000000001E-3"/>
    <n v="2.9025000000000001E-3"/>
    <n v="2.9025000000000001E-3"/>
    <n v="2.9025000000000001E-3"/>
    <n v="2.9025000000000001E-3"/>
    <n v="2.9025000000000001E-3"/>
    <n v="2.9025000000000001E-3"/>
    <n v="2.9025000000000001E-3"/>
    <n v="2.9025000000000001E-3"/>
    <n v="3.1079999999999997E-2"/>
    <n v="1.4512500000000001E-2"/>
    <n v="4.8136309370901077E-5"/>
    <n v="3.2715789473684209"/>
    <n v="9.4999999999999998E-3"/>
    <s v="Acre-feet"/>
    <n v="0"/>
    <s v="Acre-feet per Year"/>
    <s v="L_24"/>
    <n v="3.4039024194010059E-4"/>
    <n v="38.540100000000002"/>
    <n v="-122.6388"/>
    <s v="Humbug Creek"/>
  </r>
  <r>
    <s v="S027969"/>
    <n v="10000000"/>
    <n v="17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1"/>
    <s v="N"/>
    <n v="0"/>
    <n v="0"/>
    <n v="0"/>
    <n v="0.35"/>
    <n v="1.2090000000000001"/>
    <n v="2.2189999999999999"/>
    <n v="3.8650000000000002"/>
    <n v="1.7124999999999999"/>
    <n v="4.2"/>
    <n v="5.75"/>
    <n v="0.55000000000000004"/>
    <n v="0"/>
    <n v="19.855500000000003"/>
    <n v="13.205500000000001"/>
    <n v="4.3801139252191847E-2"/>
    <n v="0.90252272727272742"/>
    <n v="22"/>
    <s v="Acre-feet"/>
    <n v="0"/>
    <s v="Acre-feet per Year"/>
    <s v="L_17"/>
    <n v="0"/>
    <n v="38.549444440000002"/>
    <n v="-122.86138889"/>
    <s v="Russian River"/>
  </r>
  <r>
    <s v="S028034"/>
    <n v="10000000"/>
    <n v="12"/>
    <s v="N"/>
    <s v="Y"/>
    <s v="Y"/>
    <s v="Y"/>
    <x v="0"/>
    <s v="West Fork and Below Lake"/>
    <s v="Sonoma (d/s of Clov. Gage)"/>
    <x v="3"/>
    <n v="1000"/>
    <x v="14"/>
    <x v="1"/>
    <s v="Y"/>
    <s v="N"/>
    <s v="N"/>
    <s v="N"/>
    <s v="Y"/>
    <x v="1"/>
    <s v="N"/>
    <x v="1"/>
    <s v="N"/>
    <n v="0.2"/>
    <n v="0.2"/>
    <n v="0.25"/>
    <n v="0.3"/>
    <n v="1.97"/>
    <n v="3.14"/>
    <n v="3.7"/>
    <n v="3.42"/>
    <n v="2.96"/>
    <n v="2.73"/>
    <n v="1.41"/>
    <n v="1.2"/>
    <n v="21.48"/>
    <n v="15.215"/>
    <n v="5.046642184863117E-2"/>
    <n v="0.40089418777943359"/>
    <n v="53.68"/>
    <s v="Acre-feet"/>
    <n v="0"/>
    <s v="Acre-feet per Year"/>
    <s v="U_12"/>
    <n v="3.4039024194010059E-4"/>
    <n v="38.634124900000003"/>
    <n v="-122.78977507"/>
    <s v="Russian River"/>
  </r>
  <r>
    <s v="S028035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9.84"/>
    <s v="Acre-feet"/>
    <n v="0"/>
    <s v="Acre-feet per Year"/>
    <s v="L_18"/>
    <n v="0"/>
    <n v="38.463563999999998"/>
    <n v="-122.923787"/>
    <s v="Unnamed Pond"/>
  </r>
  <r>
    <s v="S028057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0"/>
    <n v="0"/>
    <n v="0"/>
    <n v="0"/>
    <n v="0"/>
    <n v="0"/>
    <n v="0"/>
    <n v="0"/>
    <n v="0"/>
    <n v="0"/>
    <n v="0.13500000000000001"/>
    <n v="4.4777962205489374E-4"/>
    <n v="0.5449438202247191"/>
    <n v="0.53400000000000003"/>
    <s v="Acre-feet"/>
    <n v="0"/>
    <s v="Acre-feet per Year"/>
    <s v="U_6"/>
    <n v="3.4039024194010059E-4"/>
    <n v="38.981400000000001"/>
    <n v="-122.9931"/>
    <s v="Underground Drain"/>
  </r>
  <r>
    <s v="S028118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1"/>
    <s v="N"/>
    <x v="1"/>
    <s v="N"/>
    <n v="0.5"/>
    <n v="0.8"/>
    <n v="0.5"/>
    <n v="0.27"/>
    <n v="7.0000000000000007E-2"/>
    <n v="0"/>
    <n v="0"/>
    <n v="0"/>
    <n v="0"/>
    <n v="0"/>
    <n v="7.0000000000000007E-2"/>
    <n v="0.27"/>
    <n v="2.48"/>
    <n v="7.0000000000000007E-2"/>
    <n v="2.3218202625068565E-4"/>
    <n v="1"/>
    <n v="2.48"/>
    <s v="Acre-feet"/>
    <n v="0"/>
    <s v="Acre-feet per Year"/>
    <s v="U_1"/>
    <n v="0"/>
    <n v="39.27807"/>
    <n v="-123.17764"/>
    <s v="Unnamed Watercourse"/>
  </r>
  <r>
    <s v="S028233"/>
    <n v="10000000"/>
    <n v="18"/>
    <s v="N"/>
    <s v="N"/>
    <s v="N"/>
    <s v="N"/>
    <x v="1"/>
    <s v="Outside"/>
    <s v="Outside"/>
    <x v="3"/>
    <n v="1000"/>
    <x v="14"/>
    <x v="1"/>
    <s v="N"/>
    <s v="N"/>
    <s v="N"/>
    <s v="N"/>
    <s v="Y"/>
    <x v="1"/>
    <s v="N"/>
    <x v="0"/>
    <s v="N"/>
    <n v="0"/>
    <n v="0"/>
    <n v="0"/>
    <n v="0"/>
    <n v="0"/>
    <n v="0"/>
    <n v="0"/>
    <n v="0"/>
    <n v="0"/>
    <n v="0.26"/>
    <n v="0"/>
    <n v="0"/>
    <n v="0.26"/>
    <n v="0"/>
    <n v="0"/>
    <n v="0.19356759976176297"/>
    <n v="1.3431999999999999"/>
    <s v="Acre-feet"/>
    <n v="0"/>
    <s v="Acre-feet per Year"/>
    <s v="L_18"/>
    <n v="0"/>
    <n v="38.502130000000001"/>
    <n v="-122.8964"/>
    <s v="Well"/>
  </r>
  <r>
    <s v="S028257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44840000000000002"/>
    <s v="Acre-feet"/>
    <n v="0"/>
    <s v="Acre-feet per Year"/>
    <s v="U_6"/>
    <n v="0"/>
    <n v="38.97531"/>
    <n v="-123.20565000000001"/>
    <s v="Unnamed Watercourse"/>
  </r>
  <r>
    <s v="S028258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5.0000000000000001E-4"/>
    <s v="Acre-feet"/>
    <n v="0"/>
    <s v="Acre-feet per Year"/>
    <s v="U_6"/>
    <n v="0"/>
    <n v="38.972729999999999"/>
    <n v="-123.20762000000001"/>
    <s v="Unnamed Watercourse"/>
  </r>
  <r>
    <s v="S028280"/>
    <n v="10000000"/>
    <n v="6"/>
    <s v="Y"/>
    <s v="N"/>
    <s v="Y"/>
    <s v="Y"/>
    <x v="0"/>
    <s v="West Fork and Below Lake"/>
    <s v="Mendocino (d/s of lake)"/>
    <x v="3"/>
    <n v="1000"/>
    <x v="14"/>
    <x v="0"/>
    <s v="Y"/>
    <s v="N"/>
    <s v="N"/>
    <s v="N"/>
    <s v="Y"/>
    <x v="1"/>
    <s v="N"/>
    <x v="1"/>
    <s v="N"/>
    <n v="0"/>
    <n v="0"/>
    <n v="0"/>
    <n v="0.21"/>
    <n v="0.21"/>
    <n v="0.21"/>
    <n v="0.21"/>
    <n v="0.21"/>
    <n v="0.21"/>
    <n v="0.21"/>
    <n v="0"/>
    <n v="0"/>
    <n v="1.47"/>
    <n v="1.05"/>
    <n v="3.4827303937602846E-3"/>
    <n v="1.0219688542825363"/>
    <n v="1.4383999999999999"/>
    <s v="Acre-feet"/>
    <n v="0"/>
    <s v="Acre-feet per Year"/>
    <s v="U_6"/>
    <n v="0"/>
    <n v="38.971769999999999"/>
    <n v="-123.21290999999999"/>
    <s v="Unnamed Spring"/>
  </r>
  <r>
    <s v="S028289"/>
    <n v="10000000"/>
    <n v="18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2"/>
    <s v="Acre-feet"/>
    <n v="0"/>
    <s v="Acre-feet per Year"/>
    <s v="L_18"/>
    <n v="0"/>
    <n v="38.436826050000001"/>
    <n v="-122.89684088"/>
    <s v="Green Valley Creek"/>
  </r>
  <r>
    <s v="S027500"/>
    <n v="10000000"/>
    <n v="20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1.534444E-3"/>
    <n v="7.6722179999999997E-3"/>
    <n v="1.5344437000000001E-2"/>
    <n v="3.3757759999999998E-2"/>
    <n v="3.3757759999999998E-2"/>
    <n v="3.3757759999999998E-2"/>
    <n v="3.3757759999999998E-2"/>
    <n v="0"/>
    <n v="0"/>
    <n v="0.15958213899999998"/>
    <n v="0.12428993619783284"/>
    <n v="4.1225556041401808E-4"/>
    <n v="1.2766571224271224"/>
    <n v="0.125"/>
    <s v="Acre-feet"/>
    <n v="0"/>
    <s v="Acre-feet per Year"/>
    <s v="L_20"/>
    <n v="3.4039024194010059E-4"/>
    <n v="38.520677999999997"/>
    <n v="-123.12858"/>
    <s v="UNNAMED STREAM"/>
  </r>
  <r>
    <s v="S028309"/>
    <n v="10000000"/>
    <n v="3"/>
    <s v="N"/>
    <s v="N"/>
    <s v="Y"/>
    <s v="N"/>
    <x v="0"/>
    <s v="Outside"/>
    <s v="Outside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1061"/>
    <s v="Acre-feet"/>
    <n v="0"/>
    <s v="Acre-feet per Year"/>
    <s v="U_3"/>
    <n v="3.4039024194010059E-4"/>
    <n v="39.250737000000001"/>
    <n v="-123.14614400000001"/>
    <s v="Unnamed Spring"/>
  </r>
  <r>
    <s v="S014313"/>
    <n v="10000000"/>
    <n v="2"/>
    <s v="N"/>
    <s v="N"/>
    <s v="Y"/>
    <s v="N"/>
    <x v="0"/>
    <s v="Outside"/>
    <s v="Outside"/>
    <x v="3"/>
    <n v="1000"/>
    <x v="14"/>
    <x v="0"/>
    <s v="Y"/>
    <s v="N"/>
    <s v="N"/>
    <s v="N"/>
    <s v="Y"/>
    <x v="1"/>
    <s v="N"/>
    <x v="1"/>
    <s v="N"/>
    <m/>
    <m/>
    <m/>
    <m/>
    <m/>
    <m/>
    <m/>
    <m/>
    <m/>
    <m/>
    <m/>
    <m/>
    <m/>
    <m/>
    <m/>
    <n v="0.17747929320817227"/>
    <n v="36220"/>
    <s v="Acre-feet"/>
    <n v="0"/>
    <s v="Acre-feet per Year"/>
    <s v="U_2"/>
    <n v="0"/>
    <n v="39.361086380000003"/>
    <n v="-123.12796439"/>
    <s v="POWERHOUSE CANAL"/>
  </r>
  <r>
    <s v="S028323"/>
    <n v="10000000"/>
    <n v="4"/>
    <s v="Y"/>
    <s v="N"/>
    <s v="Y"/>
    <s v="Y"/>
    <x v="0"/>
    <s v="West Fork and Below Lake"/>
    <s v="Mendocino (d/s of lake)"/>
    <x v="3"/>
    <n v="1000"/>
    <x v="14"/>
    <x v="1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57.22"/>
    <s v="Acre-feet"/>
    <n v="0"/>
    <s v="Acre-feet per Year"/>
    <s v="U_4"/>
    <n v="0"/>
    <n v="39.121869709999999"/>
    <n v="-123.19246382"/>
    <s v="Russian River Underflow"/>
  </r>
  <r>
    <s v="S027654"/>
    <n v="10000000"/>
    <n v="23"/>
    <s v="N"/>
    <s v="N"/>
    <s v="N"/>
    <s v="N"/>
    <x v="1"/>
    <s v="Outside"/>
    <s v="Outside"/>
    <x v="3"/>
    <n v="1000"/>
    <x v="14"/>
    <x v="0"/>
    <s v="N"/>
    <s v="N"/>
    <s v="N"/>
    <s v="N"/>
    <s v="Y"/>
    <x v="1"/>
    <s v="N"/>
    <x v="1"/>
    <s v="N"/>
    <n v="0"/>
    <n v="0"/>
    <n v="0"/>
    <n v="0"/>
    <n v="0"/>
    <n v="1.4999999999999999E-2"/>
    <n v="0.02"/>
    <n v="2.5000000000000001E-2"/>
    <n v="2.5000000000000001E-2"/>
    <n v="0.01"/>
    <n v="0"/>
    <n v="0"/>
    <n v="9.5000000000000001E-2"/>
    <n v="8.5000000000000006E-2"/>
    <n v="2.819353175901183E-4"/>
    <n v="1.0674157303370788"/>
    <n v="8.8999999999999996E-2"/>
    <s v="Acre-feet"/>
    <n v="0"/>
    <s v="Acre-feet per Year"/>
    <s v="L_28"/>
    <n v="3.4039024194010059E-4"/>
    <n v="38.353453000000002"/>
    <n v="-122.825182"/>
    <s v="Well"/>
  </r>
  <r>
    <s v="S028364"/>
    <n v="10000000"/>
    <n v="1"/>
    <s v="N"/>
    <s v="N"/>
    <s v="Y"/>
    <s v="Y"/>
    <x v="0"/>
    <s v="West Fork and Below Lake"/>
    <s v="Outside"/>
    <x v="3"/>
    <n v="1000"/>
    <x v="14"/>
    <x v="0"/>
    <s v="Y"/>
    <s v="N"/>
    <s v="N"/>
    <s v="N"/>
    <s v="Y"/>
    <x v="0"/>
    <s v="Y"/>
    <x v="0"/>
    <s v="N"/>
    <n v="0"/>
    <n v="0"/>
    <n v="0"/>
    <n v="0"/>
    <n v="0"/>
    <n v="0"/>
    <n v="0"/>
    <n v="0"/>
    <n v="0"/>
    <n v="0"/>
    <n v="0"/>
    <n v="0"/>
    <n v="0"/>
    <n v="0"/>
    <n v="0"/>
    <n v="0"/>
    <n v="0.1105"/>
    <s v="Acre-feet"/>
    <n v="0"/>
    <s v="Acre-feet per Year"/>
    <s v="U_1"/>
    <n v="3.4039024194010059E-4"/>
    <n v="39.25994"/>
    <n v="-123.30073"/>
    <s v="Unnamed Spring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8853F3-6B74-4CCB-8120-CCB80335F41B}" name="PivotTable4" cacheId="0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6" indent="0" outline="1" outlineData="1" multipleFieldFilters="0">
  <location ref="N6:O12" firstHeaderRow="1" firstDataRow="1" firstDataCol="1" rowPageCount="2" colPageCount="1"/>
  <pivotFields count="55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">
        <item sd="0" x="1"/>
        <item x="0"/>
        <item t="default"/>
      </items>
    </pivotField>
    <pivotField showAll="0"/>
    <pivotField showAll="0"/>
    <pivotField axis="axisRow" showAll="0">
      <items count="5">
        <item x="0"/>
        <item sd="0" x="2"/>
        <item sd="0" x="1"/>
        <item sd="0" x="3"/>
        <item t="default"/>
      </items>
    </pivotField>
    <pivotField showAll="0"/>
    <pivotField showAll="0"/>
    <pivotField axis="axisPage" multipleItemSelectionAllowed="1" showAll="0">
      <items count="3">
        <item x="0"/>
        <item x="1"/>
        <item t="default"/>
      </items>
    </pivotField>
    <pivotField multipleItemSelectionAllowed="1" showAll="0"/>
    <pivotField showAll="0"/>
    <pivotField showAll="0"/>
    <pivotField showAll="0"/>
    <pivotField showAll="0"/>
    <pivotField axis="axisPage" multipleItemSelectionAllowed="1" showAll="0">
      <items count="3">
        <item h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7"/>
    <field x="10"/>
  </rowFields>
  <rowItems count="6">
    <i>
      <x/>
    </i>
    <i>
      <x v="1"/>
    </i>
    <i r="1">
      <x/>
    </i>
    <i r="1">
      <x v="1"/>
    </i>
    <i r="1">
      <x v="2"/>
    </i>
    <i r="1">
      <x v="3"/>
    </i>
  </rowItems>
  <colItems count="1">
    <i/>
  </colItems>
  <pageFields count="2">
    <pageField fld="13" hier="-1"/>
    <pageField fld="19" hier="-1"/>
  </pageFields>
  <dataFields count="1">
    <dataField name="Count" fld="0" subtotal="count" baseField="5" baseItem="3"/>
  </dataFields>
  <formats count="1">
    <format dxfId="3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97FA39-A51D-4AD3-B3BD-FBBEC08427C1}" name="PivotTable3" cacheId="0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6" indent="0" outline="1" outlineData="1" multipleFieldFilters="0">
  <location ref="K5:L11" firstHeaderRow="1" firstDataRow="1" firstDataCol="1" rowPageCount="1" colPageCount="1"/>
  <pivotFields count="55"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sd="0" x="1"/>
        <item x="0"/>
        <item t="default"/>
      </items>
    </pivotField>
    <pivotField showAll="0"/>
    <pivotField showAll="0"/>
    <pivotField axis="axisRow" showAll="0">
      <items count="5">
        <item x="0"/>
        <item sd="0" x="2"/>
        <item sd="0" x="1"/>
        <item sd="0" x="3"/>
        <item t="default"/>
      </items>
    </pivotField>
    <pivotField showAll="0"/>
    <pivotField showAll="0"/>
    <pivotField axis="axisPage" multipleItemSelectionAllowed="1" showAll="0">
      <items count="3">
        <item x="0"/>
        <item h="1" x="1"/>
        <item t="default"/>
      </items>
    </pivotField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7"/>
    <field x="10"/>
  </rowFields>
  <rowItems count="6">
    <i>
      <x/>
    </i>
    <i>
      <x v="1"/>
    </i>
    <i r="1">
      <x/>
    </i>
    <i r="1">
      <x v="1"/>
    </i>
    <i r="1">
      <x v="2"/>
    </i>
    <i r="1">
      <x v="3"/>
    </i>
  </rowItems>
  <colItems count="1">
    <i/>
  </colItems>
  <pageFields count="1">
    <pageField fld="13" hier="-1"/>
  </pageFields>
  <dataFields count="1">
    <dataField name="Sum of May to Sept Total, af" fld="36" baseField="0" baseItem="0" numFmtId="164"/>
  </dataFields>
  <formats count="1">
    <format dxfId="4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4B44C6-45E1-4912-A350-69F49FDD9912}" name="PivotTable2" cacheId="0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6" indent="0" outline="1" outlineData="1" multipleFieldFilters="0">
  <location ref="H5:I11" firstHeaderRow="1" firstDataRow="1" firstDataCol="1" rowPageCount="1" colPageCount="1"/>
  <pivotFields count="55"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sd="0" x="1"/>
        <item x="0"/>
        <item t="default"/>
      </items>
    </pivotField>
    <pivotField showAll="0"/>
    <pivotField showAll="0"/>
    <pivotField axis="axisRow" showAll="0">
      <items count="5">
        <item x="0"/>
        <item sd="0" x="2"/>
        <item sd="0" x="1"/>
        <item sd="0" x="3"/>
        <item t="default"/>
      </items>
    </pivotField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7"/>
    <field x="10"/>
  </rowFields>
  <rowItems count="6">
    <i>
      <x/>
    </i>
    <i>
      <x v="1"/>
    </i>
    <i r="1">
      <x/>
    </i>
    <i r="1">
      <x v="1"/>
    </i>
    <i r="1">
      <x v="2"/>
    </i>
    <i r="1">
      <x v="3"/>
    </i>
  </rowItems>
  <colItems count="1">
    <i/>
  </colItems>
  <pageFields count="1">
    <pageField fld="13" hier="-1"/>
  </pageFields>
  <dataFields count="1">
    <dataField name="Sum of May to Sept Total, af" fld="36" baseField="0" baseItem="0" numFmtId="164"/>
  </dataFields>
  <formats count="1">
    <format dxfId="4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23AAF-17DD-446D-A2C6-FC918A22873C}" name="PivotTable1" cacheId="0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6" indent="0" outline="1" outlineData="1" multipleFieldFilters="0">
  <location ref="A5:F25" firstHeaderRow="0" firstDataRow="1" firstDataCol="1" rowPageCount="1" colPageCount="1"/>
  <pivotFields count="55"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sd="0" x="1"/>
        <item x="0"/>
        <item t="default"/>
      </items>
    </pivotField>
    <pivotField showAll="0"/>
    <pivotField showAll="0"/>
    <pivotField axis="axisRow" showAll="0">
      <items count="5">
        <item x="0"/>
        <item x="2"/>
        <item x="1"/>
        <item x="3"/>
        <item t="default"/>
      </items>
    </pivotField>
    <pivotField showAll="0"/>
    <pivotField axis="axisRow" showAll="0">
      <items count="16">
        <item x="14"/>
        <item x="8"/>
        <item x="6"/>
        <item x="5"/>
        <item x="4"/>
        <item x="2"/>
        <item x="1"/>
        <item x="0"/>
        <item x="13"/>
        <item x="10"/>
        <item x="9"/>
        <item x="12"/>
        <item x="11"/>
        <item x="7"/>
        <item x="3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3">
    <field x="7"/>
    <field x="10"/>
    <field x="12"/>
  </rowFields>
  <rowItems count="20">
    <i>
      <x/>
    </i>
    <i>
      <x v="1"/>
    </i>
    <i r="1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1">
      <x v="1"/>
    </i>
    <i r="2">
      <x v="8"/>
    </i>
    <i r="1">
      <x v="2"/>
    </i>
    <i r="2">
      <x v="9"/>
    </i>
    <i r="1">
      <x v="3"/>
    </i>
    <i r="2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13" hier="-1"/>
  </pageFields>
  <dataFields count="5">
    <dataField name="Sum of JUN_MEAN_DIV" fld="28" baseField="0" baseItem="0"/>
    <dataField name="Sum of JUL_MEAN_DIV " fld="51" baseField="0" baseItem="0"/>
    <dataField name="Sum of AUG MEAN DIV" fld="52" baseField="0" baseItem="0"/>
    <dataField name="Sum of SEP MEAN DIV" fld="53" baseField="0" baseItem="0"/>
    <dataField name="Sum of OCT MEAN DIV" fld="54" baseField="0" baseItem="0"/>
  </dataFields>
  <formats count="1">
    <format dxfId="4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9FD163-3E85-4BFC-A203-79AAB3E6C379}" name="PivotTable5" cacheId="0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6" indent="0" outline="1" outlineData="1" multipleFieldFilters="0">
  <location ref="Q6:R12" firstHeaderRow="1" firstDataRow="1" firstDataCol="1" rowPageCount="2" colPageCount="1"/>
  <pivotFields count="55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">
        <item sd="0" x="1"/>
        <item x="0"/>
        <item t="default"/>
      </items>
    </pivotField>
    <pivotField showAll="0"/>
    <pivotField showAll="0"/>
    <pivotField axis="axisRow" showAll="0">
      <items count="5">
        <item x="0"/>
        <item sd="0" x="2"/>
        <item sd="0" x="1"/>
        <item sd="0" x="3"/>
        <item t="default"/>
      </items>
    </pivotField>
    <pivotField showAll="0"/>
    <pivotField showAll="0"/>
    <pivotField axis="axisPage" multipleItemSelectionAllowed="1" showAll="0">
      <items count="3">
        <item x="0"/>
        <item x="1"/>
        <item t="default"/>
      </items>
    </pivotField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3">
        <item h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7"/>
    <field x="10"/>
  </rowFields>
  <rowItems count="6">
    <i>
      <x/>
    </i>
    <i>
      <x v="1"/>
    </i>
    <i r="1">
      <x/>
    </i>
    <i r="1">
      <x v="1"/>
    </i>
    <i r="1">
      <x v="2"/>
    </i>
    <i r="1">
      <x v="3"/>
    </i>
  </rowItems>
  <colItems count="1">
    <i/>
  </colItems>
  <pageFields count="2">
    <pageField fld="13" hier="-1"/>
    <pageField fld="21" hier="-1"/>
  </pageFields>
  <dataFields count="1">
    <dataField name="Count" fld="0" subtotal="count" baseField="5" baseItem="3"/>
  </dataFields>
  <formats count="1">
    <format dxfId="4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C6A42-2639-4D93-AE93-659E2FA3903C}">
  <dimension ref="K2"/>
  <sheetViews>
    <sheetView workbookViewId="0">
      <selection activeCell="N7" sqref="N7"/>
    </sheetView>
  </sheetViews>
  <sheetFormatPr defaultRowHeight="15" x14ac:dyDescent="0.25"/>
  <sheetData>
    <row r="2" spans="11:11" x14ac:dyDescent="0.25">
      <c r="K2" t="s">
        <v>0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B8239-357B-4E1F-BB90-A1E9042BEFDC}">
  <dimension ref="A1:Y68"/>
  <sheetViews>
    <sheetView workbookViewId="0"/>
  </sheetViews>
  <sheetFormatPr defaultRowHeight="15" x14ac:dyDescent="0.25"/>
  <cols>
    <col min="1" max="1" width="17.42578125" bestFit="1" customWidth="1"/>
    <col min="2" max="4" width="18.28515625" bestFit="1" customWidth="1"/>
    <col min="7" max="7" width="11.5703125" bestFit="1" customWidth="1"/>
    <col min="21" max="21" width="18.7109375" bestFit="1" customWidth="1"/>
    <col min="22" max="22" width="34" bestFit="1" customWidth="1"/>
    <col min="23" max="23" width="10.28515625" bestFit="1" customWidth="1"/>
    <col min="25" max="25" width="17.7109375" bestFit="1" customWidth="1"/>
  </cols>
  <sheetData>
    <row r="1" spans="1:25" x14ac:dyDescent="0.25">
      <c r="A1" s="107" t="s">
        <v>2909</v>
      </c>
      <c r="B1" s="107" t="s">
        <v>2910</v>
      </c>
      <c r="C1" s="107" t="s">
        <v>2911</v>
      </c>
      <c r="D1" s="107" t="s">
        <v>2912</v>
      </c>
      <c r="E1" s="107" t="s">
        <v>2913</v>
      </c>
      <c r="F1" s="107" t="s">
        <v>2914</v>
      </c>
      <c r="G1" s="107" t="s">
        <v>2915</v>
      </c>
      <c r="H1" s="107" t="s">
        <v>2916</v>
      </c>
      <c r="I1" s="107" t="s">
        <v>2917</v>
      </c>
      <c r="J1" s="107" t="s">
        <v>2918</v>
      </c>
      <c r="K1" s="107" t="s">
        <v>2919</v>
      </c>
      <c r="L1" s="107" t="s">
        <v>2920</v>
      </c>
      <c r="M1" s="107" t="s">
        <v>2921</v>
      </c>
      <c r="N1" s="107" t="s">
        <v>2922</v>
      </c>
      <c r="O1" s="107" t="s">
        <v>2923</v>
      </c>
      <c r="P1" s="107" t="s">
        <v>2924</v>
      </c>
      <c r="Q1" s="107" t="s">
        <v>2925</v>
      </c>
      <c r="R1" s="107" t="s">
        <v>2926</v>
      </c>
      <c r="S1" s="107" t="s">
        <v>2927</v>
      </c>
      <c r="T1" s="107" t="s">
        <v>2928</v>
      </c>
      <c r="U1" s="107" t="s">
        <v>2929</v>
      </c>
      <c r="V1" s="107" t="s">
        <v>2930</v>
      </c>
      <c r="W1" s="107" t="s">
        <v>2931</v>
      </c>
      <c r="X1" s="107" t="s">
        <v>2932</v>
      </c>
      <c r="Y1" s="107" t="s">
        <v>2933</v>
      </c>
    </row>
    <row r="2" spans="1:25" x14ac:dyDescent="0.25">
      <c r="A2" s="107" t="s">
        <v>2934</v>
      </c>
      <c r="B2" s="107" t="s">
        <v>2935</v>
      </c>
      <c r="C2" s="107" t="s">
        <v>2936</v>
      </c>
      <c r="D2" s="107" t="s">
        <v>2937</v>
      </c>
      <c r="E2" s="107"/>
      <c r="F2" s="107"/>
      <c r="G2" s="107" t="s">
        <v>2938</v>
      </c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 t="s">
        <v>2939</v>
      </c>
      <c r="U2" s="107" t="s">
        <v>2940</v>
      </c>
      <c r="V2" s="107" t="s">
        <v>2941</v>
      </c>
      <c r="W2" s="107" t="s">
        <v>2942</v>
      </c>
      <c r="X2" s="107"/>
      <c r="Y2" s="107">
        <v>90285</v>
      </c>
    </row>
    <row r="3" spans="1:25" x14ac:dyDescent="0.25">
      <c r="A3" s="107" t="s">
        <v>43</v>
      </c>
      <c r="B3" s="107" t="s">
        <v>2943</v>
      </c>
      <c r="C3" s="107" t="s">
        <v>2944</v>
      </c>
      <c r="D3" s="107" t="s">
        <v>2945</v>
      </c>
      <c r="E3" s="107"/>
      <c r="F3" s="107"/>
      <c r="G3" s="107" t="s">
        <v>43</v>
      </c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 t="s">
        <v>2946</v>
      </c>
      <c r="T3" s="107" t="s">
        <v>2947</v>
      </c>
      <c r="U3" s="107" t="s">
        <v>2948</v>
      </c>
      <c r="V3" s="107" t="s">
        <v>2949</v>
      </c>
      <c r="W3" s="107" t="s">
        <v>2942</v>
      </c>
      <c r="X3" s="107"/>
      <c r="Y3" s="107">
        <v>90526</v>
      </c>
    </row>
    <row r="4" spans="1:25" x14ac:dyDescent="0.25">
      <c r="A4" s="107" t="s">
        <v>44</v>
      </c>
      <c r="B4" s="107" t="s">
        <v>2943</v>
      </c>
      <c r="C4" s="107" t="s">
        <v>2950</v>
      </c>
      <c r="D4" s="107" t="s">
        <v>2951</v>
      </c>
      <c r="E4" s="107"/>
      <c r="F4" s="107"/>
      <c r="G4" s="107" t="s">
        <v>44</v>
      </c>
      <c r="H4" s="107" t="s">
        <v>102</v>
      </c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 t="s">
        <v>2952</v>
      </c>
      <c r="V4" s="107" t="s">
        <v>2953</v>
      </c>
      <c r="W4" s="107" t="s">
        <v>2942</v>
      </c>
      <c r="X4" s="107"/>
      <c r="Y4" s="107">
        <v>90581</v>
      </c>
    </row>
    <row r="5" spans="1:25" x14ac:dyDescent="0.25">
      <c r="A5" s="107" t="s">
        <v>32</v>
      </c>
      <c r="B5" s="107" t="s">
        <v>2943</v>
      </c>
      <c r="C5" s="107" t="s">
        <v>2954</v>
      </c>
      <c r="D5" s="107" t="s">
        <v>2955</v>
      </c>
      <c r="E5" s="107"/>
      <c r="F5" s="107"/>
      <c r="G5" s="107" t="s">
        <v>32</v>
      </c>
      <c r="H5" s="107" t="s">
        <v>33</v>
      </c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 t="s">
        <v>2956</v>
      </c>
      <c r="V5" s="107" t="s">
        <v>2957</v>
      </c>
      <c r="W5" s="107" t="s">
        <v>2942</v>
      </c>
      <c r="X5" s="107"/>
      <c r="Y5" s="107">
        <v>90585</v>
      </c>
    </row>
    <row r="6" spans="1:25" x14ac:dyDescent="0.25">
      <c r="A6" s="107" t="s">
        <v>38</v>
      </c>
      <c r="B6" s="107" t="s">
        <v>2943</v>
      </c>
      <c r="C6" s="107" t="s">
        <v>2958</v>
      </c>
      <c r="D6" s="107" t="s">
        <v>2959</v>
      </c>
      <c r="E6" s="107"/>
      <c r="F6" s="107"/>
      <c r="G6" s="107" t="s">
        <v>38</v>
      </c>
      <c r="H6" s="107" t="s">
        <v>39</v>
      </c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 t="s">
        <v>2960</v>
      </c>
      <c r="V6" s="107" t="s">
        <v>2961</v>
      </c>
      <c r="W6" s="107" t="s">
        <v>2942</v>
      </c>
      <c r="X6" s="107"/>
      <c r="Y6" s="107">
        <v>90659</v>
      </c>
    </row>
    <row r="7" spans="1:25" x14ac:dyDescent="0.25">
      <c r="A7" s="107" t="s">
        <v>34</v>
      </c>
      <c r="B7" s="107" t="s">
        <v>2943</v>
      </c>
      <c r="C7" s="107" t="s">
        <v>2962</v>
      </c>
      <c r="D7" s="107" t="s">
        <v>2963</v>
      </c>
      <c r="E7" s="107"/>
      <c r="F7" s="107"/>
      <c r="G7" s="107" t="s">
        <v>34</v>
      </c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 t="s">
        <v>2964</v>
      </c>
      <c r="U7" s="107" t="s">
        <v>2965</v>
      </c>
      <c r="V7" s="107" t="s">
        <v>2966</v>
      </c>
      <c r="W7" s="107" t="s">
        <v>2942</v>
      </c>
      <c r="X7" s="107"/>
      <c r="Y7" s="107">
        <v>90686</v>
      </c>
    </row>
    <row r="8" spans="1:25" x14ac:dyDescent="0.25">
      <c r="A8" s="107" t="s">
        <v>35</v>
      </c>
      <c r="B8" s="107" t="s">
        <v>2943</v>
      </c>
      <c r="C8" s="107" t="s">
        <v>2967</v>
      </c>
      <c r="D8" s="107" t="s">
        <v>2968</v>
      </c>
      <c r="E8" s="107"/>
      <c r="F8" s="107"/>
      <c r="G8" s="107" t="s">
        <v>35</v>
      </c>
      <c r="H8" s="107" t="s">
        <v>177</v>
      </c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 t="s">
        <v>2969</v>
      </c>
      <c r="V8" s="107" t="s">
        <v>2970</v>
      </c>
      <c r="W8" s="107" t="s">
        <v>2942</v>
      </c>
      <c r="X8" s="107"/>
      <c r="Y8" s="107">
        <v>90954</v>
      </c>
    </row>
    <row r="9" spans="1:25" x14ac:dyDescent="0.25">
      <c r="A9" s="107" t="s">
        <v>45</v>
      </c>
      <c r="B9" s="107" t="s">
        <v>2943</v>
      </c>
      <c r="C9" s="107" t="s">
        <v>2971</v>
      </c>
      <c r="D9" s="107" t="s">
        <v>2972</v>
      </c>
      <c r="E9" s="107"/>
      <c r="F9" s="107"/>
      <c r="G9" s="107" t="s">
        <v>45</v>
      </c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 t="s">
        <v>2973</v>
      </c>
      <c r="V9" s="107" t="s">
        <v>2974</v>
      </c>
      <c r="W9" s="107" t="s">
        <v>2942</v>
      </c>
      <c r="X9" s="107"/>
      <c r="Y9" s="107">
        <v>90994</v>
      </c>
    </row>
    <row r="10" spans="1:25" x14ac:dyDescent="0.25">
      <c r="A10" s="107" t="s">
        <v>46</v>
      </c>
      <c r="B10" s="107" t="s">
        <v>2943</v>
      </c>
      <c r="C10" s="107" t="s">
        <v>2975</v>
      </c>
      <c r="D10" s="107" t="s">
        <v>2976</v>
      </c>
      <c r="E10" s="107"/>
      <c r="F10" s="107"/>
      <c r="G10" s="107" t="s">
        <v>46</v>
      </c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 t="s">
        <v>2977</v>
      </c>
      <c r="V10" s="107" t="s">
        <v>2978</v>
      </c>
      <c r="W10" s="107" t="s">
        <v>2942</v>
      </c>
      <c r="X10" s="107"/>
      <c r="Y10" s="107">
        <v>91071</v>
      </c>
    </row>
    <row r="11" spans="1:25" x14ac:dyDescent="0.25">
      <c r="A11" s="107" t="s">
        <v>47</v>
      </c>
      <c r="B11" s="107" t="s">
        <v>2943</v>
      </c>
      <c r="C11" s="107" t="s">
        <v>2979</v>
      </c>
      <c r="D11" s="107" t="s">
        <v>2980</v>
      </c>
      <c r="E11" s="107"/>
      <c r="F11" s="107"/>
      <c r="G11" s="107" t="s">
        <v>47</v>
      </c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 t="s">
        <v>2981</v>
      </c>
      <c r="T11" s="107" t="s">
        <v>2982</v>
      </c>
      <c r="U11" s="107" t="s">
        <v>2983</v>
      </c>
      <c r="V11" s="107" t="s">
        <v>2984</v>
      </c>
      <c r="W11" s="107" t="s">
        <v>2942</v>
      </c>
      <c r="X11" s="107"/>
      <c r="Y11" s="107">
        <v>91188</v>
      </c>
    </row>
    <row r="12" spans="1:25" x14ac:dyDescent="0.25">
      <c r="A12" s="107" t="s">
        <v>48</v>
      </c>
      <c r="B12" s="107" t="s">
        <v>2943</v>
      </c>
      <c r="C12" s="107" t="s">
        <v>2985</v>
      </c>
      <c r="D12" s="107" t="s">
        <v>2986</v>
      </c>
      <c r="E12" s="107"/>
      <c r="F12" s="107"/>
      <c r="G12" s="107" t="s">
        <v>48</v>
      </c>
      <c r="H12" s="107" t="s">
        <v>103</v>
      </c>
      <c r="I12" s="107" t="s">
        <v>125</v>
      </c>
      <c r="J12" s="107" t="s">
        <v>126</v>
      </c>
      <c r="K12" s="107" t="s">
        <v>127</v>
      </c>
      <c r="L12" s="107" t="s">
        <v>128</v>
      </c>
      <c r="M12" s="107"/>
      <c r="N12" s="107"/>
      <c r="O12" s="107"/>
      <c r="P12" s="107"/>
      <c r="Q12" s="107"/>
      <c r="R12" s="107"/>
      <c r="S12" s="107"/>
      <c r="T12" s="107"/>
      <c r="U12" s="107" t="s">
        <v>2987</v>
      </c>
      <c r="V12" s="107" t="s">
        <v>2988</v>
      </c>
      <c r="W12" s="107" t="s">
        <v>2942</v>
      </c>
      <c r="X12" s="107"/>
      <c r="Y12" s="107">
        <v>91204</v>
      </c>
    </row>
    <row r="13" spans="1:25" x14ac:dyDescent="0.25">
      <c r="A13" s="107" t="s">
        <v>49</v>
      </c>
      <c r="B13" s="107" t="s">
        <v>2943</v>
      </c>
      <c r="C13" s="107" t="s">
        <v>2989</v>
      </c>
      <c r="D13" s="107" t="s">
        <v>2990</v>
      </c>
      <c r="E13" s="107"/>
      <c r="F13" s="107"/>
      <c r="G13" s="107" t="s">
        <v>49</v>
      </c>
      <c r="H13" s="107" t="s">
        <v>104</v>
      </c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 t="s">
        <v>2973</v>
      </c>
      <c r="V13" s="107" t="s">
        <v>2974</v>
      </c>
      <c r="W13" s="107" t="s">
        <v>2942</v>
      </c>
      <c r="X13" s="107"/>
      <c r="Y13" s="107">
        <v>91500</v>
      </c>
    </row>
    <row r="14" spans="1:25" x14ac:dyDescent="0.25">
      <c r="A14" s="107" t="s">
        <v>50</v>
      </c>
      <c r="B14" s="107" t="s">
        <v>2943</v>
      </c>
      <c r="C14" s="107" t="s">
        <v>2991</v>
      </c>
      <c r="D14" s="107" t="s">
        <v>2992</v>
      </c>
      <c r="E14" s="107"/>
      <c r="F14" s="107"/>
      <c r="G14" s="107" t="s">
        <v>148</v>
      </c>
      <c r="H14" s="107" t="s">
        <v>50</v>
      </c>
      <c r="I14" s="107" t="s">
        <v>129</v>
      </c>
      <c r="J14" s="107" t="s">
        <v>130</v>
      </c>
      <c r="K14" s="107" t="s">
        <v>131</v>
      </c>
      <c r="L14" s="107" t="s">
        <v>132</v>
      </c>
      <c r="M14" s="107"/>
      <c r="N14" s="107"/>
      <c r="O14" s="107"/>
      <c r="P14" s="107"/>
      <c r="Q14" s="107"/>
      <c r="R14" s="107"/>
      <c r="S14" s="107"/>
      <c r="T14" s="107"/>
      <c r="U14" s="107" t="s">
        <v>2993</v>
      </c>
      <c r="V14" s="107" t="s">
        <v>2994</v>
      </c>
      <c r="W14" s="107" t="s">
        <v>2942</v>
      </c>
      <c r="X14" s="107"/>
      <c r="Y14" s="107">
        <v>91583</v>
      </c>
    </row>
    <row r="15" spans="1:25" x14ac:dyDescent="0.25">
      <c r="A15" s="107" t="s">
        <v>51</v>
      </c>
      <c r="B15" s="107" t="s">
        <v>2943</v>
      </c>
      <c r="C15" s="107" t="s">
        <v>2995</v>
      </c>
      <c r="D15" s="107" t="s">
        <v>2996</v>
      </c>
      <c r="E15" s="107"/>
      <c r="F15" s="107"/>
      <c r="G15" s="107" t="s">
        <v>51</v>
      </c>
      <c r="H15" s="107" t="s">
        <v>149</v>
      </c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 t="s">
        <v>2997</v>
      </c>
      <c r="V15" s="107" t="s">
        <v>2957</v>
      </c>
      <c r="W15" s="107" t="s">
        <v>2942</v>
      </c>
      <c r="X15" s="107"/>
      <c r="Y15" s="107">
        <v>91587</v>
      </c>
    </row>
    <row r="16" spans="1:25" x14ac:dyDescent="0.25">
      <c r="A16" s="107" t="s">
        <v>36</v>
      </c>
      <c r="B16" s="107" t="s">
        <v>2943</v>
      </c>
      <c r="C16" s="107" t="s">
        <v>2998</v>
      </c>
      <c r="D16" s="107" t="s">
        <v>2999</v>
      </c>
      <c r="E16" s="107"/>
      <c r="F16" s="107"/>
      <c r="G16" s="107" t="s">
        <v>36</v>
      </c>
      <c r="H16" s="107" t="s">
        <v>37</v>
      </c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 t="s">
        <v>3000</v>
      </c>
      <c r="V16" s="107" t="s">
        <v>3001</v>
      </c>
      <c r="W16" s="107" t="s">
        <v>2942</v>
      </c>
      <c r="X16" s="107"/>
      <c r="Y16" s="107">
        <v>91748</v>
      </c>
    </row>
    <row r="17" spans="1:25" s="103" customFormat="1" x14ac:dyDescent="0.25">
      <c r="A17" s="102" t="s">
        <v>1850</v>
      </c>
      <c r="B17" s="102" t="s">
        <v>2943</v>
      </c>
      <c r="C17" s="102" t="s">
        <v>3002</v>
      </c>
      <c r="D17" s="102" t="s">
        <v>3003</v>
      </c>
      <c r="E17" s="102"/>
      <c r="F17" s="102"/>
      <c r="G17" s="102" t="s">
        <v>1850</v>
      </c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 t="s">
        <v>3004</v>
      </c>
      <c r="V17" s="102" t="s">
        <v>3005</v>
      </c>
      <c r="W17" s="102" t="s">
        <v>2942</v>
      </c>
      <c r="X17" s="102"/>
      <c r="Y17" s="102">
        <v>91782</v>
      </c>
    </row>
    <row r="18" spans="1:25" x14ac:dyDescent="0.25">
      <c r="A18" s="107" t="s">
        <v>52</v>
      </c>
      <c r="B18" s="107" t="s">
        <v>2943</v>
      </c>
      <c r="C18" s="107" t="s">
        <v>3006</v>
      </c>
      <c r="D18" s="107" t="s">
        <v>3007</v>
      </c>
      <c r="E18" s="107"/>
      <c r="F18" s="107"/>
      <c r="G18" s="107" t="s">
        <v>63</v>
      </c>
      <c r="H18" s="107" t="s">
        <v>64</v>
      </c>
      <c r="I18" s="107" t="s">
        <v>52</v>
      </c>
      <c r="J18" s="107" t="s">
        <v>65</v>
      </c>
      <c r="K18" s="107"/>
      <c r="L18" s="107"/>
      <c r="M18" s="107"/>
      <c r="N18" s="107"/>
      <c r="O18" s="107"/>
      <c r="P18" s="107"/>
      <c r="Q18" s="107"/>
      <c r="R18" s="107"/>
      <c r="S18" s="107" t="s">
        <v>3008</v>
      </c>
      <c r="T18" s="107" t="s">
        <v>3009</v>
      </c>
      <c r="U18" s="107" t="s">
        <v>2948</v>
      </c>
      <c r="V18" s="107" t="s">
        <v>2949</v>
      </c>
      <c r="W18" s="107" t="s">
        <v>2942</v>
      </c>
      <c r="X18" s="107"/>
      <c r="Y18" s="107">
        <v>91808</v>
      </c>
    </row>
    <row r="19" spans="1:25" x14ac:dyDescent="0.25">
      <c r="A19" s="107" t="s">
        <v>40</v>
      </c>
      <c r="B19" s="107" t="s">
        <v>2943</v>
      </c>
      <c r="C19" s="107" t="s">
        <v>3010</v>
      </c>
      <c r="D19" s="107" t="s">
        <v>3011</v>
      </c>
      <c r="E19" s="107"/>
      <c r="F19" s="107"/>
      <c r="G19" s="107" t="s">
        <v>40</v>
      </c>
      <c r="H19" s="107" t="s">
        <v>41</v>
      </c>
      <c r="I19" s="107" t="s">
        <v>42</v>
      </c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 t="s">
        <v>3012</v>
      </c>
      <c r="V19" s="107" t="s">
        <v>3013</v>
      </c>
      <c r="W19" s="107" t="s">
        <v>2942</v>
      </c>
      <c r="X19" s="107"/>
      <c r="Y19" s="107">
        <v>91841</v>
      </c>
    </row>
    <row r="20" spans="1:25" x14ac:dyDescent="0.25">
      <c r="A20" s="107" t="s">
        <v>53</v>
      </c>
      <c r="B20" s="107" t="s">
        <v>2943</v>
      </c>
      <c r="C20" s="107" t="s">
        <v>3014</v>
      </c>
      <c r="D20" s="107" t="s">
        <v>3015</v>
      </c>
      <c r="E20" s="107"/>
      <c r="F20" s="107"/>
      <c r="G20" s="107" t="s">
        <v>53</v>
      </c>
      <c r="H20" s="107" t="s">
        <v>55</v>
      </c>
      <c r="I20" s="107" t="s">
        <v>105</v>
      </c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 t="s">
        <v>3016</v>
      </c>
      <c r="V20" s="107" t="s">
        <v>3017</v>
      </c>
      <c r="W20" s="107" t="s">
        <v>2942</v>
      </c>
      <c r="X20" s="107"/>
      <c r="Y20" s="107">
        <v>91857</v>
      </c>
    </row>
    <row r="21" spans="1:25" x14ac:dyDescent="0.25">
      <c r="A21" s="107" t="s">
        <v>54</v>
      </c>
      <c r="B21" s="107" t="s">
        <v>2943</v>
      </c>
      <c r="C21" s="107" t="s">
        <v>3018</v>
      </c>
      <c r="D21" s="107" t="s">
        <v>3019</v>
      </c>
      <c r="E21" s="107"/>
      <c r="F21" s="107"/>
      <c r="G21" s="107" t="s">
        <v>54</v>
      </c>
      <c r="H21" s="107" t="s">
        <v>150</v>
      </c>
      <c r="I21" s="107" t="s">
        <v>107</v>
      </c>
      <c r="J21" s="107"/>
      <c r="K21" s="107"/>
      <c r="L21" s="107"/>
      <c r="M21" s="107"/>
      <c r="N21" s="107"/>
      <c r="O21" s="107"/>
      <c r="P21" s="107"/>
      <c r="Q21" s="107"/>
      <c r="R21" s="107"/>
      <c r="S21" s="107" t="s">
        <v>3020</v>
      </c>
      <c r="T21" s="107" t="s">
        <v>3021</v>
      </c>
      <c r="U21" s="107" t="s">
        <v>3022</v>
      </c>
      <c r="V21" s="107" t="s">
        <v>3023</v>
      </c>
      <c r="W21" s="107" t="s">
        <v>2942</v>
      </c>
      <c r="X21" s="107"/>
      <c r="Y21" s="107">
        <v>91866</v>
      </c>
    </row>
    <row r="22" spans="1:25" x14ac:dyDescent="0.25">
      <c r="A22" s="107" t="s">
        <v>55</v>
      </c>
      <c r="B22" s="107" t="s">
        <v>2943</v>
      </c>
      <c r="C22" s="107" t="s">
        <v>3024</v>
      </c>
      <c r="D22" s="107" t="s">
        <v>3025</v>
      </c>
      <c r="E22" s="107"/>
      <c r="F22" s="107"/>
      <c r="G22" s="107" t="s">
        <v>55</v>
      </c>
      <c r="H22" s="107" t="s">
        <v>53</v>
      </c>
      <c r="I22" s="107" t="s">
        <v>105</v>
      </c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 t="s">
        <v>3016</v>
      </c>
      <c r="V22" s="107" t="s">
        <v>3017</v>
      </c>
      <c r="W22" s="107" t="s">
        <v>2942</v>
      </c>
      <c r="X22" s="107"/>
      <c r="Y22" s="107">
        <v>91878</v>
      </c>
    </row>
    <row r="23" spans="1:25" x14ac:dyDescent="0.25">
      <c r="A23" s="107" t="s">
        <v>56</v>
      </c>
      <c r="B23" s="107" t="s">
        <v>2943</v>
      </c>
      <c r="C23" s="107" t="s">
        <v>3026</v>
      </c>
      <c r="D23" s="107" t="s">
        <v>3027</v>
      </c>
      <c r="E23" s="107"/>
      <c r="F23" s="107"/>
      <c r="G23" s="107" t="s">
        <v>56</v>
      </c>
      <c r="H23" s="107" t="s">
        <v>58</v>
      </c>
      <c r="I23" s="107" t="s">
        <v>57</v>
      </c>
      <c r="J23" s="107" t="s">
        <v>59</v>
      </c>
      <c r="K23" s="107" t="s">
        <v>60</v>
      </c>
      <c r="L23" s="107"/>
      <c r="M23" s="107"/>
      <c r="N23" s="107"/>
      <c r="O23" s="107"/>
      <c r="P23" s="107"/>
      <c r="Q23" s="107"/>
      <c r="R23" s="107"/>
      <c r="S23" s="107"/>
      <c r="T23" s="107"/>
      <c r="U23" s="107" t="s">
        <v>3016</v>
      </c>
      <c r="V23" s="107" t="s">
        <v>3028</v>
      </c>
      <c r="W23" s="107" t="s">
        <v>2942</v>
      </c>
      <c r="X23" s="107"/>
      <c r="Y23" s="107">
        <v>91886</v>
      </c>
    </row>
    <row r="24" spans="1:25" x14ac:dyDescent="0.25">
      <c r="A24" s="107" t="s">
        <v>57</v>
      </c>
      <c r="B24" s="107" t="s">
        <v>2943</v>
      </c>
      <c r="C24" s="107" t="s">
        <v>3029</v>
      </c>
      <c r="D24" s="107" t="s">
        <v>3030</v>
      </c>
      <c r="E24" s="107"/>
      <c r="F24" s="107"/>
      <c r="G24" s="107" t="s">
        <v>56</v>
      </c>
      <c r="H24" s="107" t="s">
        <v>58</v>
      </c>
      <c r="I24" s="107" t="s">
        <v>59</v>
      </c>
      <c r="J24" s="107" t="s">
        <v>60</v>
      </c>
      <c r="K24" s="107" t="s">
        <v>57</v>
      </c>
      <c r="L24" s="107"/>
      <c r="M24" s="107"/>
      <c r="N24" s="107"/>
      <c r="O24" s="107"/>
      <c r="P24" s="107"/>
      <c r="Q24" s="107"/>
      <c r="R24" s="107"/>
      <c r="S24" s="107"/>
      <c r="T24" s="107"/>
      <c r="U24" s="107" t="s">
        <v>3016</v>
      </c>
      <c r="V24" s="107" t="s">
        <v>3028</v>
      </c>
      <c r="W24" s="107" t="s">
        <v>2942</v>
      </c>
      <c r="X24" s="107"/>
      <c r="Y24" s="107">
        <v>91891</v>
      </c>
    </row>
    <row r="25" spans="1:25" x14ac:dyDescent="0.25">
      <c r="A25" s="107" t="s">
        <v>58</v>
      </c>
      <c r="B25" s="107" t="s">
        <v>2943</v>
      </c>
      <c r="C25" s="107" t="s">
        <v>3031</v>
      </c>
      <c r="D25" s="107" t="s">
        <v>3032</v>
      </c>
      <c r="E25" s="107"/>
      <c r="F25" s="107"/>
      <c r="G25" s="107" t="s">
        <v>58</v>
      </c>
      <c r="H25" s="107" t="s">
        <v>56</v>
      </c>
      <c r="I25" s="107" t="s">
        <v>57</v>
      </c>
      <c r="J25" s="107" t="s">
        <v>60</v>
      </c>
      <c r="K25" s="107" t="s">
        <v>59</v>
      </c>
      <c r="L25" s="107"/>
      <c r="M25" s="107"/>
      <c r="N25" s="107"/>
      <c r="O25" s="107"/>
      <c r="P25" s="107"/>
      <c r="Q25" s="107"/>
      <c r="R25" s="107"/>
      <c r="S25" s="107"/>
      <c r="T25" s="107"/>
      <c r="U25" s="107" t="s">
        <v>3016</v>
      </c>
      <c r="V25" s="107" t="s">
        <v>3005</v>
      </c>
      <c r="W25" s="107" t="s">
        <v>2942</v>
      </c>
      <c r="X25" s="107"/>
      <c r="Y25" s="107">
        <v>91895</v>
      </c>
    </row>
    <row r="26" spans="1:25" x14ac:dyDescent="0.25">
      <c r="A26" s="107" t="s">
        <v>59</v>
      </c>
      <c r="B26" s="107" t="s">
        <v>2943</v>
      </c>
      <c r="C26" s="107" t="s">
        <v>3033</v>
      </c>
      <c r="D26" s="107" t="s">
        <v>3034</v>
      </c>
      <c r="E26" s="107"/>
      <c r="F26" s="107"/>
      <c r="G26" s="107" t="s">
        <v>59</v>
      </c>
      <c r="H26" s="107" t="s">
        <v>56</v>
      </c>
      <c r="I26" s="107" t="s">
        <v>58</v>
      </c>
      <c r="J26" s="107" t="s">
        <v>57</v>
      </c>
      <c r="K26" s="107" t="s">
        <v>60</v>
      </c>
      <c r="L26" s="107"/>
      <c r="M26" s="107"/>
      <c r="N26" s="107"/>
      <c r="O26" s="107"/>
      <c r="P26" s="107"/>
      <c r="Q26" s="107"/>
      <c r="R26" s="107"/>
      <c r="S26" s="107"/>
      <c r="T26" s="107"/>
      <c r="U26" s="107" t="s">
        <v>3016</v>
      </c>
      <c r="V26" s="107" t="s">
        <v>3028</v>
      </c>
      <c r="W26" s="107" t="s">
        <v>2942</v>
      </c>
      <c r="X26" s="107"/>
      <c r="Y26" s="107">
        <v>91900</v>
      </c>
    </row>
    <row r="27" spans="1:25" x14ac:dyDescent="0.25">
      <c r="A27" s="107" t="s">
        <v>60</v>
      </c>
      <c r="B27" s="107" t="s">
        <v>2943</v>
      </c>
      <c r="C27" s="107" t="s">
        <v>3035</v>
      </c>
      <c r="D27" s="107" t="s">
        <v>3036</v>
      </c>
      <c r="E27" s="107"/>
      <c r="F27" s="107"/>
      <c r="G27" s="107" t="s">
        <v>60</v>
      </c>
      <c r="H27" s="107" t="s">
        <v>59</v>
      </c>
      <c r="I27" s="107" t="s">
        <v>57</v>
      </c>
      <c r="J27" s="107" t="s">
        <v>56</v>
      </c>
      <c r="K27" s="107" t="s">
        <v>58</v>
      </c>
      <c r="L27" s="107"/>
      <c r="M27" s="107"/>
      <c r="N27" s="107"/>
      <c r="O27" s="107"/>
      <c r="P27" s="107"/>
      <c r="Q27" s="107"/>
      <c r="R27" s="107"/>
      <c r="S27" s="107"/>
      <c r="T27" s="107"/>
      <c r="U27" s="107" t="s">
        <v>3016</v>
      </c>
      <c r="V27" s="107" t="s">
        <v>3028</v>
      </c>
      <c r="W27" s="107" t="s">
        <v>2942</v>
      </c>
      <c r="X27" s="107"/>
      <c r="Y27" s="107">
        <v>91904</v>
      </c>
    </row>
    <row r="28" spans="1:25" x14ac:dyDescent="0.25">
      <c r="A28" s="107" t="s">
        <v>61</v>
      </c>
      <c r="B28" s="107" t="s">
        <v>2943</v>
      </c>
      <c r="C28" s="107" t="s">
        <v>3037</v>
      </c>
      <c r="D28" s="107" t="s">
        <v>3038</v>
      </c>
      <c r="E28" s="107"/>
      <c r="F28" s="107"/>
      <c r="G28" s="107" t="s">
        <v>61</v>
      </c>
      <c r="H28" s="107" t="s">
        <v>66</v>
      </c>
      <c r="I28" s="107" t="s">
        <v>67</v>
      </c>
      <c r="J28" s="107" t="s">
        <v>68</v>
      </c>
      <c r="K28" s="107"/>
      <c r="L28" s="107"/>
      <c r="M28" s="107"/>
      <c r="N28" s="107"/>
      <c r="O28" s="107"/>
      <c r="P28" s="107"/>
      <c r="Q28" s="107"/>
      <c r="R28" s="107"/>
      <c r="S28" s="107" t="s">
        <v>3039</v>
      </c>
      <c r="T28" s="107" t="s">
        <v>3040</v>
      </c>
      <c r="U28" s="107" t="s">
        <v>2948</v>
      </c>
      <c r="V28" s="107" t="s">
        <v>2949</v>
      </c>
      <c r="W28" s="107" t="s">
        <v>2942</v>
      </c>
      <c r="X28" s="107"/>
      <c r="Y28" s="107">
        <v>91949</v>
      </c>
    </row>
    <row r="29" spans="1:25" x14ac:dyDescent="0.25">
      <c r="A29" s="107" t="s">
        <v>62</v>
      </c>
      <c r="B29" s="107" t="s">
        <v>2943</v>
      </c>
      <c r="C29" s="107" t="s">
        <v>3041</v>
      </c>
      <c r="D29" s="107" t="s">
        <v>3042</v>
      </c>
      <c r="E29" s="107"/>
      <c r="F29" s="107"/>
      <c r="G29" s="107" t="s">
        <v>62</v>
      </c>
      <c r="H29" s="107" t="s">
        <v>151</v>
      </c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 t="s">
        <v>3043</v>
      </c>
      <c r="V29" s="107" t="s">
        <v>3005</v>
      </c>
      <c r="W29" s="107" t="s">
        <v>2942</v>
      </c>
      <c r="X29" s="107"/>
      <c r="Y29" s="107">
        <v>91969</v>
      </c>
    </row>
    <row r="30" spans="1:25" x14ac:dyDescent="0.25">
      <c r="A30" s="107" t="s">
        <v>63</v>
      </c>
      <c r="B30" s="107" t="s">
        <v>2943</v>
      </c>
      <c r="C30" s="107" t="s">
        <v>3044</v>
      </c>
      <c r="D30" s="107" t="s">
        <v>3045</v>
      </c>
      <c r="E30" s="107"/>
      <c r="F30" s="107"/>
      <c r="G30" s="107" t="s">
        <v>63</v>
      </c>
      <c r="H30" s="107" t="s">
        <v>64</v>
      </c>
      <c r="I30" s="107" t="s">
        <v>52</v>
      </c>
      <c r="J30" s="107" t="s">
        <v>65</v>
      </c>
      <c r="K30" s="107"/>
      <c r="L30" s="107"/>
      <c r="M30" s="107"/>
      <c r="N30" s="107"/>
      <c r="O30" s="107"/>
      <c r="P30" s="107"/>
      <c r="Q30" s="107"/>
      <c r="R30" s="107"/>
      <c r="S30" s="107" t="s">
        <v>3046</v>
      </c>
      <c r="T30" s="107" t="s">
        <v>3047</v>
      </c>
      <c r="U30" s="107" t="s">
        <v>2948</v>
      </c>
      <c r="V30" s="107" t="s">
        <v>2949</v>
      </c>
      <c r="W30" s="107" t="s">
        <v>2942</v>
      </c>
      <c r="X30" s="107"/>
      <c r="Y30" s="107">
        <v>91974</v>
      </c>
    </row>
    <row r="31" spans="1:25" x14ac:dyDescent="0.25">
      <c r="A31" s="107" t="s">
        <v>64</v>
      </c>
      <c r="B31" s="107" t="s">
        <v>2943</v>
      </c>
      <c r="C31" s="107" t="s">
        <v>3048</v>
      </c>
      <c r="D31" s="107" t="s">
        <v>3049</v>
      </c>
      <c r="E31" s="107"/>
      <c r="F31" s="107"/>
      <c r="G31" s="107" t="s">
        <v>63</v>
      </c>
      <c r="H31" s="107" t="s">
        <v>64</v>
      </c>
      <c r="I31" s="107" t="s">
        <v>52</v>
      </c>
      <c r="J31" s="107" t="s">
        <v>65</v>
      </c>
      <c r="K31" s="107"/>
      <c r="L31" s="107"/>
      <c r="M31" s="107"/>
      <c r="N31" s="107"/>
      <c r="O31" s="107"/>
      <c r="P31" s="107"/>
      <c r="Q31" s="107"/>
      <c r="R31" s="107"/>
      <c r="S31" s="107" t="s">
        <v>3050</v>
      </c>
      <c r="T31" s="107" t="s">
        <v>3009</v>
      </c>
      <c r="U31" s="107" t="s">
        <v>2948</v>
      </c>
      <c r="V31" s="107" t="s">
        <v>2949</v>
      </c>
      <c r="W31" s="107" t="s">
        <v>2942</v>
      </c>
      <c r="X31" s="107"/>
      <c r="Y31" s="107">
        <v>91980</v>
      </c>
    </row>
    <row r="32" spans="1:25" x14ac:dyDescent="0.25">
      <c r="A32" s="107" t="s">
        <v>65</v>
      </c>
      <c r="B32" s="107" t="s">
        <v>2943</v>
      </c>
      <c r="C32" s="107" t="s">
        <v>3051</v>
      </c>
      <c r="D32" s="107" t="s">
        <v>3052</v>
      </c>
      <c r="E32" s="107"/>
      <c r="F32" s="107"/>
      <c r="G32" s="107" t="s">
        <v>63</v>
      </c>
      <c r="H32" s="107" t="s">
        <v>64</v>
      </c>
      <c r="I32" s="107" t="s">
        <v>52</v>
      </c>
      <c r="J32" s="107" t="s">
        <v>65</v>
      </c>
      <c r="K32" s="107"/>
      <c r="L32" s="107"/>
      <c r="M32" s="107"/>
      <c r="N32" s="107"/>
      <c r="O32" s="107"/>
      <c r="P32" s="107"/>
      <c r="Q32" s="107"/>
      <c r="R32" s="107"/>
      <c r="S32" s="107" t="s">
        <v>3053</v>
      </c>
      <c r="T32" s="107" t="s">
        <v>3009</v>
      </c>
      <c r="U32" s="107" t="s">
        <v>2948</v>
      </c>
      <c r="V32" s="107" t="s">
        <v>2949</v>
      </c>
      <c r="W32" s="107" t="s">
        <v>2942</v>
      </c>
      <c r="X32" s="107"/>
      <c r="Y32" s="107">
        <v>91988</v>
      </c>
    </row>
    <row r="33" spans="1:25" x14ac:dyDescent="0.25">
      <c r="A33" s="107" t="s">
        <v>66</v>
      </c>
      <c r="B33" s="107" t="s">
        <v>2943</v>
      </c>
      <c r="C33" s="107" t="s">
        <v>3054</v>
      </c>
      <c r="D33" s="107" t="s">
        <v>3055</v>
      </c>
      <c r="E33" s="107"/>
      <c r="F33" s="107"/>
      <c r="G33" s="107" t="s">
        <v>61</v>
      </c>
      <c r="H33" s="107" t="s">
        <v>66</v>
      </c>
      <c r="I33" s="107" t="s">
        <v>67</v>
      </c>
      <c r="J33" s="107" t="s">
        <v>68</v>
      </c>
      <c r="K33" s="107"/>
      <c r="L33" s="107"/>
      <c r="M33" s="107"/>
      <c r="N33" s="107"/>
      <c r="O33" s="107"/>
      <c r="P33" s="107"/>
      <c r="Q33" s="107"/>
      <c r="R33" s="107"/>
      <c r="S33" s="107" t="s">
        <v>3056</v>
      </c>
      <c r="T33" s="107" t="s">
        <v>3057</v>
      </c>
      <c r="U33" s="107" t="s">
        <v>2948</v>
      </c>
      <c r="V33" s="107" t="s">
        <v>2949</v>
      </c>
      <c r="W33" s="107" t="s">
        <v>2942</v>
      </c>
      <c r="X33" s="107"/>
      <c r="Y33" s="107">
        <v>91992</v>
      </c>
    </row>
    <row r="34" spans="1:25" x14ac:dyDescent="0.25">
      <c r="A34" s="107" t="s">
        <v>67</v>
      </c>
      <c r="B34" s="107" t="s">
        <v>2943</v>
      </c>
      <c r="C34" s="107" t="s">
        <v>3058</v>
      </c>
      <c r="D34" s="107" t="s">
        <v>3059</v>
      </c>
      <c r="E34" s="107"/>
      <c r="F34" s="107"/>
      <c r="G34" s="107" t="s">
        <v>61</v>
      </c>
      <c r="H34" s="107" t="s">
        <v>66</v>
      </c>
      <c r="I34" s="107" t="s">
        <v>67</v>
      </c>
      <c r="J34" s="107" t="s">
        <v>68</v>
      </c>
      <c r="K34" s="107"/>
      <c r="L34" s="107"/>
      <c r="M34" s="107"/>
      <c r="N34" s="107"/>
      <c r="O34" s="107"/>
      <c r="P34" s="107"/>
      <c r="Q34" s="107"/>
      <c r="R34" s="107"/>
      <c r="S34" s="107" t="s">
        <v>3060</v>
      </c>
      <c r="T34" s="107" t="s">
        <v>3057</v>
      </c>
      <c r="U34" s="107" t="s">
        <v>2948</v>
      </c>
      <c r="V34" s="107" t="s">
        <v>2949</v>
      </c>
      <c r="W34" s="107" t="s">
        <v>2942</v>
      </c>
      <c r="X34" s="107"/>
      <c r="Y34" s="107">
        <v>91997</v>
      </c>
    </row>
    <row r="35" spans="1:25" x14ac:dyDescent="0.25">
      <c r="A35" s="107" t="s">
        <v>68</v>
      </c>
      <c r="B35" s="107" t="s">
        <v>2943</v>
      </c>
      <c r="C35" s="107" t="s">
        <v>3061</v>
      </c>
      <c r="D35" s="107" t="s">
        <v>3062</v>
      </c>
      <c r="E35" s="107"/>
      <c r="F35" s="107"/>
      <c r="G35" s="107" t="s">
        <v>61</v>
      </c>
      <c r="H35" s="107" t="s">
        <v>66</v>
      </c>
      <c r="I35" s="107" t="s">
        <v>67</v>
      </c>
      <c r="J35" s="107" t="s">
        <v>68</v>
      </c>
      <c r="K35" s="107"/>
      <c r="L35" s="107"/>
      <c r="M35" s="107"/>
      <c r="N35" s="107"/>
      <c r="O35" s="107"/>
      <c r="P35" s="107"/>
      <c r="Q35" s="107"/>
      <c r="R35" s="107"/>
      <c r="S35" s="107" t="s">
        <v>3063</v>
      </c>
      <c r="T35" s="107" t="s">
        <v>3064</v>
      </c>
      <c r="U35" s="107" t="s">
        <v>2948</v>
      </c>
      <c r="V35" s="107" t="s">
        <v>2949</v>
      </c>
      <c r="W35" s="107" t="s">
        <v>2942</v>
      </c>
      <c r="X35" s="107"/>
      <c r="Y35" s="107">
        <v>92002</v>
      </c>
    </row>
    <row r="36" spans="1:25" x14ac:dyDescent="0.25">
      <c r="A36" s="107" t="s">
        <v>69</v>
      </c>
      <c r="B36" s="107" t="s">
        <v>2943</v>
      </c>
      <c r="C36" s="107" t="s">
        <v>3065</v>
      </c>
      <c r="D36" s="107" t="s">
        <v>3066</v>
      </c>
      <c r="E36" s="107"/>
      <c r="F36" s="107"/>
      <c r="G36" s="107" t="s">
        <v>61</v>
      </c>
      <c r="H36" s="107" t="s">
        <v>66</v>
      </c>
      <c r="I36" s="107" t="s">
        <v>67</v>
      </c>
      <c r="J36" s="107" t="s">
        <v>69</v>
      </c>
      <c r="K36" s="107" t="s">
        <v>68</v>
      </c>
      <c r="L36" s="107"/>
      <c r="M36" s="107"/>
      <c r="N36" s="107"/>
      <c r="O36" s="107"/>
      <c r="P36" s="107"/>
      <c r="Q36" s="107"/>
      <c r="R36" s="107"/>
      <c r="S36" s="107" t="s">
        <v>3067</v>
      </c>
      <c r="T36" s="107" t="s">
        <v>3064</v>
      </c>
      <c r="U36" s="107" t="s">
        <v>2948</v>
      </c>
      <c r="V36" s="107" t="s">
        <v>2949</v>
      </c>
      <c r="W36" s="107" t="s">
        <v>2942</v>
      </c>
      <c r="X36" s="107"/>
      <c r="Y36" s="107">
        <v>92007</v>
      </c>
    </row>
    <row r="37" spans="1:25" x14ac:dyDescent="0.25">
      <c r="A37" s="107" t="s">
        <v>70</v>
      </c>
      <c r="B37" s="107" t="s">
        <v>2943</v>
      </c>
      <c r="C37" s="107" t="s">
        <v>3068</v>
      </c>
      <c r="D37" s="107" t="s">
        <v>3069</v>
      </c>
      <c r="E37" s="107"/>
      <c r="F37" s="107"/>
      <c r="G37" s="107" t="s">
        <v>70</v>
      </c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 t="s">
        <v>3016</v>
      </c>
      <c r="V37" s="107" t="s">
        <v>3005</v>
      </c>
      <c r="W37" s="107" t="s">
        <v>2942</v>
      </c>
      <c r="X37" s="107"/>
      <c r="Y37" s="107">
        <v>92012</v>
      </c>
    </row>
    <row r="38" spans="1:25" x14ac:dyDescent="0.25">
      <c r="A38" s="107" t="s">
        <v>71</v>
      </c>
      <c r="B38" s="107" t="s">
        <v>2943</v>
      </c>
      <c r="C38" s="107" t="s">
        <v>3070</v>
      </c>
      <c r="D38" s="107" t="s">
        <v>3071</v>
      </c>
      <c r="E38" s="107"/>
      <c r="F38" s="107"/>
      <c r="G38" s="107" t="s">
        <v>153</v>
      </c>
      <c r="H38" s="107" t="s">
        <v>71</v>
      </c>
      <c r="I38" s="107" t="s">
        <v>108</v>
      </c>
      <c r="J38" s="107" t="s">
        <v>154</v>
      </c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 t="s">
        <v>3072</v>
      </c>
      <c r="V38" s="107" t="s">
        <v>3017</v>
      </c>
      <c r="W38" s="107" t="s">
        <v>2942</v>
      </c>
      <c r="X38" s="107"/>
      <c r="Y38" s="107">
        <v>92038</v>
      </c>
    </row>
    <row r="39" spans="1:25" x14ac:dyDescent="0.25">
      <c r="A39" s="107" t="s">
        <v>72</v>
      </c>
      <c r="B39" s="107" t="s">
        <v>2943</v>
      </c>
      <c r="C39" s="107" t="s">
        <v>3073</v>
      </c>
      <c r="D39" s="107" t="s">
        <v>3074</v>
      </c>
      <c r="E39" s="107"/>
      <c r="F39" s="107"/>
      <c r="G39" s="107" t="s">
        <v>72</v>
      </c>
      <c r="H39" s="107" t="s">
        <v>112</v>
      </c>
      <c r="I39" s="107" t="s">
        <v>110</v>
      </c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 t="s">
        <v>3075</v>
      </c>
      <c r="V39" s="107" t="s">
        <v>3005</v>
      </c>
      <c r="W39" s="107" t="s">
        <v>2942</v>
      </c>
      <c r="X39" s="107"/>
      <c r="Y39" s="107">
        <v>92045</v>
      </c>
    </row>
    <row r="40" spans="1:25" x14ac:dyDescent="0.25">
      <c r="A40" s="107" t="s">
        <v>73</v>
      </c>
      <c r="B40" s="107" t="s">
        <v>2943</v>
      </c>
      <c r="C40" s="107" t="s">
        <v>3076</v>
      </c>
      <c r="D40" s="107" t="s">
        <v>3077</v>
      </c>
      <c r="E40" s="107"/>
      <c r="F40" s="107"/>
      <c r="G40" s="107" t="s">
        <v>73</v>
      </c>
      <c r="H40" s="107" t="s">
        <v>113</v>
      </c>
      <c r="I40" s="107" t="s">
        <v>111</v>
      </c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 t="s">
        <v>3078</v>
      </c>
      <c r="V40" s="107" t="s">
        <v>3079</v>
      </c>
      <c r="W40" s="107" t="s">
        <v>2942</v>
      </c>
      <c r="X40" s="107"/>
      <c r="Y40" s="107">
        <v>92052</v>
      </c>
    </row>
    <row r="41" spans="1:25" x14ac:dyDescent="0.25">
      <c r="A41" s="107" t="s">
        <v>74</v>
      </c>
      <c r="B41" s="107" t="s">
        <v>2943</v>
      </c>
      <c r="C41" s="107" t="s">
        <v>3080</v>
      </c>
      <c r="D41" s="107" t="s">
        <v>3081</v>
      </c>
      <c r="E41" s="107"/>
      <c r="F41" s="107"/>
      <c r="G41" s="107" t="s">
        <v>74</v>
      </c>
      <c r="H41" s="107" t="s">
        <v>75</v>
      </c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 t="s">
        <v>3082</v>
      </c>
      <c r="V41" s="107" t="s">
        <v>2949</v>
      </c>
      <c r="W41" s="107" t="s">
        <v>2942</v>
      </c>
      <c r="X41" s="107"/>
      <c r="Y41" s="107">
        <v>92067</v>
      </c>
    </row>
    <row r="42" spans="1:25" x14ac:dyDescent="0.25">
      <c r="A42" s="107" t="s">
        <v>75</v>
      </c>
      <c r="B42" s="107" t="s">
        <v>2943</v>
      </c>
      <c r="C42" s="107" t="s">
        <v>3083</v>
      </c>
      <c r="D42" s="107" t="s">
        <v>3084</v>
      </c>
      <c r="E42" s="107"/>
      <c r="F42" s="107"/>
      <c r="G42" s="107" t="s">
        <v>75</v>
      </c>
      <c r="H42" s="107" t="s">
        <v>74</v>
      </c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 t="s">
        <v>3082</v>
      </c>
      <c r="V42" s="107" t="s">
        <v>2949</v>
      </c>
      <c r="W42" s="107" t="s">
        <v>2942</v>
      </c>
      <c r="X42" s="107"/>
      <c r="Y42" s="107">
        <v>92072</v>
      </c>
    </row>
    <row r="43" spans="1:25" x14ac:dyDescent="0.25">
      <c r="A43" s="107" t="s">
        <v>76</v>
      </c>
      <c r="B43" s="107" t="s">
        <v>2943</v>
      </c>
      <c r="C43" s="107" t="s">
        <v>3085</v>
      </c>
      <c r="D43" s="107" t="s">
        <v>3086</v>
      </c>
      <c r="E43" s="107"/>
      <c r="F43" s="107"/>
      <c r="G43" s="107" t="s">
        <v>155</v>
      </c>
      <c r="H43" s="107" t="s">
        <v>76</v>
      </c>
      <c r="I43" s="107" t="s">
        <v>144</v>
      </c>
      <c r="J43" s="107" t="s">
        <v>145</v>
      </c>
      <c r="K43" s="107" t="s">
        <v>146</v>
      </c>
      <c r="L43" s="107" t="s">
        <v>147</v>
      </c>
      <c r="M43" s="107"/>
      <c r="N43" s="107"/>
      <c r="O43" s="107"/>
      <c r="P43" s="107"/>
      <c r="Q43" s="107"/>
      <c r="R43" s="107"/>
      <c r="S43" s="107"/>
      <c r="T43" s="107"/>
      <c r="U43" s="107" t="s">
        <v>3087</v>
      </c>
      <c r="V43" s="107" t="s">
        <v>3088</v>
      </c>
      <c r="W43" s="107" t="s">
        <v>2942</v>
      </c>
      <c r="X43" s="107"/>
      <c r="Y43" s="107">
        <v>92079</v>
      </c>
    </row>
    <row r="44" spans="1:25" x14ac:dyDescent="0.25">
      <c r="A44" s="107" t="s">
        <v>77</v>
      </c>
      <c r="B44" s="107" t="s">
        <v>2943</v>
      </c>
      <c r="C44" s="107" t="s">
        <v>3089</v>
      </c>
      <c r="D44" s="107" t="s">
        <v>3090</v>
      </c>
      <c r="E44" s="107"/>
      <c r="F44" s="107"/>
      <c r="G44" s="107" t="s">
        <v>77</v>
      </c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 t="s">
        <v>3091</v>
      </c>
      <c r="V44" s="107" t="s">
        <v>3005</v>
      </c>
      <c r="W44" s="107" t="s">
        <v>2942</v>
      </c>
      <c r="X44" s="107"/>
      <c r="Y44" s="107">
        <v>92084</v>
      </c>
    </row>
    <row r="45" spans="1:25" x14ac:dyDescent="0.25">
      <c r="A45" s="107" t="s">
        <v>78</v>
      </c>
      <c r="B45" s="107" t="s">
        <v>2943</v>
      </c>
      <c r="C45" s="107" t="s">
        <v>3092</v>
      </c>
      <c r="D45" s="107" t="s">
        <v>3093</v>
      </c>
      <c r="E45" s="107"/>
      <c r="F45" s="107"/>
      <c r="G45" s="107" t="s">
        <v>78</v>
      </c>
      <c r="H45" s="107" t="s">
        <v>141</v>
      </c>
      <c r="I45" s="107" t="s">
        <v>142</v>
      </c>
      <c r="J45" s="107" t="s">
        <v>143</v>
      </c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 t="s">
        <v>3091</v>
      </c>
      <c r="V45" s="107" t="s">
        <v>3005</v>
      </c>
      <c r="W45" s="107" t="s">
        <v>2942</v>
      </c>
      <c r="X45" s="107"/>
      <c r="Y45" s="107">
        <v>92180</v>
      </c>
    </row>
    <row r="46" spans="1:25" x14ac:dyDescent="0.25">
      <c r="A46" s="107" t="s">
        <v>79</v>
      </c>
      <c r="B46" s="107" t="s">
        <v>2943</v>
      </c>
      <c r="C46" s="107" t="s">
        <v>3094</v>
      </c>
      <c r="D46" s="107" t="s">
        <v>3095</v>
      </c>
      <c r="E46" s="107"/>
      <c r="F46" s="107"/>
      <c r="G46" s="107" t="s">
        <v>79</v>
      </c>
      <c r="H46" s="107" t="s">
        <v>98</v>
      </c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 t="s">
        <v>3082</v>
      </c>
      <c r="V46" s="107" t="s">
        <v>2949</v>
      </c>
      <c r="W46" s="107" t="s">
        <v>2942</v>
      </c>
      <c r="X46" s="107"/>
      <c r="Y46" s="107">
        <v>92234</v>
      </c>
    </row>
    <row r="47" spans="1:25" x14ac:dyDescent="0.25">
      <c r="A47" s="107" t="s">
        <v>80</v>
      </c>
      <c r="B47" s="107" t="s">
        <v>2943</v>
      </c>
      <c r="C47" s="107" t="s">
        <v>3096</v>
      </c>
      <c r="D47" s="107" t="s">
        <v>3097</v>
      </c>
      <c r="E47" s="107"/>
      <c r="F47" s="107"/>
      <c r="G47" s="107" t="s">
        <v>80</v>
      </c>
      <c r="H47" s="107" t="s">
        <v>156</v>
      </c>
      <c r="I47" s="107" t="s">
        <v>123</v>
      </c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 t="s">
        <v>3098</v>
      </c>
      <c r="V47" s="107" t="s">
        <v>2988</v>
      </c>
      <c r="W47" s="107" t="s">
        <v>2942</v>
      </c>
      <c r="X47" s="107"/>
      <c r="Y47" s="107">
        <v>92713</v>
      </c>
    </row>
    <row r="48" spans="1:25" x14ac:dyDescent="0.25">
      <c r="A48" s="107" t="s">
        <v>81</v>
      </c>
      <c r="B48" s="107" t="s">
        <v>2943</v>
      </c>
      <c r="C48" s="107" t="s">
        <v>3099</v>
      </c>
      <c r="D48" s="107" t="s">
        <v>3100</v>
      </c>
      <c r="E48" s="107"/>
      <c r="F48" s="107"/>
      <c r="G48" s="107" t="s">
        <v>157</v>
      </c>
      <c r="H48" s="107" t="s">
        <v>81</v>
      </c>
      <c r="I48" s="107" t="s">
        <v>124</v>
      </c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 t="s">
        <v>3101</v>
      </c>
      <c r="V48" s="107" t="s">
        <v>3102</v>
      </c>
      <c r="W48" s="107" t="s">
        <v>2942</v>
      </c>
      <c r="X48" s="107"/>
      <c r="Y48" s="107">
        <v>92880</v>
      </c>
    </row>
    <row r="49" spans="1:25" x14ac:dyDescent="0.25">
      <c r="A49" s="107" t="s">
        <v>82</v>
      </c>
      <c r="B49" s="107" t="s">
        <v>2943</v>
      </c>
      <c r="C49" s="107" t="s">
        <v>3103</v>
      </c>
      <c r="D49" s="107" t="s">
        <v>3104</v>
      </c>
      <c r="E49" s="107"/>
      <c r="F49" s="107"/>
      <c r="G49" s="107" t="s">
        <v>82</v>
      </c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 t="s">
        <v>3105</v>
      </c>
      <c r="V49" s="107" t="s">
        <v>3106</v>
      </c>
      <c r="W49" s="107" t="s">
        <v>2942</v>
      </c>
      <c r="X49" s="107"/>
      <c r="Y49" s="107">
        <v>92947</v>
      </c>
    </row>
    <row r="50" spans="1:25" x14ac:dyDescent="0.25">
      <c r="A50" s="107" t="s">
        <v>83</v>
      </c>
      <c r="B50" s="107" t="s">
        <v>2943</v>
      </c>
      <c r="C50" s="107" t="s">
        <v>3107</v>
      </c>
      <c r="D50" s="107" t="s">
        <v>3108</v>
      </c>
      <c r="E50" s="107"/>
      <c r="F50" s="107"/>
      <c r="G50" s="107" t="s">
        <v>83</v>
      </c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 t="s">
        <v>3109</v>
      </c>
      <c r="V50" s="107" t="s">
        <v>3102</v>
      </c>
      <c r="W50" s="107" t="s">
        <v>2942</v>
      </c>
      <c r="X50" s="107"/>
      <c r="Y50" s="107">
        <v>92953</v>
      </c>
    </row>
    <row r="51" spans="1:25" x14ac:dyDescent="0.25">
      <c r="A51" s="107" t="s">
        <v>84</v>
      </c>
      <c r="B51" s="107" t="s">
        <v>2943</v>
      </c>
      <c r="C51" s="107" t="s">
        <v>3110</v>
      </c>
      <c r="D51" s="107" t="s">
        <v>3111</v>
      </c>
      <c r="E51" s="107"/>
      <c r="F51" s="107"/>
      <c r="G51" s="107" t="s">
        <v>84</v>
      </c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 t="s">
        <v>2997</v>
      </c>
      <c r="V51" s="107" t="s">
        <v>2957</v>
      </c>
      <c r="W51" s="107" t="s">
        <v>2942</v>
      </c>
      <c r="X51" s="107"/>
      <c r="Y51" s="107">
        <v>92975</v>
      </c>
    </row>
    <row r="52" spans="1:25" x14ac:dyDescent="0.25">
      <c r="A52" s="107" t="s">
        <v>85</v>
      </c>
      <c r="B52" s="107" t="s">
        <v>2943</v>
      </c>
      <c r="C52" s="107" t="s">
        <v>3112</v>
      </c>
      <c r="D52" s="107" t="s">
        <v>3113</v>
      </c>
      <c r="E52" s="107"/>
      <c r="F52" s="107"/>
      <c r="G52" s="107" t="s">
        <v>85</v>
      </c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 t="s">
        <v>2997</v>
      </c>
      <c r="V52" s="107" t="s">
        <v>2957</v>
      </c>
      <c r="W52" s="107" t="s">
        <v>2942</v>
      </c>
      <c r="X52" s="107"/>
      <c r="Y52" s="107">
        <v>92981</v>
      </c>
    </row>
    <row r="53" spans="1:25" x14ac:dyDescent="0.25">
      <c r="A53" s="107" t="s">
        <v>86</v>
      </c>
      <c r="B53" s="107" t="s">
        <v>2943</v>
      </c>
      <c r="C53" s="107" t="s">
        <v>3114</v>
      </c>
      <c r="D53" s="107" t="s">
        <v>3115</v>
      </c>
      <c r="E53" s="107"/>
      <c r="F53" s="107"/>
      <c r="G53" s="107" t="s">
        <v>86</v>
      </c>
      <c r="H53" s="107" t="s">
        <v>158</v>
      </c>
      <c r="I53" s="107" t="s">
        <v>133</v>
      </c>
      <c r="J53" s="107" t="s">
        <v>134</v>
      </c>
      <c r="K53" s="107" t="s">
        <v>135</v>
      </c>
      <c r="L53" s="107"/>
      <c r="M53" s="107"/>
      <c r="N53" s="107"/>
      <c r="O53" s="107"/>
      <c r="P53" s="107"/>
      <c r="Q53" s="107"/>
      <c r="R53" s="107"/>
      <c r="S53" s="107"/>
      <c r="T53" s="107"/>
      <c r="U53" s="107" t="s">
        <v>2997</v>
      </c>
      <c r="V53" s="107" t="s">
        <v>2957</v>
      </c>
      <c r="W53" s="107" t="s">
        <v>2942</v>
      </c>
      <c r="X53" s="107"/>
      <c r="Y53" s="107">
        <v>92987</v>
      </c>
    </row>
    <row r="54" spans="1:25" x14ac:dyDescent="0.25">
      <c r="A54" s="107" t="s">
        <v>87</v>
      </c>
      <c r="B54" s="107" t="s">
        <v>2943</v>
      </c>
      <c r="C54" s="107" t="s">
        <v>3116</v>
      </c>
      <c r="D54" s="107" t="s">
        <v>3117</v>
      </c>
      <c r="E54" s="107"/>
      <c r="F54" s="107"/>
      <c r="G54" s="107" t="s">
        <v>87</v>
      </c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 t="s">
        <v>3109</v>
      </c>
      <c r="V54" s="107" t="s">
        <v>3102</v>
      </c>
      <c r="W54" s="107" t="s">
        <v>2942</v>
      </c>
      <c r="X54" s="107"/>
      <c r="Y54" s="107">
        <v>93002</v>
      </c>
    </row>
    <row r="55" spans="1:25" x14ac:dyDescent="0.25">
      <c r="A55" s="107" t="s">
        <v>88</v>
      </c>
      <c r="B55" s="107" t="s">
        <v>2943</v>
      </c>
      <c r="C55" s="107" t="s">
        <v>3118</v>
      </c>
      <c r="D55" s="107" t="s">
        <v>3119</v>
      </c>
      <c r="E55" s="107"/>
      <c r="F55" s="107"/>
      <c r="G55" s="107" t="s">
        <v>159</v>
      </c>
      <c r="H55" s="107" t="s">
        <v>88</v>
      </c>
      <c r="I55" s="107" t="s">
        <v>136</v>
      </c>
      <c r="J55" s="107" t="s">
        <v>137</v>
      </c>
      <c r="K55" s="107" t="s">
        <v>138</v>
      </c>
      <c r="L55" s="107" t="s">
        <v>139</v>
      </c>
      <c r="M55" s="107" t="s">
        <v>140</v>
      </c>
      <c r="N55" s="107"/>
      <c r="O55" s="107"/>
      <c r="P55" s="107"/>
      <c r="Q55" s="107"/>
      <c r="R55" s="107"/>
      <c r="S55" s="107"/>
      <c r="T55" s="107"/>
      <c r="U55" s="107" t="s">
        <v>3120</v>
      </c>
      <c r="V55" s="107" t="s">
        <v>3121</v>
      </c>
      <c r="W55" s="107" t="s">
        <v>2942</v>
      </c>
      <c r="X55" s="107"/>
      <c r="Y55" s="107">
        <v>93028</v>
      </c>
    </row>
    <row r="56" spans="1:25" x14ac:dyDescent="0.25">
      <c r="A56" s="107" t="s">
        <v>89</v>
      </c>
      <c r="B56" s="107" t="s">
        <v>2943</v>
      </c>
      <c r="C56" s="107" t="s">
        <v>3122</v>
      </c>
      <c r="D56" s="107" t="s">
        <v>3123</v>
      </c>
      <c r="E56" s="107"/>
      <c r="F56" s="107"/>
      <c r="G56" s="107" t="s">
        <v>89</v>
      </c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 t="s">
        <v>3124</v>
      </c>
      <c r="V56" s="107" t="s">
        <v>3017</v>
      </c>
      <c r="W56" s="107" t="s">
        <v>2942</v>
      </c>
      <c r="X56" s="107"/>
      <c r="Y56" s="107">
        <v>93046</v>
      </c>
    </row>
    <row r="57" spans="1:25" x14ac:dyDescent="0.25">
      <c r="A57" s="107" t="s">
        <v>90</v>
      </c>
      <c r="B57" s="107" t="s">
        <v>2943</v>
      </c>
      <c r="C57" s="107" t="s">
        <v>3125</v>
      </c>
      <c r="D57" s="107" t="s">
        <v>3126</v>
      </c>
      <c r="E57" s="107"/>
      <c r="F57" s="107"/>
      <c r="G57" s="107" t="s">
        <v>90</v>
      </c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 t="s">
        <v>3124</v>
      </c>
      <c r="V57" s="107" t="s">
        <v>3017</v>
      </c>
      <c r="W57" s="107" t="s">
        <v>2942</v>
      </c>
      <c r="X57" s="107"/>
      <c r="Y57" s="107">
        <v>93052</v>
      </c>
    </row>
    <row r="58" spans="1:25" x14ac:dyDescent="0.25">
      <c r="A58" s="107" t="s">
        <v>91</v>
      </c>
      <c r="B58" s="107" t="s">
        <v>2943</v>
      </c>
      <c r="C58" s="107" t="s">
        <v>3127</v>
      </c>
      <c r="D58" s="107" t="s">
        <v>3128</v>
      </c>
      <c r="E58" s="107"/>
      <c r="F58" s="107"/>
      <c r="G58" s="107" t="s">
        <v>91</v>
      </c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 t="s">
        <v>3124</v>
      </c>
      <c r="V58" s="107" t="s">
        <v>3017</v>
      </c>
      <c r="W58" s="107" t="s">
        <v>2942</v>
      </c>
      <c r="X58" s="107"/>
      <c r="Y58" s="107">
        <v>93057</v>
      </c>
    </row>
    <row r="59" spans="1:25" x14ac:dyDescent="0.25">
      <c r="A59" s="107" t="s">
        <v>92</v>
      </c>
      <c r="B59" s="107" t="s">
        <v>2943</v>
      </c>
      <c r="C59" s="107" t="s">
        <v>3129</v>
      </c>
      <c r="D59" s="107" t="s">
        <v>3130</v>
      </c>
      <c r="E59" s="107"/>
      <c r="F59" s="107"/>
      <c r="G59" s="107" t="s">
        <v>92</v>
      </c>
      <c r="H59" s="107" t="s">
        <v>114</v>
      </c>
      <c r="I59" s="107" t="s">
        <v>160</v>
      </c>
      <c r="J59" s="107" t="s">
        <v>121</v>
      </c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 t="s">
        <v>3131</v>
      </c>
      <c r="V59" s="107" t="s">
        <v>3132</v>
      </c>
      <c r="W59" s="107" t="s">
        <v>2942</v>
      </c>
      <c r="X59" s="107"/>
      <c r="Y59" s="107">
        <v>93085</v>
      </c>
    </row>
    <row r="60" spans="1:25" x14ac:dyDescent="0.25">
      <c r="A60" s="107" t="s">
        <v>93</v>
      </c>
      <c r="B60" s="107" t="s">
        <v>2943</v>
      </c>
      <c r="C60" s="107" t="s">
        <v>3133</v>
      </c>
      <c r="D60" s="107" t="s">
        <v>3134</v>
      </c>
      <c r="E60" s="107"/>
      <c r="F60" s="107"/>
      <c r="G60" s="107" t="s">
        <v>161</v>
      </c>
      <c r="H60" s="107" t="s">
        <v>115</v>
      </c>
      <c r="I60" s="107" t="s">
        <v>93</v>
      </c>
      <c r="J60" s="107" t="s">
        <v>122</v>
      </c>
      <c r="K60" s="107" t="s">
        <v>162</v>
      </c>
      <c r="L60" s="107" t="s">
        <v>115</v>
      </c>
      <c r="M60" s="107" t="s">
        <v>163</v>
      </c>
      <c r="N60" s="107" t="s">
        <v>164</v>
      </c>
      <c r="O60" s="107" t="s">
        <v>165</v>
      </c>
      <c r="P60" s="107" t="s">
        <v>166</v>
      </c>
      <c r="Q60" s="107"/>
      <c r="R60" s="107"/>
      <c r="S60" s="107"/>
      <c r="T60" s="107"/>
      <c r="U60" s="107" t="s">
        <v>3101</v>
      </c>
      <c r="V60" s="107" t="s">
        <v>3102</v>
      </c>
      <c r="W60" s="107" t="s">
        <v>2942</v>
      </c>
      <c r="X60" s="107"/>
      <c r="Y60" s="107">
        <v>93096</v>
      </c>
    </row>
    <row r="61" spans="1:25" x14ac:dyDescent="0.25">
      <c r="A61" s="107" t="s">
        <v>94</v>
      </c>
      <c r="B61" s="107" t="s">
        <v>2943</v>
      </c>
      <c r="C61" s="107" t="s">
        <v>3135</v>
      </c>
      <c r="D61" s="107" t="s">
        <v>3136</v>
      </c>
      <c r="E61" s="107"/>
      <c r="F61" s="107"/>
      <c r="G61" s="107" t="s">
        <v>94</v>
      </c>
      <c r="H61" s="107" t="s">
        <v>116</v>
      </c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 t="s">
        <v>2973</v>
      </c>
      <c r="V61" s="107" t="s">
        <v>2974</v>
      </c>
      <c r="W61" s="107" t="s">
        <v>2942</v>
      </c>
      <c r="X61" s="107"/>
      <c r="Y61" s="107">
        <v>93159</v>
      </c>
    </row>
    <row r="62" spans="1:25" x14ac:dyDescent="0.25">
      <c r="A62" s="107" t="s">
        <v>95</v>
      </c>
      <c r="B62" s="107" t="s">
        <v>2943</v>
      </c>
      <c r="C62" s="107" t="s">
        <v>3137</v>
      </c>
      <c r="D62" s="107" t="s">
        <v>3138</v>
      </c>
      <c r="E62" s="107"/>
      <c r="F62" s="107"/>
      <c r="G62" s="107" t="s">
        <v>95</v>
      </c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 t="s">
        <v>2973</v>
      </c>
      <c r="V62" s="107" t="s">
        <v>2974</v>
      </c>
      <c r="W62" s="107" t="s">
        <v>2942</v>
      </c>
      <c r="X62" s="107"/>
      <c r="Y62" s="107">
        <v>93164</v>
      </c>
    </row>
    <row r="63" spans="1:25" x14ac:dyDescent="0.25">
      <c r="A63" s="107" t="s">
        <v>96</v>
      </c>
      <c r="B63" s="107" t="s">
        <v>2943</v>
      </c>
      <c r="C63" s="107" t="s">
        <v>3139</v>
      </c>
      <c r="D63" s="107" t="s">
        <v>3140</v>
      </c>
      <c r="E63" s="107"/>
      <c r="F63" s="107"/>
      <c r="G63" s="107" t="s">
        <v>96</v>
      </c>
      <c r="H63" s="107" t="s">
        <v>117</v>
      </c>
      <c r="I63" s="107" t="s">
        <v>119</v>
      </c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 t="s">
        <v>2973</v>
      </c>
      <c r="V63" s="107" t="s">
        <v>2974</v>
      </c>
      <c r="W63" s="107" t="s">
        <v>2942</v>
      </c>
      <c r="X63" s="107"/>
      <c r="Y63" s="107">
        <v>93169</v>
      </c>
    </row>
    <row r="64" spans="1:25" x14ac:dyDescent="0.25">
      <c r="A64" s="107" t="s">
        <v>97</v>
      </c>
      <c r="B64" s="107" t="s">
        <v>2943</v>
      </c>
      <c r="C64" s="107" t="s">
        <v>3141</v>
      </c>
      <c r="D64" s="107" t="s">
        <v>3142</v>
      </c>
      <c r="E64" s="107"/>
      <c r="F64" s="107"/>
      <c r="G64" s="107" t="s">
        <v>97</v>
      </c>
      <c r="H64" s="107" t="s">
        <v>118</v>
      </c>
      <c r="I64" s="107" t="s">
        <v>120</v>
      </c>
      <c r="J64" s="107" t="s">
        <v>167</v>
      </c>
      <c r="K64" s="107" t="s">
        <v>168</v>
      </c>
      <c r="L64" s="107"/>
      <c r="M64" s="107"/>
      <c r="N64" s="107"/>
      <c r="O64" s="107"/>
      <c r="P64" s="107"/>
      <c r="Q64" s="107"/>
      <c r="R64" s="107"/>
      <c r="S64" s="107"/>
      <c r="T64" s="107"/>
      <c r="U64" s="107" t="s">
        <v>3004</v>
      </c>
      <c r="V64" s="107" t="s">
        <v>3005</v>
      </c>
      <c r="W64" s="107" t="s">
        <v>2942</v>
      </c>
      <c r="X64" s="107"/>
      <c r="Y64" s="107">
        <v>93204</v>
      </c>
    </row>
    <row r="65" spans="1:25" x14ac:dyDescent="0.25">
      <c r="A65" s="107" t="s">
        <v>98</v>
      </c>
      <c r="B65" s="107" t="s">
        <v>2943</v>
      </c>
      <c r="C65" s="107" t="s">
        <v>3143</v>
      </c>
      <c r="D65" s="107" t="s">
        <v>3144</v>
      </c>
      <c r="E65" s="107"/>
      <c r="F65" s="107"/>
      <c r="G65" s="107" t="s">
        <v>74</v>
      </c>
      <c r="H65" s="107" t="s">
        <v>98</v>
      </c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 t="s">
        <v>3082</v>
      </c>
      <c r="V65" s="107" t="s">
        <v>2949</v>
      </c>
      <c r="W65" s="107" t="s">
        <v>2942</v>
      </c>
      <c r="X65" s="107"/>
      <c r="Y65" s="107">
        <v>93223</v>
      </c>
    </row>
    <row r="66" spans="1:25" x14ac:dyDescent="0.25">
      <c r="A66" s="107" t="s">
        <v>99</v>
      </c>
      <c r="B66" s="107" t="s">
        <v>2943</v>
      </c>
      <c r="C66" s="107" t="s">
        <v>3145</v>
      </c>
      <c r="D66" s="107" t="s">
        <v>3146</v>
      </c>
      <c r="E66" s="107"/>
      <c r="F66" s="107"/>
      <c r="G66" s="107" t="s">
        <v>99</v>
      </c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 t="s">
        <v>3082</v>
      </c>
      <c r="V66" s="107" t="s">
        <v>3147</v>
      </c>
      <c r="W66" s="107" t="s">
        <v>2942</v>
      </c>
      <c r="X66" s="107"/>
      <c r="Y66" s="107">
        <v>93238</v>
      </c>
    </row>
    <row r="67" spans="1:25" x14ac:dyDescent="0.25">
      <c r="A67" s="107" t="s">
        <v>100</v>
      </c>
      <c r="B67" s="107" t="s">
        <v>2943</v>
      </c>
      <c r="C67" s="107" t="s">
        <v>3148</v>
      </c>
      <c r="D67" s="107" t="s">
        <v>3149</v>
      </c>
      <c r="E67" s="107"/>
      <c r="F67" s="107"/>
      <c r="G67" s="107" t="s">
        <v>100</v>
      </c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 t="s">
        <v>3082</v>
      </c>
      <c r="V67" s="107" t="s">
        <v>3147</v>
      </c>
      <c r="W67" s="107" t="s">
        <v>2942</v>
      </c>
      <c r="X67" s="107"/>
      <c r="Y67" s="107">
        <v>93244</v>
      </c>
    </row>
    <row r="68" spans="1:25" x14ac:dyDescent="0.25">
      <c r="A68" s="107" t="s">
        <v>101</v>
      </c>
      <c r="B68" s="107" t="s">
        <v>2943</v>
      </c>
      <c r="C68" s="107" t="s">
        <v>3150</v>
      </c>
      <c r="D68" s="107" t="s">
        <v>3151</v>
      </c>
      <c r="E68" s="107"/>
      <c r="F68" s="107"/>
      <c r="G68" s="107" t="s">
        <v>101</v>
      </c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 t="s">
        <v>3152</v>
      </c>
      <c r="V68" s="107" t="s">
        <v>3017</v>
      </c>
      <c r="W68" s="107" t="s">
        <v>2942</v>
      </c>
      <c r="X68" s="107"/>
      <c r="Y68" s="107">
        <v>93272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5A20238-6CE2-483B-87B7-B59D3F8C448A}">
            <xm:f>NOT(ISERROR(VLOOKUP(A2,'1. Sharing Summary'!$A:$A,1,FALSE)))</xm:f>
            <x14:dxf>
              <fill>
                <patternFill>
                  <bgColor rgb="FF92D050"/>
                </patternFill>
              </fill>
            </x14:dxf>
          </x14:cfRule>
          <xm:sqref>A2:A68 G2:P68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2E501-020F-44A4-A716-953D8DCE6616}">
  <dimension ref="A1:C1462"/>
  <sheetViews>
    <sheetView workbookViewId="0"/>
  </sheetViews>
  <sheetFormatPr defaultRowHeight="15" x14ac:dyDescent="0.25"/>
  <cols>
    <col min="1" max="1" width="17.42578125" bestFit="1" customWidth="1"/>
    <col min="2" max="2" width="10.7109375" bestFit="1" customWidth="1"/>
    <col min="3" max="3" width="15.140625" bestFit="1" customWidth="1"/>
  </cols>
  <sheetData>
    <row r="1" spans="1:3" x14ac:dyDescent="0.25">
      <c r="A1" s="107" t="s">
        <v>2909</v>
      </c>
      <c r="B1" s="107" t="s">
        <v>3153</v>
      </c>
      <c r="C1" s="107" t="s">
        <v>3154</v>
      </c>
    </row>
    <row r="2" spans="1:3" x14ac:dyDescent="0.25">
      <c r="A2" s="107" t="s">
        <v>1754</v>
      </c>
      <c r="B2" s="107"/>
      <c r="C2" s="107"/>
    </row>
    <row r="3" spans="1:3" x14ac:dyDescent="0.25">
      <c r="A3" s="107" t="s">
        <v>1752</v>
      </c>
      <c r="B3" s="107"/>
      <c r="C3" s="107"/>
    </row>
    <row r="4" spans="1:3" x14ac:dyDescent="0.25">
      <c r="A4" s="107" t="s">
        <v>1753</v>
      </c>
      <c r="B4" s="107"/>
      <c r="C4" s="107"/>
    </row>
    <row r="5" spans="1:3" x14ac:dyDescent="0.25">
      <c r="A5" s="107" t="s">
        <v>1749</v>
      </c>
      <c r="B5" s="107"/>
      <c r="C5" s="107"/>
    </row>
    <row r="6" spans="1:3" x14ac:dyDescent="0.25">
      <c r="A6" s="107" t="s">
        <v>1750</v>
      </c>
      <c r="B6" s="107"/>
      <c r="C6" s="107"/>
    </row>
    <row r="7" spans="1:3" x14ac:dyDescent="0.25">
      <c r="A7" s="107" t="s">
        <v>86</v>
      </c>
      <c r="B7" s="107" t="s">
        <v>3155</v>
      </c>
      <c r="C7" s="107" t="s">
        <v>3155</v>
      </c>
    </row>
    <row r="8" spans="1:3" x14ac:dyDescent="0.25">
      <c r="A8" s="107" t="s">
        <v>1748</v>
      </c>
      <c r="B8" s="107"/>
      <c r="C8" s="107"/>
    </row>
    <row r="9" spans="1:3" x14ac:dyDescent="0.25">
      <c r="A9" s="107" t="s">
        <v>48</v>
      </c>
      <c r="B9" s="107" t="s">
        <v>3156</v>
      </c>
      <c r="C9" s="107" t="s">
        <v>3155</v>
      </c>
    </row>
    <row r="10" spans="1:3" x14ac:dyDescent="0.25">
      <c r="A10" s="107" t="s">
        <v>110</v>
      </c>
      <c r="B10" s="107"/>
      <c r="C10" s="107"/>
    </row>
    <row r="11" spans="1:3" x14ac:dyDescent="0.25">
      <c r="A11" s="107" t="s">
        <v>1746</v>
      </c>
      <c r="B11" s="107"/>
      <c r="C11" s="107"/>
    </row>
    <row r="12" spans="1:3" x14ac:dyDescent="0.25">
      <c r="A12" s="107" t="s">
        <v>1743</v>
      </c>
      <c r="B12" s="107"/>
      <c r="C12" s="107"/>
    </row>
    <row r="13" spans="1:3" x14ac:dyDescent="0.25">
      <c r="A13" s="107" t="s">
        <v>1744</v>
      </c>
      <c r="B13" s="107"/>
      <c r="C13" s="107"/>
    </row>
    <row r="14" spans="1:3" x14ac:dyDescent="0.25">
      <c r="A14" s="107" t="s">
        <v>1745</v>
      </c>
      <c r="B14" s="107"/>
      <c r="C14" s="107"/>
    </row>
    <row r="15" spans="1:3" x14ac:dyDescent="0.25">
      <c r="A15" s="107" t="s">
        <v>121</v>
      </c>
      <c r="B15" s="107"/>
      <c r="C15" s="107"/>
    </row>
    <row r="16" spans="1:3" x14ac:dyDescent="0.25">
      <c r="A16" s="107" t="s">
        <v>1739</v>
      </c>
      <c r="B16" s="107"/>
      <c r="C16" s="107"/>
    </row>
    <row r="17" spans="1:3" x14ac:dyDescent="0.25">
      <c r="A17" s="107" t="s">
        <v>2934</v>
      </c>
      <c r="B17" s="107" t="s">
        <v>3157</v>
      </c>
      <c r="C17" s="107" t="s">
        <v>3158</v>
      </c>
    </row>
    <row r="18" spans="1:3" x14ac:dyDescent="0.25">
      <c r="A18" s="107" t="s">
        <v>1734</v>
      </c>
      <c r="B18" s="107"/>
      <c r="C18" s="107"/>
    </row>
    <row r="19" spans="1:3" x14ac:dyDescent="0.25">
      <c r="A19" s="107" t="s">
        <v>1735</v>
      </c>
      <c r="B19" s="107"/>
      <c r="C19" s="107"/>
    </row>
    <row r="20" spans="1:3" x14ac:dyDescent="0.25">
      <c r="A20" s="107" t="s">
        <v>72</v>
      </c>
      <c r="B20" s="107" t="s">
        <v>3159</v>
      </c>
      <c r="C20" s="107" t="s">
        <v>3159</v>
      </c>
    </row>
    <row r="21" spans="1:3" x14ac:dyDescent="0.25">
      <c r="A21" s="107" t="s">
        <v>1723</v>
      </c>
      <c r="B21" s="107"/>
      <c r="C21" s="107"/>
    </row>
    <row r="22" spans="1:3" x14ac:dyDescent="0.25">
      <c r="A22" s="107" t="s">
        <v>1715</v>
      </c>
      <c r="B22" s="107"/>
      <c r="C22" s="107"/>
    </row>
    <row r="23" spans="1:3" x14ac:dyDescent="0.25">
      <c r="A23" s="107" t="s">
        <v>1720</v>
      </c>
      <c r="B23" s="107"/>
      <c r="C23" s="107"/>
    </row>
    <row r="24" spans="1:3" x14ac:dyDescent="0.25">
      <c r="A24" s="107" t="s">
        <v>1445</v>
      </c>
      <c r="B24" s="107"/>
      <c r="C24" s="107"/>
    </row>
    <row r="25" spans="1:3" x14ac:dyDescent="0.25">
      <c r="A25" s="107" t="s">
        <v>1679</v>
      </c>
      <c r="B25" s="107"/>
      <c r="C25" s="107"/>
    </row>
    <row r="26" spans="1:3" x14ac:dyDescent="0.25">
      <c r="A26" s="107" t="s">
        <v>31</v>
      </c>
      <c r="B26" s="107"/>
      <c r="C26" s="107"/>
    </row>
    <row r="27" spans="1:3" x14ac:dyDescent="0.25">
      <c r="A27" s="107" t="s">
        <v>1681</v>
      </c>
      <c r="B27" s="107"/>
      <c r="C27" s="107"/>
    </row>
    <row r="28" spans="1:3" x14ac:dyDescent="0.25">
      <c r="A28" s="107" t="s">
        <v>112</v>
      </c>
      <c r="B28" s="107"/>
      <c r="C28" s="107"/>
    </row>
    <row r="29" spans="1:3" x14ac:dyDescent="0.25">
      <c r="A29" s="107" t="s">
        <v>1683</v>
      </c>
      <c r="B29" s="107"/>
      <c r="C29" s="107"/>
    </row>
    <row r="30" spans="1:3" x14ac:dyDescent="0.25">
      <c r="A30" s="107" t="s">
        <v>160</v>
      </c>
      <c r="B30" s="107"/>
      <c r="C30" s="107"/>
    </row>
    <row r="31" spans="1:3" x14ac:dyDescent="0.25">
      <c r="A31" s="107" t="s">
        <v>1689</v>
      </c>
      <c r="B31" s="107"/>
      <c r="C31" s="107"/>
    </row>
    <row r="32" spans="1:3" x14ac:dyDescent="0.25">
      <c r="A32" s="107" t="s">
        <v>1690</v>
      </c>
      <c r="B32" s="107"/>
      <c r="C32" s="107"/>
    </row>
    <row r="33" spans="1:3" x14ac:dyDescent="0.25">
      <c r="A33" s="107" t="s">
        <v>1693</v>
      </c>
      <c r="B33" s="107"/>
      <c r="C33" s="107"/>
    </row>
    <row r="34" spans="1:3" x14ac:dyDescent="0.25">
      <c r="A34" s="107" t="s">
        <v>1695</v>
      </c>
      <c r="B34" s="107"/>
      <c r="C34" s="107"/>
    </row>
    <row r="35" spans="1:3" x14ac:dyDescent="0.25">
      <c r="A35" s="107" t="s">
        <v>61</v>
      </c>
      <c r="B35" s="107" t="s">
        <v>3160</v>
      </c>
      <c r="C35" s="107" t="s">
        <v>3160</v>
      </c>
    </row>
    <row r="36" spans="1:3" x14ac:dyDescent="0.25">
      <c r="A36" s="107" t="s">
        <v>66</v>
      </c>
      <c r="B36" s="107" t="s">
        <v>3160</v>
      </c>
      <c r="C36" s="107" t="s">
        <v>3160</v>
      </c>
    </row>
    <row r="37" spans="1:3" x14ac:dyDescent="0.25">
      <c r="A37" s="107" t="s">
        <v>54</v>
      </c>
      <c r="B37" s="107" t="s">
        <v>3161</v>
      </c>
      <c r="C37" s="107" t="s">
        <v>3161</v>
      </c>
    </row>
    <row r="38" spans="1:3" x14ac:dyDescent="0.25">
      <c r="A38" s="107" t="s">
        <v>76</v>
      </c>
      <c r="B38" s="107" t="s">
        <v>3159</v>
      </c>
      <c r="C38" s="107" t="s">
        <v>3159</v>
      </c>
    </row>
    <row r="39" spans="1:3" x14ac:dyDescent="0.25">
      <c r="A39" s="107" t="s">
        <v>130</v>
      </c>
      <c r="B39" s="107"/>
      <c r="C39" s="107"/>
    </row>
    <row r="40" spans="1:3" x14ac:dyDescent="0.25">
      <c r="A40" s="107" t="s">
        <v>1104</v>
      </c>
      <c r="B40" s="107"/>
      <c r="C40" s="107"/>
    </row>
    <row r="41" spans="1:3" x14ac:dyDescent="0.25">
      <c r="A41" s="107" t="s">
        <v>1105</v>
      </c>
      <c r="B41" s="107"/>
      <c r="C41" s="107"/>
    </row>
    <row r="42" spans="1:3" x14ac:dyDescent="0.25">
      <c r="A42" s="107" t="s">
        <v>67</v>
      </c>
      <c r="B42" s="107" t="s">
        <v>3160</v>
      </c>
      <c r="C42" s="107" t="s">
        <v>3160</v>
      </c>
    </row>
    <row r="43" spans="1:3" x14ac:dyDescent="0.25">
      <c r="A43" s="107" t="s">
        <v>69</v>
      </c>
      <c r="B43" s="107" t="s">
        <v>3160</v>
      </c>
      <c r="C43" s="107" t="s">
        <v>3160</v>
      </c>
    </row>
    <row r="44" spans="1:3" x14ac:dyDescent="0.25">
      <c r="A44" s="107" t="s">
        <v>1702</v>
      </c>
      <c r="B44" s="107"/>
      <c r="C44" s="107"/>
    </row>
    <row r="45" spans="1:3" x14ac:dyDescent="0.25">
      <c r="A45" s="107" t="s">
        <v>1703</v>
      </c>
      <c r="B45" s="107"/>
      <c r="C45" s="107"/>
    </row>
    <row r="46" spans="1:3" x14ac:dyDescent="0.25">
      <c r="A46" s="107" t="s">
        <v>1704</v>
      </c>
      <c r="B46" s="107"/>
      <c r="C46" s="107"/>
    </row>
    <row r="47" spans="1:3" x14ac:dyDescent="0.25">
      <c r="A47" s="107" t="s">
        <v>157</v>
      </c>
      <c r="B47" s="107"/>
      <c r="C47" s="107"/>
    </row>
    <row r="48" spans="1:3" x14ac:dyDescent="0.25">
      <c r="A48" s="107" t="s">
        <v>1710</v>
      </c>
      <c r="B48" s="107"/>
      <c r="C48" s="107"/>
    </row>
    <row r="49" spans="1:3" x14ac:dyDescent="0.25">
      <c r="A49" s="107" t="s">
        <v>1714</v>
      </c>
      <c r="B49" s="107"/>
      <c r="C49" s="107"/>
    </row>
    <row r="50" spans="1:3" x14ac:dyDescent="0.25">
      <c r="A50" s="107" t="s">
        <v>45</v>
      </c>
      <c r="B50" s="107" t="s">
        <v>3162</v>
      </c>
      <c r="C50" s="107" t="s">
        <v>3163</v>
      </c>
    </row>
    <row r="51" spans="1:3" x14ac:dyDescent="0.25">
      <c r="A51" s="107" t="s">
        <v>1628</v>
      </c>
      <c r="B51" s="107"/>
      <c r="C51" s="107"/>
    </row>
    <row r="52" spans="1:3" x14ac:dyDescent="0.25">
      <c r="A52" s="107" t="s">
        <v>1629</v>
      </c>
      <c r="B52" s="107"/>
      <c r="C52" s="107"/>
    </row>
    <row r="53" spans="1:3" x14ac:dyDescent="0.25">
      <c r="A53" s="107" t="s">
        <v>96</v>
      </c>
      <c r="B53" s="107" t="s">
        <v>3163</v>
      </c>
      <c r="C53" s="107" t="s">
        <v>3163</v>
      </c>
    </row>
    <row r="54" spans="1:3" x14ac:dyDescent="0.25">
      <c r="A54" s="107" t="s">
        <v>1613</v>
      </c>
      <c r="B54" s="107"/>
      <c r="C54" s="107"/>
    </row>
    <row r="55" spans="1:3" x14ac:dyDescent="0.25">
      <c r="A55" s="107" t="s">
        <v>1657</v>
      </c>
      <c r="B55" s="107"/>
      <c r="C55" s="107"/>
    </row>
    <row r="56" spans="1:3" x14ac:dyDescent="0.25">
      <c r="A56" s="107" t="s">
        <v>1644</v>
      </c>
      <c r="B56" s="107"/>
      <c r="C56" s="107"/>
    </row>
    <row r="57" spans="1:3" x14ac:dyDescent="0.25">
      <c r="A57" s="107" t="s">
        <v>1662</v>
      </c>
      <c r="B57" s="107"/>
      <c r="C57" s="107"/>
    </row>
    <row r="58" spans="1:3" x14ac:dyDescent="0.25">
      <c r="A58" s="107" t="s">
        <v>114</v>
      </c>
      <c r="B58" s="107"/>
      <c r="C58" s="107"/>
    </row>
    <row r="59" spans="1:3" x14ac:dyDescent="0.25">
      <c r="A59" s="107" t="s">
        <v>1651</v>
      </c>
      <c r="B59" s="107"/>
      <c r="C59" s="107"/>
    </row>
    <row r="60" spans="1:3" x14ac:dyDescent="0.25">
      <c r="A60" s="107" t="s">
        <v>1637</v>
      </c>
      <c r="B60" s="107"/>
      <c r="C60" s="107"/>
    </row>
    <row r="61" spans="1:3" x14ac:dyDescent="0.25">
      <c r="A61" s="107" t="s">
        <v>1664</v>
      </c>
      <c r="B61" s="107"/>
      <c r="C61" s="107"/>
    </row>
    <row r="62" spans="1:3" x14ac:dyDescent="0.25">
      <c r="A62" s="107" t="s">
        <v>1625</v>
      </c>
      <c r="B62" s="107"/>
      <c r="C62" s="107"/>
    </row>
    <row r="63" spans="1:3" x14ac:dyDescent="0.25">
      <c r="A63" s="107" t="s">
        <v>1639</v>
      </c>
      <c r="B63" s="107"/>
      <c r="C63" s="107"/>
    </row>
    <row r="64" spans="1:3" x14ac:dyDescent="0.25">
      <c r="A64" s="107" t="s">
        <v>1655</v>
      </c>
      <c r="B64" s="107"/>
      <c r="C64" s="107"/>
    </row>
    <row r="65" spans="1:3" x14ac:dyDescent="0.25">
      <c r="A65" s="107" t="s">
        <v>168</v>
      </c>
      <c r="B65" s="107"/>
      <c r="C65" s="107"/>
    </row>
    <row r="66" spans="1:3" x14ac:dyDescent="0.25">
      <c r="A66" s="107" t="s">
        <v>1623</v>
      </c>
      <c r="B66" s="107"/>
      <c r="C66" s="107"/>
    </row>
    <row r="67" spans="1:3" x14ac:dyDescent="0.25">
      <c r="A67" s="107" t="s">
        <v>1665</v>
      </c>
      <c r="B67" s="107"/>
      <c r="C67" s="107"/>
    </row>
    <row r="68" spans="1:3" x14ac:dyDescent="0.25">
      <c r="A68" s="107" t="s">
        <v>1641</v>
      </c>
      <c r="B68" s="107"/>
      <c r="C68" s="107"/>
    </row>
    <row r="69" spans="1:3" x14ac:dyDescent="0.25">
      <c r="A69" s="107" t="s">
        <v>1631</v>
      </c>
      <c r="B69" s="107"/>
      <c r="C69" s="107"/>
    </row>
    <row r="70" spans="1:3" x14ac:dyDescent="0.25">
      <c r="A70" s="107" t="s">
        <v>78</v>
      </c>
      <c r="B70" s="107" t="s">
        <v>3164</v>
      </c>
      <c r="C70" s="107" t="s">
        <v>3164</v>
      </c>
    </row>
    <row r="71" spans="1:3" x14ac:dyDescent="0.25">
      <c r="A71" s="107" t="s">
        <v>1638</v>
      </c>
      <c r="B71" s="107"/>
      <c r="C71" s="107"/>
    </row>
    <row r="72" spans="1:3" x14ac:dyDescent="0.25">
      <c r="A72" s="107" t="s">
        <v>1645</v>
      </c>
      <c r="B72" s="107"/>
      <c r="C72" s="107"/>
    </row>
    <row r="73" spans="1:3" x14ac:dyDescent="0.25">
      <c r="A73" s="107" t="s">
        <v>1666</v>
      </c>
      <c r="B73" s="107"/>
      <c r="C73" s="107"/>
    </row>
    <row r="74" spans="1:3" x14ac:dyDescent="0.25">
      <c r="A74" s="107" t="s">
        <v>1648</v>
      </c>
      <c r="B74" s="107"/>
      <c r="C74" s="107"/>
    </row>
    <row r="75" spans="1:3" x14ac:dyDescent="0.25">
      <c r="A75" s="107" t="s">
        <v>113</v>
      </c>
      <c r="B75" s="107"/>
      <c r="C75" s="107"/>
    </row>
    <row r="76" spans="1:3" x14ac:dyDescent="0.25">
      <c r="A76" s="107" t="s">
        <v>148</v>
      </c>
      <c r="B76" s="107"/>
      <c r="C76" s="107"/>
    </row>
    <row r="77" spans="1:3" x14ac:dyDescent="0.25">
      <c r="A77" s="107" t="s">
        <v>42</v>
      </c>
      <c r="B77" s="107" t="s">
        <v>3162</v>
      </c>
      <c r="C77" s="107"/>
    </row>
    <row r="78" spans="1:3" x14ac:dyDescent="0.25">
      <c r="A78" s="107" t="s">
        <v>1646</v>
      </c>
      <c r="B78" s="107"/>
      <c r="C78" s="107"/>
    </row>
    <row r="79" spans="1:3" x14ac:dyDescent="0.25">
      <c r="A79" s="107" t="s">
        <v>1642</v>
      </c>
      <c r="B79" s="107"/>
      <c r="C79" s="107"/>
    </row>
    <row r="80" spans="1:3" x14ac:dyDescent="0.25">
      <c r="A80" s="107" t="s">
        <v>1670</v>
      </c>
      <c r="B80" s="107"/>
      <c r="C80" s="107"/>
    </row>
    <row r="81" spans="1:1" x14ac:dyDescent="0.25">
      <c r="A81" s="107" t="s">
        <v>1630</v>
      </c>
    </row>
    <row r="82" spans="1:1" x14ac:dyDescent="0.25">
      <c r="A82" s="107" t="s">
        <v>1640</v>
      </c>
    </row>
    <row r="83" spans="1:1" x14ac:dyDescent="0.25">
      <c r="A83" s="107" t="s">
        <v>1672</v>
      </c>
    </row>
    <row r="84" spans="1:1" x14ac:dyDescent="0.25">
      <c r="A84" s="107" t="s">
        <v>1649</v>
      </c>
    </row>
    <row r="85" spans="1:1" x14ac:dyDescent="0.25">
      <c r="A85" s="107" t="s">
        <v>1634</v>
      </c>
    </row>
    <row r="86" spans="1:1" x14ac:dyDescent="0.25">
      <c r="A86" s="107" t="s">
        <v>1618</v>
      </c>
    </row>
    <row r="87" spans="1:1" x14ac:dyDescent="0.25">
      <c r="A87" s="107" t="s">
        <v>1622</v>
      </c>
    </row>
    <row r="88" spans="1:1" x14ac:dyDescent="0.25">
      <c r="A88" s="107" t="s">
        <v>1627</v>
      </c>
    </row>
    <row r="89" spans="1:1" x14ac:dyDescent="0.25">
      <c r="A89" s="107" t="s">
        <v>1636</v>
      </c>
    </row>
    <row r="90" spans="1:1" x14ac:dyDescent="0.25">
      <c r="A90" s="107" t="s">
        <v>1673</v>
      </c>
    </row>
    <row r="91" spans="1:1" x14ac:dyDescent="0.25">
      <c r="A91" s="107" t="s">
        <v>1654</v>
      </c>
    </row>
    <row r="92" spans="1:1" x14ac:dyDescent="0.25">
      <c r="A92" s="107" t="s">
        <v>1619</v>
      </c>
    </row>
    <row r="93" spans="1:1" x14ac:dyDescent="0.25">
      <c r="A93" s="107" t="s">
        <v>1617</v>
      </c>
    </row>
    <row r="94" spans="1:1" x14ac:dyDescent="0.25">
      <c r="A94" s="107" t="s">
        <v>1620</v>
      </c>
    </row>
    <row r="95" spans="1:1" x14ac:dyDescent="0.25">
      <c r="A95" s="107" t="s">
        <v>1676</v>
      </c>
    </row>
    <row r="96" spans="1:1" x14ac:dyDescent="0.25">
      <c r="A96" s="107" t="s">
        <v>1600</v>
      </c>
    </row>
    <row r="97" spans="1:1" x14ac:dyDescent="0.25">
      <c r="A97" s="107" t="s">
        <v>1601</v>
      </c>
    </row>
    <row r="98" spans="1:1" x14ac:dyDescent="0.25">
      <c r="A98" s="107" t="s">
        <v>1602</v>
      </c>
    </row>
    <row r="99" spans="1:1" x14ac:dyDescent="0.25">
      <c r="A99" s="107" t="s">
        <v>1596</v>
      </c>
    </row>
    <row r="100" spans="1:1" x14ac:dyDescent="0.25">
      <c r="A100" s="107" t="s">
        <v>1592</v>
      </c>
    </row>
    <row r="101" spans="1:1" x14ac:dyDescent="0.25">
      <c r="A101" s="107" t="s">
        <v>1599</v>
      </c>
    </row>
    <row r="102" spans="1:1" x14ac:dyDescent="0.25">
      <c r="A102" s="107" t="s">
        <v>1594</v>
      </c>
    </row>
    <row r="103" spans="1:1" x14ac:dyDescent="0.25">
      <c r="A103" s="107" t="s">
        <v>1588</v>
      </c>
    </row>
    <row r="104" spans="1:1" x14ac:dyDescent="0.25">
      <c r="A104" s="107" t="s">
        <v>1606</v>
      </c>
    </row>
    <row r="105" spans="1:1" x14ac:dyDescent="0.25">
      <c r="A105" s="107" t="s">
        <v>1607</v>
      </c>
    </row>
    <row r="106" spans="1:1" x14ac:dyDescent="0.25">
      <c r="A106" s="107" t="s">
        <v>1590</v>
      </c>
    </row>
    <row r="107" spans="1:1" x14ac:dyDescent="0.25">
      <c r="A107" s="107" t="s">
        <v>1591</v>
      </c>
    </row>
    <row r="108" spans="1:1" x14ac:dyDescent="0.25">
      <c r="A108" s="107" t="s">
        <v>1598</v>
      </c>
    </row>
    <row r="109" spans="1:1" x14ac:dyDescent="0.25">
      <c r="A109" s="107" t="s">
        <v>1610</v>
      </c>
    </row>
    <row r="110" spans="1:1" x14ac:dyDescent="0.25">
      <c r="A110" s="107" t="s">
        <v>1611</v>
      </c>
    </row>
    <row r="111" spans="1:1" x14ac:dyDescent="0.25">
      <c r="A111" s="107" t="s">
        <v>1595</v>
      </c>
    </row>
    <row r="112" spans="1:1" x14ac:dyDescent="0.25">
      <c r="A112" s="107" t="s">
        <v>1574</v>
      </c>
    </row>
    <row r="113" spans="1:3" x14ac:dyDescent="0.25">
      <c r="A113" s="107" t="s">
        <v>1575</v>
      </c>
      <c r="B113" s="107"/>
      <c r="C113" s="107"/>
    </row>
    <row r="114" spans="1:3" x14ac:dyDescent="0.25">
      <c r="A114" s="107" t="s">
        <v>79</v>
      </c>
      <c r="B114" s="107" t="s">
        <v>3164</v>
      </c>
      <c r="C114" s="107" t="s">
        <v>3164</v>
      </c>
    </row>
    <row r="115" spans="1:3" x14ac:dyDescent="0.25">
      <c r="A115" s="107" t="s">
        <v>117</v>
      </c>
      <c r="B115" s="107"/>
      <c r="C115" s="107"/>
    </row>
    <row r="116" spans="1:3" x14ac:dyDescent="0.25">
      <c r="A116" s="107" t="s">
        <v>1576</v>
      </c>
      <c r="B116" s="107"/>
      <c r="C116" s="107"/>
    </row>
    <row r="117" spans="1:3" x14ac:dyDescent="0.25">
      <c r="A117" s="107" t="s">
        <v>1573</v>
      </c>
      <c r="B117" s="107"/>
      <c r="C117" s="107"/>
    </row>
    <row r="118" spans="1:3" x14ac:dyDescent="0.25">
      <c r="A118" s="107" t="s">
        <v>1572</v>
      </c>
      <c r="B118" s="107"/>
      <c r="C118" s="107"/>
    </row>
    <row r="119" spans="1:3" x14ac:dyDescent="0.25">
      <c r="A119" s="107" t="s">
        <v>1565</v>
      </c>
      <c r="B119" s="107"/>
      <c r="C119" s="107"/>
    </row>
    <row r="120" spans="1:3" x14ac:dyDescent="0.25">
      <c r="A120" s="107" t="s">
        <v>1580</v>
      </c>
      <c r="B120" s="107"/>
      <c r="C120" s="107"/>
    </row>
    <row r="121" spans="1:3" x14ac:dyDescent="0.25">
      <c r="A121" s="107" t="s">
        <v>1581</v>
      </c>
      <c r="B121" s="107"/>
      <c r="C121" s="107"/>
    </row>
    <row r="122" spans="1:3" x14ac:dyDescent="0.25">
      <c r="A122" s="107" t="s">
        <v>1566</v>
      </c>
      <c r="B122" s="107"/>
      <c r="C122" s="107"/>
    </row>
    <row r="123" spans="1:3" x14ac:dyDescent="0.25">
      <c r="A123" s="107" t="s">
        <v>1582</v>
      </c>
      <c r="B123" s="107"/>
      <c r="C123" s="107"/>
    </row>
    <row r="124" spans="1:3" x14ac:dyDescent="0.25">
      <c r="A124" s="107" t="s">
        <v>1584</v>
      </c>
      <c r="B124" s="107"/>
      <c r="C124" s="107"/>
    </row>
    <row r="125" spans="1:3" x14ac:dyDescent="0.25">
      <c r="A125" s="107" t="s">
        <v>1567</v>
      </c>
      <c r="B125" s="107"/>
      <c r="C125" s="107"/>
    </row>
    <row r="126" spans="1:3" x14ac:dyDescent="0.25">
      <c r="A126" s="107" t="s">
        <v>1570</v>
      </c>
      <c r="B126" s="107"/>
      <c r="C126" s="107"/>
    </row>
    <row r="127" spans="1:3" x14ac:dyDescent="0.25">
      <c r="A127" s="107" t="s">
        <v>1585</v>
      </c>
      <c r="B127" s="107"/>
      <c r="C127" s="107"/>
    </row>
    <row r="128" spans="1:3" x14ac:dyDescent="0.25">
      <c r="A128" s="107" t="s">
        <v>71</v>
      </c>
      <c r="B128" s="107" t="s">
        <v>3159</v>
      </c>
      <c r="C128" s="107" t="s">
        <v>3159</v>
      </c>
    </row>
    <row r="129" spans="1:3" x14ac:dyDescent="0.25">
      <c r="A129" s="107" t="s">
        <v>126</v>
      </c>
      <c r="B129" s="107"/>
      <c r="C129" s="107"/>
    </row>
    <row r="130" spans="1:3" x14ac:dyDescent="0.25">
      <c r="A130" s="107" t="s">
        <v>87</v>
      </c>
      <c r="B130" s="107" t="s">
        <v>3155</v>
      </c>
      <c r="C130" s="107" t="s">
        <v>3155</v>
      </c>
    </row>
    <row r="131" spans="1:3" x14ac:dyDescent="0.25">
      <c r="A131" s="107" t="s">
        <v>1569</v>
      </c>
      <c r="B131" s="107"/>
      <c r="C131" s="107"/>
    </row>
    <row r="132" spans="1:3" x14ac:dyDescent="0.25">
      <c r="A132" s="107" t="s">
        <v>93</v>
      </c>
      <c r="B132" s="107" t="s">
        <v>3163</v>
      </c>
      <c r="C132" s="107" t="s">
        <v>3163</v>
      </c>
    </row>
    <row r="133" spans="1:3" x14ac:dyDescent="0.25">
      <c r="A133" s="107" t="s">
        <v>53</v>
      </c>
      <c r="B133" s="107" t="s">
        <v>3161</v>
      </c>
      <c r="C133" s="107" t="s">
        <v>3161</v>
      </c>
    </row>
    <row r="134" spans="1:3" x14ac:dyDescent="0.25">
      <c r="A134" s="107" t="s">
        <v>1552</v>
      </c>
      <c r="B134" s="107"/>
      <c r="C134" s="107"/>
    </row>
    <row r="135" spans="1:3" x14ac:dyDescent="0.25">
      <c r="A135" s="107" t="s">
        <v>1553</v>
      </c>
      <c r="B135" s="107"/>
      <c r="C135" s="107"/>
    </row>
    <row r="136" spans="1:3" x14ac:dyDescent="0.25">
      <c r="A136" s="107" t="s">
        <v>70</v>
      </c>
      <c r="B136" s="107" t="s">
        <v>3160</v>
      </c>
      <c r="C136" s="107" t="s">
        <v>3160</v>
      </c>
    </row>
    <row r="137" spans="1:3" x14ac:dyDescent="0.25">
      <c r="A137" s="107" t="s">
        <v>1549</v>
      </c>
      <c r="B137" s="107"/>
      <c r="C137" s="107"/>
    </row>
    <row r="138" spans="1:3" x14ac:dyDescent="0.25">
      <c r="A138" s="107" t="s">
        <v>1555</v>
      </c>
      <c r="B138" s="107"/>
      <c r="C138" s="107"/>
    </row>
    <row r="139" spans="1:3" x14ac:dyDescent="0.25">
      <c r="A139" s="107" t="s">
        <v>1544</v>
      </c>
      <c r="B139" s="107"/>
      <c r="C139" s="107"/>
    </row>
    <row r="140" spans="1:3" x14ac:dyDescent="0.25">
      <c r="A140" s="107" t="s">
        <v>1547</v>
      </c>
      <c r="B140" s="107"/>
      <c r="C140" s="107"/>
    </row>
    <row r="141" spans="1:3" x14ac:dyDescent="0.25">
      <c r="A141" s="107" t="s">
        <v>1558</v>
      </c>
      <c r="B141" s="107"/>
      <c r="C141" s="107"/>
    </row>
    <row r="142" spans="1:3" x14ac:dyDescent="0.25">
      <c r="A142" s="107" t="s">
        <v>1551</v>
      </c>
      <c r="B142" s="107"/>
      <c r="C142" s="107"/>
    </row>
    <row r="143" spans="1:3" x14ac:dyDescent="0.25">
      <c r="A143" s="107" t="s">
        <v>124</v>
      </c>
      <c r="B143" s="107"/>
      <c r="C143" s="107"/>
    </row>
    <row r="144" spans="1:3" x14ac:dyDescent="0.25">
      <c r="A144" s="107" t="s">
        <v>100</v>
      </c>
      <c r="B144" s="107" t="s">
        <v>3164</v>
      </c>
      <c r="C144" s="107" t="s">
        <v>3164</v>
      </c>
    </row>
    <row r="145" spans="1:3" x14ac:dyDescent="0.25">
      <c r="A145" s="107" t="s">
        <v>1559</v>
      </c>
      <c r="B145" s="107"/>
      <c r="C145" s="107"/>
    </row>
    <row r="146" spans="1:3" x14ac:dyDescent="0.25">
      <c r="A146" s="107" t="s">
        <v>1546</v>
      </c>
      <c r="B146" s="107"/>
      <c r="C146" s="107"/>
    </row>
    <row r="147" spans="1:3" x14ac:dyDescent="0.25">
      <c r="A147" s="107" t="s">
        <v>1561</v>
      </c>
      <c r="B147" s="107"/>
      <c r="C147" s="107"/>
    </row>
    <row r="148" spans="1:3" x14ac:dyDescent="0.25">
      <c r="A148" s="107" t="s">
        <v>1563</v>
      </c>
      <c r="B148" s="107"/>
      <c r="C148" s="107"/>
    </row>
    <row r="149" spans="1:3" x14ac:dyDescent="0.25">
      <c r="A149" s="107" t="s">
        <v>1564</v>
      </c>
      <c r="B149" s="107"/>
      <c r="C149" s="107"/>
    </row>
    <row r="150" spans="1:3" x14ac:dyDescent="0.25">
      <c r="A150" s="107" t="s">
        <v>1543</v>
      </c>
      <c r="B150" s="107"/>
      <c r="C150" s="107"/>
    </row>
    <row r="151" spans="1:3" x14ac:dyDescent="0.25">
      <c r="A151" s="107" t="s">
        <v>1545</v>
      </c>
      <c r="B151" s="107"/>
      <c r="C151" s="107"/>
    </row>
    <row r="152" spans="1:3" x14ac:dyDescent="0.25">
      <c r="A152" s="107" t="s">
        <v>147</v>
      </c>
      <c r="B152" s="107"/>
      <c r="C152" s="107"/>
    </row>
    <row r="153" spans="1:3" x14ac:dyDescent="0.25">
      <c r="A153" s="107" t="s">
        <v>1530</v>
      </c>
      <c r="B153" s="107"/>
      <c r="C153" s="107"/>
    </row>
    <row r="154" spans="1:3" x14ac:dyDescent="0.25">
      <c r="A154" s="107" t="s">
        <v>89</v>
      </c>
      <c r="B154" s="107" t="s">
        <v>3155</v>
      </c>
      <c r="C154" s="107" t="s">
        <v>3155</v>
      </c>
    </row>
    <row r="155" spans="1:3" x14ac:dyDescent="0.25">
      <c r="A155" s="107" t="s">
        <v>51</v>
      </c>
      <c r="B155" s="107" t="s">
        <v>3155</v>
      </c>
      <c r="C155" s="107" t="s">
        <v>3155</v>
      </c>
    </row>
    <row r="156" spans="1:3" x14ac:dyDescent="0.25">
      <c r="A156" s="107" t="s">
        <v>1534</v>
      </c>
      <c r="B156" s="107"/>
      <c r="C156" s="107"/>
    </row>
    <row r="157" spans="1:3" x14ac:dyDescent="0.25">
      <c r="A157" s="107" t="s">
        <v>1526</v>
      </c>
      <c r="B157" s="107"/>
      <c r="C157" s="107"/>
    </row>
    <row r="158" spans="1:3" x14ac:dyDescent="0.25">
      <c r="A158" s="107" t="s">
        <v>49</v>
      </c>
      <c r="B158" s="107" t="s">
        <v>3163</v>
      </c>
      <c r="C158" s="107" t="s">
        <v>3163</v>
      </c>
    </row>
    <row r="159" spans="1:3" x14ac:dyDescent="0.25">
      <c r="A159" s="107" t="s">
        <v>1515</v>
      </c>
      <c r="B159" s="107"/>
      <c r="C159" s="107"/>
    </row>
    <row r="160" spans="1:3" x14ac:dyDescent="0.25">
      <c r="A160" s="107" t="s">
        <v>1521</v>
      </c>
      <c r="B160" s="107"/>
      <c r="C160" s="107"/>
    </row>
    <row r="161" spans="1:3" x14ac:dyDescent="0.25">
      <c r="A161" s="107" t="s">
        <v>1523</v>
      </c>
      <c r="B161" s="107"/>
      <c r="C161" s="107"/>
    </row>
    <row r="162" spans="1:3" x14ac:dyDescent="0.25">
      <c r="A162" s="107" t="s">
        <v>1513</v>
      </c>
      <c r="B162" s="107"/>
      <c r="C162" s="107"/>
    </row>
    <row r="163" spans="1:3" x14ac:dyDescent="0.25">
      <c r="A163" s="107" t="s">
        <v>1512</v>
      </c>
      <c r="B163" s="107"/>
      <c r="C163" s="107"/>
    </row>
    <row r="164" spans="1:3" x14ac:dyDescent="0.25">
      <c r="A164" s="107" t="s">
        <v>1516</v>
      </c>
      <c r="B164" s="107" t="s">
        <v>3164</v>
      </c>
      <c r="C164" s="107"/>
    </row>
    <row r="165" spans="1:3" x14ac:dyDescent="0.25">
      <c r="A165" s="107" t="s">
        <v>1514</v>
      </c>
      <c r="B165" s="107"/>
      <c r="C165" s="107"/>
    </row>
    <row r="166" spans="1:3" x14ac:dyDescent="0.25">
      <c r="A166" s="107" t="s">
        <v>1535</v>
      </c>
      <c r="B166" s="107"/>
      <c r="C166" s="107"/>
    </row>
    <row r="167" spans="1:3" x14ac:dyDescent="0.25">
      <c r="A167" s="107" t="s">
        <v>1536</v>
      </c>
      <c r="B167" s="107"/>
      <c r="C167" s="107"/>
    </row>
    <row r="168" spans="1:3" x14ac:dyDescent="0.25">
      <c r="A168" s="107" t="s">
        <v>1520</v>
      </c>
      <c r="B168" s="107"/>
      <c r="C168" s="107"/>
    </row>
    <row r="169" spans="1:3" x14ac:dyDescent="0.25">
      <c r="A169" s="107" t="s">
        <v>1522</v>
      </c>
      <c r="B169" s="107"/>
      <c r="C169" s="107"/>
    </row>
    <row r="170" spans="1:3" x14ac:dyDescent="0.25">
      <c r="A170" s="107" t="s">
        <v>1539</v>
      </c>
      <c r="B170" s="107"/>
      <c r="C170" s="107"/>
    </row>
    <row r="171" spans="1:3" x14ac:dyDescent="0.25">
      <c r="A171" s="107" t="s">
        <v>1517</v>
      </c>
      <c r="B171" s="107"/>
      <c r="C171" s="107"/>
    </row>
    <row r="172" spans="1:3" x14ac:dyDescent="0.25">
      <c r="A172" s="107" t="s">
        <v>1525</v>
      </c>
      <c r="B172" s="107"/>
      <c r="C172" s="107"/>
    </row>
    <row r="173" spans="1:3" x14ac:dyDescent="0.25">
      <c r="A173" s="107" t="s">
        <v>144</v>
      </c>
      <c r="B173" s="107"/>
      <c r="C173" s="107"/>
    </row>
    <row r="174" spans="1:3" x14ac:dyDescent="0.25">
      <c r="A174" s="107" t="s">
        <v>77</v>
      </c>
      <c r="B174" s="107" t="s">
        <v>3159</v>
      </c>
      <c r="C174" s="107" t="s">
        <v>3159</v>
      </c>
    </row>
    <row r="175" spans="1:3" x14ac:dyDescent="0.25">
      <c r="A175" s="107" t="s">
        <v>1484</v>
      </c>
      <c r="B175" s="107"/>
      <c r="C175" s="107"/>
    </row>
    <row r="176" spans="1:3" x14ac:dyDescent="0.25">
      <c r="A176" s="107" t="s">
        <v>1485</v>
      </c>
      <c r="B176" s="107"/>
      <c r="C176" s="107"/>
    </row>
    <row r="177" spans="1:1" x14ac:dyDescent="0.25">
      <c r="A177" s="107" t="s">
        <v>1486</v>
      </c>
    </row>
    <row r="178" spans="1:1" x14ac:dyDescent="0.25">
      <c r="A178" s="107" t="s">
        <v>1487</v>
      </c>
    </row>
    <row r="179" spans="1:1" x14ac:dyDescent="0.25">
      <c r="A179" s="107" t="s">
        <v>1488</v>
      </c>
    </row>
    <row r="180" spans="1:1" x14ac:dyDescent="0.25">
      <c r="A180" s="107" t="s">
        <v>1481</v>
      </c>
    </row>
    <row r="181" spans="1:1" x14ac:dyDescent="0.25">
      <c r="A181" s="107" t="s">
        <v>1489</v>
      </c>
    </row>
    <row r="182" spans="1:1" x14ac:dyDescent="0.25">
      <c r="A182" s="107" t="s">
        <v>1490</v>
      </c>
    </row>
    <row r="183" spans="1:1" x14ac:dyDescent="0.25">
      <c r="A183" s="107" t="s">
        <v>1491</v>
      </c>
    </row>
    <row r="184" spans="1:1" x14ac:dyDescent="0.25">
      <c r="A184" s="107" t="s">
        <v>1493</v>
      </c>
    </row>
    <row r="185" spans="1:1" x14ac:dyDescent="0.25">
      <c r="A185" s="107" t="s">
        <v>1496</v>
      </c>
    </row>
    <row r="186" spans="1:1" x14ac:dyDescent="0.25">
      <c r="A186" s="107" t="s">
        <v>1511</v>
      </c>
    </row>
    <row r="187" spans="1:1" x14ac:dyDescent="0.25">
      <c r="A187" s="107" t="s">
        <v>1499</v>
      </c>
    </row>
    <row r="188" spans="1:1" x14ac:dyDescent="0.25">
      <c r="A188" s="107" t="s">
        <v>1504</v>
      </c>
    </row>
    <row r="189" spans="1:1" x14ac:dyDescent="0.25">
      <c r="A189" s="107" t="s">
        <v>1505</v>
      </c>
    </row>
    <row r="190" spans="1:1" x14ac:dyDescent="0.25">
      <c r="A190" s="107" t="s">
        <v>1506</v>
      </c>
    </row>
    <row r="191" spans="1:1" x14ac:dyDescent="0.25">
      <c r="A191" s="107" t="s">
        <v>1507</v>
      </c>
    </row>
    <row r="192" spans="1:1" x14ac:dyDescent="0.25">
      <c r="A192" s="107" t="s">
        <v>1508</v>
      </c>
    </row>
    <row r="193" spans="1:3" x14ac:dyDescent="0.25">
      <c r="A193" s="107" t="s">
        <v>1509</v>
      </c>
      <c r="B193" s="107"/>
      <c r="C193" s="107"/>
    </row>
    <row r="194" spans="1:3" x14ac:dyDescent="0.25">
      <c r="A194" s="107" t="s">
        <v>127</v>
      </c>
      <c r="B194" s="107"/>
      <c r="C194" s="107"/>
    </row>
    <row r="195" spans="1:3" x14ac:dyDescent="0.25">
      <c r="A195" s="107" t="s">
        <v>1461</v>
      </c>
      <c r="B195" s="107"/>
      <c r="C195" s="107"/>
    </row>
    <row r="196" spans="1:3" x14ac:dyDescent="0.25">
      <c r="A196" s="107" t="s">
        <v>1462</v>
      </c>
      <c r="B196" s="107"/>
      <c r="C196" s="107"/>
    </row>
    <row r="197" spans="1:3" x14ac:dyDescent="0.25">
      <c r="A197" s="107" t="s">
        <v>1465</v>
      </c>
      <c r="B197" s="107"/>
      <c r="C197" s="107"/>
    </row>
    <row r="198" spans="1:3" x14ac:dyDescent="0.25">
      <c r="A198" s="107" t="s">
        <v>1466</v>
      </c>
      <c r="B198" s="107"/>
      <c r="C198" s="107"/>
    </row>
    <row r="199" spans="1:3" x14ac:dyDescent="0.25">
      <c r="A199" s="107" t="s">
        <v>1469</v>
      </c>
      <c r="B199" s="107"/>
      <c r="C199" s="107"/>
    </row>
    <row r="200" spans="1:3" x14ac:dyDescent="0.25">
      <c r="A200" s="107" t="s">
        <v>1470</v>
      </c>
      <c r="B200" s="107"/>
      <c r="C200" s="107"/>
    </row>
    <row r="201" spans="1:3" x14ac:dyDescent="0.25">
      <c r="A201" s="107" t="s">
        <v>1471</v>
      </c>
      <c r="B201" s="107"/>
      <c r="C201" s="107"/>
    </row>
    <row r="202" spans="1:3" x14ac:dyDescent="0.25">
      <c r="A202" s="107" t="s">
        <v>1473</v>
      </c>
      <c r="B202" s="107"/>
      <c r="C202" s="107"/>
    </row>
    <row r="203" spans="1:3" x14ac:dyDescent="0.25">
      <c r="A203" s="107" t="s">
        <v>150</v>
      </c>
      <c r="B203" s="107"/>
      <c r="C203" s="107"/>
    </row>
    <row r="204" spans="1:3" x14ac:dyDescent="0.25">
      <c r="A204" s="107" t="s">
        <v>1475</v>
      </c>
      <c r="B204" s="107"/>
      <c r="C204" s="107"/>
    </row>
    <row r="205" spans="1:3" x14ac:dyDescent="0.25">
      <c r="A205" s="107" t="s">
        <v>149</v>
      </c>
      <c r="B205" s="107"/>
      <c r="C205" s="107"/>
    </row>
    <row r="206" spans="1:3" x14ac:dyDescent="0.25">
      <c r="A206" s="107" t="s">
        <v>1477</v>
      </c>
      <c r="B206" s="107"/>
      <c r="C206" s="107"/>
    </row>
    <row r="207" spans="1:3" x14ac:dyDescent="0.25">
      <c r="A207" s="107" t="s">
        <v>1479</v>
      </c>
      <c r="B207" s="107"/>
      <c r="C207" s="107"/>
    </row>
    <row r="208" spans="1:3" x14ac:dyDescent="0.25">
      <c r="A208" s="107" t="s">
        <v>38</v>
      </c>
      <c r="B208" s="107" t="s">
        <v>3165</v>
      </c>
      <c r="C208" s="107" t="s">
        <v>3166</v>
      </c>
    </row>
    <row r="209" spans="1:3" x14ac:dyDescent="0.25">
      <c r="A209" s="107" t="s">
        <v>1446</v>
      </c>
      <c r="B209" s="107"/>
      <c r="C209" s="107"/>
    </row>
    <row r="210" spans="1:3" x14ac:dyDescent="0.25">
      <c r="A210" s="107" t="s">
        <v>158</v>
      </c>
      <c r="B210" s="107"/>
      <c r="C210" s="107"/>
    </row>
    <row r="211" spans="1:3" x14ac:dyDescent="0.25">
      <c r="A211" s="107" t="s">
        <v>1450</v>
      </c>
      <c r="B211" s="107"/>
      <c r="C211" s="107"/>
    </row>
    <row r="212" spans="1:3" x14ac:dyDescent="0.25">
      <c r="A212" s="107" t="s">
        <v>74</v>
      </c>
      <c r="B212" s="107" t="s">
        <v>3159</v>
      </c>
      <c r="C212" s="107" t="s">
        <v>3159</v>
      </c>
    </row>
    <row r="213" spans="1:3" x14ac:dyDescent="0.25">
      <c r="A213" s="107" t="s">
        <v>107</v>
      </c>
      <c r="B213" s="107"/>
      <c r="C213" s="107"/>
    </row>
    <row r="214" spans="1:3" x14ac:dyDescent="0.25">
      <c r="A214" s="107" t="s">
        <v>1451</v>
      </c>
      <c r="B214" s="107"/>
      <c r="C214" s="107"/>
    </row>
    <row r="215" spans="1:3" x14ac:dyDescent="0.25">
      <c r="A215" s="107" t="s">
        <v>1453</v>
      </c>
      <c r="B215" s="107"/>
      <c r="C215" s="107"/>
    </row>
    <row r="216" spans="1:3" x14ac:dyDescent="0.25">
      <c r="A216" s="107" t="s">
        <v>1456</v>
      </c>
      <c r="B216" s="107"/>
      <c r="C216" s="107"/>
    </row>
    <row r="217" spans="1:3" x14ac:dyDescent="0.25">
      <c r="A217" s="107" t="s">
        <v>1460</v>
      </c>
      <c r="B217" s="107"/>
      <c r="C217" s="107"/>
    </row>
    <row r="218" spans="1:3" x14ac:dyDescent="0.25">
      <c r="A218" s="107" t="s">
        <v>1459</v>
      </c>
      <c r="B218" s="107"/>
      <c r="C218" s="107"/>
    </row>
    <row r="219" spans="1:3" x14ac:dyDescent="0.25">
      <c r="A219" s="107" t="s">
        <v>1457</v>
      </c>
      <c r="B219" s="107"/>
      <c r="C219" s="107"/>
    </row>
    <row r="220" spans="1:3" x14ac:dyDescent="0.25">
      <c r="A220" s="107" t="s">
        <v>56</v>
      </c>
      <c r="B220" s="107" t="s">
        <v>3161</v>
      </c>
      <c r="C220" s="107" t="s">
        <v>3161</v>
      </c>
    </row>
    <row r="221" spans="1:3" x14ac:dyDescent="0.25">
      <c r="A221" s="107" t="s">
        <v>58</v>
      </c>
      <c r="B221" s="107" t="s">
        <v>3161</v>
      </c>
      <c r="C221" s="107" t="s">
        <v>3161</v>
      </c>
    </row>
    <row r="222" spans="1:3" x14ac:dyDescent="0.25">
      <c r="A222" s="107" t="s">
        <v>1428</v>
      </c>
      <c r="B222" s="107"/>
      <c r="C222" s="107"/>
    </row>
    <row r="223" spans="1:3" x14ac:dyDescent="0.25">
      <c r="A223" s="107" t="s">
        <v>92</v>
      </c>
      <c r="B223" s="107" t="s">
        <v>3155</v>
      </c>
      <c r="C223" s="107" t="s">
        <v>3164</v>
      </c>
    </row>
    <row r="224" spans="1:3" x14ac:dyDescent="0.25">
      <c r="A224" s="107" t="s">
        <v>1431</v>
      </c>
      <c r="B224" s="107"/>
      <c r="C224" s="107"/>
    </row>
    <row r="225" spans="1:1" x14ac:dyDescent="0.25">
      <c r="A225" s="107" t="s">
        <v>1434</v>
      </c>
    </row>
    <row r="226" spans="1:1" x14ac:dyDescent="0.25">
      <c r="A226" s="107" t="s">
        <v>1437</v>
      </c>
    </row>
    <row r="227" spans="1:1" x14ac:dyDescent="0.25">
      <c r="A227" s="107" t="s">
        <v>1440</v>
      </c>
    </row>
    <row r="228" spans="1:1" x14ac:dyDescent="0.25">
      <c r="A228" s="107" t="s">
        <v>1441</v>
      </c>
    </row>
    <row r="229" spans="1:1" x14ac:dyDescent="0.25">
      <c r="A229" s="107" t="s">
        <v>1442</v>
      </c>
    </row>
    <row r="230" spans="1:1" x14ac:dyDescent="0.25">
      <c r="A230" s="107" t="s">
        <v>1444</v>
      </c>
    </row>
    <row r="231" spans="1:1" x14ac:dyDescent="0.25">
      <c r="A231" s="107" t="s">
        <v>1413</v>
      </c>
    </row>
    <row r="232" spans="1:1" x14ac:dyDescent="0.25">
      <c r="A232" s="107" t="s">
        <v>1414</v>
      </c>
    </row>
    <row r="233" spans="1:1" x14ac:dyDescent="0.25">
      <c r="A233" s="107" t="s">
        <v>1416</v>
      </c>
    </row>
    <row r="234" spans="1:1" x14ac:dyDescent="0.25">
      <c r="A234" s="107" t="s">
        <v>1418</v>
      </c>
    </row>
    <row r="235" spans="1:1" x14ac:dyDescent="0.25">
      <c r="A235" s="107" t="s">
        <v>1423</v>
      </c>
    </row>
    <row r="236" spans="1:1" x14ac:dyDescent="0.25">
      <c r="A236" s="107" t="s">
        <v>1425</v>
      </c>
    </row>
    <row r="237" spans="1:1" x14ac:dyDescent="0.25">
      <c r="A237" s="107" t="s">
        <v>1426</v>
      </c>
    </row>
    <row r="238" spans="1:1" x14ac:dyDescent="0.25">
      <c r="A238" s="107" t="s">
        <v>1391</v>
      </c>
    </row>
    <row r="239" spans="1:1" x14ac:dyDescent="0.25">
      <c r="A239" s="107" t="s">
        <v>1392</v>
      </c>
    </row>
    <row r="240" spans="1:1" x14ac:dyDescent="0.25">
      <c r="A240" s="107" t="s">
        <v>1396</v>
      </c>
    </row>
    <row r="241" spans="1:3" x14ac:dyDescent="0.25">
      <c r="A241" s="107" t="s">
        <v>1370</v>
      </c>
      <c r="B241" s="107"/>
      <c r="C241" s="107"/>
    </row>
    <row r="242" spans="1:3" x14ac:dyDescent="0.25">
      <c r="A242" s="107" t="s">
        <v>1373</v>
      </c>
      <c r="B242" s="107"/>
      <c r="C242" s="107"/>
    </row>
    <row r="243" spans="1:3" x14ac:dyDescent="0.25">
      <c r="A243" s="107" t="s">
        <v>1381</v>
      </c>
      <c r="B243" s="107"/>
      <c r="C243" s="107"/>
    </row>
    <row r="244" spans="1:3" x14ac:dyDescent="0.25">
      <c r="A244" s="107" t="s">
        <v>1385</v>
      </c>
      <c r="B244" s="107"/>
      <c r="C244" s="107"/>
    </row>
    <row r="245" spans="1:3" x14ac:dyDescent="0.25">
      <c r="A245" s="107" t="s">
        <v>43</v>
      </c>
      <c r="B245" s="107" t="s">
        <v>3167</v>
      </c>
      <c r="C245" s="107" t="s">
        <v>3160</v>
      </c>
    </row>
    <row r="246" spans="1:3" x14ac:dyDescent="0.25">
      <c r="A246" s="107" t="s">
        <v>1339</v>
      </c>
      <c r="B246" s="107"/>
      <c r="C246" s="107"/>
    </row>
    <row r="247" spans="1:3" x14ac:dyDescent="0.25">
      <c r="A247" s="107" t="s">
        <v>1341</v>
      </c>
      <c r="B247" s="107"/>
      <c r="C247" s="107"/>
    </row>
    <row r="248" spans="1:3" x14ac:dyDescent="0.25">
      <c r="A248" s="107" t="s">
        <v>1343</v>
      </c>
      <c r="B248" s="107"/>
      <c r="C248" s="107"/>
    </row>
    <row r="249" spans="1:3" x14ac:dyDescent="0.25">
      <c r="A249" s="107" t="s">
        <v>1344</v>
      </c>
      <c r="B249" s="107"/>
      <c r="C249" s="107"/>
    </row>
    <row r="250" spans="1:3" x14ac:dyDescent="0.25">
      <c r="A250" s="107" t="s">
        <v>1345</v>
      </c>
      <c r="B250" s="107"/>
      <c r="C250" s="107"/>
    </row>
    <row r="251" spans="1:3" x14ac:dyDescent="0.25">
      <c r="A251" s="107" t="s">
        <v>1348</v>
      </c>
      <c r="B251" s="107"/>
      <c r="C251" s="107"/>
    </row>
    <row r="252" spans="1:3" x14ac:dyDescent="0.25">
      <c r="A252" s="107" t="s">
        <v>1350</v>
      </c>
      <c r="B252" s="107"/>
      <c r="C252" s="107"/>
    </row>
    <row r="253" spans="1:3" x14ac:dyDescent="0.25">
      <c r="A253" s="107" t="s">
        <v>1352</v>
      </c>
      <c r="B253" s="107"/>
      <c r="C253" s="107"/>
    </row>
    <row r="254" spans="1:3" x14ac:dyDescent="0.25">
      <c r="A254" s="107" t="s">
        <v>1353</v>
      </c>
      <c r="B254" s="107"/>
      <c r="C254" s="107"/>
    </row>
    <row r="255" spans="1:3" x14ac:dyDescent="0.25">
      <c r="A255" s="107" t="s">
        <v>1354</v>
      </c>
      <c r="B255" s="107"/>
      <c r="C255" s="107"/>
    </row>
    <row r="256" spans="1:3" x14ac:dyDescent="0.25">
      <c r="A256" s="107" t="s">
        <v>1355</v>
      </c>
      <c r="B256" s="107"/>
      <c r="C256" s="107"/>
    </row>
    <row r="257" spans="1:3" x14ac:dyDescent="0.25">
      <c r="A257" s="107" t="s">
        <v>1356</v>
      </c>
      <c r="B257" s="107"/>
      <c r="C257" s="107"/>
    </row>
    <row r="258" spans="1:3" x14ac:dyDescent="0.25">
      <c r="A258" s="107" t="s">
        <v>1358</v>
      </c>
      <c r="B258" s="107"/>
      <c r="C258" s="107"/>
    </row>
    <row r="259" spans="1:3" x14ac:dyDescent="0.25">
      <c r="A259" s="107" t="s">
        <v>1360</v>
      </c>
      <c r="B259" s="107"/>
      <c r="C259" s="107"/>
    </row>
    <row r="260" spans="1:3" x14ac:dyDescent="0.25">
      <c r="A260" s="107" t="s">
        <v>1317</v>
      </c>
      <c r="B260" s="107"/>
      <c r="C260" s="107"/>
    </row>
    <row r="261" spans="1:3" x14ac:dyDescent="0.25">
      <c r="A261" s="107" t="s">
        <v>1319</v>
      </c>
      <c r="B261" s="107"/>
      <c r="C261" s="107"/>
    </row>
    <row r="262" spans="1:3" x14ac:dyDescent="0.25">
      <c r="A262" s="107" t="s">
        <v>153</v>
      </c>
      <c r="B262" s="107"/>
      <c r="C262" s="107"/>
    </row>
    <row r="263" spans="1:3" x14ac:dyDescent="0.25">
      <c r="A263" s="107" t="s">
        <v>1321</v>
      </c>
      <c r="B263" s="107"/>
      <c r="C263" s="107"/>
    </row>
    <row r="264" spans="1:3" x14ac:dyDescent="0.25">
      <c r="A264" s="107" t="s">
        <v>1324</v>
      </c>
      <c r="B264" s="107"/>
      <c r="C264" s="107"/>
    </row>
    <row r="265" spans="1:3" x14ac:dyDescent="0.25">
      <c r="A265" s="107" t="s">
        <v>1325</v>
      </c>
      <c r="B265" s="107"/>
      <c r="C265" s="107"/>
    </row>
    <row r="266" spans="1:3" x14ac:dyDescent="0.25">
      <c r="A266" s="107" t="s">
        <v>1326</v>
      </c>
      <c r="B266" s="107"/>
      <c r="C266" s="107"/>
    </row>
    <row r="267" spans="1:3" x14ac:dyDescent="0.25">
      <c r="A267" s="107" t="s">
        <v>1328</v>
      </c>
      <c r="B267" s="107"/>
      <c r="C267" s="107"/>
    </row>
    <row r="268" spans="1:3" x14ac:dyDescent="0.25">
      <c r="A268" s="107" t="s">
        <v>94</v>
      </c>
      <c r="B268" s="107" t="s">
        <v>3163</v>
      </c>
      <c r="C268" s="107" t="s">
        <v>3163</v>
      </c>
    </row>
    <row r="269" spans="1:3" x14ac:dyDescent="0.25">
      <c r="A269" s="107" t="s">
        <v>1330</v>
      </c>
      <c r="B269" s="107"/>
      <c r="C269" s="107"/>
    </row>
    <row r="270" spans="1:3" x14ac:dyDescent="0.25">
      <c r="A270" s="107" t="s">
        <v>1331</v>
      </c>
      <c r="B270" s="107"/>
      <c r="C270" s="107"/>
    </row>
    <row r="271" spans="1:3" x14ac:dyDescent="0.25">
      <c r="A271" s="107" t="s">
        <v>1332</v>
      </c>
      <c r="B271" s="107"/>
      <c r="C271" s="107"/>
    </row>
    <row r="272" spans="1:3" x14ac:dyDescent="0.25">
      <c r="A272" s="107" t="s">
        <v>1333</v>
      </c>
      <c r="B272" s="107"/>
      <c r="C272" s="107"/>
    </row>
    <row r="273" spans="1:3" x14ac:dyDescent="0.25">
      <c r="A273" s="107" t="s">
        <v>1334</v>
      </c>
      <c r="B273" s="107"/>
      <c r="C273" s="107"/>
    </row>
    <row r="274" spans="1:3" x14ac:dyDescent="0.25">
      <c r="A274" s="107" t="s">
        <v>62</v>
      </c>
      <c r="B274" s="107" t="s">
        <v>3160</v>
      </c>
      <c r="C274" s="107" t="s">
        <v>3160</v>
      </c>
    </row>
    <row r="275" spans="1:3" x14ac:dyDescent="0.25">
      <c r="A275" s="107" t="s">
        <v>1336</v>
      </c>
      <c r="B275" s="107"/>
      <c r="C275" s="107"/>
    </row>
    <row r="276" spans="1:3" x14ac:dyDescent="0.25">
      <c r="A276" s="107" t="s">
        <v>1335</v>
      </c>
      <c r="B276" s="107"/>
      <c r="C276" s="107"/>
    </row>
    <row r="277" spans="1:3" x14ac:dyDescent="0.25">
      <c r="A277" s="107" t="s">
        <v>1283</v>
      </c>
      <c r="B277" s="107"/>
      <c r="C277" s="107"/>
    </row>
    <row r="278" spans="1:3" x14ac:dyDescent="0.25">
      <c r="A278" s="107" t="s">
        <v>1286</v>
      </c>
      <c r="B278" s="107"/>
      <c r="C278" s="107"/>
    </row>
    <row r="279" spans="1:3" x14ac:dyDescent="0.25">
      <c r="A279" s="107" t="s">
        <v>1287</v>
      </c>
      <c r="B279" s="107"/>
      <c r="C279" s="107"/>
    </row>
    <row r="280" spans="1:3" x14ac:dyDescent="0.25">
      <c r="A280" s="107" t="s">
        <v>1289</v>
      </c>
      <c r="B280" s="107"/>
      <c r="C280" s="107"/>
    </row>
    <row r="281" spans="1:3" x14ac:dyDescent="0.25">
      <c r="A281" s="107" t="s">
        <v>1290</v>
      </c>
      <c r="B281" s="107"/>
      <c r="C281" s="107"/>
    </row>
    <row r="282" spans="1:3" x14ac:dyDescent="0.25">
      <c r="A282" s="107" t="s">
        <v>1292</v>
      </c>
      <c r="B282" s="107"/>
      <c r="C282" s="107"/>
    </row>
    <row r="283" spans="1:3" x14ac:dyDescent="0.25">
      <c r="A283" s="107" t="s">
        <v>95</v>
      </c>
      <c r="B283" s="107" t="s">
        <v>3163</v>
      </c>
      <c r="C283" s="107" t="s">
        <v>3163</v>
      </c>
    </row>
    <row r="284" spans="1:3" x14ac:dyDescent="0.25">
      <c r="A284" s="107" t="s">
        <v>1293</v>
      </c>
      <c r="B284" s="107"/>
      <c r="C284" s="107"/>
    </row>
    <row r="285" spans="1:3" x14ac:dyDescent="0.25">
      <c r="A285" s="107" t="s">
        <v>1294</v>
      </c>
      <c r="B285" s="107"/>
      <c r="C285" s="107"/>
    </row>
    <row r="286" spans="1:3" x14ac:dyDescent="0.25">
      <c r="A286" s="107" t="s">
        <v>145</v>
      </c>
      <c r="B286" s="107"/>
      <c r="C286" s="107"/>
    </row>
    <row r="287" spans="1:3" x14ac:dyDescent="0.25">
      <c r="A287" s="107" t="s">
        <v>1296</v>
      </c>
      <c r="B287" s="107"/>
      <c r="C287" s="107"/>
    </row>
    <row r="288" spans="1:3" x14ac:dyDescent="0.25">
      <c r="A288" s="107" t="s">
        <v>1297</v>
      </c>
      <c r="B288" s="107"/>
      <c r="C288" s="107"/>
    </row>
    <row r="289" spans="1:3" x14ac:dyDescent="0.25">
      <c r="A289" s="107" t="s">
        <v>1299</v>
      </c>
      <c r="B289" s="107"/>
      <c r="C289" s="107"/>
    </row>
    <row r="290" spans="1:3" x14ac:dyDescent="0.25">
      <c r="A290" s="107" t="s">
        <v>1300</v>
      </c>
      <c r="B290" s="107"/>
      <c r="C290" s="107"/>
    </row>
    <row r="291" spans="1:3" x14ac:dyDescent="0.25">
      <c r="A291" s="107" t="s">
        <v>1301</v>
      </c>
      <c r="B291" s="107"/>
      <c r="C291" s="107"/>
    </row>
    <row r="292" spans="1:3" x14ac:dyDescent="0.25">
      <c r="A292" s="107" t="s">
        <v>1302</v>
      </c>
      <c r="B292" s="107"/>
      <c r="C292" s="107"/>
    </row>
    <row r="293" spans="1:3" x14ac:dyDescent="0.25">
      <c r="A293" s="107" t="s">
        <v>1303</v>
      </c>
      <c r="B293" s="107"/>
      <c r="C293" s="107"/>
    </row>
    <row r="294" spans="1:3" x14ac:dyDescent="0.25">
      <c r="A294" s="107" t="s">
        <v>1304</v>
      </c>
      <c r="B294" s="107"/>
      <c r="C294" s="107"/>
    </row>
    <row r="295" spans="1:3" x14ac:dyDescent="0.25">
      <c r="A295" s="107" t="s">
        <v>101</v>
      </c>
      <c r="B295" s="107" t="s">
        <v>3164</v>
      </c>
      <c r="C295" s="107" t="s">
        <v>3164</v>
      </c>
    </row>
    <row r="296" spans="1:3" x14ac:dyDescent="0.25">
      <c r="A296" s="107" t="s">
        <v>1305</v>
      </c>
      <c r="B296" s="107"/>
      <c r="C296" s="107"/>
    </row>
    <row r="297" spans="1:3" x14ac:dyDescent="0.25">
      <c r="A297" s="107" t="s">
        <v>1307</v>
      </c>
      <c r="B297" s="107"/>
      <c r="C297" s="107"/>
    </row>
    <row r="298" spans="1:3" x14ac:dyDescent="0.25">
      <c r="A298" s="107" t="s">
        <v>1309</v>
      </c>
      <c r="B298" s="107"/>
      <c r="C298" s="107"/>
    </row>
    <row r="299" spans="1:3" x14ac:dyDescent="0.25">
      <c r="A299" s="107" t="s">
        <v>1310</v>
      </c>
      <c r="B299" s="107"/>
      <c r="C299" s="107"/>
    </row>
    <row r="300" spans="1:3" x14ac:dyDescent="0.25">
      <c r="A300" s="107" t="s">
        <v>133</v>
      </c>
      <c r="B300" s="107"/>
      <c r="C300" s="107"/>
    </row>
    <row r="301" spans="1:3" x14ac:dyDescent="0.25">
      <c r="A301" s="107" t="s">
        <v>1270</v>
      </c>
      <c r="B301" s="107" t="s">
        <v>3164</v>
      </c>
      <c r="C301" s="107"/>
    </row>
    <row r="302" spans="1:3" x14ac:dyDescent="0.25">
      <c r="A302" s="107" t="s">
        <v>1272</v>
      </c>
      <c r="B302" s="107"/>
      <c r="C302" s="107"/>
    </row>
    <row r="303" spans="1:3" x14ac:dyDescent="0.25">
      <c r="A303" s="107" t="s">
        <v>1273</v>
      </c>
      <c r="B303" s="107"/>
      <c r="C303" s="107"/>
    </row>
    <row r="304" spans="1:3" x14ac:dyDescent="0.25">
      <c r="A304" s="107" t="s">
        <v>1274</v>
      </c>
      <c r="B304" s="107"/>
      <c r="C304" s="107"/>
    </row>
    <row r="305" spans="1:3" x14ac:dyDescent="0.25">
      <c r="A305" s="107" t="s">
        <v>46</v>
      </c>
      <c r="B305" s="107" t="s">
        <v>3158</v>
      </c>
      <c r="C305" s="107" t="s">
        <v>3168</v>
      </c>
    </row>
    <row r="306" spans="1:3" x14ac:dyDescent="0.25">
      <c r="A306" s="107" t="s">
        <v>1275</v>
      </c>
      <c r="B306" s="107"/>
      <c r="C306" s="107"/>
    </row>
    <row r="307" spans="1:3" x14ac:dyDescent="0.25">
      <c r="A307" s="107" t="s">
        <v>35</v>
      </c>
      <c r="B307" s="107" t="s">
        <v>3162</v>
      </c>
      <c r="C307" s="107" t="s">
        <v>3162</v>
      </c>
    </row>
    <row r="308" spans="1:3" x14ac:dyDescent="0.25">
      <c r="A308" s="107" t="s">
        <v>1267</v>
      </c>
      <c r="B308" s="107"/>
      <c r="C308" s="107"/>
    </row>
    <row r="309" spans="1:3" x14ac:dyDescent="0.25">
      <c r="A309" s="107" t="s">
        <v>1249</v>
      </c>
      <c r="B309" s="107"/>
      <c r="C309" s="107"/>
    </row>
    <row r="310" spans="1:3" x14ac:dyDescent="0.25">
      <c r="A310" s="107" t="s">
        <v>1252</v>
      </c>
      <c r="B310" s="107"/>
      <c r="C310" s="107"/>
    </row>
    <row r="311" spans="1:3" x14ac:dyDescent="0.25">
      <c r="A311" s="107" t="s">
        <v>1268</v>
      </c>
      <c r="B311" s="107"/>
      <c r="C311" s="107"/>
    </row>
    <row r="312" spans="1:3" x14ac:dyDescent="0.25">
      <c r="A312" s="107" t="s">
        <v>1253</v>
      </c>
      <c r="B312" s="107"/>
      <c r="C312" s="107"/>
    </row>
    <row r="313" spans="1:3" x14ac:dyDescent="0.25">
      <c r="A313" s="107" t="s">
        <v>1260</v>
      </c>
      <c r="B313" s="107"/>
      <c r="C313" s="107"/>
    </row>
    <row r="314" spans="1:3" x14ac:dyDescent="0.25">
      <c r="A314" s="107" t="s">
        <v>1261</v>
      </c>
      <c r="B314" s="107"/>
      <c r="C314" s="107"/>
    </row>
    <row r="315" spans="1:3" x14ac:dyDescent="0.25">
      <c r="A315" s="107" t="s">
        <v>1263</v>
      </c>
      <c r="B315" s="107"/>
      <c r="C315" s="107"/>
    </row>
    <row r="316" spans="1:3" x14ac:dyDescent="0.25">
      <c r="A316" s="107" t="s">
        <v>1264</v>
      </c>
      <c r="B316" s="107"/>
      <c r="C316" s="107"/>
    </row>
    <row r="317" spans="1:3" x14ac:dyDescent="0.25">
      <c r="A317" s="107" t="s">
        <v>1238</v>
      </c>
      <c r="B317" s="107"/>
      <c r="C317" s="107"/>
    </row>
    <row r="318" spans="1:3" x14ac:dyDescent="0.25">
      <c r="A318" s="107" t="s">
        <v>1239</v>
      </c>
      <c r="B318" s="107"/>
      <c r="C318" s="107"/>
    </row>
    <row r="319" spans="1:3" x14ac:dyDescent="0.25">
      <c r="A319" s="107" t="s">
        <v>1242</v>
      </c>
      <c r="B319" s="107"/>
      <c r="C319" s="107"/>
    </row>
    <row r="320" spans="1:3" x14ac:dyDescent="0.25">
      <c r="A320" s="107" t="s">
        <v>103</v>
      </c>
      <c r="B320" s="107"/>
      <c r="C320" s="107"/>
    </row>
    <row r="321" spans="1:1" x14ac:dyDescent="0.25">
      <c r="A321" s="107" t="s">
        <v>1244</v>
      </c>
    </row>
    <row r="322" spans="1:1" x14ac:dyDescent="0.25">
      <c r="A322" s="107" t="s">
        <v>1222</v>
      </c>
    </row>
    <row r="323" spans="1:1" x14ac:dyDescent="0.25">
      <c r="A323" s="107" t="s">
        <v>1225</v>
      </c>
    </row>
    <row r="324" spans="1:1" x14ac:dyDescent="0.25">
      <c r="A324" s="107" t="s">
        <v>146</v>
      </c>
    </row>
    <row r="325" spans="1:1" x14ac:dyDescent="0.25">
      <c r="A325" s="107" t="s">
        <v>155</v>
      </c>
    </row>
    <row r="326" spans="1:1" x14ac:dyDescent="0.25">
      <c r="A326" s="107" t="s">
        <v>3169</v>
      </c>
    </row>
    <row r="327" spans="1:1" x14ac:dyDescent="0.25">
      <c r="A327" s="107" t="s">
        <v>1228</v>
      </c>
    </row>
    <row r="328" spans="1:1" x14ac:dyDescent="0.25">
      <c r="A328" s="107" t="s">
        <v>1230</v>
      </c>
    </row>
    <row r="329" spans="1:1" x14ac:dyDescent="0.25">
      <c r="A329" s="107" t="s">
        <v>1231</v>
      </c>
    </row>
    <row r="330" spans="1:1" x14ac:dyDescent="0.25">
      <c r="A330" s="107" t="s">
        <v>128</v>
      </c>
    </row>
    <row r="331" spans="1:1" x14ac:dyDescent="0.25">
      <c r="A331" s="107" t="s">
        <v>122</v>
      </c>
    </row>
    <row r="332" spans="1:1" x14ac:dyDescent="0.25">
      <c r="A332" s="107" t="s">
        <v>162</v>
      </c>
    </row>
    <row r="333" spans="1:1" x14ac:dyDescent="0.25">
      <c r="A333" s="107" t="s">
        <v>1207</v>
      </c>
    </row>
    <row r="334" spans="1:1" x14ac:dyDescent="0.25">
      <c r="A334" s="107" t="s">
        <v>1209</v>
      </c>
    </row>
    <row r="335" spans="1:1" x14ac:dyDescent="0.25">
      <c r="A335" s="107" t="s">
        <v>1210</v>
      </c>
    </row>
    <row r="336" spans="1:1" x14ac:dyDescent="0.25">
      <c r="A336" s="107" t="s">
        <v>1211</v>
      </c>
    </row>
    <row r="337" spans="1:1" x14ac:dyDescent="0.25">
      <c r="A337" s="107" t="s">
        <v>1212</v>
      </c>
    </row>
    <row r="338" spans="1:1" x14ac:dyDescent="0.25">
      <c r="A338" s="107" t="s">
        <v>1213</v>
      </c>
    </row>
    <row r="339" spans="1:1" x14ac:dyDescent="0.25">
      <c r="A339" s="107" t="s">
        <v>1214</v>
      </c>
    </row>
    <row r="340" spans="1:1" x14ac:dyDescent="0.25">
      <c r="A340" s="107" t="s">
        <v>1216</v>
      </c>
    </row>
    <row r="341" spans="1:1" x14ac:dyDescent="0.25">
      <c r="A341" s="107" t="s">
        <v>1208</v>
      </c>
    </row>
    <row r="342" spans="1:1" x14ac:dyDescent="0.25">
      <c r="A342" s="107" t="s">
        <v>1220</v>
      </c>
    </row>
    <row r="343" spans="1:1" x14ac:dyDescent="0.25">
      <c r="A343" s="107" t="s">
        <v>1217</v>
      </c>
    </row>
    <row r="344" spans="1:1" x14ac:dyDescent="0.25">
      <c r="A344" s="107" t="s">
        <v>1218</v>
      </c>
    </row>
    <row r="345" spans="1:1" x14ac:dyDescent="0.25">
      <c r="A345" s="107" t="s">
        <v>1219</v>
      </c>
    </row>
    <row r="346" spans="1:1" x14ac:dyDescent="0.25">
      <c r="A346" s="107" t="s">
        <v>1189</v>
      </c>
    </row>
    <row r="347" spans="1:1" x14ac:dyDescent="0.25">
      <c r="A347" s="107" t="s">
        <v>1190</v>
      </c>
    </row>
    <row r="348" spans="1:1" x14ac:dyDescent="0.25">
      <c r="A348" s="107" t="s">
        <v>1191</v>
      </c>
    </row>
    <row r="349" spans="1:1" x14ac:dyDescent="0.25">
      <c r="A349" s="107" t="s">
        <v>1192</v>
      </c>
    </row>
    <row r="350" spans="1:1" x14ac:dyDescent="0.25">
      <c r="A350" s="107" t="s">
        <v>1193</v>
      </c>
    </row>
    <row r="351" spans="1:1" x14ac:dyDescent="0.25">
      <c r="A351" s="107" t="s">
        <v>1206</v>
      </c>
    </row>
    <row r="352" spans="1:1" x14ac:dyDescent="0.25">
      <c r="A352" s="107" t="s">
        <v>1187</v>
      </c>
    </row>
    <row r="353" spans="1:3" x14ac:dyDescent="0.25">
      <c r="A353" s="107" t="s">
        <v>1194</v>
      </c>
      <c r="B353" s="107"/>
      <c r="C353" s="107"/>
    </row>
    <row r="354" spans="1:3" x14ac:dyDescent="0.25">
      <c r="A354" s="107" t="s">
        <v>1195</v>
      </c>
      <c r="B354" s="107"/>
      <c r="C354" s="107"/>
    </row>
    <row r="355" spans="1:3" x14ac:dyDescent="0.25">
      <c r="A355" s="107" t="s">
        <v>1196</v>
      </c>
      <c r="B355" s="107"/>
      <c r="C355" s="107"/>
    </row>
    <row r="356" spans="1:3" x14ac:dyDescent="0.25">
      <c r="A356" s="107" t="s">
        <v>1197</v>
      </c>
      <c r="B356" s="107"/>
      <c r="C356" s="107"/>
    </row>
    <row r="357" spans="1:3" x14ac:dyDescent="0.25">
      <c r="A357" s="107" t="s">
        <v>1198</v>
      </c>
      <c r="B357" s="107"/>
      <c r="C357" s="107"/>
    </row>
    <row r="358" spans="1:3" x14ac:dyDescent="0.25">
      <c r="A358" s="107" t="s">
        <v>1199</v>
      </c>
      <c r="B358" s="107"/>
      <c r="C358" s="107"/>
    </row>
    <row r="359" spans="1:3" x14ac:dyDescent="0.25">
      <c r="A359" s="107" t="s">
        <v>1188</v>
      </c>
      <c r="B359" s="107"/>
      <c r="C359" s="107"/>
    </row>
    <row r="360" spans="1:3" x14ac:dyDescent="0.25">
      <c r="A360" s="107" t="s">
        <v>1201</v>
      </c>
      <c r="B360" s="107"/>
      <c r="C360" s="107"/>
    </row>
    <row r="361" spans="1:3" x14ac:dyDescent="0.25">
      <c r="A361" s="107" t="s">
        <v>1202</v>
      </c>
      <c r="B361" s="107"/>
      <c r="C361" s="107"/>
    </row>
    <row r="362" spans="1:3" x14ac:dyDescent="0.25">
      <c r="A362" s="107" t="s">
        <v>1204</v>
      </c>
      <c r="B362" s="107"/>
      <c r="C362" s="107"/>
    </row>
    <row r="363" spans="1:3" x14ac:dyDescent="0.25">
      <c r="A363" s="107" t="s">
        <v>85</v>
      </c>
      <c r="B363" s="107" t="s">
        <v>3155</v>
      </c>
      <c r="C363" s="107" t="s">
        <v>3155</v>
      </c>
    </row>
    <row r="364" spans="1:3" x14ac:dyDescent="0.25">
      <c r="A364" s="107" t="s">
        <v>1185</v>
      </c>
      <c r="B364" s="107"/>
      <c r="C364" s="107"/>
    </row>
    <row r="365" spans="1:3" x14ac:dyDescent="0.25">
      <c r="A365" s="107" t="s">
        <v>1158</v>
      </c>
      <c r="B365" s="107"/>
      <c r="C365" s="107"/>
    </row>
    <row r="366" spans="1:3" x14ac:dyDescent="0.25">
      <c r="A366" s="107" t="s">
        <v>1159</v>
      </c>
      <c r="B366" s="107"/>
      <c r="C366" s="107"/>
    </row>
    <row r="367" spans="1:3" x14ac:dyDescent="0.25">
      <c r="A367" s="107" t="s">
        <v>1160</v>
      </c>
      <c r="B367" s="107"/>
      <c r="C367" s="107"/>
    </row>
    <row r="368" spans="1:3" x14ac:dyDescent="0.25">
      <c r="A368" s="107" t="s">
        <v>1161</v>
      </c>
      <c r="B368" s="107"/>
      <c r="C368" s="107"/>
    </row>
    <row r="369" spans="1:1" x14ac:dyDescent="0.25">
      <c r="A369" s="107" t="s">
        <v>1162</v>
      </c>
    </row>
    <row r="370" spans="1:1" x14ac:dyDescent="0.25">
      <c r="A370" s="107" t="s">
        <v>1186</v>
      </c>
    </row>
    <row r="371" spans="1:1" x14ac:dyDescent="0.25">
      <c r="A371" s="107" t="s">
        <v>1163</v>
      </c>
    </row>
    <row r="372" spans="1:1" x14ac:dyDescent="0.25">
      <c r="A372" s="107" t="s">
        <v>1164</v>
      </c>
    </row>
    <row r="373" spans="1:1" x14ac:dyDescent="0.25">
      <c r="A373" s="107" t="s">
        <v>1165</v>
      </c>
    </row>
    <row r="374" spans="1:1" x14ac:dyDescent="0.25">
      <c r="A374" s="107" t="s">
        <v>1166</v>
      </c>
    </row>
    <row r="375" spans="1:1" x14ac:dyDescent="0.25">
      <c r="A375" s="107" t="s">
        <v>1167</v>
      </c>
    </row>
    <row r="376" spans="1:1" x14ac:dyDescent="0.25">
      <c r="A376" s="107" t="s">
        <v>1168</v>
      </c>
    </row>
    <row r="377" spans="1:1" x14ac:dyDescent="0.25">
      <c r="A377" s="107" t="s">
        <v>1169</v>
      </c>
    </row>
    <row r="378" spans="1:1" x14ac:dyDescent="0.25">
      <c r="A378" s="107" t="s">
        <v>134</v>
      </c>
    </row>
    <row r="379" spans="1:1" x14ac:dyDescent="0.25">
      <c r="A379" s="107" t="s">
        <v>1170</v>
      </c>
    </row>
    <row r="380" spans="1:1" x14ac:dyDescent="0.25">
      <c r="A380" s="107" t="s">
        <v>1171</v>
      </c>
    </row>
    <row r="381" spans="1:1" x14ac:dyDescent="0.25">
      <c r="A381" s="107" t="s">
        <v>1172</v>
      </c>
    </row>
    <row r="382" spans="1:1" x14ac:dyDescent="0.25">
      <c r="A382" s="107" t="s">
        <v>1173</v>
      </c>
    </row>
    <row r="383" spans="1:1" x14ac:dyDescent="0.25">
      <c r="A383" s="107" t="s">
        <v>1174</v>
      </c>
    </row>
    <row r="384" spans="1:1" x14ac:dyDescent="0.25">
      <c r="A384" s="107" t="s">
        <v>572</v>
      </c>
    </row>
    <row r="385" spans="1:3" x14ac:dyDescent="0.25">
      <c r="A385" s="107" t="s">
        <v>1175</v>
      </c>
      <c r="B385" s="107"/>
      <c r="C385" s="107"/>
    </row>
    <row r="386" spans="1:3" x14ac:dyDescent="0.25">
      <c r="A386" s="107" t="s">
        <v>1176</v>
      </c>
      <c r="B386" s="107"/>
      <c r="C386" s="107"/>
    </row>
    <row r="387" spans="1:3" x14ac:dyDescent="0.25">
      <c r="A387" s="107" t="s">
        <v>1177</v>
      </c>
      <c r="B387" s="107"/>
      <c r="C387" s="107"/>
    </row>
    <row r="388" spans="1:3" x14ac:dyDescent="0.25">
      <c r="A388" s="107" t="s">
        <v>1184</v>
      </c>
      <c r="B388" s="107"/>
      <c r="C388" s="107"/>
    </row>
    <row r="389" spans="1:3" x14ac:dyDescent="0.25">
      <c r="A389" s="107" t="s">
        <v>1179</v>
      </c>
      <c r="B389" s="107"/>
      <c r="C389" s="107"/>
    </row>
    <row r="390" spans="1:3" x14ac:dyDescent="0.25">
      <c r="A390" s="107" t="s">
        <v>1180</v>
      </c>
      <c r="B390" s="107"/>
      <c r="C390" s="107"/>
    </row>
    <row r="391" spans="1:3" x14ac:dyDescent="0.25">
      <c r="A391" s="107" t="s">
        <v>1181</v>
      </c>
      <c r="B391" s="107"/>
      <c r="C391" s="107"/>
    </row>
    <row r="392" spans="1:3" x14ac:dyDescent="0.25">
      <c r="A392" s="107" t="s">
        <v>1127</v>
      </c>
      <c r="B392" s="107"/>
      <c r="C392" s="107"/>
    </row>
    <row r="393" spans="1:3" x14ac:dyDescent="0.25">
      <c r="A393" s="107" t="s">
        <v>1128</v>
      </c>
      <c r="B393" s="107"/>
      <c r="C393" s="107"/>
    </row>
    <row r="394" spans="1:3" x14ac:dyDescent="0.25">
      <c r="A394" s="107" t="s">
        <v>1129</v>
      </c>
      <c r="B394" s="107"/>
      <c r="C394" s="107"/>
    </row>
    <row r="395" spans="1:3" x14ac:dyDescent="0.25">
      <c r="A395" s="107" t="s">
        <v>1130</v>
      </c>
      <c r="B395" s="107"/>
      <c r="C395" s="107"/>
    </row>
    <row r="396" spans="1:3" x14ac:dyDescent="0.25">
      <c r="A396" s="107" t="s">
        <v>1131</v>
      </c>
      <c r="B396" s="107"/>
      <c r="C396" s="107"/>
    </row>
    <row r="397" spans="1:3" x14ac:dyDescent="0.25">
      <c r="A397" s="107" t="s">
        <v>1132</v>
      </c>
      <c r="B397" s="107"/>
      <c r="C397" s="107"/>
    </row>
    <row r="398" spans="1:3" x14ac:dyDescent="0.25">
      <c r="A398" s="107" t="s">
        <v>1133</v>
      </c>
      <c r="B398" s="107"/>
      <c r="C398" s="107"/>
    </row>
    <row r="399" spans="1:3" x14ac:dyDescent="0.25">
      <c r="A399" s="107" t="s">
        <v>1134</v>
      </c>
      <c r="B399" s="107"/>
      <c r="C399" s="107"/>
    </row>
    <row r="400" spans="1:3" x14ac:dyDescent="0.25">
      <c r="A400" s="107" t="s">
        <v>73</v>
      </c>
      <c r="B400" s="107" t="s">
        <v>3159</v>
      </c>
      <c r="C400" s="107" t="s">
        <v>3159</v>
      </c>
    </row>
    <row r="401" spans="1:3" x14ac:dyDescent="0.25">
      <c r="A401" s="107" t="s">
        <v>1135</v>
      </c>
      <c r="B401" s="107"/>
      <c r="C401" s="107"/>
    </row>
    <row r="402" spans="1:3" x14ac:dyDescent="0.25">
      <c r="A402" s="107" t="s">
        <v>1136</v>
      </c>
      <c r="B402" s="107"/>
      <c r="C402" s="107"/>
    </row>
    <row r="403" spans="1:3" x14ac:dyDescent="0.25">
      <c r="A403" s="107" t="s">
        <v>1137</v>
      </c>
      <c r="B403" s="107"/>
      <c r="C403" s="107"/>
    </row>
    <row r="404" spans="1:3" x14ac:dyDescent="0.25">
      <c r="A404" s="107" t="s">
        <v>1138</v>
      </c>
      <c r="B404" s="107"/>
      <c r="C404" s="107"/>
    </row>
    <row r="405" spans="1:3" x14ac:dyDescent="0.25">
      <c r="A405" s="107" t="s">
        <v>1139</v>
      </c>
      <c r="B405" s="107"/>
      <c r="C405" s="107"/>
    </row>
    <row r="406" spans="1:3" x14ac:dyDescent="0.25">
      <c r="A406" s="107" t="s">
        <v>1140</v>
      </c>
      <c r="B406" s="107"/>
      <c r="C406" s="107"/>
    </row>
    <row r="407" spans="1:3" x14ac:dyDescent="0.25">
      <c r="A407" s="107" t="s">
        <v>1141</v>
      </c>
      <c r="B407" s="107"/>
      <c r="C407" s="107"/>
    </row>
    <row r="408" spans="1:3" x14ac:dyDescent="0.25">
      <c r="A408" s="107" t="s">
        <v>75</v>
      </c>
      <c r="B408" s="107" t="s">
        <v>3159</v>
      </c>
      <c r="C408" s="107" t="s">
        <v>3159</v>
      </c>
    </row>
    <row r="409" spans="1:3" x14ac:dyDescent="0.25">
      <c r="A409" s="107" t="s">
        <v>1142</v>
      </c>
      <c r="B409" s="107"/>
      <c r="C409" s="107"/>
    </row>
    <row r="410" spans="1:3" x14ac:dyDescent="0.25">
      <c r="A410" s="107" t="s">
        <v>1156</v>
      </c>
      <c r="B410" s="107"/>
      <c r="C410" s="107"/>
    </row>
    <row r="411" spans="1:3" x14ac:dyDescent="0.25">
      <c r="A411" s="107" t="s">
        <v>1157</v>
      </c>
      <c r="B411" s="107"/>
      <c r="C411" s="107"/>
    </row>
    <row r="412" spans="1:3" x14ac:dyDescent="0.25">
      <c r="A412" s="107" t="s">
        <v>1143</v>
      </c>
      <c r="B412" s="107"/>
      <c r="C412" s="107"/>
    </row>
    <row r="413" spans="1:3" x14ac:dyDescent="0.25">
      <c r="A413" s="107" t="s">
        <v>1125</v>
      </c>
      <c r="B413" s="107"/>
      <c r="C413" s="107"/>
    </row>
    <row r="414" spans="1:3" x14ac:dyDescent="0.25">
      <c r="A414" s="107" t="s">
        <v>1124</v>
      </c>
      <c r="B414" s="107"/>
      <c r="C414" s="107"/>
    </row>
    <row r="415" spans="1:3" x14ac:dyDescent="0.25">
      <c r="A415" s="107" t="s">
        <v>1145</v>
      </c>
      <c r="B415" s="107"/>
      <c r="C415" s="107"/>
    </row>
    <row r="416" spans="1:3" x14ac:dyDescent="0.25">
      <c r="A416" s="107" t="s">
        <v>1146</v>
      </c>
      <c r="B416" s="107"/>
      <c r="C416" s="107"/>
    </row>
    <row r="417" spans="1:1" x14ac:dyDescent="0.25">
      <c r="A417" s="107" t="s">
        <v>1149</v>
      </c>
    </row>
    <row r="418" spans="1:1" x14ac:dyDescent="0.25">
      <c r="A418" s="107" t="s">
        <v>1150</v>
      </c>
    </row>
    <row r="419" spans="1:1" x14ac:dyDescent="0.25">
      <c r="A419" s="107" t="s">
        <v>1108</v>
      </c>
    </row>
    <row r="420" spans="1:1" x14ac:dyDescent="0.25">
      <c r="A420" s="107" t="s">
        <v>1109</v>
      </c>
    </row>
    <row r="421" spans="1:1" x14ac:dyDescent="0.25">
      <c r="A421" s="107" t="s">
        <v>141</v>
      </c>
    </row>
    <row r="422" spans="1:1" x14ac:dyDescent="0.25">
      <c r="A422" s="107" t="s">
        <v>1110</v>
      </c>
    </row>
    <row r="423" spans="1:1" x14ac:dyDescent="0.25">
      <c r="A423" s="107" t="s">
        <v>1123</v>
      </c>
    </row>
    <row r="424" spans="1:1" x14ac:dyDescent="0.25">
      <c r="A424" s="107" t="s">
        <v>1111</v>
      </c>
    </row>
    <row r="425" spans="1:1" x14ac:dyDescent="0.25">
      <c r="A425" s="107" t="s">
        <v>1112</v>
      </c>
    </row>
    <row r="426" spans="1:1" x14ac:dyDescent="0.25">
      <c r="A426" s="107" t="s">
        <v>1113</v>
      </c>
    </row>
    <row r="427" spans="1:1" x14ac:dyDescent="0.25">
      <c r="A427" s="107" t="s">
        <v>1114</v>
      </c>
    </row>
    <row r="428" spans="1:1" x14ac:dyDescent="0.25">
      <c r="A428" s="107" t="s">
        <v>1115</v>
      </c>
    </row>
    <row r="429" spans="1:1" x14ac:dyDescent="0.25">
      <c r="A429" s="107" t="s">
        <v>1116</v>
      </c>
    </row>
    <row r="430" spans="1:1" x14ac:dyDescent="0.25">
      <c r="A430" s="107" t="s">
        <v>1119</v>
      </c>
    </row>
    <row r="431" spans="1:1" x14ac:dyDescent="0.25">
      <c r="A431" s="107" t="s">
        <v>1120</v>
      </c>
    </row>
    <row r="432" spans="1:1" x14ac:dyDescent="0.25">
      <c r="A432" s="107" t="s">
        <v>1121</v>
      </c>
    </row>
    <row r="433" spans="1:1" x14ac:dyDescent="0.25">
      <c r="A433" s="107" t="s">
        <v>1122</v>
      </c>
    </row>
    <row r="434" spans="1:1" x14ac:dyDescent="0.25">
      <c r="A434" s="107" t="s">
        <v>1086</v>
      </c>
    </row>
    <row r="435" spans="1:1" x14ac:dyDescent="0.25">
      <c r="A435" s="107" t="s">
        <v>1182</v>
      </c>
    </row>
    <row r="436" spans="1:1" x14ac:dyDescent="0.25">
      <c r="A436" s="107" t="s">
        <v>1085</v>
      </c>
    </row>
    <row r="437" spans="1:1" x14ac:dyDescent="0.25">
      <c r="A437" s="107" t="s">
        <v>1084</v>
      </c>
    </row>
    <row r="438" spans="1:1" x14ac:dyDescent="0.25">
      <c r="A438" s="107" t="s">
        <v>1088</v>
      </c>
    </row>
    <row r="439" spans="1:1" x14ac:dyDescent="0.25">
      <c r="A439" s="107" t="s">
        <v>1089</v>
      </c>
    </row>
    <row r="440" spans="1:1" x14ac:dyDescent="0.25">
      <c r="A440" s="107" t="s">
        <v>1090</v>
      </c>
    </row>
    <row r="441" spans="1:1" x14ac:dyDescent="0.25">
      <c r="A441" s="107" t="s">
        <v>1091</v>
      </c>
    </row>
    <row r="442" spans="1:1" x14ac:dyDescent="0.25">
      <c r="A442" s="107" t="s">
        <v>1093</v>
      </c>
    </row>
    <row r="443" spans="1:1" x14ac:dyDescent="0.25">
      <c r="A443" s="107" t="s">
        <v>1094</v>
      </c>
    </row>
    <row r="444" spans="1:1" x14ac:dyDescent="0.25">
      <c r="A444" s="107" t="s">
        <v>1095</v>
      </c>
    </row>
    <row r="445" spans="1:1" x14ac:dyDescent="0.25">
      <c r="A445" s="107" t="s">
        <v>1096</v>
      </c>
    </row>
    <row r="446" spans="1:1" x14ac:dyDescent="0.25">
      <c r="A446" s="107" t="s">
        <v>1098</v>
      </c>
    </row>
    <row r="447" spans="1:1" x14ac:dyDescent="0.25">
      <c r="A447" s="107" t="s">
        <v>1100</v>
      </c>
    </row>
    <row r="448" spans="1:1" x14ac:dyDescent="0.25">
      <c r="A448" s="107" t="s">
        <v>1029</v>
      </c>
    </row>
    <row r="449" spans="1:3" x14ac:dyDescent="0.25">
      <c r="A449" s="107" t="s">
        <v>1034</v>
      </c>
      <c r="B449" s="107"/>
      <c r="C449" s="107"/>
    </row>
    <row r="450" spans="1:3" x14ac:dyDescent="0.25">
      <c r="A450" s="107" t="s">
        <v>1035</v>
      </c>
      <c r="B450" s="107"/>
      <c r="C450" s="107"/>
    </row>
    <row r="451" spans="1:3" x14ac:dyDescent="0.25">
      <c r="A451" s="107" t="s">
        <v>1038</v>
      </c>
      <c r="B451" s="107"/>
      <c r="C451" s="107"/>
    </row>
    <row r="452" spans="1:3" x14ac:dyDescent="0.25">
      <c r="A452" s="107" t="s">
        <v>1039</v>
      </c>
      <c r="B452" s="107"/>
      <c r="C452" s="107"/>
    </row>
    <row r="453" spans="1:3" x14ac:dyDescent="0.25">
      <c r="A453" s="107" t="s">
        <v>1040</v>
      </c>
      <c r="B453" s="107"/>
      <c r="C453" s="107"/>
    </row>
    <row r="454" spans="1:3" x14ac:dyDescent="0.25">
      <c r="A454" s="107" t="s">
        <v>99</v>
      </c>
      <c r="B454" s="107" t="s">
        <v>3164</v>
      </c>
      <c r="C454" s="107" t="s">
        <v>3164</v>
      </c>
    </row>
    <row r="455" spans="1:3" x14ac:dyDescent="0.25">
      <c r="A455" s="107" t="s">
        <v>1042</v>
      </c>
      <c r="B455" s="107"/>
      <c r="C455" s="107"/>
    </row>
    <row r="456" spans="1:3" x14ac:dyDescent="0.25">
      <c r="A456" s="107" t="s">
        <v>1043</v>
      </c>
      <c r="B456" s="107"/>
      <c r="C456" s="107"/>
    </row>
    <row r="457" spans="1:3" x14ac:dyDescent="0.25">
      <c r="A457" s="107" t="s">
        <v>125</v>
      </c>
      <c r="B457" s="107"/>
      <c r="C457" s="107"/>
    </row>
    <row r="458" spans="1:3" x14ac:dyDescent="0.25">
      <c r="A458" s="107" t="s">
        <v>1046</v>
      </c>
      <c r="B458" s="107"/>
      <c r="C458" s="107"/>
    </row>
    <row r="459" spans="1:3" x14ac:dyDescent="0.25">
      <c r="A459" s="107" t="s">
        <v>1047</v>
      </c>
      <c r="B459" s="107"/>
      <c r="C459" s="107"/>
    </row>
    <row r="460" spans="1:3" x14ac:dyDescent="0.25">
      <c r="A460" s="107" t="s">
        <v>1048</v>
      </c>
      <c r="B460" s="107"/>
      <c r="C460" s="107"/>
    </row>
    <row r="461" spans="1:3" x14ac:dyDescent="0.25">
      <c r="A461" s="107" t="s">
        <v>1052</v>
      </c>
      <c r="B461" s="107"/>
      <c r="C461" s="107"/>
    </row>
    <row r="462" spans="1:3" x14ac:dyDescent="0.25">
      <c r="A462" s="107" t="s">
        <v>1054</v>
      </c>
      <c r="B462" s="107"/>
      <c r="C462" s="107"/>
    </row>
    <row r="463" spans="1:3" x14ac:dyDescent="0.25">
      <c r="A463" s="107" t="s">
        <v>34</v>
      </c>
      <c r="B463" s="107" t="s">
        <v>3170</v>
      </c>
      <c r="C463" s="107" t="s">
        <v>3170</v>
      </c>
    </row>
    <row r="464" spans="1:3" x14ac:dyDescent="0.25">
      <c r="A464" s="107" t="s">
        <v>1058</v>
      </c>
      <c r="B464" s="107"/>
      <c r="C464" s="107"/>
    </row>
    <row r="465" spans="1:3" x14ac:dyDescent="0.25">
      <c r="A465" s="107" t="s">
        <v>1059</v>
      </c>
      <c r="B465" s="107"/>
      <c r="C465" s="107"/>
    </row>
    <row r="466" spans="1:3" x14ac:dyDescent="0.25">
      <c r="A466" s="107" t="s">
        <v>1060</v>
      </c>
      <c r="B466" s="107"/>
      <c r="C466" s="107"/>
    </row>
    <row r="467" spans="1:3" x14ac:dyDescent="0.25">
      <c r="A467" s="107" t="s">
        <v>1061</v>
      </c>
      <c r="B467" s="107"/>
      <c r="C467" s="107"/>
    </row>
    <row r="468" spans="1:3" x14ac:dyDescent="0.25">
      <c r="A468" s="107" t="s">
        <v>1063</v>
      </c>
      <c r="B468" s="107"/>
      <c r="C468" s="107"/>
    </row>
    <row r="469" spans="1:3" x14ac:dyDescent="0.25">
      <c r="A469" s="107" t="s">
        <v>1065</v>
      </c>
      <c r="B469" s="107"/>
      <c r="C469" s="107"/>
    </row>
    <row r="470" spans="1:3" x14ac:dyDescent="0.25">
      <c r="A470" s="107" t="s">
        <v>1066</v>
      </c>
      <c r="B470" s="107"/>
      <c r="C470" s="107"/>
    </row>
    <row r="471" spans="1:3" x14ac:dyDescent="0.25">
      <c r="A471" s="107" t="s">
        <v>1067</v>
      </c>
      <c r="B471" s="107"/>
      <c r="C471" s="107"/>
    </row>
    <row r="472" spans="1:3" x14ac:dyDescent="0.25">
      <c r="A472" s="107" t="s">
        <v>1070</v>
      </c>
      <c r="B472" s="107"/>
      <c r="C472" s="107"/>
    </row>
    <row r="473" spans="1:3" x14ac:dyDescent="0.25">
      <c r="A473" s="107" t="s">
        <v>1071</v>
      </c>
      <c r="B473" s="107"/>
      <c r="C473" s="107"/>
    </row>
    <row r="474" spans="1:3" x14ac:dyDescent="0.25">
      <c r="A474" s="107" t="s">
        <v>1072</v>
      </c>
      <c r="B474" s="107"/>
      <c r="C474" s="107"/>
    </row>
    <row r="475" spans="1:3" x14ac:dyDescent="0.25">
      <c r="A475" s="107" t="s">
        <v>1082</v>
      </c>
      <c r="B475" s="107"/>
      <c r="C475" s="107"/>
    </row>
    <row r="476" spans="1:3" x14ac:dyDescent="0.25">
      <c r="A476" s="107" t="s">
        <v>1073</v>
      </c>
      <c r="B476" s="107"/>
      <c r="C476" s="107"/>
    </row>
    <row r="477" spans="1:3" x14ac:dyDescent="0.25">
      <c r="A477" s="107" t="s">
        <v>84</v>
      </c>
      <c r="B477" s="107" t="s">
        <v>3155</v>
      </c>
      <c r="C477" s="107" t="s">
        <v>3155</v>
      </c>
    </row>
    <row r="478" spans="1:3" x14ac:dyDescent="0.25">
      <c r="A478" s="107" t="s">
        <v>1075</v>
      </c>
      <c r="B478" s="107"/>
      <c r="C478" s="107"/>
    </row>
    <row r="479" spans="1:3" x14ac:dyDescent="0.25">
      <c r="A479" s="107" t="s">
        <v>1076</v>
      </c>
      <c r="B479" s="107"/>
      <c r="C479" s="107"/>
    </row>
    <row r="480" spans="1:3" x14ac:dyDescent="0.25">
      <c r="A480" s="107" t="s">
        <v>1077</v>
      </c>
      <c r="B480" s="107"/>
      <c r="C480" s="107"/>
    </row>
    <row r="481" spans="1:3" x14ac:dyDescent="0.25">
      <c r="A481" s="107" t="s">
        <v>993</v>
      </c>
      <c r="B481" s="107"/>
      <c r="C481" s="107"/>
    </row>
    <row r="482" spans="1:3" x14ac:dyDescent="0.25">
      <c r="A482" s="107" t="s">
        <v>995</v>
      </c>
      <c r="B482" s="107"/>
      <c r="C482" s="107"/>
    </row>
    <row r="483" spans="1:3" x14ac:dyDescent="0.25">
      <c r="A483" s="107" t="s">
        <v>996</v>
      </c>
      <c r="B483" s="107"/>
      <c r="C483" s="107"/>
    </row>
    <row r="484" spans="1:3" x14ac:dyDescent="0.25">
      <c r="A484" s="107" t="s">
        <v>997</v>
      </c>
      <c r="B484" s="107"/>
      <c r="C484" s="107"/>
    </row>
    <row r="485" spans="1:3" x14ac:dyDescent="0.25">
      <c r="A485" s="107" t="s">
        <v>998</v>
      </c>
      <c r="B485" s="107"/>
      <c r="C485" s="107"/>
    </row>
    <row r="486" spans="1:3" x14ac:dyDescent="0.25">
      <c r="A486" s="107" t="s">
        <v>36</v>
      </c>
      <c r="B486" s="107" t="s">
        <v>3171</v>
      </c>
      <c r="C486" s="107" t="s">
        <v>3171</v>
      </c>
    </row>
    <row r="487" spans="1:3" x14ac:dyDescent="0.25">
      <c r="A487" s="107" t="s">
        <v>1026</v>
      </c>
      <c r="B487" s="107"/>
      <c r="C487" s="107"/>
    </row>
    <row r="488" spans="1:3" x14ac:dyDescent="0.25">
      <c r="A488" s="107" t="s">
        <v>999</v>
      </c>
      <c r="B488" s="107"/>
      <c r="C488" s="107"/>
    </row>
    <row r="489" spans="1:3" x14ac:dyDescent="0.25">
      <c r="A489" s="107" t="s">
        <v>1000</v>
      </c>
      <c r="B489" s="107"/>
      <c r="C489" s="107"/>
    </row>
    <row r="490" spans="1:3" x14ac:dyDescent="0.25">
      <c r="A490" s="107" t="s">
        <v>1002</v>
      </c>
      <c r="B490" s="107"/>
      <c r="C490" s="107"/>
    </row>
    <row r="491" spans="1:3" x14ac:dyDescent="0.25">
      <c r="A491" s="107" t="s">
        <v>1027</v>
      </c>
      <c r="B491" s="107"/>
      <c r="C491" s="107"/>
    </row>
    <row r="492" spans="1:3" x14ac:dyDescent="0.25">
      <c r="A492" s="107" t="s">
        <v>1004</v>
      </c>
      <c r="B492" s="107"/>
      <c r="C492" s="107"/>
    </row>
    <row r="493" spans="1:3" x14ac:dyDescent="0.25">
      <c r="A493" s="107" t="s">
        <v>1005</v>
      </c>
      <c r="B493" s="107"/>
      <c r="C493" s="107"/>
    </row>
    <row r="494" spans="1:3" x14ac:dyDescent="0.25">
      <c r="A494" s="107" t="s">
        <v>1006</v>
      </c>
      <c r="B494" s="107"/>
      <c r="C494" s="107"/>
    </row>
    <row r="495" spans="1:3" x14ac:dyDescent="0.25">
      <c r="A495" s="107" t="s">
        <v>1007</v>
      </c>
      <c r="B495" s="107"/>
      <c r="C495" s="107"/>
    </row>
    <row r="496" spans="1:3" x14ac:dyDescent="0.25">
      <c r="A496" s="107" t="s">
        <v>992</v>
      </c>
      <c r="B496" s="107"/>
      <c r="C496" s="107"/>
    </row>
    <row r="497" spans="1:1" x14ac:dyDescent="0.25">
      <c r="A497" s="107" t="s">
        <v>1009</v>
      </c>
    </row>
    <row r="498" spans="1:1" x14ac:dyDescent="0.25">
      <c r="A498" s="107" t="s">
        <v>1010</v>
      </c>
    </row>
    <row r="499" spans="1:1" x14ac:dyDescent="0.25">
      <c r="A499" s="107" t="s">
        <v>1011</v>
      </c>
    </row>
    <row r="500" spans="1:1" x14ac:dyDescent="0.25">
      <c r="A500" s="107" t="s">
        <v>1014</v>
      </c>
    </row>
    <row r="501" spans="1:1" x14ac:dyDescent="0.25">
      <c r="A501" s="107" t="s">
        <v>1015</v>
      </c>
    </row>
    <row r="502" spans="1:1" x14ac:dyDescent="0.25">
      <c r="A502" s="107" t="s">
        <v>1025</v>
      </c>
    </row>
    <row r="503" spans="1:1" x14ac:dyDescent="0.25">
      <c r="A503" s="107" t="s">
        <v>1016</v>
      </c>
    </row>
    <row r="504" spans="1:1" x14ac:dyDescent="0.25">
      <c r="A504" s="107" t="s">
        <v>977</v>
      </c>
    </row>
    <row r="505" spans="1:1" x14ac:dyDescent="0.25">
      <c r="A505" s="107" t="s">
        <v>156</v>
      </c>
    </row>
    <row r="506" spans="1:1" x14ac:dyDescent="0.25">
      <c r="A506" s="107" t="s">
        <v>980</v>
      </c>
    </row>
    <row r="507" spans="1:1" x14ac:dyDescent="0.25">
      <c r="A507" s="107" t="s">
        <v>102</v>
      </c>
    </row>
    <row r="508" spans="1:1" x14ac:dyDescent="0.25">
      <c r="A508" s="107" t="s">
        <v>985</v>
      </c>
    </row>
    <row r="509" spans="1:1" x14ac:dyDescent="0.25">
      <c r="A509" s="107" t="s">
        <v>986</v>
      </c>
    </row>
    <row r="510" spans="1:1" x14ac:dyDescent="0.25">
      <c r="A510" s="107" t="s">
        <v>987</v>
      </c>
    </row>
    <row r="511" spans="1:1" x14ac:dyDescent="0.25">
      <c r="A511" s="107" t="s">
        <v>988</v>
      </c>
    </row>
    <row r="512" spans="1:1" x14ac:dyDescent="0.25">
      <c r="A512" s="107" t="s">
        <v>953</v>
      </c>
    </row>
    <row r="513" spans="1:3" x14ac:dyDescent="0.25">
      <c r="A513" s="107" t="s">
        <v>954</v>
      </c>
      <c r="B513" s="107"/>
      <c r="C513" s="107"/>
    </row>
    <row r="514" spans="1:3" x14ac:dyDescent="0.25">
      <c r="A514" s="107" t="s">
        <v>50</v>
      </c>
      <c r="B514" s="107" t="s">
        <v>3171</v>
      </c>
      <c r="C514" s="107" t="s">
        <v>3168</v>
      </c>
    </row>
    <row r="515" spans="1:3" x14ac:dyDescent="0.25">
      <c r="A515" s="107" t="s">
        <v>955</v>
      </c>
      <c r="B515" s="107"/>
      <c r="C515" s="107"/>
    </row>
    <row r="516" spans="1:3" x14ac:dyDescent="0.25">
      <c r="A516" s="107" t="s">
        <v>956</v>
      </c>
      <c r="B516" s="107"/>
      <c r="C516" s="107"/>
    </row>
    <row r="517" spans="1:3" x14ac:dyDescent="0.25">
      <c r="A517" s="107" t="s">
        <v>957</v>
      </c>
      <c r="B517" s="107"/>
      <c r="C517" s="107"/>
    </row>
    <row r="518" spans="1:3" x14ac:dyDescent="0.25">
      <c r="A518" s="107" t="s">
        <v>958</v>
      </c>
      <c r="B518" s="107"/>
      <c r="C518" s="107"/>
    </row>
    <row r="519" spans="1:3" x14ac:dyDescent="0.25">
      <c r="A519" s="107" t="s">
        <v>960</v>
      </c>
      <c r="B519" s="107"/>
      <c r="C519" s="107"/>
    </row>
    <row r="520" spans="1:3" x14ac:dyDescent="0.25">
      <c r="A520" s="107" t="s">
        <v>961</v>
      </c>
      <c r="B520" s="107"/>
      <c r="C520" s="107"/>
    </row>
    <row r="521" spans="1:3" x14ac:dyDescent="0.25">
      <c r="A521" s="107" t="s">
        <v>962</v>
      </c>
      <c r="B521" s="107"/>
      <c r="C521" s="107"/>
    </row>
    <row r="522" spans="1:3" x14ac:dyDescent="0.25">
      <c r="A522" s="107" t="s">
        <v>963</v>
      </c>
      <c r="B522" s="107"/>
      <c r="C522" s="107"/>
    </row>
    <row r="523" spans="1:3" x14ac:dyDescent="0.25">
      <c r="A523" s="107" t="s">
        <v>964</v>
      </c>
      <c r="B523" s="107"/>
      <c r="C523" s="107"/>
    </row>
    <row r="524" spans="1:3" x14ac:dyDescent="0.25">
      <c r="A524" s="107" t="s">
        <v>965</v>
      </c>
      <c r="B524" s="107"/>
      <c r="C524" s="107"/>
    </row>
    <row r="525" spans="1:3" x14ac:dyDescent="0.25">
      <c r="A525" s="107" t="s">
        <v>968</v>
      </c>
      <c r="B525" s="107"/>
      <c r="C525" s="107"/>
    </row>
    <row r="526" spans="1:3" x14ac:dyDescent="0.25">
      <c r="A526" s="107" t="s">
        <v>970</v>
      </c>
      <c r="B526" s="107"/>
      <c r="C526" s="107"/>
    </row>
    <row r="527" spans="1:3" x14ac:dyDescent="0.25">
      <c r="A527" s="107" t="s">
        <v>971</v>
      </c>
      <c r="B527" s="107"/>
      <c r="C527" s="107"/>
    </row>
    <row r="528" spans="1:3" x14ac:dyDescent="0.25">
      <c r="A528" s="107" t="s">
        <v>972</v>
      </c>
      <c r="B528" s="107"/>
      <c r="C528" s="107"/>
    </row>
    <row r="529" spans="1:1" x14ac:dyDescent="0.25">
      <c r="A529" s="107" t="s">
        <v>974</v>
      </c>
    </row>
    <row r="530" spans="1:1" x14ac:dyDescent="0.25">
      <c r="A530" s="107" t="s">
        <v>951</v>
      </c>
    </row>
    <row r="531" spans="1:1" x14ac:dyDescent="0.25">
      <c r="A531" s="107" t="s">
        <v>942</v>
      </c>
    </row>
    <row r="532" spans="1:1" x14ac:dyDescent="0.25">
      <c r="A532" s="107" t="s">
        <v>943</v>
      </c>
    </row>
    <row r="533" spans="1:1" x14ac:dyDescent="0.25">
      <c r="A533" s="107" t="s">
        <v>944</v>
      </c>
    </row>
    <row r="534" spans="1:1" x14ac:dyDescent="0.25">
      <c r="A534" s="107" t="s">
        <v>945</v>
      </c>
    </row>
    <row r="535" spans="1:1" x14ac:dyDescent="0.25">
      <c r="A535" s="107" t="s">
        <v>946</v>
      </c>
    </row>
    <row r="536" spans="1:1" x14ac:dyDescent="0.25">
      <c r="A536" s="107" t="s">
        <v>947</v>
      </c>
    </row>
    <row r="537" spans="1:1" x14ac:dyDescent="0.25">
      <c r="A537" s="107" t="s">
        <v>948</v>
      </c>
    </row>
    <row r="538" spans="1:1" x14ac:dyDescent="0.25">
      <c r="A538" s="107" t="s">
        <v>950</v>
      </c>
    </row>
    <row r="539" spans="1:1" x14ac:dyDescent="0.25">
      <c r="A539" s="107" t="s">
        <v>912</v>
      </c>
    </row>
    <row r="540" spans="1:1" x14ac:dyDescent="0.25">
      <c r="A540" s="107" t="s">
        <v>913</v>
      </c>
    </row>
    <row r="541" spans="1:1" x14ac:dyDescent="0.25">
      <c r="A541" s="107" t="s">
        <v>914</v>
      </c>
    </row>
    <row r="542" spans="1:1" x14ac:dyDescent="0.25">
      <c r="A542" s="107" t="s">
        <v>915</v>
      </c>
    </row>
    <row r="543" spans="1:1" x14ac:dyDescent="0.25">
      <c r="A543" s="107" t="s">
        <v>916</v>
      </c>
    </row>
    <row r="544" spans="1:1" x14ac:dyDescent="0.25">
      <c r="A544" s="107" t="s">
        <v>917</v>
      </c>
    </row>
    <row r="545" spans="1:1" x14ac:dyDescent="0.25">
      <c r="A545" s="107" t="s">
        <v>922</v>
      </c>
    </row>
    <row r="546" spans="1:1" x14ac:dyDescent="0.25">
      <c r="A546" s="107" t="s">
        <v>925</v>
      </c>
    </row>
    <row r="547" spans="1:1" x14ac:dyDescent="0.25">
      <c r="A547" s="107" t="s">
        <v>926</v>
      </c>
    </row>
    <row r="548" spans="1:1" x14ac:dyDescent="0.25">
      <c r="A548" s="107" t="s">
        <v>927</v>
      </c>
    </row>
    <row r="549" spans="1:1" x14ac:dyDescent="0.25">
      <c r="A549" s="107" t="s">
        <v>937</v>
      </c>
    </row>
    <row r="550" spans="1:1" x14ac:dyDescent="0.25">
      <c r="A550" s="107" t="s">
        <v>930</v>
      </c>
    </row>
    <row r="551" spans="1:1" x14ac:dyDescent="0.25">
      <c r="A551" s="107" t="s">
        <v>933</v>
      </c>
    </row>
    <row r="552" spans="1:1" x14ac:dyDescent="0.25">
      <c r="A552" s="107" t="s">
        <v>911</v>
      </c>
    </row>
    <row r="553" spans="1:1" x14ac:dyDescent="0.25">
      <c r="A553" s="107" t="s">
        <v>898</v>
      </c>
    </row>
    <row r="554" spans="1:1" x14ac:dyDescent="0.25">
      <c r="A554" s="107" t="s">
        <v>910</v>
      </c>
    </row>
    <row r="555" spans="1:1" x14ac:dyDescent="0.25">
      <c r="A555" s="107" t="s">
        <v>902</v>
      </c>
    </row>
    <row r="556" spans="1:1" x14ac:dyDescent="0.25">
      <c r="A556" s="107" t="s">
        <v>904</v>
      </c>
    </row>
    <row r="557" spans="1:1" x14ac:dyDescent="0.25">
      <c r="A557" s="107" t="s">
        <v>879</v>
      </c>
    </row>
    <row r="558" spans="1:1" x14ac:dyDescent="0.25">
      <c r="A558" s="107" t="s">
        <v>882</v>
      </c>
    </row>
    <row r="559" spans="1:1" x14ac:dyDescent="0.25">
      <c r="A559" s="107" t="s">
        <v>883</v>
      </c>
    </row>
    <row r="560" spans="1:1" x14ac:dyDescent="0.25">
      <c r="A560" s="107" t="s">
        <v>886</v>
      </c>
    </row>
    <row r="561" spans="1:1" x14ac:dyDescent="0.25">
      <c r="A561" s="107" t="s">
        <v>887</v>
      </c>
    </row>
    <row r="562" spans="1:1" x14ac:dyDescent="0.25">
      <c r="A562" s="107" t="s">
        <v>890</v>
      </c>
    </row>
    <row r="563" spans="1:1" x14ac:dyDescent="0.25">
      <c r="A563" s="107" t="s">
        <v>891</v>
      </c>
    </row>
    <row r="564" spans="1:1" x14ac:dyDescent="0.25">
      <c r="A564" s="107" t="s">
        <v>892</v>
      </c>
    </row>
    <row r="565" spans="1:1" x14ac:dyDescent="0.25">
      <c r="A565" s="107" t="s">
        <v>893</v>
      </c>
    </row>
    <row r="566" spans="1:1" x14ac:dyDescent="0.25">
      <c r="A566" s="107" t="s">
        <v>894</v>
      </c>
    </row>
    <row r="567" spans="1:1" x14ac:dyDescent="0.25">
      <c r="A567" s="107" t="s">
        <v>895</v>
      </c>
    </row>
    <row r="568" spans="1:1" x14ac:dyDescent="0.25">
      <c r="A568" s="107" t="s">
        <v>896</v>
      </c>
    </row>
    <row r="569" spans="1:1" x14ac:dyDescent="0.25">
      <c r="A569" s="107" t="s">
        <v>876</v>
      </c>
    </row>
    <row r="570" spans="1:1" x14ac:dyDescent="0.25">
      <c r="A570" s="107" t="s">
        <v>877</v>
      </c>
    </row>
    <row r="571" spans="1:1" x14ac:dyDescent="0.25">
      <c r="A571" s="107" t="s">
        <v>163</v>
      </c>
    </row>
    <row r="572" spans="1:1" x14ac:dyDescent="0.25">
      <c r="A572" s="107" t="s">
        <v>165</v>
      </c>
    </row>
    <row r="573" spans="1:1" x14ac:dyDescent="0.25">
      <c r="A573" s="107" t="s">
        <v>166</v>
      </c>
    </row>
    <row r="574" spans="1:1" x14ac:dyDescent="0.25">
      <c r="A574" s="107" t="s">
        <v>866</v>
      </c>
    </row>
    <row r="575" spans="1:1" x14ac:dyDescent="0.25">
      <c r="A575" s="107" t="s">
        <v>867</v>
      </c>
    </row>
    <row r="576" spans="1:1" x14ac:dyDescent="0.25">
      <c r="A576" s="107" t="s">
        <v>864</v>
      </c>
    </row>
    <row r="577" spans="1:1" x14ac:dyDescent="0.25">
      <c r="A577" s="107" t="s">
        <v>868</v>
      </c>
    </row>
    <row r="578" spans="1:1" x14ac:dyDescent="0.25">
      <c r="A578" s="107" t="s">
        <v>869</v>
      </c>
    </row>
    <row r="579" spans="1:1" x14ac:dyDescent="0.25">
      <c r="A579" s="107" t="s">
        <v>870</v>
      </c>
    </row>
    <row r="580" spans="1:1" x14ac:dyDescent="0.25">
      <c r="A580" s="107" t="s">
        <v>872</v>
      </c>
    </row>
    <row r="581" spans="1:1" x14ac:dyDescent="0.25">
      <c r="A581" s="107" t="s">
        <v>845</v>
      </c>
    </row>
    <row r="582" spans="1:1" x14ac:dyDescent="0.25">
      <c r="A582" s="107" t="s">
        <v>846</v>
      </c>
    </row>
    <row r="583" spans="1:1" x14ac:dyDescent="0.25">
      <c r="A583" s="107" t="s">
        <v>847</v>
      </c>
    </row>
    <row r="584" spans="1:1" x14ac:dyDescent="0.25">
      <c r="A584" s="107" t="s">
        <v>848</v>
      </c>
    </row>
    <row r="585" spans="1:1" x14ac:dyDescent="0.25">
      <c r="A585" s="107" t="s">
        <v>849</v>
      </c>
    </row>
    <row r="586" spans="1:1" x14ac:dyDescent="0.25">
      <c r="A586" s="107" t="s">
        <v>851</v>
      </c>
    </row>
    <row r="587" spans="1:1" x14ac:dyDescent="0.25">
      <c r="A587" s="107" t="s">
        <v>852</v>
      </c>
    </row>
    <row r="588" spans="1:1" x14ac:dyDescent="0.25">
      <c r="A588" s="107" t="s">
        <v>853</v>
      </c>
    </row>
    <row r="589" spans="1:1" x14ac:dyDescent="0.25">
      <c r="A589" s="107" t="s">
        <v>854</v>
      </c>
    </row>
    <row r="590" spans="1:1" x14ac:dyDescent="0.25">
      <c r="A590" s="107" t="s">
        <v>855</v>
      </c>
    </row>
    <row r="591" spans="1:1" x14ac:dyDescent="0.25">
      <c r="A591" s="107" t="s">
        <v>856</v>
      </c>
    </row>
    <row r="592" spans="1:1" x14ac:dyDescent="0.25">
      <c r="A592" s="107" t="s">
        <v>857</v>
      </c>
    </row>
    <row r="593" spans="1:1" x14ac:dyDescent="0.25">
      <c r="A593" s="107" t="s">
        <v>858</v>
      </c>
    </row>
    <row r="594" spans="1:1" x14ac:dyDescent="0.25">
      <c r="A594" s="107" t="s">
        <v>859</v>
      </c>
    </row>
    <row r="595" spans="1:1" x14ac:dyDescent="0.25">
      <c r="A595" s="107" t="s">
        <v>863</v>
      </c>
    </row>
    <row r="596" spans="1:1" x14ac:dyDescent="0.25">
      <c r="A596" s="107" t="s">
        <v>860</v>
      </c>
    </row>
    <row r="597" spans="1:1" x14ac:dyDescent="0.25">
      <c r="A597" s="107" t="s">
        <v>830</v>
      </c>
    </row>
    <row r="598" spans="1:1" x14ac:dyDescent="0.25">
      <c r="A598" s="107" t="s">
        <v>831</v>
      </c>
    </row>
    <row r="599" spans="1:1" x14ac:dyDescent="0.25">
      <c r="A599" s="107" t="s">
        <v>832</v>
      </c>
    </row>
    <row r="600" spans="1:1" x14ac:dyDescent="0.25">
      <c r="A600" s="107" t="s">
        <v>834</v>
      </c>
    </row>
    <row r="601" spans="1:1" x14ac:dyDescent="0.25">
      <c r="A601" s="107" t="s">
        <v>835</v>
      </c>
    </row>
    <row r="602" spans="1:1" x14ac:dyDescent="0.25">
      <c r="A602" s="107" t="s">
        <v>829</v>
      </c>
    </row>
    <row r="603" spans="1:1" x14ac:dyDescent="0.25">
      <c r="A603" s="107" t="s">
        <v>837</v>
      </c>
    </row>
    <row r="604" spans="1:1" x14ac:dyDescent="0.25">
      <c r="A604" s="107" t="s">
        <v>838</v>
      </c>
    </row>
    <row r="605" spans="1:1" x14ac:dyDescent="0.25">
      <c r="A605" s="107" t="s">
        <v>840</v>
      </c>
    </row>
    <row r="606" spans="1:1" x14ac:dyDescent="0.25">
      <c r="A606" s="107" t="s">
        <v>841</v>
      </c>
    </row>
    <row r="607" spans="1:1" x14ac:dyDescent="0.25">
      <c r="A607" s="107" t="s">
        <v>842</v>
      </c>
    </row>
    <row r="608" spans="1:1" x14ac:dyDescent="0.25">
      <c r="A608" s="107" t="s">
        <v>843</v>
      </c>
    </row>
    <row r="609" spans="1:3" x14ac:dyDescent="0.25">
      <c r="A609" s="107" t="s">
        <v>822</v>
      </c>
      <c r="B609" s="107"/>
      <c r="C609" s="107"/>
    </row>
    <row r="610" spans="1:3" x14ac:dyDescent="0.25">
      <c r="A610" s="107" t="s">
        <v>824</v>
      </c>
      <c r="B610" s="107"/>
      <c r="C610" s="107"/>
    </row>
    <row r="611" spans="1:3" x14ac:dyDescent="0.25">
      <c r="A611" s="107" t="s">
        <v>825</v>
      </c>
      <c r="B611" s="107"/>
      <c r="C611" s="107"/>
    </row>
    <row r="612" spans="1:3" x14ac:dyDescent="0.25">
      <c r="A612" s="107" t="s">
        <v>827</v>
      </c>
      <c r="B612" s="107"/>
      <c r="C612" s="107"/>
    </row>
    <row r="613" spans="1:3" x14ac:dyDescent="0.25">
      <c r="A613" s="107" t="s">
        <v>805</v>
      </c>
      <c r="B613" s="107"/>
      <c r="C613" s="107"/>
    </row>
    <row r="614" spans="1:3" x14ac:dyDescent="0.25">
      <c r="A614" s="107" t="s">
        <v>806</v>
      </c>
      <c r="B614" s="107"/>
      <c r="C614" s="107"/>
    </row>
    <row r="615" spans="1:3" x14ac:dyDescent="0.25">
      <c r="A615" s="107" t="s">
        <v>807</v>
      </c>
      <c r="B615" s="107"/>
      <c r="C615" s="107"/>
    </row>
    <row r="616" spans="1:3" x14ac:dyDescent="0.25">
      <c r="A616" s="107" t="s">
        <v>812</v>
      </c>
      <c r="B616" s="107"/>
      <c r="C616" s="107"/>
    </row>
    <row r="617" spans="1:3" x14ac:dyDescent="0.25">
      <c r="A617" s="107" t="s">
        <v>815</v>
      </c>
      <c r="B617" s="107"/>
      <c r="C617" s="107"/>
    </row>
    <row r="618" spans="1:3" x14ac:dyDescent="0.25">
      <c r="A618" s="107" t="s">
        <v>816</v>
      </c>
      <c r="B618" s="107"/>
      <c r="C618" s="107"/>
    </row>
    <row r="619" spans="1:3" x14ac:dyDescent="0.25">
      <c r="A619" s="107" t="s">
        <v>778</v>
      </c>
      <c r="B619" s="107"/>
      <c r="C619" s="107"/>
    </row>
    <row r="620" spans="1:3" x14ac:dyDescent="0.25">
      <c r="A620" s="107" t="s">
        <v>780</v>
      </c>
      <c r="B620" s="107"/>
      <c r="C620" s="107"/>
    </row>
    <row r="621" spans="1:3" x14ac:dyDescent="0.25">
      <c r="A621" s="107" t="s">
        <v>781</v>
      </c>
      <c r="B621" s="107"/>
      <c r="C621" s="107"/>
    </row>
    <row r="622" spans="1:3" x14ac:dyDescent="0.25">
      <c r="A622" s="107" t="s">
        <v>782</v>
      </c>
      <c r="B622" s="107"/>
      <c r="C622" s="107"/>
    </row>
    <row r="623" spans="1:3" x14ac:dyDescent="0.25">
      <c r="A623" s="107" t="s">
        <v>63</v>
      </c>
      <c r="B623" s="107" t="s">
        <v>3160</v>
      </c>
      <c r="C623" s="107" t="s">
        <v>3160</v>
      </c>
    </row>
    <row r="624" spans="1:3" x14ac:dyDescent="0.25">
      <c r="A624" s="107" t="s">
        <v>64</v>
      </c>
      <c r="B624" s="107" t="s">
        <v>3160</v>
      </c>
      <c r="C624" s="107" t="s">
        <v>3160</v>
      </c>
    </row>
    <row r="625" spans="1:3" x14ac:dyDescent="0.25">
      <c r="A625" s="107" t="s">
        <v>783</v>
      </c>
      <c r="B625" s="107"/>
      <c r="C625" s="107"/>
    </row>
    <row r="626" spans="1:3" x14ac:dyDescent="0.25">
      <c r="A626" s="107" t="s">
        <v>785</v>
      </c>
      <c r="B626" s="107"/>
      <c r="C626" s="107"/>
    </row>
    <row r="627" spans="1:3" x14ac:dyDescent="0.25">
      <c r="A627" s="107" t="s">
        <v>786</v>
      </c>
      <c r="B627" s="107"/>
      <c r="C627" s="107"/>
    </row>
    <row r="628" spans="1:3" x14ac:dyDescent="0.25">
      <c r="A628" s="107" t="s">
        <v>787</v>
      </c>
      <c r="B628" s="107"/>
      <c r="C628" s="107"/>
    </row>
    <row r="629" spans="1:3" x14ac:dyDescent="0.25">
      <c r="A629" s="107" t="s">
        <v>789</v>
      </c>
      <c r="B629" s="107"/>
      <c r="C629" s="107"/>
    </row>
    <row r="630" spans="1:3" x14ac:dyDescent="0.25">
      <c r="A630" s="107" t="s">
        <v>791</v>
      </c>
      <c r="B630" s="107"/>
      <c r="C630" s="107"/>
    </row>
    <row r="631" spans="1:3" x14ac:dyDescent="0.25">
      <c r="A631" s="107" t="s">
        <v>44</v>
      </c>
      <c r="B631" s="107" t="s">
        <v>3155</v>
      </c>
      <c r="C631" s="107" t="s">
        <v>3163</v>
      </c>
    </row>
    <row r="632" spans="1:3" x14ac:dyDescent="0.25">
      <c r="A632" s="107" t="s">
        <v>817</v>
      </c>
      <c r="B632" s="107"/>
      <c r="C632" s="107"/>
    </row>
    <row r="633" spans="1:3" x14ac:dyDescent="0.25">
      <c r="A633" s="107" t="s">
        <v>818</v>
      </c>
      <c r="B633" s="107"/>
      <c r="C633" s="107"/>
    </row>
    <row r="634" spans="1:3" x14ac:dyDescent="0.25">
      <c r="A634" s="107" t="s">
        <v>795</v>
      </c>
      <c r="B634" s="107"/>
      <c r="C634" s="107"/>
    </row>
    <row r="635" spans="1:3" x14ac:dyDescent="0.25">
      <c r="A635" s="107" t="s">
        <v>797</v>
      </c>
      <c r="B635" s="107"/>
      <c r="C635" s="107"/>
    </row>
    <row r="636" spans="1:3" x14ac:dyDescent="0.25">
      <c r="A636" s="107" t="s">
        <v>799</v>
      </c>
      <c r="B636" s="107"/>
      <c r="C636" s="107"/>
    </row>
    <row r="637" spans="1:3" x14ac:dyDescent="0.25">
      <c r="A637" s="107" t="s">
        <v>758</v>
      </c>
      <c r="B637" s="107"/>
      <c r="C637" s="107"/>
    </row>
    <row r="638" spans="1:3" x14ac:dyDescent="0.25">
      <c r="A638" s="107" t="s">
        <v>760</v>
      </c>
      <c r="B638" s="107"/>
      <c r="C638" s="107"/>
    </row>
    <row r="639" spans="1:3" x14ac:dyDescent="0.25">
      <c r="A639" s="107" t="s">
        <v>761</v>
      </c>
      <c r="B639" s="107"/>
      <c r="C639" s="107"/>
    </row>
    <row r="640" spans="1:3" x14ac:dyDescent="0.25">
      <c r="A640" s="107" t="s">
        <v>762</v>
      </c>
      <c r="B640" s="107"/>
      <c r="C640" s="107"/>
    </row>
    <row r="641" spans="1:1" x14ac:dyDescent="0.25">
      <c r="A641" s="107" t="s">
        <v>764</v>
      </c>
    </row>
    <row r="642" spans="1:1" x14ac:dyDescent="0.25">
      <c r="A642" s="107" t="s">
        <v>770</v>
      </c>
    </row>
    <row r="643" spans="1:1" x14ac:dyDescent="0.25">
      <c r="A643" s="107" t="s">
        <v>750</v>
      </c>
    </row>
    <row r="644" spans="1:1" x14ac:dyDescent="0.25">
      <c r="A644" s="107" t="s">
        <v>756</v>
      </c>
    </row>
    <row r="645" spans="1:1" x14ac:dyDescent="0.25">
      <c r="A645" s="107" t="s">
        <v>752</v>
      </c>
    </row>
    <row r="646" spans="1:1" x14ac:dyDescent="0.25">
      <c r="A646" s="107" t="s">
        <v>733</v>
      </c>
    </row>
    <row r="647" spans="1:1" x14ac:dyDescent="0.25">
      <c r="A647" s="107" t="s">
        <v>722</v>
      </c>
    </row>
    <row r="648" spans="1:1" x14ac:dyDescent="0.25">
      <c r="A648" s="107" t="s">
        <v>711</v>
      </c>
    </row>
    <row r="649" spans="1:1" x14ac:dyDescent="0.25">
      <c r="A649" s="107" t="s">
        <v>712</v>
      </c>
    </row>
    <row r="650" spans="1:1" x14ac:dyDescent="0.25">
      <c r="A650" s="107" t="s">
        <v>714</v>
      </c>
    </row>
    <row r="651" spans="1:1" x14ac:dyDescent="0.25">
      <c r="A651" s="107" t="s">
        <v>715</v>
      </c>
    </row>
    <row r="652" spans="1:1" x14ac:dyDescent="0.25">
      <c r="A652" s="107" t="s">
        <v>717</v>
      </c>
    </row>
    <row r="653" spans="1:1" x14ac:dyDescent="0.25">
      <c r="A653" s="107" t="s">
        <v>104</v>
      </c>
    </row>
    <row r="654" spans="1:1" x14ac:dyDescent="0.25">
      <c r="A654" s="107" t="s">
        <v>706</v>
      </c>
    </row>
    <row r="655" spans="1:1" x14ac:dyDescent="0.25">
      <c r="A655" s="107" t="s">
        <v>707</v>
      </c>
    </row>
    <row r="656" spans="1:1" x14ac:dyDescent="0.25">
      <c r="A656" s="107" t="s">
        <v>650</v>
      </c>
    </row>
    <row r="657" spans="1:1" x14ac:dyDescent="0.25">
      <c r="A657" s="107" t="s">
        <v>662</v>
      </c>
    </row>
    <row r="658" spans="1:1" x14ac:dyDescent="0.25">
      <c r="A658" s="107" t="s">
        <v>626</v>
      </c>
    </row>
    <row r="659" spans="1:1" x14ac:dyDescent="0.25">
      <c r="A659" s="107" t="s">
        <v>119</v>
      </c>
    </row>
    <row r="660" spans="1:1" x14ac:dyDescent="0.25">
      <c r="A660" s="107" t="s">
        <v>631</v>
      </c>
    </row>
    <row r="661" spans="1:1" x14ac:dyDescent="0.25">
      <c r="A661" s="107" t="s">
        <v>632</v>
      </c>
    </row>
    <row r="662" spans="1:1" x14ac:dyDescent="0.25">
      <c r="A662" s="107" t="s">
        <v>743</v>
      </c>
    </row>
    <row r="663" spans="1:1" x14ac:dyDescent="0.25">
      <c r="A663" s="107" t="s">
        <v>614</v>
      </c>
    </row>
    <row r="664" spans="1:1" x14ac:dyDescent="0.25">
      <c r="A664" s="107" t="s">
        <v>615</v>
      </c>
    </row>
    <row r="665" spans="1:1" x14ac:dyDescent="0.25">
      <c r="A665" s="107" t="s">
        <v>593</v>
      </c>
    </row>
    <row r="666" spans="1:1" x14ac:dyDescent="0.25">
      <c r="A666" s="107" t="s">
        <v>594</v>
      </c>
    </row>
    <row r="667" spans="1:1" x14ac:dyDescent="0.25">
      <c r="A667" s="107" t="s">
        <v>597</v>
      </c>
    </row>
    <row r="668" spans="1:1" x14ac:dyDescent="0.25">
      <c r="A668" s="107" t="s">
        <v>545</v>
      </c>
    </row>
    <row r="669" spans="1:1" x14ac:dyDescent="0.25">
      <c r="A669" s="107" t="s">
        <v>550</v>
      </c>
    </row>
    <row r="670" spans="1:1" x14ac:dyDescent="0.25">
      <c r="A670" s="107" t="s">
        <v>3172</v>
      </c>
    </row>
    <row r="671" spans="1:1" x14ac:dyDescent="0.25">
      <c r="A671" s="107" t="s">
        <v>544</v>
      </c>
    </row>
    <row r="672" spans="1:1" x14ac:dyDescent="0.25">
      <c r="A672" s="107" t="s">
        <v>480</v>
      </c>
    </row>
    <row r="673" spans="1:1" x14ac:dyDescent="0.25">
      <c r="A673" s="107" t="s">
        <v>473</v>
      </c>
    </row>
    <row r="674" spans="1:1" x14ac:dyDescent="0.25">
      <c r="A674" s="107" t="s">
        <v>474</v>
      </c>
    </row>
    <row r="675" spans="1:1" x14ac:dyDescent="0.25">
      <c r="A675" s="107" t="s">
        <v>435</v>
      </c>
    </row>
    <row r="676" spans="1:1" x14ac:dyDescent="0.25">
      <c r="A676" s="107" t="s">
        <v>1017</v>
      </c>
    </row>
    <row r="677" spans="1:1" x14ac:dyDescent="0.25">
      <c r="A677" s="107" t="s">
        <v>1018</v>
      </c>
    </row>
    <row r="678" spans="1:1" x14ac:dyDescent="0.25">
      <c r="A678" s="107" t="s">
        <v>975</v>
      </c>
    </row>
    <row r="679" spans="1:1" x14ac:dyDescent="0.25">
      <c r="A679" s="107" t="s">
        <v>976</v>
      </c>
    </row>
    <row r="680" spans="1:1" x14ac:dyDescent="0.25">
      <c r="A680" s="107" t="s">
        <v>686</v>
      </c>
    </row>
    <row r="681" spans="1:1" x14ac:dyDescent="0.25">
      <c r="A681" s="107" t="s">
        <v>687</v>
      </c>
    </row>
    <row r="682" spans="1:1" x14ac:dyDescent="0.25">
      <c r="A682" s="107" t="s">
        <v>688</v>
      </c>
    </row>
    <row r="683" spans="1:1" x14ac:dyDescent="0.25">
      <c r="A683" s="107" t="s">
        <v>689</v>
      </c>
    </row>
    <row r="684" spans="1:1" x14ac:dyDescent="0.25">
      <c r="A684" s="107" t="s">
        <v>690</v>
      </c>
    </row>
    <row r="685" spans="1:1" x14ac:dyDescent="0.25">
      <c r="A685" s="107" t="s">
        <v>691</v>
      </c>
    </row>
    <row r="686" spans="1:1" x14ac:dyDescent="0.25">
      <c r="A686" s="107" t="s">
        <v>692</v>
      </c>
    </row>
    <row r="687" spans="1:1" x14ac:dyDescent="0.25">
      <c r="A687" s="107" t="s">
        <v>693</v>
      </c>
    </row>
    <row r="688" spans="1:1" x14ac:dyDescent="0.25">
      <c r="A688" s="107" t="s">
        <v>695</v>
      </c>
    </row>
    <row r="689" spans="1:1" x14ac:dyDescent="0.25">
      <c r="A689" s="107" t="s">
        <v>696</v>
      </c>
    </row>
    <row r="690" spans="1:1" x14ac:dyDescent="0.25">
      <c r="A690" s="107" t="s">
        <v>702</v>
      </c>
    </row>
    <row r="691" spans="1:1" x14ac:dyDescent="0.25">
      <c r="A691" s="107" t="s">
        <v>698</v>
      </c>
    </row>
    <row r="692" spans="1:1" x14ac:dyDescent="0.25">
      <c r="A692" s="107" t="s">
        <v>803</v>
      </c>
    </row>
    <row r="693" spans="1:1" x14ac:dyDescent="0.25">
      <c r="A693" s="107" t="s">
        <v>804</v>
      </c>
    </row>
    <row r="694" spans="1:1" x14ac:dyDescent="0.25">
      <c r="A694" s="107" t="s">
        <v>776</v>
      </c>
    </row>
    <row r="695" spans="1:1" x14ac:dyDescent="0.25">
      <c r="A695" s="107" t="s">
        <v>748</v>
      </c>
    </row>
    <row r="696" spans="1:1" x14ac:dyDescent="0.25">
      <c r="A696" s="107" t="s">
        <v>727</v>
      </c>
    </row>
    <row r="697" spans="1:1" x14ac:dyDescent="0.25">
      <c r="A697" s="107" t="s">
        <v>729</v>
      </c>
    </row>
    <row r="698" spans="1:1" x14ac:dyDescent="0.25">
      <c r="A698" s="107" t="s">
        <v>719</v>
      </c>
    </row>
    <row r="699" spans="1:1" x14ac:dyDescent="0.25">
      <c r="A699" s="107" t="s">
        <v>709</v>
      </c>
    </row>
    <row r="700" spans="1:1" x14ac:dyDescent="0.25">
      <c r="A700" s="107" t="s">
        <v>672</v>
      </c>
    </row>
    <row r="701" spans="1:1" x14ac:dyDescent="0.25">
      <c r="A701" s="107" t="s">
        <v>673</v>
      </c>
    </row>
    <row r="702" spans="1:1" x14ac:dyDescent="0.25">
      <c r="A702" s="107" t="s">
        <v>357</v>
      </c>
    </row>
    <row r="703" spans="1:1" x14ac:dyDescent="0.25">
      <c r="A703" s="107" t="s">
        <v>674</v>
      </c>
    </row>
    <row r="704" spans="1:1" x14ac:dyDescent="0.25">
      <c r="A704" s="107" t="s">
        <v>675</v>
      </c>
    </row>
    <row r="705" spans="1:1" x14ac:dyDescent="0.25">
      <c r="A705" s="107" t="s">
        <v>676</v>
      </c>
    </row>
    <row r="706" spans="1:1" x14ac:dyDescent="0.25">
      <c r="A706" s="107" t="s">
        <v>677</v>
      </c>
    </row>
    <row r="707" spans="1:1" x14ac:dyDescent="0.25">
      <c r="A707" s="107" t="s">
        <v>678</v>
      </c>
    </row>
    <row r="708" spans="1:1" x14ac:dyDescent="0.25">
      <c r="A708" s="107" t="s">
        <v>641</v>
      </c>
    </row>
    <row r="709" spans="1:1" x14ac:dyDescent="0.25">
      <c r="A709" s="107" t="s">
        <v>679</v>
      </c>
    </row>
    <row r="710" spans="1:1" x14ac:dyDescent="0.25">
      <c r="A710" s="107" t="s">
        <v>642</v>
      </c>
    </row>
    <row r="711" spans="1:1" x14ac:dyDescent="0.25">
      <c r="A711" s="107" t="s">
        <v>680</v>
      </c>
    </row>
    <row r="712" spans="1:1" x14ac:dyDescent="0.25">
      <c r="A712" s="107" t="s">
        <v>681</v>
      </c>
    </row>
    <row r="713" spans="1:1" x14ac:dyDescent="0.25">
      <c r="A713" s="107" t="s">
        <v>643</v>
      </c>
    </row>
    <row r="714" spans="1:1" x14ac:dyDescent="0.25">
      <c r="A714" s="107" t="s">
        <v>644</v>
      </c>
    </row>
    <row r="715" spans="1:1" x14ac:dyDescent="0.25">
      <c r="A715" s="107" t="s">
        <v>645</v>
      </c>
    </row>
    <row r="716" spans="1:1" x14ac:dyDescent="0.25">
      <c r="A716" s="107" t="s">
        <v>646</v>
      </c>
    </row>
    <row r="717" spans="1:1" x14ac:dyDescent="0.25">
      <c r="A717" s="107" t="s">
        <v>622</v>
      </c>
    </row>
    <row r="718" spans="1:1" x14ac:dyDescent="0.25">
      <c r="A718" s="107" t="s">
        <v>606</v>
      </c>
    </row>
    <row r="719" spans="1:1" x14ac:dyDescent="0.25">
      <c r="A719" s="107" t="s">
        <v>583</v>
      </c>
    </row>
    <row r="720" spans="1:1" x14ac:dyDescent="0.25">
      <c r="A720" s="107" t="s">
        <v>574</v>
      </c>
    </row>
    <row r="721" spans="1:1" x14ac:dyDescent="0.25">
      <c r="A721" s="107" t="s">
        <v>586</v>
      </c>
    </row>
    <row r="722" spans="1:1" x14ac:dyDescent="0.25">
      <c r="A722" s="107" t="s">
        <v>587</v>
      </c>
    </row>
    <row r="723" spans="1:1" x14ac:dyDescent="0.25">
      <c r="A723" s="107" t="s">
        <v>588</v>
      </c>
    </row>
    <row r="724" spans="1:1" x14ac:dyDescent="0.25">
      <c r="A724" s="107" t="s">
        <v>557</v>
      </c>
    </row>
    <row r="725" spans="1:1" x14ac:dyDescent="0.25">
      <c r="A725" s="107" t="s">
        <v>558</v>
      </c>
    </row>
    <row r="726" spans="1:1" x14ac:dyDescent="0.25">
      <c r="A726" s="107" t="s">
        <v>559</v>
      </c>
    </row>
    <row r="727" spans="1:1" x14ac:dyDescent="0.25">
      <c r="A727" s="107" t="s">
        <v>560</v>
      </c>
    </row>
    <row r="728" spans="1:1" x14ac:dyDescent="0.25">
      <c r="A728" s="107" t="s">
        <v>561</v>
      </c>
    </row>
    <row r="729" spans="1:1" x14ac:dyDescent="0.25">
      <c r="A729" s="107" t="s">
        <v>562</v>
      </c>
    </row>
    <row r="730" spans="1:1" x14ac:dyDescent="0.25">
      <c r="A730" s="107" t="s">
        <v>563</v>
      </c>
    </row>
    <row r="731" spans="1:1" x14ac:dyDescent="0.25">
      <c r="A731" s="107" t="s">
        <v>538</v>
      </c>
    </row>
    <row r="732" spans="1:1" x14ac:dyDescent="0.25">
      <c r="A732" s="107" t="s">
        <v>530</v>
      </c>
    </row>
    <row r="733" spans="1:1" x14ac:dyDescent="0.25">
      <c r="A733" s="107" t="s">
        <v>531</v>
      </c>
    </row>
    <row r="734" spans="1:1" x14ac:dyDescent="0.25">
      <c r="A734" s="107" t="s">
        <v>525</v>
      </c>
    </row>
    <row r="735" spans="1:1" x14ac:dyDescent="0.25">
      <c r="A735" s="107" t="s">
        <v>533</v>
      </c>
    </row>
    <row r="736" spans="1:1" x14ac:dyDescent="0.25">
      <c r="A736" s="107" t="s">
        <v>519</v>
      </c>
    </row>
    <row r="737" spans="1:1" x14ac:dyDescent="0.25">
      <c r="A737" s="107" t="s">
        <v>520</v>
      </c>
    </row>
    <row r="738" spans="1:1" x14ac:dyDescent="0.25">
      <c r="A738" s="107" t="s">
        <v>521</v>
      </c>
    </row>
    <row r="739" spans="1:1" x14ac:dyDescent="0.25">
      <c r="A739" s="107" t="s">
        <v>505</v>
      </c>
    </row>
    <row r="740" spans="1:1" x14ac:dyDescent="0.25">
      <c r="A740" s="107" t="s">
        <v>506</v>
      </c>
    </row>
    <row r="741" spans="1:1" x14ac:dyDescent="0.25">
      <c r="A741" s="107" t="s">
        <v>501</v>
      </c>
    </row>
    <row r="742" spans="1:1" x14ac:dyDescent="0.25">
      <c r="A742" s="107" t="s">
        <v>490</v>
      </c>
    </row>
    <row r="743" spans="1:1" x14ac:dyDescent="0.25">
      <c r="A743" s="107" t="s">
        <v>472</v>
      </c>
    </row>
    <row r="744" spans="1:1" x14ac:dyDescent="0.25">
      <c r="A744" s="107" t="s">
        <v>441</v>
      </c>
    </row>
    <row r="745" spans="1:1" x14ac:dyDescent="0.25">
      <c r="A745" s="107" t="s">
        <v>442</v>
      </c>
    </row>
    <row r="746" spans="1:1" x14ac:dyDescent="0.25">
      <c r="A746" s="107" t="s">
        <v>443</v>
      </c>
    </row>
    <row r="747" spans="1:1" x14ac:dyDescent="0.25">
      <c r="A747" s="107" t="s">
        <v>445</v>
      </c>
    </row>
    <row r="748" spans="1:1" x14ac:dyDescent="0.25">
      <c r="A748" s="107" t="s">
        <v>447</v>
      </c>
    </row>
    <row r="749" spans="1:1" x14ac:dyDescent="0.25">
      <c r="A749" s="107" t="s">
        <v>449</v>
      </c>
    </row>
    <row r="750" spans="1:1" x14ac:dyDescent="0.25">
      <c r="A750" s="107" t="s">
        <v>407</v>
      </c>
    </row>
    <row r="751" spans="1:1" x14ac:dyDescent="0.25">
      <c r="A751" s="107" t="s">
        <v>450</v>
      </c>
    </row>
    <row r="752" spans="1:1" x14ac:dyDescent="0.25">
      <c r="A752" s="107" t="s">
        <v>397</v>
      </c>
    </row>
    <row r="753" spans="1:1" x14ac:dyDescent="0.25">
      <c r="A753" s="107" t="s">
        <v>454</v>
      </c>
    </row>
    <row r="754" spans="1:1" x14ac:dyDescent="0.25">
      <c r="A754" s="107" t="s">
        <v>422</v>
      </c>
    </row>
    <row r="755" spans="1:1" x14ac:dyDescent="0.25">
      <c r="A755" s="107" t="s">
        <v>399</v>
      </c>
    </row>
    <row r="756" spans="1:1" x14ac:dyDescent="0.25">
      <c r="A756" s="107" t="s">
        <v>423</v>
      </c>
    </row>
    <row r="757" spans="1:1" x14ac:dyDescent="0.25">
      <c r="A757" s="107" t="s">
        <v>425</v>
      </c>
    </row>
    <row r="758" spans="1:1" x14ac:dyDescent="0.25">
      <c r="A758" s="107" t="s">
        <v>426</v>
      </c>
    </row>
    <row r="759" spans="1:1" x14ac:dyDescent="0.25">
      <c r="A759" s="107" t="s">
        <v>408</v>
      </c>
    </row>
    <row r="760" spans="1:1" x14ac:dyDescent="0.25">
      <c r="A760" s="107" t="s">
        <v>388</v>
      </c>
    </row>
    <row r="761" spans="1:1" x14ac:dyDescent="0.25">
      <c r="A761" s="107" t="s">
        <v>392</v>
      </c>
    </row>
    <row r="762" spans="1:1" x14ac:dyDescent="0.25">
      <c r="A762" s="107" t="s">
        <v>347</v>
      </c>
    </row>
    <row r="763" spans="1:1" x14ac:dyDescent="0.25">
      <c r="A763" s="107" t="s">
        <v>325</v>
      </c>
    </row>
    <row r="764" spans="1:1" x14ac:dyDescent="0.25">
      <c r="A764" s="107" t="s">
        <v>3173</v>
      </c>
    </row>
    <row r="765" spans="1:1" x14ac:dyDescent="0.25">
      <c r="A765" s="107" t="s">
        <v>455</v>
      </c>
    </row>
    <row r="766" spans="1:1" x14ac:dyDescent="0.25">
      <c r="A766" s="107" t="s">
        <v>3174</v>
      </c>
    </row>
    <row r="767" spans="1:1" x14ac:dyDescent="0.25">
      <c r="A767" s="107" t="s">
        <v>412</v>
      </c>
    </row>
    <row r="768" spans="1:1" x14ac:dyDescent="0.25">
      <c r="A768" s="107" t="s">
        <v>415</v>
      </c>
    </row>
    <row r="769" spans="1:1" x14ac:dyDescent="0.25">
      <c r="A769" s="107" t="s">
        <v>360</v>
      </c>
    </row>
    <row r="770" spans="1:1" x14ac:dyDescent="0.25">
      <c r="A770" s="107" t="s">
        <v>327</v>
      </c>
    </row>
    <row r="771" spans="1:1" x14ac:dyDescent="0.25">
      <c r="A771" s="107" t="s">
        <v>361</v>
      </c>
    </row>
    <row r="772" spans="1:1" x14ac:dyDescent="0.25">
      <c r="A772" s="107" t="s">
        <v>363</v>
      </c>
    </row>
    <row r="773" spans="1:1" x14ac:dyDescent="0.25">
      <c r="A773" s="107" t="s">
        <v>364</v>
      </c>
    </row>
    <row r="774" spans="1:1" x14ac:dyDescent="0.25">
      <c r="A774" s="107" t="s">
        <v>365</v>
      </c>
    </row>
    <row r="775" spans="1:1" x14ac:dyDescent="0.25">
      <c r="A775" s="107" t="s">
        <v>368</v>
      </c>
    </row>
    <row r="776" spans="1:1" x14ac:dyDescent="0.25">
      <c r="A776" s="107" t="s">
        <v>382</v>
      </c>
    </row>
    <row r="777" spans="1:1" x14ac:dyDescent="0.25">
      <c r="A777" s="107" t="s">
        <v>370</v>
      </c>
    </row>
    <row r="778" spans="1:1" x14ac:dyDescent="0.25">
      <c r="A778" s="107" t="s">
        <v>371</v>
      </c>
    </row>
    <row r="779" spans="1:1" x14ac:dyDescent="0.25">
      <c r="A779" s="107" t="s">
        <v>383</v>
      </c>
    </row>
    <row r="780" spans="1:1" x14ac:dyDescent="0.25">
      <c r="A780" s="107" t="s">
        <v>373</v>
      </c>
    </row>
    <row r="781" spans="1:1" x14ac:dyDescent="0.25">
      <c r="A781" s="107" t="s">
        <v>376</v>
      </c>
    </row>
    <row r="782" spans="1:1" x14ac:dyDescent="0.25">
      <c r="A782" s="107" t="s">
        <v>379</v>
      </c>
    </row>
    <row r="783" spans="1:1" x14ac:dyDescent="0.25">
      <c r="A783" s="107" t="s">
        <v>380</v>
      </c>
    </row>
    <row r="784" spans="1:1" x14ac:dyDescent="0.25">
      <c r="A784" s="107" t="s">
        <v>330</v>
      </c>
    </row>
    <row r="785" spans="1:1" x14ac:dyDescent="0.25">
      <c r="A785" s="107" t="s">
        <v>332</v>
      </c>
    </row>
    <row r="786" spans="1:1" x14ac:dyDescent="0.25">
      <c r="A786" s="107" t="s">
        <v>334</v>
      </c>
    </row>
    <row r="787" spans="1:1" x14ac:dyDescent="0.25">
      <c r="A787" s="107" t="s">
        <v>335</v>
      </c>
    </row>
    <row r="788" spans="1:1" x14ac:dyDescent="0.25">
      <c r="A788" s="107" t="s">
        <v>337</v>
      </c>
    </row>
    <row r="789" spans="1:1" x14ac:dyDescent="0.25">
      <c r="A789" s="107" t="s">
        <v>339</v>
      </c>
    </row>
    <row r="790" spans="1:1" x14ac:dyDescent="0.25">
      <c r="A790" s="107" t="s">
        <v>340</v>
      </c>
    </row>
    <row r="791" spans="1:1" x14ac:dyDescent="0.25">
      <c r="A791" s="107" t="s">
        <v>342</v>
      </c>
    </row>
    <row r="792" spans="1:1" x14ac:dyDescent="0.25">
      <c r="A792" s="107" t="s">
        <v>343</v>
      </c>
    </row>
    <row r="793" spans="1:1" x14ac:dyDescent="0.25">
      <c r="A793" s="107" t="s">
        <v>344</v>
      </c>
    </row>
    <row r="794" spans="1:1" x14ac:dyDescent="0.25">
      <c r="A794" s="107" t="s">
        <v>316</v>
      </c>
    </row>
    <row r="795" spans="1:1" x14ac:dyDescent="0.25">
      <c r="A795" s="107" t="s">
        <v>3175</v>
      </c>
    </row>
    <row r="796" spans="1:1" x14ac:dyDescent="0.25">
      <c r="A796" s="107" t="s">
        <v>589</v>
      </c>
    </row>
    <row r="797" spans="1:1" x14ac:dyDescent="0.25">
      <c r="A797" s="107" t="s">
        <v>590</v>
      </c>
    </row>
    <row r="798" spans="1:1" x14ac:dyDescent="0.25">
      <c r="A798" s="107" t="s">
        <v>591</v>
      </c>
    </row>
    <row r="799" spans="1:1" x14ac:dyDescent="0.25">
      <c r="A799" s="107" t="s">
        <v>564</v>
      </c>
    </row>
    <row r="800" spans="1:1" x14ac:dyDescent="0.25">
      <c r="A800" s="107" t="s">
        <v>565</v>
      </c>
    </row>
    <row r="801" spans="1:1" x14ac:dyDescent="0.25">
      <c r="A801" s="107" t="s">
        <v>566</v>
      </c>
    </row>
    <row r="802" spans="1:1" x14ac:dyDescent="0.25">
      <c r="A802" s="107" t="s">
        <v>567</v>
      </c>
    </row>
    <row r="803" spans="1:1" x14ac:dyDescent="0.25">
      <c r="A803" s="107" t="s">
        <v>416</v>
      </c>
    </row>
    <row r="804" spans="1:1" x14ac:dyDescent="0.25">
      <c r="A804" s="107" t="s">
        <v>568</v>
      </c>
    </row>
    <row r="805" spans="1:1" x14ac:dyDescent="0.25">
      <c r="A805" s="107" t="s">
        <v>429</v>
      </c>
    </row>
    <row r="806" spans="1:1" x14ac:dyDescent="0.25">
      <c r="A806" s="107" t="s">
        <v>569</v>
      </c>
    </row>
    <row r="807" spans="1:1" x14ac:dyDescent="0.25">
      <c r="A807" s="107" t="s">
        <v>522</v>
      </c>
    </row>
    <row r="808" spans="1:1" x14ac:dyDescent="0.25">
      <c r="A808" s="107" t="s">
        <v>571</v>
      </c>
    </row>
    <row r="809" spans="1:1" x14ac:dyDescent="0.25">
      <c r="A809" s="107" t="s">
        <v>540</v>
      </c>
    </row>
    <row r="810" spans="1:1" x14ac:dyDescent="0.25">
      <c r="A810" s="107" t="s">
        <v>534</v>
      </c>
    </row>
    <row r="811" spans="1:1" x14ac:dyDescent="0.25">
      <c r="A811" s="107" t="s">
        <v>526</v>
      </c>
    </row>
    <row r="812" spans="1:1" x14ac:dyDescent="0.25">
      <c r="A812" s="107" t="s">
        <v>523</v>
      </c>
    </row>
    <row r="813" spans="1:1" x14ac:dyDescent="0.25">
      <c r="A813" s="107" t="s">
        <v>524</v>
      </c>
    </row>
    <row r="814" spans="1:1" x14ac:dyDescent="0.25">
      <c r="A814" s="107" t="s">
        <v>510</v>
      </c>
    </row>
    <row r="815" spans="1:1" x14ac:dyDescent="0.25">
      <c r="A815" s="107" t="s">
        <v>491</v>
      </c>
    </row>
    <row r="816" spans="1:1" x14ac:dyDescent="0.25">
      <c r="A816" s="107" t="s">
        <v>478</v>
      </c>
    </row>
    <row r="817" spans="1:1" x14ac:dyDescent="0.25">
      <c r="A817" s="107" t="s">
        <v>479</v>
      </c>
    </row>
    <row r="818" spans="1:1" x14ac:dyDescent="0.25">
      <c r="A818" s="107" t="s">
        <v>457</v>
      </c>
    </row>
    <row r="819" spans="1:1" x14ac:dyDescent="0.25">
      <c r="A819" s="107" t="s">
        <v>458</v>
      </c>
    </row>
    <row r="820" spans="1:1" x14ac:dyDescent="0.25">
      <c r="A820" s="107" t="s">
        <v>459</v>
      </c>
    </row>
    <row r="821" spans="1:1" x14ac:dyDescent="0.25">
      <c r="A821" s="107" t="s">
        <v>460</v>
      </c>
    </row>
    <row r="822" spans="1:1" x14ac:dyDescent="0.25">
      <c r="A822" s="107" t="s">
        <v>461</v>
      </c>
    </row>
    <row r="823" spans="1:1" x14ac:dyDescent="0.25">
      <c r="A823" s="107" t="s">
        <v>462</v>
      </c>
    </row>
    <row r="824" spans="1:1" x14ac:dyDescent="0.25">
      <c r="A824" s="107" t="s">
        <v>463</v>
      </c>
    </row>
    <row r="825" spans="1:1" x14ac:dyDescent="0.25">
      <c r="A825" s="107" t="s">
        <v>432</v>
      </c>
    </row>
    <row r="826" spans="1:1" x14ac:dyDescent="0.25">
      <c r="A826" s="107" t="s">
        <v>431</v>
      </c>
    </row>
    <row r="827" spans="1:1" x14ac:dyDescent="0.25">
      <c r="A827" s="107" t="s">
        <v>1759</v>
      </c>
    </row>
    <row r="828" spans="1:1" x14ac:dyDescent="0.25">
      <c r="A828" s="107" t="s">
        <v>1760</v>
      </c>
    </row>
    <row r="829" spans="1:1" x14ac:dyDescent="0.25">
      <c r="A829" s="107" t="s">
        <v>1900</v>
      </c>
    </row>
    <row r="830" spans="1:1" x14ac:dyDescent="0.25">
      <c r="A830" s="107" t="s">
        <v>1901</v>
      </c>
    </row>
    <row r="831" spans="1:1" x14ac:dyDescent="0.25">
      <c r="A831" s="107" t="s">
        <v>1904</v>
      </c>
    </row>
    <row r="832" spans="1:1" x14ac:dyDescent="0.25">
      <c r="A832" s="107" t="s">
        <v>1908</v>
      </c>
    </row>
    <row r="833" spans="1:1" x14ac:dyDescent="0.25">
      <c r="A833" s="107" t="s">
        <v>116</v>
      </c>
    </row>
    <row r="834" spans="1:1" x14ac:dyDescent="0.25">
      <c r="A834" s="107" t="s">
        <v>1916</v>
      </c>
    </row>
    <row r="835" spans="1:1" x14ac:dyDescent="0.25">
      <c r="A835" s="107" t="s">
        <v>1918</v>
      </c>
    </row>
    <row r="836" spans="1:1" x14ac:dyDescent="0.25">
      <c r="A836" s="107" t="s">
        <v>1853</v>
      </c>
    </row>
    <row r="837" spans="1:1" x14ac:dyDescent="0.25">
      <c r="A837" s="107" t="s">
        <v>1920</v>
      </c>
    </row>
    <row r="838" spans="1:1" x14ac:dyDescent="0.25">
      <c r="A838" s="107" t="s">
        <v>1921</v>
      </c>
    </row>
    <row r="839" spans="1:1" x14ac:dyDescent="0.25">
      <c r="A839" s="107" t="s">
        <v>1922</v>
      </c>
    </row>
    <row r="840" spans="1:1" x14ac:dyDescent="0.25">
      <c r="A840" s="107" t="s">
        <v>1923</v>
      </c>
    </row>
    <row r="841" spans="1:1" x14ac:dyDescent="0.25">
      <c r="A841" s="107" t="s">
        <v>1925</v>
      </c>
    </row>
    <row r="842" spans="1:1" x14ac:dyDescent="0.25">
      <c r="A842" s="107" t="s">
        <v>1926</v>
      </c>
    </row>
    <row r="843" spans="1:1" x14ac:dyDescent="0.25">
      <c r="A843" s="107" t="s">
        <v>1928</v>
      </c>
    </row>
    <row r="844" spans="1:1" x14ac:dyDescent="0.25">
      <c r="A844" s="107" t="s">
        <v>1929</v>
      </c>
    </row>
    <row r="845" spans="1:1" x14ac:dyDescent="0.25">
      <c r="A845" s="107" t="s">
        <v>111</v>
      </c>
    </row>
    <row r="846" spans="1:1" x14ac:dyDescent="0.25">
      <c r="A846" s="107" t="s">
        <v>1871</v>
      </c>
    </row>
    <row r="847" spans="1:1" x14ac:dyDescent="0.25">
      <c r="A847" s="107" t="s">
        <v>1930</v>
      </c>
    </row>
    <row r="848" spans="1:1" x14ac:dyDescent="0.25">
      <c r="A848" s="107" t="s">
        <v>1777</v>
      </c>
    </row>
    <row r="849" spans="1:3" x14ac:dyDescent="0.25">
      <c r="A849" s="107" t="s">
        <v>1931</v>
      </c>
      <c r="B849" s="107"/>
      <c r="C849" s="107"/>
    </row>
    <row r="850" spans="1:3" x14ac:dyDescent="0.25">
      <c r="A850" s="107" t="s">
        <v>1932</v>
      </c>
      <c r="B850" s="107"/>
      <c r="C850" s="107"/>
    </row>
    <row r="851" spans="1:3" x14ac:dyDescent="0.25">
      <c r="A851" s="107" t="s">
        <v>52</v>
      </c>
      <c r="B851" s="107" t="s">
        <v>3160</v>
      </c>
      <c r="C851" s="107" t="s">
        <v>3160</v>
      </c>
    </row>
    <row r="852" spans="1:3" x14ac:dyDescent="0.25">
      <c r="A852" s="107" t="s">
        <v>2098</v>
      </c>
      <c r="B852" s="107"/>
      <c r="C852" s="107"/>
    </row>
    <row r="853" spans="1:3" x14ac:dyDescent="0.25">
      <c r="A853" s="107" t="s">
        <v>1919</v>
      </c>
      <c r="B853" s="107"/>
      <c r="C853" s="107"/>
    </row>
    <row r="854" spans="1:3" x14ac:dyDescent="0.25">
      <c r="A854" s="107" t="s">
        <v>1945</v>
      </c>
      <c r="B854" s="107"/>
      <c r="C854" s="107"/>
    </row>
    <row r="855" spans="1:3" x14ac:dyDescent="0.25">
      <c r="A855" s="107" t="s">
        <v>1840</v>
      </c>
      <c r="B855" s="107"/>
      <c r="C855" s="107"/>
    </row>
    <row r="856" spans="1:3" x14ac:dyDescent="0.25">
      <c r="A856" s="107" t="s">
        <v>1946</v>
      </c>
      <c r="B856" s="107"/>
      <c r="C856" s="107"/>
    </row>
    <row r="857" spans="1:3" x14ac:dyDescent="0.25">
      <c r="A857" s="107" t="s">
        <v>1950</v>
      </c>
      <c r="B857" s="107"/>
      <c r="C857" s="107"/>
    </row>
    <row r="858" spans="1:3" x14ac:dyDescent="0.25">
      <c r="A858" s="107" t="s">
        <v>1816</v>
      </c>
      <c r="B858" s="107"/>
      <c r="C858" s="107"/>
    </row>
    <row r="859" spans="1:3" x14ac:dyDescent="0.25">
      <c r="A859" s="107" t="s">
        <v>1951</v>
      </c>
      <c r="B859" s="107"/>
      <c r="C859" s="107"/>
    </row>
    <row r="860" spans="1:3" x14ac:dyDescent="0.25">
      <c r="A860" s="107" t="s">
        <v>1952</v>
      </c>
      <c r="B860" s="107"/>
      <c r="C860" s="107"/>
    </row>
    <row r="861" spans="1:3" x14ac:dyDescent="0.25">
      <c r="A861" s="107" t="s">
        <v>1953</v>
      </c>
      <c r="B861" s="107"/>
      <c r="C861" s="107"/>
    </row>
    <row r="862" spans="1:3" x14ac:dyDescent="0.25">
      <c r="A862" s="107" t="s">
        <v>1954</v>
      </c>
      <c r="B862" s="107"/>
      <c r="C862" s="107"/>
    </row>
    <row r="863" spans="1:3" x14ac:dyDescent="0.25">
      <c r="A863" s="107" t="s">
        <v>1958</v>
      </c>
      <c r="B863" s="107"/>
      <c r="C863" s="107"/>
    </row>
    <row r="864" spans="1:3" x14ac:dyDescent="0.25">
      <c r="A864" s="107" t="s">
        <v>1769</v>
      </c>
      <c r="B864" s="107"/>
      <c r="C864" s="107"/>
    </row>
    <row r="865" spans="1:1" x14ac:dyDescent="0.25">
      <c r="A865" s="107" t="s">
        <v>1960</v>
      </c>
    </row>
    <row r="866" spans="1:1" x14ac:dyDescent="0.25">
      <c r="A866" s="107" t="s">
        <v>1961</v>
      </c>
    </row>
    <row r="867" spans="1:1" x14ac:dyDescent="0.25">
      <c r="A867" s="107" t="s">
        <v>1962</v>
      </c>
    </row>
    <row r="868" spans="1:1" x14ac:dyDescent="0.25">
      <c r="A868" s="107" t="s">
        <v>1963</v>
      </c>
    </row>
    <row r="869" spans="1:1" x14ac:dyDescent="0.25">
      <c r="A869" s="107" t="s">
        <v>1964</v>
      </c>
    </row>
    <row r="870" spans="1:1" x14ac:dyDescent="0.25">
      <c r="A870" s="107" t="s">
        <v>1965</v>
      </c>
    </row>
    <row r="871" spans="1:1" x14ac:dyDescent="0.25">
      <c r="A871" s="107" t="s">
        <v>1966</v>
      </c>
    </row>
    <row r="872" spans="1:1" x14ac:dyDescent="0.25">
      <c r="A872" s="107" t="s">
        <v>1967</v>
      </c>
    </row>
    <row r="873" spans="1:1" x14ac:dyDescent="0.25">
      <c r="A873" s="107" t="s">
        <v>1968</v>
      </c>
    </row>
    <row r="874" spans="1:1" x14ac:dyDescent="0.25">
      <c r="A874" s="107" t="s">
        <v>1969</v>
      </c>
    </row>
    <row r="875" spans="1:1" x14ac:dyDescent="0.25">
      <c r="A875" s="107" t="s">
        <v>1970</v>
      </c>
    </row>
    <row r="876" spans="1:1" x14ac:dyDescent="0.25">
      <c r="A876" s="107" t="s">
        <v>1971</v>
      </c>
    </row>
    <row r="877" spans="1:1" x14ac:dyDescent="0.25">
      <c r="A877" s="107" t="s">
        <v>1972</v>
      </c>
    </row>
    <row r="878" spans="1:1" x14ac:dyDescent="0.25">
      <c r="A878" s="107" t="s">
        <v>1974</v>
      </c>
    </row>
    <row r="879" spans="1:1" x14ac:dyDescent="0.25">
      <c r="A879" s="107" t="s">
        <v>1975</v>
      </c>
    </row>
    <row r="880" spans="1:1" x14ac:dyDescent="0.25">
      <c r="A880" s="107" t="s">
        <v>1976</v>
      </c>
    </row>
    <row r="881" spans="1:1" x14ac:dyDescent="0.25">
      <c r="A881" s="107" t="s">
        <v>1977</v>
      </c>
    </row>
    <row r="882" spans="1:1" x14ac:dyDescent="0.25">
      <c r="A882" s="107" t="s">
        <v>1979</v>
      </c>
    </row>
    <row r="883" spans="1:1" x14ac:dyDescent="0.25">
      <c r="A883" s="107" t="s">
        <v>1980</v>
      </c>
    </row>
    <row r="884" spans="1:1" x14ac:dyDescent="0.25">
      <c r="A884" s="107" t="s">
        <v>1981</v>
      </c>
    </row>
    <row r="885" spans="1:1" x14ac:dyDescent="0.25">
      <c r="A885" s="107" t="s">
        <v>1982</v>
      </c>
    </row>
    <row r="886" spans="1:1" x14ac:dyDescent="0.25">
      <c r="A886" s="107" t="s">
        <v>1983</v>
      </c>
    </row>
    <row r="887" spans="1:1" x14ac:dyDescent="0.25">
      <c r="A887" s="107" t="s">
        <v>1984</v>
      </c>
    </row>
    <row r="888" spans="1:1" x14ac:dyDescent="0.25">
      <c r="A888" s="107" t="s">
        <v>1986</v>
      </c>
    </row>
    <row r="889" spans="1:1" x14ac:dyDescent="0.25">
      <c r="A889" s="107" t="s">
        <v>1987</v>
      </c>
    </row>
    <row r="890" spans="1:1" x14ac:dyDescent="0.25">
      <c r="A890" s="107" t="s">
        <v>1988</v>
      </c>
    </row>
    <row r="891" spans="1:1" x14ac:dyDescent="0.25">
      <c r="A891" s="107" t="s">
        <v>1805</v>
      </c>
    </row>
    <row r="892" spans="1:1" x14ac:dyDescent="0.25">
      <c r="A892" s="107" t="s">
        <v>1990</v>
      </c>
    </row>
    <row r="893" spans="1:1" x14ac:dyDescent="0.25">
      <c r="A893" s="107" t="s">
        <v>1992</v>
      </c>
    </row>
    <row r="894" spans="1:1" x14ac:dyDescent="0.25">
      <c r="A894" s="107" t="s">
        <v>1824</v>
      </c>
    </row>
    <row r="895" spans="1:1" x14ac:dyDescent="0.25">
      <c r="A895" s="107" t="s">
        <v>1995</v>
      </c>
    </row>
    <row r="896" spans="1:1" x14ac:dyDescent="0.25">
      <c r="A896" s="107" t="s">
        <v>1996</v>
      </c>
    </row>
    <row r="897" spans="1:1" x14ac:dyDescent="0.25">
      <c r="A897" s="107" t="s">
        <v>1855</v>
      </c>
    </row>
    <row r="898" spans="1:1" x14ac:dyDescent="0.25">
      <c r="A898" s="107" t="s">
        <v>2000</v>
      </c>
    </row>
    <row r="899" spans="1:1" x14ac:dyDescent="0.25">
      <c r="A899" s="107" t="s">
        <v>2001</v>
      </c>
    </row>
    <row r="900" spans="1:1" x14ac:dyDescent="0.25">
      <c r="A900" s="107" t="s">
        <v>2002</v>
      </c>
    </row>
    <row r="901" spans="1:1" x14ac:dyDescent="0.25">
      <c r="A901" s="107" t="s">
        <v>2003</v>
      </c>
    </row>
    <row r="902" spans="1:1" x14ac:dyDescent="0.25">
      <c r="A902" s="107" t="s">
        <v>2006</v>
      </c>
    </row>
    <row r="903" spans="1:1" x14ac:dyDescent="0.25">
      <c r="A903" s="107" t="s">
        <v>2007</v>
      </c>
    </row>
    <row r="904" spans="1:1" x14ac:dyDescent="0.25">
      <c r="A904" s="107" t="s">
        <v>2008</v>
      </c>
    </row>
    <row r="905" spans="1:1" x14ac:dyDescent="0.25">
      <c r="A905" s="107" t="s">
        <v>2009</v>
      </c>
    </row>
    <row r="906" spans="1:1" x14ac:dyDescent="0.25">
      <c r="A906" s="107" t="s">
        <v>2010</v>
      </c>
    </row>
    <row r="907" spans="1:1" x14ac:dyDescent="0.25">
      <c r="A907" s="107" t="s">
        <v>2011</v>
      </c>
    </row>
    <row r="908" spans="1:1" x14ac:dyDescent="0.25">
      <c r="A908" s="107" t="s">
        <v>2012</v>
      </c>
    </row>
    <row r="909" spans="1:1" x14ac:dyDescent="0.25">
      <c r="A909" s="107" t="s">
        <v>2015</v>
      </c>
    </row>
    <row r="910" spans="1:1" x14ac:dyDescent="0.25">
      <c r="A910" s="107" t="s">
        <v>2016</v>
      </c>
    </row>
    <row r="911" spans="1:1" x14ac:dyDescent="0.25">
      <c r="A911" s="107" t="s">
        <v>2017</v>
      </c>
    </row>
    <row r="912" spans="1:1" x14ac:dyDescent="0.25">
      <c r="A912" s="107" t="s">
        <v>2018</v>
      </c>
    </row>
    <row r="913" spans="1:3" x14ac:dyDescent="0.25">
      <c r="A913" s="107" t="s">
        <v>2022</v>
      </c>
      <c r="B913" s="107"/>
      <c r="C913" s="107"/>
    </row>
    <row r="914" spans="1:3" x14ac:dyDescent="0.25">
      <c r="A914" s="107" t="s">
        <v>131</v>
      </c>
      <c r="B914" s="107"/>
      <c r="C914" s="107"/>
    </row>
    <row r="915" spans="1:3" x14ac:dyDescent="0.25">
      <c r="A915" s="107" t="s">
        <v>132</v>
      </c>
      <c r="B915" s="107"/>
      <c r="C915" s="107"/>
    </row>
    <row r="916" spans="1:3" x14ac:dyDescent="0.25">
      <c r="A916" s="107" t="s">
        <v>2029</v>
      </c>
      <c r="B916" s="107"/>
      <c r="C916" s="107"/>
    </row>
    <row r="917" spans="1:3" x14ac:dyDescent="0.25">
      <c r="A917" s="107" t="s">
        <v>2030</v>
      </c>
      <c r="B917" s="107"/>
      <c r="C917" s="107"/>
    </row>
    <row r="918" spans="1:3" x14ac:dyDescent="0.25">
      <c r="A918" s="107" t="s">
        <v>2031</v>
      </c>
      <c r="B918" s="107"/>
      <c r="C918" s="107"/>
    </row>
    <row r="919" spans="1:3" x14ac:dyDescent="0.25">
      <c r="A919" s="107" t="s">
        <v>2032</v>
      </c>
      <c r="B919" s="107"/>
      <c r="C919" s="107"/>
    </row>
    <row r="920" spans="1:3" x14ac:dyDescent="0.25">
      <c r="A920" s="107" t="s">
        <v>2035</v>
      </c>
      <c r="B920" s="107"/>
      <c r="C920" s="107"/>
    </row>
    <row r="921" spans="1:3" x14ac:dyDescent="0.25">
      <c r="A921" s="107" t="s">
        <v>2036</v>
      </c>
      <c r="B921" s="107"/>
      <c r="C921" s="107"/>
    </row>
    <row r="922" spans="1:3" x14ac:dyDescent="0.25">
      <c r="A922" s="107" t="s">
        <v>1778</v>
      </c>
      <c r="B922" s="107"/>
      <c r="C922" s="107"/>
    </row>
    <row r="923" spans="1:3" x14ac:dyDescent="0.25">
      <c r="A923" s="107" t="s">
        <v>2040</v>
      </c>
      <c r="B923" s="107"/>
      <c r="C923" s="107"/>
    </row>
    <row r="924" spans="1:3" x14ac:dyDescent="0.25">
      <c r="A924" s="107" t="s">
        <v>2041</v>
      </c>
      <c r="B924" s="107"/>
      <c r="C924" s="107"/>
    </row>
    <row r="925" spans="1:3" x14ac:dyDescent="0.25">
      <c r="A925" s="107" t="s">
        <v>2042</v>
      </c>
      <c r="B925" s="107"/>
      <c r="C925" s="107"/>
    </row>
    <row r="926" spans="1:3" x14ac:dyDescent="0.25">
      <c r="A926" s="107" t="s">
        <v>2043</v>
      </c>
      <c r="B926" s="107"/>
      <c r="C926" s="107"/>
    </row>
    <row r="927" spans="1:3" x14ac:dyDescent="0.25">
      <c r="A927" s="107" t="s">
        <v>47</v>
      </c>
      <c r="B927" s="107" t="s">
        <v>3168</v>
      </c>
      <c r="C927" s="107" t="s">
        <v>3168</v>
      </c>
    </row>
    <row r="928" spans="1:3" x14ac:dyDescent="0.25">
      <c r="A928" s="107" t="s">
        <v>2044</v>
      </c>
      <c r="B928" s="107"/>
      <c r="C928" s="107"/>
    </row>
    <row r="929" spans="1:3" x14ac:dyDescent="0.25">
      <c r="A929" s="107" t="s">
        <v>2045</v>
      </c>
      <c r="B929" s="107"/>
      <c r="C929" s="107"/>
    </row>
    <row r="930" spans="1:3" x14ac:dyDescent="0.25">
      <c r="A930" s="107" t="s">
        <v>2905</v>
      </c>
      <c r="B930" s="107"/>
      <c r="C930" s="107"/>
    </row>
    <row r="931" spans="1:3" x14ac:dyDescent="0.25">
      <c r="A931" s="107" t="s">
        <v>2046</v>
      </c>
      <c r="B931" s="107"/>
      <c r="C931" s="107"/>
    </row>
    <row r="932" spans="1:3" x14ac:dyDescent="0.25">
      <c r="A932" s="107" t="s">
        <v>1858</v>
      </c>
      <c r="B932" s="107"/>
      <c r="C932" s="107"/>
    </row>
    <row r="933" spans="1:3" x14ac:dyDescent="0.25">
      <c r="A933" s="107" t="s">
        <v>1933</v>
      </c>
      <c r="B933" s="107"/>
      <c r="C933" s="107"/>
    </row>
    <row r="934" spans="1:3" x14ac:dyDescent="0.25">
      <c r="A934" s="107" t="s">
        <v>2049</v>
      </c>
      <c r="B934" s="107"/>
      <c r="C934" s="107"/>
    </row>
    <row r="935" spans="1:3" x14ac:dyDescent="0.25">
      <c r="A935" s="107" t="s">
        <v>2050</v>
      </c>
      <c r="B935" s="107"/>
      <c r="C935" s="107"/>
    </row>
    <row r="936" spans="1:3" x14ac:dyDescent="0.25">
      <c r="A936" s="107" t="s">
        <v>2052</v>
      </c>
      <c r="B936" s="107"/>
      <c r="C936" s="107"/>
    </row>
    <row r="937" spans="1:3" x14ac:dyDescent="0.25">
      <c r="A937" s="107" t="s">
        <v>2053</v>
      </c>
      <c r="B937" s="107"/>
      <c r="C937" s="107"/>
    </row>
    <row r="938" spans="1:3" x14ac:dyDescent="0.25">
      <c r="A938" s="107" t="s">
        <v>2054</v>
      </c>
      <c r="B938" s="107"/>
      <c r="C938" s="107"/>
    </row>
    <row r="939" spans="1:3" x14ac:dyDescent="0.25">
      <c r="A939" s="107" t="s">
        <v>68</v>
      </c>
      <c r="B939" s="107" t="s">
        <v>3160</v>
      </c>
      <c r="C939" s="107" t="s">
        <v>3160</v>
      </c>
    </row>
    <row r="940" spans="1:3" x14ac:dyDescent="0.25">
      <c r="A940" s="107" t="s">
        <v>1767</v>
      </c>
      <c r="B940" s="107"/>
      <c r="C940" s="107"/>
    </row>
    <row r="941" spans="1:3" x14ac:dyDescent="0.25">
      <c r="A941" s="107" t="s">
        <v>2055</v>
      </c>
      <c r="B941" s="107"/>
      <c r="C941" s="107"/>
    </row>
    <row r="942" spans="1:3" x14ac:dyDescent="0.25">
      <c r="A942" s="107" t="s">
        <v>2057</v>
      </c>
      <c r="B942" s="107"/>
      <c r="C942" s="107"/>
    </row>
    <row r="943" spans="1:3" x14ac:dyDescent="0.25">
      <c r="A943" s="107" t="s">
        <v>2059</v>
      </c>
      <c r="B943" s="107"/>
      <c r="C943" s="107"/>
    </row>
    <row r="944" spans="1:3" x14ac:dyDescent="0.25">
      <c r="A944" s="107" t="s">
        <v>2061</v>
      </c>
      <c r="B944" s="107"/>
      <c r="C944" s="107"/>
    </row>
    <row r="945" spans="1:1" x14ac:dyDescent="0.25">
      <c r="A945" s="107" t="s">
        <v>2063</v>
      </c>
    </row>
    <row r="946" spans="1:1" x14ac:dyDescent="0.25">
      <c r="A946" s="107" t="s">
        <v>2065</v>
      </c>
    </row>
    <row r="947" spans="1:1" x14ac:dyDescent="0.25">
      <c r="A947" s="107" t="s">
        <v>2067</v>
      </c>
    </row>
    <row r="948" spans="1:1" x14ac:dyDescent="0.25">
      <c r="A948" s="107" t="s">
        <v>2068</v>
      </c>
    </row>
    <row r="949" spans="1:1" x14ac:dyDescent="0.25">
      <c r="A949" s="107" t="s">
        <v>2077</v>
      </c>
    </row>
    <row r="950" spans="1:1" x14ac:dyDescent="0.25">
      <c r="A950" s="107" t="s">
        <v>2078</v>
      </c>
    </row>
    <row r="951" spans="1:1" x14ac:dyDescent="0.25">
      <c r="A951" s="107" t="s">
        <v>2080</v>
      </c>
    </row>
    <row r="952" spans="1:1" x14ac:dyDescent="0.25">
      <c r="A952" s="107" t="s">
        <v>2081</v>
      </c>
    </row>
    <row r="953" spans="1:1" x14ac:dyDescent="0.25">
      <c r="A953" s="107" t="s">
        <v>2082</v>
      </c>
    </row>
    <row r="954" spans="1:1" x14ac:dyDescent="0.25">
      <c r="A954" s="107" t="s">
        <v>2083</v>
      </c>
    </row>
    <row r="955" spans="1:1" x14ac:dyDescent="0.25">
      <c r="A955" s="107" t="s">
        <v>2084</v>
      </c>
    </row>
    <row r="956" spans="1:1" x14ac:dyDescent="0.25">
      <c r="A956" s="107" t="s">
        <v>2086</v>
      </c>
    </row>
    <row r="957" spans="1:1" x14ac:dyDescent="0.25">
      <c r="A957" s="107" t="s">
        <v>2088</v>
      </c>
    </row>
    <row r="958" spans="1:1" x14ac:dyDescent="0.25">
      <c r="A958" s="107" t="s">
        <v>2089</v>
      </c>
    </row>
    <row r="959" spans="1:1" x14ac:dyDescent="0.25">
      <c r="A959" s="107" t="s">
        <v>1786</v>
      </c>
    </row>
    <row r="960" spans="1:1" x14ac:dyDescent="0.25">
      <c r="A960" s="107" t="s">
        <v>1859</v>
      </c>
    </row>
    <row r="961" spans="1:3" x14ac:dyDescent="0.25">
      <c r="A961" s="107" t="s">
        <v>2093</v>
      </c>
      <c r="B961" s="107"/>
      <c r="C961" s="107"/>
    </row>
    <row r="962" spans="1:3" x14ac:dyDescent="0.25">
      <c r="A962" s="107" t="s">
        <v>2094</v>
      </c>
      <c r="B962" s="107"/>
      <c r="C962" s="107"/>
    </row>
    <row r="963" spans="1:3" x14ac:dyDescent="0.25">
      <c r="A963" s="107" t="s">
        <v>2095</v>
      </c>
      <c r="B963" s="107"/>
      <c r="C963" s="107"/>
    </row>
    <row r="964" spans="1:3" x14ac:dyDescent="0.25">
      <c r="A964" s="107" t="s">
        <v>2096</v>
      </c>
      <c r="B964" s="107"/>
      <c r="C964" s="107"/>
    </row>
    <row r="965" spans="1:3" x14ac:dyDescent="0.25">
      <c r="A965" s="107" t="s">
        <v>118</v>
      </c>
      <c r="B965" s="107"/>
      <c r="C965" s="107"/>
    </row>
    <row r="966" spans="1:3" x14ac:dyDescent="0.25">
      <c r="A966" s="107" t="s">
        <v>97</v>
      </c>
      <c r="B966" s="107" t="s">
        <v>3164</v>
      </c>
      <c r="C966" s="107" t="s">
        <v>3164</v>
      </c>
    </row>
    <row r="967" spans="1:3" x14ac:dyDescent="0.25">
      <c r="A967" s="107" t="s">
        <v>167</v>
      </c>
      <c r="B967" s="107"/>
      <c r="C967" s="107"/>
    </row>
    <row r="968" spans="1:3" x14ac:dyDescent="0.25">
      <c r="A968" s="107" t="s">
        <v>32</v>
      </c>
      <c r="B968" s="107" t="s">
        <v>3176</v>
      </c>
      <c r="C968" s="107" t="s">
        <v>3176</v>
      </c>
    </row>
    <row r="969" spans="1:3" x14ac:dyDescent="0.25">
      <c r="A969" s="107" t="s">
        <v>120</v>
      </c>
      <c r="B969" s="107"/>
      <c r="C969" s="107"/>
    </row>
    <row r="970" spans="1:3" x14ac:dyDescent="0.25">
      <c r="A970" s="107" t="s">
        <v>40</v>
      </c>
      <c r="B970" s="107" t="s">
        <v>3161</v>
      </c>
      <c r="C970" s="107" t="s">
        <v>3161</v>
      </c>
    </row>
    <row r="971" spans="1:3" x14ac:dyDescent="0.25">
      <c r="A971" s="107" t="s">
        <v>41</v>
      </c>
      <c r="B971" s="107"/>
      <c r="C971" s="107"/>
    </row>
    <row r="972" spans="1:3" x14ac:dyDescent="0.25">
      <c r="A972" s="107" t="s">
        <v>2097</v>
      </c>
      <c r="B972" s="107"/>
      <c r="C972" s="107"/>
    </row>
    <row r="973" spans="1:3" x14ac:dyDescent="0.25">
      <c r="A973" s="107" t="s">
        <v>1876</v>
      </c>
      <c r="B973" s="107"/>
      <c r="C973" s="107"/>
    </row>
    <row r="974" spans="1:3" x14ac:dyDescent="0.25">
      <c r="A974" s="107" t="s">
        <v>2099</v>
      </c>
      <c r="B974" s="107"/>
      <c r="C974" s="107"/>
    </row>
    <row r="975" spans="1:3" x14ac:dyDescent="0.25">
      <c r="A975" s="107" t="s">
        <v>1831</v>
      </c>
      <c r="B975" s="107"/>
      <c r="C975" s="107"/>
    </row>
    <row r="976" spans="1:3" x14ac:dyDescent="0.25">
      <c r="A976" s="107" t="s">
        <v>1792</v>
      </c>
      <c r="B976" s="107"/>
      <c r="C976" s="107"/>
    </row>
    <row r="977" spans="1:1" x14ac:dyDescent="0.25">
      <c r="A977" s="107" t="s">
        <v>1793</v>
      </c>
    </row>
    <row r="978" spans="1:1" x14ac:dyDescent="0.25">
      <c r="A978" s="107" t="s">
        <v>2100</v>
      </c>
    </row>
    <row r="979" spans="1:1" x14ac:dyDescent="0.25">
      <c r="A979" s="107" t="s">
        <v>2101</v>
      </c>
    </row>
    <row r="980" spans="1:1" x14ac:dyDescent="0.25">
      <c r="A980" s="107" t="s">
        <v>2102</v>
      </c>
    </row>
    <row r="981" spans="1:1" x14ac:dyDescent="0.25">
      <c r="A981" s="107" t="s">
        <v>2103</v>
      </c>
    </row>
    <row r="982" spans="1:1" x14ac:dyDescent="0.25">
      <c r="A982" s="107" t="s">
        <v>2104</v>
      </c>
    </row>
    <row r="983" spans="1:1" x14ac:dyDescent="0.25">
      <c r="A983" s="107" t="s">
        <v>2105</v>
      </c>
    </row>
    <row r="984" spans="1:1" x14ac:dyDescent="0.25">
      <c r="A984" s="107" t="s">
        <v>2106</v>
      </c>
    </row>
    <row r="985" spans="1:1" x14ac:dyDescent="0.25">
      <c r="A985" s="107" t="s">
        <v>2109</v>
      </c>
    </row>
    <row r="986" spans="1:1" x14ac:dyDescent="0.25">
      <c r="A986" s="107" t="s">
        <v>2110</v>
      </c>
    </row>
    <row r="987" spans="1:1" x14ac:dyDescent="0.25">
      <c r="A987" s="107" t="s">
        <v>2111</v>
      </c>
    </row>
    <row r="988" spans="1:1" x14ac:dyDescent="0.25">
      <c r="A988" s="107" t="s">
        <v>2112</v>
      </c>
    </row>
    <row r="989" spans="1:1" x14ac:dyDescent="0.25">
      <c r="A989" s="107" t="s">
        <v>2113</v>
      </c>
    </row>
    <row r="990" spans="1:1" x14ac:dyDescent="0.25">
      <c r="A990" s="107" t="s">
        <v>2114</v>
      </c>
    </row>
    <row r="991" spans="1:1" x14ac:dyDescent="0.25">
      <c r="A991" s="107" t="s">
        <v>2115</v>
      </c>
    </row>
    <row r="992" spans="1:1" x14ac:dyDescent="0.25">
      <c r="A992" s="107" t="s">
        <v>3177</v>
      </c>
    </row>
    <row r="993" spans="1:3" x14ac:dyDescent="0.25">
      <c r="A993" s="107" t="s">
        <v>2118</v>
      </c>
      <c r="B993" s="107"/>
      <c r="C993" s="107"/>
    </row>
    <row r="994" spans="1:3" x14ac:dyDescent="0.25">
      <c r="A994" s="107" t="s">
        <v>2119</v>
      </c>
      <c r="B994" s="107"/>
      <c r="C994" s="107"/>
    </row>
    <row r="995" spans="1:3" x14ac:dyDescent="0.25">
      <c r="A995" s="107" t="s">
        <v>2120</v>
      </c>
      <c r="B995" s="107"/>
      <c r="C995" s="107"/>
    </row>
    <row r="996" spans="1:3" x14ac:dyDescent="0.25">
      <c r="A996" s="107" t="s">
        <v>2121</v>
      </c>
      <c r="B996" s="107"/>
      <c r="C996" s="107"/>
    </row>
    <row r="997" spans="1:3" x14ac:dyDescent="0.25">
      <c r="A997" s="107" t="s">
        <v>3178</v>
      </c>
      <c r="B997" s="107"/>
      <c r="C997" s="107"/>
    </row>
    <row r="998" spans="1:3" x14ac:dyDescent="0.25">
      <c r="A998" s="107" t="s">
        <v>1850</v>
      </c>
      <c r="B998" s="107" t="s">
        <v>3164</v>
      </c>
      <c r="C998" s="107" t="s">
        <v>3164</v>
      </c>
    </row>
    <row r="999" spans="1:3" x14ac:dyDescent="0.25">
      <c r="A999" s="107" t="s">
        <v>2122</v>
      </c>
      <c r="B999" s="107"/>
      <c r="C999" s="107"/>
    </row>
    <row r="1000" spans="1:3" x14ac:dyDescent="0.25">
      <c r="A1000" s="107" t="s">
        <v>1839</v>
      </c>
      <c r="B1000" s="107"/>
      <c r="C1000" s="107"/>
    </row>
    <row r="1001" spans="1:3" x14ac:dyDescent="0.25">
      <c r="A1001" s="107" t="s">
        <v>2127</v>
      </c>
      <c r="B1001" s="107"/>
      <c r="C1001" s="107"/>
    </row>
    <row r="1002" spans="1:3" x14ac:dyDescent="0.25">
      <c r="A1002" s="107" t="s">
        <v>2128</v>
      </c>
      <c r="B1002" s="107"/>
      <c r="C1002" s="107"/>
    </row>
    <row r="1003" spans="1:3" x14ac:dyDescent="0.25">
      <c r="A1003" s="107" t="s">
        <v>2129</v>
      </c>
      <c r="B1003" s="107"/>
      <c r="C1003" s="107"/>
    </row>
    <row r="1004" spans="1:3" x14ac:dyDescent="0.25">
      <c r="A1004" s="107" t="s">
        <v>1827</v>
      </c>
      <c r="B1004" s="107"/>
      <c r="C1004" s="107"/>
    </row>
    <row r="1005" spans="1:3" x14ac:dyDescent="0.25">
      <c r="A1005" s="107" t="s">
        <v>2136</v>
      </c>
      <c r="B1005" s="107"/>
      <c r="C1005" s="107"/>
    </row>
    <row r="1006" spans="1:3" x14ac:dyDescent="0.25">
      <c r="A1006" s="107" t="s">
        <v>2139</v>
      </c>
      <c r="B1006" s="107"/>
      <c r="C1006" s="107"/>
    </row>
    <row r="1007" spans="1:3" x14ac:dyDescent="0.25">
      <c r="A1007" s="107" t="s">
        <v>2140</v>
      </c>
      <c r="B1007" s="107"/>
      <c r="C1007" s="107"/>
    </row>
    <row r="1008" spans="1:3" x14ac:dyDescent="0.25">
      <c r="A1008" s="107" t="s">
        <v>2141</v>
      </c>
      <c r="B1008" s="107"/>
      <c r="C1008" s="107"/>
    </row>
    <row r="1009" spans="1:3" x14ac:dyDescent="0.25">
      <c r="A1009" s="107" t="s">
        <v>2142</v>
      </c>
      <c r="B1009" s="107"/>
      <c r="C1009" s="107"/>
    </row>
    <row r="1010" spans="1:3" x14ac:dyDescent="0.25">
      <c r="A1010" s="107" t="s">
        <v>1762</v>
      </c>
      <c r="B1010" s="107"/>
      <c r="C1010" s="107"/>
    </row>
    <row r="1011" spans="1:3" x14ac:dyDescent="0.25">
      <c r="A1011" s="107" t="s">
        <v>1771</v>
      </c>
      <c r="B1011" s="107"/>
      <c r="C1011" s="107"/>
    </row>
    <row r="1012" spans="1:3" x14ac:dyDescent="0.25">
      <c r="A1012" s="107" t="s">
        <v>1763</v>
      </c>
      <c r="B1012" s="107"/>
      <c r="C1012" s="107"/>
    </row>
    <row r="1013" spans="1:3" x14ac:dyDescent="0.25">
      <c r="A1013" s="107" t="s">
        <v>2144</v>
      </c>
      <c r="B1013" s="107"/>
      <c r="C1013" s="107"/>
    </row>
    <row r="1014" spans="1:3" x14ac:dyDescent="0.25">
      <c r="A1014" s="107" t="s">
        <v>2146</v>
      </c>
      <c r="B1014" s="107"/>
      <c r="C1014" s="107"/>
    </row>
    <row r="1015" spans="1:3" x14ac:dyDescent="0.25">
      <c r="A1015" s="107" t="s">
        <v>2147</v>
      </c>
      <c r="B1015" s="107"/>
      <c r="C1015" s="107"/>
    </row>
    <row r="1016" spans="1:3" x14ac:dyDescent="0.25">
      <c r="A1016" s="107" t="s">
        <v>2148</v>
      </c>
      <c r="B1016" s="107"/>
      <c r="C1016" s="107"/>
    </row>
    <row r="1017" spans="1:3" x14ac:dyDescent="0.25">
      <c r="A1017" s="107" t="s">
        <v>3179</v>
      </c>
      <c r="B1017" s="107"/>
      <c r="C1017" s="107"/>
    </row>
    <row r="1018" spans="1:3" x14ac:dyDescent="0.25">
      <c r="A1018" s="107" t="s">
        <v>59</v>
      </c>
      <c r="B1018" s="107" t="s">
        <v>3161</v>
      </c>
      <c r="C1018" s="107" t="s">
        <v>3161</v>
      </c>
    </row>
    <row r="1019" spans="1:3" x14ac:dyDescent="0.25">
      <c r="A1019" s="107" t="s">
        <v>2150</v>
      </c>
      <c r="B1019" s="107"/>
      <c r="C1019" s="107"/>
    </row>
    <row r="1020" spans="1:3" x14ac:dyDescent="0.25">
      <c r="A1020" s="107" t="s">
        <v>2151</v>
      </c>
      <c r="B1020" s="107"/>
      <c r="C1020" s="107"/>
    </row>
    <row r="1021" spans="1:3" x14ac:dyDescent="0.25">
      <c r="A1021" s="107" t="s">
        <v>2152</v>
      </c>
      <c r="B1021" s="107"/>
      <c r="C1021" s="107"/>
    </row>
    <row r="1022" spans="1:3" x14ac:dyDescent="0.25">
      <c r="A1022" s="107" t="s">
        <v>2153</v>
      </c>
      <c r="B1022" s="107"/>
      <c r="C1022" s="107"/>
    </row>
    <row r="1023" spans="1:3" x14ac:dyDescent="0.25">
      <c r="A1023" s="107" t="s">
        <v>2154</v>
      </c>
      <c r="B1023" s="107"/>
      <c r="C1023" s="107"/>
    </row>
    <row r="1024" spans="1:3" x14ac:dyDescent="0.25">
      <c r="A1024" s="107" t="s">
        <v>2155</v>
      </c>
      <c r="B1024" s="107"/>
      <c r="C1024" s="107"/>
    </row>
    <row r="1025" spans="1:1" x14ac:dyDescent="0.25">
      <c r="A1025" s="107" t="s">
        <v>2156</v>
      </c>
    </row>
    <row r="1026" spans="1:1" x14ac:dyDescent="0.25">
      <c r="A1026" s="107" t="s">
        <v>2157</v>
      </c>
    </row>
    <row r="1027" spans="1:1" x14ac:dyDescent="0.25">
      <c r="A1027" s="107" t="s">
        <v>2158</v>
      </c>
    </row>
    <row r="1028" spans="1:1" x14ac:dyDescent="0.25">
      <c r="A1028" s="107" t="s">
        <v>2159</v>
      </c>
    </row>
    <row r="1029" spans="1:1" x14ac:dyDescent="0.25">
      <c r="A1029" s="107" t="s">
        <v>2160</v>
      </c>
    </row>
    <row r="1030" spans="1:1" x14ac:dyDescent="0.25">
      <c r="A1030" s="107" t="s">
        <v>2161</v>
      </c>
    </row>
    <row r="1031" spans="1:1" x14ac:dyDescent="0.25">
      <c r="A1031" s="107" t="s">
        <v>2162</v>
      </c>
    </row>
    <row r="1032" spans="1:1" x14ac:dyDescent="0.25">
      <c r="A1032" s="107" t="s">
        <v>2163</v>
      </c>
    </row>
    <row r="1033" spans="1:1" x14ac:dyDescent="0.25">
      <c r="A1033" s="107" t="s">
        <v>2164</v>
      </c>
    </row>
    <row r="1034" spans="1:1" x14ac:dyDescent="0.25">
      <c r="A1034" s="107" t="s">
        <v>2165</v>
      </c>
    </row>
    <row r="1035" spans="1:1" x14ac:dyDescent="0.25">
      <c r="A1035" s="107" t="s">
        <v>2166</v>
      </c>
    </row>
    <row r="1036" spans="1:1" x14ac:dyDescent="0.25">
      <c r="A1036" s="107" t="s">
        <v>2167</v>
      </c>
    </row>
    <row r="1037" spans="1:1" x14ac:dyDescent="0.25">
      <c r="A1037" s="107" t="s">
        <v>2168</v>
      </c>
    </row>
    <row r="1038" spans="1:1" x14ac:dyDescent="0.25">
      <c r="A1038" s="107" t="s">
        <v>2172</v>
      </c>
    </row>
    <row r="1039" spans="1:1" x14ac:dyDescent="0.25">
      <c r="A1039" s="107" t="s">
        <v>2173</v>
      </c>
    </row>
    <row r="1040" spans="1:1" x14ac:dyDescent="0.25">
      <c r="A1040" s="107" t="s">
        <v>2174</v>
      </c>
    </row>
    <row r="1041" spans="1:3" x14ac:dyDescent="0.25">
      <c r="A1041" s="107" t="s">
        <v>2175</v>
      </c>
      <c r="B1041" s="107"/>
      <c r="C1041" s="107"/>
    </row>
    <row r="1042" spans="1:3" x14ac:dyDescent="0.25">
      <c r="A1042" s="107" t="s">
        <v>123</v>
      </c>
      <c r="B1042" s="107"/>
      <c r="C1042" s="107"/>
    </row>
    <row r="1043" spans="1:3" x14ac:dyDescent="0.25">
      <c r="A1043" s="107" t="s">
        <v>2177</v>
      </c>
      <c r="B1043" s="107"/>
      <c r="C1043" s="107"/>
    </row>
    <row r="1044" spans="1:3" x14ac:dyDescent="0.25">
      <c r="A1044" s="107" t="s">
        <v>2179</v>
      </c>
      <c r="B1044" s="107"/>
      <c r="C1044" s="107"/>
    </row>
    <row r="1045" spans="1:3" x14ac:dyDescent="0.25">
      <c r="A1045" s="107" t="s">
        <v>129</v>
      </c>
      <c r="B1045" s="107"/>
      <c r="C1045" s="107"/>
    </row>
    <row r="1046" spans="1:3" x14ac:dyDescent="0.25">
      <c r="A1046" s="107" t="s">
        <v>37</v>
      </c>
      <c r="B1046" s="107"/>
      <c r="C1046" s="107"/>
    </row>
    <row r="1047" spans="1:3" x14ac:dyDescent="0.25">
      <c r="A1047" s="107" t="s">
        <v>2186</v>
      </c>
      <c r="B1047" s="107"/>
      <c r="C1047" s="107"/>
    </row>
    <row r="1048" spans="1:3" x14ac:dyDescent="0.25">
      <c r="A1048" s="107" t="s">
        <v>3180</v>
      </c>
      <c r="B1048" s="107"/>
      <c r="C1048" s="107"/>
    </row>
    <row r="1049" spans="1:3" x14ac:dyDescent="0.25">
      <c r="A1049" s="107" t="s">
        <v>2190</v>
      </c>
      <c r="B1049" s="107"/>
      <c r="C1049" s="107"/>
    </row>
    <row r="1050" spans="1:3" x14ac:dyDescent="0.25">
      <c r="A1050" s="107" t="s">
        <v>2193</v>
      </c>
      <c r="B1050" s="107"/>
      <c r="C1050" s="107"/>
    </row>
    <row r="1051" spans="1:3" x14ac:dyDescent="0.25">
      <c r="A1051" s="107" t="s">
        <v>1807</v>
      </c>
      <c r="B1051" s="107"/>
      <c r="C1051" s="107"/>
    </row>
    <row r="1052" spans="1:3" x14ac:dyDescent="0.25">
      <c r="A1052" s="107" t="s">
        <v>98</v>
      </c>
      <c r="B1052" s="107" t="s">
        <v>3164</v>
      </c>
      <c r="C1052" s="107" t="s">
        <v>3164</v>
      </c>
    </row>
    <row r="1053" spans="1:3" x14ac:dyDescent="0.25">
      <c r="A1053" s="107" t="s">
        <v>2194</v>
      </c>
      <c r="B1053" s="107"/>
      <c r="C1053" s="107"/>
    </row>
    <row r="1054" spans="1:3" x14ac:dyDescent="0.25">
      <c r="A1054" s="107" t="s">
        <v>2196</v>
      </c>
      <c r="B1054" s="107"/>
      <c r="C1054" s="107"/>
    </row>
    <row r="1055" spans="1:3" x14ac:dyDescent="0.25">
      <c r="A1055" s="107" t="s">
        <v>2198</v>
      </c>
      <c r="B1055" s="107"/>
      <c r="C1055" s="107"/>
    </row>
    <row r="1056" spans="1:3" x14ac:dyDescent="0.25">
      <c r="A1056" s="107" t="s">
        <v>2200</v>
      </c>
      <c r="B1056" s="107"/>
      <c r="C1056" s="107"/>
    </row>
    <row r="1057" spans="1:1" x14ac:dyDescent="0.25">
      <c r="A1057" s="107" t="s">
        <v>2201</v>
      </c>
    </row>
    <row r="1058" spans="1:1" x14ac:dyDescent="0.25">
      <c r="A1058" s="107" t="s">
        <v>2202</v>
      </c>
    </row>
    <row r="1059" spans="1:1" x14ac:dyDescent="0.25">
      <c r="A1059" s="107" t="s">
        <v>2204</v>
      </c>
    </row>
    <row r="1060" spans="1:1" x14ac:dyDescent="0.25">
      <c r="A1060" s="107" t="s">
        <v>2205</v>
      </c>
    </row>
    <row r="1061" spans="1:1" x14ac:dyDescent="0.25">
      <c r="A1061" s="107" t="s">
        <v>2206</v>
      </c>
    </row>
    <row r="1062" spans="1:1" x14ac:dyDescent="0.25">
      <c r="A1062" s="107" t="s">
        <v>2207</v>
      </c>
    </row>
    <row r="1063" spans="1:1" x14ac:dyDescent="0.25">
      <c r="A1063" s="107" t="s">
        <v>2209</v>
      </c>
    </row>
    <row r="1064" spans="1:1" x14ac:dyDescent="0.25">
      <c r="A1064" s="107" t="s">
        <v>2210</v>
      </c>
    </row>
    <row r="1065" spans="1:1" x14ac:dyDescent="0.25">
      <c r="A1065" s="107" t="s">
        <v>2229</v>
      </c>
    </row>
    <row r="1066" spans="1:1" x14ac:dyDescent="0.25">
      <c r="A1066" s="107" t="s">
        <v>2230</v>
      </c>
    </row>
    <row r="1067" spans="1:1" x14ac:dyDescent="0.25">
      <c r="A1067" s="107" t="s">
        <v>2231</v>
      </c>
    </row>
    <row r="1068" spans="1:1" x14ac:dyDescent="0.25">
      <c r="A1068" s="107" t="s">
        <v>2232</v>
      </c>
    </row>
    <row r="1069" spans="1:1" x14ac:dyDescent="0.25">
      <c r="A1069" s="107" t="s">
        <v>2237</v>
      </c>
    </row>
    <row r="1070" spans="1:1" x14ac:dyDescent="0.25">
      <c r="A1070" s="107" t="s">
        <v>2239</v>
      </c>
    </row>
    <row r="1071" spans="1:1" x14ac:dyDescent="0.25">
      <c r="A1071" s="107" t="s">
        <v>2260</v>
      </c>
    </row>
    <row r="1072" spans="1:1" x14ac:dyDescent="0.25">
      <c r="A1072" s="107" t="s">
        <v>2261</v>
      </c>
    </row>
    <row r="1073" spans="1:3" x14ac:dyDescent="0.25">
      <c r="A1073" s="107" t="s">
        <v>1889</v>
      </c>
      <c r="B1073" s="107"/>
      <c r="C1073" s="107"/>
    </row>
    <row r="1074" spans="1:3" x14ac:dyDescent="0.25">
      <c r="A1074" s="107" t="s">
        <v>2268</v>
      </c>
      <c r="B1074" s="107"/>
      <c r="C1074" s="107"/>
    </row>
    <row r="1075" spans="1:3" x14ac:dyDescent="0.25">
      <c r="A1075" s="107" t="s">
        <v>142</v>
      </c>
      <c r="B1075" s="107"/>
      <c r="C1075" s="107"/>
    </row>
    <row r="1076" spans="1:3" x14ac:dyDescent="0.25">
      <c r="A1076" s="107" t="s">
        <v>143</v>
      </c>
      <c r="B1076" s="107"/>
      <c r="C1076" s="107"/>
    </row>
    <row r="1077" spans="1:3" x14ac:dyDescent="0.25">
      <c r="A1077" s="107" t="s">
        <v>2272</v>
      </c>
      <c r="B1077" s="107"/>
      <c r="C1077" s="107"/>
    </row>
    <row r="1078" spans="1:3" x14ac:dyDescent="0.25">
      <c r="A1078" s="107" t="s">
        <v>2274</v>
      </c>
      <c r="B1078" s="107"/>
      <c r="C1078" s="107"/>
    </row>
    <row r="1079" spans="1:3" x14ac:dyDescent="0.25">
      <c r="A1079" s="107" t="s">
        <v>33</v>
      </c>
      <c r="B1079" s="107"/>
      <c r="C1079" s="107"/>
    </row>
    <row r="1080" spans="1:3" x14ac:dyDescent="0.25">
      <c r="A1080" s="107" t="s">
        <v>60</v>
      </c>
      <c r="B1080" s="107" t="s">
        <v>3161</v>
      </c>
      <c r="C1080" s="107" t="s">
        <v>3161</v>
      </c>
    </row>
    <row r="1081" spans="1:3" x14ac:dyDescent="0.25">
      <c r="A1081" s="107" t="s">
        <v>2277</v>
      </c>
      <c r="B1081" s="107"/>
      <c r="C1081" s="107"/>
    </row>
    <row r="1082" spans="1:3" x14ac:dyDescent="0.25">
      <c r="A1082" s="107" t="s">
        <v>2279</v>
      </c>
      <c r="B1082" s="107"/>
      <c r="C1082" s="107"/>
    </row>
    <row r="1083" spans="1:3" x14ac:dyDescent="0.25">
      <c r="A1083" s="107" t="s">
        <v>2280</v>
      </c>
      <c r="B1083" s="107"/>
      <c r="C1083" s="107"/>
    </row>
    <row r="1084" spans="1:3" x14ac:dyDescent="0.25">
      <c r="A1084" s="107" t="s">
        <v>2281</v>
      </c>
      <c r="B1084" s="107"/>
      <c r="C1084" s="107"/>
    </row>
    <row r="1085" spans="1:3" x14ac:dyDescent="0.25">
      <c r="A1085" s="107" t="s">
        <v>2282</v>
      </c>
      <c r="B1085" s="107"/>
      <c r="C1085" s="107"/>
    </row>
    <row r="1086" spans="1:3" x14ac:dyDescent="0.25">
      <c r="A1086" s="107" t="s">
        <v>2283</v>
      </c>
      <c r="B1086" s="107"/>
      <c r="C1086" s="107"/>
    </row>
    <row r="1087" spans="1:3" x14ac:dyDescent="0.25">
      <c r="A1087" s="107" t="s">
        <v>2284</v>
      </c>
      <c r="B1087" s="107"/>
      <c r="C1087" s="107"/>
    </row>
    <row r="1088" spans="1:3" x14ac:dyDescent="0.25">
      <c r="A1088" s="107" t="s">
        <v>2285</v>
      </c>
      <c r="B1088" s="107"/>
      <c r="C1088" s="107"/>
    </row>
    <row r="1089" spans="1:3" x14ac:dyDescent="0.25">
      <c r="A1089" s="107" t="s">
        <v>2286</v>
      </c>
      <c r="B1089" s="107"/>
      <c r="C1089" s="107"/>
    </row>
    <row r="1090" spans="1:3" x14ac:dyDescent="0.25">
      <c r="A1090" s="107" t="s">
        <v>81</v>
      </c>
      <c r="B1090" s="107" t="s">
        <v>3163</v>
      </c>
      <c r="C1090" s="107" t="s">
        <v>3163</v>
      </c>
    </row>
    <row r="1091" spans="1:3" x14ac:dyDescent="0.25">
      <c r="A1091" s="107" t="s">
        <v>80</v>
      </c>
      <c r="B1091" s="107" t="s">
        <v>3164</v>
      </c>
      <c r="C1091" s="107" t="s">
        <v>3164</v>
      </c>
    </row>
    <row r="1092" spans="1:3" x14ac:dyDescent="0.25">
      <c r="A1092" s="107" t="s">
        <v>2288</v>
      </c>
      <c r="B1092" s="107"/>
      <c r="C1092" s="107"/>
    </row>
    <row r="1093" spans="1:3" x14ac:dyDescent="0.25">
      <c r="A1093" s="107" t="s">
        <v>2290</v>
      </c>
      <c r="B1093" s="107"/>
      <c r="C1093" s="107"/>
    </row>
    <row r="1094" spans="1:3" x14ac:dyDescent="0.25">
      <c r="A1094" s="107" t="s">
        <v>2300</v>
      </c>
      <c r="B1094" s="107"/>
      <c r="C1094" s="107"/>
    </row>
    <row r="1095" spans="1:3" x14ac:dyDescent="0.25">
      <c r="A1095" s="107" t="s">
        <v>2787</v>
      </c>
      <c r="B1095" s="107"/>
      <c r="C1095" s="107"/>
    </row>
    <row r="1096" spans="1:3" x14ac:dyDescent="0.25">
      <c r="A1096" s="107" t="s">
        <v>1885</v>
      </c>
      <c r="B1096" s="107"/>
      <c r="C1096" s="107"/>
    </row>
    <row r="1097" spans="1:3" x14ac:dyDescent="0.25">
      <c r="A1097" s="107" t="s">
        <v>1892</v>
      </c>
      <c r="B1097" s="107"/>
      <c r="C1097" s="107"/>
    </row>
    <row r="1098" spans="1:3" x14ac:dyDescent="0.25">
      <c r="A1098" s="107" t="s">
        <v>2306</v>
      </c>
      <c r="B1098" s="107"/>
      <c r="C1098" s="107"/>
    </row>
    <row r="1099" spans="1:3" x14ac:dyDescent="0.25">
      <c r="A1099" s="107" t="s">
        <v>2307</v>
      </c>
      <c r="B1099" s="107"/>
      <c r="C1099" s="107"/>
    </row>
    <row r="1100" spans="1:3" x14ac:dyDescent="0.25">
      <c r="A1100" s="107" t="s">
        <v>2308</v>
      </c>
      <c r="B1100" s="107"/>
      <c r="C1100" s="107"/>
    </row>
    <row r="1101" spans="1:3" x14ac:dyDescent="0.25">
      <c r="A1101" s="107" t="s">
        <v>2309</v>
      </c>
      <c r="B1101" s="107"/>
      <c r="C1101" s="107"/>
    </row>
    <row r="1102" spans="1:3" x14ac:dyDescent="0.25">
      <c r="A1102" s="107" t="s">
        <v>2310</v>
      </c>
      <c r="B1102" s="107"/>
      <c r="C1102" s="107"/>
    </row>
    <row r="1103" spans="1:3" x14ac:dyDescent="0.25">
      <c r="A1103" s="107" t="s">
        <v>2313</v>
      </c>
      <c r="B1103" s="107"/>
      <c r="C1103" s="107"/>
    </row>
    <row r="1104" spans="1:3" x14ac:dyDescent="0.25">
      <c r="A1104" s="107" t="s">
        <v>2315</v>
      </c>
      <c r="B1104" s="107"/>
      <c r="C1104" s="107"/>
    </row>
    <row r="1105" spans="1:1" x14ac:dyDescent="0.25">
      <c r="A1105" s="107" t="s">
        <v>2317</v>
      </c>
    </row>
    <row r="1106" spans="1:1" x14ac:dyDescent="0.25">
      <c r="A1106" s="107" t="s">
        <v>2319</v>
      </c>
    </row>
    <row r="1107" spans="1:1" x14ac:dyDescent="0.25">
      <c r="A1107" s="107" t="s">
        <v>1860</v>
      </c>
    </row>
    <row r="1108" spans="1:1" x14ac:dyDescent="0.25">
      <c r="A1108" s="107" t="s">
        <v>2320</v>
      </c>
    </row>
    <row r="1109" spans="1:1" x14ac:dyDescent="0.25">
      <c r="A1109" s="107" t="s">
        <v>2321</v>
      </c>
    </row>
    <row r="1110" spans="1:1" x14ac:dyDescent="0.25">
      <c r="A1110" s="107" t="s">
        <v>2322</v>
      </c>
    </row>
    <row r="1111" spans="1:1" x14ac:dyDescent="0.25">
      <c r="A1111" s="107" t="s">
        <v>2324</v>
      </c>
    </row>
    <row r="1112" spans="1:1" x14ac:dyDescent="0.25">
      <c r="A1112" s="107" t="s">
        <v>2325</v>
      </c>
    </row>
    <row r="1113" spans="1:1" x14ac:dyDescent="0.25">
      <c r="A1113" s="107" t="s">
        <v>2326</v>
      </c>
    </row>
    <row r="1114" spans="1:1" x14ac:dyDescent="0.25">
      <c r="A1114" s="107" t="s">
        <v>2328</v>
      </c>
    </row>
    <row r="1115" spans="1:1" x14ac:dyDescent="0.25">
      <c r="A1115" s="107" t="s">
        <v>2330</v>
      </c>
    </row>
    <row r="1116" spans="1:1" x14ac:dyDescent="0.25">
      <c r="A1116" s="107" t="s">
        <v>2333</v>
      </c>
    </row>
    <row r="1117" spans="1:1" x14ac:dyDescent="0.25">
      <c r="A1117" s="107" t="s">
        <v>2334</v>
      </c>
    </row>
    <row r="1118" spans="1:1" x14ac:dyDescent="0.25">
      <c r="A1118" s="107" t="s">
        <v>2335</v>
      </c>
    </row>
    <row r="1119" spans="1:1" x14ac:dyDescent="0.25">
      <c r="A1119" s="107" t="s">
        <v>2337</v>
      </c>
    </row>
    <row r="1120" spans="1:1" x14ac:dyDescent="0.25">
      <c r="A1120" s="107" t="s">
        <v>2338</v>
      </c>
    </row>
    <row r="1121" spans="1:1" x14ac:dyDescent="0.25">
      <c r="A1121" s="107" t="s">
        <v>1768</v>
      </c>
    </row>
    <row r="1122" spans="1:1" x14ac:dyDescent="0.25">
      <c r="A1122" s="107" t="s">
        <v>2339</v>
      </c>
    </row>
    <row r="1123" spans="1:1" x14ac:dyDescent="0.25">
      <c r="A1123" s="107" t="s">
        <v>1861</v>
      </c>
    </row>
    <row r="1124" spans="1:1" x14ac:dyDescent="0.25">
      <c r="A1124" s="107" t="s">
        <v>1808</v>
      </c>
    </row>
    <row r="1125" spans="1:1" x14ac:dyDescent="0.25">
      <c r="A1125" s="107" t="s">
        <v>2346</v>
      </c>
    </row>
    <row r="1126" spans="1:1" x14ac:dyDescent="0.25">
      <c r="A1126" s="107" t="s">
        <v>2347</v>
      </c>
    </row>
    <row r="1127" spans="1:1" x14ac:dyDescent="0.25">
      <c r="A1127" s="107" t="s">
        <v>2348</v>
      </c>
    </row>
    <row r="1128" spans="1:1" x14ac:dyDescent="0.25">
      <c r="A1128" s="107" t="s">
        <v>2349</v>
      </c>
    </row>
    <row r="1129" spans="1:1" x14ac:dyDescent="0.25">
      <c r="A1129" s="107" t="s">
        <v>2350</v>
      </c>
    </row>
    <row r="1130" spans="1:1" x14ac:dyDescent="0.25">
      <c r="A1130" s="107" t="s">
        <v>2351</v>
      </c>
    </row>
    <row r="1131" spans="1:1" x14ac:dyDescent="0.25">
      <c r="A1131" s="107" t="s">
        <v>1765</v>
      </c>
    </row>
    <row r="1132" spans="1:1" x14ac:dyDescent="0.25">
      <c r="A1132" s="107" t="s">
        <v>1782</v>
      </c>
    </row>
    <row r="1133" spans="1:1" x14ac:dyDescent="0.25">
      <c r="A1133" s="107" t="s">
        <v>2352</v>
      </c>
    </row>
    <row r="1134" spans="1:1" x14ac:dyDescent="0.25">
      <c r="A1134" s="107" t="s">
        <v>1833</v>
      </c>
    </row>
    <row r="1135" spans="1:1" x14ac:dyDescent="0.25">
      <c r="A1135" s="107" t="s">
        <v>1835</v>
      </c>
    </row>
    <row r="1136" spans="1:1" x14ac:dyDescent="0.25">
      <c r="A1136" s="107" t="s">
        <v>2353</v>
      </c>
    </row>
    <row r="1137" spans="1:1" x14ac:dyDescent="0.25">
      <c r="A1137" s="107" t="s">
        <v>2354</v>
      </c>
    </row>
    <row r="1138" spans="1:1" x14ac:dyDescent="0.25">
      <c r="A1138" s="107" t="s">
        <v>1857</v>
      </c>
    </row>
    <row r="1139" spans="1:1" x14ac:dyDescent="0.25">
      <c r="A1139" s="107" t="s">
        <v>1884</v>
      </c>
    </row>
    <row r="1140" spans="1:1" x14ac:dyDescent="0.25">
      <c r="A1140" s="107" t="s">
        <v>2357</v>
      </c>
    </row>
    <row r="1141" spans="1:1" x14ac:dyDescent="0.25">
      <c r="A1141" s="107" t="s">
        <v>2359</v>
      </c>
    </row>
    <row r="1142" spans="1:1" x14ac:dyDescent="0.25">
      <c r="A1142" s="107" t="s">
        <v>2360</v>
      </c>
    </row>
    <row r="1143" spans="1:1" x14ac:dyDescent="0.25">
      <c r="A1143" s="107" t="s">
        <v>2361</v>
      </c>
    </row>
    <row r="1144" spans="1:1" x14ac:dyDescent="0.25">
      <c r="A1144" s="107" t="s">
        <v>2362</v>
      </c>
    </row>
    <row r="1145" spans="1:1" x14ac:dyDescent="0.25">
      <c r="A1145" s="107" t="s">
        <v>2363</v>
      </c>
    </row>
    <row r="1146" spans="1:1" x14ac:dyDescent="0.25">
      <c r="A1146" s="107" t="s">
        <v>2364</v>
      </c>
    </row>
    <row r="1147" spans="1:1" x14ac:dyDescent="0.25">
      <c r="A1147" s="107" t="s">
        <v>2365</v>
      </c>
    </row>
    <row r="1148" spans="1:1" x14ac:dyDescent="0.25">
      <c r="A1148" s="107" t="s">
        <v>2366</v>
      </c>
    </row>
    <row r="1149" spans="1:1" x14ac:dyDescent="0.25">
      <c r="A1149" s="107" t="s">
        <v>2367</v>
      </c>
    </row>
    <row r="1150" spans="1:1" x14ac:dyDescent="0.25">
      <c r="A1150" s="107" t="s">
        <v>2368</v>
      </c>
    </row>
    <row r="1151" spans="1:1" x14ac:dyDescent="0.25">
      <c r="A1151" s="107" t="s">
        <v>2369</v>
      </c>
    </row>
    <row r="1152" spans="1:1" x14ac:dyDescent="0.25">
      <c r="A1152" s="107" t="s">
        <v>2370</v>
      </c>
    </row>
    <row r="1153" spans="1:1" x14ac:dyDescent="0.25">
      <c r="A1153" s="107" t="s">
        <v>2372</v>
      </c>
    </row>
    <row r="1154" spans="1:1" x14ac:dyDescent="0.25">
      <c r="A1154" s="107" t="s">
        <v>2374</v>
      </c>
    </row>
    <row r="1155" spans="1:1" x14ac:dyDescent="0.25">
      <c r="A1155" s="107" t="s">
        <v>2377</v>
      </c>
    </row>
    <row r="1156" spans="1:1" x14ac:dyDescent="0.25">
      <c r="A1156" s="107" t="s">
        <v>2381</v>
      </c>
    </row>
    <row r="1157" spans="1:1" x14ac:dyDescent="0.25">
      <c r="A1157" s="107" t="s">
        <v>2384</v>
      </c>
    </row>
    <row r="1158" spans="1:1" x14ac:dyDescent="0.25">
      <c r="A1158" s="107" t="s">
        <v>2388</v>
      </c>
    </row>
    <row r="1159" spans="1:1" x14ac:dyDescent="0.25">
      <c r="A1159" s="107" t="s">
        <v>2391</v>
      </c>
    </row>
    <row r="1160" spans="1:1" x14ac:dyDescent="0.25">
      <c r="A1160" s="107" t="s">
        <v>2393</v>
      </c>
    </row>
    <row r="1161" spans="1:1" x14ac:dyDescent="0.25">
      <c r="A1161" s="107" t="s">
        <v>2394</v>
      </c>
    </row>
    <row r="1162" spans="1:1" x14ac:dyDescent="0.25">
      <c r="A1162" s="107" t="s">
        <v>2396</v>
      </c>
    </row>
    <row r="1163" spans="1:1" x14ac:dyDescent="0.25">
      <c r="A1163" s="107" t="s">
        <v>2398</v>
      </c>
    </row>
    <row r="1164" spans="1:1" x14ac:dyDescent="0.25">
      <c r="A1164" s="107" t="s">
        <v>2399</v>
      </c>
    </row>
    <row r="1165" spans="1:1" x14ac:dyDescent="0.25">
      <c r="A1165" s="107" t="s">
        <v>2402</v>
      </c>
    </row>
    <row r="1166" spans="1:1" x14ac:dyDescent="0.25">
      <c r="A1166" s="107" t="s">
        <v>1888</v>
      </c>
    </row>
    <row r="1167" spans="1:1" x14ac:dyDescent="0.25">
      <c r="A1167" s="107" t="s">
        <v>1890</v>
      </c>
    </row>
    <row r="1168" spans="1:1" x14ac:dyDescent="0.25">
      <c r="A1168" s="107" t="s">
        <v>1787</v>
      </c>
    </row>
    <row r="1169" spans="1:1" x14ac:dyDescent="0.25">
      <c r="A1169" s="107" t="s">
        <v>1789</v>
      </c>
    </row>
    <row r="1170" spans="1:1" x14ac:dyDescent="0.25">
      <c r="A1170" s="107" t="s">
        <v>2405</v>
      </c>
    </row>
    <row r="1171" spans="1:1" x14ac:dyDescent="0.25">
      <c r="A1171" s="107" t="s">
        <v>2406</v>
      </c>
    </row>
    <row r="1172" spans="1:1" x14ac:dyDescent="0.25">
      <c r="A1172" s="107" t="s">
        <v>2407</v>
      </c>
    </row>
    <row r="1173" spans="1:1" x14ac:dyDescent="0.25">
      <c r="A1173" s="107" t="s">
        <v>2408</v>
      </c>
    </row>
    <row r="1174" spans="1:1" x14ac:dyDescent="0.25">
      <c r="A1174" s="107" t="s">
        <v>2409</v>
      </c>
    </row>
    <row r="1175" spans="1:1" x14ac:dyDescent="0.25">
      <c r="A1175" s="107" t="s">
        <v>2410</v>
      </c>
    </row>
    <row r="1176" spans="1:1" x14ac:dyDescent="0.25">
      <c r="A1176" s="107" t="s">
        <v>2411</v>
      </c>
    </row>
    <row r="1177" spans="1:1" x14ac:dyDescent="0.25">
      <c r="A1177" s="107" t="s">
        <v>2412</v>
      </c>
    </row>
    <row r="1178" spans="1:1" x14ac:dyDescent="0.25">
      <c r="A1178" s="107" t="s">
        <v>2413</v>
      </c>
    </row>
    <row r="1179" spans="1:1" x14ac:dyDescent="0.25">
      <c r="A1179" s="107" t="s">
        <v>2415</v>
      </c>
    </row>
    <row r="1180" spans="1:1" x14ac:dyDescent="0.25">
      <c r="A1180" s="107" t="s">
        <v>2416</v>
      </c>
    </row>
    <row r="1181" spans="1:1" x14ac:dyDescent="0.25">
      <c r="A1181" s="107" t="s">
        <v>1790</v>
      </c>
    </row>
    <row r="1182" spans="1:1" x14ac:dyDescent="0.25">
      <c r="A1182" s="107" t="s">
        <v>2422</v>
      </c>
    </row>
    <row r="1183" spans="1:1" x14ac:dyDescent="0.25">
      <c r="A1183" s="107" t="s">
        <v>2423</v>
      </c>
    </row>
    <row r="1184" spans="1:1" x14ac:dyDescent="0.25">
      <c r="A1184" s="107" t="s">
        <v>2424</v>
      </c>
    </row>
    <row r="1185" spans="1:3" x14ac:dyDescent="0.25">
      <c r="A1185" s="107" t="s">
        <v>2427</v>
      </c>
      <c r="B1185" s="107"/>
      <c r="C1185" s="107"/>
    </row>
    <row r="1186" spans="1:3" x14ac:dyDescent="0.25">
      <c r="A1186" s="107" t="s">
        <v>2431</v>
      </c>
      <c r="B1186" s="107"/>
      <c r="C1186" s="107"/>
    </row>
    <row r="1187" spans="1:3" x14ac:dyDescent="0.25">
      <c r="A1187" s="107" t="s">
        <v>2432</v>
      </c>
      <c r="B1187" s="107"/>
      <c r="C1187" s="107"/>
    </row>
    <row r="1188" spans="1:3" x14ac:dyDescent="0.25">
      <c r="A1188" s="107" t="s">
        <v>2434</v>
      </c>
      <c r="B1188" s="107"/>
      <c r="C1188" s="107"/>
    </row>
    <row r="1189" spans="1:3" x14ac:dyDescent="0.25">
      <c r="A1189" s="107" t="s">
        <v>2435</v>
      </c>
      <c r="B1189" s="107"/>
      <c r="C1189" s="107"/>
    </row>
    <row r="1190" spans="1:3" x14ac:dyDescent="0.25">
      <c r="A1190" s="107" t="s">
        <v>2437</v>
      </c>
      <c r="B1190" s="107"/>
      <c r="C1190" s="107"/>
    </row>
    <row r="1191" spans="1:3" x14ac:dyDescent="0.25">
      <c r="A1191" s="107" t="s">
        <v>2091</v>
      </c>
      <c r="B1191" s="107"/>
      <c r="C1191" s="107"/>
    </row>
    <row r="1192" spans="1:3" x14ac:dyDescent="0.25">
      <c r="A1192" s="107" t="s">
        <v>83</v>
      </c>
      <c r="B1192" s="107" t="s">
        <v>3155</v>
      </c>
      <c r="C1192" s="107" t="s">
        <v>3155</v>
      </c>
    </row>
    <row r="1193" spans="1:3" x14ac:dyDescent="0.25">
      <c r="A1193" s="107" t="s">
        <v>2440</v>
      </c>
      <c r="B1193" s="107"/>
      <c r="C1193" s="107"/>
    </row>
    <row r="1194" spans="1:3" x14ac:dyDescent="0.25">
      <c r="A1194" s="107" t="s">
        <v>1772</v>
      </c>
      <c r="B1194" s="107"/>
      <c r="C1194" s="107"/>
    </row>
    <row r="1195" spans="1:3" x14ac:dyDescent="0.25">
      <c r="A1195" s="107" t="s">
        <v>1773</v>
      </c>
      <c r="B1195" s="107"/>
      <c r="C1195" s="107"/>
    </row>
    <row r="1196" spans="1:3" x14ac:dyDescent="0.25">
      <c r="A1196" s="107" t="s">
        <v>2441</v>
      </c>
      <c r="B1196" s="107"/>
      <c r="C1196" s="107"/>
    </row>
    <row r="1197" spans="1:3" x14ac:dyDescent="0.25">
      <c r="A1197" s="107" t="s">
        <v>1774</v>
      </c>
      <c r="B1197" s="107"/>
      <c r="C1197" s="107"/>
    </row>
    <row r="1198" spans="1:3" x14ac:dyDescent="0.25">
      <c r="A1198" s="107" t="s">
        <v>2453</v>
      </c>
      <c r="B1198" s="107"/>
      <c r="C1198" s="107"/>
    </row>
    <row r="1199" spans="1:3" x14ac:dyDescent="0.25">
      <c r="A1199" s="107" t="s">
        <v>2454</v>
      </c>
      <c r="B1199" s="107"/>
      <c r="C1199" s="107"/>
    </row>
    <row r="1200" spans="1:3" x14ac:dyDescent="0.25">
      <c r="A1200" s="107" t="s">
        <v>2456</v>
      </c>
      <c r="B1200" s="107"/>
      <c r="C1200" s="107"/>
    </row>
    <row r="1201" spans="1:3" x14ac:dyDescent="0.25">
      <c r="A1201" s="107" t="s">
        <v>90</v>
      </c>
      <c r="B1201" s="107" t="s">
        <v>3155</v>
      </c>
      <c r="C1201" s="107" t="s">
        <v>3155</v>
      </c>
    </row>
    <row r="1202" spans="1:3" x14ac:dyDescent="0.25">
      <c r="A1202" s="107" t="s">
        <v>91</v>
      </c>
      <c r="B1202" s="107" t="s">
        <v>3155</v>
      </c>
      <c r="C1202" s="107" t="s">
        <v>3155</v>
      </c>
    </row>
    <row r="1203" spans="1:3" x14ac:dyDescent="0.25">
      <c r="A1203" s="107" t="s">
        <v>2460</v>
      </c>
      <c r="B1203" s="107"/>
      <c r="C1203" s="107"/>
    </row>
    <row r="1204" spans="1:3" x14ac:dyDescent="0.25">
      <c r="A1204" s="107" t="s">
        <v>2461</v>
      </c>
      <c r="B1204" s="107"/>
      <c r="C1204" s="107"/>
    </row>
    <row r="1205" spans="1:3" x14ac:dyDescent="0.25">
      <c r="A1205" s="107" t="s">
        <v>2462</v>
      </c>
      <c r="B1205" s="107"/>
      <c r="C1205" s="107"/>
    </row>
    <row r="1206" spans="1:3" x14ac:dyDescent="0.25">
      <c r="A1206" s="107" t="s">
        <v>2463</v>
      </c>
      <c r="B1206" s="107"/>
      <c r="C1206" s="107"/>
    </row>
    <row r="1207" spans="1:3" x14ac:dyDescent="0.25">
      <c r="A1207" s="107" t="s">
        <v>2464</v>
      </c>
      <c r="B1207" s="107"/>
      <c r="C1207" s="107"/>
    </row>
    <row r="1208" spans="1:3" x14ac:dyDescent="0.25">
      <c r="A1208" s="107" t="s">
        <v>2465</v>
      </c>
      <c r="B1208" s="107"/>
      <c r="C1208" s="107"/>
    </row>
    <row r="1209" spans="1:3" x14ac:dyDescent="0.25">
      <c r="A1209" s="107" t="s">
        <v>2467</v>
      </c>
      <c r="B1209" s="107"/>
      <c r="C1209" s="107"/>
    </row>
    <row r="1210" spans="1:3" x14ac:dyDescent="0.25">
      <c r="A1210" s="107" t="s">
        <v>2468</v>
      </c>
      <c r="B1210" s="107"/>
      <c r="C1210" s="107"/>
    </row>
    <row r="1211" spans="1:3" x14ac:dyDescent="0.25">
      <c r="A1211" s="107" t="s">
        <v>2470</v>
      </c>
      <c r="B1211" s="107"/>
      <c r="C1211" s="107"/>
    </row>
    <row r="1212" spans="1:3" x14ac:dyDescent="0.25">
      <c r="A1212" s="107" t="s">
        <v>159</v>
      </c>
      <c r="B1212" s="107"/>
      <c r="C1212" s="107"/>
    </row>
    <row r="1213" spans="1:3" x14ac:dyDescent="0.25">
      <c r="A1213" s="107" t="s">
        <v>88</v>
      </c>
      <c r="B1213" s="107" t="s">
        <v>3155</v>
      </c>
      <c r="C1213" s="107" t="s">
        <v>3155</v>
      </c>
    </row>
    <row r="1214" spans="1:3" x14ac:dyDescent="0.25">
      <c r="A1214" s="107" t="s">
        <v>136</v>
      </c>
      <c r="B1214" s="107"/>
      <c r="C1214" s="107"/>
    </row>
    <row r="1215" spans="1:3" x14ac:dyDescent="0.25">
      <c r="A1215" s="107" t="s">
        <v>137</v>
      </c>
      <c r="B1215" s="107"/>
      <c r="C1215" s="107"/>
    </row>
    <row r="1216" spans="1:3" x14ac:dyDescent="0.25">
      <c r="A1216" s="107" t="s">
        <v>138</v>
      </c>
      <c r="B1216" s="107"/>
      <c r="C1216" s="107"/>
    </row>
    <row r="1217" spans="1:1" x14ac:dyDescent="0.25">
      <c r="A1217" s="107" t="s">
        <v>1810</v>
      </c>
    </row>
    <row r="1218" spans="1:1" x14ac:dyDescent="0.25">
      <c r="A1218" s="107" t="s">
        <v>139</v>
      </c>
    </row>
    <row r="1219" spans="1:1" x14ac:dyDescent="0.25">
      <c r="A1219" s="107" t="s">
        <v>140</v>
      </c>
    </row>
    <row r="1220" spans="1:1" x14ac:dyDescent="0.25">
      <c r="A1220" s="107" t="s">
        <v>2473</v>
      </c>
    </row>
    <row r="1221" spans="1:1" x14ac:dyDescent="0.25">
      <c r="A1221" s="107" t="s">
        <v>2474</v>
      </c>
    </row>
    <row r="1222" spans="1:1" x14ac:dyDescent="0.25">
      <c r="A1222" s="107" t="s">
        <v>2475</v>
      </c>
    </row>
    <row r="1223" spans="1:1" x14ac:dyDescent="0.25">
      <c r="A1223" s="107" t="s">
        <v>2477</v>
      </c>
    </row>
    <row r="1224" spans="1:1" x14ac:dyDescent="0.25">
      <c r="A1224" s="107" t="s">
        <v>2478</v>
      </c>
    </row>
    <row r="1225" spans="1:1" x14ac:dyDescent="0.25">
      <c r="A1225" s="107" t="s">
        <v>2479</v>
      </c>
    </row>
    <row r="1226" spans="1:1" x14ac:dyDescent="0.25">
      <c r="A1226" s="107" t="s">
        <v>2480</v>
      </c>
    </row>
    <row r="1227" spans="1:1" x14ac:dyDescent="0.25">
      <c r="A1227" s="107" t="s">
        <v>2481</v>
      </c>
    </row>
    <row r="1228" spans="1:1" x14ac:dyDescent="0.25">
      <c r="A1228" s="107" t="s">
        <v>2482</v>
      </c>
    </row>
    <row r="1229" spans="1:1" x14ac:dyDescent="0.25">
      <c r="A1229" s="107" t="s">
        <v>2483</v>
      </c>
    </row>
    <row r="1230" spans="1:1" x14ac:dyDescent="0.25">
      <c r="A1230" s="107" t="s">
        <v>2492</v>
      </c>
    </row>
    <row r="1231" spans="1:1" x14ac:dyDescent="0.25">
      <c r="A1231" s="107" t="s">
        <v>2493</v>
      </c>
    </row>
    <row r="1232" spans="1:1" x14ac:dyDescent="0.25">
      <c r="A1232" s="107" t="s">
        <v>2494</v>
      </c>
    </row>
    <row r="1233" spans="1:3" x14ac:dyDescent="0.25">
      <c r="A1233" s="107" t="s">
        <v>2496</v>
      </c>
      <c r="B1233" s="107"/>
      <c r="C1233" s="107"/>
    </row>
    <row r="1234" spans="1:3" x14ac:dyDescent="0.25">
      <c r="A1234" s="107" t="s">
        <v>135</v>
      </c>
      <c r="B1234" s="107"/>
      <c r="C1234" s="107"/>
    </row>
    <row r="1235" spans="1:3" x14ac:dyDescent="0.25">
      <c r="A1235" s="107" t="s">
        <v>2497</v>
      </c>
      <c r="B1235" s="107"/>
      <c r="C1235" s="107"/>
    </row>
    <row r="1236" spans="1:3" x14ac:dyDescent="0.25">
      <c r="A1236" s="107" t="s">
        <v>2499</v>
      </c>
      <c r="B1236" s="107"/>
      <c r="C1236" s="107"/>
    </row>
    <row r="1237" spans="1:3" x14ac:dyDescent="0.25">
      <c r="A1237" s="107" t="s">
        <v>2500</v>
      </c>
      <c r="B1237" s="107"/>
      <c r="C1237" s="107"/>
    </row>
    <row r="1238" spans="1:3" x14ac:dyDescent="0.25">
      <c r="A1238" s="107" t="s">
        <v>2501</v>
      </c>
      <c r="B1238" s="107"/>
      <c r="C1238" s="107"/>
    </row>
    <row r="1239" spans="1:3" x14ac:dyDescent="0.25">
      <c r="A1239" s="107" t="s">
        <v>2502</v>
      </c>
      <c r="B1239" s="107"/>
      <c r="C1239" s="107"/>
    </row>
    <row r="1240" spans="1:3" x14ac:dyDescent="0.25">
      <c r="A1240" s="107" t="s">
        <v>57</v>
      </c>
      <c r="B1240" s="107" t="s">
        <v>3161</v>
      </c>
      <c r="C1240" s="107" t="s">
        <v>3161</v>
      </c>
    </row>
    <row r="1241" spans="1:3" x14ac:dyDescent="0.25">
      <c r="A1241" s="107" t="s">
        <v>2503</v>
      </c>
      <c r="B1241" s="107"/>
      <c r="C1241" s="107"/>
    </row>
    <row r="1242" spans="1:3" x14ac:dyDescent="0.25">
      <c r="A1242" s="107" t="s">
        <v>2504</v>
      </c>
      <c r="B1242" s="107"/>
      <c r="C1242" s="107"/>
    </row>
    <row r="1243" spans="1:3" x14ac:dyDescent="0.25">
      <c r="A1243" s="107" t="s">
        <v>2506</v>
      </c>
      <c r="B1243" s="107"/>
      <c r="C1243" s="107"/>
    </row>
    <row r="1244" spans="1:3" x14ac:dyDescent="0.25">
      <c r="A1244" s="107" t="s">
        <v>1848</v>
      </c>
      <c r="B1244" s="107"/>
      <c r="C1244" s="107"/>
    </row>
    <row r="1245" spans="1:3" x14ac:dyDescent="0.25">
      <c r="A1245" s="107" t="s">
        <v>2509</v>
      </c>
      <c r="B1245" s="107"/>
      <c r="C1245" s="107"/>
    </row>
    <row r="1246" spans="1:3" x14ac:dyDescent="0.25">
      <c r="A1246" s="107" t="s">
        <v>1779</v>
      </c>
      <c r="B1246" s="107"/>
      <c r="C1246" s="107"/>
    </row>
    <row r="1247" spans="1:3" x14ac:dyDescent="0.25">
      <c r="A1247" s="107" t="s">
        <v>2511</v>
      </c>
      <c r="B1247" s="107"/>
      <c r="C1247" s="107"/>
    </row>
    <row r="1248" spans="1:3" x14ac:dyDescent="0.25">
      <c r="A1248" s="107" t="s">
        <v>2512</v>
      </c>
      <c r="B1248" s="107"/>
      <c r="C1248" s="107"/>
    </row>
    <row r="1249" spans="1:1" x14ac:dyDescent="0.25">
      <c r="A1249" s="107" t="s">
        <v>2513</v>
      </c>
    </row>
    <row r="1250" spans="1:1" x14ac:dyDescent="0.25">
      <c r="A1250" s="107" t="s">
        <v>1874</v>
      </c>
    </row>
    <row r="1251" spans="1:1" x14ac:dyDescent="0.25">
      <c r="A1251" s="107" t="s">
        <v>1872</v>
      </c>
    </row>
    <row r="1252" spans="1:1" x14ac:dyDescent="0.25">
      <c r="A1252" s="107" t="s">
        <v>2514</v>
      </c>
    </row>
    <row r="1253" spans="1:1" x14ac:dyDescent="0.25">
      <c r="A1253" s="107" t="s">
        <v>2516</v>
      </c>
    </row>
    <row r="1254" spans="1:1" x14ac:dyDescent="0.25">
      <c r="A1254" s="107" t="s">
        <v>2517</v>
      </c>
    </row>
    <row r="1255" spans="1:1" x14ac:dyDescent="0.25">
      <c r="A1255" s="107" t="s">
        <v>2518</v>
      </c>
    </row>
    <row r="1256" spans="1:1" x14ac:dyDescent="0.25">
      <c r="A1256" s="107" t="s">
        <v>2519</v>
      </c>
    </row>
    <row r="1257" spans="1:1" x14ac:dyDescent="0.25">
      <c r="A1257" s="107" t="s">
        <v>2520</v>
      </c>
    </row>
    <row r="1258" spans="1:1" x14ac:dyDescent="0.25">
      <c r="A1258" s="107" t="s">
        <v>2522</v>
      </c>
    </row>
    <row r="1259" spans="1:1" x14ac:dyDescent="0.25">
      <c r="A1259" s="107" t="s">
        <v>2523</v>
      </c>
    </row>
    <row r="1260" spans="1:1" x14ac:dyDescent="0.25">
      <c r="A1260" s="107" t="s">
        <v>2524</v>
      </c>
    </row>
    <row r="1261" spans="1:1" x14ac:dyDescent="0.25">
      <c r="A1261" s="107" t="s">
        <v>2525</v>
      </c>
    </row>
    <row r="1262" spans="1:1" x14ac:dyDescent="0.25">
      <c r="A1262" s="107" t="s">
        <v>2526</v>
      </c>
    </row>
    <row r="1263" spans="1:1" x14ac:dyDescent="0.25">
      <c r="A1263" s="107" t="s">
        <v>2527</v>
      </c>
    </row>
    <row r="1264" spans="1:1" x14ac:dyDescent="0.25">
      <c r="A1264" s="107" t="s">
        <v>2528</v>
      </c>
    </row>
    <row r="1265" spans="1:1" x14ac:dyDescent="0.25">
      <c r="A1265" s="107" t="s">
        <v>2529</v>
      </c>
    </row>
    <row r="1266" spans="1:1" x14ac:dyDescent="0.25">
      <c r="A1266" s="107" t="s">
        <v>2530</v>
      </c>
    </row>
    <row r="1267" spans="1:1" x14ac:dyDescent="0.25">
      <c r="A1267" s="107" t="s">
        <v>2531</v>
      </c>
    </row>
    <row r="1268" spans="1:1" x14ac:dyDescent="0.25">
      <c r="A1268" s="107" t="s">
        <v>2533</v>
      </c>
    </row>
    <row r="1269" spans="1:1" x14ac:dyDescent="0.25">
      <c r="A1269" s="107" t="s">
        <v>2537</v>
      </c>
    </row>
    <row r="1270" spans="1:1" x14ac:dyDescent="0.25">
      <c r="A1270" s="107" t="s">
        <v>2539</v>
      </c>
    </row>
    <row r="1271" spans="1:1" x14ac:dyDescent="0.25">
      <c r="A1271" s="107" t="s">
        <v>2542</v>
      </c>
    </row>
    <row r="1272" spans="1:1" x14ac:dyDescent="0.25">
      <c r="A1272" s="107" t="s">
        <v>2543</v>
      </c>
    </row>
    <row r="1273" spans="1:1" x14ac:dyDescent="0.25">
      <c r="A1273" s="107" t="s">
        <v>2544</v>
      </c>
    </row>
    <row r="1274" spans="1:1" x14ac:dyDescent="0.25">
      <c r="A1274" s="107" t="s">
        <v>2546</v>
      </c>
    </row>
    <row r="1275" spans="1:1" x14ac:dyDescent="0.25">
      <c r="A1275" s="107" t="s">
        <v>2547</v>
      </c>
    </row>
    <row r="1276" spans="1:1" x14ac:dyDescent="0.25">
      <c r="A1276" s="107" t="s">
        <v>2548</v>
      </c>
    </row>
    <row r="1277" spans="1:1" x14ac:dyDescent="0.25">
      <c r="A1277" s="107" t="s">
        <v>2549</v>
      </c>
    </row>
    <row r="1278" spans="1:1" x14ac:dyDescent="0.25">
      <c r="A1278" s="107" t="s">
        <v>2550</v>
      </c>
    </row>
    <row r="1279" spans="1:1" x14ac:dyDescent="0.25">
      <c r="A1279" s="107" t="s">
        <v>2551</v>
      </c>
    </row>
    <row r="1280" spans="1:1" x14ac:dyDescent="0.25">
      <c r="A1280" s="107" t="s">
        <v>2553</v>
      </c>
    </row>
    <row r="1281" spans="1:1" x14ac:dyDescent="0.25">
      <c r="A1281" s="107" t="s">
        <v>2555</v>
      </c>
    </row>
    <row r="1282" spans="1:1" x14ac:dyDescent="0.25">
      <c r="A1282" s="107" t="s">
        <v>2556</v>
      </c>
    </row>
    <row r="1283" spans="1:1" x14ac:dyDescent="0.25">
      <c r="A1283" s="107" t="s">
        <v>2557</v>
      </c>
    </row>
    <row r="1284" spans="1:1" x14ac:dyDescent="0.25">
      <c r="A1284" s="107" t="s">
        <v>2558</v>
      </c>
    </row>
    <row r="1285" spans="1:1" x14ac:dyDescent="0.25">
      <c r="A1285" s="107" t="s">
        <v>2559</v>
      </c>
    </row>
    <row r="1286" spans="1:1" x14ac:dyDescent="0.25">
      <c r="A1286" s="107" t="s">
        <v>2560</v>
      </c>
    </row>
    <row r="1287" spans="1:1" x14ac:dyDescent="0.25">
      <c r="A1287" s="107" t="s">
        <v>2561</v>
      </c>
    </row>
    <row r="1288" spans="1:1" x14ac:dyDescent="0.25">
      <c r="A1288" s="107" t="s">
        <v>2562</v>
      </c>
    </row>
    <row r="1289" spans="1:1" x14ac:dyDescent="0.25">
      <c r="A1289" s="107" t="s">
        <v>2567</v>
      </c>
    </row>
    <row r="1290" spans="1:1" x14ac:dyDescent="0.25">
      <c r="A1290" s="107" t="s">
        <v>1864</v>
      </c>
    </row>
    <row r="1291" spans="1:1" x14ac:dyDescent="0.25">
      <c r="A1291" s="107" t="s">
        <v>2572</v>
      </c>
    </row>
    <row r="1292" spans="1:1" x14ac:dyDescent="0.25">
      <c r="A1292" s="107" t="s">
        <v>2574</v>
      </c>
    </row>
    <row r="1293" spans="1:1" x14ac:dyDescent="0.25">
      <c r="A1293" s="107" t="s">
        <v>2575</v>
      </c>
    </row>
    <row r="1294" spans="1:1" x14ac:dyDescent="0.25">
      <c r="A1294" s="107" t="s">
        <v>2576</v>
      </c>
    </row>
    <row r="1295" spans="1:1" x14ac:dyDescent="0.25">
      <c r="A1295" s="107" t="s">
        <v>2580</v>
      </c>
    </row>
    <row r="1296" spans="1:1" x14ac:dyDescent="0.25">
      <c r="A1296" s="107" t="s">
        <v>1867</v>
      </c>
    </row>
    <row r="1297" spans="1:1" x14ac:dyDescent="0.25">
      <c r="A1297" s="107" t="s">
        <v>2581</v>
      </c>
    </row>
    <row r="1298" spans="1:1" x14ac:dyDescent="0.25">
      <c r="A1298" s="107" t="s">
        <v>2582</v>
      </c>
    </row>
    <row r="1299" spans="1:1" x14ac:dyDescent="0.25">
      <c r="A1299" s="107" t="s">
        <v>2584</v>
      </c>
    </row>
    <row r="1300" spans="1:1" x14ac:dyDescent="0.25">
      <c r="A1300" s="107" t="s">
        <v>2585</v>
      </c>
    </row>
    <row r="1301" spans="1:1" x14ac:dyDescent="0.25">
      <c r="A1301" s="107" t="s">
        <v>2586</v>
      </c>
    </row>
    <row r="1302" spans="1:1" x14ac:dyDescent="0.25">
      <c r="A1302" s="107" t="s">
        <v>2587</v>
      </c>
    </row>
    <row r="1303" spans="1:1" x14ac:dyDescent="0.25">
      <c r="A1303" s="107" t="s">
        <v>2588</v>
      </c>
    </row>
    <row r="1304" spans="1:1" x14ac:dyDescent="0.25">
      <c r="A1304" s="107" t="s">
        <v>2590</v>
      </c>
    </row>
    <row r="1305" spans="1:1" x14ac:dyDescent="0.25">
      <c r="A1305" s="107" t="s">
        <v>2591</v>
      </c>
    </row>
    <row r="1306" spans="1:1" x14ac:dyDescent="0.25">
      <c r="A1306" s="107" t="s">
        <v>2593</v>
      </c>
    </row>
    <row r="1307" spans="1:1" x14ac:dyDescent="0.25">
      <c r="A1307" s="107" t="s">
        <v>2594</v>
      </c>
    </row>
    <row r="1308" spans="1:1" x14ac:dyDescent="0.25">
      <c r="A1308" s="107" t="s">
        <v>2595</v>
      </c>
    </row>
    <row r="1309" spans="1:1" x14ac:dyDescent="0.25">
      <c r="A1309" s="107" t="s">
        <v>2610</v>
      </c>
    </row>
    <row r="1310" spans="1:1" x14ac:dyDescent="0.25">
      <c r="A1310" s="107" t="s">
        <v>2611</v>
      </c>
    </row>
    <row r="1311" spans="1:1" x14ac:dyDescent="0.25">
      <c r="A1311" s="107" t="s">
        <v>2613</v>
      </c>
    </row>
    <row r="1312" spans="1:1" x14ac:dyDescent="0.25">
      <c r="A1312" s="107" t="s">
        <v>2616</v>
      </c>
    </row>
    <row r="1313" spans="1:1" x14ac:dyDescent="0.25">
      <c r="A1313" s="107" t="s">
        <v>2617</v>
      </c>
    </row>
    <row r="1314" spans="1:1" x14ac:dyDescent="0.25">
      <c r="A1314" s="107" t="s">
        <v>2618</v>
      </c>
    </row>
    <row r="1315" spans="1:1" x14ac:dyDescent="0.25">
      <c r="A1315" s="107" t="s">
        <v>2619</v>
      </c>
    </row>
    <row r="1316" spans="1:1" x14ac:dyDescent="0.25">
      <c r="A1316" s="107" t="s">
        <v>2620</v>
      </c>
    </row>
    <row r="1317" spans="1:1" x14ac:dyDescent="0.25">
      <c r="A1317" s="107" t="s">
        <v>1822</v>
      </c>
    </row>
    <row r="1318" spans="1:1" x14ac:dyDescent="0.25">
      <c r="A1318" s="107" t="s">
        <v>1823</v>
      </c>
    </row>
    <row r="1319" spans="1:1" x14ac:dyDescent="0.25">
      <c r="A1319" s="107" t="s">
        <v>1794</v>
      </c>
    </row>
    <row r="1320" spans="1:1" x14ac:dyDescent="0.25">
      <c r="A1320" s="107" t="s">
        <v>1795</v>
      </c>
    </row>
    <row r="1321" spans="1:1" x14ac:dyDescent="0.25">
      <c r="A1321" s="107" t="s">
        <v>1796</v>
      </c>
    </row>
    <row r="1322" spans="1:1" x14ac:dyDescent="0.25">
      <c r="A1322" s="107" t="s">
        <v>1797</v>
      </c>
    </row>
    <row r="1323" spans="1:1" x14ac:dyDescent="0.25">
      <c r="A1323" s="107" t="s">
        <v>1798</v>
      </c>
    </row>
    <row r="1324" spans="1:1" x14ac:dyDescent="0.25">
      <c r="A1324" s="107" t="s">
        <v>1799</v>
      </c>
    </row>
    <row r="1325" spans="1:1" x14ac:dyDescent="0.25">
      <c r="A1325" s="107" t="s">
        <v>2625</v>
      </c>
    </row>
    <row r="1326" spans="1:1" x14ac:dyDescent="0.25">
      <c r="A1326" s="107" t="s">
        <v>2626</v>
      </c>
    </row>
    <row r="1327" spans="1:1" x14ac:dyDescent="0.25">
      <c r="A1327" s="107" t="s">
        <v>2627</v>
      </c>
    </row>
    <row r="1328" spans="1:1" x14ac:dyDescent="0.25">
      <c r="A1328" s="107" t="s">
        <v>2628</v>
      </c>
    </row>
    <row r="1329" spans="1:3" x14ac:dyDescent="0.25">
      <c r="A1329" s="107" t="s">
        <v>2630</v>
      </c>
      <c r="B1329" s="107"/>
      <c r="C1329" s="107"/>
    </row>
    <row r="1330" spans="1:3" x14ac:dyDescent="0.25">
      <c r="A1330" s="107" t="s">
        <v>2632</v>
      </c>
      <c r="B1330" s="107"/>
      <c r="C1330" s="107"/>
    </row>
    <row r="1331" spans="1:3" x14ac:dyDescent="0.25">
      <c r="A1331" s="107" t="s">
        <v>2634</v>
      </c>
      <c r="B1331" s="107"/>
      <c r="C1331" s="107"/>
    </row>
    <row r="1332" spans="1:3" x14ac:dyDescent="0.25">
      <c r="A1332" s="107" t="s">
        <v>2635</v>
      </c>
      <c r="B1332" s="107"/>
      <c r="C1332" s="107"/>
    </row>
    <row r="1333" spans="1:3" x14ac:dyDescent="0.25">
      <c r="A1333" s="107" t="s">
        <v>2636</v>
      </c>
      <c r="B1333" s="107"/>
      <c r="C1333" s="107"/>
    </row>
    <row r="1334" spans="1:3" x14ac:dyDescent="0.25">
      <c r="A1334" s="107" t="s">
        <v>1887</v>
      </c>
      <c r="B1334" s="107"/>
      <c r="C1334" s="107"/>
    </row>
    <row r="1335" spans="1:3" x14ac:dyDescent="0.25">
      <c r="A1335" s="107" t="s">
        <v>2637</v>
      </c>
      <c r="B1335" s="107"/>
      <c r="C1335" s="107"/>
    </row>
    <row r="1336" spans="1:3" x14ac:dyDescent="0.25">
      <c r="A1336" s="107" t="s">
        <v>2638</v>
      </c>
      <c r="B1336" s="107"/>
      <c r="C1336" s="107"/>
    </row>
    <row r="1337" spans="1:3" x14ac:dyDescent="0.25">
      <c r="A1337" s="107" t="s">
        <v>2639</v>
      </c>
      <c r="B1337" s="107"/>
      <c r="C1337" s="107"/>
    </row>
    <row r="1338" spans="1:3" x14ac:dyDescent="0.25">
      <c r="A1338" s="107" t="s">
        <v>82</v>
      </c>
      <c r="B1338" s="107" t="s">
        <v>3155</v>
      </c>
      <c r="C1338" s="107" t="s">
        <v>3155</v>
      </c>
    </row>
    <row r="1339" spans="1:3" x14ac:dyDescent="0.25">
      <c r="A1339" s="107" t="s">
        <v>2646</v>
      </c>
      <c r="B1339" s="107"/>
      <c r="C1339" s="107"/>
    </row>
    <row r="1340" spans="1:3" x14ac:dyDescent="0.25">
      <c r="A1340" s="107" t="s">
        <v>2648</v>
      </c>
      <c r="B1340" s="107"/>
      <c r="C1340" s="107"/>
    </row>
    <row r="1341" spans="1:3" x14ac:dyDescent="0.25">
      <c r="A1341" s="107" t="s">
        <v>1812</v>
      </c>
      <c r="B1341" s="107"/>
      <c r="C1341" s="107"/>
    </row>
    <row r="1342" spans="1:3" x14ac:dyDescent="0.25">
      <c r="A1342" s="107" t="s">
        <v>2649</v>
      </c>
      <c r="B1342" s="107"/>
      <c r="C1342" s="107"/>
    </row>
    <row r="1343" spans="1:3" x14ac:dyDescent="0.25">
      <c r="A1343" s="107" t="s">
        <v>2650</v>
      </c>
      <c r="B1343" s="107"/>
      <c r="C1343" s="107"/>
    </row>
    <row r="1344" spans="1:3" x14ac:dyDescent="0.25">
      <c r="A1344" s="107" t="s">
        <v>2651</v>
      </c>
      <c r="B1344" s="107"/>
      <c r="C1344" s="107"/>
    </row>
    <row r="1345" spans="1:2" x14ac:dyDescent="0.25">
      <c r="A1345" s="107" t="s">
        <v>2653</v>
      </c>
      <c r="B1345" s="107"/>
    </row>
    <row r="1346" spans="1:2" x14ac:dyDescent="0.25">
      <c r="A1346" s="107" t="s">
        <v>2655</v>
      </c>
      <c r="B1346" s="107"/>
    </row>
    <row r="1347" spans="1:2" x14ac:dyDescent="0.25">
      <c r="A1347" s="107" t="s">
        <v>2656</v>
      </c>
      <c r="B1347" s="107"/>
    </row>
    <row r="1348" spans="1:2" x14ac:dyDescent="0.25">
      <c r="A1348" s="107" t="s">
        <v>2658</v>
      </c>
      <c r="B1348" s="107"/>
    </row>
    <row r="1349" spans="1:2" x14ac:dyDescent="0.25">
      <c r="A1349" s="107" t="s">
        <v>2661</v>
      </c>
      <c r="B1349" s="107"/>
    </row>
    <row r="1350" spans="1:2" x14ac:dyDescent="0.25">
      <c r="A1350" s="107" t="s">
        <v>2663</v>
      </c>
      <c r="B1350" s="107"/>
    </row>
    <row r="1351" spans="1:2" x14ac:dyDescent="0.25">
      <c r="A1351" s="107" t="s">
        <v>2665</v>
      </c>
      <c r="B1351" s="107"/>
    </row>
    <row r="1352" spans="1:2" x14ac:dyDescent="0.25">
      <c r="A1352" s="107" t="s">
        <v>1837</v>
      </c>
      <c r="B1352" s="107"/>
    </row>
    <row r="1353" spans="1:2" x14ac:dyDescent="0.25">
      <c r="A1353" s="107" t="s">
        <v>2667</v>
      </c>
      <c r="B1353" s="107"/>
    </row>
    <row r="1354" spans="1:2" x14ac:dyDescent="0.25">
      <c r="A1354" s="107" t="s">
        <v>2668</v>
      </c>
      <c r="B1354" s="107"/>
    </row>
    <row r="1355" spans="1:2" x14ac:dyDescent="0.25">
      <c r="A1355" s="107" t="s">
        <v>2673</v>
      </c>
      <c r="B1355" s="107"/>
    </row>
    <row r="1356" spans="1:2" x14ac:dyDescent="0.25">
      <c r="A1356" s="107" t="s">
        <v>169</v>
      </c>
      <c r="B1356" s="107" t="s">
        <v>3159</v>
      </c>
    </row>
    <row r="1357" spans="1:2" x14ac:dyDescent="0.25">
      <c r="A1357" s="107" t="s">
        <v>115</v>
      </c>
      <c r="B1357" s="107"/>
    </row>
    <row r="1358" spans="1:2" x14ac:dyDescent="0.25">
      <c r="A1358" s="107" t="s">
        <v>2674</v>
      </c>
      <c r="B1358" s="107"/>
    </row>
    <row r="1359" spans="1:2" x14ac:dyDescent="0.25">
      <c r="A1359" s="107" t="s">
        <v>2675</v>
      </c>
      <c r="B1359" s="107"/>
    </row>
    <row r="1360" spans="1:2" x14ac:dyDescent="0.25">
      <c r="A1360" s="107" t="s">
        <v>2676</v>
      </c>
      <c r="B1360" s="107"/>
    </row>
    <row r="1361" spans="1:3" x14ac:dyDescent="0.25">
      <c r="A1361" s="107" t="s">
        <v>2677</v>
      </c>
      <c r="B1361" s="107"/>
      <c r="C1361" s="107"/>
    </row>
    <row r="1362" spans="1:3" x14ac:dyDescent="0.25">
      <c r="A1362" s="107" t="s">
        <v>2678</v>
      </c>
      <c r="B1362" s="107"/>
      <c r="C1362" s="107"/>
    </row>
    <row r="1363" spans="1:3" x14ac:dyDescent="0.25">
      <c r="A1363" s="107" t="s">
        <v>2679</v>
      </c>
      <c r="B1363" s="107"/>
      <c r="C1363" s="107"/>
    </row>
    <row r="1364" spans="1:3" x14ac:dyDescent="0.25">
      <c r="A1364" s="107" t="s">
        <v>2680</v>
      </c>
      <c r="B1364" s="107"/>
      <c r="C1364" s="107"/>
    </row>
    <row r="1365" spans="1:3" x14ac:dyDescent="0.25">
      <c r="A1365" s="107" t="s">
        <v>2681</v>
      </c>
      <c r="B1365" s="107"/>
      <c r="C1365" s="107"/>
    </row>
    <row r="1366" spans="1:3" x14ac:dyDescent="0.25">
      <c r="A1366" s="107" t="s">
        <v>1863</v>
      </c>
      <c r="B1366" s="107"/>
      <c r="C1366" s="107"/>
    </row>
    <row r="1367" spans="1:3" x14ac:dyDescent="0.25">
      <c r="A1367" s="107" t="s">
        <v>1869</v>
      </c>
      <c r="B1367" s="107"/>
      <c r="C1367" s="107"/>
    </row>
    <row r="1368" spans="1:3" x14ac:dyDescent="0.25">
      <c r="A1368" s="107" t="s">
        <v>55</v>
      </c>
      <c r="B1368" s="107" t="s">
        <v>3161</v>
      </c>
      <c r="C1368" s="107" t="s">
        <v>3161</v>
      </c>
    </row>
    <row r="1369" spans="1:3" x14ac:dyDescent="0.25">
      <c r="A1369" s="107" t="s">
        <v>2687</v>
      </c>
      <c r="B1369" s="107"/>
      <c r="C1369" s="107"/>
    </row>
    <row r="1370" spans="1:3" x14ac:dyDescent="0.25">
      <c r="A1370" s="107" t="s">
        <v>2688</v>
      </c>
      <c r="B1370" s="107"/>
      <c r="C1370" s="107"/>
    </row>
    <row r="1371" spans="1:3" x14ac:dyDescent="0.25">
      <c r="A1371" s="107" t="s">
        <v>2689</v>
      </c>
      <c r="B1371" s="107"/>
      <c r="C1371" s="107"/>
    </row>
    <row r="1372" spans="1:3" x14ac:dyDescent="0.25">
      <c r="A1372" s="107" t="s">
        <v>2690</v>
      </c>
      <c r="B1372" s="107"/>
      <c r="C1372" s="107"/>
    </row>
    <row r="1373" spans="1:3" x14ac:dyDescent="0.25">
      <c r="A1373" s="107" t="s">
        <v>2691</v>
      </c>
      <c r="B1373" s="107"/>
      <c r="C1373" s="107"/>
    </row>
    <row r="1374" spans="1:3" x14ac:dyDescent="0.25">
      <c r="A1374" s="107" t="s">
        <v>2693</v>
      </c>
      <c r="B1374" s="107"/>
      <c r="C1374" s="107"/>
    </row>
    <row r="1375" spans="1:3" x14ac:dyDescent="0.25">
      <c r="A1375" s="107" t="s">
        <v>1854</v>
      </c>
      <c r="B1375" s="107"/>
      <c r="C1375" s="107"/>
    </row>
    <row r="1376" spans="1:3" x14ac:dyDescent="0.25">
      <c r="A1376" s="107" t="s">
        <v>2694</v>
      </c>
      <c r="B1376" s="107"/>
      <c r="C1376" s="107"/>
    </row>
    <row r="1377" spans="1:1" x14ac:dyDescent="0.25">
      <c r="A1377" s="107" t="s">
        <v>2695</v>
      </c>
    </row>
    <row r="1378" spans="1:1" x14ac:dyDescent="0.25">
      <c r="A1378" s="107" t="s">
        <v>2697</v>
      </c>
    </row>
    <row r="1379" spans="1:1" x14ac:dyDescent="0.25">
      <c r="A1379" s="107" t="s">
        <v>2699</v>
      </c>
    </row>
    <row r="1380" spans="1:1" x14ac:dyDescent="0.25">
      <c r="A1380" s="107" t="s">
        <v>2701</v>
      </c>
    </row>
    <row r="1381" spans="1:1" x14ac:dyDescent="0.25">
      <c r="A1381" s="107" t="s">
        <v>2705</v>
      </c>
    </row>
    <row r="1382" spans="1:1" x14ac:dyDescent="0.25">
      <c r="A1382" s="107" t="s">
        <v>2707</v>
      </c>
    </row>
    <row r="1383" spans="1:1" x14ac:dyDescent="0.25">
      <c r="A1383" s="107" t="s">
        <v>39</v>
      </c>
    </row>
    <row r="1384" spans="1:1" x14ac:dyDescent="0.25">
      <c r="A1384" s="107" t="s">
        <v>2708</v>
      </c>
    </row>
    <row r="1385" spans="1:1" x14ac:dyDescent="0.25">
      <c r="A1385" s="107" t="s">
        <v>2709</v>
      </c>
    </row>
    <row r="1386" spans="1:1" x14ac:dyDescent="0.25">
      <c r="A1386" s="107" t="s">
        <v>2710</v>
      </c>
    </row>
    <row r="1387" spans="1:1" x14ac:dyDescent="0.25">
      <c r="A1387" s="107" t="s">
        <v>164</v>
      </c>
    </row>
    <row r="1388" spans="1:1" x14ac:dyDescent="0.25">
      <c r="A1388" s="107" t="s">
        <v>2714</v>
      </c>
    </row>
    <row r="1389" spans="1:1" x14ac:dyDescent="0.25">
      <c r="A1389" s="107" t="s">
        <v>1846</v>
      </c>
    </row>
    <row r="1390" spans="1:1" x14ac:dyDescent="0.25">
      <c r="A1390" s="107" t="s">
        <v>2742</v>
      </c>
    </row>
    <row r="1391" spans="1:1" x14ac:dyDescent="0.25">
      <c r="A1391" s="107" t="s">
        <v>2743</v>
      </c>
    </row>
    <row r="1392" spans="1:1" x14ac:dyDescent="0.25">
      <c r="A1392" s="107" t="s">
        <v>2749</v>
      </c>
    </row>
    <row r="1393" spans="1:3" x14ac:dyDescent="0.25">
      <c r="A1393" s="107" t="s">
        <v>2751</v>
      </c>
      <c r="B1393" s="107"/>
      <c r="C1393" s="107"/>
    </row>
    <row r="1394" spans="1:3" x14ac:dyDescent="0.25">
      <c r="A1394" s="107" t="s">
        <v>65</v>
      </c>
      <c r="B1394" s="107" t="s">
        <v>3160</v>
      </c>
      <c r="C1394" s="107" t="s">
        <v>3160</v>
      </c>
    </row>
    <row r="1395" spans="1:3" x14ac:dyDescent="0.25">
      <c r="A1395" s="107" t="s">
        <v>2778</v>
      </c>
      <c r="B1395" s="107"/>
      <c r="C1395" s="107"/>
    </row>
    <row r="1396" spans="1:3" x14ac:dyDescent="0.25">
      <c r="A1396" s="107" t="s">
        <v>2779</v>
      </c>
      <c r="B1396" s="107"/>
      <c r="C1396" s="107"/>
    </row>
    <row r="1397" spans="1:3" x14ac:dyDescent="0.25">
      <c r="A1397" s="107" t="s">
        <v>1879</v>
      </c>
      <c r="B1397" s="107"/>
      <c r="C1397" s="107"/>
    </row>
    <row r="1398" spans="1:3" x14ac:dyDescent="0.25">
      <c r="A1398" s="107" t="s">
        <v>2780</v>
      </c>
      <c r="B1398" s="107"/>
      <c r="C1398" s="107"/>
    </row>
    <row r="1399" spans="1:3" x14ac:dyDescent="0.25">
      <c r="A1399" s="107" t="s">
        <v>2781</v>
      </c>
      <c r="B1399" s="107"/>
      <c r="C1399" s="107"/>
    </row>
    <row r="1400" spans="1:3" x14ac:dyDescent="0.25">
      <c r="A1400" s="107" t="s">
        <v>2783</v>
      </c>
      <c r="B1400" s="107"/>
      <c r="C1400" s="107"/>
    </row>
    <row r="1401" spans="1:3" x14ac:dyDescent="0.25">
      <c r="A1401" s="107" t="s">
        <v>2820</v>
      </c>
      <c r="B1401" s="107"/>
      <c r="C1401" s="107"/>
    </row>
    <row r="1402" spans="1:3" x14ac:dyDescent="0.25">
      <c r="A1402" s="107" t="s">
        <v>2784</v>
      </c>
      <c r="B1402" s="107"/>
      <c r="C1402" s="107"/>
    </row>
    <row r="1403" spans="1:3" x14ac:dyDescent="0.25">
      <c r="A1403" s="107" t="s">
        <v>2785</v>
      </c>
      <c r="B1403" s="107"/>
      <c r="C1403" s="107"/>
    </row>
    <row r="1404" spans="1:3" x14ac:dyDescent="0.25">
      <c r="A1404" s="107" t="s">
        <v>2047</v>
      </c>
      <c r="B1404" s="107"/>
      <c r="C1404" s="107"/>
    </row>
    <row r="1405" spans="1:3" x14ac:dyDescent="0.25">
      <c r="A1405" s="107" t="s">
        <v>2790</v>
      </c>
      <c r="B1405" s="107"/>
      <c r="C1405" s="107"/>
    </row>
    <row r="1406" spans="1:3" x14ac:dyDescent="0.25">
      <c r="A1406" s="107" t="s">
        <v>2792</v>
      </c>
      <c r="B1406" s="107"/>
      <c r="C1406" s="107"/>
    </row>
    <row r="1407" spans="1:3" x14ac:dyDescent="0.25">
      <c r="A1407" s="107" t="s">
        <v>2793</v>
      </c>
      <c r="B1407" s="107"/>
      <c r="C1407" s="107"/>
    </row>
    <row r="1408" spans="1:3" x14ac:dyDescent="0.25">
      <c r="A1408" s="107" t="s">
        <v>2794</v>
      </c>
      <c r="B1408" s="107"/>
      <c r="C1408" s="107"/>
    </row>
    <row r="1409" spans="1:1" x14ac:dyDescent="0.25">
      <c r="A1409" s="107" t="s">
        <v>2795</v>
      </c>
    </row>
    <row r="1410" spans="1:1" x14ac:dyDescent="0.25">
      <c r="A1410" s="107" t="s">
        <v>2796</v>
      </c>
    </row>
    <row r="1411" spans="1:1" x14ac:dyDescent="0.25">
      <c r="A1411" s="107" t="s">
        <v>2797</v>
      </c>
    </row>
    <row r="1412" spans="1:1" x14ac:dyDescent="0.25">
      <c r="A1412" s="107" t="s">
        <v>2798</v>
      </c>
    </row>
    <row r="1413" spans="1:1" x14ac:dyDescent="0.25">
      <c r="A1413" s="107" t="s">
        <v>2800</v>
      </c>
    </row>
    <row r="1414" spans="1:1" x14ac:dyDescent="0.25">
      <c r="A1414" s="107" t="s">
        <v>2805</v>
      </c>
    </row>
    <row r="1415" spans="1:1" x14ac:dyDescent="0.25">
      <c r="A1415" s="107" t="s">
        <v>2807</v>
      </c>
    </row>
    <row r="1416" spans="1:1" x14ac:dyDescent="0.25">
      <c r="A1416" s="107" t="s">
        <v>2809</v>
      </c>
    </row>
    <row r="1417" spans="1:1" x14ac:dyDescent="0.25">
      <c r="A1417" s="107" t="s">
        <v>2811</v>
      </c>
    </row>
    <row r="1418" spans="1:1" x14ac:dyDescent="0.25">
      <c r="A1418" s="107" t="s">
        <v>2812</v>
      </c>
    </row>
    <row r="1419" spans="1:1" x14ac:dyDescent="0.25">
      <c r="A1419" s="107" t="s">
        <v>2821</v>
      </c>
    </row>
    <row r="1420" spans="1:1" x14ac:dyDescent="0.25">
      <c r="A1420" s="107" t="s">
        <v>2814</v>
      </c>
    </row>
    <row r="1421" spans="1:1" x14ac:dyDescent="0.25">
      <c r="A1421" s="107" t="s">
        <v>2816</v>
      </c>
    </row>
    <row r="1422" spans="1:1" x14ac:dyDescent="0.25">
      <c r="A1422" s="107" t="s">
        <v>2818</v>
      </c>
    </row>
    <row r="1423" spans="1:1" x14ac:dyDescent="0.25">
      <c r="A1423" s="107" t="s">
        <v>1883</v>
      </c>
    </row>
    <row r="1424" spans="1:1" x14ac:dyDescent="0.25">
      <c r="A1424" s="107" t="s">
        <v>3181</v>
      </c>
    </row>
    <row r="1425" spans="1:1" x14ac:dyDescent="0.25">
      <c r="A1425" s="107" t="s">
        <v>1877</v>
      </c>
    </row>
    <row r="1426" spans="1:1" x14ac:dyDescent="0.25">
      <c r="A1426" s="107" t="s">
        <v>2824</v>
      </c>
    </row>
    <row r="1427" spans="1:1" x14ac:dyDescent="0.25">
      <c r="A1427" s="107" t="s">
        <v>2825</v>
      </c>
    </row>
    <row r="1428" spans="1:1" x14ac:dyDescent="0.25">
      <c r="A1428" s="107" t="s">
        <v>2826</v>
      </c>
    </row>
    <row r="1429" spans="1:1" x14ac:dyDescent="0.25">
      <c r="A1429" s="107" t="s">
        <v>2828</v>
      </c>
    </row>
    <row r="1430" spans="1:1" x14ac:dyDescent="0.25">
      <c r="A1430" s="107" t="s">
        <v>2829</v>
      </c>
    </row>
    <row r="1431" spans="1:1" x14ac:dyDescent="0.25">
      <c r="A1431" s="107" t="s">
        <v>1881</v>
      </c>
    </row>
    <row r="1432" spans="1:1" x14ac:dyDescent="0.25">
      <c r="A1432" s="107" t="s">
        <v>2832</v>
      </c>
    </row>
    <row r="1433" spans="1:1" x14ac:dyDescent="0.25">
      <c r="A1433" s="107" t="s">
        <v>2833</v>
      </c>
    </row>
    <row r="1434" spans="1:1" x14ac:dyDescent="0.25">
      <c r="A1434" s="107" t="s">
        <v>2837</v>
      </c>
    </row>
    <row r="1435" spans="1:1" x14ac:dyDescent="0.25">
      <c r="A1435" s="107" t="s">
        <v>2838</v>
      </c>
    </row>
    <row r="1436" spans="1:1" x14ac:dyDescent="0.25">
      <c r="A1436" s="107" t="s">
        <v>2843</v>
      </c>
    </row>
    <row r="1437" spans="1:1" x14ac:dyDescent="0.25">
      <c r="A1437" s="107" t="s">
        <v>2845</v>
      </c>
    </row>
    <row r="1438" spans="1:1" x14ac:dyDescent="0.25">
      <c r="A1438" s="107" t="s">
        <v>2847</v>
      </c>
    </row>
    <row r="1439" spans="1:1" x14ac:dyDescent="0.25">
      <c r="A1439" s="107" t="s">
        <v>2848</v>
      </c>
    </row>
    <row r="1440" spans="1:1" x14ac:dyDescent="0.25">
      <c r="A1440" s="107" t="s">
        <v>2830</v>
      </c>
    </row>
    <row r="1441" spans="1:1" x14ac:dyDescent="0.25">
      <c r="A1441" s="107" t="s">
        <v>2851</v>
      </c>
    </row>
    <row r="1442" spans="1:1" x14ac:dyDescent="0.25">
      <c r="A1442" s="107" t="s">
        <v>2855</v>
      </c>
    </row>
    <row r="1443" spans="1:1" x14ac:dyDescent="0.25">
      <c r="A1443" s="107" t="s">
        <v>2859</v>
      </c>
    </row>
    <row r="1444" spans="1:1" x14ac:dyDescent="0.25">
      <c r="A1444" s="107" t="s">
        <v>2861</v>
      </c>
    </row>
    <row r="1445" spans="1:1" x14ac:dyDescent="0.25">
      <c r="A1445" s="107" t="s">
        <v>2862</v>
      </c>
    </row>
    <row r="1446" spans="1:1" x14ac:dyDescent="0.25">
      <c r="A1446" s="107" t="s">
        <v>2864</v>
      </c>
    </row>
    <row r="1447" spans="1:1" x14ac:dyDescent="0.25">
      <c r="A1447" s="107" t="s">
        <v>2865</v>
      </c>
    </row>
    <row r="1448" spans="1:1" x14ac:dyDescent="0.25">
      <c r="A1448" s="107" t="s">
        <v>2866</v>
      </c>
    </row>
    <row r="1449" spans="1:1" x14ac:dyDescent="0.25">
      <c r="A1449" s="107" t="s">
        <v>2867</v>
      </c>
    </row>
    <row r="1450" spans="1:1" x14ac:dyDescent="0.25">
      <c r="A1450" s="107" t="s">
        <v>2869</v>
      </c>
    </row>
    <row r="1451" spans="1:1" x14ac:dyDescent="0.25">
      <c r="A1451" s="107" t="s">
        <v>2876</v>
      </c>
    </row>
    <row r="1452" spans="1:1" x14ac:dyDescent="0.25">
      <c r="A1452" s="107" t="s">
        <v>2878</v>
      </c>
    </row>
    <row r="1453" spans="1:1" x14ac:dyDescent="0.25">
      <c r="A1453" s="107" t="s">
        <v>1825</v>
      </c>
    </row>
    <row r="1454" spans="1:1" x14ac:dyDescent="0.25">
      <c r="A1454" s="107" t="s">
        <v>2890</v>
      </c>
    </row>
    <row r="1455" spans="1:1" x14ac:dyDescent="0.25">
      <c r="A1455" s="107" t="s">
        <v>2895</v>
      </c>
    </row>
    <row r="1456" spans="1:1" x14ac:dyDescent="0.25">
      <c r="A1456" s="107" t="s">
        <v>2899</v>
      </c>
    </row>
    <row r="1457" spans="1:1" x14ac:dyDescent="0.25">
      <c r="A1457" s="107" t="s">
        <v>2900</v>
      </c>
    </row>
    <row r="1458" spans="1:1" x14ac:dyDescent="0.25">
      <c r="A1458" s="107" t="s">
        <v>2901</v>
      </c>
    </row>
    <row r="1459" spans="1:1" x14ac:dyDescent="0.25">
      <c r="A1459" s="107" t="s">
        <v>2850</v>
      </c>
    </row>
    <row r="1460" spans="1:1" x14ac:dyDescent="0.25">
      <c r="A1460" s="107" t="s">
        <v>2904</v>
      </c>
    </row>
    <row r="1461" spans="1:1" x14ac:dyDescent="0.25">
      <c r="A1461" s="107" t="s">
        <v>2906</v>
      </c>
    </row>
    <row r="1462" spans="1:1" x14ac:dyDescent="0.25">
      <c r="A1462" s="107" t="s">
        <v>2908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E5854-4808-4B98-8076-CC45F7C29098}">
  <dimension ref="A1:O24"/>
  <sheetViews>
    <sheetView workbookViewId="0">
      <selection activeCell="A25" sqref="A25"/>
    </sheetView>
  </sheetViews>
  <sheetFormatPr defaultRowHeight="15" x14ac:dyDescent="0.25"/>
  <cols>
    <col min="1" max="1" width="9.42578125" bestFit="1" customWidth="1"/>
    <col min="2" max="2" width="10" bestFit="1" customWidth="1"/>
    <col min="3" max="3" width="18.28515625" bestFit="1" customWidth="1"/>
    <col min="4" max="4" width="6" bestFit="1" customWidth="1"/>
    <col min="5" max="5" width="7.140625" bestFit="1" customWidth="1"/>
    <col min="6" max="6" width="8.42578125" bestFit="1" customWidth="1"/>
    <col min="7" max="7" width="8.42578125" style="84" bestFit="1" customWidth="1"/>
    <col min="8" max="9" width="16" bestFit="1" customWidth="1"/>
    <col min="10" max="10" width="15.85546875" bestFit="1" customWidth="1"/>
    <col min="11" max="11" width="15.5703125" style="84" bestFit="1" customWidth="1"/>
    <col min="12" max="13" width="20.85546875" bestFit="1" customWidth="1"/>
    <col min="14" max="14" width="20.7109375" bestFit="1" customWidth="1"/>
    <col min="15" max="15" width="20.42578125" style="84" bestFit="1" customWidth="1"/>
    <col min="16" max="16" width="10" bestFit="1" customWidth="1"/>
    <col min="17" max="17" width="6.5703125" bestFit="1" customWidth="1"/>
    <col min="18" max="18" width="8.140625" bestFit="1" customWidth="1"/>
    <col min="19" max="19" width="6" bestFit="1" customWidth="1"/>
    <col min="20" max="20" width="5" bestFit="1" customWidth="1"/>
    <col min="21" max="21" width="7" bestFit="1" customWidth="1"/>
    <col min="22" max="22" width="9.7109375" bestFit="1" customWidth="1"/>
    <col min="23" max="23" width="9" bestFit="1" customWidth="1"/>
    <col min="24" max="24" width="5.42578125" bestFit="1" customWidth="1"/>
    <col min="25" max="25" width="8.140625" bestFit="1" customWidth="1"/>
    <col min="26" max="26" width="6" bestFit="1" customWidth="1"/>
  </cols>
  <sheetData>
    <row r="1" spans="1:15" x14ac:dyDescent="0.25">
      <c r="A1" s="86" t="s">
        <v>12</v>
      </c>
      <c r="B1" s="86" t="s">
        <v>3182</v>
      </c>
      <c r="C1" s="86" t="s">
        <v>3154</v>
      </c>
      <c r="D1" s="86" t="s">
        <v>173</v>
      </c>
      <c r="E1" s="86" t="s">
        <v>174</v>
      </c>
      <c r="F1" s="86" t="s">
        <v>223</v>
      </c>
      <c r="G1" s="93" t="s">
        <v>224</v>
      </c>
      <c r="H1" s="86" t="s">
        <v>3183</v>
      </c>
      <c r="I1" s="86" t="s">
        <v>3184</v>
      </c>
      <c r="J1" s="86" t="s">
        <v>3185</v>
      </c>
      <c r="K1" s="93" t="s">
        <v>3186</v>
      </c>
      <c r="L1" s="86" t="s">
        <v>19</v>
      </c>
      <c r="M1" s="86" t="s">
        <v>20</v>
      </c>
      <c r="N1" s="86" t="s">
        <v>21</v>
      </c>
      <c r="O1" s="93" t="s">
        <v>22</v>
      </c>
    </row>
    <row r="2" spans="1:15" s="103" customFormat="1" x14ac:dyDescent="0.25">
      <c r="A2" s="102" t="s">
        <v>1850</v>
      </c>
      <c r="B2" s="102" t="s">
        <v>49</v>
      </c>
      <c r="C2" s="103" t="s">
        <v>3187</v>
      </c>
      <c r="D2" s="102">
        <v>0</v>
      </c>
      <c r="E2" s="102">
        <v>0</v>
      </c>
      <c r="F2" s="102">
        <v>0</v>
      </c>
      <c r="G2" s="104">
        <v>0</v>
      </c>
      <c r="K2" s="105"/>
      <c r="O2" s="105"/>
    </row>
    <row r="3" spans="1:15" x14ac:dyDescent="0.25">
      <c r="A3" s="107" t="s">
        <v>153</v>
      </c>
      <c r="B3" s="107" t="s">
        <v>71</v>
      </c>
      <c r="C3" t="s">
        <v>3188</v>
      </c>
      <c r="D3" s="107">
        <v>5</v>
      </c>
      <c r="E3" s="107">
        <v>5</v>
      </c>
      <c r="F3" s="107"/>
      <c r="G3" s="98"/>
      <c r="H3">
        <f>VLOOKUP(A3,'1. Sharing Summary'!A:K,8,FALSE)</f>
        <v>25.308</v>
      </c>
      <c r="I3">
        <f>VLOOKUP(A3,'1. Sharing Summary'!A:K,9,FALSE)</f>
        <v>0.64176219909547816</v>
      </c>
      <c r="J3">
        <f>VLOOKUP(A3,'1. Sharing Summary'!A:K,10,FALSE)</f>
        <v>0</v>
      </c>
      <c r="K3" s="84">
        <f>VLOOKUP(A3,'1. Sharing Summary'!A:K,11,FALSE)</f>
        <v>0</v>
      </c>
      <c r="L3">
        <f t="shared" ref="L3:L16" si="0">IF(D3&gt;H3,H3,D3)</f>
        <v>5</v>
      </c>
      <c r="M3">
        <f t="shared" ref="M3:M16" si="1">IF(E3&gt;I3,I3,E3)</f>
        <v>0.64176219909547816</v>
      </c>
      <c r="N3">
        <f t="shared" ref="N3:N16" si="2">IF(F3&gt;J3,J3,F3)</f>
        <v>0</v>
      </c>
      <c r="O3" s="84">
        <f t="shared" ref="O3:O16" si="3">IF(G3&gt;K3,K3,G3)</f>
        <v>0</v>
      </c>
    </row>
    <row r="4" spans="1:15" ht="14.25" customHeight="1" x14ac:dyDescent="0.25">
      <c r="A4" s="107" t="s">
        <v>153</v>
      </c>
      <c r="B4" s="107" t="s">
        <v>3189</v>
      </c>
      <c r="C4" t="s">
        <v>3188</v>
      </c>
      <c r="D4" s="107">
        <f>H3-D3</f>
        <v>20.308</v>
      </c>
      <c r="E4" s="107">
        <f>I3-E3</f>
        <v>-4.3582378009045222</v>
      </c>
      <c r="F4" s="107">
        <f>J3-F3</f>
        <v>0</v>
      </c>
      <c r="G4" s="98">
        <f>K3-G3</f>
        <v>0</v>
      </c>
      <c r="H4">
        <f>VLOOKUP(A4,'1. Sharing Summary'!A:K,8,FALSE)</f>
        <v>25.308</v>
      </c>
      <c r="I4">
        <f>VLOOKUP(A4,'1. Sharing Summary'!A:K,9,FALSE)</f>
        <v>0.64176219909547816</v>
      </c>
      <c r="J4">
        <f>VLOOKUP(A4,'1. Sharing Summary'!A:K,10,FALSE)</f>
        <v>0</v>
      </c>
      <c r="K4" s="84">
        <f>VLOOKUP(A4,'1. Sharing Summary'!A:K,11,FALSE)</f>
        <v>0</v>
      </c>
      <c r="L4">
        <f t="shared" si="0"/>
        <v>20.308</v>
      </c>
      <c r="M4">
        <f t="shared" si="1"/>
        <v>-4.3582378009045222</v>
      </c>
      <c r="N4">
        <f t="shared" si="2"/>
        <v>0</v>
      </c>
      <c r="O4" s="84">
        <f t="shared" si="3"/>
        <v>0</v>
      </c>
    </row>
    <row r="5" spans="1:15" x14ac:dyDescent="0.25">
      <c r="A5" s="107" t="s">
        <v>108</v>
      </c>
      <c r="B5" s="107" t="s">
        <v>3189</v>
      </c>
      <c r="C5" t="s">
        <v>3188</v>
      </c>
      <c r="D5" s="107"/>
      <c r="E5" s="107"/>
      <c r="F5" s="107"/>
      <c r="G5" s="98"/>
      <c r="H5">
        <f>VLOOKUP(A5,'1. Sharing Summary'!A:K,8,FALSE)</f>
        <v>0</v>
      </c>
      <c r="I5">
        <f>VLOOKUP(A5,'1. Sharing Summary'!A:K,9,FALSE)</f>
        <v>0</v>
      </c>
      <c r="J5">
        <f>VLOOKUP(A5,'1. Sharing Summary'!A:K,10,FALSE)</f>
        <v>0</v>
      </c>
      <c r="K5" s="84">
        <f>VLOOKUP(A5,'1. Sharing Summary'!A:K,11,FALSE)</f>
        <v>0</v>
      </c>
      <c r="L5">
        <f t="shared" si="0"/>
        <v>0</v>
      </c>
      <c r="M5">
        <f t="shared" si="1"/>
        <v>0</v>
      </c>
      <c r="N5">
        <f t="shared" si="2"/>
        <v>0</v>
      </c>
      <c r="O5" s="84">
        <f t="shared" si="3"/>
        <v>0</v>
      </c>
    </row>
    <row r="6" spans="1:15" x14ac:dyDescent="0.25">
      <c r="A6" s="86" t="s">
        <v>154</v>
      </c>
      <c r="B6" s="86" t="s">
        <v>3189</v>
      </c>
      <c r="C6" t="s">
        <v>3188</v>
      </c>
      <c r="H6">
        <f>VLOOKUP(A6,'1. Sharing Summary'!A:K,8,FALSE)</f>
        <v>0</v>
      </c>
      <c r="I6">
        <f>VLOOKUP(A6,'1. Sharing Summary'!A:K,9,FALSE)</f>
        <v>0</v>
      </c>
      <c r="J6">
        <f>VLOOKUP(A6,'1. Sharing Summary'!A:K,10,FALSE)</f>
        <v>0</v>
      </c>
      <c r="K6" s="84">
        <f>VLOOKUP(A6,'1. Sharing Summary'!A:K,11,FALSE)</f>
        <v>0</v>
      </c>
      <c r="L6">
        <f t="shared" si="0"/>
        <v>0</v>
      </c>
      <c r="M6">
        <f t="shared" si="1"/>
        <v>0</v>
      </c>
      <c r="N6">
        <f t="shared" si="2"/>
        <v>0</v>
      </c>
      <c r="O6" s="84">
        <f t="shared" si="3"/>
        <v>0</v>
      </c>
    </row>
    <row r="7" spans="1:15" x14ac:dyDescent="0.25">
      <c r="A7" s="107" t="s">
        <v>72</v>
      </c>
      <c r="B7" s="107"/>
      <c r="C7" t="s">
        <v>3190</v>
      </c>
      <c r="D7" s="107">
        <v>12</v>
      </c>
      <c r="E7" s="107">
        <v>17</v>
      </c>
      <c r="F7" s="107">
        <v>16</v>
      </c>
      <c r="G7" s="98">
        <v>5</v>
      </c>
      <c r="H7" s="99">
        <v>0</v>
      </c>
      <c r="I7" s="99">
        <v>0</v>
      </c>
      <c r="J7" s="99">
        <v>0</v>
      </c>
      <c r="K7" s="100">
        <v>0</v>
      </c>
      <c r="L7">
        <f t="shared" si="0"/>
        <v>0</v>
      </c>
      <c r="M7">
        <f t="shared" si="1"/>
        <v>0</v>
      </c>
      <c r="N7">
        <f t="shared" si="2"/>
        <v>0</v>
      </c>
      <c r="O7" s="84">
        <f t="shared" si="3"/>
        <v>0</v>
      </c>
    </row>
    <row r="8" spans="1:15" x14ac:dyDescent="0.25">
      <c r="A8" s="107" t="s">
        <v>112</v>
      </c>
      <c r="B8" s="107" t="s">
        <v>1242</v>
      </c>
      <c r="C8" t="s">
        <v>3190</v>
      </c>
      <c r="D8" s="107">
        <v>12</v>
      </c>
      <c r="E8" s="107">
        <v>29</v>
      </c>
      <c r="F8" s="107">
        <v>15</v>
      </c>
      <c r="G8" s="98"/>
      <c r="H8">
        <f>VLOOKUP(A8,'1. Sharing Summary'!A:K,8,FALSE)</f>
        <v>18.309999999999999</v>
      </c>
      <c r="I8">
        <f>VLOOKUP(A8,'1. Sharing Summary'!A:K,9,FALSE)</f>
        <v>1.2386439236885107</v>
      </c>
      <c r="J8">
        <f>VLOOKUP(A8,'1. Sharing Summary'!A:K,10,FALSE)</f>
        <v>0</v>
      </c>
      <c r="K8" s="84">
        <f>VLOOKUP(A8,'1. Sharing Summary'!A:K,11,FALSE)</f>
        <v>0</v>
      </c>
      <c r="L8">
        <f t="shared" si="0"/>
        <v>12</v>
      </c>
      <c r="M8">
        <f t="shared" si="1"/>
        <v>1.2386439236885107</v>
      </c>
      <c r="N8">
        <f t="shared" si="2"/>
        <v>0</v>
      </c>
      <c r="O8" s="84">
        <f t="shared" si="3"/>
        <v>0</v>
      </c>
    </row>
    <row r="9" spans="1:15" x14ac:dyDescent="0.25">
      <c r="A9" s="107" t="s">
        <v>110</v>
      </c>
      <c r="B9" s="107" t="s">
        <v>1242</v>
      </c>
      <c r="C9" t="s">
        <v>3190</v>
      </c>
      <c r="D9" s="107">
        <v>7</v>
      </c>
      <c r="E9" s="107">
        <v>11</v>
      </c>
      <c r="F9" s="107">
        <v>4</v>
      </c>
      <c r="G9" s="98"/>
      <c r="H9">
        <f>VLOOKUP(A9,'1. Sharing Summary'!A:K,8,FALSE)</f>
        <v>16.329999999999998</v>
      </c>
      <c r="I9">
        <f>VLOOKUP(A9,'1. Sharing Summary'!A:K,9,FALSE)</f>
        <v>0.29901258808635645</v>
      </c>
      <c r="J9">
        <f>VLOOKUP(A9,'1. Sharing Summary'!A:K,10,FALSE)</f>
        <v>0</v>
      </c>
      <c r="K9" s="84">
        <f>VLOOKUP(A9,'1. Sharing Summary'!A:K,11,FALSE)</f>
        <v>0</v>
      </c>
      <c r="L9">
        <f t="shared" si="0"/>
        <v>7</v>
      </c>
      <c r="M9">
        <f t="shared" si="1"/>
        <v>0.29901258808635645</v>
      </c>
      <c r="N9">
        <f t="shared" si="2"/>
        <v>0</v>
      </c>
      <c r="O9" s="84">
        <f t="shared" si="3"/>
        <v>0</v>
      </c>
    </row>
    <row r="10" spans="1:15" x14ac:dyDescent="0.25">
      <c r="A10" s="107" t="s">
        <v>76</v>
      </c>
      <c r="B10" s="107" t="s">
        <v>147</v>
      </c>
      <c r="C10" t="s">
        <v>3191</v>
      </c>
      <c r="D10" s="107">
        <v>14.85</v>
      </c>
      <c r="E10" s="107">
        <v>8.32</v>
      </c>
      <c r="F10" s="107">
        <v>6.46</v>
      </c>
      <c r="G10" s="98">
        <v>0</v>
      </c>
      <c r="H10">
        <f>VLOOKUP(A10,'1. Sharing Summary'!A:K,8,FALSE)</f>
        <v>14.84</v>
      </c>
      <c r="I10">
        <f>VLOOKUP(A10,'1. Sharing Summary'!A:K,9,FALSE)</f>
        <v>0.23755206567854895</v>
      </c>
      <c r="J10">
        <f>VLOOKUP(A10,'1. Sharing Summary'!A:K,10,FALSE)</f>
        <v>0</v>
      </c>
      <c r="K10" s="84">
        <f>VLOOKUP(A10,'1. Sharing Summary'!A:K,11,FALSE)</f>
        <v>0</v>
      </c>
      <c r="L10">
        <f t="shared" si="0"/>
        <v>14.84</v>
      </c>
      <c r="M10">
        <f t="shared" si="1"/>
        <v>0.23755206567854895</v>
      </c>
      <c r="N10">
        <f t="shared" si="2"/>
        <v>0</v>
      </c>
      <c r="O10" s="84">
        <f t="shared" si="3"/>
        <v>0</v>
      </c>
    </row>
    <row r="11" spans="1:15" x14ac:dyDescent="0.25">
      <c r="A11" s="107" t="s">
        <v>144</v>
      </c>
      <c r="B11" s="107" t="s">
        <v>147</v>
      </c>
      <c r="C11" t="s">
        <v>3191</v>
      </c>
      <c r="D11" s="107">
        <v>9.2799999999999994</v>
      </c>
      <c r="E11" s="107">
        <v>6.83</v>
      </c>
      <c r="F11" s="107">
        <v>4.7300000000000004</v>
      </c>
      <c r="G11" s="98">
        <v>0</v>
      </c>
      <c r="H11">
        <f>VLOOKUP(A11,'1. Sharing Summary'!A:K,8,FALSE)</f>
        <v>8.3520000000000003</v>
      </c>
      <c r="I11">
        <f>VLOOKUP(A11,'1. Sharing Summary'!A:K,9,FALSE)</f>
        <v>0.19524435723038377</v>
      </c>
      <c r="J11">
        <f>VLOOKUP(A11,'1. Sharing Summary'!A:K,10,FALSE)</f>
        <v>0</v>
      </c>
      <c r="K11" s="84">
        <f>VLOOKUP(A11,'1. Sharing Summary'!A:K,11,FALSE)</f>
        <v>0</v>
      </c>
      <c r="L11">
        <f t="shared" si="0"/>
        <v>8.3520000000000003</v>
      </c>
      <c r="M11">
        <f t="shared" si="1"/>
        <v>0.19524435723038377</v>
      </c>
      <c r="N11">
        <f t="shared" si="2"/>
        <v>0</v>
      </c>
      <c r="O11" s="84">
        <f t="shared" si="3"/>
        <v>0</v>
      </c>
    </row>
    <row r="12" spans="1:15" x14ac:dyDescent="0.25">
      <c r="A12" s="107" t="s">
        <v>145</v>
      </c>
      <c r="B12" s="107" t="s">
        <v>146</v>
      </c>
      <c r="C12" t="s">
        <v>3191</v>
      </c>
      <c r="D12" s="107">
        <v>4.57</v>
      </c>
      <c r="E12" s="107">
        <v>3.5</v>
      </c>
      <c r="F12" s="107">
        <v>2.4700000000000002</v>
      </c>
      <c r="G12" s="98">
        <v>0</v>
      </c>
      <c r="H12">
        <f>VLOOKUP(A12,'1. Sharing Summary'!A:K,8,FALSE)</f>
        <v>4.1040000000000001</v>
      </c>
      <c r="I12">
        <f>VLOOKUP(A12,'1. Sharing Summary'!A:K,9,FALSE)</f>
        <v>0.10005201322201218</v>
      </c>
      <c r="J12">
        <f>VLOOKUP(A12,'1. Sharing Summary'!A:K,10,FALSE)</f>
        <v>0</v>
      </c>
      <c r="K12" s="84">
        <f>VLOOKUP(A12,'1. Sharing Summary'!A:K,11,FALSE)</f>
        <v>0</v>
      </c>
      <c r="L12">
        <f t="shared" si="0"/>
        <v>4.1040000000000001</v>
      </c>
      <c r="M12">
        <f t="shared" si="1"/>
        <v>0.10005201322201218</v>
      </c>
      <c r="N12">
        <f t="shared" si="2"/>
        <v>0</v>
      </c>
      <c r="O12" s="84">
        <f t="shared" si="3"/>
        <v>0</v>
      </c>
    </row>
    <row r="13" spans="1:15" x14ac:dyDescent="0.25">
      <c r="A13" s="107" t="s">
        <v>121</v>
      </c>
      <c r="B13" s="107" t="s">
        <v>92</v>
      </c>
      <c r="C13" t="s">
        <v>3192</v>
      </c>
      <c r="D13" s="107">
        <v>4.01</v>
      </c>
      <c r="E13" s="107">
        <v>3.15</v>
      </c>
      <c r="F13" s="107"/>
      <c r="G13" s="98"/>
      <c r="H13">
        <f>VLOOKUP(A13,'1. Sharing Summary'!A:K,8,FALSE)</f>
        <v>4.01</v>
      </c>
      <c r="I13">
        <f>VLOOKUP(A13,'1. Sharing Summary'!A:K,9,FALSE)</f>
        <v>9.0046811899810966E-2</v>
      </c>
      <c r="J13">
        <f>VLOOKUP(A13,'1. Sharing Summary'!A:K,10,FALSE)</f>
        <v>0</v>
      </c>
      <c r="K13" s="84">
        <f>VLOOKUP(A13,'1. Sharing Summary'!A:K,11,FALSE)</f>
        <v>0</v>
      </c>
      <c r="L13">
        <f t="shared" si="0"/>
        <v>4.01</v>
      </c>
      <c r="M13">
        <f t="shared" si="1"/>
        <v>9.0046811899810966E-2</v>
      </c>
      <c r="N13">
        <f t="shared" si="2"/>
        <v>0</v>
      </c>
      <c r="O13" s="84">
        <f t="shared" si="3"/>
        <v>0</v>
      </c>
    </row>
    <row r="14" spans="1:15" x14ac:dyDescent="0.25">
      <c r="A14" s="107" t="s">
        <v>160</v>
      </c>
      <c r="B14" s="107" t="s">
        <v>92</v>
      </c>
      <c r="C14" t="s">
        <v>3192</v>
      </c>
      <c r="D14" s="107">
        <v>18.37</v>
      </c>
      <c r="E14" s="107">
        <v>27.2</v>
      </c>
      <c r="F14" s="107">
        <v>15.84</v>
      </c>
      <c r="G14" s="98">
        <v>4.51</v>
      </c>
      <c r="H14">
        <f>VLOOKUP(A14,'1. Sharing Summary'!A:K,8,FALSE)</f>
        <v>18.37</v>
      </c>
      <c r="I14">
        <f>VLOOKUP(A14,'1. Sharing Summary'!A:K,9,FALSE)</f>
        <v>0.77754707418249469</v>
      </c>
      <c r="J14">
        <f>VLOOKUP(A14,'1. Sharing Summary'!A:K,10,FALSE)</f>
        <v>0</v>
      </c>
      <c r="K14" s="84">
        <f>VLOOKUP(A14,'1. Sharing Summary'!A:K,11,FALSE)</f>
        <v>0</v>
      </c>
      <c r="L14">
        <f t="shared" si="0"/>
        <v>18.37</v>
      </c>
      <c r="M14">
        <f t="shared" si="1"/>
        <v>0.77754707418249469</v>
      </c>
      <c r="N14">
        <f t="shared" si="2"/>
        <v>0</v>
      </c>
      <c r="O14" s="84">
        <f t="shared" si="3"/>
        <v>0</v>
      </c>
    </row>
    <row r="15" spans="1:15" x14ac:dyDescent="0.25">
      <c r="A15" s="107" t="s">
        <v>114</v>
      </c>
      <c r="B15" s="107" t="s">
        <v>92</v>
      </c>
      <c r="C15" t="s">
        <v>3192</v>
      </c>
      <c r="D15" s="107">
        <v>25.71</v>
      </c>
      <c r="E15" s="107">
        <v>27.8</v>
      </c>
      <c r="F15" s="107">
        <v>19.010000000000002</v>
      </c>
      <c r="G15" s="98">
        <v>6.97</v>
      </c>
      <c r="H15">
        <f>VLOOKUP(A15,'1. Sharing Summary'!A:K,8,FALSE)</f>
        <v>23.139000000000003</v>
      </c>
      <c r="I15">
        <f>VLOOKUP(A15,'1. Sharing Summary'!A:K,9,FALSE)</f>
        <v>0.79441298498277668</v>
      </c>
      <c r="J15">
        <f>VLOOKUP(A15,'1. Sharing Summary'!A:K,10,FALSE)</f>
        <v>0</v>
      </c>
      <c r="K15" s="84">
        <f>VLOOKUP(A15,'1. Sharing Summary'!A:K,11,FALSE)</f>
        <v>0</v>
      </c>
      <c r="L15">
        <f t="shared" si="0"/>
        <v>23.139000000000003</v>
      </c>
      <c r="M15">
        <f t="shared" si="1"/>
        <v>0.79441298498277668</v>
      </c>
      <c r="N15">
        <f t="shared" si="2"/>
        <v>0</v>
      </c>
      <c r="O15" s="84">
        <f t="shared" si="3"/>
        <v>0</v>
      </c>
    </row>
    <row r="16" spans="1:15" x14ac:dyDescent="0.25">
      <c r="A16" s="107" t="s">
        <v>168</v>
      </c>
      <c r="B16" s="107" t="s">
        <v>167</v>
      </c>
      <c r="C16" t="s">
        <v>3193</v>
      </c>
      <c r="D16" s="107">
        <v>2</v>
      </c>
      <c r="E16" s="107">
        <v>2</v>
      </c>
      <c r="F16" s="107">
        <v>1.5</v>
      </c>
      <c r="G16" s="98">
        <v>0</v>
      </c>
      <c r="H16">
        <f>VLOOKUP(A16,'1. Sharing Summary'!A:K,8,FALSE)</f>
        <v>11.097</v>
      </c>
      <c r="I16">
        <f>VLOOKUP(A16,'1. Sharing Summary'!A:K,9,FALSE)</f>
        <v>0.15779631799585919</v>
      </c>
      <c r="J16">
        <f>VLOOKUP(A16,'1. Sharing Summary'!A:K,10,FALSE)</f>
        <v>0</v>
      </c>
      <c r="K16" s="84">
        <f>VLOOKUP(A16,'1. Sharing Summary'!A:K,11,FALSE)</f>
        <v>0</v>
      </c>
      <c r="L16">
        <f t="shared" si="0"/>
        <v>2</v>
      </c>
      <c r="M16">
        <f t="shared" si="1"/>
        <v>0.15779631799585919</v>
      </c>
      <c r="N16">
        <f t="shared" si="2"/>
        <v>0</v>
      </c>
      <c r="O16" s="84">
        <f t="shared" si="3"/>
        <v>0</v>
      </c>
    </row>
    <row r="17" spans="1:15" x14ac:dyDescent="0.25">
      <c r="A17" s="86" t="s">
        <v>45</v>
      </c>
      <c r="B17" s="86" t="s">
        <v>49</v>
      </c>
      <c r="C17" t="s">
        <v>3194</v>
      </c>
      <c r="D17" s="86">
        <v>4.4800000000000004</v>
      </c>
      <c r="E17" s="86">
        <v>6.55</v>
      </c>
      <c r="F17" s="86">
        <v>6.38</v>
      </c>
      <c r="H17">
        <f>VLOOKUP(A17,'1. Sharing Summary'!A:K,8,FALSE)</f>
        <v>4.4800000000000004</v>
      </c>
      <c r="I17">
        <f>VLOOKUP(A17,'1. Sharing Summary'!A:K,9,FALSE)</f>
        <v>0.1872401961726228</v>
      </c>
      <c r="J17">
        <f>VLOOKUP(A17,'1. Sharing Summary'!A:K,10,FALSE)</f>
        <v>0</v>
      </c>
      <c r="K17" s="84">
        <f>VLOOKUP(A17,'1. Sharing Summary'!A:K,11,FALSE)</f>
        <v>0</v>
      </c>
      <c r="L17">
        <f t="shared" ref="L17" si="4">IF(D17&gt;H17,H17,D17)</f>
        <v>4.4800000000000004</v>
      </c>
      <c r="M17">
        <f t="shared" ref="M17" si="5">IF(E17&gt;I17,I17,E17)</f>
        <v>0.1872401961726228</v>
      </c>
      <c r="N17">
        <f t="shared" ref="N17" si="6">IF(F17&gt;J17,J17,F17)</f>
        <v>0</v>
      </c>
      <c r="O17" s="84">
        <f t="shared" ref="O17" si="7">IF(G17&gt;K17,K17,G17)</f>
        <v>0</v>
      </c>
    </row>
    <row r="18" spans="1:15" x14ac:dyDescent="0.25">
      <c r="A18" s="86" t="s">
        <v>163</v>
      </c>
      <c r="B18" s="86" t="s">
        <v>115</v>
      </c>
      <c r="C18" s="107" t="s">
        <v>3195</v>
      </c>
      <c r="D18" s="107">
        <v>2.61</v>
      </c>
      <c r="E18" s="107">
        <v>9.2799999999999994</v>
      </c>
      <c r="H18">
        <f>VLOOKUP(A18,'1. Sharing Summary'!A:K,8,FALSE)</f>
        <v>21.024000000000001</v>
      </c>
      <c r="I18">
        <f>VLOOKUP(A18,'1. Sharing Summary'!A:K,9,FALSE)</f>
        <v>0.8507279752820236</v>
      </c>
      <c r="J18">
        <f>VLOOKUP(A18,'1. Sharing Summary'!A:K,10,FALSE)</f>
        <v>0</v>
      </c>
      <c r="K18" s="84">
        <f>VLOOKUP(A18,'1. Sharing Summary'!A:K,11,FALSE)</f>
        <v>0</v>
      </c>
      <c r="L18">
        <f t="shared" ref="L18:L22" si="8">IF(D18&gt;H18,H18,D18)</f>
        <v>2.61</v>
      </c>
      <c r="M18">
        <f t="shared" ref="M18:M22" si="9">IF(E18&gt;I18,I18,E18)</f>
        <v>0.8507279752820236</v>
      </c>
      <c r="N18">
        <f t="shared" ref="N18:N22" si="10">IF(F18&gt;J18,J18,F18)</f>
        <v>0</v>
      </c>
      <c r="O18" s="84">
        <f t="shared" ref="O18:O22" si="11">IF(G18&gt;K18,K18,G18)</f>
        <v>0</v>
      </c>
    </row>
    <row r="19" spans="1:15" x14ac:dyDescent="0.25">
      <c r="A19" s="86" t="s">
        <v>163</v>
      </c>
      <c r="B19" s="86" t="s">
        <v>166</v>
      </c>
      <c r="C19" s="107" t="s">
        <v>3195</v>
      </c>
      <c r="D19" s="107">
        <v>7</v>
      </c>
      <c r="E19" s="107">
        <v>4.7699999999999996</v>
      </c>
      <c r="F19" s="107">
        <v>1.67</v>
      </c>
      <c r="G19" s="98">
        <v>0.8</v>
      </c>
      <c r="H19">
        <f>VLOOKUP(A19,'1. Sharing Summary'!A:K,8,FALSE)</f>
        <v>21.024000000000001</v>
      </c>
      <c r="I19">
        <f>VLOOKUP(A19,'1. Sharing Summary'!A:K,9,FALSE)</f>
        <v>0.8507279752820236</v>
      </c>
      <c r="J19">
        <f>VLOOKUP(A19,'1. Sharing Summary'!A:K,10,FALSE)</f>
        <v>0</v>
      </c>
      <c r="K19" s="84">
        <f>VLOOKUP(A19,'1. Sharing Summary'!A:K,11,FALSE)</f>
        <v>0</v>
      </c>
      <c r="L19">
        <f t="shared" si="8"/>
        <v>7</v>
      </c>
      <c r="M19">
        <f t="shared" si="9"/>
        <v>0.8507279752820236</v>
      </c>
      <c r="N19">
        <f t="shared" si="10"/>
        <v>0</v>
      </c>
      <c r="O19" s="84">
        <f t="shared" si="11"/>
        <v>0</v>
      </c>
    </row>
    <row r="20" spans="1:15" x14ac:dyDescent="0.25">
      <c r="A20" s="86" t="s">
        <v>163</v>
      </c>
      <c r="B20" s="86" t="s">
        <v>157</v>
      </c>
      <c r="C20" s="107" t="s">
        <v>3195</v>
      </c>
      <c r="D20" s="107">
        <v>0</v>
      </c>
      <c r="E20" s="107">
        <v>4</v>
      </c>
      <c r="F20" s="107">
        <v>4</v>
      </c>
      <c r="G20" s="98">
        <v>4</v>
      </c>
      <c r="H20">
        <f>VLOOKUP(A20,'1. Sharing Summary'!A:K,8,FALSE)</f>
        <v>21.024000000000001</v>
      </c>
      <c r="I20">
        <f>VLOOKUP(A20,'1. Sharing Summary'!A:K,9,FALSE)</f>
        <v>0.8507279752820236</v>
      </c>
      <c r="J20">
        <f>VLOOKUP(A20,'1. Sharing Summary'!A:K,10,FALSE)</f>
        <v>0</v>
      </c>
      <c r="K20" s="84">
        <f>VLOOKUP(A20,'1. Sharing Summary'!A:K,11,FALSE)</f>
        <v>0</v>
      </c>
      <c r="L20">
        <f t="shared" si="8"/>
        <v>0</v>
      </c>
      <c r="M20">
        <f t="shared" si="9"/>
        <v>0.8507279752820236</v>
      </c>
      <c r="N20">
        <f t="shared" si="10"/>
        <v>0</v>
      </c>
      <c r="O20" s="84">
        <f t="shared" si="11"/>
        <v>0</v>
      </c>
    </row>
    <row r="21" spans="1:15" x14ac:dyDescent="0.25">
      <c r="A21" s="86" t="s">
        <v>163</v>
      </c>
      <c r="B21" s="86" t="s">
        <v>124</v>
      </c>
      <c r="C21" s="107" t="s">
        <v>3195</v>
      </c>
      <c r="D21" s="107">
        <v>1</v>
      </c>
      <c r="E21" s="107">
        <v>1</v>
      </c>
      <c r="F21" s="107">
        <v>1</v>
      </c>
      <c r="G21" s="98">
        <v>1</v>
      </c>
      <c r="H21">
        <f>VLOOKUP(A21,'1. Sharing Summary'!A:K,8,FALSE)</f>
        <v>21.024000000000001</v>
      </c>
      <c r="I21">
        <f>VLOOKUP(A21,'1. Sharing Summary'!A:K,9,FALSE)</f>
        <v>0.8507279752820236</v>
      </c>
      <c r="J21">
        <f>VLOOKUP(A21,'1. Sharing Summary'!A:K,10,FALSE)</f>
        <v>0</v>
      </c>
      <c r="K21" s="84">
        <f>VLOOKUP(A21,'1. Sharing Summary'!A:K,11,FALSE)</f>
        <v>0</v>
      </c>
      <c r="L21">
        <f t="shared" si="8"/>
        <v>1</v>
      </c>
      <c r="M21">
        <f t="shared" si="9"/>
        <v>0.8507279752820236</v>
      </c>
      <c r="N21">
        <f t="shared" si="10"/>
        <v>0</v>
      </c>
      <c r="O21" s="84">
        <f t="shared" si="11"/>
        <v>0</v>
      </c>
    </row>
    <row r="22" spans="1:15" x14ac:dyDescent="0.25">
      <c r="A22" s="86" t="s">
        <v>163</v>
      </c>
      <c r="B22" s="86" t="s">
        <v>161</v>
      </c>
      <c r="C22" s="107" t="s">
        <v>3195</v>
      </c>
      <c r="D22" s="107">
        <v>2</v>
      </c>
      <c r="H22">
        <f>VLOOKUP(A22,'1. Sharing Summary'!A:K,8,FALSE)</f>
        <v>21.024000000000001</v>
      </c>
      <c r="I22">
        <f>VLOOKUP(A22,'1. Sharing Summary'!A:K,9,FALSE)</f>
        <v>0.8507279752820236</v>
      </c>
      <c r="J22">
        <f>VLOOKUP(A22,'1. Sharing Summary'!A:K,10,FALSE)</f>
        <v>0</v>
      </c>
      <c r="K22" s="84">
        <f>VLOOKUP(A22,'1. Sharing Summary'!A:K,11,FALSE)</f>
        <v>0</v>
      </c>
      <c r="L22">
        <f t="shared" si="8"/>
        <v>2</v>
      </c>
      <c r="M22">
        <f t="shared" si="9"/>
        <v>0</v>
      </c>
      <c r="N22">
        <f t="shared" si="10"/>
        <v>0</v>
      </c>
      <c r="O22" s="84">
        <f t="shared" si="11"/>
        <v>0</v>
      </c>
    </row>
    <row r="23" spans="1:15" x14ac:dyDescent="0.25">
      <c r="A23" s="86" t="s">
        <v>112</v>
      </c>
      <c r="B23" s="86" t="s">
        <v>1242</v>
      </c>
      <c r="C23" s="107" t="s">
        <v>3196</v>
      </c>
      <c r="D23" s="107">
        <v>0</v>
      </c>
      <c r="E23" s="107">
        <v>0</v>
      </c>
      <c r="H23">
        <f>VLOOKUP(A23,'1. Sharing Summary'!A:K,8,FALSE)</f>
        <v>18.309999999999999</v>
      </c>
      <c r="I23">
        <f>VLOOKUP(A23,'1. Sharing Summary'!A:K,9,FALSE)</f>
        <v>1.2386439236885107</v>
      </c>
      <c r="J23">
        <f>VLOOKUP(A23,'1. Sharing Summary'!A:K,10,FALSE)</f>
        <v>0</v>
      </c>
      <c r="K23" s="84">
        <f>VLOOKUP(A23,'1. Sharing Summary'!A:K,11,FALSE)</f>
        <v>0</v>
      </c>
      <c r="L23">
        <f t="shared" ref="L23:L24" si="12">IF(D23&gt;H23,H23,D23)</f>
        <v>0</v>
      </c>
      <c r="M23">
        <f t="shared" ref="M23:M24" si="13">IF(E23&gt;I23,I23,E23)</f>
        <v>0</v>
      </c>
      <c r="N23">
        <f t="shared" ref="N23:N24" si="14">IF(F23&gt;J23,J23,F23)</f>
        <v>0</v>
      </c>
      <c r="O23" s="84">
        <f t="shared" ref="O23:O24" si="15">IF(G23&gt;K23,K23,G23)</f>
        <v>0</v>
      </c>
    </row>
    <row r="24" spans="1:15" x14ac:dyDescent="0.25">
      <c r="A24" s="86" t="s">
        <v>110</v>
      </c>
      <c r="B24" s="86" t="s">
        <v>1242</v>
      </c>
      <c r="C24" s="107" t="s">
        <v>3197</v>
      </c>
      <c r="D24" s="107">
        <v>0</v>
      </c>
      <c r="E24" s="107">
        <v>0</v>
      </c>
      <c r="H24">
        <f>VLOOKUP(A24,'1. Sharing Summary'!A:K,8,FALSE)</f>
        <v>16.329999999999998</v>
      </c>
      <c r="I24">
        <f>VLOOKUP(A24,'1. Sharing Summary'!A:K,9,FALSE)</f>
        <v>0.29901258808635645</v>
      </c>
      <c r="J24">
        <f>VLOOKUP(A24,'1. Sharing Summary'!A:K,10,FALSE)</f>
        <v>0</v>
      </c>
      <c r="K24" s="84">
        <f>VLOOKUP(A24,'1. Sharing Summary'!A:K,11,FALSE)</f>
        <v>0</v>
      </c>
      <c r="L24">
        <f t="shared" si="12"/>
        <v>0</v>
      </c>
      <c r="M24">
        <f t="shared" si="13"/>
        <v>0</v>
      </c>
      <c r="N24">
        <f t="shared" si="14"/>
        <v>0</v>
      </c>
      <c r="O24" s="84">
        <f t="shared" si="15"/>
        <v>0</v>
      </c>
    </row>
  </sheetData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8A91764-674F-46C6-A729-3CEDC09E2015}">
            <xm:f>NOT(ISERROR(VLOOKUP(A2,'1. Sharing Summary'!$A:$A,1,FALSE)))</xm:f>
            <x14:dxf>
              <fill>
                <patternFill>
                  <bgColor theme="9"/>
                </patternFill>
              </fill>
            </x14:dxf>
          </x14:cfRule>
          <xm:sqref>A2:C16 A17:B24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A78C8-3140-4A24-B494-1C6865E3782B}">
  <dimension ref="A1:K2952"/>
  <sheetViews>
    <sheetView workbookViewId="0"/>
  </sheetViews>
  <sheetFormatPr defaultRowHeight="15" x14ac:dyDescent="0.25"/>
  <cols>
    <col min="1" max="1" width="19.28515625" bestFit="1" customWidth="1"/>
    <col min="2" max="2" width="9.42578125" bestFit="1" customWidth="1"/>
    <col min="3" max="3" width="10.42578125" bestFit="1" customWidth="1"/>
    <col min="4" max="4" width="14" customWidth="1"/>
    <col min="6" max="6" width="17.140625" customWidth="1"/>
    <col min="7" max="7" width="32" customWidth="1"/>
  </cols>
  <sheetData>
    <row r="1" spans="1:11" x14ac:dyDescent="0.25">
      <c r="A1" s="82" t="s">
        <v>3198</v>
      </c>
      <c r="B1" s="82" t="s">
        <v>3199</v>
      </c>
      <c r="C1" s="82" t="s">
        <v>3200</v>
      </c>
      <c r="D1" s="82" t="s">
        <v>3201</v>
      </c>
      <c r="E1" s="82" t="s">
        <v>3202</v>
      </c>
      <c r="F1" s="82" t="s">
        <v>3203</v>
      </c>
      <c r="G1" s="82" t="s">
        <v>3</v>
      </c>
      <c r="H1" s="82" t="s">
        <v>3204</v>
      </c>
      <c r="I1" s="82" t="s">
        <v>3205</v>
      </c>
      <c r="J1" s="82" t="s">
        <v>3206</v>
      </c>
      <c r="K1" s="82" t="s">
        <v>3207</v>
      </c>
    </row>
    <row r="2" spans="1:11" ht="51.75" x14ac:dyDescent="0.25">
      <c r="A2" s="83" t="s">
        <v>603</v>
      </c>
      <c r="B2" s="83" t="s">
        <v>3208</v>
      </c>
      <c r="C2" s="83" t="s">
        <v>3208</v>
      </c>
      <c r="D2" s="83" t="s">
        <v>3209</v>
      </c>
      <c r="E2" s="83" t="s">
        <v>3210</v>
      </c>
      <c r="F2" s="83" t="s">
        <v>3211</v>
      </c>
      <c r="G2" s="83" t="s">
        <v>3212</v>
      </c>
      <c r="H2" s="83">
        <v>206</v>
      </c>
      <c r="I2" s="83" t="s">
        <v>3213</v>
      </c>
      <c r="J2" s="83" t="s">
        <v>3214</v>
      </c>
      <c r="K2" s="83" t="s">
        <v>3215</v>
      </c>
    </row>
    <row r="3" spans="1:11" ht="51.75" x14ac:dyDescent="0.25">
      <c r="A3" s="83" t="s">
        <v>604</v>
      </c>
      <c r="B3" s="83" t="s">
        <v>3208</v>
      </c>
      <c r="C3" s="83" t="s">
        <v>3208</v>
      </c>
      <c r="D3" s="83" t="s">
        <v>3209</v>
      </c>
      <c r="E3" s="83" t="s">
        <v>3210</v>
      </c>
      <c r="F3" s="83" t="s">
        <v>3216</v>
      </c>
      <c r="G3" s="83" t="s">
        <v>3212</v>
      </c>
      <c r="H3" s="83">
        <v>60</v>
      </c>
      <c r="I3" s="83" t="s">
        <v>3213</v>
      </c>
      <c r="J3" s="83" t="s">
        <v>3214</v>
      </c>
      <c r="K3" s="83" t="s">
        <v>3215</v>
      </c>
    </row>
    <row r="4" spans="1:11" ht="64.5" x14ac:dyDescent="0.25">
      <c r="A4" s="83" t="s">
        <v>537</v>
      </c>
      <c r="B4" s="83" t="s">
        <v>3208</v>
      </c>
      <c r="C4" s="83" t="s">
        <v>3208</v>
      </c>
      <c r="D4" s="83" t="s">
        <v>3209</v>
      </c>
      <c r="E4" s="83" t="s">
        <v>3210</v>
      </c>
      <c r="F4" s="83" t="s">
        <v>3217</v>
      </c>
      <c r="G4" s="83" t="s">
        <v>3218</v>
      </c>
      <c r="H4" s="83">
        <v>72.7</v>
      </c>
      <c r="I4" s="83" t="s">
        <v>3213</v>
      </c>
      <c r="J4" s="83" t="s">
        <v>3219</v>
      </c>
      <c r="K4" s="83" t="s">
        <v>3215</v>
      </c>
    </row>
    <row r="5" spans="1:11" ht="26.25" x14ac:dyDescent="0.25">
      <c r="A5" s="83" t="s">
        <v>705</v>
      </c>
      <c r="B5" s="83" t="s">
        <v>3208</v>
      </c>
      <c r="C5" s="83" t="s">
        <v>3208</v>
      </c>
      <c r="D5" s="83" t="s">
        <v>3209</v>
      </c>
      <c r="E5" s="83" t="s">
        <v>3210</v>
      </c>
      <c r="F5" s="83" t="s">
        <v>3220</v>
      </c>
      <c r="G5" s="83" t="s">
        <v>3221</v>
      </c>
      <c r="H5" s="83">
        <v>45</v>
      </c>
      <c r="I5" s="83" t="s">
        <v>3213</v>
      </c>
      <c r="J5" s="83" t="s">
        <v>3222</v>
      </c>
      <c r="K5" s="83" t="s">
        <v>3215</v>
      </c>
    </row>
    <row r="6" spans="1:11" ht="51.75" x14ac:dyDescent="0.25">
      <c r="A6" s="83" t="s">
        <v>708</v>
      </c>
      <c r="B6" s="83" t="s">
        <v>3208</v>
      </c>
      <c r="C6" s="83" t="s">
        <v>3208</v>
      </c>
      <c r="D6" s="83" t="s">
        <v>3209</v>
      </c>
      <c r="E6" s="83" t="s">
        <v>3210</v>
      </c>
      <c r="F6" s="83" t="s">
        <v>3223</v>
      </c>
      <c r="G6" s="83" t="s">
        <v>3224</v>
      </c>
      <c r="H6" s="83">
        <v>328</v>
      </c>
      <c r="I6" s="83" t="s">
        <v>3213</v>
      </c>
      <c r="J6" s="83" t="s">
        <v>3214</v>
      </c>
      <c r="K6" s="83" t="s">
        <v>3215</v>
      </c>
    </row>
    <row r="7" spans="1:11" ht="51.75" x14ac:dyDescent="0.25">
      <c r="A7" s="83" t="s">
        <v>888</v>
      </c>
      <c r="B7" s="83" t="s">
        <v>3225</v>
      </c>
      <c r="C7" s="83" t="s">
        <v>3208</v>
      </c>
      <c r="D7" s="83" t="s">
        <v>3209</v>
      </c>
      <c r="E7" s="83" t="s">
        <v>3226</v>
      </c>
      <c r="F7" s="83" t="s">
        <v>3227</v>
      </c>
      <c r="G7" s="83" t="s">
        <v>3228</v>
      </c>
      <c r="H7" s="83">
        <v>105</v>
      </c>
      <c r="I7" s="83" t="s">
        <v>3229</v>
      </c>
      <c r="J7" s="83" t="s">
        <v>3230</v>
      </c>
      <c r="K7" s="83" t="s">
        <v>3215</v>
      </c>
    </row>
    <row r="8" spans="1:11" ht="51.75" x14ac:dyDescent="0.25">
      <c r="A8" s="83" t="s">
        <v>923</v>
      </c>
      <c r="B8" s="83" t="s">
        <v>3231</v>
      </c>
      <c r="C8" s="83" t="s">
        <v>3208</v>
      </c>
      <c r="D8" s="83" t="s">
        <v>3209</v>
      </c>
      <c r="E8" s="83" t="s">
        <v>3226</v>
      </c>
      <c r="F8" s="83" t="s">
        <v>3232</v>
      </c>
      <c r="G8" s="83" t="s">
        <v>3233</v>
      </c>
      <c r="H8" s="83">
        <v>74</v>
      </c>
      <c r="I8" s="83" t="s">
        <v>3229</v>
      </c>
      <c r="J8" s="83" t="s">
        <v>3230</v>
      </c>
      <c r="K8" s="83" t="s">
        <v>3215</v>
      </c>
    </row>
    <row r="9" spans="1:11" ht="51.75" x14ac:dyDescent="0.25">
      <c r="A9" s="83" t="s">
        <v>3234</v>
      </c>
      <c r="B9" s="83" t="s">
        <v>3235</v>
      </c>
      <c r="C9" s="83" t="s">
        <v>3208</v>
      </c>
      <c r="D9" s="83" t="s">
        <v>3209</v>
      </c>
      <c r="E9" s="83" t="s">
        <v>3226</v>
      </c>
      <c r="F9" s="83" t="s">
        <v>3236</v>
      </c>
      <c r="G9" s="83" t="s">
        <v>3237</v>
      </c>
      <c r="H9" s="83">
        <v>118</v>
      </c>
      <c r="I9" s="83" t="s">
        <v>3229</v>
      </c>
      <c r="J9" s="83" t="s">
        <v>3238</v>
      </c>
      <c r="K9" s="83" t="s">
        <v>3215</v>
      </c>
    </row>
    <row r="10" spans="1:11" ht="39" x14ac:dyDescent="0.25">
      <c r="A10" s="83" t="s">
        <v>783</v>
      </c>
      <c r="B10" s="83" t="s">
        <v>3239</v>
      </c>
      <c r="C10" s="83" t="s">
        <v>3208</v>
      </c>
      <c r="D10" s="83" t="s">
        <v>3209</v>
      </c>
      <c r="E10" s="83" t="s">
        <v>3226</v>
      </c>
      <c r="F10" s="83" t="s">
        <v>3240</v>
      </c>
      <c r="G10" s="83" t="s">
        <v>3237</v>
      </c>
      <c r="H10" s="83">
        <v>300</v>
      </c>
      <c r="I10" s="83" t="s">
        <v>3229</v>
      </c>
      <c r="J10" s="83" t="s">
        <v>3241</v>
      </c>
      <c r="K10" s="83" t="s">
        <v>3215</v>
      </c>
    </row>
    <row r="11" spans="1:11" ht="39" x14ac:dyDescent="0.25">
      <c r="A11" s="83" t="s">
        <v>797</v>
      </c>
      <c r="B11" s="83" t="s">
        <v>3242</v>
      </c>
      <c r="C11" s="83" t="s">
        <v>3208</v>
      </c>
      <c r="D11" s="83" t="s">
        <v>3209</v>
      </c>
      <c r="E11" s="83" t="s">
        <v>3226</v>
      </c>
      <c r="F11" s="83" t="s">
        <v>3243</v>
      </c>
      <c r="G11" s="83" t="s">
        <v>3237</v>
      </c>
      <c r="H11" s="83">
        <v>400</v>
      </c>
      <c r="I11" s="83" t="s">
        <v>3229</v>
      </c>
      <c r="J11" s="83" t="s">
        <v>3241</v>
      </c>
      <c r="K11" s="83" t="s">
        <v>3215</v>
      </c>
    </row>
    <row r="12" spans="1:11" ht="51.75" x14ac:dyDescent="0.25">
      <c r="A12" s="83" t="s">
        <v>1751</v>
      </c>
      <c r="B12" s="83" t="s">
        <v>3244</v>
      </c>
      <c r="C12" s="83" t="s">
        <v>3245</v>
      </c>
      <c r="D12" s="83" t="s">
        <v>3209</v>
      </c>
      <c r="E12" s="83" t="s">
        <v>3246</v>
      </c>
      <c r="F12" s="83" t="s">
        <v>3247</v>
      </c>
      <c r="G12" s="83" t="s">
        <v>3248</v>
      </c>
      <c r="H12" s="83">
        <v>182</v>
      </c>
      <c r="I12" s="83" t="s">
        <v>3229</v>
      </c>
      <c r="J12" s="83" t="s">
        <v>3230</v>
      </c>
      <c r="K12" s="83" t="s">
        <v>3215</v>
      </c>
    </row>
    <row r="13" spans="1:11" ht="26.25" x14ac:dyDescent="0.25">
      <c r="A13" s="83" t="s">
        <v>1747</v>
      </c>
      <c r="B13" s="83" t="s">
        <v>3249</v>
      </c>
      <c r="C13" s="83" t="s">
        <v>3250</v>
      </c>
      <c r="D13" s="83" t="s">
        <v>3209</v>
      </c>
      <c r="E13" s="83" t="s">
        <v>3246</v>
      </c>
      <c r="F13" s="83" t="s">
        <v>3251</v>
      </c>
      <c r="G13" s="83" t="s">
        <v>3252</v>
      </c>
      <c r="H13" s="83">
        <v>41.5</v>
      </c>
      <c r="I13" s="83" t="s">
        <v>3229</v>
      </c>
      <c r="J13" s="83" t="s">
        <v>3222</v>
      </c>
      <c r="K13" s="83" t="s">
        <v>3215</v>
      </c>
    </row>
    <row r="14" spans="1:11" ht="51.75" x14ac:dyDescent="0.25">
      <c r="A14" s="83" t="s">
        <v>144</v>
      </c>
      <c r="B14" s="83" t="s">
        <v>3253</v>
      </c>
      <c r="C14" s="83" t="s">
        <v>3254</v>
      </c>
      <c r="D14" s="83" t="s">
        <v>3209</v>
      </c>
      <c r="E14" s="83" t="s">
        <v>3246</v>
      </c>
      <c r="F14" s="83" t="s">
        <v>3255</v>
      </c>
      <c r="G14" s="83" t="s">
        <v>3256</v>
      </c>
      <c r="H14" s="83">
        <v>101.8</v>
      </c>
      <c r="I14" s="83" t="s">
        <v>3213</v>
      </c>
      <c r="J14" s="83" t="s">
        <v>3257</v>
      </c>
      <c r="K14" s="83" t="s">
        <v>3215</v>
      </c>
    </row>
    <row r="15" spans="1:11" ht="64.5" x14ac:dyDescent="0.25">
      <c r="A15" s="83" t="s">
        <v>1481</v>
      </c>
      <c r="B15" s="83" t="s">
        <v>3258</v>
      </c>
      <c r="C15" s="83" t="s">
        <v>3259</v>
      </c>
      <c r="D15" s="83" t="s">
        <v>3209</v>
      </c>
      <c r="E15" s="83" t="s">
        <v>3246</v>
      </c>
      <c r="F15" s="83" t="s">
        <v>3260</v>
      </c>
      <c r="G15" s="83" t="s">
        <v>3261</v>
      </c>
      <c r="H15" s="83">
        <v>110.4</v>
      </c>
      <c r="I15" s="83" t="s">
        <v>3213</v>
      </c>
      <c r="J15" s="83" t="s">
        <v>3262</v>
      </c>
      <c r="K15" s="83" t="s">
        <v>3215</v>
      </c>
    </row>
    <row r="16" spans="1:11" ht="39" x14ac:dyDescent="0.25">
      <c r="A16" s="83" t="s">
        <v>1489</v>
      </c>
      <c r="B16" s="83" t="s">
        <v>3263</v>
      </c>
      <c r="C16" s="83" t="s">
        <v>3264</v>
      </c>
      <c r="D16" s="83" t="s">
        <v>3209</v>
      </c>
      <c r="E16" s="83" t="s">
        <v>3246</v>
      </c>
      <c r="F16" s="83" t="s">
        <v>3265</v>
      </c>
      <c r="G16" s="83" t="s">
        <v>3266</v>
      </c>
      <c r="H16" s="83">
        <v>68.2</v>
      </c>
      <c r="I16" s="83" t="s">
        <v>3229</v>
      </c>
      <c r="J16" s="83" t="s">
        <v>3241</v>
      </c>
      <c r="K16" s="83" t="s">
        <v>3215</v>
      </c>
    </row>
    <row r="17" spans="1:11" ht="51.75" x14ac:dyDescent="0.25">
      <c r="A17" s="83" t="s">
        <v>1491</v>
      </c>
      <c r="B17" s="83" t="s">
        <v>3267</v>
      </c>
      <c r="C17" s="83" t="s">
        <v>3268</v>
      </c>
      <c r="D17" s="83" t="s">
        <v>3209</v>
      </c>
      <c r="E17" s="83" t="s">
        <v>3246</v>
      </c>
      <c r="F17" s="83" t="s">
        <v>3269</v>
      </c>
      <c r="G17" s="83" t="s">
        <v>3270</v>
      </c>
      <c r="H17" s="83">
        <v>54</v>
      </c>
      <c r="I17" s="83" t="s">
        <v>3213</v>
      </c>
      <c r="J17" s="83" t="s">
        <v>3271</v>
      </c>
      <c r="K17" s="83" t="s">
        <v>3215</v>
      </c>
    </row>
    <row r="18" spans="1:11" ht="51.75" x14ac:dyDescent="0.25">
      <c r="A18" s="83" t="s">
        <v>1498</v>
      </c>
      <c r="B18" s="83" t="s">
        <v>3272</v>
      </c>
      <c r="C18" s="83" t="s">
        <v>3273</v>
      </c>
      <c r="D18" s="83" t="s">
        <v>3209</v>
      </c>
      <c r="E18" s="83" t="s">
        <v>3246</v>
      </c>
      <c r="F18" s="83" t="s">
        <v>3274</v>
      </c>
      <c r="G18" s="83" t="s">
        <v>3275</v>
      </c>
      <c r="H18" s="83">
        <v>39</v>
      </c>
      <c r="I18" s="83" t="s">
        <v>3229</v>
      </c>
      <c r="J18" s="83" t="s">
        <v>3238</v>
      </c>
      <c r="K18" s="83" t="s">
        <v>3215</v>
      </c>
    </row>
    <row r="19" spans="1:11" ht="51.75" x14ac:dyDescent="0.25">
      <c r="A19" s="83" t="s">
        <v>1725</v>
      </c>
      <c r="B19" s="83" t="s">
        <v>3276</v>
      </c>
      <c r="C19" s="83" t="s">
        <v>3277</v>
      </c>
      <c r="D19" s="83" t="s">
        <v>3209</v>
      </c>
      <c r="E19" s="83" t="s">
        <v>3246</v>
      </c>
      <c r="F19" s="83" t="s">
        <v>3278</v>
      </c>
      <c r="G19" s="83" t="s">
        <v>3279</v>
      </c>
      <c r="H19" s="83">
        <v>11</v>
      </c>
      <c r="I19" s="83" t="s">
        <v>3229</v>
      </c>
      <c r="J19" s="83" t="s">
        <v>3280</v>
      </c>
      <c r="K19" s="83" t="s">
        <v>3215</v>
      </c>
    </row>
    <row r="20" spans="1:11" ht="51.75" x14ac:dyDescent="0.25">
      <c r="A20" s="83" t="s">
        <v>1686</v>
      </c>
      <c r="B20" s="83" t="s">
        <v>3281</v>
      </c>
      <c r="C20" s="83" t="s">
        <v>3282</v>
      </c>
      <c r="D20" s="83" t="s">
        <v>3209</v>
      </c>
      <c r="E20" s="83" t="s">
        <v>3246</v>
      </c>
      <c r="F20" s="83" t="s">
        <v>3283</v>
      </c>
      <c r="G20" s="83" t="s">
        <v>3284</v>
      </c>
      <c r="H20" s="83">
        <v>0.4</v>
      </c>
      <c r="I20" s="83" t="s">
        <v>3229</v>
      </c>
      <c r="J20" s="83" t="s">
        <v>3230</v>
      </c>
      <c r="K20" s="83" t="s">
        <v>3215</v>
      </c>
    </row>
    <row r="21" spans="1:11" ht="51.75" x14ac:dyDescent="0.25">
      <c r="A21" s="83" t="s">
        <v>1689</v>
      </c>
      <c r="B21" s="83" t="s">
        <v>3285</v>
      </c>
      <c r="C21" s="83" t="s">
        <v>3286</v>
      </c>
      <c r="D21" s="83" t="s">
        <v>3209</v>
      </c>
      <c r="E21" s="83" t="s">
        <v>3246</v>
      </c>
      <c r="F21" s="83" t="s">
        <v>3287</v>
      </c>
      <c r="G21" s="83" t="s">
        <v>3288</v>
      </c>
      <c r="H21" s="83">
        <v>342.2</v>
      </c>
      <c r="I21" s="83" t="s">
        <v>3229</v>
      </c>
      <c r="J21" s="83" t="s">
        <v>3289</v>
      </c>
      <c r="K21" s="83" t="s">
        <v>3215</v>
      </c>
    </row>
    <row r="22" spans="1:11" ht="51.75" x14ac:dyDescent="0.25">
      <c r="A22" s="83" t="s">
        <v>1691</v>
      </c>
      <c r="B22" s="83" t="s">
        <v>3290</v>
      </c>
      <c r="C22" s="83" t="s">
        <v>3291</v>
      </c>
      <c r="D22" s="83" t="s">
        <v>3209</v>
      </c>
      <c r="E22" s="83" t="s">
        <v>3246</v>
      </c>
      <c r="F22" s="83" t="s">
        <v>3292</v>
      </c>
      <c r="G22" s="83" t="s">
        <v>3293</v>
      </c>
      <c r="H22" s="83">
        <v>76.2</v>
      </c>
      <c r="I22" s="83" t="s">
        <v>3229</v>
      </c>
      <c r="J22" s="83" t="s">
        <v>3230</v>
      </c>
      <c r="K22" s="83" t="s">
        <v>3215</v>
      </c>
    </row>
    <row r="23" spans="1:11" ht="51.75" x14ac:dyDescent="0.25">
      <c r="A23" s="83" t="s">
        <v>1696</v>
      </c>
      <c r="B23" s="83" t="s">
        <v>3294</v>
      </c>
      <c r="C23" s="83" t="s">
        <v>3295</v>
      </c>
      <c r="D23" s="83" t="s">
        <v>3209</v>
      </c>
      <c r="E23" s="83" t="s">
        <v>3246</v>
      </c>
      <c r="F23" s="83" t="s">
        <v>3296</v>
      </c>
      <c r="G23" s="83" t="s">
        <v>3297</v>
      </c>
      <c r="H23" s="83">
        <v>35</v>
      </c>
      <c r="I23" s="83" t="s">
        <v>3229</v>
      </c>
      <c r="J23" s="83" t="s">
        <v>3280</v>
      </c>
      <c r="K23" s="83" t="s">
        <v>3215</v>
      </c>
    </row>
    <row r="24" spans="1:11" ht="51.75" x14ac:dyDescent="0.25">
      <c r="A24" s="83" t="s">
        <v>1705</v>
      </c>
      <c r="B24" s="83" t="s">
        <v>3298</v>
      </c>
      <c r="C24" s="83" t="s">
        <v>3299</v>
      </c>
      <c r="D24" s="83" t="s">
        <v>3209</v>
      </c>
      <c r="E24" s="83" t="s">
        <v>3246</v>
      </c>
      <c r="F24" s="83" t="s">
        <v>3300</v>
      </c>
      <c r="G24" s="83" t="s">
        <v>3301</v>
      </c>
      <c r="H24" s="83">
        <v>36.5</v>
      </c>
      <c r="I24" s="83" t="s">
        <v>3229</v>
      </c>
      <c r="J24" s="83" t="s">
        <v>3302</v>
      </c>
      <c r="K24" s="83" t="s">
        <v>3215</v>
      </c>
    </row>
    <row r="25" spans="1:11" ht="51.75" x14ac:dyDescent="0.25">
      <c r="A25" s="83" t="s">
        <v>1659</v>
      </c>
      <c r="B25" s="83" t="s">
        <v>3303</v>
      </c>
      <c r="C25" s="83" t="s">
        <v>3304</v>
      </c>
      <c r="D25" s="83" t="s">
        <v>3209</v>
      </c>
      <c r="E25" s="83" t="s">
        <v>3246</v>
      </c>
      <c r="F25" s="83" t="s">
        <v>3305</v>
      </c>
      <c r="G25" s="83" t="s">
        <v>3306</v>
      </c>
      <c r="H25" s="83">
        <v>5.6</v>
      </c>
      <c r="I25" s="83" t="s">
        <v>3229</v>
      </c>
      <c r="J25" s="83" t="s">
        <v>3280</v>
      </c>
      <c r="K25" s="83" t="s">
        <v>3215</v>
      </c>
    </row>
    <row r="26" spans="1:11" ht="26.25" x14ac:dyDescent="0.25">
      <c r="A26" s="83" t="s">
        <v>1657</v>
      </c>
      <c r="B26" s="83" t="s">
        <v>3307</v>
      </c>
      <c r="C26" s="83" t="s">
        <v>3308</v>
      </c>
      <c r="D26" s="83" t="s">
        <v>3209</v>
      </c>
      <c r="E26" s="83" t="s">
        <v>3246</v>
      </c>
      <c r="F26" s="83" t="s">
        <v>3309</v>
      </c>
      <c r="G26" s="83" t="s">
        <v>3310</v>
      </c>
      <c r="H26" s="83">
        <v>485.1</v>
      </c>
      <c r="I26" s="83" t="s">
        <v>3229</v>
      </c>
      <c r="J26" s="83" t="s">
        <v>3311</v>
      </c>
      <c r="K26" s="83" t="s">
        <v>3215</v>
      </c>
    </row>
    <row r="27" spans="1:11" ht="51.75" x14ac:dyDescent="0.25">
      <c r="A27" s="83" t="s">
        <v>1633</v>
      </c>
      <c r="B27" s="83" t="s">
        <v>3312</v>
      </c>
      <c r="C27" s="83" t="s">
        <v>3313</v>
      </c>
      <c r="D27" s="83" t="s">
        <v>3209</v>
      </c>
      <c r="E27" s="83" t="s">
        <v>3246</v>
      </c>
      <c r="F27" s="83" t="s">
        <v>3314</v>
      </c>
      <c r="G27" s="83" t="s">
        <v>3315</v>
      </c>
      <c r="H27" s="83">
        <v>170.1</v>
      </c>
      <c r="I27" s="83" t="s">
        <v>3229</v>
      </c>
      <c r="J27" s="83" t="s">
        <v>3238</v>
      </c>
      <c r="K27" s="83" t="s">
        <v>3215</v>
      </c>
    </row>
    <row r="28" spans="1:11" ht="39" x14ac:dyDescent="0.25">
      <c r="A28" s="83" t="s">
        <v>1666</v>
      </c>
      <c r="B28" s="83" t="s">
        <v>3316</v>
      </c>
      <c r="C28" s="83" t="s">
        <v>3317</v>
      </c>
      <c r="D28" s="83" t="s">
        <v>3209</v>
      </c>
      <c r="E28" s="83" t="s">
        <v>3246</v>
      </c>
      <c r="F28" s="83" t="s">
        <v>3318</v>
      </c>
      <c r="G28" s="83" t="s">
        <v>3319</v>
      </c>
      <c r="H28" s="83">
        <v>83.9</v>
      </c>
      <c r="I28" s="83" t="s">
        <v>3229</v>
      </c>
      <c r="J28" s="83" t="s">
        <v>3241</v>
      </c>
      <c r="K28" s="83" t="s">
        <v>3215</v>
      </c>
    </row>
    <row r="29" spans="1:11" ht="26.25" x14ac:dyDescent="0.25">
      <c r="A29" s="83" t="s">
        <v>1371</v>
      </c>
      <c r="B29" s="83" t="s">
        <v>3320</v>
      </c>
      <c r="C29" s="83" t="s">
        <v>3321</v>
      </c>
      <c r="D29" s="83" t="s">
        <v>3209</v>
      </c>
      <c r="E29" s="83" t="s">
        <v>3246</v>
      </c>
      <c r="F29" s="83" t="s">
        <v>3322</v>
      </c>
      <c r="G29" s="83" t="s">
        <v>3323</v>
      </c>
      <c r="H29" s="83">
        <v>5</v>
      </c>
      <c r="I29" s="83" t="s">
        <v>3229</v>
      </c>
      <c r="J29" s="83" t="s">
        <v>3324</v>
      </c>
      <c r="K29" s="83" t="s">
        <v>3215</v>
      </c>
    </row>
    <row r="30" spans="1:11" ht="51.75" x14ac:dyDescent="0.25">
      <c r="A30" s="83" t="s">
        <v>1378</v>
      </c>
      <c r="B30" s="83" t="s">
        <v>3325</v>
      </c>
      <c r="C30" s="83" t="s">
        <v>3326</v>
      </c>
      <c r="D30" s="83" t="s">
        <v>3209</v>
      </c>
      <c r="E30" s="83" t="s">
        <v>3246</v>
      </c>
      <c r="F30" s="83" t="s">
        <v>3327</v>
      </c>
      <c r="G30" s="83" t="s">
        <v>3237</v>
      </c>
      <c r="H30" s="83">
        <v>6</v>
      </c>
      <c r="I30" s="83" t="s">
        <v>3229</v>
      </c>
      <c r="J30" s="83" t="s">
        <v>3302</v>
      </c>
      <c r="K30" s="83" t="s">
        <v>3215</v>
      </c>
    </row>
    <row r="31" spans="1:11" ht="51.75" x14ac:dyDescent="0.25">
      <c r="A31" s="83" t="s">
        <v>1379</v>
      </c>
      <c r="B31" s="83" t="s">
        <v>3328</v>
      </c>
      <c r="C31" s="83" t="s">
        <v>3329</v>
      </c>
      <c r="D31" s="83" t="s">
        <v>3209</v>
      </c>
      <c r="E31" s="83" t="s">
        <v>3246</v>
      </c>
      <c r="F31" s="83" t="s">
        <v>3330</v>
      </c>
      <c r="G31" s="83" t="s">
        <v>3331</v>
      </c>
      <c r="H31" s="83">
        <v>7.5</v>
      </c>
      <c r="I31" s="83" t="s">
        <v>3229</v>
      </c>
      <c r="J31" s="83" t="s">
        <v>3332</v>
      </c>
      <c r="K31" s="83" t="s">
        <v>3215</v>
      </c>
    </row>
    <row r="32" spans="1:11" ht="51.75" x14ac:dyDescent="0.25">
      <c r="A32" s="83" t="s">
        <v>1382</v>
      </c>
      <c r="B32" s="83" t="s">
        <v>3333</v>
      </c>
      <c r="C32" s="83" t="s">
        <v>3334</v>
      </c>
      <c r="D32" s="83" t="s">
        <v>3209</v>
      </c>
      <c r="E32" s="83" t="s">
        <v>3246</v>
      </c>
      <c r="F32" s="83" t="s">
        <v>3335</v>
      </c>
      <c r="G32" s="83" t="s">
        <v>3336</v>
      </c>
      <c r="H32" s="83">
        <v>12</v>
      </c>
      <c r="I32" s="83" t="s">
        <v>3229</v>
      </c>
      <c r="J32" s="83" t="s">
        <v>3337</v>
      </c>
      <c r="K32" s="83" t="s">
        <v>3215</v>
      </c>
    </row>
    <row r="33" spans="1:11" ht="39" x14ac:dyDescent="0.25">
      <c r="A33" s="83" t="s">
        <v>148</v>
      </c>
      <c r="B33" s="83" t="s">
        <v>3338</v>
      </c>
      <c r="C33" s="83" t="s">
        <v>3339</v>
      </c>
      <c r="D33" s="83" t="s">
        <v>3209</v>
      </c>
      <c r="E33" s="83" t="s">
        <v>3246</v>
      </c>
      <c r="F33" s="83" t="s">
        <v>3340</v>
      </c>
      <c r="G33" s="83" t="s">
        <v>3341</v>
      </c>
      <c r="H33" s="83">
        <v>76.8</v>
      </c>
      <c r="I33" s="83" t="s">
        <v>3229</v>
      </c>
      <c r="J33" s="83" t="s">
        <v>3241</v>
      </c>
      <c r="K33" s="83" t="s">
        <v>3215</v>
      </c>
    </row>
    <row r="34" spans="1:11" ht="51.75" x14ac:dyDescent="0.25">
      <c r="A34" s="83" t="s">
        <v>1642</v>
      </c>
      <c r="B34" s="83" t="s">
        <v>3342</v>
      </c>
      <c r="C34" s="83" t="s">
        <v>3343</v>
      </c>
      <c r="D34" s="83" t="s">
        <v>3209</v>
      </c>
      <c r="E34" s="83" t="s">
        <v>3246</v>
      </c>
      <c r="F34" s="83" t="s">
        <v>3344</v>
      </c>
      <c r="G34" s="83" t="s">
        <v>3345</v>
      </c>
      <c r="H34" s="83">
        <v>62.4</v>
      </c>
      <c r="I34" s="83" t="s">
        <v>3213</v>
      </c>
      <c r="J34" s="83" t="s">
        <v>3271</v>
      </c>
      <c r="K34" s="83" t="s">
        <v>3215</v>
      </c>
    </row>
    <row r="35" spans="1:11" ht="51.75" x14ac:dyDescent="0.25">
      <c r="A35" s="83" t="s">
        <v>1671</v>
      </c>
      <c r="B35" s="83" t="s">
        <v>3346</v>
      </c>
      <c r="C35" s="83" t="s">
        <v>3347</v>
      </c>
      <c r="D35" s="83" t="s">
        <v>3209</v>
      </c>
      <c r="E35" s="83" t="s">
        <v>3246</v>
      </c>
      <c r="F35" s="83" t="s">
        <v>3344</v>
      </c>
      <c r="G35" s="83" t="s">
        <v>3348</v>
      </c>
      <c r="H35" s="83">
        <v>0.5</v>
      </c>
      <c r="I35" s="83" t="s">
        <v>3229</v>
      </c>
      <c r="J35" s="83" t="s">
        <v>3280</v>
      </c>
      <c r="K35" s="83" t="s">
        <v>3215</v>
      </c>
    </row>
    <row r="36" spans="1:11" ht="51.75" x14ac:dyDescent="0.25">
      <c r="A36" s="83" t="s">
        <v>1630</v>
      </c>
      <c r="B36" s="83" t="s">
        <v>3349</v>
      </c>
      <c r="C36" s="83" t="s">
        <v>3350</v>
      </c>
      <c r="D36" s="83" t="s">
        <v>3209</v>
      </c>
      <c r="E36" s="83" t="s">
        <v>3246</v>
      </c>
      <c r="F36" s="83" t="s">
        <v>3351</v>
      </c>
      <c r="G36" s="83" t="s">
        <v>3352</v>
      </c>
      <c r="H36" s="83">
        <v>128.4</v>
      </c>
      <c r="I36" s="83" t="s">
        <v>3229</v>
      </c>
      <c r="J36" s="83" t="s">
        <v>3289</v>
      </c>
      <c r="K36" s="83" t="s">
        <v>3215</v>
      </c>
    </row>
    <row r="37" spans="1:11" ht="51.75" x14ac:dyDescent="0.25">
      <c r="A37" s="83" t="s">
        <v>1640</v>
      </c>
      <c r="B37" s="83" t="s">
        <v>3353</v>
      </c>
      <c r="C37" s="83" t="s">
        <v>3354</v>
      </c>
      <c r="D37" s="83" t="s">
        <v>3209</v>
      </c>
      <c r="E37" s="83" t="s">
        <v>3246</v>
      </c>
      <c r="F37" s="83" t="s">
        <v>3351</v>
      </c>
      <c r="G37" s="83" t="s">
        <v>3355</v>
      </c>
      <c r="H37" s="83">
        <v>80.7</v>
      </c>
      <c r="I37" s="83" t="s">
        <v>3229</v>
      </c>
      <c r="J37" s="83" t="s">
        <v>3289</v>
      </c>
      <c r="K37" s="83" t="s">
        <v>3215</v>
      </c>
    </row>
    <row r="38" spans="1:11" ht="39" x14ac:dyDescent="0.25">
      <c r="A38" s="83" t="s">
        <v>1672</v>
      </c>
      <c r="B38" s="83" t="s">
        <v>3356</v>
      </c>
      <c r="C38" s="83" t="s">
        <v>3357</v>
      </c>
      <c r="D38" s="83" t="s">
        <v>3209</v>
      </c>
      <c r="E38" s="83" t="s">
        <v>3246</v>
      </c>
      <c r="F38" s="83" t="s">
        <v>3351</v>
      </c>
      <c r="G38" s="83" t="s">
        <v>3358</v>
      </c>
      <c r="H38" s="83">
        <v>17</v>
      </c>
      <c r="I38" s="83" t="s">
        <v>3229</v>
      </c>
      <c r="J38" s="83" t="s">
        <v>3241</v>
      </c>
      <c r="K38" s="83" t="s">
        <v>3215</v>
      </c>
    </row>
    <row r="39" spans="1:11" ht="51.75" x14ac:dyDescent="0.25">
      <c r="A39" s="83" t="s">
        <v>1635</v>
      </c>
      <c r="B39" s="83" t="s">
        <v>3359</v>
      </c>
      <c r="C39" s="83" t="s">
        <v>3360</v>
      </c>
      <c r="D39" s="83" t="s">
        <v>3209</v>
      </c>
      <c r="E39" s="83" t="s">
        <v>3246</v>
      </c>
      <c r="F39" s="83" t="s">
        <v>3361</v>
      </c>
      <c r="G39" s="83" t="s">
        <v>3362</v>
      </c>
      <c r="H39" s="83">
        <v>110</v>
      </c>
      <c r="I39" s="83" t="s">
        <v>3229</v>
      </c>
      <c r="J39" s="83" t="s">
        <v>3230</v>
      </c>
      <c r="K39" s="83" t="s">
        <v>3215</v>
      </c>
    </row>
    <row r="40" spans="1:11" ht="51.75" x14ac:dyDescent="0.25">
      <c r="A40" s="83" t="s">
        <v>1574</v>
      </c>
      <c r="B40" s="83" t="s">
        <v>3363</v>
      </c>
      <c r="C40" s="83" t="s">
        <v>3364</v>
      </c>
      <c r="D40" s="83" t="s">
        <v>3209</v>
      </c>
      <c r="E40" s="83" t="s">
        <v>3246</v>
      </c>
      <c r="F40" s="83" t="s">
        <v>3365</v>
      </c>
      <c r="G40" s="83" t="s">
        <v>3366</v>
      </c>
      <c r="H40" s="83">
        <v>105.5</v>
      </c>
      <c r="I40" s="83" t="s">
        <v>3213</v>
      </c>
      <c r="J40" s="83" t="s">
        <v>3257</v>
      </c>
      <c r="K40" s="83" t="s">
        <v>3215</v>
      </c>
    </row>
    <row r="41" spans="1:11" ht="51.75" x14ac:dyDescent="0.25">
      <c r="A41" s="83" t="s">
        <v>1575</v>
      </c>
      <c r="B41" s="83" t="s">
        <v>3367</v>
      </c>
      <c r="C41" s="83" t="s">
        <v>3368</v>
      </c>
      <c r="D41" s="83" t="s">
        <v>3209</v>
      </c>
      <c r="E41" s="83" t="s">
        <v>3246</v>
      </c>
      <c r="F41" s="83" t="s">
        <v>3369</v>
      </c>
      <c r="G41" s="83" t="s">
        <v>3370</v>
      </c>
      <c r="H41" s="83">
        <v>29.9</v>
      </c>
      <c r="I41" s="83" t="s">
        <v>3229</v>
      </c>
      <c r="J41" s="83" t="s">
        <v>3371</v>
      </c>
      <c r="K41" s="83" t="s">
        <v>3215</v>
      </c>
    </row>
    <row r="42" spans="1:11" ht="51.75" x14ac:dyDescent="0.25">
      <c r="A42" s="83" t="s">
        <v>1577</v>
      </c>
      <c r="B42" s="83" t="s">
        <v>3372</v>
      </c>
      <c r="C42" s="83" t="s">
        <v>3373</v>
      </c>
      <c r="D42" s="83" t="s">
        <v>3209</v>
      </c>
      <c r="E42" s="83" t="s">
        <v>3246</v>
      </c>
      <c r="F42" s="83" t="s">
        <v>3374</v>
      </c>
      <c r="G42" s="83" t="s">
        <v>3375</v>
      </c>
      <c r="H42" s="83">
        <v>357</v>
      </c>
      <c r="I42" s="83" t="s">
        <v>3229</v>
      </c>
      <c r="J42" s="83" t="s">
        <v>3230</v>
      </c>
      <c r="K42" s="83" t="s">
        <v>3215</v>
      </c>
    </row>
    <row r="43" spans="1:11" ht="64.5" x14ac:dyDescent="0.25">
      <c r="A43" s="83" t="s">
        <v>1583</v>
      </c>
      <c r="B43" s="83" t="s">
        <v>3376</v>
      </c>
      <c r="C43" s="83" t="s">
        <v>3377</v>
      </c>
      <c r="D43" s="83" t="s">
        <v>3209</v>
      </c>
      <c r="E43" s="83" t="s">
        <v>3246</v>
      </c>
      <c r="F43" s="83" t="s">
        <v>3378</v>
      </c>
      <c r="G43" s="83" t="s">
        <v>3379</v>
      </c>
      <c r="H43" s="83">
        <v>46</v>
      </c>
      <c r="I43" s="83" t="s">
        <v>3229</v>
      </c>
      <c r="J43" s="83" t="s">
        <v>3380</v>
      </c>
      <c r="K43" s="83" t="s">
        <v>3215</v>
      </c>
    </row>
    <row r="44" spans="1:11" ht="26.25" x14ac:dyDescent="0.25">
      <c r="A44" s="83" t="s">
        <v>1585</v>
      </c>
      <c r="B44" s="83" t="s">
        <v>3381</v>
      </c>
      <c r="C44" s="83" t="s">
        <v>3382</v>
      </c>
      <c r="D44" s="83" t="s">
        <v>3209</v>
      </c>
      <c r="E44" s="83" t="s">
        <v>3246</v>
      </c>
      <c r="F44" s="83" t="s">
        <v>3383</v>
      </c>
      <c r="G44" s="83" t="s">
        <v>3384</v>
      </c>
      <c r="H44" s="83">
        <v>72.2</v>
      </c>
      <c r="I44" s="83" t="s">
        <v>3229</v>
      </c>
      <c r="J44" s="83" t="s">
        <v>3311</v>
      </c>
      <c r="K44" s="83" t="s">
        <v>3215</v>
      </c>
    </row>
    <row r="45" spans="1:11" ht="51.75" x14ac:dyDescent="0.25">
      <c r="A45" s="83" t="s">
        <v>1549</v>
      </c>
      <c r="B45" s="83" t="s">
        <v>3385</v>
      </c>
      <c r="C45" s="83" t="s">
        <v>3386</v>
      </c>
      <c r="D45" s="83" t="s">
        <v>3209</v>
      </c>
      <c r="E45" s="83" t="s">
        <v>3246</v>
      </c>
      <c r="F45" s="83" t="s">
        <v>3387</v>
      </c>
      <c r="G45" s="83" t="s">
        <v>3388</v>
      </c>
      <c r="H45" s="83">
        <v>0.5</v>
      </c>
      <c r="I45" s="83" t="s">
        <v>3213</v>
      </c>
      <c r="J45" s="83" t="s">
        <v>3271</v>
      </c>
      <c r="K45" s="83" t="s">
        <v>3215</v>
      </c>
    </row>
    <row r="46" spans="1:11" ht="51.75" x14ac:dyDescent="0.25">
      <c r="A46" s="83" t="s">
        <v>1544</v>
      </c>
      <c r="B46" s="83" t="s">
        <v>3389</v>
      </c>
      <c r="C46" s="83" t="s">
        <v>3390</v>
      </c>
      <c r="D46" s="83" t="s">
        <v>3209</v>
      </c>
      <c r="E46" s="83" t="s">
        <v>3246</v>
      </c>
      <c r="F46" s="83" t="s">
        <v>3391</v>
      </c>
      <c r="G46" s="83" t="s">
        <v>3392</v>
      </c>
      <c r="H46" s="83">
        <v>64</v>
      </c>
      <c r="I46" s="83" t="s">
        <v>3229</v>
      </c>
      <c r="J46" s="83" t="s">
        <v>3289</v>
      </c>
      <c r="K46" s="83" t="s">
        <v>3215</v>
      </c>
    </row>
    <row r="47" spans="1:11" ht="26.25" x14ac:dyDescent="0.25">
      <c r="A47" s="83" t="s">
        <v>1547</v>
      </c>
      <c r="B47" s="83" t="s">
        <v>3393</v>
      </c>
      <c r="C47" s="83" t="s">
        <v>3394</v>
      </c>
      <c r="D47" s="83" t="s">
        <v>3209</v>
      </c>
      <c r="E47" s="83" t="s">
        <v>3246</v>
      </c>
      <c r="F47" s="83" t="s">
        <v>3395</v>
      </c>
      <c r="G47" s="83" t="s">
        <v>3396</v>
      </c>
      <c r="H47" s="83">
        <v>36</v>
      </c>
      <c r="I47" s="83" t="s">
        <v>3229</v>
      </c>
      <c r="J47" s="83" t="s">
        <v>3397</v>
      </c>
      <c r="K47" s="83" t="s">
        <v>3215</v>
      </c>
    </row>
    <row r="48" spans="1:11" ht="51.75" x14ac:dyDescent="0.25">
      <c r="A48" s="83" t="s">
        <v>1534</v>
      </c>
      <c r="B48" s="83" t="s">
        <v>3398</v>
      </c>
      <c r="C48" s="83" t="s">
        <v>3399</v>
      </c>
      <c r="D48" s="83" t="s">
        <v>3209</v>
      </c>
      <c r="E48" s="83" t="s">
        <v>3246</v>
      </c>
      <c r="F48" s="83" t="s">
        <v>3400</v>
      </c>
      <c r="G48" s="83" t="s">
        <v>3401</v>
      </c>
      <c r="H48" s="83">
        <v>154.1</v>
      </c>
      <c r="I48" s="83" t="s">
        <v>3229</v>
      </c>
      <c r="J48" s="83" t="s">
        <v>3289</v>
      </c>
      <c r="K48" s="83" t="s">
        <v>3215</v>
      </c>
    </row>
    <row r="49" spans="1:11" ht="51.75" x14ac:dyDescent="0.25">
      <c r="A49" s="83" t="s">
        <v>49</v>
      </c>
      <c r="B49" s="83" t="s">
        <v>3402</v>
      </c>
      <c r="C49" s="83" t="s">
        <v>3403</v>
      </c>
      <c r="D49" s="83" t="s">
        <v>3209</v>
      </c>
      <c r="E49" s="83" t="s">
        <v>3246</v>
      </c>
      <c r="F49" s="83" t="s">
        <v>3400</v>
      </c>
      <c r="G49" s="83" t="s">
        <v>3404</v>
      </c>
      <c r="H49" s="83">
        <v>53.5</v>
      </c>
      <c r="I49" s="83" t="s">
        <v>3229</v>
      </c>
      <c r="J49" s="83" t="s">
        <v>3371</v>
      </c>
      <c r="K49" s="83" t="s">
        <v>3215</v>
      </c>
    </row>
    <row r="50" spans="1:11" ht="51.75" x14ac:dyDescent="0.25">
      <c r="A50" s="83" t="s">
        <v>1292</v>
      </c>
      <c r="B50" s="83" t="s">
        <v>3405</v>
      </c>
      <c r="C50" s="83" t="s">
        <v>3406</v>
      </c>
      <c r="D50" s="83" t="s">
        <v>3209</v>
      </c>
      <c r="E50" s="83" t="s">
        <v>3246</v>
      </c>
      <c r="F50" s="83" t="s">
        <v>3407</v>
      </c>
      <c r="G50" s="83" t="s">
        <v>3408</v>
      </c>
      <c r="H50" s="83">
        <v>70</v>
      </c>
      <c r="I50" s="83" t="s">
        <v>3229</v>
      </c>
      <c r="J50" s="83" t="s">
        <v>3289</v>
      </c>
      <c r="K50" s="83" t="s">
        <v>3215</v>
      </c>
    </row>
    <row r="51" spans="1:11" ht="64.5" x14ac:dyDescent="0.25">
      <c r="A51" s="83" t="s">
        <v>1294</v>
      </c>
      <c r="B51" s="83" t="s">
        <v>3409</v>
      </c>
      <c r="C51" s="83" t="s">
        <v>3410</v>
      </c>
      <c r="D51" s="83" t="s">
        <v>3209</v>
      </c>
      <c r="E51" s="83" t="s">
        <v>3246</v>
      </c>
      <c r="F51" s="83" t="s">
        <v>3411</v>
      </c>
      <c r="G51" s="83" t="s">
        <v>3412</v>
      </c>
      <c r="H51" s="83">
        <v>23.1</v>
      </c>
      <c r="I51" s="83" t="s">
        <v>3213</v>
      </c>
      <c r="J51" s="83" t="s">
        <v>3413</v>
      </c>
      <c r="K51" s="83" t="s">
        <v>3215</v>
      </c>
    </row>
    <row r="52" spans="1:11" ht="51.75" x14ac:dyDescent="0.25">
      <c r="A52" s="83" t="s">
        <v>1300</v>
      </c>
      <c r="B52" s="83" t="s">
        <v>3414</v>
      </c>
      <c r="C52" s="83" t="s">
        <v>3415</v>
      </c>
      <c r="D52" s="83" t="s">
        <v>3209</v>
      </c>
      <c r="E52" s="83" t="s">
        <v>3246</v>
      </c>
      <c r="F52" s="83" t="s">
        <v>3416</v>
      </c>
      <c r="G52" s="83" t="s">
        <v>3417</v>
      </c>
      <c r="H52" s="83">
        <v>42</v>
      </c>
      <c r="I52" s="83" t="s">
        <v>3213</v>
      </c>
      <c r="J52" s="83" t="s">
        <v>3214</v>
      </c>
      <c r="K52" s="83" t="s">
        <v>3215</v>
      </c>
    </row>
    <row r="53" spans="1:11" ht="51.75" x14ac:dyDescent="0.25">
      <c r="A53" s="83" t="s">
        <v>1302</v>
      </c>
      <c r="B53" s="83" t="s">
        <v>3418</v>
      </c>
      <c r="C53" s="83" t="s">
        <v>3419</v>
      </c>
      <c r="D53" s="83" t="s">
        <v>3209</v>
      </c>
      <c r="E53" s="83" t="s">
        <v>3246</v>
      </c>
      <c r="F53" s="83" t="s">
        <v>3416</v>
      </c>
      <c r="G53" s="83" t="s">
        <v>3417</v>
      </c>
      <c r="H53" s="83">
        <v>61</v>
      </c>
      <c r="I53" s="83" t="s">
        <v>3213</v>
      </c>
      <c r="J53" s="83" t="s">
        <v>3214</v>
      </c>
      <c r="K53" s="83" t="s">
        <v>3215</v>
      </c>
    </row>
    <row r="54" spans="1:11" ht="64.5" x14ac:dyDescent="0.25">
      <c r="A54" s="83" t="s">
        <v>1310</v>
      </c>
      <c r="B54" s="83" t="s">
        <v>3420</v>
      </c>
      <c r="C54" s="83" t="s">
        <v>3421</v>
      </c>
      <c r="D54" s="83" t="s">
        <v>3209</v>
      </c>
      <c r="E54" s="83" t="s">
        <v>3246</v>
      </c>
      <c r="F54" s="83" t="s">
        <v>3422</v>
      </c>
      <c r="G54" s="83" t="s">
        <v>3423</v>
      </c>
      <c r="H54" s="83">
        <v>8.6</v>
      </c>
      <c r="I54" s="83" t="s">
        <v>3213</v>
      </c>
      <c r="J54" s="83" t="s">
        <v>3219</v>
      </c>
      <c r="K54" s="83" t="s">
        <v>3215</v>
      </c>
    </row>
    <row r="55" spans="1:11" ht="51.75" x14ac:dyDescent="0.25">
      <c r="A55" s="83" t="s">
        <v>38</v>
      </c>
      <c r="B55" s="83" t="s">
        <v>3424</v>
      </c>
      <c r="C55" s="83" t="s">
        <v>3425</v>
      </c>
      <c r="D55" s="83" t="s">
        <v>3209</v>
      </c>
      <c r="E55" s="83" t="s">
        <v>3246</v>
      </c>
      <c r="F55" s="83" t="s">
        <v>3426</v>
      </c>
      <c r="G55" s="83" t="s">
        <v>3427</v>
      </c>
      <c r="H55" s="83">
        <v>27</v>
      </c>
      <c r="I55" s="83" t="s">
        <v>3213</v>
      </c>
      <c r="J55" s="83" t="s">
        <v>3214</v>
      </c>
      <c r="K55" s="83" t="s">
        <v>3215</v>
      </c>
    </row>
    <row r="56" spans="1:11" ht="51.75" x14ac:dyDescent="0.25">
      <c r="A56" s="83" t="s">
        <v>1450</v>
      </c>
      <c r="B56" s="83" t="s">
        <v>3428</v>
      </c>
      <c r="C56" s="83" t="s">
        <v>3429</v>
      </c>
      <c r="D56" s="83" t="s">
        <v>3209</v>
      </c>
      <c r="E56" s="83" t="s">
        <v>3246</v>
      </c>
      <c r="F56" s="83" t="s">
        <v>3430</v>
      </c>
      <c r="G56" s="83" t="s">
        <v>3431</v>
      </c>
      <c r="H56" s="83">
        <v>60</v>
      </c>
      <c r="I56" s="83" t="s">
        <v>3213</v>
      </c>
      <c r="J56" s="83" t="s">
        <v>3257</v>
      </c>
      <c r="K56" s="83" t="s">
        <v>3215</v>
      </c>
    </row>
    <row r="57" spans="1:11" ht="64.5" x14ac:dyDescent="0.25">
      <c r="A57" s="83" t="s">
        <v>1454</v>
      </c>
      <c r="B57" s="83" t="s">
        <v>3432</v>
      </c>
      <c r="C57" s="83" t="s">
        <v>3433</v>
      </c>
      <c r="D57" s="83" t="s">
        <v>3209</v>
      </c>
      <c r="E57" s="83" t="s">
        <v>3246</v>
      </c>
      <c r="F57" s="83" t="s">
        <v>3434</v>
      </c>
      <c r="G57" s="83" t="s">
        <v>3435</v>
      </c>
      <c r="H57" s="83">
        <v>35</v>
      </c>
      <c r="I57" s="83" t="s">
        <v>3213</v>
      </c>
      <c r="J57" s="83" t="s">
        <v>3436</v>
      </c>
      <c r="K57" s="83" t="s">
        <v>3215</v>
      </c>
    </row>
    <row r="58" spans="1:11" ht="51.75" x14ac:dyDescent="0.25">
      <c r="A58" s="83" t="s">
        <v>56</v>
      </c>
      <c r="B58" s="83" t="s">
        <v>3437</v>
      </c>
      <c r="C58" s="83" t="s">
        <v>3438</v>
      </c>
      <c r="D58" s="83" t="s">
        <v>3209</v>
      </c>
      <c r="E58" s="83" t="s">
        <v>3246</v>
      </c>
      <c r="F58" s="83" t="s">
        <v>3439</v>
      </c>
      <c r="G58" s="83" t="s">
        <v>3440</v>
      </c>
      <c r="H58" s="83">
        <v>288</v>
      </c>
      <c r="I58" s="83" t="s">
        <v>3213</v>
      </c>
      <c r="J58" s="83" t="s">
        <v>3257</v>
      </c>
      <c r="K58" s="83" t="s">
        <v>3215</v>
      </c>
    </row>
    <row r="59" spans="1:11" ht="51.75" x14ac:dyDescent="0.25">
      <c r="A59" s="83" t="s">
        <v>1344</v>
      </c>
      <c r="B59" s="83" t="s">
        <v>3441</v>
      </c>
      <c r="C59" s="83" t="s">
        <v>3442</v>
      </c>
      <c r="D59" s="83" t="s">
        <v>3209</v>
      </c>
      <c r="E59" s="83" t="s">
        <v>3246</v>
      </c>
      <c r="F59" s="83" t="s">
        <v>3443</v>
      </c>
      <c r="G59" s="83" t="s">
        <v>3444</v>
      </c>
      <c r="H59" s="83">
        <v>89</v>
      </c>
      <c r="I59" s="83" t="s">
        <v>3213</v>
      </c>
      <c r="J59" s="83" t="s">
        <v>3257</v>
      </c>
      <c r="K59" s="83" t="s">
        <v>3215</v>
      </c>
    </row>
    <row r="60" spans="1:11" ht="51.75" x14ac:dyDescent="0.25">
      <c r="A60" s="83" t="s">
        <v>1367</v>
      </c>
      <c r="B60" s="83" t="s">
        <v>3445</v>
      </c>
      <c r="C60" s="83" t="s">
        <v>3446</v>
      </c>
      <c r="D60" s="83" t="s">
        <v>3209</v>
      </c>
      <c r="E60" s="83" t="s">
        <v>3246</v>
      </c>
      <c r="F60" s="83" t="s">
        <v>3447</v>
      </c>
      <c r="G60" s="83" t="s">
        <v>3448</v>
      </c>
      <c r="H60" s="83">
        <v>16</v>
      </c>
      <c r="I60" s="83" t="s">
        <v>3229</v>
      </c>
      <c r="J60" s="83" t="s">
        <v>3238</v>
      </c>
      <c r="K60" s="83" t="s">
        <v>3215</v>
      </c>
    </row>
    <row r="61" spans="1:11" ht="64.5" x14ac:dyDescent="0.25">
      <c r="A61" s="83" t="s">
        <v>1348</v>
      </c>
      <c r="B61" s="83" t="s">
        <v>3449</v>
      </c>
      <c r="C61" s="83" t="s">
        <v>3316</v>
      </c>
      <c r="D61" s="83" t="s">
        <v>3209</v>
      </c>
      <c r="E61" s="83" t="s">
        <v>3246</v>
      </c>
      <c r="F61" s="83" t="s">
        <v>3450</v>
      </c>
      <c r="G61" s="83" t="s">
        <v>3451</v>
      </c>
      <c r="H61" s="83">
        <v>9</v>
      </c>
      <c r="I61" s="83" t="s">
        <v>3213</v>
      </c>
      <c r="J61" s="83" t="s">
        <v>3413</v>
      </c>
      <c r="K61" s="83" t="s">
        <v>3215</v>
      </c>
    </row>
    <row r="62" spans="1:11" ht="26.25" x14ac:dyDescent="0.25">
      <c r="A62" s="83" t="s">
        <v>1368</v>
      </c>
      <c r="B62" s="83" t="s">
        <v>3452</v>
      </c>
      <c r="C62" s="83" t="s">
        <v>3453</v>
      </c>
      <c r="D62" s="83" t="s">
        <v>3209</v>
      </c>
      <c r="E62" s="83" t="s">
        <v>3246</v>
      </c>
      <c r="F62" s="83" t="s">
        <v>3454</v>
      </c>
      <c r="G62" s="83" t="s">
        <v>3455</v>
      </c>
      <c r="H62" s="83">
        <v>19</v>
      </c>
      <c r="I62" s="83" t="s">
        <v>3229</v>
      </c>
      <c r="J62" s="83" t="s">
        <v>3222</v>
      </c>
      <c r="K62" s="83" t="s">
        <v>3215</v>
      </c>
    </row>
    <row r="63" spans="1:11" ht="64.5" x14ac:dyDescent="0.25">
      <c r="A63" s="83" t="s">
        <v>1360</v>
      </c>
      <c r="B63" s="83" t="s">
        <v>3456</v>
      </c>
      <c r="C63" s="83" t="s">
        <v>3457</v>
      </c>
      <c r="D63" s="83" t="s">
        <v>3209</v>
      </c>
      <c r="E63" s="83" t="s">
        <v>3246</v>
      </c>
      <c r="F63" s="83" t="s">
        <v>3458</v>
      </c>
      <c r="G63" s="83" t="s">
        <v>3412</v>
      </c>
      <c r="H63" s="83">
        <v>47.8</v>
      </c>
      <c r="I63" s="83" t="s">
        <v>3213</v>
      </c>
      <c r="J63" s="83" t="s">
        <v>3413</v>
      </c>
      <c r="K63" s="83" t="s">
        <v>3215</v>
      </c>
    </row>
    <row r="64" spans="1:11" ht="64.5" x14ac:dyDescent="0.25">
      <c r="A64" s="83" t="s">
        <v>1363</v>
      </c>
      <c r="B64" s="83" t="s">
        <v>3459</v>
      </c>
      <c r="C64" s="83" t="s">
        <v>3460</v>
      </c>
      <c r="D64" s="83" t="s">
        <v>3209</v>
      </c>
      <c r="E64" s="83" t="s">
        <v>3246</v>
      </c>
      <c r="F64" s="83" t="s">
        <v>3461</v>
      </c>
      <c r="G64" s="83" t="s">
        <v>3462</v>
      </c>
      <c r="H64" s="83">
        <v>3.2</v>
      </c>
      <c r="I64" s="83" t="s">
        <v>3229</v>
      </c>
      <c r="J64" s="83" t="s">
        <v>3380</v>
      </c>
      <c r="K64" s="83" t="s">
        <v>3215</v>
      </c>
    </row>
    <row r="65" spans="1:11" ht="26.25" x14ac:dyDescent="0.25">
      <c r="A65" s="83" t="s">
        <v>1319</v>
      </c>
      <c r="B65" s="83" t="s">
        <v>3463</v>
      </c>
      <c r="C65" s="83" t="s">
        <v>3464</v>
      </c>
      <c r="D65" s="83" t="s">
        <v>3209</v>
      </c>
      <c r="E65" s="83" t="s">
        <v>3246</v>
      </c>
      <c r="F65" s="83" t="s">
        <v>3465</v>
      </c>
      <c r="G65" s="83" t="s">
        <v>3466</v>
      </c>
      <c r="H65" s="83">
        <v>10.9</v>
      </c>
      <c r="I65" s="83" t="s">
        <v>3213</v>
      </c>
      <c r="J65" s="83" t="s">
        <v>3467</v>
      </c>
      <c r="K65" s="83" t="s">
        <v>3215</v>
      </c>
    </row>
    <row r="66" spans="1:11" ht="51.75" x14ac:dyDescent="0.25">
      <c r="A66" s="83" t="s">
        <v>1327</v>
      </c>
      <c r="B66" s="83" t="s">
        <v>3468</v>
      </c>
      <c r="C66" s="83" t="s">
        <v>3469</v>
      </c>
      <c r="D66" s="83" t="s">
        <v>3209</v>
      </c>
      <c r="E66" s="83" t="s">
        <v>3246</v>
      </c>
      <c r="F66" s="83" t="s">
        <v>3470</v>
      </c>
      <c r="G66" s="83" t="s">
        <v>3471</v>
      </c>
      <c r="H66" s="83">
        <v>0.3</v>
      </c>
      <c r="I66" s="83" t="s">
        <v>3229</v>
      </c>
      <c r="J66" s="83" t="s">
        <v>3337</v>
      </c>
      <c r="K66" s="83" t="s">
        <v>3215</v>
      </c>
    </row>
    <row r="67" spans="1:11" ht="64.5" x14ac:dyDescent="0.25">
      <c r="A67" s="83" t="s">
        <v>1330</v>
      </c>
      <c r="B67" s="83" t="s">
        <v>3472</v>
      </c>
      <c r="C67" s="83" t="s">
        <v>3473</v>
      </c>
      <c r="D67" s="83" t="s">
        <v>3209</v>
      </c>
      <c r="E67" s="83" t="s">
        <v>3246</v>
      </c>
      <c r="F67" s="83" t="s">
        <v>3474</v>
      </c>
      <c r="G67" s="83" t="s">
        <v>3475</v>
      </c>
      <c r="H67" s="83">
        <v>290</v>
      </c>
      <c r="I67" s="83" t="s">
        <v>3213</v>
      </c>
      <c r="J67" s="83" t="s">
        <v>3219</v>
      </c>
      <c r="K67" s="83" t="s">
        <v>3215</v>
      </c>
    </row>
    <row r="68" spans="1:11" ht="64.5" x14ac:dyDescent="0.25">
      <c r="A68" s="83" t="s">
        <v>1332</v>
      </c>
      <c r="B68" s="83" t="s">
        <v>3472</v>
      </c>
      <c r="C68" s="83" t="s">
        <v>3476</v>
      </c>
      <c r="D68" s="83" t="s">
        <v>3209</v>
      </c>
      <c r="E68" s="83" t="s">
        <v>3246</v>
      </c>
      <c r="F68" s="83" t="s">
        <v>3474</v>
      </c>
      <c r="G68" s="83" t="s">
        <v>3477</v>
      </c>
      <c r="H68" s="83">
        <v>290</v>
      </c>
      <c r="I68" s="83" t="s">
        <v>3213</v>
      </c>
      <c r="J68" s="83" t="s">
        <v>3219</v>
      </c>
      <c r="K68" s="83" t="s">
        <v>3215</v>
      </c>
    </row>
    <row r="69" spans="1:11" ht="51.75" x14ac:dyDescent="0.25">
      <c r="A69" s="83" t="s">
        <v>1333</v>
      </c>
      <c r="B69" s="83" t="s">
        <v>3478</v>
      </c>
      <c r="C69" s="83" t="s">
        <v>3479</v>
      </c>
      <c r="D69" s="83" t="s">
        <v>3209</v>
      </c>
      <c r="E69" s="83" t="s">
        <v>3246</v>
      </c>
      <c r="F69" s="83" t="s">
        <v>3480</v>
      </c>
      <c r="G69" s="83" t="s">
        <v>3481</v>
      </c>
      <c r="H69" s="83">
        <v>43.5</v>
      </c>
      <c r="I69" s="83" t="s">
        <v>3229</v>
      </c>
      <c r="J69" s="83" t="s">
        <v>3289</v>
      </c>
      <c r="K69" s="83" t="s">
        <v>3215</v>
      </c>
    </row>
    <row r="70" spans="1:11" ht="51.75" x14ac:dyDescent="0.25">
      <c r="A70" s="83" t="s">
        <v>1279</v>
      </c>
      <c r="B70" s="83" t="s">
        <v>3482</v>
      </c>
      <c r="C70" s="83" t="s">
        <v>3483</v>
      </c>
      <c r="D70" s="83" t="s">
        <v>3209</v>
      </c>
      <c r="E70" s="83" t="s">
        <v>3246</v>
      </c>
      <c r="F70" s="83" t="s">
        <v>3484</v>
      </c>
      <c r="G70" s="83" t="s">
        <v>3237</v>
      </c>
      <c r="H70" s="83">
        <v>51</v>
      </c>
      <c r="I70" s="83" t="s">
        <v>3229</v>
      </c>
      <c r="J70" s="83" t="s">
        <v>3238</v>
      </c>
      <c r="K70" s="83" t="s">
        <v>3215</v>
      </c>
    </row>
    <row r="71" spans="1:11" ht="64.5" x14ac:dyDescent="0.25">
      <c r="A71" s="83" t="s">
        <v>1267</v>
      </c>
      <c r="B71" s="83" t="s">
        <v>3485</v>
      </c>
      <c r="C71" s="83" t="s">
        <v>3486</v>
      </c>
      <c r="D71" s="83" t="s">
        <v>3209</v>
      </c>
      <c r="E71" s="83" t="s">
        <v>3246</v>
      </c>
      <c r="F71" s="83" t="s">
        <v>3487</v>
      </c>
      <c r="G71" s="83" t="s">
        <v>3488</v>
      </c>
      <c r="H71" s="83">
        <v>144</v>
      </c>
      <c r="I71" s="83" t="s">
        <v>3213</v>
      </c>
      <c r="J71" s="83" t="s">
        <v>3262</v>
      </c>
      <c r="K71" s="83" t="s">
        <v>3215</v>
      </c>
    </row>
    <row r="72" spans="1:11" ht="51.75" x14ac:dyDescent="0.25">
      <c r="A72" s="83" t="s">
        <v>1252</v>
      </c>
      <c r="B72" s="83" t="s">
        <v>3489</v>
      </c>
      <c r="C72" s="83" t="s">
        <v>3490</v>
      </c>
      <c r="D72" s="83" t="s">
        <v>3209</v>
      </c>
      <c r="E72" s="83" t="s">
        <v>3246</v>
      </c>
      <c r="F72" s="83" t="s">
        <v>3491</v>
      </c>
      <c r="G72" s="83" t="s">
        <v>3492</v>
      </c>
      <c r="H72" s="83">
        <v>12.5</v>
      </c>
      <c r="I72" s="83" t="s">
        <v>3229</v>
      </c>
      <c r="J72" s="83" t="s">
        <v>3371</v>
      </c>
      <c r="K72" s="83" t="s">
        <v>3215</v>
      </c>
    </row>
    <row r="73" spans="1:11" ht="51.75" x14ac:dyDescent="0.25">
      <c r="A73" s="83" t="s">
        <v>1265</v>
      </c>
      <c r="B73" s="83" t="s">
        <v>3493</v>
      </c>
      <c r="C73" s="83" t="s">
        <v>3494</v>
      </c>
      <c r="D73" s="83" t="s">
        <v>3209</v>
      </c>
      <c r="E73" s="83" t="s">
        <v>3246</v>
      </c>
      <c r="F73" s="83" t="s">
        <v>3495</v>
      </c>
      <c r="G73" s="83" t="s">
        <v>3496</v>
      </c>
      <c r="H73" s="83">
        <v>14.2</v>
      </c>
      <c r="I73" s="83" t="s">
        <v>3229</v>
      </c>
      <c r="J73" s="83" t="s">
        <v>3238</v>
      </c>
      <c r="K73" s="83" t="s">
        <v>3215</v>
      </c>
    </row>
    <row r="74" spans="1:11" ht="64.5" x14ac:dyDescent="0.25">
      <c r="A74" s="83" t="s">
        <v>1241</v>
      </c>
      <c r="B74" s="83" t="s">
        <v>3497</v>
      </c>
      <c r="C74" s="83" t="s">
        <v>3498</v>
      </c>
      <c r="D74" s="83" t="s">
        <v>3209</v>
      </c>
      <c r="E74" s="83" t="s">
        <v>3246</v>
      </c>
      <c r="F74" s="83" t="s">
        <v>3499</v>
      </c>
      <c r="G74" s="83" t="s">
        <v>3500</v>
      </c>
      <c r="H74" s="83">
        <v>150</v>
      </c>
      <c r="I74" s="83" t="s">
        <v>3229</v>
      </c>
      <c r="J74" s="83" t="s">
        <v>3380</v>
      </c>
      <c r="K74" s="83" t="s">
        <v>3215</v>
      </c>
    </row>
    <row r="75" spans="1:11" ht="64.5" x14ac:dyDescent="0.25">
      <c r="A75" s="83" t="s">
        <v>1423</v>
      </c>
      <c r="B75" s="83" t="s">
        <v>3501</v>
      </c>
      <c r="C75" s="83" t="s">
        <v>3502</v>
      </c>
      <c r="D75" s="83" t="s">
        <v>3209</v>
      </c>
      <c r="E75" s="83" t="s">
        <v>3246</v>
      </c>
      <c r="F75" s="83" t="s">
        <v>3503</v>
      </c>
      <c r="G75" s="83" t="s">
        <v>3504</v>
      </c>
      <c r="H75" s="83">
        <v>57</v>
      </c>
      <c r="I75" s="83" t="s">
        <v>3213</v>
      </c>
      <c r="J75" s="83" t="s">
        <v>3262</v>
      </c>
      <c r="K75" s="83" t="s">
        <v>3215</v>
      </c>
    </row>
    <row r="76" spans="1:11" ht="51.75" x14ac:dyDescent="0.25">
      <c r="A76" s="83" t="s">
        <v>1392</v>
      </c>
      <c r="B76" s="83" t="s">
        <v>3505</v>
      </c>
      <c r="C76" s="83" t="s">
        <v>3506</v>
      </c>
      <c r="D76" s="83" t="s">
        <v>3209</v>
      </c>
      <c r="E76" s="83" t="s">
        <v>3246</v>
      </c>
      <c r="F76" s="83" t="s">
        <v>3507</v>
      </c>
      <c r="G76" s="83" t="s">
        <v>3508</v>
      </c>
      <c r="H76" s="83">
        <v>74</v>
      </c>
      <c r="I76" s="83" t="s">
        <v>3229</v>
      </c>
      <c r="J76" s="83" t="s">
        <v>3371</v>
      </c>
      <c r="K76" s="83" t="s">
        <v>3215</v>
      </c>
    </row>
    <row r="77" spans="1:11" ht="51.75" x14ac:dyDescent="0.25">
      <c r="A77" s="83" t="s">
        <v>938</v>
      </c>
      <c r="B77" s="83" t="s">
        <v>3509</v>
      </c>
      <c r="C77" s="83" t="s">
        <v>3510</v>
      </c>
      <c r="D77" s="83" t="s">
        <v>3209</v>
      </c>
      <c r="E77" s="83" t="s">
        <v>3246</v>
      </c>
      <c r="F77" s="83" t="s">
        <v>3511</v>
      </c>
      <c r="G77" s="83" t="s">
        <v>3512</v>
      </c>
      <c r="H77" s="83">
        <v>19</v>
      </c>
      <c r="I77" s="83" t="s">
        <v>3229</v>
      </c>
      <c r="J77" s="83" t="s">
        <v>3238</v>
      </c>
      <c r="K77" s="83" t="s">
        <v>3215</v>
      </c>
    </row>
    <row r="78" spans="1:11" ht="64.5" x14ac:dyDescent="0.25">
      <c r="A78" s="83" t="s">
        <v>944</v>
      </c>
      <c r="B78" s="83" t="s">
        <v>3513</v>
      </c>
      <c r="C78" s="83" t="s">
        <v>3514</v>
      </c>
      <c r="D78" s="83" t="s">
        <v>3209</v>
      </c>
      <c r="E78" s="83" t="s">
        <v>3246</v>
      </c>
      <c r="F78" s="83" t="s">
        <v>3515</v>
      </c>
      <c r="G78" s="83" t="s">
        <v>3516</v>
      </c>
      <c r="H78" s="83">
        <v>28</v>
      </c>
      <c r="I78" s="83" t="s">
        <v>3213</v>
      </c>
      <c r="J78" s="83" t="s">
        <v>3413</v>
      </c>
      <c r="K78" s="83" t="s">
        <v>3215</v>
      </c>
    </row>
    <row r="79" spans="1:11" ht="51.75" x14ac:dyDescent="0.25">
      <c r="A79" s="83" t="s">
        <v>914</v>
      </c>
      <c r="B79" s="83" t="s">
        <v>3517</v>
      </c>
      <c r="C79" s="83" t="s">
        <v>3518</v>
      </c>
      <c r="D79" s="83" t="s">
        <v>3209</v>
      </c>
      <c r="E79" s="83" t="s">
        <v>3246</v>
      </c>
      <c r="F79" s="83" t="s">
        <v>3519</v>
      </c>
      <c r="G79" s="83" t="s">
        <v>3520</v>
      </c>
      <c r="H79" s="83">
        <v>21.6</v>
      </c>
      <c r="I79" s="83" t="s">
        <v>3229</v>
      </c>
      <c r="J79" s="83" t="s">
        <v>3521</v>
      </c>
      <c r="K79" s="83" t="s">
        <v>3215</v>
      </c>
    </row>
    <row r="80" spans="1:11" ht="64.5" x14ac:dyDescent="0.25">
      <c r="A80" s="83" t="s">
        <v>922</v>
      </c>
      <c r="B80" s="83" t="s">
        <v>3522</v>
      </c>
      <c r="C80" s="83" t="s">
        <v>3523</v>
      </c>
      <c r="D80" s="83" t="s">
        <v>3209</v>
      </c>
      <c r="E80" s="83" t="s">
        <v>3246</v>
      </c>
      <c r="F80" s="83" t="s">
        <v>3524</v>
      </c>
      <c r="G80" s="83" t="s">
        <v>3525</v>
      </c>
      <c r="H80" s="83">
        <v>8</v>
      </c>
      <c r="I80" s="83" t="s">
        <v>3213</v>
      </c>
      <c r="J80" s="83" t="s">
        <v>3413</v>
      </c>
      <c r="K80" s="83" t="s">
        <v>3215</v>
      </c>
    </row>
    <row r="81" spans="1:11" ht="64.5" x14ac:dyDescent="0.25">
      <c r="A81" s="83" t="s">
        <v>898</v>
      </c>
      <c r="B81" s="83" t="s">
        <v>3526</v>
      </c>
      <c r="C81" s="83" t="s">
        <v>3527</v>
      </c>
      <c r="D81" s="83" t="s">
        <v>3209</v>
      </c>
      <c r="E81" s="83" t="s">
        <v>3246</v>
      </c>
      <c r="F81" s="83" t="s">
        <v>3528</v>
      </c>
      <c r="G81" s="83" t="s">
        <v>3529</v>
      </c>
      <c r="H81" s="83">
        <v>12</v>
      </c>
      <c r="I81" s="83" t="s">
        <v>3213</v>
      </c>
      <c r="J81" s="83" t="s">
        <v>3219</v>
      </c>
      <c r="K81" s="83" t="s">
        <v>3215</v>
      </c>
    </row>
    <row r="82" spans="1:11" ht="26.25" x14ac:dyDescent="0.25">
      <c r="A82" s="83" t="s">
        <v>904</v>
      </c>
      <c r="B82" s="83" t="s">
        <v>3530</v>
      </c>
      <c r="C82" s="83" t="s">
        <v>3531</v>
      </c>
      <c r="D82" s="83" t="s">
        <v>3209</v>
      </c>
      <c r="E82" s="83" t="s">
        <v>3246</v>
      </c>
      <c r="F82" s="83" t="s">
        <v>3532</v>
      </c>
      <c r="G82" s="83" t="s">
        <v>3533</v>
      </c>
      <c r="H82" s="83">
        <v>5.4</v>
      </c>
      <c r="I82" s="83" t="s">
        <v>3213</v>
      </c>
      <c r="J82" s="83" t="s">
        <v>3222</v>
      </c>
      <c r="K82" s="83" t="s">
        <v>3215</v>
      </c>
    </row>
    <row r="83" spans="1:11" ht="51.75" x14ac:dyDescent="0.25">
      <c r="A83" s="83" t="s">
        <v>1170</v>
      </c>
      <c r="B83" s="83" t="s">
        <v>3534</v>
      </c>
      <c r="C83" s="83" t="s">
        <v>3535</v>
      </c>
      <c r="D83" s="83" t="s">
        <v>3209</v>
      </c>
      <c r="E83" s="83" t="s">
        <v>3246</v>
      </c>
      <c r="F83" s="83" t="s">
        <v>3536</v>
      </c>
      <c r="G83" s="83" t="s">
        <v>3537</v>
      </c>
      <c r="H83" s="83">
        <v>5.3</v>
      </c>
      <c r="I83" s="83" t="s">
        <v>3213</v>
      </c>
      <c r="J83" s="83" t="s">
        <v>3538</v>
      </c>
      <c r="K83" s="83" t="s">
        <v>3215</v>
      </c>
    </row>
    <row r="84" spans="1:11" ht="64.5" x14ac:dyDescent="0.25">
      <c r="A84" s="83" t="s">
        <v>1171</v>
      </c>
      <c r="B84" s="83" t="s">
        <v>3539</v>
      </c>
      <c r="C84" s="83" t="s">
        <v>3540</v>
      </c>
      <c r="D84" s="83" t="s">
        <v>3209</v>
      </c>
      <c r="E84" s="83" t="s">
        <v>3246</v>
      </c>
      <c r="F84" s="83" t="s">
        <v>3541</v>
      </c>
      <c r="G84" s="83" t="s">
        <v>3542</v>
      </c>
      <c r="H84" s="83">
        <v>8</v>
      </c>
      <c r="I84" s="83" t="s">
        <v>3213</v>
      </c>
      <c r="J84" s="83" t="s">
        <v>3413</v>
      </c>
      <c r="K84" s="83" t="s">
        <v>3215</v>
      </c>
    </row>
    <row r="85" spans="1:11" ht="51.75" x14ac:dyDescent="0.25">
      <c r="A85" s="83" t="s">
        <v>1173</v>
      </c>
      <c r="B85" s="83" t="s">
        <v>3543</v>
      </c>
      <c r="C85" s="83" t="s">
        <v>3544</v>
      </c>
      <c r="D85" s="83" t="s">
        <v>3209</v>
      </c>
      <c r="E85" s="83" t="s">
        <v>3246</v>
      </c>
      <c r="F85" s="83" t="s">
        <v>3545</v>
      </c>
      <c r="G85" s="83" t="s">
        <v>3546</v>
      </c>
      <c r="H85" s="83">
        <v>16</v>
      </c>
      <c r="I85" s="83" t="s">
        <v>3213</v>
      </c>
      <c r="J85" s="83" t="s">
        <v>3257</v>
      </c>
      <c r="K85" s="83" t="s">
        <v>3215</v>
      </c>
    </row>
    <row r="86" spans="1:11" ht="64.5" x14ac:dyDescent="0.25">
      <c r="A86" s="83" t="s">
        <v>1127</v>
      </c>
      <c r="B86" s="83" t="s">
        <v>3547</v>
      </c>
      <c r="C86" s="83" t="s">
        <v>3548</v>
      </c>
      <c r="D86" s="83" t="s">
        <v>3209</v>
      </c>
      <c r="E86" s="83" t="s">
        <v>3246</v>
      </c>
      <c r="F86" s="83" t="s">
        <v>3549</v>
      </c>
      <c r="G86" s="83" t="s">
        <v>3550</v>
      </c>
      <c r="H86" s="83">
        <v>9.4</v>
      </c>
      <c r="I86" s="83" t="s">
        <v>3213</v>
      </c>
      <c r="J86" s="83" t="s">
        <v>3413</v>
      </c>
      <c r="K86" s="83" t="s">
        <v>3215</v>
      </c>
    </row>
    <row r="87" spans="1:11" ht="64.5" x14ac:dyDescent="0.25">
      <c r="A87" s="83" t="s">
        <v>1132</v>
      </c>
      <c r="B87" s="83" t="s">
        <v>3551</v>
      </c>
      <c r="C87" s="83" t="s">
        <v>3552</v>
      </c>
      <c r="D87" s="83" t="s">
        <v>3209</v>
      </c>
      <c r="E87" s="83" t="s">
        <v>3246</v>
      </c>
      <c r="F87" s="83" t="s">
        <v>3553</v>
      </c>
      <c r="G87" s="83" t="s">
        <v>3475</v>
      </c>
      <c r="H87" s="83">
        <v>39</v>
      </c>
      <c r="I87" s="83" t="s">
        <v>3213</v>
      </c>
      <c r="J87" s="83" t="s">
        <v>3219</v>
      </c>
      <c r="K87" s="83" t="s">
        <v>3215</v>
      </c>
    </row>
    <row r="88" spans="1:11" ht="51.75" x14ac:dyDescent="0.25">
      <c r="A88" s="83" t="s">
        <v>1137</v>
      </c>
      <c r="B88" s="83" t="s">
        <v>3554</v>
      </c>
      <c r="C88" s="83" t="s">
        <v>3555</v>
      </c>
      <c r="D88" s="83" t="s">
        <v>3209</v>
      </c>
      <c r="E88" s="83" t="s">
        <v>3246</v>
      </c>
      <c r="F88" s="83" t="s">
        <v>3556</v>
      </c>
      <c r="G88" s="83" t="s">
        <v>3557</v>
      </c>
      <c r="H88" s="83">
        <v>13</v>
      </c>
      <c r="I88" s="83" t="s">
        <v>3229</v>
      </c>
      <c r="J88" s="83" t="s">
        <v>3371</v>
      </c>
      <c r="K88" s="83" t="s">
        <v>3215</v>
      </c>
    </row>
    <row r="89" spans="1:11" ht="51.75" x14ac:dyDescent="0.25">
      <c r="A89" s="83" t="s">
        <v>1155</v>
      </c>
      <c r="B89" s="83" t="s">
        <v>3558</v>
      </c>
      <c r="C89" s="83" t="s">
        <v>3559</v>
      </c>
      <c r="D89" s="83" t="s">
        <v>3209</v>
      </c>
      <c r="E89" s="83" t="s">
        <v>3246</v>
      </c>
      <c r="F89" s="83" t="s">
        <v>3560</v>
      </c>
      <c r="G89" s="83" t="s">
        <v>3561</v>
      </c>
      <c r="H89" s="83">
        <v>3.2</v>
      </c>
      <c r="I89" s="83" t="s">
        <v>3229</v>
      </c>
      <c r="J89" s="83" t="s">
        <v>3238</v>
      </c>
      <c r="K89" s="83" t="s">
        <v>3215</v>
      </c>
    </row>
    <row r="90" spans="1:11" ht="51.75" x14ac:dyDescent="0.25">
      <c r="A90" s="83" t="s">
        <v>1148</v>
      </c>
      <c r="B90" s="83" t="s">
        <v>3562</v>
      </c>
      <c r="C90" s="83" t="s">
        <v>3563</v>
      </c>
      <c r="D90" s="83" t="s">
        <v>3209</v>
      </c>
      <c r="E90" s="83" t="s">
        <v>3246</v>
      </c>
      <c r="F90" s="83" t="s">
        <v>3564</v>
      </c>
      <c r="G90" s="83" t="s">
        <v>3565</v>
      </c>
      <c r="H90" s="83">
        <v>109</v>
      </c>
      <c r="I90" s="83" t="s">
        <v>3229</v>
      </c>
      <c r="J90" s="83" t="s">
        <v>3230</v>
      </c>
      <c r="K90" s="83" t="s">
        <v>3215</v>
      </c>
    </row>
    <row r="91" spans="1:11" ht="51.75" x14ac:dyDescent="0.25">
      <c r="A91" s="83" t="s">
        <v>141</v>
      </c>
      <c r="B91" s="83" t="s">
        <v>3566</v>
      </c>
      <c r="C91" s="83" t="s">
        <v>3567</v>
      </c>
      <c r="D91" s="83" t="s">
        <v>3209</v>
      </c>
      <c r="E91" s="83" t="s">
        <v>3246</v>
      </c>
      <c r="F91" s="83" t="s">
        <v>3568</v>
      </c>
      <c r="G91" s="83" t="s">
        <v>3569</v>
      </c>
      <c r="H91" s="83">
        <v>54.5</v>
      </c>
      <c r="I91" s="83" t="s">
        <v>3229</v>
      </c>
      <c r="J91" s="83" t="s">
        <v>3289</v>
      </c>
      <c r="K91" s="83" t="s">
        <v>3215</v>
      </c>
    </row>
    <row r="92" spans="1:11" ht="64.5" x14ac:dyDescent="0.25">
      <c r="A92" s="83" t="s">
        <v>1123</v>
      </c>
      <c r="B92" s="83" t="s">
        <v>3570</v>
      </c>
      <c r="C92" s="83" t="s">
        <v>3571</v>
      </c>
      <c r="D92" s="83" t="s">
        <v>3209</v>
      </c>
      <c r="E92" s="83" t="s">
        <v>3246</v>
      </c>
      <c r="F92" s="83" t="s">
        <v>3572</v>
      </c>
      <c r="G92" s="83" t="s">
        <v>3573</v>
      </c>
      <c r="H92" s="83">
        <v>23.5</v>
      </c>
      <c r="I92" s="83" t="s">
        <v>3213</v>
      </c>
      <c r="J92" s="83" t="s">
        <v>3262</v>
      </c>
      <c r="K92" s="83" t="s">
        <v>3215</v>
      </c>
    </row>
    <row r="93" spans="1:11" ht="51.75" x14ac:dyDescent="0.25">
      <c r="A93" s="83" t="s">
        <v>1117</v>
      </c>
      <c r="B93" s="83" t="s">
        <v>3574</v>
      </c>
      <c r="C93" s="83" t="s">
        <v>3575</v>
      </c>
      <c r="D93" s="83" t="s">
        <v>3209</v>
      </c>
      <c r="E93" s="83" t="s">
        <v>3246</v>
      </c>
      <c r="F93" s="83" t="s">
        <v>3576</v>
      </c>
      <c r="G93" s="83" t="s">
        <v>3577</v>
      </c>
      <c r="H93" s="83">
        <v>6.7</v>
      </c>
      <c r="I93" s="83" t="s">
        <v>3229</v>
      </c>
      <c r="J93" s="83" t="s">
        <v>3302</v>
      </c>
      <c r="K93" s="83" t="s">
        <v>3215</v>
      </c>
    </row>
    <row r="94" spans="1:11" ht="64.5" x14ac:dyDescent="0.25">
      <c r="A94" s="83" t="s">
        <v>1122</v>
      </c>
      <c r="B94" s="83" t="s">
        <v>3578</v>
      </c>
      <c r="C94" s="83" t="s">
        <v>3579</v>
      </c>
      <c r="D94" s="83" t="s">
        <v>3209</v>
      </c>
      <c r="E94" s="83" t="s">
        <v>3246</v>
      </c>
      <c r="F94" s="83" t="s">
        <v>3580</v>
      </c>
      <c r="G94" s="83" t="s">
        <v>3423</v>
      </c>
      <c r="H94" s="83">
        <v>10</v>
      </c>
      <c r="I94" s="83" t="s">
        <v>3213</v>
      </c>
      <c r="J94" s="83" t="s">
        <v>3219</v>
      </c>
      <c r="K94" s="83" t="s">
        <v>3215</v>
      </c>
    </row>
    <row r="95" spans="1:11" ht="26.25" x14ac:dyDescent="0.25">
      <c r="A95" s="83" t="s">
        <v>1042</v>
      </c>
      <c r="B95" s="83" t="s">
        <v>3581</v>
      </c>
      <c r="C95" s="83" t="s">
        <v>3582</v>
      </c>
      <c r="D95" s="83" t="s">
        <v>3209</v>
      </c>
      <c r="E95" s="83" t="s">
        <v>3246</v>
      </c>
      <c r="F95" s="83" t="s">
        <v>3583</v>
      </c>
      <c r="G95" s="83" t="s">
        <v>3584</v>
      </c>
      <c r="H95" s="83">
        <v>2</v>
      </c>
      <c r="I95" s="83" t="s">
        <v>3213</v>
      </c>
      <c r="J95" s="83" t="s">
        <v>3467</v>
      </c>
      <c r="K95" s="83" t="s">
        <v>3215</v>
      </c>
    </row>
    <row r="96" spans="1:11" ht="51.75" x14ac:dyDescent="0.25">
      <c r="A96" s="83" t="s">
        <v>1046</v>
      </c>
      <c r="B96" s="83" t="s">
        <v>3585</v>
      </c>
      <c r="C96" s="83" t="s">
        <v>3586</v>
      </c>
      <c r="D96" s="83" t="s">
        <v>3209</v>
      </c>
      <c r="E96" s="83" t="s">
        <v>3246</v>
      </c>
      <c r="F96" s="83" t="s">
        <v>3587</v>
      </c>
      <c r="G96" s="83" t="s">
        <v>3588</v>
      </c>
      <c r="H96" s="83">
        <v>7</v>
      </c>
      <c r="I96" s="83" t="s">
        <v>3213</v>
      </c>
      <c r="J96" s="83" t="s">
        <v>3538</v>
      </c>
      <c r="K96" s="83" t="s">
        <v>3215</v>
      </c>
    </row>
    <row r="97" spans="1:11" ht="51.75" x14ac:dyDescent="0.25">
      <c r="A97" s="83" t="s">
        <v>1047</v>
      </c>
      <c r="B97" s="83" t="s">
        <v>3589</v>
      </c>
      <c r="C97" s="83" t="s">
        <v>3590</v>
      </c>
      <c r="D97" s="83" t="s">
        <v>3209</v>
      </c>
      <c r="E97" s="83" t="s">
        <v>3246</v>
      </c>
      <c r="F97" s="83" t="s">
        <v>3591</v>
      </c>
      <c r="G97" s="83" t="s">
        <v>3592</v>
      </c>
      <c r="H97" s="83">
        <v>21</v>
      </c>
      <c r="I97" s="83" t="s">
        <v>3229</v>
      </c>
      <c r="J97" s="83" t="s">
        <v>3289</v>
      </c>
      <c r="K97" s="83" t="s">
        <v>3215</v>
      </c>
    </row>
    <row r="98" spans="1:11" ht="39" x14ac:dyDescent="0.25">
      <c r="A98" s="83" t="s">
        <v>1063</v>
      </c>
      <c r="B98" s="83" t="s">
        <v>3593</v>
      </c>
      <c r="C98" s="83" t="s">
        <v>3594</v>
      </c>
      <c r="D98" s="83" t="s">
        <v>3209</v>
      </c>
      <c r="E98" s="83" t="s">
        <v>3246</v>
      </c>
      <c r="F98" s="83" t="s">
        <v>3595</v>
      </c>
      <c r="G98" s="83" t="s">
        <v>3596</v>
      </c>
      <c r="H98" s="83">
        <v>12.6</v>
      </c>
      <c r="I98" s="83" t="s">
        <v>3229</v>
      </c>
      <c r="J98" s="83" t="s">
        <v>3241</v>
      </c>
      <c r="K98" s="83" t="s">
        <v>3215</v>
      </c>
    </row>
    <row r="99" spans="1:11" ht="64.5" x14ac:dyDescent="0.25">
      <c r="A99" s="83" t="s">
        <v>1065</v>
      </c>
      <c r="B99" s="83" t="s">
        <v>3597</v>
      </c>
      <c r="C99" s="83" t="s">
        <v>3598</v>
      </c>
      <c r="D99" s="83" t="s">
        <v>3209</v>
      </c>
      <c r="E99" s="83" t="s">
        <v>3246</v>
      </c>
      <c r="F99" s="83" t="s">
        <v>3599</v>
      </c>
      <c r="G99" s="83" t="s">
        <v>3600</v>
      </c>
      <c r="H99" s="83">
        <v>2.9</v>
      </c>
      <c r="I99" s="83" t="s">
        <v>3229</v>
      </c>
      <c r="J99" s="83" t="s">
        <v>3601</v>
      </c>
      <c r="K99" s="83" t="s">
        <v>3215</v>
      </c>
    </row>
    <row r="100" spans="1:11" ht="51.75" x14ac:dyDescent="0.25">
      <c r="A100" s="83" t="s">
        <v>1068</v>
      </c>
      <c r="B100" s="83" t="s">
        <v>3602</v>
      </c>
      <c r="C100" s="83" t="s">
        <v>3603</v>
      </c>
      <c r="D100" s="83" t="s">
        <v>3209</v>
      </c>
      <c r="E100" s="83" t="s">
        <v>3246</v>
      </c>
      <c r="F100" s="83" t="s">
        <v>3604</v>
      </c>
      <c r="G100" s="83" t="s">
        <v>3605</v>
      </c>
      <c r="H100" s="83">
        <v>0.5</v>
      </c>
      <c r="I100" s="83" t="s">
        <v>3229</v>
      </c>
      <c r="J100" s="83" t="s">
        <v>3337</v>
      </c>
      <c r="K100" s="83" t="s">
        <v>3215</v>
      </c>
    </row>
    <row r="101" spans="1:11" ht="51.75" x14ac:dyDescent="0.25">
      <c r="A101" s="83" t="s">
        <v>1001</v>
      </c>
      <c r="B101" s="83" t="s">
        <v>3606</v>
      </c>
      <c r="C101" s="83" t="s">
        <v>3607</v>
      </c>
      <c r="D101" s="83" t="s">
        <v>3209</v>
      </c>
      <c r="E101" s="83" t="s">
        <v>3246</v>
      </c>
      <c r="F101" s="83" t="s">
        <v>3608</v>
      </c>
      <c r="G101" s="83" t="s">
        <v>3609</v>
      </c>
      <c r="H101" s="83">
        <v>1</v>
      </c>
      <c r="I101" s="83" t="s">
        <v>3229</v>
      </c>
      <c r="J101" s="83" t="s">
        <v>3230</v>
      </c>
      <c r="K101" s="83" t="s">
        <v>3215</v>
      </c>
    </row>
    <row r="102" spans="1:11" ht="51.75" x14ac:dyDescent="0.25">
      <c r="A102" s="83" t="s">
        <v>1023</v>
      </c>
      <c r="B102" s="83" t="s">
        <v>3610</v>
      </c>
      <c r="C102" s="83" t="s">
        <v>3611</v>
      </c>
      <c r="D102" s="83" t="s">
        <v>3209</v>
      </c>
      <c r="E102" s="83" t="s">
        <v>3246</v>
      </c>
      <c r="F102" s="83" t="s">
        <v>3608</v>
      </c>
      <c r="G102" s="83" t="s">
        <v>3612</v>
      </c>
      <c r="H102" s="83">
        <v>0.7</v>
      </c>
      <c r="I102" s="83" t="s">
        <v>3229</v>
      </c>
      <c r="J102" s="83" t="s">
        <v>3337</v>
      </c>
      <c r="K102" s="83" t="s">
        <v>3215</v>
      </c>
    </row>
    <row r="103" spans="1:11" ht="39" x14ac:dyDescent="0.25">
      <c r="A103" s="83" t="s">
        <v>1010</v>
      </c>
      <c r="B103" s="83" t="s">
        <v>3613</v>
      </c>
      <c r="C103" s="83" t="s">
        <v>3614</v>
      </c>
      <c r="D103" s="83" t="s">
        <v>3209</v>
      </c>
      <c r="E103" s="83" t="s">
        <v>3246</v>
      </c>
      <c r="F103" s="83" t="s">
        <v>3615</v>
      </c>
      <c r="G103" s="83" t="s">
        <v>3616</v>
      </c>
      <c r="H103" s="83">
        <v>0.3</v>
      </c>
      <c r="I103" s="83" t="s">
        <v>3229</v>
      </c>
      <c r="J103" s="83" t="s">
        <v>3241</v>
      </c>
      <c r="K103" s="83" t="s">
        <v>3215</v>
      </c>
    </row>
    <row r="104" spans="1:11" ht="77.25" x14ac:dyDescent="0.25">
      <c r="A104" s="83" t="s">
        <v>1207</v>
      </c>
      <c r="B104" s="83" t="s">
        <v>3617</v>
      </c>
      <c r="C104" s="83" t="s">
        <v>3618</v>
      </c>
      <c r="D104" s="83" t="s">
        <v>3209</v>
      </c>
      <c r="E104" s="83" t="s">
        <v>3246</v>
      </c>
      <c r="F104" s="83" t="s">
        <v>3619</v>
      </c>
      <c r="G104" s="83" t="s">
        <v>3620</v>
      </c>
      <c r="H104" s="83">
        <v>307</v>
      </c>
      <c r="I104" s="83" t="s">
        <v>3213</v>
      </c>
      <c r="J104" s="83" t="s">
        <v>3621</v>
      </c>
      <c r="K104" s="83" t="s">
        <v>3215</v>
      </c>
    </row>
    <row r="105" spans="1:11" ht="51.75" x14ac:dyDescent="0.25">
      <c r="A105" s="83" t="s">
        <v>1215</v>
      </c>
      <c r="B105" s="83" t="s">
        <v>3622</v>
      </c>
      <c r="C105" s="83" t="s">
        <v>3623</v>
      </c>
      <c r="D105" s="83" t="s">
        <v>3209</v>
      </c>
      <c r="E105" s="83" t="s">
        <v>3246</v>
      </c>
      <c r="F105" s="83" t="s">
        <v>3624</v>
      </c>
      <c r="G105" s="83" t="s">
        <v>3625</v>
      </c>
      <c r="H105" s="83">
        <v>10</v>
      </c>
      <c r="I105" s="83" t="s">
        <v>3229</v>
      </c>
      <c r="J105" s="83" t="s">
        <v>3280</v>
      </c>
      <c r="K105" s="83" t="s">
        <v>3215</v>
      </c>
    </row>
    <row r="106" spans="1:11" ht="64.5" x14ac:dyDescent="0.25">
      <c r="A106" s="83" t="s">
        <v>1198</v>
      </c>
      <c r="B106" s="83" t="s">
        <v>3626</v>
      </c>
      <c r="C106" s="83" t="s">
        <v>3627</v>
      </c>
      <c r="D106" s="83" t="s">
        <v>3209</v>
      </c>
      <c r="E106" s="83" t="s">
        <v>3246</v>
      </c>
      <c r="F106" s="83" t="s">
        <v>3628</v>
      </c>
      <c r="G106" s="83" t="s">
        <v>3629</v>
      </c>
      <c r="H106" s="83">
        <v>8.6</v>
      </c>
      <c r="I106" s="83" t="s">
        <v>3213</v>
      </c>
      <c r="J106" s="83" t="s">
        <v>3413</v>
      </c>
      <c r="K106" s="83" t="s">
        <v>3215</v>
      </c>
    </row>
    <row r="107" spans="1:11" ht="64.5" x14ac:dyDescent="0.25">
      <c r="A107" s="83" t="s">
        <v>1188</v>
      </c>
      <c r="B107" s="83" t="s">
        <v>3630</v>
      </c>
      <c r="C107" s="83" t="s">
        <v>3631</v>
      </c>
      <c r="D107" s="83" t="s">
        <v>3209</v>
      </c>
      <c r="E107" s="83" t="s">
        <v>3246</v>
      </c>
      <c r="F107" s="83" t="s">
        <v>3632</v>
      </c>
      <c r="G107" s="83" t="s">
        <v>3633</v>
      </c>
      <c r="H107" s="83">
        <v>84</v>
      </c>
      <c r="I107" s="83" t="s">
        <v>3213</v>
      </c>
      <c r="J107" s="83" t="s">
        <v>3262</v>
      </c>
      <c r="K107" s="83" t="s">
        <v>3215</v>
      </c>
    </row>
    <row r="108" spans="1:11" ht="51.75" x14ac:dyDescent="0.25">
      <c r="A108" s="83" t="s">
        <v>1158</v>
      </c>
      <c r="B108" s="83" t="s">
        <v>3634</v>
      </c>
      <c r="C108" s="83" t="s">
        <v>3635</v>
      </c>
      <c r="D108" s="83" t="s">
        <v>3209</v>
      </c>
      <c r="E108" s="83" t="s">
        <v>3246</v>
      </c>
      <c r="F108" s="83" t="s">
        <v>3636</v>
      </c>
      <c r="G108" s="83" t="s">
        <v>3637</v>
      </c>
      <c r="H108" s="83">
        <v>244</v>
      </c>
      <c r="I108" s="83" t="s">
        <v>3213</v>
      </c>
      <c r="J108" s="83" t="s">
        <v>3257</v>
      </c>
      <c r="K108" s="83" t="s">
        <v>3215</v>
      </c>
    </row>
    <row r="109" spans="1:11" ht="64.5" x14ac:dyDescent="0.25">
      <c r="A109" s="83" t="s">
        <v>1163</v>
      </c>
      <c r="B109" s="83" t="s">
        <v>3638</v>
      </c>
      <c r="C109" s="83" t="s">
        <v>3639</v>
      </c>
      <c r="D109" s="83" t="s">
        <v>3209</v>
      </c>
      <c r="E109" s="83" t="s">
        <v>3246</v>
      </c>
      <c r="F109" s="83" t="s">
        <v>3640</v>
      </c>
      <c r="G109" s="83" t="s">
        <v>3641</v>
      </c>
      <c r="H109" s="83">
        <v>8</v>
      </c>
      <c r="I109" s="83" t="s">
        <v>3213</v>
      </c>
      <c r="J109" s="83" t="s">
        <v>3413</v>
      </c>
      <c r="K109" s="83" t="s">
        <v>3215</v>
      </c>
    </row>
    <row r="110" spans="1:11" ht="64.5" x14ac:dyDescent="0.25">
      <c r="A110" s="83" t="s">
        <v>1166</v>
      </c>
      <c r="B110" s="83" t="s">
        <v>3642</v>
      </c>
      <c r="C110" s="83" t="s">
        <v>3643</v>
      </c>
      <c r="D110" s="83" t="s">
        <v>3209</v>
      </c>
      <c r="E110" s="83" t="s">
        <v>3246</v>
      </c>
      <c r="F110" s="83" t="s">
        <v>3644</v>
      </c>
      <c r="G110" s="83" t="s">
        <v>3645</v>
      </c>
      <c r="H110" s="83">
        <v>4</v>
      </c>
      <c r="I110" s="83" t="s">
        <v>3213</v>
      </c>
      <c r="J110" s="83" t="s">
        <v>3413</v>
      </c>
      <c r="K110" s="83" t="s">
        <v>3215</v>
      </c>
    </row>
    <row r="111" spans="1:11" ht="51.75" x14ac:dyDescent="0.25">
      <c r="A111" s="83" t="s">
        <v>134</v>
      </c>
      <c r="B111" s="83" t="s">
        <v>3646</v>
      </c>
      <c r="C111" s="83" t="s">
        <v>3647</v>
      </c>
      <c r="D111" s="83" t="s">
        <v>3209</v>
      </c>
      <c r="E111" s="83" t="s">
        <v>3246</v>
      </c>
      <c r="F111" s="83" t="s">
        <v>3648</v>
      </c>
      <c r="G111" s="83" t="s">
        <v>3649</v>
      </c>
      <c r="H111" s="83">
        <v>4.8</v>
      </c>
      <c r="I111" s="83" t="s">
        <v>3213</v>
      </c>
      <c r="J111" s="83" t="s">
        <v>3271</v>
      </c>
      <c r="K111" s="83" t="s">
        <v>3215</v>
      </c>
    </row>
    <row r="112" spans="1:11" ht="26.25" x14ac:dyDescent="0.25">
      <c r="A112" s="83" t="s">
        <v>856</v>
      </c>
      <c r="B112" s="83" t="s">
        <v>3650</v>
      </c>
      <c r="C112" s="83" t="s">
        <v>3651</v>
      </c>
      <c r="D112" s="83" t="s">
        <v>3209</v>
      </c>
      <c r="E112" s="83" t="s">
        <v>3246</v>
      </c>
      <c r="F112" s="83" t="s">
        <v>3652</v>
      </c>
      <c r="G112" s="83" t="s">
        <v>3653</v>
      </c>
      <c r="H112" s="83">
        <v>1.1000000000000001</v>
      </c>
      <c r="I112" s="83" t="s">
        <v>3213</v>
      </c>
      <c r="J112" s="83" t="s">
        <v>3467</v>
      </c>
      <c r="K112" s="83" t="s">
        <v>3215</v>
      </c>
    </row>
    <row r="113" spans="1:11" ht="26.25" x14ac:dyDescent="0.25">
      <c r="A113" s="83" t="s">
        <v>859</v>
      </c>
      <c r="B113" s="83" t="s">
        <v>3654</v>
      </c>
      <c r="C113" s="83" t="s">
        <v>3655</v>
      </c>
      <c r="D113" s="83" t="s">
        <v>3209</v>
      </c>
      <c r="E113" s="83" t="s">
        <v>3246</v>
      </c>
      <c r="F113" s="83" t="s">
        <v>3656</v>
      </c>
      <c r="G113" s="83" t="s">
        <v>3657</v>
      </c>
      <c r="H113" s="83">
        <v>2.2999999999999998</v>
      </c>
      <c r="I113" s="83" t="s">
        <v>3213</v>
      </c>
      <c r="J113" s="83" t="s">
        <v>3467</v>
      </c>
      <c r="K113" s="83" t="s">
        <v>3215</v>
      </c>
    </row>
    <row r="114" spans="1:11" ht="51.75" x14ac:dyDescent="0.25">
      <c r="A114" s="83" t="s">
        <v>838</v>
      </c>
      <c r="B114" s="83" t="s">
        <v>3658</v>
      </c>
      <c r="C114" s="83" t="s">
        <v>3659</v>
      </c>
      <c r="D114" s="83" t="s">
        <v>3209</v>
      </c>
      <c r="E114" s="83" t="s">
        <v>3246</v>
      </c>
      <c r="F114" s="83" t="s">
        <v>3660</v>
      </c>
      <c r="G114" s="83" t="s">
        <v>3661</v>
      </c>
      <c r="H114" s="83">
        <v>16</v>
      </c>
      <c r="I114" s="83" t="s">
        <v>3229</v>
      </c>
      <c r="J114" s="83" t="s">
        <v>3371</v>
      </c>
      <c r="K114" s="83" t="s">
        <v>3215</v>
      </c>
    </row>
    <row r="115" spans="1:11" x14ac:dyDescent="0.25">
      <c r="A115" s="83" t="s">
        <v>3662</v>
      </c>
      <c r="B115" s="83" t="s">
        <v>3208</v>
      </c>
      <c r="C115" s="83" t="s">
        <v>3208</v>
      </c>
      <c r="D115" s="83" t="s">
        <v>3209</v>
      </c>
      <c r="E115" s="83" t="s">
        <v>3663</v>
      </c>
      <c r="F115" s="83" t="s">
        <v>3664</v>
      </c>
      <c r="G115" s="83" t="s">
        <v>3665</v>
      </c>
      <c r="H115" s="83">
        <v>0</v>
      </c>
      <c r="I115" s="83" t="s">
        <v>3208</v>
      </c>
      <c r="J115" s="83" t="s">
        <v>3208</v>
      </c>
      <c r="K115" s="83" t="s">
        <v>3208</v>
      </c>
    </row>
    <row r="116" spans="1:11" ht="64.5" x14ac:dyDescent="0.25">
      <c r="A116" s="83" t="s">
        <v>1025</v>
      </c>
      <c r="B116" s="83" t="s">
        <v>3666</v>
      </c>
      <c r="C116" s="83" t="s">
        <v>3667</v>
      </c>
      <c r="D116" s="83" t="s">
        <v>3209</v>
      </c>
      <c r="E116" s="83" t="s">
        <v>3246</v>
      </c>
      <c r="F116" s="83" t="s">
        <v>3668</v>
      </c>
      <c r="G116" s="83" t="s">
        <v>3669</v>
      </c>
      <c r="H116" s="83">
        <v>5</v>
      </c>
      <c r="I116" s="83" t="s">
        <v>3213</v>
      </c>
      <c r="J116" s="83" t="s">
        <v>3262</v>
      </c>
      <c r="K116" s="83" t="s">
        <v>3215</v>
      </c>
    </row>
    <row r="117" spans="1:11" ht="39" x14ac:dyDescent="0.25">
      <c r="A117" s="83" t="s">
        <v>50</v>
      </c>
      <c r="B117" s="83" t="s">
        <v>3670</v>
      </c>
      <c r="C117" s="83" t="s">
        <v>3671</v>
      </c>
      <c r="D117" s="83" t="s">
        <v>3209</v>
      </c>
      <c r="E117" s="83" t="s">
        <v>3246</v>
      </c>
      <c r="F117" s="83" t="s">
        <v>3672</v>
      </c>
      <c r="G117" s="83" t="s">
        <v>3341</v>
      </c>
      <c r="H117" s="83">
        <v>17</v>
      </c>
      <c r="I117" s="83" t="s">
        <v>3229</v>
      </c>
      <c r="J117" s="83" t="s">
        <v>3241</v>
      </c>
      <c r="K117" s="83" t="s">
        <v>3215</v>
      </c>
    </row>
    <row r="118" spans="1:11" ht="64.5" x14ac:dyDescent="0.25">
      <c r="A118" s="83" t="s">
        <v>820</v>
      </c>
      <c r="B118" s="83" t="s">
        <v>3673</v>
      </c>
      <c r="C118" s="83" t="s">
        <v>3674</v>
      </c>
      <c r="D118" s="83" t="s">
        <v>3209</v>
      </c>
      <c r="E118" s="83" t="s">
        <v>3246</v>
      </c>
      <c r="F118" s="83" t="s">
        <v>3675</v>
      </c>
      <c r="G118" s="83" t="s">
        <v>3676</v>
      </c>
      <c r="H118" s="83">
        <v>4.5</v>
      </c>
      <c r="I118" s="83" t="s">
        <v>3229</v>
      </c>
      <c r="J118" s="83" t="s">
        <v>3380</v>
      </c>
      <c r="K118" s="83" t="s">
        <v>3215</v>
      </c>
    </row>
    <row r="119" spans="1:11" ht="26.25" x14ac:dyDescent="0.25">
      <c r="A119" s="83" t="s">
        <v>811</v>
      </c>
      <c r="B119" s="83" t="s">
        <v>3677</v>
      </c>
      <c r="C119" s="83" t="s">
        <v>3678</v>
      </c>
      <c r="D119" s="83" t="s">
        <v>3209</v>
      </c>
      <c r="E119" s="83" t="s">
        <v>3246</v>
      </c>
      <c r="F119" s="83" t="s">
        <v>3679</v>
      </c>
      <c r="G119" s="83" t="s">
        <v>3680</v>
      </c>
      <c r="H119" s="83">
        <v>5</v>
      </c>
      <c r="I119" s="83" t="s">
        <v>3229</v>
      </c>
      <c r="J119" s="83" t="s">
        <v>3324</v>
      </c>
      <c r="K119" s="83" t="s">
        <v>3215</v>
      </c>
    </row>
    <row r="120" spans="1:11" ht="51.75" x14ac:dyDescent="0.25">
      <c r="A120" s="83" t="s">
        <v>780</v>
      </c>
      <c r="B120" s="83" t="s">
        <v>3681</v>
      </c>
      <c r="C120" s="83" t="s">
        <v>3682</v>
      </c>
      <c r="D120" s="83" t="s">
        <v>3209</v>
      </c>
      <c r="E120" s="83" t="s">
        <v>3246</v>
      </c>
      <c r="F120" s="83" t="s">
        <v>3683</v>
      </c>
      <c r="G120" s="83" t="s">
        <v>3684</v>
      </c>
      <c r="H120" s="83">
        <v>14.8</v>
      </c>
      <c r="I120" s="83" t="s">
        <v>3213</v>
      </c>
      <c r="J120" s="83" t="s">
        <v>3271</v>
      </c>
      <c r="K120" s="83" t="s">
        <v>3215</v>
      </c>
    </row>
    <row r="121" spans="1:11" ht="51.75" x14ac:dyDescent="0.25">
      <c r="A121" s="83" t="s">
        <v>762</v>
      </c>
      <c r="B121" s="83" t="s">
        <v>3685</v>
      </c>
      <c r="C121" s="83" t="s">
        <v>3686</v>
      </c>
      <c r="D121" s="83" t="s">
        <v>3209</v>
      </c>
      <c r="E121" s="83" t="s">
        <v>3246</v>
      </c>
      <c r="F121" s="83" t="s">
        <v>3687</v>
      </c>
      <c r="G121" s="83" t="s">
        <v>3684</v>
      </c>
      <c r="H121" s="83">
        <v>8.6999999999999993</v>
      </c>
      <c r="I121" s="83" t="s">
        <v>3213</v>
      </c>
      <c r="J121" s="83" t="s">
        <v>3271</v>
      </c>
      <c r="K121" s="83" t="s">
        <v>3215</v>
      </c>
    </row>
    <row r="122" spans="1:11" x14ac:dyDescent="0.25">
      <c r="A122" s="83" t="s">
        <v>3688</v>
      </c>
      <c r="B122" s="83" t="s">
        <v>3208</v>
      </c>
      <c r="C122" s="83" t="s">
        <v>3208</v>
      </c>
      <c r="D122" s="83" t="s">
        <v>3209</v>
      </c>
      <c r="E122" s="83" t="s">
        <v>3663</v>
      </c>
      <c r="F122" s="83" t="s">
        <v>3689</v>
      </c>
      <c r="G122" s="83" t="s">
        <v>3690</v>
      </c>
      <c r="H122" s="83">
        <v>156.4</v>
      </c>
      <c r="I122" s="83" t="s">
        <v>3208</v>
      </c>
      <c r="J122" s="83" t="s">
        <v>3208</v>
      </c>
      <c r="K122" s="83" t="s">
        <v>3208</v>
      </c>
    </row>
    <row r="123" spans="1:11" x14ac:dyDescent="0.25">
      <c r="A123" s="83" t="s">
        <v>3691</v>
      </c>
      <c r="B123" s="83" t="s">
        <v>3208</v>
      </c>
      <c r="C123" s="83" t="s">
        <v>3208</v>
      </c>
      <c r="D123" s="83" t="s">
        <v>3209</v>
      </c>
      <c r="E123" s="83" t="s">
        <v>3663</v>
      </c>
      <c r="F123" s="83" t="s">
        <v>3692</v>
      </c>
      <c r="G123" s="83" t="s">
        <v>3693</v>
      </c>
      <c r="H123" s="83">
        <v>60</v>
      </c>
      <c r="I123" s="83" t="s">
        <v>3208</v>
      </c>
      <c r="J123" s="83" t="s">
        <v>3208</v>
      </c>
      <c r="K123" s="83" t="s">
        <v>3208</v>
      </c>
    </row>
    <row r="124" spans="1:11" x14ac:dyDescent="0.25">
      <c r="A124" s="83" t="s">
        <v>3694</v>
      </c>
      <c r="B124" s="83" t="s">
        <v>3208</v>
      </c>
      <c r="C124" s="83" t="s">
        <v>3208</v>
      </c>
      <c r="D124" s="83" t="s">
        <v>3209</v>
      </c>
      <c r="E124" s="83" t="s">
        <v>3663</v>
      </c>
      <c r="F124" s="83" t="s">
        <v>3695</v>
      </c>
      <c r="G124" s="83" t="s">
        <v>3208</v>
      </c>
      <c r="H124" s="83">
        <v>99</v>
      </c>
      <c r="I124" s="83" t="s">
        <v>3208</v>
      </c>
      <c r="J124" s="83" t="s">
        <v>3208</v>
      </c>
      <c r="K124" s="83" t="s">
        <v>3208</v>
      </c>
    </row>
    <row r="125" spans="1:11" x14ac:dyDescent="0.25">
      <c r="A125" s="83" t="s">
        <v>3696</v>
      </c>
      <c r="B125" s="83" t="s">
        <v>3208</v>
      </c>
      <c r="C125" s="83" t="s">
        <v>3208</v>
      </c>
      <c r="D125" s="83" t="s">
        <v>3209</v>
      </c>
      <c r="E125" s="83" t="s">
        <v>3663</v>
      </c>
      <c r="F125" s="83" t="s">
        <v>3697</v>
      </c>
      <c r="G125" s="83" t="s">
        <v>3698</v>
      </c>
      <c r="H125" s="83">
        <v>0.3</v>
      </c>
      <c r="I125" s="83" t="s">
        <v>3208</v>
      </c>
      <c r="J125" s="83" t="s">
        <v>3208</v>
      </c>
      <c r="K125" s="83" t="s">
        <v>3208</v>
      </c>
    </row>
    <row r="126" spans="1:11" x14ac:dyDescent="0.25">
      <c r="A126" s="83" t="s">
        <v>3699</v>
      </c>
      <c r="B126" s="83" t="s">
        <v>3700</v>
      </c>
      <c r="C126" s="83" t="s">
        <v>3701</v>
      </c>
      <c r="D126" s="83" t="s">
        <v>3209</v>
      </c>
      <c r="E126" s="83" t="s">
        <v>3702</v>
      </c>
      <c r="F126" s="83" t="s">
        <v>3703</v>
      </c>
      <c r="G126" s="83" t="s">
        <v>3704</v>
      </c>
      <c r="H126" s="83">
        <v>0</v>
      </c>
      <c r="I126" s="83" t="s">
        <v>3208</v>
      </c>
      <c r="J126" s="83" t="s">
        <v>3208</v>
      </c>
      <c r="K126" s="83" t="s">
        <v>3208</v>
      </c>
    </row>
    <row r="127" spans="1:11" x14ac:dyDescent="0.25">
      <c r="A127" s="83" t="s">
        <v>3705</v>
      </c>
      <c r="B127" s="83" t="s">
        <v>3706</v>
      </c>
      <c r="C127" s="83" t="s">
        <v>3707</v>
      </c>
      <c r="D127" s="83" t="s">
        <v>3209</v>
      </c>
      <c r="E127" s="83" t="s">
        <v>3702</v>
      </c>
      <c r="F127" s="83" t="s">
        <v>3708</v>
      </c>
      <c r="G127" s="83" t="s">
        <v>3208</v>
      </c>
      <c r="H127" s="83">
        <v>0</v>
      </c>
      <c r="I127" s="83" t="s">
        <v>3208</v>
      </c>
      <c r="J127" s="83" t="s">
        <v>3208</v>
      </c>
      <c r="K127" s="83" t="s">
        <v>3208</v>
      </c>
    </row>
    <row r="128" spans="1:11" x14ac:dyDescent="0.25">
      <c r="A128" s="83" t="s">
        <v>3709</v>
      </c>
      <c r="B128" s="83" t="s">
        <v>3710</v>
      </c>
      <c r="C128" s="83" t="s">
        <v>3208</v>
      </c>
      <c r="D128" s="83" t="s">
        <v>3209</v>
      </c>
      <c r="E128" s="83" t="s">
        <v>3702</v>
      </c>
      <c r="F128" s="83" t="s">
        <v>3711</v>
      </c>
      <c r="G128" s="83" t="s">
        <v>3284</v>
      </c>
      <c r="H128" s="83">
        <v>65</v>
      </c>
      <c r="I128" s="83" t="s">
        <v>3208</v>
      </c>
      <c r="J128" s="83" t="s">
        <v>3208</v>
      </c>
      <c r="K128" s="83" t="s">
        <v>3208</v>
      </c>
    </row>
    <row r="129" spans="1:11" ht="26.25" x14ac:dyDescent="0.25">
      <c r="A129" s="83" t="s">
        <v>3712</v>
      </c>
      <c r="B129" s="83" t="s">
        <v>3208</v>
      </c>
      <c r="C129" s="83" t="s">
        <v>3208</v>
      </c>
      <c r="D129" s="83" t="s">
        <v>3713</v>
      </c>
      <c r="E129" s="83" t="s">
        <v>3714</v>
      </c>
      <c r="F129" s="83" t="s">
        <v>3715</v>
      </c>
      <c r="G129" s="83" t="s">
        <v>3208</v>
      </c>
      <c r="H129" s="83">
        <v>0</v>
      </c>
      <c r="I129" s="83" t="s">
        <v>3208</v>
      </c>
      <c r="J129" s="83" t="s">
        <v>3208</v>
      </c>
      <c r="K129" s="83" t="s">
        <v>3208</v>
      </c>
    </row>
    <row r="130" spans="1:11" ht="26.25" x14ac:dyDescent="0.25">
      <c r="A130" s="83" t="s">
        <v>3716</v>
      </c>
      <c r="B130" s="83" t="s">
        <v>3208</v>
      </c>
      <c r="C130" s="83" t="s">
        <v>3717</v>
      </c>
      <c r="D130" s="83" t="s">
        <v>3718</v>
      </c>
      <c r="E130" s="83" t="s">
        <v>3702</v>
      </c>
      <c r="F130" s="83" t="s">
        <v>3719</v>
      </c>
      <c r="G130" s="83" t="s">
        <v>3720</v>
      </c>
      <c r="H130" s="83">
        <v>9</v>
      </c>
      <c r="I130" s="83" t="s">
        <v>3208</v>
      </c>
      <c r="J130" s="83" t="s">
        <v>3208</v>
      </c>
      <c r="K130" s="83" t="s">
        <v>3208</v>
      </c>
    </row>
    <row r="131" spans="1:11" ht="64.5" x14ac:dyDescent="0.25">
      <c r="A131" s="83" t="s">
        <v>3721</v>
      </c>
      <c r="B131" s="83" t="s">
        <v>3208</v>
      </c>
      <c r="C131" s="83" t="s">
        <v>3208</v>
      </c>
      <c r="D131" s="83" t="s">
        <v>3722</v>
      </c>
      <c r="E131" s="83" t="s">
        <v>3723</v>
      </c>
      <c r="F131" s="83" t="s">
        <v>3724</v>
      </c>
      <c r="G131" s="83" t="s">
        <v>3725</v>
      </c>
      <c r="H131" s="83">
        <v>0</v>
      </c>
      <c r="I131" s="83" t="s">
        <v>3213</v>
      </c>
      <c r="J131" s="83" t="s">
        <v>3262</v>
      </c>
      <c r="K131" s="83" t="s">
        <v>3215</v>
      </c>
    </row>
    <row r="132" spans="1:11" ht="51.75" x14ac:dyDescent="0.25">
      <c r="A132" s="83" t="s">
        <v>584</v>
      </c>
      <c r="B132" s="83" t="s">
        <v>3208</v>
      </c>
      <c r="C132" s="83" t="s">
        <v>3726</v>
      </c>
      <c r="D132" s="83" t="s">
        <v>3718</v>
      </c>
      <c r="E132" s="83" t="s">
        <v>3727</v>
      </c>
      <c r="F132" s="83" t="s">
        <v>3728</v>
      </c>
      <c r="G132" s="83" t="s">
        <v>3729</v>
      </c>
      <c r="H132" s="83">
        <v>10</v>
      </c>
      <c r="I132" s="83" t="s">
        <v>3229</v>
      </c>
      <c r="J132" s="83" t="s">
        <v>3730</v>
      </c>
      <c r="K132" s="83" t="s">
        <v>3215</v>
      </c>
    </row>
    <row r="133" spans="1:11" ht="51.75" x14ac:dyDescent="0.25">
      <c r="A133" s="83" t="s">
        <v>588</v>
      </c>
      <c r="B133" s="83" t="s">
        <v>3208</v>
      </c>
      <c r="C133" s="83" t="s">
        <v>3731</v>
      </c>
      <c r="D133" s="83" t="s">
        <v>3718</v>
      </c>
      <c r="E133" s="83" t="s">
        <v>3727</v>
      </c>
      <c r="F133" s="83" t="s">
        <v>3732</v>
      </c>
      <c r="G133" s="83" t="s">
        <v>3733</v>
      </c>
      <c r="H133" s="83">
        <v>2.1</v>
      </c>
      <c r="I133" s="83" t="s">
        <v>3213</v>
      </c>
      <c r="J133" s="83" t="s">
        <v>3271</v>
      </c>
      <c r="K133" s="83" t="s">
        <v>3215</v>
      </c>
    </row>
    <row r="134" spans="1:11" ht="26.25" x14ac:dyDescent="0.25">
      <c r="A134" s="83" t="s">
        <v>529</v>
      </c>
      <c r="B134" s="83" t="s">
        <v>3208</v>
      </c>
      <c r="C134" s="83" t="s">
        <v>3734</v>
      </c>
      <c r="D134" s="83" t="s">
        <v>3718</v>
      </c>
      <c r="E134" s="83" t="s">
        <v>3727</v>
      </c>
      <c r="F134" s="83" t="s">
        <v>3735</v>
      </c>
      <c r="G134" s="83" t="s">
        <v>3736</v>
      </c>
      <c r="H134" s="83">
        <v>0.4</v>
      </c>
      <c r="I134" s="83" t="s">
        <v>3229</v>
      </c>
      <c r="J134" s="83" t="s">
        <v>3222</v>
      </c>
      <c r="K134" s="83" t="s">
        <v>3215</v>
      </c>
    </row>
    <row r="135" spans="1:11" ht="64.5" x14ac:dyDescent="0.25">
      <c r="A135" s="83" t="s">
        <v>525</v>
      </c>
      <c r="B135" s="83" t="s">
        <v>3208</v>
      </c>
      <c r="C135" s="83" t="s">
        <v>3737</v>
      </c>
      <c r="D135" s="83" t="s">
        <v>3718</v>
      </c>
      <c r="E135" s="83" t="s">
        <v>3727</v>
      </c>
      <c r="F135" s="83" t="s">
        <v>3738</v>
      </c>
      <c r="G135" s="83" t="s">
        <v>3739</v>
      </c>
      <c r="H135" s="83">
        <v>8</v>
      </c>
      <c r="I135" s="83" t="s">
        <v>3213</v>
      </c>
      <c r="J135" s="83" t="s">
        <v>3262</v>
      </c>
      <c r="K135" s="83" t="s">
        <v>3215</v>
      </c>
    </row>
    <row r="136" spans="1:11" ht="64.5" x14ac:dyDescent="0.25">
      <c r="A136" s="83" t="s">
        <v>567</v>
      </c>
      <c r="B136" s="83" t="s">
        <v>3208</v>
      </c>
      <c r="C136" s="83" t="s">
        <v>3740</v>
      </c>
      <c r="D136" s="83" t="s">
        <v>3741</v>
      </c>
      <c r="E136" s="83" t="s">
        <v>3727</v>
      </c>
      <c r="F136" s="83" t="s">
        <v>3742</v>
      </c>
      <c r="G136" s="83" t="s">
        <v>3743</v>
      </c>
      <c r="H136" s="83">
        <v>9.8000000000000007</v>
      </c>
      <c r="I136" s="83" t="s">
        <v>3213</v>
      </c>
      <c r="J136" s="83" t="s">
        <v>3413</v>
      </c>
      <c r="K136" s="83" t="s">
        <v>3215</v>
      </c>
    </row>
    <row r="137" spans="1:11" ht="26.25" x14ac:dyDescent="0.25">
      <c r="A137" s="83" t="s">
        <v>522</v>
      </c>
      <c r="B137" s="83" t="s">
        <v>3208</v>
      </c>
      <c r="C137" s="83" t="s">
        <v>3744</v>
      </c>
      <c r="D137" s="83" t="s">
        <v>3741</v>
      </c>
      <c r="E137" s="83" t="s">
        <v>3727</v>
      </c>
      <c r="F137" s="83" t="s">
        <v>3745</v>
      </c>
      <c r="G137" s="83" t="s">
        <v>3746</v>
      </c>
      <c r="H137" s="83">
        <v>7</v>
      </c>
      <c r="I137" s="83" t="s">
        <v>3213</v>
      </c>
      <c r="J137" s="83" t="s">
        <v>3747</v>
      </c>
      <c r="K137" s="83" t="s">
        <v>3215</v>
      </c>
    </row>
    <row r="138" spans="1:11" ht="51.75" x14ac:dyDescent="0.25">
      <c r="A138" s="83" t="s">
        <v>524</v>
      </c>
      <c r="B138" s="83" t="s">
        <v>3208</v>
      </c>
      <c r="C138" s="83" t="s">
        <v>3748</v>
      </c>
      <c r="D138" s="83" t="s">
        <v>3741</v>
      </c>
      <c r="E138" s="83" t="s">
        <v>3727</v>
      </c>
      <c r="F138" s="83" t="s">
        <v>3749</v>
      </c>
      <c r="G138" s="83" t="s">
        <v>3750</v>
      </c>
      <c r="H138" s="83">
        <v>4</v>
      </c>
      <c r="I138" s="83" t="s">
        <v>3213</v>
      </c>
      <c r="J138" s="83" t="s">
        <v>3271</v>
      </c>
      <c r="K138" s="83" t="s">
        <v>3215</v>
      </c>
    </row>
    <row r="139" spans="1:11" ht="64.5" x14ac:dyDescent="0.25">
      <c r="A139" s="83" t="s">
        <v>975</v>
      </c>
      <c r="B139" s="83" t="s">
        <v>3208</v>
      </c>
      <c r="C139" s="83" t="s">
        <v>3751</v>
      </c>
      <c r="D139" s="83" t="s">
        <v>3752</v>
      </c>
      <c r="E139" s="83" t="s">
        <v>3723</v>
      </c>
      <c r="F139" s="83" t="s">
        <v>3753</v>
      </c>
      <c r="G139" s="83" t="s">
        <v>3754</v>
      </c>
      <c r="H139" s="83">
        <v>0</v>
      </c>
      <c r="I139" s="83" t="s">
        <v>3229</v>
      </c>
      <c r="J139" s="83" t="s">
        <v>3601</v>
      </c>
      <c r="K139" s="83" t="s">
        <v>3215</v>
      </c>
    </row>
    <row r="140" spans="1:11" ht="51.75" x14ac:dyDescent="0.25">
      <c r="A140" s="83" t="s">
        <v>688</v>
      </c>
      <c r="B140" s="83" t="s">
        <v>3208</v>
      </c>
      <c r="C140" s="83" t="s">
        <v>3755</v>
      </c>
      <c r="D140" s="83" t="s">
        <v>3752</v>
      </c>
      <c r="E140" s="83" t="s">
        <v>3723</v>
      </c>
      <c r="F140" s="83" t="s">
        <v>3756</v>
      </c>
      <c r="G140" s="83" t="s">
        <v>3757</v>
      </c>
      <c r="H140" s="83">
        <v>5</v>
      </c>
      <c r="I140" s="83" t="s">
        <v>3213</v>
      </c>
      <c r="J140" s="83" t="s">
        <v>3538</v>
      </c>
      <c r="K140" s="83" t="s">
        <v>3215</v>
      </c>
    </row>
    <row r="141" spans="1:11" ht="39" x14ac:dyDescent="0.25">
      <c r="A141" s="83" t="s">
        <v>720</v>
      </c>
      <c r="B141" s="83" t="s">
        <v>3208</v>
      </c>
      <c r="C141" s="83" t="s">
        <v>3758</v>
      </c>
      <c r="D141" s="83" t="s">
        <v>3718</v>
      </c>
      <c r="E141" s="83" t="s">
        <v>3727</v>
      </c>
      <c r="F141" s="83" t="s">
        <v>3759</v>
      </c>
      <c r="G141" s="83" t="s">
        <v>3760</v>
      </c>
      <c r="H141" s="83">
        <v>1.5</v>
      </c>
      <c r="I141" s="83" t="s">
        <v>3229</v>
      </c>
      <c r="J141" s="83" t="s">
        <v>356</v>
      </c>
      <c r="K141" s="83" t="s">
        <v>3215</v>
      </c>
    </row>
    <row r="142" spans="1:11" ht="51.75" x14ac:dyDescent="0.25">
      <c r="A142" s="83" t="s">
        <v>1968</v>
      </c>
      <c r="B142" s="83" t="s">
        <v>3208</v>
      </c>
      <c r="C142" s="83" t="s">
        <v>3208</v>
      </c>
      <c r="D142" s="83" t="s">
        <v>3713</v>
      </c>
      <c r="E142" s="83" t="s">
        <v>3761</v>
      </c>
      <c r="F142" s="83" t="s">
        <v>3762</v>
      </c>
      <c r="G142" s="83" t="s">
        <v>3763</v>
      </c>
      <c r="H142" s="83">
        <v>0</v>
      </c>
      <c r="I142" s="83" t="s">
        <v>3229</v>
      </c>
      <c r="J142" s="83" t="s">
        <v>3371</v>
      </c>
      <c r="K142" s="83" t="s">
        <v>3215</v>
      </c>
    </row>
    <row r="143" spans="1:11" ht="51.75" x14ac:dyDescent="0.25">
      <c r="A143" s="83" t="s">
        <v>2133</v>
      </c>
      <c r="B143" s="83" t="s">
        <v>3208</v>
      </c>
      <c r="C143" s="83" t="s">
        <v>3208</v>
      </c>
      <c r="D143" s="83" t="s">
        <v>3713</v>
      </c>
      <c r="E143" s="83" t="s">
        <v>3761</v>
      </c>
      <c r="F143" s="83" t="s">
        <v>3764</v>
      </c>
      <c r="G143" s="83" t="s">
        <v>3237</v>
      </c>
      <c r="H143" s="83">
        <v>0</v>
      </c>
      <c r="I143" s="83" t="s">
        <v>3229</v>
      </c>
      <c r="J143" s="83" t="s">
        <v>3230</v>
      </c>
      <c r="K143" s="83" t="s">
        <v>3215</v>
      </c>
    </row>
    <row r="144" spans="1:11" ht="51.75" x14ac:dyDescent="0.25">
      <c r="A144" s="83" t="s">
        <v>2135</v>
      </c>
      <c r="B144" s="83" t="s">
        <v>3208</v>
      </c>
      <c r="C144" s="83" t="s">
        <v>3208</v>
      </c>
      <c r="D144" s="83" t="s">
        <v>3713</v>
      </c>
      <c r="E144" s="83" t="s">
        <v>3761</v>
      </c>
      <c r="F144" s="83" t="s">
        <v>3765</v>
      </c>
      <c r="G144" s="83" t="s">
        <v>3237</v>
      </c>
      <c r="H144" s="83">
        <v>0</v>
      </c>
      <c r="I144" s="83" t="s">
        <v>3229</v>
      </c>
      <c r="J144" s="83" t="s">
        <v>3230</v>
      </c>
      <c r="K144" s="83" t="s">
        <v>3215</v>
      </c>
    </row>
    <row r="145" spans="1:11" ht="51.75" x14ac:dyDescent="0.25">
      <c r="A145" s="83" t="s">
        <v>2137</v>
      </c>
      <c r="B145" s="83" t="s">
        <v>3208</v>
      </c>
      <c r="C145" s="83" t="s">
        <v>3208</v>
      </c>
      <c r="D145" s="83" t="s">
        <v>3713</v>
      </c>
      <c r="E145" s="83" t="s">
        <v>3761</v>
      </c>
      <c r="F145" s="83" t="s">
        <v>3766</v>
      </c>
      <c r="G145" s="83" t="s">
        <v>3767</v>
      </c>
      <c r="H145" s="83">
        <v>0</v>
      </c>
      <c r="I145" s="83" t="s">
        <v>3229</v>
      </c>
      <c r="J145" s="83" t="s">
        <v>3230</v>
      </c>
      <c r="K145" s="83" t="s">
        <v>3215</v>
      </c>
    </row>
    <row r="146" spans="1:11" ht="51.75" x14ac:dyDescent="0.25">
      <c r="A146" s="83" t="s">
        <v>2142</v>
      </c>
      <c r="B146" s="83" t="s">
        <v>3208</v>
      </c>
      <c r="C146" s="83" t="s">
        <v>3208</v>
      </c>
      <c r="D146" s="83" t="s">
        <v>3713</v>
      </c>
      <c r="E146" s="83" t="s">
        <v>3761</v>
      </c>
      <c r="F146" s="83" t="s">
        <v>3768</v>
      </c>
      <c r="G146" s="83" t="s">
        <v>3769</v>
      </c>
      <c r="H146" s="83">
        <v>0</v>
      </c>
      <c r="I146" s="83" t="s">
        <v>3213</v>
      </c>
      <c r="J146" s="83" t="s">
        <v>3214</v>
      </c>
      <c r="K146" s="83" t="s">
        <v>3215</v>
      </c>
    </row>
    <row r="147" spans="1:11" ht="51.75" x14ac:dyDescent="0.25">
      <c r="A147" s="83" t="s">
        <v>1762</v>
      </c>
      <c r="B147" s="83" t="s">
        <v>3208</v>
      </c>
      <c r="C147" s="83" t="s">
        <v>3208</v>
      </c>
      <c r="D147" s="83" t="s">
        <v>3713</v>
      </c>
      <c r="E147" s="83" t="s">
        <v>3761</v>
      </c>
      <c r="F147" s="83" t="s">
        <v>3770</v>
      </c>
      <c r="G147" s="83" t="s">
        <v>3218</v>
      </c>
      <c r="H147" s="83">
        <v>0</v>
      </c>
      <c r="I147" s="83" t="s">
        <v>3213</v>
      </c>
      <c r="J147" s="83" t="s">
        <v>3538</v>
      </c>
      <c r="K147" s="83" t="s">
        <v>3215</v>
      </c>
    </row>
    <row r="148" spans="1:11" ht="51.75" x14ac:dyDescent="0.25">
      <c r="A148" s="83" t="s">
        <v>1763</v>
      </c>
      <c r="B148" s="83" t="s">
        <v>3208</v>
      </c>
      <c r="C148" s="83" t="s">
        <v>3208</v>
      </c>
      <c r="D148" s="83" t="s">
        <v>3713</v>
      </c>
      <c r="E148" s="83" t="s">
        <v>3761</v>
      </c>
      <c r="F148" s="83" t="s">
        <v>3771</v>
      </c>
      <c r="G148" s="83" t="s">
        <v>3218</v>
      </c>
      <c r="H148" s="83">
        <v>0</v>
      </c>
      <c r="I148" s="83" t="s">
        <v>3213</v>
      </c>
      <c r="J148" s="83" t="s">
        <v>3538</v>
      </c>
      <c r="K148" s="83" t="s">
        <v>3215</v>
      </c>
    </row>
    <row r="149" spans="1:11" ht="51.75" x14ac:dyDescent="0.25">
      <c r="A149" s="83" t="s">
        <v>2152</v>
      </c>
      <c r="B149" s="83" t="s">
        <v>3208</v>
      </c>
      <c r="C149" s="83" t="s">
        <v>3208</v>
      </c>
      <c r="D149" s="83" t="s">
        <v>3713</v>
      </c>
      <c r="E149" s="83" t="s">
        <v>3761</v>
      </c>
      <c r="F149" s="83" t="s">
        <v>3772</v>
      </c>
      <c r="G149" s="83" t="s">
        <v>3444</v>
      </c>
      <c r="H149" s="83">
        <v>0</v>
      </c>
      <c r="I149" s="83" t="s">
        <v>3213</v>
      </c>
      <c r="J149" s="83" t="s">
        <v>3257</v>
      </c>
      <c r="K149" s="83" t="s">
        <v>3215</v>
      </c>
    </row>
    <row r="150" spans="1:11" ht="51.75" x14ac:dyDescent="0.25">
      <c r="A150" s="83" t="s">
        <v>2158</v>
      </c>
      <c r="B150" s="83" t="s">
        <v>3208</v>
      </c>
      <c r="C150" s="83" t="s">
        <v>3208</v>
      </c>
      <c r="D150" s="83" t="s">
        <v>3713</v>
      </c>
      <c r="E150" s="83" t="s">
        <v>3761</v>
      </c>
      <c r="F150" s="83" t="s">
        <v>3773</v>
      </c>
      <c r="G150" s="83" t="s">
        <v>3774</v>
      </c>
      <c r="H150" s="83">
        <v>0</v>
      </c>
      <c r="I150" s="83" t="s">
        <v>3229</v>
      </c>
      <c r="J150" s="83" t="s">
        <v>3289</v>
      </c>
      <c r="K150" s="83" t="s">
        <v>3215</v>
      </c>
    </row>
    <row r="151" spans="1:11" ht="51.75" x14ac:dyDescent="0.25">
      <c r="A151" s="83" t="s">
        <v>2160</v>
      </c>
      <c r="B151" s="83" t="s">
        <v>3208</v>
      </c>
      <c r="C151" s="83" t="s">
        <v>3208</v>
      </c>
      <c r="D151" s="83" t="s">
        <v>3713</v>
      </c>
      <c r="E151" s="83" t="s">
        <v>3761</v>
      </c>
      <c r="F151" s="83" t="s">
        <v>3773</v>
      </c>
      <c r="G151" s="83" t="s">
        <v>3774</v>
      </c>
      <c r="H151" s="83">
        <v>0</v>
      </c>
      <c r="I151" s="83" t="s">
        <v>3229</v>
      </c>
      <c r="J151" s="83" t="s">
        <v>3289</v>
      </c>
      <c r="K151" s="83" t="s">
        <v>3215</v>
      </c>
    </row>
    <row r="152" spans="1:11" ht="51.75" x14ac:dyDescent="0.25">
      <c r="A152" s="83" t="s">
        <v>2163</v>
      </c>
      <c r="B152" s="83" t="s">
        <v>3208</v>
      </c>
      <c r="C152" s="83" t="s">
        <v>3208</v>
      </c>
      <c r="D152" s="83" t="s">
        <v>3713</v>
      </c>
      <c r="E152" s="83" t="s">
        <v>3761</v>
      </c>
      <c r="F152" s="83" t="s">
        <v>3775</v>
      </c>
      <c r="G152" s="83" t="s">
        <v>3776</v>
      </c>
      <c r="H152" s="83">
        <v>0</v>
      </c>
      <c r="I152" s="83" t="s">
        <v>3213</v>
      </c>
      <c r="J152" s="83" t="s">
        <v>3538</v>
      </c>
      <c r="K152" s="83" t="s">
        <v>3215</v>
      </c>
    </row>
    <row r="153" spans="1:11" ht="39" x14ac:dyDescent="0.25">
      <c r="A153" s="83" t="s">
        <v>2168</v>
      </c>
      <c r="B153" s="83" t="s">
        <v>3208</v>
      </c>
      <c r="C153" s="83" t="s">
        <v>3208</v>
      </c>
      <c r="D153" s="83" t="s">
        <v>3713</v>
      </c>
      <c r="E153" s="83" t="s">
        <v>3761</v>
      </c>
      <c r="F153" s="83" t="s">
        <v>3777</v>
      </c>
      <c r="G153" s="83" t="s">
        <v>3778</v>
      </c>
      <c r="H153" s="83">
        <v>0</v>
      </c>
      <c r="I153" s="83" t="s">
        <v>3229</v>
      </c>
      <c r="J153" s="83" t="s">
        <v>3241</v>
      </c>
      <c r="K153" s="83" t="s">
        <v>3215</v>
      </c>
    </row>
    <row r="154" spans="1:11" ht="26.25" x14ac:dyDescent="0.25">
      <c r="A154" s="83" t="s">
        <v>2177</v>
      </c>
      <c r="B154" s="83" t="s">
        <v>3208</v>
      </c>
      <c r="C154" s="83" t="s">
        <v>3208</v>
      </c>
      <c r="D154" s="83" t="s">
        <v>3713</v>
      </c>
      <c r="E154" s="83" t="s">
        <v>3761</v>
      </c>
      <c r="F154" s="83" t="s">
        <v>3779</v>
      </c>
      <c r="G154" s="83" t="s">
        <v>3780</v>
      </c>
      <c r="H154" s="83">
        <v>0</v>
      </c>
      <c r="I154" s="83" t="s">
        <v>3229</v>
      </c>
      <c r="J154" s="83" t="s">
        <v>3397</v>
      </c>
      <c r="K154" s="83" t="s">
        <v>3215</v>
      </c>
    </row>
    <row r="155" spans="1:11" ht="64.5" x14ac:dyDescent="0.25">
      <c r="A155" s="83" t="s">
        <v>1855</v>
      </c>
      <c r="B155" s="83" t="s">
        <v>3208</v>
      </c>
      <c r="C155" s="83" t="s">
        <v>3208</v>
      </c>
      <c r="D155" s="83" t="s">
        <v>3713</v>
      </c>
      <c r="E155" s="83" t="s">
        <v>3761</v>
      </c>
      <c r="F155" s="83" t="s">
        <v>3781</v>
      </c>
      <c r="G155" s="83" t="s">
        <v>3782</v>
      </c>
      <c r="H155" s="83">
        <v>0</v>
      </c>
      <c r="I155" s="83" t="s">
        <v>3213</v>
      </c>
      <c r="J155" s="83" t="s">
        <v>3262</v>
      </c>
      <c r="K155" s="83" t="s">
        <v>3215</v>
      </c>
    </row>
    <row r="156" spans="1:11" ht="39" x14ac:dyDescent="0.25">
      <c r="A156" s="83" t="s">
        <v>37</v>
      </c>
      <c r="B156" s="83" t="s">
        <v>3208</v>
      </c>
      <c r="C156" s="83" t="s">
        <v>3208</v>
      </c>
      <c r="D156" s="83" t="s">
        <v>3713</v>
      </c>
      <c r="E156" s="83" t="s">
        <v>3761</v>
      </c>
      <c r="F156" s="83" t="s">
        <v>3783</v>
      </c>
      <c r="G156" s="83" t="s">
        <v>3784</v>
      </c>
      <c r="H156" s="83">
        <v>0</v>
      </c>
      <c r="I156" s="83" t="s">
        <v>3229</v>
      </c>
      <c r="J156" s="83" t="s">
        <v>3241</v>
      </c>
      <c r="K156" s="83" t="s">
        <v>3215</v>
      </c>
    </row>
    <row r="157" spans="1:11" ht="64.5" x14ac:dyDescent="0.25">
      <c r="A157" s="83" t="s">
        <v>2185</v>
      </c>
      <c r="B157" s="83" t="s">
        <v>3208</v>
      </c>
      <c r="C157" s="83" t="s">
        <v>3208</v>
      </c>
      <c r="D157" s="83" t="s">
        <v>3713</v>
      </c>
      <c r="E157" s="83" t="s">
        <v>3761</v>
      </c>
      <c r="F157" s="83" t="s">
        <v>3785</v>
      </c>
      <c r="G157" s="83" t="s">
        <v>3786</v>
      </c>
      <c r="H157" s="83">
        <v>0</v>
      </c>
      <c r="I157" s="83" t="s">
        <v>3229</v>
      </c>
      <c r="J157" s="83" t="s">
        <v>3380</v>
      </c>
      <c r="K157" s="83" t="s">
        <v>3215</v>
      </c>
    </row>
    <row r="158" spans="1:11" ht="64.5" x14ac:dyDescent="0.25">
      <c r="A158" s="83" t="s">
        <v>2208</v>
      </c>
      <c r="B158" s="83" t="s">
        <v>3208</v>
      </c>
      <c r="C158" s="83" t="s">
        <v>3208</v>
      </c>
      <c r="D158" s="83" t="s">
        <v>3713</v>
      </c>
      <c r="E158" s="83" t="s">
        <v>3761</v>
      </c>
      <c r="F158" s="83" t="s">
        <v>3787</v>
      </c>
      <c r="G158" s="83" t="s">
        <v>3788</v>
      </c>
      <c r="H158" s="83">
        <v>0</v>
      </c>
      <c r="I158" s="83" t="s">
        <v>3229</v>
      </c>
      <c r="J158" s="83" t="s">
        <v>3380</v>
      </c>
      <c r="K158" s="83" t="s">
        <v>3215</v>
      </c>
    </row>
    <row r="159" spans="1:11" ht="51.75" x14ac:dyDescent="0.25">
      <c r="A159" s="83" t="s">
        <v>1849</v>
      </c>
      <c r="B159" s="83" t="s">
        <v>3208</v>
      </c>
      <c r="C159" s="83" t="s">
        <v>3208</v>
      </c>
      <c r="D159" s="83" t="s">
        <v>3713</v>
      </c>
      <c r="E159" s="83" t="s">
        <v>3761</v>
      </c>
      <c r="F159" s="83" t="s">
        <v>3789</v>
      </c>
      <c r="G159" s="83" t="s">
        <v>3352</v>
      </c>
      <c r="H159" s="83">
        <v>0</v>
      </c>
      <c r="I159" s="83" t="s">
        <v>3229</v>
      </c>
      <c r="J159" s="83" t="s">
        <v>3238</v>
      </c>
      <c r="K159" s="83" t="s">
        <v>3215</v>
      </c>
    </row>
    <row r="160" spans="1:11" ht="51.75" x14ac:dyDescent="0.25">
      <c r="A160" s="83" t="s">
        <v>2006</v>
      </c>
      <c r="B160" s="83" t="s">
        <v>3208</v>
      </c>
      <c r="C160" s="83" t="s">
        <v>3208</v>
      </c>
      <c r="D160" s="83" t="s">
        <v>3713</v>
      </c>
      <c r="E160" s="83" t="s">
        <v>3761</v>
      </c>
      <c r="F160" s="83" t="s">
        <v>3790</v>
      </c>
      <c r="G160" s="83" t="s">
        <v>3791</v>
      </c>
      <c r="H160" s="83">
        <v>0</v>
      </c>
      <c r="I160" s="83" t="s">
        <v>3229</v>
      </c>
      <c r="J160" s="83" t="s">
        <v>3238</v>
      </c>
      <c r="K160" s="83" t="s">
        <v>3215</v>
      </c>
    </row>
    <row r="161" spans="1:11" ht="26.25" x14ac:dyDescent="0.25">
      <c r="A161" s="83" t="s">
        <v>2013</v>
      </c>
      <c r="B161" s="83" t="s">
        <v>3208</v>
      </c>
      <c r="C161" s="83" t="s">
        <v>3208</v>
      </c>
      <c r="D161" s="83" t="s">
        <v>3713</v>
      </c>
      <c r="E161" s="83" t="s">
        <v>3761</v>
      </c>
      <c r="F161" s="83" t="s">
        <v>3792</v>
      </c>
      <c r="G161" s="83" t="s">
        <v>3793</v>
      </c>
      <c r="H161" s="83">
        <v>0</v>
      </c>
      <c r="I161" s="83" t="s">
        <v>3229</v>
      </c>
      <c r="J161" s="83" t="s">
        <v>3324</v>
      </c>
      <c r="K161" s="83" t="s">
        <v>3215</v>
      </c>
    </row>
    <row r="162" spans="1:11" ht="64.5" x14ac:dyDescent="0.25">
      <c r="A162" s="83" t="s">
        <v>2021</v>
      </c>
      <c r="B162" s="83" t="s">
        <v>3208</v>
      </c>
      <c r="C162" s="83" t="s">
        <v>3208</v>
      </c>
      <c r="D162" s="83" t="s">
        <v>3713</v>
      </c>
      <c r="E162" s="83" t="s">
        <v>3761</v>
      </c>
      <c r="F162" s="83" t="s">
        <v>3792</v>
      </c>
      <c r="G162" s="83" t="s">
        <v>3408</v>
      </c>
      <c r="H162" s="83">
        <v>0</v>
      </c>
      <c r="I162" s="83" t="s">
        <v>3229</v>
      </c>
      <c r="J162" s="83" t="s">
        <v>3380</v>
      </c>
      <c r="K162" s="83" t="s">
        <v>3215</v>
      </c>
    </row>
    <row r="163" spans="1:11" ht="51.75" x14ac:dyDescent="0.25">
      <c r="A163" s="83" t="s">
        <v>2027</v>
      </c>
      <c r="B163" s="83" t="s">
        <v>3208</v>
      </c>
      <c r="C163" s="83" t="s">
        <v>3208</v>
      </c>
      <c r="D163" s="83" t="s">
        <v>3713</v>
      </c>
      <c r="E163" s="83" t="s">
        <v>3761</v>
      </c>
      <c r="F163" s="83" t="s">
        <v>3792</v>
      </c>
      <c r="G163" s="83" t="s">
        <v>3565</v>
      </c>
      <c r="H163" s="83">
        <v>0</v>
      </c>
      <c r="I163" s="83" t="s">
        <v>3229</v>
      </c>
      <c r="J163" s="83" t="s">
        <v>3230</v>
      </c>
      <c r="K163" s="83" t="s">
        <v>3215</v>
      </c>
    </row>
    <row r="164" spans="1:11" ht="51.75" x14ac:dyDescent="0.25">
      <c r="A164" s="83" t="s">
        <v>2034</v>
      </c>
      <c r="B164" s="83" t="s">
        <v>3208</v>
      </c>
      <c r="C164" s="83" t="s">
        <v>3208</v>
      </c>
      <c r="D164" s="83" t="s">
        <v>3713</v>
      </c>
      <c r="E164" s="83" t="s">
        <v>3761</v>
      </c>
      <c r="F164" s="83" t="s">
        <v>3792</v>
      </c>
      <c r="G164" s="83" t="s">
        <v>3794</v>
      </c>
      <c r="H164" s="83">
        <v>0</v>
      </c>
      <c r="I164" s="83" t="s">
        <v>3229</v>
      </c>
      <c r="J164" s="83" t="s">
        <v>3230</v>
      </c>
      <c r="K164" s="83" t="s">
        <v>3215</v>
      </c>
    </row>
    <row r="165" spans="1:11" ht="64.5" x14ac:dyDescent="0.25">
      <c r="A165" s="83" t="s">
        <v>2038</v>
      </c>
      <c r="B165" s="83" t="s">
        <v>3208</v>
      </c>
      <c r="C165" s="83" t="s">
        <v>3208</v>
      </c>
      <c r="D165" s="83" t="s">
        <v>3713</v>
      </c>
      <c r="E165" s="83" t="s">
        <v>3761</v>
      </c>
      <c r="F165" s="83" t="s">
        <v>3792</v>
      </c>
      <c r="G165" s="83" t="s">
        <v>3795</v>
      </c>
      <c r="H165" s="83">
        <v>0</v>
      </c>
      <c r="I165" s="83" t="s">
        <v>3229</v>
      </c>
      <c r="J165" s="83" t="s">
        <v>3380</v>
      </c>
      <c r="K165" s="83" t="s">
        <v>3215</v>
      </c>
    </row>
    <row r="166" spans="1:11" ht="39" x14ac:dyDescent="0.25">
      <c r="A166" s="83" t="s">
        <v>2040</v>
      </c>
      <c r="B166" s="83" t="s">
        <v>3208</v>
      </c>
      <c r="C166" s="83" t="s">
        <v>3208</v>
      </c>
      <c r="D166" s="83" t="s">
        <v>3713</v>
      </c>
      <c r="E166" s="83" t="s">
        <v>3761</v>
      </c>
      <c r="F166" s="83" t="s">
        <v>3796</v>
      </c>
      <c r="G166" s="83" t="s">
        <v>3797</v>
      </c>
      <c r="H166" s="83">
        <v>0</v>
      </c>
      <c r="I166" s="83" t="s">
        <v>3229</v>
      </c>
      <c r="J166" s="83" t="s">
        <v>3241</v>
      </c>
      <c r="K166" s="83" t="s">
        <v>3215</v>
      </c>
    </row>
    <row r="167" spans="1:11" ht="51.75" x14ac:dyDescent="0.25">
      <c r="A167" s="83" t="s">
        <v>2178</v>
      </c>
      <c r="B167" s="83" t="s">
        <v>3208</v>
      </c>
      <c r="C167" s="83" t="s">
        <v>3208</v>
      </c>
      <c r="D167" s="83" t="s">
        <v>3713</v>
      </c>
      <c r="E167" s="83" t="s">
        <v>3761</v>
      </c>
      <c r="F167" s="83" t="s">
        <v>3798</v>
      </c>
      <c r="G167" s="83" t="s">
        <v>3799</v>
      </c>
      <c r="H167" s="83">
        <v>0</v>
      </c>
      <c r="I167" s="83" t="s">
        <v>3229</v>
      </c>
      <c r="J167" s="83" t="s">
        <v>3238</v>
      </c>
      <c r="K167" s="83" t="s">
        <v>3215</v>
      </c>
    </row>
    <row r="168" spans="1:11" ht="26.25" x14ac:dyDescent="0.25">
      <c r="A168" s="83" t="s">
        <v>1954</v>
      </c>
      <c r="B168" s="83" t="s">
        <v>3208</v>
      </c>
      <c r="C168" s="83" t="s">
        <v>3208</v>
      </c>
      <c r="D168" s="83" t="s">
        <v>3713</v>
      </c>
      <c r="E168" s="83" t="s">
        <v>3761</v>
      </c>
      <c r="F168" s="83" t="s">
        <v>3800</v>
      </c>
      <c r="G168" s="83" t="s">
        <v>3801</v>
      </c>
      <c r="H168" s="83">
        <v>0</v>
      </c>
      <c r="I168" s="83" t="s">
        <v>3213</v>
      </c>
      <c r="J168" s="83" t="s">
        <v>3222</v>
      </c>
      <c r="K168" s="83" t="s">
        <v>3215</v>
      </c>
    </row>
    <row r="169" spans="1:11" ht="64.5" x14ac:dyDescent="0.25">
      <c r="A169" s="83" t="s">
        <v>2059</v>
      </c>
      <c r="B169" s="83" t="s">
        <v>3208</v>
      </c>
      <c r="C169" s="83" t="s">
        <v>3208</v>
      </c>
      <c r="D169" s="83" t="s">
        <v>3713</v>
      </c>
      <c r="E169" s="83" t="s">
        <v>3761</v>
      </c>
      <c r="F169" s="83" t="s">
        <v>3802</v>
      </c>
      <c r="G169" s="83" t="s">
        <v>3803</v>
      </c>
      <c r="H169" s="83">
        <v>0</v>
      </c>
      <c r="I169" s="83" t="s">
        <v>3213</v>
      </c>
      <c r="J169" s="83" t="s">
        <v>3413</v>
      </c>
      <c r="K169" s="83" t="s">
        <v>3215</v>
      </c>
    </row>
    <row r="170" spans="1:11" ht="51.75" x14ac:dyDescent="0.25">
      <c r="A170" s="83" t="s">
        <v>2074</v>
      </c>
      <c r="B170" s="83" t="s">
        <v>3208</v>
      </c>
      <c r="C170" s="83" t="s">
        <v>3208</v>
      </c>
      <c r="D170" s="83" t="s">
        <v>3713</v>
      </c>
      <c r="E170" s="83" t="s">
        <v>3761</v>
      </c>
      <c r="F170" s="83" t="s">
        <v>3804</v>
      </c>
      <c r="G170" s="83" t="s">
        <v>3791</v>
      </c>
      <c r="H170" s="83">
        <v>0</v>
      </c>
      <c r="I170" s="83" t="s">
        <v>3229</v>
      </c>
      <c r="J170" s="83" t="s">
        <v>3230</v>
      </c>
      <c r="K170" s="83" t="s">
        <v>3215</v>
      </c>
    </row>
    <row r="171" spans="1:11" ht="51.75" x14ac:dyDescent="0.25">
      <c r="A171" s="83" t="s">
        <v>2076</v>
      </c>
      <c r="B171" s="83" t="s">
        <v>3208</v>
      </c>
      <c r="C171" s="83" t="s">
        <v>3208</v>
      </c>
      <c r="D171" s="83" t="s">
        <v>3713</v>
      </c>
      <c r="E171" s="83" t="s">
        <v>3761</v>
      </c>
      <c r="F171" s="83" t="s">
        <v>3804</v>
      </c>
      <c r="G171" s="83" t="s">
        <v>3791</v>
      </c>
      <c r="H171" s="83">
        <v>0</v>
      </c>
      <c r="I171" s="83" t="s">
        <v>3229</v>
      </c>
      <c r="J171" s="83" t="s">
        <v>3230</v>
      </c>
      <c r="K171" s="83" t="s">
        <v>3215</v>
      </c>
    </row>
    <row r="172" spans="1:11" ht="51.75" x14ac:dyDescent="0.25">
      <c r="A172" s="83" t="s">
        <v>2077</v>
      </c>
      <c r="B172" s="83" t="s">
        <v>3208</v>
      </c>
      <c r="C172" s="83" t="s">
        <v>3208</v>
      </c>
      <c r="D172" s="83" t="s">
        <v>3713</v>
      </c>
      <c r="E172" s="83" t="s">
        <v>3761</v>
      </c>
      <c r="F172" s="83" t="s">
        <v>3805</v>
      </c>
      <c r="G172" s="83" t="s">
        <v>3806</v>
      </c>
      <c r="H172" s="83">
        <v>0</v>
      </c>
      <c r="I172" s="83" t="s">
        <v>3229</v>
      </c>
      <c r="J172" s="83" t="s">
        <v>3371</v>
      </c>
      <c r="K172" s="83" t="s">
        <v>3215</v>
      </c>
    </row>
    <row r="173" spans="1:11" ht="26.25" x14ac:dyDescent="0.25">
      <c r="A173" s="83" t="s">
        <v>2080</v>
      </c>
      <c r="B173" s="83" t="s">
        <v>3208</v>
      </c>
      <c r="C173" s="83" t="s">
        <v>3208</v>
      </c>
      <c r="D173" s="83" t="s">
        <v>3713</v>
      </c>
      <c r="E173" s="83" t="s">
        <v>3761</v>
      </c>
      <c r="F173" s="83" t="s">
        <v>3807</v>
      </c>
      <c r="G173" s="83" t="s">
        <v>3808</v>
      </c>
      <c r="H173" s="83">
        <v>0</v>
      </c>
      <c r="I173" s="83" t="s">
        <v>3229</v>
      </c>
      <c r="J173" s="83" t="s">
        <v>3311</v>
      </c>
      <c r="K173" s="83" t="s">
        <v>3215</v>
      </c>
    </row>
    <row r="174" spans="1:11" ht="26.25" x14ac:dyDescent="0.25">
      <c r="A174" s="83" t="s">
        <v>2081</v>
      </c>
      <c r="B174" s="83" t="s">
        <v>3208</v>
      </c>
      <c r="C174" s="83" t="s">
        <v>3208</v>
      </c>
      <c r="D174" s="83" t="s">
        <v>3713</v>
      </c>
      <c r="E174" s="83" t="s">
        <v>3761</v>
      </c>
      <c r="F174" s="83" t="s">
        <v>3807</v>
      </c>
      <c r="G174" s="83" t="s">
        <v>3808</v>
      </c>
      <c r="H174" s="83">
        <v>0</v>
      </c>
      <c r="I174" s="83" t="s">
        <v>3229</v>
      </c>
      <c r="J174" s="83" t="s">
        <v>3311</v>
      </c>
      <c r="K174" s="83" t="s">
        <v>3215</v>
      </c>
    </row>
    <row r="175" spans="1:11" ht="26.25" x14ac:dyDescent="0.25">
      <c r="A175" s="83" t="s">
        <v>2082</v>
      </c>
      <c r="B175" s="83" t="s">
        <v>3208</v>
      </c>
      <c r="C175" s="83" t="s">
        <v>3208</v>
      </c>
      <c r="D175" s="83" t="s">
        <v>3713</v>
      </c>
      <c r="E175" s="83" t="s">
        <v>3761</v>
      </c>
      <c r="F175" s="83" t="s">
        <v>3807</v>
      </c>
      <c r="G175" s="83" t="s">
        <v>3808</v>
      </c>
      <c r="H175" s="83">
        <v>0</v>
      </c>
      <c r="I175" s="83" t="s">
        <v>3229</v>
      </c>
      <c r="J175" s="83" t="s">
        <v>3311</v>
      </c>
      <c r="K175" s="83" t="s">
        <v>3215</v>
      </c>
    </row>
    <row r="176" spans="1:11" ht="26.25" x14ac:dyDescent="0.25">
      <c r="A176" s="83" t="s">
        <v>2089</v>
      </c>
      <c r="B176" s="83" t="s">
        <v>3208</v>
      </c>
      <c r="C176" s="83" t="s">
        <v>3208</v>
      </c>
      <c r="D176" s="83" t="s">
        <v>3713</v>
      </c>
      <c r="E176" s="83" t="s">
        <v>3761</v>
      </c>
      <c r="F176" s="83" t="s">
        <v>3809</v>
      </c>
      <c r="G176" s="83" t="s">
        <v>3810</v>
      </c>
      <c r="H176" s="83">
        <v>0</v>
      </c>
      <c r="I176" s="83" t="s">
        <v>3213</v>
      </c>
      <c r="J176" s="83" t="s">
        <v>3467</v>
      </c>
      <c r="K176" s="83" t="s">
        <v>3215</v>
      </c>
    </row>
    <row r="177" spans="1:11" ht="51.75" x14ac:dyDescent="0.25">
      <c r="A177" s="83" t="s">
        <v>167</v>
      </c>
      <c r="B177" s="83" t="s">
        <v>3208</v>
      </c>
      <c r="C177" s="83" t="s">
        <v>3208</v>
      </c>
      <c r="D177" s="83" t="s">
        <v>3713</v>
      </c>
      <c r="E177" s="83" t="s">
        <v>3761</v>
      </c>
      <c r="F177" s="83" t="s">
        <v>3811</v>
      </c>
      <c r="G177" s="83" t="s">
        <v>3812</v>
      </c>
      <c r="H177" s="83">
        <v>0</v>
      </c>
      <c r="I177" s="83" t="s">
        <v>3213</v>
      </c>
      <c r="J177" s="83" t="s">
        <v>3538</v>
      </c>
      <c r="K177" s="83" t="s">
        <v>3215</v>
      </c>
    </row>
    <row r="178" spans="1:11" ht="51.75" x14ac:dyDescent="0.25">
      <c r="A178" s="83" t="s">
        <v>1955</v>
      </c>
      <c r="B178" s="83" t="s">
        <v>3208</v>
      </c>
      <c r="C178" s="83" t="s">
        <v>3208</v>
      </c>
      <c r="D178" s="83" t="s">
        <v>3713</v>
      </c>
      <c r="E178" s="83" t="s">
        <v>3761</v>
      </c>
      <c r="F178" s="83" t="s">
        <v>3813</v>
      </c>
      <c r="G178" s="83" t="s">
        <v>3248</v>
      </c>
      <c r="H178" s="83">
        <v>0</v>
      </c>
      <c r="I178" s="83" t="s">
        <v>3229</v>
      </c>
      <c r="J178" s="83" t="s">
        <v>3230</v>
      </c>
      <c r="K178" s="83" t="s">
        <v>3215</v>
      </c>
    </row>
    <row r="179" spans="1:11" ht="51.75" x14ac:dyDescent="0.25">
      <c r="A179" s="83" t="s">
        <v>1844</v>
      </c>
      <c r="B179" s="83" t="s">
        <v>3208</v>
      </c>
      <c r="C179" s="83" t="s">
        <v>3208</v>
      </c>
      <c r="D179" s="83" t="s">
        <v>3713</v>
      </c>
      <c r="E179" s="83" t="s">
        <v>3761</v>
      </c>
      <c r="F179" s="83" t="s">
        <v>3813</v>
      </c>
      <c r="G179" s="83" t="s">
        <v>3248</v>
      </c>
      <c r="H179" s="83">
        <v>0</v>
      </c>
      <c r="I179" s="83" t="s">
        <v>3229</v>
      </c>
      <c r="J179" s="83" t="s">
        <v>3230</v>
      </c>
      <c r="K179" s="83" t="s">
        <v>3215</v>
      </c>
    </row>
    <row r="180" spans="1:11" ht="51.75" x14ac:dyDescent="0.25">
      <c r="A180" s="83" t="s">
        <v>2101</v>
      </c>
      <c r="B180" s="83" t="s">
        <v>3208</v>
      </c>
      <c r="C180" s="83" t="s">
        <v>3208</v>
      </c>
      <c r="D180" s="83" t="s">
        <v>3713</v>
      </c>
      <c r="E180" s="83" t="s">
        <v>3761</v>
      </c>
      <c r="F180" s="83" t="s">
        <v>3814</v>
      </c>
      <c r="G180" s="83" t="s">
        <v>3815</v>
      </c>
      <c r="H180" s="83">
        <v>0</v>
      </c>
      <c r="I180" s="83" t="s">
        <v>3213</v>
      </c>
      <c r="J180" s="83" t="s">
        <v>3214</v>
      </c>
      <c r="K180" s="83" t="s">
        <v>3215</v>
      </c>
    </row>
    <row r="181" spans="1:11" ht="64.5" x14ac:dyDescent="0.25">
      <c r="A181" s="83" t="s">
        <v>1922</v>
      </c>
      <c r="B181" s="83" t="s">
        <v>3208</v>
      </c>
      <c r="C181" s="83" t="s">
        <v>3208</v>
      </c>
      <c r="D181" s="83" t="s">
        <v>3713</v>
      </c>
      <c r="E181" s="83" t="s">
        <v>3761</v>
      </c>
      <c r="F181" s="83" t="s">
        <v>3816</v>
      </c>
      <c r="G181" s="83" t="s">
        <v>3817</v>
      </c>
      <c r="H181" s="83">
        <v>0</v>
      </c>
      <c r="I181" s="83" t="s">
        <v>3213</v>
      </c>
      <c r="J181" s="83" t="s">
        <v>3413</v>
      </c>
      <c r="K181" s="83" t="s">
        <v>3215</v>
      </c>
    </row>
    <row r="182" spans="1:11" ht="64.5" x14ac:dyDescent="0.25">
      <c r="A182" s="83" t="s">
        <v>2108</v>
      </c>
      <c r="B182" s="83" t="s">
        <v>3208</v>
      </c>
      <c r="C182" s="83" t="s">
        <v>3208</v>
      </c>
      <c r="D182" s="83" t="s">
        <v>3713</v>
      </c>
      <c r="E182" s="83" t="s">
        <v>3761</v>
      </c>
      <c r="F182" s="83" t="s">
        <v>3818</v>
      </c>
      <c r="G182" s="83" t="s">
        <v>3819</v>
      </c>
      <c r="H182" s="83">
        <v>0</v>
      </c>
      <c r="I182" s="83" t="s">
        <v>3229</v>
      </c>
      <c r="J182" s="83" t="s">
        <v>3380</v>
      </c>
      <c r="K182" s="83" t="s">
        <v>3215</v>
      </c>
    </row>
    <row r="183" spans="1:11" ht="51.75" x14ac:dyDescent="0.25">
      <c r="A183" s="83" t="s">
        <v>2114</v>
      </c>
      <c r="B183" s="83" t="s">
        <v>3208</v>
      </c>
      <c r="C183" s="83" t="s">
        <v>3208</v>
      </c>
      <c r="D183" s="83" t="s">
        <v>3713</v>
      </c>
      <c r="E183" s="83" t="s">
        <v>3761</v>
      </c>
      <c r="F183" s="83" t="s">
        <v>3820</v>
      </c>
      <c r="G183" s="83" t="s">
        <v>3417</v>
      </c>
      <c r="H183" s="83">
        <v>0</v>
      </c>
      <c r="I183" s="83" t="s">
        <v>3213</v>
      </c>
      <c r="J183" s="83" t="s">
        <v>3214</v>
      </c>
      <c r="K183" s="83" t="s">
        <v>3215</v>
      </c>
    </row>
    <row r="184" spans="1:11" ht="51.75" x14ac:dyDescent="0.25">
      <c r="A184" s="83" t="s">
        <v>2115</v>
      </c>
      <c r="B184" s="83" t="s">
        <v>3208</v>
      </c>
      <c r="C184" s="83" t="s">
        <v>3208</v>
      </c>
      <c r="D184" s="83" t="s">
        <v>3713</v>
      </c>
      <c r="E184" s="83" t="s">
        <v>3761</v>
      </c>
      <c r="F184" s="83" t="s">
        <v>3820</v>
      </c>
      <c r="G184" s="83" t="s">
        <v>3417</v>
      </c>
      <c r="H184" s="83">
        <v>0</v>
      </c>
      <c r="I184" s="83" t="s">
        <v>3213</v>
      </c>
      <c r="J184" s="83" t="s">
        <v>3214</v>
      </c>
      <c r="K184" s="83" t="s">
        <v>3215</v>
      </c>
    </row>
    <row r="185" spans="1:11" ht="51.75" x14ac:dyDescent="0.25">
      <c r="A185" s="83" t="s">
        <v>1982</v>
      </c>
      <c r="B185" s="83" t="s">
        <v>3208</v>
      </c>
      <c r="C185" s="83" t="s">
        <v>3208</v>
      </c>
      <c r="D185" s="83" t="s">
        <v>3713</v>
      </c>
      <c r="E185" s="83" t="s">
        <v>3761</v>
      </c>
      <c r="F185" s="83" t="s">
        <v>3821</v>
      </c>
      <c r="G185" s="83" t="s">
        <v>3822</v>
      </c>
      <c r="H185" s="83">
        <v>0</v>
      </c>
      <c r="I185" s="83" t="s">
        <v>3213</v>
      </c>
      <c r="J185" s="83" t="s">
        <v>3257</v>
      </c>
      <c r="K185" s="83" t="s">
        <v>3215</v>
      </c>
    </row>
    <row r="186" spans="1:11" ht="64.5" x14ac:dyDescent="0.25">
      <c r="A186" s="83" t="s">
        <v>1946</v>
      </c>
      <c r="B186" s="83" t="s">
        <v>3208</v>
      </c>
      <c r="C186" s="83" t="s">
        <v>3208</v>
      </c>
      <c r="D186" s="83" t="s">
        <v>3713</v>
      </c>
      <c r="E186" s="83" t="s">
        <v>3761</v>
      </c>
      <c r="F186" s="83" t="s">
        <v>3823</v>
      </c>
      <c r="G186" s="83" t="s">
        <v>3824</v>
      </c>
      <c r="H186" s="83">
        <v>0</v>
      </c>
      <c r="I186" s="83" t="s">
        <v>3213</v>
      </c>
      <c r="J186" s="83" t="s">
        <v>3219</v>
      </c>
      <c r="K186" s="83" t="s">
        <v>3215</v>
      </c>
    </row>
    <row r="187" spans="1:11" ht="64.5" x14ac:dyDescent="0.25">
      <c r="A187" s="83" t="s">
        <v>1769</v>
      </c>
      <c r="B187" s="83" t="s">
        <v>3208</v>
      </c>
      <c r="C187" s="83" t="s">
        <v>3208</v>
      </c>
      <c r="D187" s="83" t="s">
        <v>3713</v>
      </c>
      <c r="E187" s="83" t="s">
        <v>3761</v>
      </c>
      <c r="F187" s="83" t="s">
        <v>3825</v>
      </c>
      <c r="G187" s="83" t="s">
        <v>3218</v>
      </c>
      <c r="H187" s="83">
        <v>0</v>
      </c>
      <c r="I187" s="83" t="s">
        <v>3213</v>
      </c>
      <c r="J187" s="83" t="s">
        <v>3219</v>
      </c>
      <c r="K187" s="83" t="s">
        <v>3215</v>
      </c>
    </row>
    <row r="188" spans="1:11" ht="51.75" x14ac:dyDescent="0.25">
      <c r="A188" s="83" t="s">
        <v>1069</v>
      </c>
      <c r="B188" s="83" t="s">
        <v>3826</v>
      </c>
      <c r="C188" s="83" t="s">
        <v>3827</v>
      </c>
      <c r="D188" s="83" t="s">
        <v>3209</v>
      </c>
      <c r="E188" s="83" t="s">
        <v>3246</v>
      </c>
      <c r="F188" s="83" t="s">
        <v>3828</v>
      </c>
      <c r="G188" s="83" t="s">
        <v>3829</v>
      </c>
      <c r="H188" s="83">
        <v>1137</v>
      </c>
      <c r="I188" s="83" t="s">
        <v>3229</v>
      </c>
      <c r="J188" s="83" t="s">
        <v>3337</v>
      </c>
      <c r="K188" s="83" t="s">
        <v>3215</v>
      </c>
    </row>
    <row r="189" spans="1:11" ht="51.75" x14ac:dyDescent="0.25">
      <c r="A189" s="83" t="s">
        <v>2272</v>
      </c>
      <c r="B189" s="83" t="s">
        <v>3208</v>
      </c>
      <c r="C189" s="83" t="s">
        <v>3208</v>
      </c>
      <c r="D189" s="83" t="s">
        <v>3713</v>
      </c>
      <c r="E189" s="83" t="s">
        <v>3761</v>
      </c>
      <c r="F189" s="83" t="s">
        <v>3830</v>
      </c>
      <c r="G189" s="83" t="s">
        <v>3569</v>
      </c>
      <c r="H189" s="83">
        <v>0</v>
      </c>
      <c r="I189" s="83" t="s">
        <v>3229</v>
      </c>
      <c r="J189" s="83" t="s">
        <v>3289</v>
      </c>
      <c r="K189" s="83" t="s">
        <v>3215</v>
      </c>
    </row>
    <row r="190" spans="1:11" ht="26.25" x14ac:dyDescent="0.25">
      <c r="A190" s="83" t="s">
        <v>3831</v>
      </c>
      <c r="B190" s="83" t="s">
        <v>3208</v>
      </c>
      <c r="C190" s="83" t="s">
        <v>3208</v>
      </c>
      <c r="D190" s="83" t="s">
        <v>3713</v>
      </c>
      <c r="E190" s="83" t="s">
        <v>3714</v>
      </c>
      <c r="F190" s="83" t="s">
        <v>3832</v>
      </c>
      <c r="G190" s="83" t="s">
        <v>3833</v>
      </c>
      <c r="H190" s="83">
        <v>0</v>
      </c>
      <c r="I190" s="83" t="s">
        <v>3208</v>
      </c>
      <c r="J190" s="83" t="s">
        <v>3208</v>
      </c>
      <c r="K190" s="83" t="s">
        <v>3208</v>
      </c>
    </row>
    <row r="191" spans="1:11" ht="51.75" x14ac:dyDescent="0.25">
      <c r="A191" s="83" t="s">
        <v>2737</v>
      </c>
      <c r="B191" s="83" t="s">
        <v>3208</v>
      </c>
      <c r="C191" s="83" t="s">
        <v>3208</v>
      </c>
      <c r="D191" s="83" t="s">
        <v>3713</v>
      </c>
      <c r="E191" s="83" t="s">
        <v>3761</v>
      </c>
      <c r="F191" s="83" t="s">
        <v>3834</v>
      </c>
      <c r="G191" s="83" t="s">
        <v>3448</v>
      </c>
      <c r="H191" s="83">
        <v>0</v>
      </c>
      <c r="I191" s="83" t="s">
        <v>3229</v>
      </c>
      <c r="J191" s="83" t="s">
        <v>3238</v>
      </c>
      <c r="K191" s="83" t="s">
        <v>3215</v>
      </c>
    </row>
    <row r="192" spans="1:11" ht="51.75" x14ac:dyDescent="0.25">
      <c r="A192" s="83" t="s">
        <v>1134</v>
      </c>
      <c r="B192" s="83" t="s">
        <v>3835</v>
      </c>
      <c r="C192" s="83" t="s">
        <v>3836</v>
      </c>
      <c r="D192" s="83" t="s">
        <v>3209</v>
      </c>
      <c r="E192" s="83" t="s">
        <v>3246</v>
      </c>
      <c r="F192" s="83" t="s">
        <v>3837</v>
      </c>
      <c r="G192" s="83" t="s">
        <v>3838</v>
      </c>
      <c r="H192" s="83">
        <v>38.5</v>
      </c>
      <c r="I192" s="83" t="s">
        <v>3213</v>
      </c>
      <c r="J192" s="83" t="s">
        <v>3214</v>
      </c>
      <c r="K192" s="83" t="s">
        <v>3215</v>
      </c>
    </row>
    <row r="193" spans="1:11" ht="26.25" x14ac:dyDescent="0.25">
      <c r="A193" s="83" t="s">
        <v>753</v>
      </c>
      <c r="B193" s="83" t="s">
        <v>3839</v>
      </c>
      <c r="C193" s="83" t="s">
        <v>3840</v>
      </c>
      <c r="D193" s="83" t="s">
        <v>3209</v>
      </c>
      <c r="E193" s="83" t="s">
        <v>3246</v>
      </c>
      <c r="F193" s="83" t="s">
        <v>3841</v>
      </c>
      <c r="G193" s="83" t="s">
        <v>3842</v>
      </c>
      <c r="H193" s="83">
        <v>21</v>
      </c>
      <c r="I193" s="83" t="s">
        <v>3229</v>
      </c>
      <c r="J193" s="83" t="s">
        <v>3222</v>
      </c>
      <c r="K193" s="83" t="s">
        <v>3215</v>
      </c>
    </row>
    <row r="194" spans="1:11" ht="26.25" x14ac:dyDescent="0.25">
      <c r="A194" s="83" t="s">
        <v>3843</v>
      </c>
      <c r="B194" s="83" t="s">
        <v>3208</v>
      </c>
      <c r="C194" s="83" t="s">
        <v>3208</v>
      </c>
      <c r="D194" s="83" t="s">
        <v>3713</v>
      </c>
      <c r="E194" s="83" t="s">
        <v>3714</v>
      </c>
      <c r="F194" s="83" t="s">
        <v>3844</v>
      </c>
      <c r="G194" s="83" t="s">
        <v>3845</v>
      </c>
      <c r="H194" s="83">
        <v>0</v>
      </c>
      <c r="I194" s="83" t="s">
        <v>3208</v>
      </c>
      <c r="J194" s="83" t="s">
        <v>3208</v>
      </c>
      <c r="K194" s="83" t="s">
        <v>3208</v>
      </c>
    </row>
    <row r="195" spans="1:11" ht="26.25" x14ac:dyDescent="0.25">
      <c r="A195" s="83" t="s">
        <v>3846</v>
      </c>
      <c r="B195" s="83" t="s">
        <v>3208</v>
      </c>
      <c r="C195" s="83" t="s">
        <v>3208</v>
      </c>
      <c r="D195" s="83" t="s">
        <v>3713</v>
      </c>
      <c r="E195" s="83" t="s">
        <v>3714</v>
      </c>
      <c r="F195" s="83" t="s">
        <v>3844</v>
      </c>
      <c r="G195" s="83" t="s">
        <v>3847</v>
      </c>
      <c r="H195" s="83">
        <v>0</v>
      </c>
      <c r="I195" s="83" t="s">
        <v>3208</v>
      </c>
      <c r="J195" s="83" t="s">
        <v>3208</v>
      </c>
      <c r="K195" s="83" t="s">
        <v>3208</v>
      </c>
    </row>
    <row r="196" spans="1:11" ht="26.25" x14ac:dyDescent="0.25">
      <c r="A196" s="83" t="s">
        <v>3848</v>
      </c>
      <c r="B196" s="83" t="s">
        <v>3208</v>
      </c>
      <c r="C196" s="83" t="s">
        <v>3208</v>
      </c>
      <c r="D196" s="83" t="s">
        <v>3713</v>
      </c>
      <c r="E196" s="83" t="s">
        <v>3714</v>
      </c>
      <c r="F196" s="83" t="s">
        <v>3849</v>
      </c>
      <c r="G196" s="83" t="s">
        <v>3850</v>
      </c>
      <c r="H196" s="83">
        <v>0</v>
      </c>
      <c r="I196" s="83" t="s">
        <v>3213</v>
      </c>
      <c r="J196" s="83" t="s">
        <v>3851</v>
      </c>
      <c r="K196" s="83" t="s">
        <v>3215</v>
      </c>
    </row>
    <row r="197" spans="1:11" ht="51.75" x14ac:dyDescent="0.25">
      <c r="A197" s="83" t="s">
        <v>586</v>
      </c>
      <c r="B197" s="83" t="s">
        <v>3208</v>
      </c>
      <c r="C197" s="83" t="s">
        <v>3852</v>
      </c>
      <c r="D197" s="83" t="s">
        <v>3718</v>
      </c>
      <c r="E197" s="83" t="s">
        <v>3727</v>
      </c>
      <c r="F197" s="83" t="s">
        <v>3853</v>
      </c>
      <c r="G197" s="83" t="s">
        <v>152</v>
      </c>
      <c r="H197" s="83">
        <v>5</v>
      </c>
      <c r="I197" s="83" t="s">
        <v>3213</v>
      </c>
      <c r="J197" s="83" t="s">
        <v>3538</v>
      </c>
      <c r="K197" s="83" t="s">
        <v>3215</v>
      </c>
    </row>
    <row r="198" spans="1:11" ht="51.75" x14ac:dyDescent="0.25">
      <c r="A198" s="83" t="s">
        <v>2242</v>
      </c>
      <c r="B198" s="83" t="s">
        <v>3208</v>
      </c>
      <c r="C198" s="83" t="s">
        <v>3208</v>
      </c>
      <c r="D198" s="83" t="s">
        <v>3713</v>
      </c>
      <c r="E198" s="83" t="s">
        <v>3761</v>
      </c>
      <c r="F198" s="83" t="s">
        <v>3854</v>
      </c>
      <c r="G198" s="83" t="s">
        <v>3855</v>
      </c>
      <c r="H198" s="83">
        <v>0</v>
      </c>
      <c r="I198" s="83" t="s">
        <v>3229</v>
      </c>
      <c r="J198" s="83" t="s">
        <v>3238</v>
      </c>
      <c r="K198" s="83" t="s">
        <v>3215</v>
      </c>
    </row>
    <row r="199" spans="1:11" ht="51.75" x14ac:dyDescent="0.25">
      <c r="A199" s="83" t="s">
        <v>2603</v>
      </c>
      <c r="B199" s="83" t="s">
        <v>3208</v>
      </c>
      <c r="C199" s="83" t="s">
        <v>3208</v>
      </c>
      <c r="D199" s="83" t="s">
        <v>3713</v>
      </c>
      <c r="E199" s="83" t="s">
        <v>3761</v>
      </c>
      <c r="F199" s="83" t="s">
        <v>3856</v>
      </c>
      <c r="G199" s="83" t="s">
        <v>3857</v>
      </c>
      <c r="H199" s="83">
        <v>0</v>
      </c>
      <c r="I199" s="83" t="s">
        <v>3229</v>
      </c>
      <c r="J199" s="83" t="s">
        <v>3238</v>
      </c>
      <c r="K199" s="83" t="s">
        <v>3215</v>
      </c>
    </row>
    <row r="200" spans="1:11" ht="51.75" x14ac:dyDescent="0.25">
      <c r="A200" s="83" t="s">
        <v>2252</v>
      </c>
      <c r="B200" s="83" t="s">
        <v>3208</v>
      </c>
      <c r="C200" s="83" t="s">
        <v>3208</v>
      </c>
      <c r="D200" s="83" t="s">
        <v>3713</v>
      </c>
      <c r="E200" s="83" t="s">
        <v>3761</v>
      </c>
      <c r="F200" s="83" t="s">
        <v>3854</v>
      </c>
      <c r="G200" s="83" t="s">
        <v>3858</v>
      </c>
      <c r="H200" s="83">
        <v>0</v>
      </c>
      <c r="I200" s="83" t="s">
        <v>3229</v>
      </c>
      <c r="J200" s="83" t="s">
        <v>3238</v>
      </c>
      <c r="K200" s="83" t="s">
        <v>3215</v>
      </c>
    </row>
    <row r="201" spans="1:11" ht="51.75" x14ac:dyDescent="0.25">
      <c r="A201" s="83" t="s">
        <v>741</v>
      </c>
      <c r="B201" s="83" t="s">
        <v>3208</v>
      </c>
      <c r="C201" s="83" t="s">
        <v>3208</v>
      </c>
      <c r="D201" s="83" t="s">
        <v>3209</v>
      </c>
      <c r="E201" s="83" t="s">
        <v>3210</v>
      </c>
      <c r="F201" s="83" t="s">
        <v>3859</v>
      </c>
      <c r="G201" s="83" t="s">
        <v>3860</v>
      </c>
      <c r="H201" s="83">
        <v>72</v>
      </c>
      <c r="I201" s="83" t="s">
        <v>3213</v>
      </c>
      <c r="J201" s="83" t="s">
        <v>3257</v>
      </c>
      <c r="K201" s="83" t="s">
        <v>3215</v>
      </c>
    </row>
    <row r="202" spans="1:11" ht="51.75" x14ac:dyDescent="0.25">
      <c r="A202" s="83" t="s">
        <v>502</v>
      </c>
      <c r="B202" s="83" t="s">
        <v>3208</v>
      </c>
      <c r="C202" s="83" t="s">
        <v>3208</v>
      </c>
      <c r="D202" s="83" t="s">
        <v>3209</v>
      </c>
      <c r="E202" s="83" t="s">
        <v>3210</v>
      </c>
      <c r="F202" s="83" t="s">
        <v>3861</v>
      </c>
      <c r="G202" s="83" t="s">
        <v>3862</v>
      </c>
      <c r="H202" s="83">
        <v>47.3</v>
      </c>
      <c r="I202" s="83" t="s">
        <v>3229</v>
      </c>
      <c r="J202" s="83" t="s">
        <v>3238</v>
      </c>
      <c r="K202" s="83" t="s">
        <v>3215</v>
      </c>
    </row>
    <row r="203" spans="1:11" ht="26.25" x14ac:dyDescent="0.25">
      <c r="A203" s="83" t="s">
        <v>564</v>
      </c>
      <c r="B203" s="83" t="s">
        <v>3208</v>
      </c>
      <c r="C203" s="83" t="s">
        <v>3863</v>
      </c>
      <c r="D203" s="83" t="s">
        <v>3741</v>
      </c>
      <c r="E203" s="83" t="s">
        <v>3727</v>
      </c>
      <c r="F203" s="83" t="s">
        <v>3864</v>
      </c>
      <c r="G203" s="83" t="s">
        <v>3808</v>
      </c>
      <c r="H203" s="83">
        <v>10</v>
      </c>
      <c r="I203" s="83" t="s">
        <v>3229</v>
      </c>
      <c r="J203" s="83" t="s">
        <v>3311</v>
      </c>
      <c r="K203" s="83" t="s">
        <v>3215</v>
      </c>
    </row>
    <row r="204" spans="1:11" ht="64.5" x14ac:dyDescent="0.25">
      <c r="A204" s="83" t="s">
        <v>711</v>
      </c>
      <c r="B204" s="83" t="s">
        <v>3865</v>
      </c>
      <c r="C204" s="83" t="s">
        <v>3208</v>
      </c>
      <c r="D204" s="83" t="s">
        <v>3209</v>
      </c>
      <c r="E204" s="83" t="s">
        <v>3226</v>
      </c>
      <c r="F204" s="83" t="s">
        <v>3866</v>
      </c>
      <c r="G204" s="83" t="s">
        <v>3743</v>
      </c>
      <c r="H204" s="83">
        <v>8.3000000000000007</v>
      </c>
      <c r="I204" s="83" t="s">
        <v>3213</v>
      </c>
      <c r="J204" s="83" t="s">
        <v>3413</v>
      </c>
      <c r="K204" s="83" t="s">
        <v>3215</v>
      </c>
    </row>
    <row r="205" spans="1:11" ht="26.25" x14ac:dyDescent="0.25">
      <c r="A205" s="83" t="s">
        <v>882</v>
      </c>
      <c r="B205" s="83" t="s">
        <v>3867</v>
      </c>
      <c r="C205" s="83" t="s">
        <v>3868</v>
      </c>
      <c r="D205" s="83" t="s">
        <v>3209</v>
      </c>
      <c r="E205" s="83" t="s">
        <v>3246</v>
      </c>
      <c r="F205" s="83" t="s">
        <v>3869</v>
      </c>
      <c r="G205" s="83" t="s">
        <v>3870</v>
      </c>
      <c r="H205" s="83">
        <v>4.0999999999999996</v>
      </c>
      <c r="I205" s="83" t="s">
        <v>3213</v>
      </c>
      <c r="J205" s="83" t="s">
        <v>3467</v>
      </c>
      <c r="K205" s="83" t="s">
        <v>3215</v>
      </c>
    </row>
    <row r="206" spans="1:11" ht="26.25" x14ac:dyDescent="0.25">
      <c r="A206" s="83" t="s">
        <v>3871</v>
      </c>
      <c r="B206" s="83" t="s">
        <v>3208</v>
      </c>
      <c r="C206" s="83" t="s">
        <v>3208</v>
      </c>
      <c r="D206" s="83" t="s">
        <v>3713</v>
      </c>
      <c r="E206" s="83" t="s">
        <v>3714</v>
      </c>
      <c r="F206" s="83" t="s">
        <v>3872</v>
      </c>
      <c r="G206" s="83" t="s">
        <v>3873</v>
      </c>
      <c r="H206" s="83">
        <v>0</v>
      </c>
      <c r="I206" s="83" t="s">
        <v>3208</v>
      </c>
      <c r="J206" s="83" t="s">
        <v>3208</v>
      </c>
      <c r="K206" s="83" t="s">
        <v>3208</v>
      </c>
    </row>
    <row r="207" spans="1:11" ht="26.25" x14ac:dyDescent="0.25">
      <c r="A207" s="83" t="s">
        <v>3874</v>
      </c>
      <c r="B207" s="83" t="s">
        <v>3208</v>
      </c>
      <c r="C207" s="83" t="s">
        <v>3208</v>
      </c>
      <c r="D207" s="83" t="s">
        <v>3713</v>
      </c>
      <c r="E207" s="83" t="s">
        <v>3714</v>
      </c>
      <c r="F207" s="83" t="s">
        <v>3875</v>
      </c>
      <c r="G207" s="83" t="s">
        <v>3876</v>
      </c>
      <c r="H207" s="83">
        <v>0</v>
      </c>
      <c r="I207" s="83" t="s">
        <v>3208</v>
      </c>
      <c r="J207" s="83" t="s">
        <v>3208</v>
      </c>
      <c r="K207" s="83" t="s">
        <v>3208</v>
      </c>
    </row>
    <row r="208" spans="1:11" ht="51.75" x14ac:dyDescent="0.25">
      <c r="A208" s="83" t="s">
        <v>1715</v>
      </c>
      <c r="B208" s="83" t="s">
        <v>3877</v>
      </c>
      <c r="C208" s="83" t="s">
        <v>3878</v>
      </c>
      <c r="D208" s="83" t="s">
        <v>3209</v>
      </c>
      <c r="E208" s="83" t="s">
        <v>3246</v>
      </c>
      <c r="F208" s="83" t="s">
        <v>3879</v>
      </c>
      <c r="G208" s="83" t="s">
        <v>3417</v>
      </c>
      <c r="H208" s="83">
        <v>96.5</v>
      </c>
      <c r="I208" s="83" t="s">
        <v>3213</v>
      </c>
      <c r="J208" s="83" t="s">
        <v>3214</v>
      </c>
      <c r="K208" s="83" t="s">
        <v>3215</v>
      </c>
    </row>
    <row r="209" spans="1:11" ht="26.25" x14ac:dyDescent="0.25">
      <c r="A209" s="83" t="s">
        <v>3880</v>
      </c>
      <c r="B209" s="83" t="s">
        <v>3881</v>
      </c>
      <c r="C209" s="83" t="s">
        <v>3208</v>
      </c>
      <c r="D209" s="83" t="s">
        <v>3209</v>
      </c>
      <c r="E209" s="83" t="s">
        <v>3702</v>
      </c>
      <c r="F209" s="83" t="s">
        <v>3882</v>
      </c>
      <c r="G209" s="83" t="s">
        <v>3883</v>
      </c>
      <c r="H209" s="83">
        <v>14.1</v>
      </c>
      <c r="I209" s="83" t="s">
        <v>3208</v>
      </c>
      <c r="J209" s="83" t="s">
        <v>3208</v>
      </c>
      <c r="K209" s="83" t="s">
        <v>3208</v>
      </c>
    </row>
    <row r="210" spans="1:11" ht="77.25" x14ac:dyDescent="0.25">
      <c r="A210" s="83" t="s">
        <v>541</v>
      </c>
      <c r="B210" s="83" t="s">
        <v>3208</v>
      </c>
      <c r="C210" s="83" t="s">
        <v>3208</v>
      </c>
      <c r="D210" s="83" t="s">
        <v>3209</v>
      </c>
      <c r="E210" s="83" t="s">
        <v>3210</v>
      </c>
      <c r="F210" s="83" t="s">
        <v>3884</v>
      </c>
      <c r="G210" s="83" t="s">
        <v>3885</v>
      </c>
      <c r="H210" s="83">
        <v>2600</v>
      </c>
      <c r="I210" s="83" t="s">
        <v>3213</v>
      </c>
      <c r="J210" s="83" t="s">
        <v>3621</v>
      </c>
      <c r="K210" s="83" t="s">
        <v>3215</v>
      </c>
    </row>
    <row r="211" spans="1:11" ht="51.75" x14ac:dyDescent="0.25">
      <c r="A211" s="83" t="s">
        <v>2347</v>
      </c>
      <c r="B211" s="83" t="s">
        <v>3208</v>
      </c>
      <c r="C211" s="83" t="s">
        <v>3208</v>
      </c>
      <c r="D211" s="83" t="s">
        <v>3713</v>
      </c>
      <c r="E211" s="83" t="s">
        <v>3761</v>
      </c>
      <c r="F211" s="83" t="s">
        <v>3886</v>
      </c>
      <c r="G211" s="83" t="s">
        <v>3362</v>
      </c>
      <c r="H211" s="83">
        <v>0</v>
      </c>
      <c r="I211" s="83" t="s">
        <v>3229</v>
      </c>
      <c r="J211" s="83" t="s">
        <v>3371</v>
      </c>
      <c r="K211" s="83" t="s">
        <v>3215</v>
      </c>
    </row>
    <row r="212" spans="1:11" ht="26.25" x14ac:dyDescent="0.25">
      <c r="A212" s="83" t="s">
        <v>589</v>
      </c>
      <c r="B212" s="83" t="s">
        <v>3208</v>
      </c>
      <c r="C212" s="83" t="s">
        <v>3887</v>
      </c>
      <c r="D212" s="83" t="s">
        <v>3741</v>
      </c>
      <c r="E212" s="83" t="s">
        <v>3727</v>
      </c>
      <c r="F212" s="83" t="s">
        <v>3888</v>
      </c>
      <c r="G212" s="83" t="s">
        <v>3889</v>
      </c>
      <c r="H212" s="83">
        <v>5</v>
      </c>
      <c r="I212" s="83" t="s">
        <v>3229</v>
      </c>
      <c r="J212" s="83" t="s">
        <v>3311</v>
      </c>
      <c r="K212" s="83" t="s">
        <v>3215</v>
      </c>
    </row>
    <row r="213" spans="1:11" ht="26.25" x14ac:dyDescent="0.25">
      <c r="A213" s="83" t="s">
        <v>551</v>
      </c>
      <c r="B213" s="83" t="s">
        <v>3208</v>
      </c>
      <c r="C213" s="83" t="s">
        <v>3208</v>
      </c>
      <c r="D213" s="83" t="s">
        <v>3209</v>
      </c>
      <c r="E213" s="83" t="s">
        <v>3210</v>
      </c>
      <c r="F213" s="83" t="s">
        <v>3890</v>
      </c>
      <c r="G213" s="83" t="s">
        <v>3891</v>
      </c>
      <c r="H213" s="83">
        <v>47</v>
      </c>
      <c r="I213" s="83" t="s">
        <v>3213</v>
      </c>
      <c r="J213" s="83" t="s">
        <v>3467</v>
      </c>
      <c r="K213" s="83" t="s">
        <v>3215</v>
      </c>
    </row>
    <row r="214" spans="1:11" ht="39" x14ac:dyDescent="0.25">
      <c r="A214" s="83" t="s">
        <v>764</v>
      </c>
      <c r="B214" s="83" t="s">
        <v>3892</v>
      </c>
      <c r="C214" s="83" t="s">
        <v>3893</v>
      </c>
      <c r="D214" s="83" t="s">
        <v>3209</v>
      </c>
      <c r="E214" s="83" t="s">
        <v>3246</v>
      </c>
      <c r="F214" s="83" t="s">
        <v>3894</v>
      </c>
      <c r="G214" s="83" t="s">
        <v>3237</v>
      </c>
      <c r="H214" s="83">
        <v>49</v>
      </c>
      <c r="I214" s="83" t="s">
        <v>3229</v>
      </c>
      <c r="J214" s="83" t="s">
        <v>3241</v>
      </c>
      <c r="K214" s="83" t="s">
        <v>3215</v>
      </c>
    </row>
    <row r="215" spans="1:11" ht="26.25" x14ac:dyDescent="0.25">
      <c r="A215" s="83" t="s">
        <v>2333</v>
      </c>
      <c r="B215" s="83" t="s">
        <v>3208</v>
      </c>
      <c r="C215" s="83" t="s">
        <v>3208</v>
      </c>
      <c r="D215" s="83" t="s">
        <v>3713</v>
      </c>
      <c r="E215" s="83" t="s">
        <v>3761</v>
      </c>
      <c r="F215" s="83" t="s">
        <v>3895</v>
      </c>
      <c r="G215" s="83" t="s">
        <v>3757</v>
      </c>
      <c r="H215" s="83">
        <v>0</v>
      </c>
      <c r="I215" s="83" t="s">
        <v>3213</v>
      </c>
      <c r="J215" s="83" t="s">
        <v>3896</v>
      </c>
      <c r="K215" s="83" t="s">
        <v>3215</v>
      </c>
    </row>
    <row r="216" spans="1:11" ht="77.25" x14ac:dyDescent="0.25">
      <c r="A216" s="83" t="s">
        <v>600</v>
      </c>
      <c r="B216" s="83" t="s">
        <v>3208</v>
      </c>
      <c r="C216" s="83" t="s">
        <v>3208</v>
      </c>
      <c r="D216" s="83" t="s">
        <v>3209</v>
      </c>
      <c r="E216" s="83" t="s">
        <v>3210</v>
      </c>
      <c r="F216" s="83" t="s">
        <v>3897</v>
      </c>
      <c r="G216" s="83" t="s">
        <v>3898</v>
      </c>
      <c r="H216" s="83">
        <v>123</v>
      </c>
      <c r="I216" s="83" t="s">
        <v>3213</v>
      </c>
      <c r="J216" s="83" t="s">
        <v>3899</v>
      </c>
      <c r="K216" s="83" t="s">
        <v>3215</v>
      </c>
    </row>
    <row r="217" spans="1:11" ht="51.75" x14ac:dyDescent="0.25">
      <c r="A217" s="83" t="s">
        <v>746</v>
      </c>
      <c r="B217" s="83" t="s">
        <v>3208</v>
      </c>
      <c r="C217" s="83" t="s">
        <v>3208</v>
      </c>
      <c r="D217" s="83" t="s">
        <v>3209</v>
      </c>
      <c r="E217" s="83" t="s">
        <v>3210</v>
      </c>
      <c r="F217" s="83" t="s">
        <v>3859</v>
      </c>
      <c r="G217" s="83" t="s">
        <v>3900</v>
      </c>
      <c r="H217" s="83">
        <v>30</v>
      </c>
      <c r="I217" s="83" t="s">
        <v>3213</v>
      </c>
      <c r="J217" s="83" t="s">
        <v>3538</v>
      </c>
      <c r="K217" s="83" t="s">
        <v>3215</v>
      </c>
    </row>
    <row r="218" spans="1:11" ht="51.75" x14ac:dyDescent="0.25">
      <c r="A218" s="83" t="s">
        <v>2343</v>
      </c>
      <c r="B218" s="83" t="s">
        <v>3208</v>
      </c>
      <c r="C218" s="83" t="s">
        <v>3208</v>
      </c>
      <c r="D218" s="83" t="s">
        <v>3713</v>
      </c>
      <c r="E218" s="83" t="s">
        <v>3761</v>
      </c>
      <c r="F218" s="83" t="s">
        <v>3886</v>
      </c>
      <c r="G218" s="83" t="s">
        <v>3362</v>
      </c>
      <c r="H218" s="83">
        <v>0</v>
      </c>
      <c r="I218" s="83" t="s">
        <v>3229</v>
      </c>
      <c r="J218" s="83" t="s">
        <v>3230</v>
      </c>
      <c r="K218" s="83" t="s">
        <v>3215</v>
      </c>
    </row>
    <row r="219" spans="1:11" ht="51.75" x14ac:dyDescent="0.25">
      <c r="A219" s="83" t="s">
        <v>2535</v>
      </c>
      <c r="B219" s="83" t="s">
        <v>3208</v>
      </c>
      <c r="C219" s="83" t="s">
        <v>3208</v>
      </c>
      <c r="D219" s="83" t="s">
        <v>3713</v>
      </c>
      <c r="E219" s="83" t="s">
        <v>3761</v>
      </c>
      <c r="F219" s="83" t="s">
        <v>3901</v>
      </c>
      <c r="G219" s="83" t="s">
        <v>3902</v>
      </c>
      <c r="H219" s="83">
        <v>0</v>
      </c>
      <c r="I219" s="83" t="s">
        <v>3229</v>
      </c>
      <c r="J219" s="83" t="s">
        <v>3238</v>
      </c>
      <c r="K219" s="83" t="s">
        <v>3215</v>
      </c>
    </row>
    <row r="220" spans="1:11" ht="64.5" x14ac:dyDescent="0.25">
      <c r="A220" s="83" t="s">
        <v>481</v>
      </c>
      <c r="B220" s="83" t="s">
        <v>3208</v>
      </c>
      <c r="C220" s="83" t="s">
        <v>3208</v>
      </c>
      <c r="D220" s="83" t="s">
        <v>3209</v>
      </c>
      <c r="E220" s="83" t="s">
        <v>3210</v>
      </c>
      <c r="F220" s="83" t="s">
        <v>3903</v>
      </c>
      <c r="G220" s="83" t="s">
        <v>3904</v>
      </c>
      <c r="H220" s="83">
        <v>14.7</v>
      </c>
      <c r="I220" s="83" t="s">
        <v>3213</v>
      </c>
      <c r="J220" s="83" t="s">
        <v>3413</v>
      </c>
      <c r="K220" s="83" t="s">
        <v>3215</v>
      </c>
    </row>
    <row r="221" spans="1:11" ht="51.75" x14ac:dyDescent="0.25">
      <c r="A221" s="83" t="s">
        <v>620</v>
      </c>
      <c r="B221" s="83" t="s">
        <v>3208</v>
      </c>
      <c r="C221" s="83" t="s">
        <v>3905</v>
      </c>
      <c r="D221" s="83" t="s">
        <v>3718</v>
      </c>
      <c r="E221" s="83" t="s">
        <v>3727</v>
      </c>
      <c r="F221" s="83" t="s">
        <v>3906</v>
      </c>
      <c r="G221" s="83" t="s">
        <v>3907</v>
      </c>
      <c r="H221" s="83">
        <v>6</v>
      </c>
      <c r="I221" s="83" t="s">
        <v>3229</v>
      </c>
      <c r="J221" s="83" t="s">
        <v>3238</v>
      </c>
      <c r="K221" s="83" t="s">
        <v>3215</v>
      </c>
    </row>
    <row r="222" spans="1:11" ht="26.25" x14ac:dyDescent="0.25">
      <c r="A222" s="83" t="s">
        <v>3908</v>
      </c>
      <c r="B222" s="83" t="s">
        <v>3208</v>
      </c>
      <c r="C222" s="83" t="s">
        <v>3208</v>
      </c>
      <c r="D222" s="83" t="s">
        <v>3713</v>
      </c>
      <c r="E222" s="83" t="s">
        <v>3714</v>
      </c>
      <c r="F222" s="83" t="s">
        <v>3909</v>
      </c>
      <c r="G222" s="83" t="s">
        <v>3910</v>
      </c>
      <c r="H222" s="83">
        <v>0</v>
      </c>
      <c r="I222" s="83" t="s">
        <v>3208</v>
      </c>
      <c r="J222" s="83" t="s">
        <v>3208</v>
      </c>
      <c r="K222" s="83" t="s">
        <v>3208</v>
      </c>
    </row>
    <row r="223" spans="1:11" ht="26.25" x14ac:dyDescent="0.25">
      <c r="A223" s="83" t="s">
        <v>3911</v>
      </c>
      <c r="B223" s="83" t="s">
        <v>3208</v>
      </c>
      <c r="C223" s="83" t="s">
        <v>3208</v>
      </c>
      <c r="D223" s="83" t="s">
        <v>3209</v>
      </c>
      <c r="E223" s="83" t="s">
        <v>3210</v>
      </c>
      <c r="F223" s="83" t="s">
        <v>3912</v>
      </c>
      <c r="G223" s="83" t="s">
        <v>3913</v>
      </c>
      <c r="H223" s="83">
        <v>30</v>
      </c>
      <c r="I223" s="83" t="s">
        <v>3229</v>
      </c>
      <c r="J223" s="83" t="s">
        <v>3311</v>
      </c>
      <c r="K223" s="83" t="s">
        <v>3215</v>
      </c>
    </row>
    <row r="224" spans="1:11" ht="51.75" x14ac:dyDescent="0.25">
      <c r="A224" s="83" t="s">
        <v>2254</v>
      </c>
      <c r="B224" s="83" t="s">
        <v>3208</v>
      </c>
      <c r="C224" s="83" t="s">
        <v>3208</v>
      </c>
      <c r="D224" s="83" t="s">
        <v>3713</v>
      </c>
      <c r="E224" s="83" t="s">
        <v>3761</v>
      </c>
      <c r="F224" s="83" t="s">
        <v>3856</v>
      </c>
      <c r="G224" s="83" t="s">
        <v>3857</v>
      </c>
      <c r="H224" s="83">
        <v>0</v>
      </c>
      <c r="I224" s="83" t="s">
        <v>3229</v>
      </c>
      <c r="J224" s="83" t="s">
        <v>3238</v>
      </c>
      <c r="K224" s="83" t="s">
        <v>3215</v>
      </c>
    </row>
    <row r="225" spans="1:11" ht="51.75" x14ac:dyDescent="0.25">
      <c r="A225" s="83" t="s">
        <v>2243</v>
      </c>
      <c r="B225" s="83" t="s">
        <v>3208</v>
      </c>
      <c r="C225" s="83" t="s">
        <v>3208</v>
      </c>
      <c r="D225" s="83" t="s">
        <v>3713</v>
      </c>
      <c r="E225" s="83" t="s">
        <v>3761</v>
      </c>
      <c r="F225" s="83" t="s">
        <v>3854</v>
      </c>
      <c r="G225" s="83" t="s">
        <v>3914</v>
      </c>
      <c r="H225" s="83">
        <v>0</v>
      </c>
      <c r="I225" s="83" t="s">
        <v>3229</v>
      </c>
      <c r="J225" s="83" t="s">
        <v>3238</v>
      </c>
      <c r="K225" s="83" t="s">
        <v>3215</v>
      </c>
    </row>
    <row r="226" spans="1:11" ht="51.75" x14ac:dyDescent="0.25">
      <c r="A226" s="83" t="s">
        <v>1338</v>
      </c>
      <c r="B226" s="83" t="s">
        <v>3915</v>
      </c>
      <c r="C226" s="83" t="s">
        <v>3916</v>
      </c>
      <c r="D226" s="83" t="s">
        <v>3209</v>
      </c>
      <c r="E226" s="83" t="s">
        <v>3246</v>
      </c>
      <c r="F226" s="83" t="s">
        <v>3917</v>
      </c>
      <c r="G226" s="83" t="s">
        <v>3795</v>
      </c>
      <c r="H226" s="83">
        <v>49</v>
      </c>
      <c r="I226" s="83" t="s">
        <v>3229</v>
      </c>
      <c r="J226" s="83" t="s">
        <v>3230</v>
      </c>
      <c r="K226" s="83" t="s">
        <v>3215</v>
      </c>
    </row>
    <row r="227" spans="1:11" ht="64.5" x14ac:dyDescent="0.25">
      <c r="A227" s="83" t="s">
        <v>804</v>
      </c>
      <c r="B227" s="83" t="s">
        <v>3208</v>
      </c>
      <c r="C227" s="83" t="s">
        <v>3918</v>
      </c>
      <c r="D227" s="83" t="s">
        <v>3718</v>
      </c>
      <c r="E227" s="83" t="s">
        <v>3727</v>
      </c>
      <c r="F227" s="83" t="s">
        <v>3919</v>
      </c>
      <c r="G227" s="83" t="s">
        <v>3920</v>
      </c>
      <c r="H227" s="83">
        <v>2.5</v>
      </c>
      <c r="I227" s="83" t="s">
        <v>3213</v>
      </c>
      <c r="J227" s="83" t="s">
        <v>3413</v>
      </c>
      <c r="K227" s="83" t="s">
        <v>3215</v>
      </c>
    </row>
    <row r="228" spans="1:11" x14ac:dyDescent="0.25">
      <c r="A228" s="83" t="s">
        <v>3921</v>
      </c>
      <c r="B228" s="83" t="s">
        <v>3922</v>
      </c>
      <c r="C228" s="83" t="s">
        <v>3923</v>
      </c>
      <c r="D228" s="83" t="s">
        <v>3209</v>
      </c>
      <c r="E228" s="83" t="s">
        <v>3702</v>
      </c>
      <c r="F228" s="83" t="s">
        <v>3924</v>
      </c>
      <c r="G228" s="83" t="s">
        <v>3925</v>
      </c>
      <c r="H228" s="83">
        <v>0</v>
      </c>
      <c r="I228" s="83" t="s">
        <v>3208</v>
      </c>
      <c r="J228" s="83" t="s">
        <v>3208</v>
      </c>
      <c r="K228" s="83" t="s">
        <v>3208</v>
      </c>
    </row>
    <row r="229" spans="1:11" ht="26.25" x14ac:dyDescent="0.25">
      <c r="A229" s="83" t="s">
        <v>2280</v>
      </c>
      <c r="B229" s="83" t="s">
        <v>3208</v>
      </c>
      <c r="C229" s="83" t="s">
        <v>3208</v>
      </c>
      <c r="D229" s="83" t="s">
        <v>3713</v>
      </c>
      <c r="E229" s="83" t="s">
        <v>3761</v>
      </c>
      <c r="F229" s="83" t="s">
        <v>3926</v>
      </c>
      <c r="G229" s="83" t="s">
        <v>3927</v>
      </c>
      <c r="H229" s="83">
        <v>0</v>
      </c>
      <c r="I229" s="83" t="s">
        <v>3213</v>
      </c>
      <c r="J229" s="83" t="s">
        <v>3851</v>
      </c>
      <c r="K229" s="83" t="s">
        <v>3215</v>
      </c>
    </row>
    <row r="230" spans="1:11" ht="26.25" x14ac:dyDescent="0.25">
      <c r="A230" s="83" t="s">
        <v>3928</v>
      </c>
      <c r="B230" s="83" t="s">
        <v>3208</v>
      </c>
      <c r="C230" s="83" t="s">
        <v>3208</v>
      </c>
      <c r="D230" s="83" t="s">
        <v>3209</v>
      </c>
      <c r="E230" s="83" t="s">
        <v>3663</v>
      </c>
      <c r="F230" s="83" t="s">
        <v>3929</v>
      </c>
      <c r="G230" s="83" t="s">
        <v>3930</v>
      </c>
      <c r="H230" s="83">
        <v>199</v>
      </c>
      <c r="I230" s="83" t="s">
        <v>3208</v>
      </c>
      <c r="J230" s="83" t="s">
        <v>3208</v>
      </c>
      <c r="K230" s="83" t="s">
        <v>3208</v>
      </c>
    </row>
    <row r="231" spans="1:11" ht="26.25" x14ac:dyDescent="0.25">
      <c r="A231" s="83" t="s">
        <v>2286</v>
      </c>
      <c r="B231" s="83" t="s">
        <v>3208</v>
      </c>
      <c r="C231" s="83" t="s">
        <v>3208</v>
      </c>
      <c r="D231" s="83" t="s">
        <v>3713</v>
      </c>
      <c r="E231" s="83" t="s">
        <v>3761</v>
      </c>
      <c r="F231" s="83" t="s">
        <v>3931</v>
      </c>
      <c r="G231" s="83" t="s">
        <v>3932</v>
      </c>
      <c r="H231" s="83">
        <v>0</v>
      </c>
      <c r="I231" s="83" t="s">
        <v>3229</v>
      </c>
      <c r="J231" s="83" t="s">
        <v>3397</v>
      </c>
      <c r="K231" s="83" t="s">
        <v>3215</v>
      </c>
    </row>
    <row r="232" spans="1:11" ht="51.75" x14ac:dyDescent="0.25">
      <c r="A232" s="83" t="s">
        <v>60</v>
      </c>
      <c r="B232" s="83" t="s">
        <v>3208</v>
      </c>
      <c r="C232" s="83" t="s">
        <v>3208</v>
      </c>
      <c r="D232" s="83" t="s">
        <v>3713</v>
      </c>
      <c r="E232" s="83" t="s">
        <v>3761</v>
      </c>
      <c r="F232" s="83" t="s">
        <v>3933</v>
      </c>
      <c r="G232" s="83" t="s">
        <v>3440</v>
      </c>
      <c r="H232" s="83">
        <v>0</v>
      </c>
      <c r="I232" s="83" t="s">
        <v>3213</v>
      </c>
      <c r="J232" s="83" t="s">
        <v>3257</v>
      </c>
      <c r="K232" s="83" t="s">
        <v>3215</v>
      </c>
    </row>
    <row r="233" spans="1:11" ht="51.75" x14ac:dyDescent="0.25">
      <c r="A233" s="83" t="s">
        <v>2277</v>
      </c>
      <c r="B233" s="83" t="s">
        <v>3208</v>
      </c>
      <c r="C233" s="83" t="s">
        <v>3208</v>
      </c>
      <c r="D233" s="83" t="s">
        <v>3713</v>
      </c>
      <c r="E233" s="83" t="s">
        <v>3761</v>
      </c>
      <c r="F233" s="83" t="s">
        <v>3934</v>
      </c>
      <c r="G233" s="83" t="s">
        <v>3935</v>
      </c>
      <c r="H233" s="83">
        <v>0</v>
      </c>
      <c r="I233" s="83" t="s">
        <v>3213</v>
      </c>
      <c r="J233" s="83" t="s">
        <v>3214</v>
      </c>
      <c r="K233" s="83" t="s">
        <v>3215</v>
      </c>
    </row>
    <row r="234" spans="1:11" ht="51.75" x14ac:dyDescent="0.25">
      <c r="A234" s="83" t="s">
        <v>2281</v>
      </c>
      <c r="B234" s="83" t="s">
        <v>3208</v>
      </c>
      <c r="C234" s="83" t="s">
        <v>3208</v>
      </c>
      <c r="D234" s="83" t="s">
        <v>3713</v>
      </c>
      <c r="E234" s="83" t="s">
        <v>3761</v>
      </c>
      <c r="F234" s="83" t="s">
        <v>3926</v>
      </c>
      <c r="G234" s="83" t="s">
        <v>3256</v>
      </c>
      <c r="H234" s="83">
        <v>0</v>
      </c>
      <c r="I234" s="83" t="s">
        <v>3213</v>
      </c>
      <c r="J234" s="83" t="s">
        <v>3257</v>
      </c>
      <c r="K234" s="83" t="s">
        <v>3215</v>
      </c>
    </row>
    <row r="235" spans="1:11" ht="26.25" x14ac:dyDescent="0.25">
      <c r="A235" s="83" t="s">
        <v>659</v>
      </c>
      <c r="B235" s="83" t="s">
        <v>3208</v>
      </c>
      <c r="C235" s="83" t="s">
        <v>3208</v>
      </c>
      <c r="D235" s="83" t="s">
        <v>3209</v>
      </c>
      <c r="E235" s="83" t="s">
        <v>3210</v>
      </c>
      <c r="F235" s="83" t="s">
        <v>3936</v>
      </c>
      <c r="G235" s="83" t="s">
        <v>3937</v>
      </c>
      <c r="H235" s="83">
        <v>14</v>
      </c>
      <c r="I235" s="83" t="s">
        <v>3229</v>
      </c>
      <c r="J235" s="83" t="s">
        <v>3397</v>
      </c>
      <c r="K235" s="83" t="s">
        <v>3215</v>
      </c>
    </row>
    <row r="236" spans="1:11" ht="51.75" x14ac:dyDescent="0.25">
      <c r="A236" s="83" t="s">
        <v>733</v>
      </c>
      <c r="B236" s="83" t="s">
        <v>3938</v>
      </c>
      <c r="C236" s="83" t="s">
        <v>3208</v>
      </c>
      <c r="D236" s="83" t="s">
        <v>3209</v>
      </c>
      <c r="E236" s="83" t="s">
        <v>3226</v>
      </c>
      <c r="F236" s="83" t="s">
        <v>3939</v>
      </c>
      <c r="G236" s="83" t="s">
        <v>3940</v>
      </c>
      <c r="H236" s="83">
        <v>15</v>
      </c>
      <c r="I236" s="83" t="s">
        <v>3229</v>
      </c>
      <c r="J236" s="83" t="s">
        <v>3371</v>
      </c>
      <c r="K236" s="83" t="s">
        <v>3215</v>
      </c>
    </row>
    <row r="237" spans="1:11" ht="51.75" x14ac:dyDescent="0.25">
      <c r="A237" s="83" t="s">
        <v>653</v>
      </c>
      <c r="B237" s="83" t="s">
        <v>3208</v>
      </c>
      <c r="C237" s="83" t="s">
        <v>3208</v>
      </c>
      <c r="D237" s="83" t="s">
        <v>3209</v>
      </c>
      <c r="E237" s="83" t="s">
        <v>3210</v>
      </c>
      <c r="F237" s="83" t="s">
        <v>3941</v>
      </c>
      <c r="G237" s="83" t="s">
        <v>3942</v>
      </c>
      <c r="H237" s="83">
        <v>44</v>
      </c>
      <c r="I237" s="83" t="s">
        <v>3229</v>
      </c>
      <c r="J237" s="83" t="s">
        <v>3521</v>
      </c>
      <c r="K237" s="83" t="s">
        <v>3215</v>
      </c>
    </row>
    <row r="238" spans="1:11" ht="51.75" x14ac:dyDescent="0.25">
      <c r="A238" s="83" t="s">
        <v>143</v>
      </c>
      <c r="B238" s="83" t="s">
        <v>3208</v>
      </c>
      <c r="C238" s="83" t="s">
        <v>3208</v>
      </c>
      <c r="D238" s="83" t="s">
        <v>3713</v>
      </c>
      <c r="E238" s="83" t="s">
        <v>3761</v>
      </c>
      <c r="F238" s="83" t="s">
        <v>3830</v>
      </c>
      <c r="G238" s="83" t="s">
        <v>3569</v>
      </c>
      <c r="H238" s="83">
        <v>0</v>
      </c>
      <c r="I238" s="83" t="s">
        <v>3229</v>
      </c>
      <c r="J238" s="83" t="s">
        <v>3289</v>
      </c>
      <c r="K238" s="83" t="s">
        <v>3215</v>
      </c>
    </row>
    <row r="239" spans="1:11" ht="26.25" x14ac:dyDescent="0.25">
      <c r="A239" s="83" t="s">
        <v>440</v>
      </c>
      <c r="B239" s="83" t="s">
        <v>3208</v>
      </c>
      <c r="C239" s="83" t="s">
        <v>3943</v>
      </c>
      <c r="D239" s="83" t="s">
        <v>3718</v>
      </c>
      <c r="E239" s="83" t="s">
        <v>3727</v>
      </c>
      <c r="F239" s="83" t="s">
        <v>3944</v>
      </c>
      <c r="G239" s="83" t="s">
        <v>3945</v>
      </c>
      <c r="H239" s="83">
        <v>5.1050000000000004</v>
      </c>
      <c r="I239" s="83" t="s">
        <v>3229</v>
      </c>
      <c r="J239" s="83" t="s">
        <v>3222</v>
      </c>
      <c r="K239" s="83" t="s">
        <v>3215</v>
      </c>
    </row>
    <row r="240" spans="1:11" ht="26.25" x14ac:dyDescent="0.25">
      <c r="A240" s="83" t="s">
        <v>467</v>
      </c>
      <c r="B240" s="83" t="s">
        <v>3208</v>
      </c>
      <c r="C240" s="83" t="s">
        <v>3208</v>
      </c>
      <c r="D240" s="83" t="s">
        <v>3209</v>
      </c>
      <c r="E240" s="83" t="s">
        <v>3210</v>
      </c>
      <c r="F240" s="83" t="s">
        <v>3946</v>
      </c>
      <c r="G240" s="83" t="s">
        <v>3947</v>
      </c>
      <c r="H240" s="83">
        <v>53.9</v>
      </c>
      <c r="I240" s="83" t="s">
        <v>3213</v>
      </c>
      <c r="J240" s="83" t="s">
        <v>3948</v>
      </c>
      <c r="K240" s="83" t="s">
        <v>3215</v>
      </c>
    </row>
    <row r="241" spans="1:11" ht="26.25" x14ac:dyDescent="0.25">
      <c r="A241" s="83" t="s">
        <v>1782</v>
      </c>
      <c r="B241" s="83" t="s">
        <v>3208</v>
      </c>
      <c r="C241" s="83" t="s">
        <v>3208</v>
      </c>
      <c r="D241" s="83" t="s">
        <v>3713</v>
      </c>
      <c r="E241" s="83" t="s">
        <v>3761</v>
      </c>
      <c r="F241" s="83" t="s">
        <v>3901</v>
      </c>
      <c r="G241" s="83" t="s">
        <v>3949</v>
      </c>
      <c r="H241" s="83">
        <v>0</v>
      </c>
      <c r="I241" s="83" t="s">
        <v>3213</v>
      </c>
      <c r="J241" s="83" t="s">
        <v>3222</v>
      </c>
      <c r="K241" s="83" t="s">
        <v>3215</v>
      </c>
    </row>
    <row r="242" spans="1:11" ht="64.5" x14ac:dyDescent="0.25">
      <c r="A242" s="83" t="s">
        <v>1848</v>
      </c>
      <c r="B242" s="83" t="s">
        <v>3208</v>
      </c>
      <c r="C242" s="83" t="s">
        <v>3208</v>
      </c>
      <c r="D242" s="83" t="s">
        <v>3713</v>
      </c>
      <c r="E242" s="83" t="s">
        <v>3761</v>
      </c>
      <c r="F242" s="83" t="s">
        <v>3950</v>
      </c>
      <c r="G242" s="83" t="s">
        <v>3951</v>
      </c>
      <c r="H242" s="83">
        <v>0</v>
      </c>
      <c r="I242" s="83" t="s">
        <v>3213</v>
      </c>
      <c r="J242" s="83" t="s">
        <v>3219</v>
      </c>
      <c r="K242" s="83" t="s">
        <v>3215</v>
      </c>
    </row>
    <row r="243" spans="1:11" ht="26.25" x14ac:dyDescent="0.25">
      <c r="A243" s="83" t="s">
        <v>3952</v>
      </c>
      <c r="B243" s="83" t="s">
        <v>3208</v>
      </c>
      <c r="C243" s="83" t="s">
        <v>3953</v>
      </c>
      <c r="D243" s="83" t="s">
        <v>3741</v>
      </c>
      <c r="E243" s="83" t="s">
        <v>3702</v>
      </c>
      <c r="F243" s="83" t="s">
        <v>3954</v>
      </c>
      <c r="G243" s="83" t="s">
        <v>3955</v>
      </c>
      <c r="H243" s="83">
        <v>0.1</v>
      </c>
      <c r="I243" s="83" t="s">
        <v>3208</v>
      </c>
      <c r="J243" s="83" t="s">
        <v>3208</v>
      </c>
      <c r="K243" s="83" t="s">
        <v>3208</v>
      </c>
    </row>
    <row r="244" spans="1:11" x14ac:dyDescent="0.25">
      <c r="A244" s="83" t="s">
        <v>3956</v>
      </c>
      <c r="B244" s="83" t="s">
        <v>3957</v>
      </c>
      <c r="C244" s="83" t="s">
        <v>3208</v>
      </c>
      <c r="D244" s="83" t="s">
        <v>3209</v>
      </c>
      <c r="E244" s="83" t="s">
        <v>3702</v>
      </c>
      <c r="F244" s="83" t="s">
        <v>3958</v>
      </c>
      <c r="G244" s="83" t="s">
        <v>3959</v>
      </c>
      <c r="H244" s="83">
        <v>30</v>
      </c>
      <c r="I244" s="83" t="s">
        <v>3208</v>
      </c>
      <c r="J244" s="83" t="s">
        <v>3208</v>
      </c>
      <c r="K244" s="83" t="s">
        <v>3208</v>
      </c>
    </row>
    <row r="245" spans="1:11" ht="51.75" x14ac:dyDescent="0.25">
      <c r="A245" s="83" t="s">
        <v>730</v>
      </c>
      <c r="B245" s="83" t="s">
        <v>3960</v>
      </c>
      <c r="C245" s="83" t="s">
        <v>3961</v>
      </c>
      <c r="D245" s="83" t="s">
        <v>3209</v>
      </c>
      <c r="E245" s="83" t="s">
        <v>3246</v>
      </c>
      <c r="F245" s="83" t="s">
        <v>3962</v>
      </c>
      <c r="G245" s="83" t="s">
        <v>3963</v>
      </c>
      <c r="H245" s="83">
        <v>49</v>
      </c>
      <c r="I245" s="83" t="s">
        <v>3229</v>
      </c>
      <c r="J245" s="83" t="s">
        <v>3280</v>
      </c>
      <c r="K245" s="83" t="s">
        <v>3215</v>
      </c>
    </row>
    <row r="246" spans="1:11" ht="64.5" x14ac:dyDescent="0.25">
      <c r="A246" s="83" t="s">
        <v>3964</v>
      </c>
      <c r="B246" s="83" t="s">
        <v>3208</v>
      </c>
      <c r="C246" s="83" t="s">
        <v>3208</v>
      </c>
      <c r="D246" s="83" t="s">
        <v>3965</v>
      </c>
      <c r="E246" s="83" t="s">
        <v>3966</v>
      </c>
      <c r="F246" s="83" t="s">
        <v>3967</v>
      </c>
      <c r="G246" s="83" t="s">
        <v>3968</v>
      </c>
      <c r="H246" s="83">
        <v>0</v>
      </c>
      <c r="I246" s="83" t="s">
        <v>3213</v>
      </c>
      <c r="J246" s="83" t="s">
        <v>3413</v>
      </c>
      <c r="K246" s="83" t="s">
        <v>3215</v>
      </c>
    </row>
    <row r="247" spans="1:11" ht="51.75" x14ac:dyDescent="0.25">
      <c r="A247" s="83" t="s">
        <v>2542</v>
      </c>
      <c r="B247" s="83" t="s">
        <v>3208</v>
      </c>
      <c r="C247" s="83" t="s">
        <v>3208</v>
      </c>
      <c r="D247" s="83" t="s">
        <v>3713</v>
      </c>
      <c r="E247" s="83" t="s">
        <v>3761</v>
      </c>
      <c r="F247" s="83" t="s">
        <v>3886</v>
      </c>
      <c r="G247" s="83" t="s">
        <v>3520</v>
      </c>
      <c r="H247" s="83">
        <v>0</v>
      </c>
      <c r="I247" s="83" t="s">
        <v>3229</v>
      </c>
      <c r="J247" s="83" t="s">
        <v>3521</v>
      </c>
      <c r="K247" s="83" t="s">
        <v>3215</v>
      </c>
    </row>
    <row r="248" spans="1:11" x14ac:dyDescent="0.25">
      <c r="A248" s="83" t="s">
        <v>3969</v>
      </c>
      <c r="B248" s="83" t="s">
        <v>3970</v>
      </c>
      <c r="C248" s="83" t="s">
        <v>3971</v>
      </c>
      <c r="D248" s="83" t="s">
        <v>3209</v>
      </c>
      <c r="E248" s="83" t="s">
        <v>3702</v>
      </c>
      <c r="F248" s="83" t="s">
        <v>3972</v>
      </c>
      <c r="G248" s="83" t="s">
        <v>3973</v>
      </c>
      <c r="H248" s="83">
        <v>1.2</v>
      </c>
      <c r="I248" s="83" t="s">
        <v>3208</v>
      </c>
      <c r="J248" s="83" t="s">
        <v>3208</v>
      </c>
      <c r="K248" s="83" t="s">
        <v>3208</v>
      </c>
    </row>
    <row r="249" spans="1:11" ht="51.75" x14ac:dyDescent="0.25">
      <c r="A249" s="83" t="s">
        <v>2585</v>
      </c>
      <c r="B249" s="83" t="s">
        <v>3208</v>
      </c>
      <c r="C249" s="83" t="s">
        <v>3208</v>
      </c>
      <c r="D249" s="83" t="s">
        <v>3713</v>
      </c>
      <c r="E249" s="83" t="s">
        <v>3761</v>
      </c>
      <c r="F249" s="83" t="s">
        <v>3974</v>
      </c>
      <c r="G249" s="83" t="s">
        <v>3975</v>
      </c>
      <c r="H249" s="83">
        <v>0</v>
      </c>
      <c r="I249" s="83" t="s">
        <v>3229</v>
      </c>
      <c r="J249" s="83" t="s">
        <v>3371</v>
      </c>
      <c r="K249" s="83" t="s">
        <v>3215</v>
      </c>
    </row>
    <row r="250" spans="1:11" ht="51.75" x14ac:dyDescent="0.25">
      <c r="A250" s="83" t="s">
        <v>2479</v>
      </c>
      <c r="B250" s="83" t="s">
        <v>3208</v>
      </c>
      <c r="C250" s="83" t="s">
        <v>3208</v>
      </c>
      <c r="D250" s="83" t="s">
        <v>3713</v>
      </c>
      <c r="E250" s="83" t="s">
        <v>3761</v>
      </c>
      <c r="F250" s="83" t="s">
        <v>3976</v>
      </c>
      <c r="G250" s="83" t="s">
        <v>3977</v>
      </c>
      <c r="H250" s="83">
        <v>0</v>
      </c>
      <c r="I250" s="83" t="s">
        <v>3229</v>
      </c>
      <c r="J250" s="83" t="s">
        <v>3289</v>
      </c>
      <c r="K250" s="83" t="s">
        <v>3215</v>
      </c>
    </row>
    <row r="251" spans="1:11" ht="51.75" x14ac:dyDescent="0.25">
      <c r="A251" s="83" t="s">
        <v>2517</v>
      </c>
      <c r="B251" s="83" t="s">
        <v>3208</v>
      </c>
      <c r="C251" s="83" t="s">
        <v>3208</v>
      </c>
      <c r="D251" s="83" t="s">
        <v>3713</v>
      </c>
      <c r="E251" s="83" t="s">
        <v>3761</v>
      </c>
      <c r="F251" s="83" t="s">
        <v>3886</v>
      </c>
      <c r="G251" s="83" t="s">
        <v>3838</v>
      </c>
      <c r="H251" s="83">
        <v>0</v>
      </c>
      <c r="I251" s="83" t="s">
        <v>3213</v>
      </c>
      <c r="J251" s="83" t="s">
        <v>3214</v>
      </c>
      <c r="K251" s="83" t="s">
        <v>3215</v>
      </c>
    </row>
    <row r="252" spans="1:11" ht="64.5" x14ac:dyDescent="0.25">
      <c r="A252" s="83" t="s">
        <v>2506</v>
      </c>
      <c r="B252" s="83" t="s">
        <v>3208</v>
      </c>
      <c r="C252" s="83" t="s">
        <v>3208</v>
      </c>
      <c r="D252" s="83" t="s">
        <v>3713</v>
      </c>
      <c r="E252" s="83" t="s">
        <v>3761</v>
      </c>
      <c r="F252" s="83" t="s">
        <v>3950</v>
      </c>
      <c r="G252" s="83" t="s">
        <v>3978</v>
      </c>
      <c r="H252" s="83">
        <v>0</v>
      </c>
      <c r="I252" s="83" t="s">
        <v>3213</v>
      </c>
      <c r="J252" s="83" t="s">
        <v>3219</v>
      </c>
      <c r="K252" s="83" t="s">
        <v>3215</v>
      </c>
    </row>
    <row r="253" spans="1:11" ht="51.75" x14ac:dyDescent="0.25">
      <c r="A253" s="83" t="s">
        <v>457</v>
      </c>
      <c r="B253" s="83" t="s">
        <v>3208</v>
      </c>
      <c r="C253" s="83" t="s">
        <v>3979</v>
      </c>
      <c r="D253" s="83" t="s">
        <v>3741</v>
      </c>
      <c r="E253" s="83" t="s">
        <v>3727</v>
      </c>
      <c r="F253" s="83" t="s">
        <v>3980</v>
      </c>
      <c r="G253" s="83" t="s">
        <v>3981</v>
      </c>
      <c r="H253" s="83">
        <v>1.3</v>
      </c>
      <c r="I253" s="83" t="s">
        <v>3213</v>
      </c>
      <c r="J253" s="83" t="s">
        <v>3538</v>
      </c>
      <c r="K253" s="83" t="s">
        <v>3215</v>
      </c>
    </row>
    <row r="254" spans="1:11" ht="51.75" x14ac:dyDescent="0.25">
      <c r="A254" s="83" t="s">
        <v>736</v>
      </c>
      <c r="B254" s="83" t="s">
        <v>3982</v>
      </c>
      <c r="C254" s="83" t="s">
        <v>3208</v>
      </c>
      <c r="D254" s="83" t="s">
        <v>3209</v>
      </c>
      <c r="E254" s="83" t="s">
        <v>3226</v>
      </c>
      <c r="F254" s="83" t="s">
        <v>3983</v>
      </c>
      <c r="G254" s="83" t="s">
        <v>3984</v>
      </c>
      <c r="H254" s="83">
        <v>10</v>
      </c>
      <c r="I254" s="83" t="s">
        <v>3229</v>
      </c>
      <c r="J254" s="83" t="s">
        <v>3332</v>
      </c>
      <c r="K254" s="83" t="s">
        <v>3215</v>
      </c>
    </row>
    <row r="255" spans="1:11" ht="51.75" x14ac:dyDescent="0.25">
      <c r="A255" s="83" t="s">
        <v>470</v>
      </c>
      <c r="B255" s="83" t="s">
        <v>3208</v>
      </c>
      <c r="C255" s="83" t="s">
        <v>3208</v>
      </c>
      <c r="D255" s="83" t="s">
        <v>3209</v>
      </c>
      <c r="E255" s="83" t="s">
        <v>3210</v>
      </c>
      <c r="F255" s="83" t="s">
        <v>3985</v>
      </c>
      <c r="G255" s="83" t="s">
        <v>3986</v>
      </c>
      <c r="H255" s="83">
        <v>25</v>
      </c>
      <c r="I255" s="83" t="s">
        <v>3229</v>
      </c>
      <c r="J255" s="83" t="s">
        <v>3337</v>
      </c>
      <c r="K255" s="83" t="s">
        <v>3215</v>
      </c>
    </row>
    <row r="256" spans="1:11" ht="64.5" x14ac:dyDescent="0.25">
      <c r="A256" s="83" t="s">
        <v>1154</v>
      </c>
      <c r="B256" s="83" t="s">
        <v>3987</v>
      </c>
      <c r="C256" s="83" t="s">
        <v>3988</v>
      </c>
      <c r="D256" s="83" t="s">
        <v>3209</v>
      </c>
      <c r="E256" s="83" t="s">
        <v>3246</v>
      </c>
      <c r="F256" s="83" t="s">
        <v>3989</v>
      </c>
      <c r="G256" s="83" t="s">
        <v>3990</v>
      </c>
      <c r="H256" s="83">
        <v>28.7</v>
      </c>
      <c r="I256" s="83" t="s">
        <v>3229</v>
      </c>
      <c r="J256" s="83" t="s">
        <v>3380</v>
      </c>
      <c r="K256" s="83" t="s">
        <v>3215</v>
      </c>
    </row>
    <row r="257" spans="1:11" ht="64.5" x14ac:dyDescent="0.25">
      <c r="A257" s="83" t="s">
        <v>2091</v>
      </c>
      <c r="B257" s="83" t="s">
        <v>3208</v>
      </c>
      <c r="C257" s="83" t="s">
        <v>3208</v>
      </c>
      <c r="D257" s="83" t="s">
        <v>3713</v>
      </c>
      <c r="E257" s="83" t="s">
        <v>3761</v>
      </c>
      <c r="F257" s="83" t="s">
        <v>3991</v>
      </c>
      <c r="G257" s="83" t="s">
        <v>3992</v>
      </c>
      <c r="H257" s="83">
        <v>0</v>
      </c>
      <c r="I257" s="83" t="s">
        <v>3213</v>
      </c>
      <c r="J257" s="83" t="s">
        <v>3262</v>
      </c>
      <c r="K257" s="83" t="s">
        <v>3215</v>
      </c>
    </row>
    <row r="258" spans="1:11" ht="64.5" x14ac:dyDescent="0.25">
      <c r="A258" s="83" t="s">
        <v>3993</v>
      </c>
      <c r="B258" s="83" t="s">
        <v>3208</v>
      </c>
      <c r="C258" s="83" t="s">
        <v>3208</v>
      </c>
      <c r="D258" s="83" t="s">
        <v>3713</v>
      </c>
      <c r="E258" s="83" t="s">
        <v>3714</v>
      </c>
      <c r="F258" s="83" t="s">
        <v>3994</v>
      </c>
      <c r="G258" s="83" t="s">
        <v>3995</v>
      </c>
      <c r="H258" s="83">
        <v>0</v>
      </c>
      <c r="I258" s="83" t="s">
        <v>3213</v>
      </c>
      <c r="J258" s="83" t="s">
        <v>3219</v>
      </c>
      <c r="K258" s="83" t="s">
        <v>3215</v>
      </c>
    </row>
    <row r="259" spans="1:11" ht="51.75" x14ac:dyDescent="0.25">
      <c r="A259" s="83" t="s">
        <v>2621</v>
      </c>
      <c r="B259" s="83" t="s">
        <v>3208</v>
      </c>
      <c r="C259" s="83" t="s">
        <v>3208</v>
      </c>
      <c r="D259" s="83" t="s">
        <v>3713</v>
      </c>
      <c r="E259" s="83" t="s">
        <v>3761</v>
      </c>
      <c r="F259" s="83" t="s">
        <v>3996</v>
      </c>
      <c r="G259" s="83" t="s">
        <v>3997</v>
      </c>
      <c r="H259" s="83">
        <v>0</v>
      </c>
      <c r="I259" s="83" t="s">
        <v>3229</v>
      </c>
      <c r="J259" s="83" t="s">
        <v>3280</v>
      </c>
      <c r="K259" s="83" t="s">
        <v>3215</v>
      </c>
    </row>
    <row r="260" spans="1:11" ht="26.25" x14ac:dyDescent="0.25">
      <c r="A260" s="83" t="s">
        <v>1837</v>
      </c>
      <c r="B260" s="83" t="s">
        <v>3208</v>
      </c>
      <c r="C260" s="83" t="s">
        <v>3208</v>
      </c>
      <c r="D260" s="83" t="s">
        <v>3713</v>
      </c>
      <c r="E260" s="83" t="s">
        <v>3761</v>
      </c>
      <c r="F260" s="83" t="s">
        <v>3998</v>
      </c>
      <c r="G260" s="83" t="s">
        <v>3999</v>
      </c>
      <c r="H260" s="83">
        <v>0</v>
      </c>
      <c r="I260" s="83" t="s">
        <v>3213</v>
      </c>
      <c r="J260" s="83" t="s">
        <v>4000</v>
      </c>
      <c r="K260" s="83" t="s">
        <v>3215</v>
      </c>
    </row>
    <row r="261" spans="1:11" ht="51.75" x14ac:dyDescent="0.25">
      <c r="A261" s="83" t="s">
        <v>747</v>
      </c>
      <c r="B261" s="83" t="s">
        <v>3208</v>
      </c>
      <c r="C261" s="83" t="s">
        <v>4001</v>
      </c>
      <c r="D261" s="83" t="s">
        <v>3718</v>
      </c>
      <c r="E261" s="83" t="s">
        <v>3727</v>
      </c>
      <c r="F261" s="83" t="s">
        <v>4002</v>
      </c>
      <c r="G261" s="83" t="s">
        <v>4003</v>
      </c>
      <c r="H261" s="83">
        <v>8</v>
      </c>
      <c r="I261" s="83" t="s">
        <v>3229</v>
      </c>
      <c r="J261" s="83" t="s">
        <v>3238</v>
      </c>
      <c r="K261" s="83" t="s">
        <v>3215</v>
      </c>
    </row>
    <row r="262" spans="1:11" ht="26.25" x14ac:dyDescent="0.25">
      <c r="A262" s="83" t="s">
        <v>3174</v>
      </c>
      <c r="B262" s="83" t="s">
        <v>3208</v>
      </c>
      <c r="C262" s="83" t="s">
        <v>4004</v>
      </c>
      <c r="D262" s="83" t="s">
        <v>4005</v>
      </c>
      <c r="E262" s="83" t="s">
        <v>3727</v>
      </c>
      <c r="F262" s="83" t="s">
        <v>4006</v>
      </c>
      <c r="G262" s="83" t="s">
        <v>4007</v>
      </c>
      <c r="H262" s="83">
        <v>20</v>
      </c>
      <c r="I262" s="83" t="s">
        <v>3213</v>
      </c>
      <c r="J262" s="83" t="s">
        <v>3948</v>
      </c>
      <c r="K262" s="83" t="s">
        <v>3215</v>
      </c>
    </row>
    <row r="263" spans="1:11" ht="51.75" x14ac:dyDescent="0.25">
      <c r="A263" s="83" t="s">
        <v>2315</v>
      </c>
      <c r="B263" s="83" t="s">
        <v>3208</v>
      </c>
      <c r="C263" s="83" t="s">
        <v>3208</v>
      </c>
      <c r="D263" s="83" t="s">
        <v>3713</v>
      </c>
      <c r="E263" s="83" t="s">
        <v>3761</v>
      </c>
      <c r="F263" s="83" t="s">
        <v>3886</v>
      </c>
      <c r="G263" s="83" t="s">
        <v>3417</v>
      </c>
      <c r="H263" s="83">
        <v>0</v>
      </c>
      <c r="I263" s="83" t="s">
        <v>3213</v>
      </c>
      <c r="J263" s="83" t="s">
        <v>3257</v>
      </c>
      <c r="K263" s="83" t="s">
        <v>3215</v>
      </c>
    </row>
    <row r="264" spans="1:11" ht="51.75" x14ac:dyDescent="0.25">
      <c r="A264" s="83" t="s">
        <v>4008</v>
      </c>
      <c r="B264" s="83" t="s">
        <v>3208</v>
      </c>
      <c r="C264" s="83" t="s">
        <v>3208</v>
      </c>
      <c r="D264" s="83" t="s">
        <v>3713</v>
      </c>
      <c r="E264" s="83" t="s">
        <v>3714</v>
      </c>
      <c r="F264" s="83" t="s">
        <v>4009</v>
      </c>
      <c r="G264" s="83" t="s">
        <v>4010</v>
      </c>
      <c r="H264" s="83">
        <v>0</v>
      </c>
      <c r="I264" s="83" t="s">
        <v>3213</v>
      </c>
      <c r="J264" s="83" t="s">
        <v>3214</v>
      </c>
      <c r="K264" s="83" t="s">
        <v>3215</v>
      </c>
    </row>
    <row r="265" spans="1:11" ht="39" x14ac:dyDescent="0.25">
      <c r="A265" s="83" t="s">
        <v>2355</v>
      </c>
      <c r="B265" s="83" t="s">
        <v>3208</v>
      </c>
      <c r="C265" s="83" t="s">
        <v>3208</v>
      </c>
      <c r="D265" s="83" t="s">
        <v>3713</v>
      </c>
      <c r="E265" s="83" t="s">
        <v>3761</v>
      </c>
      <c r="F265" s="83" t="s">
        <v>4011</v>
      </c>
      <c r="G265" s="83" t="s">
        <v>4012</v>
      </c>
      <c r="H265" s="83">
        <v>0</v>
      </c>
      <c r="I265" s="83" t="s">
        <v>3229</v>
      </c>
      <c r="J265" s="83" t="s">
        <v>356</v>
      </c>
      <c r="K265" s="83" t="s">
        <v>3215</v>
      </c>
    </row>
    <row r="266" spans="1:11" ht="51.75" x14ac:dyDescent="0.25">
      <c r="A266" s="83" t="s">
        <v>140</v>
      </c>
      <c r="B266" s="83" t="s">
        <v>3208</v>
      </c>
      <c r="C266" s="83" t="s">
        <v>3208</v>
      </c>
      <c r="D266" s="83" t="s">
        <v>3713</v>
      </c>
      <c r="E266" s="83" t="s">
        <v>3761</v>
      </c>
      <c r="F266" s="83" t="s">
        <v>4013</v>
      </c>
      <c r="G266" s="83" t="s">
        <v>4014</v>
      </c>
      <c r="H266" s="83">
        <v>0</v>
      </c>
      <c r="I266" s="83" t="s">
        <v>3229</v>
      </c>
      <c r="J266" s="83" t="s">
        <v>3289</v>
      </c>
      <c r="K266" s="83" t="s">
        <v>3215</v>
      </c>
    </row>
    <row r="267" spans="1:11" ht="64.5" x14ac:dyDescent="0.25">
      <c r="A267" s="83" t="s">
        <v>2646</v>
      </c>
      <c r="B267" s="83" t="s">
        <v>3208</v>
      </c>
      <c r="C267" s="83" t="s">
        <v>3208</v>
      </c>
      <c r="D267" s="83" t="s">
        <v>3713</v>
      </c>
      <c r="E267" s="83" t="s">
        <v>3761</v>
      </c>
      <c r="F267" s="83" t="s">
        <v>4015</v>
      </c>
      <c r="G267" s="83" t="s">
        <v>4016</v>
      </c>
      <c r="H267" s="83">
        <v>0</v>
      </c>
      <c r="I267" s="83" t="s">
        <v>3213</v>
      </c>
      <c r="J267" s="83" t="s">
        <v>3413</v>
      </c>
      <c r="K267" s="83" t="s">
        <v>3215</v>
      </c>
    </row>
    <row r="268" spans="1:11" ht="64.5" x14ac:dyDescent="0.25">
      <c r="A268" s="83" t="s">
        <v>2648</v>
      </c>
      <c r="B268" s="83" t="s">
        <v>3208</v>
      </c>
      <c r="C268" s="83" t="s">
        <v>3208</v>
      </c>
      <c r="D268" s="83" t="s">
        <v>3713</v>
      </c>
      <c r="E268" s="83" t="s">
        <v>3761</v>
      </c>
      <c r="F268" s="83" t="s">
        <v>4015</v>
      </c>
      <c r="G268" s="83" t="s">
        <v>4016</v>
      </c>
      <c r="H268" s="83">
        <v>0</v>
      </c>
      <c r="I268" s="83" t="s">
        <v>3213</v>
      </c>
      <c r="J268" s="83" t="s">
        <v>3413</v>
      </c>
      <c r="K268" s="83" t="s">
        <v>3215</v>
      </c>
    </row>
    <row r="269" spans="1:11" ht="26.25" x14ac:dyDescent="0.25">
      <c r="A269" s="83" t="s">
        <v>1167</v>
      </c>
      <c r="B269" s="83" t="s">
        <v>4017</v>
      </c>
      <c r="C269" s="83" t="s">
        <v>4018</v>
      </c>
      <c r="D269" s="83" t="s">
        <v>3209</v>
      </c>
      <c r="E269" s="83" t="s">
        <v>3246</v>
      </c>
      <c r="F269" s="83" t="s">
        <v>4019</v>
      </c>
      <c r="G269" s="83" t="s">
        <v>4020</v>
      </c>
      <c r="H269" s="83">
        <v>341</v>
      </c>
      <c r="I269" s="83" t="s">
        <v>3213</v>
      </c>
      <c r="J269" s="83" t="s">
        <v>3896</v>
      </c>
      <c r="K269" s="83" t="s">
        <v>3215</v>
      </c>
    </row>
    <row r="270" spans="1:11" ht="26.25" x14ac:dyDescent="0.25">
      <c r="A270" s="83" t="s">
        <v>4021</v>
      </c>
      <c r="B270" s="83" t="s">
        <v>3208</v>
      </c>
      <c r="C270" s="83" t="s">
        <v>3208</v>
      </c>
      <c r="D270" s="83" t="s">
        <v>3209</v>
      </c>
      <c r="E270" s="83" t="s">
        <v>3663</v>
      </c>
      <c r="F270" s="83" t="s">
        <v>4022</v>
      </c>
      <c r="G270" s="83" t="s">
        <v>4023</v>
      </c>
      <c r="H270" s="83">
        <v>24.32</v>
      </c>
      <c r="I270" s="83" t="s">
        <v>3208</v>
      </c>
      <c r="J270" s="83" t="s">
        <v>3208</v>
      </c>
      <c r="K270" s="83" t="s">
        <v>3208</v>
      </c>
    </row>
    <row r="271" spans="1:11" ht="26.25" x14ac:dyDescent="0.25">
      <c r="A271" s="83" t="s">
        <v>4024</v>
      </c>
      <c r="B271" s="83" t="s">
        <v>3208</v>
      </c>
      <c r="C271" s="83" t="s">
        <v>3208</v>
      </c>
      <c r="D271" s="83" t="s">
        <v>3713</v>
      </c>
      <c r="E271" s="83" t="s">
        <v>3714</v>
      </c>
      <c r="F271" s="83" t="s">
        <v>4025</v>
      </c>
      <c r="G271" s="83" t="s">
        <v>4026</v>
      </c>
      <c r="H271" s="83">
        <v>0</v>
      </c>
      <c r="I271" s="83" t="s">
        <v>3208</v>
      </c>
      <c r="J271" s="83" t="s">
        <v>3208</v>
      </c>
      <c r="K271" s="83" t="s">
        <v>3208</v>
      </c>
    </row>
    <row r="272" spans="1:11" ht="51.75" x14ac:dyDescent="0.25">
      <c r="A272" s="83" t="s">
        <v>2143</v>
      </c>
      <c r="B272" s="83" t="s">
        <v>3208</v>
      </c>
      <c r="C272" s="83" t="s">
        <v>3208</v>
      </c>
      <c r="D272" s="83" t="s">
        <v>3713</v>
      </c>
      <c r="E272" s="83" t="s">
        <v>3761</v>
      </c>
      <c r="F272" s="83" t="s">
        <v>3991</v>
      </c>
      <c r="G272" s="83" t="s">
        <v>4027</v>
      </c>
      <c r="H272" s="83">
        <v>0</v>
      </c>
      <c r="I272" s="83" t="s">
        <v>3229</v>
      </c>
      <c r="J272" s="83" t="s">
        <v>3238</v>
      </c>
      <c r="K272" s="83" t="s">
        <v>3215</v>
      </c>
    </row>
    <row r="273" spans="1:11" ht="51.75" x14ac:dyDescent="0.25">
      <c r="A273" s="83" t="s">
        <v>2512</v>
      </c>
      <c r="B273" s="83" t="s">
        <v>3208</v>
      </c>
      <c r="C273" s="83" t="s">
        <v>3208</v>
      </c>
      <c r="D273" s="83" t="s">
        <v>3713</v>
      </c>
      <c r="E273" s="83" t="s">
        <v>3761</v>
      </c>
      <c r="F273" s="83" t="s">
        <v>3991</v>
      </c>
      <c r="G273" s="83" t="s">
        <v>3525</v>
      </c>
      <c r="H273" s="83">
        <v>0</v>
      </c>
      <c r="I273" s="83" t="s">
        <v>3213</v>
      </c>
      <c r="J273" s="83" t="s">
        <v>3271</v>
      </c>
      <c r="K273" s="83" t="s">
        <v>3215</v>
      </c>
    </row>
    <row r="274" spans="1:11" ht="51.75" x14ac:dyDescent="0.25">
      <c r="A274" s="83" t="s">
        <v>2564</v>
      </c>
      <c r="B274" s="83" t="s">
        <v>3208</v>
      </c>
      <c r="C274" s="83" t="s">
        <v>3208</v>
      </c>
      <c r="D274" s="83" t="s">
        <v>3713</v>
      </c>
      <c r="E274" s="83" t="s">
        <v>3761</v>
      </c>
      <c r="F274" s="83" t="s">
        <v>4028</v>
      </c>
      <c r="G274" s="83" t="s">
        <v>3767</v>
      </c>
      <c r="H274" s="83">
        <v>0</v>
      </c>
      <c r="I274" s="83" t="s">
        <v>3229</v>
      </c>
      <c r="J274" s="83" t="s">
        <v>3230</v>
      </c>
      <c r="K274" s="83" t="s">
        <v>3215</v>
      </c>
    </row>
    <row r="275" spans="1:11" ht="26.25" x14ac:dyDescent="0.25">
      <c r="A275" s="83" t="s">
        <v>2582</v>
      </c>
      <c r="B275" s="83" t="s">
        <v>3208</v>
      </c>
      <c r="C275" s="83" t="s">
        <v>3208</v>
      </c>
      <c r="D275" s="83" t="s">
        <v>3713</v>
      </c>
      <c r="E275" s="83" t="s">
        <v>3761</v>
      </c>
      <c r="F275" s="83" t="s">
        <v>4029</v>
      </c>
      <c r="G275" s="83" t="s">
        <v>4030</v>
      </c>
      <c r="H275" s="83">
        <v>0</v>
      </c>
      <c r="I275" s="83" t="s">
        <v>3213</v>
      </c>
      <c r="J275" s="83" t="s">
        <v>3948</v>
      </c>
      <c r="K275" s="83" t="s">
        <v>3215</v>
      </c>
    </row>
    <row r="276" spans="1:11" ht="26.25" x14ac:dyDescent="0.25">
      <c r="A276" s="83" t="s">
        <v>4031</v>
      </c>
      <c r="B276" s="83" t="s">
        <v>3208</v>
      </c>
      <c r="C276" s="83" t="s">
        <v>3208</v>
      </c>
      <c r="D276" s="83" t="s">
        <v>3713</v>
      </c>
      <c r="E276" s="83" t="s">
        <v>3714</v>
      </c>
      <c r="F276" s="83" t="s">
        <v>4032</v>
      </c>
      <c r="G276" s="83" t="s">
        <v>3417</v>
      </c>
      <c r="H276" s="83">
        <v>0</v>
      </c>
      <c r="I276" s="83" t="s">
        <v>3208</v>
      </c>
      <c r="J276" s="83" t="s">
        <v>3208</v>
      </c>
      <c r="K276" s="83" t="s">
        <v>3208</v>
      </c>
    </row>
    <row r="277" spans="1:11" ht="26.25" x14ac:dyDescent="0.25">
      <c r="A277" s="83" t="s">
        <v>4033</v>
      </c>
      <c r="B277" s="83" t="s">
        <v>3208</v>
      </c>
      <c r="C277" s="83" t="s">
        <v>3208</v>
      </c>
      <c r="D277" s="83" t="s">
        <v>3713</v>
      </c>
      <c r="E277" s="83" t="s">
        <v>3714</v>
      </c>
      <c r="F277" s="83" t="s">
        <v>4034</v>
      </c>
      <c r="G277" s="83" t="s">
        <v>4035</v>
      </c>
      <c r="H277" s="83">
        <v>0</v>
      </c>
      <c r="I277" s="83" t="s">
        <v>3208</v>
      </c>
      <c r="J277" s="83" t="s">
        <v>3208</v>
      </c>
      <c r="K277" s="83" t="s">
        <v>3208</v>
      </c>
    </row>
    <row r="278" spans="1:11" ht="51.75" x14ac:dyDescent="0.25">
      <c r="A278" s="83" t="s">
        <v>800</v>
      </c>
      <c r="B278" s="83" t="s">
        <v>4036</v>
      </c>
      <c r="C278" s="83" t="s">
        <v>4037</v>
      </c>
      <c r="D278" s="83" t="s">
        <v>3209</v>
      </c>
      <c r="E278" s="83" t="s">
        <v>3246</v>
      </c>
      <c r="F278" s="83" t="s">
        <v>4038</v>
      </c>
      <c r="G278" s="83" t="s">
        <v>4039</v>
      </c>
      <c r="H278" s="83">
        <v>14</v>
      </c>
      <c r="I278" s="83" t="s">
        <v>3229</v>
      </c>
      <c r="J278" s="83" t="s">
        <v>3238</v>
      </c>
      <c r="K278" s="83" t="s">
        <v>3215</v>
      </c>
    </row>
    <row r="279" spans="1:11" ht="26.25" x14ac:dyDescent="0.25">
      <c r="A279" s="83" t="s">
        <v>2722</v>
      </c>
      <c r="B279" s="83" t="s">
        <v>3208</v>
      </c>
      <c r="C279" s="83" t="s">
        <v>3208</v>
      </c>
      <c r="D279" s="83" t="s">
        <v>3713</v>
      </c>
      <c r="E279" s="83" t="s">
        <v>3761</v>
      </c>
      <c r="F279" s="83" t="s">
        <v>4013</v>
      </c>
      <c r="G279" s="83" t="s">
        <v>4040</v>
      </c>
      <c r="H279" s="83">
        <v>0</v>
      </c>
      <c r="I279" s="83" t="s">
        <v>3229</v>
      </c>
      <c r="J279" s="83" t="s">
        <v>3222</v>
      </c>
      <c r="K279" s="83" t="s">
        <v>3215</v>
      </c>
    </row>
    <row r="280" spans="1:11" ht="51.75" x14ac:dyDescent="0.25">
      <c r="A280" s="83" t="s">
        <v>2295</v>
      </c>
      <c r="B280" s="83" t="s">
        <v>3208</v>
      </c>
      <c r="C280" s="83" t="s">
        <v>3208</v>
      </c>
      <c r="D280" s="83" t="s">
        <v>3713</v>
      </c>
      <c r="E280" s="83" t="s">
        <v>3761</v>
      </c>
      <c r="F280" s="83" t="s">
        <v>4041</v>
      </c>
      <c r="G280" s="83" t="s">
        <v>4042</v>
      </c>
      <c r="H280" s="83">
        <v>0</v>
      </c>
      <c r="I280" s="83" t="s">
        <v>3229</v>
      </c>
      <c r="J280" s="83" t="s">
        <v>3230</v>
      </c>
      <c r="K280" s="83" t="s">
        <v>3215</v>
      </c>
    </row>
    <row r="281" spans="1:11" ht="26.25" x14ac:dyDescent="0.25">
      <c r="A281" s="83" t="s">
        <v>2499</v>
      </c>
      <c r="B281" s="83" t="s">
        <v>3208</v>
      </c>
      <c r="C281" s="83" t="s">
        <v>3208</v>
      </c>
      <c r="D281" s="83" t="s">
        <v>3713</v>
      </c>
      <c r="E281" s="83" t="s">
        <v>3761</v>
      </c>
      <c r="F281" s="83" t="s">
        <v>4043</v>
      </c>
      <c r="G281" s="83" t="s">
        <v>4044</v>
      </c>
      <c r="H281" s="83">
        <v>0</v>
      </c>
      <c r="I281" s="83" t="s">
        <v>3229</v>
      </c>
      <c r="J281" s="83" t="s">
        <v>3311</v>
      </c>
      <c r="K281" s="83" t="s">
        <v>3215</v>
      </c>
    </row>
    <row r="282" spans="1:11" ht="26.25" x14ac:dyDescent="0.25">
      <c r="A282" s="83" t="s">
        <v>2288</v>
      </c>
      <c r="B282" s="83" t="s">
        <v>3208</v>
      </c>
      <c r="C282" s="83" t="s">
        <v>3208</v>
      </c>
      <c r="D282" s="83" t="s">
        <v>3713</v>
      </c>
      <c r="E282" s="83" t="s">
        <v>3761</v>
      </c>
      <c r="F282" s="83" t="s">
        <v>4045</v>
      </c>
      <c r="G282" s="83" t="s">
        <v>4046</v>
      </c>
      <c r="H282" s="83">
        <v>0</v>
      </c>
      <c r="I282" s="83" t="s">
        <v>3213</v>
      </c>
      <c r="J282" s="83" t="s">
        <v>3948</v>
      </c>
      <c r="K282" s="83" t="s">
        <v>3215</v>
      </c>
    </row>
    <row r="283" spans="1:11" ht="51.75" x14ac:dyDescent="0.25">
      <c r="A283" s="83" t="s">
        <v>2532</v>
      </c>
      <c r="B283" s="83" t="s">
        <v>3208</v>
      </c>
      <c r="C283" s="83" t="s">
        <v>3208</v>
      </c>
      <c r="D283" s="83" t="s">
        <v>3713</v>
      </c>
      <c r="E283" s="83" t="s">
        <v>3761</v>
      </c>
      <c r="F283" s="83" t="s">
        <v>3991</v>
      </c>
      <c r="G283" s="83" t="s">
        <v>4047</v>
      </c>
      <c r="H283" s="83">
        <v>0</v>
      </c>
      <c r="I283" s="83" t="s">
        <v>3229</v>
      </c>
      <c r="J283" s="83" t="s">
        <v>3230</v>
      </c>
      <c r="K283" s="83" t="s">
        <v>3215</v>
      </c>
    </row>
    <row r="284" spans="1:11" ht="51.75" x14ac:dyDescent="0.25">
      <c r="A284" s="83" t="s">
        <v>2730</v>
      </c>
      <c r="B284" s="83" t="s">
        <v>3208</v>
      </c>
      <c r="C284" s="83" t="s">
        <v>3208</v>
      </c>
      <c r="D284" s="83" t="s">
        <v>3713</v>
      </c>
      <c r="E284" s="83" t="s">
        <v>3761</v>
      </c>
      <c r="F284" s="83" t="s">
        <v>4048</v>
      </c>
      <c r="G284" s="83" t="s">
        <v>4049</v>
      </c>
      <c r="H284" s="83">
        <v>0</v>
      </c>
      <c r="I284" s="83" t="s">
        <v>3229</v>
      </c>
      <c r="J284" s="83" t="s">
        <v>3238</v>
      </c>
      <c r="K284" s="83" t="s">
        <v>3215</v>
      </c>
    </row>
    <row r="285" spans="1:11" ht="51.75" x14ac:dyDescent="0.25">
      <c r="A285" s="83" t="s">
        <v>2467</v>
      </c>
      <c r="B285" s="83" t="s">
        <v>3208</v>
      </c>
      <c r="C285" s="83" t="s">
        <v>3208</v>
      </c>
      <c r="D285" s="83" t="s">
        <v>3713</v>
      </c>
      <c r="E285" s="83" t="s">
        <v>3761</v>
      </c>
      <c r="F285" s="83" t="s">
        <v>3976</v>
      </c>
      <c r="G285" s="83" t="s">
        <v>3812</v>
      </c>
      <c r="H285" s="83">
        <v>0</v>
      </c>
      <c r="I285" s="83" t="s">
        <v>3213</v>
      </c>
      <c r="J285" s="83" t="s">
        <v>3214</v>
      </c>
      <c r="K285" s="83" t="s">
        <v>3215</v>
      </c>
    </row>
    <row r="286" spans="1:11" ht="51.75" x14ac:dyDescent="0.25">
      <c r="A286" s="83" t="s">
        <v>441</v>
      </c>
      <c r="B286" s="83" t="s">
        <v>3208</v>
      </c>
      <c r="C286" s="83" t="s">
        <v>4050</v>
      </c>
      <c r="D286" s="83" t="s">
        <v>3718</v>
      </c>
      <c r="E286" s="83" t="s">
        <v>3727</v>
      </c>
      <c r="F286" s="83" t="s">
        <v>4051</v>
      </c>
      <c r="G286" s="83" t="s">
        <v>4052</v>
      </c>
      <c r="H286" s="83">
        <v>4</v>
      </c>
      <c r="I286" s="83" t="s">
        <v>3229</v>
      </c>
      <c r="J286" s="83" t="s">
        <v>3371</v>
      </c>
      <c r="K286" s="83" t="s">
        <v>3215</v>
      </c>
    </row>
    <row r="287" spans="1:11" ht="26.25" x14ac:dyDescent="0.25">
      <c r="A287" s="83" t="s">
        <v>4053</v>
      </c>
      <c r="B287" s="83" t="s">
        <v>3208</v>
      </c>
      <c r="C287" s="83" t="s">
        <v>3208</v>
      </c>
      <c r="D287" s="83" t="s">
        <v>3965</v>
      </c>
      <c r="E287" s="83" t="s">
        <v>4054</v>
      </c>
      <c r="F287" s="83" t="s">
        <v>4055</v>
      </c>
      <c r="G287" s="83" t="s">
        <v>4056</v>
      </c>
      <c r="H287" s="83">
        <v>0</v>
      </c>
      <c r="I287" s="83" t="s">
        <v>3213</v>
      </c>
      <c r="J287" s="83" t="s">
        <v>3948</v>
      </c>
      <c r="K287" s="83" t="s">
        <v>3215</v>
      </c>
    </row>
    <row r="288" spans="1:11" ht="26.25" x14ac:dyDescent="0.25">
      <c r="A288" s="83" t="s">
        <v>2473</v>
      </c>
      <c r="B288" s="83" t="s">
        <v>3208</v>
      </c>
      <c r="C288" s="83" t="s">
        <v>3208</v>
      </c>
      <c r="D288" s="83" t="s">
        <v>3713</v>
      </c>
      <c r="E288" s="83" t="s">
        <v>3761</v>
      </c>
      <c r="F288" s="83" t="s">
        <v>3901</v>
      </c>
      <c r="G288" s="83" t="s">
        <v>3870</v>
      </c>
      <c r="H288" s="83">
        <v>0</v>
      </c>
      <c r="I288" s="83" t="s">
        <v>3213</v>
      </c>
      <c r="J288" s="83" t="s">
        <v>3467</v>
      </c>
      <c r="K288" s="83" t="s">
        <v>3215</v>
      </c>
    </row>
    <row r="289" spans="1:11" ht="26.25" x14ac:dyDescent="0.25">
      <c r="A289" s="83" t="s">
        <v>2317</v>
      </c>
      <c r="B289" s="83" t="s">
        <v>3208</v>
      </c>
      <c r="C289" s="83" t="s">
        <v>3208</v>
      </c>
      <c r="D289" s="83" t="s">
        <v>3713</v>
      </c>
      <c r="E289" s="83" t="s">
        <v>3761</v>
      </c>
      <c r="F289" s="83" t="s">
        <v>3886</v>
      </c>
      <c r="G289" s="83" t="s">
        <v>3417</v>
      </c>
      <c r="H289" s="83">
        <v>0</v>
      </c>
      <c r="I289" s="83" t="s">
        <v>3213</v>
      </c>
      <c r="J289" s="83" t="s">
        <v>3851</v>
      </c>
      <c r="K289" s="83" t="s">
        <v>3215</v>
      </c>
    </row>
    <row r="290" spans="1:11" ht="39" x14ac:dyDescent="0.25">
      <c r="A290" s="83" t="s">
        <v>1796</v>
      </c>
      <c r="B290" s="83" t="s">
        <v>3208</v>
      </c>
      <c r="C290" s="83" t="s">
        <v>3208</v>
      </c>
      <c r="D290" s="83" t="s">
        <v>3713</v>
      </c>
      <c r="E290" s="83" t="s">
        <v>3761</v>
      </c>
      <c r="F290" s="83" t="s">
        <v>4057</v>
      </c>
      <c r="G290" s="83" t="s">
        <v>4058</v>
      </c>
      <c r="H290" s="83">
        <v>0</v>
      </c>
      <c r="I290" s="83" t="s">
        <v>3229</v>
      </c>
      <c r="J290" s="83" t="s">
        <v>3241</v>
      </c>
      <c r="K290" s="83" t="s">
        <v>3215</v>
      </c>
    </row>
    <row r="291" spans="1:11" ht="39" x14ac:dyDescent="0.25">
      <c r="A291" s="83" t="s">
        <v>1798</v>
      </c>
      <c r="B291" s="83" t="s">
        <v>3208</v>
      </c>
      <c r="C291" s="83" t="s">
        <v>3208</v>
      </c>
      <c r="D291" s="83" t="s">
        <v>3713</v>
      </c>
      <c r="E291" s="83" t="s">
        <v>3761</v>
      </c>
      <c r="F291" s="83" t="s">
        <v>4057</v>
      </c>
      <c r="G291" s="83" t="s">
        <v>4058</v>
      </c>
      <c r="H291" s="83">
        <v>0</v>
      </c>
      <c r="I291" s="83" t="s">
        <v>3229</v>
      </c>
      <c r="J291" s="83" t="s">
        <v>3241</v>
      </c>
      <c r="K291" s="83" t="s">
        <v>3215</v>
      </c>
    </row>
    <row r="292" spans="1:11" x14ac:dyDescent="0.25">
      <c r="A292" s="83" t="s">
        <v>4059</v>
      </c>
      <c r="B292" s="83" t="s">
        <v>4060</v>
      </c>
      <c r="C292" s="83" t="s">
        <v>4061</v>
      </c>
      <c r="D292" s="83" t="s">
        <v>3209</v>
      </c>
      <c r="E292" s="83" t="s">
        <v>3702</v>
      </c>
      <c r="F292" s="83" t="s">
        <v>4062</v>
      </c>
      <c r="G292" s="83" t="s">
        <v>4063</v>
      </c>
      <c r="H292" s="83">
        <v>6</v>
      </c>
      <c r="I292" s="83" t="s">
        <v>3208</v>
      </c>
      <c r="J292" s="83" t="s">
        <v>3208</v>
      </c>
      <c r="K292" s="83" t="s">
        <v>3208</v>
      </c>
    </row>
    <row r="293" spans="1:11" ht="26.25" x14ac:dyDescent="0.25">
      <c r="A293" s="83" t="s">
        <v>2729</v>
      </c>
      <c r="B293" s="83" t="s">
        <v>3208</v>
      </c>
      <c r="C293" s="83" t="s">
        <v>3208</v>
      </c>
      <c r="D293" s="83" t="s">
        <v>3713</v>
      </c>
      <c r="E293" s="83" t="s">
        <v>3761</v>
      </c>
      <c r="F293" s="83" t="s">
        <v>4015</v>
      </c>
      <c r="G293" s="83" t="s">
        <v>4064</v>
      </c>
      <c r="H293" s="83">
        <v>0</v>
      </c>
      <c r="I293" s="83" t="s">
        <v>3229</v>
      </c>
      <c r="J293" s="83" t="s">
        <v>3222</v>
      </c>
      <c r="K293" s="83" t="s">
        <v>3215</v>
      </c>
    </row>
    <row r="294" spans="1:11" ht="51.75" x14ac:dyDescent="0.25">
      <c r="A294" s="83" t="s">
        <v>2381</v>
      </c>
      <c r="B294" s="83" t="s">
        <v>3208</v>
      </c>
      <c r="C294" s="83" t="s">
        <v>3208</v>
      </c>
      <c r="D294" s="83" t="s">
        <v>3713</v>
      </c>
      <c r="E294" s="83" t="s">
        <v>3761</v>
      </c>
      <c r="F294" s="83" t="s">
        <v>4013</v>
      </c>
      <c r="G294" s="83" t="s">
        <v>3417</v>
      </c>
      <c r="H294" s="83">
        <v>0</v>
      </c>
      <c r="I294" s="83" t="s">
        <v>3213</v>
      </c>
      <c r="J294" s="83" t="s">
        <v>3214</v>
      </c>
      <c r="K294" s="83" t="s">
        <v>3215</v>
      </c>
    </row>
    <row r="295" spans="1:11" ht="51.75" x14ac:dyDescent="0.25">
      <c r="A295" s="83" t="s">
        <v>2367</v>
      </c>
      <c r="B295" s="83" t="s">
        <v>3208</v>
      </c>
      <c r="C295" s="83" t="s">
        <v>3208</v>
      </c>
      <c r="D295" s="83" t="s">
        <v>3713</v>
      </c>
      <c r="E295" s="83" t="s">
        <v>3761</v>
      </c>
      <c r="F295" s="83" t="s">
        <v>3901</v>
      </c>
      <c r="G295" s="83" t="s">
        <v>4065</v>
      </c>
      <c r="H295" s="83">
        <v>0</v>
      </c>
      <c r="I295" s="83" t="s">
        <v>3229</v>
      </c>
      <c r="J295" s="83" t="s">
        <v>3289</v>
      </c>
      <c r="K295" s="83" t="s">
        <v>3215</v>
      </c>
    </row>
    <row r="296" spans="1:11" ht="26.25" x14ac:dyDescent="0.25">
      <c r="A296" s="83" t="s">
        <v>4066</v>
      </c>
      <c r="B296" s="83" t="s">
        <v>3208</v>
      </c>
      <c r="C296" s="83" t="s">
        <v>3208</v>
      </c>
      <c r="D296" s="83" t="s">
        <v>3713</v>
      </c>
      <c r="E296" s="83" t="s">
        <v>3714</v>
      </c>
      <c r="F296" s="83" t="s">
        <v>4067</v>
      </c>
      <c r="G296" s="83" t="s">
        <v>4068</v>
      </c>
      <c r="H296" s="83">
        <v>0</v>
      </c>
      <c r="I296" s="83" t="s">
        <v>3208</v>
      </c>
      <c r="J296" s="83" t="s">
        <v>3208</v>
      </c>
      <c r="K296" s="83" t="s">
        <v>3208</v>
      </c>
    </row>
    <row r="297" spans="1:11" ht="26.25" x14ac:dyDescent="0.25">
      <c r="A297" s="83" t="s">
        <v>4069</v>
      </c>
      <c r="B297" s="83" t="s">
        <v>3208</v>
      </c>
      <c r="C297" s="83" t="s">
        <v>3208</v>
      </c>
      <c r="D297" s="83" t="s">
        <v>3713</v>
      </c>
      <c r="E297" s="83" t="s">
        <v>3714</v>
      </c>
      <c r="F297" s="83" t="s">
        <v>4070</v>
      </c>
      <c r="G297" s="83" t="s">
        <v>4071</v>
      </c>
      <c r="H297" s="83">
        <v>0</v>
      </c>
      <c r="I297" s="83" t="s">
        <v>3208</v>
      </c>
      <c r="J297" s="83" t="s">
        <v>3208</v>
      </c>
      <c r="K297" s="83" t="s">
        <v>3208</v>
      </c>
    </row>
    <row r="298" spans="1:11" ht="26.25" x14ac:dyDescent="0.25">
      <c r="A298" s="83" t="s">
        <v>2416</v>
      </c>
      <c r="B298" s="83" t="s">
        <v>3208</v>
      </c>
      <c r="C298" s="83" t="s">
        <v>3208</v>
      </c>
      <c r="D298" s="83" t="s">
        <v>3713</v>
      </c>
      <c r="E298" s="83" t="s">
        <v>3761</v>
      </c>
      <c r="F298" s="83" t="s">
        <v>3950</v>
      </c>
      <c r="G298" s="83" t="s">
        <v>4072</v>
      </c>
      <c r="H298" s="83">
        <v>0</v>
      </c>
      <c r="I298" s="83" t="s">
        <v>3213</v>
      </c>
      <c r="J298" s="83" t="s">
        <v>3467</v>
      </c>
      <c r="K298" s="83" t="s">
        <v>3215</v>
      </c>
    </row>
    <row r="299" spans="1:11" ht="26.25" x14ac:dyDescent="0.25">
      <c r="A299" s="83" t="s">
        <v>479</v>
      </c>
      <c r="B299" s="83" t="s">
        <v>3208</v>
      </c>
      <c r="C299" s="83" t="s">
        <v>4073</v>
      </c>
      <c r="D299" s="83" t="s">
        <v>3741</v>
      </c>
      <c r="E299" s="83" t="s">
        <v>3727</v>
      </c>
      <c r="F299" s="83" t="s">
        <v>4074</v>
      </c>
      <c r="G299" s="83" t="s">
        <v>4075</v>
      </c>
      <c r="H299" s="83">
        <v>6.1</v>
      </c>
      <c r="I299" s="83" t="s">
        <v>3213</v>
      </c>
      <c r="J299" s="83" t="s">
        <v>3747</v>
      </c>
      <c r="K299" s="83" t="s">
        <v>3215</v>
      </c>
    </row>
    <row r="300" spans="1:11" ht="51.75" x14ac:dyDescent="0.25">
      <c r="A300" s="83" t="s">
        <v>2374</v>
      </c>
      <c r="B300" s="83" t="s">
        <v>3208</v>
      </c>
      <c r="C300" s="83" t="s">
        <v>3208</v>
      </c>
      <c r="D300" s="83" t="s">
        <v>3713</v>
      </c>
      <c r="E300" s="83" t="s">
        <v>3761</v>
      </c>
      <c r="F300" s="83" t="s">
        <v>4013</v>
      </c>
      <c r="G300" s="83" t="s">
        <v>3417</v>
      </c>
      <c r="H300" s="83">
        <v>0</v>
      </c>
      <c r="I300" s="83" t="s">
        <v>3213</v>
      </c>
      <c r="J300" s="83" t="s">
        <v>3538</v>
      </c>
      <c r="K300" s="83" t="s">
        <v>3215</v>
      </c>
    </row>
    <row r="301" spans="1:11" ht="39" x14ac:dyDescent="0.25">
      <c r="A301" s="83" t="s">
        <v>2650</v>
      </c>
      <c r="B301" s="83" t="s">
        <v>3208</v>
      </c>
      <c r="C301" s="83" t="s">
        <v>3208</v>
      </c>
      <c r="D301" s="83" t="s">
        <v>3713</v>
      </c>
      <c r="E301" s="83" t="s">
        <v>3761</v>
      </c>
      <c r="F301" s="83" t="s">
        <v>4076</v>
      </c>
      <c r="G301" s="83" t="s">
        <v>4077</v>
      </c>
      <c r="H301" s="83">
        <v>0</v>
      </c>
      <c r="I301" s="83" t="s">
        <v>3229</v>
      </c>
      <c r="J301" s="83" t="s">
        <v>3241</v>
      </c>
      <c r="K301" s="83" t="s">
        <v>3215</v>
      </c>
    </row>
    <row r="302" spans="1:11" ht="51.75" x14ac:dyDescent="0.25">
      <c r="A302" s="83" t="s">
        <v>2568</v>
      </c>
      <c r="B302" s="83" t="s">
        <v>3208</v>
      </c>
      <c r="C302" s="83" t="s">
        <v>3208</v>
      </c>
      <c r="D302" s="83" t="s">
        <v>3713</v>
      </c>
      <c r="E302" s="83" t="s">
        <v>3761</v>
      </c>
      <c r="F302" s="83" t="s">
        <v>3950</v>
      </c>
      <c r="G302" s="83" t="s">
        <v>4078</v>
      </c>
      <c r="H302" s="83">
        <v>0</v>
      </c>
      <c r="I302" s="83" t="s">
        <v>3229</v>
      </c>
      <c r="J302" s="83" t="s">
        <v>3238</v>
      </c>
      <c r="K302" s="83" t="s">
        <v>3215</v>
      </c>
    </row>
    <row r="303" spans="1:11" ht="26.25" x14ac:dyDescent="0.25">
      <c r="A303" s="83" t="s">
        <v>2639</v>
      </c>
      <c r="B303" s="83" t="s">
        <v>3208</v>
      </c>
      <c r="C303" s="83" t="s">
        <v>3208</v>
      </c>
      <c r="D303" s="83" t="s">
        <v>3713</v>
      </c>
      <c r="E303" s="83" t="s">
        <v>3761</v>
      </c>
      <c r="F303" s="83" t="s">
        <v>4011</v>
      </c>
      <c r="G303" s="83" t="s">
        <v>4079</v>
      </c>
      <c r="H303" s="83">
        <v>0</v>
      </c>
      <c r="I303" s="83" t="s">
        <v>3213</v>
      </c>
      <c r="J303" s="83" t="s">
        <v>3467</v>
      </c>
      <c r="K303" s="83" t="s">
        <v>3215</v>
      </c>
    </row>
    <row r="304" spans="1:11" ht="39" x14ac:dyDescent="0.25">
      <c r="A304" s="83" t="s">
        <v>2719</v>
      </c>
      <c r="B304" s="83" t="s">
        <v>3208</v>
      </c>
      <c r="C304" s="83" t="s">
        <v>3208</v>
      </c>
      <c r="D304" s="83" t="s">
        <v>3713</v>
      </c>
      <c r="E304" s="83" t="s">
        <v>3761</v>
      </c>
      <c r="F304" s="83" t="s">
        <v>4080</v>
      </c>
      <c r="G304" s="83" t="s">
        <v>4081</v>
      </c>
      <c r="H304" s="83">
        <v>0</v>
      </c>
      <c r="I304" s="83" t="s">
        <v>3229</v>
      </c>
      <c r="J304" s="83" t="s">
        <v>356</v>
      </c>
      <c r="K304" s="83" t="s">
        <v>3215</v>
      </c>
    </row>
    <row r="305" spans="1:11" ht="51.75" x14ac:dyDescent="0.25">
      <c r="A305" s="83" t="s">
        <v>732</v>
      </c>
      <c r="B305" s="83" t="s">
        <v>3208</v>
      </c>
      <c r="C305" s="83" t="s">
        <v>3208</v>
      </c>
      <c r="D305" s="83" t="s">
        <v>3209</v>
      </c>
      <c r="E305" s="83" t="s">
        <v>3210</v>
      </c>
      <c r="F305" s="83" t="s">
        <v>4082</v>
      </c>
      <c r="G305" s="83" t="s">
        <v>4083</v>
      </c>
      <c r="H305" s="83">
        <v>11</v>
      </c>
      <c r="I305" s="83" t="s">
        <v>3229</v>
      </c>
      <c r="J305" s="83" t="s">
        <v>3289</v>
      </c>
      <c r="K305" s="83" t="s">
        <v>3215</v>
      </c>
    </row>
    <row r="306" spans="1:11" ht="26.25" x14ac:dyDescent="0.25">
      <c r="A306" s="83" t="s">
        <v>2678</v>
      </c>
      <c r="B306" s="83" t="s">
        <v>3208</v>
      </c>
      <c r="C306" s="83" t="s">
        <v>3208</v>
      </c>
      <c r="D306" s="83" t="s">
        <v>3713</v>
      </c>
      <c r="E306" s="83" t="s">
        <v>3761</v>
      </c>
      <c r="F306" s="83" t="s">
        <v>4084</v>
      </c>
      <c r="G306" s="83" t="s">
        <v>4085</v>
      </c>
      <c r="H306" s="83">
        <v>0</v>
      </c>
      <c r="I306" s="83" t="s">
        <v>3213</v>
      </c>
      <c r="J306" s="83" t="s">
        <v>3948</v>
      </c>
      <c r="K306" s="83" t="s">
        <v>3215</v>
      </c>
    </row>
    <row r="307" spans="1:11" ht="26.25" x14ac:dyDescent="0.25">
      <c r="A307" s="83" t="s">
        <v>4086</v>
      </c>
      <c r="B307" s="83" t="s">
        <v>3208</v>
      </c>
      <c r="C307" s="83" t="s">
        <v>3208</v>
      </c>
      <c r="D307" s="83" t="s">
        <v>3713</v>
      </c>
      <c r="E307" s="83" t="s">
        <v>3714</v>
      </c>
      <c r="F307" s="83" t="s">
        <v>4087</v>
      </c>
      <c r="G307" s="83" t="s">
        <v>4088</v>
      </c>
      <c r="H307" s="83">
        <v>0</v>
      </c>
      <c r="I307" s="83" t="s">
        <v>3208</v>
      </c>
      <c r="J307" s="83" t="s">
        <v>3208</v>
      </c>
      <c r="K307" s="83" t="s">
        <v>3208</v>
      </c>
    </row>
    <row r="308" spans="1:11" ht="51.75" x14ac:dyDescent="0.25">
      <c r="A308" s="83" t="s">
        <v>1829</v>
      </c>
      <c r="B308" s="83" t="s">
        <v>3208</v>
      </c>
      <c r="C308" s="83" t="s">
        <v>3208</v>
      </c>
      <c r="D308" s="83" t="s">
        <v>3713</v>
      </c>
      <c r="E308" s="83" t="s">
        <v>3761</v>
      </c>
      <c r="F308" s="83" t="s">
        <v>4089</v>
      </c>
      <c r="G308" s="83" t="s">
        <v>4090</v>
      </c>
      <c r="H308" s="83">
        <v>0</v>
      </c>
      <c r="I308" s="83" t="s">
        <v>3229</v>
      </c>
      <c r="J308" s="83" t="s">
        <v>3332</v>
      </c>
      <c r="K308" s="83" t="s">
        <v>3215</v>
      </c>
    </row>
    <row r="309" spans="1:11" ht="26.25" x14ac:dyDescent="0.25">
      <c r="A309" s="83" t="s">
        <v>2707</v>
      </c>
      <c r="B309" s="83" t="s">
        <v>3208</v>
      </c>
      <c r="C309" s="83" t="s">
        <v>3208</v>
      </c>
      <c r="D309" s="83" t="s">
        <v>3713</v>
      </c>
      <c r="E309" s="83" t="s">
        <v>3761</v>
      </c>
      <c r="F309" s="83" t="s">
        <v>4091</v>
      </c>
      <c r="G309" s="83" t="s">
        <v>4092</v>
      </c>
      <c r="H309" s="83">
        <v>0</v>
      </c>
      <c r="I309" s="83" t="s">
        <v>3213</v>
      </c>
      <c r="J309" s="83" t="s">
        <v>3222</v>
      </c>
      <c r="K309" s="83" t="s">
        <v>3215</v>
      </c>
    </row>
    <row r="310" spans="1:11" ht="26.25" x14ac:dyDescent="0.25">
      <c r="A310" s="83" t="s">
        <v>4093</v>
      </c>
      <c r="B310" s="83" t="s">
        <v>3208</v>
      </c>
      <c r="C310" s="83" t="s">
        <v>3208</v>
      </c>
      <c r="D310" s="83" t="s">
        <v>3713</v>
      </c>
      <c r="E310" s="83" t="s">
        <v>3714</v>
      </c>
      <c r="F310" s="83" t="s">
        <v>4094</v>
      </c>
      <c r="G310" s="83" t="s">
        <v>4095</v>
      </c>
      <c r="H310" s="83">
        <v>0</v>
      </c>
      <c r="I310" s="83" t="s">
        <v>3208</v>
      </c>
      <c r="J310" s="83" t="s">
        <v>3208</v>
      </c>
      <c r="K310" s="83" t="s">
        <v>3208</v>
      </c>
    </row>
    <row r="311" spans="1:11" ht="39" x14ac:dyDescent="0.25">
      <c r="A311" s="83" t="s">
        <v>2728</v>
      </c>
      <c r="B311" s="83" t="s">
        <v>3208</v>
      </c>
      <c r="C311" s="83" t="s">
        <v>3208</v>
      </c>
      <c r="D311" s="83" t="s">
        <v>3713</v>
      </c>
      <c r="E311" s="83" t="s">
        <v>3761</v>
      </c>
      <c r="F311" s="83" t="s">
        <v>4096</v>
      </c>
      <c r="G311" s="83" t="s">
        <v>4097</v>
      </c>
      <c r="H311" s="83">
        <v>0</v>
      </c>
      <c r="I311" s="83" t="s">
        <v>3229</v>
      </c>
      <c r="J311" s="83" t="s">
        <v>356</v>
      </c>
      <c r="K311" s="83" t="s">
        <v>3215</v>
      </c>
    </row>
    <row r="312" spans="1:11" ht="39" x14ac:dyDescent="0.25">
      <c r="A312" s="83" t="s">
        <v>4098</v>
      </c>
      <c r="B312" s="83" t="s">
        <v>3208</v>
      </c>
      <c r="C312" s="83" t="s">
        <v>4099</v>
      </c>
      <c r="D312" s="83" t="s">
        <v>3741</v>
      </c>
      <c r="E312" s="83" t="s">
        <v>3702</v>
      </c>
      <c r="F312" s="83" t="s">
        <v>4100</v>
      </c>
      <c r="G312" s="83" t="s">
        <v>4101</v>
      </c>
      <c r="H312" s="83">
        <v>7.8</v>
      </c>
      <c r="I312" s="83" t="s">
        <v>3208</v>
      </c>
      <c r="J312" s="83" t="s">
        <v>3208</v>
      </c>
      <c r="K312" s="83" t="s">
        <v>3208</v>
      </c>
    </row>
    <row r="313" spans="1:11" ht="39" x14ac:dyDescent="0.25">
      <c r="A313" s="83" t="s">
        <v>715</v>
      </c>
      <c r="B313" s="83" t="s">
        <v>4102</v>
      </c>
      <c r="C313" s="83" t="s">
        <v>3208</v>
      </c>
      <c r="D313" s="83" t="s">
        <v>3209</v>
      </c>
      <c r="E313" s="83" t="s">
        <v>3226</v>
      </c>
      <c r="F313" s="83" t="s">
        <v>4103</v>
      </c>
      <c r="G313" s="83" t="s">
        <v>3797</v>
      </c>
      <c r="H313" s="83">
        <v>5</v>
      </c>
      <c r="I313" s="83" t="s">
        <v>3229</v>
      </c>
      <c r="J313" s="83" t="s">
        <v>3241</v>
      </c>
      <c r="K313" s="83" t="s">
        <v>3215</v>
      </c>
    </row>
    <row r="314" spans="1:11" ht="51.75" x14ac:dyDescent="0.25">
      <c r="A314" s="83" t="s">
        <v>1396</v>
      </c>
      <c r="B314" s="83" t="s">
        <v>4104</v>
      </c>
      <c r="C314" s="83" t="s">
        <v>4105</v>
      </c>
      <c r="D314" s="83" t="s">
        <v>3209</v>
      </c>
      <c r="E314" s="83" t="s">
        <v>3246</v>
      </c>
      <c r="F314" s="83" t="s">
        <v>4106</v>
      </c>
      <c r="G314" s="83" t="s">
        <v>4107</v>
      </c>
      <c r="H314" s="83">
        <v>15</v>
      </c>
      <c r="I314" s="83" t="s">
        <v>3229</v>
      </c>
      <c r="J314" s="83" t="s">
        <v>3289</v>
      </c>
      <c r="K314" s="83" t="s">
        <v>3215</v>
      </c>
    </row>
    <row r="315" spans="1:11" x14ac:dyDescent="0.25">
      <c r="A315" s="83" t="s">
        <v>4108</v>
      </c>
      <c r="B315" s="83" t="s">
        <v>3208</v>
      </c>
      <c r="C315" s="83" t="s">
        <v>3208</v>
      </c>
      <c r="D315" s="83" t="s">
        <v>3965</v>
      </c>
      <c r="E315" s="83" t="s">
        <v>3966</v>
      </c>
      <c r="F315" s="83" t="s">
        <v>4109</v>
      </c>
      <c r="G315" s="83" t="s">
        <v>4110</v>
      </c>
      <c r="H315" s="83">
        <v>0</v>
      </c>
      <c r="I315" s="83" t="s">
        <v>3208</v>
      </c>
      <c r="J315" s="83" t="s">
        <v>3208</v>
      </c>
      <c r="K315" s="83" t="s">
        <v>3208</v>
      </c>
    </row>
    <row r="316" spans="1:11" ht="51.75" x14ac:dyDescent="0.25">
      <c r="A316" s="83" t="s">
        <v>107</v>
      </c>
      <c r="B316" s="83" t="s">
        <v>4111</v>
      </c>
      <c r="C316" s="83" t="s">
        <v>3208</v>
      </c>
      <c r="D316" s="83" t="s">
        <v>3209</v>
      </c>
      <c r="E316" s="83" t="s">
        <v>3226</v>
      </c>
      <c r="F316" s="83" t="s">
        <v>4112</v>
      </c>
      <c r="G316" s="83" t="s">
        <v>4113</v>
      </c>
      <c r="H316" s="83">
        <v>578</v>
      </c>
      <c r="I316" s="83" t="s">
        <v>3229</v>
      </c>
      <c r="J316" s="83" t="s">
        <v>3371</v>
      </c>
      <c r="K316" s="83" t="s">
        <v>3215</v>
      </c>
    </row>
    <row r="317" spans="1:11" ht="51.75" x14ac:dyDescent="0.25">
      <c r="A317" s="83" t="s">
        <v>1866</v>
      </c>
      <c r="B317" s="83" t="s">
        <v>3208</v>
      </c>
      <c r="C317" s="83" t="s">
        <v>3208</v>
      </c>
      <c r="D317" s="83" t="s">
        <v>3713</v>
      </c>
      <c r="E317" s="83" t="s">
        <v>3761</v>
      </c>
      <c r="F317" s="83" t="s">
        <v>4114</v>
      </c>
      <c r="G317" s="83" t="s">
        <v>4115</v>
      </c>
      <c r="H317" s="83">
        <v>0</v>
      </c>
      <c r="I317" s="83" t="s">
        <v>3229</v>
      </c>
      <c r="J317" s="83" t="s">
        <v>3337</v>
      </c>
      <c r="K317" s="83" t="s">
        <v>3215</v>
      </c>
    </row>
    <row r="318" spans="1:11" x14ac:dyDescent="0.25">
      <c r="A318" s="83" t="s">
        <v>4116</v>
      </c>
      <c r="B318" s="83" t="s">
        <v>4117</v>
      </c>
      <c r="C318" s="83" t="s">
        <v>4118</v>
      </c>
      <c r="D318" s="83" t="s">
        <v>3209</v>
      </c>
      <c r="E318" s="83" t="s">
        <v>3702</v>
      </c>
      <c r="F318" s="83" t="s">
        <v>4119</v>
      </c>
      <c r="G318" s="83" t="s">
        <v>4120</v>
      </c>
      <c r="H318" s="83">
        <v>23.3</v>
      </c>
      <c r="I318" s="83" t="s">
        <v>3208</v>
      </c>
      <c r="J318" s="83" t="s">
        <v>3208</v>
      </c>
      <c r="K318" s="83" t="s">
        <v>3208</v>
      </c>
    </row>
    <row r="319" spans="1:11" ht="39" x14ac:dyDescent="0.25">
      <c r="A319" s="83" t="s">
        <v>2765</v>
      </c>
      <c r="B319" s="83" t="s">
        <v>3208</v>
      </c>
      <c r="C319" s="83" t="s">
        <v>3208</v>
      </c>
      <c r="D319" s="83" t="s">
        <v>3713</v>
      </c>
      <c r="E319" s="83" t="s">
        <v>3761</v>
      </c>
      <c r="F319" s="83" t="s">
        <v>4121</v>
      </c>
      <c r="G319" s="83" t="s">
        <v>4122</v>
      </c>
      <c r="H319" s="83">
        <v>0</v>
      </c>
      <c r="I319" s="83" t="s">
        <v>3229</v>
      </c>
      <c r="J319" s="83" t="s">
        <v>356</v>
      </c>
      <c r="K319" s="83" t="s">
        <v>3215</v>
      </c>
    </row>
    <row r="320" spans="1:11" ht="51.75" x14ac:dyDescent="0.25">
      <c r="A320" s="83" t="s">
        <v>2748</v>
      </c>
      <c r="B320" s="83" t="s">
        <v>3208</v>
      </c>
      <c r="C320" s="83" t="s">
        <v>3208</v>
      </c>
      <c r="D320" s="83" t="s">
        <v>3713</v>
      </c>
      <c r="E320" s="83" t="s">
        <v>3761</v>
      </c>
      <c r="F320" s="83" t="s">
        <v>4123</v>
      </c>
      <c r="G320" s="83" t="s">
        <v>4124</v>
      </c>
      <c r="H320" s="83">
        <v>0</v>
      </c>
      <c r="I320" s="83" t="s">
        <v>3229</v>
      </c>
      <c r="J320" s="83" t="s">
        <v>3230</v>
      </c>
      <c r="K320" s="83" t="s">
        <v>3215</v>
      </c>
    </row>
    <row r="321" spans="1:11" ht="64.5" x14ac:dyDescent="0.25">
      <c r="A321" s="83" t="s">
        <v>416</v>
      </c>
      <c r="B321" s="83" t="s">
        <v>3208</v>
      </c>
      <c r="C321" s="83" t="s">
        <v>4125</v>
      </c>
      <c r="D321" s="83" t="s">
        <v>3741</v>
      </c>
      <c r="E321" s="83" t="s">
        <v>3727</v>
      </c>
      <c r="F321" s="83" t="s">
        <v>4126</v>
      </c>
      <c r="G321" s="83" t="s">
        <v>3743</v>
      </c>
      <c r="H321" s="83">
        <v>0</v>
      </c>
      <c r="I321" s="83" t="s">
        <v>3213</v>
      </c>
      <c r="J321" s="83" t="s">
        <v>3413</v>
      </c>
      <c r="K321" s="83" t="s">
        <v>3215</v>
      </c>
    </row>
    <row r="322" spans="1:11" ht="39" x14ac:dyDescent="0.25">
      <c r="A322" s="83" t="s">
        <v>2759</v>
      </c>
      <c r="B322" s="83" t="s">
        <v>3208</v>
      </c>
      <c r="C322" s="83" t="s">
        <v>3208</v>
      </c>
      <c r="D322" s="83" t="s">
        <v>3713</v>
      </c>
      <c r="E322" s="83" t="s">
        <v>3761</v>
      </c>
      <c r="F322" s="83" t="s">
        <v>4127</v>
      </c>
      <c r="G322" s="83" t="s">
        <v>4128</v>
      </c>
      <c r="H322" s="83">
        <v>0</v>
      </c>
      <c r="I322" s="83" t="s">
        <v>3229</v>
      </c>
      <c r="J322" s="83" t="s">
        <v>356</v>
      </c>
      <c r="K322" s="83" t="s">
        <v>3215</v>
      </c>
    </row>
    <row r="323" spans="1:11" ht="51.75" x14ac:dyDescent="0.25">
      <c r="A323" s="83" t="s">
        <v>2744</v>
      </c>
      <c r="B323" s="83" t="s">
        <v>3208</v>
      </c>
      <c r="C323" s="83" t="s">
        <v>3208</v>
      </c>
      <c r="D323" s="83" t="s">
        <v>3713</v>
      </c>
      <c r="E323" s="83" t="s">
        <v>3761</v>
      </c>
      <c r="F323" s="83" t="s">
        <v>4123</v>
      </c>
      <c r="G323" s="83" t="s">
        <v>4124</v>
      </c>
      <c r="H323" s="83">
        <v>0</v>
      </c>
      <c r="I323" s="83" t="s">
        <v>3229</v>
      </c>
      <c r="J323" s="83" t="s">
        <v>3230</v>
      </c>
      <c r="K323" s="83" t="s">
        <v>3215</v>
      </c>
    </row>
    <row r="324" spans="1:11" ht="51.75" x14ac:dyDescent="0.25">
      <c r="A324" s="83" t="s">
        <v>2732</v>
      </c>
      <c r="B324" s="83" t="s">
        <v>3208</v>
      </c>
      <c r="C324" s="83" t="s">
        <v>3208</v>
      </c>
      <c r="D324" s="83" t="s">
        <v>3713</v>
      </c>
      <c r="E324" s="83" t="s">
        <v>3761</v>
      </c>
      <c r="F324" s="83" t="s">
        <v>4129</v>
      </c>
      <c r="G324" s="83" t="s">
        <v>3248</v>
      </c>
      <c r="H324" s="83">
        <v>0</v>
      </c>
      <c r="I324" s="83" t="s">
        <v>3229</v>
      </c>
      <c r="J324" s="83" t="s">
        <v>3230</v>
      </c>
      <c r="K324" s="83" t="s">
        <v>3215</v>
      </c>
    </row>
    <row r="325" spans="1:11" ht="64.5" x14ac:dyDescent="0.25">
      <c r="A325" s="83" t="s">
        <v>2769</v>
      </c>
      <c r="B325" s="83" t="s">
        <v>3208</v>
      </c>
      <c r="C325" s="83" t="s">
        <v>3208</v>
      </c>
      <c r="D325" s="83" t="s">
        <v>3713</v>
      </c>
      <c r="E325" s="83" t="s">
        <v>3761</v>
      </c>
      <c r="F325" s="83" t="s">
        <v>4130</v>
      </c>
      <c r="G325" s="83" t="s">
        <v>4131</v>
      </c>
      <c r="H325" s="83">
        <v>0</v>
      </c>
      <c r="I325" s="83" t="s">
        <v>3229</v>
      </c>
      <c r="J325" s="83" t="s">
        <v>3380</v>
      </c>
      <c r="K325" s="83" t="s">
        <v>3215</v>
      </c>
    </row>
    <row r="326" spans="1:11" ht="26.25" x14ac:dyDescent="0.25">
      <c r="A326" s="83" t="s">
        <v>4132</v>
      </c>
      <c r="B326" s="83" t="s">
        <v>3208</v>
      </c>
      <c r="C326" s="83" t="s">
        <v>3208</v>
      </c>
      <c r="D326" s="83" t="s">
        <v>3713</v>
      </c>
      <c r="E326" s="83" t="s">
        <v>3714</v>
      </c>
      <c r="F326" s="83" t="s">
        <v>4133</v>
      </c>
      <c r="G326" s="83" t="s">
        <v>4134</v>
      </c>
      <c r="H326" s="83">
        <v>0</v>
      </c>
      <c r="I326" s="83" t="s">
        <v>3208</v>
      </c>
      <c r="J326" s="83" t="s">
        <v>3208</v>
      </c>
      <c r="K326" s="83" t="s">
        <v>3208</v>
      </c>
    </row>
    <row r="327" spans="1:11" ht="26.25" x14ac:dyDescent="0.25">
      <c r="A327" s="83" t="s">
        <v>4135</v>
      </c>
      <c r="B327" s="83" t="s">
        <v>3208</v>
      </c>
      <c r="C327" s="83" t="s">
        <v>3208</v>
      </c>
      <c r="D327" s="83" t="s">
        <v>3209</v>
      </c>
      <c r="E327" s="83" t="s">
        <v>3663</v>
      </c>
      <c r="F327" s="83" t="s">
        <v>4136</v>
      </c>
      <c r="G327" s="83" t="s">
        <v>4137</v>
      </c>
      <c r="H327" s="83">
        <v>150</v>
      </c>
      <c r="I327" s="83" t="s">
        <v>3208</v>
      </c>
      <c r="J327" s="83" t="s">
        <v>3208</v>
      </c>
      <c r="K327" s="83" t="s">
        <v>3208</v>
      </c>
    </row>
    <row r="328" spans="1:11" ht="26.25" x14ac:dyDescent="0.25">
      <c r="A328" s="83" t="s">
        <v>4138</v>
      </c>
      <c r="B328" s="83" t="s">
        <v>3208</v>
      </c>
      <c r="C328" s="83" t="s">
        <v>3208</v>
      </c>
      <c r="D328" s="83" t="s">
        <v>3713</v>
      </c>
      <c r="E328" s="83" t="s">
        <v>3714</v>
      </c>
      <c r="F328" s="83" t="s">
        <v>4139</v>
      </c>
      <c r="G328" s="83" t="s">
        <v>4140</v>
      </c>
      <c r="H328" s="83">
        <v>0</v>
      </c>
      <c r="I328" s="83" t="s">
        <v>3208</v>
      </c>
      <c r="J328" s="83" t="s">
        <v>3208</v>
      </c>
      <c r="K328" s="83" t="s">
        <v>3208</v>
      </c>
    </row>
    <row r="329" spans="1:11" ht="26.25" x14ac:dyDescent="0.25">
      <c r="A329" s="83" t="s">
        <v>4141</v>
      </c>
      <c r="B329" s="83" t="s">
        <v>3208</v>
      </c>
      <c r="C329" s="83" t="s">
        <v>3208</v>
      </c>
      <c r="D329" s="83" t="s">
        <v>3713</v>
      </c>
      <c r="E329" s="83" t="s">
        <v>3714</v>
      </c>
      <c r="F329" s="83" t="s">
        <v>4142</v>
      </c>
      <c r="G329" s="83" t="s">
        <v>4143</v>
      </c>
      <c r="H329" s="83">
        <v>0</v>
      </c>
      <c r="I329" s="83" t="s">
        <v>3208</v>
      </c>
      <c r="J329" s="83" t="s">
        <v>3208</v>
      </c>
      <c r="K329" s="83" t="s">
        <v>3208</v>
      </c>
    </row>
    <row r="330" spans="1:11" ht="26.25" x14ac:dyDescent="0.25">
      <c r="A330" s="83" t="s">
        <v>2828</v>
      </c>
      <c r="B330" s="83" t="s">
        <v>3208</v>
      </c>
      <c r="C330" s="83" t="s">
        <v>3208</v>
      </c>
      <c r="D330" s="83" t="s">
        <v>3713</v>
      </c>
      <c r="E330" s="83" t="s">
        <v>3761</v>
      </c>
      <c r="F330" s="83" t="s">
        <v>4144</v>
      </c>
      <c r="G330" s="83" t="s">
        <v>4145</v>
      </c>
      <c r="H330" s="83">
        <v>0</v>
      </c>
      <c r="I330" s="83" t="s">
        <v>3213</v>
      </c>
      <c r="J330" s="83" t="s">
        <v>3948</v>
      </c>
      <c r="K330" s="83" t="s">
        <v>3215</v>
      </c>
    </row>
    <row r="331" spans="1:11" ht="26.25" x14ac:dyDescent="0.25">
      <c r="A331" s="83" t="s">
        <v>2851</v>
      </c>
      <c r="B331" s="83" t="s">
        <v>3208</v>
      </c>
      <c r="C331" s="83" t="s">
        <v>3208</v>
      </c>
      <c r="D331" s="83" t="s">
        <v>3713</v>
      </c>
      <c r="E331" s="83" t="s">
        <v>3761</v>
      </c>
      <c r="F331" s="83" t="s">
        <v>4146</v>
      </c>
      <c r="G331" s="83" t="s">
        <v>4147</v>
      </c>
      <c r="H331" s="83">
        <v>0</v>
      </c>
      <c r="I331" s="83" t="s">
        <v>3229</v>
      </c>
      <c r="J331" s="83" t="s">
        <v>3311</v>
      </c>
      <c r="K331" s="83" t="s">
        <v>3215</v>
      </c>
    </row>
    <row r="332" spans="1:11" ht="64.5" x14ac:dyDescent="0.25">
      <c r="A332" s="83" t="s">
        <v>2873</v>
      </c>
      <c r="B332" s="83" t="s">
        <v>3208</v>
      </c>
      <c r="C332" s="83" t="s">
        <v>3208</v>
      </c>
      <c r="D332" s="83" t="s">
        <v>3713</v>
      </c>
      <c r="E332" s="83" t="s">
        <v>3761</v>
      </c>
      <c r="F332" s="83" t="s">
        <v>4148</v>
      </c>
      <c r="G332" s="83" t="s">
        <v>4149</v>
      </c>
      <c r="H332" s="83">
        <v>0</v>
      </c>
      <c r="I332" s="83" t="s">
        <v>3229</v>
      </c>
      <c r="J332" s="83" t="s">
        <v>3380</v>
      </c>
      <c r="K332" s="83" t="s">
        <v>3215</v>
      </c>
    </row>
    <row r="333" spans="1:11" ht="51.75" x14ac:dyDescent="0.25">
      <c r="A333" s="83" t="s">
        <v>4150</v>
      </c>
      <c r="B333" s="83" t="s">
        <v>3208</v>
      </c>
      <c r="C333" s="83" t="s">
        <v>3208</v>
      </c>
      <c r="D333" s="83" t="s">
        <v>3713</v>
      </c>
      <c r="E333" s="83" t="s">
        <v>3714</v>
      </c>
      <c r="F333" s="83" t="s">
        <v>4151</v>
      </c>
      <c r="G333" s="83" t="s">
        <v>4152</v>
      </c>
      <c r="H333" s="83">
        <v>0</v>
      </c>
      <c r="I333" s="83" t="s">
        <v>3213</v>
      </c>
      <c r="J333" s="83" t="s">
        <v>3538</v>
      </c>
      <c r="K333" s="83" t="s">
        <v>3215</v>
      </c>
    </row>
    <row r="334" spans="1:11" ht="26.25" x14ac:dyDescent="0.25">
      <c r="A334" s="83" t="s">
        <v>4153</v>
      </c>
      <c r="B334" s="83" t="s">
        <v>3208</v>
      </c>
      <c r="C334" s="83" t="s">
        <v>3208</v>
      </c>
      <c r="D334" s="83" t="s">
        <v>3713</v>
      </c>
      <c r="E334" s="83" t="s">
        <v>3714</v>
      </c>
      <c r="F334" s="83" t="s">
        <v>4154</v>
      </c>
      <c r="G334" s="83" t="s">
        <v>4155</v>
      </c>
      <c r="H334" s="83">
        <v>0</v>
      </c>
      <c r="I334" s="83" t="s">
        <v>3208</v>
      </c>
      <c r="J334" s="83" t="s">
        <v>3208</v>
      </c>
      <c r="K334" s="83" t="s">
        <v>3208</v>
      </c>
    </row>
    <row r="335" spans="1:11" ht="51.75" x14ac:dyDescent="0.25">
      <c r="A335" s="83" t="s">
        <v>377</v>
      </c>
      <c r="B335" s="83" t="s">
        <v>3208</v>
      </c>
      <c r="C335" s="83" t="s">
        <v>4156</v>
      </c>
      <c r="D335" s="83" t="s">
        <v>4157</v>
      </c>
      <c r="E335" s="83" t="s">
        <v>3727</v>
      </c>
      <c r="F335" s="83" t="s">
        <v>4158</v>
      </c>
      <c r="G335" s="83" t="s">
        <v>4159</v>
      </c>
      <c r="H335" s="83">
        <v>3.16</v>
      </c>
      <c r="I335" s="83" t="s">
        <v>3229</v>
      </c>
      <c r="J335" s="83" t="s">
        <v>3280</v>
      </c>
      <c r="K335" s="83" t="s">
        <v>3215</v>
      </c>
    </row>
    <row r="336" spans="1:11" ht="51.75" x14ac:dyDescent="0.25">
      <c r="A336" s="83" t="s">
        <v>2862</v>
      </c>
      <c r="B336" s="83" t="s">
        <v>3208</v>
      </c>
      <c r="C336" s="83" t="s">
        <v>3208</v>
      </c>
      <c r="D336" s="83" t="s">
        <v>3713</v>
      </c>
      <c r="E336" s="83" t="s">
        <v>3761</v>
      </c>
      <c r="F336" s="83" t="s">
        <v>4160</v>
      </c>
      <c r="G336" s="83" t="s">
        <v>4161</v>
      </c>
      <c r="H336" s="83">
        <v>0</v>
      </c>
      <c r="I336" s="83" t="s">
        <v>3213</v>
      </c>
      <c r="J336" s="83" t="s">
        <v>3257</v>
      </c>
      <c r="K336" s="83" t="s">
        <v>3215</v>
      </c>
    </row>
    <row r="337" spans="1:11" ht="64.5" x14ac:dyDescent="0.25">
      <c r="A337" s="83" t="s">
        <v>383</v>
      </c>
      <c r="B337" s="83" t="s">
        <v>3208</v>
      </c>
      <c r="C337" s="83" t="s">
        <v>4162</v>
      </c>
      <c r="D337" s="83" t="s">
        <v>4157</v>
      </c>
      <c r="E337" s="83" t="s">
        <v>3727</v>
      </c>
      <c r="F337" s="83" t="s">
        <v>4163</v>
      </c>
      <c r="G337" s="83" t="s">
        <v>4164</v>
      </c>
      <c r="H337" s="83">
        <v>0.57999999999999996</v>
      </c>
      <c r="I337" s="83" t="s">
        <v>3213</v>
      </c>
      <c r="J337" s="83" t="s">
        <v>3262</v>
      </c>
      <c r="K337" s="83" t="s">
        <v>3215</v>
      </c>
    </row>
    <row r="338" spans="1:11" ht="51.75" x14ac:dyDescent="0.25">
      <c r="A338" s="83" t="s">
        <v>402</v>
      </c>
      <c r="B338" s="83" t="s">
        <v>3208</v>
      </c>
      <c r="C338" s="83" t="s">
        <v>4165</v>
      </c>
      <c r="D338" s="83" t="s">
        <v>3718</v>
      </c>
      <c r="E338" s="83" t="s">
        <v>3727</v>
      </c>
      <c r="F338" s="83" t="s">
        <v>4166</v>
      </c>
      <c r="G338" s="83" t="s">
        <v>4167</v>
      </c>
      <c r="H338" s="83">
        <v>0.11</v>
      </c>
      <c r="I338" s="83" t="s">
        <v>3229</v>
      </c>
      <c r="J338" s="83" t="s">
        <v>3332</v>
      </c>
      <c r="K338" s="83" t="s">
        <v>3215</v>
      </c>
    </row>
    <row r="339" spans="1:11" ht="64.5" x14ac:dyDescent="0.25">
      <c r="A339" s="83" t="s">
        <v>2830</v>
      </c>
      <c r="B339" s="83" t="s">
        <v>3208</v>
      </c>
      <c r="C339" s="83" t="s">
        <v>3208</v>
      </c>
      <c r="D339" s="83" t="s">
        <v>3713</v>
      </c>
      <c r="E339" s="83" t="s">
        <v>3761</v>
      </c>
      <c r="F339" s="83" t="s">
        <v>4168</v>
      </c>
      <c r="G339" s="83" t="s">
        <v>4169</v>
      </c>
      <c r="H339" s="83">
        <v>0</v>
      </c>
      <c r="I339" s="83" t="s">
        <v>3213</v>
      </c>
      <c r="J339" s="83" t="s">
        <v>3262</v>
      </c>
      <c r="K339" s="83" t="s">
        <v>3215</v>
      </c>
    </row>
    <row r="340" spans="1:11" ht="51.75" x14ac:dyDescent="0.25">
      <c r="A340" s="83" t="s">
        <v>376</v>
      </c>
      <c r="B340" s="83" t="s">
        <v>3208</v>
      </c>
      <c r="C340" s="83" t="s">
        <v>4170</v>
      </c>
      <c r="D340" s="83" t="s">
        <v>4157</v>
      </c>
      <c r="E340" s="83" t="s">
        <v>3727</v>
      </c>
      <c r="F340" s="83" t="s">
        <v>4171</v>
      </c>
      <c r="G340" s="83" t="s">
        <v>4172</v>
      </c>
      <c r="H340" s="83">
        <v>0.35</v>
      </c>
      <c r="I340" s="83" t="s">
        <v>3213</v>
      </c>
      <c r="J340" s="83" t="s">
        <v>3271</v>
      </c>
      <c r="K340" s="83" t="s">
        <v>3215</v>
      </c>
    </row>
    <row r="341" spans="1:11" ht="26.25" x14ac:dyDescent="0.25">
      <c r="A341" s="83" t="s">
        <v>347</v>
      </c>
      <c r="B341" s="83" t="s">
        <v>3208</v>
      </c>
      <c r="C341" s="83" t="s">
        <v>4173</v>
      </c>
      <c r="D341" s="83" t="s">
        <v>3718</v>
      </c>
      <c r="E341" s="83" t="s">
        <v>3727</v>
      </c>
      <c r="F341" s="83" t="s">
        <v>4174</v>
      </c>
      <c r="G341" s="83" t="s">
        <v>4175</v>
      </c>
      <c r="H341" s="83">
        <v>0.67</v>
      </c>
      <c r="I341" s="83" t="s">
        <v>3213</v>
      </c>
      <c r="J341" s="83" t="s">
        <v>4176</v>
      </c>
      <c r="K341" s="83" t="s">
        <v>3215</v>
      </c>
    </row>
    <row r="342" spans="1:11" ht="26.25" x14ac:dyDescent="0.25">
      <c r="A342" s="83" t="s">
        <v>2845</v>
      </c>
      <c r="B342" s="83" t="s">
        <v>3208</v>
      </c>
      <c r="C342" s="83" t="s">
        <v>3208</v>
      </c>
      <c r="D342" s="83" t="s">
        <v>3713</v>
      </c>
      <c r="E342" s="83" t="s">
        <v>3761</v>
      </c>
      <c r="F342" s="83" t="s">
        <v>4168</v>
      </c>
      <c r="G342" s="83" t="s">
        <v>4177</v>
      </c>
      <c r="H342" s="83">
        <v>0</v>
      </c>
      <c r="I342" s="83" t="s">
        <v>3213</v>
      </c>
      <c r="J342" s="83" t="s">
        <v>3222</v>
      </c>
      <c r="K342" s="83" t="s">
        <v>3215</v>
      </c>
    </row>
    <row r="343" spans="1:11" ht="64.5" x14ac:dyDescent="0.25">
      <c r="A343" s="83" t="s">
        <v>324</v>
      </c>
      <c r="B343" s="83" t="s">
        <v>3208</v>
      </c>
      <c r="C343" s="83" t="s">
        <v>3208</v>
      </c>
      <c r="D343" s="83" t="s">
        <v>3718</v>
      </c>
      <c r="E343" s="83" t="s">
        <v>3210</v>
      </c>
      <c r="F343" s="83" t="s">
        <v>4178</v>
      </c>
      <c r="G343" s="83" t="s">
        <v>4179</v>
      </c>
      <c r="H343" s="83">
        <v>0.215</v>
      </c>
      <c r="I343" s="83" t="s">
        <v>3229</v>
      </c>
      <c r="J343" s="83" t="s">
        <v>3380</v>
      </c>
      <c r="K343" s="83" t="s">
        <v>3215</v>
      </c>
    </row>
    <row r="344" spans="1:11" ht="64.5" x14ac:dyDescent="0.25">
      <c r="A344" s="83" t="s">
        <v>2047</v>
      </c>
      <c r="B344" s="83" t="s">
        <v>3208</v>
      </c>
      <c r="C344" s="83" t="s">
        <v>3208</v>
      </c>
      <c r="D344" s="83" t="s">
        <v>3713</v>
      </c>
      <c r="E344" s="83" t="s">
        <v>3761</v>
      </c>
      <c r="F344" s="83" t="s">
        <v>4180</v>
      </c>
      <c r="G344" s="83" t="s">
        <v>4181</v>
      </c>
      <c r="H344" s="83">
        <v>0</v>
      </c>
      <c r="I344" s="83" t="s">
        <v>3213</v>
      </c>
      <c r="J344" s="83" t="s">
        <v>3262</v>
      </c>
      <c r="K344" s="83" t="s">
        <v>3215</v>
      </c>
    </row>
    <row r="345" spans="1:11" ht="51.75" x14ac:dyDescent="0.25">
      <c r="A345" s="83" t="s">
        <v>2792</v>
      </c>
      <c r="B345" s="83" t="s">
        <v>3208</v>
      </c>
      <c r="C345" s="83" t="s">
        <v>3208</v>
      </c>
      <c r="D345" s="83" t="s">
        <v>3713</v>
      </c>
      <c r="E345" s="83" t="s">
        <v>3761</v>
      </c>
      <c r="F345" s="83" t="s">
        <v>4182</v>
      </c>
      <c r="G345" s="83" t="s">
        <v>4183</v>
      </c>
      <c r="H345" s="83">
        <v>0</v>
      </c>
      <c r="I345" s="83" t="s">
        <v>3213</v>
      </c>
      <c r="J345" s="83" t="s">
        <v>3257</v>
      </c>
      <c r="K345" s="83" t="s">
        <v>3215</v>
      </c>
    </row>
    <row r="346" spans="1:11" ht="26.25" x14ac:dyDescent="0.25">
      <c r="A346" s="83" t="s">
        <v>2829</v>
      </c>
      <c r="B346" s="83" t="s">
        <v>3208</v>
      </c>
      <c r="C346" s="83" t="s">
        <v>3208</v>
      </c>
      <c r="D346" s="83" t="s">
        <v>3713</v>
      </c>
      <c r="E346" s="83" t="s">
        <v>3761</v>
      </c>
      <c r="F346" s="83" t="s">
        <v>4144</v>
      </c>
      <c r="G346" s="83" t="s">
        <v>4145</v>
      </c>
      <c r="H346" s="83">
        <v>0</v>
      </c>
      <c r="I346" s="83" t="s">
        <v>3213</v>
      </c>
      <c r="J346" s="83" t="s">
        <v>3948</v>
      </c>
      <c r="K346" s="83" t="s">
        <v>3215</v>
      </c>
    </row>
    <row r="347" spans="1:11" ht="51.75" x14ac:dyDescent="0.25">
      <c r="A347" s="83" t="s">
        <v>328</v>
      </c>
      <c r="B347" s="83" t="s">
        <v>3208</v>
      </c>
      <c r="C347" s="83" t="s">
        <v>4184</v>
      </c>
      <c r="D347" s="83" t="s">
        <v>4157</v>
      </c>
      <c r="E347" s="83" t="s">
        <v>3727</v>
      </c>
      <c r="F347" s="83" t="s">
        <v>4185</v>
      </c>
      <c r="G347" s="83" t="s">
        <v>4186</v>
      </c>
      <c r="H347" s="83">
        <v>0.49</v>
      </c>
      <c r="I347" s="83" t="s">
        <v>3229</v>
      </c>
      <c r="J347" s="83" t="s">
        <v>3332</v>
      </c>
      <c r="K347" s="83" t="s">
        <v>3215</v>
      </c>
    </row>
    <row r="348" spans="1:11" ht="26.25" x14ac:dyDescent="0.25">
      <c r="A348" s="83" t="s">
        <v>4187</v>
      </c>
      <c r="B348" s="83" t="s">
        <v>3208</v>
      </c>
      <c r="C348" s="83" t="s">
        <v>3208</v>
      </c>
      <c r="D348" s="83" t="s">
        <v>3713</v>
      </c>
      <c r="E348" s="83" t="s">
        <v>3714</v>
      </c>
      <c r="F348" s="83" t="s">
        <v>4188</v>
      </c>
      <c r="G348" s="83" t="s">
        <v>4189</v>
      </c>
      <c r="H348" s="83">
        <v>0</v>
      </c>
      <c r="I348" s="83" t="s">
        <v>3208</v>
      </c>
      <c r="J348" s="83" t="s">
        <v>3208</v>
      </c>
      <c r="K348" s="83" t="s">
        <v>3208</v>
      </c>
    </row>
    <row r="349" spans="1:11" ht="51.75" x14ac:dyDescent="0.25">
      <c r="A349" s="83" t="s">
        <v>310</v>
      </c>
      <c r="B349" s="83" t="s">
        <v>3208</v>
      </c>
      <c r="C349" s="83" t="s">
        <v>3208</v>
      </c>
      <c r="D349" s="83" t="s">
        <v>3209</v>
      </c>
      <c r="E349" s="83" t="s">
        <v>3210</v>
      </c>
      <c r="F349" s="83" t="s">
        <v>4190</v>
      </c>
      <c r="G349" s="83" t="s">
        <v>4191</v>
      </c>
      <c r="H349" s="83">
        <v>355</v>
      </c>
      <c r="I349" s="83" t="s">
        <v>3229</v>
      </c>
      <c r="J349" s="83" t="s">
        <v>4192</v>
      </c>
      <c r="K349" s="83" t="s">
        <v>3215</v>
      </c>
    </row>
    <row r="350" spans="1:11" ht="26.25" x14ac:dyDescent="0.25">
      <c r="A350" s="83" t="s">
        <v>4193</v>
      </c>
      <c r="B350" s="83" t="s">
        <v>3208</v>
      </c>
      <c r="C350" s="83" t="s">
        <v>3208</v>
      </c>
      <c r="D350" s="83" t="s">
        <v>3713</v>
      </c>
      <c r="E350" s="83" t="s">
        <v>3714</v>
      </c>
      <c r="F350" s="83" t="s">
        <v>4194</v>
      </c>
      <c r="G350" s="83" t="s">
        <v>4195</v>
      </c>
      <c r="H350" s="83">
        <v>0</v>
      </c>
      <c r="I350" s="83" t="s">
        <v>3208</v>
      </c>
      <c r="J350" s="83" t="s">
        <v>3208</v>
      </c>
      <c r="K350" s="83" t="s">
        <v>3208</v>
      </c>
    </row>
    <row r="351" spans="1:11" ht="51.75" x14ac:dyDescent="0.25">
      <c r="A351" s="83" t="s">
        <v>424</v>
      </c>
      <c r="B351" s="83" t="s">
        <v>3208</v>
      </c>
      <c r="C351" s="83" t="s">
        <v>4196</v>
      </c>
      <c r="D351" s="83" t="s">
        <v>3718</v>
      </c>
      <c r="E351" s="83" t="s">
        <v>3727</v>
      </c>
      <c r="F351" s="83" t="s">
        <v>4197</v>
      </c>
      <c r="G351" s="83" t="s">
        <v>4198</v>
      </c>
      <c r="H351" s="83">
        <v>8.4</v>
      </c>
      <c r="I351" s="83" t="s">
        <v>3229</v>
      </c>
      <c r="J351" s="83" t="s">
        <v>3230</v>
      </c>
      <c r="K351" s="83" t="s">
        <v>3215</v>
      </c>
    </row>
    <row r="352" spans="1:11" ht="64.5" x14ac:dyDescent="0.25">
      <c r="A352" s="83" t="s">
        <v>2784</v>
      </c>
      <c r="B352" s="83" t="s">
        <v>3208</v>
      </c>
      <c r="C352" s="83" t="s">
        <v>3208</v>
      </c>
      <c r="D352" s="83" t="s">
        <v>3713</v>
      </c>
      <c r="E352" s="83" t="s">
        <v>3761</v>
      </c>
      <c r="F352" s="83" t="s">
        <v>4199</v>
      </c>
      <c r="G352" s="83" t="s">
        <v>4200</v>
      </c>
      <c r="H352" s="83">
        <v>0</v>
      </c>
      <c r="I352" s="83" t="s">
        <v>3213</v>
      </c>
      <c r="J352" s="83" t="s">
        <v>3413</v>
      </c>
      <c r="K352" s="83" t="s">
        <v>3215</v>
      </c>
    </row>
    <row r="353" spans="1:11" ht="26.25" x14ac:dyDescent="0.25">
      <c r="A353" s="83" t="s">
        <v>2908</v>
      </c>
      <c r="B353" s="83" t="s">
        <v>3208</v>
      </c>
      <c r="C353" s="83" t="s">
        <v>3208</v>
      </c>
      <c r="D353" s="83" t="s">
        <v>3713</v>
      </c>
      <c r="E353" s="83" t="s">
        <v>3761</v>
      </c>
      <c r="F353" s="83" t="s">
        <v>4201</v>
      </c>
      <c r="G353" s="83" t="s">
        <v>4202</v>
      </c>
      <c r="H353" s="83">
        <v>0</v>
      </c>
      <c r="I353" s="83" t="s">
        <v>3213</v>
      </c>
      <c r="J353" s="83" t="s">
        <v>3467</v>
      </c>
      <c r="K353" s="83" t="s">
        <v>3215</v>
      </c>
    </row>
    <row r="354" spans="1:11" ht="26.25" x14ac:dyDescent="0.25">
      <c r="A354" s="83" t="s">
        <v>4203</v>
      </c>
      <c r="B354" s="83" t="s">
        <v>3208</v>
      </c>
      <c r="C354" s="83" t="s">
        <v>3208</v>
      </c>
      <c r="D354" s="83" t="s">
        <v>3713</v>
      </c>
      <c r="E354" s="83" t="s">
        <v>3714</v>
      </c>
      <c r="F354" s="83" t="s">
        <v>4204</v>
      </c>
      <c r="G354" s="83" t="s">
        <v>4205</v>
      </c>
      <c r="H354" s="83">
        <v>0</v>
      </c>
      <c r="I354" s="83" t="s">
        <v>3208</v>
      </c>
      <c r="J354" s="83" t="s">
        <v>3208</v>
      </c>
      <c r="K354" s="83" t="s">
        <v>3208</v>
      </c>
    </row>
    <row r="355" spans="1:11" ht="26.25" x14ac:dyDescent="0.25">
      <c r="A355" s="83" t="s">
        <v>431</v>
      </c>
      <c r="B355" s="83" t="s">
        <v>3208</v>
      </c>
      <c r="C355" s="83" t="s">
        <v>4206</v>
      </c>
      <c r="D355" s="83" t="s">
        <v>3741</v>
      </c>
      <c r="E355" s="83" t="s">
        <v>3727</v>
      </c>
      <c r="F355" s="83" t="s">
        <v>4160</v>
      </c>
      <c r="G355" s="83" t="s">
        <v>4207</v>
      </c>
      <c r="H355" s="83">
        <v>0.56000000000000005</v>
      </c>
      <c r="I355" s="83" t="s">
        <v>3213</v>
      </c>
      <c r="J355" s="83" t="s">
        <v>3467</v>
      </c>
      <c r="K355" s="83" t="s">
        <v>3215</v>
      </c>
    </row>
    <row r="356" spans="1:11" ht="26.25" x14ac:dyDescent="0.25">
      <c r="A356" s="83" t="s">
        <v>1496</v>
      </c>
      <c r="B356" s="83" t="s">
        <v>4208</v>
      </c>
      <c r="C356" s="83" t="s">
        <v>4209</v>
      </c>
      <c r="D356" s="83" t="s">
        <v>3209</v>
      </c>
      <c r="E356" s="83" t="s">
        <v>3246</v>
      </c>
      <c r="F356" s="83" t="s">
        <v>4210</v>
      </c>
      <c r="G356" s="83" t="s">
        <v>4211</v>
      </c>
      <c r="H356" s="83">
        <v>25</v>
      </c>
      <c r="I356" s="83" t="s">
        <v>3229</v>
      </c>
      <c r="J356" s="83" t="s">
        <v>3311</v>
      </c>
      <c r="K356" s="83" t="s">
        <v>3215</v>
      </c>
    </row>
    <row r="357" spans="1:11" ht="26.25" x14ac:dyDescent="0.25">
      <c r="A357" s="83" t="s">
        <v>4212</v>
      </c>
      <c r="B357" s="83" t="s">
        <v>3208</v>
      </c>
      <c r="C357" s="83" t="s">
        <v>3208</v>
      </c>
      <c r="D357" s="83" t="s">
        <v>3713</v>
      </c>
      <c r="E357" s="83" t="s">
        <v>3714</v>
      </c>
      <c r="F357" s="83" t="s">
        <v>4213</v>
      </c>
      <c r="G357" s="83" t="s">
        <v>4214</v>
      </c>
      <c r="H357" s="83">
        <v>0</v>
      </c>
      <c r="I357" s="83" t="s">
        <v>3208</v>
      </c>
      <c r="J357" s="83" t="s">
        <v>3208</v>
      </c>
      <c r="K357" s="83" t="s">
        <v>3208</v>
      </c>
    </row>
    <row r="358" spans="1:11" ht="26.25" x14ac:dyDescent="0.25">
      <c r="A358" s="83" t="s">
        <v>4215</v>
      </c>
      <c r="B358" s="83" t="s">
        <v>3208</v>
      </c>
      <c r="C358" s="83" t="s">
        <v>3208</v>
      </c>
      <c r="D358" s="83" t="s">
        <v>3713</v>
      </c>
      <c r="E358" s="83" t="s">
        <v>3714</v>
      </c>
      <c r="F358" s="83" t="s">
        <v>4213</v>
      </c>
      <c r="G358" s="83" t="s">
        <v>4214</v>
      </c>
      <c r="H358" s="83">
        <v>0</v>
      </c>
      <c r="I358" s="83" t="s">
        <v>3208</v>
      </c>
      <c r="J358" s="83" t="s">
        <v>3208</v>
      </c>
      <c r="K358" s="83" t="s">
        <v>3208</v>
      </c>
    </row>
    <row r="359" spans="1:11" ht="77.25" x14ac:dyDescent="0.25">
      <c r="A359" s="83" t="s">
        <v>2821</v>
      </c>
      <c r="B359" s="83" t="s">
        <v>3208</v>
      </c>
      <c r="C359" s="83" t="s">
        <v>3208</v>
      </c>
      <c r="D359" s="83" t="s">
        <v>3713</v>
      </c>
      <c r="E359" s="83" t="s">
        <v>3761</v>
      </c>
      <c r="F359" s="83" t="s">
        <v>4168</v>
      </c>
      <c r="G359" s="83" t="s">
        <v>4216</v>
      </c>
      <c r="H359" s="83">
        <v>0</v>
      </c>
      <c r="I359" s="83" t="s">
        <v>3213</v>
      </c>
      <c r="J359" s="83" t="s">
        <v>3621</v>
      </c>
      <c r="K359" s="83" t="s">
        <v>3215</v>
      </c>
    </row>
    <row r="360" spans="1:11" ht="26.25" x14ac:dyDescent="0.25">
      <c r="A360" s="83" t="s">
        <v>2814</v>
      </c>
      <c r="B360" s="83" t="s">
        <v>3208</v>
      </c>
      <c r="C360" s="83" t="s">
        <v>3208</v>
      </c>
      <c r="D360" s="83" t="s">
        <v>3713</v>
      </c>
      <c r="E360" s="83" t="s">
        <v>3761</v>
      </c>
      <c r="F360" s="83" t="s">
        <v>4168</v>
      </c>
      <c r="G360" s="83" t="s">
        <v>4217</v>
      </c>
      <c r="H360" s="83">
        <v>0</v>
      </c>
      <c r="I360" s="83" t="s">
        <v>3213</v>
      </c>
      <c r="J360" s="83" t="s">
        <v>3948</v>
      </c>
      <c r="K360" s="83" t="s">
        <v>3215</v>
      </c>
    </row>
    <row r="361" spans="1:11" ht="39" x14ac:dyDescent="0.25">
      <c r="A361" s="83" t="s">
        <v>408</v>
      </c>
      <c r="B361" s="83" t="s">
        <v>3208</v>
      </c>
      <c r="C361" s="83" t="s">
        <v>4218</v>
      </c>
      <c r="D361" s="83" t="s">
        <v>3718</v>
      </c>
      <c r="E361" s="83" t="s">
        <v>3727</v>
      </c>
      <c r="F361" s="83" t="s">
        <v>4219</v>
      </c>
      <c r="G361" s="83" t="s">
        <v>4220</v>
      </c>
      <c r="H361" s="83">
        <v>2</v>
      </c>
      <c r="I361" s="83" t="s">
        <v>3229</v>
      </c>
      <c r="J361" s="83" t="s">
        <v>2706</v>
      </c>
      <c r="K361" s="83" t="s">
        <v>3215</v>
      </c>
    </row>
    <row r="362" spans="1:11" ht="51.75" x14ac:dyDescent="0.25">
      <c r="A362" s="83" t="s">
        <v>2890</v>
      </c>
      <c r="B362" s="83" t="s">
        <v>3208</v>
      </c>
      <c r="C362" s="83" t="s">
        <v>3208</v>
      </c>
      <c r="D362" s="83" t="s">
        <v>3713</v>
      </c>
      <c r="E362" s="83" t="s">
        <v>3761</v>
      </c>
      <c r="F362" s="83" t="s">
        <v>4221</v>
      </c>
      <c r="G362" s="83" t="s">
        <v>3806</v>
      </c>
      <c r="H362" s="83">
        <v>0</v>
      </c>
      <c r="I362" s="83" t="s">
        <v>3229</v>
      </c>
      <c r="J362" s="83" t="s">
        <v>3371</v>
      </c>
      <c r="K362" s="83" t="s">
        <v>3215</v>
      </c>
    </row>
    <row r="363" spans="1:11" x14ac:dyDescent="0.25">
      <c r="A363" s="83" t="s">
        <v>1351</v>
      </c>
      <c r="B363" s="83" t="s">
        <v>4222</v>
      </c>
      <c r="C363" s="83" t="s">
        <v>4223</v>
      </c>
      <c r="D363" s="83" t="s">
        <v>3209</v>
      </c>
      <c r="E363" s="83" t="s">
        <v>3702</v>
      </c>
      <c r="F363" s="83" t="s">
        <v>4224</v>
      </c>
      <c r="G363" s="83" t="s">
        <v>4225</v>
      </c>
      <c r="H363" s="83">
        <v>32</v>
      </c>
      <c r="I363" s="83" t="s">
        <v>3208</v>
      </c>
      <c r="J363" s="83" t="s">
        <v>3208</v>
      </c>
      <c r="K363" s="83" t="s">
        <v>3208</v>
      </c>
    </row>
    <row r="364" spans="1:11" ht="26.25" x14ac:dyDescent="0.25">
      <c r="A364" s="83" t="s">
        <v>4226</v>
      </c>
      <c r="B364" s="83" t="s">
        <v>3208</v>
      </c>
      <c r="C364" s="83" t="s">
        <v>3208</v>
      </c>
      <c r="D364" s="83" t="s">
        <v>3713</v>
      </c>
      <c r="E364" s="83" t="s">
        <v>3714</v>
      </c>
      <c r="F364" s="83" t="s">
        <v>4227</v>
      </c>
      <c r="G364" s="83" t="s">
        <v>4228</v>
      </c>
      <c r="H364" s="83">
        <v>0</v>
      </c>
      <c r="I364" s="83" t="s">
        <v>3208</v>
      </c>
      <c r="J364" s="83" t="s">
        <v>3208</v>
      </c>
      <c r="K364" s="83" t="s">
        <v>3208</v>
      </c>
    </row>
    <row r="365" spans="1:11" ht="51.75" x14ac:dyDescent="0.25">
      <c r="A365" s="83" t="s">
        <v>495</v>
      </c>
      <c r="B365" s="83" t="s">
        <v>4229</v>
      </c>
      <c r="C365" s="83" t="s">
        <v>3208</v>
      </c>
      <c r="D365" s="83" t="s">
        <v>3209</v>
      </c>
      <c r="E365" s="83" t="s">
        <v>3226</v>
      </c>
      <c r="F365" s="83" t="s">
        <v>4230</v>
      </c>
      <c r="G365" s="83" t="s">
        <v>4231</v>
      </c>
      <c r="H365" s="83">
        <v>33.6</v>
      </c>
      <c r="I365" s="83" t="s">
        <v>3229</v>
      </c>
      <c r="J365" s="83" t="s">
        <v>3280</v>
      </c>
      <c r="K365" s="83" t="s">
        <v>3215</v>
      </c>
    </row>
    <row r="366" spans="1:11" ht="51.75" x14ac:dyDescent="0.25">
      <c r="A366" s="83" t="s">
        <v>480</v>
      </c>
      <c r="B366" s="83" t="s">
        <v>4232</v>
      </c>
      <c r="C366" s="83" t="s">
        <v>3208</v>
      </c>
      <c r="D366" s="83" t="s">
        <v>3209</v>
      </c>
      <c r="E366" s="83" t="s">
        <v>3226</v>
      </c>
      <c r="F366" s="83" t="s">
        <v>4230</v>
      </c>
      <c r="G366" s="83" t="s">
        <v>4233</v>
      </c>
      <c r="H366" s="83">
        <v>8.6</v>
      </c>
      <c r="I366" s="83" t="s">
        <v>3229</v>
      </c>
      <c r="J366" s="83" t="s">
        <v>3289</v>
      </c>
      <c r="K366" s="83" t="s">
        <v>3215</v>
      </c>
    </row>
    <row r="367" spans="1:11" ht="26.25" x14ac:dyDescent="0.25">
      <c r="A367" s="83" t="s">
        <v>4234</v>
      </c>
      <c r="B367" s="83" t="s">
        <v>3208</v>
      </c>
      <c r="C367" s="83" t="s">
        <v>3208</v>
      </c>
      <c r="D367" s="83" t="s">
        <v>3713</v>
      </c>
      <c r="E367" s="83" t="s">
        <v>3714</v>
      </c>
      <c r="F367" s="83" t="s">
        <v>4235</v>
      </c>
      <c r="G367" s="83" t="s">
        <v>4236</v>
      </c>
      <c r="H367" s="83">
        <v>0</v>
      </c>
      <c r="I367" s="83" t="s">
        <v>3208</v>
      </c>
      <c r="J367" s="83" t="s">
        <v>3208</v>
      </c>
      <c r="K367" s="83" t="s">
        <v>3208</v>
      </c>
    </row>
    <row r="368" spans="1:11" ht="51.75" x14ac:dyDescent="0.25">
      <c r="A368" s="83" t="s">
        <v>2815</v>
      </c>
      <c r="B368" s="83" t="s">
        <v>3208</v>
      </c>
      <c r="C368" s="83" t="s">
        <v>3208</v>
      </c>
      <c r="D368" s="83" t="s">
        <v>3713</v>
      </c>
      <c r="E368" s="83" t="s">
        <v>3761</v>
      </c>
      <c r="F368" s="83" t="s">
        <v>4168</v>
      </c>
      <c r="G368" s="83" t="s">
        <v>4237</v>
      </c>
      <c r="H368" s="83">
        <v>0</v>
      </c>
      <c r="I368" s="83" t="s">
        <v>3229</v>
      </c>
      <c r="J368" s="83" t="s">
        <v>3332</v>
      </c>
      <c r="K368" s="83" t="s">
        <v>3215</v>
      </c>
    </row>
    <row r="369" spans="1:11" ht="26.25" x14ac:dyDescent="0.25">
      <c r="A369" s="83" t="s">
        <v>4238</v>
      </c>
      <c r="B369" s="83" t="s">
        <v>3208</v>
      </c>
      <c r="C369" s="83" t="s">
        <v>3208</v>
      </c>
      <c r="D369" s="83" t="s">
        <v>3713</v>
      </c>
      <c r="E369" s="83" t="s">
        <v>3714</v>
      </c>
      <c r="F369" s="83" t="s">
        <v>4239</v>
      </c>
      <c r="G369" s="83" t="s">
        <v>4240</v>
      </c>
      <c r="H369" s="83">
        <v>0</v>
      </c>
      <c r="I369" s="83" t="s">
        <v>3208</v>
      </c>
      <c r="J369" s="83" t="s">
        <v>3208</v>
      </c>
      <c r="K369" s="83" t="s">
        <v>3208</v>
      </c>
    </row>
    <row r="370" spans="1:11" ht="26.25" x14ac:dyDescent="0.25">
      <c r="A370" s="83" t="s">
        <v>2485</v>
      </c>
      <c r="B370" s="83" t="s">
        <v>3208</v>
      </c>
      <c r="C370" s="83" t="s">
        <v>3208</v>
      </c>
      <c r="D370" s="83" t="s">
        <v>3713</v>
      </c>
      <c r="E370" s="83" t="s">
        <v>3714</v>
      </c>
      <c r="F370" s="83" t="s">
        <v>4241</v>
      </c>
      <c r="G370" s="83" t="s">
        <v>3392</v>
      </c>
      <c r="H370" s="83">
        <v>0</v>
      </c>
      <c r="I370" s="83" t="s">
        <v>3208</v>
      </c>
      <c r="J370" s="83" t="s">
        <v>3208</v>
      </c>
      <c r="K370" s="83" t="s">
        <v>3208</v>
      </c>
    </row>
    <row r="371" spans="1:11" ht="26.25" x14ac:dyDescent="0.25">
      <c r="A371" s="83" t="s">
        <v>2216</v>
      </c>
      <c r="B371" s="83" t="s">
        <v>3208</v>
      </c>
      <c r="C371" s="83" t="s">
        <v>3208</v>
      </c>
      <c r="D371" s="83" t="s">
        <v>3713</v>
      </c>
      <c r="E371" s="83" t="s">
        <v>3714</v>
      </c>
      <c r="F371" s="83" t="s">
        <v>4242</v>
      </c>
      <c r="G371" s="83" t="s">
        <v>4243</v>
      </c>
      <c r="H371" s="83">
        <v>0</v>
      </c>
      <c r="I371" s="83" t="s">
        <v>3208</v>
      </c>
      <c r="J371" s="83" t="s">
        <v>3208</v>
      </c>
      <c r="K371" s="83" t="s">
        <v>3208</v>
      </c>
    </row>
    <row r="372" spans="1:11" ht="64.5" x14ac:dyDescent="0.25">
      <c r="A372" s="83" t="s">
        <v>4244</v>
      </c>
      <c r="B372" s="83" t="s">
        <v>3208</v>
      </c>
      <c r="C372" s="83" t="s">
        <v>3208</v>
      </c>
      <c r="D372" s="83" t="s">
        <v>3718</v>
      </c>
      <c r="E372" s="83" t="s">
        <v>3210</v>
      </c>
      <c r="F372" s="83" t="s">
        <v>4245</v>
      </c>
      <c r="G372" s="83" t="s">
        <v>4246</v>
      </c>
      <c r="H372" s="83">
        <v>1.79</v>
      </c>
      <c r="I372" s="83" t="s">
        <v>3213</v>
      </c>
      <c r="J372" s="83" t="s">
        <v>3219</v>
      </c>
      <c r="K372" s="83" t="s">
        <v>3215</v>
      </c>
    </row>
    <row r="373" spans="1:11" ht="26.25" x14ac:dyDescent="0.25">
      <c r="A373" s="83" t="s">
        <v>2486</v>
      </c>
      <c r="B373" s="83" t="s">
        <v>3208</v>
      </c>
      <c r="C373" s="83" t="s">
        <v>3208</v>
      </c>
      <c r="D373" s="83" t="s">
        <v>3713</v>
      </c>
      <c r="E373" s="83" t="s">
        <v>3714</v>
      </c>
      <c r="F373" s="83" t="s">
        <v>4241</v>
      </c>
      <c r="G373" s="83" t="s">
        <v>3392</v>
      </c>
      <c r="H373" s="83">
        <v>0</v>
      </c>
      <c r="I373" s="83" t="s">
        <v>3208</v>
      </c>
      <c r="J373" s="83" t="s">
        <v>3208</v>
      </c>
      <c r="K373" s="83" t="s">
        <v>3208</v>
      </c>
    </row>
    <row r="374" spans="1:11" ht="26.25" x14ac:dyDescent="0.25">
      <c r="A374" s="83" t="s">
        <v>2488</v>
      </c>
      <c r="B374" s="83" t="s">
        <v>3208</v>
      </c>
      <c r="C374" s="83" t="s">
        <v>3208</v>
      </c>
      <c r="D374" s="83" t="s">
        <v>3713</v>
      </c>
      <c r="E374" s="83" t="s">
        <v>3714</v>
      </c>
      <c r="F374" s="83" t="s">
        <v>4241</v>
      </c>
      <c r="G374" s="83" t="s">
        <v>3392</v>
      </c>
      <c r="H374" s="83">
        <v>0</v>
      </c>
      <c r="I374" s="83" t="s">
        <v>3208</v>
      </c>
      <c r="J374" s="83" t="s">
        <v>3208</v>
      </c>
      <c r="K374" s="83" t="s">
        <v>3208</v>
      </c>
    </row>
    <row r="375" spans="1:11" ht="26.25" x14ac:dyDescent="0.25">
      <c r="A375" s="83" t="s">
        <v>2221</v>
      </c>
      <c r="B375" s="83" t="s">
        <v>3208</v>
      </c>
      <c r="C375" s="83" t="s">
        <v>3208</v>
      </c>
      <c r="D375" s="83" t="s">
        <v>3713</v>
      </c>
      <c r="E375" s="83" t="s">
        <v>3714</v>
      </c>
      <c r="F375" s="83" t="s">
        <v>4242</v>
      </c>
      <c r="G375" s="83" t="s">
        <v>4243</v>
      </c>
      <c r="H375" s="83">
        <v>0</v>
      </c>
      <c r="I375" s="83" t="s">
        <v>3208</v>
      </c>
      <c r="J375" s="83" t="s">
        <v>3208</v>
      </c>
      <c r="K375" s="83" t="s">
        <v>3208</v>
      </c>
    </row>
    <row r="376" spans="1:11" ht="26.25" x14ac:dyDescent="0.25">
      <c r="A376" s="83" t="s">
        <v>4247</v>
      </c>
      <c r="B376" s="83" t="s">
        <v>3208</v>
      </c>
      <c r="C376" s="83" t="s">
        <v>3208</v>
      </c>
      <c r="D376" s="83" t="s">
        <v>4157</v>
      </c>
      <c r="E376" s="83" t="s">
        <v>4248</v>
      </c>
      <c r="F376" s="83" t="s">
        <v>4245</v>
      </c>
      <c r="G376" s="83" t="s">
        <v>4249</v>
      </c>
      <c r="H376" s="83">
        <v>0.16</v>
      </c>
      <c r="I376" s="83" t="s">
        <v>3208</v>
      </c>
      <c r="J376" s="83" t="s">
        <v>3208</v>
      </c>
      <c r="K376" s="83" t="s">
        <v>3208</v>
      </c>
    </row>
    <row r="377" spans="1:11" ht="26.25" x14ac:dyDescent="0.25">
      <c r="A377" s="83" t="s">
        <v>2452</v>
      </c>
      <c r="B377" s="83" t="s">
        <v>3208</v>
      </c>
      <c r="C377" s="83" t="s">
        <v>3208</v>
      </c>
      <c r="D377" s="83" t="s">
        <v>3713</v>
      </c>
      <c r="E377" s="83" t="s">
        <v>3714</v>
      </c>
      <c r="F377" s="83" t="s">
        <v>4245</v>
      </c>
      <c r="G377" s="83" t="s">
        <v>4250</v>
      </c>
      <c r="H377" s="83">
        <v>0</v>
      </c>
      <c r="I377" s="83" t="s">
        <v>3208</v>
      </c>
      <c r="J377" s="83" t="s">
        <v>3208</v>
      </c>
      <c r="K377" s="83" t="s">
        <v>3208</v>
      </c>
    </row>
    <row r="378" spans="1:11" ht="26.25" x14ac:dyDescent="0.25">
      <c r="A378" s="83" t="s">
        <v>2124</v>
      </c>
      <c r="B378" s="83" t="s">
        <v>3208</v>
      </c>
      <c r="C378" s="83" t="s">
        <v>3208</v>
      </c>
      <c r="D378" s="83" t="s">
        <v>3713</v>
      </c>
      <c r="E378" s="83" t="s">
        <v>3714</v>
      </c>
      <c r="F378" s="83" t="s">
        <v>4251</v>
      </c>
      <c r="G378" s="83" t="s">
        <v>3417</v>
      </c>
      <c r="H378" s="83">
        <v>0</v>
      </c>
      <c r="I378" s="83" t="s">
        <v>3208</v>
      </c>
      <c r="J378" s="83" t="s">
        <v>3208</v>
      </c>
      <c r="K378" s="83" t="s">
        <v>3208</v>
      </c>
    </row>
    <row r="379" spans="1:11" ht="51.75" x14ac:dyDescent="0.25">
      <c r="A379" s="83" t="s">
        <v>536</v>
      </c>
      <c r="B379" s="83" t="s">
        <v>3208</v>
      </c>
      <c r="C379" s="83" t="s">
        <v>3208</v>
      </c>
      <c r="D379" s="83" t="s">
        <v>3209</v>
      </c>
      <c r="E379" s="83" t="s">
        <v>3210</v>
      </c>
      <c r="F379" s="83" t="s">
        <v>4252</v>
      </c>
      <c r="G379" s="83" t="s">
        <v>3375</v>
      </c>
      <c r="H379" s="83">
        <v>22</v>
      </c>
      <c r="I379" s="83" t="s">
        <v>3229</v>
      </c>
      <c r="J379" s="83" t="s">
        <v>3280</v>
      </c>
      <c r="K379" s="83" t="s">
        <v>3215</v>
      </c>
    </row>
    <row r="380" spans="1:11" ht="64.5" x14ac:dyDescent="0.25">
      <c r="A380" s="83" t="s">
        <v>697</v>
      </c>
      <c r="B380" s="83" t="s">
        <v>3208</v>
      </c>
      <c r="C380" s="83" t="s">
        <v>3208</v>
      </c>
      <c r="D380" s="83" t="s">
        <v>3752</v>
      </c>
      <c r="E380" s="83" t="s">
        <v>3210</v>
      </c>
      <c r="F380" s="83" t="s">
        <v>4253</v>
      </c>
      <c r="G380" s="83" t="s">
        <v>4254</v>
      </c>
      <c r="H380" s="83">
        <v>1.4</v>
      </c>
      <c r="I380" s="83" t="s">
        <v>3213</v>
      </c>
      <c r="J380" s="83" t="s">
        <v>3601</v>
      </c>
      <c r="K380" s="83" t="s">
        <v>3215</v>
      </c>
    </row>
    <row r="381" spans="1:11" ht="51.75" x14ac:dyDescent="0.25">
      <c r="A381" s="83" t="s">
        <v>703</v>
      </c>
      <c r="B381" s="83" t="s">
        <v>3208</v>
      </c>
      <c r="C381" s="83" t="s">
        <v>3208</v>
      </c>
      <c r="D381" s="83" t="s">
        <v>3209</v>
      </c>
      <c r="E381" s="83" t="s">
        <v>3210</v>
      </c>
      <c r="F381" s="83" t="s">
        <v>4255</v>
      </c>
      <c r="G381" s="83" t="s">
        <v>3838</v>
      </c>
      <c r="H381" s="83">
        <v>40</v>
      </c>
      <c r="I381" s="83" t="s">
        <v>3213</v>
      </c>
      <c r="J381" s="83" t="s">
        <v>3214</v>
      </c>
      <c r="K381" s="83" t="s">
        <v>3215</v>
      </c>
    </row>
    <row r="382" spans="1:11" ht="26.25" x14ac:dyDescent="0.25">
      <c r="A382" s="83" t="s">
        <v>602</v>
      </c>
      <c r="B382" s="83" t="s">
        <v>3208</v>
      </c>
      <c r="C382" s="83" t="s">
        <v>3208</v>
      </c>
      <c r="D382" s="83" t="s">
        <v>3209</v>
      </c>
      <c r="E382" s="83" t="s">
        <v>3210</v>
      </c>
      <c r="F382" s="83" t="s">
        <v>4256</v>
      </c>
      <c r="G382" s="83" t="s">
        <v>3900</v>
      </c>
      <c r="H382" s="83">
        <v>136</v>
      </c>
      <c r="I382" s="83" t="s">
        <v>3213</v>
      </c>
      <c r="J382" s="83" t="s">
        <v>3467</v>
      </c>
      <c r="K382" s="83" t="s">
        <v>3215</v>
      </c>
    </row>
    <row r="383" spans="1:11" ht="51.75" x14ac:dyDescent="0.25">
      <c r="A383" s="83" t="s">
        <v>716</v>
      </c>
      <c r="B383" s="83" t="s">
        <v>4257</v>
      </c>
      <c r="C383" s="83" t="s">
        <v>3208</v>
      </c>
      <c r="D383" s="83" t="s">
        <v>3209</v>
      </c>
      <c r="E383" s="83" t="s">
        <v>3226</v>
      </c>
      <c r="F383" s="83" t="s">
        <v>4258</v>
      </c>
      <c r="G383" s="83" t="s">
        <v>4259</v>
      </c>
      <c r="H383" s="83">
        <v>200</v>
      </c>
      <c r="I383" s="83" t="s">
        <v>3229</v>
      </c>
      <c r="J383" s="83" t="s">
        <v>3230</v>
      </c>
      <c r="K383" s="83" t="s">
        <v>3215</v>
      </c>
    </row>
    <row r="384" spans="1:11" ht="64.5" x14ac:dyDescent="0.25">
      <c r="A384" s="83" t="s">
        <v>920</v>
      </c>
      <c r="B384" s="83" t="s">
        <v>4260</v>
      </c>
      <c r="C384" s="83" t="s">
        <v>3208</v>
      </c>
      <c r="D384" s="83" t="s">
        <v>3209</v>
      </c>
      <c r="E384" s="83" t="s">
        <v>3226</v>
      </c>
      <c r="F384" s="83" t="s">
        <v>4261</v>
      </c>
      <c r="G384" s="83" t="s">
        <v>4262</v>
      </c>
      <c r="H384" s="83">
        <v>70</v>
      </c>
      <c r="I384" s="83" t="s">
        <v>3229</v>
      </c>
      <c r="J384" s="83" t="s">
        <v>3380</v>
      </c>
      <c r="K384" s="83" t="s">
        <v>3215</v>
      </c>
    </row>
    <row r="385" spans="1:11" ht="51.75" x14ac:dyDescent="0.25">
      <c r="A385" s="83" t="s">
        <v>924</v>
      </c>
      <c r="B385" s="83" t="s">
        <v>4263</v>
      </c>
      <c r="C385" s="83" t="s">
        <v>3208</v>
      </c>
      <c r="D385" s="83" t="s">
        <v>3209</v>
      </c>
      <c r="E385" s="83" t="s">
        <v>3226</v>
      </c>
      <c r="F385" s="83" t="s">
        <v>3232</v>
      </c>
      <c r="G385" s="83" t="s">
        <v>4259</v>
      </c>
      <c r="H385" s="83">
        <v>399</v>
      </c>
      <c r="I385" s="83" t="s">
        <v>3229</v>
      </c>
      <c r="J385" s="83" t="s">
        <v>3230</v>
      </c>
      <c r="K385" s="83" t="s">
        <v>3215</v>
      </c>
    </row>
    <row r="386" spans="1:11" ht="51.75" x14ac:dyDescent="0.25">
      <c r="A386" s="83" t="s">
        <v>1146</v>
      </c>
      <c r="B386" s="83" t="s">
        <v>4264</v>
      </c>
      <c r="C386" s="83" t="s">
        <v>3208</v>
      </c>
      <c r="D386" s="83" t="s">
        <v>3209</v>
      </c>
      <c r="E386" s="83" t="s">
        <v>3226</v>
      </c>
      <c r="F386" s="83" t="s">
        <v>4265</v>
      </c>
      <c r="G386" s="83" t="s">
        <v>4266</v>
      </c>
      <c r="H386" s="83">
        <v>50</v>
      </c>
      <c r="I386" s="83" t="s">
        <v>3229</v>
      </c>
      <c r="J386" s="83" t="s">
        <v>3289</v>
      </c>
      <c r="K386" s="83" t="s">
        <v>3215</v>
      </c>
    </row>
    <row r="387" spans="1:11" ht="51.75" x14ac:dyDescent="0.25">
      <c r="A387" s="83" t="s">
        <v>1048</v>
      </c>
      <c r="B387" s="83" t="s">
        <v>4267</v>
      </c>
      <c r="C387" s="83" t="s">
        <v>3208</v>
      </c>
      <c r="D387" s="83" t="s">
        <v>3209</v>
      </c>
      <c r="E387" s="83" t="s">
        <v>3226</v>
      </c>
      <c r="F387" s="83" t="s">
        <v>3591</v>
      </c>
      <c r="G387" s="83" t="s">
        <v>3592</v>
      </c>
      <c r="H387" s="83">
        <v>50</v>
      </c>
      <c r="I387" s="83" t="s">
        <v>3229</v>
      </c>
      <c r="J387" s="83" t="s">
        <v>3289</v>
      </c>
      <c r="K387" s="83" t="s">
        <v>3215</v>
      </c>
    </row>
    <row r="388" spans="1:11" ht="51.75" x14ac:dyDescent="0.25">
      <c r="A388" s="83" t="s">
        <v>1075</v>
      </c>
      <c r="B388" s="83" t="s">
        <v>4268</v>
      </c>
      <c r="C388" s="83" t="s">
        <v>3208</v>
      </c>
      <c r="D388" s="83" t="s">
        <v>3209</v>
      </c>
      <c r="E388" s="83" t="s">
        <v>3226</v>
      </c>
      <c r="F388" s="83" t="s">
        <v>4269</v>
      </c>
      <c r="G388" s="83" t="s">
        <v>4270</v>
      </c>
      <c r="H388" s="83">
        <v>41.8</v>
      </c>
      <c r="I388" s="83" t="s">
        <v>3229</v>
      </c>
      <c r="J388" s="83" t="s">
        <v>3371</v>
      </c>
      <c r="K388" s="83" t="s">
        <v>3215</v>
      </c>
    </row>
    <row r="389" spans="1:11" ht="51.75" x14ac:dyDescent="0.25">
      <c r="A389" s="83" t="s">
        <v>997</v>
      </c>
      <c r="B389" s="83" t="s">
        <v>4271</v>
      </c>
      <c r="C389" s="83" t="s">
        <v>3208</v>
      </c>
      <c r="D389" s="83" t="s">
        <v>3209</v>
      </c>
      <c r="E389" s="83" t="s">
        <v>3226</v>
      </c>
      <c r="F389" s="83" t="s">
        <v>4272</v>
      </c>
      <c r="G389" s="83" t="s">
        <v>4273</v>
      </c>
      <c r="H389" s="83">
        <v>100</v>
      </c>
      <c r="I389" s="83" t="s">
        <v>3229</v>
      </c>
      <c r="J389" s="83" t="s">
        <v>3230</v>
      </c>
      <c r="K389" s="83" t="s">
        <v>3215</v>
      </c>
    </row>
    <row r="390" spans="1:11" ht="26.25" x14ac:dyDescent="0.25">
      <c r="A390" s="83" t="s">
        <v>807</v>
      </c>
      <c r="B390" s="83" t="s">
        <v>4274</v>
      </c>
      <c r="C390" s="83" t="s">
        <v>3208</v>
      </c>
      <c r="D390" s="83" t="s">
        <v>3209</v>
      </c>
      <c r="E390" s="83" t="s">
        <v>3226</v>
      </c>
      <c r="F390" s="83" t="s">
        <v>4275</v>
      </c>
      <c r="G390" s="83" t="s">
        <v>3913</v>
      </c>
      <c r="H390" s="83">
        <v>35</v>
      </c>
      <c r="I390" s="83" t="s">
        <v>3229</v>
      </c>
      <c r="J390" s="83" t="s">
        <v>3311</v>
      </c>
      <c r="K390" s="83" t="s">
        <v>3215</v>
      </c>
    </row>
    <row r="391" spans="1:11" ht="39" x14ac:dyDescent="0.25">
      <c r="A391" s="83" t="s">
        <v>63</v>
      </c>
      <c r="B391" s="83" t="s">
        <v>4276</v>
      </c>
      <c r="C391" s="83" t="s">
        <v>3208</v>
      </c>
      <c r="D391" s="83" t="s">
        <v>3209</v>
      </c>
      <c r="E391" s="83" t="s">
        <v>3226</v>
      </c>
      <c r="F391" s="83" t="s">
        <v>4277</v>
      </c>
      <c r="G391" s="83" t="s">
        <v>3237</v>
      </c>
      <c r="H391" s="83">
        <v>400</v>
      </c>
      <c r="I391" s="83" t="s">
        <v>3229</v>
      </c>
      <c r="J391" s="83" t="s">
        <v>3241</v>
      </c>
      <c r="K391" s="83" t="s">
        <v>3215</v>
      </c>
    </row>
    <row r="392" spans="1:11" ht="39" x14ac:dyDescent="0.25">
      <c r="A392" s="83" t="s">
        <v>788</v>
      </c>
      <c r="B392" s="83" t="s">
        <v>4278</v>
      </c>
      <c r="C392" s="83" t="s">
        <v>3208</v>
      </c>
      <c r="D392" s="83" t="s">
        <v>3209</v>
      </c>
      <c r="E392" s="83" t="s">
        <v>3226</v>
      </c>
      <c r="F392" s="83" t="s">
        <v>4279</v>
      </c>
      <c r="G392" s="83" t="s">
        <v>4280</v>
      </c>
      <c r="H392" s="83">
        <v>18</v>
      </c>
      <c r="I392" s="83" t="s">
        <v>3229</v>
      </c>
      <c r="J392" s="83" t="s">
        <v>356</v>
      </c>
      <c r="K392" s="83" t="s">
        <v>3215</v>
      </c>
    </row>
    <row r="393" spans="1:11" ht="39" x14ac:dyDescent="0.25">
      <c r="A393" s="83" t="s">
        <v>760</v>
      </c>
      <c r="B393" s="83" t="s">
        <v>4281</v>
      </c>
      <c r="C393" s="83" t="s">
        <v>3208</v>
      </c>
      <c r="D393" s="83" t="s">
        <v>3209</v>
      </c>
      <c r="E393" s="83" t="s">
        <v>3226</v>
      </c>
      <c r="F393" s="83" t="s">
        <v>4282</v>
      </c>
      <c r="G393" s="83" t="s">
        <v>3237</v>
      </c>
      <c r="H393" s="83">
        <v>200</v>
      </c>
      <c r="I393" s="83" t="s">
        <v>3229</v>
      </c>
      <c r="J393" s="83" t="s">
        <v>3241</v>
      </c>
      <c r="K393" s="83" t="s">
        <v>3215</v>
      </c>
    </row>
    <row r="394" spans="1:11" ht="51.75" x14ac:dyDescent="0.25">
      <c r="A394" s="83" t="s">
        <v>1739</v>
      </c>
      <c r="B394" s="83" t="s">
        <v>4283</v>
      </c>
      <c r="C394" s="83" t="s">
        <v>4284</v>
      </c>
      <c r="D394" s="83" t="s">
        <v>3209</v>
      </c>
      <c r="E394" s="83" t="s">
        <v>3246</v>
      </c>
      <c r="F394" s="83" t="s">
        <v>4285</v>
      </c>
      <c r="G394" s="83" t="s">
        <v>3355</v>
      </c>
      <c r="H394" s="83">
        <v>183.5</v>
      </c>
      <c r="I394" s="83" t="s">
        <v>3229</v>
      </c>
      <c r="J394" s="83" t="s">
        <v>3289</v>
      </c>
      <c r="K394" s="83" t="s">
        <v>3215</v>
      </c>
    </row>
    <row r="395" spans="1:11" ht="51.75" x14ac:dyDescent="0.25">
      <c r="A395" s="83" t="s">
        <v>1737</v>
      </c>
      <c r="B395" s="83" t="s">
        <v>4286</v>
      </c>
      <c r="C395" s="83" t="s">
        <v>4287</v>
      </c>
      <c r="D395" s="83" t="s">
        <v>3209</v>
      </c>
      <c r="E395" s="83" t="s">
        <v>3246</v>
      </c>
      <c r="F395" s="83" t="s">
        <v>4288</v>
      </c>
      <c r="G395" s="83" t="s">
        <v>4289</v>
      </c>
      <c r="H395" s="83">
        <v>0.1</v>
      </c>
      <c r="I395" s="83" t="s">
        <v>3229</v>
      </c>
      <c r="J395" s="83" t="s">
        <v>3332</v>
      </c>
      <c r="K395" s="83" t="s">
        <v>3215</v>
      </c>
    </row>
    <row r="396" spans="1:11" ht="26.25" x14ac:dyDescent="0.25">
      <c r="A396" s="83" t="s">
        <v>851</v>
      </c>
      <c r="B396" s="83" t="s">
        <v>4290</v>
      </c>
      <c r="C396" s="83" t="s">
        <v>3208</v>
      </c>
      <c r="D396" s="83" t="s">
        <v>3209</v>
      </c>
      <c r="E396" s="83" t="s">
        <v>3226</v>
      </c>
      <c r="F396" s="83" t="s">
        <v>3652</v>
      </c>
      <c r="G396" s="83" t="s">
        <v>4291</v>
      </c>
      <c r="H396" s="83">
        <v>4</v>
      </c>
      <c r="I396" s="83" t="s">
        <v>3213</v>
      </c>
      <c r="J396" s="83" t="s">
        <v>3467</v>
      </c>
      <c r="K396" s="83" t="s">
        <v>3215</v>
      </c>
    </row>
    <row r="397" spans="1:11" ht="51.75" x14ac:dyDescent="0.25">
      <c r="A397" s="83" t="s">
        <v>839</v>
      </c>
      <c r="B397" s="83" t="s">
        <v>4292</v>
      </c>
      <c r="C397" s="83" t="s">
        <v>3208</v>
      </c>
      <c r="D397" s="83" t="s">
        <v>3209</v>
      </c>
      <c r="E397" s="83" t="s">
        <v>3226</v>
      </c>
      <c r="F397" s="83" t="s">
        <v>4293</v>
      </c>
      <c r="G397" s="83" t="s">
        <v>4294</v>
      </c>
      <c r="H397" s="83">
        <v>108.6</v>
      </c>
      <c r="I397" s="83" t="s">
        <v>3229</v>
      </c>
      <c r="J397" s="83" t="s">
        <v>3332</v>
      </c>
      <c r="K397" s="83" t="s">
        <v>3215</v>
      </c>
    </row>
    <row r="398" spans="1:11" ht="51.75" x14ac:dyDescent="0.25">
      <c r="A398" s="83" t="s">
        <v>110</v>
      </c>
      <c r="B398" s="83" t="s">
        <v>4295</v>
      </c>
      <c r="C398" s="83" t="s">
        <v>4296</v>
      </c>
      <c r="D398" s="83" t="s">
        <v>3209</v>
      </c>
      <c r="E398" s="83" t="s">
        <v>3246</v>
      </c>
      <c r="F398" s="83" t="s">
        <v>4297</v>
      </c>
      <c r="G398" s="83" t="s">
        <v>4298</v>
      </c>
      <c r="H398" s="83">
        <v>36.5</v>
      </c>
      <c r="I398" s="83" t="s">
        <v>3213</v>
      </c>
      <c r="J398" s="83" t="s">
        <v>3271</v>
      </c>
      <c r="K398" s="83" t="s">
        <v>3215</v>
      </c>
    </row>
    <row r="399" spans="1:11" ht="51.75" x14ac:dyDescent="0.25">
      <c r="A399" s="83" t="s">
        <v>1464</v>
      </c>
      <c r="B399" s="83" t="s">
        <v>4299</v>
      </c>
      <c r="C399" s="83" t="s">
        <v>4300</v>
      </c>
      <c r="D399" s="83" t="s">
        <v>3209</v>
      </c>
      <c r="E399" s="83" t="s">
        <v>3246</v>
      </c>
      <c r="F399" s="83" t="s">
        <v>4301</v>
      </c>
      <c r="G399" s="83" t="s">
        <v>4302</v>
      </c>
      <c r="H399" s="83">
        <v>65</v>
      </c>
      <c r="I399" s="83" t="s">
        <v>3229</v>
      </c>
      <c r="J399" s="83" t="s">
        <v>3280</v>
      </c>
      <c r="K399" s="83" t="s">
        <v>3215</v>
      </c>
    </row>
    <row r="400" spans="1:11" ht="102.75" x14ac:dyDescent="0.25">
      <c r="A400" s="83" t="s">
        <v>1465</v>
      </c>
      <c r="B400" s="83" t="s">
        <v>4303</v>
      </c>
      <c r="C400" s="83" t="s">
        <v>4304</v>
      </c>
      <c r="D400" s="83" t="s">
        <v>3209</v>
      </c>
      <c r="E400" s="83" t="s">
        <v>3246</v>
      </c>
      <c r="F400" s="83" t="s">
        <v>4305</v>
      </c>
      <c r="G400" s="83" t="s">
        <v>3392</v>
      </c>
      <c r="H400" s="83">
        <v>410</v>
      </c>
      <c r="I400" s="83" t="s">
        <v>3229</v>
      </c>
      <c r="J400" s="83" t="s">
        <v>4306</v>
      </c>
      <c r="K400" s="83" t="s">
        <v>3215</v>
      </c>
    </row>
    <row r="401" spans="1:11" ht="51.75" x14ac:dyDescent="0.25">
      <c r="A401" s="83" t="s">
        <v>1537</v>
      </c>
      <c r="B401" s="83" t="s">
        <v>4307</v>
      </c>
      <c r="C401" s="83" t="s">
        <v>4308</v>
      </c>
      <c r="D401" s="83" t="s">
        <v>3209</v>
      </c>
      <c r="E401" s="83" t="s">
        <v>3246</v>
      </c>
      <c r="F401" s="83" t="s">
        <v>4309</v>
      </c>
      <c r="G401" s="83" t="s">
        <v>4310</v>
      </c>
      <c r="H401" s="83">
        <v>82</v>
      </c>
      <c r="I401" s="83" t="s">
        <v>3229</v>
      </c>
      <c r="J401" s="83" t="s">
        <v>3337</v>
      </c>
      <c r="K401" s="83" t="s">
        <v>3215</v>
      </c>
    </row>
    <row r="402" spans="1:11" ht="51.75" x14ac:dyDescent="0.25">
      <c r="A402" s="83" t="s">
        <v>1541</v>
      </c>
      <c r="B402" s="83" t="s">
        <v>4311</v>
      </c>
      <c r="C402" s="83" t="s">
        <v>4312</v>
      </c>
      <c r="D402" s="83" t="s">
        <v>3209</v>
      </c>
      <c r="E402" s="83" t="s">
        <v>3246</v>
      </c>
      <c r="F402" s="83" t="s">
        <v>4313</v>
      </c>
      <c r="G402" s="83" t="s">
        <v>4314</v>
      </c>
      <c r="H402" s="83">
        <v>15</v>
      </c>
      <c r="I402" s="83" t="s">
        <v>3229</v>
      </c>
      <c r="J402" s="83" t="s">
        <v>3280</v>
      </c>
      <c r="K402" s="83" t="s">
        <v>3215</v>
      </c>
    </row>
    <row r="403" spans="1:11" ht="51.75" x14ac:dyDescent="0.25">
      <c r="A403" s="83" t="s">
        <v>1506</v>
      </c>
      <c r="B403" s="83" t="s">
        <v>4315</v>
      </c>
      <c r="C403" s="83" t="s">
        <v>4316</v>
      </c>
      <c r="D403" s="83" t="s">
        <v>3209</v>
      </c>
      <c r="E403" s="83" t="s">
        <v>3246</v>
      </c>
      <c r="F403" s="83" t="s">
        <v>4317</v>
      </c>
      <c r="G403" s="83" t="s">
        <v>4318</v>
      </c>
      <c r="H403" s="83">
        <v>30</v>
      </c>
      <c r="I403" s="83" t="s">
        <v>3213</v>
      </c>
      <c r="J403" s="83" t="s">
        <v>3538</v>
      </c>
      <c r="K403" s="83" t="s">
        <v>3215</v>
      </c>
    </row>
    <row r="404" spans="1:11" ht="51.75" x14ac:dyDescent="0.25">
      <c r="A404" s="83" t="s">
        <v>1507</v>
      </c>
      <c r="B404" s="83" t="s">
        <v>4319</v>
      </c>
      <c r="C404" s="83" t="s">
        <v>4320</v>
      </c>
      <c r="D404" s="83" t="s">
        <v>3209</v>
      </c>
      <c r="E404" s="83" t="s">
        <v>3246</v>
      </c>
      <c r="F404" s="83" t="s">
        <v>4321</v>
      </c>
      <c r="G404" s="83" t="s">
        <v>4322</v>
      </c>
      <c r="H404" s="83">
        <v>93</v>
      </c>
      <c r="I404" s="83" t="s">
        <v>3213</v>
      </c>
      <c r="J404" s="83" t="s">
        <v>3214</v>
      </c>
      <c r="K404" s="83" t="s">
        <v>3215</v>
      </c>
    </row>
    <row r="405" spans="1:11" ht="51.75" x14ac:dyDescent="0.25">
      <c r="A405" s="83" t="s">
        <v>112</v>
      </c>
      <c r="B405" s="83" t="s">
        <v>4323</v>
      </c>
      <c r="C405" s="83" t="s">
        <v>4324</v>
      </c>
      <c r="D405" s="83" t="s">
        <v>3209</v>
      </c>
      <c r="E405" s="83" t="s">
        <v>3246</v>
      </c>
      <c r="F405" s="83" t="s">
        <v>4325</v>
      </c>
      <c r="G405" s="83" t="s">
        <v>4298</v>
      </c>
      <c r="H405" s="83">
        <v>455.2</v>
      </c>
      <c r="I405" s="83" t="s">
        <v>3213</v>
      </c>
      <c r="J405" s="83" t="s">
        <v>3271</v>
      </c>
      <c r="K405" s="83" t="s">
        <v>3215</v>
      </c>
    </row>
    <row r="406" spans="1:11" ht="51.75" x14ac:dyDescent="0.25">
      <c r="A406" s="83" t="s">
        <v>1683</v>
      </c>
      <c r="B406" s="83" t="s">
        <v>4326</v>
      </c>
      <c r="C406" s="83" t="s">
        <v>4327</v>
      </c>
      <c r="D406" s="83" t="s">
        <v>3209</v>
      </c>
      <c r="E406" s="83" t="s">
        <v>3246</v>
      </c>
      <c r="F406" s="83" t="s">
        <v>4328</v>
      </c>
      <c r="G406" s="83" t="s">
        <v>4329</v>
      </c>
      <c r="H406" s="83">
        <v>120</v>
      </c>
      <c r="I406" s="83" t="s">
        <v>3213</v>
      </c>
      <c r="J406" s="83" t="s">
        <v>3214</v>
      </c>
      <c r="K406" s="83" t="s">
        <v>3215</v>
      </c>
    </row>
    <row r="407" spans="1:11" ht="51.75" x14ac:dyDescent="0.25">
      <c r="A407" s="83" t="s">
        <v>1695</v>
      </c>
      <c r="B407" s="83" t="s">
        <v>4330</v>
      </c>
      <c r="C407" s="83" t="s">
        <v>4331</v>
      </c>
      <c r="D407" s="83" t="s">
        <v>3209</v>
      </c>
      <c r="E407" s="83" t="s">
        <v>3246</v>
      </c>
      <c r="F407" s="83" t="s">
        <v>4332</v>
      </c>
      <c r="G407" s="83" t="s">
        <v>3806</v>
      </c>
      <c r="H407" s="83">
        <v>13</v>
      </c>
      <c r="I407" s="83" t="s">
        <v>3229</v>
      </c>
      <c r="J407" s="83" t="s">
        <v>3371</v>
      </c>
      <c r="K407" s="83" t="s">
        <v>3215</v>
      </c>
    </row>
    <row r="408" spans="1:11" ht="51.75" x14ac:dyDescent="0.25">
      <c r="A408" s="83" t="s">
        <v>69</v>
      </c>
      <c r="B408" s="83" t="s">
        <v>4333</v>
      </c>
      <c r="C408" s="83" t="s">
        <v>4334</v>
      </c>
      <c r="D408" s="83" t="s">
        <v>3209</v>
      </c>
      <c r="E408" s="83" t="s">
        <v>3246</v>
      </c>
      <c r="F408" s="83" t="s">
        <v>4335</v>
      </c>
      <c r="G408" s="83" t="s">
        <v>3370</v>
      </c>
      <c r="H408" s="83">
        <v>20.5</v>
      </c>
      <c r="I408" s="83" t="s">
        <v>3229</v>
      </c>
      <c r="J408" s="83" t="s">
        <v>3371</v>
      </c>
      <c r="K408" s="83" t="s">
        <v>3215</v>
      </c>
    </row>
    <row r="409" spans="1:11" ht="51.75" x14ac:dyDescent="0.25">
      <c r="A409" s="83" t="s">
        <v>1702</v>
      </c>
      <c r="B409" s="83" t="s">
        <v>4336</v>
      </c>
      <c r="C409" s="83" t="s">
        <v>4337</v>
      </c>
      <c r="D409" s="83" t="s">
        <v>3209</v>
      </c>
      <c r="E409" s="83" t="s">
        <v>3246</v>
      </c>
      <c r="F409" s="83" t="s">
        <v>4338</v>
      </c>
      <c r="G409" s="83" t="s">
        <v>4339</v>
      </c>
      <c r="H409" s="83">
        <v>170.6</v>
      </c>
      <c r="I409" s="83" t="s">
        <v>3213</v>
      </c>
      <c r="J409" s="83" t="s">
        <v>3257</v>
      </c>
      <c r="K409" s="83" t="s">
        <v>3215</v>
      </c>
    </row>
    <row r="410" spans="1:11" ht="51.75" x14ac:dyDescent="0.25">
      <c r="A410" s="83" t="s">
        <v>45</v>
      </c>
      <c r="B410" s="83" t="s">
        <v>4340</v>
      </c>
      <c r="C410" s="83" t="s">
        <v>4341</v>
      </c>
      <c r="D410" s="83" t="s">
        <v>3209</v>
      </c>
      <c r="E410" s="83" t="s">
        <v>3246</v>
      </c>
      <c r="F410" s="83" t="s">
        <v>4342</v>
      </c>
      <c r="G410" s="83" t="s">
        <v>3375</v>
      </c>
      <c r="H410" s="83">
        <v>218.7</v>
      </c>
      <c r="I410" s="83" t="s">
        <v>3229</v>
      </c>
      <c r="J410" s="83" t="s">
        <v>3289</v>
      </c>
      <c r="K410" s="83" t="s">
        <v>3215</v>
      </c>
    </row>
    <row r="411" spans="1:11" ht="51.75" x14ac:dyDescent="0.25">
      <c r="A411" s="83" t="s">
        <v>1628</v>
      </c>
      <c r="B411" s="83" t="s">
        <v>4343</v>
      </c>
      <c r="C411" s="83" t="s">
        <v>4344</v>
      </c>
      <c r="D411" s="83" t="s">
        <v>3209</v>
      </c>
      <c r="E411" s="83" t="s">
        <v>3246</v>
      </c>
      <c r="F411" s="83" t="s">
        <v>3305</v>
      </c>
      <c r="G411" s="83" t="s">
        <v>3431</v>
      </c>
      <c r="H411" s="83">
        <v>344.9</v>
      </c>
      <c r="I411" s="83" t="s">
        <v>3213</v>
      </c>
      <c r="J411" s="83" t="s">
        <v>3257</v>
      </c>
      <c r="K411" s="83" t="s">
        <v>3215</v>
      </c>
    </row>
    <row r="412" spans="1:11" ht="64.5" x14ac:dyDescent="0.25">
      <c r="A412" s="83" t="s">
        <v>1637</v>
      </c>
      <c r="B412" s="83" t="s">
        <v>4345</v>
      </c>
      <c r="C412" s="83" t="s">
        <v>4346</v>
      </c>
      <c r="D412" s="83" t="s">
        <v>3209</v>
      </c>
      <c r="E412" s="83" t="s">
        <v>3246</v>
      </c>
      <c r="F412" s="83" t="s">
        <v>4347</v>
      </c>
      <c r="G412" s="83" t="s">
        <v>4348</v>
      </c>
      <c r="H412" s="83">
        <v>10.7</v>
      </c>
      <c r="I412" s="83" t="s">
        <v>3213</v>
      </c>
      <c r="J412" s="83" t="s">
        <v>3262</v>
      </c>
      <c r="K412" s="83" t="s">
        <v>3215</v>
      </c>
    </row>
    <row r="413" spans="1:11" ht="39" x14ac:dyDescent="0.25">
      <c r="A413" s="83" t="s">
        <v>1727</v>
      </c>
      <c r="B413" s="83" t="s">
        <v>4349</v>
      </c>
      <c r="C413" s="83" t="s">
        <v>4350</v>
      </c>
      <c r="D413" s="83" t="s">
        <v>3209</v>
      </c>
      <c r="E413" s="83" t="s">
        <v>3246</v>
      </c>
      <c r="F413" s="83" t="s">
        <v>4351</v>
      </c>
      <c r="G413" s="83" t="s">
        <v>4352</v>
      </c>
      <c r="H413" s="83">
        <v>30.9</v>
      </c>
      <c r="I413" s="83" t="s">
        <v>3229</v>
      </c>
      <c r="J413" s="83" t="s">
        <v>356</v>
      </c>
      <c r="K413" s="83" t="s">
        <v>3215</v>
      </c>
    </row>
    <row r="414" spans="1:11" ht="64.5" x14ac:dyDescent="0.25">
      <c r="A414" s="83" t="s">
        <v>1724</v>
      </c>
      <c r="B414" s="83" t="s">
        <v>4353</v>
      </c>
      <c r="C414" s="83" t="s">
        <v>4354</v>
      </c>
      <c r="D414" s="83" t="s">
        <v>3209</v>
      </c>
      <c r="E414" s="83" t="s">
        <v>3246</v>
      </c>
      <c r="F414" s="83" t="s">
        <v>4355</v>
      </c>
      <c r="G414" s="83" t="s">
        <v>4356</v>
      </c>
      <c r="H414" s="83">
        <v>7.1</v>
      </c>
      <c r="I414" s="83" t="s">
        <v>3229</v>
      </c>
      <c r="J414" s="83" t="s">
        <v>3380</v>
      </c>
      <c r="K414" s="83" t="s">
        <v>3215</v>
      </c>
    </row>
    <row r="415" spans="1:11" ht="115.5" x14ac:dyDescent="0.25">
      <c r="A415" s="83" t="s">
        <v>1386</v>
      </c>
      <c r="B415" s="83" t="s">
        <v>4357</v>
      </c>
      <c r="C415" s="83" t="s">
        <v>4358</v>
      </c>
      <c r="D415" s="83" t="s">
        <v>3209</v>
      </c>
      <c r="E415" s="83" t="s">
        <v>3246</v>
      </c>
      <c r="F415" s="83" t="s">
        <v>4359</v>
      </c>
      <c r="G415" s="83" t="s">
        <v>4360</v>
      </c>
      <c r="H415" s="83">
        <v>225</v>
      </c>
      <c r="I415" s="83" t="s">
        <v>3229</v>
      </c>
      <c r="J415" s="83" t="s">
        <v>4361</v>
      </c>
      <c r="K415" s="83" t="s">
        <v>3215</v>
      </c>
    </row>
    <row r="416" spans="1:11" ht="39" x14ac:dyDescent="0.25">
      <c r="A416" s="83" t="s">
        <v>1339</v>
      </c>
      <c r="B416" s="83" t="s">
        <v>4362</v>
      </c>
      <c r="C416" s="83" t="s">
        <v>4363</v>
      </c>
      <c r="D416" s="83" t="s">
        <v>3209</v>
      </c>
      <c r="E416" s="83" t="s">
        <v>3246</v>
      </c>
      <c r="F416" s="83" t="s">
        <v>4364</v>
      </c>
      <c r="G416" s="83" t="s">
        <v>4365</v>
      </c>
      <c r="H416" s="83">
        <v>10</v>
      </c>
      <c r="I416" s="83" t="s">
        <v>3229</v>
      </c>
      <c r="J416" s="83" t="s">
        <v>3241</v>
      </c>
      <c r="K416" s="83" t="s">
        <v>3215</v>
      </c>
    </row>
    <row r="417" spans="1:11" ht="51.75" x14ac:dyDescent="0.25">
      <c r="A417" s="83" t="s">
        <v>1619</v>
      </c>
      <c r="B417" s="83" t="s">
        <v>4366</v>
      </c>
      <c r="C417" s="83" t="s">
        <v>4367</v>
      </c>
      <c r="D417" s="83" t="s">
        <v>3209</v>
      </c>
      <c r="E417" s="83" t="s">
        <v>3246</v>
      </c>
      <c r="F417" s="83" t="s">
        <v>4368</v>
      </c>
      <c r="G417" s="83" t="s">
        <v>4369</v>
      </c>
      <c r="H417" s="83">
        <v>62.4</v>
      </c>
      <c r="I417" s="83" t="s">
        <v>3229</v>
      </c>
      <c r="J417" s="83" t="s">
        <v>3289</v>
      </c>
      <c r="K417" s="83" t="s">
        <v>3215</v>
      </c>
    </row>
    <row r="418" spans="1:11" ht="51.75" x14ac:dyDescent="0.25">
      <c r="A418" s="83" t="s">
        <v>1674</v>
      </c>
      <c r="B418" s="83" t="s">
        <v>4370</v>
      </c>
      <c r="C418" s="83" t="s">
        <v>4371</v>
      </c>
      <c r="D418" s="83" t="s">
        <v>3209</v>
      </c>
      <c r="E418" s="83" t="s">
        <v>3246</v>
      </c>
      <c r="F418" s="83" t="s">
        <v>4368</v>
      </c>
      <c r="G418" s="83" t="s">
        <v>4372</v>
      </c>
      <c r="H418" s="83">
        <v>116.6</v>
      </c>
      <c r="I418" s="83" t="s">
        <v>3229</v>
      </c>
      <c r="J418" s="83" t="s">
        <v>3238</v>
      </c>
      <c r="K418" s="83" t="s">
        <v>3215</v>
      </c>
    </row>
    <row r="419" spans="1:11" ht="51.75" x14ac:dyDescent="0.25">
      <c r="A419" s="83" t="s">
        <v>1601</v>
      </c>
      <c r="B419" s="83" t="s">
        <v>4373</v>
      </c>
      <c r="C419" s="83" t="s">
        <v>4374</v>
      </c>
      <c r="D419" s="83" t="s">
        <v>3209</v>
      </c>
      <c r="E419" s="83" t="s">
        <v>3246</v>
      </c>
      <c r="F419" s="83" t="s">
        <v>4375</v>
      </c>
      <c r="G419" s="83" t="s">
        <v>4376</v>
      </c>
      <c r="H419" s="83">
        <v>72.7</v>
      </c>
      <c r="I419" s="83" t="s">
        <v>3213</v>
      </c>
      <c r="J419" s="83" t="s">
        <v>3271</v>
      </c>
      <c r="K419" s="83" t="s">
        <v>3215</v>
      </c>
    </row>
    <row r="420" spans="1:11" ht="77.25" x14ac:dyDescent="0.25">
      <c r="A420" s="83" t="s">
        <v>1588</v>
      </c>
      <c r="B420" s="83" t="s">
        <v>4377</v>
      </c>
      <c r="C420" s="83" t="s">
        <v>4378</v>
      </c>
      <c r="D420" s="83" t="s">
        <v>3209</v>
      </c>
      <c r="E420" s="83" t="s">
        <v>3246</v>
      </c>
      <c r="F420" s="83" t="s">
        <v>4379</v>
      </c>
      <c r="G420" s="83" t="s">
        <v>4380</v>
      </c>
      <c r="H420" s="83">
        <v>60.4</v>
      </c>
      <c r="I420" s="83" t="s">
        <v>3213</v>
      </c>
      <c r="J420" s="83" t="s">
        <v>3621</v>
      </c>
      <c r="K420" s="83" t="s">
        <v>3215</v>
      </c>
    </row>
    <row r="421" spans="1:11" ht="64.5" x14ac:dyDescent="0.25">
      <c r="A421" s="83" t="s">
        <v>1610</v>
      </c>
      <c r="B421" s="83" t="s">
        <v>4381</v>
      </c>
      <c r="C421" s="83" t="s">
        <v>4382</v>
      </c>
      <c r="D421" s="83" t="s">
        <v>3209</v>
      </c>
      <c r="E421" s="83" t="s">
        <v>3246</v>
      </c>
      <c r="F421" s="83" t="s">
        <v>4383</v>
      </c>
      <c r="G421" s="83" t="s">
        <v>4384</v>
      </c>
      <c r="H421" s="83">
        <v>7.3</v>
      </c>
      <c r="I421" s="83" t="s">
        <v>3229</v>
      </c>
      <c r="J421" s="83" t="s">
        <v>3601</v>
      </c>
      <c r="K421" s="83" t="s">
        <v>3215</v>
      </c>
    </row>
    <row r="422" spans="1:11" ht="51.75" x14ac:dyDescent="0.25">
      <c r="A422" s="83" t="s">
        <v>1611</v>
      </c>
      <c r="B422" s="83" t="s">
        <v>4385</v>
      </c>
      <c r="C422" s="83" t="s">
        <v>4386</v>
      </c>
      <c r="D422" s="83" t="s">
        <v>3209</v>
      </c>
      <c r="E422" s="83" t="s">
        <v>3246</v>
      </c>
      <c r="F422" s="83" t="s">
        <v>4387</v>
      </c>
      <c r="G422" s="83" t="s">
        <v>3362</v>
      </c>
      <c r="H422" s="83">
        <v>72.5</v>
      </c>
      <c r="I422" s="83" t="s">
        <v>3229</v>
      </c>
      <c r="J422" s="83" t="s">
        <v>3289</v>
      </c>
      <c r="K422" s="83" t="s">
        <v>3215</v>
      </c>
    </row>
    <row r="423" spans="1:11" ht="51.75" x14ac:dyDescent="0.25">
      <c r="A423" s="83" t="s">
        <v>1571</v>
      </c>
      <c r="B423" s="83" t="s">
        <v>4388</v>
      </c>
      <c r="C423" s="83" t="s">
        <v>4389</v>
      </c>
      <c r="D423" s="83" t="s">
        <v>3209</v>
      </c>
      <c r="E423" s="83" t="s">
        <v>3246</v>
      </c>
      <c r="F423" s="83" t="s">
        <v>4390</v>
      </c>
      <c r="G423" s="83" t="s">
        <v>4391</v>
      </c>
      <c r="H423" s="83">
        <v>642.20000000000005</v>
      </c>
      <c r="I423" s="83" t="s">
        <v>3229</v>
      </c>
      <c r="J423" s="83" t="s">
        <v>3230</v>
      </c>
      <c r="K423" s="83" t="s">
        <v>3215</v>
      </c>
    </row>
    <row r="424" spans="1:11" ht="51.75" x14ac:dyDescent="0.25">
      <c r="A424" s="83" t="s">
        <v>71</v>
      </c>
      <c r="B424" s="83" t="s">
        <v>4392</v>
      </c>
      <c r="C424" s="83" t="s">
        <v>4393</v>
      </c>
      <c r="D424" s="83" t="s">
        <v>3209</v>
      </c>
      <c r="E424" s="83" t="s">
        <v>3246</v>
      </c>
      <c r="F424" s="83" t="s">
        <v>4394</v>
      </c>
      <c r="G424" s="83" t="s">
        <v>109</v>
      </c>
      <c r="H424" s="83">
        <v>69.7</v>
      </c>
      <c r="I424" s="83" t="s">
        <v>3213</v>
      </c>
      <c r="J424" s="83" t="s">
        <v>3271</v>
      </c>
      <c r="K424" s="83" t="s">
        <v>3215</v>
      </c>
    </row>
    <row r="425" spans="1:11" ht="51.75" x14ac:dyDescent="0.25">
      <c r="A425" s="83" t="s">
        <v>1587</v>
      </c>
      <c r="B425" s="83" t="s">
        <v>4395</v>
      </c>
      <c r="C425" s="83" t="s">
        <v>4396</v>
      </c>
      <c r="D425" s="83" t="s">
        <v>3209</v>
      </c>
      <c r="E425" s="83" t="s">
        <v>3246</v>
      </c>
      <c r="F425" s="83" t="s">
        <v>4397</v>
      </c>
      <c r="G425" s="83" t="s">
        <v>4398</v>
      </c>
      <c r="H425" s="83">
        <v>433</v>
      </c>
      <c r="I425" s="83" t="s">
        <v>3229</v>
      </c>
      <c r="J425" s="83" t="s">
        <v>4399</v>
      </c>
      <c r="K425" s="83" t="s">
        <v>3215</v>
      </c>
    </row>
    <row r="426" spans="1:11" ht="51.75" x14ac:dyDescent="0.25">
      <c r="A426" s="83" t="s">
        <v>1556</v>
      </c>
      <c r="B426" s="83" t="s">
        <v>4400</v>
      </c>
      <c r="C426" s="83" t="s">
        <v>4401</v>
      </c>
      <c r="D426" s="83" t="s">
        <v>3209</v>
      </c>
      <c r="E426" s="83" t="s">
        <v>3246</v>
      </c>
      <c r="F426" s="83" t="s">
        <v>4402</v>
      </c>
      <c r="G426" s="83" t="s">
        <v>4403</v>
      </c>
      <c r="H426" s="83">
        <v>30</v>
      </c>
      <c r="I426" s="83" t="s">
        <v>3229</v>
      </c>
      <c r="J426" s="83" t="s">
        <v>3230</v>
      </c>
      <c r="K426" s="83" t="s">
        <v>3215</v>
      </c>
    </row>
    <row r="427" spans="1:11" ht="64.5" x14ac:dyDescent="0.25">
      <c r="A427" s="83" t="s">
        <v>1558</v>
      </c>
      <c r="B427" s="83" t="s">
        <v>4404</v>
      </c>
      <c r="C427" s="83" t="s">
        <v>4405</v>
      </c>
      <c r="D427" s="83" t="s">
        <v>3209</v>
      </c>
      <c r="E427" s="83" t="s">
        <v>3246</v>
      </c>
      <c r="F427" s="83" t="s">
        <v>4406</v>
      </c>
      <c r="G427" s="83" t="s">
        <v>4407</v>
      </c>
      <c r="H427" s="83">
        <v>32.200000000000003</v>
      </c>
      <c r="I427" s="83" t="s">
        <v>3213</v>
      </c>
      <c r="J427" s="83" t="s">
        <v>3219</v>
      </c>
      <c r="K427" s="83" t="s">
        <v>3215</v>
      </c>
    </row>
    <row r="428" spans="1:11" ht="26.25" x14ac:dyDescent="0.25">
      <c r="A428" s="83" t="s">
        <v>1560</v>
      </c>
      <c r="B428" s="83" t="s">
        <v>4408</v>
      </c>
      <c r="C428" s="83" t="s">
        <v>4409</v>
      </c>
      <c r="D428" s="83" t="s">
        <v>3209</v>
      </c>
      <c r="E428" s="83" t="s">
        <v>3246</v>
      </c>
      <c r="F428" s="83" t="s">
        <v>4410</v>
      </c>
      <c r="G428" s="83" t="s">
        <v>4411</v>
      </c>
      <c r="H428" s="83">
        <v>20</v>
      </c>
      <c r="I428" s="83" t="s">
        <v>3229</v>
      </c>
      <c r="J428" s="83" t="s">
        <v>3324</v>
      </c>
      <c r="K428" s="83" t="s">
        <v>3215</v>
      </c>
    </row>
    <row r="429" spans="1:11" ht="51.75" x14ac:dyDescent="0.25">
      <c r="A429" s="83" t="s">
        <v>147</v>
      </c>
      <c r="B429" s="83" t="s">
        <v>4412</v>
      </c>
      <c r="C429" s="83" t="s">
        <v>4413</v>
      </c>
      <c r="D429" s="83" t="s">
        <v>3209</v>
      </c>
      <c r="E429" s="83" t="s">
        <v>3246</v>
      </c>
      <c r="F429" s="83" t="s">
        <v>4414</v>
      </c>
      <c r="G429" s="83" t="s">
        <v>3256</v>
      </c>
      <c r="H429" s="83">
        <v>78.099999999999994</v>
      </c>
      <c r="I429" s="83" t="s">
        <v>3213</v>
      </c>
      <c r="J429" s="83" t="s">
        <v>3257</v>
      </c>
      <c r="K429" s="83" t="s">
        <v>3215</v>
      </c>
    </row>
    <row r="430" spans="1:11" ht="39" x14ac:dyDescent="0.25">
      <c r="A430" s="83" t="s">
        <v>1526</v>
      </c>
      <c r="B430" s="83" t="s">
        <v>4415</v>
      </c>
      <c r="C430" s="83" t="s">
        <v>4416</v>
      </c>
      <c r="D430" s="83" t="s">
        <v>3209</v>
      </c>
      <c r="E430" s="83" t="s">
        <v>3246</v>
      </c>
      <c r="F430" s="83" t="s">
        <v>3439</v>
      </c>
      <c r="G430" s="83" t="s">
        <v>4417</v>
      </c>
      <c r="H430" s="83">
        <v>144.80000000000001</v>
      </c>
      <c r="I430" s="83" t="s">
        <v>3229</v>
      </c>
      <c r="J430" s="83" t="s">
        <v>3241</v>
      </c>
      <c r="K430" s="83" t="s">
        <v>3215</v>
      </c>
    </row>
    <row r="431" spans="1:11" ht="51.75" x14ac:dyDescent="0.25">
      <c r="A431" s="83" t="s">
        <v>1518</v>
      </c>
      <c r="B431" s="83" t="s">
        <v>4418</v>
      </c>
      <c r="C431" s="83" t="s">
        <v>4419</v>
      </c>
      <c r="D431" s="83" t="s">
        <v>3209</v>
      </c>
      <c r="E431" s="83" t="s">
        <v>3246</v>
      </c>
      <c r="F431" s="83" t="s">
        <v>4420</v>
      </c>
      <c r="G431" s="83" t="s">
        <v>4421</v>
      </c>
      <c r="H431" s="83">
        <v>68.2</v>
      </c>
      <c r="I431" s="83" t="s">
        <v>3229</v>
      </c>
      <c r="J431" s="83" t="s">
        <v>3238</v>
      </c>
      <c r="K431" s="83" t="s">
        <v>3215</v>
      </c>
    </row>
    <row r="432" spans="1:11" ht="26.25" x14ac:dyDescent="0.25">
      <c r="A432" s="83" t="s">
        <v>1397</v>
      </c>
      <c r="B432" s="83" t="s">
        <v>4422</v>
      </c>
      <c r="C432" s="83" t="s">
        <v>4423</v>
      </c>
      <c r="D432" s="83" t="s">
        <v>3209</v>
      </c>
      <c r="E432" s="83" t="s">
        <v>3246</v>
      </c>
      <c r="F432" s="83" t="s">
        <v>4424</v>
      </c>
      <c r="G432" s="83" t="s">
        <v>4425</v>
      </c>
      <c r="H432" s="83">
        <v>37</v>
      </c>
      <c r="I432" s="83" t="s">
        <v>3229</v>
      </c>
      <c r="J432" s="83" t="s">
        <v>3324</v>
      </c>
      <c r="K432" s="83" t="s">
        <v>3215</v>
      </c>
    </row>
    <row r="433" spans="1:11" ht="51.75" x14ac:dyDescent="0.25">
      <c r="A433" s="83" t="s">
        <v>1399</v>
      </c>
      <c r="B433" s="83" t="s">
        <v>4426</v>
      </c>
      <c r="C433" s="83" t="s">
        <v>4427</v>
      </c>
      <c r="D433" s="83" t="s">
        <v>3209</v>
      </c>
      <c r="E433" s="83" t="s">
        <v>3246</v>
      </c>
      <c r="F433" s="83" t="s">
        <v>4428</v>
      </c>
      <c r="G433" s="83" t="s">
        <v>4429</v>
      </c>
      <c r="H433" s="83">
        <v>12.3</v>
      </c>
      <c r="I433" s="83" t="s">
        <v>3229</v>
      </c>
      <c r="J433" s="83" t="s">
        <v>4430</v>
      </c>
      <c r="K433" s="83" t="s">
        <v>3215</v>
      </c>
    </row>
    <row r="434" spans="1:11" ht="51.75" x14ac:dyDescent="0.25">
      <c r="A434" s="83" t="s">
        <v>1403</v>
      </c>
      <c r="B434" s="83" t="s">
        <v>4431</v>
      </c>
      <c r="C434" s="83" t="s">
        <v>4432</v>
      </c>
      <c r="D434" s="83" t="s">
        <v>3209</v>
      </c>
      <c r="E434" s="83" t="s">
        <v>3246</v>
      </c>
      <c r="F434" s="83" t="s">
        <v>4433</v>
      </c>
      <c r="G434" s="83" t="s">
        <v>4434</v>
      </c>
      <c r="H434" s="83">
        <v>20</v>
      </c>
      <c r="I434" s="83" t="s">
        <v>3229</v>
      </c>
      <c r="J434" s="83" t="s">
        <v>3730</v>
      </c>
      <c r="K434" s="83" t="s">
        <v>3215</v>
      </c>
    </row>
    <row r="435" spans="1:11" ht="51.75" x14ac:dyDescent="0.25">
      <c r="A435" s="83" t="s">
        <v>1449</v>
      </c>
      <c r="B435" s="83" t="s">
        <v>4435</v>
      </c>
      <c r="C435" s="83" t="s">
        <v>4436</v>
      </c>
      <c r="D435" s="83" t="s">
        <v>3209</v>
      </c>
      <c r="E435" s="83" t="s">
        <v>3246</v>
      </c>
      <c r="F435" s="83" t="s">
        <v>4437</v>
      </c>
      <c r="G435" s="83" t="s">
        <v>4438</v>
      </c>
      <c r="H435" s="83">
        <v>54.4</v>
      </c>
      <c r="I435" s="83" t="s">
        <v>3229</v>
      </c>
      <c r="J435" s="83" t="s">
        <v>3238</v>
      </c>
      <c r="K435" s="83" t="s">
        <v>3215</v>
      </c>
    </row>
    <row r="436" spans="1:11" ht="26.25" x14ac:dyDescent="0.25">
      <c r="A436" s="83" t="s">
        <v>1455</v>
      </c>
      <c r="B436" s="83" t="s">
        <v>4439</v>
      </c>
      <c r="C436" s="83" t="s">
        <v>4440</v>
      </c>
      <c r="D436" s="83" t="s">
        <v>3209</v>
      </c>
      <c r="E436" s="83" t="s">
        <v>3246</v>
      </c>
      <c r="F436" s="83" t="s">
        <v>4441</v>
      </c>
      <c r="G436" s="83" t="s">
        <v>4442</v>
      </c>
      <c r="H436" s="83">
        <v>3</v>
      </c>
      <c r="I436" s="83" t="s">
        <v>3229</v>
      </c>
      <c r="J436" s="83" t="s">
        <v>3222</v>
      </c>
      <c r="K436" s="83" t="s">
        <v>3215</v>
      </c>
    </row>
    <row r="437" spans="1:11" ht="51.75" x14ac:dyDescent="0.25">
      <c r="A437" s="83" t="s">
        <v>1457</v>
      </c>
      <c r="B437" s="83" t="s">
        <v>4443</v>
      </c>
      <c r="C437" s="83" t="s">
        <v>4444</v>
      </c>
      <c r="D437" s="83" t="s">
        <v>3209</v>
      </c>
      <c r="E437" s="83" t="s">
        <v>3246</v>
      </c>
      <c r="F437" s="83" t="s">
        <v>4445</v>
      </c>
      <c r="G437" s="83" t="s">
        <v>4446</v>
      </c>
      <c r="H437" s="83">
        <v>66.7</v>
      </c>
      <c r="I437" s="83" t="s">
        <v>3213</v>
      </c>
      <c r="J437" s="83" t="s">
        <v>3538</v>
      </c>
      <c r="K437" s="83" t="s">
        <v>3215</v>
      </c>
    </row>
    <row r="438" spans="1:11" ht="51.75" x14ac:dyDescent="0.25">
      <c r="A438" s="83" t="s">
        <v>1431</v>
      </c>
      <c r="B438" s="83" t="s">
        <v>4447</v>
      </c>
      <c r="C438" s="83" t="s">
        <v>4448</v>
      </c>
      <c r="D438" s="83" t="s">
        <v>3209</v>
      </c>
      <c r="E438" s="83" t="s">
        <v>3246</v>
      </c>
      <c r="F438" s="83" t="s">
        <v>4449</v>
      </c>
      <c r="G438" s="83" t="s">
        <v>4322</v>
      </c>
      <c r="H438" s="83">
        <v>279</v>
      </c>
      <c r="I438" s="83" t="s">
        <v>3213</v>
      </c>
      <c r="J438" s="83" t="s">
        <v>3214</v>
      </c>
      <c r="K438" s="83" t="s">
        <v>3215</v>
      </c>
    </row>
    <row r="439" spans="1:11" ht="26.25" x14ac:dyDescent="0.25">
      <c r="A439" s="83" t="s">
        <v>1356</v>
      </c>
      <c r="B439" s="83" t="s">
        <v>4450</v>
      </c>
      <c r="C439" s="83" t="s">
        <v>4451</v>
      </c>
      <c r="D439" s="83" t="s">
        <v>3209</v>
      </c>
      <c r="E439" s="83" t="s">
        <v>3246</v>
      </c>
      <c r="F439" s="83" t="s">
        <v>4452</v>
      </c>
      <c r="G439" s="83" t="s">
        <v>4453</v>
      </c>
      <c r="H439" s="83">
        <v>11</v>
      </c>
      <c r="I439" s="83" t="s">
        <v>3229</v>
      </c>
      <c r="J439" s="83" t="s">
        <v>3397</v>
      </c>
      <c r="K439" s="83" t="s">
        <v>3215</v>
      </c>
    </row>
    <row r="440" spans="1:11" ht="51.75" x14ac:dyDescent="0.25">
      <c r="A440" s="83" t="s">
        <v>1358</v>
      </c>
      <c r="B440" s="83" t="s">
        <v>4454</v>
      </c>
      <c r="C440" s="83" t="s">
        <v>4455</v>
      </c>
      <c r="D440" s="83" t="s">
        <v>3209</v>
      </c>
      <c r="E440" s="83" t="s">
        <v>3246</v>
      </c>
      <c r="F440" s="83" t="s">
        <v>4456</v>
      </c>
      <c r="G440" s="83" t="s">
        <v>4457</v>
      </c>
      <c r="H440" s="83">
        <v>20</v>
      </c>
      <c r="I440" s="83" t="s">
        <v>3229</v>
      </c>
      <c r="J440" s="83" t="s">
        <v>3371</v>
      </c>
      <c r="K440" s="83" t="s">
        <v>3215</v>
      </c>
    </row>
    <row r="441" spans="1:11" ht="26.25" x14ac:dyDescent="0.25">
      <c r="A441" s="83" t="s">
        <v>1337</v>
      </c>
      <c r="B441" s="83" t="s">
        <v>4458</v>
      </c>
      <c r="C441" s="83" t="s">
        <v>4459</v>
      </c>
      <c r="D441" s="83" t="s">
        <v>3209</v>
      </c>
      <c r="E441" s="83" t="s">
        <v>3246</v>
      </c>
      <c r="F441" s="83" t="s">
        <v>4460</v>
      </c>
      <c r="G441" s="83" t="s">
        <v>4461</v>
      </c>
      <c r="H441" s="83">
        <v>19</v>
      </c>
      <c r="I441" s="83" t="s">
        <v>3229</v>
      </c>
      <c r="J441" s="83" t="s">
        <v>3222</v>
      </c>
      <c r="K441" s="83" t="s">
        <v>3215</v>
      </c>
    </row>
    <row r="442" spans="1:11" ht="26.25" x14ac:dyDescent="0.25">
      <c r="A442" s="83" t="s">
        <v>1324</v>
      </c>
      <c r="B442" s="83" t="s">
        <v>4462</v>
      </c>
      <c r="C442" s="83" t="s">
        <v>4463</v>
      </c>
      <c r="D442" s="83" t="s">
        <v>3209</v>
      </c>
      <c r="E442" s="83" t="s">
        <v>3246</v>
      </c>
      <c r="F442" s="83" t="s">
        <v>4464</v>
      </c>
      <c r="G442" s="83" t="s">
        <v>4465</v>
      </c>
      <c r="H442" s="83">
        <v>9</v>
      </c>
      <c r="I442" s="83" t="s">
        <v>3229</v>
      </c>
      <c r="J442" s="83" t="s">
        <v>3397</v>
      </c>
      <c r="K442" s="83" t="s">
        <v>3215</v>
      </c>
    </row>
    <row r="443" spans="1:11" ht="26.25" x14ac:dyDescent="0.25">
      <c r="A443" s="83" t="s">
        <v>1334</v>
      </c>
      <c r="B443" s="83" t="s">
        <v>4466</v>
      </c>
      <c r="C443" s="83" t="s">
        <v>4467</v>
      </c>
      <c r="D443" s="83" t="s">
        <v>3209</v>
      </c>
      <c r="E443" s="83" t="s">
        <v>3246</v>
      </c>
      <c r="F443" s="83" t="s">
        <v>4468</v>
      </c>
      <c r="G443" s="83" t="s">
        <v>4469</v>
      </c>
      <c r="H443" s="83">
        <v>18</v>
      </c>
      <c r="I443" s="83" t="s">
        <v>3229</v>
      </c>
      <c r="J443" s="83" t="s">
        <v>3397</v>
      </c>
      <c r="K443" s="83" t="s">
        <v>3215</v>
      </c>
    </row>
    <row r="444" spans="1:11" ht="26.25" x14ac:dyDescent="0.25">
      <c r="A444" s="83" t="s">
        <v>1335</v>
      </c>
      <c r="B444" s="83" t="s">
        <v>4470</v>
      </c>
      <c r="C444" s="83" t="s">
        <v>4471</v>
      </c>
      <c r="D444" s="83" t="s">
        <v>3209</v>
      </c>
      <c r="E444" s="83" t="s">
        <v>3246</v>
      </c>
      <c r="F444" s="83" t="s">
        <v>4472</v>
      </c>
      <c r="G444" s="83" t="s">
        <v>4473</v>
      </c>
      <c r="H444" s="83">
        <v>25.6</v>
      </c>
      <c r="I444" s="83" t="s">
        <v>3213</v>
      </c>
      <c r="J444" s="83" t="s">
        <v>4176</v>
      </c>
      <c r="K444" s="83" t="s">
        <v>3215</v>
      </c>
    </row>
    <row r="445" spans="1:11" ht="39" x14ac:dyDescent="0.25">
      <c r="A445" s="83" t="s">
        <v>1274</v>
      </c>
      <c r="B445" s="83" t="s">
        <v>4474</v>
      </c>
      <c r="C445" s="83" t="s">
        <v>4475</v>
      </c>
      <c r="D445" s="83" t="s">
        <v>3209</v>
      </c>
      <c r="E445" s="83" t="s">
        <v>3246</v>
      </c>
      <c r="F445" s="83" t="s">
        <v>4476</v>
      </c>
      <c r="G445" s="83" t="s">
        <v>4477</v>
      </c>
      <c r="H445" s="83">
        <v>46.7</v>
      </c>
      <c r="I445" s="83" t="s">
        <v>3229</v>
      </c>
      <c r="J445" s="83" t="s">
        <v>3241</v>
      </c>
      <c r="K445" s="83" t="s">
        <v>3215</v>
      </c>
    </row>
    <row r="446" spans="1:11" ht="51.75" x14ac:dyDescent="0.25">
      <c r="A446" s="83" t="s">
        <v>35</v>
      </c>
      <c r="B446" s="83" t="s">
        <v>4478</v>
      </c>
      <c r="C446" s="83" t="s">
        <v>4479</v>
      </c>
      <c r="D446" s="83" t="s">
        <v>3209</v>
      </c>
      <c r="E446" s="83" t="s">
        <v>3246</v>
      </c>
      <c r="F446" s="83" t="s">
        <v>4480</v>
      </c>
      <c r="G446" s="83" t="s">
        <v>4481</v>
      </c>
      <c r="H446" s="83">
        <v>43</v>
      </c>
      <c r="I446" s="83" t="s">
        <v>3213</v>
      </c>
      <c r="J446" s="83" t="s">
        <v>3271</v>
      </c>
      <c r="K446" s="83" t="s">
        <v>3215</v>
      </c>
    </row>
    <row r="447" spans="1:11" ht="51.75" x14ac:dyDescent="0.25">
      <c r="A447" s="83" t="s">
        <v>1277</v>
      </c>
      <c r="B447" s="83" t="s">
        <v>4482</v>
      </c>
      <c r="C447" s="83" t="s">
        <v>4483</v>
      </c>
      <c r="D447" s="83" t="s">
        <v>3209</v>
      </c>
      <c r="E447" s="83" t="s">
        <v>3246</v>
      </c>
      <c r="F447" s="83" t="s">
        <v>4484</v>
      </c>
      <c r="G447" s="83" t="s">
        <v>4485</v>
      </c>
      <c r="H447" s="83">
        <v>10.7</v>
      </c>
      <c r="I447" s="83" t="s">
        <v>3229</v>
      </c>
      <c r="J447" s="83" t="s">
        <v>3337</v>
      </c>
      <c r="K447" s="83" t="s">
        <v>3215</v>
      </c>
    </row>
    <row r="448" spans="1:11" ht="51.75" x14ac:dyDescent="0.25">
      <c r="A448" s="83" t="s">
        <v>1258</v>
      </c>
      <c r="B448" s="83" t="s">
        <v>4486</v>
      </c>
      <c r="C448" s="83" t="s">
        <v>4487</v>
      </c>
      <c r="D448" s="83" t="s">
        <v>3209</v>
      </c>
      <c r="E448" s="83" t="s">
        <v>3246</v>
      </c>
      <c r="F448" s="83" t="s">
        <v>4488</v>
      </c>
      <c r="G448" s="83" t="s">
        <v>4489</v>
      </c>
      <c r="H448" s="83">
        <v>10</v>
      </c>
      <c r="I448" s="83" t="s">
        <v>3229</v>
      </c>
      <c r="J448" s="83" t="s">
        <v>3337</v>
      </c>
      <c r="K448" s="83" t="s">
        <v>3215</v>
      </c>
    </row>
    <row r="449" spans="1:11" ht="64.5" x14ac:dyDescent="0.25">
      <c r="A449" s="83" t="s">
        <v>1442</v>
      </c>
      <c r="B449" s="83" t="s">
        <v>4490</v>
      </c>
      <c r="C449" s="83" t="s">
        <v>4491</v>
      </c>
      <c r="D449" s="83" t="s">
        <v>3209</v>
      </c>
      <c r="E449" s="83" t="s">
        <v>3246</v>
      </c>
      <c r="F449" s="83" t="s">
        <v>4492</v>
      </c>
      <c r="G449" s="83" t="s">
        <v>4493</v>
      </c>
      <c r="H449" s="83">
        <v>5.3</v>
      </c>
      <c r="I449" s="83" t="s">
        <v>3213</v>
      </c>
      <c r="J449" s="83" t="s">
        <v>3413</v>
      </c>
      <c r="K449" s="83" t="s">
        <v>3215</v>
      </c>
    </row>
    <row r="450" spans="1:11" ht="39" x14ac:dyDescent="0.25">
      <c r="A450" s="83" t="s">
        <v>1411</v>
      </c>
      <c r="B450" s="83" t="s">
        <v>4494</v>
      </c>
      <c r="C450" s="83" t="s">
        <v>4495</v>
      </c>
      <c r="D450" s="83" t="s">
        <v>3209</v>
      </c>
      <c r="E450" s="83" t="s">
        <v>3246</v>
      </c>
      <c r="F450" s="83" t="s">
        <v>4496</v>
      </c>
      <c r="G450" s="83" t="s">
        <v>4497</v>
      </c>
      <c r="H450" s="83">
        <v>23</v>
      </c>
      <c r="I450" s="83" t="s">
        <v>3229</v>
      </c>
      <c r="J450" s="83" t="s">
        <v>356</v>
      </c>
      <c r="K450" s="83" t="s">
        <v>3215</v>
      </c>
    </row>
    <row r="451" spans="1:11" ht="51.75" x14ac:dyDescent="0.25">
      <c r="A451" s="83" t="s">
        <v>1421</v>
      </c>
      <c r="B451" s="83" t="s">
        <v>4498</v>
      </c>
      <c r="C451" s="83" t="s">
        <v>4499</v>
      </c>
      <c r="D451" s="83" t="s">
        <v>3209</v>
      </c>
      <c r="E451" s="83" t="s">
        <v>3246</v>
      </c>
      <c r="F451" s="83" t="s">
        <v>4500</v>
      </c>
      <c r="G451" s="83" t="s">
        <v>4501</v>
      </c>
      <c r="H451" s="83">
        <v>8</v>
      </c>
      <c r="I451" s="83" t="s">
        <v>3229</v>
      </c>
      <c r="J451" s="83" t="s">
        <v>3280</v>
      </c>
      <c r="K451" s="83" t="s">
        <v>3215</v>
      </c>
    </row>
    <row r="452" spans="1:11" ht="77.25" x14ac:dyDescent="0.25">
      <c r="A452" s="83" t="s">
        <v>951</v>
      </c>
      <c r="B452" s="83" t="s">
        <v>4502</v>
      </c>
      <c r="C452" s="83" t="s">
        <v>4503</v>
      </c>
      <c r="D452" s="83" t="s">
        <v>3209</v>
      </c>
      <c r="E452" s="83" t="s">
        <v>3246</v>
      </c>
      <c r="F452" s="83" t="s">
        <v>4504</v>
      </c>
      <c r="G452" s="83" t="s">
        <v>4505</v>
      </c>
      <c r="H452" s="83">
        <v>3.8</v>
      </c>
      <c r="I452" s="83" t="s">
        <v>3213</v>
      </c>
      <c r="J452" s="83" t="s">
        <v>3621</v>
      </c>
      <c r="K452" s="83" t="s">
        <v>3215</v>
      </c>
    </row>
    <row r="453" spans="1:11" ht="51.75" x14ac:dyDescent="0.25">
      <c r="A453" s="83" t="s">
        <v>913</v>
      </c>
      <c r="B453" s="83" t="s">
        <v>4506</v>
      </c>
      <c r="C453" s="83" t="s">
        <v>4507</v>
      </c>
      <c r="D453" s="83" t="s">
        <v>3209</v>
      </c>
      <c r="E453" s="83" t="s">
        <v>3246</v>
      </c>
      <c r="F453" s="83" t="s">
        <v>3519</v>
      </c>
      <c r="G453" s="83" t="s">
        <v>3520</v>
      </c>
      <c r="H453" s="83">
        <v>1.5</v>
      </c>
      <c r="I453" s="83" t="s">
        <v>3229</v>
      </c>
      <c r="J453" s="83" t="s">
        <v>3521</v>
      </c>
      <c r="K453" s="83" t="s">
        <v>3215</v>
      </c>
    </row>
    <row r="454" spans="1:11" ht="64.5" x14ac:dyDescent="0.25">
      <c r="A454" s="83" t="s">
        <v>916</v>
      </c>
      <c r="B454" s="83" t="s">
        <v>4508</v>
      </c>
      <c r="C454" s="83" t="s">
        <v>4509</v>
      </c>
      <c r="D454" s="83" t="s">
        <v>3209</v>
      </c>
      <c r="E454" s="83" t="s">
        <v>3246</v>
      </c>
      <c r="F454" s="83" t="s">
        <v>4510</v>
      </c>
      <c r="G454" s="83" t="s">
        <v>4511</v>
      </c>
      <c r="H454" s="83">
        <v>2</v>
      </c>
      <c r="I454" s="83" t="s">
        <v>3213</v>
      </c>
      <c r="J454" s="83" t="s">
        <v>3413</v>
      </c>
      <c r="K454" s="83" t="s">
        <v>3215</v>
      </c>
    </row>
    <row r="455" spans="1:11" ht="51.75" x14ac:dyDescent="0.25">
      <c r="A455" s="83" t="s">
        <v>918</v>
      </c>
      <c r="B455" s="83" t="s">
        <v>4512</v>
      </c>
      <c r="C455" s="83" t="s">
        <v>4513</v>
      </c>
      <c r="D455" s="83" t="s">
        <v>3209</v>
      </c>
      <c r="E455" s="83" t="s">
        <v>3246</v>
      </c>
      <c r="F455" s="83" t="s">
        <v>4514</v>
      </c>
      <c r="G455" s="83" t="s">
        <v>4515</v>
      </c>
      <c r="H455" s="83">
        <v>3</v>
      </c>
      <c r="I455" s="83" t="s">
        <v>3229</v>
      </c>
      <c r="J455" s="83" t="s">
        <v>3337</v>
      </c>
      <c r="K455" s="83" t="s">
        <v>3215</v>
      </c>
    </row>
    <row r="456" spans="1:11" ht="26.25" x14ac:dyDescent="0.25">
      <c r="A456" s="83" t="s">
        <v>928</v>
      </c>
      <c r="B456" s="83" t="s">
        <v>4516</v>
      </c>
      <c r="C456" s="83" t="s">
        <v>4517</v>
      </c>
      <c r="D456" s="83" t="s">
        <v>3209</v>
      </c>
      <c r="E456" s="83" t="s">
        <v>3246</v>
      </c>
      <c r="F456" s="83" t="s">
        <v>4518</v>
      </c>
      <c r="G456" s="83" t="s">
        <v>4519</v>
      </c>
      <c r="H456" s="83">
        <v>9.9</v>
      </c>
      <c r="I456" s="83" t="s">
        <v>3229</v>
      </c>
      <c r="J456" s="83" t="s">
        <v>3324</v>
      </c>
      <c r="K456" s="83" t="s">
        <v>3215</v>
      </c>
    </row>
    <row r="457" spans="1:11" ht="64.5" x14ac:dyDescent="0.25">
      <c r="A457" s="83" t="s">
        <v>911</v>
      </c>
      <c r="B457" s="83" t="s">
        <v>4520</v>
      </c>
      <c r="C457" s="83" t="s">
        <v>4521</v>
      </c>
      <c r="D457" s="83" t="s">
        <v>3209</v>
      </c>
      <c r="E457" s="83" t="s">
        <v>3246</v>
      </c>
      <c r="F457" s="83" t="s">
        <v>4522</v>
      </c>
      <c r="G457" s="83" t="s">
        <v>3669</v>
      </c>
      <c r="H457" s="83">
        <v>5</v>
      </c>
      <c r="I457" s="83" t="s">
        <v>3213</v>
      </c>
      <c r="J457" s="83" t="s">
        <v>3262</v>
      </c>
      <c r="K457" s="83" t="s">
        <v>3215</v>
      </c>
    </row>
    <row r="458" spans="1:11" ht="64.5" x14ac:dyDescent="0.25">
      <c r="A458" s="83" t="s">
        <v>910</v>
      </c>
      <c r="B458" s="83" t="s">
        <v>4523</v>
      </c>
      <c r="C458" s="83" t="s">
        <v>4524</v>
      </c>
      <c r="D458" s="83" t="s">
        <v>3209</v>
      </c>
      <c r="E458" s="83" t="s">
        <v>3246</v>
      </c>
      <c r="F458" s="83" t="s">
        <v>4525</v>
      </c>
      <c r="G458" s="83" t="s">
        <v>4526</v>
      </c>
      <c r="H458" s="83">
        <v>14</v>
      </c>
      <c r="I458" s="83" t="s">
        <v>3213</v>
      </c>
      <c r="J458" s="83" t="s">
        <v>3262</v>
      </c>
      <c r="K458" s="83" t="s">
        <v>3215</v>
      </c>
    </row>
    <row r="459" spans="1:11" ht="26.25" x14ac:dyDescent="0.25">
      <c r="A459" s="83" t="s">
        <v>900</v>
      </c>
      <c r="B459" s="83" t="s">
        <v>4527</v>
      </c>
      <c r="C459" s="83" t="s">
        <v>4528</v>
      </c>
      <c r="D459" s="83" t="s">
        <v>3209</v>
      </c>
      <c r="E459" s="83" t="s">
        <v>3246</v>
      </c>
      <c r="F459" s="83" t="s">
        <v>4529</v>
      </c>
      <c r="G459" s="83" t="s">
        <v>4530</v>
      </c>
      <c r="H459" s="83">
        <v>3.9</v>
      </c>
      <c r="I459" s="83" t="s">
        <v>3229</v>
      </c>
      <c r="J459" s="83" t="s">
        <v>3324</v>
      </c>
      <c r="K459" s="83" t="s">
        <v>3215</v>
      </c>
    </row>
    <row r="460" spans="1:11" ht="64.5" x14ac:dyDescent="0.25">
      <c r="A460" s="83" t="s">
        <v>1181</v>
      </c>
      <c r="B460" s="83" t="s">
        <v>4531</v>
      </c>
      <c r="C460" s="83" t="s">
        <v>4532</v>
      </c>
      <c r="D460" s="83" t="s">
        <v>3209</v>
      </c>
      <c r="E460" s="83" t="s">
        <v>3246</v>
      </c>
      <c r="F460" s="83" t="s">
        <v>4533</v>
      </c>
      <c r="G460" s="83" t="s">
        <v>4534</v>
      </c>
      <c r="H460" s="83">
        <v>36</v>
      </c>
      <c r="I460" s="83" t="s">
        <v>3213</v>
      </c>
      <c r="J460" s="83" t="s">
        <v>3219</v>
      </c>
      <c r="K460" s="83" t="s">
        <v>3215</v>
      </c>
    </row>
    <row r="461" spans="1:11" ht="64.5" x14ac:dyDescent="0.25">
      <c r="A461" s="83" t="s">
        <v>1131</v>
      </c>
      <c r="B461" s="83" t="s">
        <v>4535</v>
      </c>
      <c r="C461" s="83" t="s">
        <v>4536</v>
      </c>
      <c r="D461" s="83" t="s">
        <v>3209</v>
      </c>
      <c r="E461" s="83" t="s">
        <v>3246</v>
      </c>
      <c r="F461" s="83" t="s">
        <v>4537</v>
      </c>
      <c r="G461" s="83" t="s">
        <v>4538</v>
      </c>
      <c r="H461" s="83">
        <v>23</v>
      </c>
      <c r="I461" s="83" t="s">
        <v>3213</v>
      </c>
      <c r="J461" s="83" t="s">
        <v>3413</v>
      </c>
      <c r="K461" s="83" t="s">
        <v>3215</v>
      </c>
    </row>
    <row r="462" spans="1:11" ht="51.75" x14ac:dyDescent="0.25">
      <c r="A462" s="83" t="s">
        <v>1141</v>
      </c>
      <c r="B462" s="83" t="s">
        <v>4539</v>
      </c>
      <c r="C462" s="83" t="s">
        <v>4540</v>
      </c>
      <c r="D462" s="83" t="s">
        <v>3209</v>
      </c>
      <c r="E462" s="83" t="s">
        <v>3246</v>
      </c>
      <c r="F462" s="83" t="s">
        <v>4541</v>
      </c>
      <c r="G462" s="83" t="s">
        <v>4542</v>
      </c>
      <c r="H462" s="83">
        <v>50</v>
      </c>
      <c r="I462" s="83" t="s">
        <v>3213</v>
      </c>
      <c r="J462" s="83" t="s">
        <v>3214</v>
      </c>
      <c r="K462" s="83" t="s">
        <v>3215</v>
      </c>
    </row>
    <row r="463" spans="1:11" ht="77.25" x14ac:dyDescent="0.25">
      <c r="A463" s="83" t="s">
        <v>1156</v>
      </c>
      <c r="B463" s="83" t="s">
        <v>4543</v>
      </c>
      <c r="C463" s="83" t="s">
        <v>4544</v>
      </c>
      <c r="D463" s="83" t="s">
        <v>3209</v>
      </c>
      <c r="E463" s="83" t="s">
        <v>3246</v>
      </c>
      <c r="F463" s="83" t="s">
        <v>4545</v>
      </c>
      <c r="G463" s="83" t="s">
        <v>4546</v>
      </c>
      <c r="H463" s="83">
        <v>13.9</v>
      </c>
      <c r="I463" s="83" t="s">
        <v>3213</v>
      </c>
      <c r="J463" s="83" t="s">
        <v>3621</v>
      </c>
      <c r="K463" s="83" t="s">
        <v>3215</v>
      </c>
    </row>
    <row r="464" spans="1:11" ht="26.25" x14ac:dyDescent="0.25">
      <c r="A464" s="83" t="s">
        <v>1157</v>
      </c>
      <c r="B464" s="83" t="s">
        <v>4547</v>
      </c>
      <c r="C464" s="83" t="s">
        <v>4548</v>
      </c>
      <c r="D464" s="83" t="s">
        <v>3209</v>
      </c>
      <c r="E464" s="83" t="s">
        <v>3246</v>
      </c>
      <c r="F464" s="83" t="s">
        <v>4549</v>
      </c>
      <c r="G464" s="83" t="s">
        <v>4550</v>
      </c>
      <c r="H464" s="83">
        <v>1.4</v>
      </c>
      <c r="I464" s="83" t="s">
        <v>3213</v>
      </c>
      <c r="J464" s="83" t="s">
        <v>4176</v>
      </c>
      <c r="K464" s="83" t="s">
        <v>3215</v>
      </c>
    </row>
    <row r="465" spans="1:11" ht="51.75" x14ac:dyDescent="0.25">
      <c r="A465" s="83" t="s">
        <v>1110</v>
      </c>
      <c r="B465" s="83" t="s">
        <v>4551</v>
      </c>
      <c r="C465" s="83" t="s">
        <v>4552</v>
      </c>
      <c r="D465" s="83" t="s">
        <v>3209</v>
      </c>
      <c r="E465" s="83" t="s">
        <v>3246</v>
      </c>
      <c r="F465" s="83" t="s">
        <v>3568</v>
      </c>
      <c r="G465" s="83" t="s">
        <v>3569</v>
      </c>
      <c r="H465" s="83">
        <v>35.5</v>
      </c>
      <c r="I465" s="83" t="s">
        <v>3229</v>
      </c>
      <c r="J465" s="83" t="s">
        <v>3289</v>
      </c>
      <c r="K465" s="83" t="s">
        <v>3215</v>
      </c>
    </row>
    <row r="466" spans="1:11" ht="26.25" x14ac:dyDescent="0.25">
      <c r="A466" s="83" t="s">
        <v>1096</v>
      </c>
      <c r="B466" s="83" t="s">
        <v>4553</v>
      </c>
      <c r="C466" s="83" t="s">
        <v>4554</v>
      </c>
      <c r="D466" s="83" t="s">
        <v>3209</v>
      </c>
      <c r="E466" s="83" t="s">
        <v>3246</v>
      </c>
      <c r="F466" s="83" t="s">
        <v>4555</v>
      </c>
      <c r="G466" s="83" t="s">
        <v>4556</v>
      </c>
      <c r="H466" s="83">
        <v>76</v>
      </c>
      <c r="I466" s="83" t="s">
        <v>3213</v>
      </c>
      <c r="J466" s="83" t="s">
        <v>3747</v>
      </c>
      <c r="K466" s="83" t="s">
        <v>3215</v>
      </c>
    </row>
    <row r="467" spans="1:11" ht="26.25" x14ac:dyDescent="0.25">
      <c r="A467" s="83" t="s">
        <v>1099</v>
      </c>
      <c r="B467" s="83" t="s">
        <v>4557</v>
      </c>
      <c r="C467" s="83" t="s">
        <v>4558</v>
      </c>
      <c r="D467" s="83" t="s">
        <v>3209</v>
      </c>
      <c r="E467" s="83" t="s">
        <v>3246</v>
      </c>
      <c r="F467" s="83" t="s">
        <v>4559</v>
      </c>
      <c r="G467" s="83" t="s">
        <v>3392</v>
      </c>
      <c r="H467" s="83">
        <v>32</v>
      </c>
      <c r="I467" s="83" t="s">
        <v>3229</v>
      </c>
      <c r="J467" s="83" t="s">
        <v>3324</v>
      </c>
      <c r="K467" s="83" t="s">
        <v>3215</v>
      </c>
    </row>
    <row r="468" spans="1:11" ht="26.25" x14ac:dyDescent="0.25">
      <c r="A468" s="83" t="s">
        <v>1043</v>
      </c>
      <c r="B468" s="83" t="s">
        <v>4560</v>
      </c>
      <c r="C468" s="83" t="s">
        <v>4561</v>
      </c>
      <c r="D468" s="83" t="s">
        <v>3209</v>
      </c>
      <c r="E468" s="83" t="s">
        <v>3246</v>
      </c>
      <c r="F468" s="83" t="s">
        <v>4562</v>
      </c>
      <c r="G468" s="83" t="s">
        <v>4563</v>
      </c>
      <c r="H468" s="83">
        <v>1</v>
      </c>
      <c r="I468" s="83" t="s">
        <v>3213</v>
      </c>
      <c r="J468" s="83" t="s">
        <v>3851</v>
      </c>
      <c r="K468" s="83" t="s">
        <v>3215</v>
      </c>
    </row>
    <row r="469" spans="1:11" ht="51.75" x14ac:dyDescent="0.25">
      <c r="A469" s="83" t="s">
        <v>1071</v>
      </c>
      <c r="B469" s="83" t="s">
        <v>4564</v>
      </c>
      <c r="C469" s="83" t="s">
        <v>4565</v>
      </c>
      <c r="D469" s="83" t="s">
        <v>3209</v>
      </c>
      <c r="E469" s="83" t="s">
        <v>3246</v>
      </c>
      <c r="F469" s="83" t="s">
        <v>4566</v>
      </c>
      <c r="G469" s="83" t="s">
        <v>4567</v>
      </c>
      <c r="H469" s="83">
        <v>0.2</v>
      </c>
      <c r="I469" s="83" t="s">
        <v>3229</v>
      </c>
      <c r="J469" s="83" t="s">
        <v>3371</v>
      </c>
      <c r="K469" s="83" t="s">
        <v>3215</v>
      </c>
    </row>
    <row r="470" spans="1:11" ht="51.75" x14ac:dyDescent="0.25">
      <c r="A470" s="83" t="s">
        <v>1079</v>
      </c>
      <c r="B470" s="83" t="s">
        <v>4568</v>
      </c>
      <c r="C470" s="83" t="s">
        <v>4569</v>
      </c>
      <c r="D470" s="83" t="s">
        <v>3209</v>
      </c>
      <c r="E470" s="83" t="s">
        <v>3246</v>
      </c>
      <c r="F470" s="83" t="s">
        <v>4570</v>
      </c>
      <c r="G470" s="83" t="s">
        <v>4571</v>
      </c>
      <c r="H470" s="83">
        <v>16</v>
      </c>
      <c r="I470" s="83" t="s">
        <v>3229</v>
      </c>
      <c r="J470" s="83" t="s">
        <v>3337</v>
      </c>
      <c r="K470" s="83" t="s">
        <v>3215</v>
      </c>
    </row>
    <row r="471" spans="1:11" ht="51.75" x14ac:dyDescent="0.25">
      <c r="A471" s="83" t="s">
        <v>1004</v>
      </c>
      <c r="B471" s="83" t="s">
        <v>4572</v>
      </c>
      <c r="C471" s="83" t="s">
        <v>4573</v>
      </c>
      <c r="D471" s="83" t="s">
        <v>3209</v>
      </c>
      <c r="E471" s="83" t="s">
        <v>3246</v>
      </c>
      <c r="F471" s="83" t="s">
        <v>4574</v>
      </c>
      <c r="G471" s="83" t="s">
        <v>3288</v>
      </c>
      <c r="H471" s="83">
        <v>55</v>
      </c>
      <c r="I471" s="83" t="s">
        <v>3229</v>
      </c>
      <c r="J471" s="83" t="s">
        <v>3289</v>
      </c>
      <c r="K471" s="83" t="s">
        <v>3215</v>
      </c>
    </row>
    <row r="472" spans="1:11" ht="51.75" x14ac:dyDescent="0.25">
      <c r="A472" s="83" t="s">
        <v>1243</v>
      </c>
      <c r="B472" s="83" t="s">
        <v>4575</v>
      </c>
      <c r="C472" s="83" t="s">
        <v>4576</v>
      </c>
      <c r="D472" s="83" t="s">
        <v>3209</v>
      </c>
      <c r="E472" s="83" t="s">
        <v>3246</v>
      </c>
      <c r="F472" s="83" t="s">
        <v>4577</v>
      </c>
      <c r="G472" s="83" t="s">
        <v>3791</v>
      </c>
      <c r="H472" s="83">
        <v>12</v>
      </c>
      <c r="I472" s="83" t="s">
        <v>3229</v>
      </c>
      <c r="J472" s="83" t="s">
        <v>3238</v>
      </c>
      <c r="K472" s="83" t="s">
        <v>3215</v>
      </c>
    </row>
    <row r="473" spans="1:11" ht="51.75" x14ac:dyDescent="0.25">
      <c r="A473" s="83" t="s">
        <v>1230</v>
      </c>
      <c r="B473" s="83" t="s">
        <v>4578</v>
      </c>
      <c r="C473" s="83" t="s">
        <v>4579</v>
      </c>
      <c r="D473" s="83" t="s">
        <v>3209</v>
      </c>
      <c r="E473" s="83" t="s">
        <v>3246</v>
      </c>
      <c r="F473" s="83" t="s">
        <v>4580</v>
      </c>
      <c r="G473" s="83" t="s">
        <v>4581</v>
      </c>
      <c r="H473" s="83">
        <v>1.3</v>
      </c>
      <c r="I473" s="83" t="s">
        <v>3229</v>
      </c>
      <c r="J473" s="83" t="s">
        <v>3371</v>
      </c>
      <c r="K473" s="83" t="s">
        <v>3215</v>
      </c>
    </row>
    <row r="474" spans="1:11" ht="51.75" x14ac:dyDescent="0.25">
      <c r="A474" s="83" t="s">
        <v>128</v>
      </c>
      <c r="B474" s="83" t="s">
        <v>4582</v>
      </c>
      <c r="C474" s="83" t="s">
        <v>4583</v>
      </c>
      <c r="D474" s="83" t="s">
        <v>3209</v>
      </c>
      <c r="E474" s="83" t="s">
        <v>3246</v>
      </c>
      <c r="F474" s="83" t="s">
        <v>4584</v>
      </c>
      <c r="G474" s="83" t="s">
        <v>4585</v>
      </c>
      <c r="H474" s="83">
        <v>208</v>
      </c>
      <c r="I474" s="83" t="s">
        <v>3213</v>
      </c>
      <c r="J474" s="83" t="s">
        <v>3257</v>
      </c>
      <c r="K474" s="83" t="s">
        <v>3215</v>
      </c>
    </row>
    <row r="475" spans="1:11" ht="51.75" x14ac:dyDescent="0.25">
      <c r="A475" s="83" t="s">
        <v>1212</v>
      </c>
      <c r="B475" s="83" t="s">
        <v>4586</v>
      </c>
      <c r="C475" s="83" t="s">
        <v>4587</v>
      </c>
      <c r="D475" s="83" t="s">
        <v>3209</v>
      </c>
      <c r="E475" s="83" t="s">
        <v>3246</v>
      </c>
      <c r="F475" s="83" t="s">
        <v>4588</v>
      </c>
      <c r="G475" s="83" t="s">
        <v>4589</v>
      </c>
      <c r="H475" s="83">
        <v>2.8</v>
      </c>
      <c r="I475" s="83" t="s">
        <v>3229</v>
      </c>
      <c r="J475" s="83" t="s">
        <v>3371</v>
      </c>
      <c r="K475" s="83" t="s">
        <v>3215</v>
      </c>
    </row>
    <row r="476" spans="1:11" ht="51.75" x14ac:dyDescent="0.25">
      <c r="A476" s="83" t="s">
        <v>1195</v>
      </c>
      <c r="B476" s="83" t="s">
        <v>4590</v>
      </c>
      <c r="C476" s="83" t="s">
        <v>4591</v>
      </c>
      <c r="D476" s="83" t="s">
        <v>3209</v>
      </c>
      <c r="E476" s="83" t="s">
        <v>3246</v>
      </c>
      <c r="F476" s="83" t="s">
        <v>4592</v>
      </c>
      <c r="G476" s="83" t="s">
        <v>4593</v>
      </c>
      <c r="H476" s="83">
        <v>7.5</v>
      </c>
      <c r="I476" s="83" t="s">
        <v>3229</v>
      </c>
      <c r="J476" s="83" t="s">
        <v>3289</v>
      </c>
      <c r="K476" s="83" t="s">
        <v>3215</v>
      </c>
    </row>
    <row r="477" spans="1:11" ht="51.75" x14ac:dyDescent="0.25">
      <c r="A477" s="83" t="s">
        <v>1203</v>
      </c>
      <c r="B477" s="83" t="s">
        <v>4594</v>
      </c>
      <c r="C477" s="83" t="s">
        <v>4595</v>
      </c>
      <c r="D477" s="83" t="s">
        <v>3209</v>
      </c>
      <c r="E477" s="83" t="s">
        <v>3246</v>
      </c>
      <c r="F477" s="83" t="s">
        <v>4596</v>
      </c>
      <c r="G477" s="83" t="s">
        <v>4597</v>
      </c>
      <c r="H477" s="83">
        <v>4.7</v>
      </c>
      <c r="I477" s="83" t="s">
        <v>3229</v>
      </c>
      <c r="J477" s="83" t="s">
        <v>3230</v>
      </c>
      <c r="K477" s="83" t="s">
        <v>3215</v>
      </c>
    </row>
    <row r="478" spans="1:11" ht="64.5" x14ac:dyDescent="0.25">
      <c r="A478" s="83" t="s">
        <v>1185</v>
      </c>
      <c r="B478" s="83" t="s">
        <v>4598</v>
      </c>
      <c r="C478" s="83" t="s">
        <v>4599</v>
      </c>
      <c r="D478" s="83" t="s">
        <v>3209</v>
      </c>
      <c r="E478" s="83" t="s">
        <v>3246</v>
      </c>
      <c r="F478" s="83" t="s">
        <v>4600</v>
      </c>
      <c r="G478" s="83" t="s">
        <v>4601</v>
      </c>
      <c r="H478" s="83">
        <v>26</v>
      </c>
      <c r="I478" s="83" t="s">
        <v>3213</v>
      </c>
      <c r="J478" s="83" t="s">
        <v>3262</v>
      </c>
      <c r="K478" s="83" t="s">
        <v>3215</v>
      </c>
    </row>
    <row r="479" spans="1:11" ht="64.5" x14ac:dyDescent="0.25">
      <c r="A479" s="83" t="s">
        <v>1165</v>
      </c>
      <c r="B479" s="83" t="s">
        <v>4602</v>
      </c>
      <c r="C479" s="83" t="s">
        <v>4603</v>
      </c>
      <c r="D479" s="83" t="s">
        <v>3209</v>
      </c>
      <c r="E479" s="83" t="s">
        <v>3246</v>
      </c>
      <c r="F479" s="83" t="s">
        <v>3480</v>
      </c>
      <c r="G479" s="83" t="s">
        <v>4604</v>
      </c>
      <c r="H479" s="83">
        <v>70</v>
      </c>
      <c r="I479" s="83" t="s">
        <v>3213</v>
      </c>
      <c r="J479" s="83" t="s">
        <v>3413</v>
      </c>
      <c r="K479" s="83" t="s">
        <v>3215</v>
      </c>
    </row>
    <row r="480" spans="1:11" ht="26.25" x14ac:dyDescent="0.25">
      <c r="A480" s="83" t="s">
        <v>846</v>
      </c>
      <c r="B480" s="83" t="s">
        <v>4605</v>
      </c>
      <c r="C480" s="83" t="s">
        <v>4606</v>
      </c>
      <c r="D480" s="83" t="s">
        <v>3209</v>
      </c>
      <c r="E480" s="83" t="s">
        <v>3246</v>
      </c>
      <c r="F480" s="83" t="s">
        <v>3652</v>
      </c>
      <c r="G480" s="83" t="s">
        <v>4607</v>
      </c>
      <c r="H480" s="83">
        <v>1.9</v>
      </c>
      <c r="I480" s="83" t="s">
        <v>3213</v>
      </c>
      <c r="J480" s="83" t="s">
        <v>3467</v>
      </c>
      <c r="K480" s="83" t="s">
        <v>3215</v>
      </c>
    </row>
    <row r="481" spans="1:11" ht="26.25" x14ac:dyDescent="0.25">
      <c r="A481" s="83" t="s">
        <v>857</v>
      </c>
      <c r="B481" s="83" t="s">
        <v>4608</v>
      </c>
      <c r="C481" s="83" t="s">
        <v>4609</v>
      </c>
      <c r="D481" s="83" t="s">
        <v>3209</v>
      </c>
      <c r="E481" s="83" t="s">
        <v>3246</v>
      </c>
      <c r="F481" s="83" t="s">
        <v>3652</v>
      </c>
      <c r="G481" s="83" t="s">
        <v>4610</v>
      </c>
      <c r="H481" s="83">
        <v>4.2</v>
      </c>
      <c r="I481" s="83" t="s">
        <v>3213</v>
      </c>
      <c r="J481" s="83" t="s">
        <v>3467</v>
      </c>
      <c r="K481" s="83" t="s">
        <v>3215</v>
      </c>
    </row>
    <row r="482" spans="1:11" ht="51.75" x14ac:dyDescent="0.25">
      <c r="A482" s="83" t="s">
        <v>836</v>
      </c>
      <c r="B482" s="83" t="s">
        <v>4611</v>
      </c>
      <c r="C482" s="83" t="s">
        <v>4612</v>
      </c>
      <c r="D482" s="83" t="s">
        <v>3209</v>
      </c>
      <c r="E482" s="83" t="s">
        <v>3246</v>
      </c>
      <c r="F482" s="83" t="s">
        <v>4613</v>
      </c>
      <c r="G482" s="83" t="s">
        <v>4515</v>
      </c>
      <c r="H482" s="83">
        <v>3</v>
      </c>
      <c r="I482" s="83" t="s">
        <v>3229</v>
      </c>
      <c r="J482" s="83" t="s">
        <v>3337</v>
      </c>
      <c r="K482" s="83" t="s">
        <v>3215</v>
      </c>
    </row>
    <row r="483" spans="1:11" x14ac:dyDescent="0.25">
      <c r="A483" s="83" t="s">
        <v>4614</v>
      </c>
      <c r="B483" s="83" t="s">
        <v>3208</v>
      </c>
      <c r="C483" s="83" t="s">
        <v>3208</v>
      </c>
      <c r="D483" s="83" t="s">
        <v>3209</v>
      </c>
      <c r="E483" s="83" t="s">
        <v>3663</v>
      </c>
      <c r="F483" s="83" t="s">
        <v>4615</v>
      </c>
      <c r="G483" s="83" t="s">
        <v>3208</v>
      </c>
      <c r="H483" s="83">
        <v>0</v>
      </c>
      <c r="I483" s="83" t="s">
        <v>3208</v>
      </c>
      <c r="J483" s="83" t="s">
        <v>3208</v>
      </c>
      <c r="K483" s="83" t="s">
        <v>3208</v>
      </c>
    </row>
    <row r="484" spans="1:11" ht="51.75" x14ac:dyDescent="0.25">
      <c r="A484" s="83" t="s">
        <v>985</v>
      </c>
      <c r="B484" s="83" t="s">
        <v>4616</v>
      </c>
      <c r="C484" s="83" t="s">
        <v>4617</v>
      </c>
      <c r="D484" s="83" t="s">
        <v>3209</v>
      </c>
      <c r="E484" s="83" t="s">
        <v>3246</v>
      </c>
      <c r="F484" s="83" t="s">
        <v>4618</v>
      </c>
      <c r="G484" s="83" t="s">
        <v>3362</v>
      </c>
      <c r="H484" s="83">
        <v>1896</v>
      </c>
      <c r="I484" s="83" t="s">
        <v>3229</v>
      </c>
      <c r="J484" s="83" t="s">
        <v>3371</v>
      </c>
      <c r="K484" s="83" t="s">
        <v>3215</v>
      </c>
    </row>
    <row r="485" spans="1:11" ht="64.5" x14ac:dyDescent="0.25">
      <c r="A485" s="83" t="s">
        <v>959</v>
      </c>
      <c r="B485" s="83" t="s">
        <v>4619</v>
      </c>
      <c r="C485" s="83" t="s">
        <v>4620</v>
      </c>
      <c r="D485" s="83" t="s">
        <v>3209</v>
      </c>
      <c r="E485" s="83" t="s">
        <v>3246</v>
      </c>
      <c r="F485" s="83" t="s">
        <v>4621</v>
      </c>
      <c r="G485" s="83" t="s">
        <v>4622</v>
      </c>
      <c r="H485" s="83">
        <v>5.5</v>
      </c>
      <c r="I485" s="83" t="s">
        <v>3229</v>
      </c>
      <c r="J485" s="83" t="s">
        <v>3380</v>
      </c>
      <c r="K485" s="83" t="s">
        <v>3215</v>
      </c>
    </row>
    <row r="486" spans="1:11" ht="51.75" x14ac:dyDescent="0.25">
      <c r="A486" s="83" t="s">
        <v>822</v>
      </c>
      <c r="B486" s="83" t="s">
        <v>4623</v>
      </c>
      <c r="C486" s="83" t="s">
        <v>4624</v>
      </c>
      <c r="D486" s="83" t="s">
        <v>3209</v>
      </c>
      <c r="E486" s="83" t="s">
        <v>3246</v>
      </c>
      <c r="F486" s="83" t="s">
        <v>4625</v>
      </c>
      <c r="G486" s="83" t="s">
        <v>3520</v>
      </c>
      <c r="H486" s="83">
        <v>12.5</v>
      </c>
      <c r="I486" s="83" t="s">
        <v>3229</v>
      </c>
      <c r="J486" s="83" t="s">
        <v>3521</v>
      </c>
      <c r="K486" s="83" t="s">
        <v>3215</v>
      </c>
    </row>
    <row r="487" spans="1:11" ht="39" x14ac:dyDescent="0.25">
      <c r="A487" s="83" t="s">
        <v>890</v>
      </c>
      <c r="B487" s="83" t="s">
        <v>4626</v>
      </c>
      <c r="C487" s="83" t="s">
        <v>4627</v>
      </c>
      <c r="D487" s="83" t="s">
        <v>3209</v>
      </c>
      <c r="E487" s="83" t="s">
        <v>3246</v>
      </c>
      <c r="F487" s="83" t="s">
        <v>4628</v>
      </c>
      <c r="G487" s="83" t="s">
        <v>4629</v>
      </c>
      <c r="H487" s="83">
        <v>3.4</v>
      </c>
      <c r="I487" s="83" t="s">
        <v>3229</v>
      </c>
      <c r="J487" s="83" t="s">
        <v>3241</v>
      </c>
      <c r="K487" s="83" t="s">
        <v>3215</v>
      </c>
    </row>
    <row r="488" spans="1:11" ht="51.75" x14ac:dyDescent="0.25">
      <c r="A488" s="83" t="s">
        <v>166</v>
      </c>
      <c r="B488" s="83" t="s">
        <v>4630</v>
      </c>
      <c r="C488" s="83" t="s">
        <v>4631</v>
      </c>
      <c r="D488" s="83" t="s">
        <v>3209</v>
      </c>
      <c r="E488" s="83" t="s">
        <v>3246</v>
      </c>
      <c r="F488" s="83" t="s">
        <v>4632</v>
      </c>
      <c r="G488" s="83" t="s">
        <v>4633</v>
      </c>
      <c r="H488" s="83">
        <v>40</v>
      </c>
      <c r="I488" s="83" t="s">
        <v>3229</v>
      </c>
      <c r="J488" s="83" t="s">
        <v>3371</v>
      </c>
      <c r="K488" s="83" t="s">
        <v>3215</v>
      </c>
    </row>
    <row r="489" spans="1:11" ht="51.75" x14ac:dyDescent="0.25">
      <c r="A489" s="83" t="s">
        <v>870</v>
      </c>
      <c r="B489" s="83" t="s">
        <v>4634</v>
      </c>
      <c r="C489" s="83" t="s">
        <v>4635</v>
      </c>
      <c r="D489" s="83" t="s">
        <v>3209</v>
      </c>
      <c r="E489" s="83" t="s">
        <v>3246</v>
      </c>
      <c r="F489" s="83" t="s">
        <v>4636</v>
      </c>
      <c r="G489" s="83" t="s">
        <v>3520</v>
      </c>
      <c r="H489" s="83">
        <v>3222</v>
      </c>
      <c r="I489" s="83" t="s">
        <v>3229</v>
      </c>
      <c r="J489" s="83" t="s">
        <v>3521</v>
      </c>
      <c r="K489" s="83" t="s">
        <v>3215</v>
      </c>
    </row>
    <row r="490" spans="1:11" x14ac:dyDescent="0.25">
      <c r="A490" s="83" t="s">
        <v>4637</v>
      </c>
      <c r="B490" s="83" t="s">
        <v>3208</v>
      </c>
      <c r="C490" s="83" t="s">
        <v>3208</v>
      </c>
      <c r="D490" s="83" t="s">
        <v>3209</v>
      </c>
      <c r="E490" s="83" t="s">
        <v>3663</v>
      </c>
      <c r="F490" s="83" t="s">
        <v>4638</v>
      </c>
      <c r="G490" s="83" t="s">
        <v>4639</v>
      </c>
      <c r="H490" s="83">
        <v>129</v>
      </c>
      <c r="I490" s="83" t="s">
        <v>3208</v>
      </c>
      <c r="J490" s="83" t="s">
        <v>3208</v>
      </c>
      <c r="K490" s="83" t="s">
        <v>3208</v>
      </c>
    </row>
    <row r="491" spans="1:11" x14ac:dyDescent="0.25">
      <c r="A491" s="83" t="s">
        <v>4640</v>
      </c>
      <c r="B491" s="83" t="s">
        <v>3208</v>
      </c>
      <c r="C491" s="83" t="s">
        <v>3208</v>
      </c>
      <c r="D491" s="83" t="s">
        <v>3209</v>
      </c>
      <c r="E491" s="83" t="s">
        <v>3663</v>
      </c>
      <c r="F491" s="83" t="s">
        <v>4641</v>
      </c>
      <c r="G491" s="83" t="s">
        <v>4642</v>
      </c>
      <c r="H491" s="83">
        <v>48</v>
      </c>
      <c r="I491" s="83" t="s">
        <v>3208</v>
      </c>
      <c r="J491" s="83" t="s">
        <v>3208</v>
      </c>
      <c r="K491" s="83" t="s">
        <v>3208</v>
      </c>
    </row>
    <row r="492" spans="1:11" x14ac:dyDescent="0.25">
      <c r="A492" s="83" t="s">
        <v>4643</v>
      </c>
      <c r="B492" s="83" t="s">
        <v>3208</v>
      </c>
      <c r="C492" s="83" t="s">
        <v>3208</v>
      </c>
      <c r="D492" s="83" t="s">
        <v>3209</v>
      </c>
      <c r="E492" s="83" t="s">
        <v>3663</v>
      </c>
      <c r="F492" s="83" t="s">
        <v>4644</v>
      </c>
      <c r="G492" s="83" t="s">
        <v>4645</v>
      </c>
      <c r="H492" s="83">
        <v>19</v>
      </c>
      <c r="I492" s="83" t="s">
        <v>3208</v>
      </c>
      <c r="J492" s="83" t="s">
        <v>3208</v>
      </c>
      <c r="K492" s="83" t="s">
        <v>3208</v>
      </c>
    </row>
    <row r="493" spans="1:11" x14ac:dyDescent="0.25">
      <c r="A493" s="83" t="s">
        <v>4646</v>
      </c>
      <c r="B493" s="83" t="s">
        <v>3208</v>
      </c>
      <c r="C493" s="83" t="s">
        <v>3208</v>
      </c>
      <c r="D493" s="83" t="s">
        <v>3209</v>
      </c>
      <c r="E493" s="83" t="s">
        <v>3663</v>
      </c>
      <c r="F493" s="83" t="s">
        <v>4647</v>
      </c>
      <c r="G493" s="83" t="s">
        <v>4648</v>
      </c>
      <c r="H493" s="83">
        <v>0</v>
      </c>
      <c r="I493" s="83" t="s">
        <v>3208</v>
      </c>
      <c r="J493" s="83" t="s">
        <v>3208</v>
      </c>
      <c r="K493" s="83" t="s">
        <v>3208</v>
      </c>
    </row>
    <row r="494" spans="1:11" x14ac:dyDescent="0.25">
      <c r="A494" s="83" t="s">
        <v>4649</v>
      </c>
      <c r="B494" s="83" t="s">
        <v>3208</v>
      </c>
      <c r="C494" s="83" t="s">
        <v>3208</v>
      </c>
      <c r="D494" s="83" t="s">
        <v>3209</v>
      </c>
      <c r="E494" s="83" t="s">
        <v>3663</v>
      </c>
      <c r="F494" s="83" t="s">
        <v>4650</v>
      </c>
      <c r="G494" s="83" t="s">
        <v>4651</v>
      </c>
      <c r="H494" s="83">
        <v>0</v>
      </c>
      <c r="I494" s="83" t="s">
        <v>3208</v>
      </c>
      <c r="J494" s="83" t="s">
        <v>3208</v>
      </c>
      <c r="K494" s="83" t="s">
        <v>3208</v>
      </c>
    </row>
    <row r="495" spans="1:11" x14ac:dyDescent="0.25">
      <c r="A495" s="83" t="s">
        <v>4652</v>
      </c>
      <c r="B495" s="83" t="s">
        <v>4653</v>
      </c>
      <c r="C495" s="83" t="s">
        <v>4654</v>
      </c>
      <c r="D495" s="83" t="s">
        <v>3209</v>
      </c>
      <c r="E495" s="83" t="s">
        <v>3702</v>
      </c>
      <c r="F495" s="83" t="s">
        <v>4655</v>
      </c>
      <c r="G495" s="83" t="s">
        <v>3208</v>
      </c>
      <c r="H495" s="83">
        <v>0</v>
      </c>
      <c r="I495" s="83" t="s">
        <v>3208</v>
      </c>
      <c r="J495" s="83" t="s">
        <v>3208</v>
      </c>
      <c r="K495" s="83" t="s">
        <v>3208</v>
      </c>
    </row>
    <row r="496" spans="1:11" x14ac:dyDescent="0.25">
      <c r="A496" s="83" t="s">
        <v>4656</v>
      </c>
      <c r="B496" s="83" t="s">
        <v>4657</v>
      </c>
      <c r="C496" s="83" t="s">
        <v>4658</v>
      </c>
      <c r="D496" s="83" t="s">
        <v>3209</v>
      </c>
      <c r="E496" s="83" t="s">
        <v>3702</v>
      </c>
      <c r="F496" s="83" t="s">
        <v>4659</v>
      </c>
      <c r="G496" s="83" t="s">
        <v>4660</v>
      </c>
      <c r="H496" s="83">
        <v>0</v>
      </c>
      <c r="I496" s="83" t="s">
        <v>3208</v>
      </c>
      <c r="J496" s="83" t="s">
        <v>3208</v>
      </c>
      <c r="K496" s="83" t="s">
        <v>3208</v>
      </c>
    </row>
    <row r="497" spans="1:11" x14ac:dyDescent="0.25">
      <c r="A497" s="83" t="s">
        <v>4661</v>
      </c>
      <c r="B497" s="83" t="s">
        <v>4662</v>
      </c>
      <c r="C497" s="83" t="s">
        <v>4663</v>
      </c>
      <c r="D497" s="83" t="s">
        <v>3209</v>
      </c>
      <c r="E497" s="83" t="s">
        <v>3702</v>
      </c>
      <c r="F497" s="83" t="s">
        <v>4664</v>
      </c>
      <c r="G497" s="83" t="s">
        <v>4665</v>
      </c>
      <c r="H497" s="83">
        <v>0</v>
      </c>
      <c r="I497" s="83" t="s">
        <v>3208</v>
      </c>
      <c r="J497" s="83" t="s">
        <v>3208</v>
      </c>
      <c r="K497" s="83" t="s">
        <v>3208</v>
      </c>
    </row>
    <row r="498" spans="1:11" x14ac:dyDescent="0.25">
      <c r="A498" s="83" t="s">
        <v>4666</v>
      </c>
      <c r="B498" s="83" t="s">
        <v>4667</v>
      </c>
      <c r="C498" s="83" t="s">
        <v>4668</v>
      </c>
      <c r="D498" s="83" t="s">
        <v>3209</v>
      </c>
      <c r="E498" s="83" t="s">
        <v>3702</v>
      </c>
      <c r="F498" s="83" t="s">
        <v>4669</v>
      </c>
      <c r="G498" s="83" t="s">
        <v>4670</v>
      </c>
      <c r="H498" s="83">
        <v>3.5</v>
      </c>
      <c r="I498" s="83" t="s">
        <v>3208</v>
      </c>
      <c r="J498" s="83" t="s">
        <v>3208</v>
      </c>
      <c r="K498" s="83" t="s">
        <v>3208</v>
      </c>
    </row>
    <row r="499" spans="1:11" x14ac:dyDescent="0.25">
      <c r="A499" s="83" t="s">
        <v>4671</v>
      </c>
      <c r="B499" s="83" t="s">
        <v>4672</v>
      </c>
      <c r="C499" s="83" t="s">
        <v>4673</v>
      </c>
      <c r="D499" s="83" t="s">
        <v>3209</v>
      </c>
      <c r="E499" s="83" t="s">
        <v>3702</v>
      </c>
      <c r="F499" s="83" t="s">
        <v>4674</v>
      </c>
      <c r="G499" s="83" t="s">
        <v>4675</v>
      </c>
      <c r="H499" s="83">
        <v>2.7</v>
      </c>
      <c r="I499" s="83" t="s">
        <v>3208</v>
      </c>
      <c r="J499" s="83" t="s">
        <v>3208</v>
      </c>
      <c r="K499" s="83" t="s">
        <v>3208</v>
      </c>
    </row>
    <row r="500" spans="1:11" x14ac:dyDescent="0.25">
      <c r="A500" s="83" t="s">
        <v>4676</v>
      </c>
      <c r="B500" s="83" t="s">
        <v>4677</v>
      </c>
      <c r="C500" s="83" t="s">
        <v>3208</v>
      </c>
      <c r="D500" s="83" t="s">
        <v>3209</v>
      </c>
      <c r="E500" s="83" t="s">
        <v>3702</v>
      </c>
      <c r="F500" s="83" t="s">
        <v>4678</v>
      </c>
      <c r="G500" s="83" t="s">
        <v>3208</v>
      </c>
      <c r="H500" s="83">
        <v>17.600000000000001</v>
      </c>
      <c r="I500" s="83" t="s">
        <v>3208</v>
      </c>
      <c r="J500" s="83" t="s">
        <v>3208</v>
      </c>
      <c r="K500" s="83" t="s">
        <v>3208</v>
      </c>
    </row>
    <row r="501" spans="1:11" x14ac:dyDescent="0.25">
      <c r="A501" s="83" t="s">
        <v>4679</v>
      </c>
      <c r="B501" s="83" t="s">
        <v>4680</v>
      </c>
      <c r="C501" s="83" t="s">
        <v>3208</v>
      </c>
      <c r="D501" s="83" t="s">
        <v>3209</v>
      </c>
      <c r="E501" s="83" t="s">
        <v>3702</v>
      </c>
      <c r="F501" s="83" t="s">
        <v>4681</v>
      </c>
      <c r="G501" s="83" t="s">
        <v>4682</v>
      </c>
      <c r="H501" s="83">
        <v>0</v>
      </c>
      <c r="I501" s="83" t="s">
        <v>3208</v>
      </c>
      <c r="J501" s="83" t="s">
        <v>3208</v>
      </c>
      <c r="K501" s="83" t="s">
        <v>3208</v>
      </c>
    </row>
    <row r="502" spans="1:11" ht="26.25" x14ac:dyDescent="0.25">
      <c r="A502" s="83" t="s">
        <v>4683</v>
      </c>
      <c r="B502" s="83" t="s">
        <v>3208</v>
      </c>
      <c r="C502" s="83" t="s">
        <v>4684</v>
      </c>
      <c r="D502" s="83" t="s">
        <v>3718</v>
      </c>
      <c r="E502" s="83" t="s">
        <v>3702</v>
      </c>
      <c r="F502" s="83" t="s">
        <v>4685</v>
      </c>
      <c r="G502" s="83" t="s">
        <v>4686</v>
      </c>
      <c r="H502" s="83">
        <v>5</v>
      </c>
      <c r="I502" s="83" t="s">
        <v>3208</v>
      </c>
      <c r="J502" s="83" t="s">
        <v>3208</v>
      </c>
      <c r="K502" s="83" t="s">
        <v>3208</v>
      </c>
    </row>
    <row r="503" spans="1:11" ht="26.25" x14ac:dyDescent="0.25">
      <c r="A503" s="83" t="s">
        <v>4687</v>
      </c>
      <c r="B503" s="83" t="s">
        <v>3208</v>
      </c>
      <c r="C503" s="83" t="s">
        <v>4688</v>
      </c>
      <c r="D503" s="83" t="s">
        <v>3718</v>
      </c>
      <c r="E503" s="83" t="s">
        <v>3702</v>
      </c>
      <c r="F503" s="83" t="s">
        <v>4689</v>
      </c>
      <c r="G503" s="83" t="s">
        <v>4690</v>
      </c>
      <c r="H503" s="83">
        <v>2</v>
      </c>
      <c r="I503" s="83" t="s">
        <v>3208</v>
      </c>
      <c r="J503" s="83" t="s">
        <v>3208</v>
      </c>
      <c r="K503" s="83" t="s">
        <v>3208</v>
      </c>
    </row>
    <row r="504" spans="1:11" ht="26.25" x14ac:dyDescent="0.25">
      <c r="A504" s="83" t="s">
        <v>4691</v>
      </c>
      <c r="B504" s="83" t="s">
        <v>3208</v>
      </c>
      <c r="C504" s="83" t="s">
        <v>4692</v>
      </c>
      <c r="D504" s="83" t="s">
        <v>3718</v>
      </c>
      <c r="E504" s="83" t="s">
        <v>3702</v>
      </c>
      <c r="F504" s="83" t="s">
        <v>4689</v>
      </c>
      <c r="G504" s="83" t="s">
        <v>4693</v>
      </c>
      <c r="H504" s="83">
        <v>2</v>
      </c>
      <c r="I504" s="83" t="s">
        <v>3208</v>
      </c>
      <c r="J504" s="83" t="s">
        <v>3208</v>
      </c>
      <c r="K504" s="83" t="s">
        <v>3208</v>
      </c>
    </row>
    <row r="505" spans="1:11" ht="51.75" x14ac:dyDescent="0.25">
      <c r="A505" s="83" t="s">
        <v>990</v>
      </c>
      <c r="B505" s="83" t="s">
        <v>3208</v>
      </c>
      <c r="C505" s="83" t="s">
        <v>4694</v>
      </c>
      <c r="D505" s="83" t="s">
        <v>3752</v>
      </c>
      <c r="E505" s="83" t="s">
        <v>3723</v>
      </c>
      <c r="F505" s="83" t="s">
        <v>4695</v>
      </c>
      <c r="G505" s="83" t="s">
        <v>4434</v>
      </c>
      <c r="H505" s="83">
        <v>0</v>
      </c>
      <c r="I505" s="83" t="s">
        <v>3229</v>
      </c>
      <c r="J505" s="83" t="s">
        <v>3730</v>
      </c>
      <c r="K505" s="83" t="s">
        <v>3215</v>
      </c>
    </row>
    <row r="506" spans="1:11" ht="26.25" x14ac:dyDescent="0.25">
      <c r="A506" s="83" t="s">
        <v>562</v>
      </c>
      <c r="B506" s="83" t="s">
        <v>3208</v>
      </c>
      <c r="C506" s="83" t="s">
        <v>4696</v>
      </c>
      <c r="D506" s="83" t="s">
        <v>3718</v>
      </c>
      <c r="E506" s="83" t="s">
        <v>3727</v>
      </c>
      <c r="F506" s="83" t="s">
        <v>3735</v>
      </c>
      <c r="G506" s="83" t="s">
        <v>4697</v>
      </c>
      <c r="H506" s="83">
        <v>9</v>
      </c>
      <c r="I506" s="83" t="s">
        <v>3213</v>
      </c>
      <c r="J506" s="83" t="s">
        <v>3467</v>
      </c>
      <c r="K506" s="83" t="s">
        <v>3215</v>
      </c>
    </row>
    <row r="507" spans="1:11" ht="26.25" x14ac:dyDescent="0.25">
      <c r="A507" s="83" t="s">
        <v>563</v>
      </c>
      <c r="B507" s="83" t="s">
        <v>3208</v>
      </c>
      <c r="C507" s="83" t="s">
        <v>4698</v>
      </c>
      <c r="D507" s="83" t="s">
        <v>3718</v>
      </c>
      <c r="E507" s="83" t="s">
        <v>3727</v>
      </c>
      <c r="F507" s="83" t="s">
        <v>3735</v>
      </c>
      <c r="G507" s="83" t="s">
        <v>4699</v>
      </c>
      <c r="H507" s="83">
        <v>1.5</v>
      </c>
      <c r="I507" s="83" t="s">
        <v>3213</v>
      </c>
      <c r="J507" s="83" t="s">
        <v>3467</v>
      </c>
      <c r="K507" s="83" t="s">
        <v>3215</v>
      </c>
    </row>
    <row r="508" spans="1:11" ht="26.25" x14ac:dyDescent="0.25">
      <c r="A508" s="83" t="s">
        <v>531</v>
      </c>
      <c r="B508" s="83" t="s">
        <v>3208</v>
      </c>
      <c r="C508" s="83" t="s">
        <v>4700</v>
      </c>
      <c r="D508" s="83" t="s">
        <v>3718</v>
      </c>
      <c r="E508" s="83" t="s">
        <v>3727</v>
      </c>
      <c r="F508" s="83" t="s">
        <v>4701</v>
      </c>
      <c r="G508" s="83" t="s">
        <v>4702</v>
      </c>
      <c r="H508" s="83">
        <v>6.8</v>
      </c>
      <c r="I508" s="83" t="s">
        <v>3213</v>
      </c>
      <c r="J508" s="83" t="s">
        <v>3467</v>
      </c>
      <c r="K508" s="83" t="s">
        <v>3215</v>
      </c>
    </row>
    <row r="509" spans="1:11" ht="64.5" x14ac:dyDescent="0.25">
      <c r="A509" s="83" t="s">
        <v>523</v>
      </c>
      <c r="B509" s="83" t="s">
        <v>3208</v>
      </c>
      <c r="C509" s="83" t="s">
        <v>4703</v>
      </c>
      <c r="D509" s="83" t="s">
        <v>3741</v>
      </c>
      <c r="E509" s="83" t="s">
        <v>3727</v>
      </c>
      <c r="F509" s="83" t="s">
        <v>3749</v>
      </c>
      <c r="G509" s="83" t="s">
        <v>3750</v>
      </c>
      <c r="H509" s="83">
        <v>5.5</v>
      </c>
      <c r="I509" s="83" t="s">
        <v>3213</v>
      </c>
      <c r="J509" s="83" t="s">
        <v>3219</v>
      </c>
      <c r="K509" s="83" t="s">
        <v>3215</v>
      </c>
    </row>
    <row r="510" spans="1:11" ht="64.5" x14ac:dyDescent="0.25">
      <c r="A510" s="83" t="s">
        <v>976</v>
      </c>
      <c r="B510" s="83" t="s">
        <v>3208</v>
      </c>
      <c r="C510" s="83" t="s">
        <v>4704</v>
      </c>
      <c r="D510" s="83" t="s">
        <v>3752</v>
      </c>
      <c r="E510" s="83" t="s">
        <v>3723</v>
      </c>
      <c r="F510" s="83" t="s">
        <v>3753</v>
      </c>
      <c r="G510" s="83" t="s">
        <v>3754</v>
      </c>
      <c r="H510" s="83">
        <v>0</v>
      </c>
      <c r="I510" s="83" t="s">
        <v>3229</v>
      </c>
      <c r="J510" s="83" t="s">
        <v>3601</v>
      </c>
      <c r="K510" s="83" t="s">
        <v>3215</v>
      </c>
    </row>
    <row r="511" spans="1:11" ht="26.25" x14ac:dyDescent="0.25">
      <c r="A511" s="83" t="s">
        <v>686</v>
      </c>
      <c r="B511" s="83" t="s">
        <v>3208</v>
      </c>
      <c r="C511" s="83" t="s">
        <v>4705</v>
      </c>
      <c r="D511" s="83" t="s">
        <v>3752</v>
      </c>
      <c r="E511" s="83" t="s">
        <v>3723</v>
      </c>
      <c r="F511" s="83" t="s">
        <v>3756</v>
      </c>
      <c r="G511" s="83" t="s">
        <v>3757</v>
      </c>
      <c r="H511" s="83">
        <v>2</v>
      </c>
      <c r="I511" s="83" t="s">
        <v>3213</v>
      </c>
      <c r="J511" s="83" t="s">
        <v>3896</v>
      </c>
      <c r="K511" s="83" t="s">
        <v>3215</v>
      </c>
    </row>
    <row r="512" spans="1:11" ht="64.5" x14ac:dyDescent="0.25">
      <c r="A512" s="83" t="s">
        <v>695</v>
      </c>
      <c r="B512" s="83" t="s">
        <v>3208</v>
      </c>
      <c r="C512" s="83" t="s">
        <v>4706</v>
      </c>
      <c r="D512" s="83" t="s">
        <v>3752</v>
      </c>
      <c r="E512" s="83" t="s">
        <v>3723</v>
      </c>
      <c r="F512" s="83" t="s">
        <v>4707</v>
      </c>
      <c r="G512" s="83" t="s">
        <v>4254</v>
      </c>
      <c r="H512" s="83">
        <v>2.8</v>
      </c>
      <c r="I512" s="83" t="s">
        <v>3213</v>
      </c>
      <c r="J512" s="83" t="s">
        <v>3601</v>
      </c>
      <c r="K512" s="83" t="s">
        <v>3215</v>
      </c>
    </row>
    <row r="513" spans="1:11" ht="51.75" x14ac:dyDescent="0.25">
      <c r="A513" s="83" t="s">
        <v>696</v>
      </c>
      <c r="B513" s="83" t="s">
        <v>3208</v>
      </c>
      <c r="C513" s="83" t="s">
        <v>4708</v>
      </c>
      <c r="D513" s="83" t="s">
        <v>3752</v>
      </c>
      <c r="E513" s="83" t="s">
        <v>3723</v>
      </c>
      <c r="F513" s="83" t="s">
        <v>3756</v>
      </c>
      <c r="G513" s="83" t="s">
        <v>3757</v>
      </c>
      <c r="H513" s="83">
        <v>9.5</v>
      </c>
      <c r="I513" s="83" t="s">
        <v>3213</v>
      </c>
      <c r="J513" s="83" t="s">
        <v>3538</v>
      </c>
      <c r="K513" s="83" t="s">
        <v>3215</v>
      </c>
    </row>
    <row r="514" spans="1:11" ht="51.75" x14ac:dyDescent="0.25">
      <c r="A514" s="83" t="s">
        <v>1983</v>
      </c>
      <c r="B514" s="83" t="s">
        <v>3208</v>
      </c>
      <c r="C514" s="83" t="s">
        <v>3208</v>
      </c>
      <c r="D514" s="83" t="s">
        <v>3713</v>
      </c>
      <c r="E514" s="83" t="s">
        <v>3761</v>
      </c>
      <c r="F514" s="83" t="s">
        <v>4709</v>
      </c>
      <c r="G514" s="83" t="s">
        <v>4710</v>
      </c>
      <c r="H514" s="83">
        <v>0</v>
      </c>
      <c r="I514" s="83" t="s">
        <v>3213</v>
      </c>
      <c r="J514" s="83" t="s">
        <v>3257</v>
      </c>
      <c r="K514" s="83" t="s">
        <v>3215</v>
      </c>
    </row>
    <row r="515" spans="1:11" ht="51.75" x14ac:dyDescent="0.25">
      <c r="A515" s="83" t="s">
        <v>1903</v>
      </c>
      <c r="B515" s="83" t="s">
        <v>3208</v>
      </c>
      <c r="C515" s="83" t="s">
        <v>3208</v>
      </c>
      <c r="D515" s="83" t="s">
        <v>3713</v>
      </c>
      <c r="E515" s="83" t="s">
        <v>3761</v>
      </c>
      <c r="F515" s="83" t="s">
        <v>4711</v>
      </c>
      <c r="G515" s="83" t="s">
        <v>4712</v>
      </c>
      <c r="H515" s="83">
        <v>0</v>
      </c>
      <c r="I515" s="83" t="s">
        <v>3229</v>
      </c>
      <c r="J515" s="83" t="s">
        <v>3230</v>
      </c>
      <c r="K515" s="83" t="s">
        <v>3215</v>
      </c>
    </row>
    <row r="516" spans="1:11" ht="51.75" x14ac:dyDescent="0.25">
      <c r="A516" s="83" t="s">
        <v>1986</v>
      </c>
      <c r="B516" s="83" t="s">
        <v>3208</v>
      </c>
      <c r="C516" s="83" t="s">
        <v>3208</v>
      </c>
      <c r="D516" s="83" t="s">
        <v>3713</v>
      </c>
      <c r="E516" s="83" t="s">
        <v>3761</v>
      </c>
      <c r="F516" s="83" t="s">
        <v>4713</v>
      </c>
      <c r="G516" s="83" t="s">
        <v>4714</v>
      </c>
      <c r="H516" s="83">
        <v>0</v>
      </c>
      <c r="I516" s="83" t="s">
        <v>3213</v>
      </c>
      <c r="J516" s="83" t="s">
        <v>3271</v>
      </c>
      <c r="K516" s="83" t="s">
        <v>3215</v>
      </c>
    </row>
    <row r="517" spans="1:11" ht="26.25" x14ac:dyDescent="0.25">
      <c r="A517" s="83" t="s">
        <v>1965</v>
      </c>
      <c r="B517" s="83" t="s">
        <v>3208</v>
      </c>
      <c r="C517" s="83" t="s">
        <v>3208</v>
      </c>
      <c r="D517" s="83" t="s">
        <v>3713</v>
      </c>
      <c r="E517" s="83" t="s">
        <v>3761</v>
      </c>
      <c r="F517" s="83" t="s">
        <v>4715</v>
      </c>
      <c r="G517" s="83" t="s">
        <v>4716</v>
      </c>
      <c r="H517" s="83">
        <v>0</v>
      </c>
      <c r="I517" s="83" t="s">
        <v>3229</v>
      </c>
      <c r="J517" s="83" t="s">
        <v>3311</v>
      </c>
      <c r="K517" s="83" t="s">
        <v>3215</v>
      </c>
    </row>
    <row r="518" spans="1:11" ht="51.75" x14ac:dyDescent="0.25">
      <c r="A518" s="83" t="s">
        <v>1992</v>
      </c>
      <c r="B518" s="83" t="s">
        <v>3208</v>
      </c>
      <c r="C518" s="83" t="s">
        <v>3208</v>
      </c>
      <c r="D518" s="83" t="s">
        <v>3713</v>
      </c>
      <c r="E518" s="83" t="s">
        <v>3761</v>
      </c>
      <c r="F518" s="83" t="s">
        <v>4717</v>
      </c>
      <c r="G518" s="83" t="s">
        <v>4718</v>
      </c>
      <c r="H518" s="83">
        <v>0</v>
      </c>
      <c r="I518" s="83" t="s">
        <v>3229</v>
      </c>
      <c r="J518" s="83" t="s">
        <v>3289</v>
      </c>
      <c r="K518" s="83" t="s">
        <v>3215</v>
      </c>
    </row>
    <row r="519" spans="1:11" ht="51.75" x14ac:dyDescent="0.25">
      <c r="A519" s="83" t="s">
        <v>1895</v>
      </c>
      <c r="B519" s="83" t="s">
        <v>3208</v>
      </c>
      <c r="C519" s="83" t="s">
        <v>3208</v>
      </c>
      <c r="D519" s="83" t="s">
        <v>3713</v>
      </c>
      <c r="E519" s="83" t="s">
        <v>3761</v>
      </c>
      <c r="F519" s="83" t="s">
        <v>4719</v>
      </c>
      <c r="G519" s="83" t="s">
        <v>4720</v>
      </c>
      <c r="H519" s="83">
        <v>0</v>
      </c>
      <c r="I519" s="83" t="s">
        <v>3229</v>
      </c>
      <c r="J519" s="83" t="s">
        <v>4399</v>
      </c>
      <c r="K519" s="83" t="s">
        <v>3215</v>
      </c>
    </row>
    <row r="520" spans="1:11" ht="51.75" x14ac:dyDescent="0.25">
      <c r="A520" s="83" t="s">
        <v>1896</v>
      </c>
      <c r="B520" s="83" t="s">
        <v>3208</v>
      </c>
      <c r="C520" s="83" t="s">
        <v>3208</v>
      </c>
      <c r="D520" s="83" t="s">
        <v>3713</v>
      </c>
      <c r="E520" s="83" t="s">
        <v>3761</v>
      </c>
      <c r="F520" s="83" t="s">
        <v>4721</v>
      </c>
      <c r="G520" s="83" t="s">
        <v>4722</v>
      </c>
      <c r="H520" s="83">
        <v>0</v>
      </c>
      <c r="I520" s="83" t="s">
        <v>3229</v>
      </c>
      <c r="J520" s="83" t="s">
        <v>3238</v>
      </c>
      <c r="K520" s="83" t="s">
        <v>3215</v>
      </c>
    </row>
    <row r="521" spans="1:11" ht="51.75" x14ac:dyDescent="0.25">
      <c r="A521" s="83" t="s">
        <v>2139</v>
      </c>
      <c r="B521" s="83" t="s">
        <v>3208</v>
      </c>
      <c r="C521" s="83" t="s">
        <v>3208</v>
      </c>
      <c r="D521" s="83" t="s">
        <v>3713</v>
      </c>
      <c r="E521" s="83" t="s">
        <v>3761</v>
      </c>
      <c r="F521" s="83" t="s">
        <v>3768</v>
      </c>
      <c r="G521" s="83" t="s">
        <v>3769</v>
      </c>
      <c r="H521" s="83">
        <v>0</v>
      </c>
      <c r="I521" s="83" t="s">
        <v>3213</v>
      </c>
      <c r="J521" s="83" t="s">
        <v>3214</v>
      </c>
      <c r="K521" s="83" t="s">
        <v>3215</v>
      </c>
    </row>
    <row r="522" spans="1:11" ht="51.75" x14ac:dyDescent="0.25">
      <c r="A522" s="83" t="s">
        <v>2140</v>
      </c>
      <c r="B522" s="83" t="s">
        <v>3208</v>
      </c>
      <c r="C522" s="83" t="s">
        <v>3208</v>
      </c>
      <c r="D522" s="83" t="s">
        <v>3713</v>
      </c>
      <c r="E522" s="83" t="s">
        <v>3761</v>
      </c>
      <c r="F522" s="83" t="s">
        <v>3768</v>
      </c>
      <c r="G522" s="83" t="s">
        <v>3838</v>
      </c>
      <c r="H522" s="83">
        <v>0</v>
      </c>
      <c r="I522" s="83" t="s">
        <v>3213</v>
      </c>
      <c r="J522" s="83" t="s">
        <v>3214</v>
      </c>
      <c r="K522" s="83" t="s">
        <v>3215</v>
      </c>
    </row>
    <row r="523" spans="1:11" ht="51.75" x14ac:dyDescent="0.25">
      <c r="A523" s="83" t="s">
        <v>1841</v>
      </c>
      <c r="B523" s="83" t="s">
        <v>3208</v>
      </c>
      <c r="C523" s="83" t="s">
        <v>3208</v>
      </c>
      <c r="D523" s="83" t="s">
        <v>3713</v>
      </c>
      <c r="E523" s="83" t="s">
        <v>3761</v>
      </c>
      <c r="F523" s="83" t="s">
        <v>4723</v>
      </c>
      <c r="G523" s="83" t="s">
        <v>3293</v>
      </c>
      <c r="H523" s="83">
        <v>0</v>
      </c>
      <c r="I523" s="83" t="s">
        <v>3229</v>
      </c>
      <c r="J523" s="83" t="s">
        <v>3230</v>
      </c>
      <c r="K523" s="83" t="s">
        <v>3215</v>
      </c>
    </row>
    <row r="524" spans="1:11" ht="39" x14ac:dyDescent="0.25">
      <c r="A524" s="83" t="s">
        <v>2186</v>
      </c>
      <c r="B524" s="83" t="s">
        <v>3208</v>
      </c>
      <c r="C524" s="83" t="s">
        <v>3208</v>
      </c>
      <c r="D524" s="83" t="s">
        <v>3713</v>
      </c>
      <c r="E524" s="83" t="s">
        <v>3761</v>
      </c>
      <c r="F524" s="83" t="s">
        <v>4724</v>
      </c>
      <c r="G524" s="83" t="s">
        <v>4725</v>
      </c>
      <c r="H524" s="83">
        <v>0</v>
      </c>
      <c r="I524" s="83" t="s">
        <v>3229</v>
      </c>
      <c r="J524" s="83" t="s">
        <v>3241</v>
      </c>
      <c r="K524" s="83" t="s">
        <v>3215</v>
      </c>
    </row>
    <row r="525" spans="1:11" ht="39" x14ac:dyDescent="0.25">
      <c r="A525" s="83" t="s">
        <v>2198</v>
      </c>
      <c r="B525" s="83" t="s">
        <v>3208</v>
      </c>
      <c r="C525" s="83" t="s">
        <v>3208</v>
      </c>
      <c r="D525" s="83" t="s">
        <v>3713</v>
      </c>
      <c r="E525" s="83" t="s">
        <v>3761</v>
      </c>
      <c r="F525" s="83" t="s">
        <v>4726</v>
      </c>
      <c r="G525" s="83" t="s">
        <v>4727</v>
      </c>
      <c r="H525" s="83">
        <v>0</v>
      </c>
      <c r="I525" s="83" t="s">
        <v>3229</v>
      </c>
      <c r="J525" s="83" t="s">
        <v>3241</v>
      </c>
      <c r="K525" s="83" t="s">
        <v>3215</v>
      </c>
    </row>
    <row r="526" spans="1:11" ht="51.75" x14ac:dyDescent="0.25">
      <c r="A526" s="83" t="s">
        <v>2230</v>
      </c>
      <c r="B526" s="83" t="s">
        <v>3208</v>
      </c>
      <c r="C526" s="83" t="s">
        <v>3208</v>
      </c>
      <c r="D526" s="83" t="s">
        <v>3713</v>
      </c>
      <c r="E526" s="83" t="s">
        <v>3761</v>
      </c>
      <c r="F526" s="83" t="s">
        <v>4728</v>
      </c>
      <c r="G526" s="83" t="s">
        <v>4729</v>
      </c>
      <c r="H526" s="83">
        <v>0</v>
      </c>
      <c r="I526" s="83" t="s">
        <v>3229</v>
      </c>
      <c r="J526" s="83" t="s">
        <v>3289</v>
      </c>
      <c r="K526" s="83" t="s">
        <v>3215</v>
      </c>
    </row>
    <row r="527" spans="1:11" ht="51.75" x14ac:dyDescent="0.25">
      <c r="A527" s="83" t="s">
        <v>2231</v>
      </c>
      <c r="B527" s="83" t="s">
        <v>3208</v>
      </c>
      <c r="C527" s="83" t="s">
        <v>3208</v>
      </c>
      <c r="D527" s="83" t="s">
        <v>3713</v>
      </c>
      <c r="E527" s="83" t="s">
        <v>3761</v>
      </c>
      <c r="F527" s="83" t="s">
        <v>4728</v>
      </c>
      <c r="G527" s="83" t="s">
        <v>4729</v>
      </c>
      <c r="H527" s="83">
        <v>0</v>
      </c>
      <c r="I527" s="83" t="s">
        <v>3229</v>
      </c>
      <c r="J527" s="83" t="s">
        <v>3289</v>
      </c>
      <c r="K527" s="83" t="s">
        <v>3215</v>
      </c>
    </row>
    <row r="528" spans="1:11" ht="51.75" x14ac:dyDescent="0.25">
      <c r="A528" s="83" t="s">
        <v>2232</v>
      </c>
      <c r="B528" s="83" t="s">
        <v>3208</v>
      </c>
      <c r="C528" s="83" t="s">
        <v>3208</v>
      </c>
      <c r="D528" s="83" t="s">
        <v>3713</v>
      </c>
      <c r="E528" s="83" t="s">
        <v>3761</v>
      </c>
      <c r="F528" s="83" t="s">
        <v>4728</v>
      </c>
      <c r="G528" s="83" t="s">
        <v>4729</v>
      </c>
      <c r="H528" s="83">
        <v>0</v>
      </c>
      <c r="I528" s="83" t="s">
        <v>3229</v>
      </c>
      <c r="J528" s="83" t="s">
        <v>3289</v>
      </c>
      <c r="K528" s="83" t="s">
        <v>3215</v>
      </c>
    </row>
    <row r="529" spans="1:11" ht="51.75" x14ac:dyDescent="0.25">
      <c r="A529" s="83" t="s">
        <v>1910</v>
      </c>
      <c r="B529" s="83" t="s">
        <v>3208</v>
      </c>
      <c r="C529" s="83" t="s">
        <v>3208</v>
      </c>
      <c r="D529" s="83" t="s">
        <v>3713</v>
      </c>
      <c r="E529" s="83" t="s">
        <v>3761</v>
      </c>
      <c r="F529" s="83" t="s">
        <v>3816</v>
      </c>
      <c r="G529" s="83" t="s">
        <v>4730</v>
      </c>
      <c r="H529" s="83">
        <v>0</v>
      </c>
      <c r="I529" s="83" t="s">
        <v>3229</v>
      </c>
      <c r="J529" s="83" t="s">
        <v>4430</v>
      </c>
      <c r="K529" s="83" t="s">
        <v>3215</v>
      </c>
    </row>
    <row r="530" spans="1:11" ht="51.75" x14ac:dyDescent="0.25">
      <c r="A530" s="83" t="s">
        <v>2191</v>
      </c>
      <c r="B530" s="83" t="s">
        <v>3208</v>
      </c>
      <c r="C530" s="83" t="s">
        <v>3208</v>
      </c>
      <c r="D530" s="83" t="s">
        <v>3713</v>
      </c>
      <c r="E530" s="83" t="s">
        <v>3761</v>
      </c>
      <c r="F530" s="83" t="s">
        <v>3790</v>
      </c>
      <c r="G530" s="83" t="s">
        <v>3791</v>
      </c>
      <c r="H530" s="83">
        <v>0</v>
      </c>
      <c r="I530" s="83" t="s">
        <v>3229</v>
      </c>
      <c r="J530" s="83" t="s">
        <v>3238</v>
      </c>
      <c r="K530" s="83" t="s">
        <v>3215</v>
      </c>
    </row>
    <row r="531" spans="1:11" ht="51.75" x14ac:dyDescent="0.25">
      <c r="A531" s="83" t="s">
        <v>2012</v>
      </c>
      <c r="B531" s="83" t="s">
        <v>3208</v>
      </c>
      <c r="C531" s="83" t="s">
        <v>3208</v>
      </c>
      <c r="D531" s="83" t="s">
        <v>3713</v>
      </c>
      <c r="E531" s="83" t="s">
        <v>3761</v>
      </c>
      <c r="F531" s="83" t="s">
        <v>3790</v>
      </c>
      <c r="G531" s="83" t="s">
        <v>3791</v>
      </c>
      <c r="H531" s="83">
        <v>0</v>
      </c>
      <c r="I531" s="83" t="s">
        <v>3229</v>
      </c>
      <c r="J531" s="83" t="s">
        <v>3289</v>
      </c>
      <c r="K531" s="83" t="s">
        <v>3215</v>
      </c>
    </row>
    <row r="532" spans="1:11" ht="51.75" x14ac:dyDescent="0.25">
      <c r="A532" s="83" t="s">
        <v>2028</v>
      </c>
      <c r="B532" s="83" t="s">
        <v>3208</v>
      </c>
      <c r="C532" s="83" t="s">
        <v>3208</v>
      </c>
      <c r="D532" s="83" t="s">
        <v>3713</v>
      </c>
      <c r="E532" s="83" t="s">
        <v>3761</v>
      </c>
      <c r="F532" s="83" t="s">
        <v>3792</v>
      </c>
      <c r="G532" s="83" t="s">
        <v>3565</v>
      </c>
      <c r="H532" s="83">
        <v>0</v>
      </c>
      <c r="I532" s="83" t="s">
        <v>3229</v>
      </c>
      <c r="J532" s="83" t="s">
        <v>3230</v>
      </c>
      <c r="K532" s="83" t="s">
        <v>3215</v>
      </c>
    </row>
    <row r="533" spans="1:11" ht="51.75" x14ac:dyDescent="0.25">
      <c r="A533" s="83" t="s">
        <v>2035</v>
      </c>
      <c r="B533" s="83" t="s">
        <v>3208</v>
      </c>
      <c r="C533" s="83" t="s">
        <v>3208</v>
      </c>
      <c r="D533" s="83" t="s">
        <v>3713</v>
      </c>
      <c r="E533" s="83" t="s">
        <v>3761</v>
      </c>
      <c r="F533" s="83" t="s">
        <v>4731</v>
      </c>
      <c r="G533" s="83" t="s">
        <v>4732</v>
      </c>
      <c r="H533" s="83">
        <v>0</v>
      </c>
      <c r="I533" s="83" t="s">
        <v>3229</v>
      </c>
      <c r="J533" s="83" t="s">
        <v>3289</v>
      </c>
      <c r="K533" s="83" t="s">
        <v>3215</v>
      </c>
    </row>
    <row r="534" spans="1:11" ht="51.75" x14ac:dyDescent="0.25">
      <c r="A534" s="83" t="s">
        <v>1832</v>
      </c>
      <c r="B534" s="83" t="s">
        <v>3208</v>
      </c>
      <c r="C534" s="83" t="s">
        <v>3208</v>
      </c>
      <c r="D534" s="83" t="s">
        <v>3713</v>
      </c>
      <c r="E534" s="83" t="s">
        <v>3761</v>
      </c>
      <c r="F534" s="83" t="s">
        <v>3798</v>
      </c>
      <c r="G534" s="83" t="s">
        <v>4398</v>
      </c>
      <c r="H534" s="83">
        <v>0</v>
      </c>
      <c r="I534" s="83" t="s">
        <v>3229</v>
      </c>
      <c r="J534" s="83" t="s">
        <v>3280</v>
      </c>
      <c r="K534" s="83" t="s">
        <v>3215</v>
      </c>
    </row>
    <row r="535" spans="1:11" ht="51.75" x14ac:dyDescent="0.25">
      <c r="A535" s="83" t="s">
        <v>1969</v>
      </c>
      <c r="B535" s="83" t="s">
        <v>3208</v>
      </c>
      <c r="C535" s="83" t="s">
        <v>3208</v>
      </c>
      <c r="D535" s="83" t="s">
        <v>3713</v>
      </c>
      <c r="E535" s="83" t="s">
        <v>3761</v>
      </c>
      <c r="F535" s="83" t="s">
        <v>4733</v>
      </c>
      <c r="G535" s="83" t="s">
        <v>4734</v>
      </c>
      <c r="H535" s="83">
        <v>0</v>
      </c>
      <c r="I535" s="83" t="s">
        <v>3229</v>
      </c>
      <c r="J535" s="83" t="s">
        <v>3371</v>
      </c>
      <c r="K535" s="83" t="s">
        <v>3215</v>
      </c>
    </row>
    <row r="536" spans="1:11" ht="51.75" x14ac:dyDescent="0.25">
      <c r="A536" s="83" t="s">
        <v>2041</v>
      </c>
      <c r="B536" s="83" t="s">
        <v>3208</v>
      </c>
      <c r="C536" s="83" t="s">
        <v>3208</v>
      </c>
      <c r="D536" s="83" t="s">
        <v>3713</v>
      </c>
      <c r="E536" s="83" t="s">
        <v>3761</v>
      </c>
      <c r="F536" s="83" t="s">
        <v>4735</v>
      </c>
      <c r="G536" s="83" t="s">
        <v>4736</v>
      </c>
      <c r="H536" s="83">
        <v>0</v>
      </c>
      <c r="I536" s="83" t="s">
        <v>3229</v>
      </c>
      <c r="J536" s="83" t="s">
        <v>3371</v>
      </c>
      <c r="K536" s="83" t="s">
        <v>3215</v>
      </c>
    </row>
    <row r="537" spans="1:11" ht="51.75" x14ac:dyDescent="0.25">
      <c r="A537" s="83" t="s">
        <v>2042</v>
      </c>
      <c r="B537" s="83" t="s">
        <v>3208</v>
      </c>
      <c r="C537" s="83" t="s">
        <v>3208</v>
      </c>
      <c r="D537" s="83" t="s">
        <v>3713</v>
      </c>
      <c r="E537" s="83" t="s">
        <v>3761</v>
      </c>
      <c r="F537" s="83" t="s">
        <v>4737</v>
      </c>
      <c r="G537" s="83" t="s">
        <v>4738</v>
      </c>
      <c r="H537" s="83">
        <v>0</v>
      </c>
      <c r="I537" s="83" t="s">
        <v>3229</v>
      </c>
      <c r="J537" s="83" t="s">
        <v>3289</v>
      </c>
      <c r="K537" s="83" t="s">
        <v>3215</v>
      </c>
    </row>
    <row r="538" spans="1:11" ht="26.25" x14ac:dyDescent="0.25">
      <c r="A538" s="83" t="s">
        <v>2044</v>
      </c>
      <c r="B538" s="83" t="s">
        <v>3208</v>
      </c>
      <c r="C538" s="83" t="s">
        <v>3208</v>
      </c>
      <c r="D538" s="83" t="s">
        <v>3713</v>
      </c>
      <c r="E538" s="83" t="s">
        <v>3761</v>
      </c>
      <c r="F538" s="83" t="s">
        <v>4739</v>
      </c>
      <c r="G538" s="83" t="s">
        <v>4740</v>
      </c>
      <c r="H538" s="83">
        <v>0</v>
      </c>
      <c r="I538" s="83" t="s">
        <v>3213</v>
      </c>
      <c r="J538" s="83" t="s">
        <v>3467</v>
      </c>
      <c r="K538" s="83" t="s">
        <v>3215</v>
      </c>
    </row>
    <row r="539" spans="1:11" ht="64.5" x14ac:dyDescent="0.25">
      <c r="A539" s="83" t="s">
        <v>2905</v>
      </c>
      <c r="B539" s="83" t="s">
        <v>3208</v>
      </c>
      <c r="C539" s="83" t="s">
        <v>3208</v>
      </c>
      <c r="D539" s="83" t="s">
        <v>3713</v>
      </c>
      <c r="E539" s="83" t="s">
        <v>3761</v>
      </c>
      <c r="F539" s="83" t="s">
        <v>4741</v>
      </c>
      <c r="G539" s="83" t="s">
        <v>2831</v>
      </c>
      <c r="H539" s="83">
        <v>0</v>
      </c>
      <c r="I539" s="83" t="s">
        <v>3213</v>
      </c>
      <c r="J539" s="83" t="s">
        <v>3262</v>
      </c>
      <c r="K539" s="83" t="s">
        <v>3215</v>
      </c>
    </row>
    <row r="540" spans="1:11" ht="77.25" x14ac:dyDescent="0.25">
      <c r="A540" s="83" t="s">
        <v>1816</v>
      </c>
      <c r="B540" s="83" t="s">
        <v>3208</v>
      </c>
      <c r="C540" s="83" t="s">
        <v>3208</v>
      </c>
      <c r="D540" s="83" t="s">
        <v>3713</v>
      </c>
      <c r="E540" s="83" t="s">
        <v>3761</v>
      </c>
      <c r="F540" s="83" t="s">
        <v>4742</v>
      </c>
      <c r="G540" s="83" t="s">
        <v>4743</v>
      </c>
      <c r="H540" s="83">
        <v>0</v>
      </c>
      <c r="I540" s="83" t="s">
        <v>3213</v>
      </c>
      <c r="J540" s="83" t="s">
        <v>3621</v>
      </c>
      <c r="K540" s="83" t="s">
        <v>3215</v>
      </c>
    </row>
    <row r="541" spans="1:11" ht="26.25" x14ac:dyDescent="0.25">
      <c r="A541" s="83" t="s">
        <v>1767</v>
      </c>
      <c r="B541" s="83" t="s">
        <v>3208</v>
      </c>
      <c r="C541" s="83" t="s">
        <v>3208</v>
      </c>
      <c r="D541" s="83" t="s">
        <v>3713</v>
      </c>
      <c r="E541" s="83" t="s">
        <v>3761</v>
      </c>
      <c r="F541" s="83" t="s">
        <v>4744</v>
      </c>
      <c r="G541" s="83" t="s">
        <v>4745</v>
      </c>
      <c r="H541" s="83">
        <v>0</v>
      </c>
      <c r="I541" s="83" t="s">
        <v>3229</v>
      </c>
      <c r="J541" s="83" t="s">
        <v>3311</v>
      </c>
      <c r="K541" s="83" t="s">
        <v>3215</v>
      </c>
    </row>
    <row r="542" spans="1:11" ht="39" x14ac:dyDescent="0.25">
      <c r="A542" s="83" t="s">
        <v>1916</v>
      </c>
      <c r="B542" s="83" t="s">
        <v>3208</v>
      </c>
      <c r="C542" s="83" t="s">
        <v>3208</v>
      </c>
      <c r="D542" s="83" t="s">
        <v>3713</v>
      </c>
      <c r="E542" s="83" t="s">
        <v>3761</v>
      </c>
      <c r="F542" s="83" t="s">
        <v>4746</v>
      </c>
      <c r="G542" s="83" t="s">
        <v>4747</v>
      </c>
      <c r="H542" s="83">
        <v>0</v>
      </c>
      <c r="I542" s="83" t="s">
        <v>3229</v>
      </c>
      <c r="J542" s="83" t="s">
        <v>3241</v>
      </c>
      <c r="K542" s="83" t="s">
        <v>3215</v>
      </c>
    </row>
    <row r="543" spans="1:11" ht="51.75" x14ac:dyDescent="0.25">
      <c r="A543" s="83" t="s">
        <v>2067</v>
      </c>
      <c r="B543" s="83" t="s">
        <v>3208</v>
      </c>
      <c r="C543" s="83" t="s">
        <v>3208</v>
      </c>
      <c r="D543" s="83" t="s">
        <v>3713</v>
      </c>
      <c r="E543" s="83" t="s">
        <v>3761</v>
      </c>
      <c r="F543" s="83" t="s">
        <v>4748</v>
      </c>
      <c r="G543" s="83" t="s">
        <v>4749</v>
      </c>
      <c r="H543" s="83">
        <v>0</v>
      </c>
      <c r="I543" s="83" t="s">
        <v>3229</v>
      </c>
      <c r="J543" s="83" t="s">
        <v>3238</v>
      </c>
      <c r="K543" s="83" t="s">
        <v>3215</v>
      </c>
    </row>
    <row r="544" spans="1:11" ht="51.75" x14ac:dyDescent="0.25">
      <c r="A544" s="83" t="s">
        <v>2072</v>
      </c>
      <c r="B544" s="83" t="s">
        <v>3208</v>
      </c>
      <c r="C544" s="83" t="s">
        <v>3208</v>
      </c>
      <c r="D544" s="83" t="s">
        <v>3713</v>
      </c>
      <c r="E544" s="83" t="s">
        <v>3761</v>
      </c>
      <c r="F544" s="83" t="s">
        <v>3804</v>
      </c>
      <c r="G544" s="83" t="s">
        <v>3791</v>
      </c>
      <c r="H544" s="83">
        <v>0</v>
      </c>
      <c r="I544" s="83" t="s">
        <v>3229</v>
      </c>
      <c r="J544" s="83" t="s">
        <v>3230</v>
      </c>
      <c r="K544" s="83" t="s">
        <v>3215</v>
      </c>
    </row>
    <row r="545" spans="1:11" ht="51.75" x14ac:dyDescent="0.25">
      <c r="A545" s="83" t="s">
        <v>2094</v>
      </c>
      <c r="B545" s="83" t="s">
        <v>3208</v>
      </c>
      <c r="C545" s="83" t="s">
        <v>3208</v>
      </c>
      <c r="D545" s="83" t="s">
        <v>3713</v>
      </c>
      <c r="E545" s="83" t="s">
        <v>3761</v>
      </c>
      <c r="F545" s="83" t="s">
        <v>4750</v>
      </c>
      <c r="G545" s="83" t="s">
        <v>4729</v>
      </c>
      <c r="H545" s="83">
        <v>0</v>
      </c>
      <c r="I545" s="83" t="s">
        <v>3229</v>
      </c>
      <c r="J545" s="83" t="s">
        <v>3289</v>
      </c>
      <c r="K545" s="83" t="s">
        <v>3215</v>
      </c>
    </row>
    <row r="546" spans="1:11" ht="51.75" x14ac:dyDescent="0.25">
      <c r="A546" s="83" t="s">
        <v>120</v>
      </c>
      <c r="B546" s="83" t="s">
        <v>3208</v>
      </c>
      <c r="C546" s="83" t="s">
        <v>3208</v>
      </c>
      <c r="D546" s="83" t="s">
        <v>3713</v>
      </c>
      <c r="E546" s="83" t="s">
        <v>3761</v>
      </c>
      <c r="F546" s="83" t="s">
        <v>3811</v>
      </c>
      <c r="G546" s="83" t="s">
        <v>3812</v>
      </c>
      <c r="H546" s="83">
        <v>0</v>
      </c>
      <c r="I546" s="83" t="s">
        <v>3213</v>
      </c>
      <c r="J546" s="83" t="s">
        <v>3538</v>
      </c>
      <c r="K546" s="83" t="s">
        <v>3215</v>
      </c>
    </row>
    <row r="547" spans="1:11" ht="51.75" x14ac:dyDescent="0.25">
      <c r="A547" s="83" t="s">
        <v>1800</v>
      </c>
      <c r="B547" s="83" t="s">
        <v>3208</v>
      </c>
      <c r="C547" s="83" t="s">
        <v>3208</v>
      </c>
      <c r="D547" s="83" t="s">
        <v>3713</v>
      </c>
      <c r="E547" s="83" t="s">
        <v>3761</v>
      </c>
      <c r="F547" s="83" t="s">
        <v>4751</v>
      </c>
      <c r="G547" s="83" t="s">
        <v>3829</v>
      </c>
      <c r="H547" s="83">
        <v>0</v>
      </c>
      <c r="I547" s="83" t="s">
        <v>3229</v>
      </c>
      <c r="J547" s="83" t="s">
        <v>3337</v>
      </c>
      <c r="K547" s="83" t="s">
        <v>3215</v>
      </c>
    </row>
    <row r="548" spans="1:11" ht="51.75" x14ac:dyDescent="0.25">
      <c r="A548" s="83" t="s">
        <v>40</v>
      </c>
      <c r="B548" s="83" t="s">
        <v>3208</v>
      </c>
      <c r="C548" s="83" t="s">
        <v>3208</v>
      </c>
      <c r="D548" s="83" t="s">
        <v>3713</v>
      </c>
      <c r="E548" s="83" t="s">
        <v>3761</v>
      </c>
      <c r="F548" s="83" t="s">
        <v>4752</v>
      </c>
      <c r="G548" s="83" t="s">
        <v>4753</v>
      </c>
      <c r="H548" s="83">
        <v>0</v>
      </c>
      <c r="I548" s="83" t="s">
        <v>3229</v>
      </c>
      <c r="J548" s="83" t="s">
        <v>3289</v>
      </c>
      <c r="K548" s="83" t="s">
        <v>3215</v>
      </c>
    </row>
    <row r="549" spans="1:11" ht="51.75" x14ac:dyDescent="0.25">
      <c r="A549" s="83" t="s">
        <v>2097</v>
      </c>
      <c r="B549" s="83" t="s">
        <v>3208</v>
      </c>
      <c r="C549" s="83" t="s">
        <v>3208</v>
      </c>
      <c r="D549" s="83" t="s">
        <v>3713</v>
      </c>
      <c r="E549" s="83" t="s">
        <v>3761</v>
      </c>
      <c r="F549" s="83" t="s">
        <v>4754</v>
      </c>
      <c r="G549" s="83" t="s">
        <v>3401</v>
      </c>
      <c r="H549" s="83">
        <v>0</v>
      </c>
      <c r="I549" s="83" t="s">
        <v>3229</v>
      </c>
      <c r="J549" s="83" t="s">
        <v>3289</v>
      </c>
      <c r="K549" s="83" t="s">
        <v>3215</v>
      </c>
    </row>
    <row r="550" spans="1:11" ht="51.75" x14ac:dyDescent="0.25">
      <c r="A550" s="83" t="s">
        <v>1923</v>
      </c>
      <c r="B550" s="83" t="s">
        <v>3208</v>
      </c>
      <c r="C550" s="83" t="s">
        <v>3208</v>
      </c>
      <c r="D550" s="83" t="s">
        <v>3713</v>
      </c>
      <c r="E550" s="83" t="s">
        <v>3761</v>
      </c>
      <c r="F550" s="83" t="s">
        <v>3816</v>
      </c>
      <c r="G550" s="83" t="s">
        <v>4755</v>
      </c>
      <c r="H550" s="83">
        <v>0</v>
      </c>
      <c r="I550" s="83" t="s">
        <v>3213</v>
      </c>
      <c r="J550" s="83" t="s">
        <v>3214</v>
      </c>
      <c r="K550" s="83" t="s">
        <v>3215</v>
      </c>
    </row>
    <row r="551" spans="1:11" ht="51.75" x14ac:dyDescent="0.25">
      <c r="A551" s="83" t="s">
        <v>2302</v>
      </c>
      <c r="B551" s="83" t="s">
        <v>3208</v>
      </c>
      <c r="C551" s="83" t="s">
        <v>3208</v>
      </c>
      <c r="D551" s="83" t="s">
        <v>3713</v>
      </c>
      <c r="E551" s="83" t="s">
        <v>3761</v>
      </c>
      <c r="F551" s="83" t="s">
        <v>4756</v>
      </c>
      <c r="G551" s="83" t="s">
        <v>4757</v>
      </c>
      <c r="H551" s="83">
        <v>0</v>
      </c>
      <c r="I551" s="83" t="s">
        <v>3229</v>
      </c>
      <c r="J551" s="83" t="s">
        <v>3332</v>
      </c>
      <c r="K551" s="83" t="s">
        <v>3215</v>
      </c>
    </row>
    <row r="552" spans="1:11" ht="51.75" x14ac:dyDescent="0.25">
      <c r="A552" s="83" t="s">
        <v>2106</v>
      </c>
      <c r="B552" s="83" t="s">
        <v>3208</v>
      </c>
      <c r="C552" s="83" t="s">
        <v>3208</v>
      </c>
      <c r="D552" s="83" t="s">
        <v>3713</v>
      </c>
      <c r="E552" s="83" t="s">
        <v>3761</v>
      </c>
      <c r="F552" s="83" t="s">
        <v>4758</v>
      </c>
      <c r="G552" s="83" t="s">
        <v>4759</v>
      </c>
      <c r="H552" s="83">
        <v>0</v>
      </c>
      <c r="I552" s="83" t="s">
        <v>3229</v>
      </c>
      <c r="J552" s="83" t="s">
        <v>3289</v>
      </c>
      <c r="K552" s="83" t="s">
        <v>3215</v>
      </c>
    </row>
    <row r="553" spans="1:11" ht="51.75" x14ac:dyDescent="0.25">
      <c r="A553" s="83" t="s">
        <v>2112</v>
      </c>
      <c r="B553" s="83" t="s">
        <v>3208</v>
      </c>
      <c r="C553" s="83" t="s">
        <v>3208</v>
      </c>
      <c r="D553" s="83" t="s">
        <v>3713</v>
      </c>
      <c r="E553" s="83" t="s">
        <v>3761</v>
      </c>
      <c r="F553" s="83" t="s">
        <v>3820</v>
      </c>
      <c r="G553" s="83" t="s">
        <v>3417</v>
      </c>
      <c r="H553" s="83">
        <v>0</v>
      </c>
      <c r="I553" s="83" t="s">
        <v>3213</v>
      </c>
      <c r="J553" s="83" t="s">
        <v>3214</v>
      </c>
      <c r="K553" s="83" t="s">
        <v>3215</v>
      </c>
    </row>
    <row r="554" spans="1:11" ht="51.75" x14ac:dyDescent="0.25">
      <c r="A554" s="83" t="s">
        <v>1839</v>
      </c>
      <c r="B554" s="83" t="s">
        <v>3208</v>
      </c>
      <c r="C554" s="83" t="s">
        <v>3208</v>
      </c>
      <c r="D554" s="83" t="s">
        <v>3713</v>
      </c>
      <c r="E554" s="83" t="s">
        <v>3761</v>
      </c>
      <c r="F554" s="83" t="s">
        <v>4760</v>
      </c>
      <c r="G554" s="83" t="s">
        <v>4761</v>
      </c>
      <c r="H554" s="83">
        <v>0</v>
      </c>
      <c r="I554" s="83" t="s">
        <v>3213</v>
      </c>
      <c r="J554" s="83" t="s">
        <v>3257</v>
      </c>
      <c r="K554" s="83" t="s">
        <v>3215</v>
      </c>
    </row>
    <row r="555" spans="1:11" ht="26.25" x14ac:dyDescent="0.25">
      <c r="A555" s="83" t="s">
        <v>1827</v>
      </c>
      <c r="B555" s="83" t="s">
        <v>3208</v>
      </c>
      <c r="C555" s="83" t="s">
        <v>3208</v>
      </c>
      <c r="D555" s="83" t="s">
        <v>3713</v>
      </c>
      <c r="E555" s="83" t="s">
        <v>3761</v>
      </c>
      <c r="F555" s="83" t="s">
        <v>4762</v>
      </c>
      <c r="G555" s="83" t="s">
        <v>4763</v>
      </c>
      <c r="H555" s="83">
        <v>0</v>
      </c>
      <c r="I555" s="83" t="s">
        <v>3229</v>
      </c>
      <c r="J555" s="83" t="s">
        <v>3311</v>
      </c>
      <c r="K555" s="83" t="s">
        <v>3215</v>
      </c>
    </row>
    <row r="556" spans="1:11" ht="51.75" x14ac:dyDescent="0.25">
      <c r="A556" s="83" t="s">
        <v>1977</v>
      </c>
      <c r="B556" s="83" t="s">
        <v>3208</v>
      </c>
      <c r="C556" s="83" t="s">
        <v>3208</v>
      </c>
      <c r="D556" s="83" t="s">
        <v>3713</v>
      </c>
      <c r="E556" s="83" t="s">
        <v>3761</v>
      </c>
      <c r="F556" s="83" t="s">
        <v>4764</v>
      </c>
      <c r="G556" s="83" t="s">
        <v>3822</v>
      </c>
      <c r="H556" s="83">
        <v>0</v>
      </c>
      <c r="I556" s="83" t="s">
        <v>3229</v>
      </c>
      <c r="J556" s="83" t="s">
        <v>3521</v>
      </c>
      <c r="K556" s="83" t="s">
        <v>3215</v>
      </c>
    </row>
    <row r="557" spans="1:11" ht="64.5" x14ac:dyDescent="0.25">
      <c r="A557" s="83" t="s">
        <v>1919</v>
      </c>
      <c r="B557" s="83" t="s">
        <v>3208</v>
      </c>
      <c r="C557" s="83" t="s">
        <v>3208</v>
      </c>
      <c r="D557" s="83" t="s">
        <v>3713</v>
      </c>
      <c r="E557" s="83" t="s">
        <v>3761</v>
      </c>
      <c r="F557" s="83" t="s">
        <v>4765</v>
      </c>
      <c r="G557" s="83" t="s">
        <v>4766</v>
      </c>
      <c r="H557" s="83">
        <v>0</v>
      </c>
      <c r="I557" s="83" t="s">
        <v>3213</v>
      </c>
      <c r="J557" s="83" t="s">
        <v>3262</v>
      </c>
      <c r="K557" s="83" t="s">
        <v>3215</v>
      </c>
    </row>
    <row r="558" spans="1:11" ht="51.75" x14ac:dyDescent="0.25">
      <c r="A558" s="83" t="s">
        <v>641</v>
      </c>
      <c r="B558" s="83" t="s">
        <v>3208</v>
      </c>
      <c r="C558" s="83" t="s">
        <v>4767</v>
      </c>
      <c r="D558" s="83" t="s">
        <v>3718</v>
      </c>
      <c r="E558" s="83" t="s">
        <v>3727</v>
      </c>
      <c r="F558" s="83" t="s">
        <v>4768</v>
      </c>
      <c r="G558" s="83" t="s">
        <v>4769</v>
      </c>
      <c r="H558" s="83">
        <v>9.6</v>
      </c>
      <c r="I558" s="83" t="s">
        <v>3213</v>
      </c>
      <c r="J558" s="83" t="s">
        <v>3538</v>
      </c>
      <c r="K558" s="83" t="s">
        <v>3215</v>
      </c>
    </row>
    <row r="559" spans="1:11" ht="51.75" x14ac:dyDescent="0.25">
      <c r="A559" s="83" t="s">
        <v>491</v>
      </c>
      <c r="B559" s="83" t="s">
        <v>3208</v>
      </c>
      <c r="C559" s="83" t="s">
        <v>4770</v>
      </c>
      <c r="D559" s="83" t="s">
        <v>3741</v>
      </c>
      <c r="E559" s="83" t="s">
        <v>3727</v>
      </c>
      <c r="F559" s="83" t="s">
        <v>4771</v>
      </c>
      <c r="G559" s="83" t="s">
        <v>3224</v>
      </c>
      <c r="H559" s="83">
        <v>2</v>
      </c>
      <c r="I559" s="83" t="s">
        <v>3213</v>
      </c>
      <c r="J559" s="83" t="s">
        <v>3538</v>
      </c>
      <c r="K559" s="83" t="s">
        <v>3215</v>
      </c>
    </row>
    <row r="560" spans="1:11" ht="51.75" x14ac:dyDescent="0.25">
      <c r="A560" s="83" t="s">
        <v>2395</v>
      </c>
      <c r="B560" s="83" t="s">
        <v>3208</v>
      </c>
      <c r="C560" s="83" t="s">
        <v>3208</v>
      </c>
      <c r="D560" s="83" t="s">
        <v>3713</v>
      </c>
      <c r="E560" s="83" t="s">
        <v>3761</v>
      </c>
      <c r="F560" s="83" t="s">
        <v>4772</v>
      </c>
      <c r="G560" s="83" t="s">
        <v>4773</v>
      </c>
      <c r="H560" s="83">
        <v>0</v>
      </c>
      <c r="I560" s="83" t="s">
        <v>3229</v>
      </c>
      <c r="J560" s="83" t="s">
        <v>3238</v>
      </c>
      <c r="K560" s="83" t="s">
        <v>3215</v>
      </c>
    </row>
    <row r="561" spans="1:11" x14ac:dyDescent="0.25">
      <c r="A561" s="83" t="s">
        <v>4774</v>
      </c>
      <c r="B561" s="83" t="s">
        <v>3208</v>
      </c>
      <c r="C561" s="83" t="s">
        <v>3208</v>
      </c>
      <c r="D561" s="83" t="s">
        <v>3209</v>
      </c>
      <c r="E561" s="83" t="s">
        <v>3702</v>
      </c>
      <c r="F561" s="83" t="s">
        <v>4775</v>
      </c>
      <c r="G561" s="83" t="s">
        <v>4776</v>
      </c>
      <c r="H561" s="83">
        <v>0</v>
      </c>
      <c r="I561" s="83" t="s">
        <v>3208</v>
      </c>
      <c r="J561" s="83" t="s">
        <v>3208</v>
      </c>
      <c r="K561" s="83" t="s">
        <v>3208</v>
      </c>
    </row>
    <row r="562" spans="1:11" ht="39" x14ac:dyDescent="0.25">
      <c r="A562" s="83" t="s">
        <v>1073</v>
      </c>
      <c r="B562" s="83" t="s">
        <v>4777</v>
      </c>
      <c r="C562" s="83" t="s">
        <v>4778</v>
      </c>
      <c r="D562" s="83" t="s">
        <v>3209</v>
      </c>
      <c r="E562" s="83" t="s">
        <v>3246</v>
      </c>
      <c r="F562" s="83" t="s">
        <v>4779</v>
      </c>
      <c r="G562" s="83" t="s">
        <v>4780</v>
      </c>
      <c r="H562" s="83">
        <v>11</v>
      </c>
      <c r="I562" s="83" t="s">
        <v>3229</v>
      </c>
      <c r="J562" s="83" t="s">
        <v>3241</v>
      </c>
      <c r="K562" s="83" t="s">
        <v>3215</v>
      </c>
    </row>
    <row r="563" spans="1:11" ht="51.75" x14ac:dyDescent="0.25">
      <c r="A563" s="83" t="s">
        <v>2439</v>
      </c>
      <c r="B563" s="83" t="s">
        <v>3208</v>
      </c>
      <c r="C563" s="83" t="s">
        <v>3208</v>
      </c>
      <c r="D563" s="83" t="s">
        <v>3713</v>
      </c>
      <c r="E563" s="83" t="s">
        <v>3761</v>
      </c>
      <c r="F563" s="83" t="s">
        <v>3854</v>
      </c>
      <c r="G563" s="83" t="s">
        <v>4781</v>
      </c>
      <c r="H563" s="83">
        <v>0</v>
      </c>
      <c r="I563" s="83" t="s">
        <v>3229</v>
      </c>
      <c r="J563" s="83" t="s">
        <v>3238</v>
      </c>
      <c r="K563" s="83" t="s">
        <v>3215</v>
      </c>
    </row>
    <row r="564" spans="1:11" x14ac:dyDescent="0.25">
      <c r="A564" s="83" t="s">
        <v>4782</v>
      </c>
      <c r="B564" s="83" t="s">
        <v>3208</v>
      </c>
      <c r="C564" s="83" t="s">
        <v>3208</v>
      </c>
      <c r="D564" s="83" t="s">
        <v>3209</v>
      </c>
      <c r="E564" s="83" t="s">
        <v>3663</v>
      </c>
      <c r="F564" s="83" t="s">
        <v>3861</v>
      </c>
      <c r="G564" s="83" t="s">
        <v>4783</v>
      </c>
      <c r="H564" s="83">
        <v>50</v>
      </c>
      <c r="I564" s="83" t="s">
        <v>3208</v>
      </c>
      <c r="J564" s="83" t="s">
        <v>3208</v>
      </c>
      <c r="K564" s="83" t="s">
        <v>3208</v>
      </c>
    </row>
    <row r="565" spans="1:11" ht="51.75" x14ac:dyDescent="0.25">
      <c r="A565" s="83" t="s">
        <v>506</v>
      </c>
      <c r="B565" s="83" t="s">
        <v>3208</v>
      </c>
      <c r="C565" s="83" t="s">
        <v>4784</v>
      </c>
      <c r="D565" s="83" t="s">
        <v>3718</v>
      </c>
      <c r="E565" s="83" t="s">
        <v>3727</v>
      </c>
      <c r="F565" s="83" t="s">
        <v>4785</v>
      </c>
      <c r="G565" s="83" t="s">
        <v>4786</v>
      </c>
      <c r="H565" s="83">
        <v>4.3</v>
      </c>
      <c r="I565" s="83" t="s">
        <v>3229</v>
      </c>
      <c r="J565" s="83" t="s">
        <v>3371</v>
      </c>
      <c r="K565" s="83" t="s">
        <v>3215</v>
      </c>
    </row>
    <row r="566" spans="1:11" ht="51.75" x14ac:dyDescent="0.25">
      <c r="A566" s="83" t="s">
        <v>1151</v>
      </c>
      <c r="B566" s="83" t="s">
        <v>4787</v>
      </c>
      <c r="C566" s="83" t="s">
        <v>4788</v>
      </c>
      <c r="D566" s="83" t="s">
        <v>3209</v>
      </c>
      <c r="E566" s="83" t="s">
        <v>3246</v>
      </c>
      <c r="F566" s="83" t="s">
        <v>4789</v>
      </c>
      <c r="G566" s="83" t="s">
        <v>3362</v>
      </c>
      <c r="H566" s="83">
        <v>125</v>
      </c>
      <c r="I566" s="83" t="s">
        <v>3229</v>
      </c>
      <c r="J566" s="83" t="s">
        <v>3230</v>
      </c>
      <c r="K566" s="83" t="s">
        <v>3215</v>
      </c>
    </row>
    <row r="567" spans="1:11" ht="51.75" x14ac:dyDescent="0.25">
      <c r="A567" s="83" t="s">
        <v>968</v>
      </c>
      <c r="B567" s="83" t="s">
        <v>4790</v>
      </c>
      <c r="C567" s="83" t="s">
        <v>4791</v>
      </c>
      <c r="D567" s="83" t="s">
        <v>3209</v>
      </c>
      <c r="E567" s="83" t="s">
        <v>3246</v>
      </c>
      <c r="F567" s="83" t="s">
        <v>4792</v>
      </c>
      <c r="G567" s="83" t="s">
        <v>4793</v>
      </c>
      <c r="H567" s="83">
        <v>45</v>
      </c>
      <c r="I567" s="83" t="s">
        <v>3213</v>
      </c>
      <c r="J567" s="83" t="s">
        <v>3214</v>
      </c>
      <c r="K567" s="83" t="s">
        <v>3215</v>
      </c>
    </row>
    <row r="568" spans="1:11" ht="51.75" x14ac:dyDescent="0.25">
      <c r="A568" s="83" t="s">
        <v>4794</v>
      </c>
      <c r="B568" s="83" t="s">
        <v>3208</v>
      </c>
      <c r="C568" s="83" t="s">
        <v>3208</v>
      </c>
      <c r="D568" s="83" t="s">
        <v>3713</v>
      </c>
      <c r="E568" s="83" t="s">
        <v>3714</v>
      </c>
      <c r="F568" s="83" t="s">
        <v>4795</v>
      </c>
      <c r="G568" s="83" t="s">
        <v>4796</v>
      </c>
      <c r="H568" s="83">
        <v>0</v>
      </c>
      <c r="I568" s="83" t="s">
        <v>3229</v>
      </c>
      <c r="J568" s="83" t="s">
        <v>3289</v>
      </c>
      <c r="K568" s="83" t="s">
        <v>3215</v>
      </c>
    </row>
    <row r="569" spans="1:11" ht="26.25" x14ac:dyDescent="0.25">
      <c r="A569" s="83" t="s">
        <v>4797</v>
      </c>
      <c r="B569" s="83" t="s">
        <v>3208</v>
      </c>
      <c r="C569" s="83" t="s">
        <v>3208</v>
      </c>
      <c r="D569" s="83" t="s">
        <v>3713</v>
      </c>
      <c r="E569" s="83" t="s">
        <v>3714</v>
      </c>
      <c r="F569" s="83" t="s">
        <v>4798</v>
      </c>
      <c r="G569" s="83" t="s">
        <v>3208</v>
      </c>
      <c r="H569" s="83">
        <v>0</v>
      </c>
      <c r="I569" s="83" t="s">
        <v>3208</v>
      </c>
      <c r="J569" s="83" t="s">
        <v>3208</v>
      </c>
      <c r="K569" s="83" t="s">
        <v>3208</v>
      </c>
    </row>
    <row r="570" spans="1:11" ht="26.25" x14ac:dyDescent="0.25">
      <c r="A570" s="83" t="s">
        <v>4799</v>
      </c>
      <c r="B570" s="83" t="s">
        <v>3208</v>
      </c>
      <c r="C570" s="83" t="s">
        <v>3208</v>
      </c>
      <c r="D570" s="83" t="s">
        <v>3713</v>
      </c>
      <c r="E570" s="83" t="s">
        <v>3714</v>
      </c>
      <c r="F570" s="83" t="s">
        <v>4800</v>
      </c>
      <c r="G570" s="83" t="s">
        <v>3208</v>
      </c>
      <c r="H570" s="83">
        <v>0</v>
      </c>
      <c r="I570" s="83" t="s">
        <v>3208</v>
      </c>
      <c r="J570" s="83" t="s">
        <v>3208</v>
      </c>
      <c r="K570" s="83" t="s">
        <v>3208</v>
      </c>
    </row>
    <row r="571" spans="1:11" ht="26.25" x14ac:dyDescent="0.25">
      <c r="A571" s="83" t="s">
        <v>4801</v>
      </c>
      <c r="B571" s="83" t="s">
        <v>3208</v>
      </c>
      <c r="C571" s="83" t="s">
        <v>3208</v>
      </c>
      <c r="D571" s="83" t="s">
        <v>3713</v>
      </c>
      <c r="E571" s="83" t="s">
        <v>3714</v>
      </c>
      <c r="F571" s="83" t="s">
        <v>4802</v>
      </c>
      <c r="G571" s="83" t="s">
        <v>4803</v>
      </c>
      <c r="H571" s="83">
        <v>0</v>
      </c>
      <c r="I571" s="83" t="s">
        <v>3229</v>
      </c>
      <c r="J571" s="83" t="s">
        <v>3397</v>
      </c>
      <c r="K571" s="83" t="s">
        <v>3215</v>
      </c>
    </row>
    <row r="572" spans="1:11" ht="26.25" x14ac:dyDescent="0.25">
      <c r="A572" s="83" t="s">
        <v>652</v>
      </c>
      <c r="B572" s="83" t="s">
        <v>3208</v>
      </c>
      <c r="C572" s="83" t="s">
        <v>3208</v>
      </c>
      <c r="D572" s="83" t="s">
        <v>3209</v>
      </c>
      <c r="E572" s="83" t="s">
        <v>3210</v>
      </c>
      <c r="F572" s="83" t="s">
        <v>4659</v>
      </c>
      <c r="G572" s="83" t="s">
        <v>4804</v>
      </c>
      <c r="H572" s="83">
        <v>151</v>
      </c>
      <c r="I572" s="83" t="s">
        <v>3213</v>
      </c>
      <c r="J572" s="83" t="s">
        <v>3948</v>
      </c>
      <c r="K572" s="83" t="s">
        <v>3215</v>
      </c>
    </row>
    <row r="573" spans="1:11" ht="51.75" x14ac:dyDescent="0.25">
      <c r="A573" s="83" t="s">
        <v>2644</v>
      </c>
      <c r="B573" s="83" t="s">
        <v>3208</v>
      </c>
      <c r="C573" s="83" t="s">
        <v>3208</v>
      </c>
      <c r="D573" s="83" t="s">
        <v>3713</v>
      </c>
      <c r="E573" s="83" t="s">
        <v>3761</v>
      </c>
      <c r="F573" s="83" t="s">
        <v>3854</v>
      </c>
      <c r="G573" s="83" t="s">
        <v>3858</v>
      </c>
      <c r="H573" s="83">
        <v>0</v>
      </c>
      <c r="I573" s="83" t="s">
        <v>3229</v>
      </c>
      <c r="J573" s="83" t="s">
        <v>3238</v>
      </c>
      <c r="K573" s="83" t="s">
        <v>3215</v>
      </c>
    </row>
    <row r="574" spans="1:11" ht="26.25" x14ac:dyDescent="0.25">
      <c r="A574" s="83" t="s">
        <v>642</v>
      </c>
      <c r="B574" s="83" t="s">
        <v>3208</v>
      </c>
      <c r="C574" s="83" t="s">
        <v>4805</v>
      </c>
      <c r="D574" s="83" t="s">
        <v>3718</v>
      </c>
      <c r="E574" s="83" t="s">
        <v>3727</v>
      </c>
      <c r="F574" s="83" t="s">
        <v>4806</v>
      </c>
      <c r="G574" s="83" t="s">
        <v>4807</v>
      </c>
      <c r="H574" s="83">
        <v>5.6</v>
      </c>
      <c r="I574" s="83" t="s">
        <v>3229</v>
      </c>
      <c r="J574" s="83" t="s">
        <v>3397</v>
      </c>
      <c r="K574" s="83" t="s">
        <v>3215</v>
      </c>
    </row>
    <row r="575" spans="1:11" ht="26.25" x14ac:dyDescent="0.25">
      <c r="A575" s="83" t="s">
        <v>552</v>
      </c>
      <c r="B575" s="83" t="s">
        <v>3208</v>
      </c>
      <c r="C575" s="83" t="s">
        <v>3208</v>
      </c>
      <c r="D575" s="83" t="s">
        <v>3209</v>
      </c>
      <c r="E575" s="83" t="s">
        <v>3210</v>
      </c>
      <c r="F575" s="83" t="s">
        <v>4808</v>
      </c>
      <c r="G575" s="83" t="s">
        <v>4809</v>
      </c>
      <c r="H575" s="83">
        <v>148</v>
      </c>
      <c r="I575" s="83" t="s">
        <v>3213</v>
      </c>
      <c r="J575" s="83" t="s">
        <v>3467</v>
      </c>
      <c r="K575" s="83" t="s">
        <v>3215</v>
      </c>
    </row>
    <row r="576" spans="1:11" ht="51.75" x14ac:dyDescent="0.25">
      <c r="A576" s="83" t="s">
        <v>2344</v>
      </c>
      <c r="B576" s="83" t="s">
        <v>3208</v>
      </c>
      <c r="C576" s="83" t="s">
        <v>3208</v>
      </c>
      <c r="D576" s="83" t="s">
        <v>3713</v>
      </c>
      <c r="E576" s="83" t="s">
        <v>3761</v>
      </c>
      <c r="F576" s="83" t="s">
        <v>3886</v>
      </c>
      <c r="G576" s="83" t="s">
        <v>3362</v>
      </c>
      <c r="H576" s="83">
        <v>0</v>
      </c>
      <c r="I576" s="83" t="s">
        <v>3229</v>
      </c>
      <c r="J576" s="83" t="s">
        <v>3230</v>
      </c>
      <c r="K576" s="83" t="s">
        <v>3215</v>
      </c>
    </row>
    <row r="577" spans="1:11" ht="51.75" x14ac:dyDescent="0.25">
      <c r="A577" s="83" t="s">
        <v>2275</v>
      </c>
      <c r="B577" s="83" t="s">
        <v>3208</v>
      </c>
      <c r="C577" s="83" t="s">
        <v>3208</v>
      </c>
      <c r="D577" s="83" t="s">
        <v>3713</v>
      </c>
      <c r="E577" s="83" t="s">
        <v>3761</v>
      </c>
      <c r="F577" s="83" t="s">
        <v>4810</v>
      </c>
      <c r="G577" s="83" t="s">
        <v>3794</v>
      </c>
      <c r="H577" s="83">
        <v>0</v>
      </c>
      <c r="I577" s="83" t="s">
        <v>3229</v>
      </c>
      <c r="J577" s="83" t="s">
        <v>3230</v>
      </c>
      <c r="K577" s="83" t="s">
        <v>3215</v>
      </c>
    </row>
    <row r="578" spans="1:11" ht="26.25" x14ac:dyDescent="0.25">
      <c r="A578" s="83" t="s">
        <v>4811</v>
      </c>
      <c r="B578" s="83" t="s">
        <v>3208</v>
      </c>
      <c r="C578" s="83" t="s">
        <v>3208</v>
      </c>
      <c r="D578" s="83" t="s">
        <v>3713</v>
      </c>
      <c r="E578" s="83" t="s">
        <v>3714</v>
      </c>
      <c r="F578" s="83" t="s">
        <v>3909</v>
      </c>
      <c r="G578" s="83" t="s">
        <v>3910</v>
      </c>
      <c r="H578" s="83">
        <v>0</v>
      </c>
      <c r="I578" s="83" t="s">
        <v>3208</v>
      </c>
      <c r="J578" s="83" t="s">
        <v>3208</v>
      </c>
      <c r="K578" s="83" t="s">
        <v>3208</v>
      </c>
    </row>
    <row r="579" spans="1:11" ht="51.75" x14ac:dyDescent="0.25">
      <c r="A579" s="83" t="s">
        <v>941</v>
      </c>
      <c r="B579" s="83" t="s">
        <v>4812</v>
      </c>
      <c r="C579" s="83" t="s">
        <v>4813</v>
      </c>
      <c r="D579" s="83" t="s">
        <v>3209</v>
      </c>
      <c r="E579" s="83" t="s">
        <v>3246</v>
      </c>
      <c r="F579" s="83" t="s">
        <v>4814</v>
      </c>
      <c r="G579" s="83" t="s">
        <v>4815</v>
      </c>
      <c r="H579" s="83">
        <v>625</v>
      </c>
      <c r="I579" s="83" t="s">
        <v>3229</v>
      </c>
      <c r="J579" s="83" t="s">
        <v>3238</v>
      </c>
      <c r="K579" s="83" t="s">
        <v>3215</v>
      </c>
    </row>
    <row r="580" spans="1:11" ht="26.25" x14ac:dyDescent="0.25">
      <c r="A580" s="83" t="s">
        <v>4816</v>
      </c>
      <c r="B580" s="83" t="s">
        <v>3208</v>
      </c>
      <c r="C580" s="83" t="s">
        <v>3208</v>
      </c>
      <c r="D580" s="83" t="s">
        <v>3713</v>
      </c>
      <c r="E580" s="83" t="s">
        <v>3714</v>
      </c>
      <c r="F580" s="83" t="s">
        <v>3909</v>
      </c>
      <c r="G580" s="83" t="s">
        <v>4817</v>
      </c>
      <c r="H580" s="83">
        <v>0</v>
      </c>
      <c r="I580" s="83" t="s">
        <v>3208</v>
      </c>
      <c r="J580" s="83" t="s">
        <v>3208</v>
      </c>
      <c r="K580" s="83" t="s">
        <v>3208</v>
      </c>
    </row>
    <row r="581" spans="1:11" ht="51.75" x14ac:dyDescent="0.25">
      <c r="A581" s="83" t="s">
        <v>700</v>
      </c>
      <c r="B581" s="83" t="s">
        <v>3208</v>
      </c>
      <c r="C581" s="83" t="s">
        <v>3208</v>
      </c>
      <c r="D581" s="83" t="s">
        <v>3209</v>
      </c>
      <c r="E581" s="83" t="s">
        <v>3210</v>
      </c>
      <c r="F581" s="83" t="s">
        <v>4818</v>
      </c>
      <c r="G581" s="83" t="s">
        <v>4819</v>
      </c>
      <c r="H581" s="83">
        <v>880</v>
      </c>
      <c r="I581" s="83" t="s">
        <v>3229</v>
      </c>
      <c r="J581" s="83" t="s">
        <v>3238</v>
      </c>
      <c r="K581" s="83" t="s">
        <v>3215</v>
      </c>
    </row>
    <row r="582" spans="1:11" ht="64.5" x14ac:dyDescent="0.25">
      <c r="A582" s="83" t="s">
        <v>1861</v>
      </c>
      <c r="B582" s="83" t="s">
        <v>3208</v>
      </c>
      <c r="C582" s="83" t="s">
        <v>3208</v>
      </c>
      <c r="D582" s="83" t="s">
        <v>3713</v>
      </c>
      <c r="E582" s="83" t="s">
        <v>3761</v>
      </c>
      <c r="F582" s="83" t="s">
        <v>3976</v>
      </c>
      <c r="G582" s="83" t="s">
        <v>4820</v>
      </c>
      <c r="H582" s="83">
        <v>0</v>
      </c>
      <c r="I582" s="83" t="s">
        <v>3213</v>
      </c>
      <c r="J582" s="83" t="s">
        <v>3262</v>
      </c>
      <c r="K582" s="83" t="s">
        <v>3215</v>
      </c>
    </row>
    <row r="583" spans="1:11" ht="51.75" x14ac:dyDescent="0.25">
      <c r="A583" s="83" t="s">
        <v>2250</v>
      </c>
      <c r="B583" s="83" t="s">
        <v>3208</v>
      </c>
      <c r="C583" s="83" t="s">
        <v>3208</v>
      </c>
      <c r="D583" s="83" t="s">
        <v>3713</v>
      </c>
      <c r="E583" s="83" t="s">
        <v>3761</v>
      </c>
      <c r="F583" s="83" t="s">
        <v>3854</v>
      </c>
      <c r="G583" s="83" t="s">
        <v>4821</v>
      </c>
      <c r="H583" s="83">
        <v>0</v>
      </c>
      <c r="I583" s="83" t="s">
        <v>3229</v>
      </c>
      <c r="J583" s="83" t="s">
        <v>3238</v>
      </c>
      <c r="K583" s="83" t="s">
        <v>3215</v>
      </c>
    </row>
    <row r="584" spans="1:11" ht="26.25" x14ac:dyDescent="0.25">
      <c r="A584" s="83" t="s">
        <v>679</v>
      </c>
      <c r="B584" s="83" t="s">
        <v>3208</v>
      </c>
      <c r="C584" s="83" t="s">
        <v>4822</v>
      </c>
      <c r="D584" s="83" t="s">
        <v>3718</v>
      </c>
      <c r="E584" s="83" t="s">
        <v>3727</v>
      </c>
      <c r="F584" s="83" t="s">
        <v>4823</v>
      </c>
      <c r="G584" s="83" t="s">
        <v>4824</v>
      </c>
      <c r="H584" s="83">
        <v>10</v>
      </c>
      <c r="I584" s="83" t="s">
        <v>3229</v>
      </c>
      <c r="J584" s="83" t="s">
        <v>3397</v>
      </c>
      <c r="K584" s="83" t="s">
        <v>3215</v>
      </c>
    </row>
    <row r="585" spans="1:11" x14ac:dyDescent="0.25">
      <c r="A585" s="83" t="s">
        <v>4825</v>
      </c>
      <c r="B585" s="83" t="s">
        <v>3208</v>
      </c>
      <c r="C585" s="83" t="s">
        <v>3208</v>
      </c>
      <c r="D585" s="83" t="s">
        <v>3209</v>
      </c>
      <c r="E585" s="83" t="s">
        <v>3663</v>
      </c>
      <c r="F585" s="83" t="s">
        <v>4826</v>
      </c>
      <c r="G585" s="83" t="s">
        <v>4827</v>
      </c>
      <c r="H585" s="83">
        <v>53</v>
      </c>
      <c r="I585" s="83" t="s">
        <v>3208</v>
      </c>
      <c r="J585" s="83" t="s">
        <v>3208</v>
      </c>
      <c r="K585" s="83" t="s">
        <v>3208</v>
      </c>
    </row>
    <row r="586" spans="1:11" ht="26.25" x14ac:dyDescent="0.25">
      <c r="A586" s="83" t="s">
        <v>4828</v>
      </c>
      <c r="B586" s="83" t="s">
        <v>3208</v>
      </c>
      <c r="C586" s="83" t="s">
        <v>3208</v>
      </c>
      <c r="D586" s="83" t="s">
        <v>3713</v>
      </c>
      <c r="E586" s="83" t="s">
        <v>3714</v>
      </c>
      <c r="F586" s="83" t="s">
        <v>4829</v>
      </c>
      <c r="G586" s="83" t="s">
        <v>4830</v>
      </c>
      <c r="H586" s="83">
        <v>0</v>
      </c>
      <c r="I586" s="83" t="s">
        <v>3208</v>
      </c>
      <c r="J586" s="83" t="s">
        <v>3208</v>
      </c>
      <c r="K586" s="83" t="s">
        <v>3208</v>
      </c>
    </row>
    <row r="587" spans="1:11" x14ac:dyDescent="0.25">
      <c r="A587" s="83" t="s">
        <v>4831</v>
      </c>
      <c r="B587" s="83" t="s">
        <v>3208</v>
      </c>
      <c r="C587" s="83" t="s">
        <v>3208</v>
      </c>
      <c r="D587" s="83" t="s">
        <v>3209</v>
      </c>
      <c r="E587" s="83" t="s">
        <v>3663</v>
      </c>
      <c r="F587" s="83" t="s">
        <v>4832</v>
      </c>
      <c r="G587" s="83" t="s">
        <v>4833</v>
      </c>
      <c r="H587" s="83">
        <v>3285</v>
      </c>
      <c r="I587" s="83" t="s">
        <v>3208</v>
      </c>
      <c r="J587" s="83" t="s">
        <v>3208</v>
      </c>
      <c r="K587" s="83" t="s">
        <v>3208</v>
      </c>
    </row>
    <row r="588" spans="1:11" ht="26.25" x14ac:dyDescent="0.25">
      <c r="A588" s="83" t="s">
        <v>2279</v>
      </c>
      <c r="B588" s="83" t="s">
        <v>3208</v>
      </c>
      <c r="C588" s="83" t="s">
        <v>3208</v>
      </c>
      <c r="D588" s="83" t="s">
        <v>3713</v>
      </c>
      <c r="E588" s="83" t="s">
        <v>3761</v>
      </c>
      <c r="F588" s="83" t="s">
        <v>3926</v>
      </c>
      <c r="G588" s="83" t="s">
        <v>3927</v>
      </c>
      <c r="H588" s="83">
        <v>0</v>
      </c>
      <c r="I588" s="83" t="s">
        <v>3213</v>
      </c>
      <c r="J588" s="83" t="s">
        <v>3851</v>
      </c>
      <c r="K588" s="83" t="s">
        <v>3215</v>
      </c>
    </row>
    <row r="589" spans="1:11" ht="51.75" x14ac:dyDescent="0.25">
      <c r="A589" s="83" t="s">
        <v>2285</v>
      </c>
      <c r="B589" s="83" t="s">
        <v>3208</v>
      </c>
      <c r="C589" s="83" t="s">
        <v>3208</v>
      </c>
      <c r="D589" s="83" t="s">
        <v>3713</v>
      </c>
      <c r="E589" s="83" t="s">
        <v>3761</v>
      </c>
      <c r="F589" s="83" t="s">
        <v>3926</v>
      </c>
      <c r="G589" s="83" t="s">
        <v>3256</v>
      </c>
      <c r="H589" s="83">
        <v>0</v>
      </c>
      <c r="I589" s="83" t="s">
        <v>3213</v>
      </c>
      <c r="J589" s="83" t="s">
        <v>3257</v>
      </c>
      <c r="K589" s="83" t="s">
        <v>3215</v>
      </c>
    </row>
    <row r="590" spans="1:11" ht="51.75" x14ac:dyDescent="0.25">
      <c r="A590" s="83" t="s">
        <v>608</v>
      </c>
      <c r="B590" s="83" t="s">
        <v>3208</v>
      </c>
      <c r="C590" s="83" t="s">
        <v>3208</v>
      </c>
      <c r="D590" s="83" t="s">
        <v>3209</v>
      </c>
      <c r="E590" s="83" t="s">
        <v>3210</v>
      </c>
      <c r="F590" s="83" t="s">
        <v>4834</v>
      </c>
      <c r="G590" s="83" t="s">
        <v>152</v>
      </c>
      <c r="H590" s="83">
        <v>97</v>
      </c>
      <c r="I590" s="83" t="s">
        <v>3213</v>
      </c>
      <c r="J590" s="83" t="s">
        <v>3538</v>
      </c>
      <c r="K590" s="83" t="s">
        <v>3215</v>
      </c>
    </row>
    <row r="591" spans="1:11" ht="26.25" x14ac:dyDescent="0.25">
      <c r="A591" s="83" t="s">
        <v>357</v>
      </c>
      <c r="B591" s="83" t="s">
        <v>3208</v>
      </c>
      <c r="C591" s="83" t="s">
        <v>4835</v>
      </c>
      <c r="D591" s="83" t="s">
        <v>3718</v>
      </c>
      <c r="E591" s="83" t="s">
        <v>3727</v>
      </c>
      <c r="F591" s="83" t="s">
        <v>4836</v>
      </c>
      <c r="G591" s="83" t="s">
        <v>4837</v>
      </c>
      <c r="H591" s="83">
        <v>9.9</v>
      </c>
      <c r="I591" s="83" t="s">
        <v>3229</v>
      </c>
      <c r="J591" s="83" t="s">
        <v>3311</v>
      </c>
      <c r="K591" s="83" t="s">
        <v>3215</v>
      </c>
    </row>
    <row r="592" spans="1:11" ht="26.25" x14ac:dyDescent="0.25">
      <c r="A592" s="83" t="s">
        <v>657</v>
      </c>
      <c r="B592" s="83" t="s">
        <v>3208</v>
      </c>
      <c r="C592" s="83" t="s">
        <v>3208</v>
      </c>
      <c r="D592" s="83" t="s">
        <v>3209</v>
      </c>
      <c r="E592" s="83" t="s">
        <v>3210</v>
      </c>
      <c r="F592" s="83" t="s">
        <v>4838</v>
      </c>
      <c r="G592" s="83" t="s">
        <v>4365</v>
      </c>
      <c r="H592" s="83">
        <v>35</v>
      </c>
      <c r="I592" s="83" t="s">
        <v>3229</v>
      </c>
      <c r="J592" s="83" t="s">
        <v>3324</v>
      </c>
      <c r="K592" s="83" t="s">
        <v>3215</v>
      </c>
    </row>
    <row r="593" spans="1:11" ht="64.5" x14ac:dyDescent="0.25">
      <c r="A593" s="83" t="s">
        <v>734</v>
      </c>
      <c r="B593" s="83" t="s">
        <v>3208</v>
      </c>
      <c r="C593" s="83" t="s">
        <v>3208</v>
      </c>
      <c r="D593" s="83" t="s">
        <v>3209</v>
      </c>
      <c r="E593" s="83" t="s">
        <v>3210</v>
      </c>
      <c r="F593" s="83" t="s">
        <v>4839</v>
      </c>
      <c r="G593" s="83" t="s">
        <v>4840</v>
      </c>
      <c r="H593" s="83">
        <v>40</v>
      </c>
      <c r="I593" s="83" t="s">
        <v>3229</v>
      </c>
      <c r="J593" s="83" t="s">
        <v>3380</v>
      </c>
      <c r="K593" s="83" t="s">
        <v>3215</v>
      </c>
    </row>
    <row r="594" spans="1:11" x14ac:dyDescent="0.25">
      <c r="A594" s="83" t="s">
        <v>4841</v>
      </c>
      <c r="B594" s="83" t="s">
        <v>4842</v>
      </c>
      <c r="C594" s="83" t="s">
        <v>3208</v>
      </c>
      <c r="D594" s="83" t="s">
        <v>3209</v>
      </c>
      <c r="E594" s="83" t="s">
        <v>3702</v>
      </c>
      <c r="F594" s="83" t="s">
        <v>4843</v>
      </c>
      <c r="G594" s="83" t="s">
        <v>4844</v>
      </c>
      <c r="H594" s="83">
        <v>10</v>
      </c>
      <c r="I594" s="83" t="s">
        <v>3208</v>
      </c>
      <c r="J594" s="83" t="s">
        <v>3208</v>
      </c>
      <c r="K594" s="83" t="s">
        <v>3208</v>
      </c>
    </row>
    <row r="595" spans="1:11" ht="51.75" x14ac:dyDescent="0.25">
      <c r="A595" s="83" t="s">
        <v>722</v>
      </c>
      <c r="B595" s="83" t="s">
        <v>4845</v>
      </c>
      <c r="C595" s="83" t="s">
        <v>4846</v>
      </c>
      <c r="D595" s="83" t="s">
        <v>3209</v>
      </c>
      <c r="E595" s="83" t="s">
        <v>3246</v>
      </c>
      <c r="F595" s="83" t="s">
        <v>4847</v>
      </c>
      <c r="G595" s="83" t="s">
        <v>3791</v>
      </c>
      <c r="H595" s="83">
        <v>9.8000000000000007</v>
      </c>
      <c r="I595" s="83" t="s">
        <v>3229</v>
      </c>
      <c r="J595" s="83" t="s">
        <v>3289</v>
      </c>
      <c r="K595" s="83" t="s">
        <v>3215</v>
      </c>
    </row>
    <row r="596" spans="1:11" ht="26.25" x14ac:dyDescent="0.25">
      <c r="A596" s="83" t="s">
        <v>2411</v>
      </c>
      <c r="B596" s="83" t="s">
        <v>3208</v>
      </c>
      <c r="C596" s="83" t="s">
        <v>3208</v>
      </c>
      <c r="D596" s="83" t="s">
        <v>3713</v>
      </c>
      <c r="E596" s="83" t="s">
        <v>3761</v>
      </c>
      <c r="F596" s="83" t="s">
        <v>3895</v>
      </c>
      <c r="G596" s="83" t="s">
        <v>4848</v>
      </c>
      <c r="H596" s="83">
        <v>0</v>
      </c>
      <c r="I596" s="83" t="s">
        <v>3213</v>
      </c>
      <c r="J596" s="83" t="s">
        <v>3896</v>
      </c>
      <c r="K596" s="83" t="s">
        <v>3215</v>
      </c>
    </row>
    <row r="597" spans="1:11" ht="26.25" x14ac:dyDescent="0.25">
      <c r="A597" s="83" t="s">
        <v>2391</v>
      </c>
      <c r="B597" s="83" t="s">
        <v>3208</v>
      </c>
      <c r="C597" s="83" t="s">
        <v>3208</v>
      </c>
      <c r="D597" s="83" t="s">
        <v>3713</v>
      </c>
      <c r="E597" s="83" t="s">
        <v>3761</v>
      </c>
      <c r="F597" s="83" t="s">
        <v>4013</v>
      </c>
      <c r="G597" s="83" t="s">
        <v>3224</v>
      </c>
      <c r="H597" s="83">
        <v>0</v>
      </c>
      <c r="I597" s="83" t="s">
        <v>3213</v>
      </c>
      <c r="J597" s="83" t="s">
        <v>3896</v>
      </c>
      <c r="K597" s="83" t="s">
        <v>3215</v>
      </c>
    </row>
    <row r="598" spans="1:11" ht="51.75" x14ac:dyDescent="0.25">
      <c r="A598" s="83" t="s">
        <v>2548</v>
      </c>
      <c r="B598" s="83" t="s">
        <v>3208</v>
      </c>
      <c r="C598" s="83" t="s">
        <v>3208</v>
      </c>
      <c r="D598" s="83" t="s">
        <v>3713</v>
      </c>
      <c r="E598" s="83" t="s">
        <v>3761</v>
      </c>
      <c r="F598" s="83" t="s">
        <v>3886</v>
      </c>
      <c r="G598" s="83" t="s">
        <v>3520</v>
      </c>
      <c r="H598" s="83">
        <v>0</v>
      </c>
      <c r="I598" s="83" t="s">
        <v>3229</v>
      </c>
      <c r="J598" s="83" t="s">
        <v>3521</v>
      </c>
      <c r="K598" s="83" t="s">
        <v>3215</v>
      </c>
    </row>
    <row r="599" spans="1:11" ht="51.75" x14ac:dyDescent="0.25">
      <c r="A599" s="83" t="s">
        <v>2565</v>
      </c>
      <c r="B599" s="83" t="s">
        <v>3208</v>
      </c>
      <c r="C599" s="83" t="s">
        <v>3208</v>
      </c>
      <c r="D599" s="83" t="s">
        <v>3713</v>
      </c>
      <c r="E599" s="83" t="s">
        <v>3761</v>
      </c>
      <c r="F599" s="83" t="s">
        <v>4028</v>
      </c>
      <c r="G599" s="83" t="s">
        <v>4849</v>
      </c>
      <c r="H599" s="83">
        <v>0</v>
      </c>
      <c r="I599" s="83" t="s">
        <v>3229</v>
      </c>
      <c r="J599" s="83" t="s">
        <v>3230</v>
      </c>
      <c r="K599" s="83" t="s">
        <v>3215</v>
      </c>
    </row>
    <row r="600" spans="1:11" ht="26.25" x14ac:dyDescent="0.25">
      <c r="A600" s="83" t="s">
        <v>2319</v>
      </c>
      <c r="B600" s="83" t="s">
        <v>3208</v>
      </c>
      <c r="C600" s="83" t="s">
        <v>3208</v>
      </c>
      <c r="D600" s="83" t="s">
        <v>3713</v>
      </c>
      <c r="E600" s="83" t="s">
        <v>3761</v>
      </c>
      <c r="F600" s="83" t="s">
        <v>3886</v>
      </c>
      <c r="G600" s="83" t="s">
        <v>4191</v>
      </c>
      <c r="H600" s="83">
        <v>0</v>
      </c>
      <c r="I600" s="83" t="s">
        <v>3229</v>
      </c>
      <c r="J600" s="83" t="s">
        <v>3397</v>
      </c>
      <c r="K600" s="83" t="s">
        <v>3215</v>
      </c>
    </row>
    <row r="601" spans="1:11" ht="51.75" x14ac:dyDescent="0.25">
      <c r="A601" s="83" t="s">
        <v>434</v>
      </c>
      <c r="B601" s="83" t="s">
        <v>3208</v>
      </c>
      <c r="C601" s="83" t="s">
        <v>3208</v>
      </c>
      <c r="D601" s="83" t="s">
        <v>3209</v>
      </c>
      <c r="E601" s="83" t="s">
        <v>3210</v>
      </c>
      <c r="F601" s="83" t="s">
        <v>4850</v>
      </c>
      <c r="G601" s="83" t="s">
        <v>4851</v>
      </c>
      <c r="H601" s="83">
        <v>9</v>
      </c>
      <c r="I601" s="83" t="s">
        <v>3213</v>
      </c>
      <c r="J601" s="83" t="s">
        <v>3214</v>
      </c>
      <c r="K601" s="83" t="s">
        <v>3215</v>
      </c>
    </row>
    <row r="602" spans="1:11" ht="64.5" x14ac:dyDescent="0.25">
      <c r="A602" s="83" t="s">
        <v>1867</v>
      </c>
      <c r="B602" s="83" t="s">
        <v>3208</v>
      </c>
      <c r="C602" s="83" t="s">
        <v>3208</v>
      </c>
      <c r="D602" s="83" t="s">
        <v>3713</v>
      </c>
      <c r="E602" s="83" t="s">
        <v>3761</v>
      </c>
      <c r="F602" s="83" t="s">
        <v>4852</v>
      </c>
      <c r="G602" s="83" t="s">
        <v>4853</v>
      </c>
      <c r="H602" s="83">
        <v>0</v>
      </c>
      <c r="I602" s="83" t="s">
        <v>3213</v>
      </c>
      <c r="J602" s="83" t="s">
        <v>3262</v>
      </c>
      <c r="K602" s="83" t="s">
        <v>3215</v>
      </c>
    </row>
    <row r="603" spans="1:11" ht="51.75" x14ac:dyDescent="0.25">
      <c r="A603" s="83" t="s">
        <v>2407</v>
      </c>
      <c r="B603" s="83" t="s">
        <v>3208</v>
      </c>
      <c r="C603" s="83" t="s">
        <v>3208</v>
      </c>
      <c r="D603" s="83" t="s">
        <v>3713</v>
      </c>
      <c r="E603" s="83" t="s">
        <v>3761</v>
      </c>
      <c r="F603" s="83" t="s">
        <v>4013</v>
      </c>
      <c r="G603" s="83" t="s">
        <v>4854</v>
      </c>
      <c r="H603" s="83">
        <v>0</v>
      </c>
      <c r="I603" s="83" t="s">
        <v>3229</v>
      </c>
      <c r="J603" s="83" t="s">
        <v>3289</v>
      </c>
      <c r="K603" s="83" t="s">
        <v>3215</v>
      </c>
    </row>
    <row r="604" spans="1:11" ht="26.25" x14ac:dyDescent="0.25">
      <c r="A604" s="83" t="s">
        <v>4855</v>
      </c>
      <c r="B604" s="83" t="s">
        <v>3208</v>
      </c>
      <c r="C604" s="83" t="s">
        <v>3208</v>
      </c>
      <c r="D604" s="83" t="s">
        <v>3713</v>
      </c>
      <c r="E604" s="83" t="s">
        <v>3714</v>
      </c>
      <c r="F604" s="83" t="s">
        <v>4034</v>
      </c>
      <c r="G604" s="83" t="s">
        <v>4035</v>
      </c>
      <c r="H604" s="83">
        <v>0</v>
      </c>
      <c r="I604" s="83" t="s">
        <v>3208</v>
      </c>
      <c r="J604" s="83" t="s">
        <v>3208</v>
      </c>
      <c r="K604" s="83" t="s">
        <v>3208</v>
      </c>
    </row>
    <row r="605" spans="1:11" ht="26.25" x14ac:dyDescent="0.25">
      <c r="A605" s="83" t="s">
        <v>4856</v>
      </c>
      <c r="B605" s="83" t="s">
        <v>3208</v>
      </c>
      <c r="C605" s="83" t="s">
        <v>3208</v>
      </c>
      <c r="D605" s="83" t="s">
        <v>3965</v>
      </c>
      <c r="E605" s="83" t="s">
        <v>3966</v>
      </c>
      <c r="F605" s="83" t="s">
        <v>4857</v>
      </c>
      <c r="G605" s="83" t="s">
        <v>4207</v>
      </c>
      <c r="H605" s="83">
        <v>0</v>
      </c>
      <c r="I605" s="83" t="s">
        <v>3213</v>
      </c>
      <c r="J605" s="83" t="s">
        <v>3467</v>
      </c>
      <c r="K605" s="83" t="s">
        <v>3215</v>
      </c>
    </row>
    <row r="606" spans="1:11" ht="26.25" x14ac:dyDescent="0.25">
      <c r="A606" s="83" t="s">
        <v>4858</v>
      </c>
      <c r="B606" s="83" t="s">
        <v>3208</v>
      </c>
      <c r="C606" s="83" t="s">
        <v>3208</v>
      </c>
      <c r="D606" s="83" t="s">
        <v>3713</v>
      </c>
      <c r="E606" s="83" t="s">
        <v>3714</v>
      </c>
      <c r="F606" s="83" t="s">
        <v>4034</v>
      </c>
      <c r="G606" s="83" t="s">
        <v>4859</v>
      </c>
      <c r="H606" s="83">
        <v>0</v>
      </c>
      <c r="I606" s="83" t="s">
        <v>3208</v>
      </c>
      <c r="J606" s="83" t="s">
        <v>3208</v>
      </c>
      <c r="K606" s="83" t="s">
        <v>3208</v>
      </c>
    </row>
    <row r="607" spans="1:11" ht="26.25" x14ac:dyDescent="0.25">
      <c r="A607" s="83" t="s">
        <v>4860</v>
      </c>
      <c r="B607" s="83" t="s">
        <v>3208</v>
      </c>
      <c r="C607" s="83" t="s">
        <v>3208</v>
      </c>
      <c r="D607" s="83" t="s">
        <v>3713</v>
      </c>
      <c r="E607" s="83" t="s">
        <v>3714</v>
      </c>
      <c r="F607" s="83" t="s">
        <v>4861</v>
      </c>
      <c r="G607" s="83" t="s">
        <v>4862</v>
      </c>
      <c r="H607" s="83">
        <v>0</v>
      </c>
      <c r="I607" s="83" t="s">
        <v>3229</v>
      </c>
      <c r="J607" s="83" t="s">
        <v>3397</v>
      </c>
      <c r="K607" s="83" t="s">
        <v>3215</v>
      </c>
    </row>
    <row r="608" spans="1:11" ht="51.75" x14ac:dyDescent="0.25">
      <c r="A608" s="83" t="s">
        <v>4863</v>
      </c>
      <c r="B608" s="83" t="s">
        <v>3208</v>
      </c>
      <c r="C608" s="83" t="s">
        <v>3208</v>
      </c>
      <c r="D608" s="83" t="s">
        <v>3713</v>
      </c>
      <c r="E608" s="83" t="s">
        <v>3714</v>
      </c>
      <c r="F608" s="83" t="s">
        <v>4864</v>
      </c>
      <c r="G608" s="83" t="s">
        <v>4010</v>
      </c>
      <c r="H608" s="83">
        <v>0</v>
      </c>
      <c r="I608" s="83" t="s">
        <v>3213</v>
      </c>
      <c r="J608" s="83" t="s">
        <v>3214</v>
      </c>
      <c r="K608" s="83" t="s">
        <v>3215</v>
      </c>
    </row>
    <row r="609" spans="1:11" ht="26.25" x14ac:dyDescent="0.25">
      <c r="A609" s="83" t="s">
        <v>4865</v>
      </c>
      <c r="B609" s="83" t="s">
        <v>4866</v>
      </c>
      <c r="C609" s="83" t="s">
        <v>4867</v>
      </c>
      <c r="D609" s="83" t="s">
        <v>3209</v>
      </c>
      <c r="E609" s="83" t="s">
        <v>3702</v>
      </c>
      <c r="F609" s="83" t="s">
        <v>4868</v>
      </c>
      <c r="G609" s="83" t="s">
        <v>4869</v>
      </c>
      <c r="H609" s="83">
        <v>219.9</v>
      </c>
      <c r="I609" s="83" t="s">
        <v>3208</v>
      </c>
      <c r="J609" s="83" t="s">
        <v>3208</v>
      </c>
      <c r="K609" s="83" t="s">
        <v>3208</v>
      </c>
    </row>
    <row r="610" spans="1:11" ht="26.25" x14ac:dyDescent="0.25">
      <c r="A610" s="83" t="s">
        <v>2399</v>
      </c>
      <c r="B610" s="83" t="s">
        <v>3208</v>
      </c>
      <c r="C610" s="83" t="s">
        <v>3208</v>
      </c>
      <c r="D610" s="83" t="s">
        <v>3713</v>
      </c>
      <c r="E610" s="83" t="s">
        <v>3761</v>
      </c>
      <c r="F610" s="83" t="s">
        <v>4013</v>
      </c>
      <c r="G610" s="83" t="s">
        <v>4870</v>
      </c>
      <c r="H610" s="83">
        <v>0</v>
      </c>
      <c r="I610" s="83" t="s">
        <v>3213</v>
      </c>
      <c r="J610" s="83" t="s">
        <v>3896</v>
      </c>
      <c r="K610" s="83" t="s">
        <v>3215</v>
      </c>
    </row>
    <row r="611" spans="1:11" ht="51.75" x14ac:dyDescent="0.25">
      <c r="A611" s="83" t="s">
        <v>90</v>
      </c>
      <c r="B611" s="83" t="s">
        <v>3208</v>
      </c>
      <c r="C611" s="83" t="s">
        <v>3208</v>
      </c>
      <c r="D611" s="83" t="s">
        <v>3713</v>
      </c>
      <c r="E611" s="83" t="s">
        <v>3761</v>
      </c>
      <c r="F611" s="83" t="s">
        <v>3976</v>
      </c>
      <c r="G611" s="83" t="s">
        <v>4871</v>
      </c>
      <c r="H611" s="83">
        <v>0</v>
      </c>
      <c r="I611" s="83" t="s">
        <v>3213</v>
      </c>
      <c r="J611" s="83" t="s">
        <v>3271</v>
      </c>
      <c r="K611" s="83" t="s">
        <v>3215</v>
      </c>
    </row>
    <row r="612" spans="1:11" ht="51.75" x14ac:dyDescent="0.25">
      <c r="A612" s="83" t="s">
        <v>2195</v>
      </c>
      <c r="B612" s="83" t="s">
        <v>3208</v>
      </c>
      <c r="C612" s="83" t="s">
        <v>3208</v>
      </c>
      <c r="D612" s="83" t="s">
        <v>3713</v>
      </c>
      <c r="E612" s="83" t="s">
        <v>3761</v>
      </c>
      <c r="F612" s="83" t="s">
        <v>4015</v>
      </c>
      <c r="G612" s="83" t="s">
        <v>4064</v>
      </c>
      <c r="H612" s="83">
        <v>0</v>
      </c>
      <c r="I612" s="83" t="s">
        <v>3229</v>
      </c>
      <c r="J612" s="83" t="s">
        <v>3230</v>
      </c>
      <c r="K612" s="83" t="s">
        <v>3215</v>
      </c>
    </row>
    <row r="613" spans="1:11" ht="64.5" x14ac:dyDescent="0.25">
      <c r="A613" s="83" t="s">
        <v>2429</v>
      </c>
      <c r="B613" s="83" t="s">
        <v>3208</v>
      </c>
      <c r="C613" s="83" t="s">
        <v>3208</v>
      </c>
      <c r="D613" s="83" t="s">
        <v>3713</v>
      </c>
      <c r="E613" s="83" t="s">
        <v>3761</v>
      </c>
      <c r="F613" s="83" t="s">
        <v>3976</v>
      </c>
      <c r="G613" s="83" t="s">
        <v>4872</v>
      </c>
      <c r="H613" s="83">
        <v>0</v>
      </c>
      <c r="I613" s="83" t="s">
        <v>3229</v>
      </c>
      <c r="J613" s="83" t="s">
        <v>3380</v>
      </c>
      <c r="K613" s="83" t="s">
        <v>3215</v>
      </c>
    </row>
    <row r="614" spans="1:11" ht="51.75" x14ac:dyDescent="0.25">
      <c r="A614" s="83" t="s">
        <v>2498</v>
      </c>
      <c r="B614" s="83" t="s">
        <v>3208</v>
      </c>
      <c r="C614" s="83" t="s">
        <v>3208</v>
      </c>
      <c r="D614" s="83" t="s">
        <v>3713</v>
      </c>
      <c r="E614" s="83" t="s">
        <v>3761</v>
      </c>
      <c r="F614" s="83" t="s">
        <v>4015</v>
      </c>
      <c r="G614" s="83" t="s">
        <v>4873</v>
      </c>
      <c r="H614" s="83">
        <v>0</v>
      </c>
      <c r="I614" s="83" t="s">
        <v>3229</v>
      </c>
      <c r="J614" s="83" t="s">
        <v>3230</v>
      </c>
      <c r="K614" s="83" t="s">
        <v>3215</v>
      </c>
    </row>
    <row r="615" spans="1:11" ht="64.5" x14ac:dyDescent="0.25">
      <c r="A615" s="83" t="s">
        <v>4874</v>
      </c>
      <c r="B615" s="83" t="s">
        <v>3208</v>
      </c>
      <c r="C615" s="83" t="s">
        <v>3208</v>
      </c>
      <c r="D615" s="83" t="s">
        <v>3713</v>
      </c>
      <c r="E615" s="83" t="s">
        <v>3714</v>
      </c>
      <c r="F615" s="83" t="s">
        <v>4875</v>
      </c>
      <c r="G615" s="83" t="s">
        <v>3208</v>
      </c>
      <c r="H615" s="83">
        <v>0</v>
      </c>
      <c r="I615" s="83" t="s">
        <v>3229</v>
      </c>
      <c r="J615" s="83" t="s">
        <v>3380</v>
      </c>
      <c r="K615" s="83" t="s">
        <v>3215</v>
      </c>
    </row>
    <row r="616" spans="1:11" ht="39" x14ac:dyDescent="0.25">
      <c r="A616" s="83" t="s">
        <v>2651</v>
      </c>
      <c r="B616" s="83" t="s">
        <v>3208</v>
      </c>
      <c r="C616" s="83" t="s">
        <v>3208</v>
      </c>
      <c r="D616" s="83" t="s">
        <v>3713</v>
      </c>
      <c r="E616" s="83" t="s">
        <v>3761</v>
      </c>
      <c r="F616" s="83" t="s">
        <v>4076</v>
      </c>
      <c r="G616" s="83" t="s">
        <v>4077</v>
      </c>
      <c r="H616" s="83">
        <v>0</v>
      </c>
      <c r="I616" s="83" t="s">
        <v>3229</v>
      </c>
      <c r="J616" s="83" t="s">
        <v>3241</v>
      </c>
      <c r="K616" s="83" t="s">
        <v>3215</v>
      </c>
    </row>
    <row r="617" spans="1:11" ht="64.5" x14ac:dyDescent="0.25">
      <c r="A617" s="83" t="s">
        <v>1772</v>
      </c>
      <c r="B617" s="83" t="s">
        <v>3208</v>
      </c>
      <c r="C617" s="83" t="s">
        <v>3208</v>
      </c>
      <c r="D617" s="83" t="s">
        <v>3713</v>
      </c>
      <c r="E617" s="83" t="s">
        <v>3761</v>
      </c>
      <c r="F617" s="83" t="s">
        <v>3886</v>
      </c>
      <c r="G617" s="83" t="s">
        <v>3218</v>
      </c>
      <c r="H617" s="83">
        <v>0</v>
      </c>
      <c r="I617" s="83" t="s">
        <v>3213</v>
      </c>
      <c r="J617" s="83" t="s">
        <v>3219</v>
      </c>
      <c r="K617" s="83" t="s">
        <v>3215</v>
      </c>
    </row>
    <row r="618" spans="1:11" ht="51.75" x14ac:dyDescent="0.25">
      <c r="A618" s="83" t="s">
        <v>2236</v>
      </c>
      <c r="B618" s="83" t="s">
        <v>3208</v>
      </c>
      <c r="C618" s="83" t="s">
        <v>3208</v>
      </c>
      <c r="D618" s="83" t="s">
        <v>3713</v>
      </c>
      <c r="E618" s="83" t="s">
        <v>3761</v>
      </c>
      <c r="F618" s="83" t="s">
        <v>4013</v>
      </c>
      <c r="G618" s="83" t="s">
        <v>3315</v>
      </c>
      <c r="H618" s="83">
        <v>0</v>
      </c>
      <c r="I618" s="83" t="s">
        <v>3229</v>
      </c>
      <c r="J618" s="83" t="s">
        <v>3238</v>
      </c>
      <c r="K618" s="83" t="s">
        <v>3215</v>
      </c>
    </row>
    <row r="619" spans="1:11" ht="51.75" x14ac:dyDescent="0.25">
      <c r="A619" s="83" t="s">
        <v>136</v>
      </c>
      <c r="B619" s="83" t="s">
        <v>3208</v>
      </c>
      <c r="C619" s="83" t="s">
        <v>3208</v>
      </c>
      <c r="D619" s="83" t="s">
        <v>3713</v>
      </c>
      <c r="E619" s="83" t="s">
        <v>3761</v>
      </c>
      <c r="F619" s="83" t="s">
        <v>4013</v>
      </c>
      <c r="G619" s="83" t="s">
        <v>4014</v>
      </c>
      <c r="H619" s="83">
        <v>0</v>
      </c>
      <c r="I619" s="83" t="s">
        <v>3229</v>
      </c>
      <c r="J619" s="83" t="s">
        <v>3289</v>
      </c>
      <c r="K619" s="83" t="s">
        <v>3215</v>
      </c>
    </row>
    <row r="620" spans="1:11" ht="26.25" x14ac:dyDescent="0.25">
      <c r="A620" s="83" t="s">
        <v>2727</v>
      </c>
      <c r="B620" s="83" t="s">
        <v>3208</v>
      </c>
      <c r="C620" s="83" t="s">
        <v>3208</v>
      </c>
      <c r="D620" s="83" t="s">
        <v>3713</v>
      </c>
      <c r="E620" s="83" t="s">
        <v>3761</v>
      </c>
      <c r="F620" s="83" t="s">
        <v>4876</v>
      </c>
      <c r="G620" s="83" t="s">
        <v>4877</v>
      </c>
      <c r="H620" s="83">
        <v>0</v>
      </c>
      <c r="I620" s="83" t="s">
        <v>3229</v>
      </c>
      <c r="J620" s="83" t="s">
        <v>3222</v>
      </c>
      <c r="K620" s="83" t="s">
        <v>3215</v>
      </c>
    </row>
    <row r="621" spans="1:11" ht="51.75" x14ac:dyDescent="0.25">
      <c r="A621" s="83" t="s">
        <v>2504</v>
      </c>
      <c r="B621" s="83" t="s">
        <v>3208</v>
      </c>
      <c r="C621" s="83" t="s">
        <v>3208</v>
      </c>
      <c r="D621" s="83" t="s">
        <v>3713</v>
      </c>
      <c r="E621" s="83" t="s">
        <v>3761</v>
      </c>
      <c r="F621" s="83" t="s">
        <v>3976</v>
      </c>
      <c r="G621" s="83" t="s">
        <v>4878</v>
      </c>
      <c r="H621" s="83">
        <v>0</v>
      </c>
      <c r="I621" s="83" t="s">
        <v>3213</v>
      </c>
      <c r="J621" s="83" t="s">
        <v>3257</v>
      </c>
      <c r="K621" s="83" t="s">
        <v>3215</v>
      </c>
    </row>
    <row r="622" spans="1:11" ht="26.25" x14ac:dyDescent="0.25">
      <c r="A622" s="83" t="s">
        <v>2731</v>
      </c>
      <c r="B622" s="83" t="s">
        <v>3208</v>
      </c>
      <c r="C622" s="83" t="s">
        <v>3208</v>
      </c>
      <c r="D622" s="83" t="s">
        <v>3713</v>
      </c>
      <c r="E622" s="83" t="s">
        <v>3761</v>
      </c>
      <c r="F622" s="83" t="s">
        <v>4015</v>
      </c>
      <c r="G622" s="83" t="s">
        <v>4064</v>
      </c>
      <c r="H622" s="83">
        <v>0</v>
      </c>
      <c r="I622" s="83" t="s">
        <v>3229</v>
      </c>
      <c r="J622" s="83" t="s">
        <v>3222</v>
      </c>
      <c r="K622" s="83" t="s">
        <v>3215</v>
      </c>
    </row>
    <row r="623" spans="1:11" ht="51.75" x14ac:dyDescent="0.25">
      <c r="A623" s="83" t="s">
        <v>139</v>
      </c>
      <c r="B623" s="83" t="s">
        <v>3208</v>
      </c>
      <c r="C623" s="83" t="s">
        <v>3208</v>
      </c>
      <c r="D623" s="83" t="s">
        <v>3713</v>
      </c>
      <c r="E623" s="83" t="s">
        <v>3761</v>
      </c>
      <c r="F623" s="83" t="s">
        <v>4013</v>
      </c>
      <c r="G623" s="83" t="s">
        <v>4014</v>
      </c>
      <c r="H623" s="83">
        <v>0</v>
      </c>
      <c r="I623" s="83" t="s">
        <v>3229</v>
      </c>
      <c r="J623" s="83" t="s">
        <v>3289</v>
      </c>
      <c r="K623" s="83" t="s">
        <v>3215</v>
      </c>
    </row>
    <row r="624" spans="1:11" ht="64.5" x14ac:dyDescent="0.25">
      <c r="A624" s="83" t="s">
        <v>2437</v>
      </c>
      <c r="B624" s="83" t="s">
        <v>3208</v>
      </c>
      <c r="C624" s="83" t="s">
        <v>3208</v>
      </c>
      <c r="D624" s="83" t="s">
        <v>3713</v>
      </c>
      <c r="E624" s="83" t="s">
        <v>3761</v>
      </c>
      <c r="F624" s="83" t="s">
        <v>3976</v>
      </c>
      <c r="G624" s="83" t="s">
        <v>4879</v>
      </c>
      <c r="H624" s="83">
        <v>0</v>
      </c>
      <c r="I624" s="83" t="s">
        <v>3213</v>
      </c>
      <c r="J624" s="83" t="s">
        <v>3601</v>
      </c>
      <c r="K624" s="83" t="s">
        <v>3215</v>
      </c>
    </row>
    <row r="625" spans="1:11" ht="64.5" x14ac:dyDescent="0.25">
      <c r="A625" s="83" t="s">
        <v>1808</v>
      </c>
      <c r="B625" s="83" t="s">
        <v>3208</v>
      </c>
      <c r="C625" s="83" t="s">
        <v>3208</v>
      </c>
      <c r="D625" s="83" t="s">
        <v>3713</v>
      </c>
      <c r="E625" s="83" t="s">
        <v>3761</v>
      </c>
      <c r="F625" s="83" t="s">
        <v>3901</v>
      </c>
      <c r="G625" s="83" t="s">
        <v>4880</v>
      </c>
      <c r="H625" s="83">
        <v>0</v>
      </c>
      <c r="I625" s="83" t="s">
        <v>3213</v>
      </c>
      <c r="J625" s="83" t="s">
        <v>3413</v>
      </c>
      <c r="K625" s="83" t="s">
        <v>3215</v>
      </c>
    </row>
    <row r="626" spans="1:11" ht="64.5" x14ac:dyDescent="0.25">
      <c r="A626" s="83" t="s">
        <v>2338</v>
      </c>
      <c r="B626" s="83" t="s">
        <v>3208</v>
      </c>
      <c r="C626" s="83" t="s">
        <v>3208</v>
      </c>
      <c r="D626" s="83" t="s">
        <v>3713</v>
      </c>
      <c r="E626" s="83" t="s">
        <v>3761</v>
      </c>
      <c r="F626" s="83" t="s">
        <v>3895</v>
      </c>
      <c r="G626" s="83" t="s">
        <v>4881</v>
      </c>
      <c r="H626" s="83">
        <v>0</v>
      </c>
      <c r="I626" s="83" t="s">
        <v>3213</v>
      </c>
      <c r="J626" s="83" t="s">
        <v>3413</v>
      </c>
      <c r="K626" s="83" t="s">
        <v>3215</v>
      </c>
    </row>
    <row r="627" spans="1:11" ht="64.5" x14ac:dyDescent="0.25">
      <c r="A627" s="83" t="s">
        <v>1779</v>
      </c>
      <c r="B627" s="83" t="s">
        <v>3208</v>
      </c>
      <c r="C627" s="83" t="s">
        <v>3208</v>
      </c>
      <c r="D627" s="83" t="s">
        <v>3713</v>
      </c>
      <c r="E627" s="83" t="s">
        <v>3761</v>
      </c>
      <c r="F627" s="83" t="s">
        <v>3991</v>
      </c>
      <c r="G627" s="83" t="s">
        <v>3525</v>
      </c>
      <c r="H627" s="83">
        <v>0</v>
      </c>
      <c r="I627" s="83" t="s">
        <v>3213</v>
      </c>
      <c r="J627" s="83" t="s">
        <v>3413</v>
      </c>
      <c r="K627" s="83" t="s">
        <v>3215</v>
      </c>
    </row>
    <row r="628" spans="1:11" ht="64.5" x14ac:dyDescent="0.25">
      <c r="A628" s="83" t="s">
        <v>2566</v>
      </c>
      <c r="B628" s="83" t="s">
        <v>3208</v>
      </c>
      <c r="C628" s="83" t="s">
        <v>3208</v>
      </c>
      <c r="D628" s="83" t="s">
        <v>3713</v>
      </c>
      <c r="E628" s="83" t="s">
        <v>3761</v>
      </c>
      <c r="F628" s="83" t="s">
        <v>4882</v>
      </c>
      <c r="G628" s="83" t="s">
        <v>4883</v>
      </c>
      <c r="H628" s="83">
        <v>0</v>
      </c>
      <c r="I628" s="83" t="s">
        <v>3229</v>
      </c>
      <c r="J628" s="83" t="s">
        <v>3380</v>
      </c>
      <c r="K628" s="83" t="s">
        <v>3215</v>
      </c>
    </row>
    <row r="629" spans="1:11" ht="64.5" x14ac:dyDescent="0.25">
      <c r="A629" s="83" t="s">
        <v>2576</v>
      </c>
      <c r="B629" s="83" t="s">
        <v>3208</v>
      </c>
      <c r="C629" s="83" t="s">
        <v>3208</v>
      </c>
      <c r="D629" s="83" t="s">
        <v>3713</v>
      </c>
      <c r="E629" s="83" t="s">
        <v>3761</v>
      </c>
      <c r="F629" s="83" t="s">
        <v>4884</v>
      </c>
      <c r="G629" s="83" t="s">
        <v>4885</v>
      </c>
      <c r="H629" s="83">
        <v>0</v>
      </c>
      <c r="I629" s="83" t="s">
        <v>3229</v>
      </c>
      <c r="J629" s="83" t="s">
        <v>3601</v>
      </c>
      <c r="K629" s="83" t="s">
        <v>3215</v>
      </c>
    </row>
    <row r="630" spans="1:11" ht="51.75" x14ac:dyDescent="0.25">
      <c r="A630" s="83" t="s">
        <v>2586</v>
      </c>
      <c r="B630" s="83" t="s">
        <v>3208</v>
      </c>
      <c r="C630" s="83" t="s">
        <v>3208</v>
      </c>
      <c r="D630" s="83" t="s">
        <v>3713</v>
      </c>
      <c r="E630" s="83" t="s">
        <v>3761</v>
      </c>
      <c r="F630" s="83" t="s">
        <v>3974</v>
      </c>
      <c r="G630" s="83" t="s">
        <v>4886</v>
      </c>
      <c r="H630" s="83">
        <v>0</v>
      </c>
      <c r="I630" s="83" t="s">
        <v>3229</v>
      </c>
      <c r="J630" s="83" t="s">
        <v>3371</v>
      </c>
      <c r="K630" s="83" t="s">
        <v>3215</v>
      </c>
    </row>
    <row r="631" spans="1:11" ht="26.25" x14ac:dyDescent="0.25">
      <c r="A631" s="83" t="s">
        <v>2721</v>
      </c>
      <c r="B631" s="83" t="s">
        <v>3208</v>
      </c>
      <c r="C631" s="83" t="s">
        <v>3208</v>
      </c>
      <c r="D631" s="83" t="s">
        <v>3713</v>
      </c>
      <c r="E631" s="83" t="s">
        <v>3761</v>
      </c>
      <c r="F631" s="83" t="s">
        <v>4013</v>
      </c>
      <c r="G631" s="83" t="s">
        <v>4040</v>
      </c>
      <c r="H631" s="83">
        <v>0</v>
      </c>
      <c r="I631" s="83" t="s">
        <v>3229</v>
      </c>
      <c r="J631" s="83" t="s">
        <v>3222</v>
      </c>
      <c r="K631" s="83" t="s">
        <v>3215</v>
      </c>
    </row>
    <row r="632" spans="1:11" ht="51.75" x14ac:dyDescent="0.25">
      <c r="A632" s="83" t="s">
        <v>2526</v>
      </c>
      <c r="B632" s="83" t="s">
        <v>3208</v>
      </c>
      <c r="C632" s="83" t="s">
        <v>3208</v>
      </c>
      <c r="D632" s="83" t="s">
        <v>3713</v>
      </c>
      <c r="E632" s="83" t="s">
        <v>3761</v>
      </c>
      <c r="F632" s="83" t="s">
        <v>3886</v>
      </c>
      <c r="G632" s="83" t="s">
        <v>4887</v>
      </c>
      <c r="H632" s="83">
        <v>0</v>
      </c>
      <c r="I632" s="83" t="s">
        <v>3229</v>
      </c>
      <c r="J632" s="83" t="s">
        <v>3289</v>
      </c>
      <c r="K632" s="83" t="s">
        <v>3215</v>
      </c>
    </row>
    <row r="633" spans="1:11" ht="26.25" x14ac:dyDescent="0.25">
      <c r="A633" s="83" t="s">
        <v>2330</v>
      </c>
      <c r="B633" s="83" t="s">
        <v>3208</v>
      </c>
      <c r="C633" s="83" t="s">
        <v>3208</v>
      </c>
      <c r="D633" s="83" t="s">
        <v>3713</v>
      </c>
      <c r="E633" s="83" t="s">
        <v>3761</v>
      </c>
      <c r="F633" s="83" t="s">
        <v>4045</v>
      </c>
      <c r="G633" s="83" t="s">
        <v>4804</v>
      </c>
      <c r="H633" s="83">
        <v>0</v>
      </c>
      <c r="I633" s="83" t="s">
        <v>3213</v>
      </c>
      <c r="J633" s="83" t="s">
        <v>3948</v>
      </c>
      <c r="K633" s="83" t="s">
        <v>3215</v>
      </c>
    </row>
    <row r="634" spans="1:11" ht="51.75" x14ac:dyDescent="0.25">
      <c r="A634" s="83" t="s">
        <v>2256</v>
      </c>
      <c r="B634" s="83" t="s">
        <v>3208</v>
      </c>
      <c r="C634" s="83" t="s">
        <v>3208</v>
      </c>
      <c r="D634" s="83" t="s">
        <v>3713</v>
      </c>
      <c r="E634" s="83" t="s">
        <v>3761</v>
      </c>
      <c r="F634" s="83" t="s">
        <v>3991</v>
      </c>
      <c r="G634" s="83" t="s">
        <v>4888</v>
      </c>
      <c r="H634" s="83">
        <v>0</v>
      </c>
      <c r="I634" s="83" t="s">
        <v>3229</v>
      </c>
      <c r="J634" s="83" t="s">
        <v>3238</v>
      </c>
      <c r="K634" s="83" t="s">
        <v>3215</v>
      </c>
    </row>
    <row r="635" spans="1:11" ht="26.25" x14ac:dyDescent="0.25">
      <c r="A635" s="83" t="s">
        <v>4889</v>
      </c>
      <c r="B635" s="83" t="s">
        <v>3208</v>
      </c>
      <c r="C635" s="83" t="s">
        <v>3208</v>
      </c>
      <c r="D635" s="83" t="s">
        <v>3713</v>
      </c>
      <c r="E635" s="83" t="s">
        <v>3714</v>
      </c>
      <c r="F635" s="83" t="s">
        <v>4890</v>
      </c>
      <c r="G635" s="83" t="s">
        <v>4891</v>
      </c>
      <c r="H635" s="83">
        <v>0</v>
      </c>
      <c r="I635" s="83" t="s">
        <v>3208</v>
      </c>
      <c r="J635" s="83" t="s">
        <v>3208</v>
      </c>
      <c r="K635" s="83" t="s">
        <v>3208</v>
      </c>
    </row>
    <row r="636" spans="1:11" ht="26.25" x14ac:dyDescent="0.25">
      <c r="A636" s="83" t="s">
        <v>2474</v>
      </c>
      <c r="B636" s="83" t="s">
        <v>3208</v>
      </c>
      <c r="C636" s="83" t="s">
        <v>3208</v>
      </c>
      <c r="D636" s="83" t="s">
        <v>3713</v>
      </c>
      <c r="E636" s="83" t="s">
        <v>3761</v>
      </c>
      <c r="F636" s="83" t="s">
        <v>3901</v>
      </c>
      <c r="G636" s="83" t="s">
        <v>3870</v>
      </c>
      <c r="H636" s="83">
        <v>0</v>
      </c>
      <c r="I636" s="83" t="s">
        <v>3213</v>
      </c>
      <c r="J636" s="83" t="s">
        <v>3467</v>
      </c>
      <c r="K636" s="83" t="s">
        <v>3215</v>
      </c>
    </row>
    <row r="637" spans="1:11" ht="39" x14ac:dyDescent="0.25">
      <c r="A637" s="83" t="s">
        <v>1797</v>
      </c>
      <c r="B637" s="83" t="s">
        <v>3208</v>
      </c>
      <c r="C637" s="83" t="s">
        <v>3208</v>
      </c>
      <c r="D637" s="83" t="s">
        <v>3713</v>
      </c>
      <c r="E637" s="83" t="s">
        <v>3761</v>
      </c>
      <c r="F637" s="83" t="s">
        <v>4057</v>
      </c>
      <c r="G637" s="83" t="s">
        <v>4058</v>
      </c>
      <c r="H637" s="83">
        <v>0</v>
      </c>
      <c r="I637" s="83" t="s">
        <v>3229</v>
      </c>
      <c r="J637" s="83" t="s">
        <v>3241</v>
      </c>
      <c r="K637" s="83" t="s">
        <v>3215</v>
      </c>
    </row>
    <row r="638" spans="1:11" ht="64.5" x14ac:dyDescent="0.25">
      <c r="A638" s="83" t="s">
        <v>2379</v>
      </c>
      <c r="B638" s="83" t="s">
        <v>3208</v>
      </c>
      <c r="C638" s="83" t="s">
        <v>3208</v>
      </c>
      <c r="D638" s="83" t="s">
        <v>3713</v>
      </c>
      <c r="E638" s="83" t="s">
        <v>3761</v>
      </c>
      <c r="F638" s="83" t="s">
        <v>4013</v>
      </c>
      <c r="G638" s="83" t="s">
        <v>4892</v>
      </c>
      <c r="H638" s="83">
        <v>0</v>
      </c>
      <c r="I638" s="83" t="s">
        <v>3213</v>
      </c>
      <c r="J638" s="83" t="s">
        <v>3436</v>
      </c>
      <c r="K638" s="83" t="s">
        <v>3215</v>
      </c>
    </row>
    <row r="639" spans="1:11" ht="26.25" x14ac:dyDescent="0.25">
      <c r="A639" s="83" t="s">
        <v>4893</v>
      </c>
      <c r="B639" s="83" t="s">
        <v>3208</v>
      </c>
      <c r="C639" s="83" t="s">
        <v>3208</v>
      </c>
      <c r="D639" s="83" t="s">
        <v>3713</v>
      </c>
      <c r="E639" s="83" t="s">
        <v>3714</v>
      </c>
      <c r="F639" s="83" t="s">
        <v>4894</v>
      </c>
      <c r="G639" s="83" t="s">
        <v>3310</v>
      </c>
      <c r="H639" s="83">
        <v>0</v>
      </c>
      <c r="I639" s="83" t="s">
        <v>3208</v>
      </c>
      <c r="J639" s="83" t="s">
        <v>3208</v>
      </c>
      <c r="K639" s="83" t="s">
        <v>3208</v>
      </c>
    </row>
    <row r="640" spans="1:11" ht="64.5" x14ac:dyDescent="0.25">
      <c r="A640" s="83" t="s">
        <v>2656</v>
      </c>
      <c r="B640" s="83" t="s">
        <v>3208</v>
      </c>
      <c r="C640" s="83" t="s">
        <v>3208</v>
      </c>
      <c r="D640" s="83" t="s">
        <v>3713</v>
      </c>
      <c r="E640" s="83" t="s">
        <v>3761</v>
      </c>
      <c r="F640" s="83" t="s">
        <v>4895</v>
      </c>
      <c r="G640" s="83" t="s">
        <v>4885</v>
      </c>
      <c r="H640" s="83">
        <v>0</v>
      </c>
      <c r="I640" s="83" t="s">
        <v>3229</v>
      </c>
      <c r="J640" s="83" t="s">
        <v>3601</v>
      </c>
      <c r="K640" s="83" t="s">
        <v>3215</v>
      </c>
    </row>
    <row r="641" spans="1:11" ht="51.75" x14ac:dyDescent="0.25">
      <c r="A641" s="83" t="s">
        <v>2369</v>
      </c>
      <c r="B641" s="83" t="s">
        <v>3208</v>
      </c>
      <c r="C641" s="83" t="s">
        <v>3208</v>
      </c>
      <c r="D641" s="83" t="s">
        <v>3713</v>
      </c>
      <c r="E641" s="83" t="s">
        <v>3761</v>
      </c>
      <c r="F641" s="83" t="s">
        <v>3901</v>
      </c>
      <c r="G641" s="83" t="s">
        <v>4896</v>
      </c>
      <c r="H641" s="83">
        <v>0</v>
      </c>
      <c r="I641" s="83" t="s">
        <v>3229</v>
      </c>
      <c r="J641" s="83" t="s">
        <v>3289</v>
      </c>
      <c r="K641" s="83" t="s">
        <v>3215</v>
      </c>
    </row>
    <row r="642" spans="1:11" ht="51.75" x14ac:dyDescent="0.25">
      <c r="A642" s="83" t="s">
        <v>2630</v>
      </c>
      <c r="B642" s="83" t="s">
        <v>3208</v>
      </c>
      <c r="C642" s="83" t="s">
        <v>3208</v>
      </c>
      <c r="D642" s="83" t="s">
        <v>3713</v>
      </c>
      <c r="E642" s="83" t="s">
        <v>3761</v>
      </c>
      <c r="F642" s="83" t="s">
        <v>4897</v>
      </c>
      <c r="G642" s="83" t="s">
        <v>4898</v>
      </c>
      <c r="H642" s="83">
        <v>0</v>
      </c>
      <c r="I642" s="83" t="s">
        <v>3213</v>
      </c>
      <c r="J642" s="83" t="s">
        <v>3257</v>
      </c>
      <c r="K642" s="83" t="s">
        <v>3215</v>
      </c>
    </row>
    <row r="643" spans="1:11" ht="26.25" x14ac:dyDescent="0.25">
      <c r="A643" s="83" t="s">
        <v>1114</v>
      </c>
      <c r="B643" s="83" t="s">
        <v>4899</v>
      </c>
      <c r="C643" s="83" t="s">
        <v>4900</v>
      </c>
      <c r="D643" s="83" t="s">
        <v>3209</v>
      </c>
      <c r="E643" s="83" t="s">
        <v>3246</v>
      </c>
      <c r="F643" s="83" t="s">
        <v>4901</v>
      </c>
      <c r="G643" s="83" t="s">
        <v>4020</v>
      </c>
      <c r="H643" s="83">
        <v>105</v>
      </c>
      <c r="I643" s="83" t="s">
        <v>3213</v>
      </c>
      <c r="J643" s="83" t="s">
        <v>3896</v>
      </c>
      <c r="K643" s="83" t="s">
        <v>3215</v>
      </c>
    </row>
    <row r="644" spans="1:11" ht="64.5" x14ac:dyDescent="0.25">
      <c r="A644" s="83" t="s">
        <v>2441</v>
      </c>
      <c r="B644" s="83" t="s">
        <v>3208</v>
      </c>
      <c r="C644" s="83" t="s">
        <v>3208</v>
      </c>
      <c r="D644" s="83" t="s">
        <v>3713</v>
      </c>
      <c r="E644" s="83" t="s">
        <v>3761</v>
      </c>
      <c r="F644" s="83" t="s">
        <v>3886</v>
      </c>
      <c r="G644" s="83" t="s">
        <v>4902</v>
      </c>
      <c r="H644" s="83">
        <v>0</v>
      </c>
      <c r="I644" s="83" t="s">
        <v>3213</v>
      </c>
      <c r="J644" s="83" t="s">
        <v>3219</v>
      </c>
      <c r="K644" s="83" t="s">
        <v>3215</v>
      </c>
    </row>
    <row r="645" spans="1:11" ht="51.75" x14ac:dyDescent="0.25">
      <c r="A645" s="83" t="s">
        <v>2637</v>
      </c>
      <c r="B645" s="83" t="s">
        <v>3208</v>
      </c>
      <c r="C645" s="83" t="s">
        <v>3208</v>
      </c>
      <c r="D645" s="83" t="s">
        <v>3713</v>
      </c>
      <c r="E645" s="83" t="s">
        <v>3761</v>
      </c>
      <c r="F645" s="83" t="s">
        <v>4903</v>
      </c>
      <c r="G645" s="83" t="s">
        <v>3838</v>
      </c>
      <c r="H645" s="83">
        <v>0</v>
      </c>
      <c r="I645" s="83" t="s">
        <v>3213</v>
      </c>
      <c r="J645" s="83" t="s">
        <v>3214</v>
      </c>
      <c r="K645" s="83" t="s">
        <v>3215</v>
      </c>
    </row>
    <row r="646" spans="1:11" ht="51.75" x14ac:dyDescent="0.25">
      <c r="A646" s="83" t="s">
        <v>2372</v>
      </c>
      <c r="B646" s="83" t="s">
        <v>3208</v>
      </c>
      <c r="C646" s="83" t="s">
        <v>3208</v>
      </c>
      <c r="D646" s="83" t="s">
        <v>3713</v>
      </c>
      <c r="E646" s="83" t="s">
        <v>3761</v>
      </c>
      <c r="F646" s="83" t="s">
        <v>4013</v>
      </c>
      <c r="G646" s="83" t="s">
        <v>3417</v>
      </c>
      <c r="H646" s="83">
        <v>0</v>
      </c>
      <c r="I646" s="83" t="s">
        <v>3213</v>
      </c>
      <c r="J646" s="83" t="s">
        <v>3214</v>
      </c>
      <c r="K646" s="83" t="s">
        <v>3215</v>
      </c>
    </row>
    <row r="647" spans="1:11" ht="51.75" x14ac:dyDescent="0.25">
      <c r="A647" s="83" t="s">
        <v>983</v>
      </c>
      <c r="B647" s="83" t="s">
        <v>4904</v>
      </c>
      <c r="C647" s="83" t="s">
        <v>4905</v>
      </c>
      <c r="D647" s="83" t="s">
        <v>3209</v>
      </c>
      <c r="E647" s="83" t="s">
        <v>3246</v>
      </c>
      <c r="F647" s="83" t="s">
        <v>4906</v>
      </c>
      <c r="G647" s="83" t="s">
        <v>3248</v>
      </c>
      <c r="H647" s="83">
        <v>8</v>
      </c>
      <c r="I647" s="83" t="s">
        <v>3229</v>
      </c>
      <c r="J647" s="83" t="s">
        <v>3230</v>
      </c>
      <c r="K647" s="83" t="s">
        <v>3215</v>
      </c>
    </row>
    <row r="648" spans="1:11" ht="51.75" x14ac:dyDescent="0.25">
      <c r="A648" s="83" t="s">
        <v>439</v>
      </c>
      <c r="B648" s="83" t="s">
        <v>3208</v>
      </c>
      <c r="C648" s="83" t="s">
        <v>3208</v>
      </c>
      <c r="D648" s="83" t="s">
        <v>3209</v>
      </c>
      <c r="E648" s="83" t="s">
        <v>3210</v>
      </c>
      <c r="F648" s="83" t="s">
        <v>4907</v>
      </c>
      <c r="G648" s="83" t="s">
        <v>4908</v>
      </c>
      <c r="H648" s="83">
        <v>25.66</v>
      </c>
      <c r="I648" s="83" t="s">
        <v>3229</v>
      </c>
      <c r="J648" s="83" t="s">
        <v>3280</v>
      </c>
      <c r="K648" s="83" t="s">
        <v>3215</v>
      </c>
    </row>
    <row r="649" spans="1:11" ht="51.75" x14ac:dyDescent="0.25">
      <c r="A649" s="83" t="s">
        <v>2413</v>
      </c>
      <c r="B649" s="83" t="s">
        <v>3208</v>
      </c>
      <c r="C649" s="83" t="s">
        <v>3208</v>
      </c>
      <c r="D649" s="83" t="s">
        <v>3713</v>
      </c>
      <c r="E649" s="83" t="s">
        <v>3761</v>
      </c>
      <c r="F649" s="83" t="s">
        <v>3895</v>
      </c>
      <c r="G649" s="83" t="s">
        <v>3942</v>
      </c>
      <c r="H649" s="83">
        <v>0</v>
      </c>
      <c r="I649" s="83" t="s">
        <v>3229</v>
      </c>
      <c r="J649" s="83" t="s">
        <v>3521</v>
      </c>
      <c r="K649" s="83" t="s">
        <v>3215</v>
      </c>
    </row>
    <row r="650" spans="1:11" ht="51.75" x14ac:dyDescent="0.25">
      <c r="A650" s="83" t="s">
        <v>2415</v>
      </c>
      <c r="B650" s="83" t="s">
        <v>3208</v>
      </c>
      <c r="C650" s="83" t="s">
        <v>3208</v>
      </c>
      <c r="D650" s="83" t="s">
        <v>3713</v>
      </c>
      <c r="E650" s="83" t="s">
        <v>3761</v>
      </c>
      <c r="F650" s="83" t="s">
        <v>4013</v>
      </c>
      <c r="G650" s="83" t="s">
        <v>4909</v>
      </c>
      <c r="H650" s="83">
        <v>0</v>
      </c>
      <c r="I650" s="83" t="s">
        <v>3229</v>
      </c>
      <c r="J650" s="83" t="s">
        <v>3289</v>
      </c>
      <c r="K650" s="83" t="s">
        <v>3215</v>
      </c>
    </row>
    <row r="651" spans="1:11" ht="26.25" x14ac:dyDescent="0.25">
      <c r="A651" s="83" t="s">
        <v>2312</v>
      </c>
      <c r="B651" s="83" t="s">
        <v>3208</v>
      </c>
      <c r="C651" s="83" t="s">
        <v>3208</v>
      </c>
      <c r="D651" s="83" t="s">
        <v>3713</v>
      </c>
      <c r="E651" s="83" t="s">
        <v>3761</v>
      </c>
      <c r="F651" s="83" t="s">
        <v>3886</v>
      </c>
      <c r="G651" s="83" t="s">
        <v>4910</v>
      </c>
      <c r="H651" s="83">
        <v>0</v>
      </c>
      <c r="I651" s="83" t="s">
        <v>3229</v>
      </c>
      <c r="J651" s="83" t="s">
        <v>3324</v>
      </c>
      <c r="K651" s="83" t="s">
        <v>3215</v>
      </c>
    </row>
    <row r="652" spans="1:11" ht="26.25" x14ac:dyDescent="0.25">
      <c r="A652" s="83" t="s">
        <v>95</v>
      </c>
      <c r="B652" s="83" t="s">
        <v>4911</v>
      </c>
      <c r="C652" s="83" t="s">
        <v>4912</v>
      </c>
      <c r="D652" s="83" t="s">
        <v>3209</v>
      </c>
      <c r="E652" s="83" t="s">
        <v>3246</v>
      </c>
      <c r="F652" s="83" t="s">
        <v>4913</v>
      </c>
      <c r="G652" s="83" t="s">
        <v>4191</v>
      </c>
      <c r="H652" s="83">
        <v>26</v>
      </c>
      <c r="I652" s="83" t="s">
        <v>3229</v>
      </c>
      <c r="J652" s="83" t="s">
        <v>3397</v>
      </c>
      <c r="K652" s="83" t="s">
        <v>3215</v>
      </c>
    </row>
    <row r="653" spans="1:11" ht="51.75" x14ac:dyDescent="0.25">
      <c r="A653" s="83" t="s">
        <v>461</v>
      </c>
      <c r="B653" s="83" t="s">
        <v>3208</v>
      </c>
      <c r="C653" s="83" t="s">
        <v>4914</v>
      </c>
      <c r="D653" s="83" t="s">
        <v>3741</v>
      </c>
      <c r="E653" s="83" t="s">
        <v>3727</v>
      </c>
      <c r="F653" s="83" t="s">
        <v>4915</v>
      </c>
      <c r="G653" s="83" t="s">
        <v>4916</v>
      </c>
      <c r="H653" s="83">
        <v>0.5</v>
      </c>
      <c r="I653" s="83" t="s">
        <v>3229</v>
      </c>
      <c r="J653" s="83" t="s">
        <v>3289</v>
      </c>
      <c r="K653" s="83" t="s">
        <v>3215</v>
      </c>
    </row>
    <row r="654" spans="1:11" ht="51.75" x14ac:dyDescent="0.25">
      <c r="A654" s="83" t="s">
        <v>2049</v>
      </c>
      <c r="B654" s="83" t="s">
        <v>3208</v>
      </c>
      <c r="C654" s="83" t="s">
        <v>3208</v>
      </c>
      <c r="D654" s="83" t="s">
        <v>3713</v>
      </c>
      <c r="E654" s="83" t="s">
        <v>3761</v>
      </c>
      <c r="F654" s="83" t="s">
        <v>4917</v>
      </c>
      <c r="G654" s="83" t="s">
        <v>4918</v>
      </c>
      <c r="H654" s="83">
        <v>0</v>
      </c>
      <c r="I654" s="83" t="s">
        <v>3229</v>
      </c>
      <c r="J654" s="83" t="s">
        <v>3289</v>
      </c>
      <c r="K654" s="83" t="s">
        <v>3215</v>
      </c>
    </row>
    <row r="655" spans="1:11" ht="51.75" x14ac:dyDescent="0.25">
      <c r="A655" s="83" t="s">
        <v>2051</v>
      </c>
      <c r="B655" s="83" t="s">
        <v>3208</v>
      </c>
      <c r="C655" s="83" t="s">
        <v>3208</v>
      </c>
      <c r="D655" s="83" t="s">
        <v>3713</v>
      </c>
      <c r="E655" s="83" t="s">
        <v>3761</v>
      </c>
      <c r="F655" s="83" t="s">
        <v>4919</v>
      </c>
      <c r="G655" s="83" t="s">
        <v>3471</v>
      </c>
      <c r="H655" s="83">
        <v>0</v>
      </c>
      <c r="I655" s="83" t="s">
        <v>3229</v>
      </c>
      <c r="J655" s="83" t="s">
        <v>3337</v>
      </c>
      <c r="K655" s="83" t="s">
        <v>3215</v>
      </c>
    </row>
    <row r="656" spans="1:11" ht="51.75" x14ac:dyDescent="0.25">
      <c r="A656" s="83" t="s">
        <v>4920</v>
      </c>
      <c r="B656" s="83" t="s">
        <v>3208</v>
      </c>
      <c r="C656" s="83" t="s">
        <v>3208</v>
      </c>
      <c r="D656" s="83" t="s">
        <v>3965</v>
      </c>
      <c r="E656" s="83" t="s">
        <v>4054</v>
      </c>
      <c r="F656" s="83" t="s">
        <v>4921</v>
      </c>
      <c r="G656" s="83" t="s">
        <v>3838</v>
      </c>
      <c r="H656" s="83">
        <v>24</v>
      </c>
      <c r="I656" s="83" t="s">
        <v>3213</v>
      </c>
      <c r="J656" s="83" t="s">
        <v>3214</v>
      </c>
      <c r="K656" s="83" t="s">
        <v>3215</v>
      </c>
    </row>
    <row r="657" spans="1:11" ht="64.5" x14ac:dyDescent="0.25">
      <c r="A657" s="83" t="s">
        <v>1858</v>
      </c>
      <c r="B657" s="83" t="s">
        <v>3208</v>
      </c>
      <c r="C657" s="83" t="s">
        <v>3208</v>
      </c>
      <c r="D657" s="83" t="s">
        <v>3713</v>
      </c>
      <c r="E657" s="83" t="s">
        <v>3761</v>
      </c>
      <c r="F657" s="83" t="s">
        <v>4922</v>
      </c>
      <c r="G657" s="83" t="s">
        <v>4923</v>
      </c>
      <c r="H657" s="83">
        <v>0</v>
      </c>
      <c r="I657" s="83" t="s">
        <v>3213</v>
      </c>
      <c r="J657" s="83" t="s">
        <v>3262</v>
      </c>
      <c r="K657" s="83" t="s">
        <v>3215</v>
      </c>
    </row>
    <row r="658" spans="1:11" ht="51.75" x14ac:dyDescent="0.25">
      <c r="A658" s="83" t="s">
        <v>2685</v>
      </c>
      <c r="B658" s="83" t="s">
        <v>3208</v>
      </c>
      <c r="C658" s="83" t="s">
        <v>3208</v>
      </c>
      <c r="D658" s="83" t="s">
        <v>3713</v>
      </c>
      <c r="E658" s="83" t="s">
        <v>3761</v>
      </c>
      <c r="F658" s="83" t="s">
        <v>4924</v>
      </c>
      <c r="G658" s="83" t="s">
        <v>4925</v>
      </c>
      <c r="H658" s="83">
        <v>0</v>
      </c>
      <c r="I658" s="83" t="s">
        <v>3229</v>
      </c>
      <c r="J658" s="83" t="s">
        <v>3337</v>
      </c>
      <c r="K658" s="83" t="s">
        <v>3215</v>
      </c>
    </row>
    <row r="659" spans="1:11" ht="26.25" x14ac:dyDescent="0.25">
      <c r="A659" s="83" t="s">
        <v>4926</v>
      </c>
      <c r="B659" s="83" t="s">
        <v>3208</v>
      </c>
      <c r="C659" s="83" t="s">
        <v>3208</v>
      </c>
      <c r="D659" s="83" t="s">
        <v>3713</v>
      </c>
      <c r="E659" s="83" t="s">
        <v>3714</v>
      </c>
      <c r="F659" s="83" t="s">
        <v>4927</v>
      </c>
      <c r="G659" s="83" t="s">
        <v>4928</v>
      </c>
      <c r="H659" s="83">
        <v>0</v>
      </c>
      <c r="I659" s="83" t="s">
        <v>3208</v>
      </c>
      <c r="J659" s="83" t="s">
        <v>3208</v>
      </c>
      <c r="K659" s="83" t="s">
        <v>3208</v>
      </c>
    </row>
    <row r="660" spans="1:11" ht="64.5" x14ac:dyDescent="0.25">
      <c r="A660" s="83" t="s">
        <v>1092</v>
      </c>
      <c r="B660" s="83" t="s">
        <v>4929</v>
      </c>
      <c r="C660" s="83" t="s">
        <v>4930</v>
      </c>
      <c r="D660" s="83" t="s">
        <v>3209</v>
      </c>
      <c r="E660" s="83" t="s">
        <v>3246</v>
      </c>
      <c r="F660" s="83" t="s">
        <v>4269</v>
      </c>
      <c r="G660" s="83" t="s">
        <v>4931</v>
      </c>
      <c r="H660" s="83">
        <v>12</v>
      </c>
      <c r="I660" s="83" t="s">
        <v>3229</v>
      </c>
      <c r="J660" s="83" t="s">
        <v>3380</v>
      </c>
      <c r="K660" s="83" t="s">
        <v>3215</v>
      </c>
    </row>
    <row r="661" spans="1:11" ht="26.25" x14ac:dyDescent="0.25">
      <c r="A661" s="83" t="s">
        <v>2680</v>
      </c>
      <c r="B661" s="83" t="s">
        <v>3208</v>
      </c>
      <c r="C661" s="83" t="s">
        <v>3208</v>
      </c>
      <c r="D661" s="83" t="s">
        <v>3713</v>
      </c>
      <c r="E661" s="83" t="s">
        <v>3761</v>
      </c>
      <c r="F661" s="83" t="s">
        <v>4932</v>
      </c>
      <c r="G661" s="83" t="s">
        <v>4933</v>
      </c>
      <c r="H661" s="83">
        <v>0</v>
      </c>
      <c r="I661" s="83" t="s">
        <v>3208</v>
      </c>
      <c r="J661" s="83" t="s">
        <v>3208</v>
      </c>
      <c r="K661" s="83" t="s">
        <v>3208</v>
      </c>
    </row>
    <row r="662" spans="1:11" ht="51.75" x14ac:dyDescent="0.25">
      <c r="A662" s="83" t="s">
        <v>2714</v>
      </c>
      <c r="B662" s="83" t="s">
        <v>3208</v>
      </c>
      <c r="C662" s="83" t="s">
        <v>3208</v>
      </c>
      <c r="D662" s="83" t="s">
        <v>3713</v>
      </c>
      <c r="E662" s="83" t="s">
        <v>3761</v>
      </c>
      <c r="F662" s="83" t="s">
        <v>4934</v>
      </c>
      <c r="G662" s="83" t="s">
        <v>4935</v>
      </c>
      <c r="H662" s="83">
        <v>0</v>
      </c>
      <c r="I662" s="83" t="s">
        <v>3229</v>
      </c>
      <c r="J662" s="83" t="s">
        <v>3289</v>
      </c>
      <c r="K662" s="83" t="s">
        <v>3215</v>
      </c>
    </row>
    <row r="663" spans="1:11" ht="26.25" x14ac:dyDescent="0.25">
      <c r="A663" s="83" t="s">
        <v>2417</v>
      </c>
      <c r="B663" s="83" t="s">
        <v>3208</v>
      </c>
      <c r="C663" s="83" t="s">
        <v>3208</v>
      </c>
      <c r="D663" s="83" t="s">
        <v>3713</v>
      </c>
      <c r="E663" s="83" t="s">
        <v>3761</v>
      </c>
      <c r="F663" s="83" t="s">
        <v>4927</v>
      </c>
      <c r="G663" s="83" t="s">
        <v>4936</v>
      </c>
      <c r="H663" s="83">
        <v>0</v>
      </c>
      <c r="I663" s="83" t="s">
        <v>3229</v>
      </c>
      <c r="J663" s="83" t="s">
        <v>3222</v>
      </c>
      <c r="K663" s="83" t="s">
        <v>3215</v>
      </c>
    </row>
    <row r="664" spans="1:11" ht="26.25" x14ac:dyDescent="0.25">
      <c r="A664" s="83" t="s">
        <v>2469</v>
      </c>
      <c r="B664" s="83" t="s">
        <v>3208</v>
      </c>
      <c r="C664" s="83" t="s">
        <v>3208</v>
      </c>
      <c r="D664" s="83" t="s">
        <v>3713</v>
      </c>
      <c r="E664" s="83" t="s">
        <v>3761</v>
      </c>
      <c r="F664" s="83" t="s">
        <v>4937</v>
      </c>
      <c r="G664" s="83" t="s">
        <v>4938</v>
      </c>
      <c r="H664" s="83">
        <v>0</v>
      </c>
      <c r="I664" s="83" t="s">
        <v>3229</v>
      </c>
      <c r="J664" s="83" t="s">
        <v>3222</v>
      </c>
      <c r="K664" s="83" t="s">
        <v>3215</v>
      </c>
    </row>
    <row r="665" spans="1:11" ht="26.25" x14ac:dyDescent="0.25">
      <c r="A665" s="83" t="s">
        <v>96</v>
      </c>
      <c r="B665" s="83" t="s">
        <v>4939</v>
      </c>
      <c r="C665" s="83" t="s">
        <v>4940</v>
      </c>
      <c r="D665" s="83" t="s">
        <v>3209</v>
      </c>
      <c r="E665" s="83" t="s">
        <v>3246</v>
      </c>
      <c r="F665" s="83" t="s">
        <v>4941</v>
      </c>
      <c r="G665" s="83" t="s">
        <v>3375</v>
      </c>
      <c r="H665" s="83">
        <v>102.2</v>
      </c>
      <c r="I665" s="83" t="s">
        <v>3229</v>
      </c>
      <c r="J665" s="83" t="s">
        <v>3311</v>
      </c>
      <c r="K665" s="83" t="s">
        <v>3215</v>
      </c>
    </row>
    <row r="666" spans="1:11" ht="26.25" x14ac:dyDescent="0.25">
      <c r="A666" s="83" t="s">
        <v>4942</v>
      </c>
      <c r="B666" s="83" t="s">
        <v>3208</v>
      </c>
      <c r="C666" s="83" t="s">
        <v>3208</v>
      </c>
      <c r="D666" s="83" t="s">
        <v>3713</v>
      </c>
      <c r="E666" s="83" t="s">
        <v>3714</v>
      </c>
      <c r="F666" s="83" t="s">
        <v>4087</v>
      </c>
      <c r="G666" s="83" t="s">
        <v>4088</v>
      </c>
      <c r="H666" s="83">
        <v>0</v>
      </c>
      <c r="I666" s="83" t="s">
        <v>3208</v>
      </c>
      <c r="J666" s="83" t="s">
        <v>3208</v>
      </c>
      <c r="K666" s="83" t="s">
        <v>3208</v>
      </c>
    </row>
    <row r="667" spans="1:11" ht="51.75" x14ac:dyDescent="0.25">
      <c r="A667" s="83" t="s">
        <v>2713</v>
      </c>
      <c r="B667" s="83" t="s">
        <v>3208</v>
      </c>
      <c r="C667" s="83" t="s">
        <v>3208</v>
      </c>
      <c r="D667" s="83" t="s">
        <v>3713</v>
      </c>
      <c r="E667" s="83" t="s">
        <v>3761</v>
      </c>
      <c r="F667" s="83" t="s">
        <v>4943</v>
      </c>
      <c r="G667" s="83" t="s">
        <v>3375</v>
      </c>
      <c r="H667" s="83">
        <v>0</v>
      </c>
      <c r="I667" s="83" t="s">
        <v>3229</v>
      </c>
      <c r="J667" s="83" t="s">
        <v>3280</v>
      </c>
      <c r="K667" s="83" t="s">
        <v>3215</v>
      </c>
    </row>
    <row r="668" spans="1:11" x14ac:dyDescent="0.25">
      <c r="A668" s="83" t="s">
        <v>4944</v>
      </c>
      <c r="B668" s="83" t="s">
        <v>3208</v>
      </c>
      <c r="C668" s="83" t="s">
        <v>3208</v>
      </c>
      <c r="D668" s="83" t="s">
        <v>3209</v>
      </c>
      <c r="E668" s="83" t="s">
        <v>3663</v>
      </c>
      <c r="F668" s="83" t="s">
        <v>4945</v>
      </c>
      <c r="G668" s="83" t="s">
        <v>4946</v>
      </c>
      <c r="H668" s="83">
        <v>270</v>
      </c>
      <c r="I668" s="83" t="s">
        <v>3208</v>
      </c>
      <c r="J668" s="83" t="s">
        <v>3208</v>
      </c>
      <c r="K668" s="83" t="s">
        <v>3208</v>
      </c>
    </row>
    <row r="669" spans="1:11" ht="51.75" x14ac:dyDescent="0.25">
      <c r="A669" s="83" t="s">
        <v>2694</v>
      </c>
      <c r="B669" s="83" t="s">
        <v>3208</v>
      </c>
      <c r="C669" s="83" t="s">
        <v>3208</v>
      </c>
      <c r="D669" s="83" t="s">
        <v>3713</v>
      </c>
      <c r="E669" s="83" t="s">
        <v>3761</v>
      </c>
      <c r="F669" s="83" t="s">
        <v>4947</v>
      </c>
      <c r="G669" s="83" t="s">
        <v>4948</v>
      </c>
      <c r="H669" s="83">
        <v>0</v>
      </c>
      <c r="I669" s="83" t="s">
        <v>3213</v>
      </c>
      <c r="J669" s="83" t="s">
        <v>3214</v>
      </c>
      <c r="K669" s="83" t="s">
        <v>3215</v>
      </c>
    </row>
    <row r="670" spans="1:11" ht="64.5" x14ac:dyDescent="0.25">
      <c r="A670" s="83" t="s">
        <v>1486</v>
      </c>
      <c r="B670" s="83" t="s">
        <v>4949</v>
      </c>
      <c r="C670" s="83" t="s">
        <v>4950</v>
      </c>
      <c r="D670" s="83" t="s">
        <v>3209</v>
      </c>
      <c r="E670" s="83" t="s">
        <v>3246</v>
      </c>
      <c r="F670" s="83" t="s">
        <v>4951</v>
      </c>
      <c r="G670" s="83" t="s">
        <v>4952</v>
      </c>
      <c r="H670" s="83">
        <v>3.4</v>
      </c>
      <c r="I670" s="83" t="s">
        <v>3213</v>
      </c>
      <c r="J670" s="83" t="s">
        <v>3601</v>
      </c>
      <c r="K670" s="83" t="s">
        <v>3215</v>
      </c>
    </row>
    <row r="671" spans="1:11" ht="51.75" x14ac:dyDescent="0.25">
      <c r="A671" s="83" t="s">
        <v>1273</v>
      </c>
      <c r="B671" s="83" t="s">
        <v>4953</v>
      </c>
      <c r="C671" s="83" t="s">
        <v>4954</v>
      </c>
      <c r="D671" s="83" t="s">
        <v>3209</v>
      </c>
      <c r="E671" s="83" t="s">
        <v>3246</v>
      </c>
      <c r="F671" s="83" t="s">
        <v>4955</v>
      </c>
      <c r="G671" s="83" t="s">
        <v>4083</v>
      </c>
      <c r="H671" s="83">
        <v>4</v>
      </c>
      <c r="I671" s="83" t="s">
        <v>3229</v>
      </c>
      <c r="J671" s="83" t="s">
        <v>3289</v>
      </c>
      <c r="K671" s="83" t="s">
        <v>3215</v>
      </c>
    </row>
    <row r="672" spans="1:11" ht="51.75" x14ac:dyDescent="0.25">
      <c r="A672" s="83" t="s">
        <v>1317</v>
      </c>
      <c r="B672" s="83" t="s">
        <v>4956</v>
      </c>
      <c r="C672" s="83" t="s">
        <v>4957</v>
      </c>
      <c r="D672" s="83" t="s">
        <v>3209</v>
      </c>
      <c r="E672" s="83" t="s">
        <v>3246</v>
      </c>
      <c r="F672" s="83" t="s">
        <v>4958</v>
      </c>
      <c r="G672" s="83" t="s">
        <v>4898</v>
      </c>
      <c r="H672" s="83">
        <v>128.4</v>
      </c>
      <c r="I672" s="83" t="s">
        <v>3213</v>
      </c>
      <c r="J672" s="83" t="s">
        <v>3257</v>
      </c>
      <c r="K672" s="83" t="s">
        <v>3215</v>
      </c>
    </row>
    <row r="673" spans="1:11" x14ac:dyDescent="0.25">
      <c r="A673" s="83" t="s">
        <v>4959</v>
      </c>
      <c r="B673" s="83" t="s">
        <v>3208</v>
      </c>
      <c r="C673" s="83" t="s">
        <v>3208</v>
      </c>
      <c r="D673" s="83" t="s">
        <v>3209</v>
      </c>
      <c r="E673" s="83" t="s">
        <v>3663</v>
      </c>
      <c r="F673" s="83" t="s">
        <v>4960</v>
      </c>
      <c r="G673" s="83" t="s">
        <v>109</v>
      </c>
      <c r="H673" s="83">
        <v>245</v>
      </c>
      <c r="I673" s="83" t="s">
        <v>3208</v>
      </c>
      <c r="J673" s="83" t="s">
        <v>3208</v>
      </c>
      <c r="K673" s="83" t="s">
        <v>3208</v>
      </c>
    </row>
    <row r="674" spans="1:11" ht="64.5" x14ac:dyDescent="0.25">
      <c r="A674" s="83" t="s">
        <v>412</v>
      </c>
      <c r="B674" s="83" t="s">
        <v>3208</v>
      </c>
      <c r="C674" s="83" t="s">
        <v>4961</v>
      </c>
      <c r="D674" s="83" t="s">
        <v>4005</v>
      </c>
      <c r="E674" s="83" t="s">
        <v>3727</v>
      </c>
      <c r="F674" s="83" t="s">
        <v>4962</v>
      </c>
      <c r="G674" s="83" t="s">
        <v>109</v>
      </c>
      <c r="H674" s="83">
        <v>20</v>
      </c>
      <c r="I674" s="83" t="s">
        <v>3213</v>
      </c>
      <c r="J674" s="83" t="s">
        <v>3413</v>
      </c>
      <c r="K674" s="83" t="s">
        <v>3215</v>
      </c>
    </row>
    <row r="675" spans="1:11" ht="26.25" x14ac:dyDescent="0.25">
      <c r="A675" s="83" t="s">
        <v>418</v>
      </c>
      <c r="B675" s="83" t="s">
        <v>3208</v>
      </c>
      <c r="C675" s="83" t="s">
        <v>3208</v>
      </c>
      <c r="D675" s="83" t="s">
        <v>3718</v>
      </c>
      <c r="E675" s="83" t="s">
        <v>3210</v>
      </c>
      <c r="F675" s="83" t="s">
        <v>4963</v>
      </c>
      <c r="G675" s="83" t="s">
        <v>4877</v>
      </c>
      <c r="H675" s="83">
        <v>12.53</v>
      </c>
      <c r="I675" s="83" t="s">
        <v>3229</v>
      </c>
      <c r="J675" s="83" t="s">
        <v>3222</v>
      </c>
      <c r="K675" s="83" t="s">
        <v>3215</v>
      </c>
    </row>
    <row r="676" spans="1:11" x14ac:dyDescent="0.25">
      <c r="A676" s="83" t="s">
        <v>4964</v>
      </c>
      <c r="B676" s="83" t="s">
        <v>3208</v>
      </c>
      <c r="C676" s="83" t="s">
        <v>3208</v>
      </c>
      <c r="D676" s="83" t="s">
        <v>3209</v>
      </c>
      <c r="E676" s="83" t="s">
        <v>4248</v>
      </c>
      <c r="F676" s="83" t="s">
        <v>4965</v>
      </c>
      <c r="G676" s="83" t="s">
        <v>4966</v>
      </c>
      <c r="H676" s="83">
        <v>98.4</v>
      </c>
      <c r="I676" s="83" t="s">
        <v>3208</v>
      </c>
      <c r="J676" s="83" t="s">
        <v>3208</v>
      </c>
      <c r="K676" s="83" t="s">
        <v>3208</v>
      </c>
    </row>
    <row r="677" spans="1:11" ht="51.75" x14ac:dyDescent="0.25">
      <c r="A677" s="83" t="s">
        <v>169</v>
      </c>
      <c r="B677" s="83" t="s">
        <v>3208</v>
      </c>
      <c r="C677" s="83" t="s">
        <v>3208</v>
      </c>
      <c r="D677" s="83" t="s">
        <v>3713</v>
      </c>
      <c r="E677" s="83" t="s">
        <v>3761</v>
      </c>
      <c r="F677" s="83" t="s">
        <v>4967</v>
      </c>
      <c r="G677" s="83" t="s">
        <v>4968</v>
      </c>
      <c r="H677" s="83">
        <v>0</v>
      </c>
      <c r="I677" s="83" t="s">
        <v>3229</v>
      </c>
      <c r="J677" s="83" t="s">
        <v>3371</v>
      </c>
      <c r="K677" s="83" t="s">
        <v>3215</v>
      </c>
    </row>
    <row r="678" spans="1:11" ht="64.5" x14ac:dyDescent="0.25">
      <c r="A678" s="83" t="s">
        <v>453</v>
      </c>
      <c r="B678" s="83" t="s">
        <v>3208</v>
      </c>
      <c r="C678" s="83" t="s">
        <v>4969</v>
      </c>
      <c r="D678" s="83" t="s">
        <v>3718</v>
      </c>
      <c r="E678" s="83" t="s">
        <v>3727</v>
      </c>
      <c r="F678" s="83" t="s">
        <v>4970</v>
      </c>
      <c r="G678" s="83" t="s">
        <v>4931</v>
      </c>
      <c r="H678" s="83">
        <v>0.4</v>
      </c>
      <c r="I678" s="83" t="s">
        <v>3229</v>
      </c>
      <c r="J678" s="83" t="s">
        <v>3380</v>
      </c>
      <c r="K678" s="83" t="s">
        <v>3215</v>
      </c>
    </row>
    <row r="679" spans="1:11" ht="39" x14ac:dyDescent="0.25">
      <c r="A679" s="83" t="s">
        <v>2758</v>
      </c>
      <c r="B679" s="83" t="s">
        <v>3208</v>
      </c>
      <c r="C679" s="83" t="s">
        <v>3208</v>
      </c>
      <c r="D679" s="83" t="s">
        <v>3713</v>
      </c>
      <c r="E679" s="83" t="s">
        <v>3761</v>
      </c>
      <c r="F679" s="83" t="s">
        <v>4971</v>
      </c>
      <c r="G679" s="83" t="s">
        <v>4972</v>
      </c>
      <c r="H679" s="83">
        <v>0</v>
      </c>
      <c r="I679" s="83" t="s">
        <v>3229</v>
      </c>
      <c r="J679" s="83" t="s">
        <v>356</v>
      </c>
      <c r="K679" s="83" t="s">
        <v>3215</v>
      </c>
    </row>
    <row r="680" spans="1:11" ht="64.5" x14ac:dyDescent="0.25">
      <c r="A680" s="83" t="s">
        <v>2764</v>
      </c>
      <c r="B680" s="83" t="s">
        <v>3208</v>
      </c>
      <c r="C680" s="83" t="s">
        <v>3208</v>
      </c>
      <c r="D680" s="83" t="s">
        <v>3713</v>
      </c>
      <c r="E680" s="83" t="s">
        <v>3761</v>
      </c>
      <c r="F680" s="83" t="s">
        <v>4973</v>
      </c>
      <c r="G680" s="83" t="s">
        <v>4974</v>
      </c>
      <c r="H680" s="83">
        <v>0</v>
      </c>
      <c r="I680" s="83" t="s">
        <v>3229</v>
      </c>
      <c r="J680" s="83" t="s">
        <v>3380</v>
      </c>
      <c r="K680" s="83" t="s">
        <v>3215</v>
      </c>
    </row>
    <row r="681" spans="1:11" ht="51.75" x14ac:dyDescent="0.25">
      <c r="A681" s="83" t="s">
        <v>473</v>
      </c>
      <c r="B681" s="83" t="s">
        <v>4975</v>
      </c>
      <c r="C681" s="83" t="s">
        <v>3208</v>
      </c>
      <c r="D681" s="83" t="s">
        <v>3209</v>
      </c>
      <c r="E681" s="83" t="s">
        <v>3226</v>
      </c>
      <c r="F681" s="83" t="s">
        <v>4976</v>
      </c>
      <c r="G681" s="83" t="s">
        <v>4977</v>
      </c>
      <c r="H681" s="83">
        <v>274</v>
      </c>
      <c r="I681" s="83" t="s">
        <v>3213</v>
      </c>
      <c r="J681" s="83" t="s">
        <v>3214</v>
      </c>
      <c r="K681" s="83" t="s">
        <v>3215</v>
      </c>
    </row>
    <row r="682" spans="1:11" ht="39" x14ac:dyDescent="0.25">
      <c r="A682" s="83" t="s">
        <v>1815</v>
      </c>
      <c r="B682" s="83" t="s">
        <v>3208</v>
      </c>
      <c r="C682" s="83" t="s">
        <v>3208</v>
      </c>
      <c r="D682" s="83" t="s">
        <v>3713</v>
      </c>
      <c r="E682" s="83" t="s">
        <v>3761</v>
      </c>
      <c r="F682" s="83" t="s">
        <v>4978</v>
      </c>
      <c r="G682" s="83" t="s">
        <v>4979</v>
      </c>
      <c r="H682" s="83">
        <v>0</v>
      </c>
      <c r="I682" s="83" t="s">
        <v>3229</v>
      </c>
      <c r="J682" s="83" t="s">
        <v>356</v>
      </c>
      <c r="K682" s="83" t="s">
        <v>3215</v>
      </c>
    </row>
    <row r="683" spans="1:11" ht="51.75" x14ac:dyDescent="0.25">
      <c r="A683" s="83" t="s">
        <v>2734</v>
      </c>
      <c r="B683" s="83" t="s">
        <v>3208</v>
      </c>
      <c r="C683" s="83" t="s">
        <v>3208</v>
      </c>
      <c r="D683" s="83" t="s">
        <v>3713</v>
      </c>
      <c r="E683" s="83" t="s">
        <v>3761</v>
      </c>
      <c r="F683" s="83" t="s">
        <v>4129</v>
      </c>
      <c r="G683" s="83" t="s">
        <v>3248</v>
      </c>
      <c r="H683" s="83">
        <v>0</v>
      </c>
      <c r="I683" s="83" t="s">
        <v>3229</v>
      </c>
      <c r="J683" s="83" t="s">
        <v>3230</v>
      </c>
      <c r="K683" s="83" t="s">
        <v>3215</v>
      </c>
    </row>
    <row r="684" spans="1:11" ht="26.25" x14ac:dyDescent="0.25">
      <c r="A684" s="83" t="s">
        <v>2751</v>
      </c>
      <c r="B684" s="83" t="s">
        <v>3208</v>
      </c>
      <c r="C684" s="83" t="s">
        <v>3208</v>
      </c>
      <c r="D684" s="83" t="s">
        <v>3713</v>
      </c>
      <c r="E684" s="83" t="s">
        <v>3761</v>
      </c>
      <c r="F684" s="83" t="s">
        <v>4980</v>
      </c>
      <c r="G684" s="83" t="s">
        <v>4981</v>
      </c>
      <c r="H684" s="83">
        <v>0</v>
      </c>
      <c r="I684" s="83" t="s">
        <v>3213</v>
      </c>
      <c r="J684" s="83" t="s">
        <v>3467</v>
      </c>
      <c r="K684" s="83" t="s">
        <v>3215</v>
      </c>
    </row>
    <row r="685" spans="1:11" ht="51.75" x14ac:dyDescent="0.25">
      <c r="A685" s="83" t="s">
        <v>2747</v>
      </c>
      <c r="B685" s="83" t="s">
        <v>3208</v>
      </c>
      <c r="C685" s="83" t="s">
        <v>3208</v>
      </c>
      <c r="D685" s="83" t="s">
        <v>3713</v>
      </c>
      <c r="E685" s="83" t="s">
        <v>3761</v>
      </c>
      <c r="F685" s="83" t="s">
        <v>4123</v>
      </c>
      <c r="G685" s="83" t="s">
        <v>3565</v>
      </c>
      <c r="H685" s="83">
        <v>0</v>
      </c>
      <c r="I685" s="83" t="s">
        <v>3229</v>
      </c>
      <c r="J685" s="83" t="s">
        <v>3230</v>
      </c>
      <c r="K685" s="83" t="s">
        <v>3215</v>
      </c>
    </row>
    <row r="686" spans="1:11" ht="39" x14ac:dyDescent="0.25">
      <c r="A686" s="83" t="s">
        <v>2775</v>
      </c>
      <c r="B686" s="83" t="s">
        <v>3208</v>
      </c>
      <c r="C686" s="83" t="s">
        <v>3208</v>
      </c>
      <c r="D686" s="83" t="s">
        <v>3713</v>
      </c>
      <c r="E686" s="83" t="s">
        <v>3761</v>
      </c>
      <c r="F686" s="83" t="s">
        <v>4982</v>
      </c>
      <c r="G686" s="83" t="s">
        <v>4983</v>
      </c>
      <c r="H686" s="83">
        <v>0</v>
      </c>
      <c r="I686" s="83" t="s">
        <v>3229</v>
      </c>
      <c r="J686" s="83" t="s">
        <v>356</v>
      </c>
      <c r="K686" s="83" t="s">
        <v>3215</v>
      </c>
    </row>
    <row r="687" spans="1:11" ht="64.5" x14ac:dyDescent="0.25">
      <c r="A687" s="83" t="s">
        <v>494</v>
      </c>
      <c r="B687" s="83" t="s">
        <v>4984</v>
      </c>
      <c r="C687" s="83" t="s">
        <v>3208</v>
      </c>
      <c r="D687" s="83" t="s">
        <v>3209</v>
      </c>
      <c r="E687" s="83" t="s">
        <v>3226</v>
      </c>
      <c r="F687" s="83" t="s">
        <v>4985</v>
      </c>
      <c r="G687" s="83" t="s">
        <v>4986</v>
      </c>
      <c r="H687" s="83">
        <v>41.9</v>
      </c>
      <c r="I687" s="83" t="s">
        <v>3229</v>
      </c>
      <c r="J687" s="83" t="s">
        <v>3380</v>
      </c>
      <c r="K687" s="83" t="s">
        <v>3215</v>
      </c>
    </row>
    <row r="688" spans="1:11" x14ac:dyDescent="0.25">
      <c r="A688" s="83" t="s">
        <v>4987</v>
      </c>
      <c r="B688" s="83" t="s">
        <v>4988</v>
      </c>
      <c r="C688" s="83" t="s">
        <v>4989</v>
      </c>
      <c r="D688" s="83" t="s">
        <v>3209</v>
      </c>
      <c r="E688" s="83" t="s">
        <v>3702</v>
      </c>
      <c r="F688" s="83" t="s">
        <v>4990</v>
      </c>
      <c r="G688" s="83" t="s">
        <v>4991</v>
      </c>
      <c r="H688" s="83">
        <v>0.5</v>
      </c>
      <c r="I688" s="83" t="s">
        <v>3208</v>
      </c>
      <c r="J688" s="83" t="s">
        <v>3208</v>
      </c>
      <c r="K688" s="83" t="s">
        <v>3208</v>
      </c>
    </row>
    <row r="689" spans="1:11" ht="39" x14ac:dyDescent="0.25">
      <c r="A689" s="83" t="s">
        <v>2752</v>
      </c>
      <c r="B689" s="83" t="s">
        <v>3208</v>
      </c>
      <c r="C689" s="83" t="s">
        <v>3208</v>
      </c>
      <c r="D689" s="83" t="s">
        <v>3713</v>
      </c>
      <c r="E689" s="83" t="s">
        <v>3761</v>
      </c>
      <c r="F689" s="83" t="s">
        <v>4992</v>
      </c>
      <c r="G689" s="83" t="s">
        <v>4993</v>
      </c>
      <c r="H689" s="83">
        <v>0</v>
      </c>
      <c r="I689" s="83" t="s">
        <v>3229</v>
      </c>
      <c r="J689" s="83" t="s">
        <v>356</v>
      </c>
      <c r="K689" s="83" t="s">
        <v>3215</v>
      </c>
    </row>
    <row r="690" spans="1:11" ht="51.75" x14ac:dyDescent="0.25">
      <c r="A690" s="83" t="s">
        <v>2906</v>
      </c>
      <c r="B690" s="83" t="s">
        <v>3208</v>
      </c>
      <c r="C690" s="83" t="s">
        <v>3208</v>
      </c>
      <c r="D690" s="83" t="s">
        <v>3713</v>
      </c>
      <c r="E690" s="83" t="s">
        <v>3761</v>
      </c>
      <c r="F690" s="83" t="s">
        <v>4994</v>
      </c>
      <c r="G690" s="83" t="s">
        <v>3366</v>
      </c>
      <c r="H690" s="83">
        <v>0</v>
      </c>
      <c r="I690" s="83" t="s">
        <v>3213</v>
      </c>
      <c r="J690" s="83" t="s">
        <v>3257</v>
      </c>
      <c r="K690" s="83" t="s">
        <v>3215</v>
      </c>
    </row>
    <row r="691" spans="1:11" ht="51.75" x14ac:dyDescent="0.25">
      <c r="A691" s="83" t="s">
        <v>1552</v>
      </c>
      <c r="B691" s="83" t="s">
        <v>4995</v>
      </c>
      <c r="C691" s="83" t="s">
        <v>4996</v>
      </c>
      <c r="D691" s="83" t="s">
        <v>3209</v>
      </c>
      <c r="E691" s="83" t="s">
        <v>3246</v>
      </c>
      <c r="F691" s="83" t="s">
        <v>4997</v>
      </c>
      <c r="G691" s="83" t="s">
        <v>3810</v>
      </c>
      <c r="H691" s="83">
        <v>19</v>
      </c>
      <c r="I691" s="83" t="s">
        <v>3213</v>
      </c>
      <c r="J691" s="83" t="s">
        <v>3271</v>
      </c>
      <c r="K691" s="83" t="s">
        <v>3215</v>
      </c>
    </row>
    <row r="692" spans="1:11" ht="26.25" x14ac:dyDescent="0.25">
      <c r="A692" s="83" t="s">
        <v>343</v>
      </c>
      <c r="B692" s="83" t="s">
        <v>3208</v>
      </c>
      <c r="C692" s="83" t="s">
        <v>4998</v>
      </c>
      <c r="D692" s="83" t="s">
        <v>4157</v>
      </c>
      <c r="E692" s="83" t="s">
        <v>3727</v>
      </c>
      <c r="F692" s="83" t="s">
        <v>4999</v>
      </c>
      <c r="G692" s="83" t="s">
        <v>5000</v>
      </c>
      <c r="H692" s="83">
        <v>0.82</v>
      </c>
      <c r="I692" s="83" t="s">
        <v>3213</v>
      </c>
      <c r="J692" s="83" t="s">
        <v>3948</v>
      </c>
      <c r="K692" s="83" t="s">
        <v>3215</v>
      </c>
    </row>
    <row r="693" spans="1:11" ht="51.75" x14ac:dyDescent="0.25">
      <c r="A693" s="83" t="s">
        <v>422</v>
      </c>
      <c r="B693" s="83" t="s">
        <v>3208</v>
      </c>
      <c r="C693" s="83" t="s">
        <v>5001</v>
      </c>
      <c r="D693" s="83" t="s">
        <v>3718</v>
      </c>
      <c r="E693" s="83" t="s">
        <v>3727</v>
      </c>
      <c r="F693" s="83" t="s">
        <v>5002</v>
      </c>
      <c r="G693" s="83" t="s">
        <v>5003</v>
      </c>
      <c r="H693" s="83">
        <v>7.7</v>
      </c>
      <c r="I693" s="83" t="s">
        <v>3213</v>
      </c>
      <c r="J693" s="83" t="s">
        <v>3538</v>
      </c>
      <c r="K693" s="83" t="s">
        <v>3215</v>
      </c>
    </row>
    <row r="694" spans="1:11" ht="26.25" x14ac:dyDescent="0.25">
      <c r="A694" s="83" t="s">
        <v>5004</v>
      </c>
      <c r="B694" s="83" t="s">
        <v>3208</v>
      </c>
      <c r="C694" s="83" t="s">
        <v>3208</v>
      </c>
      <c r="D694" s="83" t="s">
        <v>3713</v>
      </c>
      <c r="E694" s="83" t="s">
        <v>3714</v>
      </c>
      <c r="F694" s="83" t="s">
        <v>5002</v>
      </c>
      <c r="G694" s="83" t="s">
        <v>5005</v>
      </c>
      <c r="H694" s="83">
        <v>0</v>
      </c>
      <c r="I694" s="83" t="s">
        <v>3208</v>
      </c>
      <c r="J694" s="83" t="s">
        <v>3208</v>
      </c>
      <c r="K694" s="83" t="s">
        <v>3208</v>
      </c>
    </row>
    <row r="695" spans="1:11" ht="64.5" x14ac:dyDescent="0.25">
      <c r="A695" s="83" t="s">
        <v>1877</v>
      </c>
      <c r="B695" s="83" t="s">
        <v>3208</v>
      </c>
      <c r="C695" s="83" t="s">
        <v>3208</v>
      </c>
      <c r="D695" s="83" t="s">
        <v>3713</v>
      </c>
      <c r="E695" s="83" t="s">
        <v>3761</v>
      </c>
      <c r="F695" s="83" t="s">
        <v>4168</v>
      </c>
      <c r="G695" s="83" t="s">
        <v>4164</v>
      </c>
      <c r="H695" s="83">
        <v>0</v>
      </c>
      <c r="I695" s="83" t="s">
        <v>3213</v>
      </c>
      <c r="J695" s="83" t="s">
        <v>3262</v>
      </c>
      <c r="K695" s="83" t="s">
        <v>3215</v>
      </c>
    </row>
    <row r="696" spans="1:11" x14ac:dyDescent="0.25">
      <c r="A696" s="83" t="s">
        <v>5006</v>
      </c>
      <c r="B696" s="83" t="s">
        <v>3208</v>
      </c>
      <c r="C696" s="83" t="s">
        <v>3208</v>
      </c>
      <c r="D696" s="83" t="s">
        <v>3209</v>
      </c>
      <c r="E696" s="83" t="s">
        <v>3663</v>
      </c>
      <c r="F696" s="83" t="s">
        <v>5007</v>
      </c>
      <c r="G696" s="83" t="s">
        <v>5008</v>
      </c>
      <c r="H696" s="83">
        <v>46</v>
      </c>
      <c r="I696" s="83" t="s">
        <v>3208</v>
      </c>
      <c r="J696" s="83" t="s">
        <v>3208</v>
      </c>
      <c r="K696" s="83" t="s">
        <v>3208</v>
      </c>
    </row>
    <row r="697" spans="1:11" ht="26.25" x14ac:dyDescent="0.25">
      <c r="A697" s="83" t="s">
        <v>2783</v>
      </c>
      <c r="B697" s="83" t="s">
        <v>3208</v>
      </c>
      <c r="C697" s="83" t="s">
        <v>3208</v>
      </c>
      <c r="D697" s="83" t="s">
        <v>3713</v>
      </c>
      <c r="E697" s="83" t="s">
        <v>3761</v>
      </c>
      <c r="F697" s="83" t="s">
        <v>5009</v>
      </c>
      <c r="G697" s="83" t="s">
        <v>5010</v>
      </c>
      <c r="H697" s="83">
        <v>0</v>
      </c>
      <c r="I697" s="83" t="s">
        <v>3213</v>
      </c>
      <c r="J697" s="83" t="s">
        <v>3467</v>
      </c>
      <c r="K697" s="83" t="s">
        <v>3215</v>
      </c>
    </row>
    <row r="698" spans="1:11" ht="64.5" x14ac:dyDescent="0.25">
      <c r="A698" s="83" t="s">
        <v>2781</v>
      </c>
      <c r="B698" s="83" t="s">
        <v>3208</v>
      </c>
      <c r="C698" s="83" t="s">
        <v>3208</v>
      </c>
      <c r="D698" s="83" t="s">
        <v>3713</v>
      </c>
      <c r="E698" s="83" t="s">
        <v>3761</v>
      </c>
      <c r="F698" s="83" t="s">
        <v>5011</v>
      </c>
      <c r="G698" s="83" t="s">
        <v>5012</v>
      </c>
      <c r="H698" s="83">
        <v>0</v>
      </c>
      <c r="I698" s="83" t="s">
        <v>3213</v>
      </c>
      <c r="J698" s="83" t="s">
        <v>3219</v>
      </c>
      <c r="K698" s="83" t="s">
        <v>3215</v>
      </c>
    </row>
    <row r="699" spans="1:11" ht="51.75" x14ac:dyDescent="0.25">
      <c r="A699" s="83" t="s">
        <v>2812</v>
      </c>
      <c r="B699" s="83" t="s">
        <v>3208</v>
      </c>
      <c r="C699" s="83" t="s">
        <v>3208</v>
      </c>
      <c r="D699" s="83" t="s">
        <v>3713</v>
      </c>
      <c r="E699" s="83" t="s">
        <v>3761</v>
      </c>
      <c r="F699" s="83" t="s">
        <v>4182</v>
      </c>
      <c r="G699" s="83" t="s">
        <v>5013</v>
      </c>
      <c r="H699" s="83">
        <v>0</v>
      </c>
      <c r="I699" s="83" t="s">
        <v>3213</v>
      </c>
      <c r="J699" s="83" t="s">
        <v>3538</v>
      </c>
      <c r="K699" s="83" t="s">
        <v>3215</v>
      </c>
    </row>
    <row r="700" spans="1:11" ht="51.75" x14ac:dyDescent="0.25">
      <c r="A700" s="83" t="s">
        <v>2861</v>
      </c>
      <c r="B700" s="83" t="s">
        <v>3208</v>
      </c>
      <c r="C700" s="83" t="s">
        <v>3208</v>
      </c>
      <c r="D700" s="83" t="s">
        <v>3713</v>
      </c>
      <c r="E700" s="83" t="s">
        <v>3761</v>
      </c>
      <c r="F700" s="83" t="s">
        <v>4160</v>
      </c>
      <c r="G700" s="83" t="s">
        <v>4161</v>
      </c>
      <c r="H700" s="83">
        <v>0</v>
      </c>
      <c r="I700" s="83" t="s">
        <v>3213</v>
      </c>
      <c r="J700" s="83" t="s">
        <v>3257</v>
      </c>
      <c r="K700" s="83" t="s">
        <v>3215</v>
      </c>
    </row>
    <row r="701" spans="1:11" ht="64.5" x14ac:dyDescent="0.25">
      <c r="A701" s="83" t="s">
        <v>363</v>
      </c>
      <c r="B701" s="83" t="s">
        <v>3208</v>
      </c>
      <c r="C701" s="83" t="s">
        <v>5014</v>
      </c>
      <c r="D701" s="83" t="s">
        <v>4157</v>
      </c>
      <c r="E701" s="83" t="s">
        <v>3727</v>
      </c>
      <c r="F701" s="83" t="s">
        <v>5015</v>
      </c>
      <c r="G701" s="83" t="s">
        <v>5016</v>
      </c>
      <c r="H701" s="83">
        <v>0.97</v>
      </c>
      <c r="I701" s="83" t="s">
        <v>3213</v>
      </c>
      <c r="J701" s="83" t="s">
        <v>3413</v>
      </c>
      <c r="K701" s="83" t="s">
        <v>3215</v>
      </c>
    </row>
    <row r="702" spans="1:11" ht="26.25" x14ac:dyDescent="0.25">
      <c r="A702" s="83" t="s">
        <v>5017</v>
      </c>
      <c r="B702" s="83" t="s">
        <v>3208</v>
      </c>
      <c r="C702" s="83" t="s">
        <v>3208</v>
      </c>
      <c r="D702" s="83" t="s">
        <v>3965</v>
      </c>
      <c r="E702" s="83" t="s">
        <v>4054</v>
      </c>
      <c r="F702" s="83" t="s">
        <v>5018</v>
      </c>
      <c r="G702" s="83" t="s">
        <v>5019</v>
      </c>
      <c r="H702" s="83">
        <v>0</v>
      </c>
      <c r="I702" s="83" t="s">
        <v>3213</v>
      </c>
      <c r="J702" s="83" t="s">
        <v>4000</v>
      </c>
      <c r="K702" s="83" t="s">
        <v>3215</v>
      </c>
    </row>
    <row r="703" spans="1:11" ht="26.25" x14ac:dyDescent="0.25">
      <c r="A703" s="83" t="s">
        <v>5020</v>
      </c>
      <c r="B703" s="83" t="s">
        <v>3208</v>
      </c>
      <c r="C703" s="83" t="s">
        <v>3208</v>
      </c>
      <c r="D703" s="83" t="s">
        <v>3965</v>
      </c>
      <c r="E703" s="83" t="s">
        <v>4054</v>
      </c>
      <c r="F703" s="83" t="s">
        <v>5021</v>
      </c>
      <c r="G703" s="83" t="s">
        <v>5022</v>
      </c>
      <c r="H703" s="83">
        <v>0</v>
      </c>
      <c r="I703" s="83" t="s">
        <v>3213</v>
      </c>
      <c r="J703" s="83" t="s">
        <v>4176</v>
      </c>
      <c r="K703" s="83" t="s">
        <v>3215</v>
      </c>
    </row>
    <row r="704" spans="1:11" ht="26.25" x14ac:dyDescent="0.25">
      <c r="A704" s="83" t="s">
        <v>337</v>
      </c>
      <c r="B704" s="83" t="s">
        <v>3208</v>
      </c>
      <c r="C704" s="83" t="s">
        <v>5023</v>
      </c>
      <c r="D704" s="83" t="s">
        <v>4157</v>
      </c>
      <c r="E704" s="83" t="s">
        <v>3727</v>
      </c>
      <c r="F704" s="83" t="s">
        <v>5024</v>
      </c>
      <c r="G704" s="83" t="s">
        <v>5025</v>
      </c>
      <c r="H704" s="83">
        <v>0.24</v>
      </c>
      <c r="I704" s="83" t="s">
        <v>3213</v>
      </c>
      <c r="J704" s="83" t="s">
        <v>3948</v>
      </c>
      <c r="K704" s="83" t="s">
        <v>3215</v>
      </c>
    </row>
    <row r="705" spans="1:11" ht="51.75" x14ac:dyDescent="0.25">
      <c r="A705" s="83" t="s">
        <v>306</v>
      </c>
      <c r="B705" s="83" t="s">
        <v>3208</v>
      </c>
      <c r="C705" s="83" t="s">
        <v>3208</v>
      </c>
      <c r="D705" s="83" t="s">
        <v>3209</v>
      </c>
      <c r="E705" s="83" t="s">
        <v>3210</v>
      </c>
      <c r="F705" s="83" t="s">
        <v>4190</v>
      </c>
      <c r="G705" s="83" t="s">
        <v>4191</v>
      </c>
      <c r="H705" s="83">
        <v>198</v>
      </c>
      <c r="I705" s="83" t="s">
        <v>3229</v>
      </c>
      <c r="J705" s="83" t="s">
        <v>4192</v>
      </c>
      <c r="K705" s="83" t="s">
        <v>3215</v>
      </c>
    </row>
    <row r="706" spans="1:11" ht="26.25" x14ac:dyDescent="0.25">
      <c r="A706" s="83" t="s">
        <v>5026</v>
      </c>
      <c r="B706" s="83" t="s">
        <v>3208</v>
      </c>
      <c r="C706" s="83" t="s">
        <v>3208</v>
      </c>
      <c r="D706" s="83" t="s">
        <v>3713</v>
      </c>
      <c r="E706" s="83" t="s">
        <v>3714</v>
      </c>
      <c r="F706" s="83" t="s">
        <v>5027</v>
      </c>
      <c r="G706" s="83" t="s">
        <v>5028</v>
      </c>
      <c r="H706" s="83">
        <v>0</v>
      </c>
      <c r="I706" s="83" t="s">
        <v>3208</v>
      </c>
      <c r="J706" s="83" t="s">
        <v>3208</v>
      </c>
      <c r="K706" s="83" t="s">
        <v>3208</v>
      </c>
    </row>
    <row r="707" spans="1:11" ht="39" x14ac:dyDescent="0.25">
      <c r="A707" s="83" t="s">
        <v>1766</v>
      </c>
      <c r="B707" s="83" t="s">
        <v>3208</v>
      </c>
      <c r="C707" s="83" t="s">
        <v>3208</v>
      </c>
      <c r="D707" s="83" t="s">
        <v>3713</v>
      </c>
      <c r="E707" s="83" t="s">
        <v>3761</v>
      </c>
      <c r="F707" s="83" t="s">
        <v>5029</v>
      </c>
      <c r="G707" s="83" t="s">
        <v>5030</v>
      </c>
      <c r="H707" s="83">
        <v>0</v>
      </c>
      <c r="I707" s="83" t="s">
        <v>3229</v>
      </c>
      <c r="J707" s="83" t="s">
        <v>356</v>
      </c>
      <c r="K707" s="83" t="s">
        <v>3215</v>
      </c>
    </row>
    <row r="708" spans="1:11" ht="26.25" x14ac:dyDescent="0.25">
      <c r="A708" s="83" t="s">
        <v>365</v>
      </c>
      <c r="B708" s="83" t="s">
        <v>3208</v>
      </c>
      <c r="C708" s="83" t="s">
        <v>5031</v>
      </c>
      <c r="D708" s="83" t="s">
        <v>4157</v>
      </c>
      <c r="E708" s="83" t="s">
        <v>3727</v>
      </c>
      <c r="F708" s="83" t="s">
        <v>4139</v>
      </c>
      <c r="G708" s="83" t="s">
        <v>5032</v>
      </c>
      <c r="H708" s="83">
        <v>3.09</v>
      </c>
      <c r="I708" s="83" t="s">
        <v>3213</v>
      </c>
      <c r="J708" s="83" t="s">
        <v>3948</v>
      </c>
      <c r="K708" s="83" t="s">
        <v>3215</v>
      </c>
    </row>
    <row r="709" spans="1:11" ht="26.25" x14ac:dyDescent="0.25">
      <c r="A709" s="83" t="s">
        <v>332</v>
      </c>
      <c r="B709" s="83" t="s">
        <v>3208</v>
      </c>
      <c r="C709" s="83" t="s">
        <v>5033</v>
      </c>
      <c r="D709" s="83" t="s">
        <v>4157</v>
      </c>
      <c r="E709" s="83" t="s">
        <v>3727</v>
      </c>
      <c r="F709" s="83" t="s">
        <v>5034</v>
      </c>
      <c r="G709" s="83" t="s">
        <v>5035</v>
      </c>
      <c r="H709" s="83">
        <v>0.15</v>
      </c>
      <c r="I709" s="83" t="s">
        <v>3213</v>
      </c>
      <c r="J709" s="83" t="s">
        <v>3851</v>
      </c>
      <c r="K709" s="83" t="s">
        <v>3215</v>
      </c>
    </row>
    <row r="710" spans="1:11" ht="26.25" x14ac:dyDescent="0.25">
      <c r="A710" s="83" t="s">
        <v>5036</v>
      </c>
      <c r="B710" s="83" t="s">
        <v>3208</v>
      </c>
      <c r="C710" s="83" t="s">
        <v>3208</v>
      </c>
      <c r="D710" s="83" t="s">
        <v>4157</v>
      </c>
      <c r="E710" s="83" t="s">
        <v>4248</v>
      </c>
      <c r="F710" s="83" t="s">
        <v>5037</v>
      </c>
      <c r="G710" s="83" t="s">
        <v>5038</v>
      </c>
      <c r="H710" s="83">
        <v>0.48</v>
      </c>
      <c r="I710" s="83" t="s">
        <v>3208</v>
      </c>
      <c r="J710" s="83" t="s">
        <v>3208</v>
      </c>
      <c r="K710" s="83" t="s">
        <v>3208</v>
      </c>
    </row>
    <row r="711" spans="1:11" ht="26.25" x14ac:dyDescent="0.25">
      <c r="A711" s="83" t="s">
        <v>2837</v>
      </c>
      <c r="B711" s="83" t="s">
        <v>3208</v>
      </c>
      <c r="C711" s="83" t="s">
        <v>3208</v>
      </c>
      <c r="D711" s="83" t="s">
        <v>3713</v>
      </c>
      <c r="E711" s="83" t="s">
        <v>3761</v>
      </c>
      <c r="F711" s="83" t="s">
        <v>4168</v>
      </c>
      <c r="G711" s="83" t="s">
        <v>4177</v>
      </c>
      <c r="H711" s="83">
        <v>0</v>
      </c>
      <c r="I711" s="83" t="s">
        <v>3213</v>
      </c>
      <c r="J711" s="83" t="s">
        <v>3222</v>
      </c>
      <c r="K711" s="83" t="s">
        <v>3215</v>
      </c>
    </row>
    <row r="712" spans="1:11" ht="383.25" x14ac:dyDescent="0.25">
      <c r="A712" s="83" t="s">
        <v>31</v>
      </c>
      <c r="B712" s="83" t="s">
        <v>5039</v>
      </c>
      <c r="C712" s="83" t="s">
        <v>5040</v>
      </c>
      <c r="D712" s="83" t="s">
        <v>3209</v>
      </c>
      <c r="E712" s="83" t="s">
        <v>3246</v>
      </c>
      <c r="F712" s="83" t="s">
        <v>5041</v>
      </c>
      <c r="G712" s="83" t="s">
        <v>3885</v>
      </c>
      <c r="H712" s="83">
        <v>130500</v>
      </c>
      <c r="I712" s="83" t="s">
        <v>3213</v>
      </c>
      <c r="J712" s="83" t="s">
        <v>5042</v>
      </c>
      <c r="K712" s="83" t="s">
        <v>3215</v>
      </c>
    </row>
    <row r="713" spans="1:11" ht="26.25" x14ac:dyDescent="0.25">
      <c r="A713" s="83" t="s">
        <v>5043</v>
      </c>
      <c r="B713" s="83" t="s">
        <v>3208</v>
      </c>
      <c r="C713" s="83" t="s">
        <v>5044</v>
      </c>
      <c r="D713" s="83" t="s">
        <v>4157</v>
      </c>
      <c r="E713" s="83" t="s">
        <v>3702</v>
      </c>
      <c r="F713" s="83" t="s">
        <v>5045</v>
      </c>
      <c r="G713" s="83" t="s">
        <v>5046</v>
      </c>
      <c r="H713" s="83">
        <v>0.1</v>
      </c>
      <c r="I713" s="83" t="s">
        <v>3208</v>
      </c>
      <c r="J713" s="83" t="s">
        <v>3208</v>
      </c>
      <c r="K713" s="83" t="s">
        <v>3208</v>
      </c>
    </row>
    <row r="714" spans="1:11" ht="26.25" x14ac:dyDescent="0.25">
      <c r="A714" s="83" t="s">
        <v>1548</v>
      </c>
      <c r="B714" s="83" t="s">
        <v>5047</v>
      </c>
      <c r="C714" s="83" t="s">
        <v>5048</v>
      </c>
      <c r="D714" s="83" t="s">
        <v>3209</v>
      </c>
      <c r="E714" s="83" t="s">
        <v>3246</v>
      </c>
      <c r="F714" s="83" t="s">
        <v>4941</v>
      </c>
      <c r="G714" s="83" t="s">
        <v>5049</v>
      </c>
      <c r="H714" s="83">
        <v>133</v>
      </c>
      <c r="I714" s="83" t="s">
        <v>3229</v>
      </c>
      <c r="J714" s="83" t="s">
        <v>3324</v>
      </c>
      <c r="K714" s="83" t="s">
        <v>3215</v>
      </c>
    </row>
    <row r="715" spans="1:11" ht="26.25" x14ac:dyDescent="0.25">
      <c r="A715" s="83" t="s">
        <v>5050</v>
      </c>
      <c r="B715" s="83" t="s">
        <v>3208</v>
      </c>
      <c r="C715" s="83" t="s">
        <v>5051</v>
      </c>
      <c r="D715" s="83" t="s">
        <v>3741</v>
      </c>
      <c r="E715" s="83" t="s">
        <v>3702</v>
      </c>
      <c r="F715" s="83" t="s">
        <v>5052</v>
      </c>
      <c r="G715" s="83" t="s">
        <v>5053</v>
      </c>
      <c r="H715" s="83">
        <v>0.2</v>
      </c>
      <c r="I715" s="83" t="s">
        <v>3208</v>
      </c>
      <c r="J715" s="83" t="s">
        <v>3208</v>
      </c>
      <c r="K715" s="83" t="s">
        <v>3208</v>
      </c>
    </row>
    <row r="716" spans="1:11" ht="26.25" x14ac:dyDescent="0.25">
      <c r="A716" s="83" t="s">
        <v>340</v>
      </c>
      <c r="B716" s="83" t="s">
        <v>3208</v>
      </c>
      <c r="C716" s="83" t="s">
        <v>5054</v>
      </c>
      <c r="D716" s="83" t="s">
        <v>4157</v>
      </c>
      <c r="E716" s="83" t="s">
        <v>3727</v>
      </c>
      <c r="F716" s="83" t="s">
        <v>5055</v>
      </c>
      <c r="G716" s="83" t="s">
        <v>4145</v>
      </c>
      <c r="H716" s="83">
        <v>3.2</v>
      </c>
      <c r="I716" s="83" t="s">
        <v>3213</v>
      </c>
      <c r="J716" s="83" t="s">
        <v>3948</v>
      </c>
      <c r="K716" s="83" t="s">
        <v>3215</v>
      </c>
    </row>
    <row r="717" spans="1:11" ht="26.25" x14ac:dyDescent="0.25">
      <c r="A717" s="83" t="s">
        <v>2838</v>
      </c>
      <c r="B717" s="83" t="s">
        <v>3208</v>
      </c>
      <c r="C717" s="83" t="s">
        <v>3208</v>
      </c>
      <c r="D717" s="83" t="s">
        <v>3713</v>
      </c>
      <c r="E717" s="83" t="s">
        <v>3761</v>
      </c>
      <c r="F717" s="83" t="s">
        <v>4168</v>
      </c>
      <c r="G717" s="83" t="s">
        <v>4177</v>
      </c>
      <c r="H717" s="83">
        <v>0</v>
      </c>
      <c r="I717" s="83" t="s">
        <v>3213</v>
      </c>
      <c r="J717" s="83" t="s">
        <v>3222</v>
      </c>
      <c r="K717" s="83" t="s">
        <v>3215</v>
      </c>
    </row>
    <row r="718" spans="1:11" ht="26.25" x14ac:dyDescent="0.25">
      <c r="A718" s="83" t="s">
        <v>5056</v>
      </c>
      <c r="B718" s="83" t="s">
        <v>3208</v>
      </c>
      <c r="C718" s="83" t="s">
        <v>3208</v>
      </c>
      <c r="D718" s="83" t="s">
        <v>3713</v>
      </c>
      <c r="E718" s="83" t="s">
        <v>3714</v>
      </c>
      <c r="F718" s="83" t="s">
        <v>5057</v>
      </c>
      <c r="G718" s="83" t="s">
        <v>4164</v>
      </c>
      <c r="H718" s="83">
        <v>0</v>
      </c>
      <c r="I718" s="83" t="s">
        <v>3208</v>
      </c>
      <c r="J718" s="83" t="s">
        <v>3208</v>
      </c>
      <c r="K718" s="83" t="s">
        <v>3208</v>
      </c>
    </row>
    <row r="719" spans="1:11" ht="64.5" x14ac:dyDescent="0.25">
      <c r="A719" s="83" t="s">
        <v>364</v>
      </c>
      <c r="B719" s="83" t="s">
        <v>3208</v>
      </c>
      <c r="C719" s="83" t="s">
        <v>5058</v>
      </c>
      <c r="D719" s="83" t="s">
        <v>4157</v>
      </c>
      <c r="E719" s="83" t="s">
        <v>3727</v>
      </c>
      <c r="F719" s="83" t="s">
        <v>5059</v>
      </c>
      <c r="G719" s="83" t="s">
        <v>5060</v>
      </c>
      <c r="H719" s="83">
        <v>1.38</v>
      </c>
      <c r="I719" s="83" t="s">
        <v>3213</v>
      </c>
      <c r="J719" s="83" t="s">
        <v>3219</v>
      </c>
      <c r="K719" s="83" t="s">
        <v>3215</v>
      </c>
    </row>
    <row r="720" spans="1:11" x14ac:dyDescent="0.25">
      <c r="A720" s="83" t="s">
        <v>5061</v>
      </c>
      <c r="B720" s="83" t="s">
        <v>5062</v>
      </c>
      <c r="C720" s="83" t="s">
        <v>5063</v>
      </c>
      <c r="D720" s="83" t="s">
        <v>3209</v>
      </c>
      <c r="E720" s="83" t="s">
        <v>3702</v>
      </c>
      <c r="F720" s="83" t="s">
        <v>5064</v>
      </c>
      <c r="G720" s="83" t="s">
        <v>5065</v>
      </c>
      <c r="H720" s="83">
        <v>27.6</v>
      </c>
      <c r="I720" s="83" t="s">
        <v>3208</v>
      </c>
      <c r="J720" s="83" t="s">
        <v>3208</v>
      </c>
      <c r="K720" s="83" t="s">
        <v>3208</v>
      </c>
    </row>
    <row r="721" spans="1:11" ht="51.75" x14ac:dyDescent="0.25">
      <c r="A721" s="83" t="s">
        <v>89</v>
      </c>
      <c r="B721" s="83" t="s">
        <v>5066</v>
      </c>
      <c r="C721" s="83" t="s">
        <v>3208</v>
      </c>
      <c r="D721" s="83" t="s">
        <v>3209</v>
      </c>
      <c r="E721" s="83" t="s">
        <v>3226</v>
      </c>
      <c r="F721" s="83" t="s">
        <v>5067</v>
      </c>
      <c r="G721" s="83" t="s">
        <v>4871</v>
      </c>
      <c r="H721" s="83">
        <v>14479.6</v>
      </c>
      <c r="I721" s="83" t="s">
        <v>3213</v>
      </c>
      <c r="J721" s="83" t="s">
        <v>3271</v>
      </c>
      <c r="K721" s="83" t="s">
        <v>3215</v>
      </c>
    </row>
    <row r="722" spans="1:11" ht="26.25" x14ac:dyDescent="0.25">
      <c r="A722" s="83" t="s">
        <v>678</v>
      </c>
      <c r="B722" s="83" t="s">
        <v>3208</v>
      </c>
      <c r="C722" s="83" t="s">
        <v>5068</v>
      </c>
      <c r="D722" s="83" t="s">
        <v>3718</v>
      </c>
      <c r="E722" s="83" t="s">
        <v>3727</v>
      </c>
      <c r="F722" s="83" t="s">
        <v>5069</v>
      </c>
      <c r="G722" s="83" t="s">
        <v>5070</v>
      </c>
      <c r="H722" s="83">
        <v>10</v>
      </c>
      <c r="I722" s="83" t="s">
        <v>3229</v>
      </c>
      <c r="J722" s="83" t="s">
        <v>3311</v>
      </c>
      <c r="K722" s="83" t="s">
        <v>3215</v>
      </c>
    </row>
    <row r="723" spans="1:11" ht="26.25" x14ac:dyDescent="0.25">
      <c r="A723" s="83" t="s">
        <v>318</v>
      </c>
      <c r="B723" s="83" t="s">
        <v>3208</v>
      </c>
      <c r="C723" s="83" t="s">
        <v>3208</v>
      </c>
      <c r="D723" s="83" t="s">
        <v>3718</v>
      </c>
      <c r="E723" s="83" t="s">
        <v>3210</v>
      </c>
      <c r="F723" s="83" t="s">
        <v>5071</v>
      </c>
      <c r="G723" s="83" t="s">
        <v>4145</v>
      </c>
      <c r="H723" s="83">
        <v>2.21</v>
      </c>
      <c r="I723" s="83" t="s">
        <v>3213</v>
      </c>
      <c r="J723" s="83" t="s">
        <v>3948</v>
      </c>
      <c r="K723" s="83" t="s">
        <v>3215</v>
      </c>
    </row>
    <row r="724" spans="1:11" ht="26.25" x14ac:dyDescent="0.25">
      <c r="A724" s="83" t="s">
        <v>2832</v>
      </c>
      <c r="B724" s="83" t="s">
        <v>3208</v>
      </c>
      <c r="C724" s="83" t="s">
        <v>3208</v>
      </c>
      <c r="D724" s="83" t="s">
        <v>3713</v>
      </c>
      <c r="E724" s="83" t="s">
        <v>3761</v>
      </c>
      <c r="F724" s="83" t="s">
        <v>4168</v>
      </c>
      <c r="G724" s="83" t="s">
        <v>5072</v>
      </c>
      <c r="H724" s="83">
        <v>0</v>
      </c>
      <c r="I724" s="83" t="s">
        <v>3213</v>
      </c>
      <c r="J724" s="83" t="s">
        <v>3948</v>
      </c>
      <c r="K724" s="83" t="s">
        <v>3215</v>
      </c>
    </row>
    <row r="725" spans="1:11" ht="51.75" x14ac:dyDescent="0.25">
      <c r="A725" s="83" t="s">
        <v>2869</v>
      </c>
      <c r="B725" s="83" t="s">
        <v>3208</v>
      </c>
      <c r="C725" s="83" t="s">
        <v>3208</v>
      </c>
      <c r="D725" s="83" t="s">
        <v>3713</v>
      </c>
      <c r="E725" s="83" t="s">
        <v>3761</v>
      </c>
      <c r="F725" s="83" t="s">
        <v>5073</v>
      </c>
      <c r="G725" s="83" t="s">
        <v>5074</v>
      </c>
      <c r="H725" s="83">
        <v>0</v>
      </c>
      <c r="I725" s="83" t="s">
        <v>3213</v>
      </c>
      <c r="J725" s="83" t="s">
        <v>3214</v>
      </c>
      <c r="K725" s="83" t="s">
        <v>3215</v>
      </c>
    </row>
    <row r="726" spans="1:11" ht="26.25" x14ac:dyDescent="0.25">
      <c r="A726" s="83" t="s">
        <v>2809</v>
      </c>
      <c r="B726" s="83" t="s">
        <v>3208</v>
      </c>
      <c r="C726" s="83" t="s">
        <v>3208</v>
      </c>
      <c r="D726" s="83" t="s">
        <v>3713</v>
      </c>
      <c r="E726" s="83" t="s">
        <v>3761</v>
      </c>
      <c r="F726" s="83" t="s">
        <v>4182</v>
      </c>
      <c r="G726" s="83" t="s">
        <v>5075</v>
      </c>
      <c r="H726" s="83">
        <v>0</v>
      </c>
      <c r="I726" s="83" t="s">
        <v>3213</v>
      </c>
      <c r="J726" s="83" t="s">
        <v>3467</v>
      </c>
      <c r="K726" s="83" t="s">
        <v>3215</v>
      </c>
    </row>
    <row r="727" spans="1:11" ht="26.25" x14ac:dyDescent="0.25">
      <c r="A727" s="83" t="s">
        <v>2811</v>
      </c>
      <c r="B727" s="83" t="s">
        <v>3208</v>
      </c>
      <c r="C727" s="83" t="s">
        <v>3208</v>
      </c>
      <c r="D727" s="83" t="s">
        <v>3713</v>
      </c>
      <c r="E727" s="83" t="s">
        <v>3761</v>
      </c>
      <c r="F727" s="83" t="s">
        <v>4182</v>
      </c>
      <c r="G727" s="83" t="s">
        <v>5075</v>
      </c>
      <c r="H727" s="83">
        <v>0</v>
      </c>
      <c r="I727" s="83" t="s">
        <v>3213</v>
      </c>
      <c r="J727" s="83" t="s">
        <v>3467</v>
      </c>
      <c r="K727" s="83" t="s">
        <v>3215</v>
      </c>
    </row>
    <row r="728" spans="1:11" ht="51.75" x14ac:dyDescent="0.25">
      <c r="A728" s="83" t="s">
        <v>2857</v>
      </c>
      <c r="B728" s="83" t="s">
        <v>3208</v>
      </c>
      <c r="C728" s="83" t="s">
        <v>3208</v>
      </c>
      <c r="D728" s="83" t="s">
        <v>3713</v>
      </c>
      <c r="E728" s="83" t="s">
        <v>3761</v>
      </c>
      <c r="F728" s="83" t="s">
        <v>4168</v>
      </c>
      <c r="G728" s="83" t="s">
        <v>4186</v>
      </c>
      <c r="H728" s="83">
        <v>0</v>
      </c>
      <c r="I728" s="83" t="s">
        <v>3229</v>
      </c>
      <c r="J728" s="83" t="s">
        <v>3332</v>
      </c>
      <c r="K728" s="83" t="s">
        <v>3215</v>
      </c>
    </row>
    <row r="729" spans="1:11" ht="26.25" x14ac:dyDescent="0.25">
      <c r="A729" s="83" t="s">
        <v>5076</v>
      </c>
      <c r="B729" s="83" t="s">
        <v>3208</v>
      </c>
      <c r="C729" s="83" t="s">
        <v>3208</v>
      </c>
      <c r="D729" s="83" t="s">
        <v>3713</v>
      </c>
      <c r="E729" s="83" t="s">
        <v>3714</v>
      </c>
      <c r="F729" s="83" t="s">
        <v>5077</v>
      </c>
      <c r="G729" s="83" t="s">
        <v>5078</v>
      </c>
      <c r="H729" s="83">
        <v>0</v>
      </c>
      <c r="I729" s="83" t="s">
        <v>3208</v>
      </c>
      <c r="J729" s="83" t="s">
        <v>3208</v>
      </c>
      <c r="K729" s="83" t="s">
        <v>3208</v>
      </c>
    </row>
    <row r="730" spans="1:11" ht="39" x14ac:dyDescent="0.25">
      <c r="A730" s="83" t="s">
        <v>351</v>
      </c>
      <c r="B730" s="83" t="s">
        <v>3208</v>
      </c>
      <c r="C730" s="83" t="s">
        <v>3208</v>
      </c>
      <c r="D730" s="83" t="s">
        <v>3209</v>
      </c>
      <c r="E730" s="83" t="s">
        <v>3210</v>
      </c>
      <c r="F730" s="83" t="s">
        <v>5029</v>
      </c>
      <c r="G730" s="83" t="s">
        <v>5030</v>
      </c>
      <c r="H730" s="83">
        <v>11.5</v>
      </c>
      <c r="I730" s="83" t="s">
        <v>3229</v>
      </c>
      <c r="J730" s="83" t="s">
        <v>356</v>
      </c>
      <c r="K730" s="83" t="s">
        <v>3215</v>
      </c>
    </row>
    <row r="731" spans="1:11" ht="39" x14ac:dyDescent="0.25">
      <c r="A731" s="83" t="s">
        <v>2852</v>
      </c>
      <c r="B731" s="83" t="s">
        <v>3208</v>
      </c>
      <c r="C731" s="83" t="s">
        <v>3208</v>
      </c>
      <c r="D731" s="83" t="s">
        <v>3713</v>
      </c>
      <c r="E731" s="83" t="s">
        <v>3761</v>
      </c>
      <c r="F731" s="83" t="s">
        <v>5079</v>
      </c>
      <c r="G731" s="83" t="s">
        <v>5080</v>
      </c>
      <c r="H731" s="83">
        <v>0</v>
      </c>
      <c r="I731" s="83" t="s">
        <v>3229</v>
      </c>
      <c r="J731" s="83" t="s">
        <v>356</v>
      </c>
      <c r="K731" s="83" t="s">
        <v>3215</v>
      </c>
    </row>
    <row r="732" spans="1:11" ht="26.25" x14ac:dyDescent="0.25">
      <c r="A732" s="83" t="s">
        <v>5081</v>
      </c>
      <c r="B732" s="83" t="s">
        <v>3208</v>
      </c>
      <c r="C732" s="83" t="s">
        <v>3208</v>
      </c>
      <c r="D732" s="83" t="s">
        <v>3713</v>
      </c>
      <c r="E732" s="83" t="s">
        <v>3714</v>
      </c>
      <c r="F732" s="83" t="s">
        <v>5082</v>
      </c>
      <c r="G732" s="83" t="s">
        <v>5083</v>
      </c>
      <c r="H732" s="83">
        <v>0</v>
      </c>
      <c r="I732" s="83" t="s">
        <v>3208</v>
      </c>
      <c r="J732" s="83" t="s">
        <v>3208</v>
      </c>
      <c r="K732" s="83" t="s">
        <v>3208</v>
      </c>
    </row>
    <row r="733" spans="1:11" ht="51.75" x14ac:dyDescent="0.25">
      <c r="A733" s="83" t="s">
        <v>425</v>
      </c>
      <c r="B733" s="83" t="s">
        <v>3208</v>
      </c>
      <c r="C733" s="83" t="s">
        <v>5084</v>
      </c>
      <c r="D733" s="83" t="s">
        <v>3718</v>
      </c>
      <c r="E733" s="83" t="s">
        <v>3727</v>
      </c>
      <c r="F733" s="83" t="s">
        <v>5085</v>
      </c>
      <c r="G733" s="83" t="s">
        <v>5086</v>
      </c>
      <c r="H733" s="83">
        <v>10</v>
      </c>
      <c r="I733" s="83" t="s">
        <v>3213</v>
      </c>
      <c r="J733" s="83" t="s">
        <v>3214</v>
      </c>
      <c r="K733" s="83" t="s">
        <v>3215</v>
      </c>
    </row>
    <row r="734" spans="1:11" ht="26.25" x14ac:dyDescent="0.25">
      <c r="A734" s="83" t="s">
        <v>1781</v>
      </c>
      <c r="B734" s="83" t="s">
        <v>3208</v>
      </c>
      <c r="C734" s="83" t="s">
        <v>3208</v>
      </c>
      <c r="D734" s="83" t="s">
        <v>3713</v>
      </c>
      <c r="E734" s="83" t="s">
        <v>3761</v>
      </c>
      <c r="F734" s="83" t="s">
        <v>5087</v>
      </c>
      <c r="G734" s="83" t="s">
        <v>5088</v>
      </c>
      <c r="H734" s="83">
        <v>0</v>
      </c>
      <c r="I734" s="83" t="s">
        <v>3229</v>
      </c>
      <c r="J734" s="83" t="s">
        <v>3222</v>
      </c>
      <c r="K734" s="83" t="s">
        <v>3215</v>
      </c>
    </row>
    <row r="735" spans="1:11" ht="26.25" x14ac:dyDescent="0.25">
      <c r="A735" s="83" t="s">
        <v>5089</v>
      </c>
      <c r="B735" s="83" t="s">
        <v>3208</v>
      </c>
      <c r="C735" s="83" t="s">
        <v>3208</v>
      </c>
      <c r="D735" s="83" t="s">
        <v>3713</v>
      </c>
      <c r="E735" s="83" t="s">
        <v>3714</v>
      </c>
      <c r="F735" s="83" t="s">
        <v>5090</v>
      </c>
      <c r="G735" s="83" t="s">
        <v>5091</v>
      </c>
      <c r="H735" s="83">
        <v>0</v>
      </c>
      <c r="I735" s="83" t="s">
        <v>3208</v>
      </c>
      <c r="J735" s="83" t="s">
        <v>3208</v>
      </c>
      <c r="K735" s="83" t="s">
        <v>3208</v>
      </c>
    </row>
    <row r="736" spans="1:11" ht="51.75" x14ac:dyDescent="0.25">
      <c r="A736" s="83" t="s">
        <v>389</v>
      </c>
      <c r="B736" s="83" t="s">
        <v>3208</v>
      </c>
      <c r="C736" s="83" t="s">
        <v>5092</v>
      </c>
      <c r="D736" s="83" t="s">
        <v>3718</v>
      </c>
      <c r="E736" s="83" t="s">
        <v>3727</v>
      </c>
      <c r="F736" s="83" t="s">
        <v>5093</v>
      </c>
      <c r="G736" s="83" t="s">
        <v>5094</v>
      </c>
      <c r="H736" s="83">
        <v>15</v>
      </c>
      <c r="I736" s="83" t="s">
        <v>3229</v>
      </c>
      <c r="J736" s="83" t="s">
        <v>3332</v>
      </c>
      <c r="K736" s="83" t="s">
        <v>3215</v>
      </c>
    </row>
    <row r="737" spans="1:11" ht="26.25" x14ac:dyDescent="0.25">
      <c r="A737" s="83" t="s">
        <v>5095</v>
      </c>
      <c r="B737" s="83" t="s">
        <v>3208</v>
      </c>
      <c r="C737" s="83" t="s">
        <v>3208</v>
      </c>
      <c r="D737" s="83" t="s">
        <v>3713</v>
      </c>
      <c r="E737" s="83" t="s">
        <v>3714</v>
      </c>
      <c r="F737" s="83" t="s">
        <v>5093</v>
      </c>
      <c r="G737" s="83" t="s">
        <v>5096</v>
      </c>
      <c r="H737" s="83">
        <v>0</v>
      </c>
      <c r="I737" s="83" t="s">
        <v>3208</v>
      </c>
      <c r="J737" s="83" t="s">
        <v>3208</v>
      </c>
      <c r="K737" s="83" t="s">
        <v>3208</v>
      </c>
    </row>
    <row r="738" spans="1:11" ht="51.75" x14ac:dyDescent="0.25">
      <c r="A738" s="83" t="s">
        <v>2788</v>
      </c>
      <c r="B738" s="83" t="s">
        <v>3208</v>
      </c>
      <c r="C738" s="83" t="s">
        <v>3208</v>
      </c>
      <c r="D738" s="83" t="s">
        <v>3713</v>
      </c>
      <c r="E738" s="83" t="s">
        <v>3761</v>
      </c>
      <c r="F738" s="83" t="s">
        <v>4182</v>
      </c>
      <c r="G738" s="83" t="s">
        <v>5097</v>
      </c>
      <c r="H738" s="83">
        <v>0</v>
      </c>
      <c r="I738" s="83" t="s">
        <v>3229</v>
      </c>
      <c r="J738" s="83" t="s">
        <v>4399</v>
      </c>
      <c r="K738" s="83" t="s">
        <v>3215</v>
      </c>
    </row>
    <row r="739" spans="1:11" ht="51.75" x14ac:dyDescent="0.25">
      <c r="A739" s="83" t="s">
        <v>5098</v>
      </c>
      <c r="B739" s="83" t="s">
        <v>3208</v>
      </c>
      <c r="C739" s="83" t="s">
        <v>3208</v>
      </c>
      <c r="D739" s="83" t="s">
        <v>4005</v>
      </c>
      <c r="E739" s="83" t="s">
        <v>3210</v>
      </c>
      <c r="F739" s="83" t="s">
        <v>5099</v>
      </c>
      <c r="G739" s="83" t="s">
        <v>5100</v>
      </c>
      <c r="H739" s="83">
        <v>20</v>
      </c>
      <c r="I739" s="83" t="s">
        <v>3229</v>
      </c>
      <c r="J739" s="83" t="s">
        <v>3371</v>
      </c>
      <c r="K739" s="83" t="s">
        <v>3215</v>
      </c>
    </row>
    <row r="740" spans="1:11" ht="26.25" x14ac:dyDescent="0.25">
      <c r="A740" s="83" t="s">
        <v>2448</v>
      </c>
      <c r="B740" s="83" t="s">
        <v>3208</v>
      </c>
      <c r="C740" s="83" t="s">
        <v>3208</v>
      </c>
      <c r="D740" s="83" t="s">
        <v>3713</v>
      </c>
      <c r="E740" s="83" t="s">
        <v>3714</v>
      </c>
      <c r="F740" s="83" t="s">
        <v>4245</v>
      </c>
      <c r="G740" s="83" t="s">
        <v>4250</v>
      </c>
      <c r="H740" s="83">
        <v>0</v>
      </c>
      <c r="I740" s="83" t="s">
        <v>3208</v>
      </c>
      <c r="J740" s="83" t="s">
        <v>3208</v>
      </c>
      <c r="K740" s="83" t="s">
        <v>3208</v>
      </c>
    </row>
    <row r="741" spans="1:11" ht="26.25" x14ac:dyDescent="0.25">
      <c r="A741" s="83" t="s">
        <v>2123</v>
      </c>
      <c r="B741" s="83" t="s">
        <v>3208</v>
      </c>
      <c r="C741" s="83" t="s">
        <v>3208</v>
      </c>
      <c r="D741" s="83" t="s">
        <v>3713</v>
      </c>
      <c r="E741" s="83" t="s">
        <v>3714</v>
      </c>
      <c r="F741" s="83" t="s">
        <v>5101</v>
      </c>
      <c r="G741" s="83" t="s">
        <v>5102</v>
      </c>
      <c r="H741" s="83">
        <v>0</v>
      </c>
      <c r="I741" s="83" t="s">
        <v>3208</v>
      </c>
      <c r="J741" s="83" t="s">
        <v>3208</v>
      </c>
      <c r="K741" s="83" t="s">
        <v>3208</v>
      </c>
    </row>
    <row r="742" spans="1:11" ht="26.25" x14ac:dyDescent="0.25">
      <c r="A742" s="83" t="s">
        <v>2226</v>
      </c>
      <c r="B742" s="83" t="s">
        <v>3208</v>
      </c>
      <c r="C742" s="83" t="s">
        <v>3208</v>
      </c>
      <c r="D742" s="83" t="s">
        <v>3713</v>
      </c>
      <c r="E742" s="83" t="s">
        <v>3714</v>
      </c>
      <c r="F742" s="83" t="s">
        <v>4242</v>
      </c>
      <c r="G742" s="83" t="s">
        <v>4243</v>
      </c>
      <c r="H742" s="83">
        <v>0</v>
      </c>
      <c r="I742" s="83" t="s">
        <v>3208</v>
      </c>
      <c r="J742" s="83" t="s">
        <v>3208</v>
      </c>
      <c r="K742" s="83" t="s">
        <v>3208</v>
      </c>
    </row>
    <row r="743" spans="1:11" ht="26.25" x14ac:dyDescent="0.25">
      <c r="A743" s="83" t="s">
        <v>2298</v>
      </c>
      <c r="B743" s="83" t="s">
        <v>3208</v>
      </c>
      <c r="C743" s="83" t="s">
        <v>3208</v>
      </c>
      <c r="D743" s="83" t="s">
        <v>3713</v>
      </c>
      <c r="E743" s="83" t="s">
        <v>3714</v>
      </c>
      <c r="F743" s="83" t="s">
        <v>5103</v>
      </c>
      <c r="G743" s="83" t="s">
        <v>5104</v>
      </c>
      <c r="H743" s="83">
        <v>0</v>
      </c>
      <c r="I743" s="83" t="s">
        <v>3208</v>
      </c>
      <c r="J743" s="83" t="s">
        <v>3208</v>
      </c>
      <c r="K743" s="83" t="s">
        <v>3208</v>
      </c>
    </row>
    <row r="744" spans="1:11" ht="26.25" x14ac:dyDescent="0.25">
      <c r="A744" s="83" t="s">
        <v>2883</v>
      </c>
      <c r="B744" s="83" t="s">
        <v>3208</v>
      </c>
      <c r="C744" s="83" t="s">
        <v>3208</v>
      </c>
      <c r="D744" s="83" t="s">
        <v>3713</v>
      </c>
      <c r="E744" s="83" t="s">
        <v>3714</v>
      </c>
      <c r="F744" s="83" t="s">
        <v>5105</v>
      </c>
      <c r="G744" s="83" t="s">
        <v>5106</v>
      </c>
      <c r="H744" s="83">
        <v>0</v>
      </c>
      <c r="I744" s="83" t="s">
        <v>3208</v>
      </c>
      <c r="J744" s="83" t="s">
        <v>3208</v>
      </c>
      <c r="K744" s="83" t="s">
        <v>3208</v>
      </c>
    </row>
    <row r="745" spans="1:11" ht="26.25" x14ac:dyDescent="0.25">
      <c r="A745" s="83" t="s">
        <v>3175</v>
      </c>
      <c r="B745" s="83" t="s">
        <v>3208</v>
      </c>
      <c r="C745" s="83" t="s">
        <v>5107</v>
      </c>
      <c r="D745" s="83" t="s">
        <v>4157</v>
      </c>
      <c r="E745" s="83" t="s">
        <v>3727</v>
      </c>
      <c r="F745" s="83" t="s">
        <v>5108</v>
      </c>
      <c r="G745" s="83" t="s">
        <v>4473</v>
      </c>
      <c r="H745" s="83">
        <v>0.28999999999999998</v>
      </c>
      <c r="I745" s="83" t="s">
        <v>3213</v>
      </c>
      <c r="J745" s="83" t="s">
        <v>4176</v>
      </c>
      <c r="K745" s="83" t="s">
        <v>3215</v>
      </c>
    </row>
    <row r="746" spans="1:11" ht="26.25" x14ac:dyDescent="0.25">
      <c r="A746" s="83" t="s">
        <v>2220</v>
      </c>
      <c r="B746" s="83" t="s">
        <v>3208</v>
      </c>
      <c r="C746" s="83" t="s">
        <v>3208</v>
      </c>
      <c r="D746" s="83" t="s">
        <v>3713</v>
      </c>
      <c r="E746" s="83" t="s">
        <v>3714</v>
      </c>
      <c r="F746" s="83" t="s">
        <v>4242</v>
      </c>
      <c r="G746" s="83" t="s">
        <v>4243</v>
      </c>
      <c r="H746" s="83">
        <v>0</v>
      </c>
      <c r="I746" s="83" t="s">
        <v>3208</v>
      </c>
      <c r="J746" s="83" t="s">
        <v>3208</v>
      </c>
      <c r="K746" s="83" t="s">
        <v>3208</v>
      </c>
    </row>
    <row r="747" spans="1:11" ht="51.75" x14ac:dyDescent="0.25">
      <c r="A747" s="83" t="s">
        <v>381</v>
      </c>
      <c r="B747" s="83" t="s">
        <v>3208</v>
      </c>
      <c r="C747" s="83" t="s">
        <v>5109</v>
      </c>
      <c r="D747" s="83" t="s">
        <v>3741</v>
      </c>
      <c r="E747" s="83" t="s">
        <v>3727</v>
      </c>
      <c r="F747" s="83" t="s">
        <v>5110</v>
      </c>
      <c r="G747" s="83" t="s">
        <v>5111</v>
      </c>
      <c r="H747" s="83">
        <v>3</v>
      </c>
      <c r="I747" s="83" t="s">
        <v>3229</v>
      </c>
      <c r="J747" s="83" t="s">
        <v>3280</v>
      </c>
      <c r="K747" s="83" t="s">
        <v>3215</v>
      </c>
    </row>
    <row r="748" spans="1:11" ht="64.5" x14ac:dyDescent="0.25">
      <c r="A748" s="83" t="s">
        <v>555</v>
      </c>
      <c r="B748" s="83" t="s">
        <v>3208</v>
      </c>
      <c r="C748" s="83" t="s">
        <v>3208</v>
      </c>
      <c r="D748" s="83" t="s">
        <v>3209</v>
      </c>
      <c r="E748" s="83" t="s">
        <v>3210</v>
      </c>
      <c r="F748" s="83" t="s">
        <v>3211</v>
      </c>
      <c r="G748" s="83" t="s">
        <v>4902</v>
      </c>
      <c r="H748" s="83">
        <v>46</v>
      </c>
      <c r="I748" s="83" t="s">
        <v>3213</v>
      </c>
      <c r="J748" s="83" t="s">
        <v>3219</v>
      </c>
      <c r="K748" s="83" t="s">
        <v>3215</v>
      </c>
    </row>
    <row r="749" spans="1:11" ht="51.75" x14ac:dyDescent="0.25">
      <c r="A749" s="83" t="s">
        <v>517</v>
      </c>
      <c r="B749" s="83" t="s">
        <v>3208</v>
      </c>
      <c r="C749" s="83" t="s">
        <v>3208</v>
      </c>
      <c r="D749" s="83" t="s">
        <v>3209</v>
      </c>
      <c r="E749" s="83" t="s">
        <v>3210</v>
      </c>
      <c r="F749" s="83" t="s">
        <v>5112</v>
      </c>
      <c r="G749" s="83" t="s">
        <v>5113</v>
      </c>
      <c r="H749" s="83">
        <v>32.4</v>
      </c>
      <c r="I749" s="83" t="s">
        <v>3229</v>
      </c>
      <c r="J749" s="83" t="s">
        <v>3289</v>
      </c>
      <c r="K749" s="83" t="s">
        <v>3215</v>
      </c>
    </row>
    <row r="750" spans="1:11" ht="51.75" x14ac:dyDescent="0.25">
      <c r="A750" s="83" t="s">
        <v>793</v>
      </c>
      <c r="B750" s="83" t="s">
        <v>3208</v>
      </c>
      <c r="C750" s="83" t="s">
        <v>3208</v>
      </c>
      <c r="D750" s="83" t="s">
        <v>3209</v>
      </c>
      <c r="E750" s="83" t="s">
        <v>3210</v>
      </c>
      <c r="F750" s="83" t="s">
        <v>5114</v>
      </c>
      <c r="G750" s="83" t="s">
        <v>5115</v>
      </c>
      <c r="H750" s="83">
        <v>24.7</v>
      </c>
      <c r="I750" s="83" t="s">
        <v>3213</v>
      </c>
      <c r="J750" s="83" t="s">
        <v>3214</v>
      </c>
      <c r="K750" s="83" t="s">
        <v>3215</v>
      </c>
    </row>
    <row r="751" spans="1:11" ht="77.25" x14ac:dyDescent="0.25">
      <c r="A751" s="83" t="s">
        <v>607</v>
      </c>
      <c r="B751" s="83" t="s">
        <v>3208</v>
      </c>
      <c r="C751" s="83" t="s">
        <v>3208</v>
      </c>
      <c r="D751" s="83" t="s">
        <v>3209</v>
      </c>
      <c r="E751" s="83" t="s">
        <v>3210</v>
      </c>
      <c r="F751" s="83" t="s">
        <v>5116</v>
      </c>
      <c r="G751" s="83" t="s">
        <v>5117</v>
      </c>
      <c r="H751" s="83">
        <v>64</v>
      </c>
      <c r="I751" s="83" t="s">
        <v>3229</v>
      </c>
      <c r="J751" s="83" t="s">
        <v>5118</v>
      </c>
      <c r="K751" s="83" t="s">
        <v>3215</v>
      </c>
    </row>
    <row r="752" spans="1:11" ht="51.75" x14ac:dyDescent="0.25">
      <c r="A752" s="83" t="s">
        <v>610</v>
      </c>
      <c r="B752" s="83" t="s">
        <v>5119</v>
      </c>
      <c r="C752" s="83" t="s">
        <v>3208</v>
      </c>
      <c r="D752" s="83" t="s">
        <v>3209</v>
      </c>
      <c r="E752" s="83" t="s">
        <v>3226</v>
      </c>
      <c r="F752" s="83" t="s">
        <v>5120</v>
      </c>
      <c r="G752" s="83" t="s">
        <v>5121</v>
      </c>
      <c r="H752" s="83">
        <v>90</v>
      </c>
      <c r="I752" s="83" t="s">
        <v>3229</v>
      </c>
      <c r="J752" s="83" t="s">
        <v>3337</v>
      </c>
      <c r="K752" s="83" t="s">
        <v>3215</v>
      </c>
    </row>
    <row r="753" spans="1:11" ht="64.5" x14ac:dyDescent="0.25">
      <c r="A753" s="83" t="s">
        <v>942</v>
      </c>
      <c r="B753" s="83" t="s">
        <v>5122</v>
      </c>
      <c r="C753" s="83" t="s">
        <v>3208</v>
      </c>
      <c r="D753" s="83" t="s">
        <v>3209</v>
      </c>
      <c r="E753" s="83" t="s">
        <v>3226</v>
      </c>
      <c r="F753" s="83" t="s">
        <v>5123</v>
      </c>
      <c r="G753" s="83" t="s">
        <v>5124</v>
      </c>
      <c r="H753" s="83">
        <v>49.5</v>
      </c>
      <c r="I753" s="83" t="s">
        <v>3213</v>
      </c>
      <c r="J753" s="83" t="s">
        <v>3413</v>
      </c>
      <c r="K753" s="83" t="s">
        <v>3215</v>
      </c>
    </row>
    <row r="754" spans="1:11" ht="51.75" x14ac:dyDescent="0.25">
      <c r="A754" s="83" t="s">
        <v>1182</v>
      </c>
      <c r="B754" s="83" t="s">
        <v>5125</v>
      </c>
      <c r="C754" s="83" t="s">
        <v>3208</v>
      </c>
      <c r="D754" s="83" t="s">
        <v>3209</v>
      </c>
      <c r="E754" s="83" t="s">
        <v>3226</v>
      </c>
      <c r="F754" s="83" t="s">
        <v>4655</v>
      </c>
      <c r="G754" s="83" t="s">
        <v>5126</v>
      </c>
      <c r="H754" s="83">
        <v>87</v>
      </c>
      <c r="I754" s="83" t="s">
        <v>3213</v>
      </c>
      <c r="J754" s="83" t="s">
        <v>3214</v>
      </c>
      <c r="K754" s="83" t="s">
        <v>3215</v>
      </c>
    </row>
    <row r="755" spans="1:11" ht="64.5" x14ac:dyDescent="0.25">
      <c r="A755" s="83" t="s">
        <v>1085</v>
      </c>
      <c r="B755" s="83" t="s">
        <v>5127</v>
      </c>
      <c r="C755" s="83" t="s">
        <v>3208</v>
      </c>
      <c r="D755" s="83" t="s">
        <v>3209</v>
      </c>
      <c r="E755" s="83" t="s">
        <v>3226</v>
      </c>
      <c r="F755" s="83" t="s">
        <v>5128</v>
      </c>
      <c r="G755" s="83" t="s">
        <v>3633</v>
      </c>
      <c r="H755" s="83">
        <v>263</v>
      </c>
      <c r="I755" s="83" t="s">
        <v>3213</v>
      </c>
      <c r="J755" s="83" t="s">
        <v>3262</v>
      </c>
      <c r="K755" s="83" t="s">
        <v>3215</v>
      </c>
    </row>
    <row r="756" spans="1:11" ht="51.75" x14ac:dyDescent="0.25">
      <c r="A756" s="83" t="s">
        <v>1094</v>
      </c>
      <c r="B756" s="83" t="s">
        <v>5129</v>
      </c>
      <c r="C756" s="83" t="s">
        <v>3208</v>
      </c>
      <c r="D756" s="83" t="s">
        <v>3209</v>
      </c>
      <c r="E756" s="83" t="s">
        <v>3226</v>
      </c>
      <c r="F756" s="83" t="s">
        <v>3564</v>
      </c>
      <c r="G756" s="83" t="s">
        <v>5130</v>
      </c>
      <c r="H756" s="83">
        <v>110</v>
      </c>
      <c r="I756" s="83" t="s">
        <v>3229</v>
      </c>
      <c r="J756" s="83" t="s">
        <v>3289</v>
      </c>
      <c r="K756" s="83" t="s">
        <v>3215</v>
      </c>
    </row>
    <row r="757" spans="1:11" ht="51.75" x14ac:dyDescent="0.25">
      <c r="A757" s="83" t="s">
        <v>996</v>
      </c>
      <c r="B757" s="83" t="s">
        <v>5131</v>
      </c>
      <c r="C757" s="83" t="s">
        <v>3208</v>
      </c>
      <c r="D757" s="83" t="s">
        <v>3209</v>
      </c>
      <c r="E757" s="83" t="s">
        <v>3226</v>
      </c>
      <c r="F757" s="83" t="s">
        <v>4272</v>
      </c>
      <c r="G757" s="83" t="s">
        <v>4273</v>
      </c>
      <c r="H757" s="83">
        <v>87.5</v>
      </c>
      <c r="I757" s="83" t="s">
        <v>3229</v>
      </c>
      <c r="J757" s="83" t="s">
        <v>3230</v>
      </c>
      <c r="K757" s="83" t="s">
        <v>3215</v>
      </c>
    </row>
    <row r="758" spans="1:11" ht="26.25" x14ac:dyDescent="0.25">
      <c r="A758" s="83" t="s">
        <v>957</v>
      </c>
      <c r="B758" s="83" t="s">
        <v>5132</v>
      </c>
      <c r="C758" s="83" t="s">
        <v>3208</v>
      </c>
      <c r="D758" s="83" t="s">
        <v>3209</v>
      </c>
      <c r="E758" s="83" t="s">
        <v>3226</v>
      </c>
      <c r="F758" s="83" t="s">
        <v>5133</v>
      </c>
      <c r="G758" s="83" t="s">
        <v>4030</v>
      </c>
      <c r="H758" s="83">
        <v>26</v>
      </c>
      <c r="I758" s="83" t="s">
        <v>3213</v>
      </c>
      <c r="J758" s="83" t="s">
        <v>3948</v>
      </c>
      <c r="K758" s="83" t="s">
        <v>3215</v>
      </c>
    </row>
    <row r="759" spans="1:11" ht="64.5" x14ac:dyDescent="0.25">
      <c r="A759" s="83" t="s">
        <v>806</v>
      </c>
      <c r="B759" s="83" t="s">
        <v>5134</v>
      </c>
      <c r="C759" s="83" t="s">
        <v>3208</v>
      </c>
      <c r="D759" s="83" t="s">
        <v>3209</v>
      </c>
      <c r="E759" s="83" t="s">
        <v>3226</v>
      </c>
      <c r="F759" s="83" t="s">
        <v>5135</v>
      </c>
      <c r="G759" s="83" t="s">
        <v>5124</v>
      </c>
      <c r="H759" s="83">
        <v>120</v>
      </c>
      <c r="I759" s="83" t="s">
        <v>3213</v>
      </c>
      <c r="J759" s="83" t="s">
        <v>3413</v>
      </c>
      <c r="K759" s="83" t="s">
        <v>3215</v>
      </c>
    </row>
    <row r="760" spans="1:11" ht="51.75" x14ac:dyDescent="0.25">
      <c r="A760" s="83" t="s">
        <v>809</v>
      </c>
      <c r="B760" s="83" t="s">
        <v>5136</v>
      </c>
      <c r="C760" s="83" t="s">
        <v>3208</v>
      </c>
      <c r="D760" s="83" t="s">
        <v>3209</v>
      </c>
      <c r="E760" s="83" t="s">
        <v>3226</v>
      </c>
      <c r="F760" s="83" t="s">
        <v>4275</v>
      </c>
      <c r="G760" s="83" t="s">
        <v>5137</v>
      </c>
      <c r="H760" s="83">
        <v>31.5</v>
      </c>
      <c r="I760" s="83" t="s">
        <v>3229</v>
      </c>
      <c r="J760" s="83" t="s">
        <v>4430</v>
      </c>
      <c r="K760" s="83" t="s">
        <v>3215</v>
      </c>
    </row>
    <row r="761" spans="1:11" ht="51.75" x14ac:dyDescent="0.25">
      <c r="A761" s="83" t="s">
        <v>818</v>
      </c>
      <c r="B761" s="83" t="s">
        <v>5138</v>
      </c>
      <c r="C761" s="83" t="s">
        <v>3208</v>
      </c>
      <c r="D761" s="83" t="s">
        <v>3209</v>
      </c>
      <c r="E761" s="83" t="s">
        <v>3226</v>
      </c>
      <c r="F761" s="83" t="s">
        <v>5139</v>
      </c>
      <c r="G761" s="83" t="s">
        <v>3525</v>
      </c>
      <c r="H761" s="83">
        <v>180</v>
      </c>
      <c r="I761" s="83" t="s">
        <v>3213</v>
      </c>
      <c r="J761" s="83" t="s">
        <v>3271</v>
      </c>
      <c r="K761" s="83" t="s">
        <v>3215</v>
      </c>
    </row>
    <row r="762" spans="1:11" ht="64.5" x14ac:dyDescent="0.25">
      <c r="A762" s="83" t="s">
        <v>761</v>
      </c>
      <c r="B762" s="83" t="s">
        <v>5140</v>
      </c>
      <c r="C762" s="83" t="s">
        <v>3208</v>
      </c>
      <c r="D762" s="83" t="s">
        <v>3209</v>
      </c>
      <c r="E762" s="83" t="s">
        <v>3226</v>
      </c>
      <c r="F762" s="83" t="s">
        <v>5141</v>
      </c>
      <c r="G762" s="83" t="s">
        <v>5142</v>
      </c>
      <c r="H762" s="83">
        <v>51</v>
      </c>
      <c r="I762" s="83" t="s">
        <v>3213</v>
      </c>
      <c r="J762" s="83" t="s">
        <v>3413</v>
      </c>
      <c r="K762" s="83" t="s">
        <v>3215</v>
      </c>
    </row>
    <row r="763" spans="1:11" ht="51.75" x14ac:dyDescent="0.25">
      <c r="A763" s="83" t="s">
        <v>752</v>
      </c>
      <c r="B763" s="83" t="s">
        <v>5143</v>
      </c>
      <c r="C763" s="83" t="s">
        <v>3208</v>
      </c>
      <c r="D763" s="83" t="s">
        <v>3209</v>
      </c>
      <c r="E763" s="83" t="s">
        <v>3226</v>
      </c>
      <c r="F763" s="83" t="s">
        <v>5144</v>
      </c>
      <c r="G763" s="83" t="s">
        <v>3525</v>
      </c>
      <c r="H763" s="83">
        <v>74.400000000000006</v>
      </c>
      <c r="I763" s="83" t="s">
        <v>3213</v>
      </c>
      <c r="J763" s="83" t="s">
        <v>3271</v>
      </c>
      <c r="K763" s="83" t="s">
        <v>3215</v>
      </c>
    </row>
    <row r="764" spans="1:11" ht="64.5" x14ac:dyDescent="0.25">
      <c r="A764" s="83" t="s">
        <v>1744</v>
      </c>
      <c r="B764" s="83" t="s">
        <v>5145</v>
      </c>
      <c r="C764" s="83" t="s">
        <v>5146</v>
      </c>
      <c r="D764" s="83" t="s">
        <v>3209</v>
      </c>
      <c r="E764" s="83" t="s">
        <v>3246</v>
      </c>
      <c r="F764" s="83" t="s">
        <v>5147</v>
      </c>
      <c r="G764" s="83" t="s">
        <v>5148</v>
      </c>
      <c r="H764" s="83">
        <v>15.2</v>
      </c>
      <c r="I764" s="83" t="s">
        <v>3213</v>
      </c>
      <c r="J764" s="83" t="s">
        <v>3413</v>
      </c>
      <c r="K764" s="83" t="s">
        <v>3215</v>
      </c>
    </row>
    <row r="765" spans="1:11" ht="64.5" x14ac:dyDescent="0.25">
      <c r="A765" s="83" t="s">
        <v>1470</v>
      </c>
      <c r="B765" s="83" t="s">
        <v>5149</v>
      </c>
      <c r="C765" s="83" t="s">
        <v>5150</v>
      </c>
      <c r="D765" s="83" t="s">
        <v>3209</v>
      </c>
      <c r="E765" s="83" t="s">
        <v>3246</v>
      </c>
      <c r="F765" s="83" t="s">
        <v>5151</v>
      </c>
      <c r="G765" s="83" t="s">
        <v>5152</v>
      </c>
      <c r="H765" s="83">
        <v>49</v>
      </c>
      <c r="I765" s="83" t="s">
        <v>3213</v>
      </c>
      <c r="J765" s="83" t="s">
        <v>3413</v>
      </c>
      <c r="K765" s="83" t="s">
        <v>3215</v>
      </c>
    </row>
    <row r="766" spans="1:11" ht="51.75" x14ac:dyDescent="0.25">
      <c r="A766" s="83" t="s">
        <v>1472</v>
      </c>
      <c r="B766" s="83" t="s">
        <v>5153</v>
      </c>
      <c r="C766" s="83" t="s">
        <v>5154</v>
      </c>
      <c r="D766" s="83" t="s">
        <v>3209</v>
      </c>
      <c r="E766" s="83" t="s">
        <v>3246</v>
      </c>
      <c r="F766" s="83" t="s">
        <v>5155</v>
      </c>
      <c r="G766" s="83" t="s">
        <v>5156</v>
      </c>
      <c r="H766" s="83">
        <v>10</v>
      </c>
      <c r="I766" s="83" t="s">
        <v>3229</v>
      </c>
      <c r="J766" s="83" t="s">
        <v>3238</v>
      </c>
      <c r="K766" s="83" t="s">
        <v>3215</v>
      </c>
    </row>
    <row r="767" spans="1:11" ht="64.5" x14ac:dyDescent="0.25">
      <c r="A767" s="83" t="s">
        <v>1755</v>
      </c>
      <c r="B767" s="83" t="s">
        <v>5157</v>
      </c>
      <c r="C767" s="83" t="s">
        <v>3953</v>
      </c>
      <c r="D767" s="83" t="s">
        <v>3209</v>
      </c>
      <c r="E767" s="83" t="s">
        <v>3246</v>
      </c>
      <c r="F767" s="83" t="s">
        <v>5158</v>
      </c>
      <c r="G767" s="83" t="s">
        <v>5159</v>
      </c>
      <c r="H767" s="83">
        <v>343.6</v>
      </c>
      <c r="I767" s="83" t="s">
        <v>3229</v>
      </c>
      <c r="J767" s="83" t="s">
        <v>3380</v>
      </c>
      <c r="K767" s="83" t="s">
        <v>3215</v>
      </c>
    </row>
    <row r="768" spans="1:11" ht="51.75" x14ac:dyDescent="0.25">
      <c r="A768" s="83" t="s">
        <v>1749</v>
      </c>
      <c r="B768" s="83" t="s">
        <v>5160</v>
      </c>
      <c r="C768" s="83" t="s">
        <v>5161</v>
      </c>
      <c r="D768" s="83" t="s">
        <v>3209</v>
      </c>
      <c r="E768" s="83" t="s">
        <v>3246</v>
      </c>
      <c r="F768" s="83" t="s">
        <v>5162</v>
      </c>
      <c r="G768" s="83" t="s">
        <v>3366</v>
      </c>
      <c r="H768" s="83">
        <v>118.9</v>
      </c>
      <c r="I768" s="83" t="s">
        <v>3213</v>
      </c>
      <c r="J768" s="83" t="s">
        <v>3257</v>
      </c>
      <c r="K768" s="83" t="s">
        <v>3215</v>
      </c>
    </row>
    <row r="769" spans="1:11" ht="51.75" x14ac:dyDescent="0.25">
      <c r="A769" s="83" t="s">
        <v>48</v>
      </c>
      <c r="B769" s="83" t="s">
        <v>5163</v>
      </c>
      <c r="C769" s="83" t="s">
        <v>5164</v>
      </c>
      <c r="D769" s="83" t="s">
        <v>3209</v>
      </c>
      <c r="E769" s="83" t="s">
        <v>3246</v>
      </c>
      <c r="F769" s="83" t="s">
        <v>5165</v>
      </c>
      <c r="G769" s="83" t="s">
        <v>5166</v>
      </c>
      <c r="H769" s="83">
        <v>91.3</v>
      </c>
      <c r="I769" s="83" t="s">
        <v>3213</v>
      </c>
      <c r="J769" s="83" t="s">
        <v>3257</v>
      </c>
      <c r="K769" s="83" t="s">
        <v>3215</v>
      </c>
    </row>
    <row r="770" spans="1:11" ht="51.75" x14ac:dyDescent="0.25">
      <c r="A770" s="83" t="s">
        <v>1538</v>
      </c>
      <c r="B770" s="83" t="s">
        <v>5167</v>
      </c>
      <c r="C770" s="83" t="s">
        <v>5168</v>
      </c>
      <c r="D770" s="83" t="s">
        <v>3209</v>
      </c>
      <c r="E770" s="83" t="s">
        <v>3246</v>
      </c>
      <c r="F770" s="83" t="s">
        <v>5169</v>
      </c>
      <c r="G770" s="83" t="s">
        <v>5170</v>
      </c>
      <c r="H770" s="83">
        <v>40</v>
      </c>
      <c r="I770" s="83" t="s">
        <v>3229</v>
      </c>
      <c r="J770" s="83" t="s">
        <v>3238</v>
      </c>
      <c r="K770" s="83" t="s">
        <v>3215</v>
      </c>
    </row>
    <row r="771" spans="1:11" ht="64.5" x14ac:dyDescent="0.25">
      <c r="A771" s="83" t="s">
        <v>1522</v>
      </c>
      <c r="B771" s="83" t="s">
        <v>5171</v>
      </c>
      <c r="C771" s="83" t="s">
        <v>5172</v>
      </c>
      <c r="D771" s="83" t="s">
        <v>3209</v>
      </c>
      <c r="E771" s="83" t="s">
        <v>3246</v>
      </c>
      <c r="F771" s="83" t="s">
        <v>5173</v>
      </c>
      <c r="G771" s="83" t="s">
        <v>5174</v>
      </c>
      <c r="H771" s="83">
        <v>8.9</v>
      </c>
      <c r="I771" s="83" t="s">
        <v>3229</v>
      </c>
      <c r="J771" s="83" t="s">
        <v>3601</v>
      </c>
      <c r="K771" s="83" t="s">
        <v>3215</v>
      </c>
    </row>
    <row r="772" spans="1:11" ht="51.75" x14ac:dyDescent="0.25">
      <c r="A772" s="83" t="s">
        <v>1483</v>
      </c>
      <c r="B772" s="83" t="s">
        <v>5175</v>
      </c>
      <c r="C772" s="83" t="s">
        <v>5176</v>
      </c>
      <c r="D772" s="83" t="s">
        <v>3209</v>
      </c>
      <c r="E772" s="83" t="s">
        <v>3246</v>
      </c>
      <c r="F772" s="83" t="s">
        <v>5177</v>
      </c>
      <c r="G772" s="83" t="s">
        <v>5178</v>
      </c>
      <c r="H772" s="83">
        <v>15</v>
      </c>
      <c r="I772" s="83" t="s">
        <v>3229</v>
      </c>
      <c r="J772" s="83" t="s">
        <v>3238</v>
      </c>
      <c r="K772" s="83" t="s">
        <v>3215</v>
      </c>
    </row>
    <row r="773" spans="1:11" ht="39" x14ac:dyDescent="0.25">
      <c r="A773" s="83" t="s">
        <v>1485</v>
      </c>
      <c r="B773" s="83" t="s">
        <v>5179</v>
      </c>
      <c r="C773" s="83" t="s">
        <v>5180</v>
      </c>
      <c r="D773" s="83" t="s">
        <v>3209</v>
      </c>
      <c r="E773" s="83" t="s">
        <v>3246</v>
      </c>
      <c r="F773" s="83" t="s">
        <v>5181</v>
      </c>
      <c r="G773" s="83" t="s">
        <v>5182</v>
      </c>
      <c r="H773" s="83">
        <v>194.4</v>
      </c>
      <c r="I773" s="83" t="s">
        <v>3229</v>
      </c>
      <c r="J773" s="83" t="s">
        <v>3241</v>
      </c>
      <c r="K773" s="83" t="s">
        <v>3215</v>
      </c>
    </row>
    <row r="774" spans="1:11" ht="51.75" x14ac:dyDescent="0.25">
      <c r="A774" s="83" t="s">
        <v>1493</v>
      </c>
      <c r="B774" s="83" t="s">
        <v>5183</v>
      </c>
      <c r="C774" s="83" t="s">
        <v>5184</v>
      </c>
      <c r="D774" s="83" t="s">
        <v>3209</v>
      </c>
      <c r="E774" s="83" t="s">
        <v>3246</v>
      </c>
      <c r="F774" s="83" t="s">
        <v>5185</v>
      </c>
      <c r="G774" s="83" t="s">
        <v>5186</v>
      </c>
      <c r="H774" s="83">
        <v>144.80000000000001</v>
      </c>
      <c r="I774" s="83" t="s">
        <v>3213</v>
      </c>
      <c r="J774" s="83" t="s">
        <v>3538</v>
      </c>
      <c r="K774" s="83" t="s">
        <v>3215</v>
      </c>
    </row>
    <row r="775" spans="1:11" ht="51.75" x14ac:dyDescent="0.25">
      <c r="A775" s="83" t="s">
        <v>1499</v>
      </c>
      <c r="B775" s="83" t="s">
        <v>4583</v>
      </c>
      <c r="C775" s="83" t="s">
        <v>5187</v>
      </c>
      <c r="D775" s="83" t="s">
        <v>3209</v>
      </c>
      <c r="E775" s="83" t="s">
        <v>3246</v>
      </c>
      <c r="F775" s="83" t="s">
        <v>3274</v>
      </c>
      <c r="G775" s="83" t="s">
        <v>4759</v>
      </c>
      <c r="H775" s="83">
        <v>23.9</v>
      </c>
      <c r="I775" s="83" t="s">
        <v>3229</v>
      </c>
      <c r="J775" s="83" t="s">
        <v>3289</v>
      </c>
      <c r="K775" s="83" t="s">
        <v>3215</v>
      </c>
    </row>
    <row r="776" spans="1:11" ht="51.75" x14ac:dyDescent="0.25">
      <c r="A776" s="83" t="s">
        <v>1504</v>
      </c>
      <c r="B776" s="83" t="s">
        <v>5188</v>
      </c>
      <c r="C776" s="83" t="s">
        <v>5189</v>
      </c>
      <c r="D776" s="83" t="s">
        <v>3209</v>
      </c>
      <c r="E776" s="83" t="s">
        <v>3246</v>
      </c>
      <c r="F776" s="83" t="s">
        <v>5190</v>
      </c>
      <c r="G776" s="83" t="s">
        <v>3366</v>
      </c>
      <c r="H776" s="83">
        <v>313</v>
      </c>
      <c r="I776" s="83" t="s">
        <v>3213</v>
      </c>
      <c r="J776" s="83" t="s">
        <v>3214</v>
      </c>
      <c r="K776" s="83" t="s">
        <v>3215</v>
      </c>
    </row>
    <row r="777" spans="1:11" ht="51.75" x14ac:dyDescent="0.25">
      <c r="A777" s="83" t="s">
        <v>1461</v>
      </c>
      <c r="B777" s="83" t="s">
        <v>5191</v>
      </c>
      <c r="C777" s="83" t="s">
        <v>5192</v>
      </c>
      <c r="D777" s="83" t="s">
        <v>3209</v>
      </c>
      <c r="E777" s="83" t="s">
        <v>3246</v>
      </c>
      <c r="F777" s="83" t="s">
        <v>5193</v>
      </c>
      <c r="G777" s="83" t="s">
        <v>3352</v>
      </c>
      <c r="H777" s="83">
        <v>42.6</v>
      </c>
      <c r="I777" s="83" t="s">
        <v>3229</v>
      </c>
      <c r="J777" s="83" t="s">
        <v>3289</v>
      </c>
      <c r="K777" s="83" t="s">
        <v>3215</v>
      </c>
    </row>
    <row r="778" spans="1:11" ht="51.75" x14ac:dyDescent="0.25">
      <c r="A778" s="83" t="s">
        <v>1685</v>
      </c>
      <c r="B778" s="83" t="s">
        <v>5194</v>
      </c>
      <c r="C778" s="83" t="s">
        <v>5195</v>
      </c>
      <c r="D778" s="83" t="s">
        <v>3209</v>
      </c>
      <c r="E778" s="83" t="s">
        <v>3246</v>
      </c>
      <c r="F778" s="83" t="s">
        <v>5196</v>
      </c>
      <c r="G778" s="83" t="s">
        <v>3794</v>
      </c>
      <c r="H778" s="83">
        <v>49.8</v>
      </c>
      <c r="I778" s="83" t="s">
        <v>3229</v>
      </c>
      <c r="J778" s="83" t="s">
        <v>3230</v>
      </c>
      <c r="K778" s="83" t="s">
        <v>3215</v>
      </c>
    </row>
    <row r="779" spans="1:11" ht="51.75" x14ac:dyDescent="0.25">
      <c r="A779" s="83" t="s">
        <v>1688</v>
      </c>
      <c r="B779" s="83" t="s">
        <v>5197</v>
      </c>
      <c r="C779" s="83" t="s">
        <v>5198</v>
      </c>
      <c r="D779" s="83" t="s">
        <v>3209</v>
      </c>
      <c r="E779" s="83" t="s">
        <v>3246</v>
      </c>
      <c r="F779" s="83" t="s">
        <v>5199</v>
      </c>
      <c r="G779" s="83" t="s">
        <v>5200</v>
      </c>
      <c r="H779" s="83">
        <v>7.4</v>
      </c>
      <c r="I779" s="83" t="s">
        <v>3229</v>
      </c>
      <c r="J779" s="83" t="s">
        <v>3230</v>
      </c>
      <c r="K779" s="83" t="s">
        <v>3215</v>
      </c>
    </row>
    <row r="780" spans="1:11" ht="51.75" x14ac:dyDescent="0.25">
      <c r="A780" s="83" t="s">
        <v>1690</v>
      </c>
      <c r="B780" s="83" t="s">
        <v>3285</v>
      </c>
      <c r="C780" s="83" t="s">
        <v>5201</v>
      </c>
      <c r="D780" s="83" t="s">
        <v>3209</v>
      </c>
      <c r="E780" s="83" t="s">
        <v>3246</v>
      </c>
      <c r="F780" s="83" t="s">
        <v>3287</v>
      </c>
      <c r="G780" s="83" t="s">
        <v>4759</v>
      </c>
      <c r="H780" s="83">
        <v>101.3</v>
      </c>
      <c r="I780" s="83" t="s">
        <v>3229</v>
      </c>
      <c r="J780" s="83" t="s">
        <v>3289</v>
      </c>
      <c r="K780" s="83" t="s">
        <v>3215</v>
      </c>
    </row>
    <row r="781" spans="1:11" ht="51.75" x14ac:dyDescent="0.25">
      <c r="A781" s="83" t="s">
        <v>1697</v>
      </c>
      <c r="B781" s="83" t="s">
        <v>5202</v>
      </c>
      <c r="C781" s="83" t="s">
        <v>5203</v>
      </c>
      <c r="D781" s="83" t="s">
        <v>3209</v>
      </c>
      <c r="E781" s="83" t="s">
        <v>3246</v>
      </c>
      <c r="F781" s="83" t="s">
        <v>5204</v>
      </c>
      <c r="G781" s="83" t="s">
        <v>5205</v>
      </c>
      <c r="H781" s="83">
        <v>152.69999999999999</v>
      </c>
      <c r="I781" s="83" t="s">
        <v>3229</v>
      </c>
      <c r="J781" s="83" t="s">
        <v>3302</v>
      </c>
      <c r="K781" s="83" t="s">
        <v>3215</v>
      </c>
    </row>
    <row r="782" spans="1:11" ht="51.75" x14ac:dyDescent="0.25">
      <c r="A782" s="83" t="s">
        <v>1700</v>
      </c>
      <c r="B782" s="83" t="s">
        <v>5206</v>
      </c>
      <c r="C782" s="83" t="s">
        <v>5207</v>
      </c>
      <c r="D782" s="83" t="s">
        <v>3209</v>
      </c>
      <c r="E782" s="83" t="s">
        <v>3246</v>
      </c>
      <c r="F782" s="83" t="s">
        <v>5208</v>
      </c>
      <c r="G782" s="83" t="s">
        <v>4597</v>
      </c>
      <c r="H782" s="83">
        <v>66.099999999999994</v>
      </c>
      <c r="I782" s="83" t="s">
        <v>3229</v>
      </c>
      <c r="J782" s="83" t="s">
        <v>3230</v>
      </c>
      <c r="K782" s="83" t="s">
        <v>3215</v>
      </c>
    </row>
    <row r="783" spans="1:11" ht="51.75" x14ac:dyDescent="0.25">
      <c r="A783" s="83" t="s">
        <v>157</v>
      </c>
      <c r="B783" s="83" t="s">
        <v>5209</v>
      </c>
      <c r="C783" s="83" t="s">
        <v>5210</v>
      </c>
      <c r="D783" s="83" t="s">
        <v>3209</v>
      </c>
      <c r="E783" s="83" t="s">
        <v>3246</v>
      </c>
      <c r="F783" s="83" t="s">
        <v>5211</v>
      </c>
      <c r="G783" s="83" t="s">
        <v>5212</v>
      </c>
      <c r="H783" s="83">
        <v>348.6</v>
      </c>
      <c r="I783" s="83" t="s">
        <v>3229</v>
      </c>
      <c r="J783" s="83" t="s">
        <v>3371</v>
      </c>
      <c r="K783" s="83" t="s">
        <v>3215</v>
      </c>
    </row>
    <row r="784" spans="1:11" ht="64.5" x14ac:dyDescent="0.25">
      <c r="A784" s="83" t="s">
        <v>1629</v>
      </c>
      <c r="B784" s="83" t="s">
        <v>5213</v>
      </c>
      <c r="C784" s="83" t="s">
        <v>5214</v>
      </c>
      <c r="D784" s="83" t="s">
        <v>3209</v>
      </c>
      <c r="E784" s="83" t="s">
        <v>3246</v>
      </c>
      <c r="F784" s="83" t="s">
        <v>3305</v>
      </c>
      <c r="G784" s="83" t="s">
        <v>3633</v>
      </c>
      <c r="H784" s="83">
        <v>110.4</v>
      </c>
      <c r="I784" s="83" t="s">
        <v>3213</v>
      </c>
      <c r="J784" s="83" t="s">
        <v>3262</v>
      </c>
      <c r="K784" s="83" t="s">
        <v>3215</v>
      </c>
    </row>
    <row r="785" spans="1:11" ht="51.75" x14ac:dyDescent="0.25">
      <c r="A785" s="83" t="s">
        <v>1656</v>
      </c>
      <c r="B785" s="83" t="s">
        <v>5215</v>
      </c>
      <c r="C785" s="83" t="s">
        <v>5216</v>
      </c>
      <c r="D785" s="83" t="s">
        <v>3209</v>
      </c>
      <c r="E785" s="83" t="s">
        <v>3246</v>
      </c>
      <c r="F785" s="83" t="s">
        <v>5217</v>
      </c>
      <c r="G785" s="83" t="s">
        <v>5218</v>
      </c>
      <c r="H785" s="83">
        <v>15</v>
      </c>
      <c r="I785" s="83" t="s">
        <v>3229</v>
      </c>
      <c r="J785" s="83" t="s">
        <v>3280</v>
      </c>
      <c r="K785" s="83" t="s">
        <v>3215</v>
      </c>
    </row>
    <row r="786" spans="1:11" ht="26.25" x14ac:dyDescent="0.25">
      <c r="A786" s="83" t="s">
        <v>1664</v>
      </c>
      <c r="B786" s="83" t="s">
        <v>5219</v>
      </c>
      <c r="C786" s="83" t="s">
        <v>5220</v>
      </c>
      <c r="D786" s="83" t="s">
        <v>3209</v>
      </c>
      <c r="E786" s="83" t="s">
        <v>3246</v>
      </c>
      <c r="F786" s="83" t="s">
        <v>5221</v>
      </c>
      <c r="G786" s="83" t="s">
        <v>4191</v>
      </c>
      <c r="H786" s="83">
        <v>50</v>
      </c>
      <c r="I786" s="83" t="s">
        <v>3229</v>
      </c>
      <c r="J786" s="83" t="s">
        <v>3397</v>
      </c>
      <c r="K786" s="83" t="s">
        <v>3215</v>
      </c>
    </row>
    <row r="787" spans="1:11" ht="51.75" x14ac:dyDescent="0.25">
      <c r="A787" s="83" t="s">
        <v>1388</v>
      </c>
      <c r="B787" s="83" t="s">
        <v>5222</v>
      </c>
      <c r="C787" s="83" t="s">
        <v>5223</v>
      </c>
      <c r="D787" s="83" t="s">
        <v>3209</v>
      </c>
      <c r="E787" s="83" t="s">
        <v>3246</v>
      </c>
      <c r="F787" s="83" t="s">
        <v>5224</v>
      </c>
      <c r="G787" s="83" t="s">
        <v>5225</v>
      </c>
      <c r="H787" s="83">
        <v>5.6</v>
      </c>
      <c r="I787" s="83" t="s">
        <v>3229</v>
      </c>
      <c r="J787" s="83" t="s">
        <v>3238</v>
      </c>
      <c r="K787" s="83" t="s">
        <v>3215</v>
      </c>
    </row>
    <row r="788" spans="1:11" ht="51.75" x14ac:dyDescent="0.25">
      <c r="A788" s="83" t="s">
        <v>1389</v>
      </c>
      <c r="B788" s="83" t="s">
        <v>5226</v>
      </c>
      <c r="C788" s="83" t="s">
        <v>5227</v>
      </c>
      <c r="D788" s="83" t="s">
        <v>3209</v>
      </c>
      <c r="E788" s="83" t="s">
        <v>3246</v>
      </c>
      <c r="F788" s="83" t="s">
        <v>5228</v>
      </c>
      <c r="G788" s="83" t="s">
        <v>5229</v>
      </c>
      <c r="H788" s="83">
        <v>7</v>
      </c>
      <c r="I788" s="83" t="s">
        <v>3229</v>
      </c>
      <c r="J788" s="83" t="s">
        <v>3238</v>
      </c>
      <c r="K788" s="83" t="s">
        <v>3215</v>
      </c>
    </row>
    <row r="789" spans="1:11" ht="51.75" x14ac:dyDescent="0.25">
      <c r="A789" s="83" t="s">
        <v>42</v>
      </c>
      <c r="B789" s="83" t="s">
        <v>5230</v>
      </c>
      <c r="C789" s="83" t="s">
        <v>5231</v>
      </c>
      <c r="D789" s="83" t="s">
        <v>3209</v>
      </c>
      <c r="E789" s="83" t="s">
        <v>3246</v>
      </c>
      <c r="F789" s="83" t="s">
        <v>3340</v>
      </c>
      <c r="G789" s="83" t="s">
        <v>4753</v>
      </c>
      <c r="H789" s="83">
        <v>426.5</v>
      </c>
      <c r="I789" s="83" t="s">
        <v>3229</v>
      </c>
      <c r="J789" s="83" t="s">
        <v>3289</v>
      </c>
      <c r="K789" s="83" t="s">
        <v>3215</v>
      </c>
    </row>
    <row r="790" spans="1:11" ht="51.75" x14ac:dyDescent="0.25">
      <c r="A790" s="83" t="s">
        <v>1620</v>
      </c>
      <c r="B790" s="83" t="s">
        <v>5232</v>
      </c>
      <c r="C790" s="83" t="s">
        <v>5233</v>
      </c>
      <c r="D790" s="83" t="s">
        <v>3209</v>
      </c>
      <c r="E790" s="83" t="s">
        <v>3246</v>
      </c>
      <c r="F790" s="83" t="s">
        <v>4368</v>
      </c>
      <c r="G790" s="83" t="s">
        <v>4909</v>
      </c>
      <c r="H790" s="83">
        <v>131.19999999999999</v>
      </c>
      <c r="I790" s="83" t="s">
        <v>3229</v>
      </c>
      <c r="J790" s="83" t="s">
        <v>3289</v>
      </c>
      <c r="K790" s="83" t="s">
        <v>3215</v>
      </c>
    </row>
    <row r="791" spans="1:11" ht="51.75" x14ac:dyDescent="0.25">
      <c r="A791" s="83" t="s">
        <v>1621</v>
      </c>
      <c r="B791" s="83" t="s">
        <v>5234</v>
      </c>
      <c r="C791" s="83" t="s">
        <v>5235</v>
      </c>
      <c r="D791" s="83" t="s">
        <v>3209</v>
      </c>
      <c r="E791" s="83" t="s">
        <v>3246</v>
      </c>
      <c r="F791" s="83" t="s">
        <v>4368</v>
      </c>
      <c r="G791" s="83" t="s">
        <v>5236</v>
      </c>
      <c r="H791" s="83">
        <v>251.6</v>
      </c>
      <c r="I791" s="83" t="s">
        <v>3229</v>
      </c>
      <c r="J791" s="83" t="s">
        <v>3238</v>
      </c>
      <c r="K791" s="83" t="s">
        <v>3215</v>
      </c>
    </row>
    <row r="792" spans="1:11" ht="51.75" x14ac:dyDescent="0.25">
      <c r="A792" s="83" t="s">
        <v>1632</v>
      </c>
      <c r="B792" s="83" t="s">
        <v>5237</v>
      </c>
      <c r="C792" s="83" t="s">
        <v>5238</v>
      </c>
      <c r="D792" s="83" t="s">
        <v>3209</v>
      </c>
      <c r="E792" s="83" t="s">
        <v>3246</v>
      </c>
      <c r="F792" s="83" t="s">
        <v>5239</v>
      </c>
      <c r="G792" s="83" t="s">
        <v>5240</v>
      </c>
      <c r="H792" s="83">
        <v>63.2</v>
      </c>
      <c r="I792" s="83" t="s">
        <v>3229</v>
      </c>
      <c r="J792" s="83" t="s">
        <v>3238</v>
      </c>
      <c r="K792" s="83" t="s">
        <v>3215</v>
      </c>
    </row>
    <row r="793" spans="1:11" ht="51.75" x14ac:dyDescent="0.25">
      <c r="A793" s="83" t="s">
        <v>1677</v>
      </c>
      <c r="B793" s="83" t="s">
        <v>5241</v>
      </c>
      <c r="C793" s="83" t="s">
        <v>5242</v>
      </c>
      <c r="D793" s="83" t="s">
        <v>3209</v>
      </c>
      <c r="E793" s="83" t="s">
        <v>3246</v>
      </c>
      <c r="F793" s="83" t="s">
        <v>5243</v>
      </c>
      <c r="G793" s="83" t="s">
        <v>3375</v>
      </c>
      <c r="H793" s="83">
        <v>7</v>
      </c>
      <c r="I793" s="83" t="s">
        <v>3229</v>
      </c>
      <c r="J793" s="83" t="s">
        <v>3280</v>
      </c>
      <c r="K793" s="83" t="s">
        <v>3215</v>
      </c>
    </row>
    <row r="794" spans="1:11" ht="39" x14ac:dyDescent="0.25">
      <c r="A794" s="83" t="s">
        <v>1600</v>
      </c>
      <c r="B794" s="83" t="s">
        <v>5244</v>
      </c>
      <c r="C794" s="83" t="s">
        <v>5245</v>
      </c>
      <c r="D794" s="83" t="s">
        <v>3209</v>
      </c>
      <c r="E794" s="83" t="s">
        <v>3246</v>
      </c>
      <c r="F794" s="83" t="s">
        <v>5246</v>
      </c>
      <c r="G794" s="83" t="s">
        <v>5247</v>
      </c>
      <c r="H794" s="83">
        <v>179.8</v>
      </c>
      <c r="I794" s="83" t="s">
        <v>3229</v>
      </c>
      <c r="J794" s="83" t="s">
        <v>3241</v>
      </c>
      <c r="K794" s="83" t="s">
        <v>3215</v>
      </c>
    </row>
    <row r="795" spans="1:11" ht="51.75" x14ac:dyDescent="0.25">
      <c r="A795" s="83" t="s">
        <v>1604</v>
      </c>
      <c r="B795" s="83" t="s">
        <v>5248</v>
      </c>
      <c r="C795" s="83" t="s">
        <v>5249</v>
      </c>
      <c r="D795" s="83" t="s">
        <v>3209</v>
      </c>
      <c r="E795" s="83" t="s">
        <v>3246</v>
      </c>
      <c r="F795" s="83" t="s">
        <v>5250</v>
      </c>
      <c r="G795" s="83" t="s">
        <v>3362</v>
      </c>
      <c r="H795" s="83">
        <v>153</v>
      </c>
      <c r="I795" s="83" t="s">
        <v>3229</v>
      </c>
      <c r="J795" s="83" t="s">
        <v>3230</v>
      </c>
      <c r="K795" s="83" t="s">
        <v>3215</v>
      </c>
    </row>
    <row r="796" spans="1:11" ht="51.75" x14ac:dyDescent="0.25">
      <c r="A796" s="83" t="s">
        <v>1607</v>
      </c>
      <c r="B796" s="83" t="s">
        <v>5251</v>
      </c>
      <c r="C796" s="83" t="s">
        <v>5252</v>
      </c>
      <c r="D796" s="83" t="s">
        <v>3209</v>
      </c>
      <c r="E796" s="83" t="s">
        <v>3246</v>
      </c>
      <c r="F796" s="83" t="s">
        <v>5253</v>
      </c>
      <c r="G796" s="83" t="s">
        <v>5254</v>
      </c>
      <c r="H796" s="83">
        <v>383.8</v>
      </c>
      <c r="I796" s="83" t="s">
        <v>3229</v>
      </c>
      <c r="J796" s="83" t="s">
        <v>3371</v>
      </c>
      <c r="K796" s="83" t="s">
        <v>3215</v>
      </c>
    </row>
    <row r="797" spans="1:11" ht="39" x14ac:dyDescent="0.25">
      <c r="A797" s="83" t="s">
        <v>1590</v>
      </c>
      <c r="B797" s="83" t="s">
        <v>5255</v>
      </c>
      <c r="C797" s="83" t="s">
        <v>5256</v>
      </c>
      <c r="D797" s="83" t="s">
        <v>3209</v>
      </c>
      <c r="E797" s="83" t="s">
        <v>3246</v>
      </c>
      <c r="F797" s="83" t="s">
        <v>5257</v>
      </c>
      <c r="G797" s="83" t="s">
        <v>5258</v>
      </c>
      <c r="H797" s="83">
        <v>152.6</v>
      </c>
      <c r="I797" s="83" t="s">
        <v>3229</v>
      </c>
      <c r="J797" s="83" t="s">
        <v>3241</v>
      </c>
      <c r="K797" s="83" t="s">
        <v>3215</v>
      </c>
    </row>
    <row r="798" spans="1:11" ht="51.75" x14ac:dyDescent="0.25">
      <c r="A798" s="83" t="s">
        <v>1612</v>
      </c>
      <c r="B798" s="83" t="s">
        <v>5259</v>
      </c>
      <c r="C798" s="83" t="s">
        <v>5260</v>
      </c>
      <c r="D798" s="83" t="s">
        <v>3209</v>
      </c>
      <c r="E798" s="83" t="s">
        <v>3246</v>
      </c>
      <c r="F798" s="83" t="s">
        <v>5261</v>
      </c>
      <c r="G798" s="83" t="s">
        <v>5262</v>
      </c>
      <c r="H798" s="83">
        <v>13.5</v>
      </c>
      <c r="I798" s="83" t="s">
        <v>3229</v>
      </c>
      <c r="J798" s="83" t="s">
        <v>3230</v>
      </c>
      <c r="K798" s="83" t="s">
        <v>3215</v>
      </c>
    </row>
    <row r="799" spans="1:11" ht="51.75" x14ac:dyDescent="0.25">
      <c r="A799" s="83" t="s">
        <v>1573</v>
      </c>
      <c r="B799" s="83" t="s">
        <v>5263</v>
      </c>
      <c r="C799" s="83" t="s">
        <v>5264</v>
      </c>
      <c r="D799" s="83" t="s">
        <v>3209</v>
      </c>
      <c r="E799" s="83" t="s">
        <v>3246</v>
      </c>
      <c r="F799" s="83" t="s">
        <v>5265</v>
      </c>
      <c r="G799" s="83" t="s">
        <v>4052</v>
      </c>
      <c r="H799" s="83">
        <v>38.4</v>
      </c>
      <c r="I799" s="83" t="s">
        <v>3229</v>
      </c>
      <c r="J799" s="83" t="s">
        <v>3371</v>
      </c>
      <c r="K799" s="83" t="s">
        <v>3215</v>
      </c>
    </row>
    <row r="800" spans="1:11" ht="51.75" x14ac:dyDescent="0.25">
      <c r="A800" s="83" t="s">
        <v>1586</v>
      </c>
      <c r="B800" s="83" t="s">
        <v>5266</v>
      </c>
      <c r="C800" s="83" t="s">
        <v>5267</v>
      </c>
      <c r="D800" s="83" t="s">
        <v>3209</v>
      </c>
      <c r="E800" s="83" t="s">
        <v>3246</v>
      </c>
      <c r="F800" s="83" t="s">
        <v>5268</v>
      </c>
      <c r="G800" s="83" t="s">
        <v>5269</v>
      </c>
      <c r="H800" s="83">
        <v>64</v>
      </c>
      <c r="I800" s="83" t="s">
        <v>3229</v>
      </c>
      <c r="J800" s="83" t="s">
        <v>3230</v>
      </c>
      <c r="K800" s="83" t="s">
        <v>3215</v>
      </c>
    </row>
    <row r="801" spans="1:11" ht="51.75" x14ac:dyDescent="0.25">
      <c r="A801" s="83" t="s">
        <v>1562</v>
      </c>
      <c r="B801" s="83" t="s">
        <v>5270</v>
      </c>
      <c r="C801" s="83" t="s">
        <v>5271</v>
      </c>
      <c r="D801" s="83" t="s">
        <v>3209</v>
      </c>
      <c r="E801" s="83" t="s">
        <v>3246</v>
      </c>
      <c r="F801" s="83" t="s">
        <v>5272</v>
      </c>
      <c r="G801" s="83" t="s">
        <v>5273</v>
      </c>
      <c r="H801" s="83">
        <v>30</v>
      </c>
      <c r="I801" s="83" t="s">
        <v>3229</v>
      </c>
      <c r="J801" s="83" t="s">
        <v>3238</v>
      </c>
      <c r="K801" s="83" t="s">
        <v>3215</v>
      </c>
    </row>
    <row r="802" spans="1:11" ht="26.25" x14ac:dyDescent="0.25">
      <c r="A802" s="83" t="s">
        <v>1401</v>
      </c>
      <c r="B802" s="83" t="s">
        <v>5274</v>
      </c>
      <c r="C802" s="83" t="s">
        <v>5275</v>
      </c>
      <c r="D802" s="83" t="s">
        <v>3209</v>
      </c>
      <c r="E802" s="83" t="s">
        <v>3246</v>
      </c>
      <c r="F802" s="83" t="s">
        <v>5276</v>
      </c>
      <c r="G802" s="83" t="s">
        <v>5277</v>
      </c>
      <c r="H802" s="83">
        <v>41</v>
      </c>
      <c r="I802" s="83" t="s">
        <v>3229</v>
      </c>
      <c r="J802" s="83" t="s">
        <v>3324</v>
      </c>
      <c r="K802" s="83" t="s">
        <v>3215</v>
      </c>
    </row>
    <row r="803" spans="1:11" ht="51.75" x14ac:dyDescent="0.25">
      <c r="A803" s="83" t="s">
        <v>1285</v>
      </c>
      <c r="B803" s="83" t="s">
        <v>5278</v>
      </c>
      <c r="C803" s="83" t="s">
        <v>5279</v>
      </c>
      <c r="D803" s="83" t="s">
        <v>3209</v>
      </c>
      <c r="E803" s="83" t="s">
        <v>3246</v>
      </c>
      <c r="F803" s="83" t="s">
        <v>5280</v>
      </c>
      <c r="G803" s="83" t="s">
        <v>3362</v>
      </c>
      <c r="H803" s="83">
        <v>81</v>
      </c>
      <c r="I803" s="83" t="s">
        <v>3229</v>
      </c>
      <c r="J803" s="83" t="s">
        <v>3230</v>
      </c>
      <c r="K803" s="83" t="s">
        <v>3215</v>
      </c>
    </row>
    <row r="804" spans="1:11" ht="39" x14ac:dyDescent="0.25">
      <c r="A804" s="83" t="s">
        <v>1289</v>
      </c>
      <c r="B804" s="83" t="s">
        <v>5281</v>
      </c>
      <c r="C804" s="83" t="s">
        <v>5282</v>
      </c>
      <c r="D804" s="83" t="s">
        <v>3209</v>
      </c>
      <c r="E804" s="83" t="s">
        <v>3246</v>
      </c>
      <c r="F804" s="83" t="s">
        <v>5283</v>
      </c>
      <c r="G804" s="83" t="s">
        <v>5284</v>
      </c>
      <c r="H804" s="83">
        <v>43</v>
      </c>
      <c r="I804" s="83" t="s">
        <v>3229</v>
      </c>
      <c r="J804" s="83" t="s">
        <v>2706</v>
      </c>
      <c r="K804" s="83" t="s">
        <v>3215</v>
      </c>
    </row>
    <row r="805" spans="1:11" ht="51.75" x14ac:dyDescent="0.25">
      <c r="A805" s="83" t="s">
        <v>1296</v>
      </c>
      <c r="B805" s="83" t="s">
        <v>5285</v>
      </c>
      <c r="C805" s="83" t="s">
        <v>5286</v>
      </c>
      <c r="D805" s="83" t="s">
        <v>3209</v>
      </c>
      <c r="E805" s="83" t="s">
        <v>3246</v>
      </c>
      <c r="F805" s="83" t="s">
        <v>5287</v>
      </c>
      <c r="G805" s="83" t="s">
        <v>4714</v>
      </c>
      <c r="H805" s="83">
        <v>89</v>
      </c>
      <c r="I805" s="83" t="s">
        <v>3213</v>
      </c>
      <c r="J805" s="83" t="s">
        <v>3271</v>
      </c>
      <c r="K805" s="83" t="s">
        <v>3215</v>
      </c>
    </row>
    <row r="806" spans="1:11" ht="39" x14ac:dyDescent="0.25">
      <c r="A806" s="83" t="s">
        <v>1298</v>
      </c>
      <c r="B806" s="83" t="s">
        <v>5288</v>
      </c>
      <c r="C806" s="83" t="s">
        <v>5289</v>
      </c>
      <c r="D806" s="83" t="s">
        <v>3209</v>
      </c>
      <c r="E806" s="83" t="s">
        <v>3246</v>
      </c>
      <c r="F806" s="83" t="s">
        <v>5290</v>
      </c>
      <c r="G806" s="83" t="s">
        <v>5291</v>
      </c>
      <c r="H806" s="83">
        <v>45</v>
      </c>
      <c r="I806" s="83" t="s">
        <v>3229</v>
      </c>
      <c r="J806" s="83" t="s">
        <v>356</v>
      </c>
      <c r="K806" s="83" t="s">
        <v>3215</v>
      </c>
    </row>
    <row r="807" spans="1:11" ht="39" x14ac:dyDescent="0.25">
      <c r="A807" s="83" t="s">
        <v>1270</v>
      </c>
      <c r="B807" s="83" t="s">
        <v>5292</v>
      </c>
      <c r="C807" s="83" t="s">
        <v>5293</v>
      </c>
      <c r="D807" s="83" t="s">
        <v>3209</v>
      </c>
      <c r="E807" s="83" t="s">
        <v>3246</v>
      </c>
      <c r="F807" s="83" t="s">
        <v>5294</v>
      </c>
      <c r="G807" s="83" t="s">
        <v>5295</v>
      </c>
      <c r="H807" s="83">
        <v>12.5</v>
      </c>
      <c r="I807" s="83" t="s">
        <v>3229</v>
      </c>
      <c r="J807" s="83" t="s">
        <v>3241</v>
      </c>
      <c r="K807" s="83" t="s">
        <v>3215</v>
      </c>
    </row>
    <row r="808" spans="1:11" ht="51.75" x14ac:dyDescent="0.25">
      <c r="A808" s="83" t="s">
        <v>74</v>
      </c>
      <c r="B808" s="83" t="s">
        <v>5296</v>
      </c>
      <c r="C808" s="83" t="s">
        <v>5297</v>
      </c>
      <c r="D808" s="83" t="s">
        <v>3209</v>
      </c>
      <c r="E808" s="83" t="s">
        <v>3246</v>
      </c>
      <c r="F808" s="83" t="s">
        <v>3430</v>
      </c>
      <c r="G808" s="83" t="s">
        <v>4542</v>
      </c>
      <c r="H808" s="83">
        <v>192</v>
      </c>
      <c r="I808" s="83" t="s">
        <v>3213</v>
      </c>
      <c r="J808" s="83" t="s">
        <v>3214</v>
      </c>
      <c r="K808" s="83" t="s">
        <v>3215</v>
      </c>
    </row>
    <row r="809" spans="1:11" ht="77.25" x14ac:dyDescent="0.25">
      <c r="A809" s="83" t="s">
        <v>1460</v>
      </c>
      <c r="B809" s="83" t="s">
        <v>5298</v>
      </c>
      <c r="C809" s="83" t="s">
        <v>5299</v>
      </c>
      <c r="D809" s="83" t="s">
        <v>3209</v>
      </c>
      <c r="E809" s="83" t="s">
        <v>3246</v>
      </c>
      <c r="F809" s="83" t="s">
        <v>5300</v>
      </c>
      <c r="G809" s="83" t="s">
        <v>5301</v>
      </c>
      <c r="H809" s="83">
        <v>13.5</v>
      </c>
      <c r="I809" s="83" t="s">
        <v>3213</v>
      </c>
      <c r="J809" s="83" t="s">
        <v>3621</v>
      </c>
      <c r="K809" s="83" t="s">
        <v>3215</v>
      </c>
    </row>
    <row r="810" spans="1:11" ht="26.25" x14ac:dyDescent="0.25">
      <c r="A810" s="83" t="s">
        <v>1430</v>
      </c>
      <c r="B810" s="83" t="s">
        <v>3607</v>
      </c>
      <c r="C810" s="83" t="s">
        <v>5302</v>
      </c>
      <c r="D810" s="83" t="s">
        <v>3209</v>
      </c>
      <c r="E810" s="83" t="s">
        <v>3246</v>
      </c>
      <c r="F810" s="83" t="s">
        <v>5303</v>
      </c>
      <c r="G810" s="83" t="s">
        <v>5304</v>
      </c>
      <c r="H810" s="83">
        <v>10.6</v>
      </c>
      <c r="I810" s="83" t="s">
        <v>3229</v>
      </c>
      <c r="J810" s="83" t="s">
        <v>3324</v>
      </c>
      <c r="K810" s="83" t="s">
        <v>3215</v>
      </c>
    </row>
    <row r="811" spans="1:11" ht="26.25" x14ac:dyDescent="0.25">
      <c r="A811" s="83" t="s">
        <v>1434</v>
      </c>
      <c r="B811" s="83" t="s">
        <v>5305</v>
      </c>
      <c r="C811" s="83" t="s">
        <v>5306</v>
      </c>
      <c r="D811" s="83" t="s">
        <v>3209</v>
      </c>
      <c r="E811" s="83" t="s">
        <v>3246</v>
      </c>
      <c r="F811" s="83" t="s">
        <v>4636</v>
      </c>
      <c r="G811" s="83" t="s">
        <v>5307</v>
      </c>
      <c r="H811" s="83">
        <v>117</v>
      </c>
      <c r="I811" s="83" t="s">
        <v>3229</v>
      </c>
      <c r="J811" s="83" t="s">
        <v>3311</v>
      </c>
      <c r="K811" s="83" t="s">
        <v>3215</v>
      </c>
    </row>
    <row r="812" spans="1:11" ht="64.5" x14ac:dyDescent="0.25">
      <c r="A812" s="83" t="s">
        <v>1436</v>
      </c>
      <c r="B812" s="83" t="s">
        <v>5308</v>
      </c>
      <c r="C812" s="83" t="s">
        <v>5309</v>
      </c>
      <c r="D812" s="83" t="s">
        <v>3209</v>
      </c>
      <c r="E812" s="83" t="s">
        <v>3246</v>
      </c>
      <c r="F812" s="83" t="s">
        <v>5310</v>
      </c>
      <c r="G812" s="83" t="s">
        <v>5311</v>
      </c>
      <c r="H812" s="83">
        <v>30</v>
      </c>
      <c r="I812" s="83" t="s">
        <v>3229</v>
      </c>
      <c r="J812" s="83" t="s">
        <v>3380</v>
      </c>
      <c r="K812" s="83" t="s">
        <v>3215</v>
      </c>
    </row>
    <row r="813" spans="1:11" ht="26.25" x14ac:dyDescent="0.25">
      <c r="A813" s="83" t="s">
        <v>1366</v>
      </c>
      <c r="B813" s="83" t="s">
        <v>5312</v>
      </c>
      <c r="C813" s="83" t="s">
        <v>5313</v>
      </c>
      <c r="D813" s="83" t="s">
        <v>3209</v>
      </c>
      <c r="E813" s="83" t="s">
        <v>3246</v>
      </c>
      <c r="F813" s="83" t="s">
        <v>5314</v>
      </c>
      <c r="G813" s="83" t="s">
        <v>5315</v>
      </c>
      <c r="H813" s="83">
        <v>18</v>
      </c>
      <c r="I813" s="83" t="s">
        <v>3229</v>
      </c>
      <c r="J813" s="83" t="s">
        <v>3222</v>
      </c>
      <c r="K813" s="83" t="s">
        <v>3215</v>
      </c>
    </row>
    <row r="814" spans="1:11" ht="51.75" x14ac:dyDescent="0.25">
      <c r="A814" s="83" t="s">
        <v>1346</v>
      </c>
      <c r="B814" s="83" t="s">
        <v>5316</v>
      </c>
      <c r="C814" s="83" t="s">
        <v>5317</v>
      </c>
      <c r="D814" s="83" t="s">
        <v>3209</v>
      </c>
      <c r="E814" s="83" t="s">
        <v>3246</v>
      </c>
      <c r="F814" s="83" t="s">
        <v>5318</v>
      </c>
      <c r="G814" s="83" t="s">
        <v>5319</v>
      </c>
      <c r="H814" s="83">
        <v>28</v>
      </c>
      <c r="I814" s="83" t="s">
        <v>3229</v>
      </c>
      <c r="J814" s="83" t="s">
        <v>3230</v>
      </c>
      <c r="K814" s="83" t="s">
        <v>3215</v>
      </c>
    </row>
    <row r="815" spans="1:11" ht="64.5" x14ac:dyDescent="0.25">
      <c r="A815" s="83" t="s">
        <v>1331</v>
      </c>
      <c r="B815" s="83" t="s">
        <v>3472</v>
      </c>
      <c r="C815" s="83" t="s">
        <v>5320</v>
      </c>
      <c r="D815" s="83" t="s">
        <v>3209</v>
      </c>
      <c r="E815" s="83" t="s">
        <v>3246</v>
      </c>
      <c r="F815" s="83" t="s">
        <v>3474</v>
      </c>
      <c r="G815" s="83" t="s">
        <v>3475</v>
      </c>
      <c r="H815" s="83">
        <v>290</v>
      </c>
      <c r="I815" s="83" t="s">
        <v>3213</v>
      </c>
      <c r="J815" s="83" t="s">
        <v>3219</v>
      </c>
      <c r="K815" s="83" t="s">
        <v>3215</v>
      </c>
    </row>
    <row r="816" spans="1:11" ht="51.75" x14ac:dyDescent="0.25">
      <c r="A816" s="83" t="s">
        <v>907</v>
      </c>
      <c r="B816" s="83" t="s">
        <v>5321</v>
      </c>
      <c r="C816" s="83" t="s">
        <v>5322</v>
      </c>
      <c r="D816" s="83" t="s">
        <v>3209</v>
      </c>
      <c r="E816" s="83" t="s">
        <v>3246</v>
      </c>
      <c r="F816" s="83" t="s">
        <v>5323</v>
      </c>
      <c r="G816" s="83" t="s">
        <v>3565</v>
      </c>
      <c r="H816" s="83">
        <v>11</v>
      </c>
      <c r="I816" s="83" t="s">
        <v>3229</v>
      </c>
      <c r="J816" s="83" t="s">
        <v>3230</v>
      </c>
      <c r="K816" s="83" t="s">
        <v>3215</v>
      </c>
    </row>
    <row r="817" spans="1:11" ht="64.5" x14ac:dyDescent="0.25">
      <c r="A817" s="83" t="s">
        <v>1276</v>
      </c>
      <c r="B817" s="83" t="s">
        <v>5324</v>
      </c>
      <c r="C817" s="83" t="s">
        <v>5325</v>
      </c>
      <c r="D817" s="83" t="s">
        <v>3209</v>
      </c>
      <c r="E817" s="83" t="s">
        <v>3246</v>
      </c>
      <c r="F817" s="83" t="s">
        <v>5326</v>
      </c>
      <c r="G817" s="83" t="s">
        <v>5327</v>
      </c>
      <c r="H817" s="83">
        <v>2</v>
      </c>
      <c r="I817" s="83" t="s">
        <v>3229</v>
      </c>
      <c r="J817" s="83" t="s">
        <v>3380</v>
      </c>
      <c r="K817" s="83" t="s">
        <v>3215</v>
      </c>
    </row>
    <row r="818" spans="1:11" ht="26.25" x14ac:dyDescent="0.25">
      <c r="A818" s="83" t="s">
        <v>1255</v>
      </c>
      <c r="B818" s="83" t="s">
        <v>5328</v>
      </c>
      <c r="C818" s="83" t="s">
        <v>5329</v>
      </c>
      <c r="D818" s="83" t="s">
        <v>3209</v>
      </c>
      <c r="E818" s="83" t="s">
        <v>3246</v>
      </c>
      <c r="F818" s="83" t="s">
        <v>5330</v>
      </c>
      <c r="G818" s="83" t="s">
        <v>5331</v>
      </c>
      <c r="H818" s="83">
        <v>1.4</v>
      </c>
      <c r="I818" s="83" t="s">
        <v>3229</v>
      </c>
      <c r="J818" s="83" t="s">
        <v>5332</v>
      </c>
      <c r="K818" s="83" t="s">
        <v>3215</v>
      </c>
    </row>
    <row r="819" spans="1:11" ht="51.75" x14ac:dyDescent="0.25">
      <c r="A819" s="83" t="s">
        <v>1260</v>
      </c>
      <c r="B819" s="83" t="s">
        <v>5333</v>
      </c>
      <c r="C819" s="83" t="s">
        <v>5334</v>
      </c>
      <c r="D819" s="83" t="s">
        <v>3209</v>
      </c>
      <c r="E819" s="83" t="s">
        <v>3246</v>
      </c>
      <c r="F819" s="83" t="s">
        <v>5335</v>
      </c>
      <c r="G819" s="83" t="s">
        <v>5336</v>
      </c>
      <c r="H819" s="83">
        <v>43.4</v>
      </c>
      <c r="I819" s="83" t="s">
        <v>3213</v>
      </c>
      <c r="J819" s="83" t="s">
        <v>3521</v>
      </c>
      <c r="K819" s="83" t="s">
        <v>3215</v>
      </c>
    </row>
    <row r="820" spans="1:11" ht="26.25" x14ac:dyDescent="0.25">
      <c r="A820" s="83" t="s">
        <v>1261</v>
      </c>
      <c r="B820" s="83" t="s">
        <v>5337</v>
      </c>
      <c r="C820" s="83" t="s">
        <v>5338</v>
      </c>
      <c r="D820" s="83" t="s">
        <v>3209</v>
      </c>
      <c r="E820" s="83" t="s">
        <v>3246</v>
      </c>
      <c r="F820" s="83" t="s">
        <v>5335</v>
      </c>
      <c r="G820" s="83" t="s">
        <v>5336</v>
      </c>
      <c r="H820" s="83">
        <v>14</v>
      </c>
      <c r="I820" s="83" t="s">
        <v>3213</v>
      </c>
      <c r="J820" s="83" t="s">
        <v>4000</v>
      </c>
      <c r="K820" s="83" t="s">
        <v>3215</v>
      </c>
    </row>
    <row r="821" spans="1:11" ht="64.5" x14ac:dyDescent="0.25">
      <c r="A821" s="83" t="s">
        <v>1441</v>
      </c>
      <c r="B821" s="83" t="s">
        <v>5339</v>
      </c>
      <c r="C821" s="83" t="s">
        <v>5340</v>
      </c>
      <c r="D821" s="83" t="s">
        <v>3209</v>
      </c>
      <c r="E821" s="83" t="s">
        <v>3246</v>
      </c>
      <c r="F821" s="83" t="s">
        <v>4492</v>
      </c>
      <c r="G821" s="83" t="s">
        <v>5341</v>
      </c>
      <c r="H821" s="83">
        <v>8.3000000000000007</v>
      </c>
      <c r="I821" s="83" t="s">
        <v>3213</v>
      </c>
      <c r="J821" s="83" t="s">
        <v>3413</v>
      </c>
      <c r="K821" s="83" t="s">
        <v>3215</v>
      </c>
    </row>
    <row r="822" spans="1:11" ht="64.5" x14ac:dyDescent="0.25">
      <c r="A822" s="83" t="s">
        <v>940</v>
      </c>
      <c r="B822" s="83" t="s">
        <v>5342</v>
      </c>
      <c r="C822" s="83" t="s">
        <v>5343</v>
      </c>
      <c r="D822" s="83" t="s">
        <v>3209</v>
      </c>
      <c r="E822" s="83" t="s">
        <v>3246</v>
      </c>
      <c r="F822" s="83" t="s">
        <v>5344</v>
      </c>
      <c r="G822" s="83" t="s">
        <v>5345</v>
      </c>
      <c r="H822" s="83">
        <v>4.2</v>
      </c>
      <c r="I822" s="83" t="s">
        <v>3229</v>
      </c>
      <c r="J822" s="83" t="s">
        <v>3380</v>
      </c>
      <c r="K822" s="83" t="s">
        <v>3215</v>
      </c>
    </row>
    <row r="823" spans="1:11" ht="51.75" x14ac:dyDescent="0.25">
      <c r="A823" s="83" t="s">
        <v>897</v>
      </c>
      <c r="B823" s="83" t="s">
        <v>5346</v>
      </c>
      <c r="C823" s="83" t="s">
        <v>5347</v>
      </c>
      <c r="D823" s="83" t="s">
        <v>3209</v>
      </c>
      <c r="E823" s="83" t="s">
        <v>3246</v>
      </c>
      <c r="F823" s="83" t="s">
        <v>5348</v>
      </c>
      <c r="G823" s="83" t="s">
        <v>5349</v>
      </c>
      <c r="H823" s="83">
        <v>4</v>
      </c>
      <c r="I823" s="83" t="s">
        <v>3229</v>
      </c>
      <c r="J823" s="83" t="s">
        <v>3280</v>
      </c>
      <c r="K823" s="83" t="s">
        <v>3215</v>
      </c>
    </row>
    <row r="824" spans="1:11" ht="77.25" x14ac:dyDescent="0.25">
      <c r="A824" s="83" t="s">
        <v>1184</v>
      </c>
      <c r="B824" s="83" t="s">
        <v>5350</v>
      </c>
      <c r="C824" s="83" t="s">
        <v>5351</v>
      </c>
      <c r="D824" s="83" t="s">
        <v>3209</v>
      </c>
      <c r="E824" s="83" t="s">
        <v>3246</v>
      </c>
      <c r="F824" s="83" t="s">
        <v>5352</v>
      </c>
      <c r="G824" s="83" t="s">
        <v>5353</v>
      </c>
      <c r="H824" s="83">
        <v>18</v>
      </c>
      <c r="I824" s="83" t="s">
        <v>3213</v>
      </c>
      <c r="J824" s="83" t="s">
        <v>3621</v>
      </c>
      <c r="K824" s="83" t="s">
        <v>3215</v>
      </c>
    </row>
    <row r="825" spans="1:11" ht="51.75" x14ac:dyDescent="0.25">
      <c r="A825" s="83" t="s">
        <v>1129</v>
      </c>
      <c r="B825" s="83" t="s">
        <v>5354</v>
      </c>
      <c r="C825" s="83" t="s">
        <v>4494</v>
      </c>
      <c r="D825" s="83" t="s">
        <v>3209</v>
      </c>
      <c r="E825" s="83" t="s">
        <v>3246</v>
      </c>
      <c r="F825" s="83" t="s">
        <v>5355</v>
      </c>
      <c r="G825" s="83" t="s">
        <v>4556</v>
      </c>
      <c r="H825" s="83">
        <v>18.5</v>
      </c>
      <c r="I825" s="83" t="s">
        <v>3213</v>
      </c>
      <c r="J825" s="83" t="s">
        <v>3257</v>
      </c>
      <c r="K825" s="83" t="s">
        <v>3215</v>
      </c>
    </row>
    <row r="826" spans="1:11" ht="51.75" x14ac:dyDescent="0.25">
      <c r="A826" s="83" t="s">
        <v>1145</v>
      </c>
      <c r="B826" s="83" t="s">
        <v>5356</v>
      </c>
      <c r="C826" s="83" t="s">
        <v>5357</v>
      </c>
      <c r="D826" s="83" t="s">
        <v>3209</v>
      </c>
      <c r="E826" s="83" t="s">
        <v>3246</v>
      </c>
      <c r="F826" s="83" t="s">
        <v>4265</v>
      </c>
      <c r="G826" s="83" t="s">
        <v>4266</v>
      </c>
      <c r="H826" s="83">
        <v>9.1999999999999993</v>
      </c>
      <c r="I826" s="83" t="s">
        <v>3229</v>
      </c>
      <c r="J826" s="83" t="s">
        <v>3289</v>
      </c>
      <c r="K826" s="83" t="s">
        <v>3215</v>
      </c>
    </row>
    <row r="827" spans="1:11" ht="64.5" x14ac:dyDescent="0.25">
      <c r="A827" s="83" t="s">
        <v>1153</v>
      </c>
      <c r="B827" s="83" t="s">
        <v>5358</v>
      </c>
      <c r="C827" s="83" t="s">
        <v>5359</v>
      </c>
      <c r="D827" s="83" t="s">
        <v>3209</v>
      </c>
      <c r="E827" s="83" t="s">
        <v>3246</v>
      </c>
      <c r="F827" s="83" t="s">
        <v>5360</v>
      </c>
      <c r="G827" s="83" t="s">
        <v>3990</v>
      </c>
      <c r="H827" s="83">
        <v>7.5</v>
      </c>
      <c r="I827" s="83" t="s">
        <v>3229</v>
      </c>
      <c r="J827" s="83" t="s">
        <v>3380</v>
      </c>
      <c r="K827" s="83" t="s">
        <v>3215</v>
      </c>
    </row>
    <row r="828" spans="1:11" ht="51.75" x14ac:dyDescent="0.25">
      <c r="A828" s="83" t="s">
        <v>1093</v>
      </c>
      <c r="B828" s="83" t="s">
        <v>5361</v>
      </c>
      <c r="C828" s="83" t="s">
        <v>5361</v>
      </c>
      <c r="D828" s="83" t="s">
        <v>3209</v>
      </c>
      <c r="E828" s="83" t="s">
        <v>3246</v>
      </c>
      <c r="F828" s="83" t="s">
        <v>5362</v>
      </c>
      <c r="G828" s="83" t="s">
        <v>5363</v>
      </c>
      <c r="H828" s="83">
        <v>5.2</v>
      </c>
      <c r="I828" s="83" t="s">
        <v>3213</v>
      </c>
      <c r="J828" s="83" t="s">
        <v>3271</v>
      </c>
      <c r="K828" s="83" t="s">
        <v>3215</v>
      </c>
    </row>
    <row r="829" spans="1:11" ht="26.25" x14ac:dyDescent="0.25">
      <c r="A829" s="83" t="s">
        <v>1102</v>
      </c>
      <c r="B829" s="83" t="s">
        <v>5364</v>
      </c>
      <c r="C829" s="83" t="s">
        <v>5365</v>
      </c>
      <c r="D829" s="83" t="s">
        <v>3209</v>
      </c>
      <c r="E829" s="83" t="s">
        <v>3246</v>
      </c>
      <c r="F829" s="83" t="s">
        <v>4449</v>
      </c>
      <c r="G829" s="83" t="s">
        <v>5366</v>
      </c>
      <c r="H829" s="83">
        <v>5.2</v>
      </c>
      <c r="I829" s="83" t="s">
        <v>3229</v>
      </c>
      <c r="J829" s="83" t="s">
        <v>3222</v>
      </c>
      <c r="K829" s="83" t="s">
        <v>3215</v>
      </c>
    </row>
    <row r="830" spans="1:11" ht="64.5" x14ac:dyDescent="0.25">
      <c r="A830" s="83" t="s">
        <v>1100</v>
      </c>
      <c r="B830" s="83" t="s">
        <v>5367</v>
      </c>
      <c r="C830" s="83" t="s">
        <v>5368</v>
      </c>
      <c r="D830" s="83" t="s">
        <v>3209</v>
      </c>
      <c r="E830" s="83" t="s">
        <v>3246</v>
      </c>
      <c r="F830" s="83" t="s">
        <v>5369</v>
      </c>
      <c r="G830" s="83" t="s">
        <v>3641</v>
      </c>
      <c r="H830" s="83">
        <v>20</v>
      </c>
      <c r="I830" s="83" t="s">
        <v>3213</v>
      </c>
      <c r="J830" s="83" t="s">
        <v>3413</v>
      </c>
      <c r="K830" s="83" t="s">
        <v>3215</v>
      </c>
    </row>
    <row r="831" spans="1:11" ht="51.75" x14ac:dyDescent="0.25">
      <c r="A831" s="83" t="s">
        <v>1080</v>
      </c>
      <c r="B831" s="83" t="s">
        <v>5370</v>
      </c>
      <c r="C831" s="83" t="s">
        <v>5371</v>
      </c>
      <c r="D831" s="83" t="s">
        <v>3209</v>
      </c>
      <c r="E831" s="83" t="s">
        <v>3246</v>
      </c>
      <c r="F831" s="83" t="s">
        <v>5372</v>
      </c>
      <c r="G831" s="83" t="s">
        <v>3237</v>
      </c>
      <c r="H831" s="83">
        <v>30</v>
      </c>
      <c r="I831" s="83" t="s">
        <v>3229</v>
      </c>
      <c r="J831" s="83" t="s">
        <v>3238</v>
      </c>
      <c r="K831" s="83" t="s">
        <v>3215</v>
      </c>
    </row>
    <row r="832" spans="1:11" ht="51.75" x14ac:dyDescent="0.25">
      <c r="A832" s="83" t="s">
        <v>1052</v>
      </c>
      <c r="B832" s="83" t="s">
        <v>5373</v>
      </c>
      <c r="C832" s="83" t="s">
        <v>5374</v>
      </c>
      <c r="D832" s="83" t="s">
        <v>3209</v>
      </c>
      <c r="E832" s="83" t="s">
        <v>3246</v>
      </c>
      <c r="F832" s="83" t="s">
        <v>5375</v>
      </c>
      <c r="G832" s="83" t="s">
        <v>4935</v>
      </c>
      <c r="H832" s="83">
        <v>22</v>
      </c>
      <c r="I832" s="83" t="s">
        <v>3229</v>
      </c>
      <c r="J832" s="83" t="s">
        <v>3289</v>
      </c>
      <c r="K832" s="83" t="s">
        <v>3215</v>
      </c>
    </row>
    <row r="833" spans="1:11" ht="26.25" x14ac:dyDescent="0.25">
      <c r="A833" s="83" t="s">
        <v>1061</v>
      </c>
      <c r="B833" s="83" t="s">
        <v>5376</v>
      </c>
      <c r="C833" s="83" t="s">
        <v>5377</v>
      </c>
      <c r="D833" s="83" t="s">
        <v>3209</v>
      </c>
      <c r="E833" s="83" t="s">
        <v>3246</v>
      </c>
      <c r="F833" s="83" t="s">
        <v>5378</v>
      </c>
      <c r="G833" s="83" t="s">
        <v>3221</v>
      </c>
      <c r="H833" s="83">
        <v>25</v>
      </c>
      <c r="I833" s="83" t="s">
        <v>3213</v>
      </c>
      <c r="J833" s="83" t="s">
        <v>3222</v>
      </c>
      <c r="K833" s="83" t="s">
        <v>3215</v>
      </c>
    </row>
    <row r="834" spans="1:11" ht="51.75" x14ac:dyDescent="0.25">
      <c r="A834" s="83" t="s">
        <v>1070</v>
      </c>
      <c r="B834" s="83" t="s">
        <v>5379</v>
      </c>
      <c r="C834" s="83" t="s">
        <v>5380</v>
      </c>
      <c r="D834" s="83" t="s">
        <v>3209</v>
      </c>
      <c r="E834" s="83" t="s">
        <v>3246</v>
      </c>
      <c r="F834" s="83" t="s">
        <v>4566</v>
      </c>
      <c r="G834" s="83" t="s">
        <v>3508</v>
      </c>
      <c r="H834" s="83">
        <v>4.5999999999999996</v>
      </c>
      <c r="I834" s="83" t="s">
        <v>3229</v>
      </c>
      <c r="J834" s="83" t="s">
        <v>3371</v>
      </c>
      <c r="K834" s="83" t="s">
        <v>3215</v>
      </c>
    </row>
    <row r="835" spans="1:11" ht="26.25" x14ac:dyDescent="0.25">
      <c r="A835" s="83" t="s">
        <v>1077</v>
      </c>
      <c r="B835" s="83" t="s">
        <v>5381</v>
      </c>
      <c r="C835" s="83" t="s">
        <v>5382</v>
      </c>
      <c r="D835" s="83" t="s">
        <v>3209</v>
      </c>
      <c r="E835" s="83" t="s">
        <v>3246</v>
      </c>
      <c r="F835" s="83" t="s">
        <v>5383</v>
      </c>
      <c r="G835" s="83" t="s">
        <v>5384</v>
      </c>
      <c r="H835" s="83">
        <v>4.2</v>
      </c>
      <c r="I835" s="83" t="s">
        <v>3213</v>
      </c>
      <c r="J835" s="83" t="s">
        <v>3467</v>
      </c>
      <c r="K835" s="83" t="s">
        <v>3215</v>
      </c>
    </row>
    <row r="836" spans="1:11" ht="39" x14ac:dyDescent="0.25">
      <c r="A836" s="83" t="s">
        <v>36</v>
      </c>
      <c r="B836" s="83" t="s">
        <v>5385</v>
      </c>
      <c r="C836" s="83" t="s">
        <v>5386</v>
      </c>
      <c r="D836" s="83" t="s">
        <v>3209</v>
      </c>
      <c r="E836" s="83" t="s">
        <v>3246</v>
      </c>
      <c r="F836" s="83" t="s">
        <v>5387</v>
      </c>
      <c r="G836" s="83" t="s">
        <v>3784</v>
      </c>
      <c r="H836" s="83">
        <v>17</v>
      </c>
      <c r="I836" s="83" t="s">
        <v>3229</v>
      </c>
      <c r="J836" s="83" t="s">
        <v>3241</v>
      </c>
      <c r="K836" s="83" t="s">
        <v>3215</v>
      </c>
    </row>
    <row r="837" spans="1:11" ht="51.75" x14ac:dyDescent="0.25">
      <c r="A837" s="83" t="s">
        <v>1014</v>
      </c>
      <c r="B837" s="83" t="s">
        <v>5388</v>
      </c>
      <c r="C837" s="83" t="s">
        <v>5389</v>
      </c>
      <c r="D837" s="83" t="s">
        <v>3209</v>
      </c>
      <c r="E837" s="83" t="s">
        <v>3246</v>
      </c>
      <c r="F837" s="83" t="s">
        <v>5390</v>
      </c>
      <c r="G837" s="83" t="s">
        <v>5391</v>
      </c>
      <c r="H837" s="83">
        <v>176</v>
      </c>
      <c r="I837" s="83" t="s">
        <v>3229</v>
      </c>
      <c r="J837" s="83" t="s">
        <v>3289</v>
      </c>
      <c r="K837" s="83" t="s">
        <v>3215</v>
      </c>
    </row>
    <row r="838" spans="1:11" ht="64.5" x14ac:dyDescent="0.25">
      <c r="A838" s="83" t="s">
        <v>1245</v>
      </c>
      <c r="B838" s="83" t="s">
        <v>5392</v>
      </c>
      <c r="C838" s="83" t="s">
        <v>5393</v>
      </c>
      <c r="D838" s="83" t="s">
        <v>3209</v>
      </c>
      <c r="E838" s="83" t="s">
        <v>3246</v>
      </c>
      <c r="F838" s="83" t="s">
        <v>5394</v>
      </c>
      <c r="G838" s="83" t="s">
        <v>5395</v>
      </c>
      <c r="H838" s="83">
        <v>4.8</v>
      </c>
      <c r="I838" s="83" t="s">
        <v>3229</v>
      </c>
      <c r="J838" s="83" t="s">
        <v>3380</v>
      </c>
      <c r="K838" s="83" t="s">
        <v>3215</v>
      </c>
    </row>
    <row r="839" spans="1:11" ht="51.75" x14ac:dyDescent="0.25">
      <c r="A839" s="83" t="s">
        <v>1228</v>
      </c>
      <c r="B839" s="83" t="s">
        <v>5396</v>
      </c>
      <c r="C839" s="83" t="s">
        <v>5397</v>
      </c>
      <c r="D839" s="83" t="s">
        <v>3209</v>
      </c>
      <c r="E839" s="83" t="s">
        <v>3246</v>
      </c>
      <c r="F839" s="83" t="s">
        <v>5398</v>
      </c>
      <c r="G839" s="83" t="s">
        <v>5399</v>
      </c>
      <c r="H839" s="83">
        <v>15</v>
      </c>
      <c r="I839" s="83" t="s">
        <v>3229</v>
      </c>
      <c r="J839" s="83" t="s">
        <v>3371</v>
      </c>
      <c r="K839" s="83" t="s">
        <v>3215</v>
      </c>
    </row>
    <row r="840" spans="1:11" ht="26.25" x14ac:dyDescent="0.25">
      <c r="A840" s="83" t="s">
        <v>1231</v>
      </c>
      <c r="B840" s="83" t="s">
        <v>5400</v>
      </c>
      <c r="C840" s="83" t="s">
        <v>5401</v>
      </c>
      <c r="D840" s="83" t="s">
        <v>3209</v>
      </c>
      <c r="E840" s="83" t="s">
        <v>3246</v>
      </c>
      <c r="F840" s="83" t="s">
        <v>5402</v>
      </c>
      <c r="G840" s="83" t="s">
        <v>3310</v>
      </c>
      <c r="H840" s="83">
        <v>156</v>
      </c>
      <c r="I840" s="83" t="s">
        <v>3229</v>
      </c>
      <c r="J840" s="83" t="s">
        <v>3311</v>
      </c>
      <c r="K840" s="83" t="s">
        <v>3215</v>
      </c>
    </row>
    <row r="841" spans="1:11" ht="51.75" x14ac:dyDescent="0.25">
      <c r="A841" s="83" t="s">
        <v>122</v>
      </c>
      <c r="B841" s="83" t="s">
        <v>5403</v>
      </c>
      <c r="C841" s="83" t="s">
        <v>5404</v>
      </c>
      <c r="D841" s="83" t="s">
        <v>3209</v>
      </c>
      <c r="E841" s="83" t="s">
        <v>3246</v>
      </c>
      <c r="F841" s="83" t="s">
        <v>5405</v>
      </c>
      <c r="G841" s="83" t="s">
        <v>4633</v>
      </c>
      <c r="H841" s="83">
        <v>75</v>
      </c>
      <c r="I841" s="83" t="s">
        <v>3229</v>
      </c>
      <c r="J841" s="83" t="s">
        <v>3371</v>
      </c>
      <c r="K841" s="83" t="s">
        <v>3215</v>
      </c>
    </row>
    <row r="842" spans="1:11" ht="51.75" x14ac:dyDescent="0.25">
      <c r="A842" s="83" t="s">
        <v>1217</v>
      </c>
      <c r="B842" s="83" t="s">
        <v>5406</v>
      </c>
      <c r="C842" s="83" t="s">
        <v>5407</v>
      </c>
      <c r="D842" s="83" t="s">
        <v>3209</v>
      </c>
      <c r="E842" s="83" t="s">
        <v>3246</v>
      </c>
      <c r="F842" s="83" t="s">
        <v>5408</v>
      </c>
      <c r="G842" s="83" t="s">
        <v>3475</v>
      </c>
      <c r="H842" s="83">
        <v>19</v>
      </c>
      <c r="I842" s="83" t="s">
        <v>3213</v>
      </c>
      <c r="J842" s="83" t="s">
        <v>3538</v>
      </c>
      <c r="K842" s="83" t="s">
        <v>3215</v>
      </c>
    </row>
    <row r="843" spans="1:11" ht="64.5" x14ac:dyDescent="0.25">
      <c r="A843" s="83" t="s">
        <v>1192</v>
      </c>
      <c r="B843" s="83" t="s">
        <v>5409</v>
      </c>
      <c r="C843" s="83" t="s">
        <v>5410</v>
      </c>
      <c r="D843" s="83" t="s">
        <v>3209</v>
      </c>
      <c r="E843" s="83" t="s">
        <v>3246</v>
      </c>
      <c r="F843" s="83" t="s">
        <v>5411</v>
      </c>
      <c r="G843" s="83" t="s">
        <v>3423</v>
      </c>
      <c r="H843" s="83">
        <v>10.4</v>
      </c>
      <c r="I843" s="83" t="s">
        <v>3213</v>
      </c>
      <c r="J843" s="83" t="s">
        <v>3219</v>
      </c>
      <c r="K843" s="83" t="s">
        <v>3215</v>
      </c>
    </row>
    <row r="844" spans="1:11" ht="64.5" x14ac:dyDescent="0.25">
      <c r="A844" s="83" t="s">
        <v>1187</v>
      </c>
      <c r="B844" s="83" t="s">
        <v>5412</v>
      </c>
      <c r="C844" s="83" t="s">
        <v>5413</v>
      </c>
      <c r="D844" s="83" t="s">
        <v>3209</v>
      </c>
      <c r="E844" s="83" t="s">
        <v>3246</v>
      </c>
      <c r="F844" s="83" t="s">
        <v>5414</v>
      </c>
      <c r="G844" s="83" t="s">
        <v>3803</v>
      </c>
      <c r="H844" s="83">
        <v>99.7</v>
      </c>
      <c r="I844" s="83" t="s">
        <v>3213</v>
      </c>
      <c r="J844" s="83" t="s">
        <v>3262</v>
      </c>
      <c r="K844" s="83" t="s">
        <v>3215</v>
      </c>
    </row>
    <row r="845" spans="1:11" ht="64.5" x14ac:dyDescent="0.25">
      <c r="A845" s="83" t="s">
        <v>1196</v>
      </c>
      <c r="B845" s="83" t="s">
        <v>5415</v>
      </c>
      <c r="C845" s="83" t="s">
        <v>5416</v>
      </c>
      <c r="D845" s="83" t="s">
        <v>3209</v>
      </c>
      <c r="E845" s="83" t="s">
        <v>3246</v>
      </c>
      <c r="F845" s="83" t="s">
        <v>5417</v>
      </c>
      <c r="G845" s="83" t="s">
        <v>5418</v>
      </c>
      <c r="H845" s="83">
        <v>11</v>
      </c>
      <c r="I845" s="83" t="s">
        <v>3213</v>
      </c>
      <c r="J845" s="83" t="s">
        <v>3413</v>
      </c>
      <c r="K845" s="83" t="s">
        <v>3215</v>
      </c>
    </row>
    <row r="846" spans="1:11" ht="51.75" x14ac:dyDescent="0.25">
      <c r="A846" s="83" t="s">
        <v>1183</v>
      </c>
      <c r="B846" s="83" t="s">
        <v>5419</v>
      </c>
      <c r="C846" s="83" t="s">
        <v>5420</v>
      </c>
      <c r="D846" s="83" t="s">
        <v>3209</v>
      </c>
      <c r="E846" s="83" t="s">
        <v>3246</v>
      </c>
      <c r="F846" s="83" t="s">
        <v>5421</v>
      </c>
      <c r="G846" s="83" t="s">
        <v>5422</v>
      </c>
      <c r="H846" s="83">
        <v>2.5</v>
      </c>
      <c r="I846" s="83" t="s">
        <v>3229</v>
      </c>
      <c r="J846" s="83" t="s">
        <v>3238</v>
      </c>
      <c r="K846" s="83" t="s">
        <v>3215</v>
      </c>
    </row>
    <row r="847" spans="1:11" ht="51.75" x14ac:dyDescent="0.25">
      <c r="A847" s="83" t="s">
        <v>835</v>
      </c>
      <c r="B847" s="83" t="s">
        <v>5423</v>
      </c>
      <c r="C847" s="83" t="s">
        <v>5424</v>
      </c>
      <c r="D847" s="83" t="s">
        <v>3209</v>
      </c>
      <c r="E847" s="83" t="s">
        <v>3246</v>
      </c>
      <c r="F847" s="83" t="s">
        <v>3683</v>
      </c>
      <c r="G847" s="83" t="s">
        <v>5425</v>
      </c>
      <c r="H847" s="83">
        <v>7</v>
      </c>
      <c r="I847" s="83" t="s">
        <v>3229</v>
      </c>
      <c r="J847" s="83" t="s">
        <v>3371</v>
      </c>
      <c r="K847" s="83" t="s">
        <v>3215</v>
      </c>
    </row>
    <row r="848" spans="1:11" ht="64.5" x14ac:dyDescent="0.25">
      <c r="A848" s="83" t="s">
        <v>843</v>
      </c>
      <c r="B848" s="83" t="s">
        <v>5426</v>
      </c>
      <c r="C848" s="83" t="s">
        <v>5427</v>
      </c>
      <c r="D848" s="83" t="s">
        <v>3209</v>
      </c>
      <c r="E848" s="83" t="s">
        <v>3246</v>
      </c>
      <c r="F848" s="83" t="s">
        <v>5428</v>
      </c>
      <c r="G848" s="83" t="s">
        <v>3743</v>
      </c>
      <c r="H848" s="83">
        <v>36</v>
      </c>
      <c r="I848" s="83" t="s">
        <v>3213</v>
      </c>
      <c r="J848" s="83" t="s">
        <v>3413</v>
      </c>
      <c r="K848" s="83" t="s">
        <v>3215</v>
      </c>
    </row>
    <row r="849" spans="1:11" x14ac:dyDescent="0.25">
      <c r="A849" s="83" t="s">
        <v>5429</v>
      </c>
      <c r="B849" s="83" t="s">
        <v>3208</v>
      </c>
      <c r="C849" s="83" t="s">
        <v>3208</v>
      </c>
      <c r="D849" s="83" t="s">
        <v>3209</v>
      </c>
      <c r="E849" s="83" t="s">
        <v>3663</v>
      </c>
      <c r="F849" s="83" t="s">
        <v>5430</v>
      </c>
      <c r="G849" s="83" t="s">
        <v>5431</v>
      </c>
      <c r="H849" s="83">
        <v>0</v>
      </c>
      <c r="I849" s="83" t="s">
        <v>3208</v>
      </c>
      <c r="J849" s="83" t="s">
        <v>3208</v>
      </c>
      <c r="K849" s="83" t="s">
        <v>3208</v>
      </c>
    </row>
    <row r="850" spans="1:11" x14ac:dyDescent="0.25">
      <c r="A850" s="83" t="s">
        <v>5432</v>
      </c>
      <c r="B850" s="83" t="s">
        <v>3208</v>
      </c>
      <c r="C850" s="83" t="s">
        <v>3208</v>
      </c>
      <c r="D850" s="83" t="s">
        <v>3209</v>
      </c>
      <c r="E850" s="83" t="s">
        <v>3663</v>
      </c>
      <c r="F850" s="83" t="s">
        <v>5433</v>
      </c>
      <c r="G850" s="83" t="s">
        <v>5434</v>
      </c>
      <c r="H850" s="83">
        <v>49</v>
      </c>
      <c r="I850" s="83" t="s">
        <v>3208</v>
      </c>
      <c r="J850" s="83" t="s">
        <v>3208</v>
      </c>
      <c r="K850" s="83" t="s">
        <v>3208</v>
      </c>
    </row>
    <row r="851" spans="1:11" ht="39" x14ac:dyDescent="0.25">
      <c r="A851" s="83" t="s">
        <v>979</v>
      </c>
      <c r="B851" s="83" t="s">
        <v>5435</v>
      </c>
      <c r="C851" s="83" t="s">
        <v>5436</v>
      </c>
      <c r="D851" s="83" t="s">
        <v>3209</v>
      </c>
      <c r="E851" s="83" t="s">
        <v>3246</v>
      </c>
      <c r="F851" s="83" t="s">
        <v>5437</v>
      </c>
      <c r="G851" s="83" t="s">
        <v>5438</v>
      </c>
      <c r="H851" s="83">
        <v>2</v>
      </c>
      <c r="I851" s="83" t="s">
        <v>3229</v>
      </c>
      <c r="J851" s="83" t="s">
        <v>356</v>
      </c>
      <c r="K851" s="83" t="s">
        <v>3215</v>
      </c>
    </row>
    <row r="852" spans="1:11" ht="51.75" x14ac:dyDescent="0.25">
      <c r="A852" s="83" t="s">
        <v>827</v>
      </c>
      <c r="B852" s="83" t="s">
        <v>5439</v>
      </c>
      <c r="C852" s="83" t="s">
        <v>3915</v>
      </c>
      <c r="D852" s="83" t="s">
        <v>3209</v>
      </c>
      <c r="E852" s="83" t="s">
        <v>3246</v>
      </c>
      <c r="F852" s="83" t="s">
        <v>5440</v>
      </c>
      <c r="G852" s="83" t="s">
        <v>4365</v>
      </c>
      <c r="H852" s="83">
        <v>15</v>
      </c>
      <c r="I852" s="83" t="s">
        <v>3229</v>
      </c>
      <c r="J852" s="83" t="s">
        <v>3289</v>
      </c>
      <c r="K852" s="83" t="s">
        <v>3215</v>
      </c>
    </row>
    <row r="853" spans="1:11" ht="51.75" x14ac:dyDescent="0.25">
      <c r="A853" s="83" t="s">
        <v>815</v>
      </c>
      <c r="B853" s="83" t="s">
        <v>5441</v>
      </c>
      <c r="C853" s="83" t="s">
        <v>5442</v>
      </c>
      <c r="D853" s="83" t="s">
        <v>3209</v>
      </c>
      <c r="E853" s="83" t="s">
        <v>3246</v>
      </c>
      <c r="F853" s="83" t="s">
        <v>5443</v>
      </c>
      <c r="G853" s="83" t="s">
        <v>5444</v>
      </c>
      <c r="H853" s="83">
        <v>13.4</v>
      </c>
      <c r="I853" s="83" t="s">
        <v>3213</v>
      </c>
      <c r="J853" s="83" t="s">
        <v>3271</v>
      </c>
      <c r="K853" s="83" t="s">
        <v>3215</v>
      </c>
    </row>
    <row r="854" spans="1:11" ht="51.75" x14ac:dyDescent="0.25">
      <c r="A854" s="83" t="s">
        <v>880</v>
      </c>
      <c r="B854" s="83" t="s">
        <v>5445</v>
      </c>
      <c r="C854" s="83" t="s">
        <v>5446</v>
      </c>
      <c r="D854" s="83" t="s">
        <v>3209</v>
      </c>
      <c r="E854" s="83" t="s">
        <v>3246</v>
      </c>
      <c r="F854" s="83" t="s">
        <v>5447</v>
      </c>
      <c r="G854" s="83" t="s">
        <v>5448</v>
      </c>
      <c r="H854" s="83">
        <v>9</v>
      </c>
      <c r="I854" s="83" t="s">
        <v>3229</v>
      </c>
      <c r="J854" s="83" t="s">
        <v>4430</v>
      </c>
      <c r="K854" s="83" t="s">
        <v>3215</v>
      </c>
    </row>
    <row r="855" spans="1:11" ht="51.75" x14ac:dyDescent="0.25">
      <c r="A855" s="83" t="s">
        <v>891</v>
      </c>
      <c r="B855" s="83" t="s">
        <v>5449</v>
      </c>
      <c r="C855" s="83" t="s">
        <v>5450</v>
      </c>
      <c r="D855" s="83" t="s">
        <v>3209</v>
      </c>
      <c r="E855" s="83" t="s">
        <v>3246</v>
      </c>
      <c r="F855" s="83" t="s">
        <v>5451</v>
      </c>
      <c r="G855" s="83" t="s">
        <v>4266</v>
      </c>
      <c r="H855" s="83">
        <v>14</v>
      </c>
      <c r="I855" s="83" t="s">
        <v>3229</v>
      </c>
      <c r="J855" s="83" t="s">
        <v>3289</v>
      </c>
      <c r="K855" s="83" t="s">
        <v>3215</v>
      </c>
    </row>
    <row r="856" spans="1:11" x14ac:dyDescent="0.25">
      <c r="A856" s="83" t="s">
        <v>5452</v>
      </c>
      <c r="B856" s="83" t="s">
        <v>3208</v>
      </c>
      <c r="C856" s="83" t="s">
        <v>3208</v>
      </c>
      <c r="D856" s="83" t="s">
        <v>3209</v>
      </c>
      <c r="E856" s="83" t="s">
        <v>3663</v>
      </c>
      <c r="F856" s="83" t="s">
        <v>5453</v>
      </c>
      <c r="G856" s="83" t="s">
        <v>3208</v>
      </c>
      <c r="H856" s="83">
        <v>10</v>
      </c>
      <c r="I856" s="83" t="s">
        <v>3208</v>
      </c>
      <c r="J856" s="83" t="s">
        <v>3208</v>
      </c>
      <c r="K856" s="83" t="s">
        <v>3208</v>
      </c>
    </row>
    <row r="857" spans="1:11" x14ac:dyDescent="0.25">
      <c r="A857" s="83" t="s">
        <v>5454</v>
      </c>
      <c r="B857" s="83" t="s">
        <v>3208</v>
      </c>
      <c r="C857" s="83" t="s">
        <v>3208</v>
      </c>
      <c r="D857" s="83" t="s">
        <v>3209</v>
      </c>
      <c r="E857" s="83" t="s">
        <v>3663</v>
      </c>
      <c r="F857" s="83" t="s">
        <v>4641</v>
      </c>
      <c r="G857" s="83" t="s">
        <v>4642</v>
      </c>
      <c r="H857" s="83">
        <v>12</v>
      </c>
      <c r="I857" s="83" t="s">
        <v>3208</v>
      </c>
      <c r="J857" s="83" t="s">
        <v>3208</v>
      </c>
      <c r="K857" s="83" t="s">
        <v>3208</v>
      </c>
    </row>
    <row r="858" spans="1:11" x14ac:dyDescent="0.25">
      <c r="A858" s="83" t="s">
        <v>5455</v>
      </c>
      <c r="B858" s="83" t="s">
        <v>5456</v>
      </c>
      <c r="C858" s="83" t="s">
        <v>5457</v>
      </c>
      <c r="D858" s="83" t="s">
        <v>3209</v>
      </c>
      <c r="E858" s="83" t="s">
        <v>3702</v>
      </c>
      <c r="F858" s="83" t="s">
        <v>5458</v>
      </c>
      <c r="G858" s="83" t="s">
        <v>3208</v>
      </c>
      <c r="H858" s="83">
        <v>0</v>
      </c>
      <c r="I858" s="83" t="s">
        <v>3208</v>
      </c>
      <c r="J858" s="83" t="s">
        <v>3208</v>
      </c>
      <c r="K858" s="83" t="s">
        <v>3208</v>
      </c>
    </row>
    <row r="859" spans="1:11" ht="26.25" x14ac:dyDescent="0.25">
      <c r="A859" s="83" t="s">
        <v>5459</v>
      </c>
      <c r="B859" s="83" t="s">
        <v>3208</v>
      </c>
      <c r="C859" s="83" t="s">
        <v>3208</v>
      </c>
      <c r="D859" s="83" t="s">
        <v>3713</v>
      </c>
      <c r="E859" s="83" t="s">
        <v>3714</v>
      </c>
      <c r="F859" s="83" t="s">
        <v>5460</v>
      </c>
      <c r="G859" s="83" t="s">
        <v>3208</v>
      </c>
      <c r="H859" s="83">
        <v>0</v>
      </c>
      <c r="I859" s="83" t="s">
        <v>3208</v>
      </c>
      <c r="J859" s="83" t="s">
        <v>3208</v>
      </c>
      <c r="K859" s="83" t="s">
        <v>3208</v>
      </c>
    </row>
    <row r="860" spans="1:11" ht="26.25" x14ac:dyDescent="0.25">
      <c r="A860" s="83" t="s">
        <v>5461</v>
      </c>
      <c r="B860" s="83" t="s">
        <v>3208</v>
      </c>
      <c r="C860" s="83" t="s">
        <v>3208</v>
      </c>
      <c r="D860" s="83" t="s">
        <v>3713</v>
      </c>
      <c r="E860" s="83" t="s">
        <v>3714</v>
      </c>
      <c r="F860" s="83" t="s">
        <v>5462</v>
      </c>
      <c r="G860" s="83" t="s">
        <v>5463</v>
      </c>
      <c r="H860" s="83">
        <v>0</v>
      </c>
      <c r="I860" s="83" t="s">
        <v>3208</v>
      </c>
      <c r="J860" s="83" t="s">
        <v>3208</v>
      </c>
      <c r="K860" s="83" t="s">
        <v>3208</v>
      </c>
    </row>
    <row r="861" spans="1:11" ht="26.25" x14ac:dyDescent="0.25">
      <c r="A861" s="83" t="s">
        <v>5464</v>
      </c>
      <c r="B861" s="83" t="s">
        <v>3208</v>
      </c>
      <c r="C861" s="83" t="s">
        <v>3208</v>
      </c>
      <c r="D861" s="83" t="s">
        <v>3713</v>
      </c>
      <c r="E861" s="83" t="s">
        <v>3714</v>
      </c>
      <c r="F861" s="83" t="s">
        <v>5465</v>
      </c>
      <c r="G861" s="83" t="s">
        <v>3208</v>
      </c>
      <c r="H861" s="83">
        <v>0</v>
      </c>
      <c r="I861" s="83" t="s">
        <v>3208</v>
      </c>
      <c r="J861" s="83" t="s">
        <v>3208</v>
      </c>
      <c r="K861" s="83" t="s">
        <v>3208</v>
      </c>
    </row>
    <row r="862" spans="1:11" x14ac:dyDescent="0.25">
      <c r="A862" s="83" t="s">
        <v>5466</v>
      </c>
      <c r="B862" s="83" t="s">
        <v>5467</v>
      </c>
      <c r="C862" s="83" t="s">
        <v>3208</v>
      </c>
      <c r="D862" s="83" t="s">
        <v>3209</v>
      </c>
      <c r="E862" s="83" t="s">
        <v>3702</v>
      </c>
      <c r="F862" s="83" t="s">
        <v>5468</v>
      </c>
      <c r="G862" s="83" t="s">
        <v>5469</v>
      </c>
      <c r="H862" s="83">
        <v>10</v>
      </c>
      <c r="I862" s="83" t="s">
        <v>3208</v>
      </c>
      <c r="J862" s="83" t="s">
        <v>3208</v>
      </c>
      <c r="K862" s="83" t="s">
        <v>3208</v>
      </c>
    </row>
    <row r="863" spans="1:11" x14ac:dyDescent="0.25">
      <c r="A863" s="83" t="s">
        <v>5470</v>
      </c>
      <c r="B863" s="83" t="s">
        <v>5471</v>
      </c>
      <c r="C863" s="83" t="s">
        <v>3208</v>
      </c>
      <c r="D863" s="83" t="s">
        <v>3209</v>
      </c>
      <c r="E863" s="83" t="s">
        <v>3702</v>
      </c>
      <c r="F863" s="83" t="s">
        <v>5472</v>
      </c>
      <c r="G863" s="83" t="s">
        <v>3208</v>
      </c>
      <c r="H863" s="83">
        <v>30</v>
      </c>
      <c r="I863" s="83" t="s">
        <v>3208</v>
      </c>
      <c r="J863" s="83" t="s">
        <v>3208</v>
      </c>
      <c r="K863" s="83" t="s">
        <v>3208</v>
      </c>
    </row>
    <row r="864" spans="1:11" ht="26.25" x14ac:dyDescent="0.25">
      <c r="A864" s="83" t="s">
        <v>5473</v>
      </c>
      <c r="B864" s="83" t="s">
        <v>3208</v>
      </c>
      <c r="C864" s="83" t="s">
        <v>5474</v>
      </c>
      <c r="D864" s="83" t="s">
        <v>3718</v>
      </c>
      <c r="E864" s="83" t="s">
        <v>3702</v>
      </c>
      <c r="F864" s="83" t="s">
        <v>5475</v>
      </c>
      <c r="G864" s="83" t="s">
        <v>5476</v>
      </c>
      <c r="H864" s="83">
        <v>3</v>
      </c>
      <c r="I864" s="83" t="s">
        <v>3208</v>
      </c>
      <c r="J864" s="83" t="s">
        <v>3208</v>
      </c>
      <c r="K864" s="83" t="s">
        <v>3208</v>
      </c>
    </row>
    <row r="865" spans="1:11" ht="39" x14ac:dyDescent="0.25">
      <c r="A865" s="83" t="s">
        <v>1759</v>
      </c>
      <c r="B865" s="83" t="s">
        <v>3208</v>
      </c>
      <c r="C865" s="83" t="s">
        <v>3208</v>
      </c>
      <c r="D865" s="83" t="s">
        <v>3713</v>
      </c>
      <c r="E865" s="83" t="s">
        <v>3761</v>
      </c>
      <c r="F865" s="83" t="s">
        <v>5477</v>
      </c>
      <c r="G865" s="83" t="s">
        <v>5478</v>
      </c>
      <c r="H865" s="83">
        <v>0</v>
      </c>
      <c r="I865" s="83" t="s">
        <v>3229</v>
      </c>
      <c r="J865" s="83" t="s">
        <v>3241</v>
      </c>
      <c r="K865" s="83" t="s">
        <v>3215</v>
      </c>
    </row>
    <row r="866" spans="1:11" ht="64.5" x14ac:dyDescent="0.25">
      <c r="A866" s="83" t="s">
        <v>574</v>
      </c>
      <c r="B866" s="83" t="s">
        <v>3208</v>
      </c>
      <c r="C866" s="83" t="s">
        <v>5479</v>
      </c>
      <c r="D866" s="83" t="s">
        <v>3718</v>
      </c>
      <c r="E866" s="83" t="s">
        <v>3727</v>
      </c>
      <c r="F866" s="83" t="s">
        <v>5480</v>
      </c>
      <c r="G866" s="83" t="s">
        <v>5481</v>
      </c>
      <c r="H866" s="83">
        <v>8</v>
      </c>
      <c r="I866" s="83" t="s">
        <v>3213</v>
      </c>
      <c r="J866" s="83" t="s">
        <v>3262</v>
      </c>
      <c r="K866" s="83" t="s">
        <v>3215</v>
      </c>
    </row>
    <row r="867" spans="1:11" ht="51.75" x14ac:dyDescent="0.25">
      <c r="A867" s="83" t="s">
        <v>5482</v>
      </c>
      <c r="B867" s="83" t="s">
        <v>3208</v>
      </c>
      <c r="C867" s="83" t="s">
        <v>3208</v>
      </c>
      <c r="D867" s="83" t="s">
        <v>5483</v>
      </c>
      <c r="E867" s="83" t="s">
        <v>3210</v>
      </c>
      <c r="F867" s="83" t="s">
        <v>5484</v>
      </c>
      <c r="G867" s="83" t="s">
        <v>5485</v>
      </c>
      <c r="H867" s="83">
        <v>300000</v>
      </c>
      <c r="I867" s="83" t="s">
        <v>3229</v>
      </c>
      <c r="J867" s="83" t="s">
        <v>4192</v>
      </c>
      <c r="K867" s="83" t="s">
        <v>3215</v>
      </c>
    </row>
    <row r="868" spans="1:11" ht="39" x14ac:dyDescent="0.25">
      <c r="A868" s="83" t="s">
        <v>504</v>
      </c>
      <c r="B868" s="83" t="s">
        <v>3208</v>
      </c>
      <c r="C868" s="83" t="s">
        <v>5486</v>
      </c>
      <c r="D868" s="83" t="s">
        <v>3718</v>
      </c>
      <c r="E868" s="83" t="s">
        <v>3727</v>
      </c>
      <c r="F868" s="83" t="s">
        <v>5487</v>
      </c>
      <c r="G868" s="83" t="s">
        <v>5488</v>
      </c>
      <c r="H868" s="83">
        <v>1.3</v>
      </c>
      <c r="I868" s="83" t="s">
        <v>3229</v>
      </c>
      <c r="J868" s="83" t="s">
        <v>356</v>
      </c>
      <c r="K868" s="83" t="s">
        <v>3215</v>
      </c>
    </row>
    <row r="869" spans="1:11" ht="26.25" x14ac:dyDescent="0.25">
      <c r="A869" s="83" t="s">
        <v>429</v>
      </c>
      <c r="B869" s="83" t="s">
        <v>3208</v>
      </c>
      <c r="C869" s="83" t="s">
        <v>5489</v>
      </c>
      <c r="D869" s="83" t="s">
        <v>3741</v>
      </c>
      <c r="E869" s="83" t="s">
        <v>3727</v>
      </c>
      <c r="F869" s="83" t="s">
        <v>3745</v>
      </c>
      <c r="G869" s="83" t="s">
        <v>3746</v>
      </c>
      <c r="H869" s="83">
        <v>2.1</v>
      </c>
      <c r="I869" s="83" t="s">
        <v>3213</v>
      </c>
      <c r="J869" s="83" t="s">
        <v>3747</v>
      </c>
      <c r="K869" s="83" t="s">
        <v>3215</v>
      </c>
    </row>
    <row r="870" spans="1:11" ht="51.75" x14ac:dyDescent="0.25">
      <c r="A870" s="83" t="s">
        <v>691</v>
      </c>
      <c r="B870" s="83" t="s">
        <v>3208</v>
      </c>
      <c r="C870" s="83" t="s">
        <v>5490</v>
      </c>
      <c r="D870" s="83" t="s">
        <v>3752</v>
      </c>
      <c r="E870" s="83" t="s">
        <v>3723</v>
      </c>
      <c r="F870" s="83" t="s">
        <v>3756</v>
      </c>
      <c r="G870" s="83" t="s">
        <v>3757</v>
      </c>
      <c r="H870" s="83">
        <v>4.5</v>
      </c>
      <c r="I870" s="83" t="s">
        <v>3213</v>
      </c>
      <c r="J870" s="83" t="s">
        <v>3538</v>
      </c>
      <c r="K870" s="83" t="s">
        <v>3215</v>
      </c>
    </row>
    <row r="871" spans="1:11" ht="26.25" x14ac:dyDescent="0.25">
      <c r="A871" s="83" t="s">
        <v>692</v>
      </c>
      <c r="B871" s="83" t="s">
        <v>3208</v>
      </c>
      <c r="C871" s="83" t="s">
        <v>5491</v>
      </c>
      <c r="D871" s="83" t="s">
        <v>3752</v>
      </c>
      <c r="E871" s="83" t="s">
        <v>3723</v>
      </c>
      <c r="F871" s="83" t="s">
        <v>3756</v>
      </c>
      <c r="G871" s="83" t="s">
        <v>3757</v>
      </c>
      <c r="H871" s="83">
        <v>4</v>
      </c>
      <c r="I871" s="83" t="s">
        <v>3213</v>
      </c>
      <c r="J871" s="83" t="s">
        <v>4000</v>
      </c>
      <c r="K871" s="83" t="s">
        <v>3215</v>
      </c>
    </row>
    <row r="872" spans="1:11" ht="64.5" x14ac:dyDescent="0.25">
      <c r="A872" s="83" t="s">
        <v>702</v>
      </c>
      <c r="B872" s="83" t="s">
        <v>3208</v>
      </c>
      <c r="C872" s="83" t="s">
        <v>5492</v>
      </c>
      <c r="D872" s="83" t="s">
        <v>3752</v>
      </c>
      <c r="E872" s="83" t="s">
        <v>3723</v>
      </c>
      <c r="F872" s="83" t="s">
        <v>5493</v>
      </c>
      <c r="G872" s="83" t="s">
        <v>5494</v>
      </c>
      <c r="H872" s="83">
        <v>5</v>
      </c>
      <c r="I872" s="83" t="s">
        <v>3213</v>
      </c>
      <c r="J872" s="83" t="s">
        <v>3262</v>
      </c>
      <c r="K872" s="83" t="s">
        <v>3215</v>
      </c>
    </row>
    <row r="873" spans="1:11" ht="26.25" x14ac:dyDescent="0.25">
      <c r="A873" s="83" t="s">
        <v>754</v>
      </c>
      <c r="B873" s="83" t="s">
        <v>3208</v>
      </c>
      <c r="C873" s="83" t="s">
        <v>5495</v>
      </c>
      <c r="D873" s="83" t="s">
        <v>3752</v>
      </c>
      <c r="E873" s="83" t="s">
        <v>3723</v>
      </c>
      <c r="F873" s="83" t="s">
        <v>5496</v>
      </c>
      <c r="G873" s="83" t="s">
        <v>3842</v>
      </c>
      <c r="H873" s="83">
        <v>0</v>
      </c>
      <c r="I873" s="83" t="s">
        <v>3229</v>
      </c>
      <c r="J873" s="83" t="s">
        <v>3222</v>
      </c>
      <c r="K873" s="83" t="s">
        <v>3215</v>
      </c>
    </row>
    <row r="874" spans="1:11" ht="64.5" x14ac:dyDescent="0.25">
      <c r="A874" s="83" t="s">
        <v>1960</v>
      </c>
      <c r="B874" s="83" t="s">
        <v>3208</v>
      </c>
      <c r="C874" s="83" t="s">
        <v>3208</v>
      </c>
      <c r="D874" s="83" t="s">
        <v>3713</v>
      </c>
      <c r="E874" s="83" t="s">
        <v>3761</v>
      </c>
      <c r="F874" s="83" t="s">
        <v>5497</v>
      </c>
      <c r="G874" s="83" t="s">
        <v>3529</v>
      </c>
      <c r="H874" s="83">
        <v>0</v>
      </c>
      <c r="I874" s="83" t="s">
        <v>3213</v>
      </c>
      <c r="J874" s="83" t="s">
        <v>3219</v>
      </c>
      <c r="K874" s="83" t="s">
        <v>3215</v>
      </c>
    </row>
    <row r="875" spans="1:11" ht="51.75" x14ac:dyDescent="0.25">
      <c r="A875" s="83" t="s">
        <v>1894</v>
      </c>
      <c r="B875" s="83" t="s">
        <v>3208</v>
      </c>
      <c r="C875" s="83" t="s">
        <v>3208</v>
      </c>
      <c r="D875" s="83" t="s">
        <v>3713</v>
      </c>
      <c r="E875" s="83" t="s">
        <v>3761</v>
      </c>
      <c r="F875" s="83" t="s">
        <v>5498</v>
      </c>
      <c r="G875" s="83" t="s">
        <v>5499</v>
      </c>
      <c r="H875" s="83">
        <v>0</v>
      </c>
      <c r="I875" s="83" t="s">
        <v>3229</v>
      </c>
      <c r="J875" s="83" t="s">
        <v>3302</v>
      </c>
      <c r="K875" s="83" t="s">
        <v>3215</v>
      </c>
    </row>
    <row r="876" spans="1:11" ht="64.5" x14ac:dyDescent="0.25">
      <c r="A876" s="83" t="s">
        <v>2132</v>
      </c>
      <c r="B876" s="83" t="s">
        <v>3208</v>
      </c>
      <c r="C876" s="83" t="s">
        <v>3208</v>
      </c>
      <c r="D876" s="83" t="s">
        <v>3713</v>
      </c>
      <c r="E876" s="83" t="s">
        <v>3761</v>
      </c>
      <c r="F876" s="83" t="s">
        <v>3764</v>
      </c>
      <c r="G876" s="83" t="s">
        <v>3990</v>
      </c>
      <c r="H876" s="83">
        <v>0</v>
      </c>
      <c r="I876" s="83" t="s">
        <v>3229</v>
      </c>
      <c r="J876" s="83" t="s">
        <v>3380</v>
      </c>
      <c r="K876" s="83" t="s">
        <v>3215</v>
      </c>
    </row>
    <row r="877" spans="1:11" ht="51.75" x14ac:dyDescent="0.25">
      <c r="A877" s="83" t="s">
        <v>1948</v>
      </c>
      <c r="B877" s="83" t="s">
        <v>3208</v>
      </c>
      <c r="C877" s="83" t="s">
        <v>3208</v>
      </c>
      <c r="D877" s="83" t="s">
        <v>3713</v>
      </c>
      <c r="E877" s="83" t="s">
        <v>3761</v>
      </c>
      <c r="F877" s="83" t="s">
        <v>5500</v>
      </c>
      <c r="G877" s="83" t="s">
        <v>4891</v>
      </c>
      <c r="H877" s="83">
        <v>0</v>
      </c>
      <c r="I877" s="83" t="s">
        <v>3229</v>
      </c>
      <c r="J877" s="83" t="s">
        <v>3238</v>
      </c>
      <c r="K877" s="83" t="s">
        <v>3215</v>
      </c>
    </row>
    <row r="878" spans="1:11" ht="51.75" x14ac:dyDescent="0.25">
      <c r="A878" s="83" t="s">
        <v>2147</v>
      </c>
      <c r="B878" s="83" t="s">
        <v>3208</v>
      </c>
      <c r="C878" s="83" t="s">
        <v>3208</v>
      </c>
      <c r="D878" s="83" t="s">
        <v>3713</v>
      </c>
      <c r="E878" s="83" t="s">
        <v>3761</v>
      </c>
      <c r="F878" s="83" t="s">
        <v>5501</v>
      </c>
      <c r="G878" s="83" t="s">
        <v>5502</v>
      </c>
      <c r="H878" s="83">
        <v>0</v>
      </c>
      <c r="I878" s="83" t="s">
        <v>3229</v>
      </c>
      <c r="J878" s="83" t="s">
        <v>3521</v>
      </c>
      <c r="K878" s="83" t="s">
        <v>3215</v>
      </c>
    </row>
    <row r="879" spans="1:11" ht="26.25" x14ac:dyDescent="0.25">
      <c r="A879" s="83" t="s">
        <v>2148</v>
      </c>
      <c r="B879" s="83" t="s">
        <v>3208</v>
      </c>
      <c r="C879" s="83" t="s">
        <v>3208</v>
      </c>
      <c r="D879" s="83" t="s">
        <v>3713</v>
      </c>
      <c r="E879" s="83" t="s">
        <v>3761</v>
      </c>
      <c r="F879" s="83" t="s">
        <v>5503</v>
      </c>
      <c r="G879" s="83" t="s">
        <v>5504</v>
      </c>
      <c r="H879" s="83">
        <v>0</v>
      </c>
      <c r="I879" s="83" t="s">
        <v>3213</v>
      </c>
      <c r="J879" s="83" t="s">
        <v>3222</v>
      </c>
      <c r="K879" s="83" t="s">
        <v>3215</v>
      </c>
    </row>
    <row r="880" spans="1:11" ht="26.25" x14ac:dyDescent="0.25">
      <c r="A880" s="83" t="s">
        <v>2161</v>
      </c>
      <c r="B880" s="83" t="s">
        <v>3208</v>
      </c>
      <c r="C880" s="83" t="s">
        <v>3208</v>
      </c>
      <c r="D880" s="83" t="s">
        <v>3713</v>
      </c>
      <c r="E880" s="83" t="s">
        <v>3761</v>
      </c>
      <c r="F880" s="83" t="s">
        <v>5505</v>
      </c>
      <c r="G880" s="83" t="s">
        <v>5506</v>
      </c>
      <c r="H880" s="83">
        <v>0</v>
      </c>
      <c r="I880" s="83" t="s">
        <v>3229</v>
      </c>
      <c r="J880" s="83" t="s">
        <v>3311</v>
      </c>
      <c r="K880" s="83" t="s">
        <v>3215</v>
      </c>
    </row>
    <row r="881" spans="1:11" ht="51.75" x14ac:dyDescent="0.25">
      <c r="A881" s="83" t="s">
        <v>1898</v>
      </c>
      <c r="B881" s="83" t="s">
        <v>3208</v>
      </c>
      <c r="C881" s="83" t="s">
        <v>3208</v>
      </c>
      <c r="D881" s="83" t="s">
        <v>3713</v>
      </c>
      <c r="E881" s="83" t="s">
        <v>3761</v>
      </c>
      <c r="F881" s="83" t="s">
        <v>3798</v>
      </c>
      <c r="G881" s="83" t="s">
        <v>5507</v>
      </c>
      <c r="H881" s="83">
        <v>0</v>
      </c>
      <c r="I881" s="83" t="s">
        <v>3229</v>
      </c>
      <c r="J881" s="83" t="s">
        <v>3332</v>
      </c>
      <c r="K881" s="83" t="s">
        <v>3215</v>
      </c>
    </row>
    <row r="882" spans="1:11" ht="39" x14ac:dyDescent="0.25">
      <c r="A882" s="83" t="s">
        <v>1995</v>
      </c>
      <c r="B882" s="83" t="s">
        <v>3208</v>
      </c>
      <c r="C882" s="83" t="s">
        <v>3208</v>
      </c>
      <c r="D882" s="83" t="s">
        <v>3713</v>
      </c>
      <c r="E882" s="83" t="s">
        <v>3761</v>
      </c>
      <c r="F882" s="83" t="s">
        <v>5508</v>
      </c>
      <c r="G882" s="83" t="s">
        <v>4916</v>
      </c>
      <c r="H882" s="83">
        <v>0</v>
      </c>
      <c r="I882" s="83" t="s">
        <v>3229</v>
      </c>
      <c r="J882" s="83" t="s">
        <v>2706</v>
      </c>
      <c r="K882" s="83" t="s">
        <v>3215</v>
      </c>
    </row>
    <row r="883" spans="1:11" ht="39" x14ac:dyDescent="0.25">
      <c r="A883" s="83" t="s">
        <v>1996</v>
      </c>
      <c r="B883" s="83" t="s">
        <v>3208</v>
      </c>
      <c r="C883" s="83" t="s">
        <v>3208</v>
      </c>
      <c r="D883" s="83" t="s">
        <v>3713</v>
      </c>
      <c r="E883" s="83" t="s">
        <v>3761</v>
      </c>
      <c r="F883" s="83" t="s">
        <v>5508</v>
      </c>
      <c r="G883" s="83" t="s">
        <v>4916</v>
      </c>
      <c r="H883" s="83">
        <v>0</v>
      </c>
      <c r="I883" s="83" t="s">
        <v>3229</v>
      </c>
      <c r="J883" s="83" t="s">
        <v>2706</v>
      </c>
      <c r="K883" s="83" t="s">
        <v>3215</v>
      </c>
    </row>
    <row r="884" spans="1:11" ht="51.75" x14ac:dyDescent="0.25">
      <c r="A884" s="83" t="s">
        <v>1852</v>
      </c>
      <c r="B884" s="83" t="s">
        <v>3208</v>
      </c>
      <c r="C884" s="83" t="s">
        <v>3208</v>
      </c>
      <c r="D884" s="83" t="s">
        <v>3713</v>
      </c>
      <c r="E884" s="83" t="s">
        <v>3761</v>
      </c>
      <c r="F884" s="83" t="s">
        <v>5509</v>
      </c>
      <c r="G884" s="83" t="s">
        <v>3693</v>
      </c>
      <c r="H884" s="83">
        <v>0</v>
      </c>
      <c r="I884" s="83" t="s">
        <v>3229</v>
      </c>
      <c r="J884" s="83" t="s">
        <v>3337</v>
      </c>
      <c r="K884" s="83" t="s">
        <v>3215</v>
      </c>
    </row>
    <row r="885" spans="1:11" ht="64.5" x14ac:dyDescent="0.25">
      <c r="A885" s="83" t="s">
        <v>3180</v>
      </c>
      <c r="B885" s="83" t="s">
        <v>3208</v>
      </c>
      <c r="C885" s="83" t="s">
        <v>3208</v>
      </c>
      <c r="D885" s="83" t="s">
        <v>3713</v>
      </c>
      <c r="E885" s="83" t="s">
        <v>3761</v>
      </c>
      <c r="F885" s="83" t="s">
        <v>5510</v>
      </c>
      <c r="G885" s="83" t="s">
        <v>5511</v>
      </c>
      <c r="H885" s="83">
        <v>0</v>
      </c>
      <c r="I885" s="83" t="s">
        <v>3229</v>
      </c>
      <c r="J885" s="83" t="s">
        <v>3601</v>
      </c>
      <c r="K885" s="83" t="s">
        <v>3215</v>
      </c>
    </row>
    <row r="886" spans="1:11" ht="26.25" x14ac:dyDescent="0.25">
      <c r="A886" s="83" t="s">
        <v>2190</v>
      </c>
      <c r="B886" s="83" t="s">
        <v>3208</v>
      </c>
      <c r="C886" s="83" t="s">
        <v>3208</v>
      </c>
      <c r="D886" s="83" t="s">
        <v>3713</v>
      </c>
      <c r="E886" s="83" t="s">
        <v>3761</v>
      </c>
      <c r="F886" s="83" t="s">
        <v>5512</v>
      </c>
      <c r="G886" s="83" t="s">
        <v>5513</v>
      </c>
      <c r="H886" s="83">
        <v>0</v>
      </c>
      <c r="I886" s="83" t="s">
        <v>3229</v>
      </c>
      <c r="J886" s="83" t="s">
        <v>3397</v>
      </c>
      <c r="K886" s="83" t="s">
        <v>3215</v>
      </c>
    </row>
    <row r="887" spans="1:11" ht="26.25" x14ac:dyDescent="0.25">
      <c r="A887" s="83" t="s">
        <v>2264</v>
      </c>
      <c r="B887" s="83" t="s">
        <v>3208</v>
      </c>
      <c r="C887" s="83" t="s">
        <v>3208</v>
      </c>
      <c r="D887" s="83" t="s">
        <v>3713</v>
      </c>
      <c r="E887" s="83" t="s">
        <v>3761</v>
      </c>
      <c r="F887" s="83" t="s">
        <v>5514</v>
      </c>
      <c r="G887" s="83" t="s">
        <v>5515</v>
      </c>
      <c r="H887" s="83">
        <v>0</v>
      </c>
      <c r="I887" s="83" t="s">
        <v>3229</v>
      </c>
      <c r="J887" s="83" t="s">
        <v>3222</v>
      </c>
      <c r="K887" s="83" t="s">
        <v>3215</v>
      </c>
    </row>
    <row r="888" spans="1:11" ht="64.5" x14ac:dyDescent="0.25">
      <c r="A888" s="83" t="s">
        <v>2212</v>
      </c>
      <c r="B888" s="83" t="s">
        <v>3208</v>
      </c>
      <c r="C888" s="83" t="s">
        <v>3208</v>
      </c>
      <c r="D888" s="83" t="s">
        <v>3713</v>
      </c>
      <c r="E888" s="83" t="s">
        <v>3761</v>
      </c>
      <c r="F888" s="83" t="s">
        <v>5516</v>
      </c>
      <c r="G888" s="83" t="s">
        <v>4243</v>
      </c>
      <c r="H888" s="83">
        <v>0</v>
      </c>
      <c r="I888" s="83" t="s">
        <v>3229</v>
      </c>
      <c r="J888" s="83" t="s">
        <v>3380</v>
      </c>
      <c r="K888" s="83" t="s">
        <v>3215</v>
      </c>
    </row>
    <row r="889" spans="1:11" ht="51.75" x14ac:dyDescent="0.25">
      <c r="A889" s="83" t="s">
        <v>2011</v>
      </c>
      <c r="B889" s="83" t="s">
        <v>3208</v>
      </c>
      <c r="C889" s="83" t="s">
        <v>3208</v>
      </c>
      <c r="D889" s="83" t="s">
        <v>3713</v>
      </c>
      <c r="E889" s="83" t="s">
        <v>3761</v>
      </c>
      <c r="F889" s="83" t="s">
        <v>3790</v>
      </c>
      <c r="G889" s="83" t="s">
        <v>3791</v>
      </c>
      <c r="H889" s="83">
        <v>0</v>
      </c>
      <c r="I889" s="83" t="s">
        <v>3229</v>
      </c>
      <c r="J889" s="83" t="s">
        <v>3289</v>
      </c>
      <c r="K889" s="83" t="s">
        <v>3215</v>
      </c>
    </row>
    <row r="890" spans="1:11" ht="39" x14ac:dyDescent="0.25">
      <c r="A890" s="83" t="s">
        <v>132</v>
      </c>
      <c r="B890" s="83" t="s">
        <v>3208</v>
      </c>
      <c r="C890" s="83" t="s">
        <v>3208</v>
      </c>
      <c r="D890" s="83" t="s">
        <v>3713</v>
      </c>
      <c r="E890" s="83" t="s">
        <v>3761</v>
      </c>
      <c r="F890" s="83" t="s">
        <v>3792</v>
      </c>
      <c r="G890" s="83" t="s">
        <v>3341</v>
      </c>
      <c r="H890" s="83">
        <v>0</v>
      </c>
      <c r="I890" s="83" t="s">
        <v>3229</v>
      </c>
      <c r="J890" s="83" t="s">
        <v>3241</v>
      </c>
      <c r="K890" s="83" t="s">
        <v>3215</v>
      </c>
    </row>
    <row r="891" spans="1:11" ht="51.75" x14ac:dyDescent="0.25">
      <c r="A891" s="83" t="s">
        <v>2024</v>
      </c>
      <c r="B891" s="83" t="s">
        <v>3208</v>
      </c>
      <c r="C891" s="83" t="s">
        <v>3208</v>
      </c>
      <c r="D891" s="83" t="s">
        <v>3713</v>
      </c>
      <c r="E891" s="83" t="s">
        <v>3761</v>
      </c>
      <c r="F891" s="83" t="s">
        <v>3792</v>
      </c>
      <c r="G891" s="83" t="s">
        <v>3341</v>
      </c>
      <c r="H891" s="83">
        <v>0</v>
      </c>
      <c r="I891" s="83" t="s">
        <v>3229</v>
      </c>
      <c r="J891" s="83" t="s">
        <v>3337</v>
      </c>
      <c r="K891" s="83" t="s">
        <v>3215</v>
      </c>
    </row>
    <row r="892" spans="1:11" ht="51.75" x14ac:dyDescent="0.25">
      <c r="A892" s="83" t="s">
        <v>2030</v>
      </c>
      <c r="B892" s="83" t="s">
        <v>3208</v>
      </c>
      <c r="C892" s="83" t="s">
        <v>3208</v>
      </c>
      <c r="D892" s="83" t="s">
        <v>3713</v>
      </c>
      <c r="E892" s="83" t="s">
        <v>3761</v>
      </c>
      <c r="F892" s="83" t="s">
        <v>3792</v>
      </c>
      <c r="G892" s="83" t="s">
        <v>3795</v>
      </c>
      <c r="H892" s="83">
        <v>0</v>
      </c>
      <c r="I892" s="83" t="s">
        <v>3229</v>
      </c>
      <c r="J892" s="83" t="s">
        <v>3289</v>
      </c>
      <c r="K892" s="83" t="s">
        <v>3215</v>
      </c>
    </row>
    <row r="893" spans="1:11" ht="51.75" x14ac:dyDescent="0.25">
      <c r="A893" s="83" t="s">
        <v>2031</v>
      </c>
      <c r="B893" s="83" t="s">
        <v>3208</v>
      </c>
      <c r="C893" s="83" t="s">
        <v>3208</v>
      </c>
      <c r="D893" s="83" t="s">
        <v>3713</v>
      </c>
      <c r="E893" s="83" t="s">
        <v>3761</v>
      </c>
      <c r="F893" s="83" t="s">
        <v>3792</v>
      </c>
      <c r="G893" s="83" t="s">
        <v>5517</v>
      </c>
      <c r="H893" s="83">
        <v>0</v>
      </c>
      <c r="I893" s="83" t="s">
        <v>3229</v>
      </c>
      <c r="J893" s="83" t="s">
        <v>3289</v>
      </c>
      <c r="K893" s="83" t="s">
        <v>3215</v>
      </c>
    </row>
    <row r="894" spans="1:11" ht="51.75" x14ac:dyDescent="0.25">
      <c r="A894" s="83" t="s">
        <v>2043</v>
      </c>
      <c r="B894" s="83" t="s">
        <v>3208</v>
      </c>
      <c r="C894" s="83" t="s">
        <v>3208</v>
      </c>
      <c r="D894" s="83" t="s">
        <v>3713</v>
      </c>
      <c r="E894" s="83" t="s">
        <v>3761</v>
      </c>
      <c r="F894" s="83" t="s">
        <v>4737</v>
      </c>
      <c r="G894" s="83" t="s">
        <v>4738</v>
      </c>
      <c r="H894" s="83">
        <v>0</v>
      </c>
      <c r="I894" s="83" t="s">
        <v>3229</v>
      </c>
      <c r="J894" s="83" t="s">
        <v>3289</v>
      </c>
      <c r="K894" s="83" t="s">
        <v>3215</v>
      </c>
    </row>
    <row r="895" spans="1:11" ht="26.25" x14ac:dyDescent="0.25">
      <c r="A895" s="83" t="s">
        <v>116</v>
      </c>
      <c r="B895" s="83" t="s">
        <v>3208</v>
      </c>
      <c r="C895" s="83" t="s">
        <v>3208</v>
      </c>
      <c r="D895" s="83" t="s">
        <v>3713</v>
      </c>
      <c r="E895" s="83" t="s">
        <v>3761</v>
      </c>
      <c r="F895" s="83" t="s">
        <v>5518</v>
      </c>
      <c r="G895" s="83" t="s">
        <v>3375</v>
      </c>
      <c r="H895" s="83">
        <v>0</v>
      </c>
      <c r="I895" s="83" t="s">
        <v>3229</v>
      </c>
      <c r="J895" s="83" t="s">
        <v>3397</v>
      </c>
      <c r="K895" s="83" t="s">
        <v>3215</v>
      </c>
    </row>
    <row r="896" spans="1:11" ht="51.75" x14ac:dyDescent="0.25">
      <c r="A896" s="83" t="s">
        <v>2249</v>
      </c>
      <c r="B896" s="83" t="s">
        <v>3208</v>
      </c>
      <c r="C896" s="83" t="s">
        <v>3208</v>
      </c>
      <c r="D896" s="83" t="s">
        <v>3713</v>
      </c>
      <c r="E896" s="83" t="s">
        <v>3761</v>
      </c>
      <c r="F896" s="83" t="s">
        <v>3798</v>
      </c>
      <c r="G896" s="83" t="s">
        <v>5519</v>
      </c>
      <c r="H896" s="83">
        <v>0</v>
      </c>
      <c r="I896" s="83" t="s">
        <v>3229</v>
      </c>
      <c r="J896" s="83" t="s">
        <v>3238</v>
      </c>
      <c r="K896" s="83" t="s">
        <v>3215</v>
      </c>
    </row>
    <row r="897" spans="1:11" ht="39" x14ac:dyDescent="0.25">
      <c r="A897" s="83" t="s">
        <v>1970</v>
      </c>
      <c r="B897" s="83" t="s">
        <v>3208</v>
      </c>
      <c r="C897" s="83" t="s">
        <v>3208</v>
      </c>
      <c r="D897" s="83" t="s">
        <v>3713</v>
      </c>
      <c r="E897" s="83" t="s">
        <v>3761</v>
      </c>
      <c r="F897" s="83" t="s">
        <v>5520</v>
      </c>
      <c r="G897" s="83" t="s">
        <v>3822</v>
      </c>
      <c r="H897" s="83">
        <v>0</v>
      </c>
      <c r="I897" s="83" t="s">
        <v>3213</v>
      </c>
      <c r="J897" s="83" t="s">
        <v>3222</v>
      </c>
      <c r="K897" s="83" t="s">
        <v>3215</v>
      </c>
    </row>
    <row r="898" spans="1:11" ht="26.25" x14ac:dyDescent="0.25">
      <c r="A898" s="83" t="s">
        <v>1951</v>
      </c>
      <c r="B898" s="83" t="s">
        <v>3208</v>
      </c>
      <c r="C898" s="83" t="s">
        <v>3208</v>
      </c>
      <c r="D898" s="83" t="s">
        <v>3713</v>
      </c>
      <c r="E898" s="83" t="s">
        <v>3761</v>
      </c>
      <c r="F898" s="83" t="s">
        <v>5521</v>
      </c>
      <c r="G898" s="83" t="s">
        <v>5522</v>
      </c>
      <c r="H898" s="83">
        <v>0</v>
      </c>
      <c r="I898" s="83" t="s">
        <v>3213</v>
      </c>
      <c r="J898" s="83" t="s">
        <v>3851</v>
      </c>
      <c r="K898" s="83" t="s">
        <v>3215</v>
      </c>
    </row>
    <row r="899" spans="1:11" ht="26.25" x14ac:dyDescent="0.25">
      <c r="A899" s="83" t="s">
        <v>2053</v>
      </c>
      <c r="B899" s="83" t="s">
        <v>3208</v>
      </c>
      <c r="C899" s="83" t="s">
        <v>3208</v>
      </c>
      <c r="D899" s="83" t="s">
        <v>3713</v>
      </c>
      <c r="E899" s="83" t="s">
        <v>3761</v>
      </c>
      <c r="F899" s="83" t="s">
        <v>5523</v>
      </c>
      <c r="G899" s="83" t="s">
        <v>3221</v>
      </c>
      <c r="H899" s="83">
        <v>0</v>
      </c>
      <c r="I899" s="83" t="s">
        <v>3213</v>
      </c>
      <c r="J899" s="83" t="s">
        <v>3222</v>
      </c>
      <c r="K899" s="83" t="s">
        <v>3215</v>
      </c>
    </row>
    <row r="900" spans="1:11" ht="51.75" x14ac:dyDescent="0.25">
      <c r="A900" s="83" t="s">
        <v>2258</v>
      </c>
      <c r="B900" s="83" t="s">
        <v>3208</v>
      </c>
      <c r="C900" s="83" t="s">
        <v>3208</v>
      </c>
      <c r="D900" s="83" t="s">
        <v>3713</v>
      </c>
      <c r="E900" s="83" t="s">
        <v>3761</v>
      </c>
      <c r="F900" s="83" t="s">
        <v>3804</v>
      </c>
      <c r="G900" s="83" t="s">
        <v>3791</v>
      </c>
      <c r="H900" s="83">
        <v>0</v>
      </c>
      <c r="I900" s="83" t="s">
        <v>3229</v>
      </c>
      <c r="J900" s="83" t="s">
        <v>3238</v>
      </c>
      <c r="K900" s="83" t="s">
        <v>3215</v>
      </c>
    </row>
    <row r="901" spans="1:11" ht="51.75" x14ac:dyDescent="0.25">
      <c r="A901" s="83" t="s">
        <v>2075</v>
      </c>
      <c r="B901" s="83" t="s">
        <v>3208</v>
      </c>
      <c r="C901" s="83" t="s">
        <v>3208</v>
      </c>
      <c r="D901" s="83" t="s">
        <v>3713</v>
      </c>
      <c r="E901" s="83" t="s">
        <v>3761</v>
      </c>
      <c r="F901" s="83" t="s">
        <v>3804</v>
      </c>
      <c r="G901" s="83" t="s">
        <v>3791</v>
      </c>
      <c r="H901" s="83">
        <v>0</v>
      </c>
      <c r="I901" s="83" t="s">
        <v>3229</v>
      </c>
      <c r="J901" s="83" t="s">
        <v>3230</v>
      </c>
      <c r="K901" s="83" t="s">
        <v>3215</v>
      </c>
    </row>
    <row r="902" spans="1:11" ht="51.75" x14ac:dyDescent="0.25">
      <c r="A902" s="83" t="s">
        <v>1786</v>
      </c>
      <c r="B902" s="83" t="s">
        <v>3208</v>
      </c>
      <c r="C902" s="83" t="s">
        <v>3208</v>
      </c>
      <c r="D902" s="83" t="s">
        <v>3713</v>
      </c>
      <c r="E902" s="83" t="s">
        <v>3761</v>
      </c>
      <c r="F902" s="83" t="s">
        <v>5524</v>
      </c>
      <c r="G902" s="83" t="s">
        <v>5525</v>
      </c>
      <c r="H902" s="83">
        <v>0</v>
      </c>
      <c r="I902" s="83" t="s">
        <v>3229</v>
      </c>
      <c r="J902" s="83" t="s">
        <v>3289</v>
      </c>
      <c r="K902" s="83" t="s">
        <v>3215</v>
      </c>
    </row>
    <row r="903" spans="1:11" ht="51.75" x14ac:dyDescent="0.25">
      <c r="A903" s="83" t="s">
        <v>1843</v>
      </c>
      <c r="B903" s="83" t="s">
        <v>3208</v>
      </c>
      <c r="C903" s="83" t="s">
        <v>3208</v>
      </c>
      <c r="D903" s="83" t="s">
        <v>3713</v>
      </c>
      <c r="E903" s="83" t="s">
        <v>3761</v>
      </c>
      <c r="F903" s="83" t="s">
        <v>3813</v>
      </c>
      <c r="G903" s="83" t="s">
        <v>3248</v>
      </c>
      <c r="H903" s="83">
        <v>0</v>
      </c>
      <c r="I903" s="83" t="s">
        <v>3229</v>
      </c>
      <c r="J903" s="83" t="s">
        <v>3230</v>
      </c>
      <c r="K903" s="83" t="s">
        <v>3215</v>
      </c>
    </row>
    <row r="904" spans="1:11" ht="64.5" x14ac:dyDescent="0.25">
      <c r="A904" s="83" t="s">
        <v>1817</v>
      </c>
      <c r="B904" s="83" t="s">
        <v>3208</v>
      </c>
      <c r="C904" s="83" t="s">
        <v>3208</v>
      </c>
      <c r="D904" s="83" t="s">
        <v>3713</v>
      </c>
      <c r="E904" s="83" t="s">
        <v>3761</v>
      </c>
      <c r="F904" s="83" t="s">
        <v>5526</v>
      </c>
      <c r="G904" s="83" t="s">
        <v>5527</v>
      </c>
      <c r="H904" s="83">
        <v>0</v>
      </c>
      <c r="I904" s="83" t="s">
        <v>3229</v>
      </c>
      <c r="J904" s="83" t="s">
        <v>3380</v>
      </c>
      <c r="K904" s="83" t="s">
        <v>3215</v>
      </c>
    </row>
    <row r="905" spans="1:11" ht="51.75" x14ac:dyDescent="0.25">
      <c r="A905" s="83" t="s">
        <v>2099</v>
      </c>
      <c r="B905" s="83" t="s">
        <v>3208</v>
      </c>
      <c r="C905" s="83" t="s">
        <v>3208</v>
      </c>
      <c r="D905" s="83" t="s">
        <v>3713</v>
      </c>
      <c r="E905" s="83" t="s">
        <v>3761</v>
      </c>
      <c r="F905" s="83" t="s">
        <v>5528</v>
      </c>
      <c r="G905" s="83" t="s">
        <v>5126</v>
      </c>
      <c r="H905" s="83">
        <v>0</v>
      </c>
      <c r="I905" s="83" t="s">
        <v>3213</v>
      </c>
      <c r="J905" s="83" t="s">
        <v>3538</v>
      </c>
      <c r="K905" s="83" t="s">
        <v>3215</v>
      </c>
    </row>
    <row r="906" spans="1:11" ht="26.25" x14ac:dyDescent="0.25">
      <c r="A906" s="83" t="s">
        <v>1792</v>
      </c>
      <c r="B906" s="83" t="s">
        <v>3208</v>
      </c>
      <c r="C906" s="83" t="s">
        <v>3208</v>
      </c>
      <c r="D906" s="83" t="s">
        <v>3713</v>
      </c>
      <c r="E906" s="83" t="s">
        <v>3761</v>
      </c>
      <c r="F906" s="83" t="s">
        <v>5529</v>
      </c>
      <c r="G906" s="83" t="s">
        <v>5530</v>
      </c>
      <c r="H906" s="83">
        <v>0</v>
      </c>
      <c r="I906" s="83" t="s">
        <v>3229</v>
      </c>
      <c r="J906" s="83" t="s">
        <v>3311</v>
      </c>
      <c r="K906" s="83" t="s">
        <v>3215</v>
      </c>
    </row>
    <row r="907" spans="1:11" ht="51.75" x14ac:dyDescent="0.25">
      <c r="A907" s="83" t="s">
        <v>2102</v>
      </c>
      <c r="B907" s="83" t="s">
        <v>3208</v>
      </c>
      <c r="C907" s="83" t="s">
        <v>3208</v>
      </c>
      <c r="D907" s="83" t="s">
        <v>3713</v>
      </c>
      <c r="E907" s="83" t="s">
        <v>3761</v>
      </c>
      <c r="F907" s="83" t="s">
        <v>3814</v>
      </c>
      <c r="G907" s="83" t="s">
        <v>3815</v>
      </c>
      <c r="H907" s="83">
        <v>0</v>
      </c>
      <c r="I907" s="83" t="s">
        <v>3213</v>
      </c>
      <c r="J907" s="83" t="s">
        <v>3214</v>
      </c>
      <c r="K907" s="83" t="s">
        <v>3215</v>
      </c>
    </row>
    <row r="908" spans="1:11" ht="51.75" x14ac:dyDescent="0.25">
      <c r="A908" s="83" t="s">
        <v>2113</v>
      </c>
      <c r="B908" s="83" t="s">
        <v>3208</v>
      </c>
      <c r="C908" s="83" t="s">
        <v>3208</v>
      </c>
      <c r="D908" s="83" t="s">
        <v>3713</v>
      </c>
      <c r="E908" s="83" t="s">
        <v>3761</v>
      </c>
      <c r="F908" s="83" t="s">
        <v>3820</v>
      </c>
      <c r="G908" s="83" t="s">
        <v>3417</v>
      </c>
      <c r="H908" s="83">
        <v>0</v>
      </c>
      <c r="I908" s="83" t="s">
        <v>3213</v>
      </c>
      <c r="J908" s="83" t="s">
        <v>3214</v>
      </c>
      <c r="K908" s="83" t="s">
        <v>3215</v>
      </c>
    </row>
    <row r="909" spans="1:11" ht="51.75" x14ac:dyDescent="0.25">
      <c r="A909" s="83" t="s">
        <v>3177</v>
      </c>
      <c r="B909" s="83" t="s">
        <v>3208</v>
      </c>
      <c r="C909" s="83" t="s">
        <v>3208</v>
      </c>
      <c r="D909" s="83" t="s">
        <v>3713</v>
      </c>
      <c r="E909" s="83" t="s">
        <v>3761</v>
      </c>
      <c r="F909" s="83" t="s">
        <v>5531</v>
      </c>
      <c r="G909" s="83" t="s">
        <v>5532</v>
      </c>
      <c r="H909" s="83">
        <v>0</v>
      </c>
      <c r="I909" s="83" t="s">
        <v>3229</v>
      </c>
      <c r="J909" s="83" t="s">
        <v>3371</v>
      </c>
      <c r="K909" s="83" t="s">
        <v>3215</v>
      </c>
    </row>
    <row r="910" spans="1:11" ht="64.5" x14ac:dyDescent="0.25">
      <c r="A910" s="83" t="s">
        <v>1871</v>
      </c>
      <c r="B910" s="83" t="s">
        <v>3208</v>
      </c>
      <c r="C910" s="83" t="s">
        <v>3208</v>
      </c>
      <c r="D910" s="83" t="s">
        <v>3713</v>
      </c>
      <c r="E910" s="83" t="s">
        <v>3761</v>
      </c>
      <c r="F910" s="83" t="s">
        <v>3816</v>
      </c>
      <c r="G910" s="83" t="s">
        <v>3573</v>
      </c>
      <c r="H910" s="83">
        <v>0</v>
      </c>
      <c r="I910" s="83" t="s">
        <v>3213</v>
      </c>
      <c r="J910" s="83" t="s">
        <v>3262</v>
      </c>
      <c r="K910" s="83" t="s">
        <v>3215</v>
      </c>
    </row>
    <row r="911" spans="1:11" ht="26.25" x14ac:dyDescent="0.25">
      <c r="A911" s="83" t="s">
        <v>1930</v>
      </c>
      <c r="B911" s="83" t="s">
        <v>3208</v>
      </c>
      <c r="C911" s="83" t="s">
        <v>3208</v>
      </c>
      <c r="D911" s="83" t="s">
        <v>3713</v>
      </c>
      <c r="E911" s="83" t="s">
        <v>3761</v>
      </c>
      <c r="F911" s="83" t="s">
        <v>4765</v>
      </c>
      <c r="G911" s="83" t="s">
        <v>5533</v>
      </c>
      <c r="H911" s="83">
        <v>0</v>
      </c>
      <c r="I911" s="83" t="s">
        <v>3213</v>
      </c>
      <c r="J911" s="83" t="s">
        <v>3896</v>
      </c>
      <c r="K911" s="83" t="s">
        <v>3215</v>
      </c>
    </row>
    <row r="912" spans="1:11" ht="26.25" x14ac:dyDescent="0.25">
      <c r="A912" s="83" t="s">
        <v>1932</v>
      </c>
      <c r="B912" s="83" t="s">
        <v>3208</v>
      </c>
      <c r="C912" s="83" t="s">
        <v>3208</v>
      </c>
      <c r="D912" s="83" t="s">
        <v>3713</v>
      </c>
      <c r="E912" s="83" t="s">
        <v>3761</v>
      </c>
      <c r="F912" s="83" t="s">
        <v>4765</v>
      </c>
      <c r="G912" s="83" t="s">
        <v>4556</v>
      </c>
      <c r="H912" s="83">
        <v>0</v>
      </c>
      <c r="I912" s="83" t="s">
        <v>3213</v>
      </c>
      <c r="J912" s="83" t="s">
        <v>3747</v>
      </c>
      <c r="K912" s="83" t="s">
        <v>3215</v>
      </c>
    </row>
    <row r="913" spans="1:11" ht="64.5" x14ac:dyDescent="0.25">
      <c r="A913" s="83" t="s">
        <v>1959</v>
      </c>
      <c r="B913" s="83" t="s">
        <v>3208</v>
      </c>
      <c r="C913" s="83" t="s">
        <v>3208</v>
      </c>
      <c r="D913" s="83" t="s">
        <v>3713</v>
      </c>
      <c r="E913" s="83" t="s">
        <v>3761</v>
      </c>
      <c r="F913" s="83" t="s">
        <v>5534</v>
      </c>
      <c r="G913" s="83" t="s">
        <v>5535</v>
      </c>
      <c r="H913" s="83">
        <v>0</v>
      </c>
      <c r="I913" s="83" t="s">
        <v>3229</v>
      </c>
      <c r="J913" s="83" t="s">
        <v>3380</v>
      </c>
      <c r="K913" s="83" t="s">
        <v>3215</v>
      </c>
    </row>
    <row r="914" spans="1:11" ht="51.75" x14ac:dyDescent="0.25">
      <c r="A914" s="83" t="s">
        <v>1979</v>
      </c>
      <c r="B914" s="83" t="s">
        <v>3208</v>
      </c>
      <c r="C914" s="83" t="s">
        <v>3208</v>
      </c>
      <c r="D914" s="83" t="s">
        <v>3713</v>
      </c>
      <c r="E914" s="83" t="s">
        <v>3761</v>
      </c>
      <c r="F914" s="83" t="s">
        <v>3821</v>
      </c>
      <c r="G914" s="83" t="s">
        <v>3822</v>
      </c>
      <c r="H914" s="83">
        <v>0</v>
      </c>
      <c r="I914" s="83" t="s">
        <v>3213</v>
      </c>
      <c r="J914" s="83" t="s">
        <v>3257</v>
      </c>
      <c r="K914" s="83" t="s">
        <v>3215</v>
      </c>
    </row>
    <row r="915" spans="1:11" ht="39" x14ac:dyDescent="0.25">
      <c r="A915" s="83" t="s">
        <v>1981</v>
      </c>
      <c r="B915" s="83" t="s">
        <v>3208</v>
      </c>
      <c r="C915" s="83" t="s">
        <v>3208</v>
      </c>
      <c r="D915" s="83" t="s">
        <v>3713</v>
      </c>
      <c r="E915" s="83" t="s">
        <v>3761</v>
      </c>
      <c r="F915" s="83" t="s">
        <v>3821</v>
      </c>
      <c r="G915" s="83" t="s">
        <v>3822</v>
      </c>
      <c r="H915" s="83">
        <v>0</v>
      </c>
      <c r="I915" s="83" t="s">
        <v>3213</v>
      </c>
      <c r="J915" s="83" t="s">
        <v>4000</v>
      </c>
      <c r="K915" s="83" t="s">
        <v>3215</v>
      </c>
    </row>
    <row r="916" spans="1:11" ht="39" x14ac:dyDescent="0.25">
      <c r="A916" s="83" t="s">
        <v>1934</v>
      </c>
      <c r="B916" s="83" t="s">
        <v>3208</v>
      </c>
      <c r="C916" s="83" t="s">
        <v>3208</v>
      </c>
      <c r="D916" s="83" t="s">
        <v>3713</v>
      </c>
      <c r="E916" s="83" t="s">
        <v>3761</v>
      </c>
      <c r="F916" s="83" t="s">
        <v>3798</v>
      </c>
      <c r="G916" s="83" t="s">
        <v>4012</v>
      </c>
      <c r="H916" s="83">
        <v>0</v>
      </c>
      <c r="I916" s="83" t="s">
        <v>3229</v>
      </c>
      <c r="J916" s="83" t="s">
        <v>356</v>
      </c>
      <c r="K916" s="83" t="s">
        <v>3215</v>
      </c>
    </row>
    <row r="917" spans="1:11" ht="51.75" x14ac:dyDescent="0.25">
      <c r="A917" s="83" t="s">
        <v>1940</v>
      </c>
      <c r="B917" s="83" t="s">
        <v>3208</v>
      </c>
      <c r="C917" s="83" t="s">
        <v>3208</v>
      </c>
      <c r="D917" s="83" t="s">
        <v>3713</v>
      </c>
      <c r="E917" s="83" t="s">
        <v>3761</v>
      </c>
      <c r="F917" s="83" t="s">
        <v>3798</v>
      </c>
      <c r="G917" s="83" t="s">
        <v>5536</v>
      </c>
      <c r="H917" s="83">
        <v>0</v>
      </c>
      <c r="I917" s="83" t="s">
        <v>3229</v>
      </c>
      <c r="J917" s="83" t="s">
        <v>3332</v>
      </c>
      <c r="K917" s="83" t="s">
        <v>3215</v>
      </c>
    </row>
    <row r="918" spans="1:11" ht="51.75" x14ac:dyDescent="0.25">
      <c r="A918" s="83" t="s">
        <v>1942</v>
      </c>
      <c r="B918" s="83" t="s">
        <v>3208</v>
      </c>
      <c r="C918" s="83" t="s">
        <v>3208</v>
      </c>
      <c r="D918" s="83" t="s">
        <v>3713</v>
      </c>
      <c r="E918" s="83" t="s">
        <v>3761</v>
      </c>
      <c r="F918" s="83" t="s">
        <v>3798</v>
      </c>
      <c r="G918" s="83" t="s">
        <v>5536</v>
      </c>
      <c r="H918" s="83">
        <v>0</v>
      </c>
      <c r="I918" s="83" t="s">
        <v>3229</v>
      </c>
      <c r="J918" s="83" t="s">
        <v>3332</v>
      </c>
      <c r="K918" s="83" t="s">
        <v>3215</v>
      </c>
    </row>
    <row r="919" spans="1:11" ht="51.75" x14ac:dyDescent="0.25">
      <c r="A919" s="83" t="s">
        <v>2169</v>
      </c>
      <c r="B919" s="83" t="s">
        <v>3208</v>
      </c>
      <c r="C919" s="83" t="s">
        <v>3208</v>
      </c>
      <c r="D919" s="83" t="s">
        <v>3713</v>
      </c>
      <c r="E919" s="83" t="s">
        <v>3761</v>
      </c>
      <c r="F919" s="83" t="s">
        <v>3798</v>
      </c>
      <c r="G919" s="83" t="s">
        <v>5536</v>
      </c>
      <c r="H919" s="83">
        <v>0</v>
      </c>
      <c r="I919" s="83" t="s">
        <v>3229</v>
      </c>
      <c r="J919" s="83" t="s">
        <v>3332</v>
      </c>
      <c r="K919" s="83" t="s">
        <v>3215</v>
      </c>
    </row>
    <row r="920" spans="1:11" ht="51.75" x14ac:dyDescent="0.25">
      <c r="A920" s="83" t="s">
        <v>142</v>
      </c>
      <c r="B920" s="83" t="s">
        <v>3208</v>
      </c>
      <c r="C920" s="83" t="s">
        <v>3208</v>
      </c>
      <c r="D920" s="83" t="s">
        <v>3713</v>
      </c>
      <c r="E920" s="83" t="s">
        <v>3761</v>
      </c>
      <c r="F920" s="83" t="s">
        <v>3830</v>
      </c>
      <c r="G920" s="83" t="s">
        <v>3569</v>
      </c>
      <c r="H920" s="83">
        <v>0</v>
      </c>
      <c r="I920" s="83" t="s">
        <v>3229</v>
      </c>
      <c r="J920" s="83" t="s">
        <v>3289</v>
      </c>
      <c r="K920" s="83" t="s">
        <v>3215</v>
      </c>
    </row>
    <row r="921" spans="1:11" x14ac:dyDescent="0.25">
      <c r="A921" s="83" t="s">
        <v>5537</v>
      </c>
      <c r="B921" s="83" t="s">
        <v>3208</v>
      </c>
      <c r="C921" s="83" t="s">
        <v>3208</v>
      </c>
      <c r="D921" s="83" t="s">
        <v>3209</v>
      </c>
      <c r="E921" s="83" t="s">
        <v>4248</v>
      </c>
      <c r="F921" s="83" t="s">
        <v>5538</v>
      </c>
      <c r="G921" s="83" t="s">
        <v>5539</v>
      </c>
      <c r="H921" s="83">
        <v>3.5</v>
      </c>
      <c r="I921" s="83" t="s">
        <v>3208</v>
      </c>
      <c r="J921" s="83" t="s">
        <v>3208</v>
      </c>
      <c r="K921" s="83" t="s">
        <v>3208</v>
      </c>
    </row>
    <row r="922" spans="1:11" ht="51.75" x14ac:dyDescent="0.25">
      <c r="A922" s="83" t="s">
        <v>2699</v>
      </c>
      <c r="B922" s="83" t="s">
        <v>3208</v>
      </c>
      <c r="C922" s="83" t="s">
        <v>3208</v>
      </c>
      <c r="D922" s="83" t="s">
        <v>3713</v>
      </c>
      <c r="E922" s="83" t="s">
        <v>3761</v>
      </c>
      <c r="F922" s="83" t="s">
        <v>5540</v>
      </c>
      <c r="G922" s="83" t="s">
        <v>4886</v>
      </c>
      <c r="H922" s="83">
        <v>0</v>
      </c>
      <c r="I922" s="83" t="s">
        <v>3229</v>
      </c>
      <c r="J922" s="83" t="s">
        <v>3371</v>
      </c>
      <c r="K922" s="83" t="s">
        <v>3215</v>
      </c>
    </row>
    <row r="923" spans="1:11" ht="51.75" x14ac:dyDescent="0.25">
      <c r="A923" s="83" t="s">
        <v>595</v>
      </c>
      <c r="B923" s="83" t="s">
        <v>5541</v>
      </c>
      <c r="C923" s="83" t="s">
        <v>3208</v>
      </c>
      <c r="D923" s="83" t="s">
        <v>3209</v>
      </c>
      <c r="E923" s="83" t="s">
        <v>3226</v>
      </c>
      <c r="F923" s="83" t="s">
        <v>5542</v>
      </c>
      <c r="G923" s="83" t="s">
        <v>5543</v>
      </c>
      <c r="H923" s="83">
        <v>65</v>
      </c>
      <c r="I923" s="83" t="s">
        <v>3229</v>
      </c>
      <c r="J923" s="83" t="s">
        <v>3337</v>
      </c>
      <c r="K923" s="83" t="s">
        <v>3215</v>
      </c>
    </row>
    <row r="924" spans="1:11" ht="26.25" x14ac:dyDescent="0.25">
      <c r="A924" s="83" t="s">
        <v>5544</v>
      </c>
      <c r="B924" s="83" t="s">
        <v>3208</v>
      </c>
      <c r="C924" s="83" t="s">
        <v>3208</v>
      </c>
      <c r="D924" s="83" t="s">
        <v>3713</v>
      </c>
      <c r="E924" s="83" t="s">
        <v>3714</v>
      </c>
      <c r="F924" s="83" t="s">
        <v>5545</v>
      </c>
      <c r="G924" s="83" t="s">
        <v>3208</v>
      </c>
      <c r="H924" s="83">
        <v>0</v>
      </c>
      <c r="I924" s="83" t="s">
        <v>3208</v>
      </c>
      <c r="J924" s="83" t="s">
        <v>3208</v>
      </c>
      <c r="K924" s="83" t="s">
        <v>3208</v>
      </c>
    </row>
    <row r="925" spans="1:11" ht="51.75" x14ac:dyDescent="0.25">
      <c r="A925" s="83" t="s">
        <v>2247</v>
      </c>
      <c r="B925" s="83" t="s">
        <v>3208</v>
      </c>
      <c r="C925" s="83" t="s">
        <v>3208</v>
      </c>
      <c r="D925" s="83" t="s">
        <v>3713</v>
      </c>
      <c r="E925" s="83" t="s">
        <v>3761</v>
      </c>
      <c r="F925" s="83" t="s">
        <v>3854</v>
      </c>
      <c r="G925" s="83" t="s">
        <v>5546</v>
      </c>
      <c r="H925" s="83">
        <v>0</v>
      </c>
      <c r="I925" s="83" t="s">
        <v>3229</v>
      </c>
      <c r="J925" s="83" t="s">
        <v>3238</v>
      </c>
      <c r="K925" s="83" t="s">
        <v>3215</v>
      </c>
    </row>
    <row r="926" spans="1:11" x14ac:dyDescent="0.25">
      <c r="A926" s="83" t="s">
        <v>5547</v>
      </c>
      <c r="B926" s="83" t="s">
        <v>3208</v>
      </c>
      <c r="C926" s="83" t="s">
        <v>3208</v>
      </c>
      <c r="D926" s="83" t="s">
        <v>3209</v>
      </c>
      <c r="E926" s="83" t="s">
        <v>3663</v>
      </c>
      <c r="F926" s="83" t="s">
        <v>5548</v>
      </c>
      <c r="G926" s="83" t="s">
        <v>3676</v>
      </c>
      <c r="H926" s="83">
        <v>10</v>
      </c>
      <c r="I926" s="83" t="s">
        <v>3208</v>
      </c>
      <c r="J926" s="83" t="s">
        <v>3208</v>
      </c>
      <c r="K926" s="83" t="s">
        <v>3208</v>
      </c>
    </row>
    <row r="927" spans="1:11" x14ac:dyDescent="0.25">
      <c r="A927" s="83" t="s">
        <v>5549</v>
      </c>
      <c r="B927" s="83" t="s">
        <v>3208</v>
      </c>
      <c r="C927" s="83" t="s">
        <v>3208</v>
      </c>
      <c r="D927" s="83" t="s">
        <v>3209</v>
      </c>
      <c r="E927" s="83" t="s">
        <v>3663</v>
      </c>
      <c r="F927" s="83" t="s">
        <v>3864</v>
      </c>
      <c r="G927" s="83" t="s">
        <v>5550</v>
      </c>
      <c r="H927" s="83">
        <v>98</v>
      </c>
      <c r="I927" s="83" t="s">
        <v>3208</v>
      </c>
      <c r="J927" s="83" t="s">
        <v>3208</v>
      </c>
      <c r="K927" s="83" t="s">
        <v>3208</v>
      </c>
    </row>
    <row r="928" spans="1:11" ht="64.5" x14ac:dyDescent="0.25">
      <c r="A928" s="83" t="s">
        <v>498</v>
      </c>
      <c r="B928" s="83" t="s">
        <v>3208</v>
      </c>
      <c r="C928" s="83" t="s">
        <v>3208</v>
      </c>
      <c r="D928" s="83" t="s">
        <v>3209</v>
      </c>
      <c r="E928" s="83" t="s">
        <v>3210</v>
      </c>
      <c r="F928" s="83" t="s">
        <v>5551</v>
      </c>
      <c r="G928" s="83" t="s">
        <v>5552</v>
      </c>
      <c r="H928" s="83">
        <v>35</v>
      </c>
      <c r="I928" s="83" t="s">
        <v>3213</v>
      </c>
      <c r="J928" s="83" t="s">
        <v>3436</v>
      </c>
      <c r="K928" s="83" t="s">
        <v>3215</v>
      </c>
    </row>
    <row r="929" spans="1:11" ht="26.25" x14ac:dyDescent="0.25">
      <c r="A929" s="83" t="s">
        <v>768</v>
      </c>
      <c r="B929" s="83" t="s">
        <v>5553</v>
      </c>
      <c r="C929" s="83" t="s">
        <v>3208</v>
      </c>
      <c r="D929" s="83" t="s">
        <v>3209</v>
      </c>
      <c r="E929" s="83" t="s">
        <v>3226</v>
      </c>
      <c r="F929" s="83" t="s">
        <v>5554</v>
      </c>
      <c r="G929" s="83" t="s">
        <v>3392</v>
      </c>
      <c r="H929" s="83">
        <v>40</v>
      </c>
      <c r="I929" s="83" t="s">
        <v>3229</v>
      </c>
      <c r="J929" s="83" t="s">
        <v>3324</v>
      </c>
      <c r="K929" s="83" t="s">
        <v>3215</v>
      </c>
    </row>
    <row r="930" spans="1:11" ht="39" x14ac:dyDescent="0.25">
      <c r="A930" s="83" t="s">
        <v>2270</v>
      </c>
      <c r="B930" s="83" t="s">
        <v>3208</v>
      </c>
      <c r="C930" s="83" t="s">
        <v>3208</v>
      </c>
      <c r="D930" s="83" t="s">
        <v>3713</v>
      </c>
      <c r="E930" s="83" t="s">
        <v>3761</v>
      </c>
      <c r="F930" s="83" t="s">
        <v>5555</v>
      </c>
      <c r="G930" s="83" t="s">
        <v>5556</v>
      </c>
      <c r="H930" s="83">
        <v>0</v>
      </c>
      <c r="I930" s="83" t="s">
        <v>3229</v>
      </c>
      <c r="J930" s="83" t="s">
        <v>356</v>
      </c>
      <c r="K930" s="83" t="s">
        <v>3215</v>
      </c>
    </row>
    <row r="931" spans="1:11" ht="77.25" x14ac:dyDescent="0.25">
      <c r="A931" s="83" t="s">
        <v>707</v>
      </c>
      <c r="B931" s="83" t="s">
        <v>5557</v>
      </c>
      <c r="C931" s="83" t="s">
        <v>5558</v>
      </c>
      <c r="D931" s="83" t="s">
        <v>3209</v>
      </c>
      <c r="E931" s="83" t="s">
        <v>3246</v>
      </c>
      <c r="F931" s="83" t="s">
        <v>5559</v>
      </c>
      <c r="G931" s="83" t="s">
        <v>5560</v>
      </c>
      <c r="H931" s="83">
        <v>100</v>
      </c>
      <c r="I931" s="83" t="s">
        <v>3213</v>
      </c>
      <c r="J931" s="83" t="s">
        <v>3621</v>
      </c>
      <c r="K931" s="83" t="s">
        <v>3215</v>
      </c>
    </row>
    <row r="932" spans="1:11" ht="51.75" x14ac:dyDescent="0.25">
      <c r="A932" s="83" t="s">
        <v>490</v>
      </c>
      <c r="B932" s="83" t="s">
        <v>3208</v>
      </c>
      <c r="C932" s="83" t="s">
        <v>5561</v>
      </c>
      <c r="D932" s="83" t="s">
        <v>3718</v>
      </c>
      <c r="E932" s="83" t="s">
        <v>3727</v>
      </c>
      <c r="F932" s="83" t="s">
        <v>5562</v>
      </c>
      <c r="G932" s="83" t="s">
        <v>4365</v>
      </c>
      <c r="H932" s="83">
        <v>10</v>
      </c>
      <c r="I932" s="83" t="s">
        <v>3229</v>
      </c>
      <c r="J932" s="83" t="s">
        <v>3289</v>
      </c>
      <c r="K932" s="83" t="s">
        <v>3215</v>
      </c>
    </row>
    <row r="933" spans="1:11" ht="51.75" x14ac:dyDescent="0.25">
      <c r="A933" s="83" t="s">
        <v>1128</v>
      </c>
      <c r="B933" s="83" t="s">
        <v>5563</v>
      </c>
      <c r="C933" s="83" t="s">
        <v>5564</v>
      </c>
      <c r="D933" s="83" t="s">
        <v>3209</v>
      </c>
      <c r="E933" s="83" t="s">
        <v>3246</v>
      </c>
      <c r="F933" s="83" t="s">
        <v>5565</v>
      </c>
      <c r="G933" s="83" t="s">
        <v>5566</v>
      </c>
      <c r="H933" s="83">
        <v>51.6</v>
      </c>
      <c r="I933" s="83" t="s">
        <v>3213</v>
      </c>
      <c r="J933" s="83" t="s">
        <v>3214</v>
      </c>
      <c r="K933" s="83" t="s">
        <v>3215</v>
      </c>
    </row>
    <row r="934" spans="1:11" ht="64.5" x14ac:dyDescent="0.25">
      <c r="A934" s="83" t="s">
        <v>599</v>
      </c>
      <c r="B934" s="83" t="s">
        <v>3208</v>
      </c>
      <c r="C934" s="83" t="s">
        <v>3208</v>
      </c>
      <c r="D934" s="83" t="s">
        <v>3209</v>
      </c>
      <c r="E934" s="83" t="s">
        <v>3210</v>
      </c>
      <c r="F934" s="83" t="s">
        <v>5567</v>
      </c>
      <c r="G934" s="83" t="s">
        <v>5568</v>
      </c>
      <c r="H934" s="83">
        <v>52</v>
      </c>
      <c r="I934" s="83" t="s">
        <v>3229</v>
      </c>
      <c r="J934" s="83" t="s">
        <v>3601</v>
      </c>
      <c r="K934" s="83" t="s">
        <v>3215</v>
      </c>
    </row>
    <row r="935" spans="1:11" ht="26.25" x14ac:dyDescent="0.25">
      <c r="A935" s="83" t="s">
        <v>5569</v>
      </c>
      <c r="B935" s="83" t="s">
        <v>3208</v>
      </c>
      <c r="C935" s="83" t="s">
        <v>3208</v>
      </c>
      <c r="D935" s="83" t="s">
        <v>3713</v>
      </c>
      <c r="E935" s="83" t="s">
        <v>3714</v>
      </c>
      <c r="F935" s="83" t="s">
        <v>5570</v>
      </c>
      <c r="G935" s="83" t="s">
        <v>5571</v>
      </c>
      <c r="H935" s="83">
        <v>0</v>
      </c>
      <c r="I935" s="83" t="s">
        <v>3229</v>
      </c>
      <c r="J935" s="83" t="s">
        <v>3222</v>
      </c>
      <c r="K935" s="83" t="s">
        <v>3215</v>
      </c>
    </row>
    <row r="936" spans="1:11" ht="51.75" x14ac:dyDescent="0.25">
      <c r="A936" s="83" t="s">
        <v>627</v>
      </c>
      <c r="B936" s="83" t="s">
        <v>3208</v>
      </c>
      <c r="C936" s="83" t="s">
        <v>3208</v>
      </c>
      <c r="D936" s="83" t="s">
        <v>3209</v>
      </c>
      <c r="E936" s="83" t="s">
        <v>3210</v>
      </c>
      <c r="F936" s="83" t="s">
        <v>5572</v>
      </c>
      <c r="G936" s="83" t="s">
        <v>4191</v>
      </c>
      <c r="H936" s="83">
        <v>198</v>
      </c>
      <c r="I936" s="83" t="s">
        <v>3229</v>
      </c>
      <c r="J936" s="83" t="s">
        <v>4192</v>
      </c>
      <c r="K936" s="83" t="s">
        <v>3215</v>
      </c>
    </row>
    <row r="937" spans="1:11" ht="64.5" x14ac:dyDescent="0.25">
      <c r="A937" s="83" t="s">
        <v>5573</v>
      </c>
      <c r="B937" s="83" t="s">
        <v>3208</v>
      </c>
      <c r="C937" s="83" t="s">
        <v>3208</v>
      </c>
      <c r="D937" s="83" t="s">
        <v>3713</v>
      </c>
      <c r="E937" s="83" t="s">
        <v>3714</v>
      </c>
      <c r="F937" s="83" t="s">
        <v>3994</v>
      </c>
      <c r="G937" s="83" t="s">
        <v>5574</v>
      </c>
      <c r="H937" s="83">
        <v>0</v>
      </c>
      <c r="I937" s="83" t="s">
        <v>3229</v>
      </c>
      <c r="J937" s="83" t="s">
        <v>3380</v>
      </c>
      <c r="K937" s="83" t="s">
        <v>3215</v>
      </c>
    </row>
    <row r="938" spans="1:11" ht="51.75" x14ac:dyDescent="0.25">
      <c r="A938" s="83" t="s">
        <v>62</v>
      </c>
      <c r="B938" s="83" t="s">
        <v>5575</v>
      </c>
      <c r="C938" s="83" t="s">
        <v>5576</v>
      </c>
      <c r="D938" s="83" t="s">
        <v>3209</v>
      </c>
      <c r="E938" s="83" t="s">
        <v>3246</v>
      </c>
      <c r="F938" s="83" t="s">
        <v>5577</v>
      </c>
      <c r="G938" s="83" t="s">
        <v>152</v>
      </c>
      <c r="H938" s="83">
        <v>105</v>
      </c>
      <c r="I938" s="83" t="s">
        <v>3213</v>
      </c>
      <c r="J938" s="83" t="s">
        <v>3538</v>
      </c>
      <c r="K938" s="83" t="s">
        <v>3215</v>
      </c>
    </row>
    <row r="939" spans="1:11" ht="51.75" x14ac:dyDescent="0.25">
      <c r="A939" s="83" t="s">
        <v>593</v>
      </c>
      <c r="B939" s="83" t="s">
        <v>5578</v>
      </c>
      <c r="C939" s="83" t="s">
        <v>3208</v>
      </c>
      <c r="D939" s="83" t="s">
        <v>3209</v>
      </c>
      <c r="E939" s="83" t="s">
        <v>3226</v>
      </c>
      <c r="F939" s="83" t="s">
        <v>5579</v>
      </c>
      <c r="G939" s="83" t="s">
        <v>5580</v>
      </c>
      <c r="H939" s="83">
        <v>49.5</v>
      </c>
      <c r="I939" s="83" t="s">
        <v>3213</v>
      </c>
      <c r="J939" s="83" t="s">
        <v>3271</v>
      </c>
      <c r="K939" s="83" t="s">
        <v>3215</v>
      </c>
    </row>
    <row r="940" spans="1:11" ht="26.25" x14ac:dyDescent="0.25">
      <c r="A940" s="83" t="s">
        <v>5581</v>
      </c>
      <c r="B940" s="83" t="s">
        <v>3208</v>
      </c>
      <c r="C940" s="83" t="s">
        <v>3208</v>
      </c>
      <c r="D940" s="83" t="s">
        <v>3713</v>
      </c>
      <c r="E940" s="83" t="s">
        <v>3714</v>
      </c>
      <c r="F940" s="83" t="s">
        <v>3875</v>
      </c>
      <c r="G940" s="83" t="s">
        <v>5582</v>
      </c>
      <c r="H940" s="83">
        <v>0</v>
      </c>
      <c r="I940" s="83" t="s">
        <v>3208</v>
      </c>
      <c r="J940" s="83" t="s">
        <v>3208</v>
      </c>
      <c r="K940" s="83" t="s">
        <v>3208</v>
      </c>
    </row>
    <row r="941" spans="1:11" ht="26.25" x14ac:dyDescent="0.25">
      <c r="A941" s="83" t="s">
        <v>5583</v>
      </c>
      <c r="B941" s="83" t="s">
        <v>3208</v>
      </c>
      <c r="C941" s="83" t="s">
        <v>3208</v>
      </c>
      <c r="D941" s="83" t="s">
        <v>3713</v>
      </c>
      <c r="E941" s="83" t="s">
        <v>3714</v>
      </c>
      <c r="F941" s="83" t="s">
        <v>3909</v>
      </c>
      <c r="G941" s="83" t="s">
        <v>3910</v>
      </c>
      <c r="H941" s="83">
        <v>0</v>
      </c>
      <c r="I941" s="83" t="s">
        <v>3208</v>
      </c>
      <c r="J941" s="83" t="s">
        <v>3208</v>
      </c>
      <c r="K941" s="83" t="s">
        <v>3208</v>
      </c>
    </row>
    <row r="942" spans="1:11" ht="51.75" x14ac:dyDescent="0.25">
      <c r="A942" s="83" t="s">
        <v>748</v>
      </c>
      <c r="B942" s="83" t="s">
        <v>3208</v>
      </c>
      <c r="C942" s="83" t="s">
        <v>5584</v>
      </c>
      <c r="D942" s="83" t="s">
        <v>3718</v>
      </c>
      <c r="E942" s="83" t="s">
        <v>3727</v>
      </c>
      <c r="F942" s="83" t="s">
        <v>5585</v>
      </c>
      <c r="G942" s="83" t="s">
        <v>5586</v>
      </c>
      <c r="H942" s="83">
        <v>0.6</v>
      </c>
      <c r="I942" s="83" t="s">
        <v>3229</v>
      </c>
      <c r="J942" s="83" t="s">
        <v>3371</v>
      </c>
      <c r="K942" s="83" t="s">
        <v>3215</v>
      </c>
    </row>
    <row r="943" spans="1:11" ht="26.25" x14ac:dyDescent="0.25">
      <c r="A943" s="83" t="s">
        <v>5587</v>
      </c>
      <c r="B943" s="83" t="s">
        <v>3208</v>
      </c>
      <c r="C943" s="83" t="s">
        <v>3208</v>
      </c>
      <c r="D943" s="83" t="s">
        <v>3713</v>
      </c>
      <c r="E943" s="83" t="s">
        <v>3714</v>
      </c>
      <c r="F943" s="83" t="s">
        <v>3909</v>
      </c>
      <c r="G943" s="83" t="s">
        <v>3910</v>
      </c>
      <c r="H943" s="83">
        <v>0</v>
      </c>
      <c r="I943" s="83" t="s">
        <v>3208</v>
      </c>
      <c r="J943" s="83" t="s">
        <v>3208</v>
      </c>
      <c r="K943" s="83" t="s">
        <v>3208</v>
      </c>
    </row>
    <row r="944" spans="1:11" ht="26.25" x14ac:dyDescent="0.25">
      <c r="A944" s="83" t="s">
        <v>5588</v>
      </c>
      <c r="B944" s="83" t="s">
        <v>3208</v>
      </c>
      <c r="C944" s="83" t="s">
        <v>5589</v>
      </c>
      <c r="D944" s="83" t="s">
        <v>3718</v>
      </c>
      <c r="E944" s="83" t="s">
        <v>3702</v>
      </c>
      <c r="F944" s="83" t="s">
        <v>4013</v>
      </c>
      <c r="G944" s="83" t="s">
        <v>5590</v>
      </c>
      <c r="H944" s="83">
        <v>5.7</v>
      </c>
      <c r="I944" s="83" t="s">
        <v>3208</v>
      </c>
      <c r="J944" s="83" t="s">
        <v>3208</v>
      </c>
      <c r="K944" s="83" t="s">
        <v>3208</v>
      </c>
    </row>
    <row r="945" spans="1:11" ht="51.75" x14ac:dyDescent="0.25">
      <c r="A945" s="83" t="s">
        <v>794</v>
      </c>
      <c r="B945" s="83" t="s">
        <v>5591</v>
      </c>
      <c r="C945" s="83" t="s">
        <v>3208</v>
      </c>
      <c r="D945" s="83" t="s">
        <v>3209</v>
      </c>
      <c r="E945" s="83" t="s">
        <v>3226</v>
      </c>
      <c r="F945" s="83" t="s">
        <v>5592</v>
      </c>
      <c r="G945" s="83" t="s">
        <v>4815</v>
      </c>
      <c r="H945" s="83">
        <v>52.5</v>
      </c>
      <c r="I945" s="83" t="s">
        <v>3229</v>
      </c>
      <c r="J945" s="83" t="s">
        <v>3238</v>
      </c>
      <c r="K945" s="83" t="s">
        <v>3215</v>
      </c>
    </row>
    <row r="946" spans="1:11" ht="26.25" x14ac:dyDescent="0.25">
      <c r="A946" s="83" t="s">
        <v>2202</v>
      </c>
      <c r="B946" s="83" t="s">
        <v>3208</v>
      </c>
      <c r="C946" s="83" t="s">
        <v>3208</v>
      </c>
      <c r="D946" s="83" t="s">
        <v>3713</v>
      </c>
      <c r="E946" s="83" t="s">
        <v>3761</v>
      </c>
      <c r="F946" s="83" t="s">
        <v>5593</v>
      </c>
      <c r="G946" s="83" t="s">
        <v>5594</v>
      </c>
      <c r="H946" s="83">
        <v>0</v>
      </c>
      <c r="I946" s="83" t="s">
        <v>3229</v>
      </c>
      <c r="J946" s="83" t="s">
        <v>3311</v>
      </c>
      <c r="K946" s="83" t="s">
        <v>3215</v>
      </c>
    </row>
    <row r="947" spans="1:11" ht="51.75" x14ac:dyDescent="0.25">
      <c r="A947" s="83" t="s">
        <v>98</v>
      </c>
      <c r="B947" s="83" t="s">
        <v>3208</v>
      </c>
      <c r="C947" s="83" t="s">
        <v>3208</v>
      </c>
      <c r="D947" s="83" t="s">
        <v>3713</v>
      </c>
      <c r="E947" s="83" t="s">
        <v>3761</v>
      </c>
      <c r="F947" s="83" t="s">
        <v>5595</v>
      </c>
      <c r="G947" s="83" t="s">
        <v>5596</v>
      </c>
      <c r="H947" s="83">
        <v>0</v>
      </c>
      <c r="I947" s="83" t="s">
        <v>3229</v>
      </c>
      <c r="J947" s="83" t="s">
        <v>3289</v>
      </c>
      <c r="K947" s="83" t="s">
        <v>3215</v>
      </c>
    </row>
    <row r="948" spans="1:11" ht="153.75" x14ac:dyDescent="0.25">
      <c r="A948" s="83" t="s">
        <v>1393</v>
      </c>
      <c r="B948" s="83" t="s">
        <v>5597</v>
      </c>
      <c r="C948" s="83" t="s">
        <v>3208</v>
      </c>
      <c r="D948" s="83" t="s">
        <v>3209</v>
      </c>
      <c r="E948" s="83" t="s">
        <v>3226</v>
      </c>
      <c r="F948" s="83" t="s">
        <v>5598</v>
      </c>
      <c r="G948" s="83" t="s">
        <v>5599</v>
      </c>
      <c r="H948" s="83">
        <v>375316</v>
      </c>
      <c r="I948" s="83" t="s">
        <v>3229</v>
      </c>
      <c r="J948" s="83" t="s">
        <v>5600</v>
      </c>
      <c r="K948" s="83" t="s">
        <v>3215</v>
      </c>
    </row>
    <row r="949" spans="1:11" x14ac:dyDescent="0.25">
      <c r="A949" s="83" t="s">
        <v>5601</v>
      </c>
      <c r="B949" s="83" t="s">
        <v>3208</v>
      </c>
      <c r="C949" s="83" t="s">
        <v>3208</v>
      </c>
      <c r="D949" s="83" t="s">
        <v>3209</v>
      </c>
      <c r="E949" s="83" t="s">
        <v>3663</v>
      </c>
      <c r="F949" s="83" t="s">
        <v>5555</v>
      </c>
      <c r="G949" s="83" t="s">
        <v>5602</v>
      </c>
      <c r="H949" s="83">
        <v>25</v>
      </c>
      <c r="I949" s="83" t="s">
        <v>3208</v>
      </c>
      <c r="J949" s="83" t="s">
        <v>3208</v>
      </c>
      <c r="K949" s="83" t="s">
        <v>3208</v>
      </c>
    </row>
    <row r="950" spans="1:11" ht="64.5" x14ac:dyDescent="0.25">
      <c r="A950" s="83" t="s">
        <v>625</v>
      </c>
      <c r="B950" s="83" t="s">
        <v>3208</v>
      </c>
      <c r="C950" s="83" t="s">
        <v>3208</v>
      </c>
      <c r="D950" s="83" t="s">
        <v>3209</v>
      </c>
      <c r="E950" s="83" t="s">
        <v>3210</v>
      </c>
      <c r="F950" s="83" t="s">
        <v>5603</v>
      </c>
      <c r="G950" s="83" t="s">
        <v>4879</v>
      </c>
      <c r="H950" s="83">
        <v>22.1</v>
      </c>
      <c r="I950" s="83" t="s">
        <v>3213</v>
      </c>
      <c r="J950" s="83" t="s">
        <v>3601</v>
      </c>
      <c r="K950" s="83" t="s">
        <v>3215</v>
      </c>
    </row>
    <row r="951" spans="1:11" ht="51.75" x14ac:dyDescent="0.25">
      <c r="A951" s="83" t="s">
        <v>743</v>
      </c>
      <c r="B951" s="83" t="s">
        <v>5604</v>
      </c>
      <c r="C951" s="83" t="s">
        <v>3208</v>
      </c>
      <c r="D951" s="83" t="s">
        <v>3209</v>
      </c>
      <c r="E951" s="83" t="s">
        <v>3226</v>
      </c>
      <c r="F951" s="83" t="s">
        <v>5605</v>
      </c>
      <c r="G951" s="83" t="s">
        <v>3860</v>
      </c>
      <c r="H951" s="83">
        <v>91</v>
      </c>
      <c r="I951" s="83" t="s">
        <v>3213</v>
      </c>
      <c r="J951" s="83" t="s">
        <v>3257</v>
      </c>
      <c r="K951" s="83" t="s">
        <v>3215</v>
      </c>
    </row>
    <row r="952" spans="1:11" ht="51.75" x14ac:dyDescent="0.25">
      <c r="A952" s="83" t="s">
        <v>1603</v>
      </c>
      <c r="B952" s="83" t="s">
        <v>5606</v>
      </c>
      <c r="C952" s="83" t="s">
        <v>5607</v>
      </c>
      <c r="D952" s="83" t="s">
        <v>3209</v>
      </c>
      <c r="E952" s="83" t="s">
        <v>3246</v>
      </c>
      <c r="F952" s="83" t="s">
        <v>4305</v>
      </c>
      <c r="G952" s="83" t="s">
        <v>5608</v>
      </c>
      <c r="H952" s="83">
        <v>30.5</v>
      </c>
      <c r="I952" s="83" t="s">
        <v>3229</v>
      </c>
      <c r="J952" s="83" t="s">
        <v>3230</v>
      </c>
      <c r="K952" s="83" t="s">
        <v>3215</v>
      </c>
    </row>
    <row r="953" spans="1:11" ht="51.75" x14ac:dyDescent="0.25">
      <c r="A953" s="83" t="s">
        <v>1709</v>
      </c>
      <c r="B953" s="83" t="s">
        <v>5609</v>
      </c>
      <c r="C953" s="83" t="s">
        <v>5610</v>
      </c>
      <c r="D953" s="83" t="s">
        <v>3209</v>
      </c>
      <c r="E953" s="83" t="s">
        <v>3246</v>
      </c>
      <c r="F953" s="83" t="s">
        <v>5611</v>
      </c>
      <c r="G953" s="83" t="s">
        <v>5608</v>
      </c>
      <c r="H953" s="83">
        <v>321.2</v>
      </c>
      <c r="I953" s="83" t="s">
        <v>3229</v>
      </c>
      <c r="J953" s="83" t="s">
        <v>3230</v>
      </c>
      <c r="K953" s="83" t="s">
        <v>3215</v>
      </c>
    </row>
    <row r="954" spans="1:11" x14ac:dyDescent="0.25">
      <c r="A954" s="83" t="s">
        <v>5612</v>
      </c>
      <c r="B954" s="83" t="s">
        <v>5613</v>
      </c>
      <c r="C954" s="83" t="s">
        <v>3208</v>
      </c>
      <c r="D954" s="83" t="s">
        <v>3209</v>
      </c>
      <c r="E954" s="83" t="s">
        <v>3702</v>
      </c>
      <c r="F954" s="83" t="s">
        <v>5614</v>
      </c>
      <c r="G954" s="83" t="s">
        <v>5615</v>
      </c>
      <c r="H954" s="83">
        <v>68</v>
      </c>
      <c r="I954" s="83" t="s">
        <v>3208</v>
      </c>
      <c r="J954" s="83" t="s">
        <v>3208</v>
      </c>
      <c r="K954" s="83" t="s">
        <v>3208</v>
      </c>
    </row>
    <row r="955" spans="1:11" ht="51.75" x14ac:dyDescent="0.25">
      <c r="A955" s="83" t="s">
        <v>662</v>
      </c>
      <c r="B955" s="83" t="s">
        <v>5616</v>
      </c>
      <c r="C955" s="83" t="s">
        <v>3208</v>
      </c>
      <c r="D955" s="83" t="s">
        <v>3209</v>
      </c>
      <c r="E955" s="83" t="s">
        <v>3226</v>
      </c>
      <c r="F955" s="83" t="s">
        <v>5617</v>
      </c>
      <c r="G955" s="83" t="s">
        <v>3940</v>
      </c>
      <c r="H955" s="83">
        <v>23</v>
      </c>
      <c r="I955" s="83" t="s">
        <v>3229</v>
      </c>
      <c r="J955" s="83" t="s">
        <v>3371</v>
      </c>
      <c r="K955" s="83" t="s">
        <v>3215</v>
      </c>
    </row>
    <row r="956" spans="1:11" ht="51.75" x14ac:dyDescent="0.25">
      <c r="A956" s="83" t="s">
        <v>70</v>
      </c>
      <c r="B956" s="83" t="s">
        <v>5618</v>
      </c>
      <c r="C956" s="83" t="s">
        <v>5619</v>
      </c>
      <c r="D956" s="83" t="s">
        <v>3209</v>
      </c>
      <c r="E956" s="83" t="s">
        <v>3246</v>
      </c>
      <c r="F956" s="83" t="s">
        <v>5620</v>
      </c>
      <c r="G956" s="83" t="s">
        <v>5621</v>
      </c>
      <c r="H956" s="83">
        <v>88</v>
      </c>
      <c r="I956" s="83" t="s">
        <v>3213</v>
      </c>
      <c r="J956" s="83" t="s">
        <v>3271</v>
      </c>
      <c r="K956" s="83" t="s">
        <v>3215</v>
      </c>
    </row>
    <row r="957" spans="1:11" ht="64.5" x14ac:dyDescent="0.25">
      <c r="A957" s="83" t="s">
        <v>2293</v>
      </c>
      <c r="B957" s="83" t="s">
        <v>3208</v>
      </c>
      <c r="C957" s="83" t="s">
        <v>3208</v>
      </c>
      <c r="D957" s="83" t="s">
        <v>3713</v>
      </c>
      <c r="E957" s="83" t="s">
        <v>3761</v>
      </c>
      <c r="F957" s="83" t="s">
        <v>4041</v>
      </c>
      <c r="G957" s="83" t="s">
        <v>5622</v>
      </c>
      <c r="H957" s="83">
        <v>0</v>
      </c>
      <c r="I957" s="83" t="s">
        <v>3229</v>
      </c>
      <c r="J957" s="83" t="s">
        <v>3380</v>
      </c>
      <c r="K957" s="83" t="s">
        <v>3215</v>
      </c>
    </row>
    <row r="958" spans="1:11" ht="51.75" x14ac:dyDescent="0.25">
      <c r="A958" s="83" t="s">
        <v>895</v>
      </c>
      <c r="B958" s="83" t="s">
        <v>5623</v>
      </c>
      <c r="C958" s="83" t="s">
        <v>5624</v>
      </c>
      <c r="D958" s="83" t="s">
        <v>3209</v>
      </c>
      <c r="E958" s="83" t="s">
        <v>3246</v>
      </c>
      <c r="F958" s="83" t="s">
        <v>4792</v>
      </c>
      <c r="G958" s="83" t="s">
        <v>4793</v>
      </c>
      <c r="H958" s="83">
        <v>105</v>
      </c>
      <c r="I958" s="83" t="s">
        <v>3213</v>
      </c>
      <c r="J958" s="83" t="s">
        <v>3214</v>
      </c>
      <c r="K958" s="83" t="s">
        <v>3215</v>
      </c>
    </row>
    <row r="959" spans="1:11" ht="64.5" x14ac:dyDescent="0.25">
      <c r="A959" s="83" t="s">
        <v>787</v>
      </c>
      <c r="B959" s="83" t="s">
        <v>5625</v>
      </c>
      <c r="C959" s="83" t="s">
        <v>5626</v>
      </c>
      <c r="D959" s="83" t="s">
        <v>3209</v>
      </c>
      <c r="E959" s="83" t="s">
        <v>3246</v>
      </c>
      <c r="F959" s="83" t="s">
        <v>3828</v>
      </c>
      <c r="G959" s="83" t="s">
        <v>5627</v>
      </c>
      <c r="H959" s="83">
        <v>7.3</v>
      </c>
      <c r="I959" s="83" t="s">
        <v>3213</v>
      </c>
      <c r="J959" s="83" t="s">
        <v>3413</v>
      </c>
      <c r="K959" s="83" t="s">
        <v>3215</v>
      </c>
    </row>
    <row r="960" spans="1:11" ht="51.75" x14ac:dyDescent="0.25">
      <c r="A960" s="83" t="s">
        <v>2313</v>
      </c>
      <c r="B960" s="83" t="s">
        <v>3208</v>
      </c>
      <c r="C960" s="83" t="s">
        <v>3208</v>
      </c>
      <c r="D960" s="83" t="s">
        <v>3713</v>
      </c>
      <c r="E960" s="83" t="s">
        <v>3761</v>
      </c>
      <c r="F960" s="83" t="s">
        <v>3886</v>
      </c>
      <c r="G960" s="83" t="s">
        <v>3417</v>
      </c>
      <c r="H960" s="83">
        <v>0</v>
      </c>
      <c r="I960" s="83" t="s">
        <v>3213</v>
      </c>
      <c r="J960" s="83" t="s">
        <v>3257</v>
      </c>
      <c r="K960" s="83" t="s">
        <v>3215</v>
      </c>
    </row>
    <row r="961" spans="1:11" ht="26.25" x14ac:dyDescent="0.25">
      <c r="A961" s="83" t="s">
        <v>1997</v>
      </c>
      <c r="B961" s="83" t="s">
        <v>3208</v>
      </c>
      <c r="C961" s="83" t="s">
        <v>3208</v>
      </c>
      <c r="D961" s="83" t="s">
        <v>3713</v>
      </c>
      <c r="E961" s="83" t="s">
        <v>3761</v>
      </c>
      <c r="F961" s="83" t="s">
        <v>5628</v>
      </c>
      <c r="G961" s="83" t="s">
        <v>5629</v>
      </c>
      <c r="H961" s="83">
        <v>0</v>
      </c>
      <c r="I961" s="83" t="s">
        <v>3229</v>
      </c>
      <c r="J961" s="83" t="s">
        <v>3222</v>
      </c>
      <c r="K961" s="83" t="s">
        <v>3215</v>
      </c>
    </row>
    <row r="962" spans="1:11" ht="51.75" x14ac:dyDescent="0.25">
      <c r="A962" s="83" t="s">
        <v>2297</v>
      </c>
      <c r="B962" s="83" t="s">
        <v>3208</v>
      </c>
      <c r="C962" s="83" t="s">
        <v>3208</v>
      </c>
      <c r="D962" s="83" t="s">
        <v>3713</v>
      </c>
      <c r="E962" s="83" t="s">
        <v>3761</v>
      </c>
      <c r="F962" s="83" t="s">
        <v>4041</v>
      </c>
      <c r="G962" s="83" t="s">
        <v>5622</v>
      </c>
      <c r="H962" s="83">
        <v>0</v>
      </c>
      <c r="I962" s="83" t="s">
        <v>3229</v>
      </c>
      <c r="J962" s="83" t="s">
        <v>3230</v>
      </c>
      <c r="K962" s="83" t="s">
        <v>3215</v>
      </c>
    </row>
    <row r="963" spans="1:11" ht="26.25" x14ac:dyDescent="0.25">
      <c r="A963" s="83" t="s">
        <v>650</v>
      </c>
      <c r="B963" s="83" t="s">
        <v>5630</v>
      </c>
      <c r="C963" s="83" t="s">
        <v>3208</v>
      </c>
      <c r="D963" s="83" t="s">
        <v>3209</v>
      </c>
      <c r="E963" s="83" t="s">
        <v>3226</v>
      </c>
      <c r="F963" s="83" t="s">
        <v>5631</v>
      </c>
      <c r="G963" s="83" t="s">
        <v>5632</v>
      </c>
      <c r="H963" s="83">
        <v>85</v>
      </c>
      <c r="I963" s="83" t="s">
        <v>3229</v>
      </c>
      <c r="J963" s="83" t="s">
        <v>3311</v>
      </c>
      <c r="K963" s="83" t="s">
        <v>3215</v>
      </c>
    </row>
    <row r="964" spans="1:11" ht="51.75" x14ac:dyDescent="0.25">
      <c r="A964" s="83" t="s">
        <v>2421</v>
      </c>
      <c r="B964" s="83" t="s">
        <v>3208</v>
      </c>
      <c r="C964" s="83" t="s">
        <v>3208</v>
      </c>
      <c r="D964" s="83" t="s">
        <v>3713</v>
      </c>
      <c r="E964" s="83" t="s">
        <v>3761</v>
      </c>
      <c r="F964" s="83" t="s">
        <v>5633</v>
      </c>
      <c r="G964" s="83" t="s">
        <v>5634</v>
      </c>
      <c r="H964" s="83">
        <v>0</v>
      </c>
      <c r="I964" s="83" t="s">
        <v>3229</v>
      </c>
      <c r="J964" s="83" t="s">
        <v>3730</v>
      </c>
      <c r="K964" s="83" t="s">
        <v>3215</v>
      </c>
    </row>
    <row r="965" spans="1:11" ht="26.25" x14ac:dyDescent="0.25">
      <c r="A965" s="83" t="s">
        <v>789</v>
      </c>
      <c r="B965" s="83" t="s">
        <v>5635</v>
      </c>
      <c r="C965" s="83" t="s">
        <v>3208</v>
      </c>
      <c r="D965" s="83" t="s">
        <v>3209</v>
      </c>
      <c r="E965" s="83" t="s">
        <v>3226</v>
      </c>
      <c r="F965" s="83" t="s">
        <v>5636</v>
      </c>
      <c r="G965" s="83" t="s">
        <v>3927</v>
      </c>
      <c r="H965" s="83">
        <v>33</v>
      </c>
      <c r="I965" s="83" t="s">
        <v>3213</v>
      </c>
      <c r="J965" s="83" t="s">
        <v>3851</v>
      </c>
      <c r="K965" s="83" t="s">
        <v>3215</v>
      </c>
    </row>
    <row r="966" spans="1:11" ht="51.75" x14ac:dyDescent="0.25">
      <c r="A966" s="83" t="s">
        <v>2547</v>
      </c>
      <c r="B966" s="83" t="s">
        <v>3208</v>
      </c>
      <c r="C966" s="83" t="s">
        <v>3208</v>
      </c>
      <c r="D966" s="83" t="s">
        <v>3713</v>
      </c>
      <c r="E966" s="83" t="s">
        <v>3761</v>
      </c>
      <c r="F966" s="83" t="s">
        <v>3886</v>
      </c>
      <c r="G966" s="83" t="s">
        <v>3520</v>
      </c>
      <c r="H966" s="83">
        <v>0</v>
      </c>
      <c r="I966" s="83" t="s">
        <v>3229</v>
      </c>
      <c r="J966" s="83" t="s">
        <v>3521</v>
      </c>
      <c r="K966" s="83" t="s">
        <v>3215</v>
      </c>
    </row>
    <row r="967" spans="1:11" ht="26.25" x14ac:dyDescent="0.25">
      <c r="A967" s="83" t="s">
        <v>2502</v>
      </c>
      <c r="B967" s="83" t="s">
        <v>3208</v>
      </c>
      <c r="C967" s="83" t="s">
        <v>3208</v>
      </c>
      <c r="D967" s="83" t="s">
        <v>3713</v>
      </c>
      <c r="E967" s="83" t="s">
        <v>3761</v>
      </c>
      <c r="F967" s="83" t="s">
        <v>5637</v>
      </c>
      <c r="G967" s="83" t="s">
        <v>5638</v>
      </c>
      <c r="H967" s="83">
        <v>0</v>
      </c>
      <c r="I967" s="83" t="s">
        <v>3229</v>
      </c>
      <c r="J967" s="83" t="s">
        <v>3397</v>
      </c>
      <c r="K967" s="83" t="s">
        <v>3215</v>
      </c>
    </row>
    <row r="968" spans="1:11" ht="51.75" x14ac:dyDescent="0.25">
      <c r="A968" s="83" t="s">
        <v>471</v>
      </c>
      <c r="B968" s="83" t="s">
        <v>3208</v>
      </c>
      <c r="C968" s="83" t="s">
        <v>3208</v>
      </c>
      <c r="D968" s="83" t="s">
        <v>3209</v>
      </c>
      <c r="E968" s="83" t="s">
        <v>3210</v>
      </c>
      <c r="F968" s="83" t="s">
        <v>4921</v>
      </c>
      <c r="G968" s="83" t="s">
        <v>3838</v>
      </c>
      <c r="H968" s="83">
        <v>22.2</v>
      </c>
      <c r="I968" s="83" t="s">
        <v>3213</v>
      </c>
      <c r="J968" s="83" t="s">
        <v>3214</v>
      </c>
      <c r="K968" s="83" t="s">
        <v>3215</v>
      </c>
    </row>
    <row r="969" spans="1:11" ht="26.25" x14ac:dyDescent="0.25">
      <c r="A969" s="83" t="s">
        <v>2408</v>
      </c>
      <c r="B969" s="83" t="s">
        <v>3208</v>
      </c>
      <c r="C969" s="83" t="s">
        <v>3208</v>
      </c>
      <c r="D969" s="83" t="s">
        <v>3713</v>
      </c>
      <c r="E969" s="83" t="s">
        <v>3761</v>
      </c>
      <c r="F969" s="83" t="s">
        <v>3895</v>
      </c>
      <c r="G969" s="83" t="s">
        <v>4848</v>
      </c>
      <c r="H969" s="83">
        <v>0</v>
      </c>
      <c r="I969" s="83" t="s">
        <v>3213</v>
      </c>
      <c r="J969" s="83" t="s">
        <v>3896</v>
      </c>
      <c r="K969" s="83" t="s">
        <v>3215</v>
      </c>
    </row>
    <row r="970" spans="1:11" ht="64.5" x14ac:dyDescent="0.25">
      <c r="A970" s="83" t="s">
        <v>2605</v>
      </c>
      <c r="B970" s="83" t="s">
        <v>3208</v>
      </c>
      <c r="C970" s="83" t="s">
        <v>3208</v>
      </c>
      <c r="D970" s="83" t="s">
        <v>3713</v>
      </c>
      <c r="E970" s="83" t="s">
        <v>3761</v>
      </c>
      <c r="F970" s="83" t="s">
        <v>5639</v>
      </c>
      <c r="G970" s="83" t="s">
        <v>4840</v>
      </c>
      <c r="H970" s="83">
        <v>0</v>
      </c>
      <c r="I970" s="83" t="s">
        <v>3229</v>
      </c>
      <c r="J970" s="83" t="s">
        <v>3380</v>
      </c>
      <c r="K970" s="83" t="s">
        <v>3215</v>
      </c>
    </row>
    <row r="971" spans="1:11" ht="51.75" x14ac:dyDescent="0.25">
      <c r="A971" s="83" t="s">
        <v>2540</v>
      </c>
      <c r="B971" s="83" t="s">
        <v>3208</v>
      </c>
      <c r="C971" s="83" t="s">
        <v>3208</v>
      </c>
      <c r="D971" s="83" t="s">
        <v>3713</v>
      </c>
      <c r="E971" s="83" t="s">
        <v>3761</v>
      </c>
      <c r="F971" s="83" t="s">
        <v>3976</v>
      </c>
      <c r="G971" s="83" t="s">
        <v>3862</v>
      </c>
      <c r="H971" s="83">
        <v>0</v>
      </c>
      <c r="I971" s="83" t="s">
        <v>3229</v>
      </c>
      <c r="J971" s="83" t="s">
        <v>3238</v>
      </c>
      <c r="K971" s="83" t="s">
        <v>3215</v>
      </c>
    </row>
    <row r="972" spans="1:11" ht="26.25" x14ac:dyDescent="0.25">
      <c r="A972" s="83" t="s">
        <v>1662</v>
      </c>
      <c r="B972" s="83" t="s">
        <v>5640</v>
      </c>
      <c r="C972" s="83" t="s">
        <v>5641</v>
      </c>
      <c r="D972" s="83" t="s">
        <v>3209</v>
      </c>
      <c r="E972" s="83" t="s">
        <v>3246</v>
      </c>
      <c r="F972" s="83" t="s">
        <v>5642</v>
      </c>
      <c r="G972" s="83" t="s">
        <v>4007</v>
      </c>
      <c r="H972" s="83">
        <v>160.6</v>
      </c>
      <c r="I972" s="83" t="s">
        <v>3213</v>
      </c>
      <c r="J972" s="83" t="s">
        <v>3948</v>
      </c>
      <c r="K972" s="83" t="s">
        <v>3215</v>
      </c>
    </row>
    <row r="973" spans="1:11" ht="51.75" x14ac:dyDescent="0.25">
      <c r="A973" s="83" t="s">
        <v>2601</v>
      </c>
      <c r="B973" s="83" t="s">
        <v>3208</v>
      </c>
      <c r="C973" s="83" t="s">
        <v>3208</v>
      </c>
      <c r="D973" s="83" t="s">
        <v>3713</v>
      </c>
      <c r="E973" s="83" t="s">
        <v>3761</v>
      </c>
      <c r="F973" s="83" t="s">
        <v>5643</v>
      </c>
      <c r="G973" s="83" t="s">
        <v>3986</v>
      </c>
      <c r="H973" s="83">
        <v>0</v>
      </c>
      <c r="I973" s="83" t="s">
        <v>3229</v>
      </c>
      <c r="J973" s="83" t="s">
        <v>3337</v>
      </c>
      <c r="K973" s="83" t="s">
        <v>3215</v>
      </c>
    </row>
    <row r="974" spans="1:11" ht="64.5" x14ac:dyDescent="0.25">
      <c r="A974" s="83" t="s">
        <v>2460</v>
      </c>
      <c r="B974" s="83" t="s">
        <v>3208</v>
      </c>
      <c r="C974" s="83" t="s">
        <v>3208</v>
      </c>
      <c r="D974" s="83" t="s">
        <v>3713</v>
      </c>
      <c r="E974" s="83" t="s">
        <v>3761</v>
      </c>
      <c r="F974" s="83" t="s">
        <v>5644</v>
      </c>
      <c r="G974" s="83" t="s">
        <v>5645</v>
      </c>
      <c r="H974" s="83">
        <v>0</v>
      </c>
      <c r="I974" s="83" t="s">
        <v>3229</v>
      </c>
      <c r="J974" s="83" t="s">
        <v>3601</v>
      </c>
      <c r="K974" s="83" t="s">
        <v>3215</v>
      </c>
    </row>
    <row r="975" spans="1:11" ht="26.25" x14ac:dyDescent="0.25">
      <c r="A975" s="83" t="s">
        <v>5646</v>
      </c>
      <c r="B975" s="83" t="s">
        <v>3208</v>
      </c>
      <c r="C975" s="83" t="s">
        <v>3208</v>
      </c>
      <c r="D975" s="83" t="s">
        <v>3713</v>
      </c>
      <c r="E975" s="83" t="s">
        <v>3714</v>
      </c>
      <c r="F975" s="83" t="s">
        <v>5647</v>
      </c>
      <c r="G975" s="83" t="s">
        <v>5648</v>
      </c>
      <c r="H975" s="83">
        <v>0</v>
      </c>
      <c r="I975" s="83" t="s">
        <v>3208</v>
      </c>
      <c r="J975" s="83" t="s">
        <v>3208</v>
      </c>
      <c r="K975" s="83" t="s">
        <v>3208</v>
      </c>
    </row>
    <row r="976" spans="1:11" ht="26.25" x14ac:dyDescent="0.25">
      <c r="A976" s="83" t="s">
        <v>2309</v>
      </c>
      <c r="B976" s="83" t="s">
        <v>3208</v>
      </c>
      <c r="C976" s="83" t="s">
        <v>3208</v>
      </c>
      <c r="D976" s="83" t="s">
        <v>3713</v>
      </c>
      <c r="E976" s="83" t="s">
        <v>3761</v>
      </c>
      <c r="F976" s="83" t="s">
        <v>3886</v>
      </c>
      <c r="G976" s="83" t="s">
        <v>4191</v>
      </c>
      <c r="H976" s="83">
        <v>0</v>
      </c>
      <c r="I976" s="83" t="s">
        <v>3229</v>
      </c>
      <c r="J976" s="83" t="s">
        <v>3397</v>
      </c>
      <c r="K976" s="83" t="s">
        <v>3215</v>
      </c>
    </row>
    <row r="977" spans="1:11" ht="51.75" x14ac:dyDescent="0.25">
      <c r="A977" s="83" t="s">
        <v>2455</v>
      </c>
      <c r="B977" s="83" t="s">
        <v>3208</v>
      </c>
      <c r="C977" s="83" t="s">
        <v>3208</v>
      </c>
      <c r="D977" s="83" t="s">
        <v>3713</v>
      </c>
      <c r="E977" s="83" t="s">
        <v>3761</v>
      </c>
      <c r="F977" s="83" t="s">
        <v>5649</v>
      </c>
      <c r="G977" s="83" t="s">
        <v>5650</v>
      </c>
      <c r="H977" s="83">
        <v>0</v>
      </c>
      <c r="I977" s="83" t="s">
        <v>3229</v>
      </c>
      <c r="J977" s="83" t="s">
        <v>4399</v>
      </c>
      <c r="K977" s="83" t="s">
        <v>3215</v>
      </c>
    </row>
    <row r="978" spans="1:11" ht="26.25" x14ac:dyDescent="0.25">
      <c r="A978" s="83" t="s">
        <v>5651</v>
      </c>
      <c r="B978" s="83" t="s">
        <v>3208</v>
      </c>
      <c r="C978" s="83" t="s">
        <v>3208</v>
      </c>
      <c r="D978" s="83" t="s">
        <v>3713</v>
      </c>
      <c r="E978" s="83" t="s">
        <v>3714</v>
      </c>
      <c r="F978" s="83" t="s">
        <v>5652</v>
      </c>
      <c r="G978" s="83" t="s">
        <v>5653</v>
      </c>
      <c r="H978" s="83">
        <v>0</v>
      </c>
      <c r="I978" s="83" t="s">
        <v>3208</v>
      </c>
      <c r="J978" s="83" t="s">
        <v>3208</v>
      </c>
      <c r="K978" s="83" t="s">
        <v>3208</v>
      </c>
    </row>
    <row r="979" spans="1:11" ht="51.75" x14ac:dyDescent="0.25">
      <c r="A979" s="83" t="s">
        <v>2423</v>
      </c>
      <c r="B979" s="83" t="s">
        <v>3208</v>
      </c>
      <c r="C979" s="83" t="s">
        <v>3208</v>
      </c>
      <c r="D979" s="83" t="s">
        <v>3713</v>
      </c>
      <c r="E979" s="83" t="s">
        <v>3761</v>
      </c>
      <c r="F979" s="83" t="s">
        <v>3950</v>
      </c>
      <c r="G979" s="83" t="s">
        <v>4107</v>
      </c>
      <c r="H979" s="83">
        <v>0</v>
      </c>
      <c r="I979" s="83" t="s">
        <v>3229</v>
      </c>
      <c r="J979" s="83" t="s">
        <v>3289</v>
      </c>
      <c r="K979" s="83" t="s">
        <v>3215</v>
      </c>
    </row>
    <row r="980" spans="1:11" ht="26.25" x14ac:dyDescent="0.25">
      <c r="A980" s="83" t="s">
        <v>2339</v>
      </c>
      <c r="B980" s="83" t="s">
        <v>3208</v>
      </c>
      <c r="C980" s="83" t="s">
        <v>3208</v>
      </c>
      <c r="D980" s="83" t="s">
        <v>3713</v>
      </c>
      <c r="E980" s="83" t="s">
        <v>3761</v>
      </c>
      <c r="F980" s="83" t="s">
        <v>3886</v>
      </c>
      <c r="G980" s="83" t="s">
        <v>5654</v>
      </c>
      <c r="H980" s="83">
        <v>0</v>
      </c>
      <c r="I980" s="83" t="s">
        <v>3229</v>
      </c>
      <c r="J980" s="83" t="s">
        <v>3397</v>
      </c>
      <c r="K980" s="83" t="s">
        <v>3215</v>
      </c>
    </row>
    <row r="981" spans="1:11" ht="39" x14ac:dyDescent="0.25">
      <c r="A981" s="83" t="s">
        <v>2475</v>
      </c>
      <c r="B981" s="83" t="s">
        <v>3208</v>
      </c>
      <c r="C981" s="83" t="s">
        <v>3208</v>
      </c>
      <c r="D981" s="83" t="s">
        <v>3713</v>
      </c>
      <c r="E981" s="83" t="s">
        <v>3761</v>
      </c>
      <c r="F981" s="83" t="s">
        <v>5655</v>
      </c>
      <c r="G981" s="83" t="s">
        <v>5656</v>
      </c>
      <c r="H981" s="83">
        <v>0</v>
      </c>
      <c r="I981" s="83" t="s">
        <v>3229</v>
      </c>
      <c r="J981" s="83" t="s">
        <v>3241</v>
      </c>
      <c r="K981" s="83" t="s">
        <v>3215</v>
      </c>
    </row>
    <row r="982" spans="1:11" ht="64.5" x14ac:dyDescent="0.25">
      <c r="A982" s="83" t="s">
        <v>2304</v>
      </c>
      <c r="B982" s="83" t="s">
        <v>3208</v>
      </c>
      <c r="C982" s="83" t="s">
        <v>3208</v>
      </c>
      <c r="D982" s="83" t="s">
        <v>3713</v>
      </c>
      <c r="E982" s="83" t="s">
        <v>3761</v>
      </c>
      <c r="F982" s="83" t="s">
        <v>4800</v>
      </c>
      <c r="G982" s="83" t="s">
        <v>5657</v>
      </c>
      <c r="H982" s="83">
        <v>0</v>
      </c>
      <c r="I982" s="83" t="s">
        <v>3229</v>
      </c>
      <c r="J982" s="83" t="s">
        <v>3380</v>
      </c>
      <c r="K982" s="83" t="s">
        <v>3215</v>
      </c>
    </row>
    <row r="983" spans="1:11" ht="26.25" x14ac:dyDescent="0.25">
      <c r="A983" s="83" t="s">
        <v>2454</v>
      </c>
      <c r="B983" s="83" t="s">
        <v>3208</v>
      </c>
      <c r="C983" s="83" t="s">
        <v>3208</v>
      </c>
      <c r="D983" s="83" t="s">
        <v>3713</v>
      </c>
      <c r="E983" s="83" t="s">
        <v>3761</v>
      </c>
      <c r="F983" s="83" t="s">
        <v>3991</v>
      </c>
      <c r="G983" s="83" t="s">
        <v>4556</v>
      </c>
      <c r="H983" s="83">
        <v>0</v>
      </c>
      <c r="I983" s="83" t="s">
        <v>3213</v>
      </c>
      <c r="J983" s="83" t="s">
        <v>3747</v>
      </c>
      <c r="K983" s="83" t="s">
        <v>3215</v>
      </c>
    </row>
    <row r="984" spans="1:11" ht="51.75" x14ac:dyDescent="0.25">
      <c r="A984" s="83" t="s">
        <v>2365</v>
      </c>
      <c r="B984" s="83" t="s">
        <v>3208</v>
      </c>
      <c r="C984" s="83" t="s">
        <v>3208</v>
      </c>
      <c r="D984" s="83" t="s">
        <v>3713</v>
      </c>
      <c r="E984" s="83" t="s">
        <v>3761</v>
      </c>
      <c r="F984" s="83" t="s">
        <v>3901</v>
      </c>
      <c r="G984" s="83" t="s">
        <v>4896</v>
      </c>
      <c r="H984" s="83">
        <v>0</v>
      </c>
      <c r="I984" s="83" t="s">
        <v>3229</v>
      </c>
      <c r="J984" s="83" t="s">
        <v>3289</v>
      </c>
      <c r="K984" s="83" t="s">
        <v>3215</v>
      </c>
    </row>
    <row r="985" spans="1:11" ht="51.75" x14ac:dyDescent="0.25">
      <c r="A985" s="83" t="s">
        <v>2640</v>
      </c>
      <c r="B985" s="83" t="s">
        <v>3208</v>
      </c>
      <c r="C985" s="83" t="s">
        <v>3208</v>
      </c>
      <c r="D985" s="83" t="s">
        <v>3713</v>
      </c>
      <c r="E985" s="83" t="s">
        <v>3761</v>
      </c>
      <c r="F985" s="83" t="s">
        <v>3901</v>
      </c>
      <c r="G985" s="83" t="s">
        <v>4134</v>
      </c>
      <c r="H985" s="83">
        <v>0</v>
      </c>
      <c r="I985" s="83" t="s">
        <v>3229</v>
      </c>
      <c r="J985" s="83" t="s">
        <v>3230</v>
      </c>
      <c r="K985" s="83" t="s">
        <v>3215</v>
      </c>
    </row>
    <row r="986" spans="1:11" ht="26.25" x14ac:dyDescent="0.25">
      <c r="A986" s="83" t="s">
        <v>5658</v>
      </c>
      <c r="B986" s="83" t="s">
        <v>3208</v>
      </c>
      <c r="C986" s="83" t="s">
        <v>3208</v>
      </c>
      <c r="D986" s="83" t="s">
        <v>3965</v>
      </c>
      <c r="E986" s="83" t="s">
        <v>3966</v>
      </c>
      <c r="F986" s="83" t="s">
        <v>5659</v>
      </c>
      <c r="G986" s="83" t="s">
        <v>5660</v>
      </c>
      <c r="H986" s="83">
        <v>0</v>
      </c>
      <c r="I986" s="83" t="s">
        <v>3213</v>
      </c>
      <c r="J986" s="83" t="s">
        <v>4000</v>
      </c>
      <c r="K986" s="83" t="s">
        <v>3215</v>
      </c>
    </row>
    <row r="987" spans="1:11" ht="51.75" x14ac:dyDescent="0.25">
      <c r="A987" s="83" t="s">
        <v>137</v>
      </c>
      <c r="B987" s="83" t="s">
        <v>3208</v>
      </c>
      <c r="C987" s="83" t="s">
        <v>3208</v>
      </c>
      <c r="D987" s="83" t="s">
        <v>3713</v>
      </c>
      <c r="E987" s="83" t="s">
        <v>3761</v>
      </c>
      <c r="F987" s="83" t="s">
        <v>4013</v>
      </c>
      <c r="G987" s="83" t="s">
        <v>4014</v>
      </c>
      <c r="H987" s="83">
        <v>0</v>
      </c>
      <c r="I987" s="83" t="s">
        <v>3229</v>
      </c>
      <c r="J987" s="83" t="s">
        <v>3289</v>
      </c>
      <c r="K987" s="83" t="s">
        <v>3215</v>
      </c>
    </row>
    <row r="988" spans="1:11" ht="26.25" x14ac:dyDescent="0.25">
      <c r="A988" s="83" t="s">
        <v>2463</v>
      </c>
      <c r="B988" s="83" t="s">
        <v>3208</v>
      </c>
      <c r="C988" s="83" t="s">
        <v>3208</v>
      </c>
      <c r="D988" s="83" t="s">
        <v>3713</v>
      </c>
      <c r="E988" s="83" t="s">
        <v>3761</v>
      </c>
      <c r="F988" s="83" t="s">
        <v>3976</v>
      </c>
      <c r="G988" s="83" t="s">
        <v>5661</v>
      </c>
      <c r="H988" s="83">
        <v>0</v>
      </c>
      <c r="I988" s="83" t="s">
        <v>3229</v>
      </c>
      <c r="J988" s="83" t="s">
        <v>3397</v>
      </c>
      <c r="K988" s="83" t="s">
        <v>3215</v>
      </c>
    </row>
    <row r="989" spans="1:11" ht="51.75" x14ac:dyDescent="0.25">
      <c r="A989" s="83" t="s">
        <v>2394</v>
      </c>
      <c r="B989" s="83" t="s">
        <v>3208</v>
      </c>
      <c r="C989" s="83" t="s">
        <v>3208</v>
      </c>
      <c r="D989" s="83" t="s">
        <v>3713</v>
      </c>
      <c r="E989" s="83" t="s">
        <v>3761</v>
      </c>
      <c r="F989" s="83" t="s">
        <v>4013</v>
      </c>
      <c r="G989" s="83" t="s">
        <v>5662</v>
      </c>
      <c r="H989" s="83">
        <v>0</v>
      </c>
      <c r="I989" s="83" t="s">
        <v>3229</v>
      </c>
      <c r="J989" s="83" t="s">
        <v>3289</v>
      </c>
      <c r="K989" s="83" t="s">
        <v>3215</v>
      </c>
    </row>
    <row r="990" spans="1:11" ht="51.75" x14ac:dyDescent="0.25">
      <c r="A990" s="83" t="s">
        <v>2170</v>
      </c>
      <c r="B990" s="83" t="s">
        <v>3208</v>
      </c>
      <c r="C990" s="83" t="s">
        <v>3208</v>
      </c>
      <c r="D990" s="83" t="s">
        <v>3713</v>
      </c>
      <c r="E990" s="83" t="s">
        <v>3761</v>
      </c>
      <c r="F990" s="83" t="s">
        <v>3976</v>
      </c>
      <c r="G990" s="83" t="s">
        <v>5663</v>
      </c>
      <c r="H990" s="83">
        <v>0</v>
      </c>
      <c r="I990" s="83" t="s">
        <v>3229</v>
      </c>
      <c r="J990" s="83" t="s">
        <v>3238</v>
      </c>
      <c r="K990" s="83" t="s">
        <v>3215</v>
      </c>
    </row>
    <row r="991" spans="1:11" ht="64.5" x14ac:dyDescent="0.25">
      <c r="A991" s="83" t="s">
        <v>1884</v>
      </c>
      <c r="B991" s="83" t="s">
        <v>3208</v>
      </c>
      <c r="C991" s="83" t="s">
        <v>3208</v>
      </c>
      <c r="D991" s="83" t="s">
        <v>3713</v>
      </c>
      <c r="E991" s="83" t="s">
        <v>3761</v>
      </c>
      <c r="F991" s="83" t="s">
        <v>3901</v>
      </c>
      <c r="G991" s="83" t="s">
        <v>5664</v>
      </c>
      <c r="H991" s="83">
        <v>0</v>
      </c>
      <c r="I991" s="83" t="s">
        <v>3213</v>
      </c>
      <c r="J991" s="83" t="s">
        <v>3262</v>
      </c>
      <c r="K991" s="83" t="s">
        <v>3215</v>
      </c>
    </row>
    <row r="992" spans="1:11" ht="26.25" x14ac:dyDescent="0.25">
      <c r="A992" s="83" t="s">
        <v>2456</v>
      </c>
      <c r="B992" s="83" t="s">
        <v>3208</v>
      </c>
      <c r="C992" s="83" t="s">
        <v>3208</v>
      </c>
      <c r="D992" s="83" t="s">
        <v>3713</v>
      </c>
      <c r="E992" s="83" t="s">
        <v>3761</v>
      </c>
      <c r="F992" s="83" t="s">
        <v>3976</v>
      </c>
      <c r="G992" s="83" t="s">
        <v>5665</v>
      </c>
      <c r="H992" s="83">
        <v>0</v>
      </c>
      <c r="I992" s="83" t="s">
        <v>3229</v>
      </c>
      <c r="J992" s="83" t="s">
        <v>3397</v>
      </c>
      <c r="K992" s="83" t="s">
        <v>3215</v>
      </c>
    </row>
    <row r="993" spans="1:11" ht="64.5" x14ac:dyDescent="0.25">
      <c r="A993" s="83" t="s">
        <v>2570</v>
      </c>
      <c r="B993" s="83" t="s">
        <v>3208</v>
      </c>
      <c r="C993" s="83" t="s">
        <v>3208</v>
      </c>
      <c r="D993" s="83" t="s">
        <v>3713</v>
      </c>
      <c r="E993" s="83" t="s">
        <v>3761</v>
      </c>
      <c r="F993" s="83" t="s">
        <v>5666</v>
      </c>
      <c r="G993" s="83" t="s">
        <v>5667</v>
      </c>
      <c r="H993" s="83">
        <v>0</v>
      </c>
      <c r="I993" s="83" t="s">
        <v>3213</v>
      </c>
      <c r="J993" s="83" t="s">
        <v>3436</v>
      </c>
      <c r="K993" s="83" t="s">
        <v>3215</v>
      </c>
    </row>
    <row r="994" spans="1:11" ht="51.75" x14ac:dyDescent="0.25">
      <c r="A994" s="83" t="s">
        <v>527</v>
      </c>
      <c r="B994" s="83" t="s">
        <v>5668</v>
      </c>
      <c r="C994" s="83" t="s">
        <v>3208</v>
      </c>
      <c r="D994" s="83" t="s">
        <v>3209</v>
      </c>
      <c r="E994" s="83" t="s">
        <v>3226</v>
      </c>
      <c r="F994" s="83" t="s">
        <v>5669</v>
      </c>
      <c r="G994" s="83" t="s">
        <v>5670</v>
      </c>
      <c r="H994" s="83">
        <v>10</v>
      </c>
      <c r="I994" s="83" t="s">
        <v>3229</v>
      </c>
      <c r="J994" s="83" t="s">
        <v>3332</v>
      </c>
      <c r="K994" s="83" t="s">
        <v>3215</v>
      </c>
    </row>
    <row r="995" spans="1:11" ht="51.75" x14ac:dyDescent="0.25">
      <c r="A995" s="83" t="s">
        <v>2524</v>
      </c>
      <c r="B995" s="83" t="s">
        <v>3208</v>
      </c>
      <c r="C995" s="83" t="s">
        <v>3208</v>
      </c>
      <c r="D995" s="83" t="s">
        <v>3713</v>
      </c>
      <c r="E995" s="83" t="s">
        <v>3761</v>
      </c>
      <c r="F995" s="83" t="s">
        <v>3886</v>
      </c>
      <c r="G995" s="83" t="s">
        <v>4887</v>
      </c>
      <c r="H995" s="83">
        <v>0</v>
      </c>
      <c r="I995" s="83" t="s">
        <v>3229</v>
      </c>
      <c r="J995" s="83" t="s">
        <v>3289</v>
      </c>
      <c r="K995" s="83" t="s">
        <v>3215</v>
      </c>
    </row>
    <row r="996" spans="1:11" ht="51.75" x14ac:dyDescent="0.25">
      <c r="A996" s="83" t="s">
        <v>2240</v>
      </c>
      <c r="B996" s="83" t="s">
        <v>3208</v>
      </c>
      <c r="C996" s="83" t="s">
        <v>3208</v>
      </c>
      <c r="D996" s="83" t="s">
        <v>3713</v>
      </c>
      <c r="E996" s="83" t="s">
        <v>3761</v>
      </c>
      <c r="F996" s="83" t="s">
        <v>5671</v>
      </c>
      <c r="G996" s="83" t="s">
        <v>5672</v>
      </c>
      <c r="H996" s="83">
        <v>0</v>
      </c>
      <c r="I996" s="83" t="s">
        <v>3229</v>
      </c>
      <c r="J996" s="83" t="s">
        <v>3238</v>
      </c>
      <c r="K996" s="83" t="s">
        <v>3215</v>
      </c>
    </row>
    <row r="997" spans="1:11" ht="51.75" x14ac:dyDescent="0.25">
      <c r="A997" s="83" t="s">
        <v>2457</v>
      </c>
      <c r="B997" s="83" t="s">
        <v>3208</v>
      </c>
      <c r="C997" s="83" t="s">
        <v>3208</v>
      </c>
      <c r="D997" s="83" t="s">
        <v>3713</v>
      </c>
      <c r="E997" s="83" t="s">
        <v>3761</v>
      </c>
      <c r="F997" s="83" t="s">
        <v>3976</v>
      </c>
      <c r="G997" s="83" t="s">
        <v>4273</v>
      </c>
      <c r="H997" s="83">
        <v>0</v>
      </c>
      <c r="I997" s="83" t="s">
        <v>3229</v>
      </c>
      <c r="J997" s="83" t="s">
        <v>3230</v>
      </c>
      <c r="K997" s="83" t="s">
        <v>3215</v>
      </c>
    </row>
    <row r="998" spans="1:11" ht="64.5" x14ac:dyDescent="0.25">
      <c r="A998" s="83" t="s">
        <v>5673</v>
      </c>
      <c r="B998" s="83" t="s">
        <v>3208</v>
      </c>
      <c r="C998" s="83" t="s">
        <v>3208</v>
      </c>
      <c r="D998" s="83" t="s">
        <v>3965</v>
      </c>
      <c r="E998" s="83" t="s">
        <v>3966</v>
      </c>
      <c r="F998" s="83" t="s">
        <v>5659</v>
      </c>
      <c r="G998" s="83" t="s">
        <v>5674</v>
      </c>
      <c r="H998" s="83">
        <v>0</v>
      </c>
      <c r="I998" s="83" t="s">
        <v>3213</v>
      </c>
      <c r="J998" s="83" t="s">
        <v>3413</v>
      </c>
      <c r="K998" s="83" t="s">
        <v>3215</v>
      </c>
    </row>
    <row r="999" spans="1:11" ht="39" x14ac:dyDescent="0.25">
      <c r="A999" s="83" t="s">
        <v>2595</v>
      </c>
      <c r="B999" s="83" t="s">
        <v>3208</v>
      </c>
      <c r="C999" s="83" t="s">
        <v>3208</v>
      </c>
      <c r="D999" s="83" t="s">
        <v>3713</v>
      </c>
      <c r="E999" s="83" t="s">
        <v>3761</v>
      </c>
      <c r="F999" s="83" t="s">
        <v>5675</v>
      </c>
      <c r="G999" s="83" t="s">
        <v>5676</v>
      </c>
      <c r="H999" s="83">
        <v>0</v>
      </c>
      <c r="I999" s="83" t="s">
        <v>3229</v>
      </c>
      <c r="J999" s="83" t="s">
        <v>3241</v>
      </c>
      <c r="K999" s="83" t="s">
        <v>3215</v>
      </c>
    </row>
    <row r="1000" spans="1:11" ht="51.75" x14ac:dyDescent="0.25">
      <c r="A1000" s="83" t="s">
        <v>2509</v>
      </c>
      <c r="B1000" s="83" t="s">
        <v>3208</v>
      </c>
      <c r="C1000" s="83" t="s">
        <v>3208</v>
      </c>
      <c r="D1000" s="83" t="s">
        <v>3713</v>
      </c>
      <c r="E1000" s="83" t="s">
        <v>3761</v>
      </c>
      <c r="F1000" s="83" t="s">
        <v>3991</v>
      </c>
      <c r="G1000" s="83" t="s">
        <v>3525</v>
      </c>
      <c r="H1000" s="83">
        <v>0</v>
      </c>
      <c r="I1000" s="83" t="s">
        <v>3213</v>
      </c>
      <c r="J1000" s="83" t="s">
        <v>3271</v>
      </c>
      <c r="K1000" s="83" t="s">
        <v>3215</v>
      </c>
    </row>
    <row r="1001" spans="1:11" ht="77.25" x14ac:dyDescent="0.25">
      <c r="A1001" s="83" t="s">
        <v>1872</v>
      </c>
      <c r="B1001" s="83" t="s">
        <v>3208</v>
      </c>
      <c r="C1001" s="83" t="s">
        <v>3208</v>
      </c>
      <c r="D1001" s="83" t="s">
        <v>3713</v>
      </c>
      <c r="E1001" s="83" t="s">
        <v>3761</v>
      </c>
      <c r="F1001" s="83" t="s">
        <v>3886</v>
      </c>
      <c r="G1001" s="83" t="s">
        <v>5677</v>
      </c>
      <c r="H1001" s="83">
        <v>0</v>
      </c>
      <c r="I1001" s="83" t="s">
        <v>3213</v>
      </c>
      <c r="J1001" s="83" t="s">
        <v>3621</v>
      </c>
      <c r="K1001" s="83" t="s">
        <v>3215</v>
      </c>
    </row>
    <row r="1002" spans="1:11" ht="26.25" x14ac:dyDescent="0.25">
      <c r="A1002" s="83" t="s">
        <v>2616</v>
      </c>
      <c r="B1002" s="83" t="s">
        <v>3208</v>
      </c>
      <c r="C1002" s="83" t="s">
        <v>3208</v>
      </c>
      <c r="D1002" s="83" t="s">
        <v>3713</v>
      </c>
      <c r="E1002" s="83" t="s">
        <v>3761</v>
      </c>
      <c r="F1002" s="83" t="s">
        <v>5678</v>
      </c>
      <c r="G1002" s="83" t="s">
        <v>5679</v>
      </c>
      <c r="H1002" s="83">
        <v>0</v>
      </c>
      <c r="I1002" s="83" t="s">
        <v>3213</v>
      </c>
      <c r="J1002" s="83" t="s">
        <v>3948</v>
      </c>
      <c r="K1002" s="83" t="s">
        <v>3215</v>
      </c>
    </row>
    <row r="1003" spans="1:11" ht="51.75" x14ac:dyDescent="0.25">
      <c r="A1003" s="83" t="s">
        <v>2431</v>
      </c>
      <c r="B1003" s="83" t="s">
        <v>3208</v>
      </c>
      <c r="C1003" s="83" t="s">
        <v>3208</v>
      </c>
      <c r="D1003" s="83" t="s">
        <v>3713</v>
      </c>
      <c r="E1003" s="83" t="s">
        <v>3761</v>
      </c>
      <c r="F1003" s="83" t="s">
        <v>3976</v>
      </c>
      <c r="G1003" s="83" t="s">
        <v>5680</v>
      </c>
      <c r="H1003" s="83">
        <v>0</v>
      </c>
      <c r="I1003" s="83" t="s">
        <v>3213</v>
      </c>
      <c r="J1003" s="83" t="s">
        <v>3214</v>
      </c>
      <c r="K1003" s="83" t="s">
        <v>3215</v>
      </c>
    </row>
    <row r="1004" spans="1:11" ht="77.25" x14ac:dyDescent="0.25">
      <c r="A1004" s="83" t="s">
        <v>2787</v>
      </c>
      <c r="B1004" s="83" t="s">
        <v>3208</v>
      </c>
      <c r="C1004" s="83" t="s">
        <v>3208</v>
      </c>
      <c r="D1004" s="83" t="s">
        <v>3713</v>
      </c>
      <c r="E1004" s="83" t="s">
        <v>3761</v>
      </c>
      <c r="F1004" s="83" t="s">
        <v>5681</v>
      </c>
      <c r="G1004" s="83" t="s">
        <v>5560</v>
      </c>
      <c r="H1004" s="83">
        <v>0</v>
      </c>
      <c r="I1004" s="83" t="s">
        <v>3213</v>
      </c>
      <c r="J1004" s="83" t="s">
        <v>3621</v>
      </c>
      <c r="K1004" s="83" t="s">
        <v>3215</v>
      </c>
    </row>
    <row r="1005" spans="1:11" ht="51.75" x14ac:dyDescent="0.25">
      <c r="A1005" s="83" t="s">
        <v>2608</v>
      </c>
      <c r="B1005" s="83" t="s">
        <v>3208</v>
      </c>
      <c r="C1005" s="83" t="s">
        <v>3208</v>
      </c>
      <c r="D1005" s="83" t="s">
        <v>3713</v>
      </c>
      <c r="E1005" s="83" t="s">
        <v>3761</v>
      </c>
      <c r="F1005" s="83" t="s">
        <v>5682</v>
      </c>
      <c r="G1005" s="83" t="s">
        <v>5683</v>
      </c>
      <c r="H1005" s="83">
        <v>0</v>
      </c>
      <c r="I1005" s="83" t="s">
        <v>3229</v>
      </c>
      <c r="J1005" s="83" t="s">
        <v>3302</v>
      </c>
      <c r="K1005" s="83" t="s">
        <v>3215</v>
      </c>
    </row>
    <row r="1006" spans="1:11" ht="51.75" x14ac:dyDescent="0.25">
      <c r="A1006" s="83" t="s">
        <v>2635</v>
      </c>
      <c r="B1006" s="83" t="s">
        <v>3208</v>
      </c>
      <c r="C1006" s="83" t="s">
        <v>3208</v>
      </c>
      <c r="D1006" s="83" t="s">
        <v>3713</v>
      </c>
      <c r="E1006" s="83" t="s">
        <v>3761</v>
      </c>
      <c r="F1006" s="83" t="s">
        <v>5684</v>
      </c>
      <c r="G1006" s="83" t="s">
        <v>3392</v>
      </c>
      <c r="H1006" s="83">
        <v>0</v>
      </c>
      <c r="I1006" s="83" t="s">
        <v>3229</v>
      </c>
      <c r="J1006" s="83" t="s">
        <v>3289</v>
      </c>
      <c r="K1006" s="83" t="s">
        <v>3215</v>
      </c>
    </row>
    <row r="1007" spans="1:11" ht="39" x14ac:dyDescent="0.25">
      <c r="A1007" s="83" t="s">
        <v>5685</v>
      </c>
      <c r="B1007" s="83" t="s">
        <v>3208</v>
      </c>
      <c r="C1007" s="83" t="s">
        <v>3208</v>
      </c>
      <c r="D1007" s="83" t="s">
        <v>3713</v>
      </c>
      <c r="E1007" s="83" t="s">
        <v>3714</v>
      </c>
      <c r="F1007" s="83" t="s">
        <v>4022</v>
      </c>
      <c r="G1007" s="83" t="s">
        <v>5686</v>
      </c>
      <c r="H1007" s="83">
        <v>0</v>
      </c>
      <c r="I1007" s="83" t="s">
        <v>3229</v>
      </c>
      <c r="J1007" s="83" t="s">
        <v>3241</v>
      </c>
      <c r="K1007" s="83" t="s">
        <v>3215</v>
      </c>
    </row>
    <row r="1008" spans="1:11" ht="26.25" x14ac:dyDescent="0.25">
      <c r="A1008" s="83" t="s">
        <v>5687</v>
      </c>
      <c r="B1008" s="83" t="s">
        <v>3208</v>
      </c>
      <c r="C1008" s="83" t="s">
        <v>3208</v>
      </c>
      <c r="D1008" s="83" t="s">
        <v>3713</v>
      </c>
      <c r="E1008" s="83" t="s">
        <v>3714</v>
      </c>
      <c r="F1008" s="83" t="s">
        <v>5688</v>
      </c>
      <c r="G1008" s="83" t="s">
        <v>5689</v>
      </c>
      <c r="H1008" s="83">
        <v>0</v>
      </c>
      <c r="I1008" s="83" t="s">
        <v>3208</v>
      </c>
      <c r="J1008" s="83" t="s">
        <v>3208</v>
      </c>
      <c r="K1008" s="83" t="s">
        <v>3208</v>
      </c>
    </row>
    <row r="1009" spans="1:11" ht="26.25" x14ac:dyDescent="0.25">
      <c r="A1009" s="83" t="s">
        <v>5690</v>
      </c>
      <c r="B1009" s="83" t="s">
        <v>3208</v>
      </c>
      <c r="C1009" s="83" t="s">
        <v>3208</v>
      </c>
      <c r="D1009" s="83" t="s">
        <v>3713</v>
      </c>
      <c r="E1009" s="83" t="s">
        <v>3714</v>
      </c>
      <c r="F1009" s="83" t="s">
        <v>5691</v>
      </c>
      <c r="G1009" s="83" t="s">
        <v>5692</v>
      </c>
      <c r="H1009" s="83">
        <v>0</v>
      </c>
      <c r="I1009" s="83" t="s">
        <v>3208</v>
      </c>
      <c r="J1009" s="83" t="s">
        <v>3208</v>
      </c>
      <c r="K1009" s="83" t="s">
        <v>3208</v>
      </c>
    </row>
    <row r="1010" spans="1:11" ht="26.25" x14ac:dyDescent="0.25">
      <c r="A1010" s="83" t="s">
        <v>773</v>
      </c>
      <c r="B1010" s="83" t="s">
        <v>5693</v>
      </c>
      <c r="C1010" s="83" t="s">
        <v>5694</v>
      </c>
      <c r="D1010" s="83" t="s">
        <v>3209</v>
      </c>
      <c r="E1010" s="83" t="s">
        <v>3246</v>
      </c>
      <c r="F1010" s="83" t="s">
        <v>5695</v>
      </c>
      <c r="G1010" s="83" t="s">
        <v>5696</v>
      </c>
      <c r="H1010" s="83">
        <v>100</v>
      </c>
      <c r="I1010" s="83" t="s">
        <v>3229</v>
      </c>
      <c r="J1010" s="83" t="s">
        <v>3324</v>
      </c>
      <c r="K1010" s="83" t="s">
        <v>3215</v>
      </c>
    </row>
    <row r="1011" spans="1:11" ht="51.75" x14ac:dyDescent="0.25">
      <c r="A1011" s="83" t="s">
        <v>582</v>
      </c>
      <c r="B1011" s="83" t="s">
        <v>3208</v>
      </c>
      <c r="C1011" s="83" t="s">
        <v>5697</v>
      </c>
      <c r="D1011" s="83" t="s">
        <v>3718</v>
      </c>
      <c r="E1011" s="83" t="s">
        <v>3727</v>
      </c>
      <c r="F1011" s="83" t="s">
        <v>5698</v>
      </c>
      <c r="G1011" s="83" t="s">
        <v>5699</v>
      </c>
      <c r="H1011" s="83">
        <v>3</v>
      </c>
      <c r="I1011" s="83" t="s">
        <v>3229</v>
      </c>
      <c r="J1011" s="83" t="s">
        <v>3238</v>
      </c>
      <c r="K1011" s="83" t="s">
        <v>3215</v>
      </c>
    </row>
    <row r="1012" spans="1:11" ht="51.75" x14ac:dyDescent="0.25">
      <c r="A1012" s="83" t="s">
        <v>2591</v>
      </c>
      <c r="B1012" s="83" t="s">
        <v>3208</v>
      </c>
      <c r="C1012" s="83" t="s">
        <v>3208</v>
      </c>
      <c r="D1012" s="83" t="s">
        <v>3713</v>
      </c>
      <c r="E1012" s="83" t="s">
        <v>3761</v>
      </c>
      <c r="F1012" s="83" t="s">
        <v>5671</v>
      </c>
      <c r="G1012" s="83" t="s">
        <v>3857</v>
      </c>
      <c r="H1012" s="83">
        <v>0</v>
      </c>
      <c r="I1012" s="83" t="s">
        <v>3229</v>
      </c>
      <c r="J1012" s="83" t="s">
        <v>3371</v>
      </c>
      <c r="K1012" s="83" t="s">
        <v>3215</v>
      </c>
    </row>
    <row r="1013" spans="1:11" ht="39" x14ac:dyDescent="0.25">
      <c r="A1013" s="83" t="s">
        <v>1795</v>
      </c>
      <c r="B1013" s="83" t="s">
        <v>3208</v>
      </c>
      <c r="C1013" s="83" t="s">
        <v>3208</v>
      </c>
      <c r="D1013" s="83" t="s">
        <v>3713</v>
      </c>
      <c r="E1013" s="83" t="s">
        <v>3761</v>
      </c>
      <c r="F1013" s="83" t="s">
        <v>5700</v>
      </c>
      <c r="G1013" s="83" t="s">
        <v>4058</v>
      </c>
      <c r="H1013" s="83">
        <v>0</v>
      </c>
      <c r="I1013" s="83" t="s">
        <v>3229</v>
      </c>
      <c r="J1013" s="83" t="s">
        <v>3241</v>
      </c>
      <c r="K1013" s="83" t="s">
        <v>3215</v>
      </c>
    </row>
    <row r="1014" spans="1:11" ht="64.5" x14ac:dyDescent="0.25">
      <c r="A1014" s="83" t="s">
        <v>2360</v>
      </c>
      <c r="B1014" s="83" t="s">
        <v>3208</v>
      </c>
      <c r="C1014" s="83" t="s">
        <v>3208</v>
      </c>
      <c r="D1014" s="83" t="s">
        <v>3713</v>
      </c>
      <c r="E1014" s="83" t="s">
        <v>3761</v>
      </c>
      <c r="F1014" s="83" t="s">
        <v>3886</v>
      </c>
      <c r="G1014" s="83" t="s">
        <v>3743</v>
      </c>
      <c r="H1014" s="83">
        <v>0</v>
      </c>
      <c r="I1014" s="83" t="s">
        <v>3213</v>
      </c>
      <c r="J1014" s="83" t="s">
        <v>3413</v>
      </c>
      <c r="K1014" s="83" t="s">
        <v>3215</v>
      </c>
    </row>
    <row r="1015" spans="1:11" ht="51.75" x14ac:dyDescent="0.25">
      <c r="A1015" s="83" t="s">
        <v>984</v>
      </c>
      <c r="B1015" s="83" t="s">
        <v>5701</v>
      </c>
      <c r="C1015" s="83" t="s">
        <v>5702</v>
      </c>
      <c r="D1015" s="83" t="s">
        <v>3209</v>
      </c>
      <c r="E1015" s="83" t="s">
        <v>3246</v>
      </c>
      <c r="F1015" s="83" t="s">
        <v>4906</v>
      </c>
      <c r="G1015" s="83" t="s">
        <v>3248</v>
      </c>
      <c r="H1015" s="83">
        <v>8.6</v>
      </c>
      <c r="I1015" s="83" t="s">
        <v>3229</v>
      </c>
      <c r="J1015" s="83" t="s">
        <v>3230</v>
      </c>
      <c r="K1015" s="83" t="s">
        <v>3215</v>
      </c>
    </row>
    <row r="1016" spans="1:11" ht="26.25" x14ac:dyDescent="0.25">
      <c r="A1016" s="83" t="s">
        <v>2619</v>
      </c>
      <c r="B1016" s="83" t="s">
        <v>3208</v>
      </c>
      <c r="C1016" s="83" t="s">
        <v>3208</v>
      </c>
      <c r="D1016" s="83" t="s">
        <v>3713</v>
      </c>
      <c r="E1016" s="83" t="s">
        <v>3761</v>
      </c>
      <c r="F1016" s="83" t="s">
        <v>5678</v>
      </c>
      <c r="G1016" s="83" t="s">
        <v>5025</v>
      </c>
      <c r="H1016" s="83">
        <v>0</v>
      </c>
      <c r="I1016" s="83" t="s">
        <v>3213</v>
      </c>
      <c r="J1016" s="83" t="s">
        <v>3948</v>
      </c>
      <c r="K1016" s="83" t="s">
        <v>3215</v>
      </c>
    </row>
    <row r="1017" spans="1:11" ht="26.25" x14ac:dyDescent="0.25">
      <c r="A1017" s="83" t="s">
        <v>5703</v>
      </c>
      <c r="B1017" s="83" t="s">
        <v>3208</v>
      </c>
      <c r="C1017" s="83" t="s">
        <v>3208</v>
      </c>
      <c r="D1017" s="83" t="s">
        <v>3713</v>
      </c>
      <c r="E1017" s="83" t="s">
        <v>3714</v>
      </c>
      <c r="F1017" s="83" t="s">
        <v>5704</v>
      </c>
      <c r="G1017" s="83" t="s">
        <v>4981</v>
      </c>
      <c r="H1017" s="83">
        <v>0</v>
      </c>
      <c r="I1017" s="83" t="s">
        <v>3208</v>
      </c>
      <c r="J1017" s="83" t="s">
        <v>3208</v>
      </c>
      <c r="K1017" s="83" t="s">
        <v>3208</v>
      </c>
    </row>
    <row r="1018" spans="1:11" ht="26.25" x14ac:dyDescent="0.25">
      <c r="A1018" s="83" t="s">
        <v>1088</v>
      </c>
      <c r="B1018" s="83" t="s">
        <v>5705</v>
      </c>
      <c r="C1018" s="83" t="s">
        <v>3208</v>
      </c>
      <c r="D1018" s="83" t="s">
        <v>3209</v>
      </c>
      <c r="E1018" s="83" t="s">
        <v>3226</v>
      </c>
      <c r="F1018" s="83" t="s">
        <v>5706</v>
      </c>
      <c r="G1018" s="83" t="s">
        <v>5707</v>
      </c>
      <c r="H1018" s="83">
        <v>1700</v>
      </c>
      <c r="I1018" s="83" t="s">
        <v>3213</v>
      </c>
      <c r="J1018" s="83" t="s">
        <v>3896</v>
      </c>
      <c r="K1018" s="83" t="s">
        <v>3215</v>
      </c>
    </row>
    <row r="1019" spans="1:11" ht="39" x14ac:dyDescent="0.25">
      <c r="A1019" s="83" t="s">
        <v>1794</v>
      </c>
      <c r="B1019" s="83" t="s">
        <v>3208</v>
      </c>
      <c r="C1019" s="83" t="s">
        <v>3208</v>
      </c>
      <c r="D1019" s="83" t="s">
        <v>3713</v>
      </c>
      <c r="E1019" s="83" t="s">
        <v>3761</v>
      </c>
      <c r="F1019" s="83" t="s">
        <v>4057</v>
      </c>
      <c r="G1019" s="83" t="s">
        <v>4058</v>
      </c>
      <c r="H1019" s="83">
        <v>0</v>
      </c>
      <c r="I1019" s="83" t="s">
        <v>3229</v>
      </c>
      <c r="J1019" s="83" t="s">
        <v>3241</v>
      </c>
      <c r="K1019" s="83" t="s">
        <v>3215</v>
      </c>
    </row>
    <row r="1020" spans="1:11" ht="39" x14ac:dyDescent="0.25">
      <c r="A1020" s="83" t="s">
        <v>750</v>
      </c>
      <c r="B1020" s="83" t="s">
        <v>5708</v>
      </c>
      <c r="C1020" s="83" t="s">
        <v>5709</v>
      </c>
      <c r="D1020" s="83" t="s">
        <v>3209</v>
      </c>
      <c r="E1020" s="83" t="s">
        <v>3246</v>
      </c>
      <c r="F1020" s="83" t="s">
        <v>5710</v>
      </c>
      <c r="G1020" s="83" t="s">
        <v>5711</v>
      </c>
      <c r="H1020" s="83">
        <v>37</v>
      </c>
      <c r="I1020" s="83" t="s">
        <v>3229</v>
      </c>
      <c r="J1020" s="83" t="s">
        <v>3241</v>
      </c>
      <c r="K1020" s="83" t="s">
        <v>3215</v>
      </c>
    </row>
    <row r="1021" spans="1:11" ht="26.25" x14ac:dyDescent="0.25">
      <c r="A1021" s="83" t="s">
        <v>2334</v>
      </c>
      <c r="B1021" s="83" t="s">
        <v>3208</v>
      </c>
      <c r="C1021" s="83" t="s">
        <v>3208</v>
      </c>
      <c r="D1021" s="83" t="s">
        <v>3713</v>
      </c>
      <c r="E1021" s="83" t="s">
        <v>3761</v>
      </c>
      <c r="F1021" s="83" t="s">
        <v>3895</v>
      </c>
      <c r="G1021" s="83" t="s">
        <v>3757</v>
      </c>
      <c r="H1021" s="83">
        <v>0</v>
      </c>
      <c r="I1021" s="83" t="s">
        <v>3213</v>
      </c>
      <c r="J1021" s="83" t="s">
        <v>3896</v>
      </c>
      <c r="K1021" s="83" t="s">
        <v>3215</v>
      </c>
    </row>
    <row r="1022" spans="1:11" ht="39" x14ac:dyDescent="0.25">
      <c r="A1022" s="83" t="s">
        <v>2422</v>
      </c>
      <c r="B1022" s="83" t="s">
        <v>3208</v>
      </c>
      <c r="C1022" s="83" t="s">
        <v>3208</v>
      </c>
      <c r="D1022" s="83" t="s">
        <v>3713</v>
      </c>
      <c r="E1022" s="83" t="s">
        <v>3761</v>
      </c>
      <c r="F1022" s="83" t="s">
        <v>3950</v>
      </c>
      <c r="G1022" s="83" t="s">
        <v>5712</v>
      </c>
      <c r="H1022" s="83">
        <v>0</v>
      </c>
      <c r="I1022" s="83" t="s">
        <v>3229</v>
      </c>
      <c r="J1022" s="83" t="s">
        <v>3241</v>
      </c>
      <c r="K1022" s="83" t="s">
        <v>3215</v>
      </c>
    </row>
    <row r="1023" spans="1:11" ht="26.25" x14ac:dyDescent="0.25">
      <c r="A1023" s="83" t="s">
        <v>2410</v>
      </c>
      <c r="B1023" s="83" t="s">
        <v>3208</v>
      </c>
      <c r="C1023" s="83" t="s">
        <v>3208</v>
      </c>
      <c r="D1023" s="83" t="s">
        <v>3713</v>
      </c>
      <c r="E1023" s="83" t="s">
        <v>3761</v>
      </c>
      <c r="F1023" s="83" t="s">
        <v>3895</v>
      </c>
      <c r="G1023" s="83" t="s">
        <v>4809</v>
      </c>
      <c r="H1023" s="83">
        <v>0</v>
      </c>
      <c r="I1023" s="83" t="s">
        <v>3213</v>
      </c>
      <c r="J1023" s="83" t="s">
        <v>3467</v>
      </c>
      <c r="K1023" s="83" t="s">
        <v>3215</v>
      </c>
    </row>
    <row r="1024" spans="1:11" ht="51.75" x14ac:dyDescent="0.25">
      <c r="A1024" s="83" t="s">
        <v>2697</v>
      </c>
      <c r="B1024" s="83" t="s">
        <v>3208</v>
      </c>
      <c r="C1024" s="83" t="s">
        <v>3208</v>
      </c>
      <c r="D1024" s="83" t="s">
        <v>3713</v>
      </c>
      <c r="E1024" s="83" t="s">
        <v>3761</v>
      </c>
      <c r="F1024" s="83" t="s">
        <v>4947</v>
      </c>
      <c r="G1024" s="83" t="s">
        <v>3366</v>
      </c>
      <c r="H1024" s="83">
        <v>0</v>
      </c>
      <c r="I1024" s="83" t="s">
        <v>3213</v>
      </c>
      <c r="J1024" s="83" t="s">
        <v>3214</v>
      </c>
      <c r="K1024" s="83" t="s">
        <v>3215</v>
      </c>
    </row>
    <row r="1025" spans="1:11" x14ac:dyDescent="0.25">
      <c r="A1025" s="83" t="s">
        <v>5713</v>
      </c>
      <c r="B1025" s="83" t="s">
        <v>5714</v>
      </c>
      <c r="C1025" s="83" t="s">
        <v>5715</v>
      </c>
      <c r="D1025" s="83" t="s">
        <v>3209</v>
      </c>
      <c r="E1025" s="83" t="s">
        <v>3702</v>
      </c>
      <c r="F1025" s="83" t="s">
        <v>5716</v>
      </c>
      <c r="G1025" s="83" t="s">
        <v>3739</v>
      </c>
      <c r="H1025" s="83">
        <v>1.9</v>
      </c>
      <c r="I1025" s="83" t="s">
        <v>3208</v>
      </c>
      <c r="J1025" s="83" t="s">
        <v>3208</v>
      </c>
      <c r="K1025" s="83" t="s">
        <v>3208</v>
      </c>
    </row>
    <row r="1026" spans="1:11" ht="51.75" x14ac:dyDescent="0.25">
      <c r="A1026" s="83" t="s">
        <v>1801</v>
      </c>
      <c r="B1026" s="83" t="s">
        <v>3208</v>
      </c>
      <c r="C1026" s="83" t="s">
        <v>3208</v>
      </c>
      <c r="D1026" s="83" t="s">
        <v>3713</v>
      </c>
      <c r="E1026" s="83" t="s">
        <v>3761</v>
      </c>
      <c r="F1026" s="83" t="s">
        <v>5717</v>
      </c>
      <c r="G1026" s="83" t="s">
        <v>5718</v>
      </c>
      <c r="H1026" s="83">
        <v>0</v>
      </c>
      <c r="I1026" s="83" t="s">
        <v>3229</v>
      </c>
      <c r="J1026" s="83" t="s">
        <v>3337</v>
      </c>
      <c r="K1026" s="83" t="s">
        <v>3215</v>
      </c>
    </row>
    <row r="1027" spans="1:11" ht="51.75" x14ac:dyDescent="0.25">
      <c r="A1027" s="83" t="s">
        <v>450</v>
      </c>
      <c r="B1027" s="83" t="s">
        <v>3208</v>
      </c>
      <c r="C1027" s="83" t="s">
        <v>5719</v>
      </c>
      <c r="D1027" s="83" t="s">
        <v>3718</v>
      </c>
      <c r="E1027" s="83" t="s">
        <v>3727</v>
      </c>
      <c r="F1027" s="83" t="s">
        <v>5720</v>
      </c>
      <c r="G1027" s="83" t="s">
        <v>5721</v>
      </c>
      <c r="H1027" s="83">
        <v>5</v>
      </c>
      <c r="I1027" s="83" t="s">
        <v>3213</v>
      </c>
      <c r="J1027" s="83" t="s">
        <v>3271</v>
      </c>
      <c r="K1027" s="83" t="s">
        <v>3215</v>
      </c>
    </row>
    <row r="1028" spans="1:11" x14ac:dyDescent="0.25">
      <c r="A1028" s="83" t="s">
        <v>5722</v>
      </c>
      <c r="B1028" s="83" t="s">
        <v>5723</v>
      </c>
      <c r="C1028" s="83" t="s">
        <v>5724</v>
      </c>
      <c r="D1028" s="83" t="s">
        <v>3209</v>
      </c>
      <c r="E1028" s="83" t="s">
        <v>3702</v>
      </c>
      <c r="F1028" s="83" t="s">
        <v>5725</v>
      </c>
      <c r="G1028" s="83" t="s">
        <v>5726</v>
      </c>
      <c r="H1028" s="83">
        <v>0.3</v>
      </c>
      <c r="I1028" s="83" t="s">
        <v>3208</v>
      </c>
      <c r="J1028" s="83" t="s">
        <v>3208</v>
      </c>
      <c r="K1028" s="83" t="s">
        <v>3208</v>
      </c>
    </row>
    <row r="1029" spans="1:11" ht="26.25" x14ac:dyDescent="0.25">
      <c r="A1029" s="83" t="s">
        <v>415</v>
      </c>
      <c r="B1029" s="83" t="s">
        <v>3208</v>
      </c>
      <c r="C1029" s="83" t="s">
        <v>5727</v>
      </c>
      <c r="D1029" s="83" t="s">
        <v>4005</v>
      </c>
      <c r="E1029" s="83" t="s">
        <v>3727</v>
      </c>
      <c r="F1029" s="83" t="s">
        <v>4962</v>
      </c>
      <c r="G1029" s="83" t="s">
        <v>4933</v>
      </c>
      <c r="H1029" s="83">
        <v>4.9000000000000004</v>
      </c>
      <c r="I1029" s="83" t="s">
        <v>3213</v>
      </c>
      <c r="J1029" s="83" t="s">
        <v>3851</v>
      </c>
      <c r="K1029" s="83" t="s">
        <v>3215</v>
      </c>
    </row>
    <row r="1030" spans="1:11" ht="26.25" x14ac:dyDescent="0.25">
      <c r="A1030" s="83" t="s">
        <v>2834</v>
      </c>
      <c r="B1030" s="83" t="s">
        <v>3208</v>
      </c>
      <c r="C1030" s="83" t="s">
        <v>3208</v>
      </c>
      <c r="D1030" s="83" t="s">
        <v>3713</v>
      </c>
      <c r="E1030" s="83" t="s">
        <v>3761</v>
      </c>
      <c r="F1030" s="83" t="s">
        <v>5728</v>
      </c>
      <c r="G1030" s="83" t="s">
        <v>5729</v>
      </c>
      <c r="H1030" s="83">
        <v>0</v>
      </c>
      <c r="I1030" s="83" t="s">
        <v>3229</v>
      </c>
      <c r="J1030" s="83" t="s">
        <v>3222</v>
      </c>
      <c r="K1030" s="83" t="s">
        <v>3215</v>
      </c>
    </row>
    <row r="1031" spans="1:11" ht="39" x14ac:dyDescent="0.25">
      <c r="A1031" s="83" t="s">
        <v>2726</v>
      </c>
      <c r="B1031" s="83" t="s">
        <v>3208</v>
      </c>
      <c r="C1031" s="83" t="s">
        <v>3208</v>
      </c>
      <c r="D1031" s="83" t="s">
        <v>3713</v>
      </c>
      <c r="E1031" s="83" t="s">
        <v>3761</v>
      </c>
      <c r="F1031" s="83" t="s">
        <v>5730</v>
      </c>
      <c r="G1031" s="83" t="s">
        <v>5731</v>
      </c>
      <c r="H1031" s="83">
        <v>0</v>
      </c>
      <c r="I1031" s="83" t="s">
        <v>3229</v>
      </c>
      <c r="J1031" s="83" t="s">
        <v>356</v>
      </c>
      <c r="K1031" s="83" t="s">
        <v>3215</v>
      </c>
    </row>
    <row r="1032" spans="1:11" ht="26.25" x14ac:dyDescent="0.25">
      <c r="A1032" s="83" t="s">
        <v>117</v>
      </c>
      <c r="B1032" s="83" t="s">
        <v>5732</v>
      </c>
      <c r="C1032" s="83" t="s">
        <v>5733</v>
      </c>
      <c r="D1032" s="83" t="s">
        <v>3209</v>
      </c>
      <c r="E1032" s="83" t="s">
        <v>3246</v>
      </c>
      <c r="F1032" s="83" t="s">
        <v>5734</v>
      </c>
      <c r="G1032" s="83" t="s">
        <v>3375</v>
      </c>
      <c r="H1032" s="83">
        <v>156</v>
      </c>
      <c r="I1032" s="83" t="s">
        <v>3229</v>
      </c>
      <c r="J1032" s="83" t="s">
        <v>3397</v>
      </c>
      <c r="K1032" s="83" t="s">
        <v>3215</v>
      </c>
    </row>
    <row r="1033" spans="1:11" ht="51.75" x14ac:dyDescent="0.25">
      <c r="A1033" s="83" t="s">
        <v>2425</v>
      </c>
      <c r="B1033" s="83" t="s">
        <v>3208</v>
      </c>
      <c r="C1033" s="83" t="s">
        <v>3208</v>
      </c>
      <c r="D1033" s="83" t="s">
        <v>3713</v>
      </c>
      <c r="E1033" s="83" t="s">
        <v>3761</v>
      </c>
      <c r="F1033" s="83" t="s">
        <v>5735</v>
      </c>
      <c r="G1033" s="83" t="s">
        <v>5736</v>
      </c>
      <c r="H1033" s="83">
        <v>0</v>
      </c>
      <c r="I1033" s="83" t="s">
        <v>3229</v>
      </c>
      <c r="J1033" s="83" t="s">
        <v>3238</v>
      </c>
      <c r="K1033" s="83" t="s">
        <v>3215</v>
      </c>
    </row>
    <row r="1034" spans="1:11" ht="26.25" x14ac:dyDescent="0.25">
      <c r="A1034" s="83" t="s">
        <v>2679</v>
      </c>
      <c r="B1034" s="83" t="s">
        <v>3208</v>
      </c>
      <c r="C1034" s="83" t="s">
        <v>3208</v>
      </c>
      <c r="D1034" s="83" t="s">
        <v>3713</v>
      </c>
      <c r="E1034" s="83" t="s">
        <v>3761</v>
      </c>
      <c r="F1034" s="83" t="s">
        <v>4084</v>
      </c>
      <c r="G1034" s="83" t="s">
        <v>4085</v>
      </c>
      <c r="H1034" s="83">
        <v>0</v>
      </c>
      <c r="I1034" s="83" t="s">
        <v>3213</v>
      </c>
      <c r="J1034" s="83" t="s">
        <v>3948</v>
      </c>
      <c r="K1034" s="83" t="s">
        <v>3215</v>
      </c>
    </row>
    <row r="1035" spans="1:11" ht="26.25" x14ac:dyDescent="0.25">
      <c r="A1035" s="83" t="s">
        <v>5737</v>
      </c>
      <c r="B1035" s="83" t="s">
        <v>3208</v>
      </c>
      <c r="C1035" s="83" t="s">
        <v>5738</v>
      </c>
      <c r="D1035" s="83" t="s">
        <v>3718</v>
      </c>
      <c r="E1035" s="83" t="s">
        <v>3702</v>
      </c>
      <c r="F1035" s="83" t="s">
        <v>4100</v>
      </c>
      <c r="G1035" s="83" t="s">
        <v>5739</v>
      </c>
      <c r="H1035" s="83">
        <v>0.9</v>
      </c>
      <c r="I1035" s="83" t="s">
        <v>3208</v>
      </c>
      <c r="J1035" s="83" t="s">
        <v>3208</v>
      </c>
      <c r="K1035" s="83" t="s">
        <v>3208</v>
      </c>
    </row>
    <row r="1036" spans="1:11" ht="51.75" x14ac:dyDescent="0.25">
      <c r="A1036" s="83" t="s">
        <v>2693</v>
      </c>
      <c r="B1036" s="83" t="s">
        <v>3208</v>
      </c>
      <c r="C1036" s="83" t="s">
        <v>3208</v>
      </c>
      <c r="D1036" s="83" t="s">
        <v>3713</v>
      </c>
      <c r="E1036" s="83" t="s">
        <v>3761</v>
      </c>
      <c r="F1036" s="83" t="s">
        <v>4947</v>
      </c>
      <c r="G1036" s="83" t="s">
        <v>4948</v>
      </c>
      <c r="H1036" s="83">
        <v>0</v>
      </c>
      <c r="I1036" s="83" t="s">
        <v>3213</v>
      </c>
      <c r="J1036" s="83" t="s">
        <v>3214</v>
      </c>
      <c r="K1036" s="83" t="s">
        <v>3215</v>
      </c>
    </row>
    <row r="1037" spans="1:11" ht="51.75" x14ac:dyDescent="0.25">
      <c r="A1037" s="83" t="s">
        <v>2674</v>
      </c>
      <c r="B1037" s="83" t="s">
        <v>3208</v>
      </c>
      <c r="C1037" s="83" t="s">
        <v>3208</v>
      </c>
      <c r="D1037" s="83" t="s">
        <v>3713</v>
      </c>
      <c r="E1037" s="83" t="s">
        <v>3761</v>
      </c>
      <c r="F1037" s="83" t="s">
        <v>4967</v>
      </c>
      <c r="G1037" s="83" t="s">
        <v>5740</v>
      </c>
      <c r="H1037" s="83">
        <v>0</v>
      </c>
      <c r="I1037" s="83" t="s">
        <v>3229</v>
      </c>
      <c r="J1037" s="83" t="s">
        <v>3289</v>
      </c>
      <c r="K1037" s="83" t="s">
        <v>3215</v>
      </c>
    </row>
    <row r="1038" spans="1:11" ht="39" x14ac:dyDescent="0.25">
      <c r="A1038" s="83" t="s">
        <v>449</v>
      </c>
      <c r="B1038" s="83" t="s">
        <v>3208</v>
      </c>
      <c r="C1038" s="83" t="s">
        <v>5741</v>
      </c>
      <c r="D1038" s="83" t="s">
        <v>3718</v>
      </c>
      <c r="E1038" s="83" t="s">
        <v>3727</v>
      </c>
      <c r="F1038" s="83" t="s">
        <v>5742</v>
      </c>
      <c r="G1038" s="83" t="s">
        <v>5743</v>
      </c>
      <c r="H1038" s="83">
        <v>7.78</v>
      </c>
      <c r="I1038" s="83" t="s">
        <v>3213</v>
      </c>
      <c r="J1038" s="83" t="s">
        <v>4000</v>
      </c>
      <c r="K1038" s="83" t="s">
        <v>3215</v>
      </c>
    </row>
    <row r="1039" spans="1:11" ht="26.25" x14ac:dyDescent="0.25">
      <c r="A1039" s="83" t="s">
        <v>5744</v>
      </c>
      <c r="B1039" s="83" t="s">
        <v>3208</v>
      </c>
      <c r="C1039" s="83" t="s">
        <v>3208</v>
      </c>
      <c r="D1039" s="83" t="s">
        <v>3713</v>
      </c>
      <c r="E1039" s="83" t="s">
        <v>3714</v>
      </c>
      <c r="F1039" s="83" t="s">
        <v>5745</v>
      </c>
      <c r="G1039" s="83" t="s">
        <v>5746</v>
      </c>
      <c r="H1039" s="83">
        <v>0</v>
      </c>
      <c r="I1039" s="83" t="s">
        <v>3208</v>
      </c>
      <c r="J1039" s="83" t="s">
        <v>3208</v>
      </c>
      <c r="K1039" s="83" t="s">
        <v>3208</v>
      </c>
    </row>
    <row r="1040" spans="1:11" ht="26.25" x14ac:dyDescent="0.25">
      <c r="A1040" s="83" t="s">
        <v>5747</v>
      </c>
      <c r="B1040" s="83" t="s">
        <v>3208</v>
      </c>
      <c r="C1040" s="83" t="s">
        <v>3208</v>
      </c>
      <c r="D1040" s="83" t="s">
        <v>3713</v>
      </c>
      <c r="E1040" s="83" t="s">
        <v>3714</v>
      </c>
      <c r="F1040" s="83" t="s">
        <v>5748</v>
      </c>
      <c r="G1040" s="83" t="s">
        <v>4088</v>
      </c>
      <c r="H1040" s="83">
        <v>0</v>
      </c>
      <c r="I1040" s="83" t="s">
        <v>3208</v>
      </c>
      <c r="J1040" s="83" t="s">
        <v>3208</v>
      </c>
      <c r="K1040" s="83" t="s">
        <v>3208</v>
      </c>
    </row>
    <row r="1041" spans="1:11" ht="51.75" x14ac:dyDescent="0.25">
      <c r="A1041" s="83" t="s">
        <v>2444</v>
      </c>
      <c r="B1041" s="83" t="s">
        <v>3208</v>
      </c>
      <c r="C1041" s="83" t="s">
        <v>3208</v>
      </c>
      <c r="D1041" s="83" t="s">
        <v>3713</v>
      </c>
      <c r="E1041" s="83" t="s">
        <v>3761</v>
      </c>
      <c r="F1041" s="83" t="s">
        <v>3834</v>
      </c>
      <c r="G1041" s="83" t="s">
        <v>4773</v>
      </c>
      <c r="H1041" s="83">
        <v>0</v>
      </c>
      <c r="I1041" s="83" t="s">
        <v>3229</v>
      </c>
      <c r="J1041" s="83" t="s">
        <v>3238</v>
      </c>
      <c r="K1041" s="83" t="s">
        <v>3215</v>
      </c>
    </row>
    <row r="1042" spans="1:11" ht="39" x14ac:dyDescent="0.25">
      <c r="A1042" s="83" t="s">
        <v>2767</v>
      </c>
      <c r="B1042" s="83" t="s">
        <v>3208</v>
      </c>
      <c r="C1042" s="83" t="s">
        <v>3208</v>
      </c>
      <c r="D1042" s="83" t="s">
        <v>3713</v>
      </c>
      <c r="E1042" s="83" t="s">
        <v>3761</v>
      </c>
      <c r="F1042" s="83" t="s">
        <v>4121</v>
      </c>
      <c r="G1042" s="83" t="s">
        <v>4122</v>
      </c>
      <c r="H1042" s="83">
        <v>0</v>
      </c>
      <c r="I1042" s="83" t="s">
        <v>3229</v>
      </c>
      <c r="J1042" s="83" t="s">
        <v>356</v>
      </c>
      <c r="K1042" s="83" t="s">
        <v>3215</v>
      </c>
    </row>
    <row r="1043" spans="1:11" ht="51.75" x14ac:dyDescent="0.25">
      <c r="A1043" s="83" t="s">
        <v>759</v>
      </c>
      <c r="B1043" s="83" t="s">
        <v>5749</v>
      </c>
      <c r="C1043" s="83" t="s">
        <v>3208</v>
      </c>
      <c r="D1043" s="83" t="s">
        <v>3209</v>
      </c>
      <c r="E1043" s="83" t="s">
        <v>3226</v>
      </c>
      <c r="F1043" s="83" t="s">
        <v>5750</v>
      </c>
      <c r="G1043" s="83" t="s">
        <v>5319</v>
      </c>
      <c r="H1043" s="83">
        <v>9</v>
      </c>
      <c r="I1043" s="83" t="s">
        <v>3229</v>
      </c>
      <c r="J1043" s="83" t="s">
        <v>3230</v>
      </c>
      <c r="K1043" s="83" t="s">
        <v>3215</v>
      </c>
    </row>
    <row r="1044" spans="1:11" ht="39" x14ac:dyDescent="0.25">
      <c r="A1044" s="83" t="s">
        <v>2757</v>
      </c>
      <c r="B1044" s="83" t="s">
        <v>3208</v>
      </c>
      <c r="C1044" s="83" t="s">
        <v>3208</v>
      </c>
      <c r="D1044" s="83" t="s">
        <v>3713</v>
      </c>
      <c r="E1044" s="83" t="s">
        <v>3761</v>
      </c>
      <c r="F1044" s="83" t="s">
        <v>5751</v>
      </c>
      <c r="G1044" s="83" t="s">
        <v>5752</v>
      </c>
      <c r="H1044" s="83">
        <v>0</v>
      </c>
      <c r="I1044" s="83" t="s">
        <v>3229</v>
      </c>
      <c r="J1044" s="83" t="s">
        <v>356</v>
      </c>
      <c r="K1044" s="83" t="s">
        <v>3215</v>
      </c>
    </row>
    <row r="1045" spans="1:11" x14ac:dyDescent="0.25">
      <c r="A1045" s="83" t="s">
        <v>5753</v>
      </c>
      <c r="B1045" s="83" t="s">
        <v>3208</v>
      </c>
      <c r="C1045" s="83" t="s">
        <v>3208</v>
      </c>
      <c r="D1045" s="83" t="s">
        <v>3209</v>
      </c>
      <c r="E1045" s="83" t="s">
        <v>3663</v>
      </c>
      <c r="F1045" s="83" t="s">
        <v>5754</v>
      </c>
      <c r="G1045" s="83" t="s">
        <v>5755</v>
      </c>
      <c r="H1045" s="83">
        <v>44</v>
      </c>
      <c r="I1045" s="83" t="s">
        <v>3208</v>
      </c>
      <c r="J1045" s="83" t="s">
        <v>3208</v>
      </c>
      <c r="K1045" s="83" t="s">
        <v>3208</v>
      </c>
    </row>
    <row r="1046" spans="1:11" ht="26.25" x14ac:dyDescent="0.25">
      <c r="A1046" s="83" t="s">
        <v>5756</v>
      </c>
      <c r="B1046" s="83" t="s">
        <v>3208</v>
      </c>
      <c r="C1046" s="83" t="s">
        <v>3208</v>
      </c>
      <c r="D1046" s="83" t="s">
        <v>3965</v>
      </c>
      <c r="E1046" s="83" t="s">
        <v>4054</v>
      </c>
      <c r="F1046" s="83" t="s">
        <v>5757</v>
      </c>
      <c r="G1046" s="83" t="s">
        <v>5758</v>
      </c>
      <c r="H1046" s="83">
        <v>0</v>
      </c>
      <c r="I1046" s="83" t="s">
        <v>3213</v>
      </c>
      <c r="J1046" s="83" t="s">
        <v>3851</v>
      </c>
      <c r="K1046" s="83" t="s">
        <v>3215</v>
      </c>
    </row>
    <row r="1047" spans="1:11" ht="51.75" x14ac:dyDescent="0.25">
      <c r="A1047" s="83" t="s">
        <v>1764</v>
      </c>
      <c r="B1047" s="83" t="s">
        <v>3208</v>
      </c>
      <c r="C1047" s="83" t="s">
        <v>3208</v>
      </c>
      <c r="D1047" s="83" t="s">
        <v>3713</v>
      </c>
      <c r="E1047" s="83" t="s">
        <v>3761</v>
      </c>
      <c r="F1047" s="83" t="s">
        <v>4121</v>
      </c>
      <c r="G1047" s="83" t="s">
        <v>5759</v>
      </c>
      <c r="H1047" s="83">
        <v>0</v>
      </c>
      <c r="I1047" s="83" t="s">
        <v>3229</v>
      </c>
      <c r="J1047" s="83" t="s">
        <v>3337</v>
      </c>
      <c r="K1047" s="83" t="s">
        <v>3215</v>
      </c>
    </row>
    <row r="1048" spans="1:11" ht="51.75" x14ac:dyDescent="0.25">
      <c r="A1048" s="83" t="s">
        <v>2746</v>
      </c>
      <c r="B1048" s="83" t="s">
        <v>3208</v>
      </c>
      <c r="C1048" s="83" t="s">
        <v>3208</v>
      </c>
      <c r="D1048" s="83" t="s">
        <v>3713</v>
      </c>
      <c r="E1048" s="83" t="s">
        <v>3761</v>
      </c>
      <c r="F1048" s="83" t="s">
        <v>4123</v>
      </c>
      <c r="G1048" s="83" t="s">
        <v>3565</v>
      </c>
      <c r="H1048" s="83">
        <v>0</v>
      </c>
      <c r="I1048" s="83" t="s">
        <v>3229</v>
      </c>
      <c r="J1048" s="83" t="s">
        <v>3230</v>
      </c>
      <c r="K1048" s="83" t="s">
        <v>3215</v>
      </c>
    </row>
    <row r="1049" spans="1:11" ht="39" x14ac:dyDescent="0.25">
      <c r="A1049" s="83" t="s">
        <v>2768</v>
      </c>
      <c r="B1049" s="83" t="s">
        <v>3208</v>
      </c>
      <c r="C1049" s="83" t="s">
        <v>3208</v>
      </c>
      <c r="D1049" s="83" t="s">
        <v>3713</v>
      </c>
      <c r="E1049" s="83" t="s">
        <v>3761</v>
      </c>
      <c r="F1049" s="83" t="s">
        <v>4982</v>
      </c>
      <c r="G1049" s="83" t="s">
        <v>4983</v>
      </c>
      <c r="H1049" s="83">
        <v>0</v>
      </c>
      <c r="I1049" s="83" t="s">
        <v>3229</v>
      </c>
      <c r="J1049" s="83" t="s">
        <v>356</v>
      </c>
      <c r="K1049" s="83" t="s">
        <v>3215</v>
      </c>
    </row>
    <row r="1050" spans="1:11" ht="64.5" x14ac:dyDescent="0.25">
      <c r="A1050" s="83" t="s">
        <v>5760</v>
      </c>
      <c r="B1050" s="83" t="s">
        <v>3208</v>
      </c>
      <c r="C1050" s="83" t="s">
        <v>3208</v>
      </c>
      <c r="D1050" s="83" t="s">
        <v>3965</v>
      </c>
      <c r="E1050" s="83" t="s">
        <v>4054</v>
      </c>
      <c r="F1050" s="83" t="s">
        <v>5761</v>
      </c>
      <c r="G1050" s="83" t="s">
        <v>3824</v>
      </c>
      <c r="H1050" s="83">
        <v>0</v>
      </c>
      <c r="I1050" s="83" t="s">
        <v>3213</v>
      </c>
      <c r="J1050" s="83" t="s">
        <v>3262</v>
      </c>
      <c r="K1050" s="83" t="s">
        <v>3215</v>
      </c>
    </row>
    <row r="1051" spans="1:11" ht="51.75" x14ac:dyDescent="0.25">
      <c r="A1051" s="83" t="s">
        <v>2750</v>
      </c>
      <c r="B1051" s="83" t="s">
        <v>3208</v>
      </c>
      <c r="C1051" s="83" t="s">
        <v>3208</v>
      </c>
      <c r="D1051" s="83" t="s">
        <v>3713</v>
      </c>
      <c r="E1051" s="83" t="s">
        <v>3761</v>
      </c>
      <c r="F1051" s="83" t="s">
        <v>5762</v>
      </c>
      <c r="G1051" s="83" t="s">
        <v>5763</v>
      </c>
      <c r="H1051" s="83">
        <v>0</v>
      </c>
      <c r="I1051" s="83" t="s">
        <v>3229</v>
      </c>
      <c r="J1051" s="83" t="s">
        <v>3230</v>
      </c>
      <c r="K1051" s="83" t="s">
        <v>3215</v>
      </c>
    </row>
    <row r="1052" spans="1:11" ht="39" x14ac:dyDescent="0.25">
      <c r="A1052" s="83" t="s">
        <v>2771</v>
      </c>
      <c r="B1052" s="83" t="s">
        <v>3208</v>
      </c>
      <c r="C1052" s="83" t="s">
        <v>3208</v>
      </c>
      <c r="D1052" s="83" t="s">
        <v>3713</v>
      </c>
      <c r="E1052" s="83" t="s">
        <v>3761</v>
      </c>
      <c r="F1052" s="83" t="s">
        <v>4982</v>
      </c>
      <c r="G1052" s="83" t="s">
        <v>5764</v>
      </c>
      <c r="H1052" s="83">
        <v>0</v>
      </c>
      <c r="I1052" s="83" t="s">
        <v>3229</v>
      </c>
      <c r="J1052" s="83" t="s">
        <v>356</v>
      </c>
      <c r="K1052" s="83" t="s">
        <v>3215</v>
      </c>
    </row>
    <row r="1053" spans="1:11" x14ac:dyDescent="0.25">
      <c r="A1053" s="83" t="s">
        <v>5765</v>
      </c>
      <c r="B1053" s="83" t="s">
        <v>5766</v>
      </c>
      <c r="C1053" s="83" t="s">
        <v>3208</v>
      </c>
      <c r="D1053" s="83" t="s">
        <v>3209</v>
      </c>
      <c r="E1053" s="83" t="s">
        <v>3702</v>
      </c>
      <c r="F1053" s="83" t="s">
        <v>5767</v>
      </c>
      <c r="G1053" s="83" t="s">
        <v>5768</v>
      </c>
      <c r="H1053" s="83">
        <v>19.5</v>
      </c>
      <c r="I1053" s="83" t="s">
        <v>3208</v>
      </c>
      <c r="J1053" s="83" t="s">
        <v>3208</v>
      </c>
      <c r="K1053" s="83" t="s">
        <v>3208</v>
      </c>
    </row>
    <row r="1054" spans="1:11" ht="51.75" x14ac:dyDescent="0.25">
      <c r="A1054" s="83" t="s">
        <v>454</v>
      </c>
      <c r="B1054" s="83" t="s">
        <v>3208</v>
      </c>
      <c r="C1054" s="83" t="s">
        <v>5769</v>
      </c>
      <c r="D1054" s="83" t="s">
        <v>3718</v>
      </c>
      <c r="E1054" s="83" t="s">
        <v>3727</v>
      </c>
      <c r="F1054" s="83" t="s">
        <v>5770</v>
      </c>
      <c r="G1054" s="83" t="s">
        <v>5771</v>
      </c>
      <c r="H1054" s="83">
        <v>5.7</v>
      </c>
      <c r="I1054" s="83" t="s">
        <v>3229</v>
      </c>
      <c r="J1054" s="83" t="s">
        <v>3289</v>
      </c>
      <c r="K1054" s="83" t="s">
        <v>3215</v>
      </c>
    </row>
    <row r="1055" spans="1:11" ht="51.75" x14ac:dyDescent="0.25">
      <c r="A1055" s="83" t="s">
        <v>2741</v>
      </c>
      <c r="B1055" s="83" t="s">
        <v>3208</v>
      </c>
      <c r="C1055" s="83" t="s">
        <v>3208</v>
      </c>
      <c r="D1055" s="83" t="s">
        <v>3713</v>
      </c>
      <c r="E1055" s="83" t="s">
        <v>3761</v>
      </c>
      <c r="F1055" s="83" t="s">
        <v>4123</v>
      </c>
      <c r="G1055" s="83" t="s">
        <v>3565</v>
      </c>
      <c r="H1055" s="83">
        <v>0</v>
      </c>
      <c r="I1055" s="83" t="s">
        <v>3229</v>
      </c>
      <c r="J1055" s="83" t="s">
        <v>3230</v>
      </c>
      <c r="K1055" s="83" t="s">
        <v>3215</v>
      </c>
    </row>
    <row r="1056" spans="1:11" ht="51.75" x14ac:dyDescent="0.25">
      <c r="A1056" s="83" t="s">
        <v>2762</v>
      </c>
      <c r="B1056" s="83" t="s">
        <v>3208</v>
      </c>
      <c r="C1056" s="83" t="s">
        <v>3208</v>
      </c>
      <c r="D1056" s="83" t="s">
        <v>3713</v>
      </c>
      <c r="E1056" s="83" t="s">
        <v>3761</v>
      </c>
      <c r="F1056" s="83" t="s">
        <v>5772</v>
      </c>
      <c r="G1056" s="83" t="s">
        <v>5773</v>
      </c>
      <c r="H1056" s="83">
        <v>0</v>
      </c>
      <c r="I1056" s="83" t="s">
        <v>3229</v>
      </c>
      <c r="J1056" s="83" t="s">
        <v>3337</v>
      </c>
      <c r="K1056" s="83" t="s">
        <v>3215</v>
      </c>
    </row>
    <row r="1057" spans="1:11" ht="26.25" x14ac:dyDescent="0.25">
      <c r="A1057" s="83" t="s">
        <v>2901</v>
      </c>
      <c r="B1057" s="83" t="s">
        <v>3208</v>
      </c>
      <c r="C1057" s="83" t="s">
        <v>3208</v>
      </c>
      <c r="D1057" s="83" t="s">
        <v>3713</v>
      </c>
      <c r="E1057" s="83" t="s">
        <v>3761</v>
      </c>
      <c r="F1057" s="83" t="s">
        <v>5774</v>
      </c>
      <c r="G1057" s="83" t="s">
        <v>5775</v>
      </c>
      <c r="H1057" s="83">
        <v>0</v>
      </c>
      <c r="I1057" s="83" t="s">
        <v>3213</v>
      </c>
      <c r="J1057" s="83" t="s">
        <v>3948</v>
      </c>
      <c r="K1057" s="83" t="s">
        <v>3215</v>
      </c>
    </row>
    <row r="1058" spans="1:11" ht="51.75" x14ac:dyDescent="0.25">
      <c r="A1058" s="83" t="s">
        <v>5776</v>
      </c>
      <c r="B1058" s="83" t="s">
        <v>3208</v>
      </c>
      <c r="C1058" s="83" t="s">
        <v>3208</v>
      </c>
      <c r="D1058" s="83" t="s">
        <v>3713</v>
      </c>
      <c r="E1058" s="83" t="s">
        <v>3714</v>
      </c>
      <c r="F1058" s="83" t="s">
        <v>5777</v>
      </c>
      <c r="G1058" s="83" t="s">
        <v>5778</v>
      </c>
      <c r="H1058" s="83">
        <v>0</v>
      </c>
      <c r="I1058" s="83" t="s">
        <v>3229</v>
      </c>
      <c r="J1058" s="83" t="s">
        <v>3238</v>
      </c>
      <c r="K1058" s="83" t="s">
        <v>3215</v>
      </c>
    </row>
    <row r="1059" spans="1:11" ht="64.5" x14ac:dyDescent="0.25">
      <c r="A1059" s="83" t="s">
        <v>388</v>
      </c>
      <c r="B1059" s="83" t="s">
        <v>3208</v>
      </c>
      <c r="C1059" s="83" t="s">
        <v>5779</v>
      </c>
      <c r="D1059" s="83" t="s">
        <v>3718</v>
      </c>
      <c r="E1059" s="83" t="s">
        <v>3727</v>
      </c>
      <c r="F1059" s="83" t="s">
        <v>5780</v>
      </c>
      <c r="G1059" s="83" t="s">
        <v>5781</v>
      </c>
      <c r="H1059" s="83">
        <v>2.5</v>
      </c>
      <c r="I1059" s="83" t="s">
        <v>3213</v>
      </c>
      <c r="J1059" s="83" t="s">
        <v>3413</v>
      </c>
      <c r="K1059" s="83" t="s">
        <v>3215</v>
      </c>
    </row>
    <row r="1060" spans="1:11" ht="26.25" x14ac:dyDescent="0.25">
      <c r="A1060" s="83" t="s">
        <v>393</v>
      </c>
      <c r="B1060" s="83" t="s">
        <v>3208</v>
      </c>
      <c r="C1060" s="83" t="s">
        <v>5782</v>
      </c>
      <c r="D1060" s="83" t="s">
        <v>3718</v>
      </c>
      <c r="E1060" s="83" t="s">
        <v>3727</v>
      </c>
      <c r="F1060" s="83" t="s">
        <v>5783</v>
      </c>
      <c r="G1060" s="83" t="s">
        <v>5784</v>
      </c>
      <c r="H1060" s="83">
        <v>0.46</v>
      </c>
      <c r="I1060" s="83" t="s">
        <v>3229</v>
      </c>
      <c r="J1060" s="83" t="s">
        <v>3222</v>
      </c>
      <c r="K1060" s="83" t="s">
        <v>3215</v>
      </c>
    </row>
    <row r="1061" spans="1:11" ht="51.75" x14ac:dyDescent="0.25">
      <c r="A1061" s="83" t="s">
        <v>5785</v>
      </c>
      <c r="B1061" s="83" t="s">
        <v>5786</v>
      </c>
      <c r="C1061" s="83" t="s">
        <v>3208</v>
      </c>
      <c r="D1061" s="83" t="s">
        <v>3209</v>
      </c>
      <c r="E1061" s="83" t="s">
        <v>3226</v>
      </c>
      <c r="F1061" s="83" t="s">
        <v>4182</v>
      </c>
      <c r="G1061" s="83" t="s">
        <v>4925</v>
      </c>
      <c r="H1061" s="83">
        <v>0.86</v>
      </c>
      <c r="I1061" s="83" t="s">
        <v>3229</v>
      </c>
      <c r="J1061" s="83" t="s">
        <v>3337</v>
      </c>
      <c r="K1061" s="83" t="s">
        <v>3215</v>
      </c>
    </row>
    <row r="1062" spans="1:11" ht="26.25" x14ac:dyDescent="0.25">
      <c r="A1062" s="83" t="s">
        <v>5787</v>
      </c>
      <c r="B1062" s="83" t="s">
        <v>3208</v>
      </c>
      <c r="C1062" s="83" t="s">
        <v>3208</v>
      </c>
      <c r="D1062" s="83" t="s">
        <v>3713</v>
      </c>
      <c r="E1062" s="83" t="s">
        <v>3714</v>
      </c>
      <c r="F1062" s="83" t="s">
        <v>4197</v>
      </c>
      <c r="G1062" s="83" t="s">
        <v>4198</v>
      </c>
      <c r="H1062" s="83">
        <v>0</v>
      </c>
      <c r="I1062" s="83" t="s">
        <v>3208</v>
      </c>
      <c r="J1062" s="83" t="s">
        <v>3208</v>
      </c>
      <c r="K1062" s="83" t="s">
        <v>3208</v>
      </c>
    </row>
    <row r="1063" spans="1:11" ht="26.25" x14ac:dyDescent="0.25">
      <c r="A1063" s="83" t="s">
        <v>5788</v>
      </c>
      <c r="B1063" s="83" t="s">
        <v>3208</v>
      </c>
      <c r="C1063" s="83" t="s">
        <v>3208</v>
      </c>
      <c r="D1063" s="83" t="s">
        <v>3713</v>
      </c>
      <c r="E1063" s="83" t="s">
        <v>3714</v>
      </c>
      <c r="F1063" s="83" t="s">
        <v>5789</v>
      </c>
      <c r="G1063" s="83" t="s">
        <v>5790</v>
      </c>
      <c r="H1063" s="83">
        <v>0</v>
      </c>
      <c r="I1063" s="83" t="s">
        <v>3208</v>
      </c>
      <c r="J1063" s="83" t="s">
        <v>3208</v>
      </c>
      <c r="K1063" s="83" t="s">
        <v>3208</v>
      </c>
    </row>
    <row r="1064" spans="1:11" ht="64.5" x14ac:dyDescent="0.25">
      <c r="A1064" s="83" t="s">
        <v>2887</v>
      </c>
      <c r="B1064" s="83" t="s">
        <v>3208</v>
      </c>
      <c r="C1064" s="83" t="s">
        <v>3208</v>
      </c>
      <c r="D1064" s="83" t="s">
        <v>3713</v>
      </c>
      <c r="E1064" s="83" t="s">
        <v>3761</v>
      </c>
      <c r="F1064" s="83" t="s">
        <v>5791</v>
      </c>
      <c r="G1064" s="83" t="s">
        <v>5792</v>
      </c>
      <c r="H1064" s="83">
        <v>0</v>
      </c>
      <c r="I1064" s="83" t="s">
        <v>3229</v>
      </c>
      <c r="J1064" s="83" t="s">
        <v>3380</v>
      </c>
      <c r="K1064" s="83" t="s">
        <v>3215</v>
      </c>
    </row>
    <row r="1065" spans="1:11" ht="26.25" x14ac:dyDescent="0.25">
      <c r="A1065" s="83" t="s">
        <v>677</v>
      </c>
      <c r="B1065" s="83" t="s">
        <v>3208</v>
      </c>
      <c r="C1065" s="83" t="s">
        <v>5793</v>
      </c>
      <c r="D1065" s="83" t="s">
        <v>3718</v>
      </c>
      <c r="E1065" s="83" t="s">
        <v>3727</v>
      </c>
      <c r="F1065" s="83" t="s">
        <v>5794</v>
      </c>
      <c r="G1065" s="83" t="s">
        <v>5795</v>
      </c>
      <c r="H1065" s="83">
        <v>1</v>
      </c>
      <c r="I1065" s="83" t="s">
        <v>3229</v>
      </c>
      <c r="J1065" s="83" t="s">
        <v>3397</v>
      </c>
      <c r="K1065" s="83" t="s">
        <v>3215</v>
      </c>
    </row>
    <row r="1066" spans="1:11" ht="26.25" x14ac:dyDescent="0.25">
      <c r="A1066" s="83" t="s">
        <v>1540</v>
      </c>
      <c r="B1066" s="83" t="s">
        <v>5796</v>
      </c>
      <c r="C1066" s="83" t="s">
        <v>5797</v>
      </c>
      <c r="D1066" s="83" t="s">
        <v>3209</v>
      </c>
      <c r="E1066" s="83" t="s">
        <v>3246</v>
      </c>
      <c r="F1066" s="83" t="s">
        <v>5798</v>
      </c>
      <c r="G1066" s="83" t="s">
        <v>5799</v>
      </c>
      <c r="H1066" s="83">
        <v>23</v>
      </c>
      <c r="I1066" s="83" t="s">
        <v>3229</v>
      </c>
      <c r="J1066" s="83" t="s">
        <v>3324</v>
      </c>
      <c r="K1066" s="83" t="s">
        <v>3215</v>
      </c>
    </row>
    <row r="1067" spans="1:11" ht="26.25" x14ac:dyDescent="0.25">
      <c r="A1067" s="83" t="s">
        <v>2878</v>
      </c>
      <c r="B1067" s="83" t="s">
        <v>3208</v>
      </c>
      <c r="C1067" s="83" t="s">
        <v>3208</v>
      </c>
      <c r="D1067" s="83" t="s">
        <v>3713</v>
      </c>
      <c r="E1067" s="83" t="s">
        <v>3761</v>
      </c>
      <c r="F1067" s="83" t="s">
        <v>5800</v>
      </c>
      <c r="G1067" s="83" t="s">
        <v>5660</v>
      </c>
      <c r="H1067" s="83">
        <v>0</v>
      </c>
      <c r="I1067" s="83" t="s">
        <v>3213</v>
      </c>
      <c r="J1067" s="83" t="s">
        <v>4000</v>
      </c>
      <c r="K1067" s="83" t="s">
        <v>3215</v>
      </c>
    </row>
    <row r="1068" spans="1:11" ht="51.75" x14ac:dyDescent="0.25">
      <c r="A1068" s="83" t="s">
        <v>1818</v>
      </c>
      <c r="B1068" s="83" t="s">
        <v>3208</v>
      </c>
      <c r="C1068" s="83" t="s">
        <v>3208</v>
      </c>
      <c r="D1068" s="83" t="s">
        <v>3713</v>
      </c>
      <c r="E1068" s="83" t="s">
        <v>3761</v>
      </c>
      <c r="F1068" s="83" t="s">
        <v>5801</v>
      </c>
      <c r="G1068" s="83" t="s">
        <v>5802</v>
      </c>
      <c r="H1068" s="83">
        <v>0</v>
      </c>
      <c r="I1068" s="83" t="s">
        <v>3229</v>
      </c>
      <c r="J1068" s="83" t="s">
        <v>3332</v>
      </c>
      <c r="K1068" s="83" t="s">
        <v>3215</v>
      </c>
    </row>
    <row r="1069" spans="1:11" ht="26.25" x14ac:dyDescent="0.25">
      <c r="A1069" s="83" t="s">
        <v>5803</v>
      </c>
      <c r="B1069" s="83" t="s">
        <v>3208</v>
      </c>
      <c r="C1069" s="83" t="s">
        <v>3208</v>
      </c>
      <c r="D1069" s="83" t="s">
        <v>3713</v>
      </c>
      <c r="E1069" s="83" t="s">
        <v>3714</v>
      </c>
      <c r="F1069" s="83" t="s">
        <v>5804</v>
      </c>
      <c r="G1069" s="83" t="s">
        <v>5566</v>
      </c>
      <c r="H1069" s="83">
        <v>0</v>
      </c>
      <c r="I1069" s="83" t="s">
        <v>3208</v>
      </c>
      <c r="J1069" s="83" t="s">
        <v>3208</v>
      </c>
      <c r="K1069" s="83" t="s">
        <v>3208</v>
      </c>
    </row>
    <row r="1070" spans="1:11" ht="26.25" x14ac:dyDescent="0.25">
      <c r="A1070" s="83" t="s">
        <v>5805</v>
      </c>
      <c r="B1070" s="83" t="s">
        <v>3208</v>
      </c>
      <c r="C1070" s="83" t="s">
        <v>3208</v>
      </c>
      <c r="D1070" s="83" t="s">
        <v>3209</v>
      </c>
      <c r="E1070" s="83" t="s">
        <v>3663</v>
      </c>
      <c r="F1070" s="83" t="s">
        <v>5806</v>
      </c>
      <c r="G1070" s="83" t="s">
        <v>3375</v>
      </c>
      <c r="H1070" s="83">
        <v>60</v>
      </c>
      <c r="I1070" s="83" t="s">
        <v>3208</v>
      </c>
      <c r="J1070" s="83" t="s">
        <v>3208</v>
      </c>
      <c r="K1070" s="83" t="s">
        <v>3208</v>
      </c>
    </row>
    <row r="1071" spans="1:11" ht="26.25" x14ac:dyDescent="0.25">
      <c r="A1071" s="83" t="s">
        <v>5807</v>
      </c>
      <c r="B1071" s="83" t="s">
        <v>3208</v>
      </c>
      <c r="C1071" s="83" t="s">
        <v>3208</v>
      </c>
      <c r="D1071" s="83" t="s">
        <v>3713</v>
      </c>
      <c r="E1071" s="83" t="s">
        <v>3714</v>
      </c>
      <c r="F1071" s="83" t="s">
        <v>5808</v>
      </c>
      <c r="G1071" s="83" t="s">
        <v>5809</v>
      </c>
      <c r="H1071" s="83">
        <v>0</v>
      </c>
      <c r="I1071" s="83" t="s">
        <v>3208</v>
      </c>
      <c r="J1071" s="83" t="s">
        <v>3208</v>
      </c>
      <c r="K1071" s="83" t="s">
        <v>3208</v>
      </c>
    </row>
    <row r="1072" spans="1:11" ht="51.75" x14ac:dyDescent="0.25">
      <c r="A1072" s="83" t="s">
        <v>2805</v>
      </c>
      <c r="B1072" s="83" t="s">
        <v>3208</v>
      </c>
      <c r="C1072" s="83" t="s">
        <v>3208</v>
      </c>
      <c r="D1072" s="83" t="s">
        <v>3713</v>
      </c>
      <c r="E1072" s="83" t="s">
        <v>3761</v>
      </c>
      <c r="F1072" s="83" t="s">
        <v>4168</v>
      </c>
      <c r="G1072" s="83" t="s">
        <v>5810</v>
      </c>
      <c r="H1072" s="83">
        <v>0</v>
      </c>
      <c r="I1072" s="83" t="s">
        <v>3213</v>
      </c>
      <c r="J1072" s="83" t="s">
        <v>3538</v>
      </c>
      <c r="K1072" s="83" t="s">
        <v>3215</v>
      </c>
    </row>
    <row r="1073" spans="1:11" ht="26.25" x14ac:dyDescent="0.25">
      <c r="A1073" s="83" t="s">
        <v>5811</v>
      </c>
      <c r="B1073" s="83" t="s">
        <v>3208</v>
      </c>
      <c r="C1073" s="83" t="s">
        <v>3208</v>
      </c>
      <c r="D1073" s="83" t="s">
        <v>3713</v>
      </c>
      <c r="E1073" s="83" t="s">
        <v>3714</v>
      </c>
      <c r="F1073" s="83" t="s">
        <v>5812</v>
      </c>
      <c r="G1073" s="83" t="s">
        <v>5813</v>
      </c>
      <c r="H1073" s="83">
        <v>0</v>
      </c>
      <c r="I1073" s="83" t="s">
        <v>3208</v>
      </c>
      <c r="J1073" s="83" t="s">
        <v>3208</v>
      </c>
      <c r="K1073" s="83" t="s">
        <v>3208</v>
      </c>
    </row>
    <row r="1074" spans="1:11" ht="26.25" x14ac:dyDescent="0.25">
      <c r="A1074" s="83" t="s">
        <v>5814</v>
      </c>
      <c r="B1074" s="83" t="s">
        <v>3208</v>
      </c>
      <c r="C1074" s="83" t="s">
        <v>3208</v>
      </c>
      <c r="D1074" s="83" t="s">
        <v>3713</v>
      </c>
      <c r="E1074" s="83" t="s">
        <v>3714</v>
      </c>
      <c r="F1074" s="83" t="s">
        <v>5815</v>
      </c>
      <c r="G1074" s="83" t="s">
        <v>3925</v>
      </c>
      <c r="H1074" s="83">
        <v>0</v>
      </c>
      <c r="I1074" s="83" t="s">
        <v>3208</v>
      </c>
      <c r="J1074" s="83" t="s">
        <v>3208</v>
      </c>
      <c r="K1074" s="83" t="s">
        <v>3208</v>
      </c>
    </row>
    <row r="1075" spans="1:11" ht="115.5" x14ac:dyDescent="0.25">
      <c r="A1075" s="83" t="s">
        <v>5816</v>
      </c>
      <c r="B1075" s="83" t="s">
        <v>3208</v>
      </c>
      <c r="C1075" s="83" t="s">
        <v>3208</v>
      </c>
      <c r="D1075" s="83" t="s">
        <v>3965</v>
      </c>
      <c r="E1075" s="83" t="s">
        <v>4054</v>
      </c>
      <c r="F1075" s="83" t="s">
        <v>5817</v>
      </c>
      <c r="G1075" s="83" t="s">
        <v>5818</v>
      </c>
      <c r="H1075" s="83">
        <v>0</v>
      </c>
      <c r="I1075" s="83" t="s">
        <v>3213</v>
      </c>
      <c r="J1075" s="83" t="s">
        <v>5819</v>
      </c>
      <c r="K1075" s="83" t="s">
        <v>3215</v>
      </c>
    </row>
    <row r="1076" spans="1:11" ht="26.25" x14ac:dyDescent="0.25">
      <c r="A1076" s="83" t="s">
        <v>390</v>
      </c>
      <c r="B1076" s="83" t="s">
        <v>3208</v>
      </c>
      <c r="C1076" s="83" t="s">
        <v>5820</v>
      </c>
      <c r="D1076" s="83" t="s">
        <v>3718</v>
      </c>
      <c r="E1076" s="83" t="s">
        <v>3727</v>
      </c>
      <c r="F1076" s="83" t="s">
        <v>5800</v>
      </c>
      <c r="G1076" s="83" t="s">
        <v>5821</v>
      </c>
      <c r="H1076" s="83">
        <v>6.2</v>
      </c>
      <c r="I1076" s="83" t="s">
        <v>3229</v>
      </c>
      <c r="J1076" s="83" t="s">
        <v>3324</v>
      </c>
      <c r="K1076" s="83" t="s">
        <v>3215</v>
      </c>
    </row>
    <row r="1077" spans="1:11" ht="26.25" x14ac:dyDescent="0.25">
      <c r="A1077" s="83" t="s">
        <v>5822</v>
      </c>
      <c r="B1077" s="83" t="s">
        <v>3208</v>
      </c>
      <c r="C1077" s="83" t="s">
        <v>3208</v>
      </c>
      <c r="D1077" s="83" t="s">
        <v>3713</v>
      </c>
      <c r="E1077" s="83" t="s">
        <v>3714</v>
      </c>
      <c r="F1077" s="83" t="s">
        <v>5789</v>
      </c>
      <c r="G1077" s="83" t="s">
        <v>5790</v>
      </c>
      <c r="H1077" s="83">
        <v>0</v>
      </c>
      <c r="I1077" s="83" t="s">
        <v>3208</v>
      </c>
      <c r="J1077" s="83" t="s">
        <v>3208</v>
      </c>
      <c r="K1077" s="83" t="s">
        <v>3208</v>
      </c>
    </row>
    <row r="1078" spans="1:11" ht="51.75" x14ac:dyDescent="0.25">
      <c r="A1078" s="83" t="s">
        <v>423</v>
      </c>
      <c r="B1078" s="83" t="s">
        <v>3208</v>
      </c>
      <c r="C1078" s="83" t="s">
        <v>5823</v>
      </c>
      <c r="D1078" s="83" t="s">
        <v>3718</v>
      </c>
      <c r="E1078" s="83" t="s">
        <v>3727</v>
      </c>
      <c r="F1078" s="83" t="s">
        <v>5824</v>
      </c>
      <c r="G1078" s="83" t="s">
        <v>5825</v>
      </c>
      <c r="H1078" s="83">
        <v>3</v>
      </c>
      <c r="I1078" s="83" t="s">
        <v>3213</v>
      </c>
      <c r="J1078" s="83" t="s">
        <v>3521</v>
      </c>
      <c r="K1078" s="83" t="s">
        <v>3215</v>
      </c>
    </row>
    <row r="1079" spans="1:11" ht="26.25" x14ac:dyDescent="0.25">
      <c r="A1079" s="83" t="s">
        <v>5826</v>
      </c>
      <c r="B1079" s="83" t="s">
        <v>3208</v>
      </c>
      <c r="C1079" s="83" t="s">
        <v>3208</v>
      </c>
      <c r="D1079" s="83" t="s">
        <v>4005</v>
      </c>
      <c r="E1079" s="83" t="s">
        <v>4248</v>
      </c>
      <c r="F1079" s="83" t="s">
        <v>5827</v>
      </c>
      <c r="G1079" s="83" t="s">
        <v>5828</v>
      </c>
      <c r="H1079" s="83">
        <v>0.3</v>
      </c>
      <c r="I1079" s="83" t="s">
        <v>3208</v>
      </c>
      <c r="J1079" s="83" t="s">
        <v>3208</v>
      </c>
      <c r="K1079" s="83" t="s">
        <v>3208</v>
      </c>
    </row>
    <row r="1080" spans="1:11" ht="26.25" x14ac:dyDescent="0.25">
      <c r="A1080" s="83" t="s">
        <v>5829</v>
      </c>
      <c r="B1080" s="83" t="s">
        <v>3208</v>
      </c>
      <c r="C1080" s="83" t="s">
        <v>3208</v>
      </c>
      <c r="D1080" s="83" t="s">
        <v>4157</v>
      </c>
      <c r="E1080" s="83" t="s">
        <v>4248</v>
      </c>
      <c r="F1080" s="83" t="s">
        <v>5830</v>
      </c>
      <c r="G1080" s="83" t="s">
        <v>5831</v>
      </c>
      <c r="H1080" s="83">
        <v>0.7</v>
      </c>
      <c r="I1080" s="83" t="s">
        <v>3208</v>
      </c>
      <c r="J1080" s="83" t="s">
        <v>3208</v>
      </c>
      <c r="K1080" s="83" t="s">
        <v>3208</v>
      </c>
    </row>
    <row r="1081" spans="1:11" ht="26.25" x14ac:dyDescent="0.25">
      <c r="A1081" s="83" t="s">
        <v>5832</v>
      </c>
      <c r="B1081" s="83" t="s">
        <v>3208</v>
      </c>
      <c r="C1081" s="83" t="s">
        <v>3208</v>
      </c>
      <c r="D1081" s="83" t="s">
        <v>3713</v>
      </c>
      <c r="E1081" s="83" t="s">
        <v>3714</v>
      </c>
      <c r="F1081" s="83" t="s">
        <v>5833</v>
      </c>
      <c r="G1081" s="83" t="s">
        <v>5834</v>
      </c>
      <c r="H1081" s="83">
        <v>0</v>
      </c>
      <c r="I1081" s="83" t="s">
        <v>3208</v>
      </c>
      <c r="J1081" s="83" t="s">
        <v>3208</v>
      </c>
      <c r="K1081" s="83" t="s">
        <v>3208</v>
      </c>
    </row>
    <row r="1082" spans="1:11" ht="26.25" x14ac:dyDescent="0.25">
      <c r="A1082" s="83" t="s">
        <v>5835</v>
      </c>
      <c r="B1082" s="83" t="s">
        <v>3208</v>
      </c>
      <c r="C1082" s="83" t="s">
        <v>3208</v>
      </c>
      <c r="D1082" s="83" t="s">
        <v>3713</v>
      </c>
      <c r="E1082" s="83" t="s">
        <v>3714</v>
      </c>
      <c r="F1082" s="83" t="s">
        <v>5836</v>
      </c>
      <c r="G1082" s="83" t="s">
        <v>5837</v>
      </c>
      <c r="H1082" s="83">
        <v>0</v>
      </c>
      <c r="I1082" s="83" t="s">
        <v>3208</v>
      </c>
      <c r="J1082" s="83" t="s">
        <v>3208</v>
      </c>
      <c r="K1082" s="83" t="s">
        <v>3208</v>
      </c>
    </row>
    <row r="1083" spans="1:11" ht="26.25" x14ac:dyDescent="0.25">
      <c r="A1083" s="83" t="s">
        <v>2899</v>
      </c>
      <c r="B1083" s="83" t="s">
        <v>3208</v>
      </c>
      <c r="C1083" s="83" t="s">
        <v>3208</v>
      </c>
      <c r="D1083" s="83" t="s">
        <v>3713</v>
      </c>
      <c r="E1083" s="83" t="s">
        <v>3761</v>
      </c>
      <c r="F1083" s="83" t="s">
        <v>5838</v>
      </c>
      <c r="G1083" s="83" t="s">
        <v>5775</v>
      </c>
      <c r="H1083" s="83">
        <v>0</v>
      </c>
      <c r="I1083" s="83" t="s">
        <v>3213</v>
      </c>
      <c r="J1083" s="83" t="s">
        <v>3948</v>
      </c>
      <c r="K1083" s="83" t="s">
        <v>3215</v>
      </c>
    </row>
    <row r="1084" spans="1:11" ht="26.25" x14ac:dyDescent="0.25">
      <c r="A1084" s="83" t="s">
        <v>5839</v>
      </c>
      <c r="B1084" s="83" t="s">
        <v>3208</v>
      </c>
      <c r="C1084" s="83" t="s">
        <v>3208</v>
      </c>
      <c r="D1084" s="83" t="s">
        <v>3713</v>
      </c>
      <c r="E1084" s="83" t="s">
        <v>3714</v>
      </c>
      <c r="F1084" s="83" t="s">
        <v>5840</v>
      </c>
      <c r="G1084" s="83" t="s">
        <v>4556</v>
      </c>
      <c r="H1084" s="83">
        <v>0</v>
      </c>
      <c r="I1084" s="83" t="s">
        <v>3208</v>
      </c>
      <c r="J1084" s="83" t="s">
        <v>3208</v>
      </c>
      <c r="K1084" s="83" t="s">
        <v>3208</v>
      </c>
    </row>
    <row r="1085" spans="1:11" ht="26.25" x14ac:dyDescent="0.25">
      <c r="A1085" s="83" t="s">
        <v>2337</v>
      </c>
      <c r="B1085" s="83" t="s">
        <v>3208</v>
      </c>
      <c r="C1085" s="83" t="s">
        <v>3208</v>
      </c>
      <c r="D1085" s="83" t="s">
        <v>3713</v>
      </c>
      <c r="E1085" s="83" t="s">
        <v>3761</v>
      </c>
      <c r="F1085" s="83" t="s">
        <v>3895</v>
      </c>
      <c r="G1085" s="83" t="s">
        <v>4881</v>
      </c>
      <c r="H1085" s="83">
        <v>0</v>
      </c>
      <c r="I1085" s="83" t="s">
        <v>3208</v>
      </c>
      <c r="J1085" s="83" t="s">
        <v>3208</v>
      </c>
      <c r="K1085" s="83" t="s">
        <v>3208</v>
      </c>
    </row>
    <row r="1086" spans="1:11" ht="26.25" x14ac:dyDescent="0.25">
      <c r="A1086" s="83" t="s">
        <v>5841</v>
      </c>
      <c r="B1086" s="83" t="s">
        <v>3208</v>
      </c>
      <c r="C1086" s="83" t="s">
        <v>3208</v>
      </c>
      <c r="D1086" s="83" t="s">
        <v>3713</v>
      </c>
      <c r="E1086" s="83" t="s">
        <v>3714</v>
      </c>
      <c r="F1086" s="83" t="s">
        <v>5842</v>
      </c>
      <c r="G1086" s="83" t="s">
        <v>5126</v>
      </c>
      <c r="H1086" s="83">
        <v>0</v>
      </c>
      <c r="I1086" s="83" t="s">
        <v>3208</v>
      </c>
      <c r="J1086" s="83" t="s">
        <v>3208</v>
      </c>
      <c r="K1086" s="83" t="s">
        <v>3208</v>
      </c>
    </row>
    <row r="1087" spans="1:11" ht="26.25" x14ac:dyDescent="0.25">
      <c r="A1087" s="83" t="s">
        <v>5843</v>
      </c>
      <c r="B1087" s="83" t="s">
        <v>3208</v>
      </c>
      <c r="C1087" s="83" t="s">
        <v>3208</v>
      </c>
      <c r="D1087" s="83" t="s">
        <v>3713</v>
      </c>
      <c r="E1087" s="83" t="s">
        <v>3714</v>
      </c>
      <c r="F1087" s="83" t="s">
        <v>4213</v>
      </c>
      <c r="G1087" s="83" t="s">
        <v>4214</v>
      </c>
      <c r="H1087" s="83">
        <v>0</v>
      </c>
      <c r="I1087" s="83" t="s">
        <v>3208</v>
      </c>
      <c r="J1087" s="83" t="s">
        <v>3208</v>
      </c>
      <c r="K1087" s="83" t="s">
        <v>3208</v>
      </c>
    </row>
    <row r="1088" spans="1:11" ht="51.75" x14ac:dyDescent="0.25">
      <c r="A1088" s="83" t="s">
        <v>2866</v>
      </c>
      <c r="B1088" s="83" t="s">
        <v>3208</v>
      </c>
      <c r="C1088" s="83" t="s">
        <v>3208</v>
      </c>
      <c r="D1088" s="83" t="s">
        <v>3713</v>
      </c>
      <c r="E1088" s="83" t="s">
        <v>3761</v>
      </c>
      <c r="F1088" s="83" t="s">
        <v>5844</v>
      </c>
      <c r="G1088" s="83" t="s">
        <v>5845</v>
      </c>
      <c r="H1088" s="83">
        <v>0</v>
      </c>
      <c r="I1088" s="83" t="s">
        <v>3213</v>
      </c>
      <c r="J1088" s="83" t="s">
        <v>3214</v>
      </c>
      <c r="K1088" s="83" t="s">
        <v>3215</v>
      </c>
    </row>
    <row r="1089" spans="1:11" x14ac:dyDescent="0.25">
      <c r="A1089" s="83" t="s">
        <v>1605</v>
      </c>
      <c r="B1089" s="83" t="s">
        <v>5317</v>
      </c>
      <c r="C1089" s="83" t="s">
        <v>5846</v>
      </c>
      <c r="D1089" s="83" t="s">
        <v>3209</v>
      </c>
      <c r="E1089" s="83" t="s">
        <v>3702</v>
      </c>
      <c r="F1089" s="83" t="s">
        <v>5847</v>
      </c>
      <c r="G1089" s="83" t="s">
        <v>5848</v>
      </c>
      <c r="H1089" s="83">
        <v>2.8</v>
      </c>
      <c r="I1089" s="83" t="s">
        <v>3208</v>
      </c>
      <c r="J1089" s="83" t="s">
        <v>3208</v>
      </c>
      <c r="K1089" s="83" t="s">
        <v>3208</v>
      </c>
    </row>
    <row r="1090" spans="1:11" ht="64.5" x14ac:dyDescent="0.25">
      <c r="A1090" s="83" t="s">
        <v>535</v>
      </c>
      <c r="B1090" s="83" t="s">
        <v>5849</v>
      </c>
      <c r="C1090" s="83" t="s">
        <v>3208</v>
      </c>
      <c r="D1090" s="83" t="s">
        <v>3209</v>
      </c>
      <c r="E1090" s="83" t="s">
        <v>3226</v>
      </c>
      <c r="F1090" s="83" t="s">
        <v>5850</v>
      </c>
      <c r="G1090" s="83" t="s">
        <v>5851</v>
      </c>
      <c r="H1090" s="83">
        <v>4</v>
      </c>
      <c r="I1090" s="83" t="s">
        <v>3229</v>
      </c>
      <c r="J1090" s="83" t="s">
        <v>3380</v>
      </c>
      <c r="K1090" s="83" t="s">
        <v>3215</v>
      </c>
    </row>
    <row r="1091" spans="1:11" ht="26.25" x14ac:dyDescent="0.25">
      <c r="A1091" s="83" t="s">
        <v>2816</v>
      </c>
      <c r="B1091" s="83" t="s">
        <v>3208</v>
      </c>
      <c r="C1091" s="83" t="s">
        <v>3208</v>
      </c>
      <c r="D1091" s="83" t="s">
        <v>3713</v>
      </c>
      <c r="E1091" s="83" t="s">
        <v>3761</v>
      </c>
      <c r="F1091" s="83" t="s">
        <v>4168</v>
      </c>
      <c r="G1091" s="83" t="s">
        <v>5852</v>
      </c>
      <c r="H1091" s="83">
        <v>0</v>
      </c>
      <c r="I1091" s="83" t="s">
        <v>3213</v>
      </c>
      <c r="J1091" s="83" t="s">
        <v>3851</v>
      </c>
      <c r="K1091" s="83" t="s">
        <v>3215</v>
      </c>
    </row>
    <row r="1092" spans="1:11" ht="26.25" x14ac:dyDescent="0.25">
      <c r="A1092" s="83" t="s">
        <v>384</v>
      </c>
      <c r="B1092" s="83" t="s">
        <v>3208</v>
      </c>
      <c r="C1092" s="83" t="s">
        <v>3208</v>
      </c>
      <c r="D1092" s="83" t="s">
        <v>3209</v>
      </c>
      <c r="E1092" s="83" t="s">
        <v>3210</v>
      </c>
      <c r="F1092" s="83" t="s">
        <v>5853</v>
      </c>
      <c r="G1092" s="83" t="s">
        <v>5854</v>
      </c>
      <c r="H1092" s="83">
        <v>6</v>
      </c>
      <c r="I1092" s="83" t="s">
        <v>3229</v>
      </c>
      <c r="J1092" s="83" t="s">
        <v>3397</v>
      </c>
      <c r="K1092" s="83" t="s">
        <v>3215</v>
      </c>
    </row>
    <row r="1093" spans="1:11" ht="51.75" x14ac:dyDescent="0.25">
      <c r="A1093" s="83" t="s">
        <v>5855</v>
      </c>
      <c r="B1093" s="83" t="s">
        <v>3208</v>
      </c>
      <c r="C1093" s="83" t="s">
        <v>3208</v>
      </c>
      <c r="D1093" s="83" t="s">
        <v>4157</v>
      </c>
      <c r="E1093" s="83" t="s">
        <v>4248</v>
      </c>
      <c r="F1093" s="83" t="s">
        <v>5856</v>
      </c>
      <c r="G1093" s="83" t="s">
        <v>5857</v>
      </c>
      <c r="H1093" s="83">
        <v>0.74</v>
      </c>
      <c r="I1093" s="83" t="s">
        <v>3229</v>
      </c>
      <c r="J1093" s="83" t="s">
        <v>3332</v>
      </c>
      <c r="K1093" s="83" t="s">
        <v>3215</v>
      </c>
    </row>
    <row r="1094" spans="1:11" ht="26.25" x14ac:dyDescent="0.25">
      <c r="A1094" s="83" t="s">
        <v>2824</v>
      </c>
      <c r="B1094" s="83" t="s">
        <v>3208</v>
      </c>
      <c r="C1094" s="83" t="s">
        <v>3208</v>
      </c>
      <c r="D1094" s="83" t="s">
        <v>3713</v>
      </c>
      <c r="E1094" s="83" t="s">
        <v>3761</v>
      </c>
      <c r="F1094" s="83" t="s">
        <v>4144</v>
      </c>
      <c r="G1094" s="83" t="s">
        <v>4145</v>
      </c>
      <c r="H1094" s="83">
        <v>0</v>
      </c>
      <c r="I1094" s="83" t="s">
        <v>3213</v>
      </c>
      <c r="J1094" s="83" t="s">
        <v>3948</v>
      </c>
      <c r="K1094" s="83" t="s">
        <v>3215</v>
      </c>
    </row>
    <row r="1095" spans="1:11" ht="39" x14ac:dyDescent="0.25">
      <c r="A1095" s="83" t="s">
        <v>2891</v>
      </c>
      <c r="B1095" s="83" t="s">
        <v>3208</v>
      </c>
      <c r="C1095" s="83" t="s">
        <v>3208</v>
      </c>
      <c r="D1095" s="83" t="s">
        <v>3713</v>
      </c>
      <c r="E1095" s="83" t="s">
        <v>3761</v>
      </c>
      <c r="F1095" s="83" t="s">
        <v>4221</v>
      </c>
      <c r="G1095" s="83" t="s">
        <v>5858</v>
      </c>
      <c r="H1095" s="83">
        <v>0</v>
      </c>
      <c r="I1095" s="83" t="s">
        <v>3229</v>
      </c>
      <c r="J1095" s="83" t="s">
        <v>356</v>
      </c>
      <c r="K1095" s="83" t="s">
        <v>3215</v>
      </c>
    </row>
    <row r="1096" spans="1:11" x14ac:dyDescent="0.25">
      <c r="A1096" s="83" t="s">
        <v>5859</v>
      </c>
      <c r="B1096" s="83" t="s">
        <v>5860</v>
      </c>
      <c r="C1096" s="83" t="s">
        <v>5861</v>
      </c>
      <c r="D1096" s="83" t="s">
        <v>3209</v>
      </c>
      <c r="E1096" s="83" t="s">
        <v>3702</v>
      </c>
      <c r="F1096" s="83" t="s">
        <v>5862</v>
      </c>
      <c r="G1096" s="83" t="s">
        <v>5863</v>
      </c>
      <c r="H1096" s="83">
        <v>1.9</v>
      </c>
      <c r="I1096" s="83" t="s">
        <v>3208</v>
      </c>
      <c r="J1096" s="83" t="s">
        <v>3208</v>
      </c>
      <c r="K1096" s="83" t="s">
        <v>3208</v>
      </c>
    </row>
    <row r="1097" spans="1:11" ht="26.25" x14ac:dyDescent="0.25">
      <c r="A1097" s="83" t="s">
        <v>2818</v>
      </c>
      <c r="B1097" s="83" t="s">
        <v>3208</v>
      </c>
      <c r="C1097" s="83" t="s">
        <v>3208</v>
      </c>
      <c r="D1097" s="83" t="s">
        <v>3713</v>
      </c>
      <c r="E1097" s="83" t="s">
        <v>3761</v>
      </c>
      <c r="F1097" s="83" t="s">
        <v>4168</v>
      </c>
      <c r="G1097" s="83" t="s">
        <v>5032</v>
      </c>
      <c r="H1097" s="83">
        <v>0</v>
      </c>
      <c r="I1097" s="83" t="s">
        <v>3213</v>
      </c>
      <c r="J1097" s="83" t="s">
        <v>3948</v>
      </c>
      <c r="K1097" s="83" t="s">
        <v>3215</v>
      </c>
    </row>
    <row r="1098" spans="1:11" ht="26.25" x14ac:dyDescent="0.25">
      <c r="A1098" s="83" t="s">
        <v>2796</v>
      </c>
      <c r="B1098" s="83" t="s">
        <v>3208</v>
      </c>
      <c r="C1098" s="83" t="s">
        <v>3208</v>
      </c>
      <c r="D1098" s="83" t="s">
        <v>3713</v>
      </c>
      <c r="E1098" s="83" t="s">
        <v>3761</v>
      </c>
      <c r="F1098" s="83" t="s">
        <v>4144</v>
      </c>
      <c r="G1098" s="83" t="s">
        <v>5864</v>
      </c>
      <c r="H1098" s="83">
        <v>0</v>
      </c>
      <c r="I1098" s="83" t="s">
        <v>3213</v>
      </c>
      <c r="J1098" s="83" t="s">
        <v>3747</v>
      </c>
      <c r="K1098" s="83" t="s">
        <v>3215</v>
      </c>
    </row>
    <row r="1099" spans="1:11" ht="26.25" x14ac:dyDescent="0.25">
      <c r="A1099" s="83" t="s">
        <v>346</v>
      </c>
      <c r="B1099" s="83" t="s">
        <v>3208</v>
      </c>
      <c r="C1099" s="83" t="s">
        <v>3208</v>
      </c>
      <c r="D1099" s="83" t="s">
        <v>3741</v>
      </c>
      <c r="E1099" s="83" t="s">
        <v>3210</v>
      </c>
      <c r="F1099" s="83" t="s">
        <v>5071</v>
      </c>
      <c r="G1099" s="83" t="s">
        <v>4145</v>
      </c>
      <c r="H1099" s="83">
        <v>4.5</v>
      </c>
      <c r="I1099" s="83" t="s">
        <v>3213</v>
      </c>
      <c r="J1099" s="83" t="s">
        <v>3948</v>
      </c>
      <c r="K1099" s="83" t="s">
        <v>3215</v>
      </c>
    </row>
    <row r="1100" spans="1:11" ht="26.25" x14ac:dyDescent="0.25">
      <c r="A1100" s="83" t="s">
        <v>2793</v>
      </c>
      <c r="B1100" s="83" t="s">
        <v>3208</v>
      </c>
      <c r="C1100" s="83" t="s">
        <v>3208</v>
      </c>
      <c r="D1100" s="83" t="s">
        <v>3713</v>
      </c>
      <c r="E1100" s="83" t="s">
        <v>3761</v>
      </c>
      <c r="F1100" s="83" t="s">
        <v>4168</v>
      </c>
      <c r="G1100" s="83" t="s">
        <v>5865</v>
      </c>
      <c r="H1100" s="83">
        <v>0</v>
      </c>
      <c r="I1100" s="83" t="s">
        <v>3213</v>
      </c>
      <c r="J1100" s="83" t="s">
        <v>3948</v>
      </c>
      <c r="K1100" s="83" t="s">
        <v>3215</v>
      </c>
    </row>
    <row r="1101" spans="1:11" ht="64.5" x14ac:dyDescent="0.25">
      <c r="A1101" s="83" t="s">
        <v>360</v>
      </c>
      <c r="B1101" s="83" t="s">
        <v>3208</v>
      </c>
      <c r="C1101" s="83" t="s">
        <v>5866</v>
      </c>
      <c r="D1101" s="83" t="s">
        <v>4005</v>
      </c>
      <c r="E1101" s="83" t="s">
        <v>3727</v>
      </c>
      <c r="F1101" s="83" t="s">
        <v>5867</v>
      </c>
      <c r="G1101" s="83" t="s">
        <v>5868</v>
      </c>
      <c r="H1101" s="83">
        <v>20</v>
      </c>
      <c r="I1101" s="83" t="s">
        <v>3213</v>
      </c>
      <c r="J1101" s="83" t="s">
        <v>3601</v>
      </c>
      <c r="K1101" s="83" t="s">
        <v>3215</v>
      </c>
    </row>
    <row r="1102" spans="1:11" ht="26.25" x14ac:dyDescent="0.25">
      <c r="A1102" s="83" t="s">
        <v>2578</v>
      </c>
      <c r="B1102" s="83" t="s">
        <v>3208</v>
      </c>
      <c r="C1102" s="83" t="s">
        <v>3208</v>
      </c>
      <c r="D1102" s="83" t="s">
        <v>3713</v>
      </c>
      <c r="E1102" s="83" t="s">
        <v>3714</v>
      </c>
      <c r="F1102" s="83" t="s">
        <v>4242</v>
      </c>
      <c r="G1102" s="83" t="s">
        <v>5711</v>
      </c>
      <c r="H1102" s="83">
        <v>0</v>
      </c>
      <c r="I1102" s="83" t="s">
        <v>3208</v>
      </c>
      <c r="J1102" s="83" t="s">
        <v>3208</v>
      </c>
      <c r="K1102" s="83" t="s">
        <v>3208</v>
      </c>
    </row>
    <row r="1103" spans="1:11" ht="26.25" x14ac:dyDescent="0.25">
      <c r="A1103" s="83" t="s">
        <v>369</v>
      </c>
      <c r="B1103" s="83" t="s">
        <v>3208</v>
      </c>
      <c r="C1103" s="83" t="s">
        <v>5869</v>
      </c>
      <c r="D1103" s="83" t="s">
        <v>4157</v>
      </c>
      <c r="E1103" s="83" t="s">
        <v>3702</v>
      </c>
      <c r="F1103" s="83" t="s">
        <v>5870</v>
      </c>
      <c r="G1103" s="83" t="s">
        <v>5871</v>
      </c>
      <c r="H1103" s="83">
        <v>0.59</v>
      </c>
      <c r="I1103" s="83" t="s">
        <v>3208</v>
      </c>
      <c r="J1103" s="83" t="s">
        <v>3208</v>
      </c>
      <c r="K1103" s="83" t="s">
        <v>3208</v>
      </c>
    </row>
    <row r="1104" spans="1:11" x14ac:dyDescent="0.25">
      <c r="A1104" s="83" t="s">
        <v>1712</v>
      </c>
      <c r="B1104" s="83" t="s">
        <v>5872</v>
      </c>
      <c r="C1104" s="83" t="s">
        <v>5873</v>
      </c>
      <c r="D1104" s="83" t="s">
        <v>3209</v>
      </c>
      <c r="E1104" s="83" t="s">
        <v>3702</v>
      </c>
      <c r="F1104" s="83" t="s">
        <v>5874</v>
      </c>
      <c r="G1104" s="83" t="s">
        <v>5875</v>
      </c>
      <c r="H1104" s="83">
        <v>45.4</v>
      </c>
      <c r="I1104" s="83" t="s">
        <v>3208</v>
      </c>
      <c r="J1104" s="83" t="s">
        <v>3208</v>
      </c>
      <c r="K1104" s="83" t="s">
        <v>3208</v>
      </c>
    </row>
    <row r="1105" spans="1:11" ht="26.25" x14ac:dyDescent="0.25">
      <c r="A1105" s="83" t="s">
        <v>2228</v>
      </c>
      <c r="B1105" s="83" t="s">
        <v>3208</v>
      </c>
      <c r="C1105" s="83" t="s">
        <v>3208</v>
      </c>
      <c r="D1105" s="83" t="s">
        <v>3713</v>
      </c>
      <c r="E1105" s="83" t="s">
        <v>3714</v>
      </c>
      <c r="F1105" s="83" t="s">
        <v>4242</v>
      </c>
      <c r="G1105" s="83" t="s">
        <v>4243</v>
      </c>
      <c r="H1105" s="83">
        <v>0</v>
      </c>
      <c r="I1105" s="83" t="s">
        <v>3208</v>
      </c>
      <c r="J1105" s="83" t="s">
        <v>3208</v>
      </c>
      <c r="K1105" s="83" t="s">
        <v>3208</v>
      </c>
    </row>
    <row r="1106" spans="1:11" ht="26.25" x14ac:dyDescent="0.25">
      <c r="A1106" s="83" t="s">
        <v>2489</v>
      </c>
      <c r="B1106" s="83" t="s">
        <v>3208</v>
      </c>
      <c r="C1106" s="83" t="s">
        <v>3208</v>
      </c>
      <c r="D1106" s="83" t="s">
        <v>3713</v>
      </c>
      <c r="E1106" s="83" t="s">
        <v>3714</v>
      </c>
      <c r="F1106" s="83" t="s">
        <v>4241</v>
      </c>
      <c r="G1106" s="83" t="s">
        <v>3392</v>
      </c>
      <c r="H1106" s="83">
        <v>0</v>
      </c>
      <c r="I1106" s="83" t="s">
        <v>3208</v>
      </c>
      <c r="J1106" s="83" t="s">
        <v>3208</v>
      </c>
      <c r="K1106" s="83" t="s">
        <v>3208</v>
      </c>
    </row>
    <row r="1107" spans="1:11" ht="26.25" x14ac:dyDescent="0.25">
      <c r="A1107" s="83" t="s">
        <v>2672</v>
      </c>
      <c r="B1107" s="83" t="s">
        <v>3208</v>
      </c>
      <c r="C1107" s="83" t="s">
        <v>3208</v>
      </c>
      <c r="D1107" s="83" t="s">
        <v>3713</v>
      </c>
      <c r="E1107" s="83" t="s">
        <v>3714</v>
      </c>
      <c r="F1107" s="83" t="s">
        <v>5867</v>
      </c>
      <c r="G1107" s="83" t="s">
        <v>5818</v>
      </c>
      <c r="H1107" s="83">
        <v>0</v>
      </c>
      <c r="I1107" s="83" t="s">
        <v>3208</v>
      </c>
      <c r="J1107" s="83" t="s">
        <v>3208</v>
      </c>
      <c r="K1107" s="83" t="s">
        <v>3208</v>
      </c>
    </row>
    <row r="1108" spans="1:11" ht="26.25" x14ac:dyDescent="0.25">
      <c r="A1108" s="83" t="s">
        <v>2885</v>
      </c>
      <c r="B1108" s="83" t="s">
        <v>3208</v>
      </c>
      <c r="C1108" s="83" t="s">
        <v>3208</v>
      </c>
      <c r="D1108" s="83" t="s">
        <v>3713</v>
      </c>
      <c r="E1108" s="83" t="s">
        <v>3714</v>
      </c>
      <c r="F1108" s="83" t="s">
        <v>5105</v>
      </c>
      <c r="G1108" s="83" t="s">
        <v>5106</v>
      </c>
      <c r="H1108" s="83">
        <v>0</v>
      </c>
      <c r="I1108" s="83" t="s">
        <v>3208</v>
      </c>
      <c r="J1108" s="83" t="s">
        <v>3208</v>
      </c>
      <c r="K1108" s="83" t="s">
        <v>3208</v>
      </c>
    </row>
    <row r="1109" spans="1:11" ht="26.25" x14ac:dyDescent="0.25">
      <c r="A1109" s="83" t="s">
        <v>367</v>
      </c>
      <c r="B1109" s="83" t="s">
        <v>3208</v>
      </c>
      <c r="C1109" s="83" t="s">
        <v>5876</v>
      </c>
      <c r="D1109" s="83" t="s">
        <v>4157</v>
      </c>
      <c r="E1109" s="83" t="s">
        <v>3702</v>
      </c>
      <c r="F1109" s="83" t="s">
        <v>5877</v>
      </c>
      <c r="G1109" s="83" t="s">
        <v>5878</v>
      </c>
      <c r="H1109" s="83">
        <v>0.68</v>
      </c>
      <c r="I1109" s="83" t="s">
        <v>3208</v>
      </c>
      <c r="J1109" s="83" t="s">
        <v>3208</v>
      </c>
      <c r="K1109" s="83" t="s">
        <v>3208</v>
      </c>
    </row>
    <row r="1110" spans="1:11" ht="26.25" x14ac:dyDescent="0.25">
      <c r="A1110" s="83" t="s">
        <v>2223</v>
      </c>
      <c r="B1110" s="83" t="s">
        <v>3208</v>
      </c>
      <c r="C1110" s="83" t="s">
        <v>3208</v>
      </c>
      <c r="D1110" s="83" t="s">
        <v>3713</v>
      </c>
      <c r="E1110" s="83" t="s">
        <v>3714</v>
      </c>
      <c r="F1110" s="83" t="s">
        <v>4242</v>
      </c>
      <c r="G1110" s="83" t="s">
        <v>4243</v>
      </c>
      <c r="H1110" s="83">
        <v>0</v>
      </c>
      <c r="I1110" s="83" t="s">
        <v>3208</v>
      </c>
      <c r="J1110" s="83" t="s">
        <v>3208</v>
      </c>
      <c r="K1110" s="83" t="s">
        <v>3208</v>
      </c>
    </row>
    <row r="1111" spans="1:11" ht="26.25" x14ac:dyDescent="0.25">
      <c r="A1111" s="83" t="s">
        <v>2037</v>
      </c>
      <c r="B1111" s="83" t="s">
        <v>3208</v>
      </c>
      <c r="C1111" s="83" t="s">
        <v>3208</v>
      </c>
      <c r="D1111" s="83" t="s">
        <v>3713</v>
      </c>
      <c r="E1111" s="83" t="s">
        <v>3714</v>
      </c>
      <c r="F1111" s="83" t="s">
        <v>4242</v>
      </c>
      <c r="G1111" s="83" t="s">
        <v>5182</v>
      </c>
      <c r="H1111" s="83">
        <v>0</v>
      </c>
      <c r="I1111" s="83" t="s">
        <v>3208</v>
      </c>
      <c r="J1111" s="83" t="s">
        <v>3208</v>
      </c>
      <c r="K1111" s="83" t="s">
        <v>3208</v>
      </c>
    </row>
    <row r="1112" spans="1:11" ht="26.25" x14ac:dyDescent="0.25">
      <c r="A1112" s="83" t="s">
        <v>2116</v>
      </c>
      <c r="B1112" s="83" t="s">
        <v>3208</v>
      </c>
      <c r="C1112" s="83" t="s">
        <v>3208</v>
      </c>
      <c r="D1112" s="83" t="s">
        <v>3713</v>
      </c>
      <c r="E1112" s="83" t="s">
        <v>3714</v>
      </c>
      <c r="F1112" s="83" t="s">
        <v>5101</v>
      </c>
      <c r="G1112" s="83" t="s">
        <v>5102</v>
      </c>
      <c r="H1112" s="83">
        <v>0</v>
      </c>
      <c r="I1112" s="83" t="s">
        <v>3208</v>
      </c>
      <c r="J1112" s="83" t="s">
        <v>3208</v>
      </c>
      <c r="K1112" s="83" t="s">
        <v>3208</v>
      </c>
    </row>
    <row r="1113" spans="1:11" ht="64.5" x14ac:dyDescent="0.25">
      <c r="A1113" s="83" t="s">
        <v>1726</v>
      </c>
      <c r="B1113" s="83" t="s">
        <v>5879</v>
      </c>
      <c r="C1113" s="83" t="s">
        <v>5880</v>
      </c>
      <c r="D1113" s="83" t="s">
        <v>3209</v>
      </c>
      <c r="E1113" s="83" t="s">
        <v>3702</v>
      </c>
      <c r="F1113" s="83" t="s">
        <v>5881</v>
      </c>
      <c r="G1113" s="83" t="s">
        <v>5882</v>
      </c>
      <c r="H1113" s="83">
        <v>2.2000000000000002</v>
      </c>
      <c r="I1113" s="83" t="s">
        <v>3229</v>
      </c>
      <c r="J1113" s="83" t="s">
        <v>3380</v>
      </c>
      <c r="K1113" s="83" t="s">
        <v>3215</v>
      </c>
    </row>
    <row r="1114" spans="1:11" ht="51.75" x14ac:dyDescent="0.25">
      <c r="A1114" s="83" t="s">
        <v>546</v>
      </c>
      <c r="B1114" s="83" t="s">
        <v>3208</v>
      </c>
      <c r="C1114" s="83" t="s">
        <v>3208</v>
      </c>
      <c r="D1114" s="83" t="s">
        <v>3209</v>
      </c>
      <c r="E1114" s="83" t="s">
        <v>3210</v>
      </c>
      <c r="F1114" s="83" t="s">
        <v>5883</v>
      </c>
      <c r="G1114" s="83" t="s">
        <v>3417</v>
      </c>
      <c r="H1114" s="83">
        <v>49</v>
      </c>
      <c r="I1114" s="83" t="s">
        <v>3213</v>
      </c>
      <c r="J1114" s="83" t="s">
        <v>3214</v>
      </c>
      <c r="K1114" s="83" t="s">
        <v>3215</v>
      </c>
    </row>
    <row r="1115" spans="1:11" ht="51.75" x14ac:dyDescent="0.25">
      <c r="A1115" s="83" t="s">
        <v>556</v>
      </c>
      <c r="B1115" s="83" t="s">
        <v>3208</v>
      </c>
      <c r="C1115" s="83" t="s">
        <v>3208</v>
      </c>
      <c r="D1115" s="83" t="s">
        <v>3209</v>
      </c>
      <c r="E1115" s="83" t="s">
        <v>3210</v>
      </c>
      <c r="F1115" s="83" t="s">
        <v>5884</v>
      </c>
      <c r="G1115" s="83" t="s">
        <v>5885</v>
      </c>
      <c r="H1115" s="83">
        <v>70</v>
      </c>
      <c r="I1115" s="83" t="s">
        <v>3213</v>
      </c>
      <c r="J1115" s="83" t="s">
        <v>3271</v>
      </c>
      <c r="K1115" s="83" t="s">
        <v>3215</v>
      </c>
    </row>
    <row r="1116" spans="1:11" ht="51.75" x14ac:dyDescent="0.25">
      <c r="A1116" s="83" t="s">
        <v>621</v>
      </c>
      <c r="B1116" s="83" t="s">
        <v>3208</v>
      </c>
      <c r="C1116" s="83" t="s">
        <v>3208</v>
      </c>
      <c r="D1116" s="83" t="s">
        <v>3209</v>
      </c>
      <c r="E1116" s="83" t="s">
        <v>3210</v>
      </c>
      <c r="F1116" s="83" t="s">
        <v>5886</v>
      </c>
      <c r="G1116" s="83" t="s">
        <v>5887</v>
      </c>
      <c r="H1116" s="83">
        <v>167</v>
      </c>
      <c r="I1116" s="83" t="s">
        <v>3213</v>
      </c>
      <c r="J1116" s="83" t="s">
        <v>3271</v>
      </c>
      <c r="K1116" s="83" t="s">
        <v>3215</v>
      </c>
    </row>
    <row r="1117" spans="1:11" ht="51.75" x14ac:dyDescent="0.25">
      <c r="A1117" s="83" t="s">
        <v>515</v>
      </c>
      <c r="B1117" s="83" t="s">
        <v>3208</v>
      </c>
      <c r="C1117" s="83" t="s">
        <v>3208</v>
      </c>
      <c r="D1117" s="83" t="s">
        <v>3209</v>
      </c>
      <c r="E1117" s="83" t="s">
        <v>3210</v>
      </c>
      <c r="F1117" s="83" t="s">
        <v>5888</v>
      </c>
      <c r="G1117" s="83" t="s">
        <v>3977</v>
      </c>
      <c r="H1117" s="83">
        <v>96.1</v>
      </c>
      <c r="I1117" s="83" t="s">
        <v>3229</v>
      </c>
      <c r="J1117" s="83" t="s">
        <v>3289</v>
      </c>
      <c r="K1117" s="83" t="s">
        <v>3215</v>
      </c>
    </row>
    <row r="1118" spans="1:11" ht="51.75" x14ac:dyDescent="0.25">
      <c r="A1118" s="83" t="s">
        <v>763</v>
      </c>
      <c r="B1118" s="83" t="s">
        <v>3208</v>
      </c>
      <c r="C1118" s="83" t="s">
        <v>3208</v>
      </c>
      <c r="D1118" s="83" t="s">
        <v>3209</v>
      </c>
      <c r="E1118" s="83" t="s">
        <v>3210</v>
      </c>
      <c r="F1118" s="83" t="s">
        <v>5889</v>
      </c>
      <c r="G1118" s="83" t="s">
        <v>5890</v>
      </c>
      <c r="H1118" s="83">
        <v>4725</v>
      </c>
      <c r="I1118" s="83" t="s">
        <v>3229</v>
      </c>
      <c r="J1118" s="83" t="s">
        <v>3230</v>
      </c>
      <c r="K1118" s="83" t="s">
        <v>3215</v>
      </c>
    </row>
    <row r="1119" spans="1:11" ht="51.75" x14ac:dyDescent="0.25">
      <c r="A1119" s="83" t="s">
        <v>718</v>
      </c>
      <c r="B1119" s="83" t="s">
        <v>3208</v>
      </c>
      <c r="C1119" s="83" t="s">
        <v>3208</v>
      </c>
      <c r="D1119" s="83" t="s">
        <v>3209</v>
      </c>
      <c r="E1119" s="83" t="s">
        <v>3210</v>
      </c>
      <c r="F1119" s="83" t="s">
        <v>5891</v>
      </c>
      <c r="G1119" s="83" t="s">
        <v>3375</v>
      </c>
      <c r="H1119" s="83">
        <v>27</v>
      </c>
      <c r="I1119" s="83" t="s">
        <v>3229</v>
      </c>
      <c r="J1119" s="83" t="s">
        <v>3280</v>
      </c>
      <c r="K1119" s="83" t="s">
        <v>3215</v>
      </c>
    </row>
    <row r="1120" spans="1:11" ht="51.75" x14ac:dyDescent="0.25">
      <c r="A1120" s="83" t="s">
        <v>704</v>
      </c>
      <c r="B1120" s="83" t="s">
        <v>3208</v>
      </c>
      <c r="C1120" s="83" t="s">
        <v>3208</v>
      </c>
      <c r="D1120" s="83" t="s">
        <v>3209</v>
      </c>
      <c r="E1120" s="83" t="s">
        <v>3210</v>
      </c>
      <c r="F1120" s="83" t="s">
        <v>4255</v>
      </c>
      <c r="G1120" s="83" t="s">
        <v>3838</v>
      </c>
      <c r="H1120" s="83">
        <v>45</v>
      </c>
      <c r="I1120" s="83" t="s">
        <v>3213</v>
      </c>
      <c r="J1120" s="83" t="s">
        <v>3214</v>
      </c>
      <c r="K1120" s="83" t="s">
        <v>3215</v>
      </c>
    </row>
    <row r="1121" spans="1:11" ht="102.75" x14ac:dyDescent="0.25">
      <c r="A1121" s="83" t="s">
        <v>726</v>
      </c>
      <c r="B1121" s="83" t="s">
        <v>3208</v>
      </c>
      <c r="C1121" s="83" t="s">
        <v>3208</v>
      </c>
      <c r="D1121" s="83" t="s">
        <v>3209</v>
      </c>
      <c r="E1121" s="83" t="s">
        <v>3210</v>
      </c>
      <c r="F1121" s="83" t="s">
        <v>5892</v>
      </c>
      <c r="G1121" s="83" t="s">
        <v>3417</v>
      </c>
      <c r="H1121" s="83">
        <v>322.7</v>
      </c>
      <c r="I1121" s="83" t="s">
        <v>3213</v>
      </c>
      <c r="J1121" s="83" t="s">
        <v>5893</v>
      </c>
      <c r="K1121" s="83" t="s">
        <v>3215</v>
      </c>
    </row>
    <row r="1122" spans="1:11" ht="51.75" x14ac:dyDescent="0.25">
      <c r="A1122" s="83" t="s">
        <v>744</v>
      </c>
      <c r="B1122" s="83" t="s">
        <v>3208</v>
      </c>
      <c r="C1122" s="83" t="s">
        <v>3208</v>
      </c>
      <c r="D1122" s="83" t="s">
        <v>3209</v>
      </c>
      <c r="E1122" s="83" t="s">
        <v>3210</v>
      </c>
      <c r="F1122" s="83" t="s">
        <v>5894</v>
      </c>
      <c r="G1122" s="83" t="s">
        <v>5895</v>
      </c>
      <c r="H1122" s="83">
        <v>52</v>
      </c>
      <c r="I1122" s="83" t="s">
        <v>3213</v>
      </c>
      <c r="J1122" s="83" t="s">
        <v>3214</v>
      </c>
      <c r="K1122" s="83" t="s">
        <v>3215</v>
      </c>
    </row>
    <row r="1123" spans="1:11" ht="51.75" x14ac:dyDescent="0.25">
      <c r="A1123" s="83" t="s">
        <v>640</v>
      </c>
      <c r="B1123" s="83" t="s">
        <v>3208</v>
      </c>
      <c r="C1123" s="83" t="s">
        <v>3208</v>
      </c>
      <c r="D1123" s="83" t="s">
        <v>3209</v>
      </c>
      <c r="E1123" s="83" t="s">
        <v>3210</v>
      </c>
      <c r="F1123" s="83" t="s">
        <v>5896</v>
      </c>
      <c r="G1123" s="83" t="s">
        <v>4948</v>
      </c>
      <c r="H1123" s="83">
        <v>160</v>
      </c>
      <c r="I1123" s="83" t="s">
        <v>3213</v>
      </c>
      <c r="J1123" s="83" t="s">
        <v>3214</v>
      </c>
      <c r="K1123" s="83" t="s">
        <v>3215</v>
      </c>
    </row>
    <row r="1124" spans="1:11" ht="51.75" x14ac:dyDescent="0.25">
      <c r="A1124" s="83" t="s">
        <v>717</v>
      </c>
      <c r="B1124" s="83" t="s">
        <v>5897</v>
      </c>
      <c r="C1124" s="83" t="s">
        <v>3208</v>
      </c>
      <c r="D1124" s="83" t="s">
        <v>3209</v>
      </c>
      <c r="E1124" s="83" t="s">
        <v>3226</v>
      </c>
      <c r="F1124" s="83" t="s">
        <v>5898</v>
      </c>
      <c r="G1124" s="83" t="s">
        <v>4270</v>
      </c>
      <c r="H1124" s="83">
        <v>4</v>
      </c>
      <c r="I1124" s="83" t="s">
        <v>3229</v>
      </c>
      <c r="J1124" s="83" t="s">
        <v>3371</v>
      </c>
      <c r="K1124" s="83" t="s">
        <v>3215</v>
      </c>
    </row>
    <row r="1125" spans="1:11" ht="51.75" x14ac:dyDescent="0.25">
      <c r="A1125" s="83" t="s">
        <v>889</v>
      </c>
      <c r="B1125" s="83" t="s">
        <v>5899</v>
      </c>
      <c r="C1125" s="83" t="s">
        <v>3208</v>
      </c>
      <c r="D1125" s="83" t="s">
        <v>3209</v>
      </c>
      <c r="E1125" s="83" t="s">
        <v>3226</v>
      </c>
      <c r="F1125" s="83" t="s">
        <v>3227</v>
      </c>
      <c r="G1125" s="83" t="s">
        <v>3228</v>
      </c>
      <c r="H1125" s="83">
        <v>300</v>
      </c>
      <c r="I1125" s="83" t="s">
        <v>3229</v>
      </c>
      <c r="J1125" s="83" t="s">
        <v>3230</v>
      </c>
      <c r="K1125" s="83" t="s">
        <v>3215</v>
      </c>
    </row>
    <row r="1126" spans="1:11" ht="51.75" x14ac:dyDescent="0.25">
      <c r="A1126" s="83" t="s">
        <v>878</v>
      </c>
      <c r="B1126" s="83" t="s">
        <v>5900</v>
      </c>
      <c r="C1126" s="83" t="s">
        <v>3208</v>
      </c>
      <c r="D1126" s="83" t="s">
        <v>3209</v>
      </c>
      <c r="E1126" s="83" t="s">
        <v>3226</v>
      </c>
      <c r="F1126" s="83" t="s">
        <v>5901</v>
      </c>
      <c r="G1126" s="83" t="s">
        <v>3237</v>
      </c>
      <c r="H1126" s="83">
        <v>115</v>
      </c>
      <c r="I1126" s="83" t="s">
        <v>3229</v>
      </c>
      <c r="J1126" s="83" t="s">
        <v>3238</v>
      </c>
      <c r="K1126" s="83" t="s">
        <v>3215</v>
      </c>
    </row>
    <row r="1127" spans="1:11" ht="64.5" x14ac:dyDescent="0.25">
      <c r="A1127" s="83" t="s">
        <v>943</v>
      </c>
      <c r="B1127" s="83" t="s">
        <v>5902</v>
      </c>
      <c r="C1127" s="83" t="s">
        <v>3208</v>
      </c>
      <c r="D1127" s="83" t="s">
        <v>3209</v>
      </c>
      <c r="E1127" s="83" t="s">
        <v>3226</v>
      </c>
      <c r="F1127" s="83" t="s">
        <v>5123</v>
      </c>
      <c r="G1127" s="83" t="s">
        <v>5124</v>
      </c>
      <c r="H1127" s="83">
        <v>200</v>
      </c>
      <c r="I1127" s="83" t="s">
        <v>3213</v>
      </c>
      <c r="J1127" s="83" t="s">
        <v>3413</v>
      </c>
      <c r="K1127" s="83" t="s">
        <v>3215</v>
      </c>
    </row>
    <row r="1128" spans="1:11" ht="51.75" x14ac:dyDescent="0.25">
      <c r="A1128" s="83" t="s">
        <v>1106</v>
      </c>
      <c r="B1128" s="83" t="s">
        <v>5903</v>
      </c>
      <c r="C1128" s="83" t="s">
        <v>3208</v>
      </c>
      <c r="D1128" s="83" t="s">
        <v>3209</v>
      </c>
      <c r="E1128" s="83" t="s">
        <v>3226</v>
      </c>
      <c r="F1128" s="83" t="s">
        <v>5904</v>
      </c>
      <c r="G1128" s="83" t="s">
        <v>4815</v>
      </c>
      <c r="H1128" s="83">
        <v>550</v>
      </c>
      <c r="I1128" s="83" t="s">
        <v>3229</v>
      </c>
      <c r="J1128" s="83" t="s">
        <v>3238</v>
      </c>
      <c r="K1128" s="83" t="s">
        <v>3215</v>
      </c>
    </row>
    <row r="1129" spans="1:11" ht="64.5" x14ac:dyDescent="0.25">
      <c r="A1129" s="83" t="s">
        <v>1119</v>
      </c>
      <c r="B1129" s="83" t="s">
        <v>5905</v>
      </c>
      <c r="C1129" s="83" t="s">
        <v>3208</v>
      </c>
      <c r="D1129" s="83" t="s">
        <v>3209</v>
      </c>
      <c r="E1129" s="83" t="s">
        <v>3226</v>
      </c>
      <c r="F1129" s="83" t="s">
        <v>5906</v>
      </c>
      <c r="G1129" s="83" t="s">
        <v>5907</v>
      </c>
      <c r="H1129" s="83">
        <v>250</v>
      </c>
      <c r="I1129" s="83" t="s">
        <v>3213</v>
      </c>
      <c r="J1129" s="83" t="s">
        <v>3413</v>
      </c>
      <c r="K1129" s="83" t="s">
        <v>3215</v>
      </c>
    </row>
    <row r="1130" spans="1:11" ht="51.75" x14ac:dyDescent="0.25">
      <c r="A1130" s="83" t="s">
        <v>1086</v>
      </c>
      <c r="B1130" s="83" t="s">
        <v>5908</v>
      </c>
      <c r="C1130" s="83" t="s">
        <v>3208</v>
      </c>
      <c r="D1130" s="83" t="s">
        <v>3209</v>
      </c>
      <c r="E1130" s="83" t="s">
        <v>3226</v>
      </c>
      <c r="F1130" s="83" t="s">
        <v>4655</v>
      </c>
      <c r="G1130" s="83" t="s">
        <v>5126</v>
      </c>
      <c r="H1130" s="83">
        <v>87</v>
      </c>
      <c r="I1130" s="83" t="s">
        <v>3213</v>
      </c>
      <c r="J1130" s="83" t="s">
        <v>3214</v>
      </c>
      <c r="K1130" s="83" t="s">
        <v>3215</v>
      </c>
    </row>
    <row r="1131" spans="1:11" ht="51.75" x14ac:dyDescent="0.25">
      <c r="A1131" s="83" t="s">
        <v>1076</v>
      </c>
      <c r="B1131" s="83" t="s">
        <v>5909</v>
      </c>
      <c r="C1131" s="83" t="s">
        <v>3208</v>
      </c>
      <c r="D1131" s="83" t="s">
        <v>3209</v>
      </c>
      <c r="E1131" s="83" t="s">
        <v>3226</v>
      </c>
      <c r="F1131" s="83" t="s">
        <v>4269</v>
      </c>
      <c r="G1131" s="83" t="s">
        <v>4270</v>
      </c>
      <c r="H1131" s="83">
        <v>43</v>
      </c>
      <c r="I1131" s="83" t="s">
        <v>3229</v>
      </c>
      <c r="J1131" s="83" t="s">
        <v>3371</v>
      </c>
      <c r="K1131" s="83" t="s">
        <v>3215</v>
      </c>
    </row>
    <row r="1132" spans="1:11" ht="64.5" x14ac:dyDescent="0.25">
      <c r="A1132" s="83" t="s">
        <v>805</v>
      </c>
      <c r="B1132" s="83" t="s">
        <v>5910</v>
      </c>
      <c r="C1132" s="83" t="s">
        <v>3208</v>
      </c>
      <c r="D1132" s="83" t="s">
        <v>3209</v>
      </c>
      <c r="E1132" s="83" t="s">
        <v>3226</v>
      </c>
      <c r="F1132" s="83" t="s">
        <v>5135</v>
      </c>
      <c r="G1132" s="83" t="s">
        <v>5124</v>
      </c>
      <c r="H1132" s="83">
        <v>130</v>
      </c>
      <c r="I1132" s="83" t="s">
        <v>3213</v>
      </c>
      <c r="J1132" s="83" t="s">
        <v>3413</v>
      </c>
      <c r="K1132" s="83" t="s">
        <v>3215</v>
      </c>
    </row>
    <row r="1133" spans="1:11" ht="51.75" x14ac:dyDescent="0.25">
      <c r="A1133" s="83" t="s">
        <v>782</v>
      </c>
      <c r="B1133" s="83" t="s">
        <v>5911</v>
      </c>
      <c r="C1133" s="83" t="s">
        <v>3208</v>
      </c>
      <c r="D1133" s="83" t="s">
        <v>3209</v>
      </c>
      <c r="E1133" s="83" t="s">
        <v>3226</v>
      </c>
      <c r="F1133" s="83" t="s">
        <v>5912</v>
      </c>
      <c r="G1133" s="83" t="s">
        <v>4270</v>
      </c>
      <c r="H1133" s="83">
        <v>21</v>
      </c>
      <c r="I1133" s="83" t="s">
        <v>3229</v>
      </c>
      <c r="J1133" s="83" t="s">
        <v>3371</v>
      </c>
      <c r="K1133" s="83" t="s">
        <v>3215</v>
      </c>
    </row>
    <row r="1134" spans="1:11" ht="64.5" x14ac:dyDescent="0.25">
      <c r="A1134" s="83" t="s">
        <v>1734</v>
      </c>
      <c r="B1134" s="83" t="s">
        <v>5913</v>
      </c>
      <c r="C1134" s="83" t="s">
        <v>5914</v>
      </c>
      <c r="D1134" s="83" t="s">
        <v>3209</v>
      </c>
      <c r="E1134" s="83" t="s">
        <v>3246</v>
      </c>
      <c r="F1134" s="83" t="s">
        <v>5915</v>
      </c>
      <c r="G1134" s="83" t="s">
        <v>5916</v>
      </c>
      <c r="H1134" s="83">
        <v>43.4</v>
      </c>
      <c r="I1134" s="83" t="s">
        <v>3213</v>
      </c>
      <c r="J1134" s="83" t="s">
        <v>3413</v>
      </c>
      <c r="K1134" s="83" t="s">
        <v>3215</v>
      </c>
    </row>
    <row r="1135" spans="1:11" ht="51.75" x14ac:dyDescent="0.25">
      <c r="A1135" s="83" t="s">
        <v>121</v>
      </c>
      <c r="B1135" s="83" t="s">
        <v>5917</v>
      </c>
      <c r="C1135" s="83" t="s">
        <v>5918</v>
      </c>
      <c r="D1135" s="83" t="s">
        <v>3209</v>
      </c>
      <c r="E1135" s="83" t="s">
        <v>3246</v>
      </c>
      <c r="F1135" s="83" t="s">
        <v>5919</v>
      </c>
      <c r="G1135" s="83" t="s">
        <v>5920</v>
      </c>
      <c r="H1135" s="83">
        <v>110.7</v>
      </c>
      <c r="I1135" s="83" t="s">
        <v>3213</v>
      </c>
      <c r="J1135" s="83" t="s">
        <v>3257</v>
      </c>
      <c r="K1135" s="83" t="s">
        <v>3215</v>
      </c>
    </row>
    <row r="1136" spans="1:11" ht="51.75" x14ac:dyDescent="0.25">
      <c r="A1136" s="83" t="s">
        <v>86</v>
      </c>
      <c r="B1136" s="83" t="s">
        <v>5921</v>
      </c>
      <c r="C1136" s="83" t="s">
        <v>5922</v>
      </c>
      <c r="D1136" s="83" t="s">
        <v>3209</v>
      </c>
      <c r="E1136" s="83" t="s">
        <v>3246</v>
      </c>
      <c r="F1136" s="83" t="s">
        <v>5923</v>
      </c>
      <c r="G1136" s="83" t="s">
        <v>3649</v>
      </c>
      <c r="H1136" s="83">
        <v>27.1</v>
      </c>
      <c r="I1136" s="83" t="s">
        <v>3213</v>
      </c>
      <c r="J1136" s="83" t="s">
        <v>3271</v>
      </c>
      <c r="K1136" s="83" t="s">
        <v>3215</v>
      </c>
    </row>
    <row r="1137" spans="1:11" ht="64.5" x14ac:dyDescent="0.25">
      <c r="A1137" s="83" t="s">
        <v>1520</v>
      </c>
      <c r="B1137" s="83" t="s">
        <v>5924</v>
      </c>
      <c r="C1137" s="83" t="s">
        <v>5925</v>
      </c>
      <c r="D1137" s="83" t="s">
        <v>3209</v>
      </c>
      <c r="E1137" s="83" t="s">
        <v>3246</v>
      </c>
      <c r="F1137" s="83" t="s">
        <v>5173</v>
      </c>
      <c r="G1137" s="83" t="s">
        <v>4254</v>
      </c>
      <c r="H1137" s="83">
        <v>73.400000000000006</v>
      </c>
      <c r="I1137" s="83" t="s">
        <v>3213</v>
      </c>
      <c r="J1137" s="83" t="s">
        <v>3601</v>
      </c>
      <c r="K1137" s="83" t="s">
        <v>3215</v>
      </c>
    </row>
    <row r="1138" spans="1:11" ht="51.75" x14ac:dyDescent="0.25">
      <c r="A1138" s="83" t="s">
        <v>1492</v>
      </c>
      <c r="B1138" s="83" t="s">
        <v>5926</v>
      </c>
      <c r="C1138" s="83" t="s">
        <v>5927</v>
      </c>
      <c r="D1138" s="83" t="s">
        <v>3209</v>
      </c>
      <c r="E1138" s="83" t="s">
        <v>3246</v>
      </c>
      <c r="F1138" s="83" t="s">
        <v>5928</v>
      </c>
      <c r="G1138" s="83" t="s">
        <v>3448</v>
      </c>
      <c r="H1138" s="83">
        <v>236</v>
      </c>
      <c r="I1138" s="83" t="s">
        <v>3229</v>
      </c>
      <c r="J1138" s="83" t="s">
        <v>3230</v>
      </c>
      <c r="K1138" s="83" t="s">
        <v>3215</v>
      </c>
    </row>
    <row r="1139" spans="1:11" ht="115.5" x14ac:dyDescent="0.25">
      <c r="A1139" s="83" t="s">
        <v>1719</v>
      </c>
      <c r="B1139" s="83" t="s">
        <v>5929</v>
      </c>
      <c r="C1139" s="83" t="s">
        <v>5930</v>
      </c>
      <c r="D1139" s="83" t="s">
        <v>3209</v>
      </c>
      <c r="E1139" s="83" t="s">
        <v>3246</v>
      </c>
      <c r="F1139" s="83" t="s">
        <v>5931</v>
      </c>
      <c r="G1139" s="83" t="s">
        <v>4360</v>
      </c>
      <c r="H1139" s="83">
        <v>89.7</v>
      </c>
      <c r="I1139" s="83" t="s">
        <v>3229</v>
      </c>
      <c r="J1139" s="83" t="s">
        <v>4361</v>
      </c>
      <c r="K1139" s="83" t="s">
        <v>3215</v>
      </c>
    </row>
    <row r="1140" spans="1:11" ht="64.5" x14ac:dyDescent="0.25">
      <c r="A1140" s="83" t="s">
        <v>1694</v>
      </c>
      <c r="B1140" s="83" t="s">
        <v>5932</v>
      </c>
      <c r="C1140" s="83" t="s">
        <v>5933</v>
      </c>
      <c r="D1140" s="83" t="s">
        <v>3209</v>
      </c>
      <c r="E1140" s="83" t="s">
        <v>3246</v>
      </c>
      <c r="F1140" s="83" t="s">
        <v>5934</v>
      </c>
      <c r="G1140" s="83" t="s">
        <v>5935</v>
      </c>
      <c r="H1140" s="83">
        <v>0.9</v>
      </c>
      <c r="I1140" s="83" t="s">
        <v>3229</v>
      </c>
      <c r="J1140" s="83" t="s">
        <v>3380</v>
      </c>
      <c r="K1140" s="83" t="s">
        <v>3215</v>
      </c>
    </row>
    <row r="1141" spans="1:11" ht="51.75" x14ac:dyDescent="0.25">
      <c r="A1141" s="83" t="s">
        <v>1699</v>
      </c>
      <c r="B1141" s="83" t="s">
        <v>5936</v>
      </c>
      <c r="C1141" s="83" t="s">
        <v>5937</v>
      </c>
      <c r="D1141" s="83" t="s">
        <v>3209</v>
      </c>
      <c r="E1141" s="83" t="s">
        <v>3246</v>
      </c>
      <c r="F1141" s="83" t="s">
        <v>5208</v>
      </c>
      <c r="G1141" s="83" t="s">
        <v>3565</v>
      </c>
      <c r="H1141" s="83">
        <v>157.80000000000001</v>
      </c>
      <c r="I1141" s="83" t="s">
        <v>3229</v>
      </c>
      <c r="J1141" s="83" t="s">
        <v>3230</v>
      </c>
      <c r="K1141" s="83" t="s">
        <v>3215</v>
      </c>
    </row>
    <row r="1142" spans="1:11" ht="39" x14ac:dyDescent="0.25">
      <c r="A1142" s="83" t="s">
        <v>130</v>
      </c>
      <c r="B1142" s="83" t="s">
        <v>5938</v>
      </c>
      <c r="C1142" s="83" t="s">
        <v>5939</v>
      </c>
      <c r="D1142" s="83" t="s">
        <v>3209</v>
      </c>
      <c r="E1142" s="83" t="s">
        <v>3246</v>
      </c>
      <c r="F1142" s="83" t="s">
        <v>5940</v>
      </c>
      <c r="G1142" s="83" t="s">
        <v>3341</v>
      </c>
      <c r="H1142" s="83">
        <v>75</v>
      </c>
      <c r="I1142" s="83" t="s">
        <v>3229</v>
      </c>
      <c r="J1142" s="83" t="s">
        <v>3241</v>
      </c>
      <c r="K1142" s="83" t="s">
        <v>3215</v>
      </c>
    </row>
    <row r="1143" spans="1:11" ht="51.75" x14ac:dyDescent="0.25">
      <c r="A1143" s="83" t="s">
        <v>67</v>
      </c>
      <c r="B1143" s="83" t="s">
        <v>3208</v>
      </c>
      <c r="C1143" s="83" t="s">
        <v>5941</v>
      </c>
      <c r="D1143" s="83" t="s">
        <v>3209</v>
      </c>
      <c r="E1143" s="83" t="s">
        <v>3246</v>
      </c>
      <c r="F1143" s="83" t="s">
        <v>5942</v>
      </c>
      <c r="G1143" s="83" t="s">
        <v>3370</v>
      </c>
      <c r="H1143" s="83">
        <v>70.3</v>
      </c>
      <c r="I1143" s="83" t="s">
        <v>3229</v>
      </c>
      <c r="J1143" s="83" t="s">
        <v>3371</v>
      </c>
      <c r="K1143" s="83" t="s">
        <v>3215</v>
      </c>
    </row>
    <row r="1144" spans="1:11" ht="51.75" x14ac:dyDescent="0.25">
      <c r="A1144" s="83" t="s">
        <v>161</v>
      </c>
      <c r="B1144" s="83" t="s">
        <v>5943</v>
      </c>
      <c r="C1144" s="83" t="s">
        <v>5944</v>
      </c>
      <c r="D1144" s="83" t="s">
        <v>3209</v>
      </c>
      <c r="E1144" s="83" t="s">
        <v>3246</v>
      </c>
      <c r="F1144" s="83" t="s">
        <v>5945</v>
      </c>
      <c r="G1144" s="83" t="s">
        <v>4633</v>
      </c>
      <c r="H1144" s="83">
        <v>166</v>
      </c>
      <c r="I1144" s="83" t="s">
        <v>3229</v>
      </c>
      <c r="J1144" s="83" t="s">
        <v>3238</v>
      </c>
      <c r="K1144" s="83" t="s">
        <v>3215</v>
      </c>
    </row>
    <row r="1145" spans="1:11" ht="64.5" x14ac:dyDescent="0.25">
      <c r="A1145" s="83" t="s">
        <v>1708</v>
      </c>
      <c r="B1145" s="83" t="s">
        <v>5946</v>
      </c>
      <c r="C1145" s="83" t="s">
        <v>5947</v>
      </c>
      <c r="D1145" s="83" t="s">
        <v>3209</v>
      </c>
      <c r="E1145" s="83" t="s">
        <v>3246</v>
      </c>
      <c r="F1145" s="83" t="s">
        <v>5948</v>
      </c>
      <c r="G1145" s="83" t="s">
        <v>3408</v>
      </c>
      <c r="H1145" s="83">
        <v>135</v>
      </c>
      <c r="I1145" s="83" t="s">
        <v>3229</v>
      </c>
      <c r="J1145" s="83" t="s">
        <v>3380</v>
      </c>
      <c r="K1145" s="83" t="s">
        <v>3215</v>
      </c>
    </row>
    <row r="1146" spans="1:11" ht="64.5" x14ac:dyDescent="0.25">
      <c r="A1146" s="83" t="s">
        <v>1613</v>
      </c>
      <c r="B1146" s="83" t="s">
        <v>5949</v>
      </c>
      <c r="C1146" s="83" t="s">
        <v>5950</v>
      </c>
      <c r="D1146" s="83" t="s">
        <v>3209</v>
      </c>
      <c r="E1146" s="83" t="s">
        <v>3246</v>
      </c>
      <c r="F1146" s="83" t="s">
        <v>5951</v>
      </c>
      <c r="G1146" s="83" t="s">
        <v>2831</v>
      </c>
      <c r="H1146" s="83">
        <v>22711.1</v>
      </c>
      <c r="I1146" s="83" t="s">
        <v>3213</v>
      </c>
      <c r="J1146" s="83" t="s">
        <v>3262</v>
      </c>
      <c r="K1146" s="83" t="s">
        <v>3215</v>
      </c>
    </row>
    <row r="1147" spans="1:11" ht="51.75" x14ac:dyDescent="0.25">
      <c r="A1147" s="83" t="s">
        <v>168</v>
      </c>
      <c r="B1147" s="83" t="s">
        <v>5952</v>
      </c>
      <c r="C1147" s="83" t="s">
        <v>5953</v>
      </c>
      <c r="D1147" s="83" t="s">
        <v>3209</v>
      </c>
      <c r="E1147" s="83" t="s">
        <v>3246</v>
      </c>
      <c r="F1147" s="83" t="s">
        <v>5954</v>
      </c>
      <c r="G1147" s="83" t="s">
        <v>3812</v>
      </c>
      <c r="H1147" s="83">
        <v>86.6</v>
      </c>
      <c r="I1147" s="83" t="s">
        <v>3213</v>
      </c>
      <c r="J1147" s="83" t="s">
        <v>3538</v>
      </c>
      <c r="K1147" s="83" t="s">
        <v>3215</v>
      </c>
    </row>
    <row r="1148" spans="1:11" ht="64.5" x14ac:dyDescent="0.25">
      <c r="A1148" s="83" t="s">
        <v>1723</v>
      </c>
      <c r="B1148" s="83" t="s">
        <v>5955</v>
      </c>
      <c r="C1148" s="83" t="s">
        <v>5956</v>
      </c>
      <c r="D1148" s="83" t="s">
        <v>3209</v>
      </c>
      <c r="E1148" s="83" t="s">
        <v>3246</v>
      </c>
      <c r="F1148" s="83" t="s">
        <v>5957</v>
      </c>
      <c r="G1148" s="83" t="s">
        <v>5236</v>
      </c>
      <c r="H1148" s="83">
        <v>106.2</v>
      </c>
      <c r="I1148" s="83" t="s">
        <v>3229</v>
      </c>
      <c r="J1148" s="83" t="s">
        <v>3601</v>
      </c>
      <c r="K1148" s="83" t="s">
        <v>3215</v>
      </c>
    </row>
    <row r="1149" spans="1:11" ht="51.75" x14ac:dyDescent="0.25">
      <c r="A1149" s="83" t="s">
        <v>1374</v>
      </c>
      <c r="B1149" s="83" t="s">
        <v>5958</v>
      </c>
      <c r="C1149" s="83" t="s">
        <v>5959</v>
      </c>
      <c r="D1149" s="83" t="s">
        <v>3209</v>
      </c>
      <c r="E1149" s="83" t="s">
        <v>3246</v>
      </c>
      <c r="F1149" s="83" t="s">
        <v>5960</v>
      </c>
      <c r="G1149" s="83" t="s">
        <v>5961</v>
      </c>
      <c r="H1149" s="83">
        <v>11</v>
      </c>
      <c r="I1149" s="83" t="s">
        <v>3229</v>
      </c>
      <c r="J1149" s="83" t="s">
        <v>3280</v>
      </c>
      <c r="K1149" s="83" t="s">
        <v>3215</v>
      </c>
    </row>
    <row r="1150" spans="1:11" ht="64.5" x14ac:dyDescent="0.25">
      <c r="A1150" s="83" t="s">
        <v>1384</v>
      </c>
      <c r="B1150" s="83" t="s">
        <v>5962</v>
      </c>
      <c r="C1150" s="83" t="s">
        <v>5963</v>
      </c>
      <c r="D1150" s="83" t="s">
        <v>3209</v>
      </c>
      <c r="E1150" s="83" t="s">
        <v>3246</v>
      </c>
      <c r="F1150" s="83" t="s">
        <v>5964</v>
      </c>
      <c r="G1150" s="83" t="s">
        <v>5965</v>
      </c>
      <c r="H1150" s="83">
        <v>5</v>
      </c>
      <c r="I1150" s="83" t="s">
        <v>3229</v>
      </c>
      <c r="J1150" s="83" t="s">
        <v>3380</v>
      </c>
      <c r="K1150" s="83" t="s">
        <v>3215</v>
      </c>
    </row>
    <row r="1151" spans="1:11" ht="51.75" x14ac:dyDescent="0.25">
      <c r="A1151" s="83" t="s">
        <v>1649</v>
      </c>
      <c r="B1151" s="83" t="s">
        <v>5966</v>
      </c>
      <c r="C1151" s="83" t="s">
        <v>5967</v>
      </c>
      <c r="D1151" s="83" t="s">
        <v>3209</v>
      </c>
      <c r="E1151" s="83" t="s">
        <v>3246</v>
      </c>
      <c r="F1151" s="83" t="s">
        <v>3351</v>
      </c>
      <c r="G1151" s="83" t="s">
        <v>5968</v>
      </c>
      <c r="H1151" s="83">
        <v>34.1</v>
      </c>
      <c r="I1151" s="83" t="s">
        <v>3229</v>
      </c>
      <c r="J1151" s="83" t="s">
        <v>3371</v>
      </c>
      <c r="K1151" s="83" t="s">
        <v>3215</v>
      </c>
    </row>
    <row r="1152" spans="1:11" ht="26.25" x14ac:dyDescent="0.25">
      <c r="A1152" s="83" t="s">
        <v>1616</v>
      </c>
      <c r="B1152" s="83" t="s">
        <v>5969</v>
      </c>
      <c r="C1152" s="83" t="s">
        <v>5970</v>
      </c>
      <c r="D1152" s="83" t="s">
        <v>3209</v>
      </c>
      <c r="E1152" s="83" t="s">
        <v>3246</v>
      </c>
      <c r="F1152" s="83" t="s">
        <v>5971</v>
      </c>
      <c r="G1152" s="83" t="s">
        <v>5972</v>
      </c>
      <c r="H1152" s="83">
        <v>179.1</v>
      </c>
      <c r="I1152" s="83" t="s">
        <v>3229</v>
      </c>
      <c r="J1152" s="83" t="s">
        <v>5332</v>
      </c>
      <c r="K1152" s="83" t="s">
        <v>3215</v>
      </c>
    </row>
    <row r="1153" spans="1:11" ht="51.75" x14ac:dyDescent="0.25">
      <c r="A1153" s="83" t="s">
        <v>1593</v>
      </c>
      <c r="B1153" s="83" t="s">
        <v>5973</v>
      </c>
      <c r="C1153" s="83" t="s">
        <v>5974</v>
      </c>
      <c r="D1153" s="83" t="s">
        <v>3209</v>
      </c>
      <c r="E1153" s="83" t="s">
        <v>3246</v>
      </c>
      <c r="F1153" s="83" t="s">
        <v>5975</v>
      </c>
      <c r="G1153" s="83" t="s">
        <v>5976</v>
      </c>
      <c r="H1153" s="83">
        <v>76.8</v>
      </c>
      <c r="I1153" s="83" t="s">
        <v>3229</v>
      </c>
      <c r="J1153" s="83" t="s">
        <v>3238</v>
      </c>
      <c r="K1153" s="83" t="s">
        <v>3215</v>
      </c>
    </row>
    <row r="1154" spans="1:11" ht="51.75" x14ac:dyDescent="0.25">
      <c r="A1154" s="83" t="s">
        <v>1594</v>
      </c>
      <c r="B1154" s="83" t="s">
        <v>5977</v>
      </c>
      <c r="C1154" s="83" t="s">
        <v>5978</v>
      </c>
      <c r="D1154" s="83" t="s">
        <v>3209</v>
      </c>
      <c r="E1154" s="83" t="s">
        <v>3246</v>
      </c>
      <c r="F1154" s="83" t="s">
        <v>5979</v>
      </c>
      <c r="G1154" s="83" t="s">
        <v>5980</v>
      </c>
      <c r="H1154" s="83">
        <v>38.4</v>
      </c>
      <c r="I1154" s="83" t="s">
        <v>3229</v>
      </c>
      <c r="J1154" s="83" t="s">
        <v>3289</v>
      </c>
      <c r="K1154" s="83" t="s">
        <v>3215</v>
      </c>
    </row>
    <row r="1155" spans="1:11" ht="51.75" x14ac:dyDescent="0.25">
      <c r="A1155" s="83" t="s">
        <v>1589</v>
      </c>
      <c r="B1155" s="83" t="s">
        <v>5981</v>
      </c>
      <c r="C1155" s="83" t="s">
        <v>5982</v>
      </c>
      <c r="D1155" s="83" t="s">
        <v>3209</v>
      </c>
      <c r="E1155" s="83" t="s">
        <v>3246</v>
      </c>
      <c r="F1155" s="83" t="s">
        <v>5983</v>
      </c>
      <c r="G1155" s="83" t="s">
        <v>3565</v>
      </c>
      <c r="H1155" s="83">
        <v>1044.8</v>
      </c>
      <c r="I1155" s="83" t="s">
        <v>3229</v>
      </c>
      <c r="J1155" s="83" t="s">
        <v>3230</v>
      </c>
      <c r="K1155" s="83" t="s">
        <v>3215</v>
      </c>
    </row>
    <row r="1156" spans="1:11" ht="26.25" x14ac:dyDescent="0.25">
      <c r="A1156" s="83" t="s">
        <v>1598</v>
      </c>
      <c r="B1156" s="83" t="s">
        <v>5984</v>
      </c>
      <c r="C1156" s="83" t="s">
        <v>5985</v>
      </c>
      <c r="D1156" s="83" t="s">
        <v>3209</v>
      </c>
      <c r="E1156" s="83" t="s">
        <v>3246</v>
      </c>
      <c r="F1156" s="83" t="s">
        <v>4383</v>
      </c>
      <c r="G1156" s="83" t="s">
        <v>5986</v>
      </c>
      <c r="H1156" s="83">
        <v>30</v>
      </c>
      <c r="I1156" s="83" t="s">
        <v>3229</v>
      </c>
      <c r="J1156" s="83" t="s">
        <v>3397</v>
      </c>
      <c r="K1156" s="83" t="s">
        <v>3215</v>
      </c>
    </row>
    <row r="1157" spans="1:11" ht="26.25" x14ac:dyDescent="0.25">
      <c r="A1157" s="83" t="s">
        <v>1576</v>
      </c>
      <c r="B1157" s="83" t="s">
        <v>5987</v>
      </c>
      <c r="C1157" s="83" t="s">
        <v>5988</v>
      </c>
      <c r="D1157" s="83" t="s">
        <v>3209</v>
      </c>
      <c r="E1157" s="83" t="s">
        <v>3246</v>
      </c>
      <c r="F1157" s="83" t="s">
        <v>5265</v>
      </c>
      <c r="G1157" s="83" t="s">
        <v>5854</v>
      </c>
      <c r="H1157" s="83">
        <v>26</v>
      </c>
      <c r="I1157" s="83" t="s">
        <v>3229</v>
      </c>
      <c r="J1157" s="83" t="s">
        <v>3397</v>
      </c>
      <c r="K1157" s="83" t="s">
        <v>3215</v>
      </c>
    </row>
    <row r="1158" spans="1:11" ht="51.75" x14ac:dyDescent="0.25">
      <c r="A1158" s="83" t="s">
        <v>1565</v>
      </c>
      <c r="B1158" s="83" t="s">
        <v>5989</v>
      </c>
      <c r="C1158" s="83" t="s">
        <v>5990</v>
      </c>
      <c r="D1158" s="83" t="s">
        <v>3209</v>
      </c>
      <c r="E1158" s="83" t="s">
        <v>3246</v>
      </c>
      <c r="F1158" s="83" t="s">
        <v>5991</v>
      </c>
      <c r="G1158" s="83" t="s">
        <v>4519</v>
      </c>
      <c r="H1158" s="83">
        <v>166.7</v>
      </c>
      <c r="I1158" s="83" t="s">
        <v>3229</v>
      </c>
      <c r="J1158" s="83" t="s">
        <v>3371</v>
      </c>
      <c r="K1158" s="83" t="s">
        <v>3215</v>
      </c>
    </row>
    <row r="1159" spans="1:11" ht="51.75" x14ac:dyDescent="0.25">
      <c r="A1159" s="83" t="s">
        <v>1568</v>
      </c>
      <c r="B1159" s="83" t="s">
        <v>5992</v>
      </c>
      <c r="C1159" s="83" t="s">
        <v>5993</v>
      </c>
      <c r="D1159" s="83" t="s">
        <v>3209</v>
      </c>
      <c r="E1159" s="83" t="s">
        <v>3246</v>
      </c>
      <c r="F1159" s="83" t="s">
        <v>5994</v>
      </c>
      <c r="G1159" s="83" t="s">
        <v>4391</v>
      </c>
      <c r="H1159" s="83">
        <v>93</v>
      </c>
      <c r="I1159" s="83" t="s">
        <v>3229</v>
      </c>
      <c r="J1159" s="83" t="s">
        <v>3230</v>
      </c>
      <c r="K1159" s="83" t="s">
        <v>3215</v>
      </c>
    </row>
    <row r="1160" spans="1:11" ht="51.75" x14ac:dyDescent="0.25">
      <c r="A1160" s="83" t="s">
        <v>1569</v>
      </c>
      <c r="B1160" s="83" t="s">
        <v>3208</v>
      </c>
      <c r="C1160" s="83" t="s">
        <v>5995</v>
      </c>
      <c r="D1160" s="83" t="s">
        <v>3209</v>
      </c>
      <c r="E1160" s="83" t="s">
        <v>3246</v>
      </c>
      <c r="F1160" s="83" t="s">
        <v>3924</v>
      </c>
      <c r="G1160" s="83" t="s">
        <v>5755</v>
      </c>
      <c r="H1160" s="83">
        <v>57</v>
      </c>
      <c r="I1160" s="83" t="s">
        <v>3213</v>
      </c>
      <c r="J1160" s="83" t="s">
        <v>3214</v>
      </c>
      <c r="K1160" s="83" t="s">
        <v>3215</v>
      </c>
    </row>
    <row r="1161" spans="1:11" ht="51.75" x14ac:dyDescent="0.25">
      <c r="A1161" s="83" t="s">
        <v>1555</v>
      </c>
      <c r="B1161" s="83" t="s">
        <v>5996</v>
      </c>
      <c r="C1161" s="83" t="s">
        <v>5997</v>
      </c>
      <c r="D1161" s="83" t="s">
        <v>3209</v>
      </c>
      <c r="E1161" s="83" t="s">
        <v>3246</v>
      </c>
      <c r="F1161" s="83" t="s">
        <v>5998</v>
      </c>
      <c r="G1161" s="83" t="s">
        <v>5999</v>
      </c>
      <c r="H1161" s="83">
        <v>228.4</v>
      </c>
      <c r="I1161" s="83" t="s">
        <v>3229</v>
      </c>
      <c r="J1161" s="83" t="s">
        <v>3371</v>
      </c>
      <c r="K1161" s="83" t="s">
        <v>3215</v>
      </c>
    </row>
    <row r="1162" spans="1:11" ht="51.75" x14ac:dyDescent="0.25">
      <c r="A1162" s="83" t="s">
        <v>1559</v>
      </c>
      <c r="B1162" s="83" t="s">
        <v>6000</v>
      </c>
      <c r="C1162" s="83" t="s">
        <v>6001</v>
      </c>
      <c r="D1162" s="83" t="s">
        <v>3209</v>
      </c>
      <c r="E1162" s="83" t="s">
        <v>3246</v>
      </c>
      <c r="F1162" s="83" t="s">
        <v>6002</v>
      </c>
      <c r="G1162" s="83" t="s">
        <v>3408</v>
      </c>
      <c r="H1162" s="83">
        <v>36.700000000000003</v>
      </c>
      <c r="I1162" s="83" t="s">
        <v>3229</v>
      </c>
      <c r="J1162" s="83" t="s">
        <v>3289</v>
      </c>
      <c r="K1162" s="83" t="s">
        <v>3215</v>
      </c>
    </row>
    <row r="1163" spans="1:11" ht="51.75" x14ac:dyDescent="0.25">
      <c r="A1163" s="83" t="s">
        <v>1521</v>
      </c>
      <c r="B1163" s="83" t="s">
        <v>6003</v>
      </c>
      <c r="C1163" s="83" t="s">
        <v>6004</v>
      </c>
      <c r="D1163" s="83" t="s">
        <v>3209</v>
      </c>
      <c r="E1163" s="83" t="s">
        <v>3246</v>
      </c>
      <c r="F1163" s="83" t="s">
        <v>3400</v>
      </c>
      <c r="G1163" s="83" t="s">
        <v>3355</v>
      </c>
      <c r="H1163" s="83">
        <v>86.8</v>
      </c>
      <c r="I1163" s="83" t="s">
        <v>3229</v>
      </c>
      <c r="J1163" s="83" t="s">
        <v>3289</v>
      </c>
      <c r="K1163" s="83" t="s">
        <v>3215</v>
      </c>
    </row>
    <row r="1164" spans="1:11" ht="51.75" x14ac:dyDescent="0.25">
      <c r="A1164" s="83" t="s">
        <v>1523</v>
      </c>
      <c r="B1164" s="83" t="s">
        <v>6005</v>
      </c>
      <c r="C1164" s="83" t="s">
        <v>6006</v>
      </c>
      <c r="D1164" s="83" t="s">
        <v>3209</v>
      </c>
      <c r="E1164" s="83" t="s">
        <v>3246</v>
      </c>
      <c r="F1164" s="83" t="s">
        <v>6007</v>
      </c>
      <c r="G1164" s="83" t="s">
        <v>6008</v>
      </c>
      <c r="H1164" s="83">
        <v>47.7</v>
      </c>
      <c r="I1164" s="83" t="s">
        <v>3213</v>
      </c>
      <c r="J1164" s="83" t="s">
        <v>3538</v>
      </c>
      <c r="K1164" s="83" t="s">
        <v>3215</v>
      </c>
    </row>
    <row r="1165" spans="1:11" ht="51.75" x14ac:dyDescent="0.25">
      <c r="A1165" s="83" t="s">
        <v>1395</v>
      </c>
      <c r="B1165" s="83" t="s">
        <v>6009</v>
      </c>
      <c r="C1165" s="83" t="s">
        <v>6010</v>
      </c>
      <c r="D1165" s="83" t="s">
        <v>3209</v>
      </c>
      <c r="E1165" s="83" t="s">
        <v>3246</v>
      </c>
      <c r="F1165" s="83" t="s">
        <v>6011</v>
      </c>
      <c r="G1165" s="83" t="s">
        <v>4302</v>
      </c>
      <c r="H1165" s="83">
        <v>42</v>
      </c>
      <c r="I1165" s="83" t="s">
        <v>3229</v>
      </c>
      <c r="J1165" s="83" t="s">
        <v>3280</v>
      </c>
      <c r="K1165" s="83" t="s">
        <v>3215</v>
      </c>
    </row>
    <row r="1166" spans="1:11" ht="26.25" x14ac:dyDescent="0.25">
      <c r="A1166" s="83" t="s">
        <v>1409</v>
      </c>
      <c r="B1166" s="83" t="s">
        <v>6012</v>
      </c>
      <c r="C1166" s="83" t="s">
        <v>6013</v>
      </c>
      <c r="D1166" s="83" t="s">
        <v>3209</v>
      </c>
      <c r="E1166" s="83" t="s">
        <v>3246</v>
      </c>
      <c r="F1166" s="83" t="s">
        <v>6014</v>
      </c>
      <c r="G1166" s="83" t="s">
        <v>6015</v>
      </c>
      <c r="H1166" s="83">
        <v>48</v>
      </c>
      <c r="I1166" s="83" t="s">
        <v>3229</v>
      </c>
      <c r="J1166" s="83" t="s">
        <v>3222</v>
      </c>
      <c r="K1166" s="83" t="s">
        <v>3215</v>
      </c>
    </row>
    <row r="1167" spans="1:11" ht="51.75" x14ac:dyDescent="0.25">
      <c r="A1167" s="83" t="s">
        <v>1410</v>
      </c>
      <c r="B1167" s="83" t="s">
        <v>6016</v>
      </c>
      <c r="C1167" s="83" t="s">
        <v>6017</v>
      </c>
      <c r="D1167" s="83" t="s">
        <v>3209</v>
      </c>
      <c r="E1167" s="83" t="s">
        <v>3246</v>
      </c>
      <c r="F1167" s="83" t="s">
        <v>6018</v>
      </c>
      <c r="G1167" s="83" t="s">
        <v>6019</v>
      </c>
      <c r="H1167" s="83">
        <v>36</v>
      </c>
      <c r="I1167" s="83" t="s">
        <v>3229</v>
      </c>
      <c r="J1167" s="83" t="s">
        <v>3238</v>
      </c>
      <c r="K1167" s="83" t="s">
        <v>3215</v>
      </c>
    </row>
    <row r="1168" spans="1:11" ht="26.25" x14ac:dyDescent="0.25">
      <c r="A1168" s="83" t="s">
        <v>1370</v>
      </c>
      <c r="B1168" s="83" t="s">
        <v>6020</v>
      </c>
      <c r="C1168" s="83" t="s">
        <v>6021</v>
      </c>
      <c r="D1168" s="83" t="s">
        <v>3209</v>
      </c>
      <c r="E1168" s="83" t="s">
        <v>3246</v>
      </c>
      <c r="F1168" s="83" t="s">
        <v>6022</v>
      </c>
      <c r="G1168" s="83" t="s">
        <v>6023</v>
      </c>
      <c r="H1168" s="83">
        <v>7</v>
      </c>
      <c r="I1168" s="83" t="s">
        <v>3229</v>
      </c>
      <c r="J1168" s="83" t="s">
        <v>3397</v>
      </c>
      <c r="K1168" s="83" t="s">
        <v>3215</v>
      </c>
    </row>
    <row r="1169" spans="1:11" ht="26.25" x14ac:dyDescent="0.25">
      <c r="A1169" s="83" t="s">
        <v>1293</v>
      </c>
      <c r="B1169" s="83" t="s">
        <v>6024</v>
      </c>
      <c r="C1169" s="83" t="s">
        <v>6025</v>
      </c>
      <c r="D1169" s="83" t="s">
        <v>3209</v>
      </c>
      <c r="E1169" s="83" t="s">
        <v>3246</v>
      </c>
      <c r="F1169" s="83" t="s">
        <v>6026</v>
      </c>
      <c r="G1169" s="83" t="s">
        <v>6027</v>
      </c>
      <c r="H1169" s="83">
        <v>42</v>
      </c>
      <c r="I1169" s="83" t="s">
        <v>3229</v>
      </c>
      <c r="J1169" s="83" t="s">
        <v>3397</v>
      </c>
      <c r="K1169" s="83" t="s">
        <v>3215</v>
      </c>
    </row>
    <row r="1170" spans="1:11" ht="51.75" x14ac:dyDescent="0.25">
      <c r="A1170" s="83" t="s">
        <v>145</v>
      </c>
      <c r="B1170" s="83" t="s">
        <v>6028</v>
      </c>
      <c r="C1170" s="83" t="s">
        <v>6029</v>
      </c>
      <c r="D1170" s="83" t="s">
        <v>3209</v>
      </c>
      <c r="E1170" s="83" t="s">
        <v>3246</v>
      </c>
      <c r="F1170" s="83" t="s">
        <v>6030</v>
      </c>
      <c r="G1170" s="83" t="s">
        <v>3256</v>
      </c>
      <c r="H1170" s="83">
        <v>34.4</v>
      </c>
      <c r="I1170" s="83" t="s">
        <v>3213</v>
      </c>
      <c r="J1170" s="83" t="s">
        <v>3257</v>
      </c>
      <c r="K1170" s="83" t="s">
        <v>3215</v>
      </c>
    </row>
    <row r="1171" spans="1:11" ht="51.75" x14ac:dyDescent="0.25">
      <c r="A1171" s="83" t="s">
        <v>1297</v>
      </c>
      <c r="B1171" s="83" t="s">
        <v>6031</v>
      </c>
      <c r="C1171" s="83" t="s">
        <v>6032</v>
      </c>
      <c r="D1171" s="83" t="s">
        <v>3209</v>
      </c>
      <c r="E1171" s="83" t="s">
        <v>3246</v>
      </c>
      <c r="F1171" s="83" t="s">
        <v>6033</v>
      </c>
      <c r="G1171" s="83" t="s">
        <v>4738</v>
      </c>
      <c r="H1171" s="83">
        <v>12</v>
      </c>
      <c r="I1171" s="83" t="s">
        <v>3229</v>
      </c>
      <c r="J1171" s="83" t="s">
        <v>3289</v>
      </c>
      <c r="K1171" s="83" t="s">
        <v>3215</v>
      </c>
    </row>
    <row r="1172" spans="1:11" ht="51.75" x14ac:dyDescent="0.25">
      <c r="A1172" s="83" t="s">
        <v>1304</v>
      </c>
      <c r="B1172" s="83" t="s">
        <v>6034</v>
      </c>
      <c r="C1172" s="83" t="s">
        <v>6035</v>
      </c>
      <c r="D1172" s="83" t="s">
        <v>3209</v>
      </c>
      <c r="E1172" s="83" t="s">
        <v>3246</v>
      </c>
      <c r="F1172" s="83" t="s">
        <v>3416</v>
      </c>
      <c r="G1172" s="83" t="s">
        <v>3417</v>
      </c>
      <c r="H1172" s="83">
        <v>49</v>
      </c>
      <c r="I1172" s="83" t="s">
        <v>3213</v>
      </c>
      <c r="J1172" s="83" t="s">
        <v>3538</v>
      </c>
      <c r="K1172" s="83" t="s">
        <v>3215</v>
      </c>
    </row>
    <row r="1173" spans="1:11" ht="51.75" x14ac:dyDescent="0.25">
      <c r="A1173" s="83" t="s">
        <v>1311</v>
      </c>
      <c r="B1173" s="83" t="s">
        <v>6036</v>
      </c>
      <c r="C1173" s="83" t="s">
        <v>3922</v>
      </c>
      <c r="D1173" s="83" t="s">
        <v>3209</v>
      </c>
      <c r="E1173" s="83" t="s">
        <v>3246</v>
      </c>
      <c r="F1173" s="83" t="s">
        <v>6037</v>
      </c>
      <c r="G1173" s="83" t="s">
        <v>6038</v>
      </c>
      <c r="H1173" s="83">
        <v>2.5</v>
      </c>
      <c r="I1173" s="83" t="s">
        <v>3229</v>
      </c>
      <c r="J1173" s="83" t="s">
        <v>4430</v>
      </c>
      <c r="K1173" s="83" t="s">
        <v>3215</v>
      </c>
    </row>
    <row r="1174" spans="1:11" ht="26.25" x14ac:dyDescent="0.25">
      <c r="A1174" s="83" t="s">
        <v>1447</v>
      </c>
      <c r="B1174" s="83" t="s">
        <v>6039</v>
      </c>
      <c r="C1174" s="83" t="s">
        <v>6040</v>
      </c>
      <c r="D1174" s="83" t="s">
        <v>3209</v>
      </c>
      <c r="E1174" s="83" t="s">
        <v>3246</v>
      </c>
      <c r="F1174" s="83" t="s">
        <v>6041</v>
      </c>
      <c r="G1174" s="83" t="s">
        <v>4425</v>
      </c>
      <c r="H1174" s="83">
        <v>14</v>
      </c>
      <c r="I1174" s="83" t="s">
        <v>3229</v>
      </c>
      <c r="J1174" s="83" t="s">
        <v>3324</v>
      </c>
      <c r="K1174" s="83" t="s">
        <v>3215</v>
      </c>
    </row>
    <row r="1175" spans="1:11" ht="77.25" x14ac:dyDescent="0.25">
      <c r="A1175" s="83" t="s">
        <v>1446</v>
      </c>
      <c r="B1175" s="83" t="s">
        <v>6042</v>
      </c>
      <c r="C1175" s="83" t="s">
        <v>4866</v>
      </c>
      <c r="D1175" s="83" t="s">
        <v>3209</v>
      </c>
      <c r="E1175" s="83" t="s">
        <v>3246</v>
      </c>
      <c r="F1175" s="83" t="s">
        <v>6043</v>
      </c>
      <c r="G1175" s="83" t="s">
        <v>3620</v>
      </c>
      <c r="H1175" s="83">
        <v>154</v>
      </c>
      <c r="I1175" s="83" t="s">
        <v>3213</v>
      </c>
      <c r="J1175" s="83" t="s">
        <v>3621</v>
      </c>
      <c r="K1175" s="83" t="s">
        <v>3215</v>
      </c>
    </row>
    <row r="1176" spans="1:11" ht="51.75" x14ac:dyDescent="0.25">
      <c r="A1176" s="83" t="s">
        <v>1452</v>
      </c>
      <c r="B1176" s="83" t="s">
        <v>6044</v>
      </c>
      <c r="C1176" s="83" t="s">
        <v>6045</v>
      </c>
      <c r="D1176" s="83" t="s">
        <v>3209</v>
      </c>
      <c r="E1176" s="83" t="s">
        <v>3246</v>
      </c>
      <c r="F1176" s="83" t="s">
        <v>6046</v>
      </c>
      <c r="G1176" s="83" t="s">
        <v>6047</v>
      </c>
      <c r="H1176" s="83">
        <v>16</v>
      </c>
      <c r="I1176" s="83" t="s">
        <v>3229</v>
      </c>
      <c r="J1176" s="83" t="s">
        <v>3238</v>
      </c>
      <c r="K1176" s="83" t="s">
        <v>3215</v>
      </c>
    </row>
    <row r="1177" spans="1:11" ht="77.25" x14ac:dyDescent="0.25">
      <c r="A1177" s="83" t="s">
        <v>1459</v>
      </c>
      <c r="B1177" s="83" t="s">
        <v>6048</v>
      </c>
      <c r="C1177" s="83" t="s">
        <v>6049</v>
      </c>
      <c r="D1177" s="83" t="s">
        <v>3209</v>
      </c>
      <c r="E1177" s="83" t="s">
        <v>3246</v>
      </c>
      <c r="F1177" s="83" t="s">
        <v>6050</v>
      </c>
      <c r="G1177" s="83" t="s">
        <v>6051</v>
      </c>
      <c r="H1177" s="83">
        <v>270</v>
      </c>
      <c r="I1177" s="83" t="s">
        <v>3213</v>
      </c>
      <c r="J1177" s="83" t="s">
        <v>3621</v>
      </c>
      <c r="K1177" s="83" t="s">
        <v>3215</v>
      </c>
    </row>
    <row r="1178" spans="1:11" ht="51.75" x14ac:dyDescent="0.25">
      <c r="A1178" s="83" t="s">
        <v>1458</v>
      </c>
      <c r="B1178" s="83" t="s">
        <v>6052</v>
      </c>
      <c r="C1178" s="83" t="s">
        <v>6053</v>
      </c>
      <c r="D1178" s="83" t="s">
        <v>3209</v>
      </c>
      <c r="E1178" s="83" t="s">
        <v>3246</v>
      </c>
      <c r="F1178" s="83" t="s">
        <v>6054</v>
      </c>
      <c r="G1178" s="83" t="s">
        <v>4225</v>
      </c>
      <c r="H1178" s="83">
        <v>28</v>
      </c>
      <c r="I1178" s="83" t="s">
        <v>3229</v>
      </c>
      <c r="J1178" s="83" t="s">
        <v>3730</v>
      </c>
      <c r="K1178" s="83" t="s">
        <v>3215</v>
      </c>
    </row>
    <row r="1179" spans="1:11" ht="39" x14ac:dyDescent="0.25">
      <c r="A1179" s="83" t="s">
        <v>1341</v>
      </c>
      <c r="B1179" s="83" t="s">
        <v>6055</v>
      </c>
      <c r="C1179" s="83" t="s">
        <v>6056</v>
      </c>
      <c r="D1179" s="83" t="s">
        <v>3209</v>
      </c>
      <c r="E1179" s="83" t="s">
        <v>3246</v>
      </c>
      <c r="F1179" s="83" t="s">
        <v>6057</v>
      </c>
      <c r="G1179" s="83" t="s">
        <v>3791</v>
      </c>
      <c r="H1179" s="83">
        <v>23</v>
      </c>
      <c r="I1179" s="83" t="s">
        <v>3229</v>
      </c>
      <c r="J1179" s="83" t="s">
        <v>3241</v>
      </c>
      <c r="K1179" s="83" t="s">
        <v>3215</v>
      </c>
    </row>
    <row r="1180" spans="1:11" ht="64.5" x14ac:dyDescent="0.25">
      <c r="A1180" s="83" t="s">
        <v>1343</v>
      </c>
      <c r="B1180" s="83" t="s">
        <v>6058</v>
      </c>
      <c r="C1180" s="83" t="s">
        <v>6059</v>
      </c>
      <c r="D1180" s="83" t="s">
        <v>3209</v>
      </c>
      <c r="E1180" s="83" t="s">
        <v>3246</v>
      </c>
      <c r="F1180" s="83" t="s">
        <v>6060</v>
      </c>
      <c r="G1180" s="83" t="s">
        <v>5152</v>
      </c>
      <c r="H1180" s="83">
        <v>35</v>
      </c>
      <c r="I1180" s="83" t="s">
        <v>3213</v>
      </c>
      <c r="J1180" s="83" t="s">
        <v>3413</v>
      </c>
      <c r="K1180" s="83" t="s">
        <v>3215</v>
      </c>
    </row>
    <row r="1181" spans="1:11" ht="51.75" x14ac:dyDescent="0.25">
      <c r="A1181" s="83" t="s">
        <v>1352</v>
      </c>
      <c r="B1181" s="83" t="s">
        <v>6061</v>
      </c>
      <c r="C1181" s="83" t="s">
        <v>6062</v>
      </c>
      <c r="D1181" s="83" t="s">
        <v>3209</v>
      </c>
      <c r="E1181" s="83" t="s">
        <v>3246</v>
      </c>
      <c r="F1181" s="83" t="s">
        <v>6063</v>
      </c>
      <c r="G1181" s="83" t="s">
        <v>6064</v>
      </c>
      <c r="H1181" s="83">
        <v>31</v>
      </c>
      <c r="I1181" s="83" t="s">
        <v>3213</v>
      </c>
      <c r="J1181" s="83" t="s">
        <v>3538</v>
      </c>
      <c r="K1181" s="83" t="s">
        <v>3215</v>
      </c>
    </row>
    <row r="1182" spans="1:11" ht="51.75" x14ac:dyDescent="0.25">
      <c r="A1182" s="83" t="s">
        <v>1362</v>
      </c>
      <c r="B1182" s="83" t="s">
        <v>6065</v>
      </c>
      <c r="C1182" s="83" t="s">
        <v>6066</v>
      </c>
      <c r="D1182" s="83" t="s">
        <v>3209</v>
      </c>
      <c r="E1182" s="83" t="s">
        <v>3246</v>
      </c>
      <c r="F1182" s="83" t="s">
        <v>6067</v>
      </c>
      <c r="G1182" s="83" t="s">
        <v>5319</v>
      </c>
      <c r="H1182" s="83">
        <v>3</v>
      </c>
      <c r="I1182" s="83" t="s">
        <v>3229</v>
      </c>
      <c r="J1182" s="83" t="s">
        <v>3230</v>
      </c>
      <c r="K1182" s="83" t="s">
        <v>3215</v>
      </c>
    </row>
    <row r="1183" spans="1:11" ht="39" x14ac:dyDescent="0.25">
      <c r="A1183" s="83" t="s">
        <v>1326</v>
      </c>
      <c r="B1183" s="83" t="s">
        <v>6068</v>
      </c>
      <c r="C1183" s="83" t="s">
        <v>6069</v>
      </c>
      <c r="D1183" s="83" t="s">
        <v>3209</v>
      </c>
      <c r="E1183" s="83" t="s">
        <v>3246</v>
      </c>
      <c r="F1183" s="83" t="s">
        <v>6070</v>
      </c>
      <c r="G1183" s="83" t="s">
        <v>3795</v>
      </c>
      <c r="H1183" s="83">
        <v>50</v>
      </c>
      <c r="I1183" s="83" t="s">
        <v>3229</v>
      </c>
      <c r="J1183" s="83" t="s">
        <v>3241</v>
      </c>
      <c r="K1183" s="83" t="s">
        <v>3215</v>
      </c>
    </row>
    <row r="1184" spans="1:11" ht="51.75" x14ac:dyDescent="0.25">
      <c r="A1184" s="83" t="s">
        <v>906</v>
      </c>
      <c r="B1184" s="83" t="s">
        <v>6071</v>
      </c>
      <c r="C1184" s="83" t="s">
        <v>6072</v>
      </c>
      <c r="D1184" s="83" t="s">
        <v>3209</v>
      </c>
      <c r="E1184" s="83" t="s">
        <v>3246</v>
      </c>
      <c r="F1184" s="83" t="s">
        <v>5323</v>
      </c>
      <c r="G1184" s="83" t="s">
        <v>6073</v>
      </c>
      <c r="H1184" s="83">
        <v>0.6</v>
      </c>
      <c r="I1184" s="83" t="s">
        <v>3229</v>
      </c>
      <c r="J1184" s="83" t="s">
        <v>3730</v>
      </c>
      <c r="K1184" s="83" t="s">
        <v>3215</v>
      </c>
    </row>
    <row r="1185" spans="1:11" ht="51.75" x14ac:dyDescent="0.25">
      <c r="A1185" s="83" t="s">
        <v>1282</v>
      </c>
      <c r="B1185" s="83" t="s">
        <v>6074</v>
      </c>
      <c r="C1185" s="83" t="s">
        <v>6075</v>
      </c>
      <c r="D1185" s="83" t="s">
        <v>3209</v>
      </c>
      <c r="E1185" s="83" t="s">
        <v>3246</v>
      </c>
      <c r="F1185" s="83" t="s">
        <v>6076</v>
      </c>
      <c r="G1185" s="83" t="s">
        <v>6077</v>
      </c>
      <c r="H1185" s="83">
        <v>0.2</v>
      </c>
      <c r="I1185" s="83" t="s">
        <v>3229</v>
      </c>
      <c r="J1185" s="83" t="s">
        <v>3238</v>
      </c>
      <c r="K1185" s="83" t="s">
        <v>3215</v>
      </c>
    </row>
    <row r="1186" spans="1:11" ht="51.75" x14ac:dyDescent="0.25">
      <c r="A1186" s="83" t="s">
        <v>1280</v>
      </c>
      <c r="B1186" s="83" t="s">
        <v>6078</v>
      </c>
      <c r="C1186" s="83" t="s">
        <v>6079</v>
      </c>
      <c r="D1186" s="83" t="s">
        <v>3209</v>
      </c>
      <c r="E1186" s="83" t="s">
        <v>3246</v>
      </c>
      <c r="F1186" s="83" t="s">
        <v>6080</v>
      </c>
      <c r="G1186" s="83" t="s">
        <v>6081</v>
      </c>
      <c r="H1186" s="83">
        <v>18</v>
      </c>
      <c r="I1186" s="83" t="s">
        <v>3229</v>
      </c>
      <c r="J1186" s="83" t="s">
        <v>3238</v>
      </c>
      <c r="K1186" s="83" t="s">
        <v>3215</v>
      </c>
    </row>
    <row r="1187" spans="1:11" ht="51.75" x14ac:dyDescent="0.25">
      <c r="A1187" s="83" t="s">
        <v>1264</v>
      </c>
      <c r="B1187" s="83" t="s">
        <v>6082</v>
      </c>
      <c r="C1187" s="83" t="s">
        <v>6083</v>
      </c>
      <c r="D1187" s="83" t="s">
        <v>3209</v>
      </c>
      <c r="E1187" s="83" t="s">
        <v>3246</v>
      </c>
      <c r="F1187" s="83" t="s">
        <v>6084</v>
      </c>
      <c r="G1187" s="83" t="s">
        <v>6085</v>
      </c>
      <c r="H1187" s="83">
        <v>30</v>
      </c>
      <c r="I1187" s="83" t="s">
        <v>3213</v>
      </c>
      <c r="J1187" s="83" t="s">
        <v>3538</v>
      </c>
      <c r="K1187" s="83" t="s">
        <v>3215</v>
      </c>
    </row>
    <row r="1188" spans="1:11" ht="51.75" x14ac:dyDescent="0.25">
      <c r="A1188" s="83" t="s">
        <v>1238</v>
      </c>
      <c r="B1188" s="83" t="s">
        <v>6086</v>
      </c>
      <c r="C1188" s="83" t="s">
        <v>6087</v>
      </c>
      <c r="D1188" s="83" t="s">
        <v>3209</v>
      </c>
      <c r="E1188" s="83" t="s">
        <v>3246</v>
      </c>
      <c r="F1188" s="83" t="s">
        <v>6088</v>
      </c>
      <c r="G1188" s="83" t="s">
        <v>6089</v>
      </c>
      <c r="H1188" s="83">
        <v>7.2</v>
      </c>
      <c r="I1188" s="83" t="s">
        <v>3213</v>
      </c>
      <c r="J1188" s="83" t="s">
        <v>3214</v>
      </c>
      <c r="K1188" s="83" t="s">
        <v>3215</v>
      </c>
    </row>
    <row r="1189" spans="1:11" ht="51.75" x14ac:dyDescent="0.25">
      <c r="A1189" s="83" t="s">
        <v>1418</v>
      </c>
      <c r="B1189" s="83" t="s">
        <v>6090</v>
      </c>
      <c r="C1189" s="83" t="s">
        <v>6091</v>
      </c>
      <c r="D1189" s="83" t="s">
        <v>3209</v>
      </c>
      <c r="E1189" s="83" t="s">
        <v>3246</v>
      </c>
      <c r="F1189" s="83" t="s">
        <v>6092</v>
      </c>
      <c r="G1189" s="83" t="s">
        <v>6093</v>
      </c>
      <c r="H1189" s="83">
        <v>45</v>
      </c>
      <c r="I1189" s="83" t="s">
        <v>3229</v>
      </c>
      <c r="J1189" s="83" t="s">
        <v>3371</v>
      </c>
      <c r="K1189" s="83" t="s">
        <v>3215</v>
      </c>
    </row>
    <row r="1190" spans="1:11" ht="51.75" x14ac:dyDescent="0.25">
      <c r="A1190" s="83" t="s">
        <v>1422</v>
      </c>
      <c r="B1190" s="83" t="s">
        <v>6094</v>
      </c>
      <c r="C1190" s="83" t="s">
        <v>6095</v>
      </c>
      <c r="D1190" s="83" t="s">
        <v>3209</v>
      </c>
      <c r="E1190" s="83" t="s">
        <v>3246</v>
      </c>
      <c r="F1190" s="83" t="s">
        <v>6096</v>
      </c>
      <c r="G1190" s="83" t="s">
        <v>6097</v>
      </c>
      <c r="H1190" s="83">
        <v>17</v>
      </c>
      <c r="I1190" s="83" t="s">
        <v>3229</v>
      </c>
      <c r="J1190" s="83" t="s">
        <v>3730</v>
      </c>
      <c r="K1190" s="83" t="s">
        <v>3215</v>
      </c>
    </row>
    <row r="1191" spans="1:11" ht="26.25" x14ac:dyDescent="0.25">
      <c r="A1191" s="83" t="s">
        <v>1425</v>
      </c>
      <c r="B1191" s="83" t="s">
        <v>6098</v>
      </c>
      <c r="C1191" s="83" t="s">
        <v>6099</v>
      </c>
      <c r="D1191" s="83" t="s">
        <v>3209</v>
      </c>
      <c r="E1191" s="83" t="s">
        <v>3246</v>
      </c>
      <c r="F1191" s="83" t="s">
        <v>6100</v>
      </c>
      <c r="G1191" s="83" t="s">
        <v>6101</v>
      </c>
      <c r="H1191" s="83">
        <v>1</v>
      </c>
      <c r="I1191" s="83" t="s">
        <v>3213</v>
      </c>
      <c r="J1191" s="83" t="s">
        <v>3222</v>
      </c>
      <c r="K1191" s="83" t="s">
        <v>3215</v>
      </c>
    </row>
    <row r="1192" spans="1:11" ht="26.25" x14ac:dyDescent="0.25">
      <c r="A1192" s="83" t="s">
        <v>946</v>
      </c>
      <c r="B1192" s="83" t="s">
        <v>6102</v>
      </c>
      <c r="C1192" s="83" t="s">
        <v>6103</v>
      </c>
      <c r="D1192" s="83" t="s">
        <v>3209</v>
      </c>
      <c r="E1192" s="83" t="s">
        <v>3246</v>
      </c>
      <c r="F1192" s="83" t="s">
        <v>6104</v>
      </c>
      <c r="G1192" s="83" t="s">
        <v>6105</v>
      </c>
      <c r="H1192" s="83">
        <v>4.4000000000000004</v>
      </c>
      <c r="I1192" s="83" t="s">
        <v>3213</v>
      </c>
      <c r="J1192" s="83" t="s">
        <v>3467</v>
      </c>
      <c r="K1192" s="83" t="s">
        <v>3215</v>
      </c>
    </row>
    <row r="1193" spans="1:11" ht="51.75" x14ac:dyDescent="0.25">
      <c r="A1193" s="83" t="s">
        <v>912</v>
      </c>
      <c r="B1193" s="83" t="s">
        <v>6106</v>
      </c>
      <c r="C1193" s="83" t="s">
        <v>6107</v>
      </c>
      <c r="D1193" s="83" t="s">
        <v>3209</v>
      </c>
      <c r="E1193" s="83" t="s">
        <v>3246</v>
      </c>
      <c r="F1193" s="83" t="s">
        <v>3519</v>
      </c>
      <c r="G1193" s="83" t="s">
        <v>3520</v>
      </c>
      <c r="H1193" s="83">
        <v>5.2</v>
      </c>
      <c r="I1193" s="83" t="s">
        <v>3229</v>
      </c>
      <c r="J1193" s="83" t="s">
        <v>3521</v>
      </c>
      <c r="K1193" s="83" t="s">
        <v>3215</v>
      </c>
    </row>
    <row r="1194" spans="1:11" ht="26.25" x14ac:dyDescent="0.25">
      <c r="A1194" s="83" t="s">
        <v>930</v>
      </c>
      <c r="B1194" s="83" t="s">
        <v>6108</v>
      </c>
      <c r="C1194" s="83" t="s">
        <v>5066</v>
      </c>
      <c r="D1194" s="83" t="s">
        <v>3209</v>
      </c>
      <c r="E1194" s="83" t="s">
        <v>3246</v>
      </c>
      <c r="F1194" s="83" t="s">
        <v>6109</v>
      </c>
      <c r="G1194" s="83" t="s">
        <v>6110</v>
      </c>
      <c r="H1194" s="83">
        <v>5.4</v>
      </c>
      <c r="I1194" s="83" t="s">
        <v>3229</v>
      </c>
      <c r="J1194" s="83" t="s">
        <v>3397</v>
      </c>
      <c r="K1194" s="83" t="s">
        <v>3215</v>
      </c>
    </row>
    <row r="1195" spans="1:11" ht="51.75" x14ac:dyDescent="0.25">
      <c r="A1195" s="83" t="s">
        <v>899</v>
      </c>
      <c r="B1195" s="83" t="s">
        <v>6111</v>
      </c>
      <c r="C1195" s="83" t="s">
        <v>6112</v>
      </c>
      <c r="D1195" s="83" t="s">
        <v>3209</v>
      </c>
      <c r="E1195" s="83" t="s">
        <v>3246</v>
      </c>
      <c r="F1195" s="83" t="s">
        <v>6113</v>
      </c>
      <c r="G1195" s="83" t="s">
        <v>6114</v>
      </c>
      <c r="H1195" s="83">
        <v>5</v>
      </c>
      <c r="I1195" s="83" t="s">
        <v>3229</v>
      </c>
      <c r="J1195" s="83" t="s">
        <v>3280</v>
      </c>
      <c r="K1195" s="83" t="s">
        <v>3215</v>
      </c>
    </row>
    <row r="1196" spans="1:11" ht="51.75" x14ac:dyDescent="0.25">
      <c r="A1196" s="83" t="s">
        <v>1172</v>
      </c>
      <c r="B1196" s="83" t="s">
        <v>6115</v>
      </c>
      <c r="C1196" s="83" t="s">
        <v>6116</v>
      </c>
      <c r="D1196" s="83" t="s">
        <v>3209</v>
      </c>
      <c r="E1196" s="83" t="s">
        <v>3246</v>
      </c>
      <c r="F1196" s="83" t="s">
        <v>3545</v>
      </c>
      <c r="G1196" s="83" t="s">
        <v>3546</v>
      </c>
      <c r="H1196" s="83">
        <v>6.3</v>
      </c>
      <c r="I1196" s="83" t="s">
        <v>3213</v>
      </c>
      <c r="J1196" s="83" t="s">
        <v>3257</v>
      </c>
      <c r="K1196" s="83" t="s">
        <v>3215</v>
      </c>
    </row>
    <row r="1197" spans="1:11" ht="26.25" x14ac:dyDescent="0.25">
      <c r="A1197" s="83" t="s">
        <v>1028</v>
      </c>
      <c r="B1197" s="83" t="s">
        <v>6117</v>
      </c>
      <c r="C1197" s="83" t="s">
        <v>6118</v>
      </c>
      <c r="D1197" s="83" t="s">
        <v>3209</v>
      </c>
      <c r="E1197" s="83" t="s">
        <v>3246</v>
      </c>
      <c r="F1197" s="83" t="s">
        <v>6119</v>
      </c>
      <c r="G1197" s="83" t="s">
        <v>3448</v>
      </c>
      <c r="H1197" s="83">
        <v>47</v>
      </c>
      <c r="I1197" s="83" t="s">
        <v>3229</v>
      </c>
      <c r="J1197" s="83" t="s">
        <v>3324</v>
      </c>
      <c r="K1197" s="83" t="s">
        <v>3215</v>
      </c>
    </row>
    <row r="1198" spans="1:11" ht="51.75" x14ac:dyDescent="0.25">
      <c r="A1198" s="83" t="s">
        <v>73</v>
      </c>
      <c r="B1198" s="83" t="s">
        <v>6120</v>
      </c>
      <c r="C1198" s="83" t="s">
        <v>6121</v>
      </c>
      <c r="D1198" s="83" t="s">
        <v>3209</v>
      </c>
      <c r="E1198" s="83" t="s">
        <v>3246</v>
      </c>
      <c r="F1198" s="83" t="s">
        <v>6122</v>
      </c>
      <c r="G1198" s="83" t="s">
        <v>4052</v>
      </c>
      <c r="H1198" s="83">
        <v>78</v>
      </c>
      <c r="I1198" s="83" t="s">
        <v>3229</v>
      </c>
      <c r="J1198" s="83" t="s">
        <v>3371</v>
      </c>
      <c r="K1198" s="83" t="s">
        <v>3215</v>
      </c>
    </row>
    <row r="1199" spans="1:11" ht="64.5" x14ac:dyDescent="0.25">
      <c r="A1199" s="83" t="s">
        <v>1136</v>
      </c>
      <c r="B1199" s="83" t="s">
        <v>6123</v>
      </c>
      <c r="C1199" s="83" t="s">
        <v>6124</v>
      </c>
      <c r="D1199" s="83" t="s">
        <v>3209</v>
      </c>
      <c r="E1199" s="83" t="s">
        <v>3246</v>
      </c>
      <c r="F1199" s="83" t="s">
        <v>6125</v>
      </c>
      <c r="G1199" s="83" t="s">
        <v>3525</v>
      </c>
      <c r="H1199" s="83">
        <v>40</v>
      </c>
      <c r="I1199" s="83" t="s">
        <v>3213</v>
      </c>
      <c r="J1199" s="83" t="s">
        <v>3413</v>
      </c>
      <c r="K1199" s="83" t="s">
        <v>3215</v>
      </c>
    </row>
    <row r="1200" spans="1:11" ht="51.75" x14ac:dyDescent="0.25">
      <c r="A1200" s="83" t="s">
        <v>1108</v>
      </c>
      <c r="B1200" s="83" t="s">
        <v>6126</v>
      </c>
      <c r="C1200" s="83" t="s">
        <v>6127</v>
      </c>
      <c r="D1200" s="83" t="s">
        <v>3209</v>
      </c>
      <c r="E1200" s="83" t="s">
        <v>3246</v>
      </c>
      <c r="F1200" s="83" t="s">
        <v>3568</v>
      </c>
      <c r="G1200" s="83" t="s">
        <v>3569</v>
      </c>
      <c r="H1200" s="83">
        <v>43.5</v>
      </c>
      <c r="I1200" s="83" t="s">
        <v>3229</v>
      </c>
      <c r="J1200" s="83" t="s">
        <v>3289</v>
      </c>
      <c r="K1200" s="83" t="s">
        <v>3215</v>
      </c>
    </row>
    <row r="1201" spans="1:11" ht="39" x14ac:dyDescent="0.25">
      <c r="A1201" s="83" t="s">
        <v>1112</v>
      </c>
      <c r="B1201" s="83" t="s">
        <v>6128</v>
      </c>
      <c r="C1201" s="83" t="s">
        <v>6129</v>
      </c>
      <c r="D1201" s="83" t="s">
        <v>3209</v>
      </c>
      <c r="E1201" s="83" t="s">
        <v>3246</v>
      </c>
      <c r="F1201" s="83" t="s">
        <v>6130</v>
      </c>
      <c r="G1201" s="83" t="s">
        <v>6131</v>
      </c>
      <c r="H1201" s="83">
        <v>17</v>
      </c>
      <c r="I1201" s="83" t="s">
        <v>3229</v>
      </c>
      <c r="J1201" s="83" t="s">
        <v>3241</v>
      </c>
      <c r="K1201" s="83" t="s">
        <v>3215</v>
      </c>
    </row>
    <row r="1202" spans="1:11" ht="51.75" x14ac:dyDescent="0.25">
      <c r="A1202" s="83" t="s">
        <v>1120</v>
      </c>
      <c r="B1202" s="83" t="s">
        <v>6132</v>
      </c>
      <c r="C1202" s="83" t="s">
        <v>6133</v>
      </c>
      <c r="D1202" s="83" t="s">
        <v>3209</v>
      </c>
      <c r="E1202" s="83" t="s">
        <v>3246</v>
      </c>
      <c r="F1202" s="83" t="s">
        <v>6134</v>
      </c>
      <c r="G1202" s="83" t="s">
        <v>6135</v>
      </c>
      <c r="H1202" s="83">
        <v>24</v>
      </c>
      <c r="I1202" s="83" t="s">
        <v>3213</v>
      </c>
      <c r="J1202" s="83" t="s">
        <v>3271</v>
      </c>
      <c r="K1202" s="83" t="s">
        <v>3215</v>
      </c>
    </row>
    <row r="1203" spans="1:11" ht="26.25" x14ac:dyDescent="0.25">
      <c r="A1203" s="83" t="s">
        <v>1101</v>
      </c>
      <c r="B1203" s="83" t="s">
        <v>6136</v>
      </c>
      <c r="C1203" s="83" t="s">
        <v>6137</v>
      </c>
      <c r="D1203" s="83" t="s">
        <v>3209</v>
      </c>
      <c r="E1203" s="83" t="s">
        <v>3246</v>
      </c>
      <c r="F1203" s="83" t="s">
        <v>6138</v>
      </c>
      <c r="G1203" s="83" t="s">
        <v>6139</v>
      </c>
      <c r="H1203" s="83">
        <v>22</v>
      </c>
      <c r="I1203" s="83" t="s">
        <v>3229</v>
      </c>
      <c r="J1203" s="83" t="s">
        <v>3222</v>
      </c>
      <c r="K1203" s="83" t="s">
        <v>3215</v>
      </c>
    </row>
    <row r="1204" spans="1:11" ht="51.75" x14ac:dyDescent="0.25">
      <c r="A1204" s="83" t="s">
        <v>1090</v>
      </c>
      <c r="B1204" s="83" t="s">
        <v>6140</v>
      </c>
      <c r="C1204" s="83" t="s">
        <v>6141</v>
      </c>
      <c r="D1204" s="83" t="s">
        <v>3209</v>
      </c>
      <c r="E1204" s="83" t="s">
        <v>3246</v>
      </c>
      <c r="F1204" s="83" t="s">
        <v>6142</v>
      </c>
      <c r="G1204" s="83" t="s">
        <v>6143</v>
      </c>
      <c r="H1204" s="83">
        <v>19</v>
      </c>
      <c r="I1204" s="83" t="s">
        <v>3229</v>
      </c>
      <c r="J1204" s="83" t="s">
        <v>3371</v>
      </c>
      <c r="K1204" s="83" t="s">
        <v>3215</v>
      </c>
    </row>
    <row r="1205" spans="1:11" ht="51.75" x14ac:dyDescent="0.25">
      <c r="A1205" s="83" t="s">
        <v>1091</v>
      </c>
      <c r="B1205" s="83" t="s">
        <v>6144</v>
      </c>
      <c r="C1205" s="83" t="s">
        <v>6145</v>
      </c>
      <c r="D1205" s="83" t="s">
        <v>3209</v>
      </c>
      <c r="E1205" s="83" t="s">
        <v>3246</v>
      </c>
      <c r="F1205" s="83" t="s">
        <v>6146</v>
      </c>
      <c r="G1205" s="83" t="s">
        <v>5166</v>
      </c>
      <c r="H1205" s="83">
        <v>108</v>
      </c>
      <c r="I1205" s="83" t="s">
        <v>3213</v>
      </c>
      <c r="J1205" s="83" t="s">
        <v>3257</v>
      </c>
      <c r="K1205" s="83" t="s">
        <v>3215</v>
      </c>
    </row>
    <row r="1206" spans="1:11" ht="39" x14ac:dyDescent="0.25">
      <c r="A1206" s="83" t="s">
        <v>1036</v>
      </c>
      <c r="B1206" s="83" t="s">
        <v>6147</v>
      </c>
      <c r="C1206" s="83" t="s">
        <v>6148</v>
      </c>
      <c r="D1206" s="83" t="s">
        <v>3209</v>
      </c>
      <c r="E1206" s="83" t="s">
        <v>3246</v>
      </c>
      <c r="F1206" s="83" t="s">
        <v>6149</v>
      </c>
      <c r="G1206" s="83" t="s">
        <v>6150</v>
      </c>
      <c r="H1206" s="83">
        <v>6.1</v>
      </c>
      <c r="I1206" s="83" t="s">
        <v>3229</v>
      </c>
      <c r="J1206" s="83" t="s">
        <v>356</v>
      </c>
      <c r="K1206" s="83" t="s">
        <v>3215</v>
      </c>
    </row>
    <row r="1207" spans="1:11" ht="51.75" x14ac:dyDescent="0.25">
      <c r="A1207" s="83" t="s">
        <v>125</v>
      </c>
      <c r="B1207" s="83" t="s">
        <v>6151</v>
      </c>
      <c r="C1207" s="83" t="s">
        <v>6152</v>
      </c>
      <c r="D1207" s="83" t="s">
        <v>3209</v>
      </c>
      <c r="E1207" s="83" t="s">
        <v>3246</v>
      </c>
      <c r="F1207" s="83" t="s">
        <v>6153</v>
      </c>
      <c r="G1207" s="83" t="s">
        <v>5102</v>
      </c>
      <c r="H1207" s="83">
        <v>40</v>
      </c>
      <c r="I1207" s="83" t="s">
        <v>3213</v>
      </c>
      <c r="J1207" s="83" t="s">
        <v>3271</v>
      </c>
      <c r="K1207" s="83" t="s">
        <v>3215</v>
      </c>
    </row>
    <row r="1208" spans="1:11" ht="51.75" x14ac:dyDescent="0.25">
      <c r="A1208" s="83" t="s">
        <v>1045</v>
      </c>
      <c r="B1208" s="83" t="s">
        <v>6154</v>
      </c>
      <c r="C1208" s="83" t="s">
        <v>6155</v>
      </c>
      <c r="D1208" s="83" t="s">
        <v>3209</v>
      </c>
      <c r="E1208" s="83" t="s">
        <v>3246</v>
      </c>
      <c r="F1208" s="83" t="s">
        <v>6156</v>
      </c>
      <c r="G1208" s="83" t="s">
        <v>6157</v>
      </c>
      <c r="H1208" s="83">
        <v>21</v>
      </c>
      <c r="I1208" s="83" t="s">
        <v>3229</v>
      </c>
      <c r="J1208" s="83" t="s">
        <v>3337</v>
      </c>
      <c r="K1208" s="83" t="s">
        <v>3215</v>
      </c>
    </row>
    <row r="1209" spans="1:11" ht="64.5" x14ac:dyDescent="0.25">
      <c r="A1209" s="83" t="s">
        <v>999</v>
      </c>
      <c r="B1209" s="83" t="s">
        <v>6158</v>
      </c>
      <c r="C1209" s="83" t="s">
        <v>6159</v>
      </c>
      <c r="D1209" s="83" t="s">
        <v>3209</v>
      </c>
      <c r="E1209" s="83" t="s">
        <v>3246</v>
      </c>
      <c r="F1209" s="83" t="s">
        <v>6160</v>
      </c>
      <c r="G1209" s="83" t="s">
        <v>6161</v>
      </c>
      <c r="H1209" s="83">
        <v>0.9</v>
      </c>
      <c r="I1209" s="83" t="s">
        <v>3213</v>
      </c>
      <c r="J1209" s="83" t="s">
        <v>3413</v>
      </c>
      <c r="K1209" s="83" t="s">
        <v>3215</v>
      </c>
    </row>
    <row r="1210" spans="1:11" ht="64.5" x14ac:dyDescent="0.25">
      <c r="A1210" s="83" t="s">
        <v>992</v>
      </c>
      <c r="B1210" s="83" t="s">
        <v>6162</v>
      </c>
      <c r="C1210" s="83" t="s">
        <v>6163</v>
      </c>
      <c r="D1210" s="83" t="s">
        <v>3209</v>
      </c>
      <c r="E1210" s="83" t="s">
        <v>3246</v>
      </c>
      <c r="F1210" s="83" t="s">
        <v>6164</v>
      </c>
      <c r="G1210" s="83" t="s">
        <v>6165</v>
      </c>
      <c r="H1210" s="83">
        <v>28</v>
      </c>
      <c r="I1210" s="83" t="s">
        <v>3213</v>
      </c>
      <c r="J1210" s="83" t="s">
        <v>3262</v>
      </c>
      <c r="K1210" s="83" t="s">
        <v>3215</v>
      </c>
    </row>
    <row r="1211" spans="1:11" ht="64.5" x14ac:dyDescent="0.25">
      <c r="A1211" s="83" t="s">
        <v>1247</v>
      </c>
      <c r="B1211" s="83" t="s">
        <v>6166</v>
      </c>
      <c r="C1211" s="83" t="s">
        <v>6167</v>
      </c>
      <c r="D1211" s="83" t="s">
        <v>3209</v>
      </c>
      <c r="E1211" s="83" t="s">
        <v>3246</v>
      </c>
      <c r="F1211" s="83" t="s">
        <v>6168</v>
      </c>
      <c r="G1211" s="83" t="s">
        <v>6169</v>
      </c>
      <c r="H1211" s="83">
        <v>44</v>
      </c>
      <c r="I1211" s="83" t="s">
        <v>3213</v>
      </c>
      <c r="J1211" s="83" t="s">
        <v>3436</v>
      </c>
      <c r="K1211" s="83" t="s">
        <v>3215</v>
      </c>
    </row>
    <row r="1212" spans="1:11" ht="51.75" x14ac:dyDescent="0.25">
      <c r="A1212" s="83" t="s">
        <v>1225</v>
      </c>
      <c r="B1212" s="83" t="s">
        <v>6170</v>
      </c>
      <c r="C1212" s="83" t="s">
        <v>6171</v>
      </c>
      <c r="D1212" s="83" t="s">
        <v>3209</v>
      </c>
      <c r="E1212" s="83" t="s">
        <v>3246</v>
      </c>
      <c r="F1212" s="83" t="s">
        <v>6172</v>
      </c>
      <c r="G1212" s="83" t="s">
        <v>3810</v>
      </c>
      <c r="H1212" s="83">
        <v>74</v>
      </c>
      <c r="I1212" s="83" t="s">
        <v>3213</v>
      </c>
      <c r="J1212" s="83" t="s">
        <v>3271</v>
      </c>
      <c r="K1212" s="83" t="s">
        <v>3215</v>
      </c>
    </row>
    <row r="1213" spans="1:11" ht="51.75" x14ac:dyDescent="0.25">
      <c r="A1213" s="83" t="s">
        <v>146</v>
      </c>
      <c r="B1213" s="83" t="s">
        <v>6173</v>
      </c>
      <c r="C1213" s="83" t="s">
        <v>6174</v>
      </c>
      <c r="D1213" s="83" t="s">
        <v>3209</v>
      </c>
      <c r="E1213" s="83" t="s">
        <v>3246</v>
      </c>
      <c r="F1213" s="83" t="s">
        <v>6175</v>
      </c>
      <c r="G1213" s="83" t="s">
        <v>3256</v>
      </c>
      <c r="H1213" s="83">
        <v>86</v>
      </c>
      <c r="I1213" s="83" t="s">
        <v>3213</v>
      </c>
      <c r="J1213" s="83" t="s">
        <v>3271</v>
      </c>
      <c r="K1213" s="83" t="s">
        <v>3215</v>
      </c>
    </row>
    <row r="1214" spans="1:11" ht="64.5" x14ac:dyDescent="0.25">
      <c r="A1214" s="83" t="s">
        <v>1193</v>
      </c>
      <c r="B1214" s="83" t="s">
        <v>6176</v>
      </c>
      <c r="C1214" s="83" t="s">
        <v>6177</v>
      </c>
      <c r="D1214" s="83" t="s">
        <v>3209</v>
      </c>
      <c r="E1214" s="83" t="s">
        <v>3246</v>
      </c>
      <c r="F1214" s="83" t="s">
        <v>5411</v>
      </c>
      <c r="G1214" s="83" t="s">
        <v>3412</v>
      </c>
      <c r="H1214" s="83">
        <v>7</v>
      </c>
      <c r="I1214" s="83" t="s">
        <v>3213</v>
      </c>
      <c r="J1214" s="83" t="s">
        <v>3413</v>
      </c>
      <c r="K1214" s="83" t="s">
        <v>3215</v>
      </c>
    </row>
    <row r="1215" spans="1:11" ht="51.75" x14ac:dyDescent="0.25">
      <c r="A1215" s="83" t="s">
        <v>1200</v>
      </c>
      <c r="B1215" s="83" t="s">
        <v>6178</v>
      </c>
      <c r="C1215" s="83" t="s">
        <v>6179</v>
      </c>
      <c r="D1215" s="83" t="s">
        <v>3209</v>
      </c>
      <c r="E1215" s="83" t="s">
        <v>3246</v>
      </c>
      <c r="F1215" s="83" t="s">
        <v>6180</v>
      </c>
      <c r="G1215" s="83" t="s">
        <v>3237</v>
      </c>
      <c r="H1215" s="83">
        <v>37</v>
      </c>
      <c r="I1215" s="83" t="s">
        <v>3229</v>
      </c>
      <c r="J1215" s="83" t="s">
        <v>3230</v>
      </c>
      <c r="K1215" s="83" t="s">
        <v>3215</v>
      </c>
    </row>
    <row r="1216" spans="1:11" ht="51.75" x14ac:dyDescent="0.25">
      <c r="A1216" s="83" t="s">
        <v>1160</v>
      </c>
      <c r="B1216" s="83" t="s">
        <v>6181</v>
      </c>
      <c r="C1216" s="83" t="s">
        <v>5191</v>
      </c>
      <c r="D1216" s="83" t="s">
        <v>3209</v>
      </c>
      <c r="E1216" s="83" t="s">
        <v>3246</v>
      </c>
      <c r="F1216" s="83" t="s">
        <v>6182</v>
      </c>
      <c r="G1216" s="83" t="s">
        <v>6183</v>
      </c>
      <c r="H1216" s="83">
        <v>7</v>
      </c>
      <c r="I1216" s="83" t="s">
        <v>3213</v>
      </c>
      <c r="J1216" s="83" t="s">
        <v>3521</v>
      </c>
      <c r="K1216" s="83" t="s">
        <v>3215</v>
      </c>
    </row>
    <row r="1217" spans="1:11" ht="51.75" x14ac:dyDescent="0.25">
      <c r="A1217" s="83" t="s">
        <v>1162</v>
      </c>
      <c r="B1217" s="83" t="s">
        <v>6184</v>
      </c>
      <c r="C1217" s="83" t="s">
        <v>6185</v>
      </c>
      <c r="D1217" s="83" t="s">
        <v>3209</v>
      </c>
      <c r="E1217" s="83" t="s">
        <v>3246</v>
      </c>
      <c r="F1217" s="83" t="s">
        <v>6182</v>
      </c>
      <c r="G1217" s="83" t="s">
        <v>4068</v>
      </c>
      <c r="H1217" s="83">
        <v>9.6999999999999993</v>
      </c>
      <c r="I1217" s="83" t="s">
        <v>3229</v>
      </c>
      <c r="J1217" s="83" t="s">
        <v>3521</v>
      </c>
      <c r="K1217" s="83" t="s">
        <v>3215</v>
      </c>
    </row>
    <row r="1218" spans="1:11" ht="26.25" x14ac:dyDescent="0.25">
      <c r="A1218" s="83" t="s">
        <v>860</v>
      </c>
      <c r="B1218" s="83" t="s">
        <v>6186</v>
      </c>
      <c r="C1218" s="83" t="s">
        <v>6187</v>
      </c>
      <c r="D1218" s="83" t="s">
        <v>3209</v>
      </c>
      <c r="E1218" s="83" t="s">
        <v>3246</v>
      </c>
      <c r="F1218" s="83" t="s">
        <v>6188</v>
      </c>
      <c r="G1218" s="83" t="s">
        <v>6189</v>
      </c>
      <c r="H1218" s="83">
        <v>3.8</v>
      </c>
      <c r="I1218" s="83" t="s">
        <v>3213</v>
      </c>
      <c r="J1218" s="83" t="s">
        <v>3467</v>
      </c>
      <c r="K1218" s="83" t="s">
        <v>3215</v>
      </c>
    </row>
    <row r="1219" spans="1:11" ht="64.5" x14ac:dyDescent="0.25">
      <c r="A1219" s="83" t="s">
        <v>829</v>
      </c>
      <c r="B1219" s="83" t="s">
        <v>6190</v>
      </c>
      <c r="C1219" s="83" t="s">
        <v>6191</v>
      </c>
      <c r="D1219" s="83" t="s">
        <v>3209</v>
      </c>
      <c r="E1219" s="83" t="s">
        <v>3246</v>
      </c>
      <c r="F1219" s="83" t="s">
        <v>6192</v>
      </c>
      <c r="G1219" s="83" t="s">
        <v>6165</v>
      </c>
      <c r="H1219" s="83">
        <v>23</v>
      </c>
      <c r="I1219" s="83" t="s">
        <v>3213</v>
      </c>
      <c r="J1219" s="83" t="s">
        <v>3262</v>
      </c>
      <c r="K1219" s="83" t="s">
        <v>3215</v>
      </c>
    </row>
    <row r="1220" spans="1:11" x14ac:dyDescent="0.25">
      <c r="A1220" s="83" t="s">
        <v>6193</v>
      </c>
      <c r="B1220" s="83" t="s">
        <v>3208</v>
      </c>
      <c r="C1220" s="83" t="s">
        <v>3208</v>
      </c>
      <c r="D1220" s="83" t="s">
        <v>3209</v>
      </c>
      <c r="E1220" s="83" t="s">
        <v>3663</v>
      </c>
      <c r="F1220" s="83" t="s">
        <v>5433</v>
      </c>
      <c r="G1220" s="83" t="s">
        <v>5434</v>
      </c>
      <c r="H1220" s="83">
        <v>700</v>
      </c>
      <c r="I1220" s="83" t="s">
        <v>3208</v>
      </c>
      <c r="J1220" s="83" t="s">
        <v>3208</v>
      </c>
      <c r="K1220" s="83" t="s">
        <v>3208</v>
      </c>
    </row>
    <row r="1221" spans="1:11" x14ac:dyDescent="0.25">
      <c r="A1221" s="83" t="s">
        <v>6194</v>
      </c>
      <c r="B1221" s="83" t="s">
        <v>3208</v>
      </c>
      <c r="C1221" s="83" t="s">
        <v>3208</v>
      </c>
      <c r="D1221" s="83" t="s">
        <v>3209</v>
      </c>
      <c r="E1221" s="83" t="s">
        <v>3663</v>
      </c>
      <c r="F1221" s="83" t="s">
        <v>6195</v>
      </c>
      <c r="G1221" s="83" t="s">
        <v>3208</v>
      </c>
      <c r="H1221" s="83">
        <v>0</v>
      </c>
      <c r="I1221" s="83" t="s">
        <v>3208</v>
      </c>
      <c r="J1221" s="83" t="s">
        <v>3208</v>
      </c>
      <c r="K1221" s="83" t="s">
        <v>3208</v>
      </c>
    </row>
    <row r="1222" spans="1:11" x14ac:dyDescent="0.25">
      <c r="A1222" s="83" t="s">
        <v>6196</v>
      </c>
      <c r="B1222" s="83" t="s">
        <v>3208</v>
      </c>
      <c r="C1222" s="83" t="s">
        <v>3208</v>
      </c>
      <c r="D1222" s="83" t="s">
        <v>3209</v>
      </c>
      <c r="E1222" s="83" t="s">
        <v>3663</v>
      </c>
      <c r="F1222" s="83" t="s">
        <v>6197</v>
      </c>
      <c r="G1222" s="83" t="s">
        <v>3208</v>
      </c>
      <c r="H1222" s="83">
        <v>70</v>
      </c>
      <c r="I1222" s="83" t="s">
        <v>3208</v>
      </c>
      <c r="J1222" s="83" t="s">
        <v>3208</v>
      </c>
      <c r="K1222" s="83" t="s">
        <v>3208</v>
      </c>
    </row>
    <row r="1223" spans="1:11" x14ac:dyDescent="0.25">
      <c r="A1223" s="83" t="s">
        <v>6198</v>
      </c>
      <c r="B1223" s="83" t="s">
        <v>3208</v>
      </c>
      <c r="C1223" s="83" t="s">
        <v>3208</v>
      </c>
      <c r="D1223" s="83" t="s">
        <v>3209</v>
      </c>
      <c r="E1223" s="83" t="s">
        <v>3663</v>
      </c>
      <c r="F1223" s="83" t="s">
        <v>6195</v>
      </c>
      <c r="G1223" s="83" t="s">
        <v>3208</v>
      </c>
      <c r="H1223" s="83">
        <v>0</v>
      </c>
      <c r="I1223" s="83" t="s">
        <v>3208</v>
      </c>
      <c r="J1223" s="83" t="s">
        <v>3208</v>
      </c>
      <c r="K1223" s="83" t="s">
        <v>3208</v>
      </c>
    </row>
    <row r="1224" spans="1:11" ht="51.75" x14ac:dyDescent="0.25">
      <c r="A1224" s="83" t="s">
        <v>977</v>
      </c>
      <c r="B1224" s="83" t="s">
        <v>6199</v>
      </c>
      <c r="C1224" s="83" t="s">
        <v>6200</v>
      </c>
      <c r="D1224" s="83" t="s">
        <v>3209</v>
      </c>
      <c r="E1224" s="83" t="s">
        <v>3246</v>
      </c>
      <c r="F1224" s="83" t="s">
        <v>5355</v>
      </c>
      <c r="G1224" s="83" t="s">
        <v>4556</v>
      </c>
      <c r="H1224" s="83">
        <v>18.5</v>
      </c>
      <c r="I1224" s="83" t="s">
        <v>3213</v>
      </c>
      <c r="J1224" s="83" t="s">
        <v>3257</v>
      </c>
      <c r="K1224" s="83" t="s">
        <v>3215</v>
      </c>
    </row>
    <row r="1225" spans="1:11" ht="51.75" x14ac:dyDescent="0.25">
      <c r="A1225" s="83" t="s">
        <v>978</v>
      </c>
      <c r="B1225" s="83" t="s">
        <v>6201</v>
      </c>
      <c r="C1225" s="83" t="s">
        <v>6202</v>
      </c>
      <c r="D1225" s="83" t="s">
        <v>3209</v>
      </c>
      <c r="E1225" s="83" t="s">
        <v>3246</v>
      </c>
      <c r="F1225" s="83" t="s">
        <v>6203</v>
      </c>
      <c r="G1225" s="83" t="s">
        <v>3767</v>
      </c>
      <c r="H1225" s="83">
        <v>5</v>
      </c>
      <c r="I1225" s="83" t="s">
        <v>3229</v>
      </c>
      <c r="J1225" s="83" t="s">
        <v>3230</v>
      </c>
      <c r="K1225" s="83" t="s">
        <v>3215</v>
      </c>
    </row>
    <row r="1226" spans="1:11" ht="51.75" x14ac:dyDescent="0.25">
      <c r="A1226" s="83" t="s">
        <v>981</v>
      </c>
      <c r="B1226" s="83" t="s">
        <v>6204</v>
      </c>
      <c r="C1226" s="83" t="s">
        <v>6205</v>
      </c>
      <c r="D1226" s="83" t="s">
        <v>3209</v>
      </c>
      <c r="E1226" s="83" t="s">
        <v>3246</v>
      </c>
      <c r="F1226" s="83" t="s">
        <v>6206</v>
      </c>
      <c r="G1226" s="83" t="s">
        <v>6207</v>
      </c>
      <c r="H1226" s="83">
        <v>0.3</v>
      </c>
      <c r="I1226" s="83" t="s">
        <v>3229</v>
      </c>
      <c r="J1226" s="83" t="s">
        <v>3230</v>
      </c>
      <c r="K1226" s="83" t="s">
        <v>3215</v>
      </c>
    </row>
    <row r="1227" spans="1:11" ht="51.75" x14ac:dyDescent="0.25">
      <c r="A1227" s="83" t="s">
        <v>952</v>
      </c>
      <c r="B1227" s="83" t="s">
        <v>6208</v>
      </c>
      <c r="C1227" s="83" t="s">
        <v>6209</v>
      </c>
      <c r="D1227" s="83" t="s">
        <v>3209</v>
      </c>
      <c r="E1227" s="83" t="s">
        <v>3246</v>
      </c>
      <c r="F1227" s="83" t="s">
        <v>6210</v>
      </c>
      <c r="G1227" s="83" t="s">
        <v>5078</v>
      </c>
      <c r="H1227" s="83">
        <v>11.3</v>
      </c>
      <c r="I1227" s="83" t="s">
        <v>3229</v>
      </c>
      <c r="J1227" s="83" t="s">
        <v>3332</v>
      </c>
      <c r="K1227" s="83" t="s">
        <v>3215</v>
      </c>
    </row>
    <row r="1228" spans="1:11" ht="51.75" x14ac:dyDescent="0.25">
      <c r="A1228" s="83" t="s">
        <v>885</v>
      </c>
      <c r="B1228" s="83" t="s">
        <v>6211</v>
      </c>
      <c r="C1228" s="83" t="s">
        <v>6212</v>
      </c>
      <c r="D1228" s="83" t="s">
        <v>3209</v>
      </c>
      <c r="E1228" s="83" t="s">
        <v>3246</v>
      </c>
      <c r="F1228" s="83" t="s">
        <v>6213</v>
      </c>
      <c r="G1228" s="83" t="s">
        <v>6214</v>
      </c>
      <c r="H1228" s="83">
        <v>3.2</v>
      </c>
      <c r="I1228" s="83" t="s">
        <v>3229</v>
      </c>
      <c r="J1228" s="83" t="s">
        <v>3280</v>
      </c>
      <c r="K1228" s="83" t="s">
        <v>3215</v>
      </c>
    </row>
    <row r="1229" spans="1:11" ht="26.25" x14ac:dyDescent="0.25">
      <c r="A1229" s="83" t="s">
        <v>868</v>
      </c>
      <c r="B1229" s="83" t="s">
        <v>6215</v>
      </c>
      <c r="C1229" s="83" t="s">
        <v>6216</v>
      </c>
      <c r="D1229" s="83" t="s">
        <v>3209</v>
      </c>
      <c r="E1229" s="83" t="s">
        <v>3246</v>
      </c>
      <c r="F1229" s="83" t="s">
        <v>6217</v>
      </c>
      <c r="G1229" s="83" t="s">
        <v>6218</v>
      </c>
      <c r="H1229" s="83">
        <v>49</v>
      </c>
      <c r="I1229" s="83" t="s">
        <v>3213</v>
      </c>
      <c r="J1229" s="83" t="s">
        <v>3467</v>
      </c>
      <c r="K1229" s="83" t="s">
        <v>3215</v>
      </c>
    </row>
    <row r="1230" spans="1:11" ht="51.75" x14ac:dyDescent="0.25">
      <c r="A1230" s="83" t="s">
        <v>872</v>
      </c>
      <c r="B1230" s="83" t="s">
        <v>6219</v>
      </c>
      <c r="C1230" s="83" t="s">
        <v>6220</v>
      </c>
      <c r="D1230" s="83" t="s">
        <v>3209</v>
      </c>
      <c r="E1230" s="83" t="s">
        <v>3246</v>
      </c>
      <c r="F1230" s="83" t="s">
        <v>4636</v>
      </c>
      <c r="G1230" s="83" t="s">
        <v>3520</v>
      </c>
      <c r="H1230" s="83">
        <v>2902</v>
      </c>
      <c r="I1230" s="83" t="s">
        <v>3229</v>
      </c>
      <c r="J1230" s="83" t="s">
        <v>3521</v>
      </c>
      <c r="K1230" s="83" t="s">
        <v>3215</v>
      </c>
    </row>
    <row r="1231" spans="1:11" ht="51.75" x14ac:dyDescent="0.25">
      <c r="A1231" s="83" t="s">
        <v>874</v>
      </c>
      <c r="B1231" s="83" t="s">
        <v>6221</v>
      </c>
      <c r="C1231" s="83" t="s">
        <v>6222</v>
      </c>
      <c r="D1231" s="83" t="s">
        <v>3209</v>
      </c>
      <c r="E1231" s="83" t="s">
        <v>3246</v>
      </c>
      <c r="F1231" s="83" t="s">
        <v>6223</v>
      </c>
      <c r="G1231" s="83" t="s">
        <v>6224</v>
      </c>
      <c r="H1231" s="83">
        <v>4.2</v>
      </c>
      <c r="I1231" s="83" t="s">
        <v>3229</v>
      </c>
      <c r="J1231" s="83" t="s">
        <v>3337</v>
      </c>
      <c r="K1231" s="83" t="s">
        <v>3215</v>
      </c>
    </row>
    <row r="1232" spans="1:11" ht="51.75" x14ac:dyDescent="0.25">
      <c r="A1232" s="83" t="s">
        <v>861</v>
      </c>
      <c r="B1232" s="83" t="s">
        <v>6225</v>
      </c>
      <c r="C1232" s="83" t="s">
        <v>6226</v>
      </c>
      <c r="D1232" s="83" t="s">
        <v>3209</v>
      </c>
      <c r="E1232" s="83" t="s">
        <v>3246</v>
      </c>
      <c r="F1232" s="83" t="s">
        <v>6227</v>
      </c>
      <c r="G1232" s="83" t="s">
        <v>6228</v>
      </c>
      <c r="H1232" s="83">
        <v>0.7</v>
      </c>
      <c r="I1232" s="83" t="s">
        <v>3229</v>
      </c>
      <c r="J1232" s="83" t="s">
        <v>3238</v>
      </c>
      <c r="K1232" s="83" t="s">
        <v>3215</v>
      </c>
    </row>
    <row r="1233" spans="1:11" x14ac:dyDescent="0.25">
      <c r="A1233" s="83" t="s">
        <v>6229</v>
      </c>
      <c r="B1233" s="83" t="s">
        <v>3208</v>
      </c>
      <c r="C1233" s="83" t="s">
        <v>3208</v>
      </c>
      <c r="D1233" s="83" t="s">
        <v>3209</v>
      </c>
      <c r="E1233" s="83" t="s">
        <v>3663</v>
      </c>
      <c r="F1233" s="83" t="s">
        <v>6230</v>
      </c>
      <c r="G1233" s="83" t="s">
        <v>6231</v>
      </c>
      <c r="H1233" s="83">
        <v>62</v>
      </c>
      <c r="I1233" s="83" t="s">
        <v>3208</v>
      </c>
      <c r="J1233" s="83" t="s">
        <v>3208</v>
      </c>
      <c r="K1233" s="83" t="s">
        <v>3208</v>
      </c>
    </row>
    <row r="1234" spans="1:11" x14ac:dyDescent="0.25">
      <c r="A1234" s="83" t="s">
        <v>6232</v>
      </c>
      <c r="B1234" s="83" t="s">
        <v>3208</v>
      </c>
      <c r="C1234" s="83" t="s">
        <v>3208</v>
      </c>
      <c r="D1234" s="83" t="s">
        <v>3209</v>
      </c>
      <c r="E1234" s="83" t="s">
        <v>3663</v>
      </c>
      <c r="F1234" s="83" t="s">
        <v>6233</v>
      </c>
      <c r="G1234" s="83" t="s">
        <v>6234</v>
      </c>
      <c r="H1234" s="83">
        <v>8</v>
      </c>
      <c r="I1234" s="83" t="s">
        <v>3208</v>
      </c>
      <c r="J1234" s="83" t="s">
        <v>3208</v>
      </c>
      <c r="K1234" s="83" t="s">
        <v>3208</v>
      </c>
    </row>
    <row r="1235" spans="1:11" x14ac:dyDescent="0.25">
      <c r="A1235" s="83" t="s">
        <v>6235</v>
      </c>
      <c r="B1235" s="83" t="s">
        <v>3208</v>
      </c>
      <c r="C1235" s="83" t="s">
        <v>3208</v>
      </c>
      <c r="D1235" s="83" t="s">
        <v>3209</v>
      </c>
      <c r="E1235" s="83" t="s">
        <v>3663</v>
      </c>
      <c r="F1235" s="83" t="s">
        <v>4641</v>
      </c>
      <c r="G1235" s="83" t="s">
        <v>4642</v>
      </c>
      <c r="H1235" s="83">
        <v>88</v>
      </c>
      <c r="I1235" s="83" t="s">
        <v>3208</v>
      </c>
      <c r="J1235" s="83" t="s">
        <v>3208</v>
      </c>
      <c r="K1235" s="83" t="s">
        <v>3208</v>
      </c>
    </row>
    <row r="1236" spans="1:11" x14ac:dyDescent="0.25">
      <c r="A1236" s="83" t="s">
        <v>6236</v>
      </c>
      <c r="B1236" s="83" t="s">
        <v>3208</v>
      </c>
      <c r="C1236" s="83" t="s">
        <v>3208</v>
      </c>
      <c r="D1236" s="83" t="s">
        <v>3209</v>
      </c>
      <c r="E1236" s="83" t="s">
        <v>3663</v>
      </c>
      <c r="F1236" s="83" t="s">
        <v>6237</v>
      </c>
      <c r="G1236" s="83" t="s">
        <v>3208</v>
      </c>
      <c r="H1236" s="83">
        <v>25</v>
      </c>
      <c r="I1236" s="83" t="s">
        <v>3208</v>
      </c>
      <c r="J1236" s="83" t="s">
        <v>3208</v>
      </c>
      <c r="K1236" s="83" t="s">
        <v>3208</v>
      </c>
    </row>
    <row r="1237" spans="1:11" x14ac:dyDescent="0.25">
      <c r="A1237" s="83" t="s">
        <v>6238</v>
      </c>
      <c r="B1237" s="83" t="s">
        <v>6239</v>
      </c>
      <c r="C1237" s="83" t="s">
        <v>6240</v>
      </c>
      <c r="D1237" s="83" t="s">
        <v>3209</v>
      </c>
      <c r="E1237" s="83" t="s">
        <v>3702</v>
      </c>
      <c r="F1237" s="83" t="s">
        <v>6241</v>
      </c>
      <c r="G1237" s="83" t="s">
        <v>3208</v>
      </c>
      <c r="H1237" s="83">
        <v>0</v>
      </c>
      <c r="I1237" s="83" t="s">
        <v>3208</v>
      </c>
      <c r="J1237" s="83" t="s">
        <v>3208</v>
      </c>
      <c r="K1237" s="83" t="s">
        <v>3208</v>
      </c>
    </row>
    <row r="1238" spans="1:11" x14ac:dyDescent="0.25">
      <c r="A1238" s="83" t="s">
        <v>6242</v>
      </c>
      <c r="B1238" s="83" t="s">
        <v>6243</v>
      </c>
      <c r="C1238" s="83" t="s">
        <v>6244</v>
      </c>
      <c r="D1238" s="83" t="s">
        <v>3209</v>
      </c>
      <c r="E1238" s="83" t="s">
        <v>3702</v>
      </c>
      <c r="F1238" s="83" t="s">
        <v>6245</v>
      </c>
      <c r="G1238" s="83" t="s">
        <v>6246</v>
      </c>
      <c r="H1238" s="83">
        <v>3</v>
      </c>
      <c r="I1238" s="83" t="s">
        <v>3208</v>
      </c>
      <c r="J1238" s="83" t="s">
        <v>3208</v>
      </c>
      <c r="K1238" s="83" t="s">
        <v>3208</v>
      </c>
    </row>
    <row r="1239" spans="1:11" ht="26.25" x14ac:dyDescent="0.25">
      <c r="A1239" s="83" t="s">
        <v>6247</v>
      </c>
      <c r="B1239" s="83" t="s">
        <v>3208</v>
      </c>
      <c r="C1239" s="83" t="s">
        <v>3208</v>
      </c>
      <c r="D1239" s="83" t="s">
        <v>3713</v>
      </c>
      <c r="E1239" s="83" t="s">
        <v>3714</v>
      </c>
      <c r="F1239" s="83" t="s">
        <v>5120</v>
      </c>
      <c r="G1239" s="83" t="s">
        <v>3208</v>
      </c>
      <c r="H1239" s="83">
        <v>0</v>
      </c>
      <c r="I1239" s="83" t="s">
        <v>3208</v>
      </c>
      <c r="J1239" s="83" t="s">
        <v>3208</v>
      </c>
      <c r="K1239" s="83" t="s">
        <v>3208</v>
      </c>
    </row>
    <row r="1240" spans="1:11" ht="26.25" x14ac:dyDescent="0.25">
      <c r="A1240" s="83" t="s">
        <v>6248</v>
      </c>
      <c r="B1240" s="83" t="s">
        <v>3208</v>
      </c>
      <c r="C1240" s="83" t="s">
        <v>3208</v>
      </c>
      <c r="D1240" s="83" t="s">
        <v>3713</v>
      </c>
      <c r="E1240" s="83" t="s">
        <v>3714</v>
      </c>
      <c r="F1240" s="83" t="s">
        <v>5465</v>
      </c>
      <c r="G1240" s="83" t="s">
        <v>3208</v>
      </c>
      <c r="H1240" s="83">
        <v>0</v>
      </c>
      <c r="I1240" s="83" t="s">
        <v>3208</v>
      </c>
      <c r="J1240" s="83" t="s">
        <v>3208</v>
      </c>
      <c r="K1240" s="83" t="s">
        <v>3208</v>
      </c>
    </row>
    <row r="1241" spans="1:11" x14ac:dyDescent="0.25">
      <c r="A1241" s="83" t="s">
        <v>6249</v>
      </c>
      <c r="B1241" s="83" t="s">
        <v>6250</v>
      </c>
      <c r="C1241" s="83" t="s">
        <v>6251</v>
      </c>
      <c r="D1241" s="83" t="s">
        <v>3209</v>
      </c>
      <c r="E1241" s="83" t="s">
        <v>3702</v>
      </c>
      <c r="F1241" s="83" t="s">
        <v>3703</v>
      </c>
      <c r="G1241" s="83" t="s">
        <v>3704</v>
      </c>
      <c r="H1241" s="83">
        <v>0</v>
      </c>
      <c r="I1241" s="83" t="s">
        <v>3208</v>
      </c>
      <c r="J1241" s="83" t="s">
        <v>3208</v>
      </c>
      <c r="K1241" s="83" t="s">
        <v>3208</v>
      </c>
    </row>
    <row r="1242" spans="1:11" ht="26.25" x14ac:dyDescent="0.25">
      <c r="A1242" s="83" t="s">
        <v>6252</v>
      </c>
      <c r="B1242" s="83" t="s">
        <v>6253</v>
      </c>
      <c r="C1242" s="83" t="s">
        <v>6254</v>
      </c>
      <c r="D1242" s="83" t="s">
        <v>3209</v>
      </c>
      <c r="E1242" s="83" t="s">
        <v>3702</v>
      </c>
      <c r="F1242" s="83" t="s">
        <v>6255</v>
      </c>
      <c r="G1242" s="83" t="s">
        <v>6256</v>
      </c>
      <c r="H1242" s="83">
        <v>0</v>
      </c>
      <c r="I1242" s="83" t="s">
        <v>3208</v>
      </c>
      <c r="J1242" s="83" t="s">
        <v>3208</v>
      </c>
      <c r="K1242" s="83" t="s">
        <v>3208</v>
      </c>
    </row>
    <row r="1243" spans="1:11" x14ac:dyDescent="0.25">
      <c r="A1243" s="83" t="s">
        <v>6257</v>
      </c>
      <c r="B1243" s="83" t="s">
        <v>6258</v>
      </c>
      <c r="C1243" s="83" t="s">
        <v>3208</v>
      </c>
      <c r="D1243" s="83" t="s">
        <v>3209</v>
      </c>
      <c r="E1243" s="83" t="s">
        <v>3702</v>
      </c>
      <c r="F1243" s="83" t="s">
        <v>4678</v>
      </c>
      <c r="G1243" s="83" t="s">
        <v>3208</v>
      </c>
      <c r="H1243" s="83">
        <v>7.5</v>
      </c>
      <c r="I1243" s="83" t="s">
        <v>3208</v>
      </c>
      <c r="J1243" s="83" t="s">
        <v>3208</v>
      </c>
      <c r="K1243" s="83" t="s">
        <v>3208</v>
      </c>
    </row>
    <row r="1244" spans="1:11" ht="26.25" x14ac:dyDescent="0.25">
      <c r="A1244" s="83" t="s">
        <v>6259</v>
      </c>
      <c r="B1244" s="83" t="s">
        <v>3208</v>
      </c>
      <c r="C1244" s="83" t="s">
        <v>6260</v>
      </c>
      <c r="D1244" s="83" t="s">
        <v>3718</v>
      </c>
      <c r="E1244" s="83" t="s">
        <v>3702</v>
      </c>
      <c r="F1244" s="83" t="s">
        <v>4689</v>
      </c>
      <c r="G1244" s="83" t="s">
        <v>6261</v>
      </c>
      <c r="H1244" s="83">
        <v>2</v>
      </c>
      <c r="I1244" s="83" t="s">
        <v>3208</v>
      </c>
      <c r="J1244" s="83" t="s">
        <v>3208</v>
      </c>
      <c r="K1244" s="83" t="s">
        <v>3208</v>
      </c>
    </row>
    <row r="1245" spans="1:11" ht="51.75" x14ac:dyDescent="0.25">
      <c r="A1245" s="83" t="s">
        <v>1761</v>
      </c>
      <c r="B1245" s="83" t="s">
        <v>3208</v>
      </c>
      <c r="C1245" s="83" t="s">
        <v>3208</v>
      </c>
      <c r="D1245" s="83" t="s">
        <v>3713</v>
      </c>
      <c r="E1245" s="83" t="s">
        <v>3761</v>
      </c>
      <c r="F1245" s="83" t="s">
        <v>3798</v>
      </c>
      <c r="G1245" s="83" t="s">
        <v>5478</v>
      </c>
      <c r="H1245" s="83">
        <v>0</v>
      </c>
      <c r="I1245" s="83" t="s">
        <v>3229</v>
      </c>
      <c r="J1245" s="83" t="s">
        <v>6262</v>
      </c>
      <c r="K1245" s="83" t="s">
        <v>3215</v>
      </c>
    </row>
    <row r="1246" spans="1:11" ht="51.75" x14ac:dyDescent="0.25">
      <c r="A1246" s="83" t="s">
        <v>6263</v>
      </c>
      <c r="B1246" s="83" t="s">
        <v>3208</v>
      </c>
      <c r="C1246" s="83" t="s">
        <v>3208</v>
      </c>
      <c r="D1246" s="83" t="s">
        <v>3722</v>
      </c>
      <c r="E1246" s="83" t="s">
        <v>3723</v>
      </c>
      <c r="F1246" s="83" t="s">
        <v>6264</v>
      </c>
      <c r="G1246" s="83" t="s">
        <v>5599</v>
      </c>
      <c r="H1246" s="83">
        <v>0</v>
      </c>
      <c r="I1246" s="83" t="s">
        <v>3229</v>
      </c>
      <c r="J1246" s="83" t="s">
        <v>6262</v>
      </c>
      <c r="K1246" s="83" t="s">
        <v>3215</v>
      </c>
    </row>
    <row r="1247" spans="1:11" ht="64.5" x14ac:dyDescent="0.25">
      <c r="A1247" s="83" t="s">
        <v>6265</v>
      </c>
      <c r="B1247" s="83" t="s">
        <v>3208</v>
      </c>
      <c r="C1247" s="83" t="s">
        <v>3208</v>
      </c>
      <c r="D1247" s="83" t="s">
        <v>3722</v>
      </c>
      <c r="E1247" s="83" t="s">
        <v>3723</v>
      </c>
      <c r="F1247" s="83" t="s">
        <v>6266</v>
      </c>
      <c r="G1247" s="83" t="s">
        <v>6267</v>
      </c>
      <c r="H1247" s="83">
        <v>0</v>
      </c>
      <c r="I1247" s="83" t="s">
        <v>3213</v>
      </c>
      <c r="J1247" s="83" t="s">
        <v>3262</v>
      </c>
      <c r="K1247" s="83" t="s">
        <v>3215</v>
      </c>
    </row>
    <row r="1248" spans="1:11" ht="26.25" x14ac:dyDescent="0.25">
      <c r="A1248" s="83" t="s">
        <v>561</v>
      </c>
      <c r="B1248" s="83" t="s">
        <v>3208</v>
      </c>
      <c r="C1248" s="83" t="s">
        <v>6268</v>
      </c>
      <c r="D1248" s="83" t="s">
        <v>3718</v>
      </c>
      <c r="E1248" s="83" t="s">
        <v>3727</v>
      </c>
      <c r="F1248" s="83" t="s">
        <v>3735</v>
      </c>
      <c r="G1248" s="83" t="s">
        <v>6269</v>
      </c>
      <c r="H1248" s="83">
        <v>2.8</v>
      </c>
      <c r="I1248" s="83" t="s">
        <v>3213</v>
      </c>
      <c r="J1248" s="83" t="s">
        <v>3467</v>
      </c>
      <c r="K1248" s="83" t="s">
        <v>3215</v>
      </c>
    </row>
    <row r="1249" spans="1:11" ht="64.5" x14ac:dyDescent="0.25">
      <c r="A1249" s="83" t="s">
        <v>532</v>
      </c>
      <c r="B1249" s="83" t="s">
        <v>3208</v>
      </c>
      <c r="C1249" s="83" t="s">
        <v>6270</v>
      </c>
      <c r="D1249" s="83" t="s">
        <v>3718</v>
      </c>
      <c r="E1249" s="83" t="s">
        <v>3727</v>
      </c>
      <c r="F1249" s="83" t="s">
        <v>6271</v>
      </c>
      <c r="G1249" s="83" t="s">
        <v>6272</v>
      </c>
      <c r="H1249" s="83">
        <v>3.1</v>
      </c>
      <c r="I1249" s="83" t="s">
        <v>3229</v>
      </c>
      <c r="J1249" s="83" t="s">
        <v>3380</v>
      </c>
      <c r="K1249" s="83" t="s">
        <v>3215</v>
      </c>
    </row>
    <row r="1250" spans="1:11" ht="64.5" x14ac:dyDescent="0.25">
      <c r="A1250" s="83" t="s">
        <v>519</v>
      </c>
      <c r="B1250" s="83" t="s">
        <v>3208</v>
      </c>
      <c r="C1250" s="83" t="s">
        <v>6273</v>
      </c>
      <c r="D1250" s="83" t="s">
        <v>3718</v>
      </c>
      <c r="E1250" s="83" t="s">
        <v>3727</v>
      </c>
      <c r="F1250" s="83" t="s">
        <v>3749</v>
      </c>
      <c r="G1250" s="83" t="s">
        <v>3750</v>
      </c>
      <c r="H1250" s="83">
        <v>1</v>
      </c>
      <c r="I1250" s="83" t="s">
        <v>3213</v>
      </c>
      <c r="J1250" s="83" t="s">
        <v>3219</v>
      </c>
      <c r="K1250" s="83" t="s">
        <v>3215</v>
      </c>
    </row>
    <row r="1251" spans="1:11" ht="64.5" x14ac:dyDescent="0.25">
      <c r="A1251" s="83" t="s">
        <v>6274</v>
      </c>
      <c r="B1251" s="83" t="s">
        <v>3208</v>
      </c>
      <c r="C1251" s="83" t="s">
        <v>3208</v>
      </c>
      <c r="D1251" s="83" t="s">
        <v>5483</v>
      </c>
      <c r="E1251" s="83" t="s">
        <v>3210</v>
      </c>
      <c r="F1251" s="83" t="s">
        <v>6275</v>
      </c>
      <c r="G1251" s="83" t="s">
        <v>5485</v>
      </c>
      <c r="H1251" s="83">
        <v>598188</v>
      </c>
      <c r="I1251" s="83" t="s">
        <v>3213</v>
      </c>
      <c r="J1251" s="83" t="s">
        <v>3219</v>
      </c>
      <c r="K1251" s="83" t="s">
        <v>3215</v>
      </c>
    </row>
    <row r="1252" spans="1:11" ht="64.5" x14ac:dyDescent="0.25">
      <c r="A1252" s="83" t="s">
        <v>591</v>
      </c>
      <c r="B1252" s="83" t="s">
        <v>3208</v>
      </c>
      <c r="C1252" s="83" t="s">
        <v>6276</v>
      </c>
      <c r="D1252" s="83" t="s">
        <v>3741</v>
      </c>
      <c r="E1252" s="83" t="s">
        <v>3727</v>
      </c>
      <c r="F1252" s="83" t="s">
        <v>6277</v>
      </c>
      <c r="G1252" s="83" t="s">
        <v>6278</v>
      </c>
      <c r="H1252" s="83">
        <v>8</v>
      </c>
      <c r="I1252" s="83" t="s">
        <v>3213</v>
      </c>
      <c r="J1252" s="83" t="s">
        <v>3413</v>
      </c>
      <c r="K1252" s="83" t="s">
        <v>3215</v>
      </c>
    </row>
    <row r="1253" spans="1:11" ht="64.5" x14ac:dyDescent="0.25">
      <c r="A1253" s="83" t="s">
        <v>571</v>
      </c>
      <c r="B1253" s="83" t="s">
        <v>3208</v>
      </c>
      <c r="C1253" s="83" t="s">
        <v>6279</v>
      </c>
      <c r="D1253" s="83" t="s">
        <v>3741</v>
      </c>
      <c r="E1253" s="83" t="s">
        <v>3727</v>
      </c>
      <c r="F1253" s="83" t="s">
        <v>6280</v>
      </c>
      <c r="G1253" s="83" t="s">
        <v>6281</v>
      </c>
      <c r="H1253" s="83">
        <v>3.3</v>
      </c>
      <c r="I1253" s="83" t="s">
        <v>3213</v>
      </c>
      <c r="J1253" s="83" t="s">
        <v>3262</v>
      </c>
      <c r="K1253" s="83" t="s">
        <v>3215</v>
      </c>
    </row>
    <row r="1254" spans="1:11" ht="51.75" x14ac:dyDescent="0.25">
      <c r="A1254" s="83" t="s">
        <v>1019</v>
      </c>
      <c r="B1254" s="83" t="s">
        <v>3208</v>
      </c>
      <c r="C1254" s="83" t="s">
        <v>6282</v>
      </c>
      <c r="D1254" s="83" t="s">
        <v>3752</v>
      </c>
      <c r="E1254" s="83" t="s">
        <v>3723</v>
      </c>
      <c r="F1254" s="83" t="s">
        <v>6283</v>
      </c>
      <c r="G1254" s="83" t="s">
        <v>6284</v>
      </c>
      <c r="H1254" s="83">
        <v>0</v>
      </c>
      <c r="I1254" s="83" t="s">
        <v>3229</v>
      </c>
      <c r="J1254" s="83" t="s">
        <v>3337</v>
      </c>
      <c r="K1254" s="83" t="s">
        <v>3215</v>
      </c>
    </row>
    <row r="1255" spans="1:11" ht="64.5" x14ac:dyDescent="0.25">
      <c r="A1255" s="83" t="s">
        <v>698</v>
      </c>
      <c r="B1255" s="83" t="s">
        <v>3208</v>
      </c>
      <c r="C1255" s="83" t="s">
        <v>6285</v>
      </c>
      <c r="D1255" s="83" t="s">
        <v>3752</v>
      </c>
      <c r="E1255" s="83" t="s">
        <v>3723</v>
      </c>
      <c r="F1255" s="83" t="s">
        <v>4707</v>
      </c>
      <c r="G1255" s="83" t="s">
        <v>4254</v>
      </c>
      <c r="H1255" s="83">
        <v>1.4</v>
      </c>
      <c r="I1255" s="83" t="s">
        <v>3213</v>
      </c>
      <c r="J1255" s="83" t="s">
        <v>3601</v>
      </c>
      <c r="K1255" s="83" t="s">
        <v>3215</v>
      </c>
    </row>
    <row r="1256" spans="1:11" ht="64.5" x14ac:dyDescent="0.25">
      <c r="A1256" s="83" t="s">
        <v>1804</v>
      </c>
      <c r="B1256" s="83" t="s">
        <v>3208</v>
      </c>
      <c r="C1256" s="83" t="s">
        <v>3208</v>
      </c>
      <c r="D1256" s="83" t="s">
        <v>3713</v>
      </c>
      <c r="E1256" s="83" t="s">
        <v>3761</v>
      </c>
      <c r="F1256" s="83" t="s">
        <v>6286</v>
      </c>
      <c r="G1256" s="83" t="s">
        <v>4262</v>
      </c>
      <c r="H1256" s="83">
        <v>0</v>
      </c>
      <c r="I1256" s="83" t="s">
        <v>3229</v>
      </c>
      <c r="J1256" s="83" t="s">
        <v>3380</v>
      </c>
      <c r="K1256" s="83" t="s">
        <v>3215</v>
      </c>
    </row>
    <row r="1257" spans="1:11" ht="39" x14ac:dyDescent="0.25">
      <c r="A1257" s="83" t="s">
        <v>776</v>
      </c>
      <c r="B1257" s="83" t="s">
        <v>3208</v>
      </c>
      <c r="C1257" s="83" t="s">
        <v>6287</v>
      </c>
      <c r="D1257" s="83" t="s">
        <v>3718</v>
      </c>
      <c r="E1257" s="83" t="s">
        <v>3727</v>
      </c>
      <c r="F1257" s="83" t="s">
        <v>6288</v>
      </c>
      <c r="G1257" s="83" t="s">
        <v>6289</v>
      </c>
      <c r="H1257" s="83">
        <v>1.9</v>
      </c>
      <c r="I1257" s="83" t="s">
        <v>3229</v>
      </c>
      <c r="J1257" s="83" t="s">
        <v>3241</v>
      </c>
      <c r="K1257" s="83" t="s">
        <v>3215</v>
      </c>
    </row>
    <row r="1258" spans="1:11" ht="64.5" x14ac:dyDescent="0.25">
      <c r="A1258" s="83" t="s">
        <v>1961</v>
      </c>
      <c r="B1258" s="83" t="s">
        <v>3208</v>
      </c>
      <c r="C1258" s="83" t="s">
        <v>3208</v>
      </c>
      <c r="D1258" s="83" t="s">
        <v>3713</v>
      </c>
      <c r="E1258" s="83" t="s">
        <v>3761</v>
      </c>
      <c r="F1258" s="83" t="s">
        <v>6290</v>
      </c>
      <c r="G1258" s="83" t="s">
        <v>6291</v>
      </c>
      <c r="H1258" s="83">
        <v>0</v>
      </c>
      <c r="I1258" s="83" t="s">
        <v>3213</v>
      </c>
      <c r="J1258" s="83" t="s">
        <v>3413</v>
      </c>
      <c r="K1258" s="83" t="s">
        <v>3215</v>
      </c>
    </row>
    <row r="1259" spans="1:11" ht="26.25" x14ac:dyDescent="0.25">
      <c r="A1259" s="83" t="s">
        <v>1963</v>
      </c>
      <c r="B1259" s="83" t="s">
        <v>3208</v>
      </c>
      <c r="C1259" s="83" t="s">
        <v>3208</v>
      </c>
      <c r="D1259" s="83" t="s">
        <v>3713</v>
      </c>
      <c r="E1259" s="83" t="s">
        <v>3761</v>
      </c>
      <c r="F1259" s="83" t="s">
        <v>6292</v>
      </c>
      <c r="G1259" s="83" t="s">
        <v>6293</v>
      </c>
      <c r="H1259" s="83">
        <v>0</v>
      </c>
      <c r="I1259" s="83" t="s">
        <v>3213</v>
      </c>
      <c r="J1259" s="83" t="s">
        <v>3222</v>
      </c>
      <c r="K1259" s="83" t="s">
        <v>3215</v>
      </c>
    </row>
    <row r="1260" spans="1:11" ht="39" x14ac:dyDescent="0.25">
      <c r="A1260" s="83" t="s">
        <v>1805</v>
      </c>
      <c r="B1260" s="83" t="s">
        <v>3208</v>
      </c>
      <c r="C1260" s="83" t="s">
        <v>3208</v>
      </c>
      <c r="D1260" s="83" t="s">
        <v>3713</v>
      </c>
      <c r="E1260" s="83" t="s">
        <v>3761</v>
      </c>
      <c r="F1260" s="83" t="s">
        <v>6294</v>
      </c>
      <c r="G1260" s="83" t="s">
        <v>6295</v>
      </c>
      <c r="H1260" s="83">
        <v>0</v>
      </c>
      <c r="I1260" s="83" t="s">
        <v>3229</v>
      </c>
      <c r="J1260" s="83" t="s">
        <v>3241</v>
      </c>
      <c r="K1260" s="83" t="s">
        <v>3215</v>
      </c>
    </row>
    <row r="1261" spans="1:11" ht="26.25" x14ac:dyDescent="0.25">
      <c r="A1261" s="83" t="s">
        <v>2445</v>
      </c>
      <c r="B1261" s="83" t="s">
        <v>3208</v>
      </c>
      <c r="C1261" s="83" t="s">
        <v>3208</v>
      </c>
      <c r="D1261" s="83" t="s">
        <v>3713</v>
      </c>
      <c r="E1261" s="83" t="s">
        <v>3761</v>
      </c>
      <c r="F1261" s="83" t="s">
        <v>6296</v>
      </c>
      <c r="G1261" s="83" t="s">
        <v>6297</v>
      </c>
      <c r="H1261" s="83">
        <v>0</v>
      </c>
      <c r="I1261" s="83" t="s">
        <v>3229</v>
      </c>
      <c r="J1261" s="83" t="s">
        <v>3222</v>
      </c>
      <c r="K1261" s="83" t="s">
        <v>3215</v>
      </c>
    </row>
    <row r="1262" spans="1:11" ht="51.75" x14ac:dyDescent="0.25">
      <c r="A1262" s="83" t="s">
        <v>1967</v>
      </c>
      <c r="B1262" s="83" t="s">
        <v>3208</v>
      </c>
      <c r="C1262" s="83" t="s">
        <v>3208</v>
      </c>
      <c r="D1262" s="83" t="s">
        <v>3713</v>
      </c>
      <c r="E1262" s="83" t="s">
        <v>3761</v>
      </c>
      <c r="F1262" s="83" t="s">
        <v>3762</v>
      </c>
      <c r="G1262" s="83" t="s">
        <v>3763</v>
      </c>
      <c r="H1262" s="83">
        <v>0</v>
      </c>
      <c r="I1262" s="83" t="s">
        <v>3229</v>
      </c>
      <c r="J1262" s="83" t="s">
        <v>3371</v>
      </c>
      <c r="K1262" s="83" t="s">
        <v>3215</v>
      </c>
    </row>
    <row r="1263" spans="1:11" ht="64.5" x14ac:dyDescent="0.25">
      <c r="A1263" s="83" t="s">
        <v>1771</v>
      </c>
      <c r="B1263" s="83" t="s">
        <v>3208</v>
      </c>
      <c r="C1263" s="83" t="s">
        <v>3208</v>
      </c>
      <c r="D1263" s="83" t="s">
        <v>3713</v>
      </c>
      <c r="E1263" s="83" t="s">
        <v>3761</v>
      </c>
      <c r="F1263" s="83" t="s">
        <v>3771</v>
      </c>
      <c r="G1263" s="83" t="s">
        <v>3218</v>
      </c>
      <c r="H1263" s="83">
        <v>0</v>
      </c>
      <c r="I1263" s="83" t="s">
        <v>3213</v>
      </c>
      <c r="J1263" s="83" t="s">
        <v>3219</v>
      </c>
      <c r="K1263" s="83" t="s">
        <v>3215</v>
      </c>
    </row>
    <row r="1264" spans="1:11" ht="51.75" x14ac:dyDescent="0.25">
      <c r="A1264" s="83" t="s">
        <v>2151</v>
      </c>
      <c r="B1264" s="83" t="s">
        <v>3208</v>
      </c>
      <c r="C1264" s="83" t="s">
        <v>3208</v>
      </c>
      <c r="D1264" s="83" t="s">
        <v>3713</v>
      </c>
      <c r="E1264" s="83" t="s">
        <v>3761</v>
      </c>
      <c r="F1264" s="83" t="s">
        <v>3772</v>
      </c>
      <c r="G1264" s="83" t="s">
        <v>3444</v>
      </c>
      <c r="H1264" s="83">
        <v>0</v>
      </c>
      <c r="I1264" s="83" t="s">
        <v>3213</v>
      </c>
      <c r="J1264" s="83" t="s">
        <v>3257</v>
      </c>
      <c r="K1264" s="83" t="s">
        <v>3215</v>
      </c>
    </row>
    <row r="1265" spans="1:11" ht="26.25" x14ac:dyDescent="0.25">
      <c r="A1265" s="83" t="s">
        <v>2153</v>
      </c>
      <c r="B1265" s="83" t="s">
        <v>3208</v>
      </c>
      <c r="C1265" s="83" t="s">
        <v>3208</v>
      </c>
      <c r="D1265" s="83" t="s">
        <v>3713</v>
      </c>
      <c r="E1265" s="83" t="s">
        <v>3761</v>
      </c>
      <c r="F1265" s="83" t="s">
        <v>6298</v>
      </c>
      <c r="G1265" s="83" t="s">
        <v>3889</v>
      </c>
      <c r="H1265" s="83">
        <v>0</v>
      </c>
      <c r="I1265" s="83" t="s">
        <v>3229</v>
      </c>
      <c r="J1265" s="83" t="s">
        <v>3311</v>
      </c>
      <c r="K1265" s="83" t="s">
        <v>3215</v>
      </c>
    </row>
    <row r="1266" spans="1:11" ht="51.75" x14ac:dyDescent="0.25">
      <c r="A1266" s="83" t="s">
        <v>2156</v>
      </c>
      <c r="B1266" s="83" t="s">
        <v>3208</v>
      </c>
      <c r="C1266" s="83" t="s">
        <v>3208</v>
      </c>
      <c r="D1266" s="83" t="s">
        <v>3713</v>
      </c>
      <c r="E1266" s="83" t="s">
        <v>3761</v>
      </c>
      <c r="F1266" s="83" t="s">
        <v>6299</v>
      </c>
      <c r="G1266" s="83" t="s">
        <v>5627</v>
      </c>
      <c r="H1266" s="83">
        <v>0</v>
      </c>
      <c r="I1266" s="83" t="s">
        <v>3213</v>
      </c>
      <c r="J1266" s="83" t="s">
        <v>3257</v>
      </c>
      <c r="K1266" s="83" t="s">
        <v>3215</v>
      </c>
    </row>
    <row r="1267" spans="1:11" ht="64.5" x14ac:dyDescent="0.25">
      <c r="A1267" s="83" t="s">
        <v>2157</v>
      </c>
      <c r="B1267" s="83" t="s">
        <v>3208</v>
      </c>
      <c r="C1267" s="83" t="s">
        <v>3208</v>
      </c>
      <c r="D1267" s="83" t="s">
        <v>3713</v>
      </c>
      <c r="E1267" s="83" t="s">
        <v>3761</v>
      </c>
      <c r="F1267" s="83" t="s">
        <v>6299</v>
      </c>
      <c r="G1267" s="83" t="s">
        <v>5627</v>
      </c>
      <c r="H1267" s="83">
        <v>0</v>
      </c>
      <c r="I1267" s="83" t="s">
        <v>3213</v>
      </c>
      <c r="J1267" s="83" t="s">
        <v>3413</v>
      </c>
      <c r="K1267" s="83" t="s">
        <v>3215</v>
      </c>
    </row>
    <row r="1268" spans="1:11" ht="51.75" x14ac:dyDescent="0.25">
      <c r="A1268" s="83" t="s">
        <v>2166</v>
      </c>
      <c r="B1268" s="83" t="s">
        <v>3208</v>
      </c>
      <c r="C1268" s="83" t="s">
        <v>3208</v>
      </c>
      <c r="D1268" s="83" t="s">
        <v>3713</v>
      </c>
      <c r="E1268" s="83" t="s">
        <v>3761</v>
      </c>
      <c r="F1268" s="83" t="s">
        <v>6300</v>
      </c>
      <c r="G1268" s="83" t="s">
        <v>4793</v>
      </c>
      <c r="H1268" s="83">
        <v>0</v>
      </c>
      <c r="I1268" s="83" t="s">
        <v>3213</v>
      </c>
      <c r="J1268" s="83" t="s">
        <v>3214</v>
      </c>
      <c r="K1268" s="83" t="s">
        <v>3215</v>
      </c>
    </row>
    <row r="1269" spans="1:11" ht="26.25" x14ac:dyDescent="0.25">
      <c r="A1269" s="83" t="s">
        <v>2167</v>
      </c>
      <c r="B1269" s="83" t="s">
        <v>3208</v>
      </c>
      <c r="C1269" s="83" t="s">
        <v>3208</v>
      </c>
      <c r="D1269" s="83" t="s">
        <v>3713</v>
      </c>
      <c r="E1269" s="83" t="s">
        <v>3761</v>
      </c>
      <c r="F1269" s="83" t="s">
        <v>3783</v>
      </c>
      <c r="G1269" s="83" t="s">
        <v>6301</v>
      </c>
      <c r="H1269" s="83">
        <v>0</v>
      </c>
      <c r="I1269" s="83" t="s">
        <v>3229</v>
      </c>
      <c r="J1269" s="83" t="s">
        <v>3311</v>
      </c>
      <c r="K1269" s="83" t="s">
        <v>3215</v>
      </c>
    </row>
    <row r="1270" spans="1:11" ht="51.75" x14ac:dyDescent="0.25">
      <c r="A1270" s="83" t="s">
        <v>2176</v>
      </c>
      <c r="B1270" s="83" t="s">
        <v>3208</v>
      </c>
      <c r="C1270" s="83" t="s">
        <v>3208</v>
      </c>
      <c r="D1270" s="83" t="s">
        <v>3713</v>
      </c>
      <c r="E1270" s="83" t="s">
        <v>3761</v>
      </c>
      <c r="F1270" s="83" t="s">
        <v>6302</v>
      </c>
      <c r="G1270" s="83" t="s">
        <v>6303</v>
      </c>
      <c r="H1270" s="83">
        <v>0</v>
      </c>
      <c r="I1270" s="83" t="s">
        <v>3229</v>
      </c>
      <c r="J1270" s="83" t="s">
        <v>3230</v>
      </c>
      <c r="K1270" s="83" t="s">
        <v>3215</v>
      </c>
    </row>
    <row r="1271" spans="1:11" ht="51.75" x14ac:dyDescent="0.25">
      <c r="A1271" s="83" t="s">
        <v>2181</v>
      </c>
      <c r="B1271" s="83" t="s">
        <v>3208</v>
      </c>
      <c r="C1271" s="83" t="s">
        <v>3208</v>
      </c>
      <c r="D1271" s="83" t="s">
        <v>3713</v>
      </c>
      <c r="E1271" s="83" t="s">
        <v>3761</v>
      </c>
      <c r="F1271" s="83" t="s">
        <v>6304</v>
      </c>
      <c r="G1271" s="83" t="s">
        <v>3577</v>
      </c>
      <c r="H1271" s="83">
        <v>0</v>
      </c>
      <c r="I1271" s="83" t="s">
        <v>3229</v>
      </c>
      <c r="J1271" s="83" t="s">
        <v>3302</v>
      </c>
      <c r="K1271" s="83" t="s">
        <v>3215</v>
      </c>
    </row>
    <row r="1272" spans="1:11" ht="64.5" x14ac:dyDescent="0.25">
      <c r="A1272" s="83" t="s">
        <v>2183</v>
      </c>
      <c r="B1272" s="83" t="s">
        <v>3208</v>
      </c>
      <c r="C1272" s="83" t="s">
        <v>3208</v>
      </c>
      <c r="D1272" s="83" t="s">
        <v>3713</v>
      </c>
      <c r="E1272" s="83" t="s">
        <v>3761</v>
      </c>
      <c r="F1272" s="83" t="s">
        <v>5514</v>
      </c>
      <c r="G1272" s="83" t="s">
        <v>3379</v>
      </c>
      <c r="H1272" s="83">
        <v>0</v>
      </c>
      <c r="I1272" s="83" t="s">
        <v>3229</v>
      </c>
      <c r="J1272" s="83" t="s">
        <v>3380</v>
      </c>
      <c r="K1272" s="83" t="s">
        <v>3215</v>
      </c>
    </row>
    <row r="1273" spans="1:11" ht="64.5" x14ac:dyDescent="0.25">
      <c r="A1273" s="83" t="s">
        <v>2184</v>
      </c>
      <c r="B1273" s="83" t="s">
        <v>3208</v>
      </c>
      <c r="C1273" s="83" t="s">
        <v>3208</v>
      </c>
      <c r="D1273" s="83" t="s">
        <v>3713</v>
      </c>
      <c r="E1273" s="83" t="s">
        <v>3761</v>
      </c>
      <c r="F1273" s="83" t="s">
        <v>5514</v>
      </c>
      <c r="G1273" s="83" t="s">
        <v>3379</v>
      </c>
      <c r="H1273" s="83">
        <v>0</v>
      </c>
      <c r="I1273" s="83" t="s">
        <v>3229</v>
      </c>
      <c r="J1273" s="83" t="s">
        <v>3380</v>
      </c>
      <c r="K1273" s="83" t="s">
        <v>3215</v>
      </c>
    </row>
    <row r="1274" spans="1:11" ht="51.75" x14ac:dyDescent="0.25">
      <c r="A1274" s="83" t="s">
        <v>2203</v>
      </c>
      <c r="B1274" s="83" t="s">
        <v>3208</v>
      </c>
      <c r="C1274" s="83" t="s">
        <v>3208</v>
      </c>
      <c r="D1274" s="83" t="s">
        <v>3713</v>
      </c>
      <c r="E1274" s="83" t="s">
        <v>3761</v>
      </c>
      <c r="F1274" s="83" t="s">
        <v>5509</v>
      </c>
      <c r="G1274" s="83" t="s">
        <v>3693</v>
      </c>
      <c r="H1274" s="83">
        <v>0</v>
      </c>
      <c r="I1274" s="83" t="s">
        <v>3229</v>
      </c>
      <c r="J1274" s="83" t="s">
        <v>3337</v>
      </c>
      <c r="K1274" s="83" t="s">
        <v>3215</v>
      </c>
    </row>
    <row r="1275" spans="1:11" ht="51.75" x14ac:dyDescent="0.25">
      <c r="A1275" s="83" t="s">
        <v>1913</v>
      </c>
      <c r="B1275" s="83" t="s">
        <v>3208</v>
      </c>
      <c r="C1275" s="83" t="s">
        <v>3208</v>
      </c>
      <c r="D1275" s="83" t="s">
        <v>3713</v>
      </c>
      <c r="E1275" s="83" t="s">
        <v>3761</v>
      </c>
      <c r="F1275" s="83" t="s">
        <v>3816</v>
      </c>
      <c r="G1275" s="83" t="s">
        <v>6305</v>
      </c>
      <c r="H1275" s="83">
        <v>0</v>
      </c>
      <c r="I1275" s="83" t="s">
        <v>3229</v>
      </c>
      <c r="J1275" s="83" t="s">
        <v>4430</v>
      </c>
      <c r="K1275" s="83" t="s">
        <v>3215</v>
      </c>
    </row>
    <row r="1276" spans="1:11" ht="39" x14ac:dyDescent="0.25">
      <c r="A1276" s="83" t="s">
        <v>2001</v>
      </c>
      <c r="B1276" s="83" t="s">
        <v>3208</v>
      </c>
      <c r="C1276" s="83" t="s">
        <v>3208</v>
      </c>
      <c r="D1276" s="83" t="s">
        <v>3713</v>
      </c>
      <c r="E1276" s="83" t="s">
        <v>3761</v>
      </c>
      <c r="F1276" s="83" t="s">
        <v>6306</v>
      </c>
      <c r="G1276" s="83" t="s">
        <v>3237</v>
      </c>
      <c r="H1276" s="83">
        <v>0</v>
      </c>
      <c r="I1276" s="83" t="s">
        <v>3229</v>
      </c>
      <c r="J1276" s="83" t="s">
        <v>3241</v>
      </c>
      <c r="K1276" s="83" t="s">
        <v>3215</v>
      </c>
    </row>
    <row r="1277" spans="1:11" ht="51.75" x14ac:dyDescent="0.25">
      <c r="A1277" s="83" t="s">
        <v>2005</v>
      </c>
      <c r="B1277" s="83" t="s">
        <v>3208</v>
      </c>
      <c r="C1277" s="83" t="s">
        <v>3208</v>
      </c>
      <c r="D1277" s="83" t="s">
        <v>3713</v>
      </c>
      <c r="E1277" s="83" t="s">
        <v>3761</v>
      </c>
      <c r="F1277" s="83" t="s">
        <v>3790</v>
      </c>
      <c r="G1277" s="83" t="s">
        <v>3791</v>
      </c>
      <c r="H1277" s="83">
        <v>0</v>
      </c>
      <c r="I1277" s="83" t="s">
        <v>3229</v>
      </c>
      <c r="J1277" s="83" t="s">
        <v>3238</v>
      </c>
      <c r="K1277" s="83" t="s">
        <v>3215</v>
      </c>
    </row>
    <row r="1278" spans="1:11" ht="51.75" x14ac:dyDescent="0.25">
      <c r="A1278" s="83" t="s">
        <v>2015</v>
      </c>
      <c r="B1278" s="83" t="s">
        <v>3208</v>
      </c>
      <c r="C1278" s="83" t="s">
        <v>3208</v>
      </c>
      <c r="D1278" s="83" t="s">
        <v>3713</v>
      </c>
      <c r="E1278" s="83" t="s">
        <v>3761</v>
      </c>
      <c r="F1278" s="83" t="s">
        <v>3792</v>
      </c>
      <c r="G1278" s="83" t="s">
        <v>3408</v>
      </c>
      <c r="H1278" s="83">
        <v>0</v>
      </c>
      <c r="I1278" s="83" t="s">
        <v>3229</v>
      </c>
      <c r="J1278" s="83" t="s">
        <v>3289</v>
      </c>
      <c r="K1278" s="83" t="s">
        <v>3215</v>
      </c>
    </row>
    <row r="1279" spans="1:11" ht="39" x14ac:dyDescent="0.25">
      <c r="A1279" s="83" t="s">
        <v>2018</v>
      </c>
      <c r="B1279" s="83" t="s">
        <v>3208</v>
      </c>
      <c r="C1279" s="83" t="s">
        <v>3208</v>
      </c>
      <c r="D1279" s="83" t="s">
        <v>3713</v>
      </c>
      <c r="E1279" s="83" t="s">
        <v>3761</v>
      </c>
      <c r="F1279" s="83" t="s">
        <v>3792</v>
      </c>
      <c r="G1279" s="83" t="s">
        <v>5676</v>
      </c>
      <c r="H1279" s="83">
        <v>0</v>
      </c>
      <c r="I1279" s="83" t="s">
        <v>3229</v>
      </c>
      <c r="J1279" s="83" t="s">
        <v>3241</v>
      </c>
      <c r="K1279" s="83" t="s">
        <v>3215</v>
      </c>
    </row>
    <row r="1280" spans="1:11" ht="39" x14ac:dyDescent="0.25">
      <c r="A1280" s="83" t="s">
        <v>131</v>
      </c>
      <c r="B1280" s="83" t="s">
        <v>3208</v>
      </c>
      <c r="C1280" s="83" t="s">
        <v>3208</v>
      </c>
      <c r="D1280" s="83" t="s">
        <v>3713</v>
      </c>
      <c r="E1280" s="83" t="s">
        <v>3761</v>
      </c>
      <c r="F1280" s="83" t="s">
        <v>3792</v>
      </c>
      <c r="G1280" s="83" t="s">
        <v>3341</v>
      </c>
      <c r="H1280" s="83">
        <v>0</v>
      </c>
      <c r="I1280" s="83" t="s">
        <v>3229</v>
      </c>
      <c r="J1280" s="83" t="s">
        <v>3241</v>
      </c>
      <c r="K1280" s="83" t="s">
        <v>3215</v>
      </c>
    </row>
    <row r="1281" spans="1:11" ht="51.75" x14ac:dyDescent="0.25">
      <c r="A1281" s="83" t="s">
        <v>2029</v>
      </c>
      <c r="B1281" s="83" t="s">
        <v>3208</v>
      </c>
      <c r="C1281" s="83" t="s">
        <v>3208</v>
      </c>
      <c r="D1281" s="83" t="s">
        <v>3713</v>
      </c>
      <c r="E1281" s="83" t="s">
        <v>3761</v>
      </c>
      <c r="F1281" s="83" t="s">
        <v>3792</v>
      </c>
      <c r="G1281" s="83" t="s">
        <v>3795</v>
      </c>
      <c r="H1281" s="83">
        <v>0</v>
      </c>
      <c r="I1281" s="83" t="s">
        <v>3229</v>
      </c>
      <c r="J1281" s="83" t="s">
        <v>3289</v>
      </c>
      <c r="K1281" s="83" t="s">
        <v>3215</v>
      </c>
    </row>
    <row r="1282" spans="1:11" ht="51.75" x14ac:dyDescent="0.25">
      <c r="A1282" s="83" t="s">
        <v>2036</v>
      </c>
      <c r="B1282" s="83" t="s">
        <v>3208</v>
      </c>
      <c r="C1282" s="83" t="s">
        <v>3208</v>
      </c>
      <c r="D1282" s="83" t="s">
        <v>3713</v>
      </c>
      <c r="E1282" s="83" t="s">
        <v>3761</v>
      </c>
      <c r="F1282" s="83" t="s">
        <v>3792</v>
      </c>
      <c r="G1282" s="83" t="s">
        <v>4365</v>
      </c>
      <c r="H1282" s="83">
        <v>0</v>
      </c>
      <c r="I1282" s="83" t="s">
        <v>3229</v>
      </c>
      <c r="J1282" s="83" t="s">
        <v>3289</v>
      </c>
      <c r="K1282" s="83" t="s">
        <v>3215</v>
      </c>
    </row>
    <row r="1283" spans="1:11" ht="26.25" x14ac:dyDescent="0.25">
      <c r="A1283" s="83" t="s">
        <v>1778</v>
      </c>
      <c r="B1283" s="83" t="s">
        <v>3208</v>
      </c>
      <c r="C1283" s="83" t="s">
        <v>3208</v>
      </c>
      <c r="D1283" s="83" t="s">
        <v>3713</v>
      </c>
      <c r="E1283" s="83" t="s">
        <v>3761</v>
      </c>
      <c r="F1283" s="83" t="s">
        <v>6307</v>
      </c>
      <c r="G1283" s="83" t="s">
        <v>3812</v>
      </c>
      <c r="H1283" s="83">
        <v>0</v>
      </c>
      <c r="I1283" s="83" t="s">
        <v>3213</v>
      </c>
      <c r="J1283" s="83" t="s">
        <v>3896</v>
      </c>
      <c r="K1283" s="83" t="s">
        <v>3215</v>
      </c>
    </row>
    <row r="1284" spans="1:11" ht="51.75" x14ac:dyDescent="0.25">
      <c r="A1284" s="83" t="s">
        <v>2046</v>
      </c>
      <c r="B1284" s="83" t="s">
        <v>3208</v>
      </c>
      <c r="C1284" s="83" t="s">
        <v>3208</v>
      </c>
      <c r="D1284" s="83" t="s">
        <v>3713</v>
      </c>
      <c r="E1284" s="83" t="s">
        <v>3761</v>
      </c>
      <c r="F1284" s="83" t="s">
        <v>6308</v>
      </c>
      <c r="G1284" s="83" t="s">
        <v>6309</v>
      </c>
      <c r="H1284" s="83">
        <v>0</v>
      </c>
      <c r="I1284" s="83" t="s">
        <v>3213</v>
      </c>
      <c r="J1284" s="83" t="s">
        <v>3271</v>
      </c>
      <c r="K1284" s="83" t="s">
        <v>3215</v>
      </c>
    </row>
    <row r="1285" spans="1:11" ht="39" x14ac:dyDescent="0.25">
      <c r="A1285" s="83" t="s">
        <v>1972</v>
      </c>
      <c r="B1285" s="83" t="s">
        <v>3208</v>
      </c>
      <c r="C1285" s="83" t="s">
        <v>3208</v>
      </c>
      <c r="D1285" s="83" t="s">
        <v>3713</v>
      </c>
      <c r="E1285" s="83" t="s">
        <v>3761</v>
      </c>
      <c r="F1285" s="83" t="s">
        <v>5520</v>
      </c>
      <c r="G1285" s="83" t="s">
        <v>3822</v>
      </c>
      <c r="H1285" s="83">
        <v>0</v>
      </c>
      <c r="I1285" s="83" t="s">
        <v>3213</v>
      </c>
      <c r="J1285" s="83" t="s">
        <v>3222</v>
      </c>
      <c r="K1285" s="83" t="s">
        <v>3215</v>
      </c>
    </row>
    <row r="1286" spans="1:11" ht="26.25" x14ac:dyDescent="0.25">
      <c r="A1286" s="83" t="s">
        <v>1976</v>
      </c>
      <c r="B1286" s="83" t="s">
        <v>3208</v>
      </c>
      <c r="C1286" s="83" t="s">
        <v>3208</v>
      </c>
      <c r="D1286" s="83" t="s">
        <v>3713</v>
      </c>
      <c r="E1286" s="83" t="s">
        <v>3761</v>
      </c>
      <c r="F1286" s="83" t="s">
        <v>6310</v>
      </c>
      <c r="G1286" s="83" t="s">
        <v>4716</v>
      </c>
      <c r="H1286" s="83">
        <v>0</v>
      </c>
      <c r="I1286" s="83" t="s">
        <v>3229</v>
      </c>
      <c r="J1286" s="83" t="s">
        <v>3311</v>
      </c>
      <c r="K1286" s="83" t="s">
        <v>3215</v>
      </c>
    </row>
    <row r="1287" spans="1:11" ht="51.75" x14ac:dyDescent="0.25">
      <c r="A1287" s="83" t="s">
        <v>2073</v>
      </c>
      <c r="B1287" s="83" t="s">
        <v>3208</v>
      </c>
      <c r="C1287" s="83" t="s">
        <v>3208</v>
      </c>
      <c r="D1287" s="83" t="s">
        <v>3713</v>
      </c>
      <c r="E1287" s="83" t="s">
        <v>3761</v>
      </c>
      <c r="F1287" s="83" t="s">
        <v>3804</v>
      </c>
      <c r="G1287" s="83" t="s">
        <v>3791</v>
      </c>
      <c r="H1287" s="83">
        <v>0</v>
      </c>
      <c r="I1287" s="83" t="s">
        <v>3229</v>
      </c>
      <c r="J1287" s="83" t="s">
        <v>3230</v>
      </c>
      <c r="K1287" s="83" t="s">
        <v>3215</v>
      </c>
    </row>
    <row r="1288" spans="1:11" ht="64.5" x14ac:dyDescent="0.25">
      <c r="A1288" s="83" t="s">
        <v>1853</v>
      </c>
      <c r="B1288" s="83" t="s">
        <v>3208</v>
      </c>
      <c r="C1288" s="83" t="s">
        <v>3208</v>
      </c>
      <c r="D1288" s="83" t="s">
        <v>3713</v>
      </c>
      <c r="E1288" s="83" t="s">
        <v>3761</v>
      </c>
      <c r="F1288" s="83" t="s">
        <v>3572</v>
      </c>
      <c r="G1288" s="83" t="s">
        <v>6311</v>
      </c>
      <c r="H1288" s="83">
        <v>0</v>
      </c>
      <c r="I1288" s="83" t="s">
        <v>3213</v>
      </c>
      <c r="J1288" s="83" t="s">
        <v>3262</v>
      </c>
      <c r="K1288" s="83" t="s">
        <v>3215</v>
      </c>
    </row>
    <row r="1289" spans="1:11" ht="51.75" x14ac:dyDescent="0.25">
      <c r="A1289" s="83" t="s">
        <v>1920</v>
      </c>
      <c r="B1289" s="83" t="s">
        <v>3208</v>
      </c>
      <c r="C1289" s="83" t="s">
        <v>3208</v>
      </c>
      <c r="D1289" s="83" t="s">
        <v>3713</v>
      </c>
      <c r="E1289" s="83" t="s">
        <v>3761</v>
      </c>
      <c r="F1289" s="83" t="s">
        <v>6312</v>
      </c>
      <c r="G1289" s="83" t="s">
        <v>3769</v>
      </c>
      <c r="H1289" s="83">
        <v>0</v>
      </c>
      <c r="I1289" s="83" t="s">
        <v>3213</v>
      </c>
      <c r="J1289" s="83" t="s">
        <v>3214</v>
      </c>
      <c r="K1289" s="83" t="s">
        <v>3215</v>
      </c>
    </row>
    <row r="1290" spans="1:11" ht="51.75" x14ac:dyDescent="0.25">
      <c r="A1290" s="83" t="s">
        <v>1925</v>
      </c>
      <c r="B1290" s="83" t="s">
        <v>3208</v>
      </c>
      <c r="C1290" s="83" t="s">
        <v>3208</v>
      </c>
      <c r="D1290" s="83" t="s">
        <v>3713</v>
      </c>
      <c r="E1290" s="83" t="s">
        <v>3761</v>
      </c>
      <c r="F1290" s="83" t="s">
        <v>3816</v>
      </c>
      <c r="G1290" s="83" t="s">
        <v>4755</v>
      </c>
      <c r="H1290" s="83">
        <v>0</v>
      </c>
      <c r="I1290" s="83" t="s">
        <v>3213</v>
      </c>
      <c r="J1290" s="83" t="s">
        <v>3214</v>
      </c>
      <c r="K1290" s="83" t="s">
        <v>3215</v>
      </c>
    </row>
    <row r="1291" spans="1:11" ht="39" x14ac:dyDescent="0.25">
      <c r="A1291" s="83" t="s">
        <v>1926</v>
      </c>
      <c r="B1291" s="83" t="s">
        <v>3208</v>
      </c>
      <c r="C1291" s="83" t="s">
        <v>3208</v>
      </c>
      <c r="D1291" s="83" t="s">
        <v>3713</v>
      </c>
      <c r="E1291" s="83" t="s">
        <v>3761</v>
      </c>
      <c r="F1291" s="83" t="s">
        <v>6313</v>
      </c>
      <c r="G1291" s="83" t="s">
        <v>6314</v>
      </c>
      <c r="H1291" s="83">
        <v>0</v>
      </c>
      <c r="I1291" s="83" t="s">
        <v>3229</v>
      </c>
      <c r="J1291" s="83" t="s">
        <v>3241</v>
      </c>
      <c r="K1291" s="83" t="s">
        <v>3215</v>
      </c>
    </row>
    <row r="1292" spans="1:11" ht="39" x14ac:dyDescent="0.25">
      <c r="A1292" s="83" t="s">
        <v>1928</v>
      </c>
      <c r="B1292" s="83" t="s">
        <v>3208</v>
      </c>
      <c r="C1292" s="83" t="s">
        <v>3208</v>
      </c>
      <c r="D1292" s="83" t="s">
        <v>3713</v>
      </c>
      <c r="E1292" s="83" t="s">
        <v>3761</v>
      </c>
      <c r="F1292" s="83" t="s">
        <v>3816</v>
      </c>
      <c r="G1292" s="83" t="s">
        <v>6131</v>
      </c>
      <c r="H1292" s="83">
        <v>0</v>
      </c>
      <c r="I1292" s="83" t="s">
        <v>3229</v>
      </c>
      <c r="J1292" s="83" t="s">
        <v>3241</v>
      </c>
      <c r="K1292" s="83" t="s">
        <v>3215</v>
      </c>
    </row>
    <row r="1293" spans="1:11" ht="39" x14ac:dyDescent="0.25">
      <c r="A1293" s="83" t="s">
        <v>1929</v>
      </c>
      <c r="B1293" s="83" t="s">
        <v>3208</v>
      </c>
      <c r="C1293" s="83" t="s">
        <v>3208</v>
      </c>
      <c r="D1293" s="83" t="s">
        <v>3713</v>
      </c>
      <c r="E1293" s="83" t="s">
        <v>3761</v>
      </c>
      <c r="F1293" s="83" t="s">
        <v>3816</v>
      </c>
      <c r="G1293" s="83" t="s">
        <v>6131</v>
      </c>
      <c r="H1293" s="83">
        <v>0</v>
      </c>
      <c r="I1293" s="83" t="s">
        <v>3229</v>
      </c>
      <c r="J1293" s="83" t="s">
        <v>3241</v>
      </c>
      <c r="K1293" s="83" t="s">
        <v>3215</v>
      </c>
    </row>
    <row r="1294" spans="1:11" ht="64.5" x14ac:dyDescent="0.25">
      <c r="A1294" s="83" t="s">
        <v>2109</v>
      </c>
      <c r="B1294" s="83" t="s">
        <v>3208</v>
      </c>
      <c r="C1294" s="83" t="s">
        <v>3208</v>
      </c>
      <c r="D1294" s="83" t="s">
        <v>3713</v>
      </c>
      <c r="E1294" s="83" t="s">
        <v>3761</v>
      </c>
      <c r="F1294" s="83" t="s">
        <v>6315</v>
      </c>
      <c r="G1294" s="83" t="s">
        <v>6316</v>
      </c>
      <c r="H1294" s="83">
        <v>0</v>
      </c>
      <c r="I1294" s="83" t="s">
        <v>3213</v>
      </c>
      <c r="J1294" s="83" t="s">
        <v>3413</v>
      </c>
      <c r="K1294" s="83" t="s">
        <v>3215</v>
      </c>
    </row>
    <row r="1295" spans="1:11" ht="51.75" x14ac:dyDescent="0.25">
      <c r="A1295" s="83" t="s">
        <v>1980</v>
      </c>
      <c r="B1295" s="83" t="s">
        <v>3208</v>
      </c>
      <c r="C1295" s="83" t="s">
        <v>3208</v>
      </c>
      <c r="D1295" s="83" t="s">
        <v>3713</v>
      </c>
      <c r="E1295" s="83" t="s">
        <v>3761</v>
      </c>
      <c r="F1295" s="83" t="s">
        <v>3821</v>
      </c>
      <c r="G1295" s="83" t="s">
        <v>3822</v>
      </c>
      <c r="H1295" s="83">
        <v>0</v>
      </c>
      <c r="I1295" s="83" t="s">
        <v>3213</v>
      </c>
      <c r="J1295" s="83" t="s">
        <v>3257</v>
      </c>
      <c r="K1295" s="83" t="s">
        <v>3215</v>
      </c>
    </row>
    <row r="1296" spans="1:11" ht="51.75" x14ac:dyDescent="0.25">
      <c r="A1296" s="83" t="s">
        <v>1935</v>
      </c>
      <c r="B1296" s="83" t="s">
        <v>3208</v>
      </c>
      <c r="C1296" s="83" t="s">
        <v>3208</v>
      </c>
      <c r="D1296" s="83" t="s">
        <v>3713</v>
      </c>
      <c r="E1296" s="83" t="s">
        <v>3761</v>
      </c>
      <c r="F1296" s="83" t="s">
        <v>3798</v>
      </c>
      <c r="G1296" s="83" t="s">
        <v>5536</v>
      </c>
      <c r="H1296" s="83">
        <v>0</v>
      </c>
      <c r="I1296" s="83" t="s">
        <v>3229</v>
      </c>
      <c r="J1296" s="83" t="s">
        <v>3332</v>
      </c>
      <c r="K1296" s="83" t="s">
        <v>3215</v>
      </c>
    </row>
    <row r="1297" spans="1:11" ht="39" x14ac:dyDescent="0.25">
      <c r="A1297" s="83" t="s">
        <v>2301</v>
      </c>
      <c r="B1297" s="83" t="s">
        <v>3208</v>
      </c>
      <c r="C1297" s="83" t="s">
        <v>3208</v>
      </c>
      <c r="D1297" s="83" t="s">
        <v>3713</v>
      </c>
      <c r="E1297" s="83" t="s">
        <v>3761</v>
      </c>
      <c r="F1297" s="83" t="s">
        <v>3798</v>
      </c>
      <c r="G1297" s="83" t="s">
        <v>5536</v>
      </c>
      <c r="H1297" s="83">
        <v>0</v>
      </c>
      <c r="I1297" s="83" t="s">
        <v>3229</v>
      </c>
      <c r="J1297" s="83" t="s">
        <v>6317</v>
      </c>
      <c r="K1297" s="83" t="s">
        <v>3215</v>
      </c>
    </row>
    <row r="1298" spans="1:11" ht="51.75" x14ac:dyDescent="0.25">
      <c r="A1298" s="83" t="s">
        <v>1840</v>
      </c>
      <c r="B1298" s="83" t="s">
        <v>3208</v>
      </c>
      <c r="C1298" s="83" t="s">
        <v>3208</v>
      </c>
      <c r="D1298" s="83" t="s">
        <v>3713</v>
      </c>
      <c r="E1298" s="83" t="s">
        <v>3761</v>
      </c>
      <c r="F1298" s="83" t="s">
        <v>3798</v>
      </c>
      <c r="G1298" s="83" t="s">
        <v>6318</v>
      </c>
      <c r="H1298" s="83">
        <v>0</v>
      </c>
      <c r="I1298" s="83" t="s">
        <v>3229</v>
      </c>
      <c r="J1298" s="83" t="s">
        <v>3371</v>
      </c>
      <c r="K1298" s="83" t="s">
        <v>3215</v>
      </c>
    </row>
    <row r="1299" spans="1:11" ht="51.75" x14ac:dyDescent="0.25">
      <c r="A1299" s="83" t="s">
        <v>2466</v>
      </c>
      <c r="B1299" s="83" t="s">
        <v>3208</v>
      </c>
      <c r="C1299" s="83" t="s">
        <v>3208</v>
      </c>
      <c r="D1299" s="83" t="s">
        <v>3713</v>
      </c>
      <c r="E1299" s="83" t="s">
        <v>3761</v>
      </c>
      <c r="F1299" s="83" t="s">
        <v>4746</v>
      </c>
      <c r="G1299" s="83" t="s">
        <v>6319</v>
      </c>
      <c r="H1299" s="83">
        <v>0</v>
      </c>
      <c r="I1299" s="83" t="s">
        <v>3229</v>
      </c>
      <c r="J1299" s="83" t="s">
        <v>3238</v>
      </c>
      <c r="K1299" s="83" t="s">
        <v>3215</v>
      </c>
    </row>
    <row r="1300" spans="1:11" x14ac:dyDescent="0.25">
      <c r="A1300" s="83" t="s">
        <v>6320</v>
      </c>
      <c r="B1300" s="83" t="s">
        <v>6321</v>
      </c>
      <c r="C1300" s="83" t="s">
        <v>6322</v>
      </c>
      <c r="D1300" s="83" t="s">
        <v>3209</v>
      </c>
      <c r="E1300" s="83" t="s">
        <v>3702</v>
      </c>
      <c r="F1300" s="83" t="s">
        <v>6323</v>
      </c>
      <c r="G1300" s="83" t="s">
        <v>6324</v>
      </c>
      <c r="H1300" s="83">
        <v>11</v>
      </c>
      <c r="I1300" s="83" t="s">
        <v>3208</v>
      </c>
      <c r="J1300" s="83" t="s">
        <v>3208</v>
      </c>
      <c r="K1300" s="83" t="s">
        <v>3208</v>
      </c>
    </row>
    <row r="1301" spans="1:11" ht="51.75" x14ac:dyDescent="0.25">
      <c r="A1301" s="83" t="s">
        <v>2200</v>
      </c>
      <c r="B1301" s="83" t="s">
        <v>3208</v>
      </c>
      <c r="C1301" s="83" t="s">
        <v>3208</v>
      </c>
      <c r="D1301" s="83" t="s">
        <v>3713</v>
      </c>
      <c r="E1301" s="83" t="s">
        <v>3761</v>
      </c>
      <c r="F1301" s="83" t="s">
        <v>6325</v>
      </c>
      <c r="G1301" s="83" t="s">
        <v>3392</v>
      </c>
      <c r="H1301" s="83">
        <v>0</v>
      </c>
      <c r="I1301" s="83" t="s">
        <v>3229</v>
      </c>
      <c r="J1301" s="83" t="s">
        <v>3289</v>
      </c>
      <c r="K1301" s="83" t="s">
        <v>3215</v>
      </c>
    </row>
    <row r="1302" spans="1:11" ht="26.25" x14ac:dyDescent="0.25">
      <c r="A1302" s="83" t="s">
        <v>6326</v>
      </c>
      <c r="B1302" s="83" t="s">
        <v>3208</v>
      </c>
      <c r="C1302" s="83" t="s">
        <v>3208</v>
      </c>
      <c r="D1302" s="83" t="s">
        <v>3713</v>
      </c>
      <c r="E1302" s="83" t="s">
        <v>3714</v>
      </c>
      <c r="F1302" s="83" t="s">
        <v>6327</v>
      </c>
      <c r="G1302" s="83" t="s">
        <v>4749</v>
      </c>
      <c r="H1302" s="83">
        <v>0</v>
      </c>
      <c r="I1302" s="83" t="s">
        <v>3208</v>
      </c>
      <c r="J1302" s="83" t="s">
        <v>3208</v>
      </c>
      <c r="K1302" s="83" t="s">
        <v>3208</v>
      </c>
    </row>
    <row r="1303" spans="1:11" ht="26.25" x14ac:dyDescent="0.25">
      <c r="A1303" s="83" t="s">
        <v>712</v>
      </c>
      <c r="B1303" s="83" t="s">
        <v>6328</v>
      </c>
      <c r="C1303" s="83" t="s">
        <v>3208</v>
      </c>
      <c r="D1303" s="83" t="s">
        <v>3209</v>
      </c>
      <c r="E1303" s="83" t="s">
        <v>3226</v>
      </c>
      <c r="F1303" s="83" t="s">
        <v>6329</v>
      </c>
      <c r="G1303" s="83" t="s">
        <v>6330</v>
      </c>
      <c r="H1303" s="83">
        <v>10</v>
      </c>
      <c r="I1303" s="83" t="s">
        <v>3213</v>
      </c>
      <c r="J1303" s="83" t="s">
        <v>3467</v>
      </c>
      <c r="K1303" s="83" t="s">
        <v>3215</v>
      </c>
    </row>
    <row r="1304" spans="1:11" ht="51.75" x14ac:dyDescent="0.25">
      <c r="A1304" s="83" t="s">
        <v>2201</v>
      </c>
      <c r="B1304" s="83" t="s">
        <v>3208</v>
      </c>
      <c r="C1304" s="83" t="s">
        <v>3208</v>
      </c>
      <c r="D1304" s="83" t="s">
        <v>3713</v>
      </c>
      <c r="E1304" s="83" t="s">
        <v>3761</v>
      </c>
      <c r="F1304" s="83" t="s">
        <v>6331</v>
      </c>
      <c r="G1304" s="83" t="s">
        <v>6332</v>
      </c>
      <c r="H1304" s="83">
        <v>0</v>
      </c>
      <c r="I1304" s="83" t="s">
        <v>3229</v>
      </c>
      <c r="J1304" s="83" t="s">
        <v>3371</v>
      </c>
      <c r="K1304" s="83" t="s">
        <v>3215</v>
      </c>
    </row>
    <row r="1305" spans="1:11" ht="51.75" x14ac:dyDescent="0.25">
      <c r="A1305" s="83" t="s">
        <v>2267</v>
      </c>
      <c r="B1305" s="83" t="s">
        <v>3208</v>
      </c>
      <c r="C1305" s="83" t="s">
        <v>3208</v>
      </c>
      <c r="D1305" s="83" t="s">
        <v>3713</v>
      </c>
      <c r="E1305" s="83" t="s">
        <v>3761</v>
      </c>
      <c r="F1305" s="83" t="s">
        <v>3854</v>
      </c>
      <c r="G1305" s="83" t="s">
        <v>6333</v>
      </c>
      <c r="H1305" s="83">
        <v>0</v>
      </c>
      <c r="I1305" s="83" t="s">
        <v>3229</v>
      </c>
      <c r="J1305" s="83" t="s">
        <v>3238</v>
      </c>
      <c r="K1305" s="83" t="s">
        <v>3215</v>
      </c>
    </row>
    <row r="1306" spans="1:11" ht="51.75" x14ac:dyDescent="0.25">
      <c r="A1306" s="83" t="s">
        <v>2260</v>
      </c>
      <c r="B1306" s="83" t="s">
        <v>3208</v>
      </c>
      <c r="C1306" s="83" t="s">
        <v>3208</v>
      </c>
      <c r="D1306" s="83" t="s">
        <v>3713</v>
      </c>
      <c r="E1306" s="83" t="s">
        <v>3761</v>
      </c>
      <c r="F1306" s="83" t="s">
        <v>3854</v>
      </c>
      <c r="G1306" s="83" t="s">
        <v>3408</v>
      </c>
      <c r="H1306" s="83">
        <v>0</v>
      </c>
      <c r="I1306" s="83" t="s">
        <v>3229</v>
      </c>
      <c r="J1306" s="83" t="s">
        <v>3289</v>
      </c>
      <c r="K1306" s="83" t="s">
        <v>3215</v>
      </c>
    </row>
    <row r="1307" spans="1:11" ht="51.75" x14ac:dyDescent="0.25">
      <c r="A1307" s="83" t="s">
        <v>2378</v>
      </c>
      <c r="B1307" s="83" t="s">
        <v>3208</v>
      </c>
      <c r="C1307" s="83" t="s">
        <v>3208</v>
      </c>
      <c r="D1307" s="83" t="s">
        <v>3713</v>
      </c>
      <c r="E1307" s="83" t="s">
        <v>3761</v>
      </c>
      <c r="F1307" s="83" t="s">
        <v>3854</v>
      </c>
      <c r="G1307" s="83" t="s">
        <v>4781</v>
      </c>
      <c r="H1307" s="83">
        <v>0</v>
      </c>
      <c r="I1307" s="83" t="s">
        <v>3229</v>
      </c>
      <c r="J1307" s="83" t="s">
        <v>3238</v>
      </c>
      <c r="K1307" s="83" t="s">
        <v>3215</v>
      </c>
    </row>
    <row r="1308" spans="1:11" ht="26.25" x14ac:dyDescent="0.25">
      <c r="A1308" s="83" t="s">
        <v>560</v>
      </c>
      <c r="B1308" s="83" t="s">
        <v>3208</v>
      </c>
      <c r="C1308" s="83" t="s">
        <v>6334</v>
      </c>
      <c r="D1308" s="83" t="s">
        <v>3718</v>
      </c>
      <c r="E1308" s="83" t="s">
        <v>3727</v>
      </c>
      <c r="F1308" s="83" t="s">
        <v>6335</v>
      </c>
      <c r="G1308" s="83" t="s">
        <v>6336</v>
      </c>
      <c r="H1308" s="83">
        <v>8</v>
      </c>
      <c r="I1308" s="83" t="s">
        <v>3213</v>
      </c>
      <c r="J1308" s="83" t="s">
        <v>3467</v>
      </c>
      <c r="K1308" s="83" t="s">
        <v>3215</v>
      </c>
    </row>
    <row r="1309" spans="1:11" ht="26.25" x14ac:dyDescent="0.25">
      <c r="A1309" s="83" t="s">
        <v>671</v>
      </c>
      <c r="B1309" s="83" t="s">
        <v>3208</v>
      </c>
      <c r="C1309" s="83" t="s">
        <v>6337</v>
      </c>
      <c r="D1309" s="83" t="s">
        <v>3718</v>
      </c>
      <c r="E1309" s="83" t="s">
        <v>3727</v>
      </c>
      <c r="F1309" s="83" t="s">
        <v>6338</v>
      </c>
      <c r="G1309" s="83" t="s">
        <v>6339</v>
      </c>
      <c r="H1309" s="83">
        <v>4</v>
      </c>
      <c r="I1309" s="83" t="s">
        <v>3229</v>
      </c>
      <c r="J1309" s="83" t="s">
        <v>3222</v>
      </c>
      <c r="K1309" s="83" t="s">
        <v>3215</v>
      </c>
    </row>
    <row r="1310" spans="1:11" ht="153.75" x14ac:dyDescent="0.25">
      <c r="A1310" s="83" t="s">
        <v>1529</v>
      </c>
      <c r="B1310" s="83" t="s">
        <v>6103</v>
      </c>
      <c r="C1310" s="83" t="s">
        <v>3208</v>
      </c>
      <c r="D1310" s="83" t="s">
        <v>3209</v>
      </c>
      <c r="E1310" s="83" t="s">
        <v>3226</v>
      </c>
      <c r="F1310" s="83" t="s">
        <v>5067</v>
      </c>
      <c r="G1310" s="83" t="s">
        <v>5599</v>
      </c>
      <c r="H1310" s="83">
        <v>21778.799999999999</v>
      </c>
      <c r="I1310" s="83" t="s">
        <v>3229</v>
      </c>
      <c r="J1310" s="83" t="s">
        <v>6340</v>
      </c>
      <c r="K1310" s="83" t="s">
        <v>3215</v>
      </c>
    </row>
    <row r="1311" spans="1:11" ht="51.75" x14ac:dyDescent="0.25">
      <c r="A1311" s="83" t="s">
        <v>2194</v>
      </c>
      <c r="B1311" s="83" t="s">
        <v>3208</v>
      </c>
      <c r="C1311" s="83" t="s">
        <v>3208</v>
      </c>
      <c r="D1311" s="83" t="s">
        <v>3713</v>
      </c>
      <c r="E1311" s="83" t="s">
        <v>3761</v>
      </c>
      <c r="F1311" s="83" t="s">
        <v>6341</v>
      </c>
      <c r="G1311" s="83" t="s">
        <v>5391</v>
      </c>
      <c r="H1311" s="83">
        <v>0</v>
      </c>
      <c r="I1311" s="83" t="s">
        <v>3229</v>
      </c>
      <c r="J1311" s="83" t="s">
        <v>3289</v>
      </c>
      <c r="K1311" s="83" t="s">
        <v>3215</v>
      </c>
    </row>
    <row r="1312" spans="1:11" ht="26.25" x14ac:dyDescent="0.25">
      <c r="A1312" s="83" t="s">
        <v>6342</v>
      </c>
      <c r="B1312" s="83" t="s">
        <v>3208</v>
      </c>
      <c r="C1312" s="83" t="s">
        <v>3208</v>
      </c>
      <c r="D1312" s="83" t="s">
        <v>3713</v>
      </c>
      <c r="E1312" s="83" t="s">
        <v>3714</v>
      </c>
      <c r="F1312" s="83" t="s">
        <v>3872</v>
      </c>
      <c r="G1312" s="83" t="s">
        <v>6343</v>
      </c>
      <c r="H1312" s="83">
        <v>0</v>
      </c>
      <c r="I1312" s="83" t="s">
        <v>3208</v>
      </c>
      <c r="J1312" s="83" t="s">
        <v>3208</v>
      </c>
      <c r="K1312" s="83" t="s">
        <v>3208</v>
      </c>
    </row>
    <row r="1313" spans="1:11" ht="26.25" x14ac:dyDescent="0.25">
      <c r="A1313" s="83" t="s">
        <v>1838</v>
      </c>
      <c r="B1313" s="83" t="s">
        <v>3208</v>
      </c>
      <c r="C1313" s="83" t="s">
        <v>3208</v>
      </c>
      <c r="D1313" s="83" t="s">
        <v>3713</v>
      </c>
      <c r="E1313" s="83" t="s">
        <v>3761</v>
      </c>
      <c r="F1313" s="83" t="s">
        <v>6344</v>
      </c>
      <c r="G1313" s="83" t="s">
        <v>6345</v>
      </c>
      <c r="H1313" s="83">
        <v>0</v>
      </c>
      <c r="I1313" s="83" t="s">
        <v>3229</v>
      </c>
      <c r="J1313" s="83" t="s">
        <v>3222</v>
      </c>
      <c r="K1313" s="83" t="s">
        <v>3215</v>
      </c>
    </row>
    <row r="1314" spans="1:11" ht="51.75" x14ac:dyDescent="0.25">
      <c r="A1314" s="83" t="s">
        <v>840</v>
      </c>
      <c r="B1314" s="83" t="s">
        <v>6346</v>
      </c>
      <c r="C1314" s="83" t="s">
        <v>6347</v>
      </c>
      <c r="D1314" s="83" t="s">
        <v>3209</v>
      </c>
      <c r="E1314" s="83" t="s">
        <v>3246</v>
      </c>
      <c r="F1314" s="83" t="s">
        <v>4792</v>
      </c>
      <c r="G1314" s="83" t="s">
        <v>4793</v>
      </c>
      <c r="H1314" s="83">
        <v>6</v>
      </c>
      <c r="I1314" s="83" t="s">
        <v>3213</v>
      </c>
      <c r="J1314" s="83" t="s">
        <v>3214</v>
      </c>
      <c r="K1314" s="83" t="s">
        <v>3215</v>
      </c>
    </row>
    <row r="1315" spans="1:11" ht="51.75" x14ac:dyDescent="0.25">
      <c r="A1315" s="83" t="s">
        <v>2340</v>
      </c>
      <c r="B1315" s="83" t="s">
        <v>3208</v>
      </c>
      <c r="C1315" s="83" t="s">
        <v>3208</v>
      </c>
      <c r="D1315" s="83" t="s">
        <v>3713</v>
      </c>
      <c r="E1315" s="83" t="s">
        <v>3761</v>
      </c>
      <c r="F1315" s="83" t="s">
        <v>3886</v>
      </c>
      <c r="G1315" s="83" t="s">
        <v>3362</v>
      </c>
      <c r="H1315" s="83">
        <v>0</v>
      </c>
      <c r="I1315" s="83" t="s">
        <v>3229</v>
      </c>
      <c r="J1315" s="83" t="s">
        <v>3230</v>
      </c>
      <c r="K1315" s="83" t="s">
        <v>3215</v>
      </c>
    </row>
    <row r="1316" spans="1:11" ht="51.75" x14ac:dyDescent="0.25">
      <c r="A1316" s="83" t="s">
        <v>867</v>
      </c>
      <c r="B1316" s="83" t="s">
        <v>6348</v>
      </c>
      <c r="C1316" s="83" t="s">
        <v>6349</v>
      </c>
      <c r="D1316" s="83" t="s">
        <v>3209</v>
      </c>
      <c r="E1316" s="83" t="s">
        <v>3246</v>
      </c>
      <c r="F1316" s="83" t="s">
        <v>4789</v>
      </c>
      <c r="G1316" s="83" t="s">
        <v>5566</v>
      </c>
      <c r="H1316" s="83">
        <v>16</v>
      </c>
      <c r="I1316" s="83" t="s">
        <v>3213</v>
      </c>
      <c r="J1316" s="83" t="s">
        <v>3214</v>
      </c>
      <c r="K1316" s="83" t="s">
        <v>3215</v>
      </c>
    </row>
    <row r="1317" spans="1:11" ht="51.75" x14ac:dyDescent="0.25">
      <c r="A1317" s="83" t="s">
        <v>54</v>
      </c>
      <c r="B1317" s="83" t="s">
        <v>6350</v>
      </c>
      <c r="C1317" s="83" t="s">
        <v>3208</v>
      </c>
      <c r="D1317" s="83" t="s">
        <v>3209</v>
      </c>
      <c r="E1317" s="83" t="s">
        <v>3226</v>
      </c>
      <c r="F1317" s="83" t="s">
        <v>6351</v>
      </c>
      <c r="G1317" s="83" t="s">
        <v>4819</v>
      </c>
      <c r="H1317" s="83">
        <v>2171.933</v>
      </c>
      <c r="I1317" s="83" t="s">
        <v>3229</v>
      </c>
      <c r="J1317" s="83" t="s">
        <v>3371</v>
      </c>
      <c r="K1317" s="83" t="s">
        <v>3215</v>
      </c>
    </row>
    <row r="1318" spans="1:11" x14ac:dyDescent="0.25">
      <c r="A1318" s="83" t="s">
        <v>6352</v>
      </c>
      <c r="B1318" s="83" t="s">
        <v>6353</v>
      </c>
      <c r="C1318" s="83" t="s">
        <v>6354</v>
      </c>
      <c r="D1318" s="83" t="s">
        <v>3209</v>
      </c>
      <c r="E1318" s="83" t="s">
        <v>3702</v>
      </c>
      <c r="F1318" s="83" t="s">
        <v>6355</v>
      </c>
      <c r="G1318" s="83" t="s">
        <v>6356</v>
      </c>
      <c r="H1318" s="83">
        <v>403.6</v>
      </c>
      <c r="I1318" s="83" t="s">
        <v>3208</v>
      </c>
      <c r="J1318" s="83" t="s">
        <v>3208</v>
      </c>
      <c r="K1318" s="83" t="s">
        <v>3208</v>
      </c>
    </row>
    <row r="1319" spans="1:11" x14ac:dyDescent="0.25">
      <c r="A1319" s="83" t="s">
        <v>6357</v>
      </c>
      <c r="B1319" s="83" t="s">
        <v>6358</v>
      </c>
      <c r="C1319" s="83" t="s">
        <v>6359</v>
      </c>
      <c r="D1319" s="83" t="s">
        <v>3209</v>
      </c>
      <c r="E1319" s="83" t="s">
        <v>3702</v>
      </c>
      <c r="F1319" s="83" t="s">
        <v>4013</v>
      </c>
      <c r="G1319" s="83" t="s">
        <v>6360</v>
      </c>
      <c r="H1319" s="83">
        <v>8.5</v>
      </c>
      <c r="I1319" s="83" t="s">
        <v>3208</v>
      </c>
      <c r="J1319" s="83" t="s">
        <v>3208</v>
      </c>
      <c r="K1319" s="83" t="s">
        <v>3208</v>
      </c>
    </row>
    <row r="1320" spans="1:11" ht="51.75" x14ac:dyDescent="0.25">
      <c r="A1320" s="83" t="s">
        <v>2265</v>
      </c>
      <c r="B1320" s="83" t="s">
        <v>3208</v>
      </c>
      <c r="C1320" s="83" t="s">
        <v>3208</v>
      </c>
      <c r="D1320" s="83" t="s">
        <v>3713</v>
      </c>
      <c r="E1320" s="83" t="s">
        <v>3761</v>
      </c>
      <c r="F1320" s="83" t="s">
        <v>3856</v>
      </c>
      <c r="G1320" s="83" t="s">
        <v>6361</v>
      </c>
      <c r="H1320" s="83">
        <v>0</v>
      </c>
      <c r="I1320" s="83" t="s">
        <v>3229</v>
      </c>
      <c r="J1320" s="83" t="s">
        <v>3238</v>
      </c>
      <c r="K1320" s="83" t="s">
        <v>3215</v>
      </c>
    </row>
    <row r="1321" spans="1:11" ht="51.75" x14ac:dyDescent="0.25">
      <c r="A1321" s="83" t="s">
        <v>2351</v>
      </c>
      <c r="B1321" s="83" t="s">
        <v>3208</v>
      </c>
      <c r="C1321" s="83" t="s">
        <v>3208</v>
      </c>
      <c r="D1321" s="83" t="s">
        <v>3713</v>
      </c>
      <c r="E1321" s="83" t="s">
        <v>3761</v>
      </c>
      <c r="F1321" s="83" t="s">
        <v>3895</v>
      </c>
      <c r="G1321" s="83" t="s">
        <v>5126</v>
      </c>
      <c r="H1321" s="83">
        <v>0</v>
      </c>
      <c r="I1321" s="83" t="s">
        <v>3213</v>
      </c>
      <c r="J1321" s="83" t="s">
        <v>3214</v>
      </c>
      <c r="K1321" s="83" t="s">
        <v>3215</v>
      </c>
    </row>
    <row r="1322" spans="1:11" ht="51.75" x14ac:dyDescent="0.25">
      <c r="A1322" s="83" t="s">
        <v>616</v>
      </c>
      <c r="B1322" s="83" t="s">
        <v>3208</v>
      </c>
      <c r="C1322" s="83" t="s">
        <v>3208</v>
      </c>
      <c r="D1322" s="83" t="s">
        <v>3209</v>
      </c>
      <c r="E1322" s="83" t="s">
        <v>3210</v>
      </c>
      <c r="F1322" s="83" t="s">
        <v>3818</v>
      </c>
      <c r="G1322" s="83" t="s">
        <v>6362</v>
      </c>
      <c r="H1322" s="83">
        <v>258</v>
      </c>
      <c r="I1322" s="83" t="s">
        <v>3213</v>
      </c>
      <c r="J1322" s="83" t="s">
        <v>3214</v>
      </c>
      <c r="K1322" s="83" t="s">
        <v>3215</v>
      </c>
    </row>
    <row r="1323" spans="1:11" ht="51.75" x14ac:dyDescent="0.25">
      <c r="A1323" s="83" t="s">
        <v>622</v>
      </c>
      <c r="B1323" s="83" t="s">
        <v>3208</v>
      </c>
      <c r="C1323" s="83" t="s">
        <v>6363</v>
      </c>
      <c r="D1323" s="83" t="s">
        <v>3718</v>
      </c>
      <c r="E1323" s="83" t="s">
        <v>3727</v>
      </c>
      <c r="F1323" s="83" t="s">
        <v>6364</v>
      </c>
      <c r="G1323" s="83" t="s">
        <v>6365</v>
      </c>
      <c r="H1323" s="83">
        <v>2.1</v>
      </c>
      <c r="I1323" s="83" t="s">
        <v>3213</v>
      </c>
      <c r="J1323" s="83" t="s">
        <v>3214</v>
      </c>
      <c r="K1323" s="83" t="s">
        <v>3215</v>
      </c>
    </row>
    <row r="1324" spans="1:11" ht="51.75" x14ac:dyDescent="0.25">
      <c r="A1324" s="83" t="s">
        <v>575</v>
      </c>
      <c r="B1324" s="83" t="s">
        <v>6366</v>
      </c>
      <c r="C1324" s="83" t="s">
        <v>3208</v>
      </c>
      <c r="D1324" s="83" t="s">
        <v>3209</v>
      </c>
      <c r="E1324" s="83" t="s">
        <v>3226</v>
      </c>
      <c r="F1324" s="83" t="s">
        <v>6367</v>
      </c>
      <c r="G1324" s="83" t="s">
        <v>4365</v>
      </c>
      <c r="H1324" s="83">
        <v>48</v>
      </c>
      <c r="I1324" s="83" t="s">
        <v>3229</v>
      </c>
      <c r="J1324" s="83" t="s">
        <v>6262</v>
      </c>
      <c r="K1324" s="83" t="s">
        <v>3215</v>
      </c>
    </row>
    <row r="1325" spans="1:11" ht="51.75" x14ac:dyDescent="0.25">
      <c r="A1325" s="83" t="s">
        <v>2248</v>
      </c>
      <c r="B1325" s="83" t="s">
        <v>3208</v>
      </c>
      <c r="C1325" s="83" t="s">
        <v>3208</v>
      </c>
      <c r="D1325" s="83" t="s">
        <v>3713</v>
      </c>
      <c r="E1325" s="83" t="s">
        <v>3761</v>
      </c>
      <c r="F1325" s="83" t="s">
        <v>3854</v>
      </c>
      <c r="G1325" s="83" t="s">
        <v>4781</v>
      </c>
      <c r="H1325" s="83">
        <v>0</v>
      </c>
      <c r="I1325" s="83" t="s">
        <v>3229</v>
      </c>
      <c r="J1325" s="83" t="s">
        <v>3238</v>
      </c>
      <c r="K1325" s="83" t="s">
        <v>3215</v>
      </c>
    </row>
    <row r="1326" spans="1:11" ht="26.25" x14ac:dyDescent="0.25">
      <c r="A1326" s="83" t="s">
        <v>6368</v>
      </c>
      <c r="B1326" s="83" t="s">
        <v>3208</v>
      </c>
      <c r="C1326" s="83" t="s">
        <v>3208</v>
      </c>
      <c r="D1326" s="83" t="s">
        <v>3713</v>
      </c>
      <c r="E1326" s="83" t="s">
        <v>3714</v>
      </c>
      <c r="F1326" s="83" t="s">
        <v>3909</v>
      </c>
      <c r="G1326" s="83" t="s">
        <v>3910</v>
      </c>
      <c r="H1326" s="83">
        <v>0</v>
      </c>
      <c r="I1326" s="83" t="s">
        <v>3208</v>
      </c>
      <c r="J1326" s="83" t="s">
        <v>3208</v>
      </c>
      <c r="K1326" s="83" t="s">
        <v>3208</v>
      </c>
    </row>
    <row r="1327" spans="1:11" ht="26.25" x14ac:dyDescent="0.25">
      <c r="A1327" s="83" t="s">
        <v>636</v>
      </c>
      <c r="B1327" s="83" t="s">
        <v>3208</v>
      </c>
      <c r="C1327" s="83" t="s">
        <v>3208</v>
      </c>
      <c r="D1327" s="83" t="s">
        <v>3209</v>
      </c>
      <c r="E1327" s="83" t="s">
        <v>3210</v>
      </c>
      <c r="F1327" s="83" t="s">
        <v>6369</v>
      </c>
      <c r="G1327" s="83" t="s">
        <v>6370</v>
      </c>
      <c r="H1327" s="83">
        <v>52</v>
      </c>
      <c r="I1327" s="83" t="s">
        <v>3213</v>
      </c>
      <c r="J1327" s="83" t="s">
        <v>3467</v>
      </c>
      <c r="K1327" s="83" t="s">
        <v>3215</v>
      </c>
    </row>
    <row r="1328" spans="1:11" ht="26.25" x14ac:dyDescent="0.25">
      <c r="A1328" s="83" t="s">
        <v>660</v>
      </c>
      <c r="B1328" s="83" t="s">
        <v>3208</v>
      </c>
      <c r="C1328" s="83" t="s">
        <v>3208</v>
      </c>
      <c r="D1328" s="83" t="s">
        <v>3209</v>
      </c>
      <c r="E1328" s="83" t="s">
        <v>3210</v>
      </c>
      <c r="F1328" s="83" t="s">
        <v>6371</v>
      </c>
      <c r="G1328" s="83" t="s">
        <v>5661</v>
      </c>
      <c r="H1328" s="83">
        <v>15.2</v>
      </c>
      <c r="I1328" s="83" t="s">
        <v>3229</v>
      </c>
      <c r="J1328" s="83" t="s">
        <v>3397</v>
      </c>
      <c r="K1328" s="83" t="s">
        <v>3215</v>
      </c>
    </row>
    <row r="1329" spans="1:11" ht="26.25" x14ac:dyDescent="0.25">
      <c r="A1329" s="83" t="s">
        <v>6372</v>
      </c>
      <c r="B1329" s="83" t="s">
        <v>3208</v>
      </c>
      <c r="C1329" s="83" t="s">
        <v>3208</v>
      </c>
      <c r="D1329" s="83" t="s">
        <v>3209</v>
      </c>
      <c r="E1329" s="83" t="s">
        <v>3210</v>
      </c>
      <c r="F1329" s="83" t="s">
        <v>6373</v>
      </c>
      <c r="G1329" s="83" t="s">
        <v>6374</v>
      </c>
      <c r="H1329" s="83">
        <v>20</v>
      </c>
      <c r="I1329" s="83" t="s">
        <v>3229</v>
      </c>
      <c r="J1329" s="83" t="s">
        <v>3397</v>
      </c>
      <c r="K1329" s="83" t="s">
        <v>3215</v>
      </c>
    </row>
    <row r="1330" spans="1:11" ht="26.25" x14ac:dyDescent="0.25">
      <c r="A1330" s="83" t="s">
        <v>6375</v>
      </c>
      <c r="B1330" s="83" t="s">
        <v>3208</v>
      </c>
      <c r="C1330" s="83" t="s">
        <v>3208</v>
      </c>
      <c r="D1330" s="83" t="s">
        <v>3209</v>
      </c>
      <c r="E1330" s="83" t="s">
        <v>3663</v>
      </c>
      <c r="F1330" s="83" t="s">
        <v>6376</v>
      </c>
      <c r="G1330" s="83" t="s">
        <v>6377</v>
      </c>
      <c r="H1330" s="83">
        <v>500</v>
      </c>
      <c r="I1330" s="83" t="s">
        <v>3208</v>
      </c>
      <c r="J1330" s="83" t="s">
        <v>3208</v>
      </c>
      <c r="K1330" s="83" t="s">
        <v>3208</v>
      </c>
    </row>
    <row r="1331" spans="1:11" x14ac:dyDescent="0.25">
      <c r="A1331" s="83" t="s">
        <v>6378</v>
      </c>
      <c r="B1331" s="83" t="s">
        <v>3208</v>
      </c>
      <c r="C1331" s="83" t="s">
        <v>3208</v>
      </c>
      <c r="D1331" s="83" t="s">
        <v>3209</v>
      </c>
      <c r="E1331" s="83" t="s">
        <v>3663</v>
      </c>
      <c r="F1331" s="83" t="s">
        <v>5579</v>
      </c>
      <c r="G1331" s="83" t="s">
        <v>6379</v>
      </c>
      <c r="H1331" s="83">
        <v>49</v>
      </c>
      <c r="I1331" s="83" t="s">
        <v>3208</v>
      </c>
      <c r="J1331" s="83" t="s">
        <v>3208</v>
      </c>
      <c r="K1331" s="83" t="s">
        <v>3208</v>
      </c>
    </row>
    <row r="1332" spans="1:11" ht="26.25" x14ac:dyDescent="0.25">
      <c r="A1332" s="83" t="s">
        <v>651</v>
      </c>
      <c r="B1332" s="83" t="s">
        <v>3208</v>
      </c>
      <c r="C1332" s="83" t="s">
        <v>3208</v>
      </c>
      <c r="D1332" s="83" t="s">
        <v>3209</v>
      </c>
      <c r="E1332" s="83" t="s">
        <v>3210</v>
      </c>
      <c r="F1332" s="83" t="s">
        <v>4659</v>
      </c>
      <c r="G1332" s="83" t="s">
        <v>4977</v>
      </c>
      <c r="H1332" s="83">
        <v>182</v>
      </c>
      <c r="I1332" s="83" t="s">
        <v>3213</v>
      </c>
      <c r="J1332" s="83" t="s">
        <v>3948</v>
      </c>
      <c r="K1332" s="83" t="s">
        <v>3215</v>
      </c>
    </row>
    <row r="1333" spans="1:11" ht="51.75" x14ac:dyDescent="0.25">
      <c r="A1333" s="83" t="s">
        <v>728</v>
      </c>
      <c r="B1333" s="83" t="s">
        <v>3208</v>
      </c>
      <c r="C1333" s="83" t="s">
        <v>6380</v>
      </c>
      <c r="D1333" s="83" t="s">
        <v>3718</v>
      </c>
      <c r="E1333" s="83" t="s">
        <v>3727</v>
      </c>
      <c r="F1333" s="83" t="s">
        <v>3906</v>
      </c>
      <c r="G1333" s="83" t="s">
        <v>6381</v>
      </c>
      <c r="H1333" s="83">
        <v>2</v>
      </c>
      <c r="I1333" s="83" t="s">
        <v>3229</v>
      </c>
      <c r="J1333" s="83" t="s">
        <v>3337</v>
      </c>
      <c r="K1333" s="83" t="s">
        <v>3215</v>
      </c>
    </row>
    <row r="1334" spans="1:11" ht="26.25" x14ac:dyDescent="0.25">
      <c r="A1334" s="83" t="s">
        <v>6382</v>
      </c>
      <c r="B1334" s="83" t="s">
        <v>3208</v>
      </c>
      <c r="C1334" s="83" t="s">
        <v>3208</v>
      </c>
      <c r="D1334" s="83" t="s">
        <v>3713</v>
      </c>
      <c r="E1334" s="83" t="s">
        <v>3714</v>
      </c>
      <c r="F1334" s="83" t="s">
        <v>6383</v>
      </c>
      <c r="G1334" s="83" t="s">
        <v>4749</v>
      </c>
      <c r="H1334" s="83">
        <v>0</v>
      </c>
      <c r="I1334" s="83" t="s">
        <v>3208</v>
      </c>
      <c r="J1334" s="83" t="s">
        <v>3208</v>
      </c>
      <c r="K1334" s="83" t="s">
        <v>3208</v>
      </c>
    </row>
    <row r="1335" spans="1:11" ht="51.75" x14ac:dyDescent="0.25">
      <c r="A1335" s="83" t="s">
        <v>683</v>
      </c>
      <c r="B1335" s="83" t="s">
        <v>3208</v>
      </c>
      <c r="C1335" s="83" t="s">
        <v>6384</v>
      </c>
      <c r="D1335" s="83" t="s">
        <v>3718</v>
      </c>
      <c r="E1335" s="83" t="s">
        <v>3727</v>
      </c>
      <c r="F1335" s="83" t="s">
        <v>6385</v>
      </c>
      <c r="G1335" s="83" t="s">
        <v>6386</v>
      </c>
      <c r="H1335" s="83">
        <v>10</v>
      </c>
      <c r="I1335" s="83" t="s">
        <v>3229</v>
      </c>
      <c r="J1335" s="83" t="s">
        <v>3337</v>
      </c>
      <c r="K1335" s="83" t="s">
        <v>3215</v>
      </c>
    </row>
    <row r="1336" spans="1:11" ht="26.25" x14ac:dyDescent="0.25">
      <c r="A1336" s="83" t="s">
        <v>673</v>
      </c>
      <c r="B1336" s="83" t="s">
        <v>3208</v>
      </c>
      <c r="C1336" s="83" t="s">
        <v>6387</v>
      </c>
      <c r="D1336" s="83" t="s">
        <v>3718</v>
      </c>
      <c r="E1336" s="83" t="s">
        <v>3727</v>
      </c>
      <c r="F1336" s="83" t="s">
        <v>6388</v>
      </c>
      <c r="G1336" s="83" t="s">
        <v>6389</v>
      </c>
      <c r="H1336" s="83">
        <v>1</v>
      </c>
      <c r="I1336" s="83" t="s">
        <v>3229</v>
      </c>
      <c r="J1336" s="83" t="s">
        <v>3397</v>
      </c>
      <c r="K1336" s="83" t="s">
        <v>3215</v>
      </c>
    </row>
    <row r="1337" spans="1:11" ht="64.5" x14ac:dyDescent="0.25">
      <c r="A1337" s="83" t="s">
        <v>487</v>
      </c>
      <c r="B1337" s="83" t="s">
        <v>3208</v>
      </c>
      <c r="C1337" s="83" t="s">
        <v>3208</v>
      </c>
      <c r="D1337" s="83" t="s">
        <v>3209</v>
      </c>
      <c r="E1337" s="83" t="s">
        <v>3210</v>
      </c>
      <c r="F1337" s="83" t="s">
        <v>6390</v>
      </c>
      <c r="G1337" s="83" t="s">
        <v>6391</v>
      </c>
      <c r="H1337" s="83">
        <v>46</v>
      </c>
      <c r="I1337" s="83" t="s">
        <v>3229</v>
      </c>
      <c r="J1337" s="83" t="s">
        <v>3380</v>
      </c>
      <c r="K1337" s="83" t="s">
        <v>3215</v>
      </c>
    </row>
    <row r="1338" spans="1:11" ht="51.75" x14ac:dyDescent="0.25">
      <c r="A1338" s="83" t="s">
        <v>43</v>
      </c>
      <c r="B1338" s="83" t="s">
        <v>6392</v>
      </c>
      <c r="C1338" s="83" t="s">
        <v>6393</v>
      </c>
      <c r="D1338" s="83" t="s">
        <v>3209</v>
      </c>
      <c r="E1338" s="83" t="s">
        <v>3246</v>
      </c>
      <c r="F1338" s="83" t="s">
        <v>6394</v>
      </c>
      <c r="G1338" s="83" t="s">
        <v>5566</v>
      </c>
      <c r="H1338" s="83">
        <v>349</v>
      </c>
      <c r="I1338" s="83" t="s">
        <v>3213</v>
      </c>
      <c r="J1338" s="83" t="s">
        <v>3214</v>
      </c>
      <c r="K1338" s="83" t="s">
        <v>3215</v>
      </c>
    </row>
    <row r="1339" spans="1:11" ht="51.75" x14ac:dyDescent="0.25">
      <c r="A1339" s="83" t="s">
        <v>2292</v>
      </c>
      <c r="B1339" s="83" t="s">
        <v>3208</v>
      </c>
      <c r="C1339" s="83" t="s">
        <v>3208</v>
      </c>
      <c r="D1339" s="83" t="s">
        <v>3713</v>
      </c>
      <c r="E1339" s="83" t="s">
        <v>3761</v>
      </c>
      <c r="F1339" s="83" t="s">
        <v>6395</v>
      </c>
      <c r="G1339" s="83" t="s">
        <v>5608</v>
      </c>
      <c r="H1339" s="83">
        <v>0</v>
      </c>
      <c r="I1339" s="83" t="s">
        <v>3229</v>
      </c>
      <c r="J1339" s="83" t="s">
        <v>3230</v>
      </c>
      <c r="K1339" s="83" t="s">
        <v>3215</v>
      </c>
    </row>
    <row r="1340" spans="1:11" ht="51.75" x14ac:dyDescent="0.25">
      <c r="A1340" s="83" t="s">
        <v>1606</v>
      </c>
      <c r="B1340" s="83" t="s">
        <v>6396</v>
      </c>
      <c r="C1340" s="83" t="s">
        <v>6397</v>
      </c>
      <c r="D1340" s="83" t="s">
        <v>3209</v>
      </c>
      <c r="E1340" s="83" t="s">
        <v>3246</v>
      </c>
      <c r="F1340" s="83" t="s">
        <v>6398</v>
      </c>
      <c r="G1340" s="83" t="s">
        <v>3417</v>
      </c>
      <c r="H1340" s="83">
        <v>69</v>
      </c>
      <c r="I1340" s="83" t="s">
        <v>3213</v>
      </c>
      <c r="J1340" s="83" t="s">
        <v>3257</v>
      </c>
      <c r="K1340" s="83" t="s">
        <v>3215</v>
      </c>
    </row>
    <row r="1341" spans="1:11" ht="51.75" x14ac:dyDescent="0.25">
      <c r="A1341" s="83" t="s">
        <v>33</v>
      </c>
      <c r="B1341" s="83" t="s">
        <v>3208</v>
      </c>
      <c r="C1341" s="83" t="s">
        <v>3208</v>
      </c>
      <c r="D1341" s="83" t="s">
        <v>3713</v>
      </c>
      <c r="E1341" s="83" t="s">
        <v>3761</v>
      </c>
      <c r="F1341" s="83" t="s">
        <v>6399</v>
      </c>
      <c r="G1341" s="83" t="s">
        <v>6400</v>
      </c>
      <c r="H1341" s="83">
        <v>0</v>
      </c>
      <c r="I1341" s="83" t="s">
        <v>3229</v>
      </c>
      <c r="J1341" s="83" t="s">
        <v>3371</v>
      </c>
      <c r="K1341" s="83" t="s">
        <v>3215</v>
      </c>
    </row>
    <row r="1342" spans="1:11" ht="51.75" x14ac:dyDescent="0.25">
      <c r="A1342" s="83" t="s">
        <v>576</v>
      </c>
      <c r="B1342" s="83" t="s">
        <v>3208</v>
      </c>
      <c r="C1342" s="83" t="s">
        <v>3208</v>
      </c>
      <c r="D1342" s="83" t="s">
        <v>3209</v>
      </c>
      <c r="E1342" s="83" t="s">
        <v>3210</v>
      </c>
      <c r="F1342" s="83" t="s">
        <v>6401</v>
      </c>
      <c r="G1342" s="83" t="s">
        <v>6402</v>
      </c>
      <c r="H1342" s="83">
        <v>36</v>
      </c>
      <c r="I1342" s="83" t="s">
        <v>3213</v>
      </c>
      <c r="J1342" s="83" t="s">
        <v>3214</v>
      </c>
      <c r="K1342" s="83" t="s">
        <v>3215</v>
      </c>
    </row>
    <row r="1343" spans="1:11" x14ac:dyDescent="0.25">
      <c r="A1343" s="83" t="s">
        <v>6403</v>
      </c>
      <c r="B1343" s="83" t="s">
        <v>6404</v>
      </c>
      <c r="C1343" s="83" t="s">
        <v>6405</v>
      </c>
      <c r="D1343" s="83" t="s">
        <v>3209</v>
      </c>
      <c r="E1343" s="83" t="s">
        <v>3702</v>
      </c>
      <c r="F1343" s="83" t="s">
        <v>6406</v>
      </c>
      <c r="G1343" s="83" t="s">
        <v>6407</v>
      </c>
      <c r="H1343" s="83">
        <v>1.4</v>
      </c>
      <c r="I1343" s="83" t="s">
        <v>3208</v>
      </c>
      <c r="J1343" s="83" t="s">
        <v>3208</v>
      </c>
      <c r="K1343" s="83" t="s">
        <v>3208</v>
      </c>
    </row>
    <row r="1344" spans="1:11" ht="26.25" x14ac:dyDescent="0.25">
      <c r="A1344" s="83" t="s">
        <v>6408</v>
      </c>
      <c r="B1344" s="83" t="s">
        <v>3208</v>
      </c>
      <c r="C1344" s="83" t="s">
        <v>3208</v>
      </c>
      <c r="D1344" s="83" t="s">
        <v>3713</v>
      </c>
      <c r="E1344" s="83" t="s">
        <v>3714</v>
      </c>
      <c r="F1344" s="83" t="s">
        <v>3872</v>
      </c>
      <c r="G1344" s="83" t="s">
        <v>6409</v>
      </c>
      <c r="H1344" s="83">
        <v>0</v>
      </c>
      <c r="I1344" s="83" t="s">
        <v>3208</v>
      </c>
      <c r="J1344" s="83" t="s">
        <v>3208</v>
      </c>
      <c r="K1344" s="83" t="s">
        <v>3208</v>
      </c>
    </row>
    <row r="1345" spans="1:11" ht="51.75" x14ac:dyDescent="0.25">
      <c r="A1345" s="83" t="s">
        <v>1495</v>
      </c>
      <c r="B1345" s="83" t="s">
        <v>6410</v>
      </c>
      <c r="C1345" s="83" t="s">
        <v>6411</v>
      </c>
      <c r="D1345" s="83" t="s">
        <v>3209</v>
      </c>
      <c r="E1345" s="83" t="s">
        <v>3246</v>
      </c>
      <c r="F1345" s="83" t="s">
        <v>6412</v>
      </c>
      <c r="G1345" s="83" t="s">
        <v>3362</v>
      </c>
      <c r="H1345" s="83">
        <v>306.2</v>
      </c>
      <c r="I1345" s="83" t="s">
        <v>3229</v>
      </c>
      <c r="J1345" s="83" t="s">
        <v>3230</v>
      </c>
      <c r="K1345" s="83" t="s">
        <v>3215</v>
      </c>
    </row>
    <row r="1346" spans="1:11" ht="51.75" x14ac:dyDescent="0.25">
      <c r="A1346" s="83" t="s">
        <v>2283</v>
      </c>
      <c r="B1346" s="83" t="s">
        <v>3208</v>
      </c>
      <c r="C1346" s="83" t="s">
        <v>3208</v>
      </c>
      <c r="D1346" s="83" t="s">
        <v>3713</v>
      </c>
      <c r="E1346" s="83" t="s">
        <v>3761</v>
      </c>
      <c r="F1346" s="83" t="s">
        <v>3926</v>
      </c>
      <c r="G1346" s="83" t="s">
        <v>3256</v>
      </c>
      <c r="H1346" s="83">
        <v>0</v>
      </c>
      <c r="I1346" s="83" t="s">
        <v>3213</v>
      </c>
      <c r="J1346" s="83" t="s">
        <v>3257</v>
      </c>
      <c r="K1346" s="83" t="s">
        <v>3215</v>
      </c>
    </row>
    <row r="1347" spans="1:11" ht="26.25" x14ac:dyDescent="0.25">
      <c r="A1347" s="83" t="s">
        <v>6413</v>
      </c>
      <c r="B1347" s="83" t="s">
        <v>3208</v>
      </c>
      <c r="C1347" s="83" t="s">
        <v>3208</v>
      </c>
      <c r="D1347" s="83" t="s">
        <v>3713</v>
      </c>
      <c r="E1347" s="83" t="s">
        <v>3714</v>
      </c>
      <c r="F1347" s="83" t="s">
        <v>6414</v>
      </c>
      <c r="G1347" s="83" t="s">
        <v>6415</v>
      </c>
      <c r="H1347" s="83">
        <v>0</v>
      </c>
      <c r="I1347" s="83" t="s">
        <v>3208</v>
      </c>
      <c r="J1347" s="83" t="s">
        <v>3208</v>
      </c>
      <c r="K1347" s="83" t="s">
        <v>3208</v>
      </c>
    </row>
    <row r="1348" spans="1:11" ht="26.25" x14ac:dyDescent="0.25">
      <c r="A1348" s="83" t="s">
        <v>648</v>
      </c>
      <c r="B1348" s="83" t="s">
        <v>3208</v>
      </c>
      <c r="C1348" s="83" t="s">
        <v>3208</v>
      </c>
      <c r="D1348" s="83" t="s">
        <v>3209</v>
      </c>
      <c r="E1348" s="83" t="s">
        <v>3210</v>
      </c>
      <c r="F1348" s="83" t="s">
        <v>3805</v>
      </c>
      <c r="G1348" s="83" t="s">
        <v>4837</v>
      </c>
      <c r="H1348" s="83">
        <v>15</v>
      </c>
      <c r="I1348" s="83" t="s">
        <v>3229</v>
      </c>
      <c r="J1348" s="83" t="s">
        <v>3311</v>
      </c>
      <c r="K1348" s="83" t="s">
        <v>3215</v>
      </c>
    </row>
    <row r="1349" spans="1:11" ht="51.75" x14ac:dyDescent="0.25">
      <c r="A1349" s="83" t="s">
        <v>160</v>
      </c>
      <c r="B1349" s="83" t="s">
        <v>4326</v>
      </c>
      <c r="C1349" s="83" t="s">
        <v>6416</v>
      </c>
      <c r="D1349" s="83" t="s">
        <v>3209</v>
      </c>
      <c r="E1349" s="83" t="s">
        <v>3246</v>
      </c>
      <c r="F1349" s="83" t="s">
        <v>4328</v>
      </c>
      <c r="G1349" s="83" t="s">
        <v>3838</v>
      </c>
      <c r="H1349" s="83">
        <v>179.9</v>
      </c>
      <c r="I1349" s="83" t="s">
        <v>3213</v>
      </c>
      <c r="J1349" s="83" t="s">
        <v>3214</v>
      </c>
      <c r="K1349" s="83" t="s">
        <v>3215</v>
      </c>
    </row>
    <row r="1350" spans="1:11" ht="26.25" x14ac:dyDescent="0.25">
      <c r="A1350" s="83" t="s">
        <v>2557</v>
      </c>
      <c r="B1350" s="83" t="s">
        <v>3208</v>
      </c>
      <c r="C1350" s="83" t="s">
        <v>3208</v>
      </c>
      <c r="D1350" s="83" t="s">
        <v>3713</v>
      </c>
      <c r="E1350" s="83" t="s">
        <v>3761</v>
      </c>
      <c r="F1350" s="83" t="s">
        <v>6417</v>
      </c>
      <c r="G1350" s="83" t="s">
        <v>6418</v>
      </c>
      <c r="H1350" s="83">
        <v>0</v>
      </c>
      <c r="I1350" s="83" t="s">
        <v>3229</v>
      </c>
      <c r="J1350" s="83" t="s">
        <v>3397</v>
      </c>
      <c r="K1350" s="83" t="s">
        <v>3215</v>
      </c>
    </row>
    <row r="1351" spans="1:11" ht="51.75" x14ac:dyDescent="0.25">
      <c r="A1351" s="83" t="s">
        <v>2558</v>
      </c>
      <c r="B1351" s="83" t="s">
        <v>3208</v>
      </c>
      <c r="C1351" s="83" t="s">
        <v>3208</v>
      </c>
      <c r="D1351" s="83" t="s">
        <v>3713</v>
      </c>
      <c r="E1351" s="83" t="s">
        <v>3761</v>
      </c>
      <c r="F1351" s="83" t="s">
        <v>3976</v>
      </c>
      <c r="G1351" s="83" t="s">
        <v>5126</v>
      </c>
      <c r="H1351" s="83">
        <v>0</v>
      </c>
      <c r="I1351" s="83" t="s">
        <v>3213</v>
      </c>
      <c r="J1351" s="83" t="s">
        <v>3538</v>
      </c>
      <c r="K1351" s="83" t="s">
        <v>3215</v>
      </c>
    </row>
    <row r="1352" spans="1:11" ht="51.75" x14ac:dyDescent="0.25">
      <c r="A1352" s="83" t="s">
        <v>2287</v>
      </c>
      <c r="B1352" s="83" t="s">
        <v>3208</v>
      </c>
      <c r="C1352" s="83" t="s">
        <v>3208</v>
      </c>
      <c r="D1352" s="83" t="s">
        <v>3713</v>
      </c>
      <c r="E1352" s="83" t="s">
        <v>3761</v>
      </c>
      <c r="F1352" s="83" t="s">
        <v>6419</v>
      </c>
      <c r="G1352" s="83" t="s">
        <v>6420</v>
      </c>
      <c r="H1352" s="83">
        <v>0</v>
      </c>
      <c r="I1352" s="83" t="s">
        <v>3229</v>
      </c>
      <c r="J1352" s="83" t="s">
        <v>6262</v>
      </c>
      <c r="K1352" s="83" t="s">
        <v>3215</v>
      </c>
    </row>
    <row r="1353" spans="1:11" ht="26.25" x14ac:dyDescent="0.25">
      <c r="A1353" s="83" t="s">
        <v>466</v>
      </c>
      <c r="B1353" s="83" t="s">
        <v>3208</v>
      </c>
      <c r="C1353" s="83" t="s">
        <v>3208</v>
      </c>
      <c r="D1353" s="83" t="s">
        <v>3209</v>
      </c>
      <c r="E1353" s="83" t="s">
        <v>3210</v>
      </c>
      <c r="F1353" s="83" t="s">
        <v>3946</v>
      </c>
      <c r="G1353" s="83" t="s">
        <v>4030</v>
      </c>
      <c r="H1353" s="83">
        <v>28.2</v>
      </c>
      <c r="I1353" s="83" t="s">
        <v>3213</v>
      </c>
      <c r="J1353" s="83" t="s">
        <v>3948</v>
      </c>
      <c r="K1353" s="83" t="s">
        <v>3215</v>
      </c>
    </row>
    <row r="1354" spans="1:11" ht="26.25" x14ac:dyDescent="0.25">
      <c r="A1354" s="83" t="s">
        <v>751</v>
      </c>
      <c r="B1354" s="83" t="s">
        <v>3208</v>
      </c>
      <c r="C1354" s="83" t="s">
        <v>3208</v>
      </c>
      <c r="D1354" s="83" t="s">
        <v>3209</v>
      </c>
      <c r="E1354" s="83" t="s">
        <v>3210</v>
      </c>
      <c r="F1354" s="83" t="s">
        <v>6421</v>
      </c>
      <c r="G1354" s="83" t="s">
        <v>3898</v>
      </c>
      <c r="H1354" s="83">
        <v>101</v>
      </c>
      <c r="I1354" s="83" t="s">
        <v>3213</v>
      </c>
      <c r="J1354" s="83" t="s">
        <v>3896</v>
      </c>
      <c r="K1354" s="83" t="s">
        <v>3215</v>
      </c>
    </row>
    <row r="1355" spans="1:11" ht="51.75" x14ac:dyDescent="0.25">
      <c r="A1355" s="83" t="s">
        <v>2406</v>
      </c>
      <c r="B1355" s="83" t="s">
        <v>3208</v>
      </c>
      <c r="C1355" s="83" t="s">
        <v>3208</v>
      </c>
      <c r="D1355" s="83" t="s">
        <v>3713</v>
      </c>
      <c r="E1355" s="83" t="s">
        <v>3761</v>
      </c>
      <c r="F1355" s="83" t="s">
        <v>4013</v>
      </c>
      <c r="G1355" s="83" t="s">
        <v>4909</v>
      </c>
      <c r="H1355" s="83">
        <v>0</v>
      </c>
      <c r="I1355" s="83" t="s">
        <v>3229</v>
      </c>
      <c r="J1355" s="83" t="s">
        <v>3289</v>
      </c>
      <c r="K1355" s="83" t="s">
        <v>3215</v>
      </c>
    </row>
    <row r="1356" spans="1:11" ht="51.75" x14ac:dyDescent="0.25">
      <c r="A1356" s="83" t="s">
        <v>2497</v>
      </c>
      <c r="B1356" s="83" t="s">
        <v>3208</v>
      </c>
      <c r="C1356" s="83" t="s">
        <v>3208</v>
      </c>
      <c r="D1356" s="83" t="s">
        <v>3713</v>
      </c>
      <c r="E1356" s="83" t="s">
        <v>3761</v>
      </c>
      <c r="F1356" s="83" t="s">
        <v>6422</v>
      </c>
      <c r="G1356" s="83" t="s">
        <v>6423</v>
      </c>
      <c r="H1356" s="83">
        <v>0</v>
      </c>
      <c r="I1356" s="83" t="s">
        <v>3213</v>
      </c>
      <c r="J1356" s="83" t="s">
        <v>3214</v>
      </c>
      <c r="K1356" s="83" t="s">
        <v>3215</v>
      </c>
    </row>
    <row r="1357" spans="1:11" ht="51.75" x14ac:dyDescent="0.25">
      <c r="A1357" s="83" t="s">
        <v>2596</v>
      </c>
      <c r="B1357" s="83" t="s">
        <v>3208</v>
      </c>
      <c r="C1357" s="83" t="s">
        <v>3208</v>
      </c>
      <c r="D1357" s="83" t="s">
        <v>3713</v>
      </c>
      <c r="E1357" s="83" t="s">
        <v>3761</v>
      </c>
      <c r="F1357" s="83" t="s">
        <v>6424</v>
      </c>
      <c r="G1357" s="83" t="s">
        <v>4597</v>
      </c>
      <c r="H1357" s="83">
        <v>0</v>
      </c>
      <c r="I1357" s="83" t="s">
        <v>3229</v>
      </c>
      <c r="J1357" s="83" t="s">
        <v>3230</v>
      </c>
      <c r="K1357" s="83" t="s">
        <v>3215</v>
      </c>
    </row>
    <row r="1358" spans="1:11" ht="51.75" x14ac:dyDescent="0.25">
      <c r="A1358" s="83" t="s">
        <v>2004</v>
      </c>
      <c r="B1358" s="83" t="s">
        <v>3208</v>
      </c>
      <c r="C1358" s="83" t="s">
        <v>3208</v>
      </c>
      <c r="D1358" s="83" t="s">
        <v>3713</v>
      </c>
      <c r="E1358" s="83" t="s">
        <v>3761</v>
      </c>
      <c r="F1358" s="83" t="s">
        <v>5671</v>
      </c>
      <c r="G1358" s="83" t="s">
        <v>6425</v>
      </c>
      <c r="H1358" s="83">
        <v>0</v>
      </c>
      <c r="I1358" s="83" t="s">
        <v>3229</v>
      </c>
      <c r="J1358" s="83" t="s">
        <v>3238</v>
      </c>
      <c r="K1358" s="83" t="s">
        <v>3215</v>
      </c>
    </row>
    <row r="1359" spans="1:11" ht="26.25" x14ac:dyDescent="0.25">
      <c r="A1359" s="83" t="s">
        <v>2618</v>
      </c>
      <c r="B1359" s="83" t="s">
        <v>3208</v>
      </c>
      <c r="C1359" s="83" t="s">
        <v>3208</v>
      </c>
      <c r="D1359" s="83" t="s">
        <v>3713</v>
      </c>
      <c r="E1359" s="83" t="s">
        <v>3761</v>
      </c>
      <c r="F1359" s="83" t="s">
        <v>5678</v>
      </c>
      <c r="G1359" s="83" t="s">
        <v>5775</v>
      </c>
      <c r="H1359" s="83">
        <v>0</v>
      </c>
      <c r="I1359" s="83" t="s">
        <v>3213</v>
      </c>
      <c r="J1359" s="83" t="s">
        <v>3948</v>
      </c>
      <c r="K1359" s="83" t="s">
        <v>3215</v>
      </c>
    </row>
    <row r="1360" spans="1:11" ht="51.75" x14ac:dyDescent="0.25">
      <c r="A1360" s="83" t="s">
        <v>2704</v>
      </c>
      <c r="B1360" s="83" t="s">
        <v>3208</v>
      </c>
      <c r="C1360" s="83" t="s">
        <v>3208</v>
      </c>
      <c r="D1360" s="83" t="s">
        <v>3713</v>
      </c>
      <c r="E1360" s="83" t="s">
        <v>3761</v>
      </c>
      <c r="F1360" s="83" t="s">
        <v>3976</v>
      </c>
      <c r="G1360" s="83" t="s">
        <v>6426</v>
      </c>
      <c r="H1360" s="83">
        <v>0</v>
      </c>
      <c r="I1360" s="83" t="s">
        <v>3229</v>
      </c>
      <c r="J1360" s="83" t="s">
        <v>3238</v>
      </c>
      <c r="K1360" s="83" t="s">
        <v>3215</v>
      </c>
    </row>
    <row r="1361" spans="1:11" ht="26.25" x14ac:dyDescent="0.25">
      <c r="A1361" s="83" t="s">
        <v>447</v>
      </c>
      <c r="B1361" s="83" t="s">
        <v>3208</v>
      </c>
      <c r="C1361" s="83" t="s">
        <v>6427</v>
      </c>
      <c r="D1361" s="83" t="s">
        <v>3718</v>
      </c>
      <c r="E1361" s="83" t="s">
        <v>3727</v>
      </c>
      <c r="F1361" s="83" t="s">
        <v>4009</v>
      </c>
      <c r="G1361" s="83" t="s">
        <v>6428</v>
      </c>
      <c r="H1361" s="83">
        <v>10</v>
      </c>
      <c r="I1361" s="83" t="s">
        <v>3229</v>
      </c>
      <c r="J1361" s="83" t="s">
        <v>3397</v>
      </c>
      <c r="K1361" s="83" t="s">
        <v>3215</v>
      </c>
    </row>
    <row r="1362" spans="1:11" ht="51.75" x14ac:dyDescent="0.25">
      <c r="A1362" s="83" t="s">
        <v>2641</v>
      </c>
      <c r="B1362" s="83" t="s">
        <v>3208</v>
      </c>
      <c r="C1362" s="83" t="s">
        <v>3208</v>
      </c>
      <c r="D1362" s="83" t="s">
        <v>3713</v>
      </c>
      <c r="E1362" s="83" t="s">
        <v>3761</v>
      </c>
      <c r="F1362" s="83" t="s">
        <v>3901</v>
      </c>
      <c r="G1362" s="83" t="s">
        <v>4134</v>
      </c>
      <c r="H1362" s="83">
        <v>0</v>
      </c>
      <c r="I1362" s="83" t="s">
        <v>3229</v>
      </c>
      <c r="J1362" s="83" t="s">
        <v>3230</v>
      </c>
      <c r="K1362" s="83" t="s">
        <v>3215</v>
      </c>
    </row>
    <row r="1363" spans="1:11" ht="64.5" x14ac:dyDescent="0.25">
      <c r="A1363" s="83" t="s">
        <v>1774</v>
      </c>
      <c r="B1363" s="83" t="s">
        <v>3208</v>
      </c>
      <c r="C1363" s="83" t="s">
        <v>3208</v>
      </c>
      <c r="D1363" s="83" t="s">
        <v>3713</v>
      </c>
      <c r="E1363" s="83" t="s">
        <v>3761</v>
      </c>
      <c r="F1363" s="83" t="s">
        <v>3886</v>
      </c>
      <c r="G1363" s="83" t="s">
        <v>3218</v>
      </c>
      <c r="H1363" s="83">
        <v>0</v>
      </c>
      <c r="I1363" s="83" t="s">
        <v>3213</v>
      </c>
      <c r="J1363" s="83" t="s">
        <v>3219</v>
      </c>
      <c r="K1363" s="83" t="s">
        <v>3215</v>
      </c>
    </row>
    <row r="1364" spans="1:11" ht="51.75" x14ac:dyDescent="0.25">
      <c r="A1364" s="83" t="s">
        <v>2667</v>
      </c>
      <c r="B1364" s="83" t="s">
        <v>3208</v>
      </c>
      <c r="C1364" s="83" t="s">
        <v>3208</v>
      </c>
      <c r="D1364" s="83" t="s">
        <v>3713</v>
      </c>
      <c r="E1364" s="83" t="s">
        <v>3761</v>
      </c>
      <c r="F1364" s="83" t="s">
        <v>6429</v>
      </c>
      <c r="G1364" s="83" t="s">
        <v>4851</v>
      </c>
      <c r="H1364" s="83">
        <v>0</v>
      </c>
      <c r="I1364" s="83" t="s">
        <v>3213</v>
      </c>
      <c r="J1364" s="83" t="s">
        <v>3214</v>
      </c>
      <c r="K1364" s="83" t="s">
        <v>3215</v>
      </c>
    </row>
    <row r="1365" spans="1:11" ht="51.75" x14ac:dyDescent="0.25">
      <c r="A1365" s="83" t="s">
        <v>2296</v>
      </c>
      <c r="B1365" s="83" t="s">
        <v>3208</v>
      </c>
      <c r="C1365" s="83" t="s">
        <v>3208</v>
      </c>
      <c r="D1365" s="83" t="s">
        <v>3713</v>
      </c>
      <c r="E1365" s="83" t="s">
        <v>3761</v>
      </c>
      <c r="F1365" s="83" t="s">
        <v>4041</v>
      </c>
      <c r="G1365" s="83" t="s">
        <v>5622</v>
      </c>
      <c r="H1365" s="83">
        <v>0</v>
      </c>
      <c r="I1365" s="83" t="s">
        <v>3229</v>
      </c>
      <c r="J1365" s="83" t="s">
        <v>3230</v>
      </c>
      <c r="K1365" s="83" t="s">
        <v>3215</v>
      </c>
    </row>
    <row r="1366" spans="1:11" ht="51.75" x14ac:dyDescent="0.25">
      <c r="A1366" s="83" t="s">
        <v>1994</v>
      </c>
      <c r="B1366" s="83" t="s">
        <v>3208</v>
      </c>
      <c r="C1366" s="83" t="s">
        <v>3208</v>
      </c>
      <c r="D1366" s="83" t="s">
        <v>3713</v>
      </c>
      <c r="E1366" s="83" t="s">
        <v>3761</v>
      </c>
      <c r="F1366" s="83" t="s">
        <v>4013</v>
      </c>
      <c r="G1366" s="83" t="s">
        <v>3315</v>
      </c>
      <c r="H1366" s="83">
        <v>0</v>
      </c>
      <c r="I1366" s="83" t="s">
        <v>3229</v>
      </c>
      <c r="J1366" s="83" t="s">
        <v>3238</v>
      </c>
      <c r="K1366" s="83" t="s">
        <v>3215</v>
      </c>
    </row>
    <row r="1367" spans="1:11" ht="26.25" x14ac:dyDescent="0.25">
      <c r="A1367" s="83" t="s">
        <v>672</v>
      </c>
      <c r="B1367" s="83" t="s">
        <v>3208</v>
      </c>
      <c r="C1367" s="83" t="s">
        <v>6430</v>
      </c>
      <c r="D1367" s="83" t="s">
        <v>3718</v>
      </c>
      <c r="E1367" s="83" t="s">
        <v>3727</v>
      </c>
      <c r="F1367" s="83" t="s">
        <v>6431</v>
      </c>
      <c r="G1367" s="83" t="s">
        <v>6432</v>
      </c>
      <c r="H1367" s="83">
        <v>0.9</v>
      </c>
      <c r="I1367" s="83" t="s">
        <v>3229</v>
      </c>
      <c r="J1367" s="83" t="s">
        <v>3311</v>
      </c>
      <c r="K1367" s="83" t="s">
        <v>3215</v>
      </c>
    </row>
    <row r="1368" spans="1:11" ht="51.75" x14ac:dyDescent="0.25">
      <c r="A1368" s="83" t="s">
        <v>2459</v>
      </c>
      <c r="B1368" s="83" t="s">
        <v>3208</v>
      </c>
      <c r="C1368" s="83" t="s">
        <v>3208</v>
      </c>
      <c r="D1368" s="83" t="s">
        <v>3713</v>
      </c>
      <c r="E1368" s="83" t="s">
        <v>3761</v>
      </c>
      <c r="F1368" s="83" t="s">
        <v>3976</v>
      </c>
      <c r="G1368" s="83" t="s">
        <v>4273</v>
      </c>
      <c r="H1368" s="83">
        <v>0</v>
      </c>
      <c r="I1368" s="83" t="s">
        <v>3229</v>
      </c>
      <c r="J1368" s="83" t="s">
        <v>3230</v>
      </c>
      <c r="K1368" s="83" t="s">
        <v>3215</v>
      </c>
    </row>
    <row r="1369" spans="1:11" ht="26.25" x14ac:dyDescent="0.25">
      <c r="A1369" s="83" t="s">
        <v>1790</v>
      </c>
      <c r="B1369" s="83" t="s">
        <v>3208</v>
      </c>
      <c r="C1369" s="83" t="s">
        <v>3208</v>
      </c>
      <c r="D1369" s="83" t="s">
        <v>3713</v>
      </c>
      <c r="E1369" s="83" t="s">
        <v>3761</v>
      </c>
      <c r="F1369" s="83" t="s">
        <v>3950</v>
      </c>
      <c r="G1369" s="83" t="s">
        <v>4072</v>
      </c>
      <c r="H1369" s="83">
        <v>0</v>
      </c>
      <c r="I1369" s="83" t="s">
        <v>3213</v>
      </c>
      <c r="J1369" s="83" t="s">
        <v>3467</v>
      </c>
      <c r="K1369" s="83" t="s">
        <v>3215</v>
      </c>
    </row>
    <row r="1370" spans="1:11" ht="51.75" x14ac:dyDescent="0.25">
      <c r="A1370" s="83" t="s">
        <v>2683</v>
      </c>
      <c r="B1370" s="83" t="s">
        <v>3208</v>
      </c>
      <c r="C1370" s="83" t="s">
        <v>3208</v>
      </c>
      <c r="D1370" s="83" t="s">
        <v>3713</v>
      </c>
      <c r="E1370" s="83" t="s">
        <v>3761</v>
      </c>
      <c r="F1370" s="83" t="s">
        <v>6433</v>
      </c>
      <c r="G1370" s="83" t="s">
        <v>6434</v>
      </c>
      <c r="H1370" s="83">
        <v>0</v>
      </c>
      <c r="I1370" s="83" t="s">
        <v>3229</v>
      </c>
      <c r="J1370" s="83" t="s">
        <v>3332</v>
      </c>
      <c r="K1370" s="83" t="s">
        <v>3215</v>
      </c>
    </row>
    <row r="1371" spans="1:11" ht="26.25" x14ac:dyDescent="0.25">
      <c r="A1371" s="83" t="s">
        <v>2464</v>
      </c>
      <c r="B1371" s="83" t="s">
        <v>3208</v>
      </c>
      <c r="C1371" s="83" t="s">
        <v>3208</v>
      </c>
      <c r="D1371" s="83" t="s">
        <v>3713</v>
      </c>
      <c r="E1371" s="83" t="s">
        <v>3761</v>
      </c>
      <c r="F1371" s="83" t="s">
        <v>3976</v>
      </c>
      <c r="G1371" s="83" t="s">
        <v>5661</v>
      </c>
      <c r="H1371" s="83">
        <v>0</v>
      </c>
      <c r="I1371" s="83" t="s">
        <v>3229</v>
      </c>
      <c r="J1371" s="83" t="s">
        <v>3397</v>
      </c>
      <c r="K1371" s="83" t="s">
        <v>3215</v>
      </c>
    </row>
    <row r="1372" spans="1:11" ht="51.75" x14ac:dyDescent="0.25">
      <c r="A1372" s="83" t="s">
        <v>88</v>
      </c>
      <c r="B1372" s="83" t="s">
        <v>3208</v>
      </c>
      <c r="C1372" s="83" t="s">
        <v>3208</v>
      </c>
      <c r="D1372" s="83" t="s">
        <v>3713</v>
      </c>
      <c r="E1372" s="83" t="s">
        <v>3761</v>
      </c>
      <c r="F1372" s="83" t="s">
        <v>4013</v>
      </c>
      <c r="G1372" s="83" t="s">
        <v>4014</v>
      </c>
      <c r="H1372" s="83">
        <v>0</v>
      </c>
      <c r="I1372" s="83" t="s">
        <v>3229</v>
      </c>
      <c r="J1372" s="83" t="s">
        <v>3289</v>
      </c>
      <c r="K1372" s="83" t="s">
        <v>3215</v>
      </c>
    </row>
    <row r="1373" spans="1:11" ht="39" x14ac:dyDescent="0.25">
      <c r="A1373" s="83" t="s">
        <v>2625</v>
      </c>
      <c r="B1373" s="83" t="s">
        <v>3208</v>
      </c>
      <c r="C1373" s="83" t="s">
        <v>3208</v>
      </c>
      <c r="D1373" s="83" t="s">
        <v>3713</v>
      </c>
      <c r="E1373" s="83" t="s">
        <v>3761</v>
      </c>
      <c r="F1373" s="83" t="s">
        <v>4057</v>
      </c>
      <c r="G1373" s="83" t="s">
        <v>4058</v>
      </c>
      <c r="H1373" s="83">
        <v>0</v>
      </c>
      <c r="I1373" s="83" t="s">
        <v>3229</v>
      </c>
      <c r="J1373" s="83" t="s">
        <v>3241</v>
      </c>
      <c r="K1373" s="83" t="s">
        <v>3215</v>
      </c>
    </row>
    <row r="1374" spans="1:11" ht="26.25" x14ac:dyDescent="0.25">
      <c r="A1374" s="83" t="s">
        <v>6435</v>
      </c>
      <c r="B1374" s="83" t="s">
        <v>3208</v>
      </c>
      <c r="C1374" s="83" t="s">
        <v>3208</v>
      </c>
      <c r="D1374" s="83" t="s">
        <v>3713</v>
      </c>
      <c r="E1374" s="83" t="s">
        <v>3714</v>
      </c>
      <c r="F1374" s="83" t="s">
        <v>6436</v>
      </c>
      <c r="G1374" s="83" t="s">
        <v>6437</v>
      </c>
      <c r="H1374" s="83">
        <v>0</v>
      </c>
      <c r="I1374" s="83" t="s">
        <v>3208</v>
      </c>
      <c r="J1374" s="83" t="s">
        <v>3208</v>
      </c>
      <c r="K1374" s="83" t="s">
        <v>3208</v>
      </c>
    </row>
    <row r="1375" spans="1:11" ht="51.75" x14ac:dyDescent="0.25">
      <c r="A1375" s="83" t="s">
        <v>2636</v>
      </c>
      <c r="B1375" s="83" t="s">
        <v>3208</v>
      </c>
      <c r="C1375" s="83" t="s">
        <v>3208</v>
      </c>
      <c r="D1375" s="83" t="s">
        <v>3713</v>
      </c>
      <c r="E1375" s="83" t="s">
        <v>3761</v>
      </c>
      <c r="F1375" s="83" t="s">
        <v>5684</v>
      </c>
      <c r="G1375" s="83" t="s">
        <v>3392</v>
      </c>
      <c r="H1375" s="83">
        <v>0</v>
      </c>
      <c r="I1375" s="83" t="s">
        <v>3229</v>
      </c>
      <c r="J1375" s="83" t="s">
        <v>3289</v>
      </c>
      <c r="K1375" s="83" t="s">
        <v>3215</v>
      </c>
    </row>
    <row r="1376" spans="1:11" ht="26.25" x14ac:dyDescent="0.25">
      <c r="A1376" s="83" t="s">
        <v>2716</v>
      </c>
      <c r="B1376" s="83" t="s">
        <v>3208</v>
      </c>
      <c r="C1376" s="83" t="s">
        <v>3208</v>
      </c>
      <c r="D1376" s="83" t="s">
        <v>3713</v>
      </c>
      <c r="E1376" s="83" t="s">
        <v>3761</v>
      </c>
      <c r="F1376" s="83" t="s">
        <v>3886</v>
      </c>
      <c r="G1376" s="83" t="s">
        <v>4040</v>
      </c>
      <c r="H1376" s="83">
        <v>0</v>
      </c>
      <c r="I1376" s="83" t="s">
        <v>3229</v>
      </c>
      <c r="J1376" s="83" t="s">
        <v>3222</v>
      </c>
      <c r="K1376" s="83" t="s">
        <v>3215</v>
      </c>
    </row>
    <row r="1377" spans="1:11" ht="26.25" x14ac:dyDescent="0.25">
      <c r="A1377" s="83" t="s">
        <v>1765</v>
      </c>
      <c r="B1377" s="83" t="s">
        <v>3208</v>
      </c>
      <c r="C1377" s="83" t="s">
        <v>3208</v>
      </c>
      <c r="D1377" s="83" t="s">
        <v>3713</v>
      </c>
      <c r="E1377" s="83" t="s">
        <v>3761</v>
      </c>
      <c r="F1377" s="83" t="s">
        <v>3901</v>
      </c>
      <c r="G1377" s="83" t="s">
        <v>3949</v>
      </c>
      <c r="H1377" s="83">
        <v>0</v>
      </c>
      <c r="I1377" s="83" t="s">
        <v>3213</v>
      </c>
      <c r="J1377" s="83" t="s">
        <v>3222</v>
      </c>
      <c r="K1377" s="83" t="s">
        <v>3215</v>
      </c>
    </row>
    <row r="1378" spans="1:11" ht="64.5" x14ac:dyDescent="0.25">
      <c r="A1378" s="83" t="s">
        <v>2440</v>
      </c>
      <c r="B1378" s="83" t="s">
        <v>3208</v>
      </c>
      <c r="C1378" s="83" t="s">
        <v>3208</v>
      </c>
      <c r="D1378" s="83" t="s">
        <v>3713</v>
      </c>
      <c r="E1378" s="83" t="s">
        <v>3761</v>
      </c>
      <c r="F1378" s="83" t="s">
        <v>3886</v>
      </c>
      <c r="G1378" s="83" t="s">
        <v>3218</v>
      </c>
      <c r="H1378" s="83">
        <v>0</v>
      </c>
      <c r="I1378" s="83" t="s">
        <v>3213</v>
      </c>
      <c r="J1378" s="83" t="s">
        <v>3219</v>
      </c>
      <c r="K1378" s="83" t="s">
        <v>3215</v>
      </c>
    </row>
    <row r="1379" spans="1:11" ht="64.5" x14ac:dyDescent="0.25">
      <c r="A1379" s="83" t="s">
        <v>2530</v>
      </c>
      <c r="B1379" s="83" t="s">
        <v>3208</v>
      </c>
      <c r="C1379" s="83" t="s">
        <v>3208</v>
      </c>
      <c r="D1379" s="83" t="s">
        <v>3713</v>
      </c>
      <c r="E1379" s="83" t="s">
        <v>3761</v>
      </c>
      <c r="F1379" s="83" t="s">
        <v>3991</v>
      </c>
      <c r="G1379" s="83" t="s">
        <v>4016</v>
      </c>
      <c r="H1379" s="83">
        <v>0</v>
      </c>
      <c r="I1379" s="83" t="s">
        <v>3213</v>
      </c>
      <c r="J1379" s="83" t="s">
        <v>3413</v>
      </c>
      <c r="K1379" s="83" t="s">
        <v>3215</v>
      </c>
    </row>
    <row r="1380" spans="1:11" ht="51.75" x14ac:dyDescent="0.25">
      <c r="A1380" s="83" t="s">
        <v>2332</v>
      </c>
      <c r="B1380" s="83" t="s">
        <v>3208</v>
      </c>
      <c r="C1380" s="83" t="s">
        <v>3208</v>
      </c>
      <c r="D1380" s="83" t="s">
        <v>3713</v>
      </c>
      <c r="E1380" s="83" t="s">
        <v>3761</v>
      </c>
      <c r="F1380" s="83" t="s">
        <v>6438</v>
      </c>
      <c r="G1380" s="83" t="s">
        <v>6439</v>
      </c>
      <c r="H1380" s="83">
        <v>0</v>
      </c>
      <c r="I1380" s="83" t="s">
        <v>3229</v>
      </c>
      <c r="J1380" s="83" t="s">
        <v>3280</v>
      </c>
      <c r="K1380" s="83" t="s">
        <v>3215</v>
      </c>
    </row>
    <row r="1381" spans="1:11" ht="39" x14ac:dyDescent="0.25">
      <c r="A1381" s="83" t="s">
        <v>2561</v>
      </c>
      <c r="B1381" s="83" t="s">
        <v>3208</v>
      </c>
      <c r="C1381" s="83" t="s">
        <v>3208</v>
      </c>
      <c r="D1381" s="83" t="s">
        <v>3713</v>
      </c>
      <c r="E1381" s="83" t="s">
        <v>3761</v>
      </c>
      <c r="F1381" s="83" t="s">
        <v>4015</v>
      </c>
      <c r="G1381" s="83" t="s">
        <v>6440</v>
      </c>
      <c r="H1381" s="83">
        <v>0</v>
      </c>
      <c r="I1381" s="83" t="s">
        <v>3229</v>
      </c>
      <c r="J1381" s="83" t="s">
        <v>3241</v>
      </c>
      <c r="K1381" s="83" t="s">
        <v>3215</v>
      </c>
    </row>
    <row r="1382" spans="1:11" ht="51.75" x14ac:dyDescent="0.25">
      <c r="A1382" s="83" t="s">
        <v>2563</v>
      </c>
      <c r="B1382" s="83" t="s">
        <v>3208</v>
      </c>
      <c r="C1382" s="83" t="s">
        <v>3208</v>
      </c>
      <c r="D1382" s="83" t="s">
        <v>3713</v>
      </c>
      <c r="E1382" s="83" t="s">
        <v>3761</v>
      </c>
      <c r="F1382" s="83" t="s">
        <v>4028</v>
      </c>
      <c r="G1382" s="83" t="s">
        <v>4849</v>
      </c>
      <c r="H1382" s="83">
        <v>0</v>
      </c>
      <c r="I1382" s="83" t="s">
        <v>3229</v>
      </c>
      <c r="J1382" s="83" t="s">
        <v>3230</v>
      </c>
      <c r="K1382" s="83" t="s">
        <v>3215</v>
      </c>
    </row>
    <row r="1383" spans="1:11" ht="64.5" x14ac:dyDescent="0.25">
      <c r="A1383" s="83" t="s">
        <v>2453</v>
      </c>
      <c r="B1383" s="83" t="s">
        <v>3208</v>
      </c>
      <c r="C1383" s="83" t="s">
        <v>3208</v>
      </c>
      <c r="D1383" s="83" t="s">
        <v>3713</v>
      </c>
      <c r="E1383" s="83" t="s">
        <v>3761</v>
      </c>
      <c r="F1383" s="83" t="s">
        <v>3950</v>
      </c>
      <c r="G1383" s="83" t="s">
        <v>6441</v>
      </c>
      <c r="H1383" s="83">
        <v>0</v>
      </c>
      <c r="I1383" s="83" t="s">
        <v>3213</v>
      </c>
      <c r="J1383" s="83" t="s">
        <v>3413</v>
      </c>
      <c r="K1383" s="83" t="s">
        <v>3215</v>
      </c>
    </row>
    <row r="1384" spans="1:11" ht="51.75" x14ac:dyDescent="0.25">
      <c r="A1384" s="83" t="s">
        <v>2725</v>
      </c>
      <c r="B1384" s="83" t="s">
        <v>3208</v>
      </c>
      <c r="C1384" s="83" t="s">
        <v>3208</v>
      </c>
      <c r="D1384" s="83" t="s">
        <v>3713</v>
      </c>
      <c r="E1384" s="83" t="s">
        <v>3761</v>
      </c>
      <c r="F1384" s="83" t="s">
        <v>6442</v>
      </c>
      <c r="G1384" s="83" t="s">
        <v>6443</v>
      </c>
      <c r="H1384" s="83">
        <v>0</v>
      </c>
      <c r="I1384" s="83" t="s">
        <v>3229</v>
      </c>
      <c r="J1384" s="83" t="s">
        <v>3238</v>
      </c>
      <c r="K1384" s="83" t="s">
        <v>3215</v>
      </c>
    </row>
    <row r="1385" spans="1:11" ht="51.75" x14ac:dyDescent="0.25">
      <c r="A1385" s="83" t="s">
        <v>2583</v>
      </c>
      <c r="B1385" s="83" t="s">
        <v>3208</v>
      </c>
      <c r="C1385" s="83" t="s">
        <v>3208</v>
      </c>
      <c r="D1385" s="83" t="s">
        <v>3713</v>
      </c>
      <c r="E1385" s="83" t="s">
        <v>3761</v>
      </c>
      <c r="F1385" s="83" t="s">
        <v>6444</v>
      </c>
      <c r="G1385" s="83" t="s">
        <v>4873</v>
      </c>
      <c r="H1385" s="83">
        <v>0</v>
      </c>
      <c r="I1385" s="83" t="s">
        <v>3229</v>
      </c>
      <c r="J1385" s="83" t="s">
        <v>3230</v>
      </c>
      <c r="K1385" s="83" t="s">
        <v>3215</v>
      </c>
    </row>
    <row r="1386" spans="1:11" ht="51.75" x14ac:dyDescent="0.25">
      <c r="A1386" s="83" t="s">
        <v>2442</v>
      </c>
      <c r="B1386" s="83" t="s">
        <v>3208</v>
      </c>
      <c r="C1386" s="83" t="s">
        <v>3208</v>
      </c>
      <c r="D1386" s="83" t="s">
        <v>3713</v>
      </c>
      <c r="E1386" s="83" t="s">
        <v>3761</v>
      </c>
      <c r="F1386" s="83" t="s">
        <v>6445</v>
      </c>
      <c r="G1386" s="83" t="s">
        <v>6446</v>
      </c>
      <c r="H1386" s="83">
        <v>0</v>
      </c>
      <c r="I1386" s="83" t="s">
        <v>3229</v>
      </c>
      <c r="J1386" s="83" t="s">
        <v>3238</v>
      </c>
      <c r="K1386" s="83" t="s">
        <v>3215</v>
      </c>
    </row>
    <row r="1387" spans="1:11" ht="51.75" x14ac:dyDescent="0.25">
      <c r="A1387" s="83" t="s">
        <v>614</v>
      </c>
      <c r="B1387" s="83" t="s">
        <v>6447</v>
      </c>
      <c r="C1387" s="83" t="s">
        <v>3208</v>
      </c>
      <c r="D1387" s="83" t="s">
        <v>3209</v>
      </c>
      <c r="E1387" s="83" t="s">
        <v>3226</v>
      </c>
      <c r="F1387" s="83" t="s">
        <v>6448</v>
      </c>
      <c r="G1387" s="83" t="s">
        <v>6449</v>
      </c>
      <c r="H1387" s="83">
        <v>24</v>
      </c>
      <c r="I1387" s="83" t="s">
        <v>3229</v>
      </c>
      <c r="J1387" s="83" t="s">
        <v>3521</v>
      </c>
      <c r="K1387" s="83" t="s">
        <v>3215</v>
      </c>
    </row>
    <row r="1388" spans="1:11" ht="39" x14ac:dyDescent="0.25">
      <c r="A1388" s="83" t="s">
        <v>2477</v>
      </c>
      <c r="B1388" s="83" t="s">
        <v>3208</v>
      </c>
      <c r="C1388" s="83" t="s">
        <v>3208</v>
      </c>
      <c r="D1388" s="83" t="s">
        <v>3713</v>
      </c>
      <c r="E1388" s="83" t="s">
        <v>3761</v>
      </c>
      <c r="F1388" s="83" t="s">
        <v>5614</v>
      </c>
      <c r="G1388" s="83" t="s">
        <v>6450</v>
      </c>
      <c r="H1388" s="83">
        <v>0</v>
      </c>
      <c r="I1388" s="83" t="s">
        <v>3229</v>
      </c>
      <c r="J1388" s="83" t="s">
        <v>3241</v>
      </c>
      <c r="K1388" s="83" t="s">
        <v>3215</v>
      </c>
    </row>
    <row r="1389" spans="1:11" ht="51.75" x14ac:dyDescent="0.25">
      <c r="A1389" s="83" t="s">
        <v>91</v>
      </c>
      <c r="B1389" s="83" t="s">
        <v>3208</v>
      </c>
      <c r="C1389" s="83" t="s">
        <v>3208</v>
      </c>
      <c r="D1389" s="83" t="s">
        <v>3713</v>
      </c>
      <c r="E1389" s="83" t="s">
        <v>3761</v>
      </c>
      <c r="F1389" s="83" t="s">
        <v>3976</v>
      </c>
      <c r="G1389" s="83" t="s">
        <v>4871</v>
      </c>
      <c r="H1389" s="83">
        <v>0</v>
      </c>
      <c r="I1389" s="83" t="s">
        <v>3213</v>
      </c>
      <c r="J1389" s="83" t="s">
        <v>3271</v>
      </c>
      <c r="K1389" s="83" t="s">
        <v>3215</v>
      </c>
    </row>
    <row r="1390" spans="1:11" ht="51.75" x14ac:dyDescent="0.25">
      <c r="A1390" s="83" t="s">
        <v>2377</v>
      </c>
      <c r="B1390" s="83" t="s">
        <v>3208</v>
      </c>
      <c r="C1390" s="83" t="s">
        <v>3208</v>
      </c>
      <c r="D1390" s="83" t="s">
        <v>3713</v>
      </c>
      <c r="E1390" s="83" t="s">
        <v>3761</v>
      </c>
      <c r="F1390" s="83" t="s">
        <v>4013</v>
      </c>
      <c r="G1390" s="83" t="s">
        <v>3417</v>
      </c>
      <c r="H1390" s="83">
        <v>0</v>
      </c>
      <c r="I1390" s="83" t="s">
        <v>3213</v>
      </c>
      <c r="J1390" s="83" t="s">
        <v>3214</v>
      </c>
      <c r="K1390" s="83" t="s">
        <v>3215</v>
      </c>
    </row>
    <row r="1391" spans="1:11" ht="26.25" x14ac:dyDescent="0.25">
      <c r="A1391" s="83" t="s">
        <v>6451</v>
      </c>
      <c r="B1391" s="83" t="s">
        <v>3208</v>
      </c>
      <c r="C1391" s="83" t="s">
        <v>6452</v>
      </c>
      <c r="D1391" s="83" t="s">
        <v>3718</v>
      </c>
      <c r="E1391" s="83" t="s">
        <v>3702</v>
      </c>
      <c r="F1391" s="83" t="s">
        <v>6453</v>
      </c>
      <c r="G1391" s="83" t="s">
        <v>6454</v>
      </c>
      <c r="H1391" s="83">
        <v>6.7</v>
      </c>
      <c r="I1391" s="83" t="s">
        <v>3208</v>
      </c>
      <c r="J1391" s="83" t="s">
        <v>3208</v>
      </c>
      <c r="K1391" s="83" t="s">
        <v>3208</v>
      </c>
    </row>
    <row r="1392" spans="1:11" ht="77.25" x14ac:dyDescent="0.25">
      <c r="A1392" s="83" t="s">
        <v>1874</v>
      </c>
      <c r="B1392" s="83" t="s">
        <v>3208</v>
      </c>
      <c r="C1392" s="83" t="s">
        <v>3208</v>
      </c>
      <c r="D1392" s="83" t="s">
        <v>3713</v>
      </c>
      <c r="E1392" s="83" t="s">
        <v>3761</v>
      </c>
      <c r="F1392" s="83" t="s">
        <v>3886</v>
      </c>
      <c r="G1392" s="83" t="s">
        <v>5677</v>
      </c>
      <c r="H1392" s="83">
        <v>0</v>
      </c>
      <c r="I1392" s="83" t="s">
        <v>3213</v>
      </c>
      <c r="J1392" s="83" t="s">
        <v>3621</v>
      </c>
      <c r="K1392" s="83" t="s">
        <v>3215</v>
      </c>
    </row>
    <row r="1393" spans="1:11" ht="51.75" x14ac:dyDescent="0.25">
      <c r="A1393" s="83" t="s">
        <v>6455</v>
      </c>
      <c r="B1393" s="83" t="s">
        <v>3208</v>
      </c>
      <c r="C1393" s="83" t="s">
        <v>3208</v>
      </c>
      <c r="D1393" s="83" t="s">
        <v>3965</v>
      </c>
      <c r="E1393" s="83" t="s">
        <v>3966</v>
      </c>
      <c r="F1393" s="83" t="s">
        <v>6456</v>
      </c>
      <c r="G1393" s="83" t="s">
        <v>6457</v>
      </c>
      <c r="H1393" s="83">
        <v>24.5</v>
      </c>
      <c r="I1393" s="83" t="s">
        <v>3229</v>
      </c>
      <c r="J1393" s="83" t="s">
        <v>3371</v>
      </c>
      <c r="K1393" s="83" t="s">
        <v>3215</v>
      </c>
    </row>
    <row r="1394" spans="1:11" ht="64.5" x14ac:dyDescent="0.25">
      <c r="A1394" s="83" t="s">
        <v>2531</v>
      </c>
      <c r="B1394" s="83" t="s">
        <v>3208</v>
      </c>
      <c r="C1394" s="83" t="s">
        <v>3208</v>
      </c>
      <c r="D1394" s="83" t="s">
        <v>3713</v>
      </c>
      <c r="E1394" s="83" t="s">
        <v>3761</v>
      </c>
      <c r="F1394" s="83" t="s">
        <v>3991</v>
      </c>
      <c r="G1394" s="83" t="s">
        <v>4016</v>
      </c>
      <c r="H1394" s="83">
        <v>0</v>
      </c>
      <c r="I1394" s="83" t="s">
        <v>3213</v>
      </c>
      <c r="J1394" s="83" t="s">
        <v>3413</v>
      </c>
      <c r="K1394" s="83" t="s">
        <v>3215</v>
      </c>
    </row>
    <row r="1395" spans="1:11" ht="39" x14ac:dyDescent="0.25">
      <c r="A1395" s="83" t="s">
        <v>2627</v>
      </c>
      <c r="B1395" s="83" t="s">
        <v>3208</v>
      </c>
      <c r="C1395" s="83" t="s">
        <v>3208</v>
      </c>
      <c r="D1395" s="83" t="s">
        <v>3713</v>
      </c>
      <c r="E1395" s="83" t="s">
        <v>3761</v>
      </c>
      <c r="F1395" s="83" t="s">
        <v>4057</v>
      </c>
      <c r="G1395" s="83" t="s">
        <v>4058</v>
      </c>
      <c r="H1395" s="83">
        <v>0</v>
      </c>
      <c r="I1395" s="83" t="s">
        <v>3229</v>
      </c>
      <c r="J1395" s="83" t="s">
        <v>3241</v>
      </c>
      <c r="K1395" s="83" t="s">
        <v>3215</v>
      </c>
    </row>
    <row r="1396" spans="1:11" x14ac:dyDescent="0.25">
      <c r="A1396" s="83" t="s">
        <v>6458</v>
      </c>
      <c r="B1396" s="83" t="s">
        <v>6459</v>
      </c>
      <c r="C1396" s="83" t="s">
        <v>3208</v>
      </c>
      <c r="D1396" s="83" t="s">
        <v>3209</v>
      </c>
      <c r="E1396" s="83" t="s">
        <v>3702</v>
      </c>
      <c r="F1396" s="83" t="s">
        <v>6460</v>
      </c>
      <c r="G1396" s="83" t="s">
        <v>5236</v>
      </c>
      <c r="H1396" s="83">
        <v>40</v>
      </c>
      <c r="I1396" s="83" t="s">
        <v>3208</v>
      </c>
      <c r="J1396" s="83" t="s">
        <v>3208</v>
      </c>
      <c r="K1396" s="83" t="s">
        <v>3208</v>
      </c>
    </row>
    <row r="1397" spans="1:11" ht="26.25" x14ac:dyDescent="0.25">
      <c r="A1397" s="83" t="s">
        <v>2354</v>
      </c>
      <c r="B1397" s="83" t="s">
        <v>3208</v>
      </c>
      <c r="C1397" s="83" t="s">
        <v>3208</v>
      </c>
      <c r="D1397" s="83" t="s">
        <v>3713</v>
      </c>
      <c r="E1397" s="83" t="s">
        <v>3761</v>
      </c>
      <c r="F1397" s="83" t="s">
        <v>3901</v>
      </c>
      <c r="G1397" s="83" t="s">
        <v>3947</v>
      </c>
      <c r="H1397" s="83">
        <v>0</v>
      </c>
      <c r="I1397" s="83" t="s">
        <v>3213</v>
      </c>
      <c r="J1397" s="83" t="s">
        <v>3948</v>
      </c>
      <c r="K1397" s="83" t="s">
        <v>3215</v>
      </c>
    </row>
    <row r="1398" spans="1:11" ht="26.25" x14ac:dyDescent="0.25">
      <c r="A1398" s="83" t="s">
        <v>1787</v>
      </c>
      <c r="B1398" s="83" t="s">
        <v>3208</v>
      </c>
      <c r="C1398" s="83" t="s">
        <v>3208</v>
      </c>
      <c r="D1398" s="83" t="s">
        <v>3713</v>
      </c>
      <c r="E1398" s="83" t="s">
        <v>3761</v>
      </c>
      <c r="F1398" s="83" t="s">
        <v>3950</v>
      </c>
      <c r="G1398" s="83" t="s">
        <v>4072</v>
      </c>
      <c r="H1398" s="83">
        <v>0</v>
      </c>
      <c r="I1398" s="83" t="s">
        <v>3213</v>
      </c>
      <c r="J1398" s="83" t="s">
        <v>3467</v>
      </c>
      <c r="K1398" s="83" t="s">
        <v>3215</v>
      </c>
    </row>
    <row r="1399" spans="1:11" ht="64.5" x14ac:dyDescent="0.25">
      <c r="A1399" s="83" t="s">
        <v>1887</v>
      </c>
      <c r="B1399" s="83" t="s">
        <v>3208</v>
      </c>
      <c r="C1399" s="83" t="s">
        <v>3208</v>
      </c>
      <c r="D1399" s="83" t="s">
        <v>3713</v>
      </c>
      <c r="E1399" s="83" t="s">
        <v>3761</v>
      </c>
      <c r="F1399" s="83" t="s">
        <v>5639</v>
      </c>
      <c r="G1399" s="83" t="s">
        <v>6461</v>
      </c>
      <c r="H1399" s="83">
        <v>0</v>
      </c>
      <c r="I1399" s="83" t="s">
        <v>3213</v>
      </c>
      <c r="J1399" s="83" t="s">
        <v>3262</v>
      </c>
      <c r="K1399" s="83" t="s">
        <v>3215</v>
      </c>
    </row>
    <row r="1400" spans="1:11" ht="51.75" x14ac:dyDescent="0.25">
      <c r="A1400" s="83" t="s">
        <v>2345</v>
      </c>
      <c r="B1400" s="83" t="s">
        <v>3208</v>
      </c>
      <c r="C1400" s="83" t="s">
        <v>3208</v>
      </c>
      <c r="D1400" s="83" t="s">
        <v>3713</v>
      </c>
      <c r="E1400" s="83" t="s">
        <v>3761</v>
      </c>
      <c r="F1400" s="83" t="s">
        <v>4013</v>
      </c>
      <c r="G1400" s="83" t="s">
        <v>6462</v>
      </c>
      <c r="H1400" s="83">
        <v>0</v>
      </c>
      <c r="I1400" s="83" t="s">
        <v>3229</v>
      </c>
      <c r="J1400" s="83" t="s">
        <v>3238</v>
      </c>
      <c r="K1400" s="83" t="s">
        <v>3215</v>
      </c>
    </row>
    <row r="1401" spans="1:11" ht="51.75" x14ac:dyDescent="0.25">
      <c r="A1401" s="83" t="s">
        <v>2518</v>
      </c>
      <c r="B1401" s="83" t="s">
        <v>3208</v>
      </c>
      <c r="C1401" s="83" t="s">
        <v>3208</v>
      </c>
      <c r="D1401" s="83" t="s">
        <v>3713</v>
      </c>
      <c r="E1401" s="83" t="s">
        <v>3761</v>
      </c>
      <c r="F1401" s="83" t="s">
        <v>3886</v>
      </c>
      <c r="G1401" s="83" t="s">
        <v>3838</v>
      </c>
      <c r="H1401" s="83">
        <v>0</v>
      </c>
      <c r="I1401" s="83" t="s">
        <v>3213</v>
      </c>
      <c r="J1401" s="83" t="s">
        <v>3214</v>
      </c>
      <c r="K1401" s="83" t="s">
        <v>3215</v>
      </c>
    </row>
    <row r="1402" spans="1:11" ht="26.25" x14ac:dyDescent="0.25">
      <c r="A1402" s="83" t="s">
        <v>2393</v>
      </c>
      <c r="B1402" s="83" t="s">
        <v>3208</v>
      </c>
      <c r="C1402" s="83" t="s">
        <v>3208</v>
      </c>
      <c r="D1402" s="83" t="s">
        <v>3713</v>
      </c>
      <c r="E1402" s="83" t="s">
        <v>3761</v>
      </c>
      <c r="F1402" s="83" t="s">
        <v>6438</v>
      </c>
      <c r="G1402" s="83" t="s">
        <v>3224</v>
      </c>
      <c r="H1402" s="83">
        <v>0</v>
      </c>
      <c r="I1402" s="83" t="s">
        <v>3213</v>
      </c>
      <c r="J1402" s="83" t="s">
        <v>3896</v>
      </c>
      <c r="K1402" s="83" t="s">
        <v>3215</v>
      </c>
    </row>
    <row r="1403" spans="1:11" ht="51.75" x14ac:dyDescent="0.25">
      <c r="A1403" s="83" t="s">
        <v>1914</v>
      </c>
      <c r="B1403" s="83" t="s">
        <v>3208</v>
      </c>
      <c r="C1403" s="83" t="s">
        <v>3208</v>
      </c>
      <c r="D1403" s="83" t="s">
        <v>3713</v>
      </c>
      <c r="E1403" s="83" t="s">
        <v>3761</v>
      </c>
      <c r="F1403" s="83" t="s">
        <v>6463</v>
      </c>
      <c r="G1403" s="83" t="s">
        <v>6464</v>
      </c>
      <c r="H1403" s="83">
        <v>0</v>
      </c>
      <c r="I1403" s="83" t="s">
        <v>3229</v>
      </c>
      <c r="J1403" s="83" t="s">
        <v>3238</v>
      </c>
      <c r="K1403" s="83" t="s">
        <v>3215</v>
      </c>
    </row>
    <row r="1404" spans="1:11" ht="64.5" x14ac:dyDescent="0.25">
      <c r="A1404" s="83" t="s">
        <v>446</v>
      </c>
      <c r="B1404" s="83" t="s">
        <v>3208</v>
      </c>
      <c r="C1404" s="83" t="s">
        <v>6465</v>
      </c>
      <c r="D1404" s="83" t="s">
        <v>3718</v>
      </c>
      <c r="E1404" s="83" t="s">
        <v>3727</v>
      </c>
      <c r="F1404" s="83" t="s">
        <v>4875</v>
      </c>
      <c r="G1404" s="83" t="s">
        <v>6466</v>
      </c>
      <c r="H1404" s="83">
        <v>5</v>
      </c>
      <c r="I1404" s="83" t="s">
        <v>3229</v>
      </c>
      <c r="J1404" s="83" t="s">
        <v>3380</v>
      </c>
      <c r="K1404" s="83" t="s">
        <v>3215</v>
      </c>
    </row>
    <row r="1405" spans="1:11" ht="39" x14ac:dyDescent="0.25">
      <c r="A1405" s="83" t="s">
        <v>1799</v>
      </c>
      <c r="B1405" s="83" t="s">
        <v>3208</v>
      </c>
      <c r="C1405" s="83" t="s">
        <v>3208</v>
      </c>
      <c r="D1405" s="83" t="s">
        <v>3713</v>
      </c>
      <c r="E1405" s="83" t="s">
        <v>3761</v>
      </c>
      <c r="F1405" s="83" t="s">
        <v>4057</v>
      </c>
      <c r="G1405" s="83" t="s">
        <v>4058</v>
      </c>
      <c r="H1405" s="83">
        <v>0</v>
      </c>
      <c r="I1405" s="83" t="s">
        <v>3229</v>
      </c>
      <c r="J1405" s="83" t="s">
        <v>3241</v>
      </c>
      <c r="K1405" s="83" t="s">
        <v>3215</v>
      </c>
    </row>
    <row r="1406" spans="1:11" ht="26.25" x14ac:dyDescent="0.25">
      <c r="A1406" s="83" t="s">
        <v>6467</v>
      </c>
      <c r="B1406" s="83" t="s">
        <v>3208</v>
      </c>
      <c r="C1406" s="83" t="s">
        <v>3208</v>
      </c>
      <c r="D1406" s="83" t="s">
        <v>3713</v>
      </c>
      <c r="E1406" s="83" t="s">
        <v>3714</v>
      </c>
      <c r="F1406" s="83" t="s">
        <v>6468</v>
      </c>
      <c r="G1406" s="83" t="s">
        <v>5890</v>
      </c>
      <c r="H1406" s="83">
        <v>0</v>
      </c>
      <c r="I1406" s="83" t="s">
        <v>3208</v>
      </c>
      <c r="J1406" s="83" t="s">
        <v>3208</v>
      </c>
      <c r="K1406" s="83" t="s">
        <v>3208</v>
      </c>
    </row>
    <row r="1407" spans="1:11" ht="51.75" x14ac:dyDescent="0.25">
      <c r="A1407" s="83" t="s">
        <v>2610</v>
      </c>
      <c r="B1407" s="83" t="s">
        <v>3208</v>
      </c>
      <c r="C1407" s="83" t="s">
        <v>3208</v>
      </c>
      <c r="D1407" s="83" t="s">
        <v>3713</v>
      </c>
      <c r="E1407" s="83" t="s">
        <v>3761</v>
      </c>
      <c r="F1407" s="83" t="s">
        <v>6469</v>
      </c>
      <c r="G1407" s="83" t="s">
        <v>4556</v>
      </c>
      <c r="H1407" s="83">
        <v>0</v>
      </c>
      <c r="I1407" s="83" t="s">
        <v>3213</v>
      </c>
      <c r="J1407" s="83" t="s">
        <v>3257</v>
      </c>
      <c r="K1407" s="83" t="s">
        <v>3215</v>
      </c>
    </row>
    <row r="1408" spans="1:11" ht="51.75" x14ac:dyDescent="0.25">
      <c r="A1408" s="83" t="s">
        <v>2357</v>
      </c>
      <c r="B1408" s="83" t="s">
        <v>3208</v>
      </c>
      <c r="C1408" s="83" t="s">
        <v>3208</v>
      </c>
      <c r="D1408" s="83" t="s">
        <v>3713</v>
      </c>
      <c r="E1408" s="83" t="s">
        <v>3761</v>
      </c>
      <c r="F1408" s="83" t="s">
        <v>3950</v>
      </c>
      <c r="G1408" s="83" t="s">
        <v>6470</v>
      </c>
      <c r="H1408" s="83">
        <v>0</v>
      </c>
      <c r="I1408" s="83" t="s">
        <v>3213</v>
      </c>
      <c r="J1408" s="83" t="s">
        <v>3271</v>
      </c>
      <c r="K1408" s="83" t="s">
        <v>3215</v>
      </c>
    </row>
    <row r="1409" spans="1:11" ht="51.75" x14ac:dyDescent="0.25">
      <c r="A1409" s="83" t="s">
        <v>6471</v>
      </c>
      <c r="B1409" s="83" t="s">
        <v>3208</v>
      </c>
      <c r="C1409" s="83" t="s">
        <v>3208</v>
      </c>
      <c r="D1409" s="83" t="s">
        <v>3713</v>
      </c>
      <c r="E1409" s="83" t="s">
        <v>3714</v>
      </c>
      <c r="F1409" s="83" t="s">
        <v>6472</v>
      </c>
      <c r="G1409" s="83" t="s">
        <v>6473</v>
      </c>
      <c r="H1409" s="83">
        <v>0</v>
      </c>
      <c r="I1409" s="83" t="s">
        <v>3229</v>
      </c>
      <c r="J1409" s="83" t="s">
        <v>3289</v>
      </c>
      <c r="K1409" s="83" t="s">
        <v>3215</v>
      </c>
    </row>
    <row r="1410" spans="1:11" ht="51.75" x14ac:dyDescent="0.25">
      <c r="A1410" s="83" t="s">
        <v>2717</v>
      </c>
      <c r="B1410" s="83" t="s">
        <v>3208</v>
      </c>
      <c r="C1410" s="83" t="s">
        <v>3208</v>
      </c>
      <c r="D1410" s="83" t="s">
        <v>3713</v>
      </c>
      <c r="E1410" s="83" t="s">
        <v>3761</v>
      </c>
      <c r="F1410" s="83" t="s">
        <v>6474</v>
      </c>
      <c r="G1410" s="83" t="s">
        <v>6475</v>
      </c>
      <c r="H1410" s="83">
        <v>0</v>
      </c>
      <c r="I1410" s="83" t="s">
        <v>3229</v>
      </c>
      <c r="J1410" s="83" t="s">
        <v>3337</v>
      </c>
      <c r="K1410" s="83" t="s">
        <v>3215</v>
      </c>
    </row>
    <row r="1411" spans="1:11" ht="26.25" x14ac:dyDescent="0.25">
      <c r="A1411" s="83" t="s">
        <v>2681</v>
      </c>
      <c r="B1411" s="83" t="s">
        <v>3208</v>
      </c>
      <c r="C1411" s="83" t="s">
        <v>3208</v>
      </c>
      <c r="D1411" s="83" t="s">
        <v>3713</v>
      </c>
      <c r="E1411" s="83" t="s">
        <v>3761</v>
      </c>
      <c r="F1411" s="83" t="s">
        <v>6476</v>
      </c>
      <c r="G1411" s="83" t="s">
        <v>5019</v>
      </c>
      <c r="H1411" s="83">
        <v>0</v>
      </c>
      <c r="I1411" s="83" t="s">
        <v>3213</v>
      </c>
      <c r="J1411" s="83" t="s">
        <v>4000</v>
      </c>
      <c r="K1411" s="83" t="s">
        <v>3215</v>
      </c>
    </row>
    <row r="1412" spans="1:11" x14ac:dyDescent="0.25">
      <c r="A1412" s="83" t="s">
        <v>6477</v>
      </c>
      <c r="B1412" s="83" t="s">
        <v>3208</v>
      </c>
      <c r="C1412" s="83" t="s">
        <v>3208</v>
      </c>
      <c r="D1412" s="83" t="s">
        <v>3209</v>
      </c>
      <c r="E1412" s="83" t="s">
        <v>3663</v>
      </c>
      <c r="F1412" s="83" t="s">
        <v>6478</v>
      </c>
      <c r="G1412" s="83" t="s">
        <v>6479</v>
      </c>
      <c r="H1412" s="83">
        <v>229</v>
      </c>
      <c r="I1412" s="83" t="s">
        <v>3208</v>
      </c>
      <c r="J1412" s="83" t="s">
        <v>3208</v>
      </c>
      <c r="K1412" s="83" t="s">
        <v>3208</v>
      </c>
    </row>
    <row r="1413" spans="1:11" ht="51.75" x14ac:dyDescent="0.25">
      <c r="A1413" s="83" t="s">
        <v>39</v>
      </c>
      <c r="B1413" s="83" t="s">
        <v>3208</v>
      </c>
      <c r="C1413" s="83" t="s">
        <v>3208</v>
      </c>
      <c r="D1413" s="83" t="s">
        <v>3713</v>
      </c>
      <c r="E1413" s="83" t="s">
        <v>3761</v>
      </c>
      <c r="F1413" s="83" t="s">
        <v>6480</v>
      </c>
      <c r="G1413" s="83" t="s">
        <v>3427</v>
      </c>
      <c r="H1413" s="83">
        <v>0</v>
      </c>
      <c r="I1413" s="83" t="s">
        <v>3213</v>
      </c>
      <c r="J1413" s="83" t="s">
        <v>3214</v>
      </c>
      <c r="K1413" s="83" t="s">
        <v>3215</v>
      </c>
    </row>
    <row r="1414" spans="1:11" ht="39" x14ac:dyDescent="0.25">
      <c r="A1414" s="83" t="s">
        <v>1845</v>
      </c>
      <c r="B1414" s="83" t="s">
        <v>3208</v>
      </c>
      <c r="C1414" s="83" t="s">
        <v>3208</v>
      </c>
      <c r="D1414" s="83" t="s">
        <v>3713</v>
      </c>
      <c r="E1414" s="83" t="s">
        <v>3761</v>
      </c>
      <c r="F1414" s="83" t="s">
        <v>4096</v>
      </c>
      <c r="G1414" s="83" t="s">
        <v>6481</v>
      </c>
      <c r="H1414" s="83">
        <v>0</v>
      </c>
      <c r="I1414" s="83" t="s">
        <v>3229</v>
      </c>
      <c r="J1414" s="83" t="s">
        <v>356</v>
      </c>
      <c r="K1414" s="83" t="s">
        <v>3215</v>
      </c>
    </row>
    <row r="1415" spans="1:11" ht="39" x14ac:dyDescent="0.25">
      <c r="A1415" s="83" t="s">
        <v>2709</v>
      </c>
      <c r="B1415" s="83" t="s">
        <v>3208</v>
      </c>
      <c r="C1415" s="83" t="s">
        <v>3208</v>
      </c>
      <c r="D1415" s="83" t="s">
        <v>3713</v>
      </c>
      <c r="E1415" s="83" t="s">
        <v>3761</v>
      </c>
      <c r="F1415" s="83" t="s">
        <v>6482</v>
      </c>
      <c r="G1415" s="83" t="s">
        <v>6483</v>
      </c>
      <c r="H1415" s="83">
        <v>0</v>
      </c>
      <c r="I1415" s="83" t="s">
        <v>3229</v>
      </c>
      <c r="J1415" s="83" t="s">
        <v>3241</v>
      </c>
      <c r="K1415" s="83" t="s">
        <v>3215</v>
      </c>
    </row>
    <row r="1416" spans="1:11" ht="51.75" x14ac:dyDescent="0.25">
      <c r="A1416" s="83" t="s">
        <v>667</v>
      </c>
      <c r="B1416" s="83" t="s">
        <v>3208</v>
      </c>
      <c r="C1416" s="83" t="s">
        <v>3208</v>
      </c>
      <c r="D1416" s="83" t="s">
        <v>3209</v>
      </c>
      <c r="E1416" s="83" t="s">
        <v>3210</v>
      </c>
      <c r="F1416" s="83" t="s">
        <v>6484</v>
      </c>
      <c r="G1416" s="83" t="s">
        <v>6485</v>
      </c>
      <c r="H1416" s="83">
        <v>15.2</v>
      </c>
      <c r="I1416" s="83" t="s">
        <v>3213</v>
      </c>
      <c r="J1416" s="83" t="s">
        <v>3214</v>
      </c>
      <c r="K1416" s="83" t="s">
        <v>3215</v>
      </c>
    </row>
    <row r="1417" spans="1:11" ht="26.25" x14ac:dyDescent="0.25">
      <c r="A1417" s="83" t="s">
        <v>2875</v>
      </c>
      <c r="B1417" s="83" t="s">
        <v>3208</v>
      </c>
      <c r="C1417" s="83" t="s">
        <v>3208</v>
      </c>
      <c r="D1417" s="83" t="s">
        <v>3713</v>
      </c>
      <c r="E1417" s="83" t="s">
        <v>3761</v>
      </c>
      <c r="F1417" s="83" t="s">
        <v>6486</v>
      </c>
      <c r="G1417" s="83" t="s">
        <v>6487</v>
      </c>
      <c r="H1417" s="83">
        <v>0</v>
      </c>
      <c r="I1417" s="83" t="s">
        <v>3229</v>
      </c>
      <c r="J1417" s="83" t="s">
        <v>3222</v>
      </c>
      <c r="K1417" s="83" t="s">
        <v>3215</v>
      </c>
    </row>
    <row r="1418" spans="1:11" ht="26.25" x14ac:dyDescent="0.25">
      <c r="A1418" s="83" t="s">
        <v>1854</v>
      </c>
      <c r="B1418" s="83" t="s">
        <v>3208</v>
      </c>
      <c r="C1418" s="83" t="s">
        <v>3208</v>
      </c>
      <c r="D1418" s="83" t="s">
        <v>3713</v>
      </c>
      <c r="E1418" s="83" t="s">
        <v>3761</v>
      </c>
      <c r="F1418" s="83" t="s">
        <v>6488</v>
      </c>
      <c r="G1418" s="83" t="s">
        <v>3375</v>
      </c>
      <c r="H1418" s="83">
        <v>0</v>
      </c>
      <c r="I1418" s="83" t="s">
        <v>3213</v>
      </c>
      <c r="J1418" s="83" t="s">
        <v>4176</v>
      </c>
      <c r="K1418" s="83" t="s">
        <v>3215</v>
      </c>
    </row>
    <row r="1419" spans="1:11" ht="51.75" x14ac:dyDescent="0.25">
      <c r="A1419" s="83" t="s">
        <v>2050</v>
      </c>
      <c r="B1419" s="83" t="s">
        <v>3208</v>
      </c>
      <c r="C1419" s="83" t="s">
        <v>3208</v>
      </c>
      <c r="D1419" s="83" t="s">
        <v>3713</v>
      </c>
      <c r="E1419" s="83" t="s">
        <v>3761</v>
      </c>
      <c r="F1419" s="83" t="s">
        <v>4917</v>
      </c>
      <c r="G1419" s="83" t="s">
        <v>4918</v>
      </c>
      <c r="H1419" s="83">
        <v>0</v>
      </c>
      <c r="I1419" s="83" t="s">
        <v>3229</v>
      </c>
      <c r="J1419" s="83" t="s">
        <v>3289</v>
      </c>
      <c r="K1419" s="83" t="s">
        <v>3215</v>
      </c>
    </row>
    <row r="1420" spans="1:11" ht="64.5" x14ac:dyDescent="0.25">
      <c r="A1420" s="83" t="s">
        <v>2675</v>
      </c>
      <c r="B1420" s="83" t="s">
        <v>3208</v>
      </c>
      <c r="C1420" s="83" t="s">
        <v>3208</v>
      </c>
      <c r="D1420" s="83" t="s">
        <v>3713</v>
      </c>
      <c r="E1420" s="83" t="s">
        <v>3761</v>
      </c>
      <c r="F1420" s="83" t="s">
        <v>6468</v>
      </c>
      <c r="G1420" s="83" t="s">
        <v>6489</v>
      </c>
      <c r="H1420" s="83">
        <v>0</v>
      </c>
      <c r="I1420" s="83" t="s">
        <v>3213</v>
      </c>
      <c r="J1420" s="83" t="s">
        <v>3219</v>
      </c>
      <c r="K1420" s="83" t="s">
        <v>3215</v>
      </c>
    </row>
    <row r="1421" spans="1:11" ht="51.75" x14ac:dyDescent="0.25">
      <c r="A1421" s="83" t="s">
        <v>55</v>
      </c>
      <c r="B1421" s="83" t="s">
        <v>3208</v>
      </c>
      <c r="C1421" s="83" t="s">
        <v>3208</v>
      </c>
      <c r="D1421" s="83" t="s">
        <v>3713</v>
      </c>
      <c r="E1421" s="83" t="s">
        <v>3761</v>
      </c>
      <c r="F1421" s="83" t="s">
        <v>6490</v>
      </c>
      <c r="G1421" s="83" t="s">
        <v>106</v>
      </c>
      <c r="H1421" s="83">
        <v>0</v>
      </c>
      <c r="I1421" s="83" t="s">
        <v>3213</v>
      </c>
      <c r="J1421" s="83" t="s">
        <v>3257</v>
      </c>
      <c r="K1421" s="83" t="s">
        <v>3215</v>
      </c>
    </row>
    <row r="1422" spans="1:11" ht="51.75" x14ac:dyDescent="0.25">
      <c r="A1422" s="83" t="s">
        <v>1179</v>
      </c>
      <c r="B1422" s="83" t="s">
        <v>6491</v>
      </c>
      <c r="C1422" s="83" t="s">
        <v>6492</v>
      </c>
      <c r="D1422" s="83" t="s">
        <v>3209</v>
      </c>
      <c r="E1422" s="83" t="s">
        <v>3246</v>
      </c>
      <c r="F1422" s="83" t="s">
        <v>4449</v>
      </c>
      <c r="G1422" s="83" t="s">
        <v>3838</v>
      </c>
      <c r="H1422" s="83">
        <v>19.8</v>
      </c>
      <c r="I1422" s="83" t="s">
        <v>3213</v>
      </c>
      <c r="J1422" s="83" t="s">
        <v>3214</v>
      </c>
      <c r="K1422" s="83" t="s">
        <v>3215</v>
      </c>
    </row>
    <row r="1423" spans="1:11" ht="26.25" x14ac:dyDescent="0.25">
      <c r="A1423" s="83" t="s">
        <v>6493</v>
      </c>
      <c r="B1423" s="83" t="s">
        <v>3208</v>
      </c>
      <c r="C1423" s="83" t="s">
        <v>6494</v>
      </c>
      <c r="D1423" s="83" t="s">
        <v>3718</v>
      </c>
      <c r="E1423" s="83" t="s">
        <v>3702</v>
      </c>
      <c r="F1423" s="83" t="s">
        <v>6495</v>
      </c>
      <c r="G1423" s="83" t="s">
        <v>6496</v>
      </c>
      <c r="H1423" s="83">
        <v>10</v>
      </c>
      <c r="I1423" s="83" t="s">
        <v>3208</v>
      </c>
      <c r="J1423" s="83" t="s">
        <v>3208</v>
      </c>
      <c r="K1423" s="83" t="s">
        <v>3208</v>
      </c>
    </row>
    <row r="1424" spans="1:11" ht="26.25" x14ac:dyDescent="0.25">
      <c r="A1424" s="83" t="s">
        <v>6497</v>
      </c>
      <c r="B1424" s="83" t="s">
        <v>3208</v>
      </c>
      <c r="C1424" s="83" t="s">
        <v>3208</v>
      </c>
      <c r="D1424" s="83" t="s">
        <v>3713</v>
      </c>
      <c r="E1424" s="83" t="s">
        <v>3714</v>
      </c>
      <c r="F1424" s="83" t="s">
        <v>6498</v>
      </c>
      <c r="G1424" s="83" t="s">
        <v>3925</v>
      </c>
      <c r="H1424" s="83">
        <v>0</v>
      </c>
      <c r="I1424" s="83" t="s">
        <v>3208</v>
      </c>
      <c r="J1424" s="83" t="s">
        <v>3208</v>
      </c>
      <c r="K1424" s="83" t="s">
        <v>3208</v>
      </c>
    </row>
    <row r="1425" spans="1:11" ht="51.75" x14ac:dyDescent="0.25">
      <c r="A1425" s="83" t="s">
        <v>2708</v>
      </c>
      <c r="B1425" s="83" t="s">
        <v>3208</v>
      </c>
      <c r="C1425" s="83" t="s">
        <v>3208</v>
      </c>
      <c r="D1425" s="83" t="s">
        <v>3713</v>
      </c>
      <c r="E1425" s="83" t="s">
        <v>3761</v>
      </c>
      <c r="F1425" s="83" t="s">
        <v>4091</v>
      </c>
      <c r="G1425" s="83" t="s">
        <v>6499</v>
      </c>
      <c r="H1425" s="83">
        <v>0</v>
      </c>
      <c r="I1425" s="83" t="s">
        <v>3229</v>
      </c>
      <c r="J1425" s="83" t="s">
        <v>3371</v>
      </c>
      <c r="K1425" s="83" t="s">
        <v>3215</v>
      </c>
    </row>
    <row r="1426" spans="1:11" ht="26.25" x14ac:dyDescent="0.25">
      <c r="A1426" s="83" t="s">
        <v>407</v>
      </c>
      <c r="B1426" s="83" t="s">
        <v>3208</v>
      </c>
      <c r="C1426" s="83" t="s">
        <v>6500</v>
      </c>
      <c r="D1426" s="83" t="s">
        <v>3718</v>
      </c>
      <c r="E1426" s="83" t="s">
        <v>3727</v>
      </c>
      <c r="F1426" s="83" t="s">
        <v>5742</v>
      </c>
      <c r="G1426" s="83" t="s">
        <v>4085</v>
      </c>
      <c r="H1426" s="83">
        <v>4.78</v>
      </c>
      <c r="I1426" s="83" t="s">
        <v>3213</v>
      </c>
      <c r="J1426" s="83" t="s">
        <v>3948</v>
      </c>
      <c r="K1426" s="83" t="s">
        <v>3215</v>
      </c>
    </row>
    <row r="1427" spans="1:11" ht="26.25" x14ac:dyDescent="0.25">
      <c r="A1427" s="83" t="s">
        <v>6501</v>
      </c>
      <c r="B1427" s="83" t="s">
        <v>3208</v>
      </c>
      <c r="C1427" s="83" t="s">
        <v>3208</v>
      </c>
      <c r="D1427" s="83" t="s">
        <v>3209</v>
      </c>
      <c r="E1427" s="83" t="s">
        <v>3663</v>
      </c>
      <c r="F1427" s="83" t="s">
        <v>6502</v>
      </c>
      <c r="G1427" s="83" t="s">
        <v>6503</v>
      </c>
      <c r="H1427" s="83">
        <v>120</v>
      </c>
      <c r="I1427" s="83" t="s">
        <v>3208</v>
      </c>
      <c r="J1427" s="83" t="s">
        <v>3208</v>
      </c>
      <c r="K1427" s="83" t="s">
        <v>3208</v>
      </c>
    </row>
    <row r="1428" spans="1:11" ht="51.75" x14ac:dyDescent="0.25">
      <c r="A1428" s="83" t="s">
        <v>960</v>
      </c>
      <c r="B1428" s="83" t="s">
        <v>6504</v>
      </c>
      <c r="C1428" s="83" t="s">
        <v>6505</v>
      </c>
      <c r="D1428" s="83" t="s">
        <v>3209</v>
      </c>
      <c r="E1428" s="83" t="s">
        <v>3246</v>
      </c>
      <c r="F1428" s="83" t="s">
        <v>6506</v>
      </c>
      <c r="G1428" s="83" t="s">
        <v>3838</v>
      </c>
      <c r="H1428" s="83">
        <v>38.299999999999997</v>
      </c>
      <c r="I1428" s="83" t="s">
        <v>3213</v>
      </c>
      <c r="J1428" s="83" t="s">
        <v>3214</v>
      </c>
      <c r="K1428" s="83" t="s">
        <v>3215</v>
      </c>
    </row>
    <row r="1429" spans="1:11" ht="51.75" x14ac:dyDescent="0.25">
      <c r="A1429" s="83" t="s">
        <v>2733</v>
      </c>
      <c r="B1429" s="83" t="s">
        <v>3208</v>
      </c>
      <c r="C1429" s="83" t="s">
        <v>3208</v>
      </c>
      <c r="D1429" s="83" t="s">
        <v>3713</v>
      </c>
      <c r="E1429" s="83" t="s">
        <v>3761</v>
      </c>
      <c r="F1429" s="83" t="s">
        <v>4129</v>
      </c>
      <c r="G1429" s="83" t="s">
        <v>3248</v>
      </c>
      <c r="H1429" s="83">
        <v>0</v>
      </c>
      <c r="I1429" s="83" t="s">
        <v>3229</v>
      </c>
      <c r="J1429" s="83" t="s">
        <v>3230</v>
      </c>
      <c r="K1429" s="83" t="s">
        <v>3215</v>
      </c>
    </row>
    <row r="1430" spans="1:11" ht="64.5" x14ac:dyDescent="0.25">
      <c r="A1430" s="83" t="s">
        <v>2779</v>
      </c>
      <c r="B1430" s="83" t="s">
        <v>3208</v>
      </c>
      <c r="C1430" s="83" t="s">
        <v>3208</v>
      </c>
      <c r="D1430" s="83" t="s">
        <v>3713</v>
      </c>
      <c r="E1430" s="83" t="s">
        <v>3761</v>
      </c>
      <c r="F1430" s="83" t="s">
        <v>6507</v>
      </c>
      <c r="G1430" s="83" t="s">
        <v>5781</v>
      </c>
      <c r="H1430" s="83">
        <v>0</v>
      </c>
      <c r="I1430" s="83" t="s">
        <v>3213</v>
      </c>
      <c r="J1430" s="83" t="s">
        <v>3413</v>
      </c>
      <c r="K1430" s="83" t="s">
        <v>3215</v>
      </c>
    </row>
    <row r="1431" spans="1:11" ht="26.25" x14ac:dyDescent="0.25">
      <c r="A1431" s="83" t="s">
        <v>2262</v>
      </c>
      <c r="B1431" s="83" t="s">
        <v>3208</v>
      </c>
      <c r="C1431" s="83" t="s">
        <v>3208</v>
      </c>
      <c r="D1431" s="83" t="s">
        <v>3713</v>
      </c>
      <c r="E1431" s="83" t="s">
        <v>3761</v>
      </c>
      <c r="F1431" s="83" t="s">
        <v>6508</v>
      </c>
      <c r="G1431" s="83" t="s">
        <v>6509</v>
      </c>
      <c r="H1431" s="83">
        <v>0</v>
      </c>
      <c r="I1431" s="83" t="s">
        <v>3229</v>
      </c>
      <c r="J1431" s="83" t="s">
        <v>3222</v>
      </c>
      <c r="K1431" s="83" t="s">
        <v>3215</v>
      </c>
    </row>
    <row r="1432" spans="1:11" x14ac:dyDescent="0.25">
      <c r="A1432" s="83" t="s">
        <v>6510</v>
      </c>
      <c r="B1432" s="83" t="s">
        <v>6511</v>
      </c>
      <c r="C1432" s="83" t="s">
        <v>6512</v>
      </c>
      <c r="D1432" s="83" t="s">
        <v>3209</v>
      </c>
      <c r="E1432" s="83" t="s">
        <v>3702</v>
      </c>
      <c r="F1432" s="83" t="s">
        <v>6513</v>
      </c>
      <c r="G1432" s="83" t="s">
        <v>6514</v>
      </c>
      <c r="H1432" s="83">
        <v>12</v>
      </c>
      <c r="I1432" s="83" t="s">
        <v>3208</v>
      </c>
      <c r="J1432" s="83" t="s">
        <v>3208</v>
      </c>
      <c r="K1432" s="83" t="s">
        <v>3208</v>
      </c>
    </row>
    <row r="1433" spans="1:11" ht="26.25" x14ac:dyDescent="0.25">
      <c r="A1433" s="83" t="s">
        <v>6515</v>
      </c>
      <c r="B1433" s="83" t="s">
        <v>3208</v>
      </c>
      <c r="C1433" s="83" t="s">
        <v>3208</v>
      </c>
      <c r="D1433" s="83" t="s">
        <v>3713</v>
      </c>
      <c r="E1433" s="83" t="s">
        <v>3714</v>
      </c>
      <c r="F1433" s="83" t="s">
        <v>6516</v>
      </c>
      <c r="G1433" s="83" t="s">
        <v>4088</v>
      </c>
      <c r="H1433" s="83">
        <v>0</v>
      </c>
      <c r="I1433" s="83" t="s">
        <v>3208</v>
      </c>
      <c r="J1433" s="83" t="s">
        <v>3208</v>
      </c>
      <c r="K1433" s="83" t="s">
        <v>3208</v>
      </c>
    </row>
    <row r="1434" spans="1:11" ht="51.75" x14ac:dyDescent="0.25">
      <c r="A1434" s="83" t="s">
        <v>828</v>
      </c>
      <c r="B1434" s="83" t="s">
        <v>6517</v>
      </c>
      <c r="C1434" s="83" t="s">
        <v>6518</v>
      </c>
      <c r="D1434" s="83" t="s">
        <v>3209</v>
      </c>
      <c r="E1434" s="83" t="s">
        <v>3246</v>
      </c>
      <c r="F1434" s="83" t="s">
        <v>6519</v>
      </c>
      <c r="G1434" s="83" t="s">
        <v>6520</v>
      </c>
      <c r="H1434" s="83">
        <v>0.8</v>
      </c>
      <c r="I1434" s="83" t="s">
        <v>3229</v>
      </c>
      <c r="J1434" s="83" t="s">
        <v>3238</v>
      </c>
      <c r="K1434" s="83" t="s">
        <v>3215</v>
      </c>
    </row>
    <row r="1435" spans="1:11" ht="26.25" x14ac:dyDescent="0.25">
      <c r="A1435" s="83" t="s">
        <v>448</v>
      </c>
      <c r="B1435" s="83" t="s">
        <v>3208</v>
      </c>
      <c r="C1435" s="83" t="s">
        <v>6521</v>
      </c>
      <c r="D1435" s="83" t="s">
        <v>3718</v>
      </c>
      <c r="E1435" s="83" t="s">
        <v>3727</v>
      </c>
      <c r="F1435" s="83" t="s">
        <v>4133</v>
      </c>
      <c r="G1435" s="83" t="s">
        <v>6522</v>
      </c>
      <c r="H1435" s="83">
        <v>3.5</v>
      </c>
      <c r="I1435" s="83" t="s">
        <v>3229</v>
      </c>
      <c r="J1435" s="83" t="s">
        <v>3324</v>
      </c>
      <c r="K1435" s="83" t="s">
        <v>3215</v>
      </c>
    </row>
    <row r="1436" spans="1:11" ht="26.25" x14ac:dyDescent="0.25">
      <c r="A1436" s="83" t="s">
        <v>334</v>
      </c>
      <c r="B1436" s="83" t="s">
        <v>3208</v>
      </c>
      <c r="C1436" s="83" t="s">
        <v>6523</v>
      </c>
      <c r="D1436" s="83" t="s">
        <v>4157</v>
      </c>
      <c r="E1436" s="83" t="s">
        <v>3727</v>
      </c>
      <c r="F1436" s="83" t="s">
        <v>6524</v>
      </c>
      <c r="G1436" s="83" t="s">
        <v>5046</v>
      </c>
      <c r="H1436" s="83">
        <v>0.77</v>
      </c>
      <c r="I1436" s="83" t="s">
        <v>3213</v>
      </c>
      <c r="J1436" s="83" t="s">
        <v>3467</v>
      </c>
      <c r="K1436" s="83" t="s">
        <v>3215</v>
      </c>
    </row>
    <row r="1437" spans="1:11" ht="26.25" x14ac:dyDescent="0.25">
      <c r="A1437" s="83" t="s">
        <v>6525</v>
      </c>
      <c r="B1437" s="83" t="s">
        <v>3208</v>
      </c>
      <c r="C1437" s="83" t="s">
        <v>3208</v>
      </c>
      <c r="D1437" s="83" t="s">
        <v>3713</v>
      </c>
      <c r="E1437" s="83" t="s">
        <v>3714</v>
      </c>
      <c r="F1437" s="83" t="s">
        <v>6526</v>
      </c>
      <c r="G1437" s="83" t="s">
        <v>6527</v>
      </c>
      <c r="H1437" s="83">
        <v>0</v>
      </c>
      <c r="I1437" s="83" t="s">
        <v>3208</v>
      </c>
      <c r="J1437" s="83" t="s">
        <v>3208</v>
      </c>
      <c r="K1437" s="83" t="s">
        <v>3208</v>
      </c>
    </row>
    <row r="1438" spans="1:11" ht="26.25" x14ac:dyDescent="0.25">
      <c r="A1438" s="83" t="s">
        <v>6528</v>
      </c>
      <c r="B1438" s="83" t="s">
        <v>3208</v>
      </c>
      <c r="C1438" s="83" t="s">
        <v>3208</v>
      </c>
      <c r="D1438" s="83" t="s">
        <v>3713</v>
      </c>
      <c r="E1438" s="83" t="s">
        <v>3714</v>
      </c>
      <c r="F1438" s="83" t="s">
        <v>6529</v>
      </c>
      <c r="G1438" s="83" t="s">
        <v>6530</v>
      </c>
      <c r="H1438" s="83">
        <v>0</v>
      </c>
      <c r="I1438" s="83" t="s">
        <v>3208</v>
      </c>
      <c r="J1438" s="83" t="s">
        <v>3208</v>
      </c>
      <c r="K1438" s="83" t="s">
        <v>3208</v>
      </c>
    </row>
    <row r="1439" spans="1:11" ht="26.25" x14ac:dyDescent="0.25">
      <c r="A1439" s="83" t="s">
        <v>6531</v>
      </c>
      <c r="B1439" s="83" t="s">
        <v>3208</v>
      </c>
      <c r="C1439" s="83" t="s">
        <v>3208</v>
      </c>
      <c r="D1439" s="83" t="s">
        <v>3713</v>
      </c>
      <c r="E1439" s="83" t="s">
        <v>3714</v>
      </c>
      <c r="F1439" s="83" t="s">
        <v>6532</v>
      </c>
      <c r="G1439" s="83" t="s">
        <v>5608</v>
      </c>
      <c r="H1439" s="83">
        <v>0</v>
      </c>
      <c r="I1439" s="83" t="s">
        <v>3208</v>
      </c>
      <c r="J1439" s="83" t="s">
        <v>3208</v>
      </c>
      <c r="K1439" s="83" t="s">
        <v>3208</v>
      </c>
    </row>
    <row r="1440" spans="1:11" ht="26.25" x14ac:dyDescent="0.25">
      <c r="A1440" s="83" t="s">
        <v>6533</v>
      </c>
      <c r="B1440" s="83" t="s">
        <v>3208</v>
      </c>
      <c r="C1440" s="83" t="s">
        <v>3208</v>
      </c>
      <c r="D1440" s="83" t="s">
        <v>3741</v>
      </c>
      <c r="E1440" s="83" t="s">
        <v>3210</v>
      </c>
      <c r="F1440" s="83" t="s">
        <v>6534</v>
      </c>
      <c r="G1440" s="83" t="s">
        <v>5865</v>
      </c>
      <c r="H1440" s="83">
        <v>6.32</v>
      </c>
      <c r="I1440" s="83" t="s">
        <v>3213</v>
      </c>
      <c r="J1440" s="83" t="s">
        <v>3948</v>
      </c>
      <c r="K1440" s="83" t="s">
        <v>3215</v>
      </c>
    </row>
    <row r="1441" spans="1:11" ht="39" x14ac:dyDescent="0.25">
      <c r="A1441" s="83" t="s">
        <v>2835</v>
      </c>
      <c r="B1441" s="83" t="s">
        <v>3208</v>
      </c>
      <c r="C1441" s="83" t="s">
        <v>3208</v>
      </c>
      <c r="D1441" s="83" t="s">
        <v>3713</v>
      </c>
      <c r="E1441" s="83" t="s">
        <v>3761</v>
      </c>
      <c r="F1441" s="83" t="s">
        <v>6535</v>
      </c>
      <c r="G1441" s="83" t="s">
        <v>6536</v>
      </c>
      <c r="H1441" s="83">
        <v>0</v>
      </c>
      <c r="I1441" s="83" t="s">
        <v>3229</v>
      </c>
      <c r="J1441" s="83" t="s">
        <v>356</v>
      </c>
      <c r="K1441" s="83" t="s">
        <v>3215</v>
      </c>
    </row>
    <row r="1442" spans="1:11" ht="26.25" x14ac:dyDescent="0.25">
      <c r="A1442" s="83" t="s">
        <v>1286</v>
      </c>
      <c r="B1442" s="83" t="s">
        <v>6537</v>
      </c>
      <c r="C1442" s="83" t="s">
        <v>6538</v>
      </c>
      <c r="D1442" s="83" t="s">
        <v>3209</v>
      </c>
      <c r="E1442" s="83" t="s">
        <v>3246</v>
      </c>
      <c r="F1442" s="83" t="s">
        <v>6539</v>
      </c>
      <c r="G1442" s="83" t="s">
        <v>3889</v>
      </c>
      <c r="H1442" s="83">
        <v>41</v>
      </c>
      <c r="I1442" s="83" t="s">
        <v>3229</v>
      </c>
      <c r="J1442" s="83" t="s">
        <v>3311</v>
      </c>
      <c r="K1442" s="83" t="s">
        <v>3215</v>
      </c>
    </row>
    <row r="1443" spans="1:11" ht="26.25" x14ac:dyDescent="0.25">
      <c r="A1443" s="83" t="s">
        <v>349</v>
      </c>
      <c r="B1443" s="83" t="s">
        <v>3208</v>
      </c>
      <c r="C1443" s="83" t="s">
        <v>3208</v>
      </c>
      <c r="D1443" s="83" t="s">
        <v>3209</v>
      </c>
      <c r="E1443" s="83" t="s">
        <v>3210</v>
      </c>
      <c r="F1443" s="83" t="s">
        <v>5018</v>
      </c>
      <c r="G1443" s="83" t="s">
        <v>5019</v>
      </c>
      <c r="H1443" s="83">
        <v>72.8</v>
      </c>
      <c r="I1443" s="83" t="s">
        <v>3213</v>
      </c>
      <c r="J1443" s="83" t="s">
        <v>4000</v>
      </c>
      <c r="K1443" s="83" t="s">
        <v>3215</v>
      </c>
    </row>
    <row r="1444" spans="1:11" ht="51.75" x14ac:dyDescent="0.25">
      <c r="A1444" s="83" t="s">
        <v>2876</v>
      </c>
      <c r="B1444" s="83" t="s">
        <v>3208</v>
      </c>
      <c r="C1444" s="83" t="s">
        <v>3208</v>
      </c>
      <c r="D1444" s="83" t="s">
        <v>3713</v>
      </c>
      <c r="E1444" s="83" t="s">
        <v>3761</v>
      </c>
      <c r="F1444" s="83" t="s">
        <v>6540</v>
      </c>
      <c r="G1444" s="83" t="s">
        <v>3592</v>
      </c>
      <c r="H1444" s="83">
        <v>0</v>
      </c>
      <c r="I1444" s="83" t="s">
        <v>3229</v>
      </c>
      <c r="J1444" s="83" t="s">
        <v>3289</v>
      </c>
      <c r="K1444" s="83" t="s">
        <v>3215</v>
      </c>
    </row>
    <row r="1445" spans="1:11" ht="39" x14ac:dyDescent="0.25">
      <c r="A1445" s="83" t="s">
        <v>1830</v>
      </c>
      <c r="B1445" s="83" t="s">
        <v>3208</v>
      </c>
      <c r="C1445" s="83" t="s">
        <v>3208</v>
      </c>
      <c r="D1445" s="83" t="s">
        <v>3713</v>
      </c>
      <c r="E1445" s="83" t="s">
        <v>3761</v>
      </c>
      <c r="F1445" s="83" t="s">
        <v>6541</v>
      </c>
      <c r="G1445" s="83" t="s">
        <v>5858</v>
      </c>
      <c r="H1445" s="83">
        <v>0</v>
      </c>
      <c r="I1445" s="83" t="s">
        <v>3229</v>
      </c>
      <c r="J1445" s="83" t="s">
        <v>356</v>
      </c>
      <c r="K1445" s="83" t="s">
        <v>3215</v>
      </c>
    </row>
    <row r="1446" spans="1:11" ht="51.75" x14ac:dyDescent="0.25">
      <c r="A1446" s="83" t="s">
        <v>2802</v>
      </c>
      <c r="B1446" s="83" t="s">
        <v>3208</v>
      </c>
      <c r="C1446" s="83" t="s">
        <v>3208</v>
      </c>
      <c r="D1446" s="83" t="s">
        <v>3713</v>
      </c>
      <c r="E1446" s="83" t="s">
        <v>3761</v>
      </c>
      <c r="F1446" s="83" t="s">
        <v>4144</v>
      </c>
      <c r="G1446" s="83" t="s">
        <v>6542</v>
      </c>
      <c r="H1446" s="83">
        <v>0</v>
      </c>
      <c r="I1446" s="83" t="s">
        <v>3229</v>
      </c>
      <c r="J1446" s="83" t="s">
        <v>6262</v>
      </c>
      <c r="K1446" s="83" t="s">
        <v>3215</v>
      </c>
    </row>
    <row r="1447" spans="1:11" ht="64.5" x14ac:dyDescent="0.25">
      <c r="A1447" s="83" t="s">
        <v>2854</v>
      </c>
      <c r="B1447" s="83" t="s">
        <v>3208</v>
      </c>
      <c r="C1447" s="83" t="s">
        <v>3208</v>
      </c>
      <c r="D1447" s="83" t="s">
        <v>3713</v>
      </c>
      <c r="E1447" s="83" t="s">
        <v>3761</v>
      </c>
      <c r="F1447" s="83" t="s">
        <v>6543</v>
      </c>
      <c r="G1447" s="83" t="s">
        <v>6544</v>
      </c>
      <c r="H1447" s="83">
        <v>0</v>
      </c>
      <c r="I1447" s="83" t="s">
        <v>3229</v>
      </c>
      <c r="J1447" s="83" t="s">
        <v>3380</v>
      </c>
      <c r="K1447" s="83" t="s">
        <v>3215</v>
      </c>
    </row>
    <row r="1448" spans="1:11" ht="26.25" x14ac:dyDescent="0.25">
      <c r="A1448" s="83" t="s">
        <v>6545</v>
      </c>
      <c r="B1448" s="83" t="s">
        <v>3208</v>
      </c>
      <c r="C1448" s="83" t="s">
        <v>3208</v>
      </c>
      <c r="D1448" s="83" t="s">
        <v>3713</v>
      </c>
      <c r="E1448" s="83" t="s">
        <v>3714</v>
      </c>
      <c r="F1448" s="83" t="s">
        <v>5815</v>
      </c>
      <c r="G1448" s="83" t="s">
        <v>3925</v>
      </c>
      <c r="H1448" s="83">
        <v>0</v>
      </c>
      <c r="I1448" s="83" t="s">
        <v>3208</v>
      </c>
      <c r="J1448" s="83" t="s">
        <v>3208</v>
      </c>
      <c r="K1448" s="83" t="s">
        <v>3208</v>
      </c>
    </row>
    <row r="1449" spans="1:11" ht="26.25" x14ac:dyDescent="0.25">
      <c r="A1449" s="83" t="s">
        <v>6546</v>
      </c>
      <c r="B1449" s="83" t="s">
        <v>3208</v>
      </c>
      <c r="C1449" s="83" t="s">
        <v>3208</v>
      </c>
      <c r="D1449" s="83" t="s">
        <v>4005</v>
      </c>
      <c r="E1449" s="83" t="s">
        <v>4248</v>
      </c>
      <c r="F1449" s="83" t="s">
        <v>5777</v>
      </c>
      <c r="G1449" s="83" t="s">
        <v>6489</v>
      </c>
      <c r="H1449" s="83">
        <v>2.81</v>
      </c>
      <c r="I1449" s="83" t="s">
        <v>3208</v>
      </c>
      <c r="J1449" s="83" t="s">
        <v>3208</v>
      </c>
      <c r="K1449" s="83" t="s">
        <v>3208</v>
      </c>
    </row>
    <row r="1450" spans="1:11" ht="26.25" x14ac:dyDescent="0.25">
      <c r="A1450" s="83" t="s">
        <v>373</v>
      </c>
      <c r="B1450" s="83" t="s">
        <v>3208</v>
      </c>
      <c r="C1450" s="83" t="s">
        <v>6547</v>
      </c>
      <c r="D1450" s="83" t="s">
        <v>4157</v>
      </c>
      <c r="E1450" s="83" t="s">
        <v>3727</v>
      </c>
      <c r="F1450" s="83" t="s">
        <v>5077</v>
      </c>
      <c r="G1450" s="83" t="s">
        <v>6548</v>
      </c>
      <c r="H1450" s="83">
        <v>0.18</v>
      </c>
      <c r="I1450" s="83" t="s">
        <v>3213</v>
      </c>
      <c r="J1450" s="83" t="s">
        <v>3948</v>
      </c>
      <c r="K1450" s="83" t="s">
        <v>3215</v>
      </c>
    </row>
    <row r="1451" spans="1:11" ht="26.25" x14ac:dyDescent="0.25">
      <c r="A1451" s="83" t="s">
        <v>6549</v>
      </c>
      <c r="B1451" s="83" t="s">
        <v>3208</v>
      </c>
      <c r="C1451" s="83" t="s">
        <v>3208</v>
      </c>
      <c r="D1451" s="83" t="s">
        <v>3713</v>
      </c>
      <c r="E1451" s="83" t="s">
        <v>3714</v>
      </c>
      <c r="F1451" s="83" t="s">
        <v>5789</v>
      </c>
      <c r="G1451" s="83" t="s">
        <v>5790</v>
      </c>
      <c r="H1451" s="83">
        <v>0</v>
      </c>
      <c r="I1451" s="83" t="s">
        <v>3208</v>
      </c>
      <c r="J1451" s="83" t="s">
        <v>3208</v>
      </c>
      <c r="K1451" s="83" t="s">
        <v>3208</v>
      </c>
    </row>
    <row r="1452" spans="1:11" ht="26.25" x14ac:dyDescent="0.25">
      <c r="A1452" s="83" t="s">
        <v>6550</v>
      </c>
      <c r="B1452" s="83" t="s">
        <v>3208</v>
      </c>
      <c r="C1452" s="83" t="s">
        <v>3208</v>
      </c>
      <c r="D1452" s="83" t="s">
        <v>4157</v>
      </c>
      <c r="E1452" s="83" t="s">
        <v>4248</v>
      </c>
      <c r="F1452" s="83" t="s">
        <v>6551</v>
      </c>
      <c r="G1452" s="83" t="s">
        <v>6552</v>
      </c>
      <c r="H1452" s="83">
        <v>9.39</v>
      </c>
      <c r="I1452" s="83" t="s">
        <v>3208</v>
      </c>
      <c r="J1452" s="83" t="s">
        <v>3208</v>
      </c>
      <c r="K1452" s="83" t="s">
        <v>3208</v>
      </c>
    </row>
    <row r="1453" spans="1:11" ht="26.25" x14ac:dyDescent="0.25">
      <c r="A1453" s="83" t="s">
        <v>6553</v>
      </c>
      <c r="B1453" s="83" t="s">
        <v>3208</v>
      </c>
      <c r="C1453" s="83" t="s">
        <v>3208</v>
      </c>
      <c r="D1453" s="83" t="s">
        <v>3713</v>
      </c>
      <c r="E1453" s="83" t="s">
        <v>3714</v>
      </c>
      <c r="F1453" s="83" t="s">
        <v>6554</v>
      </c>
      <c r="G1453" s="83" t="s">
        <v>6555</v>
      </c>
      <c r="H1453" s="83">
        <v>0</v>
      </c>
      <c r="I1453" s="83" t="s">
        <v>3208</v>
      </c>
      <c r="J1453" s="83" t="s">
        <v>3208</v>
      </c>
      <c r="K1453" s="83" t="s">
        <v>3208</v>
      </c>
    </row>
    <row r="1454" spans="1:11" ht="26.25" x14ac:dyDescent="0.25">
      <c r="A1454" s="83" t="s">
        <v>6556</v>
      </c>
      <c r="B1454" s="83" t="s">
        <v>3208</v>
      </c>
      <c r="C1454" s="83" t="s">
        <v>3208</v>
      </c>
      <c r="D1454" s="83" t="s">
        <v>4157</v>
      </c>
      <c r="E1454" s="83" t="s">
        <v>4248</v>
      </c>
      <c r="F1454" s="83" t="s">
        <v>5830</v>
      </c>
      <c r="G1454" s="83" t="s">
        <v>6557</v>
      </c>
      <c r="H1454" s="83">
        <v>0.02</v>
      </c>
      <c r="I1454" s="83" t="s">
        <v>3208</v>
      </c>
      <c r="J1454" s="83" t="s">
        <v>3208</v>
      </c>
      <c r="K1454" s="83" t="s">
        <v>3208</v>
      </c>
    </row>
    <row r="1455" spans="1:11" ht="26.25" x14ac:dyDescent="0.25">
      <c r="A1455" s="83" t="s">
        <v>6558</v>
      </c>
      <c r="B1455" s="83" t="s">
        <v>3208</v>
      </c>
      <c r="C1455" s="83" t="s">
        <v>3208</v>
      </c>
      <c r="D1455" s="83" t="s">
        <v>3713</v>
      </c>
      <c r="E1455" s="83" t="s">
        <v>3714</v>
      </c>
      <c r="F1455" s="83" t="s">
        <v>6559</v>
      </c>
      <c r="G1455" s="83" t="s">
        <v>6560</v>
      </c>
      <c r="H1455" s="83">
        <v>0</v>
      </c>
      <c r="I1455" s="83" t="s">
        <v>3208</v>
      </c>
      <c r="J1455" s="83" t="s">
        <v>3208</v>
      </c>
      <c r="K1455" s="83" t="s">
        <v>3208</v>
      </c>
    </row>
    <row r="1456" spans="1:11" ht="51.75" x14ac:dyDescent="0.25">
      <c r="A1456" s="83" t="s">
        <v>396</v>
      </c>
      <c r="B1456" s="83" t="s">
        <v>3208</v>
      </c>
      <c r="C1456" s="83" t="s">
        <v>6561</v>
      </c>
      <c r="D1456" s="83" t="s">
        <v>3741</v>
      </c>
      <c r="E1456" s="83" t="s">
        <v>3727</v>
      </c>
      <c r="F1456" s="83" t="s">
        <v>6562</v>
      </c>
      <c r="G1456" s="83" t="s">
        <v>4819</v>
      </c>
      <c r="H1456" s="83">
        <v>7.8</v>
      </c>
      <c r="I1456" s="83" t="s">
        <v>3229</v>
      </c>
      <c r="J1456" s="83" t="s">
        <v>3238</v>
      </c>
      <c r="K1456" s="83" t="s">
        <v>3215</v>
      </c>
    </row>
    <row r="1457" spans="1:11" ht="51.75" x14ac:dyDescent="0.25">
      <c r="A1457" s="83" t="s">
        <v>2807</v>
      </c>
      <c r="B1457" s="83" t="s">
        <v>3208</v>
      </c>
      <c r="C1457" s="83" t="s">
        <v>3208</v>
      </c>
      <c r="D1457" s="83" t="s">
        <v>3713</v>
      </c>
      <c r="E1457" s="83" t="s">
        <v>3761</v>
      </c>
      <c r="F1457" s="83" t="s">
        <v>4168</v>
      </c>
      <c r="G1457" s="83" t="s">
        <v>5810</v>
      </c>
      <c r="H1457" s="83">
        <v>0</v>
      </c>
      <c r="I1457" s="83" t="s">
        <v>3213</v>
      </c>
      <c r="J1457" s="83" t="s">
        <v>3538</v>
      </c>
      <c r="K1457" s="83" t="s">
        <v>3215</v>
      </c>
    </row>
    <row r="1458" spans="1:11" ht="51.75" x14ac:dyDescent="0.25">
      <c r="A1458" s="83" t="s">
        <v>2889</v>
      </c>
      <c r="B1458" s="83" t="s">
        <v>3208</v>
      </c>
      <c r="C1458" s="83" t="s">
        <v>3208</v>
      </c>
      <c r="D1458" s="83" t="s">
        <v>3713</v>
      </c>
      <c r="E1458" s="83" t="s">
        <v>3761</v>
      </c>
      <c r="F1458" s="83" t="s">
        <v>6563</v>
      </c>
      <c r="G1458" s="83" t="s">
        <v>5319</v>
      </c>
      <c r="H1458" s="83">
        <v>0</v>
      </c>
      <c r="I1458" s="83" t="s">
        <v>3229</v>
      </c>
      <c r="J1458" s="83" t="s">
        <v>3230</v>
      </c>
      <c r="K1458" s="83" t="s">
        <v>3215</v>
      </c>
    </row>
    <row r="1459" spans="1:11" ht="26.25" x14ac:dyDescent="0.25">
      <c r="A1459" s="83" t="s">
        <v>6564</v>
      </c>
      <c r="B1459" s="83" t="s">
        <v>3208</v>
      </c>
      <c r="C1459" s="83" t="s">
        <v>6565</v>
      </c>
      <c r="D1459" s="83" t="s">
        <v>3718</v>
      </c>
      <c r="E1459" s="83" t="s">
        <v>3702</v>
      </c>
      <c r="F1459" s="83" t="s">
        <v>6566</v>
      </c>
      <c r="G1459" s="83" t="s">
        <v>6567</v>
      </c>
      <c r="H1459" s="83">
        <v>0.6</v>
      </c>
      <c r="I1459" s="83" t="s">
        <v>3208</v>
      </c>
      <c r="J1459" s="83" t="s">
        <v>3208</v>
      </c>
      <c r="K1459" s="83" t="s">
        <v>3208</v>
      </c>
    </row>
    <row r="1460" spans="1:11" ht="26.25" x14ac:dyDescent="0.25">
      <c r="A1460" s="83" t="s">
        <v>1775</v>
      </c>
      <c r="B1460" s="83" t="s">
        <v>3208</v>
      </c>
      <c r="C1460" s="83" t="s">
        <v>3208</v>
      </c>
      <c r="D1460" s="83" t="s">
        <v>3713</v>
      </c>
      <c r="E1460" s="83" t="s">
        <v>3761</v>
      </c>
      <c r="F1460" s="83" t="s">
        <v>6568</v>
      </c>
      <c r="G1460" s="83" t="s">
        <v>5088</v>
      </c>
      <c r="H1460" s="83">
        <v>0</v>
      </c>
      <c r="I1460" s="83" t="s">
        <v>3229</v>
      </c>
      <c r="J1460" s="83" t="s">
        <v>3222</v>
      </c>
      <c r="K1460" s="83" t="s">
        <v>3215</v>
      </c>
    </row>
    <row r="1461" spans="1:11" ht="26.25" x14ac:dyDescent="0.25">
      <c r="A1461" s="83" t="s">
        <v>6569</v>
      </c>
      <c r="B1461" s="83" t="s">
        <v>3208</v>
      </c>
      <c r="C1461" s="83" t="s">
        <v>3208</v>
      </c>
      <c r="D1461" s="83" t="s">
        <v>3713</v>
      </c>
      <c r="E1461" s="83" t="s">
        <v>3714</v>
      </c>
      <c r="F1461" s="83" t="s">
        <v>6570</v>
      </c>
      <c r="G1461" s="83" t="s">
        <v>6571</v>
      </c>
      <c r="H1461" s="83">
        <v>0</v>
      </c>
      <c r="I1461" s="83" t="s">
        <v>3208</v>
      </c>
      <c r="J1461" s="83" t="s">
        <v>3208</v>
      </c>
      <c r="K1461" s="83" t="s">
        <v>3208</v>
      </c>
    </row>
    <row r="1462" spans="1:11" ht="26.25" x14ac:dyDescent="0.25">
      <c r="A1462" s="83" t="s">
        <v>6572</v>
      </c>
      <c r="B1462" s="83" t="s">
        <v>3208</v>
      </c>
      <c r="C1462" s="83" t="s">
        <v>3208</v>
      </c>
      <c r="D1462" s="83" t="s">
        <v>3718</v>
      </c>
      <c r="E1462" s="83" t="s">
        <v>4248</v>
      </c>
      <c r="F1462" s="83" t="s">
        <v>6573</v>
      </c>
      <c r="G1462" s="83" t="s">
        <v>6574</v>
      </c>
      <c r="H1462" s="83">
        <v>5.43</v>
      </c>
      <c r="I1462" s="83" t="s">
        <v>3208</v>
      </c>
      <c r="J1462" s="83" t="s">
        <v>3208</v>
      </c>
      <c r="K1462" s="83" t="s">
        <v>3208</v>
      </c>
    </row>
    <row r="1463" spans="1:11" ht="26.25" x14ac:dyDescent="0.25">
      <c r="A1463" s="83" t="s">
        <v>6575</v>
      </c>
      <c r="B1463" s="83" t="s">
        <v>3208</v>
      </c>
      <c r="C1463" s="83" t="s">
        <v>3208</v>
      </c>
      <c r="D1463" s="83" t="s">
        <v>4157</v>
      </c>
      <c r="E1463" s="83" t="s">
        <v>4248</v>
      </c>
      <c r="F1463" s="83" t="s">
        <v>6576</v>
      </c>
      <c r="G1463" s="83" t="s">
        <v>6577</v>
      </c>
      <c r="H1463" s="83">
        <v>0</v>
      </c>
      <c r="I1463" s="83" t="s">
        <v>3208</v>
      </c>
      <c r="J1463" s="83" t="s">
        <v>3208</v>
      </c>
      <c r="K1463" s="83" t="s">
        <v>3208</v>
      </c>
    </row>
    <row r="1464" spans="1:11" ht="51.75" x14ac:dyDescent="0.25">
      <c r="A1464" s="83" t="s">
        <v>483</v>
      </c>
      <c r="B1464" s="83" t="s">
        <v>6578</v>
      </c>
      <c r="C1464" s="83" t="s">
        <v>3208</v>
      </c>
      <c r="D1464" s="83" t="s">
        <v>3209</v>
      </c>
      <c r="E1464" s="83" t="s">
        <v>3226</v>
      </c>
      <c r="F1464" s="83" t="s">
        <v>6532</v>
      </c>
      <c r="G1464" s="83" t="s">
        <v>5608</v>
      </c>
      <c r="H1464" s="83">
        <v>253</v>
      </c>
      <c r="I1464" s="83" t="s">
        <v>3229</v>
      </c>
      <c r="J1464" s="83" t="s">
        <v>3230</v>
      </c>
      <c r="K1464" s="83" t="s">
        <v>3215</v>
      </c>
    </row>
    <row r="1465" spans="1:11" ht="26.25" x14ac:dyDescent="0.25">
      <c r="A1465" s="83" t="s">
        <v>632</v>
      </c>
      <c r="B1465" s="83" t="s">
        <v>6579</v>
      </c>
      <c r="C1465" s="83" t="s">
        <v>3208</v>
      </c>
      <c r="D1465" s="83" t="s">
        <v>3209</v>
      </c>
      <c r="E1465" s="83" t="s">
        <v>3226</v>
      </c>
      <c r="F1465" s="83" t="s">
        <v>6580</v>
      </c>
      <c r="G1465" s="83" t="s">
        <v>6581</v>
      </c>
      <c r="H1465" s="83">
        <v>17</v>
      </c>
      <c r="I1465" s="83" t="s">
        <v>3213</v>
      </c>
      <c r="J1465" s="83" t="s">
        <v>3467</v>
      </c>
      <c r="K1465" s="83" t="s">
        <v>3215</v>
      </c>
    </row>
    <row r="1466" spans="1:11" ht="26.25" x14ac:dyDescent="0.25">
      <c r="A1466" s="83" t="s">
        <v>366</v>
      </c>
      <c r="B1466" s="83" t="s">
        <v>3208</v>
      </c>
      <c r="C1466" s="83" t="s">
        <v>6582</v>
      </c>
      <c r="D1466" s="83" t="s">
        <v>4157</v>
      </c>
      <c r="E1466" s="83" t="s">
        <v>3702</v>
      </c>
      <c r="F1466" s="83" t="s">
        <v>6583</v>
      </c>
      <c r="G1466" s="83" t="s">
        <v>6552</v>
      </c>
      <c r="H1466" s="83">
        <v>0.68</v>
      </c>
      <c r="I1466" s="83" t="s">
        <v>3208</v>
      </c>
      <c r="J1466" s="83" t="s">
        <v>3208</v>
      </c>
      <c r="K1466" s="83" t="s">
        <v>3208</v>
      </c>
    </row>
    <row r="1467" spans="1:11" ht="26.25" x14ac:dyDescent="0.25">
      <c r="A1467" s="83" t="s">
        <v>6584</v>
      </c>
      <c r="B1467" s="83" t="s">
        <v>3208</v>
      </c>
      <c r="C1467" s="83" t="s">
        <v>3208</v>
      </c>
      <c r="D1467" s="83" t="s">
        <v>4157</v>
      </c>
      <c r="E1467" s="83" t="s">
        <v>4248</v>
      </c>
      <c r="F1467" s="83" t="s">
        <v>6585</v>
      </c>
      <c r="G1467" s="83" t="s">
        <v>6586</v>
      </c>
      <c r="H1467" s="83">
        <v>1.01</v>
      </c>
      <c r="I1467" s="83" t="s">
        <v>3208</v>
      </c>
      <c r="J1467" s="83" t="s">
        <v>3208</v>
      </c>
      <c r="K1467" s="83" t="s">
        <v>3208</v>
      </c>
    </row>
    <row r="1468" spans="1:11" ht="26.25" x14ac:dyDescent="0.25">
      <c r="A1468" s="83" t="s">
        <v>569</v>
      </c>
      <c r="B1468" s="83" t="s">
        <v>3208</v>
      </c>
      <c r="C1468" s="83" t="s">
        <v>6287</v>
      </c>
      <c r="D1468" s="83" t="s">
        <v>3741</v>
      </c>
      <c r="E1468" s="83" t="s">
        <v>3727</v>
      </c>
      <c r="F1468" s="83" t="s">
        <v>3745</v>
      </c>
      <c r="G1468" s="83" t="s">
        <v>3746</v>
      </c>
      <c r="H1468" s="83">
        <v>5</v>
      </c>
      <c r="I1468" s="83" t="s">
        <v>3213</v>
      </c>
      <c r="J1468" s="83" t="s">
        <v>3747</v>
      </c>
      <c r="K1468" s="83" t="s">
        <v>3215</v>
      </c>
    </row>
    <row r="1469" spans="1:11" x14ac:dyDescent="0.25">
      <c r="A1469" s="83" t="s">
        <v>6587</v>
      </c>
      <c r="B1469" s="83" t="s">
        <v>3208</v>
      </c>
      <c r="C1469" s="83" t="s">
        <v>3208</v>
      </c>
      <c r="D1469" s="83" t="s">
        <v>3209</v>
      </c>
      <c r="E1469" s="83" t="s">
        <v>3663</v>
      </c>
      <c r="F1469" s="83" t="s">
        <v>6588</v>
      </c>
      <c r="G1469" s="83" t="s">
        <v>6589</v>
      </c>
      <c r="H1469" s="83">
        <v>30</v>
      </c>
      <c r="I1469" s="83" t="s">
        <v>3208</v>
      </c>
      <c r="J1469" s="83" t="s">
        <v>3208</v>
      </c>
      <c r="K1469" s="83" t="s">
        <v>3208</v>
      </c>
    </row>
    <row r="1470" spans="1:11" x14ac:dyDescent="0.25">
      <c r="A1470" s="83" t="s">
        <v>601</v>
      </c>
      <c r="B1470" s="83" t="s">
        <v>3208</v>
      </c>
      <c r="C1470" s="83" t="s">
        <v>3208</v>
      </c>
      <c r="D1470" s="83" t="s">
        <v>3209</v>
      </c>
      <c r="E1470" s="83" t="s">
        <v>3663</v>
      </c>
      <c r="F1470" s="83" t="s">
        <v>6590</v>
      </c>
      <c r="G1470" s="83" t="s">
        <v>5837</v>
      </c>
      <c r="H1470" s="83">
        <v>30</v>
      </c>
      <c r="I1470" s="83" t="s">
        <v>3208</v>
      </c>
      <c r="J1470" s="83" t="s">
        <v>3208</v>
      </c>
      <c r="K1470" s="83" t="s">
        <v>3208</v>
      </c>
    </row>
    <row r="1471" spans="1:11" ht="51.75" x14ac:dyDescent="0.25">
      <c r="A1471" s="83" t="s">
        <v>427</v>
      </c>
      <c r="B1471" s="83" t="s">
        <v>3208</v>
      </c>
      <c r="C1471" s="83" t="s">
        <v>6591</v>
      </c>
      <c r="D1471" s="83" t="s">
        <v>3718</v>
      </c>
      <c r="E1471" s="83" t="s">
        <v>3727</v>
      </c>
      <c r="F1471" s="83" t="s">
        <v>6592</v>
      </c>
      <c r="G1471" s="83" t="s">
        <v>6593</v>
      </c>
      <c r="H1471" s="83">
        <v>0.13</v>
      </c>
      <c r="I1471" s="83" t="s">
        <v>3229</v>
      </c>
      <c r="J1471" s="83" t="s">
        <v>3332</v>
      </c>
      <c r="K1471" s="83" t="s">
        <v>3215</v>
      </c>
    </row>
    <row r="1472" spans="1:11" ht="26.25" x14ac:dyDescent="0.25">
      <c r="A1472" s="83" t="s">
        <v>6594</v>
      </c>
      <c r="B1472" s="83" t="s">
        <v>3208</v>
      </c>
      <c r="C1472" s="83" t="s">
        <v>3208</v>
      </c>
      <c r="D1472" s="83" t="s">
        <v>3713</v>
      </c>
      <c r="E1472" s="83" t="s">
        <v>3714</v>
      </c>
      <c r="F1472" s="83" t="s">
        <v>4235</v>
      </c>
      <c r="G1472" s="83" t="s">
        <v>4236</v>
      </c>
      <c r="H1472" s="83">
        <v>0</v>
      </c>
      <c r="I1472" s="83" t="s">
        <v>3208</v>
      </c>
      <c r="J1472" s="83" t="s">
        <v>3208</v>
      </c>
      <c r="K1472" s="83" t="s">
        <v>3208</v>
      </c>
    </row>
    <row r="1473" spans="1:11" ht="26.25" x14ac:dyDescent="0.25">
      <c r="A1473" s="83" t="s">
        <v>6595</v>
      </c>
      <c r="B1473" s="83" t="s">
        <v>3208</v>
      </c>
      <c r="C1473" s="83" t="s">
        <v>3208</v>
      </c>
      <c r="D1473" s="83" t="s">
        <v>3713</v>
      </c>
      <c r="E1473" s="83" t="s">
        <v>3714</v>
      </c>
      <c r="F1473" s="83" t="s">
        <v>4235</v>
      </c>
      <c r="G1473" s="83" t="s">
        <v>4236</v>
      </c>
      <c r="H1473" s="83">
        <v>0</v>
      </c>
      <c r="I1473" s="83" t="s">
        <v>3208</v>
      </c>
      <c r="J1473" s="83" t="s">
        <v>3208</v>
      </c>
      <c r="K1473" s="83" t="s">
        <v>3208</v>
      </c>
    </row>
    <row r="1474" spans="1:11" ht="26.25" x14ac:dyDescent="0.25">
      <c r="A1474" s="83" t="s">
        <v>6596</v>
      </c>
      <c r="B1474" s="83" t="s">
        <v>3208</v>
      </c>
      <c r="C1474" s="83" t="s">
        <v>3208</v>
      </c>
      <c r="D1474" s="83" t="s">
        <v>3713</v>
      </c>
      <c r="E1474" s="83" t="s">
        <v>3714</v>
      </c>
      <c r="F1474" s="83" t="s">
        <v>4235</v>
      </c>
      <c r="G1474" s="83" t="s">
        <v>4236</v>
      </c>
      <c r="H1474" s="83">
        <v>0</v>
      </c>
      <c r="I1474" s="83" t="s">
        <v>3208</v>
      </c>
      <c r="J1474" s="83" t="s">
        <v>3208</v>
      </c>
      <c r="K1474" s="83" t="s">
        <v>3208</v>
      </c>
    </row>
    <row r="1475" spans="1:11" ht="26.25" x14ac:dyDescent="0.25">
      <c r="A1475" s="83" t="s">
        <v>6597</v>
      </c>
      <c r="B1475" s="83" t="s">
        <v>3208</v>
      </c>
      <c r="C1475" s="83" t="s">
        <v>3208</v>
      </c>
      <c r="D1475" s="83" t="s">
        <v>3713</v>
      </c>
      <c r="E1475" s="83" t="s">
        <v>3714</v>
      </c>
      <c r="F1475" s="83" t="s">
        <v>6598</v>
      </c>
      <c r="G1475" s="83" t="s">
        <v>6073</v>
      </c>
      <c r="H1475" s="83">
        <v>0</v>
      </c>
      <c r="I1475" s="83" t="s">
        <v>3208</v>
      </c>
      <c r="J1475" s="83" t="s">
        <v>3208</v>
      </c>
      <c r="K1475" s="83" t="s">
        <v>3208</v>
      </c>
    </row>
    <row r="1476" spans="1:11" ht="64.5" x14ac:dyDescent="0.25">
      <c r="A1476" s="83" t="s">
        <v>6599</v>
      </c>
      <c r="B1476" s="83" t="s">
        <v>3208</v>
      </c>
      <c r="C1476" s="83" t="s">
        <v>3208</v>
      </c>
      <c r="D1476" s="83" t="s">
        <v>3718</v>
      </c>
      <c r="E1476" s="83" t="s">
        <v>3210</v>
      </c>
      <c r="F1476" s="83" t="s">
        <v>4245</v>
      </c>
      <c r="G1476" s="83" t="s">
        <v>4246</v>
      </c>
      <c r="H1476" s="83">
        <v>0.9</v>
      </c>
      <c r="I1476" s="83" t="s">
        <v>3213</v>
      </c>
      <c r="J1476" s="83" t="s">
        <v>3219</v>
      </c>
      <c r="K1476" s="83" t="s">
        <v>3215</v>
      </c>
    </row>
    <row r="1477" spans="1:11" ht="26.25" x14ac:dyDescent="0.25">
      <c r="A1477" s="83" t="s">
        <v>2225</v>
      </c>
      <c r="B1477" s="83" t="s">
        <v>3208</v>
      </c>
      <c r="C1477" s="83" t="s">
        <v>3208</v>
      </c>
      <c r="D1477" s="83" t="s">
        <v>3713</v>
      </c>
      <c r="E1477" s="83" t="s">
        <v>3714</v>
      </c>
      <c r="F1477" s="83" t="s">
        <v>4242</v>
      </c>
      <c r="G1477" s="83" t="s">
        <v>4243</v>
      </c>
      <c r="H1477" s="83">
        <v>0</v>
      </c>
      <c r="I1477" s="83" t="s">
        <v>3208</v>
      </c>
      <c r="J1477" s="83" t="s">
        <v>3208</v>
      </c>
      <c r="K1477" s="83" t="s">
        <v>3208</v>
      </c>
    </row>
    <row r="1478" spans="1:11" ht="26.25" x14ac:dyDescent="0.25">
      <c r="A1478" s="83" t="s">
        <v>2670</v>
      </c>
      <c r="B1478" s="83" t="s">
        <v>3208</v>
      </c>
      <c r="C1478" s="83" t="s">
        <v>3208</v>
      </c>
      <c r="D1478" s="83" t="s">
        <v>3713</v>
      </c>
      <c r="E1478" s="83" t="s">
        <v>3714</v>
      </c>
      <c r="F1478" s="83" t="s">
        <v>5867</v>
      </c>
      <c r="G1478" s="83" t="s">
        <v>5818</v>
      </c>
      <c r="H1478" s="83">
        <v>0</v>
      </c>
      <c r="I1478" s="83" t="s">
        <v>3208</v>
      </c>
      <c r="J1478" s="83" t="s">
        <v>3208</v>
      </c>
      <c r="K1478" s="83" t="s">
        <v>3208</v>
      </c>
    </row>
    <row r="1479" spans="1:11" x14ac:dyDescent="0.25">
      <c r="A1479" s="83" t="s">
        <v>477</v>
      </c>
      <c r="B1479" s="83" t="s">
        <v>3208</v>
      </c>
      <c r="C1479" s="83" t="s">
        <v>3208</v>
      </c>
      <c r="D1479" s="83" t="s">
        <v>3209</v>
      </c>
      <c r="E1479" s="83" t="s">
        <v>3663</v>
      </c>
      <c r="F1479" s="83" t="s">
        <v>6600</v>
      </c>
      <c r="G1479" s="83" t="s">
        <v>5311</v>
      </c>
      <c r="H1479" s="83">
        <v>19</v>
      </c>
      <c r="I1479" s="83" t="s">
        <v>3208</v>
      </c>
      <c r="J1479" s="83" t="s">
        <v>3208</v>
      </c>
      <c r="K1479" s="83" t="s">
        <v>3208</v>
      </c>
    </row>
    <row r="1480" spans="1:11" ht="26.25" x14ac:dyDescent="0.25">
      <c r="A1480" s="83" t="s">
        <v>2886</v>
      </c>
      <c r="B1480" s="83" t="s">
        <v>3208</v>
      </c>
      <c r="C1480" s="83" t="s">
        <v>3208</v>
      </c>
      <c r="D1480" s="83" t="s">
        <v>3713</v>
      </c>
      <c r="E1480" s="83" t="s">
        <v>3714</v>
      </c>
      <c r="F1480" s="83" t="s">
        <v>5105</v>
      </c>
      <c r="G1480" s="83" t="s">
        <v>5106</v>
      </c>
      <c r="H1480" s="83">
        <v>0</v>
      </c>
      <c r="I1480" s="83" t="s">
        <v>3208</v>
      </c>
      <c r="J1480" s="83" t="s">
        <v>3208</v>
      </c>
      <c r="K1480" s="83" t="s">
        <v>3208</v>
      </c>
    </row>
    <row r="1481" spans="1:11" ht="26.25" x14ac:dyDescent="0.25">
      <c r="A1481" s="83" t="s">
        <v>2871</v>
      </c>
      <c r="B1481" s="83" t="s">
        <v>3208</v>
      </c>
      <c r="C1481" s="83" t="s">
        <v>3208</v>
      </c>
      <c r="D1481" s="83" t="s">
        <v>3713</v>
      </c>
      <c r="E1481" s="83" t="s">
        <v>3714</v>
      </c>
      <c r="F1481" s="83" t="s">
        <v>6601</v>
      </c>
      <c r="G1481" s="83" t="s">
        <v>3237</v>
      </c>
      <c r="H1481" s="83">
        <v>0</v>
      </c>
      <c r="I1481" s="83" t="s">
        <v>3208</v>
      </c>
      <c r="J1481" s="83" t="s">
        <v>3208</v>
      </c>
      <c r="K1481" s="83" t="s">
        <v>3208</v>
      </c>
    </row>
    <row r="1482" spans="1:11" ht="26.25" x14ac:dyDescent="0.25">
      <c r="A1482" s="83" t="s">
        <v>2214</v>
      </c>
      <c r="B1482" s="83" t="s">
        <v>3208</v>
      </c>
      <c r="C1482" s="83" t="s">
        <v>3208</v>
      </c>
      <c r="D1482" s="83" t="s">
        <v>3713</v>
      </c>
      <c r="E1482" s="83" t="s">
        <v>3714</v>
      </c>
      <c r="F1482" s="83" t="s">
        <v>4242</v>
      </c>
      <c r="G1482" s="83" t="s">
        <v>4243</v>
      </c>
      <c r="H1482" s="83">
        <v>0</v>
      </c>
      <c r="I1482" s="83" t="s">
        <v>3208</v>
      </c>
      <c r="J1482" s="83" t="s">
        <v>3208</v>
      </c>
      <c r="K1482" s="83" t="s">
        <v>3208</v>
      </c>
    </row>
    <row r="1483" spans="1:11" ht="26.25" x14ac:dyDescent="0.25">
      <c r="A1483" s="83" t="s">
        <v>630</v>
      </c>
      <c r="B1483" s="83" t="s">
        <v>3208</v>
      </c>
      <c r="C1483" s="83" t="s">
        <v>3208</v>
      </c>
      <c r="D1483" s="83" t="s">
        <v>3209</v>
      </c>
      <c r="E1483" s="83" t="s">
        <v>3210</v>
      </c>
      <c r="F1483" s="83" t="s">
        <v>6602</v>
      </c>
      <c r="G1483" s="83" t="s">
        <v>6603</v>
      </c>
      <c r="H1483" s="83">
        <v>25</v>
      </c>
      <c r="I1483" s="83" t="s">
        <v>3229</v>
      </c>
      <c r="J1483" s="83" t="s">
        <v>3311</v>
      </c>
      <c r="K1483" s="83" t="s">
        <v>3215</v>
      </c>
    </row>
    <row r="1484" spans="1:11" ht="51.75" x14ac:dyDescent="0.25">
      <c r="A1484" s="83" t="s">
        <v>104</v>
      </c>
      <c r="B1484" s="83" t="s">
        <v>6604</v>
      </c>
      <c r="C1484" s="83" t="s">
        <v>3208</v>
      </c>
      <c r="D1484" s="83" t="s">
        <v>3209</v>
      </c>
      <c r="E1484" s="83" t="s">
        <v>3226</v>
      </c>
      <c r="F1484" s="83" t="s">
        <v>6605</v>
      </c>
      <c r="G1484" s="83" t="s">
        <v>3404</v>
      </c>
      <c r="H1484" s="83">
        <v>20</v>
      </c>
      <c r="I1484" s="83" t="s">
        <v>3229</v>
      </c>
      <c r="J1484" s="83" t="s">
        <v>3371</v>
      </c>
      <c r="K1484" s="83" t="s">
        <v>3215</v>
      </c>
    </row>
    <row r="1485" spans="1:11" ht="26.25" x14ac:dyDescent="0.25">
      <c r="A1485" s="83" t="s">
        <v>965</v>
      </c>
      <c r="B1485" s="83" t="s">
        <v>6606</v>
      </c>
      <c r="C1485" s="83" t="s">
        <v>3208</v>
      </c>
      <c r="D1485" s="83" t="s">
        <v>3209</v>
      </c>
      <c r="E1485" s="83" t="s">
        <v>3226</v>
      </c>
      <c r="F1485" s="83" t="s">
        <v>6607</v>
      </c>
      <c r="G1485" s="83" t="s">
        <v>6608</v>
      </c>
      <c r="H1485" s="83">
        <v>95.6</v>
      </c>
      <c r="I1485" s="83" t="s">
        <v>3213</v>
      </c>
      <c r="J1485" s="83" t="s">
        <v>3467</v>
      </c>
      <c r="K1485" s="83" t="s">
        <v>3215</v>
      </c>
    </row>
    <row r="1486" spans="1:11" ht="51.75" x14ac:dyDescent="0.25">
      <c r="A1486" s="83" t="s">
        <v>1189</v>
      </c>
      <c r="B1486" s="83" t="s">
        <v>6609</v>
      </c>
      <c r="C1486" s="83" t="s">
        <v>3208</v>
      </c>
      <c r="D1486" s="83" t="s">
        <v>3209</v>
      </c>
      <c r="E1486" s="83" t="s">
        <v>3226</v>
      </c>
      <c r="F1486" s="83" t="s">
        <v>6610</v>
      </c>
      <c r="G1486" s="83" t="s">
        <v>6611</v>
      </c>
      <c r="H1486" s="83">
        <v>232</v>
      </c>
      <c r="I1486" s="83" t="s">
        <v>3213</v>
      </c>
      <c r="J1486" s="83" t="s">
        <v>3214</v>
      </c>
      <c r="K1486" s="83" t="s">
        <v>3215</v>
      </c>
    </row>
    <row r="1487" spans="1:11" ht="64.5" x14ac:dyDescent="0.25">
      <c r="A1487" s="83" t="s">
        <v>1125</v>
      </c>
      <c r="B1487" s="83" t="s">
        <v>6612</v>
      </c>
      <c r="C1487" s="83" t="s">
        <v>3208</v>
      </c>
      <c r="D1487" s="83" t="s">
        <v>3209</v>
      </c>
      <c r="E1487" s="83" t="s">
        <v>3226</v>
      </c>
      <c r="F1487" s="83" t="s">
        <v>5128</v>
      </c>
      <c r="G1487" s="83" t="s">
        <v>3633</v>
      </c>
      <c r="H1487" s="83">
        <v>225</v>
      </c>
      <c r="I1487" s="83" t="s">
        <v>3213</v>
      </c>
      <c r="J1487" s="83" t="s">
        <v>3262</v>
      </c>
      <c r="K1487" s="83" t="s">
        <v>3215</v>
      </c>
    </row>
    <row r="1488" spans="1:11" ht="64.5" x14ac:dyDescent="0.25">
      <c r="A1488" s="83" t="s">
        <v>1124</v>
      </c>
      <c r="B1488" s="83" t="s">
        <v>6613</v>
      </c>
      <c r="C1488" s="83" t="s">
        <v>3208</v>
      </c>
      <c r="D1488" s="83" t="s">
        <v>3209</v>
      </c>
      <c r="E1488" s="83" t="s">
        <v>3226</v>
      </c>
      <c r="F1488" s="83" t="s">
        <v>5128</v>
      </c>
      <c r="G1488" s="83" t="s">
        <v>3633</v>
      </c>
      <c r="H1488" s="83">
        <v>173</v>
      </c>
      <c r="I1488" s="83" t="s">
        <v>3213</v>
      </c>
      <c r="J1488" s="83" t="s">
        <v>3262</v>
      </c>
      <c r="K1488" s="83" t="s">
        <v>3215</v>
      </c>
    </row>
    <row r="1489" spans="1:11" ht="26.25" x14ac:dyDescent="0.25">
      <c r="A1489" s="83" t="s">
        <v>1098</v>
      </c>
      <c r="B1489" s="83" t="s">
        <v>6614</v>
      </c>
      <c r="C1489" s="83" t="s">
        <v>3208</v>
      </c>
      <c r="D1489" s="83" t="s">
        <v>3209</v>
      </c>
      <c r="E1489" s="83" t="s">
        <v>3226</v>
      </c>
      <c r="F1489" s="83" t="s">
        <v>4555</v>
      </c>
      <c r="G1489" s="83" t="s">
        <v>4556</v>
      </c>
      <c r="H1489" s="83">
        <v>221</v>
      </c>
      <c r="I1489" s="83" t="s">
        <v>3213</v>
      </c>
      <c r="J1489" s="83" t="s">
        <v>3747</v>
      </c>
      <c r="K1489" s="83" t="s">
        <v>3215</v>
      </c>
    </row>
    <row r="1490" spans="1:11" ht="51.75" x14ac:dyDescent="0.25">
      <c r="A1490" s="83" t="s">
        <v>1050</v>
      </c>
      <c r="B1490" s="83" t="s">
        <v>6615</v>
      </c>
      <c r="C1490" s="83" t="s">
        <v>3208</v>
      </c>
      <c r="D1490" s="83" t="s">
        <v>3209</v>
      </c>
      <c r="E1490" s="83" t="s">
        <v>3226</v>
      </c>
      <c r="F1490" s="83" t="s">
        <v>6616</v>
      </c>
      <c r="G1490" s="83" t="s">
        <v>6617</v>
      </c>
      <c r="H1490" s="83">
        <v>60.7</v>
      </c>
      <c r="I1490" s="83" t="s">
        <v>3229</v>
      </c>
      <c r="J1490" s="83" t="s">
        <v>3230</v>
      </c>
      <c r="K1490" s="83" t="s">
        <v>3215</v>
      </c>
    </row>
    <row r="1491" spans="1:11" ht="51.75" x14ac:dyDescent="0.25">
      <c r="A1491" s="83" t="s">
        <v>1051</v>
      </c>
      <c r="B1491" s="83" t="s">
        <v>6618</v>
      </c>
      <c r="C1491" s="83" t="s">
        <v>3208</v>
      </c>
      <c r="D1491" s="83" t="s">
        <v>3209</v>
      </c>
      <c r="E1491" s="83" t="s">
        <v>3226</v>
      </c>
      <c r="F1491" s="83" t="s">
        <v>6619</v>
      </c>
      <c r="G1491" s="83" t="s">
        <v>6617</v>
      </c>
      <c r="H1491" s="83">
        <v>61</v>
      </c>
      <c r="I1491" s="83" t="s">
        <v>3229</v>
      </c>
      <c r="J1491" s="83" t="s">
        <v>3230</v>
      </c>
      <c r="K1491" s="83" t="s">
        <v>3215</v>
      </c>
    </row>
    <row r="1492" spans="1:11" ht="39" x14ac:dyDescent="0.25">
      <c r="A1492" s="83" t="s">
        <v>34</v>
      </c>
      <c r="B1492" s="83" t="s">
        <v>6620</v>
      </c>
      <c r="C1492" s="83" t="s">
        <v>3208</v>
      </c>
      <c r="D1492" s="83" t="s">
        <v>3209</v>
      </c>
      <c r="E1492" s="83" t="s">
        <v>3226</v>
      </c>
      <c r="F1492" s="83" t="s">
        <v>6621</v>
      </c>
      <c r="G1492" s="83" t="s">
        <v>6622</v>
      </c>
      <c r="H1492" s="83">
        <v>182</v>
      </c>
      <c r="I1492" s="83" t="s">
        <v>3229</v>
      </c>
      <c r="J1492" s="83" t="s">
        <v>3241</v>
      </c>
      <c r="K1492" s="83" t="s">
        <v>3215</v>
      </c>
    </row>
    <row r="1493" spans="1:11" ht="102.75" x14ac:dyDescent="0.25">
      <c r="A1493" s="83" t="s">
        <v>817</v>
      </c>
      <c r="B1493" s="83" t="s">
        <v>6623</v>
      </c>
      <c r="C1493" s="83" t="s">
        <v>3208</v>
      </c>
      <c r="D1493" s="83" t="s">
        <v>3209</v>
      </c>
      <c r="E1493" s="83" t="s">
        <v>3226</v>
      </c>
      <c r="F1493" s="83" t="s">
        <v>5139</v>
      </c>
      <c r="G1493" s="83" t="s">
        <v>3525</v>
      </c>
      <c r="H1493" s="83">
        <v>30</v>
      </c>
      <c r="I1493" s="83" t="s">
        <v>3213</v>
      </c>
      <c r="J1493" s="83" t="s">
        <v>6624</v>
      </c>
      <c r="K1493" s="83" t="s">
        <v>3215</v>
      </c>
    </row>
    <row r="1494" spans="1:11" ht="64.5" x14ac:dyDescent="0.25">
      <c r="A1494" s="83" t="s">
        <v>771</v>
      </c>
      <c r="B1494" s="83" t="s">
        <v>6625</v>
      </c>
      <c r="C1494" s="83" t="s">
        <v>3208</v>
      </c>
      <c r="D1494" s="83" t="s">
        <v>3209</v>
      </c>
      <c r="E1494" s="83" t="s">
        <v>3226</v>
      </c>
      <c r="F1494" s="83" t="s">
        <v>6626</v>
      </c>
      <c r="G1494" s="83" t="s">
        <v>6627</v>
      </c>
      <c r="H1494" s="83">
        <v>40</v>
      </c>
      <c r="I1494" s="83" t="s">
        <v>3229</v>
      </c>
      <c r="J1494" s="83" t="s">
        <v>3380</v>
      </c>
      <c r="K1494" s="83" t="s">
        <v>3215</v>
      </c>
    </row>
    <row r="1495" spans="1:11" ht="51.75" x14ac:dyDescent="0.25">
      <c r="A1495" s="83" t="s">
        <v>1736</v>
      </c>
      <c r="B1495" s="83" t="s">
        <v>6628</v>
      </c>
      <c r="C1495" s="83" t="s">
        <v>6629</v>
      </c>
      <c r="D1495" s="83" t="s">
        <v>3209</v>
      </c>
      <c r="E1495" s="83" t="s">
        <v>3246</v>
      </c>
      <c r="F1495" s="83" t="s">
        <v>6630</v>
      </c>
      <c r="G1495" s="83" t="s">
        <v>6631</v>
      </c>
      <c r="H1495" s="83">
        <v>0.3</v>
      </c>
      <c r="I1495" s="83" t="s">
        <v>3229</v>
      </c>
      <c r="J1495" s="83" t="s">
        <v>3337</v>
      </c>
      <c r="K1495" s="83" t="s">
        <v>3215</v>
      </c>
    </row>
    <row r="1496" spans="1:11" ht="64.5" x14ac:dyDescent="0.25">
      <c r="A1496" s="83" t="s">
        <v>853</v>
      </c>
      <c r="B1496" s="83" t="s">
        <v>6632</v>
      </c>
      <c r="C1496" s="83" t="s">
        <v>3208</v>
      </c>
      <c r="D1496" s="83" t="s">
        <v>3209</v>
      </c>
      <c r="E1496" s="83" t="s">
        <v>3226</v>
      </c>
      <c r="F1496" s="83" t="s">
        <v>3652</v>
      </c>
      <c r="G1496" s="83" t="s">
        <v>6633</v>
      </c>
      <c r="H1496" s="83">
        <v>6</v>
      </c>
      <c r="I1496" s="83" t="s">
        <v>3213</v>
      </c>
      <c r="J1496" s="83" t="s">
        <v>3219</v>
      </c>
      <c r="K1496" s="83" t="s">
        <v>3215</v>
      </c>
    </row>
    <row r="1497" spans="1:11" ht="26.25" x14ac:dyDescent="0.25">
      <c r="A1497" s="83" t="s">
        <v>858</v>
      </c>
      <c r="B1497" s="83" t="s">
        <v>6634</v>
      </c>
      <c r="C1497" s="83" t="s">
        <v>3208</v>
      </c>
      <c r="D1497" s="83" t="s">
        <v>3209</v>
      </c>
      <c r="E1497" s="83" t="s">
        <v>3226</v>
      </c>
      <c r="F1497" s="83" t="s">
        <v>3652</v>
      </c>
      <c r="G1497" s="83" t="s">
        <v>6635</v>
      </c>
      <c r="H1497" s="83">
        <v>6</v>
      </c>
      <c r="I1497" s="83" t="s">
        <v>3213</v>
      </c>
      <c r="J1497" s="83" t="s">
        <v>3467</v>
      </c>
      <c r="K1497" s="83" t="s">
        <v>3215</v>
      </c>
    </row>
    <row r="1498" spans="1:11" ht="51.75" x14ac:dyDescent="0.25">
      <c r="A1498" s="83" t="s">
        <v>1745</v>
      </c>
      <c r="B1498" s="83" t="s">
        <v>6636</v>
      </c>
      <c r="C1498" s="83" t="s">
        <v>6637</v>
      </c>
      <c r="D1498" s="83" t="s">
        <v>3209</v>
      </c>
      <c r="E1498" s="83" t="s">
        <v>3246</v>
      </c>
      <c r="F1498" s="83" t="s">
        <v>5919</v>
      </c>
      <c r="G1498" s="83" t="s">
        <v>6638</v>
      </c>
      <c r="H1498" s="83">
        <v>29.4</v>
      </c>
      <c r="I1498" s="83" t="s">
        <v>3213</v>
      </c>
      <c r="J1498" s="83" t="s">
        <v>3257</v>
      </c>
      <c r="K1498" s="83" t="s">
        <v>3215</v>
      </c>
    </row>
    <row r="1499" spans="1:11" ht="64.5" x14ac:dyDescent="0.25">
      <c r="A1499" s="83" t="s">
        <v>1468</v>
      </c>
      <c r="B1499" s="83" t="s">
        <v>6639</v>
      </c>
      <c r="C1499" s="83" t="s">
        <v>6640</v>
      </c>
      <c r="D1499" s="83" t="s">
        <v>3209</v>
      </c>
      <c r="E1499" s="83" t="s">
        <v>3246</v>
      </c>
      <c r="F1499" s="83" t="s">
        <v>6641</v>
      </c>
      <c r="G1499" s="83" t="s">
        <v>3990</v>
      </c>
      <c r="H1499" s="83">
        <v>138.69999999999999</v>
      </c>
      <c r="I1499" s="83" t="s">
        <v>3229</v>
      </c>
      <c r="J1499" s="83" t="s">
        <v>3380</v>
      </c>
      <c r="K1499" s="83" t="s">
        <v>3215</v>
      </c>
    </row>
    <row r="1500" spans="1:11" ht="64.5" x14ac:dyDescent="0.25">
      <c r="A1500" s="83" t="s">
        <v>1471</v>
      </c>
      <c r="B1500" s="83" t="s">
        <v>5149</v>
      </c>
      <c r="C1500" s="83" t="s">
        <v>6642</v>
      </c>
      <c r="D1500" s="83" t="s">
        <v>3209</v>
      </c>
      <c r="E1500" s="83" t="s">
        <v>3246</v>
      </c>
      <c r="F1500" s="83" t="s">
        <v>6643</v>
      </c>
      <c r="G1500" s="83" t="s">
        <v>6644</v>
      </c>
      <c r="H1500" s="83">
        <v>13</v>
      </c>
      <c r="I1500" s="83" t="s">
        <v>3213</v>
      </c>
      <c r="J1500" s="83" t="s">
        <v>3413</v>
      </c>
      <c r="K1500" s="83" t="s">
        <v>3215</v>
      </c>
    </row>
    <row r="1501" spans="1:11" ht="39" x14ac:dyDescent="0.25">
      <c r="A1501" s="83" t="s">
        <v>1536</v>
      </c>
      <c r="B1501" s="83" t="s">
        <v>6645</v>
      </c>
      <c r="C1501" s="83" t="s">
        <v>6646</v>
      </c>
      <c r="D1501" s="83" t="s">
        <v>3209</v>
      </c>
      <c r="E1501" s="83" t="s">
        <v>3246</v>
      </c>
      <c r="F1501" s="83" t="s">
        <v>6647</v>
      </c>
      <c r="G1501" s="83" t="s">
        <v>3237</v>
      </c>
      <c r="H1501" s="83">
        <v>101</v>
      </c>
      <c r="I1501" s="83" t="s">
        <v>3229</v>
      </c>
      <c r="J1501" s="83" t="s">
        <v>3241</v>
      </c>
      <c r="K1501" s="83" t="s">
        <v>3215</v>
      </c>
    </row>
    <row r="1502" spans="1:11" ht="51.75" x14ac:dyDescent="0.25">
      <c r="A1502" s="83" t="s">
        <v>1500</v>
      </c>
      <c r="B1502" s="83" t="s">
        <v>6648</v>
      </c>
      <c r="C1502" s="83" t="s">
        <v>6649</v>
      </c>
      <c r="D1502" s="83" t="s">
        <v>3209</v>
      </c>
      <c r="E1502" s="83" t="s">
        <v>3246</v>
      </c>
      <c r="F1502" s="83" t="s">
        <v>6650</v>
      </c>
      <c r="G1502" s="83" t="s">
        <v>6651</v>
      </c>
      <c r="H1502" s="83">
        <v>395</v>
      </c>
      <c r="I1502" s="83" t="s">
        <v>3229</v>
      </c>
      <c r="J1502" s="83" t="s">
        <v>3280</v>
      </c>
      <c r="K1502" s="83" t="s">
        <v>3215</v>
      </c>
    </row>
    <row r="1503" spans="1:11" ht="64.5" x14ac:dyDescent="0.25">
      <c r="A1503" s="83" t="s">
        <v>1721</v>
      </c>
      <c r="B1503" s="83" t="s">
        <v>6652</v>
      </c>
      <c r="C1503" s="83" t="s">
        <v>6653</v>
      </c>
      <c r="D1503" s="83" t="s">
        <v>3209</v>
      </c>
      <c r="E1503" s="83" t="s">
        <v>3246</v>
      </c>
      <c r="F1503" s="83" t="s">
        <v>6654</v>
      </c>
      <c r="G1503" s="83" t="s">
        <v>6655</v>
      </c>
      <c r="H1503" s="83">
        <v>6.3</v>
      </c>
      <c r="I1503" s="83" t="s">
        <v>3229</v>
      </c>
      <c r="J1503" s="83" t="s">
        <v>3380</v>
      </c>
      <c r="K1503" s="83" t="s">
        <v>3215</v>
      </c>
    </row>
    <row r="1504" spans="1:11" ht="26.25" x14ac:dyDescent="0.25">
      <c r="A1504" s="83" t="s">
        <v>1445</v>
      </c>
      <c r="B1504" s="83" t="s">
        <v>6656</v>
      </c>
      <c r="C1504" s="83" t="s">
        <v>6657</v>
      </c>
      <c r="D1504" s="83" t="s">
        <v>3209</v>
      </c>
      <c r="E1504" s="83" t="s">
        <v>3246</v>
      </c>
      <c r="F1504" s="83" t="s">
        <v>6658</v>
      </c>
      <c r="G1504" s="83" t="s">
        <v>6659</v>
      </c>
      <c r="H1504" s="83">
        <v>71.2</v>
      </c>
      <c r="I1504" s="83" t="s">
        <v>3229</v>
      </c>
      <c r="J1504" s="83" t="s">
        <v>3311</v>
      </c>
      <c r="K1504" s="83" t="s">
        <v>3215</v>
      </c>
    </row>
    <row r="1505" spans="1:11" ht="39" x14ac:dyDescent="0.25">
      <c r="A1505" s="83" t="s">
        <v>1722</v>
      </c>
      <c r="B1505" s="83" t="s">
        <v>6660</v>
      </c>
      <c r="C1505" s="83" t="s">
        <v>6661</v>
      </c>
      <c r="D1505" s="83" t="s">
        <v>3209</v>
      </c>
      <c r="E1505" s="83" t="s">
        <v>3246</v>
      </c>
      <c r="F1505" s="83" t="s">
        <v>6662</v>
      </c>
      <c r="G1505" s="83" t="s">
        <v>6663</v>
      </c>
      <c r="H1505" s="83">
        <v>14.6</v>
      </c>
      <c r="I1505" s="83" t="s">
        <v>3229</v>
      </c>
      <c r="J1505" s="83" t="s">
        <v>356</v>
      </c>
      <c r="K1505" s="83" t="s">
        <v>3215</v>
      </c>
    </row>
    <row r="1506" spans="1:11" ht="51.75" x14ac:dyDescent="0.25">
      <c r="A1506" s="83" t="s">
        <v>1684</v>
      </c>
      <c r="B1506" s="83" t="s">
        <v>6664</v>
      </c>
      <c r="C1506" s="83" t="s">
        <v>6665</v>
      </c>
      <c r="D1506" s="83" t="s">
        <v>3209</v>
      </c>
      <c r="E1506" s="83" t="s">
        <v>3246</v>
      </c>
      <c r="F1506" s="83" t="s">
        <v>6666</v>
      </c>
      <c r="G1506" s="83" t="s">
        <v>3237</v>
      </c>
      <c r="H1506" s="83">
        <v>336</v>
      </c>
      <c r="I1506" s="83" t="s">
        <v>3229</v>
      </c>
      <c r="J1506" s="83" t="s">
        <v>3230</v>
      </c>
      <c r="K1506" s="83" t="s">
        <v>3215</v>
      </c>
    </row>
    <row r="1507" spans="1:11" ht="51.75" x14ac:dyDescent="0.25">
      <c r="A1507" s="83" t="s">
        <v>66</v>
      </c>
      <c r="B1507" s="83" t="s">
        <v>4330</v>
      </c>
      <c r="C1507" s="83" t="s">
        <v>6667</v>
      </c>
      <c r="D1507" s="83" t="s">
        <v>3209</v>
      </c>
      <c r="E1507" s="83" t="s">
        <v>3246</v>
      </c>
      <c r="F1507" s="83" t="s">
        <v>6668</v>
      </c>
      <c r="G1507" s="83" t="s">
        <v>3370</v>
      </c>
      <c r="H1507" s="83">
        <v>77.7</v>
      </c>
      <c r="I1507" s="83" t="s">
        <v>3229</v>
      </c>
      <c r="J1507" s="83" t="s">
        <v>3371</v>
      </c>
      <c r="K1507" s="83" t="s">
        <v>3215</v>
      </c>
    </row>
    <row r="1508" spans="1:11" ht="115.5" x14ac:dyDescent="0.25">
      <c r="A1508" s="83" t="s">
        <v>1711</v>
      </c>
      <c r="B1508" s="83" t="s">
        <v>6669</v>
      </c>
      <c r="C1508" s="83" t="s">
        <v>6670</v>
      </c>
      <c r="D1508" s="83" t="s">
        <v>3209</v>
      </c>
      <c r="E1508" s="83" t="s">
        <v>3246</v>
      </c>
      <c r="F1508" s="83" t="s">
        <v>6671</v>
      </c>
      <c r="G1508" s="83" t="s">
        <v>3795</v>
      </c>
      <c r="H1508" s="83">
        <v>280.39999999999998</v>
      </c>
      <c r="I1508" s="83" t="s">
        <v>3229</v>
      </c>
      <c r="J1508" s="83" t="s">
        <v>6672</v>
      </c>
      <c r="K1508" s="83" t="s">
        <v>3215</v>
      </c>
    </row>
    <row r="1509" spans="1:11" ht="51.75" x14ac:dyDescent="0.25">
      <c r="A1509" s="83" t="s">
        <v>1644</v>
      </c>
      <c r="B1509" s="83" t="s">
        <v>6673</v>
      </c>
      <c r="C1509" s="83" t="s">
        <v>6674</v>
      </c>
      <c r="D1509" s="83" t="s">
        <v>3209</v>
      </c>
      <c r="E1509" s="83" t="s">
        <v>3246</v>
      </c>
      <c r="F1509" s="83" t="s">
        <v>6675</v>
      </c>
      <c r="G1509" s="83" t="s">
        <v>3508</v>
      </c>
      <c r="H1509" s="83">
        <v>82.6</v>
      </c>
      <c r="I1509" s="83" t="s">
        <v>3229</v>
      </c>
      <c r="J1509" s="83" t="s">
        <v>3371</v>
      </c>
      <c r="K1509" s="83" t="s">
        <v>3215</v>
      </c>
    </row>
    <row r="1510" spans="1:11" ht="26.25" x14ac:dyDescent="0.25">
      <c r="A1510" s="83" t="s">
        <v>1625</v>
      </c>
      <c r="B1510" s="83" t="s">
        <v>6021</v>
      </c>
      <c r="C1510" s="83" t="s">
        <v>6676</v>
      </c>
      <c r="D1510" s="83" t="s">
        <v>3209</v>
      </c>
      <c r="E1510" s="83" t="s">
        <v>3246</v>
      </c>
      <c r="F1510" s="83" t="s">
        <v>6677</v>
      </c>
      <c r="G1510" s="83" t="s">
        <v>4065</v>
      </c>
      <c r="H1510" s="83">
        <v>101.8</v>
      </c>
      <c r="I1510" s="83" t="s">
        <v>3229</v>
      </c>
      <c r="J1510" s="83" t="s">
        <v>3311</v>
      </c>
      <c r="K1510" s="83" t="s">
        <v>3215</v>
      </c>
    </row>
    <row r="1511" spans="1:11" ht="51.75" x14ac:dyDescent="0.25">
      <c r="A1511" s="83" t="s">
        <v>1655</v>
      </c>
      <c r="B1511" s="83" t="s">
        <v>6678</v>
      </c>
      <c r="C1511" s="83" t="s">
        <v>6679</v>
      </c>
      <c r="D1511" s="83" t="s">
        <v>3209</v>
      </c>
      <c r="E1511" s="83" t="s">
        <v>3246</v>
      </c>
      <c r="F1511" s="83" t="s">
        <v>5954</v>
      </c>
      <c r="G1511" s="83" t="s">
        <v>6256</v>
      </c>
      <c r="H1511" s="83">
        <v>73.3</v>
      </c>
      <c r="I1511" s="83" t="s">
        <v>3213</v>
      </c>
      <c r="J1511" s="83" t="s">
        <v>3538</v>
      </c>
      <c r="K1511" s="83" t="s">
        <v>3215</v>
      </c>
    </row>
    <row r="1512" spans="1:11" ht="51.75" x14ac:dyDescent="0.25">
      <c r="A1512" s="83" t="s">
        <v>1668</v>
      </c>
      <c r="B1512" s="83" t="s">
        <v>6680</v>
      </c>
      <c r="C1512" s="83" t="s">
        <v>6681</v>
      </c>
      <c r="D1512" s="83" t="s">
        <v>3209</v>
      </c>
      <c r="E1512" s="83" t="s">
        <v>3246</v>
      </c>
      <c r="F1512" s="83" t="s">
        <v>6682</v>
      </c>
      <c r="G1512" s="83" t="s">
        <v>6683</v>
      </c>
      <c r="H1512" s="83">
        <v>43</v>
      </c>
      <c r="I1512" s="83" t="s">
        <v>3229</v>
      </c>
      <c r="J1512" s="83" t="s">
        <v>3238</v>
      </c>
      <c r="K1512" s="83" t="s">
        <v>3215</v>
      </c>
    </row>
    <row r="1513" spans="1:11" ht="51.75" x14ac:dyDescent="0.25">
      <c r="A1513" s="83" t="s">
        <v>1376</v>
      </c>
      <c r="B1513" s="83" t="s">
        <v>6684</v>
      </c>
      <c r="C1513" s="83" t="s">
        <v>6685</v>
      </c>
      <c r="D1513" s="83" t="s">
        <v>3209</v>
      </c>
      <c r="E1513" s="83" t="s">
        <v>3246</v>
      </c>
      <c r="F1513" s="83" t="s">
        <v>6686</v>
      </c>
      <c r="G1513" s="83" t="s">
        <v>6687</v>
      </c>
      <c r="H1513" s="83">
        <v>10</v>
      </c>
      <c r="I1513" s="83" t="s">
        <v>3229</v>
      </c>
      <c r="J1513" s="83" t="s">
        <v>3238</v>
      </c>
      <c r="K1513" s="83" t="s">
        <v>3215</v>
      </c>
    </row>
    <row r="1514" spans="1:11" ht="51.75" x14ac:dyDescent="0.25">
      <c r="A1514" s="83" t="s">
        <v>1377</v>
      </c>
      <c r="B1514" s="83" t="s">
        <v>6688</v>
      </c>
      <c r="C1514" s="83" t="s">
        <v>6689</v>
      </c>
      <c r="D1514" s="83" t="s">
        <v>3209</v>
      </c>
      <c r="E1514" s="83" t="s">
        <v>3246</v>
      </c>
      <c r="F1514" s="83" t="s">
        <v>6690</v>
      </c>
      <c r="G1514" s="83" t="s">
        <v>4489</v>
      </c>
      <c r="H1514" s="83">
        <v>25.3</v>
      </c>
      <c r="I1514" s="83" t="s">
        <v>3229</v>
      </c>
      <c r="J1514" s="83" t="s">
        <v>3337</v>
      </c>
      <c r="K1514" s="83" t="s">
        <v>3215</v>
      </c>
    </row>
    <row r="1515" spans="1:11" ht="26.25" x14ac:dyDescent="0.25">
      <c r="A1515" s="83" t="s">
        <v>1383</v>
      </c>
      <c r="B1515" s="83" t="s">
        <v>6691</v>
      </c>
      <c r="C1515" s="83" t="s">
        <v>6692</v>
      </c>
      <c r="D1515" s="83" t="s">
        <v>3209</v>
      </c>
      <c r="E1515" s="83" t="s">
        <v>3246</v>
      </c>
      <c r="F1515" s="83" t="s">
        <v>6693</v>
      </c>
      <c r="G1515" s="83" t="s">
        <v>6694</v>
      </c>
      <c r="H1515" s="83">
        <v>6.8</v>
      </c>
      <c r="I1515" s="83" t="s">
        <v>3229</v>
      </c>
      <c r="J1515" s="83" t="s">
        <v>3324</v>
      </c>
      <c r="K1515" s="83" t="s">
        <v>3215</v>
      </c>
    </row>
    <row r="1516" spans="1:11" ht="51.75" x14ac:dyDescent="0.25">
      <c r="A1516" s="83" t="s">
        <v>1365</v>
      </c>
      <c r="B1516" s="83" t="s">
        <v>6695</v>
      </c>
      <c r="C1516" s="83" t="s">
        <v>6696</v>
      </c>
      <c r="D1516" s="83" t="s">
        <v>3209</v>
      </c>
      <c r="E1516" s="83" t="s">
        <v>3246</v>
      </c>
      <c r="F1516" s="83" t="s">
        <v>6697</v>
      </c>
      <c r="G1516" s="83" t="s">
        <v>3275</v>
      </c>
      <c r="H1516" s="83">
        <v>23</v>
      </c>
      <c r="I1516" s="83" t="s">
        <v>3229</v>
      </c>
      <c r="J1516" s="83" t="s">
        <v>3238</v>
      </c>
      <c r="K1516" s="83" t="s">
        <v>3215</v>
      </c>
    </row>
    <row r="1517" spans="1:11" ht="51.75" x14ac:dyDescent="0.25">
      <c r="A1517" s="83" t="s">
        <v>1646</v>
      </c>
      <c r="B1517" s="83" t="s">
        <v>6698</v>
      </c>
      <c r="C1517" s="83" t="s">
        <v>6699</v>
      </c>
      <c r="D1517" s="83" t="s">
        <v>3209</v>
      </c>
      <c r="E1517" s="83" t="s">
        <v>3246</v>
      </c>
      <c r="F1517" s="83" t="s">
        <v>6700</v>
      </c>
      <c r="G1517" s="83" t="s">
        <v>4457</v>
      </c>
      <c r="H1517" s="83">
        <v>28</v>
      </c>
      <c r="I1517" s="83" t="s">
        <v>3229</v>
      </c>
      <c r="J1517" s="83" t="s">
        <v>3371</v>
      </c>
      <c r="K1517" s="83" t="s">
        <v>3215</v>
      </c>
    </row>
    <row r="1518" spans="1:11" ht="51.75" x14ac:dyDescent="0.25">
      <c r="A1518" s="83" t="s">
        <v>1650</v>
      </c>
      <c r="B1518" s="83" t="s">
        <v>6701</v>
      </c>
      <c r="C1518" s="83" t="s">
        <v>6702</v>
      </c>
      <c r="D1518" s="83" t="s">
        <v>3209</v>
      </c>
      <c r="E1518" s="83" t="s">
        <v>3246</v>
      </c>
      <c r="F1518" s="83" t="s">
        <v>3351</v>
      </c>
      <c r="G1518" s="83" t="s">
        <v>4888</v>
      </c>
      <c r="H1518" s="83">
        <v>58.7</v>
      </c>
      <c r="I1518" s="83" t="s">
        <v>3229</v>
      </c>
      <c r="J1518" s="83" t="s">
        <v>3238</v>
      </c>
      <c r="K1518" s="83" t="s">
        <v>3215</v>
      </c>
    </row>
    <row r="1519" spans="1:11" ht="51.75" x14ac:dyDescent="0.25">
      <c r="A1519" s="83" t="s">
        <v>1643</v>
      </c>
      <c r="B1519" s="83" t="s">
        <v>6703</v>
      </c>
      <c r="C1519" s="83" t="s">
        <v>6704</v>
      </c>
      <c r="D1519" s="83" t="s">
        <v>3209</v>
      </c>
      <c r="E1519" s="83" t="s">
        <v>3246</v>
      </c>
      <c r="F1519" s="83" t="s">
        <v>4368</v>
      </c>
      <c r="G1519" s="83" t="s">
        <v>6047</v>
      </c>
      <c r="H1519" s="83">
        <v>85.3</v>
      </c>
      <c r="I1519" s="83" t="s">
        <v>3229</v>
      </c>
      <c r="J1519" s="83" t="s">
        <v>3238</v>
      </c>
      <c r="K1519" s="83" t="s">
        <v>3215</v>
      </c>
    </row>
    <row r="1520" spans="1:11" ht="51.75" x14ac:dyDescent="0.25">
      <c r="A1520" s="83" t="s">
        <v>1676</v>
      </c>
      <c r="B1520" s="83" t="s">
        <v>6705</v>
      </c>
      <c r="C1520" s="83" t="s">
        <v>6706</v>
      </c>
      <c r="D1520" s="83" t="s">
        <v>3209</v>
      </c>
      <c r="E1520" s="83" t="s">
        <v>3246</v>
      </c>
      <c r="F1520" s="83" t="s">
        <v>5239</v>
      </c>
      <c r="G1520" s="83" t="s">
        <v>3392</v>
      </c>
      <c r="H1520" s="83">
        <v>330.5</v>
      </c>
      <c r="I1520" s="83" t="s">
        <v>3229</v>
      </c>
      <c r="J1520" s="83" t="s">
        <v>3289</v>
      </c>
      <c r="K1520" s="83" t="s">
        <v>3215</v>
      </c>
    </row>
    <row r="1521" spans="1:11" ht="39" x14ac:dyDescent="0.25">
      <c r="A1521" s="83" t="s">
        <v>1599</v>
      </c>
      <c r="B1521" s="83" t="s">
        <v>6707</v>
      </c>
      <c r="C1521" s="83" t="s">
        <v>6708</v>
      </c>
      <c r="D1521" s="83" t="s">
        <v>3209</v>
      </c>
      <c r="E1521" s="83" t="s">
        <v>3246</v>
      </c>
      <c r="F1521" s="83" t="s">
        <v>5979</v>
      </c>
      <c r="G1521" s="83" t="s">
        <v>4417</v>
      </c>
      <c r="H1521" s="83">
        <v>59.7</v>
      </c>
      <c r="I1521" s="83" t="s">
        <v>3229</v>
      </c>
      <c r="J1521" s="83" t="s">
        <v>3241</v>
      </c>
      <c r="K1521" s="83" t="s">
        <v>3215</v>
      </c>
    </row>
    <row r="1522" spans="1:11" ht="26.25" x14ac:dyDescent="0.25">
      <c r="A1522" s="83" t="s">
        <v>1608</v>
      </c>
      <c r="B1522" s="83" t="s">
        <v>6709</v>
      </c>
      <c r="C1522" s="83" t="s">
        <v>6710</v>
      </c>
      <c r="D1522" s="83" t="s">
        <v>3209</v>
      </c>
      <c r="E1522" s="83" t="s">
        <v>3246</v>
      </c>
      <c r="F1522" s="83" t="s">
        <v>6711</v>
      </c>
      <c r="G1522" s="83" t="s">
        <v>6440</v>
      </c>
      <c r="H1522" s="83">
        <v>100</v>
      </c>
      <c r="I1522" s="83" t="s">
        <v>3229</v>
      </c>
      <c r="J1522" s="83" t="s">
        <v>3324</v>
      </c>
      <c r="K1522" s="83" t="s">
        <v>3215</v>
      </c>
    </row>
    <row r="1523" spans="1:11" ht="51.75" x14ac:dyDescent="0.25">
      <c r="A1523" s="83" t="s">
        <v>1597</v>
      </c>
      <c r="B1523" s="83" t="s">
        <v>6712</v>
      </c>
      <c r="C1523" s="83" t="s">
        <v>6713</v>
      </c>
      <c r="D1523" s="83" t="s">
        <v>3209</v>
      </c>
      <c r="E1523" s="83" t="s">
        <v>3246</v>
      </c>
      <c r="F1523" s="83" t="s">
        <v>6714</v>
      </c>
      <c r="G1523" s="83" t="s">
        <v>3237</v>
      </c>
      <c r="H1523" s="83">
        <v>21.4</v>
      </c>
      <c r="I1523" s="83" t="s">
        <v>3229</v>
      </c>
      <c r="J1523" s="83" t="s">
        <v>3230</v>
      </c>
      <c r="K1523" s="83" t="s">
        <v>3215</v>
      </c>
    </row>
    <row r="1524" spans="1:11" ht="51.75" x14ac:dyDescent="0.25">
      <c r="A1524" s="83" t="s">
        <v>1566</v>
      </c>
      <c r="B1524" s="83" t="s">
        <v>6715</v>
      </c>
      <c r="C1524" s="83" t="s">
        <v>6716</v>
      </c>
      <c r="D1524" s="83" t="s">
        <v>3209</v>
      </c>
      <c r="E1524" s="83" t="s">
        <v>3246</v>
      </c>
      <c r="F1524" s="83" t="s">
        <v>6717</v>
      </c>
      <c r="G1524" s="83" t="s">
        <v>6718</v>
      </c>
      <c r="H1524" s="83">
        <v>340.2</v>
      </c>
      <c r="I1524" s="83" t="s">
        <v>3229</v>
      </c>
      <c r="J1524" s="83" t="s">
        <v>3289</v>
      </c>
      <c r="K1524" s="83" t="s">
        <v>3215</v>
      </c>
    </row>
    <row r="1525" spans="1:11" ht="39" x14ac:dyDescent="0.25">
      <c r="A1525" s="83" t="s">
        <v>1570</v>
      </c>
      <c r="B1525" s="83" t="s">
        <v>6719</v>
      </c>
      <c r="C1525" s="83" t="s">
        <v>6720</v>
      </c>
      <c r="D1525" s="83" t="s">
        <v>3209</v>
      </c>
      <c r="E1525" s="83" t="s">
        <v>3246</v>
      </c>
      <c r="F1525" s="83" t="s">
        <v>6721</v>
      </c>
      <c r="G1525" s="83" t="s">
        <v>6722</v>
      </c>
      <c r="H1525" s="83">
        <v>1448</v>
      </c>
      <c r="I1525" s="83" t="s">
        <v>3229</v>
      </c>
      <c r="J1525" s="83" t="s">
        <v>3241</v>
      </c>
      <c r="K1525" s="83" t="s">
        <v>3215</v>
      </c>
    </row>
    <row r="1526" spans="1:11" ht="51.75" x14ac:dyDescent="0.25">
      <c r="A1526" s="83" t="s">
        <v>93</v>
      </c>
      <c r="B1526" s="83" t="s">
        <v>6723</v>
      </c>
      <c r="C1526" s="83" t="s">
        <v>6724</v>
      </c>
      <c r="D1526" s="83" t="s">
        <v>3209</v>
      </c>
      <c r="E1526" s="83" t="s">
        <v>3246</v>
      </c>
      <c r="F1526" s="83" t="s">
        <v>6725</v>
      </c>
      <c r="G1526" s="83" t="s">
        <v>4633</v>
      </c>
      <c r="H1526" s="83">
        <v>4</v>
      </c>
      <c r="I1526" s="83" t="s">
        <v>3229</v>
      </c>
      <c r="J1526" s="83" t="s">
        <v>3371</v>
      </c>
      <c r="K1526" s="83" t="s">
        <v>3215</v>
      </c>
    </row>
    <row r="1527" spans="1:11" ht="64.5" x14ac:dyDescent="0.25">
      <c r="A1527" s="83" t="s">
        <v>1551</v>
      </c>
      <c r="B1527" s="83" t="s">
        <v>4404</v>
      </c>
      <c r="C1527" s="83" t="s">
        <v>6726</v>
      </c>
      <c r="D1527" s="83" t="s">
        <v>3209</v>
      </c>
      <c r="E1527" s="83" t="s">
        <v>3246</v>
      </c>
      <c r="F1527" s="83" t="s">
        <v>4406</v>
      </c>
      <c r="G1527" s="83" t="s">
        <v>6727</v>
      </c>
      <c r="H1527" s="83">
        <v>22.4</v>
      </c>
      <c r="I1527" s="83" t="s">
        <v>3213</v>
      </c>
      <c r="J1527" s="83" t="s">
        <v>3219</v>
      </c>
      <c r="K1527" s="83" t="s">
        <v>3215</v>
      </c>
    </row>
    <row r="1528" spans="1:11" ht="102.75" x14ac:dyDescent="0.25">
      <c r="A1528" s="83" t="s">
        <v>124</v>
      </c>
      <c r="B1528" s="83" t="s">
        <v>6728</v>
      </c>
      <c r="C1528" s="83" t="s">
        <v>6729</v>
      </c>
      <c r="D1528" s="83" t="s">
        <v>3209</v>
      </c>
      <c r="E1528" s="83" t="s">
        <v>3246</v>
      </c>
      <c r="F1528" s="83" t="s">
        <v>6730</v>
      </c>
      <c r="G1528" s="83" t="s">
        <v>5212</v>
      </c>
      <c r="H1528" s="83">
        <v>252.7</v>
      </c>
      <c r="I1528" s="83" t="s">
        <v>3229</v>
      </c>
      <c r="J1528" s="83" t="s">
        <v>6731</v>
      </c>
      <c r="K1528" s="83" t="s">
        <v>3215</v>
      </c>
    </row>
    <row r="1529" spans="1:11" ht="26.25" x14ac:dyDescent="0.25">
      <c r="A1529" s="83" t="s">
        <v>1561</v>
      </c>
      <c r="B1529" s="83" t="s">
        <v>6732</v>
      </c>
      <c r="C1529" s="83" t="s">
        <v>6733</v>
      </c>
      <c r="D1529" s="83" t="s">
        <v>3209</v>
      </c>
      <c r="E1529" s="83" t="s">
        <v>3246</v>
      </c>
      <c r="F1529" s="83" t="s">
        <v>6734</v>
      </c>
      <c r="G1529" s="83" t="s">
        <v>6735</v>
      </c>
      <c r="H1529" s="83">
        <v>16.7</v>
      </c>
      <c r="I1529" s="83" t="s">
        <v>3213</v>
      </c>
      <c r="J1529" s="83" t="s">
        <v>3467</v>
      </c>
      <c r="K1529" s="83" t="s">
        <v>3215</v>
      </c>
    </row>
    <row r="1530" spans="1:11" ht="51.75" x14ac:dyDescent="0.25">
      <c r="A1530" s="83" t="s">
        <v>1531</v>
      </c>
      <c r="B1530" s="83" t="s">
        <v>6736</v>
      </c>
      <c r="C1530" s="83" t="s">
        <v>6737</v>
      </c>
      <c r="D1530" s="83" t="s">
        <v>3209</v>
      </c>
      <c r="E1530" s="83" t="s">
        <v>3246</v>
      </c>
      <c r="F1530" s="83" t="s">
        <v>6738</v>
      </c>
      <c r="G1530" s="83" t="s">
        <v>6739</v>
      </c>
      <c r="H1530" s="83">
        <v>0.2</v>
      </c>
      <c r="I1530" s="83" t="s">
        <v>3229</v>
      </c>
      <c r="J1530" s="83" t="s">
        <v>3302</v>
      </c>
      <c r="K1530" s="83" t="s">
        <v>3215</v>
      </c>
    </row>
    <row r="1531" spans="1:11" ht="64.5" x14ac:dyDescent="0.25">
      <c r="A1531" s="83" t="s">
        <v>1524</v>
      </c>
      <c r="B1531" s="83" t="s">
        <v>6740</v>
      </c>
      <c r="C1531" s="83" t="s">
        <v>6741</v>
      </c>
      <c r="D1531" s="83" t="s">
        <v>3209</v>
      </c>
      <c r="E1531" s="83" t="s">
        <v>3246</v>
      </c>
      <c r="F1531" s="83" t="s">
        <v>6742</v>
      </c>
      <c r="G1531" s="83" t="s">
        <v>3990</v>
      </c>
      <c r="H1531" s="83">
        <v>136.6</v>
      </c>
      <c r="I1531" s="83" t="s">
        <v>3229</v>
      </c>
      <c r="J1531" s="83" t="s">
        <v>3380</v>
      </c>
      <c r="K1531" s="83" t="s">
        <v>3215</v>
      </c>
    </row>
    <row r="1532" spans="1:11" ht="102.75" x14ac:dyDescent="0.25">
      <c r="A1532" s="83" t="s">
        <v>1515</v>
      </c>
      <c r="B1532" s="83" t="s">
        <v>6743</v>
      </c>
      <c r="C1532" s="83" t="s">
        <v>6744</v>
      </c>
      <c r="D1532" s="83" t="s">
        <v>3209</v>
      </c>
      <c r="E1532" s="83" t="s">
        <v>3246</v>
      </c>
      <c r="F1532" s="83" t="s">
        <v>3400</v>
      </c>
      <c r="G1532" s="83" t="s">
        <v>3806</v>
      </c>
      <c r="H1532" s="83">
        <v>19.399999999999999</v>
      </c>
      <c r="I1532" s="83" t="s">
        <v>3229</v>
      </c>
      <c r="J1532" s="83" t="s">
        <v>6731</v>
      </c>
      <c r="K1532" s="83" t="s">
        <v>3215</v>
      </c>
    </row>
    <row r="1533" spans="1:11" ht="51.75" x14ac:dyDescent="0.25">
      <c r="A1533" s="83" t="s">
        <v>1519</v>
      </c>
      <c r="B1533" s="83" t="s">
        <v>6745</v>
      </c>
      <c r="C1533" s="83" t="s">
        <v>6746</v>
      </c>
      <c r="D1533" s="83" t="s">
        <v>3209</v>
      </c>
      <c r="E1533" s="83" t="s">
        <v>3246</v>
      </c>
      <c r="F1533" s="83" t="s">
        <v>4420</v>
      </c>
      <c r="G1533" s="83" t="s">
        <v>6747</v>
      </c>
      <c r="H1533" s="83">
        <v>121.5</v>
      </c>
      <c r="I1533" s="83" t="s">
        <v>3229</v>
      </c>
      <c r="J1533" s="83" t="s">
        <v>3238</v>
      </c>
      <c r="K1533" s="83" t="s">
        <v>3215</v>
      </c>
    </row>
    <row r="1534" spans="1:11" ht="51.75" x14ac:dyDescent="0.25">
      <c r="A1534" s="83" t="s">
        <v>1400</v>
      </c>
      <c r="B1534" s="83" t="s">
        <v>6748</v>
      </c>
      <c r="C1534" s="83" t="s">
        <v>6749</v>
      </c>
      <c r="D1534" s="83" t="s">
        <v>3209</v>
      </c>
      <c r="E1534" s="83" t="s">
        <v>3246</v>
      </c>
      <c r="F1534" s="83" t="s">
        <v>6750</v>
      </c>
      <c r="G1534" s="83" t="s">
        <v>6751</v>
      </c>
      <c r="H1534" s="83">
        <v>17</v>
      </c>
      <c r="I1534" s="83" t="s">
        <v>3229</v>
      </c>
      <c r="J1534" s="83" t="s">
        <v>3337</v>
      </c>
      <c r="K1534" s="83" t="s">
        <v>3215</v>
      </c>
    </row>
    <row r="1535" spans="1:11" ht="51.75" x14ac:dyDescent="0.25">
      <c r="A1535" s="83" t="s">
        <v>1406</v>
      </c>
      <c r="B1535" s="83" t="s">
        <v>6752</v>
      </c>
      <c r="C1535" s="83" t="s">
        <v>6753</v>
      </c>
      <c r="D1535" s="83" t="s">
        <v>3209</v>
      </c>
      <c r="E1535" s="83" t="s">
        <v>3246</v>
      </c>
      <c r="F1535" s="83" t="s">
        <v>6754</v>
      </c>
      <c r="G1535" s="83" t="s">
        <v>4398</v>
      </c>
      <c r="H1535" s="83">
        <v>21</v>
      </c>
      <c r="I1535" s="83" t="s">
        <v>3229</v>
      </c>
      <c r="J1535" s="83" t="s">
        <v>4399</v>
      </c>
      <c r="K1535" s="83" t="s">
        <v>3215</v>
      </c>
    </row>
    <row r="1536" spans="1:11" ht="26.25" x14ac:dyDescent="0.25">
      <c r="A1536" s="83" t="s">
        <v>1287</v>
      </c>
      <c r="B1536" s="83" t="s">
        <v>6755</v>
      </c>
      <c r="C1536" s="83" t="s">
        <v>6756</v>
      </c>
      <c r="D1536" s="83" t="s">
        <v>3209</v>
      </c>
      <c r="E1536" s="83" t="s">
        <v>3246</v>
      </c>
      <c r="F1536" s="83" t="s">
        <v>6757</v>
      </c>
      <c r="G1536" s="83" t="s">
        <v>4716</v>
      </c>
      <c r="H1536" s="83">
        <v>29.7</v>
      </c>
      <c r="I1536" s="83" t="s">
        <v>3229</v>
      </c>
      <c r="J1536" s="83" t="s">
        <v>3311</v>
      </c>
      <c r="K1536" s="83" t="s">
        <v>3215</v>
      </c>
    </row>
    <row r="1537" spans="1:11" ht="51.75" x14ac:dyDescent="0.25">
      <c r="A1537" s="83" t="s">
        <v>1295</v>
      </c>
      <c r="B1537" s="83" t="s">
        <v>6758</v>
      </c>
      <c r="C1537" s="83" t="s">
        <v>6759</v>
      </c>
      <c r="D1537" s="83" t="s">
        <v>3209</v>
      </c>
      <c r="E1537" s="83" t="s">
        <v>3246</v>
      </c>
      <c r="F1537" s="83" t="s">
        <v>6760</v>
      </c>
      <c r="G1537" s="83" t="s">
        <v>6761</v>
      </c>
      <c r="H1537" s="83">
        <v>9.3000000000000007</v>
      </c>
      <c r="I1537" s="83" t="s">
        <v>3229</v>
      </c>
      <c r="J1537" s="83" t="s">
        <v>3280</v>
      </c>
      <c r="K1537" s="83" t="s">
        <v>3215</v>
      </c>
    </row>
    <row r="1538" spans="1:11" ht="51.75" x14ac:dyDescent="0.25">
      <c r="A1538" s="83" t="s">
        <v>1301</v>
      </c>
      <c r="B1538" s="83" t="s">
        <v>6762</v>
      </c>
      <c r="C1538" s="83" t="s">
        <v>6763</v>
      </c>
      <c r="D1538" s="83" t="s">
        <v>3209</v>
      </c>
      <c r="E1538" s="83" t="s">
        <v>3246</v>
      </c>
      <c r="F1538" s="83" t="s">
        <v>3416</v>
      </c>
      <c r="G1538" s="83" t="s">
        <v>3417</v>
      </c>
      <c r="H1538" s="83">
        <v>157</v>
      </c>
      <c r="I1538" s="83" t="s">
        <v>3213</v>
      </c>
      <c r="J1538" s="83" t="s">
        <v>3214</v>
      </c>
      <c r="K1538" s="83" t="s">
        <v>3215</v>
      </c>
    </row>
    <row r="1539" spans="1:11" ht="51.75" x14ac:dyDescent="0.25">
      <c r="A1539" s="83" t="s">
        <v>1303</v>
      </c>
      <c r="B1539" s="83" t="s">
        <v>6764</v>
      </c>
      <c r="C1539" s="83" t="s">
        <v>6765</v>
      </c>
      <c r="D1539" s="83" t="s">
        <v>3209</v>
      </c>
      <c r="E1539" s="83" t="s">
        <v>3246</v>
      </c>
      <c r="F1539" s="83" t="s">
        <v>3416</v>
      </c>
      <c r="G1539" s="83" t="s">
        <v>3417</v>
      </c>
      <c r="H1539" s="83">
        <v>34</v>
      </c>
      <c r="I1539" s="83" t="s">
        <v>3213</v>
      </c>
      <c r="J1539" s="83" t="s">
        <v>3214</v>
      </c>
      <c r="K1539" s="83" t="s">
        <v>3215</v>
      </c>
    </row>
    <row r="1540" spans="1:11" ht="51.75" x14ac:dyDescent="0.25">
      <c r="A1540" s="83" t="s">
        <v>101</v>
      </c>
      <c r="B1540" s="83" t="s">
        <v>6766</v>
      </c>
      <c r="C1540" s="83" t="s">
        <v>6767</v>
      </c>
      <c r="D1540" s="83" t="s">
        <v>3209</v>
      </c>
      <c r="E1540" s="83" t="s">
        <v>3246</v>
      </c>
      <c r="F1540" s="83" t="s">
        <v>3416</v>
      </c>
      <c r="G1540" s="83" t="s">
        <v>6768</v>
      </c>
      <c r="H1540" s="83">
        <v>12</v>
      </c>
      <c r="I1540" s="83" t="s">
        <v>3213</v>
      </c>
      <c r="J1540" s="83" t="s">
        <v>3538</v>
      </c>
      <c r="K1540" s="83" t="s">
        <v>3215</v>
      </c>
    </row>
    <row r="1541" spans="1:11" ht="39" x14ac:dyDescent="0.25">
      <c r="A1541" s="83" t="s">
        <v>1453</v>
      </c>
      <c r="B1541" s="83" t="s">
        <v>6769</v>
      </c>
      <c r="C1541" s="83" t="s">
        <v>6770</v>
      </c>
      <c r="D1541" s="83" t="s">
        <v>3209</v>
      </c>
      <c r="E1541" s="83" t="s">
        <v>3246</v>
      </c>
      <c r="F1541" s="83" t="s">
        <v>6771</v>
      </c>
      <c r="G1541" s="83" t="s">
        <v>6772</v>
      </c>
      <c r="H1541" s="83">
        <v>5.6</v>
      </c>
      <c r="I1541" s="83" t="s">
        <v>3229</v>
      </c>
      <c r="J1541" s="83" t="s">
        <v>3241</v>
      </c>
      <c r="K1541" s="83" t="s">
        <v>3215</v>
      </c>
    </row>
    <row r="1542" spans="1:11" ht="26.25" x14ac:dyDescent="0.25">
      <c r="A1542" s="83" t="s">
        <v>1428</v>
      </c>
      <c r="B1542" s="83" t="s">
        <v>6773</v>
      </c>
      <c r="C1542" s="83" t="s">
        <v>6774</v>
      </c>
      <c r="D1542" s="83" t="s">
        <v>3209</v>
      </c>
      <c r="E1542" s="83" t="s">
        <v>3246</v>
      </c>
      <c r="F1542" s="83" t="s">
        <v>6775</v>
      </c>
      <c r="G1542" s="83" t="s">
        <v>5594</v>
      </c>
      <c r="H1542" s="83">
        <v>73.3</v>
      </c>
      <c r="I1542" s="83" t="s">
        <v>3229</v>
      </c>
      <c r="J1542" s="83" t="s">
        <v>3311</v>
      </c>
      <c r="K1542" s="83" t="s">
        <v>3215</v>
      </c>
    </row>
    <row r="1543" spans="1:11" ht="26.25" x14ac:dyDescent="0.25">
      <c r="A1543" s="83" t="s">
        <v>1437</v>
      </c>
      <c r="B1543" s="83" t="s">
        <v>6776</v>
      </c>
      <c r="C1543" s="83" t="s">
        <v>4404</v>
      </c>
      <c r="D1543" s="83" t="s">
        <v>3209</v>
      </c>
      <c r="E1543" s="83" t="s">
        <v>3246</v>
      </c>
      <c r="F1543" s="83" t="s">
        <v>6777</v>
      </c>
      <c r="G1543" s="83" t="s">
        <v>3444</v>
      </c>
      <c r="H1543" s="83">
        <v>67</v>
      </c>
      <c r="I1543" s="83" t="s">
        <v>3213</v>
      </c>
      <c r="J1543" s="83" t="s">
        <v>3851</v>
      </c>
      <c r="K1543" s="83" t="s">
        <v>3215</v>
      </c>
    </row>
    <row r="1544" spans="1:11" ht="39" x14ac:dyDescent="0.25">
      <c r="A1544" s="83" t="s">
        <v>1345</v>
      </c>
      <c r="B1544" s="83" t="s">
        <v>6778</v>
      </c>
      <c r="C1544" s="83" t="s">
        <v>6779</v>
      </c>
      <c r="D1544" s="83" t="s">
        <v>3209</v>
      </c>
      <c r="E1544" s="83" t="s">
        <v>3246</v>
      </c>
      <c r="F1544" s="83" t="s">
        <v>6780</v>
      </c>
      <c r="G1544" s="83" t="s">
        <v>6781</v>
      </c>
      <c r="H1544" s="83">
        <v>16</v>
      </c>
      <c r="I1544" s="83" t="s">
        <v>3229</v>
      </c>
      <c r="J1544" s="83" t="s">
        <v>2706</v>
      </c>
      <c r="K1544" s="83" t="s">
        <v>3215</v>
      </c>
    </row>
    <row r="1545" spans="1:11" ht="64.5" x14ac:dyDescent="0.25">
      <c r="A1545" s="83" t="s">
        <v>1350</v>
      </c>
      <c r="B1545" s="83" t="s">
        <v>6782</v>
      </c>
      <c r="C1545" s="83" t="s">
        <v>6783</v>
      </c>
      <c r="D1545" s="83" t="s">
        <v>3209</v>
      </c>
      <c r="E1545" s="83" t="s">
        <v>3246</v>
      </c>
      <c r="F1545" s="83" t="s">
        <v>6784</v>
      </c>
      <c r="G1545" s="83" t="s">
        <v>5818</v>
      </c>
      <c r="H1545" s="83">
        <v>28</v>
      </c>
      <c r="I1545" s="83" t="s">
        <v>3213</v>
      </c>
      <c r="J1545" s="83" t="s">
        <v>3601</v>
      </c>
      <c r="K1545" s="83" t="s">
        <v>3215</v>
      </c>
    </row>
    <row r="1546" spans="1:11" ht="51.75" x14ac:dyDescent="0.25">
      <c r="A1546" s="83" t="s">
        <v>1353</v>
      </c>
      <c r="B1546" s="83" t="s">
        <v>6785</v>
      </c>
      <c r="C1546" s="83" t="s">
        <v>6786</v>
      </c>
      <c r="D1546" s="83" t="s">
        <v>3209</v>
      </c>
      <c r="E1546" s="83" t="s">
        <v>3246</v>
      </c>
      <c r="F1546" s="83" t="s">
        <v>6787</v>
      </c>
      <c r="G1546" s="83" t="s">
        <v>6788</v>
      </c>
      <c r="H1546" s="83">
        <v>12</v>
      </c>
      <c r="I1546" s="83" t="s">
        <v>3229</v>
      </c>
      <c r="J1546" s="83" t="s">
        <v>3371</v>
      </c>
      <c r="K1546" s="83" t="s">
        <v>3215</v>
      </c>
    </row>
    <row r="1547" spans="1:11" ht="26.25" x14ac:dyDescent="0.25">
      <c r="A1547" s="83" t="s">
        <v>1355</v>
      </c>
      <c r="B1547" s="83" t="s">
        <v>6789</v>
      </c>
      <c r="C1547" s="83" t="s">
        <v>6790</v>
      </c>
      <c r="D1547" s="83" t="s">
        <v>3209</v>
      </c>
      <c r="E1547" s="83" t="s">
        <v>3246</v>
      </c>
      <c r="F1547" s="83" t="s">
        <v>6791</v>
      </c>
      <c r="G1547" s="83" t="s">
        <v>6792</v>
      </c>
      <c r="H1547" s="83">
        <v>0.3</v>
      </c>
      <c r="I1547" s="83" t="s">
        <v>3229</v>
      </c>
      <c r="J1547" s="83" t="s">
        <v>3311</v>
      </c>
      <c r="K1547" s="83" t="s">
        <v>3215</v>
      </c>
    </row>
    <row r="1548" spans="1:11" ht="51.75" x14ac:dyDescent="0.25">
      <c r="A1548" s="83" t="s">
        <v>1357</v>
      </c>
      <c r="B1548" s="83" t="s">
        <v>6793</v>
      </c>
      <c r="C1548" s="83" t="s">
        <v>4400</v>
      </c>
      <c r="D1548" s="83" t="s">
        <v>3209</v>
      </c>
      <c r="E1548" s="83" t="s">
        <v>3246</v>
      </c>
      <c r="F1548" s="83" t="s">
        <v>6794</v>
      </c>
      <c r="G1548" s="83" t="s">
        <v>6795</v>
      </c>
      <c r="H1548" s="83">
        <v>384</v>
      </c>
      <c r="I1548" s="83" t="s">
        <v>3229</v>
      </c>
      <c r="J1548" s="83" t="s">
        <v>4399</v>
      </c>
      <c r="K1548" s="83" t="s">
        <v>3215</v>
      </c>
    </row>
    <row r="1549" spans="1:11" ht="26.25" x14ac:dyDescent="0.25">
      <c r="A1549" s="83" t="s">
        <v>1328</v>
      </c>
      <c r="B1549" s="83" t="s">
        <v>6796</v>
      </c>
      <c r="C1549" s="83" t="s">
        <v>6797</v>
      </c>
      <c r="D1549" s="83" t="s">
        <v>3209</v>
      </c>
      <c r="E1549" s="83" t="s">
        <v>3246</v>
      </c>
      <c r="F1549" s="83" t="s">
        <v>6798</v>
      </c>
      <c r="G1549" s="83" t="s">
        <v>6799</v>
      </c>
      <c r="H1549" s="83">
        <v>1.1000000000000001</v>
      </c>
      <c r="I1549" s="83" t="s">
        <v>3213</v>
      </c>
      <c r="J1549" s="83" t="s">
        <v>3222</v>
      </c>
      <c r="K1549" s="83" t="s">
        <v>3215</v>
      </c>
    </row>
    <row r="1550" spans="1:11" ht="64.5" x14ac:dyDescent="0.25">
      <c r="A1550" s="83" t="s">
        <v>1275</v>
      </c>
      <c r="B1550" s="83" t="s">
        <v>6800</v>
      </c>
      <c r="C1550" s="83" t="s">
        <v>6801</v>
      </c>
      <c r="D1550" s="83" t="s">
        <v>3209</v>
      </c>
      <c r="E1550" s="83" t="s">
        <v>3246</v>
      </c>
      <c r="F1550" s="83" t="s">
        <v>6802</v>
      </c>
      <c r="G1550" s="83" t="s">
        <v>6803</v>
      </c>
      <c r="H1550" s="83">
        <v>32</v>
      </c>
      <c r="I1550" s="83" t="s">
        <v>3213</v>
      </c>
      <c r="J1550" s="83" t="s">
        <v>3219</v>
      </c>
      <c r="K1550" s="83" t="s">
        <v>3215</v>
      </c>
    </row>
    <row r="1551" spans="1:11" ht="51.75" x14ac:dyDescent="0.25">
      <c r="A1551" s="83" t="s">
        <v>1259</v>
      </c>
      <c r="B1551" s="83" t="s">
        <v>6804</v>
      </c>
      <c r="C1551" s="83" t="s">
        <v>6805</v>
      </c>
      <c r="D1551" s="83" t="s">
        <v>3209</v>
      </c>
      <c r="E1551" s="83" t="s">
        <v>3246</v>
      </c>
      <c r="F1551" s="83" t="s">
        <v>6806</v>
      </c>
      <c r="G1551" s="83" t="s">
        <v>3237</v>
      </c>
      <c r="H1551" s="83">
        <v>12</v>
      </c>
      <c r="I1551" s="83" t="s">
        <v>3229</v>
      </c>
      <c r="J1551" s="83" t="s">
        <v>3302</v>
      </c>
      <c r="K1551" s="83" t="s">
        <v>3215</v>
      </c>
    </row>
    <row r="1552" spans="1:11" ht="51.75" x14ac:dyDescent="0.25">
      <c r="A1552" s="83" t="s">
        <v>1263</v>
      </c>
      <c r="B1552" s="83" t="s">
        <v>6807</v>
      </c>
      <c r="C1552" s="83" t="s">
        <v>6808</v>
      </c>
      <c r="D1552" s="83" t="s">
        <v>3209</v>
      </c>
      <c r="E1552" s="83" t="s">
        <v>3246</v>
      </c>
      <c r="F1552" s="83" t="s">
        <v>6809</v>
      </c>
      <c r="G1552" s="83" t="s">
        <v>6810</v>
      </c>
      <c r="H1552" s="83">
        <v>7</v>
      </c>
      <c r="I1552" s="83" t="s">
        <v>3229</v>
      </c>
      <c r="J1552" s="83" t="s">
        <v>3521</v>
      </c>
      <c r="K1552" s="83" t="s">
        <v>3215</v>
      </c>
    </row>
    <row r="1553" spans="1:11" ht="115.5" x14ac:dyDescent="0.25">
      <c r="A1553" s="83" t="s">
        <v>1266</v>
      </c>
      <c r="B1553" s="83" t="s">
        <v>6811</v>
      </c>
      <c r="C1553" s="83" t="s">
        <v>6812</v>
      </c>
      <c r="D1553" s="83" t="s">
        <v>3209</v>
      </c>
      <c r="E1553" s="83" t="s">
        <v>3246</v>
      </c>
      <c r="F1553" s="83" t="s">
        <v>6813</v>
      </c>
      <c r="G1553" s="83" t="s">
        <v>4360</v>
      </c>
      <c r="H1553" s="83">
        <v>303</v>
      </c>
      <c r="I1553" s="83" t="s">
        <v>3229</v>
      </c>
      <c r="J1553" s="83" t="s">
        <v>4361</v>
      </c>
      <c r="K1553" s="83" t="s">
        <v>3215</v>
      </c>
    </row>
    <row r="1554" spans="1:11" ht="26.25" x14ac:dyDescent="0.25">
      <c r="A1554" s="83" t="s">
        <v>1240</v>
      </c>
      <c r="B1554" s="83" t="s">
        <v>6814</v>
      </c>
      <c r="C1554" s="83" t="s">
        <v>4995</v>
      </c>
      <c r="D1554" s="83" t="s">
        <v>3209</v>
      </c>
      <c r="E1554" s="83" t="s">
        <v>3246</v>
      </c>
      <c r="F1554" s="83" t="s">
        <v>6815</v>
      </c>
      <c r="G1554" s="83" t="s">
        <v>6816</v>
      </c>
      <c r="H1554" s="83">
        <v>20</v>
      </c>
      <c r="I1554" s="83" t="s">
        <v>3229</v>
      </c>
      <c r="J1554" s="83" t="s">
        <v>3324</v>
      </c>
      <c r="K1554" s="83" t="s">
        <v>3215</v>
      </c>
    </row>
    <row r="1555" spans="1:11" ht="51.75" x14ac:dyDescent="0.25">
      <c r="A1555" s="83" t="s">
        <v>1420</v>
      </c>
      <c r="B1555" s="83" t="s">
        <v>6817</v>
      </c>
      <c r="C1555" s="83" t="s">
        <v>6818</v>
      </c>
      <c r="D1555" s="83" t="s">
        <v>3209</v>
      </c>
      <c r="E1555" s="83" t="s">
        <v>3246</v>
      </c>
      <c r="F1555" s="83" t="s">
        <v>4500</v>
      </c>
      <c r="G1555" s="83" t="s">
        <v>4159</v>
      </c>
      <c r="H1555" s="83">
        <v>15</v>
      </c>
      <c r="I1555" s="83" t="s">
        <v>3229</v>
      </c>
      <c r="J1555" s="83" t="s">
        <v>3280</v>
      </c>
      <c r="K1555" s="83" t="s">
        <v>3215</v>
      </c>
    </row>
    <row r="1556" spans="1:11" ht="26.25" x14ac:dyDescent="0.25">
      <c r="A1556" s="83" t="s">
        <v>1426</v>
      </c>
      <c r="B1556" s="83" t="s">
        <v>6819</v>
      </c>
      <c r="C1556" s="83" t="s">
        <v>6820</v>
      </c>
      <c r="D1556" s="83" t="s">
        <v>3209</v>
      </c>
      <c r="E1556" s="83" t="s">
        <v>3246</v>
      </c>
      <c r="F1556" s="83" t="s">
        <v>6821</v>
      </c>
      <c r="G1556" s="83" t="s">
        <v>4289</v>
      </c>
      <c r="H1556" s="83">
        <v>0.1</v>
      </c>
      <c r="I1556" s="83" t="s">
        <v>3229</v>
      </c>
      <c r="J1556" s="83" t="s">
        <v>3397</v>
      </c>
      <c r="K1556" s="83" t="s">
        <v>3215</v>
      </c>
    </row>
    <row r="1557" spans="1:11" ht="51.75" x14ac:dyDescent="0.25">
      <c r="A1557" s="83" t="s">
        <v>1408</v>
      </c>
      <c r="B1557" s="83" t="s">
        <v>4491</v>
      </c>
      <c r="C1557" s="83" t="s">
        <v>6822</v>
      </c>
      <c r="D1557" s="83" t="s">
        <v>3209</v>
      </c>
      <c r="E1557" s="83" t="s">
        <v>3246</v>
      </c>
      <c r="F1557" s="83" t="s">
        <v>6823</v>
      </c>
      <c r="G1557" s="83" t="s">
        <v>6824</v>
      </c>
      <c r="H1557" s="83">
        <v>36</v>
      </c>
      <c r="I1557" s="83" t="s">
        <v>3229</v>
      </c>
      <c r="J1557" s="83" t="s">
        <v>3238</v>
      </c>
      <c r="K1557" s="83" t="s">
        <v>3215</v>
      </c>
    </row>
    <row r="1558" spans="1:11" ht="64.5" x14ac:dyDescent="0.25">
      <c r="A1558" s="83" t="s">
        <v>969</v>
      </c>
      <c r="B1558" s="83" t="s">
        <v>6825</v>
      </c>
      <c r="C1558" s="83" t="s">
        <v>6826</v>
      </c>
      <c r="D1558" s="83" t="s">
        <v>3209</v>
      </c>
      <c r="E1558" s="83" t="s">
        <v>3246</v>
      </c>
      <c r="F1558" s="83" t="s">
        <v>6827</v>
      </c>
      <c r="G1558" s="83" t="s">
        <v>6828</v>
      </c>
      <c r="H1558" s="83">
        <v>5</v>
      </c>
      <c r="I1558" s="83" t="s">
        <v>3229</v>
      </c>
      <c r="J1558" s="83" t="s">
        <v>3380</v>
      </c>
      <c r="K1558" s="83" t="s">
        <v>3215</v>
      </c>
    </row>
    <row r="1559" spans="1:11" ht="26.25" x14ac:dyDescent="0.25">
      <c r="A1559" s="83" t="s">
        <v>970</v>
      </c>
      <c r="B1559" s="83" t="s">
        <v>6829</v>
      </c>
      <c r="C1559" s="83" t="s">
        <v>6830</v>
      </c>
      <c r="D1559" s="83" t="s">
        <v>3209</v>
      </c>
      <c r="E1559" s="83" t="s">
        <v>3246</v>
      </c>
      <c r="F1559" s="83" t="s">
        <v>6831</v>
      </c>
      <c r="G1559" s="83" t="s">
        <v>6832</v>
      </c>
      <c r="H1559" s="83">
        <v>122</v>
      </c>
      <c r="I1559" s="83" t="s">
        <v>3213</v>
      </c>
      <c r="J1559" s="83" t="s">
        <v>3896</v>
      </c>
      <c r="K1559" s="83" t="s">
        <v>3215</v>
      </c>
    </row>
    <row r="1560" spans="1:11" ht="26.25" x14ac:dyDescent="0.25">
      <c r="A1560" s="83" t="s">
        <v>926</v>
      </c>
      <c r="B1560" s="83" t="s">
        <v>6833</v>
      </c>
      <c r="C1560" s="83" t="s">
        <v>6834</v>
      </c>
      <c r="D1560" s="83" t="s">
        <v>3209</v>
      </c>
      <c r="E1560" s="83" t="s">
        <v>3246</v>
      </c>
      <c r="F1560" s="83" t="s">
        <v>6835</v>
      </c>
      <c r="G1560" s="83" t="s">
        <v>3913</v>
      </c>
      <c r="H1560" s="83">
        <v>163</v>
      </c>
      <c r="I1560" s="83" t="s">
        <v>3229</v>
      </c>
      <c r="J1560" s="83" t="s">
        <v>3311</v>
      </c>
      <c r="K1560" s="83" t="s">
        <v>3215</v>
      </c>
    </row>
    <row r="1561" spans="1:11" ht="26.25" x14ac:dyDescent="0.25">
      <c r="A1561" s="83" t="s">
        <v>927</v>
      </c>
      <c r="B1561" s="83" t="s">
        <v>6836</v>
      </c>
      <c r="C1561" s="83" t="s">
        <v>6837</v>
      </c>
      <c r="D1561" s="83" t="s">
        <v>3209</v>
      </c>
      <c r="E1561" s="83" t="s">
        <v>3246</v>
      </c>
      <c r="F1561" s="83" t="s">
        <v>6835</v>
      </c>
      <c r="G1561" s="83" t="s">
        <v>3913</v>
      </c>
      <c r="H1561" s="83">
        <v>60</v>
      </c>
      <c r="I1561" s="83" t="s">
        <v>3229</v>
      </c>
      <c r="J1561" s="83" t="s">
        <v>3311</v>
      </c>
      <c r="K1561" s="83" t="s">
        <v>3215</v>
      </c>
    </row>
    <row r="1562" spans="1:11" ht="51.75" x14ac:dyDescent="0.25">
      <c r="A1562" s="83" t="s">
        <v>929</v>
      </c>
      <c r="B1562" s="83" t="s">
        <v>6838</v>
      </c>
      <c r="C1562" s="83" t="s">
        <v>6839</v>
      </c>
      <c r="D1562" s="83" t="s">
        <v>3209</v>
      </c>
      <c r="E1562" s="83" t="s">
        <v>3246</v>
      </c>
      <c r="F1562" s="83" t="s">
        <v>6840</v>
      </c>
      <c r="G1562" s="83" t="s">
        <v>3237</v>
      </c>
      <c r="H1562" s="83">
        <v>30</v>
      </c>
      <c r="I1562" s="83" t="s">
        <v>3229</v>
      </c>
      <c r="J1562" s="83" t="s">
        <v>3238</v>
      </c>
      <c r="K1562" s="83" t="s">
        <v>3215</v>
      </c>
    </row>
    <row r="1563" spans="1:11" ht="64.5" x14ac:dyDescent="0.25">
      <c r="A1563" s="83" t="s">
        <v>937</v>
      </c>
      <c r="B1563" s="83" t="s">
        <v>6841</v>
      </c>
      <c r="C1563" s="83" t="s">
        <v>6842</v>
      </c>
      <c r="D1563" s="83" t="s">
        <v>3209</v>
      </c>
      <c r="E1563" s="83" t="s">
        <v>3246</v>
      </c>
      <c r="F1563" s="83" t="s">
        <v>6843</v>
      </c>
      <c r="G1563" s="83" t="s">
        <v>3633</v>
      </c>
      <c r="H1563" s="83">
        <v>50000</v>
      </c>
      <c r="I1563" s="83" t="s">
        <v>3213</v>
      </c>
      <c r="J1563" s="83" t="s">
        <v>3262</v>
      </c>
      <c r="K1563" s="83" t="s">
        <v>3215</v>
      </c>
    </row>
    <row r="1564" spans="1:11" ht="51.75" x14ac:dyDescent="0.25">
      <c r="A1564" s="83" t="s">
        <v>909</v>
      </c>
      <c r="B1564" s="83" t="s">
        <v>6844</v>
      </c>
      <c r="C1564" s="83" t="s">
        <v>6845</v>
      </c>
      <c r="D1564" s="83" t="s">
        <v>3209</v>
      </c>
      <c r="E1564" s="83" t="s">
        <v>3246</v>
      </c>
      <c r="F1564" s="83" t="s">
        <v>6846</v>
      </c>
      <c r="G1564" s="83" t="s">
        <v>4140</v>
      </c>
      <c r="H1564" s="83">
        <v>20</v>
      </c>
      <c r="I1564" s="83" t="s">
        <v>3229</v>
      </c>
      <c r="J1564" s="83" t="s">
        <v>3238</v>
      </c>
      <c r="K1564" s="83" t="s">
        <v>3215</v>
      </c>
    </row>
    <row r="1565" spans="1:11" ht="64.5" x14ac:dyDescent="0.25">
      <c r="A1565" s="83" t="s">
        <v>903</v>
      </c>
      <c r="B1565" s="83" t="s">
        <v>6847</v>
      </c>
      <c r="C1565" s="83" t="s">
        <v>6848</v>
      </c>
      <c r="D1565" s="83" t="s">
        <v>3209</v>
      </c>
      <c r="E1565" s="83" t="s">
        <v>3246</v>
      </c>
      <c r="F1565" s="83" t="s">
        <v>6849</v>
      </c>
      <c r="G1565" s="83" t="s">
        <v>3379</v>
      </c>
      <c r="H1565" s="83">
        <v>4.4000000000000004</v>
      </c>
      <c r="I1565" s="83" t="s">
        <v>3229</v>
      </c>
      <c r="J1565" s="83" t="s">
        <v>3380</v>
      </c>
      <c r="K1565" s="83" t="s">
        <v>3215</v>
      </c>
    </row>
    <row r="1566" spans="1:11" ht="64.5" x14ac:dyDescent="0.25">
      <c r="A1566" s="83" t="s">
        <v>1174</v>
      </c>
      <c r="B1566" s="83" t="s">
        <v>6850</v>
      </c>
      <c r="C1566" s="83" t="s">
        <v>6851</v>
      </c>
      <c r="D1566" s="83" t="s">
        <v>3209</v>
      </c>
      <c r="E1566" s="83" t="s">
        <v>3246</v>
      </c>
      <c r="F1566" s="83" t="s">
        <v>6852</v>
      </c>
      <c r="G1566" s="83" t="s">
        <v>3529</v>
      </c>
      <c r="H1566" s="83">
        <v>28</v>
      </c>
      <c r="I1566" s="83" t="s">
        <v>3213</v>
      </c>
      <c r="J1566" s="83" t="s">
        <v>3219</v>
      </c>
      <c r="K1566" s="83" t="s">
        <v>3215</v>
      </c>
    </row>
    <row r="1567" spans="1:11" ht="64.5" x14ac:dyDescent="0.25">
      <c r="A1567" s="83" t="s">
        <v>1178</v>
      </c>
      <c r="B1567" s="83" t="s">
        <v>6853</v>
      </c>
      <c r="C1567" s="83" t="s">
        <v>6854</v>
      </c>
      <c r="D1567" s="83" t="s">
        <v>3209</v>
      </c>
      <c r="E1567" s="83" t="s">
        <v>3246</v>
      </c>
      <c r="F1567" s="83" t="s">
        <v>6855</v>
      </c>
      <c r="G1567" s="83" t="s">
        <v>6856</v>
      </c>
      <c r="H1567" s="83">
        <v>27</v>
      </c>
      <c r="I1567" s="83" t="s">
        <v>3229</v>
      </c>
      <c r="J1567" s="83" t="s">
        <v>3380</v>
      </c>
      <c r="K1567" s="83" t="s">
        <v>3215</v>
      </c>
    </row>
    <row r="1568" spans="1:11" ht="51.75" x14ac:dyDescent="0.25">
      <c r="A1568" s="83" t="s">
        <v>1126</v>
      </c>
      <c r="B1568" s="83" t="s">
        <v>6857</v>
      </c>
      <c r="C1568" s="83" t="s">
        <v>6858</v>
      </c>
      <c r="D1568" s="83" t="s">
        <v>3209</v>
      </c>
      <c r="E1568" s="83" t="s">
        <v>3246</v>
      </c>
      <c r="F1568" s="83" t="s">
        <v>6859</v>
      </c>
      <c r="G1568" s="83" t="s">
        <v>6114</v>
      </c>
      <c r="H1568" s="83">
        <v>13</v>
      </c>
      <c r="I1568" s="83" t="s">
        <v>3229</v>
      </c>
      <c r="J1568" s="83" t="s">
        <v>3280</v>
      </c>
      <c r="K1568" s="83" t="s">
        <v>3215</v>
      </c>
    </row>
    <row r="1569" spans="1:11" ht="64.5" x14ac:dyDescent="0.25">
      <c r="A1569" s="83" t="s">
        <v>1138</v>
      </c>
      <c r="B1569" s="83" t="s">
        <v>6860</v>
      </c>
      <c r="C1569" s="83" t="s">
        <v>6861</v>
      </c>
      <c r="D1569" s="83" t="s">
        <v>3209</v>
      </c>
      <c r="E1569" s="83" t="s">
        <v>3246</v>
      </c>
      <c r="F1569" s="83" t="s">
        <v>6862</v>
      </c>
      <c r="G1569" s="83" t="s">
        <v>6863</v>
      </c>
      <c r="H1569" s="83">
        <v>7</v>
      </c>
      <c r="I1569" s="83" t="s">
        <v>3213</v>
      </c>
      <c r="J1569" s="83" t="s">
        <v>3413</v>
      </c>
      <c r="K1569" s="83" t="s">
        <v>3215</v>
      </c>
    </row>
    <row r="1570" spans="1:11" ht="39" x14ac:dyDescent="0.25">
      <c r="A1570" s="83" t="s">
        <v>1143</v>
      </c>
      <c r="B1570" s="83" t="s">
        <v>6864</v>
      </c>
      <c r="C1570" s="83" t="s">
        <v>6865</v>
      </c>
      <c r="D1570" s="83" t="s">
        <v>3209</v>
      </c>
      <c r="E1570" s="83" t="s">
        <v>3246</v>
      </c>
      <c r="F1570" s="83" t="s">
        <v>6866</v>
      </c>
      <c r="G1570" s="83" t="s">
        <v>6314</v>
      </c>
      <c r="H1570" s="83">
        <v>49.7</v>
      </c>
      <c r="I1570" s="83" t="s">
        <v>3229</v>
      </c>
      <c r="J1570" s="83" t="s">
        <v>3241</v>
      </c>
      <c r="K1570" s="83" t="s">
        <v>3215</v>
      </c>
    </row>
    <row r="1571" spans="1:11" ht="64.5" x14ac:dyDescent="0.25">
      <c r="A1571" s="83" t="s">
        <v>1111</v>
      </c>
      <c r="B1571" s="83" t="s">
        <v>6867</v>
      </c>
      <c r="C1571" s="83" t="s">
        <v>6868</v>
      </c>
      <c r="D1571" s="83" t="s">
        <v>3209</v>
      </c>
      <c r="E1571" s="83" t="s">
        <v>3246</v>
      </c>
      <c r="F1571" s="83" t="s">
        <v>6869</v>
      </c>
      <c r="G1571" s="83" t="s">
        <v>6870</v>
      </c>
      <c r="H1571" s="83">
        <v>6</v>
      </c>
      <c r="I1571" s="83" t="s">
        <v>3213</v>
      </c>
      <c r="J1571" s="83" t="s">
        <v>3219</v>
      </c>
      <c r="K1571" s="83" t="s">
        <v>3215</v>
      </c>
    </row>
    <row r="1572" spans="1:11" ht="64.5" x14ac:dyDescent="0.25">
      <c r="A1572" s="83" t="s">
        <v>1121</v>
      </c>
      <c r="B1572" s="83" t="s">
        <v>6871</v>
      </c>
      <c r="C1572" s="83" t="s">
        <v>6872</v>
      </c>
      <c r="D1572" s="83" t="s">
        <v>3209</v>
      </c>
      <c r="E1572" s="83" t="s">
        <v>3246</v>
      </c>
      <c r="F1572" s="83" t="s">
        <v>6873</v>
      </c>
      <c r="G1572" s="83" t="s">
        <v>5152</v>
      </c>
      <c r="H1572" s="83">
        <v>3</v>
      </c>
      <c r="I1572" s="83" t="s">
        <v>3213</v>
      </c>
      <c r="J1572" s="83" t="s">
        <v>3413</v>
      </c>
      <c r="K1572" s="83" t="s">
        <v>3215</v>
      </c>
    </row>
    <row r="1573" spans="1:11" ht="26.25" x14ac:dyDescent="0.25">
      <c r="A1573" s="83" t="s">
        <v>1087</v>
      </c>
      <c r="B1573" s="83" t="s">
        <v>6874</v>
      </c>
      <c r="C1573" s="83" t="s">
        <v>6875</v>
      </c>
      <c r="D1573" s="83" t="s">
        <v>3209</v>
      </c>
      <c r="E1573" s="83" t="s">
        <v>3246</v>
      </c>
      <c r="F1573" s="83" t="s">
        <v>6876</v>
      </c>
      <c r="G1573" s="83" t="s">
        <v>5696</v>
      </c>
      <c r="H1573" s="83">
        <v>34</v>
      </c>
      <c r="I1573" s="83" t="s">
        <v>3229</v>
      </c>
      <c r="J1573" s="83" t="s">
        <v>3324</v>
      </c>
      <c r="K1573" s="83" t="s">
        <v>3215</v>
      </c>
    </row>
    <row r="1574" spans="1:11" ht="39" x14ac:dyDescent="0.25">
      <c r="A1574" s="83" t="s">
        <v>1030</v>
      </c>
      <c r="B1574" s="83" t="s">
        <v>6877</v>
      </c>
      <c r="C1574" s="83" t="s">
        <v>6878</v>
      </c>
      <c r="D1574" s="83" t="s">
        <v>3209</v>
      </c>
      <c r="E1574" s="83" t="s">
        <v>3246</v>
      </c>
      <c r="F1574" s="83" t="s">
        <v>6879</v>
      </c>
      <c r="G1574" s="83" t="s">
        <v>6663</v>
      </c>
      <c r="H1574" s="83">
        <v>86</v>
      </c>
      <c r="I1574" s="83" t="s">
        <v>3229</v>
      </c>
      <c r="J1574" s="83" t="s">
        <v>356</v>
      </c>
      <c r="K1574" s="83" t="s">
        <v>3215</v>
      </c>
    </row>
    <row r="1575" spans="1:11" ht="51.75" x14ac:dyDescent="0.25">
      <c r="A1575" s="83" t="s">
        <v>1034</v>
      </c>
      <c r="B1575" s="83" t="s">
        <v>6880</v>
      </c>
      <c r="C1575" s="83" t="s">
        <v>3328</v>
      </c>
      <c r="D1575" s="83" t="s">
        <v>3209</v>
      </c>
      <c r="E1575" s="83" t="s">
        <v>3246</v>
      </c>
      <c r="F1575" s="83" t="s">
        <v>6881</v>
      </c>
      <c r="G1575" s="83" t="s">
        <v>3366</v>
      </c>
      <c r="H1575" s="83">
        <v>86</v>
      </c>
      <c r="I1575" s="83" t="s">
        <v>3213</v>
      </c>
      <c r="J1575" s="83" t="s">
        <v>3214</v>
      </c>
      <c r="K1575" s="83" t="s">
        <v>3215</v>
      </c>
    </row>
    <row r="1576" spans="1:11" ht="26.25" x14ac:dyDescent="0.25">
      <c r="A1576" s="83" t="s">
        <v>1035</v>
      </c>
      <c r="B1576" s="83" t="s">
        <v>6882</v>
      </c>
      <c r="C1576" s="83" t="s">
        <v>6883</v>
      </c>
      <c r="D1576" s="83" t="s">
        <v>3209</v>
      </c>
      <c r="E1576" s="83" t="s">
        <v>3246</v>
      </c>
      <c r="F1576" s="83" t="s">
        <v>6884</v>
      </c>
      <c r="G1576" s="83" t="s">
        <v>3645</v>
      </c>
      <c r="H1576" s="83">
        <v>8.6999999999999993</v>
      </c>
      <c r="I1576" s="83" t="s">
        <v>3213</v>
      </c>
      <c r="J1576" s="83" t="s">
        <v>3467</v>
      </c>
      <c r="K1576" s="83" t="s">
        <v>3215</v>
      </c>
    </row>
    <row r="1577" spans="1:11" ht="51.75" x14ac:dyDescent="0.25">
      <c r="A1577" s="83" t="s">
        <v>1038</v>
      </c>
      <c r="B1577" s="83" t="s">
        <v>6885</v>
      </c>
      <c r="C1577" s="83" t="s">
        <v>6886</v>
      </c>
      <c r="D1577" s="83" t="s">
        <v>3209</v>
      </c>
      <c r="E1577" s="83" t="s">
        <v>3246</v>
      </c>
      <c r="F1577" s="83" t="s">
        <v>6887</v>
      </c>
      <c r="G1577" s="83" t="s">
        <v>3815</v>
      </c>
      <c r="H1577" s="83">
        <v>12.4</v>
      </c>
      <c r="I1577" s="83" t="s">
        <v>3213</v>
      </c>
      <c r="J1577" s="83" t="s">
        <v>3257</v>
      </c>
      <c r="K1577" s="83" t="s">
        <v>3215</v>
      </c>
    </row>
    <row r="1578" spans="1:11" ht="51.75" x14ac:dyDescent="0.25">
      <c r="A1578" s="83" t="s">
        <v>1049</v>
      </c>
      <c r="B1578" s="83" t="s">
        <v>6888</v>
      </c>
      <c r="C1578" s="83" t="s">
        <v>6889</v>
      </c>
      <c r="D1578" s="83" t="s">
        <v>3209</v>
      </c>
      <c r="E1578" s="83" t="s">
        <v>3246</v>
      </c>
      <c r="F1578" s="83" t="s">
        <v>6890</v>
      </c>
      <c r="G1578" s="83" t="s">
        <v>6891</v>
      </c>
      <c r="H1578" s="83">
        <v>0.3</v>
      </c>
      <c r="I1578" s="83" t="s">
        <v>3229</v>
      </c>
      <c r="J1578" s="83" t="s">
        <v>3230</v>
      </c>
      <c r="K1578" s="83" t="s">
        <v>3215</v>
      </c>
    </row>
    <row r="1579" spans="1:11" ht="51.75" x14ac:dyDescent="0.25">
      <c r="A1579" s="83" t="s">
        <v>1053</v>
      </c>
      <c r="B1579" s="83" t="s">
        <v>6892</v>
      </c>
      <c r="C1579" s="83" t="s">
        <v>6893</v>
      </c>
      <c r="D1579" s="83" t="s">
        <v>3209</v>
      </c>
      <c r="E1579" s="83" t="s">
        <v>3246</v>
      </c>
      <c r="F1579" s="83" t="s">
        <v>6894</v>
      </c>
      <c r="G1579" s="83" t="s">
        <v>6895</v>
      </c>
      <c r="H1579" s="83">
        <v>1.5</v>
      </c>
      <c r="I1579" s="83" t="s">
        <v>3229</v>
      </c>
      <c r="J1579" s="83" t="s">
        <v>3332</v>
      </c>
      <c r="K1579" s="83" t="s">
        <v>3215</v>
      </c>
    </row>
    <row r="1580" spans="1:11" ht="51.75" x14ac:dyDescent="0.25">
      <c r="A1580" s="83" t="s">
        <v>1055</v>
      </c>
      <c r="B1580" s="83" t="s">
        <v>6896</v>
      </c>
      <c r="C1580" s="83" t="s">
        <v>6897</v>
      </c>
      <c r="D1580" s="83" t="s">
        <v>3209</v>
      </c>
      <c r="E1580" s="83" t="s">
        <v>3246</v>
      </c>
      <c r="F1580" s="83" t="s">
        <v>6898</v>
      </c>
      <c r="G1580" s="83" t="s">
        <v>6899</v>
      </c>
      <c r="H1580" s="83">
        <v>36</v>
      </c>
      <c r="I1580" s="83" t="s">
        <v>3229</v>
      </c>
      <c r="J1580" s="83" t="s">
        <v>3230</v>
      </c>
      <c r="K1580" s="83" t="s">
        <v>3215</v>
      </c>
    </row>
    <row r="1581" spans="1:11" ht="51.75" x14ac:dyDescent="0.25">
      <c r="A1581" s="83" t="s">
        <v>1064</v>
      </c>
      <c r="B1581" s="83" t="s">
        <v>6900</v>
      </c>
      <c r="C1581" s="83" t="s">
        <v>6901</v>
      </c>
      <c r="D1581" s="83" t="s">
        <v>3209</v>
      </c>
      <c r="E1581" s="83" t="s">
        <v>3246</v>
      </c>
      <c r="F1581" s="83" t="s">
        <v>6902</v>
      </c>
      <c r="G1581" s="83" t="s">
        <v>3609</v>
      </c>
      <c r="H1581" s="83">
        <v>34</v>
      </c>
      <c r="I1581" s="83" t="s">
        <v>3229</v>
      </c>
      <c r="J1581" s="83" t="s">
        <v>3230</v>
      </c>
      <c r="K1581" s="83" t="s">
        <v>3215</v>
      </c>
    </row>
    <row r="1582" spans="1:11" ht="64.5" x14ac:dyDescent="0.25">
      <c r="A1582" s="83" t="s">
        <v>1005</v>
      </c>
      <c r="B1582" s="83" t="s">
        <v>6903</v>
      </c>
      <c r="C1582" s="83" t="s">
        <v>6904</v>
      </c>
      <c r="D1582" s="83" t="s">
        <v>3209</v>
      </c>
      <c r="E1582" s="83" t="s">
        <v>3246</v>
      </c>
      <c r="F1582" s="83" t="s">
        <v>6905</v>
      </c>
      <c r="G1582" s="83" t="s">
        <v>6906</v>
      </c>
      <c r="H1582" s="83">
        <v>7.4</v>
      </c>
      <c r="I1582" s="83" t="s">
        <v>3229</v>
      </c>
      <c r="J1582" s="83" t="s">
        <v>3601</v>
      </c>
      <c r="K1582" s="83" t="s">
        <v>3215</v>
      </c>
    </row>
    <row r="1583" spans="1:11" ht="51.75" x14ac:dyDescent="0.25">
      <c r="A1583" s="83" t="s">
        <v>1246</v>
      </c>
      <c r="B1583" s="83" t="s">
        <v>6907</v>
      </c>
      <c r="C1583" s="83" t="s">
        <v>6908</v>
      </c>
      <c r="D1583" s="83" t="s">
        <v>3209</v>
      </c>
      <c r="E1583" s="83" t="s">
        <v>3246</v>
      </c>
      <c r="F1583" s="83" t="s">
        <v>6909</v>
      </c>
      <c r="G1583" s="83" t="s">
        <v>6910</v>
      </c>
      <c r="H1583" s="83">
        <v>39</v>
      </c>
      <c r="I1583" s="83" t="s">
        <v>3229</v>
      </c>
      <c r="J1583" s="83" t="s">
        <v>3238</v>
      </c>
      <c r="K1583" s="83" t="s">
        <v>3215</v>
      </c>
    </row>
    <row r="1584" spans="1:11" ht="51.75" x14ac:dyDescent="0.25">
      <c r="A1584" s="83" t="s">
        <v>1235</v>
      </c>
      <c r="B1584" s="83" t="s">
        <v>6911</v>
      </c>
      <c r="C1584" s="83" t="s">
        <v>6912</v>
      </c>
      <c r="D1584" s="83" t="s">
        <v>3209</v>
      </c>
      <c r="E1584" s="83" t="s">
        <v>3246</v>
      </c>
      <c r="F1584" s="83" t="s">
        <v>6913</v>
      </c>
      <c r="G1584" s="83" t="s">
        <v>3561</v>
      </c>
      <c r="H1584" s="83">
        <v>9</v>
      </c>
      <c r="I1584" s="83" t="s">
        <v>3229</v>
      </c>
      <c r="J1584" s="83" t="s">
        <v>3238</v>
      </c>
      <c r="K1584" s="83" t="s">
        <v>3215</v>
      </c>
    </row>
    <row r="1585" spans="1:11" ht="26.25" x14ac:dyDescent="0.25">
      <c r="A1585" s="83" t="s">
        <v>1236</v>
      </c>
      <c r="B1585" s="83" t="s">
        <v>6914</v>
      </c>
      <c r="C1585" s="83" t="s">
        <v>6915</v>
      </c>
      <c r="D1585" s="83" t="s">
        <v>3209</v>
      </c>
      <c r="E1585" s="83" t="s">
        <v>3246</v>
      </c>
      <c r="F1585" s="83" t="s">
        <v>6916</v>
      </c>
      <c r="G1585" s="83" t="s">
        <v>5366</v>
      </c>
      <c r="H1585" s="83">
        <v>25</v>
      </c>
      <c r="I1585" s="83" t="s">
        <v>3229</v>
      </c>
      <c r="J1585" s="83" t="s">
        <v>3222</v>
      </c>
      <c r="K1585" s="83" t="s">
        <v>3215</v>
      </c>
    </row>
    <row r="1586" spans="1:11" ht="51.75" x14ac:dyDescent="0.25">
      <c r="A1586" s="83" t="s">
        <v>1233</v>
      </c>
      <c r="B1586" s="83" t="s">
        <v>6917</v>
      </c>
      <c r="C1586" s="83" t="s">
        <v>6918</v>
      </c>
      <c r="D1586" s="83" t="s">
        <v>3209</v>
      </c>
      <c r="E1586" s="83" t="s">
        <v>3246</v>
      </c>
      <c r="F1586" s="83" t="s">
        <v>6919</v>
      </c>
      <c r="G1586" s="83" t="s">
        <v>6920</v>
      </c>
      <c r="H1586" s="83">
        <v>23</v>
      </c>
      <c r="I1586" s="83" t="s">
        <v>3229</v>
      </c>
      <c r="J1586" s="83" t="s">
        <v>3238</v>
      </c>
      <c r="K1586" s="83" t="s">
        <v>3215</v>
      </c>
    </row>
    <row r="1587" spans="1:11" ht="51.75" x14ac:dyDescent="0.25">
      <c r="A1587" s="83" t="s">
        <v>1213</v>
      </c>
      <c r="B1587" s="83" t="s">
        <v>6921</v>
      </c>
      <c r="C1587" s="83" t="s">
        <v>6922</v>
      </c>
      <c r="D1587" s="83" t="s">
        <v>3209</v>
      </c>
      <c r="E1587" s="83" t="s">
        <v>3246</v>
      </c>
      <c r="F1587" s="83" t="s">
        <v>6923</v>
      </c>
      <c r="G1587" s="83" t="s">
        <v>6924</v>
      </c>
      <c r="H1587" s="83">
        <v>4.5</v>
      </c>
      <c r="I1587" s="83" t="s">
        <v>3229</v>
      </c>
      <c r="J1587" s="83" t="s">
        <v>3371</v>
      </c>
      <c r="K1587" s="83" t="s">
        <v>3215</v>
      </c>
    </row>
    <row r="1588" spans="1:11" ht="64.5" x14ac:dyDescent="0.25">
      <c r="A1588" s="83" t="s">
        <v>1218</v>
      </c>
      <c r="B1588" s="83" t="s">
        <v>6925</v>
      </c>
      <c r="C1588" s="83" t="s">
        <v>6926</v>
      </c>
      <c r="D1588" s="83" t="s">
        <v>3209</v>
      </c>
      <c r="E1588" s="83" t="s">
        <v>3246</v>
      </c>
      <c r="F1588" s="83" t="s">
        <v>6927</v>
      </c>
      <c r="G1588" s="83" t="s">
        <v>6928</v>
      </c>
      <c r="H1588" s="83">
        <v>6</v>
      </c>
      <c r="I1588" s="83" t="s">
        <v>3213</v>
      </c>
      <c r="J1588" s="83" t="s">
        <v>3413</v>
      </c>
      <c r="K1588" s="83" t="s">
        <v>3215</v>
      </c>
    </row>
    <row r="1589" spans="1:11" ht="64.5" x14ac:dyDescent="0.25">
      <c r="A1589" s="83" t="s">
        <v>1219</v>
      </c>
      <c r="B1589" s="83" t="s">
        <v>6929</v>
      </c>
      <c r="C1589" s="83" t="s">
        <v>6930</v>
      </c>
      <c r="D1589" s="83" t="s">
        <v>3209</v>
      </c>
      <c r="E1589" s="83" t="s">
        <v>3246</v>
      </c>
      <c r="F1589" s="83" t="s">
        <v>6931</v>
      </c>
      <c r="G1589" s="83" t="s">
        <v>6932</v>
      </c>
      <c r="H1589" s="83">
        <v>4.4000000000000004</v>
      </c>
      <c r="I1589" s="83" t="s">
        <v>3213</v>
      </c>
      <c r="J1589" s="83" t="s">
        <v>3413</v>
      </c>
      <c r="K1589" s="83" t="s">
        <v>3215</v>
      </c>
    </row>
    <row r="1590" spans="1:11" ht="77.25" x14ac:dyDescent="0.25">
      <c r="A1590" s="83" t="s">
        <v>1191</v>
      </c>
      <c r="B1590" s="83" t="s">
        <v>6933</v>
      </c>
      <c r="C1590" s="83" t="s">
        <v>6934</v>
      </c>
      <c r="D1590" s="83" t="s">
        <v>3209</v>
      </c>
      <c r="E1590" s="83" t="s">
        <v>3246</v>
      </c>
      <c r="F1590" s="83" t="s">
        <v>6935</v>
      </c>
      <c r="G1590" s="83" t="s">
        <v>6936</v>
      </c>
      <c r="H1590" s="83">
        <v>67.5</v>
      </c>
      <c r="I1590" s="83" t="s">
        <v>3213</v>
      </c>
      <c r="J1590" s="83" t="s">
        <v>3621</v>
      </c>
      <c r="K1590" s="83" t="s">
        <v>3215</v>
      </c>
    </row>
    <row r="1591" spans="1:11" ht="64.5" x14ac:dyDescent="0.25">
      <c r="A1591" s="83" t="s">
        <v>1194</v>
      </c>
      <c r="B1591" s="83" t="s">
        <v>6937</v>
      </c>
      <c r="C1591" s="83" t="s">
        <v>6938</v>
      </c>
      <c r="D1591" s="83" t="s">
        <v>3209</v>
      </c>
      <c r="E1591" s="83" t="s">
        <v>3246</v>
      </c>
      <c r="F1591" s="83" t="s">
        <v>6939</v>
      </c>
      <c r="G1591" s="83" t="s">
        <v>3525</v>
      </c>
      <c r="H1591" s="83">
        <v>11</v>
      </c>
      <c r="I1591" s="83" t="s">
        <v>3213</v>
      </c>
      <c r="J1591" s="83" t="s">
        <v>3413</v>
      </c>
      <c r="K1591" s="83" t="s">
        <v>3215</v>
      </c>
    </row>
    <row r="1592" spans="1:11" ht="51.75" x14ac:dyDescent="0.25">
      <c r="A1592" s="83" t="s">
        <v>1197</v>
      </c>
      <c r="B1592" s="83" t="s">
        <v>6940</v>
      </c>
      <c r="C1592" s="83" t="s">
        <v>6941</v>
      </c>
      <c r="D1592" s="83" t="s">
        <v>3209</v>
      </c>
      <c r="E1592" s="83" t="s">
        <v>3246</v>
      </c>
      <c r="F1592" s="83" t="s">
        <v>6942</v>
      </c>
      <c r="G1592" s="83" t="s">
        <v>5126</v>
      </c>
      <c r="H1592" s="83">
        <v>155</v>
      </c>
      <c r="I1592" s="83" t="s">
        <v>3213</v>
      </c>
      <c r="J1592" s="83" t="s">
        <v>3538</v>
      </c>
      <c r="K1592" s="83" t="s">
        <v>3215</v>
      </c>
    </row>
    <row r="1593" spans="1:11" ht="64.5" x14ac:dyDescent="0.25">
      <c r="A1593" s="83" t="s">
        <v>1186</v>
      </c>
      <c r="B1593" s="83" t="s">
        <v>6943</v>
      </c>
      <c r="C1593" s="83" t="s">
        <v>6944</v>
      </c>
      <c r="D1593" s="83" t="s">
        <v>3209</v>
      </c>
      <c r="E1593" s="83" t="s">
        <v>3246</v>
      </c>
      <c r="F1593" s="83" t="s">
        <v>6945</v>
      </c>
      <c r="G1593" s="83" t="s">
        <v>3488</v>
      </c>
      <c r="H1593" s="83">
        <v>29</v>
      </c>
      <c r="I1593" s="83" t="s">
        <v>3213</v>
      </c>
      <c r="J1593" s="83" t="s">
        <v>3262</v>
      </c>
      <c r="K1593" s="83" t="s">
        <v>3215</v>
      </c>
    </row>
    <row r="1594" spans="1:11" ht="64.5" x14ac:dyDescent="0.25">
      <c r="A1594" s="83" t="s">
        <v>1169</v>
      </c>
      <c r="B1594" s="83" t="s">
        <v>6946</v>
      </c>
      <c r="C1594" s="83" t="s">
        <v>6947</v>
      </c>
      <c r="D1594" s="83" t="s">
        <v>3209</v>
      </c>
      <c r="E1594" s="83" t="s">
        <v>3246</v>
      </c>
      <c r="F1594" s="83" t="s">
        <v>6948</v>
      </c>
      <c r="G1594" s="83" t="s">
        <v>6949</v>
      </c>
      <c r="H1594" s="83">
        <v>34</v>
      </c>
      <c r="I1594" s="83" t="s">
        <v>3213</v>
      </c>
      <c r="J1594" s="83" t="s">
        <v>3219</v>
      </c>
      <c r="K1594" s="83" t="s">
        <v>3215</v>
      </c>
    </row>
    <row r="1595" spans="1:11" ht="26.25" x14ac:dyDescent="0.25">
      <c r="A1595" s="83" t="s">
        <v>848</v>
      </c>
      <c r="B1595" s="83" t="s">
        <v>6950</v>
      </c>
      <c r="C1595" s="83" t="s">
        <v>6951</v>
      </c>
      <c r="D1595" s="83" t="s">
        <v>3209</v>
      </c>
      <c r="E1595" s="83" t="s">
        <v>3246</v>
      </c>
      <c r="F1595" s="83" t="s">
        <v>3652</v>
      </c>
      <c r="G1595" s="83" t="s">
        <v>6952</v>
      </c>
      <c r="H1595" s="83">
        <v>2.2000000000000002</v>
      </c>
      <c r="I1595" s="83" t="s">
        <v>3213</v>
      </c>
      <c r="J1595" s="83" t="s">
        <v>3467</v>
      </c>
      <c r="K1595" s="83" t="s">
        <v>3215</v>
      </c>
    </row>
    <row r="1596" spans="1:11" ht="90" x14ac:dyDescent="0.25">
      <c r="A1596" s="83" t="s">
        <v>855</v>
      </c>
      <c r="B1596" s="83" t="s">
        <v>6953</v>
      </c>
      <c r="C1596" s="83" t="s">
        <v>6954</v>
      </c>
      <c r="D1596" s="83" t="s">
        <v>3209</v>
      </c>
      <c r="E1596" s="83" t="s">
        <v>3246</v>
      </c>
      <c r="F1596" s="83" t="s">
        <v>6955</v>
      </c>
      <c r="G1596" s="83" t="s">
        <v>6956</v>
      </c>
      <c r="H1596" s="83">
        <v>2.8</v>
      </c>
      <c r="I1596" s="83" t="s">
        <v>3213</v>
      </c>
      <c r="J1596" s="83" t="s">
        <v>6957</v>
      </c>
      <c r="K1596" s="83" t="s">
        <v>3215</v>
      </c>
    </row>
    <row r="1597" spans="1:11" x14ac:dyDescent="0.25">
      <c r="A1597" s="83" t="s">
        <v>6958</v>
      </c>
      <c r="B1597" s="83" t="s">
        <v>3208</v>
      </c>
      <c r="C1597" s="83" t="s">
        <v>3208</v>
      </c>
      <c r="D1597" s="83" t="s">
        <v>3209</v>
      </c>
      <c r="E1597" s="83" t="s">
        <v>3663</v>
      </c>
      <c r="F1597" s="83" t="s">
        <v>5430</v>
      </c>
      <c r="G1597" s="83" t="s">
        <v>6959</v>
      </c>
      <c r="H1597" s="83">
        <v>0</v>
      </c>
      <c r="I1597" s="83" t="s">
        <v>3208</v>
      </c>
      <c r="J1597" s="83" t="s">
        <v>3208</v>
      </c>
      <c r="K1597" s="83" t="s">
        <v>3208</v>
      </c>
    </row>
    <row r="1598" spans="1:11" x14ac:dyDescent="0.25">
      <c r="A1598" s="83" t="s">
        <v>6960</v>
      </c>
      <c r="B1598" s="83" t="s">
        <v>3208</v>
      </c>
      <c r="C1598" s="83" t="s">
        <v>3208</v>
      </c>
      <c r="D1598" s="83" t="s">
        <v>3209</v>
      </c>
      <c r="E1598" s="83" t="s">
        <v>3663</v>
      </c>
      <c r="F1598" s="83" t="s">
        <v>5433</v>
      </c>
      <c r="G1598" s="83" t="s">
        <v>5434</v>
      </c>
      <c r="H1598" s="83">
        <v>1290</v>
      </c>
      <c r="I1598" s="83" t="s">
        <v>3208</v>
      </c>
      <c r="J1598" s="83" t="s">
        <v>3208</v>
      </c>
      <c r="K1598" s="83" t="s">
        <v>3208</v>
      </c>
    </row>
    <row r="1599" spans="1:11" ht="26.25" x14ac:dyDescent="0.25">
      <c r="A1599" s="83" t="s">
        <v>6961</v>
      </c>
      <c r="B1599" s="83" t="s">
        <v>3208</v>
      </c>
      <c r="C1599" s="83" t="s">
        <v>3208</v>
      </c>
      <c r="D1599" s="83" t="s">
        <v>3209</v>
      </c>
      <c r="E1599" s="83" t="s">
        <v>3663</v>
      </c>
      <c r="F1599" s="83" t="s">
        <v>5430</v>
      </c>
      <c r="G1599" s="83" t="s">
        <v>5599</v>
      </c>
      <c r="H1599" s="83">
        <v>0</v>
      </c>
      <c r="I1599" s="83" t="s">
        <v>3208</v>
      </c>
      <c r="J1599" s="83" t="s">
        <v>3208</v>
      </c>
      <c r="K1599" s="83" t="s">
        <v>3208</v>
      </c>
    </row>
    <row r="1600" spans="1:11" ht="51.75" x14ac:dyDescent="0.25">
      <c r="A1600" s="83" t="s">
        <v>982</v>
      </c>
      <c r="B1600" s="83" t="s">
        <v>6962</v>
      </c>
      <c r="C1600" s="83" t="s">
        <v>6963</v>
      </c>
      <c r="D1600" s="83" t="s">
        <v>3209</v>
      </c>
      <c r="E1600" s="83" t="s">
        <v>3246</v>
      </c>
      <c r="F1600" s="83" t="s">
        <v>6964</v>
      </c>
      <c r="G1600" s="83" t="s">
        <v>6965</v>
      </c>
      <c r="H1600" s="83">
        <v>22</v>
      </c>
      <c r="I1600" s="83" t="s">
        <v>3229</v>
      </c>
      <c r="J1600" s="83" t="s">
        <v>3230</v>
      </c>
      <c r="K1600" s="83" t="s">
        <v>3215</v>
      </c>
    </row>
    <row r="1601" spans="1:11" ht="39" x14ac:dyDescent="0.25">
      <c r="A1601" s="83" t="s">
        <v>986</v>
      </c>
      <c r="B1601" s="83" t="s">
        <v>6966</v>
      </c>
      <c r="C1601" s="83" t="s">
        <v>5962</v>
      </c>
      <c r="D1601" s="83" t="s">
        <v>3209</v>
      </c>
      <c r="E1601" s="83" t="s">
        <v>3246</v>
      </c>
      <c r="F1601" s="83" t="s">
        <v>6967</v>
      </c>
      <c r="G1601" s="83" t="s">
        <v>6968</v>
      </c>
      <c r="H1601" s="83">
        <v>1.9</v>
      </c>
      <c r="I1601" s="83" t="s">
        <v>3229</v>
      </c>
      <c r="J1601" s="83" t="s">
        <v>3241</v>
      </c>
      <c r="K1601" s="83" t="s">
        <v>3215</v>
      </c>
    </row>
    <row r="1602" spans="1:11" ht="39" x14ac:dyDescent="0.25">
      <c r="A1602" s="83" t="s">
        <v>953</v>
      </c>
      <c r="B1602" s="83" t="s">
        <v>6969</v>
      </c>
      <c r="C1602" s="83" t="s">
        <v>6970</v>
      </c>
      <c r="D1602" s="83" t="s">
        <v>3209</v>
      </c>
      <c r="E1602" s="83" t="s">
        <v>3246</v>
      </c>
      <c r="F1602" s="83" t="s">
        <v>6971</v>
      </c>
      <c r="G1602" s="83" t="s">
        <v>6972</v>
      </c>
      <c r="H1602" s="83">
        <v>24.3</v>
      </c>
      <c r="I1602" s="83" t="s">
        <v>3229</v>
      </c>
      <c r="J1602" s="83" t="s">
        <v>3241</v>
      </c>
      <c r="K1602" s="83" t="s">
        <v>3215</v>
      </c>
    </row>
    <row r="1603" spans="1:11" ht="51.75" x14ac:dyDescent="0.25">
      <c r="A1603" s="83" t="s">
        <v>824</v>
      </c>
      <c r="B1603" s="83" t="s">
        <v>6973</v>
      </c>
      <c r="C1603" s="83" t="s">
        <v>6974</v>
      </c>
      <c r="D1603" s="83" t="s">
        <v>3209</v>
      </c>
      <c r="E1603" s="83" t="s">
        <v>3246</v>
      </c>
      <c r="F1603" s="83" t="s">
        <v>4625</v>
      </c>
      <c r="G1603" s="83" t="s">
        <v>3520</v>
      </c>
      <c r="H1603" s="83">
        <v>1.9</v>
      </c>
      <c r="I1603" s="83" t="s">
        <v>3229</v>
      </c>
      <c r="J1603" s="83" t="s">
        <v>3521</v>
      </c>
      <c r="K1603" s="83" t="s">
        <v>3215</v>
      </c>
    </row>
    <row r="1604" spans="1:11" ht="51.75" x14ac:dyDescent="0.25">
      <c r="A1604" s="83" t="s">
        <v>44</v>
      </c>
      <c r="B1604" s="83" t="s">
        <v>6975</v>
      </c>
      <c r="C1604" s="83" t="s">
        <v>6976</v>
      </c>
      <c r="D1604" s="83" t="s">
        <v>3209</v>
      </c>
      <c r="E1604" s="83" t="s">
        <v>3246</v>
      </c>
      <c r="F1604" s="83" t="s">
        <v>6977</v>
      </c>
      <c r="G1604" s="83" t="s">
        <v>6978</v>
      </c>
      <c r="H1604" s="83">
        <v>56.2</v>
      </c>
      <c r="I1604" s="83" t="s">
        <v>3229</v>
      </c>
      <c r="J1604" s="83" t="s">
        <v>3371</v>
      </c>
      <c r="K1604" s="83" t="s">
        <v>3215</v>
      </c>
    </row>
    <row r="1605" spans="1:11" ht="51.75" x14ac:dyDescent="0.25">
      <c r="A1605" s="83" t="s">
        <v>883</v>
      </c>
      <c r="B1605" s="83" t="s">
        <v>6979</v>
      </c>
      <c r="C1605" s="83" t="s">
        <v>6980</v>
      </c>
      <c r="D1605" s="83" t="s">
        <v>3209</v>
      </c>
      <c r="E1605" s="83" t="s">
        <v>3246</v>
      </c>
      <c r="F1605" s="83" t="s">
        <v>6981</v>
      </c>
      <c r="G1605" s="83" t="s">
        <v>4935</v>
      </c>
      <c r="H1605" s="83">
        <v>3</v>
      </c>
      <c r="I1605" s="83" t="s">
        <v>3229</v>
      </c>
      <c r="J1605" s="83" t="s">
        <v>3289</v>
      </c>
      <c r="K1605" s="83" t="s">
        <v>3215</v>
      </c>
    </row>
    <row r="1606" spans="1:11" ht="64.5" x14ac:dyDescent="0.25">
      <c r="A1606" s="83" t="s">
        <v>864</v>
      </c>
      <c r="B1606" s="83" t="s">
        <v>6982</v>
      </c>
      <c r="C1606" s="83" t="s">
        <v>6983</v>
      </c>
      <c r="D1606" s="83" t="s">
        <v>3209</v>
      </c>
      <c r="E1606" s="83" t="s">
        <v>3246</v>
      </c>
      <c r="F1606" s="83" t="s">
        <v>6984</v>
      </c>
      <c r="G1606" s="83" t="s">
        <v>6165</v>
      </c>
      <c r="H1606" s="83">
        <v>17</v>
      </c>
      <c r="I1606" s="83" t="s">
        <v>3213</v>
      </c>
      <c r="J1606" s="83" t="s">
        <v>3262</v>
      </c>
      <c r="K1606" s="83" t="s">
        <v>3215</v>
      </c>
    </row>
    <row r="1607" spans="1:11" ht="51.75" x14ac:dyDescent="0.25">
      <c r="A1607" s="83" t="s">
        <v>873</v>
      </c>
      <c r="B1607" s="83" t="s">
        <v>6985</v>
      </c>
      <c r="C1607" s="83" t="s">
        <v>6986</v>
      </c>
      <c r="D1607" s="83" t="s">
        <v>3209</v>
      </c>
      <c r="E1607" s="83" t="s">
        <v>3246</v>
      </c>
      <c r="F1607" s="83" t="s">
        <v>6987</v>
      </c>
      <c r="G1607" s="83" t="s">
        <v>6988</v>
      </c>
      <c r="H1607" s="83">
        <v>8.9</v>
      </c>
      <c r="I1607" s="83" t="s">
        <v>3229</v>
      </c>
      <c r="J1607" s="83" t="s">
        <v>3280</v>
      </c>
      <c r="K1607" s="83" t="s">
        <v>3215</v>
      </c>
    </row>
    <row r="1608" spans="1:11" x14ac:dyDescent="0.25">
      <c r="A1608" s="83" t="s">
        <v>6989</v>
      </c>
      <c r="B1608" s="83" t="s">
        <v>3208</v>
      </c>
      <c r="C1608" s="83" t="s">
        <v>3208</v>
      </c>
      <c r="D1608" s="83" t="s">
        <v>3209</v>
      </c>
      <c r="E1608" s="83" t="s">
        <v>3663</v>
      </c>
      <c r="F1608" s="83" t="s">
        <v>6990</v>
      </c>
      <c r="G1608" s="83" t="s">
        <v>3208</v>
      </c>
      <c r="H1608" s="83">
        <v>640</v>
      </c>
      <c r="I1608" s="83" t="s">
        <v>3208</v>
      </c>
      <c r="J1608" s="83" t="s">
        <v>3208</v>
      </c>
      <c r="K1608" s="83" t="s">
        <v>3208</v>
      </c>
    </row>
    <row r="1609" spans="1:11" x14ac:dyDescent="0.25">
      <c r="A1609" s="83" t="s">
        <v>6991</v>
      </c>
      <c r="B1609" s="83" t="s">
        <v>3208</v>
      </c>
      <c r="C1609" s="83" t="s">
        <v>3208</v>
      </c>
      <c r="D1609" s="83" t="s">
        <v>3209</v>
      </c>
      <c r="E1609" s="83" t="s">
        <v>3663</v>
      </c>
      <c r="F1609" s="83" t="s">
        <v>6992</v>
      </c>
      <c r="G1609" s="83" t="s">
        <v>6792</v>
      </c>
      <c r="H1609" s="83">
        <v>2</v>
      </c>
      <c r="I1609" s="83" t="s">
        <v>3208</v>
      </c>
      <c r="J1609" s="83" t="s">
        <v>3208</v>
      </c>
      <c r="K1609" s="83" t="s">
        <v>3208</v>
      </c>
    </row>
    <row r="1610" spans="1:11" x14ac:dyDescent="0.25">
      <c r="A1610" s="83" t="s">
        <v>6993</v>
      </c>
      <c r="B1610" s="83" t="s">
        <v>3208</v>
      </c>
      <c r="C1610" s="83" t="s">
        <v>3208</v>
      </c>
      <c r="D1610" s="83" t="s">
        <v>3209</v>
      </c>
      <c r="E1610" s="83" t="s">
        <v>3663</v>
      </c>
      <c r="F1610" s="83" t="s">
        <v>6994</v>
      </c>
      <c r="G1610" s="83" t="s">
        <v>3208</v>
      </c>
      <c r="H1610" s="83">
        <v>2</v>
      </c>
      <c r="I1610" s="83" t="s">
        <v>3208</v>
      </c>
      <c r="J1610" s="83" t="s">
        <v>3208</v>
      </c>
      <c r="K1610" s="83" t="s">
        <v>3208</v>
      </c>
    </row>
    <row r="1611" spans="1:11" x14ac:dyDescent="0.25">
      <c r="A1611" s="83" t="s">
        <v>6995</v>
      </c>
      <c r="B1611" s="83" t="s">
        <v>4333</v>
      </c>
      <c r="C1611" s="83" t="s">
        <v>6996</v>
      </c>
      <c r="D1611" s="83" t="s">
        <v>3209</v>
      </c>
      <c r="E1611" s="83" t="s">
        <v>3702</v>
      </c>
      <c r="F1611" s="83" t="s">
        <v>5942</v>
      </c>
      <c r="G1611" s="83" t="s">
        <v>6924</v>
      </c>
      <c r="H1611" s="83">
        <v>0</v>
      </c>
      <c r="I1611" s="83" t="s">
        <v>3208</v>
      </c>
      <c r="J1611" s="83" t="s">
        <v>3208</v>
      </c>
      <c r="K1611" s="83" t="s">
        <v>3208</v>
      </c>
    </row>
    <row r="1612" spans="1:11" x14ac:dyDescent="0.25">
      <c r="A1612" s="83" t="s">
        <v>6997</v>
      </c>
      <c r="B1612" s="83" t="s">
        <v>6998</v>
      </c>
      <c r="C1612" s="83" t="s">
        <v>6999</v>
      </c>
      <c r="D1612" s="83" t="s">
        <v>3209</v>
      </c>
      <c r="E1612" s="83" t="s">
        <v>3702</v>
      </c>
      <c r="F1612" s="83" t="s">
        <v>6302</v>
      </c>
      <c r="G1612" s="83" t="s">
        <v>7000</v>
      </c>
      <c r="H1612" s="83">
        <v>0</v>
      </c>
      <c r="I1612" s="83" t="s">
        <v>3208</v>
      </c>
      <c r="J1612" s="83" t="s">
        <v>3208</v>
      </c>
      <c r="K1612" s="83" t="s">
        <v>3208</v>
      </c>
    </row>
    <row r="1613" spans="1:11" x14ac:dyDescent="0.25">
      <c r="A1613" s="83" t="s">
        <v>7001</v>
      </c>
      <c r="B1613" s="83" t="s">
        <v>7002</v>
      </c>
      <c r="C1613" s="83" t="s">
        <v>3208</v>
      </c>
      <c r="D1613" s="83" t="s">
        <v>3209</v>
      </c>
      <c r="E1613" s="83" t="s">
        <v>3702</v>
      </c>
      <c r="F1613" s="83" t="s">
        <v>3232</v>
      </c>
      <c r="G1613" s="83" t="s">
        <v>7003</v>
      </c>
      <c r="H1613" s="83">
        <v>473</v>
      </c>
      <c r="I1613" s="83" t="s">
        <v>3208</v>
      </c>
      <c r="J1613" s="83" t="s">
        <v>3208</v>
      </c>
      <c r="K1613" s="83" t="s">
        <v>3208</v>
      </c>
    </row>
    <row r="1614" spans="1:11" ht="26.25" x14ac:dyDescent="0.25">
      <c r="A1614" s="83" t="s">
        <v>7004</v>
      </c>
      <c r="B1614" s="83" t="s">
        <v>3208</v>
      </c>
      <c r="C1614" s="83" t="s">
        <v>3208</v>
      </c>
      <c r="D1614" s="83" t="s">
        <v>3713</v>
      </c>
      <c r="E1614" s="83" t="s">
        <v>3714</v>
      </c>
      <c r="F1614" s="83" t="s">
        <v>5120</v>
      </c>
      <c r="G1614" s="83" t="s">
        <v>3208</v>
      </c>
      <c r="H1614" s="83">
        <v>0</v>
      </c>
      <c r="I1614" s="83" t="s">
        <v>3208</v>
      </c>
      <c r="J1614" s="83" t="s">
        <v>3208</v>
      </c>
      <c r="K1614" s="83" t="s">
        <v>3208</v>
      </c>
    </row>
    <row r="1615" spans="1:11" ht="26.25" x14ac:dyDescent="0.25">
      <c r="A1615" s="83" t="s">
        <v>7005</v>
      </c>
      <c r="B1615" s="83" t="s">
        <v>3208</v>
      </c>
      <c r="C1615" s="83" t="s">
        <v>3208</v>
      </c>
      <c r="D1615" s="83" t="s">
        <v>3713</v>
      </c>
      <c r="E1615" s="83" t="s">
        <v>3714</v>
      </c>
      <c r="F1615" s="83" t="s">
        <v>7006</v>
      </c>
      <c r="G1615" s="83" t="s">
        <v>3208</v>
      </c>
      <c r="H1615" s="83">
        <v>0</v>
      </c>
      <c r="I1615" s="83" t="s">
        <v>3208</v>
      </c>
      <c r="J1615" s="83" t="s">
        <v>3208</v>
      </c>
      <c r="K1615" s="83" t="s">
        <v>3208</v>
      </c>
    </row>
    <row r="1616" spans="1:11" x14ac:dyDescent="0.25">
      <c r="A1616" s="83" t="s">
        <v>7007</v>
      </c>
      <c r="B1616" s="83" t="s">
        <v>7008</v>
      </c>
      <c r="C1616" s="83" t="s">
        <v>7009</v>
      </c>
      <c r="D1616" s="83" t="s">
        <v>3209</v>
      </c>
      <c r="E1616" s="83" t="s">
        <v>3702</v>
      </c>
      <c r="F1616" s="83" t="s">
        <v>6241</v>
      </c>
      <c r="G1616" s="83" t="s">
        <v>3208</v>
      </c>
      <c r="H1616" s="83">
        <v>0</v>
      </c>
      <c r="I1616" s="83" t="s">
        <v>3208</v>
      </c>
      <c r="J1616" s="83" t="s">
        <v>3208</v>
      </c>
      <c r="K1616" s="83" t="s">
        <v>3208</v>
      </c>
    </row>
    <row r="1617" spans="1:11" x14ac:dyDescent="0.25">
      <c r="A1617" s="83" t="s">
        <v>7010</v>
      </c>
      <c r="B1617" s="83" t="s">
        <v>7011</v>
      </c>
      <c r="C1617" s="83" t="s">
        <v>7012</v>
      </c>
      <c r="D1617" s="83" t="s">
        <v>3209</v>
      </c>
      <c r="E1617" s="83" t="s">
        <v>3702</v>
      </c>
      <c r="F1617" s="83" t="s">
        <v>7013</v>
      </c>
      <c r="G1617" s="83" t="s">
        <v>7014</v>
      </c>
      <c r="H1617" s="83">
        <v>0</v>
      </c>
      <c r="I1617" s="83" t="s">
        <v>3208</v>
      </c>
      <c r="J1617" s="83" t="s">
        <v>3208</v>
      </c>
      <c r="K1617" s="83" t="s">
        <v>3208</v>
      </c>
    </row>
    <row r="1618" spans="1:11" ht="26.25" x14ac:dyDescent="0.25">
      <c r="A1618" s="83" t="s">
        <v>7015</v>
      </c>
      <c r="B1618" s="83" t="s">
        <v>3208</v>
      </c>
      <c r="C1618" s="83" t="s">
        <v>7016</v>
      </c>
      <c r="D1618" s="83" t="s">
        <v>3718</v>
      </c>
      <c r="E1618" s="83" t="s">
        <v>3702</v>
      </c>
      <c r="F1618" s="83" t="s">
        <v>4689</v>
      </c>
      <c r="G1618" s="83" t="s">
        <v>7017</v>
      </c>
      <c r="H1618" s="83">
        <v>2</v>
      </c>
      <c r="I1618" s="83" t="s">
        <v>3208</v>
      </c>
      <c r="J1618" s="83" t="s">
        <v>3208</v>
      </c>
      <c r="K1618" s="83" t="s">
        <v>3208</v>
      </c>
    </row>
    <row r="1619" spans="1:11" ht="51.75" x14ac:dyDescent="0.25">
      <c r="A1619" s="83" t="s">
        <v>1757</v>
      </c>
      <c r="B1619" s="83" t="s">
        <v>3208</v>
      </c>
      <c r="C1619" s="83" t="s">
        <v>3208</v>
      </c>
      <c r="D1619" s="83" t="s">
        <v>3713</v>
      </c>
      <c r="E1619" s="83" t="s">
        <v>3761</v>
      </c>
      <c r="F1619" s="83" t="s">
        <v>5477</v>
      </c>
      <c r="G1619" s="83" t="s">
        <v>5478</v>
      </c>
      <c r="H1619" s="83">
        <v>0</v>
      </c>
      <c r="I1619" s="83" t="s">
        <v>3229</v>
      </c>
      <c r="J1619" s="83" t="s">
        <v>6262</v>
      </c>
      <c r="K1619" s="83" t="s">
        <v>3215</v>
      </c>
    </row>
    <row r="1620" spans="1:11" ht="39" x14ac:dyDescent="0.25">
      <c r="A1620" s="83" t="s">
        <v>1760</v>
      </c>
      <c r="B1620" s="83" t="s">
        <v>3208</v>
      </c>
      <c r="C1620" s="83" t="s">
        <v>3208</v>
      </c>
      <c r="D1620" s="83" t="s">
        <v>3713</v>
      </c>
      <c r="E1620" s="83" t="s">
        <v>3761</v>
      </c>
      <c r="F1620" s="83" t="s">
        <v>5477</v>
      </c>
      <c r="G1620" s="83" t="s">
        <v>5478</v>
      </c>
      <c r="H1620" s="83">
        <v>0</v>
      </c>
      <c r="I1620" s="83" t="s">
        <v>3229</v>
      </c>
      <c r="J1620" s="83" t="s">
        <v>3241</v>
      </c>
      <c r="K1620" s="83" t="s">
        <v>3215</v>
      </c>
    </row>
    <row r="1621" spans="1:11" ht="64.5" x14ac:dyDescent="0.25">
      <c r="A1621" s="83" t="s">
        <v>538</v>
      </c>
      <c r="B1621" s="83" t="s">
        <v>3208</v>
      </c>
      <c r="C1621" s="83" t="s">
        <v>7018</v>
      </c>
      <c r="D1621" s="83" t="s">
        <v>3718</v>
      </c>
      <c r="E1621" s="83" t="s">
        <v>3727</v>
      </c>
      <c r="F1621" s="83" t="s">
        <v>6277</v>
      </c>
      <c r="G1621" s="83" t="s">
        <v>7019</v>
      </c>
      <c r="H1621" s="83">
        <v>1.5</v>
      </c>
      <c r="I1621" s="83" t="s">
        <v>3213</v>
      </c>
      <c r="J1621" s="83" t="s">
        <v>3413</v>
      </c>
      <c r="K1621" s="83" t="s">
        <v>3215</v>
      </c>
    </row>
    <row r="1622" spans="1:11" ht="39" x14ac:dyDescent="0.25">
      <c r="A1622" s="83" t="s">
        <v>539</v>
      </c>
      <c r="B1622" s="83" t="s">
        <v>3208</v>
      </c>
      <c r="C1622" s="83" t="s">
        <v>7020</v>
      </c>
      <c r="D1622" s="83" t="s">
        <v>3718</v>
      </c>
      <c r="E1622" s="83" t="s">
        <v>3727</v>
      </c>
      <c r="F1622" s="83" t="s">
        <v>6280</v>
      </c>
      <c r="G1622" s="83" t="s">
        <v>7021</v>
      </c>
      <c r="H1622" s="83">
        <v>0.22</v>
      </c>
      <c r="I1622" s="83" t="s">
        <v>3229</v>
      </c>
      <c r="J1622" s="83" t="s">
        <v>356</v>
      </c>
      <c r="K1622" s="83" t="s">
        <v>3215</v>
      </c>
    </row>
    <row r="1623" spans="1:11" ht="141" x14ac:dyDescent="0.25">
      <c r="A1623" s="83" t="s">
        <v>7022</v>
      </c>
      <c r="B1623" s="83" t="s">
        <v>3208</v>
      </c>
      <c r="C1623" s="83" t="s">
        <v>3208</v>
      </c>
      <c r="D1623" s="83" t="s">
        <v>5483</v>
      </c>
      <c r="E1623" s="83" t="s">
        <v>3210</v>
      </c>
      <c r="F1623" s="83" t="s">
        <v>5484</v>
      </c>
      <c r="G1623" s="83" t="s">
        <v>5485</v>
      </c>
      <c r="H1623" s="83">
        <v>800000</v>
      </c>
      <c r="I1623" s="83" t="s">
        <v>7023</v>
      </c>
      <c r="J1623" s="83" t="s">
        <v>7024</v>
      </c>
      <c r="K1623" s="83" t="s">
        <v>3215</v>
      </c>
    </row>
    <row r="1624" spans="1:11" ht="64.5" x14ac:dyDescent="0.25">
      <c r="A1624" s="83" t="s">
        <v>568</v>
      </c>
      <c r="B1624" s="83" t="s">
        <v>3208</v>
      </c>
      <c r="C1624" s="83" t="s">
        <v>7025</v>
      </c>
      <c r="D1624" s="83" t="s">
        <v>3741</v>
      </c>
      <c r="E1624" s="83" t="s">
        <v>3727</v>
      </c>
      <c r="F1624" s="83" t="s">
        <v>7026</v>
      </c>
      <c r="G1624" s="83" t="s">
        <v>3743</v>
      </c>
      <c r="H1624" s="83">
        <v>3.1</v>
      </c>
      <c r="I1624" s="83" t="s">
        <v>3213</v>
      </c>
      <c r="J1624" s="83" t="s">
        <v>3413</v>
      </c>
      <c r="K1624" s="83" t="s">
        <v>3215</v>
      </c>
    </row>
    <row r="1625" spans="1:11" ht="64.5" x14ac:dyDescent="0.25">
      <c r="A1625" s="83" t="s">
        <v>534</v>
      </c>
      <c r="B1625" s="83" t="s">
        <v>3208</v>
      </c>
      <c r="C1625" s="83" t="s">
        <v>7027</v>
      </c>
      <c r="D1625" s="83" t="s">
        <v>3741</v>
      </c>
      <c r="E1625" s="83" t="s">
        <v>3727</v>
      </c>
      <c r="F1625" s="83" t="s">
        <v>7028</v>
      </c>
      <c r="G1625" s="83" t="s">
        <v>3743</v>
      </c>
      <c r="H1625" s="83">
        <v>0.3</v>
      </c>
      <c r="I1625" s="83" t="s">
        <v>3213</v>
      </c>
      <c r="J1625" s="83" t="s">
        <v>3413</v>
      </c>
      <c r="K1625" s="83" t="s">
        <v>3215</v>
      </c>
    </row>
    <row r="1626" spans="1:11" ht="26.25" x14ac:dyDescent="0.25">
      <c r="A1626" s="83" t="s">
        <v>687</v>
      </c>
      <c r="B1626" s="83" t="s">
        <v>3208</v>
      </c>
      <c r="C1626" s="83" t="s">
        <v>6001</v>
      </c>
      <c r="D1626" s="83" t="s">
        <v>3752</v>
      </c>
      <c r="E1626" s="83" t="s">
        <v>3723</v>
      </c>
      <c r="F1626" s="83" t="s">
        <v>3756</v>
      </c>
      <c r="G1626" s="83" t="s">
        <v>3757</v>
      </c>
      <c r="H1626" s="83">
        <v>5</v>
      </c>
      <c r="I1626" s="83" t="s">
        <v>3213</v>
      </c>
      <c r="J1626" s="83" t="s">
        <v>4000</v>
      </c>
      <c r="K1626" s="83" t="s">
        <v>3215</v>
      </c>
    </row>
    <row r="1627" spans="1:11" ht="51.75" x14ac:dyDescent="0.25">
      <c r="A1627" s="83" t="s">
        <v>1081</v>
      </c>
      <c r="B1627" s="83" t="s">
        <v>3208</v>
      </c>
      <c r="C1627" s="83" t="s">
        <v>7029</v>
      </c>
      <c r="D1627" s="83" t="s">
        <v>3752</v>
      </c>
      <c r="E1627" s="83" t="s">
        <v>3723</v>
      </c>
      <c r="F1627" s="83" t="s">
        <v>7030</v>
      </c>
      <c r="G1627" s="83" t="s">
        <v>7031</v>
      </c>
      <c r="H1627" s="83">
        <v>0</v>
      </c>
      <c r="I1627" s="83" t="s">
        <v>3229</v>
      </c>
      <c r="J1627" s="83" t="s">
        <v>3280</v>
      </c>
      <c r="K1627" s="83" t="s">
        <v>3215</v>
      </c>
    </row>
    <row r="1628" spans="1:11" ht="64.5" x14ac:dyDescent="0.25">
      <c r="A1628" s="83" t="s">
        <v>693</v>
      </c>
      <c r="B1628" s="83" t="s">
        <v>3208</v>
      </c>
      <c r="C1628" s="83" t="s">
        <v>7032</v>
      </c>
      <c r="D1628" s="83" t="s">
        <v>3752</v>
      </c>
      <c r="E1628" s="83" t="s">
        <v>3723</v>
      </c>
      <c r="F1628" s="83" t="s">
        <v>4707</v>
      </c>
      <c r="G1628" s="83" t="s">
        <v>4254</v>
      </c>
      <c r="H1628" s="83">
        <v>0.7</v>
      </c>
      <c r="I1628" s="83" t="s">
        <v>3213</v>
      </c>
      <c r="J1628" s="83" t="s">
        <v>3601</v>
      </c>
      <c r="K1628" s="83" t="s">
        <v>3215</v>
      </c>
    </row>
    <row r="1629" spans="1:11" ht="51.75" x14ac:dyDescent="0.25">
      <c r="A1629" s="83" t="s">
        <v>755</v>
      </c>
      <c r="B1629" s="83" t="s">
        <v>3208</v>
      </c>
      <c r="C1629" s="83" t="s">
        <v>7033</v>
      </c>
      <c r="D1629" s="83" t="s">
        <v>3752</v>
      </c>
      <c r="E1629" s="83" t="s">
        <v>3723</v>
      </c>
      <c r="F1629" s="83" t="s">
        <v>7034</v>
      </c>
      <c r="G1629" s="83" t="s">
        <v>7035</v>
      </c>
      <c r="H1629" s="83">
        <v>0</v>
      </c>
      <c r="I1629" s="83" t="s">
        <v>3229</v>
      </c>
      <c r="J1629" s="83" t="s">
        <v>3230</v>
      </c>
      <c r="K1629" s="83" t="s">
        <v>3215</v>
      </c>
    </row>
    <row r="1630" spans="1:11" ht="51.75" x14ac:dyDescent="0.25">
      <c r="A1630" s="83" t="s">
        <v>1984</v>
      </c>
      <c r="B1630" s="83" t="s">
        <v>3208</v>
      </c>
      <c r="C1630" s="83" t="s">
        <v>3208</v>
      </c>
      <c r="D1630" s="83" t="s">
        <v>3713</v>
      </c>
      <c r="E1630" s="83" t="s">
        <v>3761</v>
      </c>
      <c r="F1630" s="83" t="s">
        <v>7036</v>
      </c>
      <c r="G1630" s="83" t="s">
        <v>7037</v>
      </c>
      <c r="H1630" s="83">
        <v>0</v>
      </c>
      <c r="I1630" s="83" t="s">
        <v>3213</v>
      </c>
      <c r="J1630" s="83" t="s">
        <v>3271</v>
      </c>
      <c r="K1630" s="83" t="s">
        <v>3215</v>
      </c>
    </row>
    <row r="1631" spans="1:11" ht="51.75" x14ac:dyDescent="0.25">
      <c r="A1631" s="83" t="s">
        <v>1904</v>
      </c>
      <c r="B1631" s="83" t="s">
        <v>3208</v>
      </c>
      <c r="C1631" s="83" t="s">
        <v>3208</v>
      </c>
      <c r="D1631" s="83" t="s">
        <v>3713</v>
      </c>
      <c r="E1631" s="83" t="s">
        <v>3761</v>
      </c>
      <c r="F1631" s="83" t="s">
        <v>4711</v>
      </c>
      <c r="G1631" s="83" t="s">
        <v>4712</v>
      </c>
      <c r="H1631" s="83">
        <v>0</v>
      </c>
      <c r="I1631" s="83" t="s">
        <v>3229</v>
      </c>
      <c r="J1631" s="83" t="s">
        <v>3371</v>
      </c>
      <c r="K1631" s="83" t="s">
        <v>3215</v>
      </c>
    </row>
    <row r="1632" spans="1:11" ht="39" x14ac:dyDescent="0.25">
      <c r="A1632" s="83" t="s">
        <v>1985</v>
      </c>
      <c r="B1632" s="83" t="s">
        <v>3208</v>
      </c>
      <c r="C1632" s="83" t="s">
        <v>3208</v>
      </c>
      <c r="D1632" s="83" t="s">
        <v>3713</v>
      </c>
      <c r="E1632" s="83" t="s">
        <v>3761</v>
      </c>
      <c r="F1632" s="83" t="s">
        <v>7038</v>
      </c>
      <c r="G1632" s="83" t="s">
        <v>6150</v>
      </c>
      <c r="H1632" s="83">
        <v>0</v>
      </c>
      <c r="I1632" s="83" t="s">
        <v>3229</v>
      </c>
      <c r="J1632" s="83" t="s">
        <v>356</v>
      </c>
      <c r="K1632" s="83" t="s">
        <v>3215</v>
      </c>
    </row>
    <row r="1633" spans="1:11" ht="39" x14ac:dyDescent="0.25">
      <c r="A1633" s="83" t="s">
        <v>1905</v>
      </c>
      <c r="B1633" s="83" t="s">
        <v>3208</v>
      </c>
      <c r="C1633" s="83" t="s">
        <v>3208</v>
      </c>
      <c r="D1633" s="83" t="s">
        <v>3713</v>
      </c>
      <c r="E1633" s="83" t="s">
        <v>3761</v>
      </c>
      <c r="F1633" s="83" t="s">
        <v>3798</v>
      </c>
      <c r="G1633" s="83" t="s">
        <v>7039</v>
      </c>
      <c r="H1633" s="83">
        <v>0</v>
      </c>
      <c r="I1633" s="83" t="s">
        <v>3229</v>
      </c>
      <c r="J1633" s="83" t="s">
        <v>356</v>
      </c>
      <c r="K1633" s="83" t="s">
        <v>3215</v>
      </c>
    </row>
    <row r="1634" spans="1:11" ht="51.75" x14ac:dyDescent="0.25">
      <c r="A1634" s="83" t="s">
        <v>1987</v>
      </c>
      <c r="B1634" s="83" t="s">
        <v>3208</v>
      </c>
      <c r="C1634" s="83" t="s">
        <v>3208</v>
      </c>
      <c r="D1634" s="83" t="s">
        <v>3713</v>
      </c>
      <c r="E1634" s="83" t="s">
        <v>3761</v>
      </c>
      <c r="F1634" s="83" t="s">
        <v>7040</v>
      </c>
      <c r="G1634" s="83" t="s">
        <v>5664</v>
      </c>
      <c r="H1634" s="83">
        <v>0</v>
      </c>
      <c r="I1634" s="83" t="s">
        <v>3213</v>
      </c>
      <c r="J1634" s="83" t="s">
        <v>3271</v>
      </c>
      <c r="K1634" s="83" t="s">
        <v>3215</v>
      </c>
    </row>
    <row r="1635" spans="1:11" ht="26.25" x14ac:dyDescent="0.25">
      <c r="A1635" s="83" t="s">
        <v>2383</v>
      </c>
      <c r="B1635" s="83" t="s">
        <v>3208</v>
      </c>
      <c r="C1635" s="83" t="s">
        <v>3208</v>
      </c>
      <c r="D1635" s="83" t="s">
        <v>3713</v>
      </c>
      <c r="E1635" s="83" t="s">
        <v>3761</v>
      </c>
      <c r="F1635" s="83" t="s">
        <v>7041</v>
      </c>
      <c r="G1635" s="83" t="s">
        <v>7042</v>
      </c>
      <c r="H1635" s="83">
        <v>0</v>
      </c>
      <c r="I1635" s="83" t="s">
        <v>3229</v>
      </c>
      <c r="J1635" s="83" t="s">
        <v>3222</v>
      </c>
      <c r="K1635" s="83" t="s">
        <v>3215</v>
      </c>
    </row>
    <row r="1636" spans="1:11" ht="51.75" x14ac:dyDescent="0.25">
      <c r="A1636" s="83" t="s">
        <v>1824</v>
      </c>
      <c r="B1636" s="83" t="s">
        <v>3208</v>
      </c>
      <c r="C1636" s="83" t="s">
        <v>3208</v>
      </c>
      <c r="D1636" s="83" t="s">
        <v>3713</v>
      </c>
      <c r="E1636" s="83" t="s">
        <v>3761</v>
      </c>
      <c r="F1636" s="83" t="s">
        <v>7043</v>
      </c>
      <c r="G1636" s="83" t="s">
        <v>7044</v>
      </c>
      <c r="H1636" s="83">
        <v>0</v>
      </c>
      <c r="I1636" s="83" t="s">
        <v>3229</v>
      </c>
      <c r="J1636" s="83" t="s">
        <v>3371</v>
      </c>
      <c r="K1636" s="83" t="s">
        <v>3215</v>
      </c>
    </row>
    <row r="1637" spans="1:11" ht="26.25" x14ac:dyDescent="0.25">
      <c r="A1637" s="83" t="s">
        <v>2472</v>
      </c>
      <c r="B1637" s="83" t="s">
        <v>3208</v>
      </c>
      <c r="C1637" s="83" t="s">
        <v>3208</v>
      </c>
      <c r="D1637" s="83" t="s">
        <v>3713</v>
      </c>
      <c r="E1637" s="83" t="s">
        <v>3761</v>
      </c>
      <c r="F1637" s="83" t="s">
        <v>7045</v>
      </c>
      <c r="G1637" s="83" t="s">
        <v>6509</v>
      </c>
      <c r="H1637" s="83">
        <v>0</v>
      </c>
      <c r="I1637" s="83" t="s">
        <v>3229</v>
      </c>
      <c r="J1637" s="83" t="s">
        <v>3222</v>
      </c>
      <c r="K1637" s="83" t="s">
        <v>3215</v>
      </c>
    </row>
    <row r="1638" spans="1:11" ht="51.75" x14ac:dyDescent="0.25">
      <c r="A1638" s="83" t="s">
        <v>2131</v>
      </c>
      <c r="B1638" s="83" t="s">
        <v>3208</v>
      </c>
      <c r="C1638" s="83" t="s">
        <v>3208</v>
      </c>
      <c r="D1638" s="83" t="s">
        <v>3713</v>
      </c>
      <c r="E1638" s="83" t="s">
        <v>3761</v>
      </c>
      <c r="F1638" s="83" t="s">
        <v>3764</v>
      </c>
      <c r="G1638" s="83" t="s">
        <v>3375</v>
      </c>
      <c r="H1638" s="83">
        <v>0</v>
      </c>
      <c r="I1638" s="83" t="s">
        <v>3229</v>
      </c>
      <c r="J1638" s="83" t="s">
        <v>3230</v>
      </c>
      <c r="K1638" s="83" t="s">
        <v>3215</v>
      </c>
    </row>
    <row r="1639" spans="1:11" ht="51.75" x14ac:dyDescent="0.25">
      <c r="A1639" s="83" t="s">
        <v>59</v>
      </c>
      <c r="B1639" s="83" t="s">
        <v>3208</v>
      </c>
      <c r="C1639" s="83" t="s">
        <v>3208</v>
      </c>
      <c r="D1639" s="83" t="s">
        <v>3713</v>
      </c>
      <c r="E1639" s="83" t="s">
        <v>3761</v>
      </c>
      <c r="F1639" s="83" t="s">
        <v>7046</v>
      </c>
      <c r="G1639" s="83" t="s">
        <v>3440</v>
      </c>
      <c r="H1639" s="83">
        <v>0</v>
      </c>
      <c r="I1639" s="83" t="s">
        <v>3213</v>
      </c>
      <c r="J1639" s="83" t="s">
        <v>3257</v>
      </c>
      <c r="K1639" s="83" t="s">
        <v>3215</v>
      </c>
    </row>
    <row r="1640" spans="1:11" ht="64.5" x14ac:dyDescent="0.25">
      <c r="A1640" s="83" t="s">
        <v>1806</v>
      </c>
      <c r="B1640" s="83" t="s">
        <v>3208</v>
      </c>
      <c r="C1640" s="83" t="s">
        <v>3208</v>
      </c>
      <c r="D1640" s="83" t="s">
        <v>3713</v>
      </c>
      <c r="E1640" s="83" t="s">
        <v>3761</v>
      </c>
      <c r="F1640" s="83" t="s">
        <v>7047</v>
      </c>
      <c r="G1640" s="83" t="s">
        <v>3348</v>
      </c>
      <c r="H1640" s="83">
        <v>0</v>
      </c>
      <c r="I1640" s="83" t="s">
        <v>3229</v>
      </c>
      <c r="J1640" s="83" t="s">
        <v>3380</v>
      </c>
      <c r="K1640" s="83" t="s">
        <v>3215</v>
      </c>
    </row>
    <row r="1641" spans="1:11" ht="26.25" x14ac:dyDescent="0.25">
      <c r="A1641" s="83" t="s">
        <v>2175</v>
      </c>
      <c r="B1641" s="83" t="s">
        <v>3208</v>
      </c>
      <c r="C1641" s="83" t="s">
        <v>3208</v>
      </c>
      <c r="D1641" s="83" t="s">
        <v>3713</v>
      </c>
      <c r="E1641" s="83" t="s">
        <v>3761</v>
      </c>
      <c r="F1641" s="83" t="s">
        <v>7048</v>
      </c>
      <c r="G1641" s="83" t="s">
        <v>6110</v>
      </c>
      <c r="H1641" s="83">
        <v>0</v>
      </c>
      <c r="I1641" s="83" t="s">
        <v>3229</v>
      </c>
      <c r="J1641" s="83" t="s">
        <v>3397</v>
      </c>
      <c r="K1641" s="83" t="s">
        <v>3215</v>
      </c>
    </row>
    <row r="1642" spans="1:11" ht="51.75" x14ac:dyDescent="0.25">
      <c r="A1642" s="83" t="s">
        <v>123</v>
      </c>
      <c r="B1642" s="83" t="s">
        <v>3208</v>
      </c>
      <c r="C1642" s="83" t="s">
        <v>3208</v>
      </c>
      <c r="D1642" s="83" t="s">
        <v>3713</v>
      </c>
      <c r="E1642" s="83" t="s">
        <v>3761</v>
      </c>
      <c r="F1642" s="83" t="s">
        <v>7049</v>
      </c>
      <c r="G1642" s="83" t="s">
        <v>7050</v>
      </c>
      <c r="H1642" s="83">
        <v>0</v>
      </c>
      <c r="I1642" s="83" t="s">
        <v>3229</v>
      </c>
      <c r="J1642" s="83" t="s">
        <v>3371</v>
      </c>
      <c r="K1642" s="83" t="s">
        <v>3215</v>
      </c>
    </row>
    <row r="1643" spans="1:11" ht="39" x14ac:dyDescent="0.25">
      <c r="A1643" s="83" t="s">
        <v>1908</v>
      </c>
      <c r="B1643" s="83" t="s">
        <v>3208</v>
      </c>
      <c r="C1643" s="83" t="s">
        <v>3208</v>
      </c>
      <c r="D1643" s="83" t="s">
        <v>3713</v>
      </c>
      <c r="E1643" s="83" t="s">
        <v>3761</v>
      </c>
      <c r="F1643" s="83" t="s">
        <v>4746</v>
      </c>
      <c r="G1643" s="83" t="s">
        <v>3822</v>
      </c>
      <c r="H1643" s="83">
        <v>0</v>
      </c>
      <c r="I1643" s="83" t="s">
        <v>7051</v>
      </c>
      <c r="J1643" s="83" t="s">
        <v>3222</v>
      </c>
      <c r="K1643" s="83" t="s">
        <v>3215</v>
      </c>
    </row>
    <row r="1644" spans="1:11" ht="64.5" x14ac:dyDescent="0.25">
      <c r="A1644" s="83" t="s">
        <v>2182</v>
      </c>
      <c r="B1644" s="83" t="s">
        <v>3208</v>
      </c>
      <c r="C1644" s="83" t="s">
        <v>3208</v>
      </c>
      <c r="D1644" s="83" t="s">
        <v>3713</v>
      </c>
      <c r="E1644" s="83" t="s">
        <v>3761</v>
      </c>
      <c r="F1644" s="83" t="s">
        <v>5514</v>
      </c>
      <c r="G1644" s="83" t="s">
        <v>3379</v>
      </c>
      <c r="H1644" s="83">
        <v>0</v>
      </c>
      <c r="I1644" s="83" t="s">
        <v>3229</v>
      </c>
      <c r="J1644" s="83" t="s">
        <v>3380</v>
      </c>
      <c r="K1644" s="83" t="s">
        <v>3215</v>
      </c>
    </row>
    <row r="1645" spans="1:11" ht="39" x14ac:dyDescent="0.25">
      <c r="A1645" s="83" t="s">
        <v>2192</v>
      </c>
      <c r="B1645" s="83" t="s">
        <v>3208</v>
      </c>
      <c r="C1645" s="83" t="s">
        <v>3208</v>
      </c>
      <c r="D1645" s="83" t="s">
        <v>3713</v>
      </c>
      <c r="E1645" s="83" t="s">
        <v>3761</v>
      </c>
      <c r="F1645" s="83" t="s">
        <v>7052</v>
      </c>
      <c r="G1645" s="83" t="s">
        <v>4012</v>
      </c>
      <c r="H1645" s="83">
        <v>0</v>
      </c>
      <c r="I1645" s="83" t="s">
        <v>3229</v>
      </c>
      <c r="J1645" s="83" t="s">
        <v>356</v>
      </c>
      <c r="K1645" s="83" t="s">
        <v>3215</v>
      </c>
    </row>
    <row r="1646" spans="1:11" ht="51.75" x14ac:dyDescent="0.25">
      <c r="A1646" s="83" t="s">
        <v>2207</v>
      </c>
      <c r="B1646" s="83" t="s">
        <v>3208</v>
      </c>
      <c r="C1646" s="83" t="s">
        <v>3208</v>
      </c>
      <c r="D1646" s="83" t="s">
        <v>3713</v>
      </c>
      <c r="E1646" s="83" t="s">
        <v>3761</v>
      </c>
      <c r="F1646" s="83" t="s">
        <v>7053</v>
      </c>
      <c r="G1646" s="83" t="s">
        <v>4759</v>
      </c>
      <c r="H1646" s="83">
        <v>0</v>
      </c>
      <c r="I1646" s="83" t="s">
        <v>3229</v>
      </c>
      <c r="J1646" s="83" t="s">
        <v>3289</v>
      </c>
      <c r="K1646" s="83" t="s">
        <v>3215</v>
      </c>
    </row>
    <row r="1647" spans="1:11" ht="64.5" x14ac:dyDescent="0.25">
      <c r="A1647" s="83" t="s">
        <v>2233</v>
      </c>
      <c r="B1647" s="83" t="s">
        <v>3208</v>
      </c>
      <c r="C1647" s="83" t="s">
        <v>3208</v>
      </c>
      <c r="D1647" s="83" t="s">
        <v>3713</v>
      </c>
      <c r="E1647" s="83" t="s">
        <v>3761</v>
      </c>
      <c r="F1647" s="83" t="s">
        <v>4728</v>
      </c>
      <c r="G1647" s="83" t="s">
        <v>3795</v>
      </c>
      <c r="H1647" s="83">
        <v>0</v>
      </c>
      <c r="I1647" s="83" t="s">
        <v>3229</v>
      </c>
      <c r="J1647" s="83" t="s">
        <v>3380</v>
      </c>
      <c r="K1647" s="83" t="s">
        <v>3215</v>
      </c>
    </row>
    <row r="1648" spans="1:11" ht="26.25" x14ac:dyDescent="0.25">
      <c r="A1648" s="83" t="s">
        <v>2000</v>
      </c>
      <c r="B1648" s="83" t="s">
        <v>3208</v>
      </c>
      <c r="C1648" s="83" t="s">
        <v>3208</v>
      </c>
      <c r="D1648" s="83" t="s">
        <v>3713</v>
      </c>
      <c r="E1648" s="83" t="s">
        <v>3761</v>
      </c>
      <c r="F1648" s="83" t="s">
        <v>7054</v>
      </c>
      <c r="G1648" s="83" t="s">
        <v>7055</v>
      </c>
      <c r="H1648" s="83">
        <v>0</v>
      </c>
      <c r="I1648" s="83" t="s">
        <v>3213</v>
      </c>
      <c r="J1648" s="83" t="s">
        <v>3747</v>
      </c>
      <c r="K1648" s="83" t="s">
        <v>3215</v>
      </c>
    </row>
    <row r="1649" spans="1:11" ht="51.75" x14ac:dyDescent="0.25">
      <c r="A1649" s="83" t="s">
        <v>2007</v>
      </c>
      <c r="B1649" s="83" t="s">
        <v>3208</v>
      </c>
      <c r="C1649" s="83" t="s">
        <v>3208</v>
      </c>
      <c r="D1649" s="83" t="s">
        <v>3713</v>
      </c>
      <c r="E1649" s="83" t="s">
        <v>3761</v>
      </c>
      <c r="F1649" s="83" t="s">
        <v>3790</v>
      </c>
      <c r="G1649" s="83" t="s">
        <v>3791</v>
      </c>
      <c r="H1649" s="83">
        <v>0</v>
      </c>
      <c r="I1649" s="83" t="s">
        <v>3229</v>
      </c>
      <c r="J1649" s="83" t="s">
        <v>3238</v>
      </c>
      <c r="K1649" s="83" t="s">
        <v>3215</v>
      </c>
    </row>
    <row r="1650" spans="1:11" ht="51.75" x14ac:dyDescent="0.25">
      <c r="A1650" s="83" t="s">
        <v>2009</v>
      </c>
      <c r="B1650" s="83" t="s">
        <v>3208</v>
      </c>
      <c r="C1650" s="83" t="s">
        <v>3208</v>
      </c>
      <c r="D1650" s="83" t="s">
        <v>3713</v>
      </c>
      <c r="E1650" s="83" t="s">
        <v>3761</v>
      </c>
      <c r="F1650" s="83" t="s">
        <v>3790</v>
      </c>
      <c r="G1650" s="83" t="s">
        <v>3791</v>
      </c>
      <c r="H1650" s="83">
        <v>0</v>
      </c>
      <c r="I1650" s="83" t="s">
        <v>3229</v>
      </c>
      <c r="J1650" s="83" t="s">
        <v>3289</v>
      </c>
      <c r="K1650" s="83" t="s">
        <v>3215</v>
      </c>
    </row>
    <row r="1651" spans="1:11" ht="51.75" x14ac:dyDescent="0.25">
      <c r="A1651" s="83" t="s">
        <v>2025</v>
      </c>
      <c r="B1651" s="83" t="s">
        <v>3208</v>
      </c>
      <c r="C1651" s="83" t="s">
        <v>3208</v>
      </c>
      <c r="D1651" s="83" t="s">
        <v>3713</v>
      </c>
      <c r="E1651" s="83" t="s">
        <v>3761</v>
      </c>
      <c r="F1651" s="83" t="s">
        <v>3792</v>
      </c>
      <c r="G1651" s="83" t="s">
        <v>3341</v>
      </c>
      <c r="H1651" s="83">
        <v>0</v>
      </c>
      <c r="I1651" s="83" t="s">
        <v>3229</v>
      </c>
      <c r="J1651" s="83" t="s">
        <v>3230</v>
      </c>
      <c r="K1651" s="83" t="s">
        <v>3215</v>
      </c>
    </row>
    <row r="1652" spans="1:11" ht="39" x14ac:dyDescent="0.25">
      <c r="A1652" s="83" t="s">
        <v>47</v>
      </c>
      <c r="B1652" s="83" t="s">
        <v>3208</v>
      </c>
      <c r="C1652" s="83" t="s">
        <v>3208</v>
      </c>
      <c r="D1652" s="83" t="s">
        <v>3713</v>
      </c>
      <c r="E1652" s="83" t="s">
        <v>3761</v>
      </c>
      <c r="F1652" s="83" t="s">
        <v>7056</v>
      </c>
      <c r="G1652" s="83" t="s">
        <v>7057</v>
      </c>
      <c r="H1652" s="83">
        <v>0</v>
      </c>
      <c r="I1652" s="83" t="s">
        <v>3229</v>
      </c>
      <c r="J1652" s="83" t="s">
        <v>3241</v>
      </c>
      <c r="K1652" s="83" t="s">
        <v>3215</v>
      </c>
    </row>
    <row r="1653" spans="1:11" ht="39" x14ac:dyDescent="0.25">
      <c r="A1653" s="83" t="s">
        <v>1974</v>
      </c>
      <c r="B1653" s="83" t="s">
        <v>3208</v>
      </c>
      <c r="C1653" s="83" t="s">
        <v>3208</v>
      </c>
      <c r="D1653" s="83" t="s">
        <v>3713</v>
      </c>
      <c r="E1653" s="83" t="s">
        <v>3761</v>
      </c>
      <c r="F1653" s="83" t="s">
        <v>5520</v>
      </c>
      <c r="G1653" s="83" t="s">
        <v>3822</v>
      </c>
      <c r="H1653" s="83">
        <v>0</v>
      </c>
      <c r="I1653" s="83" t="s">
        <v>3213</v>
      </c>
      <c r="J1653" s="83" t="s">
        <v>3222</v>
      </c>
      <c r="K1653" s="83" t="s">
        <v>3215</v>
      </c>
    </row>
    <row r="1654" spans="1:11" ht="26.25" x14ac:dyDescent="0.25">
      <c r="A1654" s="83" t="s">
        <v>2052</v>
      </c>
      <c r="B1654" s="83" t="s">
        <v>3208</v>
      </c>
      <c r="C1654" s="83" t="s">
        <v>3208</v>
      </c>
      <c r="D1654" s="83" t="s">
        <v>3713</v>
      </c>
      <c r="E1654" s="83" t="s">
        <v>3761</v>
      </c>
      <c r="F1654" s="83" t="s">
        <v>7058</v>
      </c>
      <c r="G1654" s="83" t="s">
        <v>7059</v>
      </c>
      <c r="H1654" s="83">
        <v>0</v>
      </c>
      <c r="I1654" s="83" t="s">
        <v>3213</v>
      </c>
      <c r="J1654" s="83" t="s">
        <v>3948</v>
      </c>
      <c r="K1654" s="83" t="s">
        <v>3215</v>
      </c>
    </row>
    <row r="1655" spans="1:11" ht="26.25" x14ac:dyDescent="0.25">
      <c r="A1655" s="83" t="s">
        <v>1952</v>
      </c>
      <c r="B1655" s="83" t="s">
        <v>3208</v>
      </c>
      <c r="C1655" s="83" t="s">
        <v>3208</v>
      </c>
      <c r="D1655" s="83" t="s">
        <v>3713</v>
      </c>
      <c r="E1655" s="83" t="s">
        <v>3761</v>
      </c>
      <c r="F1655" s="83" t="s">
        <v>5521</v>
      </c>
      <c r="G1655" s="83" t="s">
        <v>5522</v>
      </c>
      <c r="H1655" s="83">
        <v>0</v>
      </c>
      <c r="I1655" s="83" t="s">
        <v>3213</v>
      </c>
      <c r="J1655" s="83" t="s">
        <v>3851</v>
      </c>
      <c r="K1655" s="83" t="s">
        <v>3215</v>
      </c>
    </row>
    <row r="1656" spans="1:11" ht="51.75" x14ac:dyDescent="0.25">
      <c r="A1656" s="83" t="s">
        <v>68</v>
      </c>
      <c r="B1656" s="83" t="s">
        <v>3208</v>
      </c>
      <c r="C1656" s="83" t="s">
        <v>3208</v>
      </c>
      <c r="D1656" s="83" t="s">
        <v>3713</v>
      </c>
      <c r="E1656" s="83" t="s">
        <v>3761</v>
      </c>
      <c r="F1656" s="83" t="s">
        <v>7060</v>
      </c>
      <c r="G1656" s="83" t="s">
        <v>3370</v>
      </c>
      <c r="H1656" s="83">
        <v>0</v>
      </c>
      <c r="I1656" s="83" t="s">
        <v>3229</v>
      </c>
      <c r="J1656" s="83" t="s">
        <v>3371</v>
      </c>
      <c r="K1656" s="83" t="s">
        <v>3215</v>
      </c>
    </row>
    <row r="1657" spans="1:11" ht="26.25" x14ac:dyDescent="0.25">
      <c r="A1657" s="83" t="s">
        <v>1776</v>
      </c>
      <c r="B1657" s="83" t="s">
        <v>3208</v>
      </c>
      <c r="C1657" s="83" t="s">
        <v>3208</v>
      </c>
      <c r="D1657" s="83" t="s">
        <v>3713</v>
      </c>
      <c r="E1657" s="83" t="s">
        <v>3761</v>
      </c>
      <c r="F1657" s="83" t="s">
        <v>7061</v>
      </c>
      <c r="G1657" s="83" t="s">
        <v>7062</v>
      </c>
      <c r="H1657" s="83">
        <v>0</v>
      </c>
      <c r="I1657" s="83" t="s">
        <v>3229</v>
      </c>
      <c r="J1657" s="83" t="s">
        <v>3222</v>
      </c>
      <c r="K1657" s="83" t="s">
        <v>3215</v>
      </c>
    </row>
    <row r="1658" spans="1:11" ht="64.5" x14ac:dyDescent="0.25">
      <c r="A1658" s="83" t="s">
        <v>2063</v>
      </c>
      <c r="B1658" s="83" t="s">
        <v>3208</v>
      </c>
      <c r="C1658" s="83" t="s">
        <v>3208</v>
      </c>
      <c r="D1658" s="83" t="s">
        <v>3713</v>
      </c>
      <c r="E1658" s="83" t="s">
        <v>3761</v>
      </c>
      <c r="F1658" s="83" t="s">
        <v>3802</v>
      </c>
      <c r="G1658" s="83" t="s">
        <v>3803</v>
      </c>
      <c r="H1658" s="83">
        <v>0</v>
      </c>
      <c r="I1658" s="83" t="s">
        <v>3213</v>
      </c>
      <c r="J1658" s="83" t="s">
        <v>3413</v>
      </c>
      <c r="K1658" s="83" t="s">
        <v>3215</v>
      </c>
    </row>
    <row r="1659" spans="1:11" ht="51.75" x14ac:dyDescent="0.25">
      <c r="A1659" s="83" t="s">
        <v>2589</v>
      </c>
      <c r="B1659" s="83" t="s">
        <v>3208</v>
      </c>
      <c r="C1659" s="83" t="s">
        <v>3208</v>
      </c>
      <c r="D1659" s="83" t="s">
        <v>3713</v>
      </c>
      <c r="E1659" s="83" t="s">
        <v>3761</v>
      </c>
      <c r="F1659" s="83" t="s">
        <v>3804</v>
      </c>
      <c r="G1659" s="83" t="s">
        <v>3791</v>
      </c>
      <c r="H1659" s="83">
        <v>0</v>
      </c>
      <c r="I1659" s="83" t="s">
        <v>3229</v>
      </c>
      <c r="J1659" s="83" t="s">
        <v>3238</v>
      </c>
      <c r="K1659" s="83" t="s">
        <v>3215</v>
      </c>
    </row>
    <row r="1660" spans="1:11" ht="26.25" x14ac:dyDescent="0.25">
      <c r="A1660" s="83" t="s">
        <v>2088</v>
      </c>
      <c r="B1660" s="83" t="s">
        <v>3208</v>
      </c>
      <c r="C1660" s="83" t="s">
        <v>3208</v>
      </c>
      <c r="D1660" s="83" t="s">
        <v>3713</v>
      </c>
      <c r="E1660" s="83" t="s">
        <v>3761</v>
      </c>
      <c r="F1660" s="83" t="s">
        <v>3807</v>
      </c>
      <c r="G1660" s="83" t="s">
        <v>3808</v>
      </c>
      <c r="H1660" s="83">
        <v>0</v>
      </c>
      <c r="I1660" s="83" t="s">
        <v>3229</v>
      </c>
      <c r="J1660" s="83" t="s">
        <v>3311</v>
      </c>
      <c r="K1660" s="83" t="s">
        <v>3215</v>
      </c>
    </row>
    <row r="1661" spans="1:11" ht="51.75" x14ac:dyDescent="0.25">
      <c r="A1661" s="83" t="s">
        <v>1785</v>
      </c>
      <c r="B1661" s="83" t="s">
        <v>3208</v>
      </c>
      <c r="C1661" s="83" t="s">
        <v>3208</v>
      </c>
      <c r="D1661" s="83" t="s">
        <v>3713</v>
      </c>
      <c r="E1661" s="83" t="s">
        <v>3761</v>
      </c>
      <c r="F1661" s="83" t="s">
        <v>7063</v>
      </c>
      <c r="G1661" s="83" t="s">
        <v>3829</v>
      </c>
      <c r="H1661" s="83">
        <v>0</v>
      </c>
      <c r="I1661" s="83" t="s">
        <v>3229</v>
      </c>
      <c r="J1661" s="83" t="s">
        <v>3337</v>
      </c>
      <c r="K1661" s="83" t="s">
        <v>3215</v>
      </c>
    </row>
    <row r="1662" spans="1:11" ht="51.75" x14ac:dyDescent="0.25">
      <c r="A1662" s="83" t="s">
        <v>41</v>
      </c>
      <c r="B1662" s="83" t="s">
        <v>3208</v>
      </c>
      <c r="C1662" s="83" t="s">
        <v>3208</v>
      </c>
      <c r="D1662" s="83" t="s">
        <v>3713</v>
      </c>
      <c r="E1662" s="83" t="s">
        <v>3761</v>
      </c>
      <c r="F1662" s="83" t="s">
        <v>4752</v>
      </c>
      <c r="G1662" s="83" t="s">
        <v>4753</v>
      </c>
      <c r="H1662" s="83">
        <v>0</v>
      </c>
      <c r="I1662" s="83" t="s">
        <v>3229</v>
      </c>
      <c r="J1662" s="83" t="s">
        <v>3289</v>
      </c>
      <c r="K1662" s="83" t="s">
        <v>3215</v>
      </c>
    </row>
    <row r="1663" spans="1:11" ht="26.25" x14ac:dyDescent="0.25">
      <c r="A1663" s="83" t="s">
        <v>1831</v>
      </c>
      <c r="B1663" s="83" t="s">
        <v>3208</v>
      </c>
      <c r="C1663" s="83" t="s">
        <v>3208</v>
      </c>
      <c r="D1663" s="83" t="s">
        <v>3713</v>
      </c>
      <c r="E1663" s="83" t="s">
        <v>3761</v>
      </c>
      <c r="F1663" s="83" t="s">
        <v>5529</v>
      </c>
      <c r="G1663" s="83" t="s">
        <v>7064</v>
      </c>
      <c r="H1663" s="83">
        <v>0</v>
      </c>
      <c r="I1663" s="83" t="s">
        <v>3229</v>
      </c>
      <c r="J1663" s="83" t="s">
        <v>3311</v>
      </c>
      <c r="K1663" s="83" t="s">
        <v>3215</v>
      </c>
    </row>
    <row r="1664" spans="1:11" ht="51.75" x14ac:dyDescent="0.25">
      <c r="A1664" s="83" t="s">
        <v>2110</v>
      </c>
      <c r="B1664" s="83" t="s">
        <v>3208</v>
      </c>
      <c r="C1664" s="83" t="s">
        <v>3208</v>
      </c>
      <c r="D1664" s="83" t="s">
        <v>3713</v>
      </c>
      <c r="E1664" s="83" t="s">
        <v>3761</v>
      </c>
      <c r="F1664" s="83" t="s">
        <v>3820</v>
      </c>
      <c r="G1664" s="83" t="s">
        <v>3417</v>
      </c>
      <c r="H1664" s="83">
        <v>0</v>
      </c>
      <c r="I1664" s="83" t="s">
        <v>3213</v>
      </c>
      <c r="J1664" s="83" t="s">
        <v>3214</v>
      </c>
      <c r="K1664" s="83" t="s">
        <v>3215</v>
      </c>
    </row>
    <row r="1665" spans="1:11" ht="51.75" x14ac:dyDescent="0.25">
      <c r="A1665" s="83" t="s">
        <v>2120</v>
      </c>
      <c r="B1665" s="83" t="s">
        <v>3208</v>
      </c>
      <c r="C1665" s="83" t="s">
        <v>3208</v>
      </c>
      <c r="D1665" s="83" t="s">
        <v>3713</v>
      </c>
      <c r="E1665" s="83" t="s">
        <v>3761</v>
      </c>
      <c r="F1665" s="83" t="s">
        <v>5531</v>
      </c>
      <c r="G1665" s="83" t="s">
        <v>7065</v>
      </c>
      <c r="H1665" s="83">
        <v>0</v>
      </c>
      <c r="I1665" s="83" t="s">
        <v>3229</v>
      </c>
      <c r="J1665" s="83" t="s">
        <v>3289</v>
      </c>
      <c r="K1665" s="83" t="s">
        <v>3215</v>
      </c>
    </row>
    <row r="1666" spans="1:11" ht="51.75" x14ac:dyDescent="0.25">
      <c r="A1666" s="83" t="s">
        <v>2122</v>
      </c>
      <c r="B1666" s="83" t="s">
        <v>3208</v>
      </c>
      <c r="C1666" s="83" t="s">
        <v>3208</v>
      </c>
      <c r="D1666" s="83" t="s">
        <v>3713</v>
      </c>
      <c r="E1666" s="83" t="s">
        <v>3761</v>
      </c>
      <c r="F1666" s="83" t="s">
        <v>3890</v>
      </c>
      <c r="G1666" s="83" t="s">
        <v>5102</v>
      </c>
      <c r="H1666" s="83">
        <v>0</v>
      </c>
      <c r="I1666" s="83" t="s">
        <v>3213</v>
      </c>
      <c r="J1666" s="83" t="s">
        <v>3257</v>
      </c>
      <c r="K1666" s="83" t="s">
        <v>3215</v>
      </c>
    </row>
    <row r="1667" spans="1:11" ht="26.25" x14ac:dyDescent="0.25">
      <c r="A1667" s="83" t="s">
        <v>2129</v>
      </c>
      <c r="B1667" s="83" t="s">
        <v>3208</v>
      </c>
      <c r="C1667" s="83" t="s">
        <v>3208</v>
      </c>
      <c r="D1667" s="83" t="s">
        <v>3713</v>
      </c>
      <c r="E1667" s="83" t="s">
        <v>3761</v>
      </c>
      <c r="F1667" s="83" t="s">
        <v>7066</v>
      </c>
      <c r="G1667" s="83" t="s">
        <v>7067</v>
      </c>
      <c r="H1667" s="83">
        <v>0</v>
      </c>
      <c r="I1667" s="83" t="s">
        <v>3213</v>
      </c>
      <c r="J1667" s="83" t="s">
        <v>3222</v>
      </c>
      <c r="K1667" s="83" t="s">
        <v>3215</v>
      </c>
    </row>
    <row r="1668" spans="1:11" ht="51.75" x14ac:dyDescent="0.25">
      <c r="A1668" s="83" t="s">
        <v>1939</v>
      </c>
      <c r="B1668" s="83" t="s">
        <v>3208</v>
      </c>
      <c r="C1668" s="83" t="s">
        <v>3208</v>
      </c>
      <c r="D1668" s="83" t="s">
        <v>3713</v>
      </c>
      <c r="E1668" s="83" t="s">
        <v>3761</v>
      </c>
      <c r="F1668" s="83" t="s">
        <v>3798</v>
      </c>
      <c r="G1668" s="83" t="s">
        <v>5536</v>
      </c>
      <c r="H1668" s="83">
        <v>0</v>
      </c>
      <c r="I1668" s="83" t="s">
        <v>3229</v>
      </c>
      <c r="J1668" s="83" t="s">
        <v>3332</v>
      </c>
      <c r="K1668" s="83" t="s">
        <v>3215</v>
      </c>
    </row>
    <row r="1669" spans="1:11" ht="26.25" x14ac:dyDescent="0.25">
      <c r="A1669" s="83" t="s">
        <v>7068</v>
      </c>
      <c r="B1669" s="83" t="s">
        <v>3208</v>
      </c>
      <c r="C1669" s="83" t="s">
        <v>3208</v>
      </c>
      <c r="D1669" s="83" t="s">
        <v>3713</v>
      </c>
      <c r="E1669" s="83" t="s">
        <v>3714</v>
      </c>
      <c r="F1669" s="83" t="s">
        <v>3875</v>
      </c>
      <c r="G1669" s="83" t="s">
        <v>7069</v>
      </c>
      <c r="H1669" s="83">
        <v>0</v>
      </c>
      <c r="I1669" s="83" t="s">
        <v>3208</v>
      </c>
      <c r="J1669" s="83" t="s">
        <v>3208</v>
      </c>
      <c r="K1669" s="83" t="s">
        <v>3208</v>
      </c>
    </row>
    <row r="1670" spans="1:11" ht="26.25" x14ac:dyDescent="0.25">
      <c r="A1670" s="83" t="s">
        <v>7070</v>
      </c>
      <c r="B1670" s="83" t="s">
        <v>3208</v>
      </c>
      <c r="C1670" s="83" t="s">
        <v>3208</v>
      </c>
      <c r="D1670" s="83" t="s">
        <v>3713</v>
      </c>
      <c r="E1670" s="83" t="s">
        <v>3714</v>
      </c>
      <c r="F1670" s="83" t="s">
        <v>3875</v>
      </c>
      <c r="G1670" s="83" t="s">
        <v>7071</v>
      </c>
      <c r="H1670" s="83">
        <v>0</v>
      </c>
      <c r="I1670" s="83" t="s">
        <v>3208</v>
      </c>
      <c r="J1670" s="83" t="s">
        <v>3208</v>
      </c>
      <c r="K1670" s="83" t="s">
        <v>3208</v>
      </c>
    </row>
    <row r="1671" spans="1:11" ht="26.25" x14ac:dyDescent="0.25">
      <c r="A1671" s="83" t="s">
        <v>7072</v>
      </c>
      <c r="B1671" s="83" t="s">
        <v>3208</v>
      </c>
      <c r="C1671" s="83" t="s">
        <v>3208</v>
      </c>
      <c r="D1671" s="83" t="s">
        <v>3713</v>
      </c>
      <c r="E1671" s="83" t="s">
        <v>3714</v>
      </c>
      <c r="F1671" s="83" t="s">
        <v>3875</v>
      </c>
      <c r="G1671" s="83" t="s">
        <v>7073</v>
      </c>
      <c r="H1671" s="83">
        <v>0</v>
      </c>
      <c r="I1671" s="83" t="s">
        <v>3208</v>
      </c>
      <c r="J1671" s="83" t="s">
        <v>3208</v>
      </c>
      <c r="K1671" s="83" t="s">
        <v>3208</v>
      </c>
    </row>
    <row r="1672" spans="1:11" ht="51.75" x14ac:dyDescent="0.25">
      <c r="A1672" s="83" t="s">
        <v>520</v>
      </c>
      <c r="B1672" s="83" t="s">
        <v>3208</v>
      </c>
      <c r="C1672" s="83" t="s">
        <v>7074</v>
      </c>
      <c r="D1672" s="83" t="s">
        <v>3718</v>
      </c>
      <c r="E1672" s="83" t="s">
        <v>3727</v>
      </c>
      <c r="F1672" s="83" t="s">
        <v>7075</v>
      </c>
      <c r="G1672" s="83" t="s">
        <v>7076</v>
      </c>
      <c r="H1672" s="83">
        <v>1.5</v>
      </c>
      <c r="I1672" s="83" t="s">
        <v>3229</v>
      </c>
      <c r="J1672" s="83" t="s">
        <v>3289</v>
      </c>
      <c r="K1672" s="83" t="s">
        <v>3215</v>
      </c>
    </row>
    <row r="1673" spans="1:11" ht="26.25" x14ac:dyDescent="0.25">
      <c r="A1673" s="83" t="s">
        <v>7077</v>
      </c>
      <c r="B1673" s="83" t="s">
        <v>3208</v>
      </c>
      <c r="C1673" s="83" t="s">
        <v>3208</v>
      </c>
      <c r="D1673" s="83" t="s">
        <v>3209</v>
      </c>
      <c r="E1673" s="83" t="s">
        <v>3663</v>
      </c>
      <c r="F1673" s="83" t="s">
        <v>7078</v>
      </c>
      <c r="G1673" s="83" t="s">
        <v>4035</v>
      </c>
      <c r="H1673" s="83">
        <v>30</v>
      </c>
      <c r="I1673" s="83" t="s">
        <v>3208</v>
      </c>
      <c r="J1673" s="83" t="s">
        <v>3208</v>
      </c>
      <c r="K1673" s="83" t="s">
        <v>3208</v>
      </c>
    </row>
    <row r="1674" spans="1:11" x14ac:dyDescent="0.25">
      <c r="A1674" s="83" t="s">
        <v>7079</v>
      </c>
      <c r="B1674" s="83" t="s">
        <v>7080</v>
      </c>
      <c r="C1674" s="83" t="s">
        <v>7081</v>
      </c>
      <c r="D1674" s="83" t="s">
        <v>3209</v>
      </c>
      <c r="E1674" s="83" t="s">
        <v>3702</v>
      </c>
      <c r="F1674" s="83" t="s">
        <v>7082</v>
      </c>
      <c r="G1674" s="83" t="s">
        <v>3542</v>
      </c>
      <c r="H1674" s="83">
        <v>125</v>
      </c>
      <c r="I1674" s="83" t="s">
        <v>3208</v>
      </c>
      <c r="J1674" s="83" t="s">
        <v>3208</v>
      </c>
      <c r="K1674" s="83" t="s">
        <v>3208</v>
      </c>
    </row>
    <row r="1675" spans="1:11" ht="26.25" x14ac:dyDescent="0.25">
      <c r="A1675" s="83" t="s">
        <v>7083</v>
      </c>
      <c r="B1675" s="83" t="s">
        <v>3208</v>
      </c>
      <c r="C1675" s="83" t="s">
        <v>3208</v>
      </c>
      <c r="D1675" s="83" t="s">
        <v>3713</v>
      </c>
      <c r="E1675" s="83" t="s">
        <v>3714</v>
      </c>
      <c r="F1675" s="83" t="s">
        <v>3844</v>
      </c>
      <c r="G1675" s="83" t="s">
        <v>7084</v>
      </c>
      <c r="H1675" s="83">
        <v>0</v>
      </c>
      <c r="I1675" s="83" t="s">
        <v>3208</v>
      </c>
      <c r="J1675" s="83" t="s">
        <v>3208</v>
      </c>
      <c r="K1675" s="83" t="s">
        <v>3208</v>
      </c>
    </row>
    <row r="1676" spans="1:11" ht="26.25" x14ac:dyDescent="0.25">
      <c r="A1676" s="83" t="s">
        <v>7085</v>
      </c>
      <c r="B1676" s="83" t="s">
        <v>3208</v>
      </c>
      <c r="C1676" s="83" t="s">
        <v>3208</v>
      </c>
      <c r="D1676" s="83" t="s">
        <v>3713</v>
      </c>
      <c r="E1676" s="83" t="s">
        <v>3714</v>
      </c>
      <c r="F1676" s="83" t="s">
        <v>7086</v>
      </c>
      <c r="G1676" s="83" t="s">
        <v>7087</v>
      </c>
      <c r="H1676" s="83">
        <v>0</v>
      </c>
      <c r="I1676" s="83" t="s">
        <v>3208</v>
      </c>
      <c r="J1676" s="83" t="s">
        <v>3208</v>
      </c>
      <c r="K1676" s="83" t="s">
        <v>3208</v>
      </c>
    </row>
    <row r="1677" spans="1:11" ht="51.75" x14ac:dyDescent="0.25">
      <c r="A1677" s="83" t="s">
        <v>2606</v>
      </c>
      <c r="B1677" s="83" t="s">
        <v>3208</v>
      </c>
      <c r="C1677" s="83" t="s">
        <v>3208</v>
      </c>
      <c r="D1677" s="83" t="s">
        <v>3713</v>
      </c>
      <c r="E1677" s="83" t="s">
        <v>3761</v>
      </c>
      <c r="F1677" s="83" t="s">
        <v>3854</v>
      </c>
      <c r="G1677" s="83" t="s">
        <v>4421</v>
      </c>
      <c r="H1677" s="83">
        <v>0</v>
      </c>
      <c r="I1677" s="83" t="s">
        <v>3229</v>
      </c>
      <c r="J1677" s="83" t="s">
        <v>3238</v>
      </c>
      <c r="K1677" s="83" t="s">
        <v>3215</v>
      </c>
    </row>
    <row r="1678" spans="1:11" ht="26.25" x14ac:dyDescent="0.25">
      <c r="A1678" s="83" t="s">
        <v>558</v>
      </c>
      <c r="B1678" s="83" t="s">
        <v>3208</v>
      </c>
      <c r="C1678" s="83" t="s">
        <v>7088</v>
      </c>
      <c r="D1678" s="83" t="s">
        <v>3718</v>
      </c>
      <c r="E1678" s="83" t="s">
        <v>3727</v>
      </c>
      <c r="F1678" s="83" t="s">
        <v>7089</v>
      </c>
      <c r="G1678" s="83" t="s">
        <v>7090</v>
      </c>
      <c r="H1678" s="83">
        <v>10</v>
      </c>
      <c r="I1678" s="83" t="s">
        <v>3229</v>
      </c>
      <c r="J1678" s="83" t="s">
        <v>3311</v>
      </c>
      <c r="K1678" s="83" t="s">
        <v>3215</v>
      </c>
    </row>
    <row r="1679" spans="1:11" x14ac:dyDescent="0.25">
      <c r="A1679" s="83" t="s">
        <v>7091</v>
      </c>
      <c r="B1679" s="83" t="s">
        <v>3208</v>
      </c>
      <c r="C1679" s="83" t="s">
        <v>3208</v>
      </c>
      <c r="D1679" s="83" t="s">
        <v>3209</v>
      </c>
      <c r="E1679" s="83" t="s">
        <v>3663</v>
      </c>
      <c r="F1679" s="83" t="s">
        <v>5548</v>
      </c>
      <c r="G1679" s="83" t="s">
        <v>3676</v>
      </c>
      <c r="H1679" s="83">
        <v>15</v>
      </c>
      <c r="I1679" s="83" t="s">
        <v>3208</v>
      </c>
      <c r="J1679" s="83" t="s">
        <v>3208</v>
      </c>
      <c r="K1679" s="83" t="s">
        <v>3208</v>
      </c>
    </row>
    <row r="1680" spans="1:11" ht="51.75" x14ac:dyDescent="0.25">
      <c r="A1680" s="83" t="s">
        <v>592</v>
      </c>
      <c r="B1680" s="83" t="s">
        <v>3208</v>
      </c>
      <c r="C1680" s="83" t="s">
        <v>3208</v>
      </c>
      <c r="D1680" s="83" t="s">
        <v>3209</v>
      </c>
      <c r="E1680" s="83" t="s">
        <v>3210</v>
      </c>
      <c r="F1680" s="83" t="s">
        <v>7092</v>
      </c>
      <c r="G1680" s="83" t="s">
        <v>3907</v>
      </c>
      <c r="H1680" s="83">
        <v>19.399999999999999</v>
      </c>
      <c r="I1680" s="83" t="s">
        <v>3229</v>
      </c>
      <c r="J1680" s="83" t="s">
        <v>3238</v>
      </c>
      <c r="K1680" s="83" t="s">
        <v>3215</v>
      </c>
    </row>
    <row r="1681" spans="1:11" ht="51.75" x14ac:dyDescent="0.25">
      <c r="A1681" s="83" t="s">
        <v>2241</v>
      </c>
      <c r="B1681" s="83" t="s">
        <v>3208</v>
      </c>
      <c r="C1681" s="83" t="s">
        <v>3208</v>
      </c>
      <c r="D1681" s="83" t="s">
        <v>3713</v>
      </c>
      <c r="E1681" s="83" t="s">
        <v>3761</v>
      </c>
      <c r="F1681" s="83" t="s">
        <v>7093</v>
      </c>
      <c r="G1681" s="83" t="s">
        <v>3791</v>
      </c>
      <c r="H1681" s="83">
        <v>0</v>
      </c>
      <c r="I1681" s="83" t="s">
        <v>3229</v>
      </c>
      <c r="J1681" s="83" t="s">
        <v>3238</v>
      </c>
      <c r="K1681" s="83" t="s">
        <v>3215</v>
      </c>
    </row>
    <row r="1682" spans="1:11" x14ac:dyDescent="0.25">
      <c r="A1682" s="83" t="s">
        <v>7094</v>
      </c>
      <c r="B1682" s="83" t="s">
        <v>3208</v>
      </c>
      <c r="C1682" s="83" t="s">
        <v>3208</v>
      </c>
      <c r="D1682" s="83" t="s">
        <v>3209</v>
      </c>
      <c r="E1682" s="83" t="s">
        <v>3663</v>
      </c>
      <c r="F1682" s="83" t="s">
        <v>7095</v>
      </c>
      <c r="G1682" s="83" t="s">
        <v>7096</v>
      </c>
      <c r="H1682" s="83">
        <v>3</v>
      </c>
      <c r="I1682" s="83" t="s">
        <v>3208</v>
      </c>
      <c r="J1682" s="83" t="s">
        <v>3208</v>
      </c>
      <c r="K1682" s="83" t="s">
        <v>3208</v>
      </c>
    </row>
    <row r="1683" spans="1:11" ht="26.25" x14ac:dyDescent="0.25">
      <c r="A1683" s="83" t="s">
        <v>500</v>
      </c>
      <c r="B1683" s="83" t="s">
        <v>3208</v>
      </c>
      <c r="C1683" s="83" t="s">
        <v>3208</v>
      </c>
      <c r="D1683" s="83" t="s">
        <v>3209</v>
      </c>
      <c r="E1683" s="83" t="s">
        <v>3210</v>
      </c>
      <c r="F1683" s="83" t="s">
        <v>7097</v>
      </c>
      <c r="G1683" s="83" t="s">
        <v>3392</v>
      </c>
      <c r="H1683" s="83">
        <v>30</v>
      </c>
      <c r="I1683" s="83" t="s">
        <v>3229</v>
      </c>
      <c r="J1683" s="83" t="s">
        <v>3324</v>
      </c>
      <c r="K1683" s="83" t="s">
        <v>3215</v>
      </c>
    </row>
    <row r="1684" spans="1:11" ht="51.75" x14ac:dyDescent="0.25">
      <c r="A1684" s="83" t="s">
        <v>1742</v>
      </c>
      <c r="B1684" s="83" t="s">
        <v>7098</v>
      </c>
      <c r="C1684" s="83" t="s">
        <v>7099</v>
      </c>
      <c r="D1684" s="83" t="s">
        <v>3209</v>
      </c>
      <c r="E1684" s="83" t="s">
        <v>3246</v>
      </c>
      <c r="F1684" s="83" t="s">
        <v>7100</v>
      </c>
      <c r="G1684" s="83" t="s">
        <v>7101</v>
      </c>
      <c r="H1684" s="83">
        <v>28</v>
      </c>
      <c r="I1684" s="83" t="s">
        <v>3229</v>
      </c>
      <c r="J1684" s="83" t="s">
        <v>3337</v>
      </c>
      <c r="K1684" s="83" t="s">
        <v>3215</v>
      </c>
    </row>
    <row r="1685" spans="1:11" ht="26.25" x14ac:dyDescent="0.25">
      <c r="A1685" s="83" t="s">
        <v>7102</v>
      </c>
      <c r="B1685" s="83" t="s">
        <v>3208</v>
      </c>
      <c r="C1685" s="83" t="s">
        <v>3208</v>
      </c>
      <c r="D1685" s="83" t="s">
        <v>3209</v>
      </c>
      <c r="E1685" s="83" t="s">
        <v>3663</v>
      </c>
      <c r="F1685" s="83" t="s">
        <v>7103</v>
      </c>
      <c r="G1685" s="83" t="s">
        <v>4542</v>
      </c>
      <c r="H1685" s="83">
        <v>30</v>
      </c>
      <c r="I1685" s="83" t="s">
        <v>3208</v>
      </c>
      <c r="J1685" s="83" t="s">
        <v>3208</v>
      </c>
      <c r="K1685" s="83" t="s">
        <v>3208</v>
      </c>
    </row>
    <row r="1686" spans="1:11" ht="51.75" x14ac:dyDescent="0.25">
      <c r="A1686" s="83" t="s">
        <v>2268</v>
      </c>
      <c r="B1686" s="83" t="s">
        <v>3208</v>
      </c>
      <c r="C1686" s="83" t="s">
        <v>3208</v>
      </c>
      <c r="D1686" s="83" t="s">
        <v>3713</v>
      </c>
      <c r="E1686" s="83" t="s">
        <v>3761</v>
      </c>
      <c r="F1686" s="83" t="s">
        <v>6341</v>
      </c>
      <c r="G1686" s="83" t="s">
        <v>5391</v>
      </c>
      <c r="H1686" s="83">
        <v>0</v>
      </c>
      <c r="I1686" s="83" t="s">
        <v>3229</v>
      </c>
      <c r="J1686" s="83" t="s">
        <v>3289</v>
      </c>
      <c r="K1686" s="83" t="s">
        <v>3215</v>
      </c>
    </row>
    <row r="1687" spans="1:11" x14ac:dyDescent="0.25">
      <c r="A1687" s="83" t="s">
        <v>7104</v>
      </c>
      <c r="B1687" s="83" t="s">
        <v>3208</v>
      </c>
      <c r="C1687" s="83" t="s">
        <v>3208</v>
      </c>
      <c r="D1687" s="83" t="s">
        <v>3209</v>
      </c>
      <c r="E1687" s="83" t="s">
        <v>3663</v>
      </c>
      <c r="F1687" s="83" t="s">
        <v>7105</v>
      </c>
      <c r="G1687" s="83" t="s">
        <v>4369</v>
      </c>
      <c r="H1687" s="83">
        <v>14</v>
      </c>
      <c r="I1687" s="83" t="s">
        <v>3208</v>
      </c>
      <c r="J1687" s="83" t="s">
        <v>3208</v>
      </c>
      <c r="K1687" s="83" t="s">
        <v>3208</v>
      </c>
    </row>
    <row r="1688" spans="1:11" ht="26.25" x14ac:dyDescent="0.25">
      <c r="A1688" s="83" t="s">
        <v>7106</v>
      </c>
      <c r="B1688" s="83" t="s">
        <v>3208</v>
      </c>
      <c r="C1688" s="83" t="s">
        <v>3208</v>
      </c>
      <c r="D1688" s="83" t="s">
        <v>3713</v>
      </c>
      <c r="E1688" s="83" t="s">
        <v>3714</v>
      </c>
      <c r="F1688" s="83" t="s">
        <v>3875</v>
      </c>
      <c r="G1688" s="83" t="s">
        <v>4651</v>
      </c>
      <c r="H1688" s="83">
        <v>0</v>
      </c>
      <c r="I1688" s="83" t="s">
        <v>3208</v>
      </c>
      <c r="J1688" s="83" t="s">
        <v>3208</v>
      </c>
      <c r="K1688" s="83" t="s">
        <v>3208</v>
      </c>
    </row>
    <row r="1689" spans="1:11" ht="26.25" x14ac:dyDescent="0.25">
      <c r="A1689" s="83" t="s">
        <v>7107</v>
      </c>
      <c r="B1689" s="83" t="s">
        <v>3208</v>
      </c>
      <c r="C1689" s="83" t="s">
        <v>3208</v>
      </c>
      <c r="D1689" s="83" t="s">
        <v>3713</v>
      </c>
      <c r="E1689" s="83" t="s">
        <v>3714</v>
      </c>
      <c r="F1689" s="83" t="s">
        <v>3875</v>
      </c>
      <c r="G1689" s="83" t="s">
        <v>7108</v>
      </c>
      <c r="H1689" s="83">
        <v>0</v>
      </c>
      <c r="I1689" s="83" t="s">
        <v>3208</v>
      </c>
      <c r="J1689" s="83" t="s">
        <v>3208</v>
      </c>
      <c r="K1689" s="83" t="s">
        <v>3208</v>
      </c>
    </row>
    <row r="1690" spans="1:11" ht="26.25" x14ac:dyDescent="0.25">
      <c r="A1690" s="83" t="s">
        <v>577</v>
      </c>
      <c r="B1690" s="83" t="s">
        <v>3208</v>
      </c>
      <c r="C1690" s="83" t="s">
        <v>3208</v>
      </c>
      <c r="D1690" s="83" t="s">
        <v>3209</v>
      </c>
      <c r="E1690" s="83" t="s">
        <v>3210</v>
      </c>
      <c r="F1690" s="83" t="s">
        <v>7109</v>
      </c>
      <c r="G1690" s="83" t="s">
        <v>7110</v>
      </c>
      <c r="H1690" s="83">
        <v>35</v>
      </c>
      <c r="I1690" s="83" t="s">
        <v>3213</v>
      </c>
      <c r="J1690" s="83" t="s">
        <v>3896</v>
      </c>
      <c r="K1690" s="83" t="s">
        <v>3215</v>
      </c>
    </row>
    <row r="1691" spans="1:11" ht="51.75" x14ac:dyDescent="0.25">
      <c r="A1691" s="83" t="s">
        <v>1373</v>
      </c>
      <c r="B1691" s="83" t="s">
        <v>7111</v>
      </c>
      <c r="C1691" s="83" t="s">
        <v>7112</v>
      </c>
      <c r="D1691" s="83" t="s">
        <v>3209</v>
      </c>
      <c r="E1691" s="83" t="s">
        <v>3246</v>
      </c>
      <c r="F1691" s="83" t="s">
        <v>7113</v>
      </c>
      <c r="G1691" s="83" t="s">
        <v>5008</v>
      </c>
      <c r="H1691" s="83">
        <v>100</v>
      </c>
      <c r="I1691" s="83" t="s">
        <v>3229</v>
      </c>
      <c r="J1691" s="83" t="s">
        <v>3289</v>
      </c>
      <c r="K1691" s="83" t="s">
        <v>3215</v>
      </c>
    </row>
    <row r="1692" spans="1:11" ht="51.75" x14ac:dyDescent="0.25">
      <c r="A1692" s="83" t="s">
        <v>893</v>
      </c>
      <c r="B1692" s="83" t="s">
        <v>7114</v>
      </c>
      <c r="C1692" s="83" t="s">
        <v>7115</v>
      </c>
      <c r="D1692" s="83" t="s">
        <v>3209</v>
      </c>
      <c r="E1692" s="83" t="s">
        <v>3246</v>
      </c>
      <c r="F1692" s="83" t="s">
        <v>4792</v>
      </c>
      <c r="G1692" s="83" t="s">
        <v>4793</v>
      </c>
      <c r="H1692" s="83">
        <v>115</v>
      </c>
      <c r="I1692" s="83" t="s">
        <v>3213</v>
      </c>
      <c r="J1692" s="83" t="s">
        <v>3214</v>
      </c>
      <c r="K1692" s="83" t="s">
        <v>3215</v>
      </c>
    </row>
    <row r="1693" spans="1:11" ht="51.75" x14ac:dyDescent="0.25">
      <c r="A1693" s="83" t="s">
        <v>757</v>
      </c>
      <c r="B1693" s="83" t="s">
        <v>3208</v>
      </c>
      <c r="C1693" s="83" t="s">
        <v>7116</v>
      </c>
      <c r="D1693" s="83" t="s">
        <v>3718</v>
      </c>
      <c r="E1693" s="83" t="s">
        <v>3727</v>
      </c>
      <c r="F1693" s="83" t="s">
        <v>7117</v>
      </c>
      <c r="G1693" s="83" t="s">
        <v>7118</v>
      </c>
      <c r="H1693" s="83">
        <v>3.1</v>
      </c>
      <c r="I1693" s="83" t="s">
        <v>3229</v>
      </c>
      <c r="J1693" s="83" t="s">
        <v>3238</v>
      </c>
      <c r="K1693" s="83" t="s">
        <v>3215</v>
      </c>
    </row>
    <row r="1694" spans="1:11" ht="26.25" x14ac:dyDescent="0.25">
      <c r="A1694" s="83" t="s">
        <v>7119</v>
      </c>
      <c r="B1694" s="83" t="s">
        <v>3208</v>
      </c>
      <c r="C1694" s="83" t="s">
        <v>3208</v>
      </c>
      <c r="D1694" s="83" t="s">
        <v>3713</v>
      </c>
      <c r="E1694" s="83" t="s">
        <v>3714</v>
      </c>
      <c r="F1694" s="83" t="s">
        <v>7120</v>
      </c>
      <c r="G1694" s="83" t="s">
        <v>7121</v>
      </c>
      <c r="H1694" s="83">
        <v>0</v>
      </c>
      <c r="I1694" s="83" t="s">
        <v>3208</v>
      </c>
      <c r="J1694" s="83" t="s">
        <v>3208</v>
      </c>
      <c r="K1694" s="83" t="s">
        <v>3208</v>
      </c>
    </row>
    <row r="1695" spans="1:11" ht="51.75" x14ac:dyDescent="0.25">
      <c r="A1695" s="83" t="s">
        <v>2069</v>
      </c>
      <c r="B1695" s="83" t="s">
        <v>3208</v>
      </c>
      <c r="C1695" s="83" t="s">
        <v>3208</v>
      </c>
      <c r="D1695" s="83" t="s">
        <v>3713</v>
      </c>
      <c r="E1695" s="83" t="s">
        <v>3761</v>
      </c>
      <c r="F1695" s="83" t="s">
        <v>3886</v>
      </c>
      <c r="G1695" s="83" t="s">
        <v>3362</v>
      </c>
      <c r="H1695" s="83">
        <v>0</v>
      </c>
      <c r="I1695" s="83" t="s">
        <v>3229</v>
      </c>
      <c r="J1695" s="83" t="s">
        <v>3230</v>
      </c>
      <c r="K1695" s="83" t="s">
        <v>3215</v>
      </c>
    </row>
    <row r="1696" spans="1:11" ht="51.75" x14ac:dyDescent="0.25">
      <c r="A1696" s="83" t="s">
        <v>2341</v>
      </c>
      <c r="B1696" s="83" t="s">
        <v>3208</v>
      </c>
      <c r="C1696" s="83" t="s">
        <v>3208</v>
      </c>
      <c r="D1696" s="83" t="s">
        <v>3713</v>
      </c>
      <c r="E1696" s="83" t="s">
        <v>3761</v>
      </c>
      <c r="F1696" s="83" t="s">
        <v>3886</v>
      </c>
      <c r="G1696" s="83" t="s">
        <v>3362</v>
      </c>
      <c r="H1696" s="83">
        <v>0</v>
      </c>
      <c r="I1696" s="83" t="s">
        <v>3229</v>
      </c>
      <c r="J1696" s="83" t="s">
        <v>3230</v>
      </c>
      <c r="K1696" s="83" t="s">
        <v>3215</v>
      </c>
    </row>
    <row r="1697" spans="1:11" ht="141" x14ac:dyDescent="0.25">
      <c r="A1697" s="83" t="s">
        <v>84</v>
      </c>
      <c r="B1697" s="83" t="s">
        <v>7122</v>
      </c>
      <c r="C1697" s="83" t="s">
        <v>3208</v>
      </c>
      <c r="D1697" s="83" t="s">
        <v>3209</v>
      </c>
      <c r="E1697" s="83" t="s">
        <v>3226</v>
      </c>
      <c r="F1697" s="83" t="s">
        <v>7123</v>
      </c>
      <c r="G1697" s="83" t="s">
        <v>6377</v>
      </c>
      <c r="H1697" s="83">
        <v>4900</v>
      </c>
      <c r="I1697" s="83" t="s">
        <v>3213</v>
      </c>
      <c r="J1697" s="83" t="s">
        <v>7124</v>
      </c>
      <c r="K1697" s="83" t="s">
        <v>3215</v>
      </c>
    </row>
    <row r="1698" spans="1:11" ht="51.75" x14ac:dyDescent="0.25">
      <c r="A1698" s="83" t="s">
        <v>92</v>
      </c>
      <c r="B1698" s="83" t="s">
        <v>4447</v>
      </c>
      <c r="C1698" s="83" t="s">
        <v>7125</v>
      </c>
      <c r="D1698" s="83" t="s">
        <v>3209</v>
      </c>
      <c r="E1698" s="83" t="s">
        <v>3246</v>
      </c>
      <c r="F1698" s="83" t="s">
        <v>4449</v>
      </c>
      <c r="G1698" s="83" t="s">
        <v>3838</v>
      </c>
      <c r="H1698" s="83">
        <v>50</v>
      </c>
      <c r="I1698" s="83" t="s">
        <v>3213</v>
      </c>
      <c r="J1698" s="83" t="s">
        <v>3214</v>
      </c>
      <c r="K1698" s="83" t="s">
        <v>3215</v>
      </c>
    </row>
    <row r="1699" spans="1:11" ht="51.75" x14ac:dyDescent="0.25">
      <c r="A1699" s="83" t="s">
        <v>670</v>
      </c>
      <c r="B1699" s="83" t="s">
        <v>3208</v>
      </c>
      <c r="C1699" s="83" t="s">
        <v>3208</v>
      </c>
      <c r="D1699" s="83" t="s">
        <v>3209</v>
      </c>
      <c r="E1699" s="83" t="s">
        <v>3210</v>
      </c>
      <c r="F1699" s="83" t="s">
        <v>7126</v>
      </c>
      <c r="G1699" s="83" t="s">
        <v>6402</v>
      </c>
      <c r="H1699" s="83">
        <v>24.5</v>
      </c>
      <c r="I1699" s="83" t="s">
        <v>3213</v>
      </c>
      <c r="J1699" s="83" t="s">
        <v>3214</v>
      </c>
      <c r="K1699" s="83" t="s">
        <v>3215</v>
      </c>
    </row>
    <row r="1700" spans="1:11" ht="51.75" x14ac:dyDescent="0.25">
      <c r="A1700" s="83" t="s">
        <v>80</v>
      </c>
      <c r="B1700" s="83" t="s">
        <v>3208</v>
      </c>
      <c r="C1700" s="83" t="s">
        <v>3208</v>
      </c>
      <c r="D1700" s="83" t="s">
        <v>3713</v>
      </c>
      <c r="E1700" s="83" t="s">
        <v>3761</v>
      </c>
      <c r="F1700" s="83" t="s">
        <v>7127</v>
      </c>
      <c r="G1700" s="83" t="s">
        <v>7128</v>
      </c>
      <c r="H1700" s="83">
        <v>0</v>
      </c>
      <c r="I1700" s="83" t="s">
        <v>3229</v>
      </c>
      <c r="J1700" s="83" t="s">
        <v>3371</v>
      </c>
      <c r="K1700" s="83" t="s">
        <v>3215</v>
      </c>
    </row>
    <row r="1701" spans="1:11" ht="51.75" x14ac:dyDescent="0.25">
      <c r="A1701" s="83" t="s">
        <v>2342</v>
      </c>
      <c r="B1701" s="83" t="s">
        <v>3208</v>
      </c>
      <c r="C1701" s="83" t="s">
        <v>3208</v>
      </c>
      <c r="D1701" s="83" t="s">
        <v>3713</v>
      </c>
      <c r="E1701" s="83" t="s">
        <v>3761</v>
      </c>
      <c r="F1701" s="83" t="s">
        <v>3886</v>
      </c>
      <c r="G1701" s="83" t="s">
        <v>3362</v>
      </c>
      <c r="H1701" s="83">
        <v>0</v>
      </c>
      <c r="I1701" s="83" t="s">
        <v>3229</v>
      </c>
      <c r="J1701" s="83" t="s">
        <v>3230</v>
      </c>
      <c r="K1701" s="83" t="s">
        <v>3215</v>
      </c>
    </row>
    <row r="1702" spans="1:11" ht="64.5" x14ac:dyDescent="0.25">
      <c r="A1702" s="83" t="s">
        <v>7129</v>
      </c>
      <c r="B1702" s="83" t="s">
        <v>3208</v>
      </c>
      <c r="C1702" s="83" t="s">
        <v>3208</v>
      </c>
      <c r="D1702" s="83" t="s">
        <v>3713</v>
      </c>
      <c r="E1702" s="83" t="s">
        <v>3714</v>
      </c>
      <c r="F1702" s="83" t="s">
        <v>7130</v>
      </c>
      <c r="G1702" s="83" t="s">
        <v>7131</v>
      </c>
      <c r="H1702" s="83">
        <v>0</v>
      </c>
      <c r="I1702" s="83" t="s">
        <v>3229</v>
      </c>
      <c r="J1702" s="83" t="s">
        <v>3380</v>
      </c>
      <c r="K1702" s="83" t="s">
        <v>3215</v>
      </c>
    </row>
    <row r="1703" spans="1:11" ht="64.5" x14ac:dyDescent="0.25">
      <c r="A1703" s="83" t="s">
        <v>7132</v>
      </c>
      <c r="B1703" s="83" t="s">
        <v>3208</v>
      </c>
      <c r="C1703" s="83" t="s">
        <v>3208</v>
      </c>
      <c r="D1703" s="83" t="s">
        <v>3713</v>
      </c>
      <c r="E1703" s="83" t="s">
        <v>3714</v>
      </c>
      <c r="F1703" s="83" t="s">
        <v>7133</v>
      </c>
      <c r="G1703" s="83" t="s">
        <v>7134</v>
      </c>
      <c r="H1703" s="83">
        <v>0</v>
      </c>
      <c r="I1703" s="83" t="s">
        <v>3213</v>
      </c>
      <c r="J1703" s="83" t="s">
        <v>3219</v>
      </c>
      <c r="K1703" s="83" t="s">
        <v>3215</v>
      </c>
    </row>
    <row r="1704" spans="1:11" ht="26.25" x14ac:dyDescent="0.25">
      <c r="A1704" s="83" t="s">
        <v>7135</v>
      </c>
      <c r="B1704" s="83" t="s">
        <v>3208</v>
      </c>
      <c r="C1704" s="83" t="s">
        <v>3208</v>
      </c>
      <c r="D1704" s="83" t="s">
        <v>3713</v>
      </c>
      <c r="E1704" s="83" t="s">
        <v>3714</v>
      </c>
      <c r="F1704" s="83" t="s">
        <v>3909</v>
      </c>
      <c r="G1704" s="83" t="s">
        <v>3910</v>
      </c>
      <c r="H1704" s="83">
        <v>0</v>
      </c>
      <c r="I1704" s="83" t="s">
        <v>3208</v>
      </c>
      <c r="J1704" s="83" t="s">
        <v>3208</v>
      </c>
      <c r="K1704" s="83" t="s">
        <v>3208</v>
      </c>
    </row>
    <row r="1705" spans="1:11" ht="26.25" x14ac:dyDescent="0.25">
      <c r="A1705" s="83" t="s">
        <v>681</v>
      </c>
      <c r="B1705" s="83" t="s">
        <v>3208</v>
      </c>
      <c r="C1705" s="83" t="s">
        <v>7136</v>
      </c>
      <c r="D1705" s="83" t="s">
        <v>3718</v>
      </c>
      <c r="E1705" s="83" t="s">
        <v>3727</v>
      </c>
      <c r="F1705" s="83" t="s">
        <v>7137</v>
      </c>
      <c r="G1705" s="83" t="s">
        <v>7138</v>
      </c>
      <c r="H1705" s="83">
        <v>10</v>
      </c>
      <c r="I1705" s="83" t="s">
        <v>3229</v>
      </c>
      <c r="J1705" s="83" t="s">
        <v>3311</v>
      </c>
      <c r="K1705" s="83" t="s">
        <v>3215</v>
      </c>
    </row>
    <row r="1706" spans="1:11" ht="26.25" x14ac:dyDescent="0.25">
      <c r="A1706" s="83" t="s">
        <v>7139</v>
      </c>
      <c r="B1706" s="83" t="s">
        <v>3208</v>
      </c>
      <c r="C1706" s="83" t="s">
        <v>3208</v>
      </c>
      <c r="D1706" s="83" t="s">
        <v>3713</v>
      </c>
      <c r="E1706" s="83" t="s">
        <v>3714</v>
      </c>
      <c r="F1706" s="83" t="s">
        <v>7140</v>
      </c>
      <c r="G1706" s="83" t="s">
        <v>7141</v>
      </c>
      <c r="H1706" s="83">
        <v>0</v>
      </c>
      <c r="I1706" s="83" t="s">
        <v>3213</v>
      </c>
      <c r="J1706" s="83" t="s">
        <v>3851</v>
      </c>
      <c r="K1706" s="83" t="s">
        <v>3215</v>
      </c>
    </row>
    <row r="1707" spans="1:11" ht="51.75" x14ac:dyDescent="0.25">
      <c r="A1707" s="83" t="s">
        <v>549</v>
      </c>
      <c r="B1707" s="83" t="s">
        <v>3208</v>
      </c>
      <c r="C1707" s="83" t="s">
        <v>3208</v>
      </c>
      <c r="D1707" s="83" t="s">
        <v>3209</v>
      </c>
      <c r="E1707" s="83" t="s">
        <v>3210</v>
      </c>
      <c r="F1707" s="83" t="s">
        <v>7142</v>
      </c>
      <c r="G1707" s="83" t="s">
        <v>7143</v>
      </c>
      <c r="H1707" s="83">
        <v>45</v>
      </c>
      <c r="I1707" s="83" t="s">
        <v>3213</v>
      </c>
      <c r="J1707" s="83" t="s">
        <v>3271</v>
      </c>
      <c r="K1707" s="83" t="s">
        <v>3215</v>
      </c>
    </row>
    <row r="1708" spans="1:11" ht="51.75" x14ac:dyDescent="0.25">
      <c r="A1708" s="83" t="s">
        <v>618</v>
      </c>
      <c r="B1708" s="83" t="s">
        <v>3208</v>
      </c>
      <c r="C1708" s="83" t="s">
        <v>3208</v>
      </c>
      <c r="D1708" s="83" t="s">
        <v>3209</v>
      </c>
      <c r="E1708" s="83" t="s">
        <v>3210</v>
      </c>
      <c r="F1708" s="83" t="s">
        <v>7144</v>
      </c>
      <c r="G1708" s="83" t="s">
        <v>4815</v>
      </c>
      <c r="H1708" s="83">
        <v>10.1</v>
      </c>
      <c r="I1708" s="83" t="s">
        <v>3229</v>
      </c>
      <c r="J1708" s="83" t="s">
        <v>3238</v>
      </c>
      <c r="K1708" s="83" t="s">
        <v>3215</v>
      </c>
    </row>
    <row r="1709" spans="1:11" ht="26.25" x14ac:dyDescent="0.25">
      <c r="A1709" s="83" t="s">
        <v>7145</v>
      </c>
      <c r="B1709" s="83" t="s">
        <v>3208</v>
      </c>
      <c r="C1709" s="83" t="s">
        <v>3208</v>
      </c>
      <c r="D1709" s="83" t="s">
        <v>3713</v>
      </c>
      <c r="E1709" s="83" t="s">
        <v>3714</v>
      </c>
      <c r="F1709" s="83" t="s">
        <v>3909</v>
      </c>
      <c r="G1709" s="83" t="s">
        <v>3910</v>
      </c>
      <c r="H1709" s="83">
        <v>0</v>
      </c>
      <c r="I1709" s="83" t="s">
        <v>3208</v>
      </c>
      <c r="J1709" s="83" t="s">
        <v>3208</v>
      </c>
      <c r="K1709" s="83" t="s">
        <v>3208</v>
      </c>
    </row>
    <row r="1710" spans="1:11" ht="51.75" x14ac:dyDescent="0.25">
      <c r="A1710" s="83" t="s">
        <v>2592</v>
      </c>
      <c r="B1710" s="83" t="s">
        <v>3208</v>
      </c>
      <c r="C1710" s="83" t="s">
        <v>3208</v>
      </c>
      <c r="D1710" s="83" t="s">
        <v>3713</v>
      </c>
      <c r="E1710" s="83" t="s">
        <v>3761</v>
      </c>
      <c r="F1710" s="83" t="s">
        <v>3854</v>
      </c>
      <c r="G1710" s="83" t="s">
        <v>3914</v>
      </c>
      <c r="H1710" s="83">
        <v>0</v>
      </c>
      <c r="I1710" s="83" t="s">
        <v>3229</v>
      </c>
      <c r="J1710" s="83" t="s">
        <v>3238</v>
      </c>
      <c r="K1710" s="83" t="s">
        <v>3215</v>
      </c>
    </row>
    <row r="1711" spans="1:11" ht="26.25" x14ac:dyDescent="0.25">
      <c r="A1711" s="83" t="s">
        <v>7146</v>
      </c>
      <c r="B1711" s="83" t="s">
        <v>3208</v>
      </c>
      <c r="C1711" s="83" t="s">
        <v>3208</v>
      </c>
      <c r="D1711" s="83" t="s">
        <v>3713</v>
      </c>
      <c r="E1711" s="83" t="s">
        <v>3714</v>
      </c>
      <c r="F1711" s="83" t="s">
        <v>7120</v>
      </c>
      <c r="G1711" s="83" t="s">
        <v>7147</v>
      </c>
      <c r="H1711" s="83">
        <v>0</v>
      </c>
      <c r="I1711" s="83" t="s">
        <v>3208</v>
      </c>
      <c r="J1711" s="83" t="s">
        <v>3208</v>
      </c>
      <c r="K1711" s="83" t="s">
        <v>3208</v>
      </c>
    </row>
    <row r="1712" spans="1:11" ht="26.25" x14ac:dyDescent="0.25">
      <c r="A1712" s="83" t="s">
        <v>7148</v>
      </c>
      <c r="B1712" s="83" t="s">
        <v>3208</v>
      </c>
      <c r="C1712" s="83" t="s">
        <v>3208</v>
      </c>
      <c r="D1712" s="83" t="s">
        <v>3209</v>
      </c>
      <c r="E1712" s="83" t="s">
        <v>3663</v>
      </c>
      <c r="F1712" s="83" t="s">
        <v>6376</v>
      </c>
      <c r="G1712" s="83" t="s">
        <v>6377</v>
      </c>
      <c r="H1712" s="83">
        <v>5356.8</v>
      </c>
      <c r="I1712" s="83" t="s">
        <v>3208</v>
      </c>
      <c r="J1712" s="83" t="s">
        <v>3208</v>
      </c>
      <c r="K1712" s="83" t="s">
        <v>3208</v>
      </c>
    </row>
    <row r="1713" spans="1:11" x14ac:dyDescent="0.25">
      <c r="A1713" s="83" t="s">
        <v>7149</v>
      </c>
      <c r="B1713" s="83" t="s">
        <v>7150</v>
      </c>
      <c r="C1713" s="83" t="s">
        <v>3208</v>
      </c>
      <c r="D1713" s="83" t="s">
        <v>3209</v>
      </c>
      <c r="E1713" s="83" t="s">
        <v>3702</v>
      </c>
      <c r="F1713" s="83" t="s">
        <v>7151</v>
      </c>
      <c r="G1713" s="83" t="s">
        <v>4952</v>
      </c>
      <c r="H1713" s="83">
        <v>77</v>
      </c>
      <c r="I1713" s="83" t="s">
        <v>3208</v>
      </c>
      <c r="J1713" s="83" t="s">
        <v>3208</v>
      </c>
      <c r="K1713" s="83" t="s">
        <v>3208</v>
      </c>
    </row>
    <row r="1714" spans="1:11" ht="51.75" x14ac:dyDescent="0.25">
      <c r="A1714" s="83" t="s">
        <v>819</v>
      </c>
      <c r="B1714" s="83" t="s">
        <v>3208</v>
      </c>
      <c r="C1714" s="83" t="s">
        <v>3208</v>
      </c>
      <c r="D1714" s="83" t="s">
        <v>3209</v>
      </c>
      <c r="E1714" s="83" t="s">
        <v>3210</v>
      </c>
      <c r="F1714" s="83" t="s">
        <v>7152</v>
      </c>
      <c r="G1714" s="83" t="s">
        <v>5200</v>
      </c>
      <c r="H1714" s="83">
        <v>12.8</v>
      </c>
      <c r="I1714" s="83" t="s">
        <v>3229</v>
      </c>
      <c r="J1714" s="83" t="s">
        <v>3230</v>
      </c>
      <c r="K1714" s="83" t="s">
        <v>3215</v>
      </c>
    </row>
    <row r="1715" spans="1:11" ht="51.75" x14ac:dyDescent="0.25">
      <c r="A1715" s="83" t="s">
        <v>2282</v>
      </c>
      <c r="B1715" s="83" t="s">
        <v>3208</v>
      </c>
      <c r="C1715" s="83" t="s">
        <v>3208</v>
      </c>
      <c r="D1715" s="83" t="s">
        <v>3713</v>
      </c>
      <c r="E1715" s="83" t="s">
        <v>3761</v>
      </c>
      <c r="F1715" s="83" t="s">
        <v>3926</v>
      </c>
      <c r="G1715" s="83" t="s">
        <v>3927</v>
      </c>
      <c r="H1715" s="83">
        <v>0</v>
      </c>
      <c r="I1715" s="83" t="s">
        <v>3213</v>
      </c>
      <c r="J1715" s="83" t="s">
        <v>3257</v>
      </c>
      <c r="K1715" s="83" t="s">
        <v>3215</v>
      </c>
    </row>
    <row r="1716" spans="1:11" ht="51.75" x14ac:dyDescent="0.25">
      <c r="A1716" s="83" t="s">
        <v>2700</v>
      </c>
      <c r="B1716" s="83" t="s">
        <v>3208</v>
      </c>
      <c r="C1716" s="83" t="s">
        <v>3208</v>
      </c>
      <c r="D1716" s="83" t="s">
        <v>3713</v>
      </c>
      <c r="E1716" s="83" t="s">
        <v>3761</v>
      </c>
      <c r="F1716" s="83" t="s">
        <v>3854</v>
      </c>
      <c r="G1716" s="83" t="s">
        <v>4781</v>
      </c>
      <c r="H1716" s="83">
        <v>0</v>
      </c>
      <c r="I1716" s="83" t="s">
        <v>3229</v>
      </c>
      <c r="J1716" s="83" t="s">
        <v>3238</v>
      </c>
      <c r="K1716" s="83" t="s">
        <v>3215</v>
      </c>
    </row>
    <row r="1717" spans="1:11" ht="51.75" x14ac:dyDescent="0.25">
      <c r="A1717" s="83" t="s">
        <v>669</v>
      </c>
      <c r="B1717" s="83" t="s">
        <v>7153</v>
      </c>
      <c r="C1717" s="83" t="s">
        <v>3208</v>
      </c>
      <c r="D1717" s="83" t="s">
        <v>3209</v>
      </c>
      <c r="E1717" s="83" t="s">
        <v>3226</v>
      </c>
      <c r="F1717" s="83" t="s">
        <v>7154</v>
      </c>
      <c r="G1717" s="83" t="s">
        <v>4047</v>
      </c>
      <c r="H1717" s="83">
        <v>5</v>
      </c>
      <c r="I1717" s="83" t="s">
        <v>3229</v>
      </c>
      <c r="J1717" s="83" t="s">
        <v>3230</v>
      </c>
      <c r="K1717" s="83" t="s">
        <v>3215</v>
      </c>
    </row>
    <row r="1718" spans="1:11" ht="51.75" x14ac:dyDescent="0.25">
      <c r="A1718" s="83" t="s">
        <v>745</v>
      </c>
      <c r="B1718" s="83" t="s">
        <v>3208</v>
      </c>
      <c r="C1718" s="83" t="s">
        <v>3208</v>
      </c>
      <c r="D1718" s="83" t="s">
        <v>3209</v>
      </c>
      <c r="E1718" s="83" t="s">
        <v>3210</v>
      </c>
      <c r="F1718" s="83" t="s">
        <v>3859</v>
      </c>
      <c r="G1718" s="83" t="s">
        <v>3900</v>
      </c>
      <c r="H1718" s="83">
        <v>21.5</v>
      </c>
      <c r="I1718" s="83" t="s">
        <v>3213</v>
      </c>
      <c r="J1718" s="83" t="s">
        <v>3538</v>
      </c>
      <c r="K1718" s="83" t="s">
        <v>3215</v>
      </c>
    </row>
    <row r="1719" spans="1:11" ht="64.5" x14ac:dyDescent="0.25">
      <c r="A1719" s="83" t="s">
        <v>1889</v>
      </c>
      <c r="B1719" s="83" t="s">
        <v>3208</v>
      </c>
      <c r="C1719" s="83" t="s">
        <v>3208</v>
      </c>
      <c r="D1719" s="83" t="s">
        <v>3713</v>
      </c>
      <c r="E1719" s="83" t="s">
        <v>3761</v>
      </c>
      <c r="F1719" s="83" t="s">
        <v>7155</v>
      </c>
      <c r="G1719" s="83" t="s">
        <v>6051</v>
      </c>
      <c r="H1719" s="83">
        <v>0</v>
      </c>
      <c r="I1719" s="83" t="s">
        <v>3213</v>
      </c>
      <c r="J1719" s="83" t="s">
        <v>3262</v>
      </c>
      <c r="K1719" s="83" t="s">
        <v>3215</v>
      </c>
    </row>
    <row r="1720" spans="1:11" ht="51.75" x14ac:dyDescent="0.25">
      <c r="A1720" s="83" t="s">
        <v>2245</v>
      </c>
      <c r="B1720" s="83" t="s">
        <v>3208</v>
      </c>
      <c r="C1720" s="83" t="s">
        <v>3208</v>
      </c>
      <c r="D1720" s="83" t="s">
        <v>3713</v>
      </c>
      <c r="E1720" s="83" t="s">
        <v>3761</v>
      </c>
      <c r="F1720" s="83" t="s">
        <v>3854</v>
      </c>
      <c r="G1720" s="83" t="s">
        <v>4421</v>
      </c>
      <c r="H1720" s="83">
        <v>0</v>
      </c>
      <c r="I1720" s="83" t="s">
        <v>3229</v>
      </c>
      <c r="J1720" s="83" t="s">
        <v>3238</v>
      </c>
      <c r="K1720" s="83" t="s">
        <v>3215</v>
      </c>
    </row>
    <row r="1721" spans="1:11" ht="26.25" x14ac:dyDescent="0.25">
      <c r="A1721" s="83" t="s">
        <v>680</v>
      </c>
      <c r="B1721" s="83" t="s">
        <v>3208</v>
      </c>
      <c r="C1721" s="83" t="s">
        <v>7156</v>
      </c>
      <c r="D1721" s="83" t="s">
        <v>3718</v>
      </c>
      <c r="E1721" s="83" t="s">
        <v>3727</v>
      </c>
      <c r="F1721" s="83" t="s">
        <v>4806</v>
      </c>
      <c r="G1721" s="83" t="s">
        <v>7157</v>
      </c>
      <c r="H1721" s="83">
        <v>10</v>
      </c>
      <c r="I1721" s="83" t="s">
        <v>3229</v>
      </c>
      <c r="J1721" s="83" t="s">
        <v>3311</v>
      </c>
      <c r="K1721" s="83" t="s">
        <v>3215</v>
      </c>
    </row>
    <row r="1722" spans="1:11" ht="64.5" x14ac:dyDescent="0.25">
      <c r="A1722" s="83" t="s">
        <v>2533</v>
      </c>
      <c r="B1722" s="83" t="s">
        <v>3208</v>
      </c>
      <c r="C1722" s="83" t="s">
        <v>3208</v>
      </c>
      <c r="D1722" s="83" t="s">
        <v>3713</v>
      </c>
      <c r="E1722" s="83" t="s">
        <v>3761</v>
      </c>
      <c r="F1722" s="83" t="s">
        <v>4013</v>
      </c>
      <c r="G1722" s="83" t="s">
        <v>3904</v>
      </c>
      <c r="H1722" s="83">
        <v>0</v>
      </c>
      <c r="I1722" s="83" t="s">
        <v>3213</v>
      </c>
      <c r="J1722" s="83" t="s">
        <v>3413</v>
      </c>
      <c r="K1722" s="83" t="s">
        <v>3215</v>
      </c>
    </row>
    <row r="1723" spans="1:11" ht="51.75" x14ac:dyDescent="0.25">
      <c r="A1723" s="83" t="s">
        <v>2364</v>
      </c>
      <c r="B1723" s="83" t="s">
        <v>3208</v>
      </c>
      <c r="C1723" s="83" t="s">
        <v>3208</v>
      </c>
      <c r="D1723" s="83" t="s">
        <v>3713</v>
      </c>
      <c r="E1723" s="83" t="s">
        <v>3761</v>
      </c>
      <c r="F1723" s="83" t="s">
        <v>3901</v>
      </c>
      <c r="G1723" s="83" t="s">
        <v>5113</v>
      </c>
      <c r="H1723" s="83">
        <v>0</v>
      </c>
      <c r="I1723" s="83" t="s">
        <v>3229</v>
      </c>
      <c r="J1723" s="83" t="s">
        <v>3289</v>
      </c>
      <c r="K1723" s="83" t="s">
        <v>3215</v>
      </c>
    </row>
    <row r="1724" spans="1:11" ht="51.75" x14ac:dyDescent="0.25">
      <c r="A1724" s="83" t="s">
        <v>2551</v>
      </c>
      <c r="B1724" s="83" t="s">
        <v>3208</v>
      </c>
      <c r="C1724" s="83" t="s">
        <v>3208</v>
      </c>
      <c r="D1724" s="83" t="s">
        <v>3713</v>
      </c>
      <c r="E1724" s="83" t="s">
        <v>3761</v>
      </c>
      <c r="F1724" s="83" t="s">
        <v>3886</v>
      </c>
      <c r="G1724" s="83" t="s">
        <v>3520</v>
      </c>
      <c r="H1724" s="83">
        <v>0</v>
      </c>
      <c r="I1724" s="83" t="s">
        <v>3229</v>
      </c>
      <c r="J1724" s="83" t="s">
        <v>3521</v>
      </c>
      <c r="K1724" s="83" t="s">
        <v>3215</v>
      </c>
    </row>
    <row r="1725" spans="1:11" ht="51.75" x14ac:dyDescent="0.25">
      <c r="A1725" s="83" t="s">
        <v>2556</v>
      </c>
      <c r="B1725" s="83" t="s">
        <v>3208</v>
      </c>
      <c r="C1725" s="83" t="s">
        <v>3208</v>
      </c>
      <c r="D1725" s="83" t="s">
        <v>3713</v>
      </c>
      <c r="E1725" s="83" t="s">
        <v>3761</v>
      </c>
      <c r="F1725" s="83" t="s">
        <v>3886</v>
      </c>
      <c r="G1725" s="83" t="s">
        <v>3520</v>
      </c>
      <c r="H1725" s="83">
        <v>0</v>
      </c>
      <c r="I1725" s="83" t="s">
        <v>3229</v>
      </c>
      <c r="J1725" s="83" t="s">
        <v>3521</v>
      </c>
      <c r="K1725" s="83" t="s">
        <v>3215</v>
      </c>
    </row>
    <row r="1726" spans="1:11" ht="26.25" x14ac:dyDescent="0.25">
      <c r="A1726" s="83" t="s">
        <v>7158</v>
      </c>
      <c r="B1726" s="83" t="s">
        <v>3208</v>
      </c>
      <c r="C1726" s="83" t="s">
        <v>3208</v>
      </c>
      <c r="D1726" s="83" t="s">
        <v>3718</v>
      </c>
      <c r="E1726" s="83" t="s">
        <v>4248</v>
      </c>
      <c r="F1726" s="83" t="s">
        <v>3985</v>
      </c>
      <c r="G1726" s="83" t="s">
        <v>5683</v>
      </c>
      <c r="H1726" s="83">
        <v>2</v>
      </c>
      <c r="I1726" s="83" t="s">
        <v>3208</v>
      </c>
      <c r="J1726" s="83" t="s">
        <v>3208</v>
      </c>
      <c r="K1726" s="83" t="s">
        <v>3208</v>
      </c>
    </row>
    <row r="1727" spans="1:11" ht="26.25" x14ac:dyDescent="0.25">
      <c r="A1727" s="83" t="s">
        <v>7159</v>
      </c>
      <c r="B1727" s="83" t="s">
        <v>3208</v>
      </c>
      <c r="C1727" s="83" t="s">
        <v>3208</v>
      </c>
      <c r="D1727" s="83" t="s">
        <v>3965</v>
      </c>
      <c r="E1727" s="83" t="s">
        <v>3966</v>
      </c>
      <c r="F1727" s="83" t="s">
        <v>5659</v>
      </c>
      <c r="G1727" s="83" t="s">
        <v>7160</v>
      </c>
      <c r="H1727" s="83">
        <v>0</v>
      </c>
      <c r="I1727" s="83" t="s">
        <v>3213</v>
      </c>
      <c r="J1727" s="83" t="s">
        <v>3467</v>
      </c>
      <c r="K1727" s="83" t="s">
        <v>3215</v>
      </c>
    </row>
    <row r="1728" spans="1:11" ht="26.25" x14ac:dyDescent="0.25">
      <c r="A1728" s="83" t="s">
        <v>2307</v>
      </c>
      <c r="B1728" s="83" t="s">
        <v>3208</v>
      </c>
      <c r="C1728" s="83" t="s">
        <v>3208</v>
      </c>
      <c r="D1728" s="83" t="s">
        <v>3713</v>
      </c>
      <c r="E1728" s="83" t="s">
        <v>3761</v>
      </c>
      <c r="F1728" s="83" t="s">
        <v>6438</v>
      </c>
      <c r="G1728" s="83" t="s">
        <v>4191</v>
      </c>
      <c r="H1728" s="83">
        <v>0</v>
      </c>
      <c r="I1728" s="83" t="s">
        <v>3229</v>
      </c>
      <c r="J1728" s="83" t="s">
        <v>3397</v>
      </c>
      <c r="K1728" s="83" t="s">
        <v>3215</v>
      </c>
    </row>
    <row r="1729" spans="1:11" ht="26.25" x14ac:dyDescent="0.25">
      <c r="A1729" s="83" t="s">
        <v>2496</v>
      </c>
      <c r="B1729" s="83" t="s">
        <v>3208</v>
      </c>
      <c r="C1729" s="83" t="s">
        <v>3208</v>
      </c>
      <c r="D1729" s="83" t="s">
        <v>3713</v>
      </c>
      <c r="E1729" s="83" t="s">
        <v>3761</v>
      </c>
      <c r="F1729" s="83" t="s">
        <v>3901</v>
      </c>
      <c r="G1729" s="83" t="s">
        <v>3870</v>
      </c>
      <c r="H1729" s="83">
        <v>0</v>
      </c>
      <c r="I1729" s="83" t="s">
        <v>3213</v>
      </c>
      <c r="J1729" s="83" t="s">
        <v>3467</v>
      </c>
      <c r="K1729" s="83" t="s">
        <v>3215</v>
      </c>
    </row>
    <row r="1730" spans="1:11" x14ac:dyDescent="0.25">
      <c r="A1730" s="83" t="s">
        <v>7161</v>
      </c>
      <c r="B1730" s="83" t="s">
        <v>7162</v>
      </c>
      <c r="C1730" s="83" t="s">
        <v>7163</v>
      </c>
      <c r="D1730" s="83" t="s">
        <v>3209</v>
      </c>
      <c r="E1730" s="83" t="s">
        <v>3702</v>
      </c>
      <c r="F1730" s="83" t="s">
        <v>7164</v>
      </c>
      <c r="G1730" s="83" t="s">
        <v>4916</v>
      </c>
      <c r="H1730" s="83">
        <v>11</v>
      </c>
      <c r="I1730" s="83" t="s">
        <v>3208</v>
      </c>
      <c r="J1730" s="83" t="s">
        <v>3208</v>
      </c>
      <c r="K1730" s="83" t="s">
        <v>3208</v>
      </c>
    </row>
    <row r="1731" spans="1:11" ht="51.75" x14ac:dyDescent="0.25">
      <c r="A1731" s="83" t="s">
        <v>2623</v>
      </c>
      <c r="B1731" s="83" t="s">
        <v>3208</v>
      </c>
      <c r="C1731" s="83" t="s">
        <v>3208</v>
      </c>
      <c r="D1731" s="83" t="s">
        <v>3713</v>
      </c>
      <c r="E1731" s="83" t="s">
        <v>3761</v>
      </c>
      <c r="F1731" s="83" t="s">
        <v>3950</v>
      </c>
      <c r="G1731" s="83" t="s">
        <v>7165</v>
      </c>
      <c r="H1731" s="83">
        <v>0</v>
      </c>
      <c r="I1731" s="83" t="s">
        <v>3229</v>
      </c>
      <c r="J1731" s="83" t="s">
        <v>3238</v>
      </c>
      <c r="K1731" s="83" t="s">
        <v>3215</v>
      </c>
    </row>
    <row r="1732" spans="1:11" ht="51.75" x14ac:dyDescent="0.25">
      <c r="A1732" s="83" t="s">
        <v>2549</v>
      </c>
      <c r="B1732" s="83" t="s">
        <v>3208</v>
      </c>
      <c r="C1732" s="83" t="s">
        <v>3208</v>
      </c>
      <c r="D1732" s="83" t="s">
        <v>3713</v>
      </c>
      <c r="E1732" s="83" t="s">
        <v>3761</v>
      </c>
      <c r="F1732" s="83" t="s">
        <v>3886</v>
      </c>
      <c r="G1732" s="83" t="s">
        <v>3520</v>
      </c>
      <c r="H1732" s="83">
        <v>0</v>
      </c>
      <c r="I1732" s="83" t="s">
        <v>3229</v>
      </c>
      <c r="J1732" s="83" t="s">
        <v>3521</v>
      </c>
      <c r="K1732" s="83" t="s">
        <v>3215</v>
      </c>
    </row>
    <row r="1733" spans="1:11" ht="64.5" x14ac:dyDescent="0.25">
      <c r="A1733" s="83" t="s">
        <v>7166</v>
      </c>
      <c r="B1733" s="83" t="s">
        <v>3208</v>
      </c>
      <c r="C1733" s="83" t="s">
        <v>3208</v>
      </c>
      <c r="D1733" s="83" t="s">
        <v>3965</v>
      </c>
      <c r="E1733" s="83" t="s">
        <v>4054</v>
      </c>
      <c r="F1733" s="83" t="s">
        <v>7167</v>
      </c>
      <c r="G1733" s="83" t="s">
        <v>4885</v>
      </c>
      <c r="H1733" s="83">
        <v>0</v>
      </c>
      <c r="I1733" s="83" t="s">
        <v>3229</v>
      </c>
      <c r="J1733" s="83" t="s">
        <v>3601</v>
      </c>
      <c r="K1733" s="83" t="s">
        <v>3215</v>
      </c>
    </row>
    <row r="1734" spans="1:11" ht="64.5" x14ac:dyDescent="0.25">
      <c r="A1734" s="83" t="s">
        <v>2571</v>
      </c>
      <c r="B1734" s="83" t="s">
        <v>3208</v>
      </c>
      <c r="C1734" s="83" t="s">
        <v>3208</v>
      </c>
      <c r="D1734" s="83" t="s">
        <v>3713</v>
      </c>
      <c r="E1734" s="83" t="s">
        <v>3761</v>
      </c>
      <c r="F1734" s="83" t="s">
        <v>5666</v>
      </c>
      <c r="G1734" s="83" t="s">
        <v>5667</v>
      </c>
      <c r="H1734" s="83">
        <v>0</v>
      </c>
      <c r="I1734" s="83" t="s">
        <v>3213</v>
      </c>
      <c r="J1734" s="83" t="s">
        <v>3436</v>
      </c>
      <c r="K1734" s="83" t="s">
        <v>3215</v>
      </c>
    </row>
    <row r="1735" spans="1:11" ht="64.5" x14ac:dyDescent="0.25">
      <c r="A1735" s="83" t="s">
        <v>2359</v>
      </c>
      <c r="B1735" s="83" t="s">
        <v>3208</v>
      </c>
      <c r="C1735" s="83" t="s">
        <v>3208</v>
      </c>
      <c r="D1735" s="83" t="s">
        <v>3713</v>
      </c>
      <c r="E1735" s="83" t="s">
        <v>3761</v>
      </c>
      <c r="F1735" s="83" t="s">
        <v>3886</v>
      </c>
      <c r="G1735" s="83" t="s">
        <v>3743</v>
      </c>
      <c r="H1735" s="83">
        <v>0</v>
      </c>
      <c r="I1735" s="83" t="s">
        <v>3213</v>
      </c>
      <c r="J1735" s="83" t="s">
        <v>3413</v>
      </c>
      <c r="K1735" s="83" t="s">
        <v>3215</v>
      </c>
    </row>
    <row r="1736" spans="1:11" ht="26.25" x14ac:dyDescent="0.25">
      <c r="A1736" s="83" t="s">
        <v>2458</v>
      </c>
      <c r="B1736" s="83" t="s">
        <v>3208</v>
      </c>
      <c r="C1736" s="83" t="s">
        <v>3208</v>
      </c>
      <c r="D1736" s="83" t="s">
        <v>3713</v>
      </c>
      <c r="E1736" s="83" t="s">
        <v>3761</v>
      </c>
      <c r="F1736" s="83" t="s">
        <v>3976</v>
      </c>
      <c r="G1736" s="83" t="s">
        <v>4365</v>
      </c>
      <c r="H1736" s="83">
        <v>0</v>
      </c>
      <c r="I1736" s="83" t="s">
        <v>3229</v>
      </c>
      <c r="J1736" s="83" t="s">
        <v>3324</v>
      </c>
      <c r="K1736" s="83" t="s">
        <v>3215</v>
      </c>
    </row>
    <row r="1737" spans="1:11" ht="26.25" x14ac:dyDescent="0.25">
      <c r="A1737" s="83" t="s">
        <v>2617</v>
      </c>
      <c r="B1737" s="83" t="s">
        <v>3208</v>
      </c>
      <c r="C1737" s="83" t="s">
        <v>3208</v>
      </c>
      <c r="D1737" s="83" t="s">
        <v>3713</v>
      </c>
      <c r="E1737" s="83" t="s">
        <v>3761</v>
      </c>
      <c r="F1737" s="83" t="s">
        <v>5678</v>
      </c>
      <c r="G1737" s="83" t="s">
        <v>5775</v>
      </c>
      <c r="H1737" s="83">
        <v>0</v>
      </c>
      <c r="I1737" s="83" t="s">
        <v>3213</v>
      </c>
      <c r="J1737" s="83" t="s">
        <v>3948</v>
      </c>
      <c r="K1737" s="83" t="s">
        <v>3215</v>
      </c>
    </row>
    <row r="1738" spans="1:11" ht="64.5" x14ac:dyDescent="0.25">
      <c r="A1738" s="83" t="s">
        <v>1773</v>
      </c>
      <c r="B1738" s="83" t="s">
        <v>3208</v>
      </c>
      <c r="C1738" s="83" t="s">
        <v>3208</v>
      </c>
      <c r="D1738" s="83" t="s">
        <v>3713</v>
      </c>
      <c r="E1738" s="83" t="s">
        <v>3761</v>
      </c>
      <c r="F1738" s="83" t="s">
        <v>3886</v>
      </c>
      <c r="G1738" s="83" t="s">
        <v>3218</v>
      </c>
      <c r="H1738" s="83">
        <v>0</v>
      </c>
      <c r="I1738" s="83" t="s">
        <v>3213</v>
      </c>
      <c r="J1738" s="83" t="s">
        <v>3219</v>
      </c>
      <c r="K1738" s="83" t="s">
        <v>3215</v>
      </c>
    </row>
    <row r="1739" spans="1:11" ht="51.75" x14ac:dyDescent="0.25">
      <c r="A1739" s="83" t="s">
        <v>159</v>
      </c>
      <c r="B1739" s="83" t="s">
        <v>3208</v>
      </c>
      <c r="C1739" s="83" t="s">
        <v>3208</v>
      </c>
      <c r="D1739" s="83" t="s">
        <v>3713</v>
      </c>
      <c r="E1739" s="83" t="s">
        <v>3761</v>
      </c>
      <c r="F1739" s="83" t="s">
        <v>4013</v>
      </c>
      <c r="G1739" s="83" t="s">
        <v>4014</v>
      </c>
      <c r="H1739" s="83">
        <v>0</v>
      </c>
      <c r="I1739" s="83" t="s">
        <v>3229</v>
      </c>
      <c r="J1739" s="83" t="s">
        <v>3289</v>
      </c>
      <c r="K1739" s="83" t="s">
        <v>3215</v>
      </c>
    </row>
    <row r="1740" spans="1:11" ht="26.25" x14ac:dyDescent="0.25">
      <c r="A1740" s="83" t="s">
        <v>2388</v>
      </c>
      <c r="B1740" s="83" t="s">
        <v>3208</v>
      </c>
      <c r="C1740" s="83" t="s">
        <v>3208</v>
      </c>
      <c r="D1740" s="83" t="s">
        <v>3713</v>
      </c>
      <c r="E1740" s="83" t="s">
        <v>3761</v>
      </c>
      <c r="F1740" s="83" t="s">
        <v>4013</v>
      </c>
      <c r="G1740" s="83" t="s">
        <v>4870</v>
      </c>
      <c r="H1740" s="83">
        <v>0</v>
      </c>
      <c r="I1740" s="83" t="s">
        <v>3213</v>
      </c>
      <c r="J1740" s="83" t="s">
        <v>3896</v>
      </c>
      <c r="K1740" s="83" t="s">
        <v>3215</v>
      </c>
    </row>
    <row r="1741" spans="1:11" ht="51.75" x14ac:dyDescent="0.25">
      <c r="A1741" s="83" t="s">
        <v>2703</v>
      </c>
      <c r="B1741" s="83" t="s">
        <v>3208</v>
      </c>
      <c r="C1741" s="83" t="s">
        <v>3208</v>
      </c>
      <c r="D1741" s="83" t="s">
        <v>3713</v>
      </c>
      <c r="E1741" s="83" t="s">
        <v>3761</v>
      </c>
      <c r="F1741" s="83" t="s">
        <v>4013</v>
      </c>
      <c r="G1741" s="83" t="s">
        <v>7168</v>
      </c>
      <c r="H1741" s="83">
        <v>0</v>
      </c>
      <c r="I1741" s="83" t="s">
        <v>3229</v>
      </c>
      <c r="J1741" s="83" t="s">
        <v>3238</v>
      </c>
      <c r="K1741" s="83" t="s">
        <v>3215</v>
      </c>
    </row>
    <row r="1742" spans="1:11" ht="51.75" x14ac:dyDescent="0.25">
      <c r="A1742" s="83" t="s">
        <v>2438</v>
      </c>
      <c r="B1742" s="83" t="s">
        <v>3208</v>
      </c>
      <c r="C1742" s="83" t="s">
        <v>3208</v>
      </c>
      <c r="D1742" s="83" t="s">
        <v>3713</v>
      </c>
      <c r="E1742" s="83" t="s">
        <v>3761</v>
      </c>
      <c r="F1742" s="83" t="s">
        <v>3976</v>
      </c>
      <c r="G1742" s="83" t="s">
        <v>3855</v>
      </c>
      <c r="H1742" s="83">
        <v>0</v>
      </c>
      <c r="I1742" s="83" t="s">
        <v>3229</v>
      </c>
      <c r="J1742" s="83" t="s">
        <v>3280</v>
      </c>
      <c r="K1742" s="83" t="s">
        <v>3215</v>
      </c>
    </row>
    <row r="1743" spans="1:11" ht="51.75" x14ac:dyDescent="0.25">
      <c r="A1743" s="83" t="s">
        <v>1822</v>
      </c>
      <c r="B1743" s="83" t="s">
        <v>3208</v>
      </c>
      <c r="C1743" s="83" t="s">
        <v>3208</v>
      </c>
      <c r="D1743" s="83" t="s">
        <v>3713</v>
      </c>
      <c r="E1743" s="83" t="s">
        <v>3761</v>
      </c>
      <c r="F1743" s="83" t="s">
        <v>6463</v>
      </c>
      <c r="G1743" s="83" t="s">
        <v>7169</v>
      </c>
      <c r="H1743" s="83">
        <v>0</v>
      </c>
      <c r="I1743" s="83" t="s">
        <v>3229</v>
      </c>
      <c r="J1743" s="83" t="s">
        <v>3371</v>
      </c>
      <c r="K1743" s="83" t="s">
        <v>3215</v>
      </c>
    </row>
    <row r="1744" spans="1:11" ht="51.75" x14ac:dyDescent="0.25">
      <c r="A1744" s="83" t="s">
        <v>2070</v>
      </c>
      <c r="B1744" s="83" t="s">
        <v>3208</v>
      </c>
      <c r="C1744" s="83" t="s">
        <v>3208</v>
      </c>
      <c r="D1744" s="83" t="s">
        <v>3713</v>
      </c>
      <c r="E1744" s="83" t="s">
        <v>3761</v>
      </c>
      <c r="F1744" s="83" t="s">
        <v>4013</v>
      </c>
      <c r="G1744" s="83" t="s">
        <v>4040</v>
      </c>
      <c r="H1744" s="83">
        <v>0</v>
      </c>
      <c r="I1744" s="83" t="s">
        <v>3229</v>
      </c>
      <c r="J1744" s="83" t="s">
        <v>3238</v>
      </c>
      <c r="K1744" s="83" t="s">
        <v>3215</v>
      </c>
    </row>
    <row r="1745" spans="1:11" ht="51.75" x14ac:dyDescent="0.25">
      <c r="A1745" s="83" t="s">
        <v>7170</v>
      </c>
      <c r="B1745" s="83" t="s">
        <v>3208</v>
      </c>
      <c r="C1745" s="83" t="s">
        <v>3208</v>
      </c>
      <c r="D1745" s="83" t="s">
        <v>3965</v>
      </c>
      <c r="E1745" s="83" t="s">
        <v>3966</v>
      </c>
      <c r="F1745" s="83" t="s">
        <v>7171</v>
      </c>
      <c r="G1745" s="83" t="s">
        <v>4966</v>
      </c>
      <c r="H1745" s="83">
        <v>0</v>
      </c>
      <c r="I1745" s="83" t="s">
        <v>3213</v>
      </c>
      <c r="J1745" s="83" t="s">
        <v>3257</v>
      </c>
      <c r="K1745" s="83" t="s">
        <v>3215</v>
      </c>
    </row>
    <row r="1746" spans="1:11" ht="64.5" x14ac:dyDescent="0.25">
      <c r="A1746" s="83" t="s">
        <v>1810</v>
      </c>
      <c r="B1746" s="83" t="s">
        <v>3208</v>
      </c>
      <c r="C1746" s="83" t="s">
        <v>3208</v>
      </c>
      <c r="D1746" s="83" t="s">
        <v>3713</v>
      </c>
      <c r="E1746" s="83" t="s">
        <v>3761</v>
      </c>
      <c r="F1746" s="83" t="s">
        <v>3950</v>
      </c>
      <c r="G1746" s="83" t="s">
        <v>7172</v>
      </c>
      <c r="H1746" s="83">
        <v>0</v>
      </c>
      <c r="I1746" s="83" t="s">
        <v>3213</v>
      </c>
      <c r="J1746" s="83" t="s">
        <v>3413</v>
      </c>
      <c r="K1746" s="83" t="s">
        <v>3215</v>
      </c>
    </row>
    <row r="1747" spans="1:11" ht="26.25" x14ac:dyDescent="0.25">
      <c r="A1747" s="83" t="s">
        <v>2462</v>
      </c>
      <c r="B1747" s="83" t="s">
        <v>3208</v>
      </c>
      <c r="C1747" s="83" t="s">
        <v>3208</v>
      </c>
      <c r="D1747" s="83" t="s">
        <v>3713</v>
      </c>
      <c r="E1747" s="83" t="s">
        <v>3761</v>
      </c>
      <c r="F1747" s="83" t="s">
        <v>3976</v>
      </c>
      <c r="G1747" s="83" t="s">
        <v>5661</v>
      </c>
      <c r="H1747" s="83">
        <v>0</v>
      </c>
      <c r="I1747" s="83" t="s">
        <v>3229</v>
      </c>
      <c r="J1747" s="83" t="s">
        <v>3397</v>
      </c>
      <c r="K1747" s="83" t="s">
        <v>3215</v>
      </c>
    </row>
    <row r="1748" spans="1:11" ht="26.25" x14ac:dyDescent="0.25">
      <c r="A1748" s="83" t="s">
        <v>2398</v>
      </c>
      <c r="B1748" s="83" t="s">
        <v>3208</v>
      </c>
      <c r="C1748" s="83" t="s">
        <v>3208</v>
      </c>
      <c r="D1748" s="83" t="s">
        <v>3713</v>
      </c>
      <c r="E1748" s="83" t="s">
        <v>3761</v>
      </c>
      <c r="F1748" s="83" t="s">
        <v>4013</v>
      </c>
      <c r="G1748" s="83" t="s">
        <v>4870</v>
      </c>
      <c r="H1748" s="83">
        <v>0</v>
      </c>
      <c r="I1748" s="83" t="s">
        <v>3213</v>
      </c>
      <c r="J1748" s="83" t="s">
        <v>3896</v>
      </c>
      <c r="K1748" s="83" t="s">
        <v>3215</v>
      </c>
    </row>
    <row r="1749" spans="1:11" ht="51.75" x14ac:dyDescent="0.25">
      <c r="A1749" s="83" t="s">
        <v>57</v>
      </c>
      <c r="B1749" s="83" t="s">
        <v>3208</v>
      </c>
      <c r="C1749" s="83" t="s">
        <v>3208</v>
      </c>
      <c r="D1749" s="83" t="s">
        <v>3713</v>
      </c>
      <c r="E1749" s="83" t="s">
        <v>3761</v>
      </c>
      <c r="F1749" s="83" t="s">
        <v>4013</v>
      </c>
      <c r="G1749" s="83" t="s">
        <v>3440</v>
      </c>
      <c r="H1749" s="83">
        <v>0</v>
      </c>
      <c r="I1749" s="83" t="s">
        <v>3213</v>
      </c>
      <c r="J1749" s="83" t="s">
        <v>3257</v>
      </c>
      <c r="K1749" s="83" t="s">
        <v>3215</v>
      </c>
    </row>
    <row r="1750" spans="1:11" ht="26.25" x14ac:dyDescent="0.25">
      <c r="A1750" s="83" t="s">
        <v>2522</v>
      </c>
      <c r="B1750" s="83" t="s">
        <v>3208</v>
      </c>
      <c r="C1750" s="83" t="s">
        <v>3208</v>
      </c>
      <c r="D1750" s="83" t="s">
        <v>3713</v>
      </c>
      <c r="E1750" s="83" t="s">
        <v>3761</v>
      </c>
      <c r="F1750" s="83" t="s">
        <v>7173</v>
      </c>
      <c r="G1750" s="83" t="s">
        <v>5852</v>
      </c>
      <c r="H1750" s="83">
        <v>0</v>
      </c>
      <c r="I1750" s="83" t="s">
        <v>3213</v>
      </c>
      <c r="J1750" s="83" t="s">
        <v>3851</v>
      </c>
      <c r="K1750" s="83" t="s">
        <v>3215</v>
      </c>
    </row>
    <row r="1751" spans="1:11" ht="26.25" x14ac:dyDescent="0.25">
      <c r="A1751" s="83" t="s">
        <v>2501</v>
      </c>
      <c r="B1751" s="83" t="s">
        <v>3208</v>
      </c>
      <c r="C1751" s="83" t="s">
        <v>3208</v>
      </c>
      <c r="D1751" s="83" t="s">
        <v>3713</v>
      </c>
      <c r="E1751" s="83" t="s">
        <v>3761</v>
      </c>
      <c r="F1751" s="83" t="s">
        <v>5637</v>
      </c>
      <c r="G1751" s="83" t="s">
        <v>5638</v>
      </c>
      <c r="H1751" s="83">
        <v>0</v>
      </c>
      <c r="I1751" s="83" t="s">
        <v>3229</v>
      </c>
      <c r="J1751" s="83" t="s">
        <v>3397</v>
      </c>
      <c r="K1751" s="83" t="s">
        <v>3215</v>
      </c>
    </row>
    <row r="1752" spans="1:11" ht="51.75" x14ac:dyDescent="0.25">
      <c r="A1752" s="83" t="s">
        <v>2553</v>
      </c>
      <c r="B1752" s="83" t="s">
        <v>3208</v>
      </c>
      <c r="C1752" s="83" t="s">
        <v>3208</v>
      </c>
      <c r="D1752" s="83" t="s">
        <v>3713</v>
      </c>
      <c r="E1752" s="83" t="s">
        <v>3761</v>
      </c>
      <c r="F1752" s="83" t="s">
        <v>3886</v>
      </c>
      <c r="G1752" s="83" t="s">
        <v>3520</v>
      </c>
      <c r="H1752" s="83">
        <v>0</v>
      </c>
      <c r="I1752" s="83" t="s">
        <v>3229</v>
      </c>
      <c r="J1752" s="83" t="s">
        <v>3521</v>
      </c>
      <c r="K1752" s="83" t="s">
        <v>3215</v>
      </c>
    </row>
    <row r="1753" spans="1:11" ht="51.75" x14ac:dyDescent="0.25">
      <c r="A1753" s="83" t="s">
        <v>2525</v>
      </c>
      <c r="B1753" s="83" t="s">
        <v>3208</v>
      </c>
      <c r="C1753" s="83" t="s">
        <v>3208</v>
      </c>
      <c r="D1753" s="83" t="s">
        <v>3713</v>
      </c>
      <c r="E1753" s="83" t="s">
        <v>3761</v>
      </c>
      <c r="F1753" s="83" t="s">
        <v>3886</v>
      </c>
      <c r="G1753" s="83" t="s">
        <v>4887</v>
      </c>
      <c r="H1753" s="83">
        <v>0</v>
      </c>
      <c r="I1753" s="83" t="s">
        <v>3229</v>
      </c>
      <c r="J1753" s="83" t="s">
        <v>3289</v>
      </c>
      <c r="K1753" s="83" t="s">
        <v>3215</v>
      </c>
    </row>
    <row r="1754" spans="1:11" ht="26.25" x14ac:dyDescent="0.25">
      <c r="A1754" s="83" t="s">
        <v>2306</v>
      </c>
      <c r="B1754" s="83" t="s">
        <v>3208</v>
      </c>
      <c r="C1754" s="83" t="s">
        <v>3208</v>
      </c>
      <c r="D1754" s="83" t="s">
        <v>3713</v>
      </c>
      <c r="E1754" s="83" t="s">
        <v>3761</v>
      </c>
      <c r="F1754" s="83" t="s">
        <v>3886</v>
      </c>
      <c r="G1754" s="83" t="s">
        <v>4191</v>
      </c>
      <c r="H1754" s="83">
        <v>0</v>
      </c>
      <c r="I1754" s="83" t="s">
        <v>3229</v>
      </c>
      <c r="J1754" s="83" t="s">
        <v>3397</v>
      </c>
      <c r="K1754" s="83" t="s">
        <v>3215</v>
      </c>
    </row>
    <row r="1755" spans="1:11" ht="51.75" x14ac:dyDescent="0.25">
      <c r="A1755" s="83" t="s">
        <v>2481</v>
      </c>
      <c r="B1755" s="83" t="s">
        <v>3208</v>
      </c>
      <c r="C1755" s="83" t="s">
        <v>3208</v>
      </c>
      <c r="D1755" s="83" t="s">
        <v>3713</v>
      </c>
      <c r="E1755" s="83" t="s">
        <v>3761</v>
      </c>
      <c r="F1755" s="83" t="s">
        <v>3976</v>
      </c>
      <c r="G1755" s="83" t="s">
        <v>3977</v>
      </c>
      <c r="H1755" s="83">
        <v>0</v>
      </c>
      <c r="I1755" s="83" t="s">
        <v>3229</v>
      </c>
      <c r="J1755" s="83" t="s">
        <v>3289</v>
      </c>
      <c r="K1755" s="83" t="s">
        <v>3215</v>
      </c>
    </row>
    <row r="1756" spans="1:11" ht="26.25" x14ac:dyDescent="0.25">
      <c r="A1756" s="83" t="s">
        <v>7174</v>
      </c>
      <c r="B1756" s="83" t="s">
        <v>3208</v>
      </c>
      <c r="C1756" s="83" t="s">
        <v>3208</v>
      </c>
      <c r="D1756" s="83" t="s">
        <v>3713</v>
      </c>
      <c r="E1756" s="83" t="s">
        <v>3714</v>
      </c>
      <c r="F1756" s="83" t="s">
        <v>4034</v>
      </c>
      <c r="G1756" s="83" t="s">
        <v>4035</v>
      </c>
      <c r="H1756" s="83">
        <v>0</v>
      </c>
      <c r="I1756" s="83" t="s">
        <v>3208</v>
      </c>
      <c r="J1756" s="83" t="s">
        <v>3208</v>
      </c>
      <c r="K1756" s="83" t="s">
        <v>3208</v>
      </c>
    </row>
    <row r="1757" spans="1:11" ht="26.25" x14ac:dyDescent="0.25">
      <c r="A1757" s="83" t="s">
        <v>7175</v>
      </c>
      <c r="B1757" s="83" t="s">
        <v>3208</v>
      </c>
      <c r="C1757" s="83" t="s">
        <v>3208</v>
      </c>
      <c r="D1757" s="83" t="s">
        <v>3713</v>
      </c>
      <c r="E1757" s="83" t="s">
        <v>3714</v>
      </c>
      <c r="F1757" s="83" t="s">
        <v>7176</v>
      </c>
      <c r="G1757" s="83" t="s">
        <v>4642</v>
      </c>
      <c r="H1757" s="83">
        <v>0</v>
      </c>
      <c r="I1757" s="83" t="s">
        <v>3208</v>
      </c>
      <c r="J1757" s="83" t="s">
        <v>3208</v>
      </c>
      <c r="K1757" s="83" t="s">
        <v>3208</v>
      </c>
    </row>
    <row r="1758" spans="1:11" ht="26.25" x14ac:dyDescent="0.25">
      <c r="A1758" s="83" t="s">
        <v>7177</v>
      </c>
      <c r="B1758" s="83" t="s">
        <v>3208</v>
      </c>
      <c r="C1758" s="83" t="s">
        <v>3208</v>
      </c>
      <c r="D1758" s="83" t="s">
        <v>3713</v>
      </c>
      <c r="E1758" s="83" t="s">
        <v>3714</v>
      </c>
      <c r="F1758" s="83" t="s">
        <v>4894</v>
      </c>
      <c r="G1758" s="83" t="s">
        <v>3310</v>
      </c>
      <c r="H1758" s="83">
        <v>0</v>
      </c>
      <c r="I1758" s="83" t="s">
        <v>3208</v>
      </c>
      <c r="J1758" s="83" t="s">
        <v>3208</v>
      </c>
      <c r="K1758" s="83" t="s">
        <v>3208</v>
      </c>
    </row>
    <row r="1759" spans="1:11" ht="64.5" x14ac:dyDescent="0.25">
      <c r="A1759" s="83" t="s">
        <v>7178</v>
      </c>
      <c r="B1759" s="83" t="s">
        <v>3208</v>
      </c>
      <c r="C1759" s="83" t="s">
        <v>3208</v>
      </c>
      <c r="D1759" s="83" t="s">
        <v>3965</v>
      </c>
      <c r="E1759" s="83" t="s">
        <v>3966</v>
      </c>
      <c r="F1759" s="83" t="s">
        <v>7179</v>
      </c>
      <c r="G1759" s="83" t="s">
        <v>6489</v>
      </c>
      <c r="H1759" s="83">
        <v>0</v>
      </c>
      <c r="I1759" s="83" t="s">
        <v>3213</v>
      </c>
      <c r="J1759" s="83" t="s">
        <v>3219</v>
      </c>
      <c r="K1759" s="83" t="s">
        <v>3215</v>
      </c>
    </row>
    <row r="1760" spans="1:11" ht="51.75" x14ac:dyDescent="0.25">
      <c r="A1760" s="83" t="s">
        <v>2600</v>
      </c>
      <c r="B1760" s="83" t="s">
        <v>3208</v>
      </c>
      <c r="C1760" s="83" t="s">
        <v>3208</v>
      </c>
      <c r="D1760" s="83" t="s">
        <v>3713</v>
      </c>
      <c r="E1760" s="83" t="s">
        <v>3761</v>
      </c>
      <c r="F1760" s="83" t="s">
        <v>5643</v>
      </c>
      <c r="G1760" s="83" t="s">
        <v>3986</v>
      </c>
      <c r="H1760" s="83">
        <v>0</v>
      </c>
      <c r="I1760" s="83" t="s">
        <v>3229</v>
      </c>
      <c r="J1760" s="83" t="s">
        <v>3337</v>
      </c>
      <c r="K1760" s="83" t="s">
        <v>3215</v>
      </c>
    </row>
    <row r="1761" spans="1:11" ht="51.75" x14ac:dyDescent="0.25">
      <c r="A1761" s="83" t="s">
        <v>2257</v>
      </c>
      <c r="B1761" s="83" t="s">
        <v>3208</v>
      </c>
      <c r="C1761" s="83" t="s">
        <v>3208</v>
      </c>
      <c r="D1761" s="83" t="s">
        <v>3713</v>
      </c>
      <c r="E1761" s="83" t="s">
        <v>3761</v>
      </c>
      <c r="F1761" s="83" t="s">
        <v>3991</v>
      </c>
      <c r="G1761" s="83" t="s">
        <v>4888</v>
      </c>
      <c r="H1761" s="83">
        <v>0</v>
      </c>
      <c r="I1761" s="83" t="s">
        <v>3229</v>
      </c>
      <c r="J1761" s="83" t="s">
        <v>3238</v>
      </c>
      <c r="K1761" s="83" t="s">
        <v>3215</v>
      </c>
    </row>
    <row r="1762" spans="1:11" ht="26.25" x14ac:dyDescent="0.25">
      <c r="A1762" s="83" t="s">
        <v>2620</v>
      </c>
      <c r="B1762" s="83" t="s">
        <v>3208</v>
      </c>
      <c r="C1762" s="83" t="s">
        <v>3208</v>
      </c>
      <c r="D1762" s="83" t="s">
        <v>3713</v>
      </c>
      <c r="E1762" s="83" t="s">
        <v>3761</v>
      </c>
      <c r="F1762" s="83" t="s">
        <v>5678</v>
      </c>
      <c r="G1762" s="83" t="s">
        <v>5025</v>
      </c>
      <c r="H1762" s="83">
        <v>0</v>
      </c>
      <c r="I1762" s="83" t="s">
        <v>3213</v>
      </c>
      <c r="J1762" s="83" t="s">
        <v>3948</v>
      </c>
      <c r="K1762" s="83" t="s">
        <v>3215</v>
      </c>
    </row>
    <row r="1763" spans="1:11" ht="26.25" x14ac:dyDescent="0.25">
      <c r="A1763" s="83" t="s">
        <v>7180</v>
      </c>
      <c r="B1763" s="83" t="s">
        <v>3208</v>
      </c>
      <c r="C1763" s="83" t="s">
        <v>3208</v>
      </c>
      <c r="D1763" s="83" t="s">
        <v>3713</v>
      </c>
      <c r="E1763" s="83" t="s">
        <v>3714</v>
      </c>
      <c r="F1763" s="83" t="s">
        <v>7181</v>
      </c>
      <c r="G1763" s="83" t="s">
        <v>7182</v>
      </c>
      <c r="H1763" s="83">
        <v>0</v>
      </c>
      <c r="I1763" s="83" t="s">
        <v>3208</v>
      </c>
      <c r="J1763" s="83" t="s">
        <v>3208</v>
      </c>
      <c r="K1763" s="83" t="s">
        <v>3208</v>
      </c>
    </row>
    <row r="1764" spans="1:11" ht="51.75" x14ac:dyDescent="0.25">
      <c r="A1764" s="83" t="s">
        <v>2405</v>
      </c>
      <c r="B1764" s="83" t="s">
        <v>3208</v>
      </c>
      <c r="C1764" s="83" t="s">
        <v>3208</v>
      </c>
      <c r="D1764" s="83" t="s">
        <v>3713</v>
      </c>
      <c r="E1764" s="83" t="s">
        <v>3761</v>
      </c>
      <c r="F1764" s="83" t="s">
        <v>4013</v>
      </c>
      <c r="G1764" s="83" t="s">
        <v>4909</v>
      </c>
      <c r="H1764" s="83">
        <v>0</v>
      </c>
      <c r="I1764" s="83" t="s">
        <v>3229</v>
      </c>
      <c r="J1764" s="83" t="s">
        <v>3289</v>
      </c>
      <c r="K1764" s="83" t="s">
        <v>3215</v>
      </c>
    </row>
    <row r="1765" spans="1:11" ht="26.25" x14ac:dyDescent="0.25">
      <c r="A1765" s="83" t="s">
        <v>7183</v>
      </c>
      <c r="B1765" s="83" t="s">
        <v>3208</v>
      </c>
      <c r="C1765" s="83" t="s">
        <v>3208</v>
      </c>
      <c r="D1765" s="83" t="s">
        <v>3965</v>
      </c>
      <c r="E1765" s="83" t="s">
        <v>3966</v>
      </c>
      <c r="F1765" s="83" t="s">
        <v>7184</v>
      </c>
      <c r="G1765" s="83" t="s">
        <v>7185</v>
      </c>
      <c r="H1765" s="83">
        <v>0</v>
      </c>
      <c r="I1765" s="83" t="s">
        <v>3213</v>
      </c>
      <c r="J1765" s="83" t="s">
        <v>3851</v>
      </c>
      <c r="K1765" s="83" t="s">
        <v>3215</v>
      </c>
    </row>
    <row r="1766" spans="1:11" ht="64.5" x14ac:dyDescent="0.25">
      <c r="A1766" s="83" t="s">
        <v>2468</v>
      </c>
      <c r="B1766" s="83" t="s">
        <v>3208</v>
      </c>
      <c r="C1766" s="83" t="s">
        <v>3208</v>
      </c>
      <c r="D1766" s="83" t="s">
        <v>3713</v>
      </c>
      <c r="E1766" s="83" t="s">
        <v>3761</v>
      </c>
      <c r="F1766" s="83" t="s">
        <v>3895</v>
      </c>
      <c r="G1766" s="83" t="s">
        <v>7186</v>
      </c>
      <c r="H1766" s="83">
        <v>0</v>
      </c>
      <c r="I1766" s="83" t="s">
        <v>3213</v>
      </c>
      <c r="J1766" s="83" t="s">
        <v>3219</v>
      </c>
      <c r="K1766" s="83" t="s">
        <v>3215</v>
      </c>
    </row>
    <row r="1767" spans="1:11" ht="51.75" x14ac:dyDescent="0.25">
      <c r="A1767" s="83" t="s">
        <v>2613</v>
      </c>
      <c r="B1767" s="83" t="s">
        <v>3208</v>
      </c>
      <c r="C1767" s="83" t="s">
        <v>3208</v>
      </c>
      <c r="D1767" s="83" t="s">
        <v>3713</v>
      </c>
      <c r="E1767" s="83" t="s">
        <v>3761</v>
      </c>
      <c r="F1767" s="83" t="s">
        <v>6469</v>
      </c>
      <c r="G1767" s="83" t="s">
        <v>4556</v>
      </c>
      <c r="H1767" s="83">
        <v>0</v>
      </c>
      <c r="I1767" s="83" t="s">
        <v>3213</v>
      </c>
      <c r="J1767" s="83" t="s">
        <v>3257</v>
      </c>
      <c r="K1767" s="83" t="s">
        <v>3215</v>
      </c>
    </row>
    <row r="1768" spans="1:11" ht="51.75" x14ac:dyDescent="0.25">
      <c r="A1768" s="83" t="s">
        <v>2520</v>
      </c>
      <c r="B1768" s="83" t="s">
        <v>3208</v>
      </c>
      <c r="C1768" s="83" t="s">
        <v>3208</v>
      </c>
      <c r="D1768" s="83" t="s">
        <v>3713</v>
      </c>
      <c r="E1768" s="83" t="s">
        <v>3761</v>
      </c>
      <c r="F1768" s="83" t="s">
        <v>3886</v>
      </c>
      <c r="G1768" s="83" t="s">
        <v>7187</v>
      </c>
      <c r="H1768" s="83">
        <v>0</v>
      </c>
      <c r="I1768" s="83" t="s">
        <v>3213</v>
      </c>
      <c r="J1768" s="83" t="s">
        <v>3214</v>
      </c>
      <c r="K1768" s="83" t="s">
        <v>3215</v>
      </c>
    </row>
    <row r="1769" spans="1:11" ht="51.75" x14ac:dyDescent="0.25">
      <c r="A1769" s="83" t="s">
        <v>2259</v>
      </c>
      <c r="B1769" s="83" t="s">
        <v>3208</v>
      </c>
      <c r="C1769" s="83" t="s">
        <v>3208</v>
      </c>
      <c r="D1769" s="83" t="s">
        <v>3713</v>
      </c>
      <c r="E1769" s="83" t="s">
        <v>3761</v>
      </c>
      <c r="F1769" s="83" t="s">
        <v>4013</v>
      </c>
      <c r="G1769" s="83" t="s">
        <v>7188</v>
      </c>
      <c r="H1769" s="83">
        <v>0</v>
      </c>
      <c r="I1769" s="83" t="s">
        <v>3229</v>
      </c>
      <c r="J1769" s="83" t="s">
        <v>3238</v>
      </c>
      <c r="K1769" s="83" t="s">
        <v>3215</v>
      </c>
    </row>
    <row r="1770" spans="1:11" ht="51.75" x14ac:dyDescent="0.25">
      <c r="A1770" s="83" t="s">
        <v>2516</v>
      </c>
      <c r="B1770" s="83" t="s">
        <v>3208</v>
      </c>
      <c r="C1770" s="83" t="s">
        <v>3208</v>
      </c>
      <c r="D1770" s="83" t="s">
        <v>3713</v>
      </c>
      <c r="E1770" s="83" t="s">
        <v>3761</v>
      </c>
      <c r="F1770" s="83" t="s">
        <v>3886</v>
      </c>
      <c r="G1770" s="83" t="s">
        <v>3838</v>
      </c>
      <c r="H1770" s="83">
        <v>0</v>
      </c>
      <c r="I1770" s="83" t="s">
        <v>3213</v>
      </c>
      <c r="J1770" s="83" t="s">
        <v>3214</v>
      </c>
      <c r="K1770" s="83" t="s">
        <v>3215</v>
      </c>
    </row>
    <row r="1771" spans="1:11" ht="26.25" x14ac:dyDescent="0.25">
      <c r="A1771" s="83" t="s">
        <v>769</v>
      </c>
      <c r="B1771" s="83" t="s">
        <v>3208</v>
      </c>
      <c r="C1771" s="83" t="s">
        <v>3208</v>
      </c>
      <c r="D1771" s="83" t="s">
        <v>3209</v>
      </c>
      <c r="E1771" s="83" t="s">
        <v>3210</v>
      </c>
      <c r="F1771" s="83" t="s">
        <v>7189</v>
      </c>
      <c r="G1771" s="83" t="s">
        <v>6832</v>
      </c>
      <c r="H1771" s="83">
        <v>24.1</v>
      </c>
      <c r="I1771" s="83" t="s">
        <v>3213</v>
      </c>
      <c r="J1771" s="83" t="s">
        <v>3896</v>
      </c>
      <c r="K1771" s="83" t="s">
        <v>3215</v>
      </c>
    </row>
    <row r="1772" spans="1:11" ht="51.75" x14ac:dyDescent="0.25">
      <c r="A1772" s="83" t="s">
        <v>2711</v>
      </c>
      <c r="B1772" s="83" t="s">
        <v>3208</v>
      </c>
      <c r="C1772" s="83" t="s">
        <v>3208</v>
      </c>
      <c r="D1772" s="83" t="s">
        <v>3713</v>
      </c>
      <c r="E1772" s="83" t="s">
        <v>3761</v>
      </c>
      <c r="F1772" s="83" t="s">
        <v>6433</v>
      </c>
      <c r="G1772" s="83" t="s">
        <v>6434</v>
      </c>
      <c r="H1772" s="83">
        <v>0</v>
      </c>
      <c r="I1772" s="83" t="s">
        <v>3229</v>
      </c>
      <c r="J1772" s="83" t="s">
        <v>3332</v>
      </c>
      <c r="K1772" s="83" t="s">
        <v>3215</v>
      </c>
    </row>
    <row r="1773" spans="1:11" ht="64.5" x14ac:dyDescent="0.25">
      <c r="A1773" s="83" t="s">
        <v>1885</v>
      </c>
      <c r="B1773" s="83" t="s">
        <v>3208</v>
      </c>
      <c r="C1773" s="83" t="s">
        <v>3208</v>
      </c>
      <c r="D1773" s="83" t="s">
        <v>3713</v>
      </c>
      <c r="E1773" s="83" t="s">
        <v>3761</v>
      </c>
      <c r="F1773" s="83" t="s">
        <v>7190</v>
      </c>
      <c r="G1773" s="83" t="s">
        <v>6051</v>
      </c>
      <c r="H1773" s="83">
        <v>0</v>
      </c>
      <c r="I1773" s="83" t="s">
        <v>3213</v>
      </c>
      <c r="J1773" s="83" t="s">
        <v>3262</v>
      </c>
      <c r="K1773" s="83" t="s">
        <v>3215</v>
      </c>
    </row>
    <row r="1774" spans="1:11" ht="51.75" x14ac:dyDescent="0.25">
      <c r="A1774" s="83" t="s">
        <v>2537</v>
      </c>
      <c r="B1774" s="83" t="s">
        <v>3208</v>
      </c>
      <c r="C1774" s="83" t="s">
        <v>3208</v>
      </c>
      <c r="D1774" s="83" t="s">
        <v>3713</v>
      </c>
      <c r="E1774" s="83" t="s">
        <v>3761</v>
      </c>
      <c r="F1774" s="83" t="s">
        <v>7191</v>
      </c>
      <c r="G1774" s="83" t="s">
        <v>5755</v>
      </c>
      <c r="H1774" s="83">
        <v>0</v>
      </c>
      <c r="I1774" s="83" t="s">
        <v>3213</v>
      </c>
      <c r="J1774" s="83" t="s">
        <v>3214</v>
      </c>
      <c r="K1774" s="83" t="s">
        <v>3215</v>
      </c>
    </row>
    <row r="1775" spans="1:11" ht="51.75" x14ac:dyDescent="0.25">
      <c r="A1775" s="83" t="s">
        <v>7192</v>
      </c>
      <c r="B1775" s="83" t="s">
        <v>3208</v>
      </c>
      <c r="C1775" s="83" t="s">
        <v>3208</v>
      </c>
      <c r="D1775" s="83" t="s">
        <v>3965</v>
      </c>
      <c r="E1775" s="83" t="s">
        <v>4054</v>
      </c>
      <c r="F1775" s="83" t="s">
        <v>3980</v>
      </c>
      <c r="G1775" s="83" t="s">
        <v>7193</v>
      </c>
      <c r="H1775" s="83">
        <v>0</v>
      </c>
      <c r="I1775" s="83" t="s">
        <v>3213</v>
      </c>
      <c r="J1775" s="83" t="s">
        <v>3538</v>
      </c>
      <c r="K1775" s="83" t="s">
        <v>3215</v>
      </c>
    </row>
    <row r="1776" spans="1:11" ht="51.75" x14ac:dyDescent="0.25">
      <c r="A1776" s="83" t="s">
        <v>2643</v>
      </c>
      <c r="B1776" s="83" t="s">
        <v>3208</v>
      </c>
      <c r="C1776" s="83" t="s">
        <v>3208</v>
      </c>
      <c r="D1776" s="83" t="s">
        <v>3713</v>
      </c>
      <c r="E1776" s="83" t="s">
        <v>3761</v>
      </c>
      <c r="F1776" s="83" t="s">
        <v>3901</v>
      </c>
      <c r="G1776" s="83" t="s">
        <v>4134</v>
      </c>
      <c r="H1776" s="83">
        <v>0</v>
      </c>
      <c r="I1776" s="83" t="s">
        <v>3229</v>
      </c>
      <c r="J1776" s="83" t="s">
        <v>3230</v>
      </c>
      <c r="K1776" s="83" t="s">
        <v>3215</v>
      </c>
    </row>
    <row r="1777" spans="1:11" ht="26.25" x14ac:dyDescent="0.25">
      <c r="A1777" s="83" t="s">
        <v>7194</v>
      </c>
      <c r="B1777" s="83" t="s">
        <v>3208</v>
      </c>
      <c r="C1777" s="83" t="s">
        <v>3208</v>
      </c>
      <c r="D1777" s="83" t="s">
        <v>3713</v>
      </c>
      <c r="E1777" s="83" t="s">
        <v>3714</v>
      </c>
      <c r="F1777" s="83" t="s">
        <v>5652</v>
      </c>
      <c r="G1777" s="83" t="s">
        <v>5653</v>
      </c>
      <c r="H1777" s="83">
        <v>0</v>
      </c>
      <c r="I1777" s="83" t="s">
        <v>3208</v>
      </c>
      <c r="J1777" s="83" t="s">
        <v>3208</v>
      </c>
      <c r="K1777" s="83" t="s">
        <v>3208</v>
      </c>
    </row>
    <row r="1778" spans="1:11" ht="64.5" x14ac:dyDescent="0.25">
      <c r="A1778" s="83" t="s">
        <v>550</v>
      </c>
      <c r="B1778" s="83" t="s">
        <v>7195</v>
      </c>
      <c r="C1778" s="83" t="s">
        <v>3208</v>
      </c>
      <c r="D1778" s="83" t="s">
        <v>3209</v>
      </c>
      <c r="E1778" s="83" t="s">
        <v>3226</v>
      </c>
      <c r="F1778" s="83" t="s">
        <v>7196</v>
      </c>
      <c r="G1778" s="83" t="s">
        <v>7186</v>
      </c>
      <c r="H1778" s="83">
        <v>9</v>
      </c>
      <c r="I1778" s="83" t="s">
        <v>3213</v>
      </c>
      <c r="J1778" s="83" t="s">
        <v>3219</v>
      </c>
      <c r="K1778" s="83" t="s">
        <v>3215</v>
      </c>
    </row>
    <row r="1779" spans="1:11" ht="26.25" x14ac:dyDescent="0.25">
      <c r="A1779" s="83" t="s">
        <v>7197</v>
      </c>
      <c r="B1779" s="83" t="s">
        <v>3208</v>
      </c>
      <c r="C1779" s="83" t="s">
        <v>3208</v>
      </c>
      <c r="D1779" s="83" t="s">
        <v>3713</v>
      </c>
      <c r="E1779" s="83" t="s">
        <v>3714</v>
      </c>
      <c r="F1779" s="83" t="s">
        <v>5652</v>
      </c>
      <c r="G1779" s="83" t="s">
        <v>5653</v>
      </c>
      <c r="H1779" s="83">
        <v>0</v>
      </c>
      <c r="I1779" s="83" t="s">
        <v>3208</v>
      </c>
      <c r="J1779" s="83" t="s">
        <v>3208</v>
      </c>
      <c r="K1779" s="83" t="s">
        <v>3208</v>
      </c>
    </row>
    <row r="1780" spans="1:11" ht="26.25" x14ac:dyDescent="0.25">
      <c r="A1780" s="83" t="s">
        <v>7198</v>
      </c>
      <c r="B1780" s="83" t="s">
        <v>3208</v>
      </c>
      <c r="C1780" s="83" t="s">
        <v>3208</v>
      </c>
      <c r="D1780" s="83" t="s">
        <v>3713</v>
      </c>
      <c r="E1780" s="83" t="s">
        <v>3714</v>
      </c>
      <c r="F1780" s="83" t="s">
        <v>7199</v>
      </c>
      <c r="G1780" s="83" t="s">
        <v>7200</v>
      </c>
      <c r="H1780" s="83">
        <v>0</v>
      </c>
      <c r="I1780" s="83" t="s">
        <v>3208</v>
      </c>
      <c r="J1780" s="83" t="s">
        <v>3208</v>
      </c>
      <c r="K1780" s="83" t="s">
        <v>3208</v>
      </c>
    </row>
    <row r="1781" spans="1:11" x14ac:dyDescent="0.25">
      <c r="A1781" s="83" t="s">
        <v>7201</v>
      </c>
      <c r="B1781" s="83" t="s">
        <v>7202</v>
      </c>
      <c r="C1781" s="83" t="s">
        <v>7203</v>
      </c>
      <c r="D1781" s="83" t="s">
        <v>3209</v>
      </c>
      <c r="E1781" s="83" t="s">
        <v>3702</v>
      </c>
      <c r="F1781" s="83" t="s">
        <v>7204</v>
      </c>
      <c r="G1781" s="83" t="s">
        <v>7205</v>
      </c>
      <c r="H1781" s="83">
        <v>5.0999999999999996</v>
      </c>
      <c r="I1781" s="83" t="s">
        <v>3208</v>
      </c>
      <c r="J1781" s="83" t="s">
        <v>3208</v>
      </c>
      <c r="K1781" s="83" t="s">
        <v>3208</v>
      </c>
    </row>
    <row r="1782" spans="1:11" ht="51.75" x14ac:dyDescent="0.25">
      <c r="A1782" s="83" t="s">
        <v>784</v>
      </c>
      <c r="B1782" s="83" t="s">
        <v>7206</v>
      </c>
      <c r="C1782" s="83" t="s">
        <v>3449</v>
      </c>
      <c r="D1782" s="83" t="s">
        <v>3209</v>
      </c>
      <c r="E1782" s="83" t="s">
        <v>3246</v>
      </c>
      <c r="F1782" s="83" t="s">
        <v>7207</v>
      </c>
      <c r="G1782" s="83" t="s">
        <v>7208</v>
      </c>
      <c r="H1782" s="83">
        <v>20</v>
      </c>
      <c r="I1782" s="83" t="s">
        <v>3229</v>
      </c>
      <c r="J1782" s="83" t="s">
        <v>3230</v>
      </c>
      <c r="K1782" s="83" t="s">
        <v>3215</v>
      </c>
    </row>
    <row r="1783" spans="1:11" ht="51.75" x14ac:dyDescent="0.25">
      <c r="A1783" s="83" t="s">
        <v>7209</v>
      </c>
      <c r="B1783" s="83" t="s">
        <v>3208</v>
      </c>
      <c r="C1783" s="83" t="s">
        <v>3208</v>
      </c>
      <c r="D1783" s="83" t="s">
        <v>3965</v>
      </c>
      <c r="E1783" s="83" t="s">
        <v>4054</v>
      </c>
      <c r="F1783" s="83" t="s">
        <v>7210</v>
      </c>
      <c r="G1783" s="83" t="s">
        <v>7211</v>
      </c>
      <c r="H1783" s="83">
        <v>0</v>
      </c>
      <c r="I1783" s="83" t="s">
        <v>3213</v>
      </c>
      <c r="J1783" s="83" t="s">
        <v>3271</v>
      </c>
      <c r="K1783" s="83" t="s">
        <v>3215</v>
      </c>
    </row>
    <row r="1784" spans="1:11" ht="51.75" x14ac:dyDescent="0.25">
      <c r="A1784" s="83" t="s">
        <v>721</v>
      </c>
      <c r="B1784" s="83" t="s">
        <v>3208</v>
      </c>
      <c r="C1784" s="83" t="s">
        <v>3208</v>
      </c>
      <c r="D1784" s="83" t="s">
        <v>3209</v>
      </c>
      <c r="E1784" s="83" t="s">
        <v>3210</v>
      </c>
      <c r="F1784" s="83" t="s">
        <v>7212</v>
      </c>
      <c r="G1784" s="83" t="s">
        <v>7213</v>
      </c>
      <c r="H1784" s="83">
        <v>17.3</v>
      </c>
      <c r="I1784" s="83" t="s">
        <v>3229</v>
      </c>
      <c r="J1784" s="83" t="s">
        <v>3289</v>
      </c>
      <c r="K1784" s="83" t="s">
        <v>3215</v>
      </c>
    </row>
    <row r="1785" spans="1:11" ht="26.25" x14ac:dyDescent="0.25">
      <c r="A1785" s="83" t="s">
        <v>7214</v>
      </c>
      <c r="B1785" s="83" t="s">
        <v>3208</v>
      </c>
      <c r="C1785" s="83" t="s">
        <v>3208</v>
      </c>
      <c r="D1785" s="83" t="s">
        <v>3713</v>
      </c>
      <c r="E1785" s="83" t="s">
        <v>3714</v>
      </c>
      <c r="F1785" s="83" t="s">
        <v>4087</v>
      </c>
      <c r="G1785" s="83" t="s">
        <v>4088</v>
      </c>
      <c r="H1785" s="83">
        <v>0</v>
      </c>
      <c r="I1785" s="83" t="s">
        <v>3208</v>
      </c>
      <c r="J1785" s="83" t="s">
        <v>3208</v>
      </c>
      <c r="K1785" s="83" t="s">
        <v>3208</v>
      </c>
    </row>
    <row r="1786" spans="1:11" ht="39" x14ac:dyDescent="0.25">
      <c r="A1786" s="83" t="s">
        <v>2724</v>
      </c>
      <c r="B1786" s="83" t="s">
        <v>3208</v>
      </c>
      <c r="C1786" s="83" t="s">
        <v>3208</v>
      </c>
      <c r="D1786" s="83" t="s">
        <v>3713</v>
      </c>
      <c r="E1786" s="83" t="s">
        <v>3761</v>
      </c>
      <c r="F1786" s="83" t="s">
        <v>7215</v>
      </c>
      <c r="G1786" s="83" t="s">
        <v>7216</v>
      </c>
      <c r="H1786" s="83">
        <v>0</v>
      </c>
      <c r="I1786" s="83" t="s">
        <v>3229</v>
      </c>
      <c r="J1786" s="83" t="s">
        <v>356</v>
      </c>
      <c r="K1786" s="83" t="s">
        <v>3215</v>
      </c>
    </row>
    <row r="1787" spans="1:11" ht="26.25" x14ac:dyDescent="0.25">
      <c r="A1787" s="83" t="s">
        <v>964</v>
      </c>
      <c r="B1787" s="83" t="s">
        <v>7217</v>
      </c>
      <c r="C1787" s="83" t="s">
        <v>7218</v>
      </c>
      <c r="D1787" s="83" t="s">
        <v>3209</v>
      </c>
      <c r="E1787" s="83" t="s">
        <v>3246</v>
      </c>
      <c r="F1787" s="83" t="s">
        <v>7219</v>
      </c>
      <c r="G1787" s="83" t="s">
        <v>6608</v>
      </c>
      <c r="H1787" s="83">
        <v>9</v>
      </c>
      <c r="I1787" s="83" t="s">
        <v>3213</v>
      </c>
      <c r="J1787" s="83" t="s">
        <v>3467</v>
      </c>
      <c r="K1787" s="83" t="s">
        <v>3215</v>
      </c>
    </row>
    <row r="1788" spans="1:11" x14ac:dyDescent="0.25">
      <c r="A1788" s="83" t="s">
        <v>7220</v>
      </c>
      <c r="B1788" s="83" t="s">
        <v>3208</v>
      </c>
      <c r="C1788" s="83" t="s">
        <v>3208</v>
      </c>
      <c r="D1788" s="83" t="s">
        <v>3965</v>
      </c>
      <c r="E1788" s="83" t="s">
        <v>3966</v>
      </c>
      <c r="F1788" s="83" t="s">
        <v>7221</v>
      </c>
      <c r="G1788" s="83" t="s">
        <v>7222</v>
      </c>
      <c r="H1788" s="83">
        <v>0</v>
      </c>
      <c r="I1788" s="83" t="s">
        <v>3208</v>
      </c>
      <c r="J1788" s="83" t="s">
        <v>3208</v>
      </c>
      <c r="K1788" s="83" t="s">
        <v>3208</v>
      </c>
    </row>
    <row r="1789" spans="1:11" ht="26.25" x14ac:dyDescent="0.25">
      <c r="A1789" s="83" t="s">
        <v>7223</v>
      </c>
      <c r="B1789" s="83" t="s">
        <v>3208</v>
      </c>
      <c r="C1789" s="83" t="s">
        <v>3208</v>
      </c>
      <c r="D1789" s="83" t="s">
        <v>3713</v>
      </c>
      <c r="E1789" s="83" t="s">
        <v>3714</v>
      </c>
      <c r="F1789" s="83" t="s">
        <v>7224</v>
      </c>
      <c r="G1789" s="83" t="s">
        <v>5025</v>
      </c>
      <c r="H1789" s="83">
        <v>0</v>
      </c>
      <c r="I1789" s="83" t="s">
        <v>3208</v>
      </c>
      <c r="J1789" s="83" t="s">
        <v>3208</v>
      </c>
      <c r="K1789" s="83" t="s">
        <v>3208</v>
      </c>
    </row>
    <row r="1790" spans="1:11" ht="26.25" x14ac:dyDescent="0.25">
      <c r="A1790" s="83" t="s">
        <v>962</v>
      </c>
      <c r="B1790" s="83" t="s">
        <v>7217</v>
      </c>
      <c r="C1790" s="83" t="s">
        <v>7225</v>
      </c>
      <c r="D1790" s="83" t="s">
        <v>3209</v>
      </c>
      <c r="E1790" s="83" t="s">
        <v>3246</v>
      </c>
      <c r="F1790" s="83" t="s">
        <v>7219</v>
      </c>
      <c r="G1790" s="83" t="s">
        <v>6608</v>
      </c>
      <c r="H1790" s="83">
        <v>19.399999999999999</v>
      </c>
      <c r="I1790" s="83" t="s">
        <v>3213</v>
      </c>
      <c r="J1790" s="83" t="s">
        <v>3467</v>
      </c>
      <c r="K1790" s="83" t="s">
        <v>3215</v>
      </c>
    </row>
    <row r="1791" spans="1:11" ht="64.5" x14ac:dyDescent="0.25">
      <c r="A1791" s="83" t="s">
        <v>1863</v>
      </c>
      <c r="B1791" s="83" t="s">
        <v>3208</v>
      </c>
      <c r="C1791" s="83" t="s">
        <v>3208</v>
      </c>
      <c r="D1791" s="83" t="s">
        <v>3713</v>
      </c>
      <c r="E1791" s="83" t="s">
        <v>3761</v>
      </c>
      <c r="F1791" s="83" t="s">
        <v>7226</v>
      </c>
      <c r="G1791" s="83" t="s">
        <v>3824</v>
      </c>
      <c r="H1791" s="83">
        <v>0</v>
      </c>
      <c r="I1791" s="83" t="s">
        <v>3213</v>
      </c>
      <c r="J1791" s="83" t="s">
        <v>3262</v>
      </c>
      <c r="K1791" s="83" t="s">
        <v>3215</v>
      </c>
    </row>
    <row r="1792" spans="1:11" ht="51.75" x14ac:dyDescent="0.25">
      <c r="A1792" s="83" t="s">
        <v>2682</v>
      </c>
      <c r="B1792" s="83" t="s">
        <v>3208</v>
      </c>
      <c r="C1792" s="83" t="s">
        <v>3208</v>
      </c>
      <c r="D1792" s="83" t="s">
        <v>3713</v>
      </c>
      <c r="E1792" s="83" t="s">
        <v>3761</v>
      </c>
      <c r="F1792" s="83" t="s">
        <v>4890</v>
      </c>
      <c r="G1792" s="83" t="s">
        <v>7227</v>
      </c>
      <c r="H1792" s="83">
        <v>0</v>
      </c>
      <c r="I1792" s="83" t="s">
        <v>3229</v>
      </c>
      <c r="J1792" s="83" t="s">
        <v>4430</v>
      </c>
      <c r="K1792" s="83" t="s">
        <v>3215</v>
      </c>
    </row>
    <row r="1793" spans="1:11" ht="26.25" x14ac:dyDescent="0.25">
      <c r="A1793" s="83" t="s">
        <v>7228</v>
      </c>
      <c r="B1793" s="83" t="s">
        <v>3208</v>
      </c>
      <c r="C1793" s="83" t="s">
        <v>3208</v>
      </c>
      <c r="D1793" s="83" t="s">
        <v>3713</v>
      </c>
      <c r="E1793" s="83" t="s">
        <v>3714</v>
      </c>
      <c r="F1793" s="83" t="s">
        <v>7229</v>
      </c>
      <c r="G1793" s="83" t="s">
        <v>5504</v>
      </c>
      <c r="H1793" s="83">
        <v>0</v>
      </c>
      <c r="I1793" s="83" t="s">
        <v>3208</v>
      </c>
      <c r="J1793" s="83" t="s">
        <v>3208</v>
      </c>
      <c r="K1793" s="83" t="s">
        <v>3208</v>
      </c>
    </row>
    <row r="1794" spans="1:11" ht="26.25" x14ac:dyDescent="0.25">
      <c r="A1794" s="83" t="s">
        <v>7230</v>
      </c>
      <c r="B1794" s="83" t="s">
        <v>3208</v>
      </c>
      <c r="C1794" s="83" t="s">
        <v>3208</v>
      </c>
      <c r="D1794" s="83" t="s">
        <v>3713</v>
      </c>
      <c r="E1794" s="83" t="s">
        <v>3714</v>
      </c>
      <c r="F1794" s="83" t="s">
        <v>7231</v>
      </c>
      <c r="G1794" s="83" t="s">
        <v>7232</v>
      </c>
      <c r="H1794" s="83">
        <v>0</v>
      </c>
      <c r="I1794" s="83" t="s">
        <v>3208</v>
      </c>
      <c r="J1794" s="83" t="s">
        <v>3208</v>
      </c>
      <c r="K1794" s="83" t="s">
        <v>3208</v>
      </c>
    </row>
    <row r="1795" spans="1:11" ht="51.75" x14ac:dyDescent="0.25">
      <c r="A1795" s="83" t="s">
        <v>164</v>
      </c>
      <c r="B1795" s="83" t="s">
        <v>3208</v>
      </c>
      <c r="C1795" s="83" t="s">
        <v>3208</v>
      </c>
      <c r="D1795" s="83" t="s">
        <v>3713</v>
      </c>
      <c r="E1795" s="83" t="s">
        <v>3761</v>
      </c>
      <c r="F1795" s="83" t="s">
        <v>6495</v>
      </c>
      <c r="G1795" s="83" t="s">
        <v>4968</v>
      </c>
      <c r="H1795" s="83">
        <v>0</v>
      </c>
      <c r="I1795" s="83" t="s">
        <v>3229</v>
      </c>
      <c r="J1795" s="83" t="s">
        <v>3371</v>
      </c>
      <c r="K1795" s="83" t="s">
        <v>3215</v>
      </c>
    </row>
    <row r="1796" spans="1:11" ht="26.25" x14ac:dyDescent="0.25">
      <c r="A1796" s="83" t="s">
        <v>7233</v>
      </c>
      <c r="B1796" s="83" t="s">
        <v>3208</v>
      </c>
      <c r="C1796" s="83" t="s">
        <v>3208</v>
      </c>
      <c r="D1796" s="83" t="s">
        <v>3713</v>
      </c>
      <c r="E1796" s="83" t="s">
        <v>3714</v>
      </c>
      <c r="F1796" s="83" t="s">
        <v>6516</v>
      </c>
      <c r="G1796" s="83" t="s">
        <v>5677</v>
      </c>
      <c r="H1796" s="83">
        <v>0</v>
      </c>
      <c r="I1796" s="83" t="s">
        <v>3208</v>
      </c>
      <c r="J1796" s="83" t="s">
        <v>3208</v>
      </c>
      <c r="K1796" s="83" t="s">
        <v>3208</v>
      </c>
    </row>
    <row r="1797" spans="1:11" ht="26.25" x14ac:dyDescent="0.25">
      <c r="A1797" s="83" t="s">
        <v>7234</v>
      </c>
      <c r="B1797" s="83" t="s">
        <v>3208</v>
      </c>
      <c r="C1797" s="83" t="s">
        <v>7235</v>
      </c>
      <c r="D1797" s="83" t="s">
        <v>3718</v>
      </c>
      <c r="E1797" s="83" t="s">
        <v>3702</v>
      </c>
      <c r="F1797" s="83" t="s">
        <v>7236</v>
      </c>
      <c r="G1797" s="83" t="s">
        <v>5236</v>
      </c>
      <c r="H1797" s="83">
        <v>10</v>
      </c>
      <c r="I1797" s="83" t="s">
        <v>3208</v>
      </c>
      <c r="J1797" s="83" t="s">
        <v>3208</v>
      </c>
      <c r="K1797" s="83" t="s">
        <v>3208</v>
      </c>
    </row>
    <row r="1798" spans="1:11" ht="39" x14ac:dyDescent="0.25">
      <c r="A1798" s="83" t="s">
        <v>65</v>
      </c>
      <c r="B1798" s="83" t="s">
        <v>3208</v>
      </c>
      <c r="C1798" s="83" t="s">
        <v>3208</v>
      </c>
      <c r="D1798" s="83" t="s">
        <v>3713</v>
      </c>
      <c r="E1798" s="83" t="s">
        <v>3761</v>
      </c>
      <c r="F1798" s="83" t="s">
        <v>7237</v>
      </c>
      <c r="G1798" s="83" t="s">
        <v>3237</v>
      </c>
      <c r="H1798" s="83">
        <v>0</v>
      </c>
      <c r="I1798" s="83" t="s">
        <v>3229</v>
      </c>
      <c r="J1798" s="83" t="s">
        <v>3241</v>
      </c>
      <c r="K1798" s="83" t="s">
        <v>3215</v>
      </c>
    </row>
    <row r="1799" spans="1:11" ht="26.25" x14ac:dyDescent="0.25">
      <c r="A1799" s="83" t="s">
        <v>2400</v>
      </c>
      <c r="B1799" s="83" t="s">
        <v>3208</v>
      </c>
      <c r="C1799" s="83" t="s">
        <v>3208</v>
      </c>
      <c r="D1799" s="83" t="s">
        <v>3713</v>
      </c>
      <c r="E1799" s="83" t="s">
        <v>3761</v>
      </c>
      <c r="F1799" s="83" t="s">
        <v>5754</v>
      </c>
      <c r="G1799" s="83" t="s">
        <v>7238</v>
      </c>
      <c r="H1799" s="83">
        <v>0</v>
      </c>
      <c r="I1799" s="83" t="s">
        <v>3229</v>
      </c>
      <c r="J1799" s="83" t="s">
        <v>3222</v>
      </c>
      <c r="K1799" s="83" t="s">
        <v>3215</v>
      </c>
    </row>
    <row r="1800" spans="1:11" ht="26.25" x14ac:dyDescent="0.25">
      <c r="A1800" s="83" t="s">
        <v>7239</v>
      </c>
      <c r="B1800" s="83" t="s">
        <v>3208</v>
      </c>
      <c r="C1800" s="83" t="s">
        <v>3208</v>
      </c>
      <c r="D1800" s="83" t="s">
        <v>3713</v>
      </c>
      <c r="E1800" s="83" t="s">
        <v>3714</v>
      </c>
      <c r="F1800" s="83" t="s">
        <v>7240</v>
      </c>
      <c r="G1800" s="83" t="s">
        <v>7241</v>
      </c>
      <c r="H1800" s="83">
        <v>0</v>
      </c>
      <c r="I1800" s="83" t="s">
        <v>3208</v>
      </c>
      <c r="J1800" s="83" t="s">
        <v>3208</v>
      </c>
      <c r="K1800" s="83" t="s">
        <v>3208</v>
      </c>
    </row>
    <row r="1801" spans="1:11" ht="64.5" x14ac:dyDescent="0.25">
      <c r="A1801" s="83" t="s">
        <v>2756</v>
      </c>
      <c r="B1801" s="83" t="s">
        <v>3208</v>
      </c>
      <c r="C1801" s="83" t="s">
        <v>3208</v>
      </c>
      <c r="D1801" s="83" t="s">
        <v>3713</v>
      </c>
      <c r="E1801" s="83" t="s">
        <v>3761</v>
      </c>
      <c r="F1801" s="83" t="s">
        <v>7242</v>
      </c>
      <c r="G1801" s="83" t="s">
        <v>7243</v>
      </c>
      <c r="H1801" s="83">
        <v>0</v>
      </c>
      <c r="I1801" s="83" t="s">
        <v>3229</v>
      </c>
      <c r="J1801" s="83" t="s">
        <v>3380</v>
      </c>
      <c r="K1801" s="83" t="s">
        <v>3215</v>
      </c>
    </row>
    <row r="1802" spans="1:11" ht="39" x14ac:dyDescent="0.25">
      <c r="A1802" s="83" t="s">
        <v>2749</v>
      </c>
      <c r="B1802" s="83" t="s">
        <v>3208</v>
      </c>
      <c r="C1802" s="83" t="s">
        <v>3208</v>
      </c>
      <c r="D1802" s="83" t="s">
        <v>3713</v>
      </c>
      <c r="E1802" s="83" t="s">
        <v>3761</v>
      </c>
      <c r="F1802" s="83" t="s">
        <v>4123</v>
      </c>
      <c r="G1802" s="83" t="s">
        <v>3795</v>
      </c>
      <c r="H1802" s="83">
        <v>0</v>
      </c>
      <c r="I1802" s="83" t="s">
        <v>3229</v>
      </c>
      <c r="J1802" s="83" t="s">
        <v>3241</v>
      </c>
      <c r="K1802" s="83" t="s">
        <v>3215</v>
      </c>
    </row>
    <row r="1803" spans="1:11" ht="39" x14ac:dyDescent="0.25">
      <c r="A1803" s="83" t="s">
        <v>2772</v>
      </c>
      <c r="B1803" s="83" t="s">
        <v>3208</v>
      </c>
      <c r="C1803" s="83" t="s">
        <v>3208</v>
      </c>
      <c r="D1803" s="83" t="s">
        <v>3713</v>
      </c>
      <c r="E1803" s="83" t="s">
        <v>3761</v>
      </c>
      <c r="F1803" s="83" t="s">
        <v>4982</v>
      </c>
      <c r="G1803" s="83" t="s">
        <v>5764</v>
      </c>
      <c r="H1803" s="83">
        <v>0</v>
      </c>
      <c r="I1803" s="83" t="s">
        <v>3229</v>
      </c>
      <c r="J1803" s="83" t="s">
        <v>356</v>
      </c>
      <c r="K1803" s="83" t="s">
        <v>3215</v>
      </c>
    </row>
    <row r="1804" spans="1:11" x14ac:dyDescent="0.25">
      <c r="A1804" s="83" t="s">
        <v>7244</v>
      </c>
      <c r="B1804" s="83" t="s">
        <v>3208</v>
      </c>
      <c r="C1804" s="83" t="s">
        <v>3208</v>
      </c>
      <c r="D1804" s="83" t="s">
        <v>3209</v>
      </c>
      <c r="E1804" s="83" t="s">
        <v>3663</v>
      </c>
      <c r="F1804" s="83" t="s">
        <v>5754</v>
      </c>
      <c r="G1804" s="83" t="s">
        <v>5755</v>
      </c>
      <c r="H1804" s="83">
        <v>56</v>
      </c>
      <c r="I1804" s="83" t="s">
        <v>3208</v>
      </c>
      <c r="J1804" s="83" t="s">
        <v>3208</v>
      </c>
      <c r="K1804" s="83" t="s">
        <v>3208</v>
      </c>
    </row>
    <row r="1805" spans="1:11" ht="39" x14ac:dyDescent="0.25">
      <c r="A1805" s="83" t="s">
        <v>2736</v>
      </c>
      <c r="B1805" s="83" t="s">
        <v>3208</v>
      </c>
      <c r="C1805" s="83" t="s">
        <v>3208</v>
      </c>
      <c r="D1805" s="83" t="s">
        <v>3713</v>
      </c>
      <c r="E1805" s="83" t="s">
        <v>3761</v>
      </c>
      <c r="F1805" s="83" t="s">
        <v>7245</v>
      </c>
      <c r="G1805" s="83" t="s">
        <v>7246</v>
      </c>
      <c r="H1805" s="83">
        <v>0</v>
      </c>
      <c r="I1805" s="83" t="s">
        <v>3229</v>
      </c>
      <c r="J1805" s="83" t="s">
        <v>356</v>
      </c>
      <c r="K1805" s="83" t="s">
        <v>3215</v>
      </c>
    </row>
    <row r="1806" spans="1:11" ht="26.25" x14ac:dyDescent="0.25">
      <c r="A1806" s="83" t="s">
        <v>7247</v>
      </c>
      <c r="B1806" s="83" t="s">
        <v>3208</v>
      </c>
      <c r="C1806" s="83" t="s">
        <v>3208</v>
      </c>
      <c r="D1806" s="83" t="s">
        <v>3713</v>
      </c>
      <c r="E1806" s="83" t="s">
        <v>3714</v>
      </c>
      <c r="F1806" s="83" t="s">
        <v>7248</v>
      </c>
      <c r="G1806" s="83" t="s">
        <v>7249</v>
      </c>
      <c r="H1806" s="83">
        <v>0</v>
      </c>
      <c r="I1806" s="83" t="s">
        <v>3208</v>
      </c>
      <c r="J1806" s="83" t="s">
        <v>3208</v>
      </c>
      <c r="K1806" s="83" t="s">
        <v>3208</v>
      </c>
    </row>
    <row r="1807" spans="1:11" ht="26.25" x14ac:dyDescent="0.25">
      <c r="A1807" s="83" t="s">
        <v>1177</v>
      </c>
      <c r="B1807" s="83" t="s">
        <v>7250</v>
      </c>
      <c r="C1807" s="83" t="s">
        <v>7251</v>
      </c>
      <c r="D1807" s="83" t="s">
        <v>3209</v>
      </c>
      <c r="E1807" s="83" t="s">
        <v>3246</v>
      </c>
      <c r="F1807" s="83" t="s">
        <v>7252</v>
      </c>
      <c r="G1807" s="83" t="s">
        <v>3791</v>
      </c>
      <c r="H1807" s="83">
        <v>42</v>
      </c>
      <c r="I1807" s="83" t="s">
        <v>3229</v>
      </c>
      <c r="J1807" s="83" t="s">
        <v>3311</v>
      </c>
      <c r="K1807" s="83" t="s">
        <v>3215</v>
      </c>
    </row>
    <row r="1808" spans="1:11" ht="26.25" x14ac:dyDescent="0.25">
      <c r="A1808" s="83" t="s">
        <v>7253</v>
      </c>
      <c r="B1808" s="83" t="s">
        <v>3208</v>
      </c>
      <c r="C1808" s="83" t="s">
        <v>7254</v>
      </c>
      <c r="D1808" s="83" t="s">
        <v>3741</v>
      </c>
      <c r="E1808" s="83" t="s">
        <v>3702</v>
      </c>
      <c r="F1808" s="83" t="s">
        <v>4126</v>
      </c>
      <c r="G1808" s="83" t="s">
        <v>7255</v>
      </c>
      <c r="H1808" s="83">
        <v>1.1000000000000001</v>
      </c>
      <c r="I1808" s="83" t="s">
        <v>3208</v>
      </c>
      <c r="J1808" s="83" t="s">
        <v>3208</v>
      </c>
      <c r="K1808" s="83" t="s">
        <v>3208</v>
      </c>
    </row>
    <row r="1809" spans="1:11" ht="26.25" x14ac:dyDescent="0.25">
      <c r="A1809" s="83" t="s">
        <v>7256</v>
      </c>
      <c r="B1809" s="83" t="s">
        <v>3208</v>
      </c>
      <c r="C1809" s="83" t="s">
        <v>3208</v>
      </c>
      <c r="D1809" s="83" t="s">
        <v>3713</v>
      </c>
      <c r="E1809" s="83" t="s">
        <v>3714</v>
      </c>
      <c r="F1809" s="83" t="s">
        <v>6516</v>
      </c>
      <c r="G1809" s="83" t="s">
        <v>5677</v>
      </c>
      <c r="H1809" s="83">
        <v>0</v>
      </c>
      <c r="I1809" s="83" t="s">
        <v>3208</v>
      </c>
      <c r="J1809" s="83" t="s">
        <v>3208</v>
      </c>
      <c r="K1809" s="83" t="s">
        <v>3208</v>
      </c>
    </row>
    <row r="1810" spans="1:11" ht="51.75" x14ac:dyDescent="0.25">
      <c r="A1810" s="83" t="s">
        <v>7257</v>
      </c>
      <c r="B1810" s="83" t="s">
        <v>3208</v>
      </c>
      <c r="C1810" s="83" t="s">
        <v>3208</v>
      </c>
      <c r="D1810" s="83" t="s">
        <v>3713</v>
      </c>
      <c r="E1810" s="83" t="s">
        <v>3714</v>
      </c>
      <c r="F1810" s="83" t="s">
        <v>7258</v>
      </c>
      <c r="G1810" s="83" t="s">
        <v>5670</v>
      </c>
      <c r="H1810" s="83">
        <v>0</v>
      </c>
      <c r="I1810" s="83" t="s">
        <v>3229</v>
      </c>
      <c r="J1810" s="83" t="s">
        <v>3332</v>
      </c>
      <c r="K1810" s="83" t="s">
        <v>3215</v>
      </c>
    </row>
    <row r="1811" spans="1:11" ht="64.5" x14ac:dyDescent="0.25">
      <c r="A1811" s="83" t="s">
        <v>382</v>
      </c>
      <c r="B1811" s="83" t="s">
        <v>3208</v>
      </c>
      <c r="C1811" s="83" t="s">
        <v>7259</v>
      </c>
      <c r="D1811" s="83" t="s">
        <v>4157</v>
      </c>
      <c r="E1811" s="83" t="s">
        <v>3727</v>
      </c>
      <c r="F1811" s="83" t="s">
        <v>7260</v>
      </c>
      <c r="G1811" s="83" t="s">
        <v>7261</v>
      </c>
      <c r="H1811" s="83">
        <v>0.14000000000000001</v>
      </c>
      <c r="I1811" s="83" t="s">
        <v>3213</v>
      </c>
      <c r="J1811" s="83" t="s">
        <v>3262</v>
      </c>
      <c r="K1811" s="83" t="s">
        <v>3215</v>
      </c>
    </row>
    <row r="1812" spans="1:11" ht="51.75" x14ac:dyDescent="0.25">
      <c r="A1812" s="83" t="s">
        <v>2843</v>
      </c>
      <c r="B1812" s="83" t="s">
        <v>3208</v>
      </c>
      <c r="C1812" s="83" t="s">
        <v>3208</v>
      </c>
      <c r="D1812" s="83" t="s">
        <v>3713</v>
      </c>
      <c r="E1812" s="83" t="s">
        <v>3761</v>
      </c>
      <c r="F1812" s="83" t="s">
        <v>4168</v>
      </c>
      <c r="G1812" s="83" t="s">
        <v>7262</v>
      </c>
      <c r="H1812" s="83">
        <v>0</v>
      </c>
      <c r="I1812" s="83" t="s">
        <v>3213</v>
      </c>
      <c r="J1812" s="83" t="s">
        <v>3538</v>
      </c>
      <c r="K1812" s="83" t="s">
        <v>3215</v>
      </c>
    </row>
    <row r="1813" spans="1:11" ht="26.25" x14ac:dyDescent="0.25">
      <c r="A1813" s="83" t="s">
        <v>7263</v>
      </c>
      <c r="B1813" s="83" t="s">
        <v>3208</v>
      </c>
      <c r="C1813" s="83" t="s">
        <v>3208</v>
      </c>
      <c r="D1813" s="83" t="s">
        <v>3713</v>
      </c>
      <c r="E1813" s="83" t="s">
        <v>3714</v>
      </c>
      <c r="F1813" s="83" t="s">
        <v>5836</v>
      </c>
      <c r="G1813" s="83" t="s">
        <v>5837</v>
      </c>
      <c r="H1813" s="83">
        <v>0</v>
      </c>
      <c r="I1813" s="83" t="s">
        <v>3208</v>
      </c>
      <c r="J1813" s="83" t="s">
        <v>3208</v>
      </c>
      <c r="K1813" s="83" t="s">
        <v>3208</v>
      </c>
    </row>
    <row r="1814" spans="1:11" ht="26.25" x14ac:dyDescent="0.25">
      <c r="A1814" s="83" t="s">
        <v>2800</v>
      </c>
      <c r="B1814" s="83" t="s">
        <v>3208</v>
      </c>
      <c r="C1814" s="83" t="s">
        <v>3208</v>
      </c>
      <c r="D1814" s="83" t="s">
        <v>3713</v>
      </c>
      <c r="E1814" s="83" t="s">
        <v>3761</v>
      </c>
      <c r="F1814" s="83" t="s">
        <v>4144</v>
      </c>
      <c r="G1814" s="83" t="s">
        <v>4202</v>
      </c>
      <c r="H1814" s="83">
        <v>0</v>
      </c>
      <c r="I1814" s="83" t="s">
        <v>3213</v>
      </c>
      <c r="J1814" s="83" t="s">
        <v>3467</v>
      </c>
      <c r="K1814" s="83" t="s">
        <v>3215</v>
      </c>
    </row>
    <row r="1815" spans="1:11" ht="51.75" x14ac:dyDescent="0.25">
      <c r="A1815" s="83" t="s">
        <v>7264</v>
      </c>
      <c r="B1815" s="83" t="s">
        <v>3208</v>
      </c>
      <c r="C1815" s="83" t="s">
        <v>3208</v>
      </c>
      <c r="D1815" s="83" t="s">
        <v>3965</v>
      </c>
      <c r="E1815" s="83" t="s">
        <v>4054</v>
      </c>
      <c r="F1815" s="83" t="s">
        <v>6468</v>
      </c>
      <c r="G1815" s="83" t="s">
        <v>5825</v>
      </c>
      <c r="H1815" s="83">
        <v>0</v>
      </c>
      <c r="I1815" s="83" t="s">
        <v>3213</v>
      </c>
      <c r="J1815" s="83" t="s">
        <v>3521</v>
      </c>
      <c r="K1815" s="83" t="s">
        <v>3215</v>
      </c>
    </row>
    <row r="1816" spans="1:11" ht="64.5" x14ac:dyDescent="0.25">
      <c r="A1816" s="83" t="s">
        <v>1825</v>
      </c>
      <c r="B1816" s="83" t="s">
        <v>3208</v>
      </c>
      <c r="C1816" s="83" t="s">
        <v>3208</v>
      </c>
      <c r="D1816" s="83" t="s">
        <v>3713</v>
      </c>
      <c r="E1816" s="83" t="s">
        <v>3761</v>
      </c>
      <c r="F1816" s="83" t="s">
        <v>7265</v>
      </c>
      <c r="G1816" s="83" t="s">
        <v>7266</v>
      </c>
      <c r="H1816" s="83">
        <v>0</v>
      </c>
      <c r="I1816" s="83" t="s">
        <v>3213</v>
      </c>
      <c r="J1816" s="83" t="s">
        <v>3262</v>
      </c>
      <c r="K1816" s="83" t="s">
        <v>3215</v>
      </c>
    </row>
    <row r="1817" spans="1:11" x14ac:dyDescent="0.25">
      <c r="A1817" s="83" t="s">
        <v>7267</v>
      </c>
      <c r="B1817" s="83" t="s">
        <v>3208</v>
      </c>
      <c r="C1817" s="83" t="s">
        <v>3208</v>
      </c>
      <c r="D1817" s="83" t="s">
        <v>3209</v>
      </c>
      <c r="E1817" s="83" t="s">
        <v>3663</v>
      </c>
      <c r="F1817" s="83" t="s">
        <v>7268</v>
      </c>
      <c r="G1817" s="83" t="s">
        <v>6362</v>
      </c>
      <c r="H1817" s="83">
        <v>87</v>
      </c>
      <c r="I1817" s="83" t="s">
        <v>3208</v>
      </c>
      <c r="J1817" s="83" t="s">
        <v>3208</v>
      </c>
      <c r="K1817" s="83" t="s">
        <v>3208</v>
      </c>
    </row>
    <row r="1818" spans="1:11" ht="51.75" x14ac:dyDescent="0.25">
      <c r="A1818" s="83" t="s">
        <v>7269</v>
      </c>
      <c r="B1818" s="83" t="s">
        <v>3208</v>
      </c>
      <c r="C1818" s="83" t="s">
        <v>3208</v>
      </c>
      <c r="D1818" s="83" t="s">
        <v>3713</v>
      </c>
      <c r="E1818" s="83" t="s">
        <v>3714</v>
      </c>
      <c r="F1818" s="83" t="s">
        <v>7270</v>
      </c>
      <c r="G1818" s="83" t="s">
        <v>7271</v>
      </c>
      <c r="H1818" s="83">
        <v>0</v>
      </c>
      <c r="I1818" s="83" t="s">
        <v>3229</v>
      </c>
      <c r="J1818" s="83" t="s">
        <v>3371</v>
      </c>
      <c r="K1818" s="83" t="s">
        <v>3215</v>
      </c>
    </row>
    <row r="1819" spans="1:11" ht="64.5" x14ac:dyDescent="0.25">
      <c r="A1819" s="83" t="s">
        <v>2817</v>
      </c>
      <c r="B1819" s="83" t="s">
        <v>3208</v>
      </c>
      <c r="C1819" s="83" t="s">
        <v>3208</v>
      </c>
      <c r="D1819" s="83" t="s">
        <v>3713</v>
      </c>
      <c r="E1819" s="83" t="s">
        <v>3761</v>
      </c>
      <c r="F1819" s="83" t="s">
        <v>4168</v>
      </c>
      <c r="G1819" s="83" t="s">
        <v>7272</v>
      </c>
      <c r="H1819" s="83">
        <v>0</v>
      </c>
      <c r="I1819" s="83" t="s">
        <v>3229</v>
      </c>
      <c r="J1819" s="83" t="s">
        <v>3380</v>
      </c>
      <c r="K1819" s="83" t="s">
        <v>3215</v>
      </c>
    </row>
    <row r="1820" spans="1:11" ht="26.25" x14ac:dyDescent="0.25">
      <c r="A1820" s="83" t="s">
        <v>2859</v>
      </c>
      <c r="B1820" s="83" t="s">
        <v>3208</v>
      </c>
      <c r="C1820" s="83" t="s">
        <v>3208</v>
      </c>
      <c r="D1820" s="83" t="s">
        <v>3713</v>
      </c>
      <c r="E1820" s="83" t="s">
        <v>3761</v>
      </c>
      <c r="F1820" s="83" t="s">
        <v>7273</v>
      </c>
      <c r="G1820" s="83" t="s">
        <v>7274</v>
      </c>
      <c r="H1820" s="83">
        <v>0</v>
      </c>
      <c r="I1820" s="83" t="s">
        <v>3213</v>
      </c>
      <c r="J1820" s="83" t="s">
        <v>3467</v>
      </c>
      <c r="K1820" s="83" t="s">
        <v>3215</v>
      </c>
    </row>
    <row r="1821" spans="1:11" ht="26.25" x14ac:dyDescent="0.25">
      <c r="A1821" s="83" t="s">
        <v>7275</v>
      </c>
      <c r="B1821" s="83" t="s">
        <v>3208</v>
      </c>
      <c r="C1821" s="83" t="s">
        <v>3208</v>
      </c>
      <c r="D1821" s="83" t="s">
        <v>3713</v>
      </c>
      <c r="E1821" s="83" t="s">
        <v>3714</v>
      </c>
      <c r="F1821" s="83" t="s">
        <v>7276</v>
      </c>
      <c r="G1821" s="83" t="s">
        <v>4556</v>
      </c>
      <c r="H1821" s="83">
        <v>0</v>
      </c>
      <c r="I1821" s="83" t="s">
        <v>3208</v>
      </c>
      <c r="J1821" s="83" t="s">
        <v>3208</v>
      </c>
      <c r="K1821" s="83" t="s">
        <v>3208</v>
      </c>
    </row>
    <row r="1822" spans="1:11" ht="26.25" x14ac:dyDescent="0.25">
      <c r="A1822" s="83" t="s">
        <v>7277</v>
      </c>
      <c r="B1822" s="83" t="s">
        <v>3208</v>
      </c>
      <c r="C1822" s="83" t="s">
        <v>3208</v>
      </c>
      <c r="D1822" s="83" t="s">
        <v>3718</v>
      </c>
      <c r="E1822" s="83" t="s">
        <v>4248</v>
      </c>
      <c r="F1822" s="83" t="s">
        <v>7278</v>
      </c>
      <c r="G1822" s="83" t="s">
        <v>5813</v>
      </c>
      <c r="H1822" s="83">
        <v>0.95</v>
      </c>
      <c r="I1822" s="83" t="s">
        <v>3208</v>
      </c>
      <c r="J1822" s="83" t="s">
        <v>3208</v>
      </c>
      <c r="K1822" s="83" t="s">
        <v>3208</v>
      </c>
    </row>
    <row r="1823" spans="1:11" ht="39" x14ac:dyDescent="0.25">
      <c r="A1823" s="83" t="s">
        <v>401</v>
      </c>
      <c r="B1823" s="83" t="s">
        <v>3208</v>
      </c>
      <c r="C1823" s="83" t="s">
        <v>7279</v>
      </c>
      <c r="D1823" s="83" t="s">
        <v>3718</v>
      </c>
      <c r="E1823" s="83" t="s">
        <v>3727</v>
      </c>
      <c r="F1823" s="83" t="s">
        <v>5783</v>
      </c>
      <c r="G1823" s="83" t="s">
        <v>7280</v>
      </c>
      <c r="H1823" s="83">
        <v>0.6</v>
      </c>
      <c r="I1823" s="83" t="s">
        <v>3229</v>
      </c>
      <c r="J1823" s="83" t="s">
        <v>356</v>
      </c>
      <c r="K1823" s="83" t="s">
        <v>3215</v>
      </c>
    </row>
    <row r="1824" spans="1:11" ht="26.25" x14ac:dyDescent="0.25">
      <c r="A1824" s="83" t="s">
        <v>2867</v>
      </c>
      <c r="B1824" s="83" t="s">
        <v>3208</v>
      </c>
      <c r="C1824" s="83" t="s">
        <v>3208</v>
      </c>
      <c r="D1824" s="83" t="s">
        <v>3713</v>
      </c>
      <c r="E1824" s="83" t="s">
        <v>3761</v>
      </c>
      <c r="F1824" s="83" t="s">
        <v>5073</v>
      </c>
      <c r="G1824" s="83" t="s">
        <v>7281</v>
      </c>
      <c r="H1824" s="83">
        <v>0</v>
      </c>
      <c r="I1824" s="83" t="s">
        <v>3213</v>
      </c>
      <c r="J1824" s="83" t="s">
        <v>3948</v>
      </c>
      <c r="K1824" s="83" t="s">
        <v>3215</v>
      </c>
    </row>
    <row r="1825" spans="1:11" ht="26.25" x14ac:dyDescent="0.25">
      <c r="A1825" s="83" t="s">
        <v>7282</v>
      </c>
      <c r="B1825" s="83" t="s">
        <v>3208</v>
      </c>
      <c r="C1825" s="83" t="s">
        <v>3208</v>
      </c>
      <c r="D1825" s="83" t="s">
        <v>3713</v>
      </c>
      <c r="E1825" s="83" t="s">
        <v>3714</v>
      </c>
      <c r="F1825" s="83" t="s">
        <v>7283</v>
      </c>
      <c r="G1825" s="83" t="s">
        <v>7284</v>
      </c>
      <c r="H1825" s="83">
        <v>0</v>
      </c>
      <c r="I1825" s="83" t="s">
        <v>3208</v>
      </c>
      <c r="J1825" s="83" t="s">
        <v>3208</v>
      </c>
      <c r="K1825" s="83" t="s">
        <v>3208</v>
      </c>
    </row>
    <row r="1826" spans="1:11" ht="51.75" x14ac:dyDescent="0.25">
      <c r="A1826" s="83" t="s">
        <v>2880</v>
      </c>
      <c r="B1826" s="83" t="s">
        <v>3208</v>
      </c>
      <c r="C1826" s="83" t="s">
        <v>3208</v>
      </c>
      <c r="D1826" s="83" t="s">
        <v>3713</v>
      </c>
      <c r="E1826" s="83" t="s">
        <v>3761</v>
      </c>
      <c r="F1826" s="83" t="s">
        <v>7285</v>
      </c>
      <c r="G1826" s="83" t="s">
        <v>7286</v>
      </c>
      <c r="H1826" s="83">
        <v>0</v>
      </c>
      <c r="I1826" s="83" t="s">
        <v>3229</v>
      </c>
      <c r="J1826" s="83" t="s">
        <v>3230</v>
      </c>
      <c r="K1826" s="83" t="s">
        <v>3215</v>
      </c>
    </row>
    <row r="1827" spans="1:11" ht="39" x14ac:dyDescent="0.25">
      <c r="A1827" s="83" t="s">
        <v>355</v>
      </c>
      <c r="B1827" s="83" t="s">
        <v>3208</v>
      </c>
      <c r="C1827" s="83" t="s">
        <v>3208</v>
      </c>
      <c r="D1827" s="83" t="s">
        <v>3209</v>
      </c>
      <c r="E1827" s="83" t="s">
        <v>3210</v>
      </c>
      <c r="F1827" s="83" t="s">
        <v>7276</v>
      </c>
      <c r="G1827" s="83" t="s">
        <v>7287</v>
      </c>
      <c r="H1827" s="83">
        <v>21</v>
      </c>
      <c r="I1827" s="83" t="s">
        <v>3229</v>
      </c>
      <c r="J1827" s="83" t="s">
        <v>356</v>
      </c>
      <c r="K1827" s="83" t="s">
        <v>3215</v>
      </c>
    </row>
    <row r="1828" spans="1:11" ht="26.25" x14ac:dyDescent="0.25">
      <c r="A1828" s="83" t="s">
        <v>2865</v>
      </c>
      <c r="B1828" s="83" t="s">
        <v>3208</v>
      </c>
      <c r="C1828" s="83" t="s">
        <v>3208</v>
      </c>
      <c r="D1828" s="83" t="s">
        <v>3713</v>
      </c>
      <c r="E1828" s="83" t="s">
        <v>3761</v>
      </c>
      <c r="F1828" s="83" t="s">
        <v>7288</v>
      </c>
      <c r="G1828" s="83" t="s">
        <v>5854</v>
      </c>
      <c r="H1828" s="83">
        <v>0</v>
      </c>
      <c r="I1828" s="83" t="s">
        <v>3229</v>
      </c>
      <c r="J1828" s="83" t="s">
        <v>3397</v>
      </c>
      <c r="K1828" s="83" t="s">
        <v>3215</v>
      </c>
    </row>
    <row r="1829" spans="1:11" ht="26.25" x14ac:dyDescent="0.25">
      <c r="A1829" s="83" t="s">
        <v>7289</v>
      </c>
      <c r="B1829" s="83" t="s">
        <v>3208</v>
      </c>
      <c r="C1829" s="83" t="s">
        <v>3208</v>
      </c>
      <c r="D1829" s="83" t="s">
        <v>3713</v>
      </c>
      <c r="E1829" s="83" t="s">
        <v>3714</v>
      </c>
      <c r="F1829" s="83" t="s">
        <v>6570</v>
      </c>
      <c r="G1829" s="83" t="s">
        <v>7290</v>
      </c>
      <c r="H1829" s="83">
        <v>0</v>
      </c>
      <c r="I1829" s="83" t="s">
        <v>3208</v>
      </c>
      <c r="J1829" s="83" t="s">
        <v>3208</v>
      </c>
      <c r="K1829" s="83" t="s">
        <v>3208</v>
      </c>
    </row>
    <row r="1830" spans="1:11" ht="64.5" x14ac:dyDescent="0.25">
      <c r="A1830" s="83" t="s">
        <v>353</v>
      </c>
      <c r="B1830" s="83" t="s">
        <v>3208</v>
      </c>
      <c r="C1830" s="83" t="s">
        <v>3208</v>
      </c>
      <c r="D1830" s="83" t="s">
        <v>3209</v>
      </c>
      <c r="E1830" s="83" t="s">
        <v>3210</v>
      </c>
      <c r="F1830" s="83" t="s">
        <v>5815</v>
      </c>
      <c r="G1830" s="83" t="s">
        <v>4885</v>
      </c>
      <c r="H1830" s="83">
        <v>17.45</v>
      </c>
      <c r="I1830" s="83" t="s">
        <v>3229</v>
      </c>
      <c r="J1830" s="83" t="s">
        <v>3601</v>
      </c>
      <c r="K1830" s="83" t="s">
        <v>3215</v>
      </c>
    </row>
    <row r="1831" spans="1:11" ht="39" x14ac:dyDescent="0.25">
      <c r="A1831" s="83" t="s">
        <v>2705</v>
      </c>
      <c r="B1831" s="83" t="s">
        <v>3208</v>
      </c>
      <c r="C1831" s="83" t="s">
        <v>3208</v>
      </c>
      <c r="D1831" s="83" t="s">
        <v>3713</v>
      </c>
      <c r="E1831" s="83" t="s">
        <v>3761</v>
      </c>
      <c r="F1831" s="83" t="s">
        <v>7291</v>
      </c>
      <c r="G1831" s="83" t="s">
        <v>4220</v>
      </c>
      <c r="H1831" s="83">
        <v>0</v>
      </c>
      <c r="I1831" s="83" t="s">
        <v>3229</v>
      </c>
      <c r="J1831" s="83" t="s">
        <v>2706</v>
      </c>
      <c r="K1831" s="83" t="s">
        <v>3215</v>
      </c>
    </row>
    <row r="1832" spans="1:11" ht="26.25" x14ac:dyDescent="0.25">
      <c r="A1832" s="83" t="s">
        <v>7292</v>
      </c>
      <c r="B1832" s="83" t="s">
        <v>3208</v>
      </c>
      <c r="C1832" s="83" t="s">
        <v>3208</v>
      </c>
      <c r="D1832" s="83" t="s">
        <v>3713</v>
      </c>
      <c r="E1832" s="83" t="s">
        <v>3714</v>
      </c>
      <c r="F1832" s="83" t="s">
        <v>6526</v>
      </c>
      <c r="G1832" s="83" t="s">
        <v>7293</v>
      </c>
      <c r="H1832" s="83">
        <v>0</v>
      </c>
      <c r="I1832" s="83" t="s">
        <v>3208</v>
      </c>
      <c r="J1832" s="83" t="s">
        <v>3208</v>
      </c>
      <c r="K1832" s="83" t="s">
        <v>3208</v>
      </c>
    </row>
    <row r="1833" spans="1:11" ht="26.25" x14ac:dyDescent="0.25">
      <c r="A1833" s="83" t="s">
        <v>7294</v>
      </c>
      <c r="B1833" s="83" t="s">
        <v>3208</v>
      </c>
      <c r="C1833" s="83" t="s">
        <v>3208</v>
      </c>
      <c r="D1833" s="83" t="s">
        <v>3713</v>
      </c>
      <c r="E1833" s="83" t="s">
        <v>3714</v>
      </c>
      <c r="F1833" s="83" t="s">
        <v>5800</v>
      </c>
      <c r="G1833" s="83" t="s">
        <v>7295</v>
      </c>
      <c r="H1833" s="83">
        <v>0</v>
      </c>
      <c r="I1833" s="83" t="s">
        <v>3208</v>
      </c>
      <c r="J1833" s="83" t="s">
        <v>3208</v>
      </c>
      <c r="K1833" s="83" t="s">
        <v>3208</v>
      </c>
    </row>
    <row r="1834" spans="1:11" ht="26.25" x14ac:dyDescent="0.25">
      <c r="A1834" s="83" t="s">
        <v>2825</v>
      </c>
      <c r="B1834" s="83" t="s">
        <v>3208</v>
      </c>
      <c r="C1834" s="83" t="s">
        <v>3208</v>
      </c>
      <c r="D1834" s="83" t="s">
        <v>3713</v>
      </c>
      <c r="E1834" s="83" t="s">
        <v>3761</v>
      </c>
      <c r="F1834" s="83" t="s">
        <v>4144</v>
      </c>
      <c r="G1834" s="83" t="s">
        <v>4145</v>
      </c>
      <c r="H1834" s="83">
        <v>0</v>
      </c>
      <c r="I1834" s="83" t="s">
        <v>3213</v>
      </c>
      <c r="J1834" s="83" t="s">
        <v>3948</v>
      </c>
      <c r="K1834" s="83" t="s">
        <v>3215</v>
      </c>
    </row>
    <row r="1835" spans="1:11" ht="51.75" x14ac:dyDescent="0.25">
      <c r="A1835" s="83" t="s">
        <v>2897</v>
      </c>
      <c r="B1835" s="83" t="s">
        <v>3208</v>
      </c>
      <c r="C1835" s="83" t="s">
        <v>3208</v>
      </c>
      <c r="D1835" s="83" t="s">
        <v>3713</v>
      </c>
      <c r="E1835" s="83" t="s">
        <v>3761</v>
      </c>
      <c r="F1835" s="83" t="s">
        <v>7296</v>
      </c>
      <c r="G1835" s="83" t="s">
        <v>7297</v>
      </c>
      <c r="H1835" s="83">
        <v>0</v>
      </c>
      <c r="I1835" s="83" t="s">
        <v>3229</v>
      </c>
      <c r="J1835" s="83" t="s">
        <v>3230</v>
      </c>
      <c r="K1835" s="83" t="s">
        <v>3215</v>
      </c>
    </row>
    <row r="1836" spans="1:11" ht="26.25" x14ac:dyDescent="0.25">
      <c r="A1836" s="83" t="s">
        <v>7298</v>
      </c>
      <c r="B1836" s="83" t="s">
        <v>3208</v>
      </c>
      <c r="C1836" s="83" t="s">
        <v>3208</v>
      </c>
      <c r="D1836" s="83" t="s">
        <v>3713</v>
      </c>
      <c r="E1836" s="83" t="s">
        <v>3714</v>
      </c>
      <c r="F1836" s="83" t="s">
        <v>6554</v>
      </c>
      <c r="G1836" s="83" t="s">
        <v>6555</v>
      </c>
      <c r="H1836" s="83">
        <v>0</v>
      </c>
      <c r="I1836" s="83" t="s">
        <v>3208</v>
      </c>
      <c r="J1836" s="83" t="s">
        <v>3208</v>
      </c>
      <c r="K1836" s="83" t="s">
        <v>3208</v>
      </c>
    </row>
    <row r="1837" spans="1:11" ht="64.5" x14ac:dyDescent="0.25">
      <c r="A1837" s="83" t="s">
        <v>2833</v>
      </c>
      <c r="B1837" s="83" t="s">
        <v>3208</v>
      </c>
      <c r="C1837" s="83" t="s">
        <v>3208</v>
      </c>
      <c r="D1837" s="83" t="s">
        <v>3713</v>
      </c>
      <c r="E1837" s="83" t="s">
        <v>3761</v>
      </c>
      <c r="F1837" s="83" t="s">
        <v>7299</v>
      </c>
      <c r="G1837" s="83" t="s">
        <v>7300</v>
      </c>
      <c r="H1837" s="83">
        <v>0</v>
      </c>
      <c r="I1837" s="83" t="s">
        <v>3213</v>
      </c>
      <c r="J1837" s="83" t="s">
        <v>3413</v>
      </c>
      <c r="K1837" s="83" t="s">
        <v>3215</v>
      </c>
    </row>
    <row r="1838" spans="1:11" ht="26.25" x14ac:dyDescent="0.25">
      <c r="A1838" s="83" t="s">
        <v>344</v>
      </c>
      <c r="B1838" s="83" t="s">
        <v>3208</v>
      </c>
      <c r="C1838" s="83" t="s">
        <v>7301</v>
      </c>
      <c r="D1838" s="83" t="s">
        <v>4157</v>
      </c>
      <c r="E1838" s="83" t="s">
        <v>3727</v>
      </c>
      <c r="F1838" s="83" t="s">
        <v>5838</v>
      </c>
      <c r="G1838" s="83" t="s">
        <v>7302</v>
      </c>
      <c r="H1838" s="83">
        <v>0.68</v>
      </c>
      <c r="I1838" s="83" t="s">
        <v>3213</v>
      </c>
      <c r="J1838" s="83" t="s">
        <v>3467</v>
      </c>
      <c r="K1838" s="83" t="s">
        <v>3215</v>
      </c>
    </row>
    <row r="1839" spans="1:11" x14ac:dyDescent="0.25">
      <c r="A1839" s="83" t="s">
        <v>7303</v>
      </c>
      <c r="B1839" s="83" t="s">
        <v>3208</v>
      </c>
      <c r="C1839" s="83" t="s">
        <v>3208</v>
      </c>
      <c r="D1839" s="83" t="s">
        <v>3209</v>
      </c>
      <c r="E1839" s="83" t="s">
        <v>3663</v>
      </c>
      <c r="F1839" s="83" t="s">
        <v>5007</v>
      </c>
      <c r="G1839" s="83" t="s">
        <v>5008</v>
      </c>
      <c r="H1839" s="83">
        <v>306</v>
      </c>
      <c r="I1839" s="83" t="s">
        <v>3208</v>
      </c>
      <c r="J1839" s="83" t="s">
        <v>3208</v>
      </c>
      <c r="K1839" s="83" t="s">
        <v>3208</v>
      </c>
    </row>
    <row r="1840" spans="1:11" ht="26.25" x14ac:dyDescent="0.25">
      <c r="A1840" s="83" t="s">
        <v>368</v>
      </c>
      <c r="B1840" s="83" t="s">
        <v>3208</v>
      </c>
      <c r="C1840" s="83" t="s">
        <v>7304</v>
      </c>
      <c r="D1840" s="83" t="s">
        <v>4157</v>
      </c>
      <c r="E1840" s="83" t="s">
        <v>3727</v>
      </c>
      <c r="F1840" s="83" t="s">
        <v>7305</v>
      </c>
      <c r="G1840" s="83" t="s">
        <v>5010</v>
      </c>
      <c r="H1840" s="83">
        <v>0.12</v>
      </c>
      <c r="I1840" s="83" t="s">
        <v>3213</v>
      </c>
      <c r="J1840" s="83" t="s">
        <v>3467</v>
      </c>
      <c r="K1840" s="83" t="s">
        <v>3215</v>
      </c>
    </row>
    <row r="1841" spans="1:11" ht="26.25" x14ac:dyDescent="0.25">
      <c r="A1841" s="83" t="s">
        <v>2823</v>
      </c>
      <c r="B1841" s="83" t="s">
        <v>3208</v>
      </c>
      <c r="C1841" s="83" t="s">
        <v>3208</v>
      </c>
      <c r="D1841" s="83" t="s">
        <v>3713</v>
      </c>
      <c r="E1841" s="83" t="s">
        <v>3714</v>
      </c>
      <c r="F1841" s="83" t="s">
        <v>7306</v>
      </c>
      <c r="G1841" s="83" t="s">
        <v>4164</v>
      </c>
      <c r="H1841" s="83">
        <v>0</v>
      </c>
      <c r="I1841" s="83" t="s">
        <v>3208</v>
      </c>
      <c r="J1841" s="83" t="s">
        <v>3208</v>
      </c>
      <c r="K1841" s="83" t="s">
        <v>3208</v>
      </c>
    </row>
    <row r="1842" spans="1:11" ht="26.25" x14ac:dyDescent="0.25">
      <c r="A1842" s="83" t="s">
        <v>380</v>
      </c>
      <c r="B1842" s="83" t="s">
        <v>3208</v>
      </c>
      <c r="C1842" s="83" t="s">
        <v>7307</v>
      </c>
      <c r="D1842" s="83" t="s">
        <v>4157</v>
      </c>
      <c r="E1842" s="83" t="s">
        <v>3727</v>
      </c>
      <c r="F1842" s="83" t="s">
        <v>7308</v>
      </c>
      <c r="G1842" s="83" t="s">
        <v>6552</v>
      </c>
      <c r="H1842" s="83">
        <v>0.32</v>
      </c>
      <c r="I1842" s="83" t="s">
        <v>3213</v>
      </c>
      <c r="J1842" s="83" t="s">
        <v>3896</v>
      </c>
      <c r="K1842" s="83" t="s">
        <v>3215</v>
      </c>
    </row>
    <row r="1843" spans="1:11" ht="26.25" x14ac:dyDescent="0.25">
      <c r="A1843" s="83" t="s">
        <v>676</v>
      </c>
      <c r="B1843" s="83" t="s">
        <v>3208</v>
      </c>
      <c r="C1843" s="83" t="s">
        <v>7309</v>
      </c>
      <c r="D1843" s="83" t="s">
        <v>3718</v>
      </c>
      <c r="E1843" s="83" t="s">
        <v>3727</v>
      </c>
      <c r="F1843" s="83" t="s">
        <v>7310</v>
      </c>
      <c r="G1843" s="83" t="s">
        <v>5506</v>
      </c>
      <c r="H1843" s="83">
        <v>8</v>
      </c>
      <c r="I1843" s="83" t="s">
        <v>3229</v>
      </c>
      <c r="J1843" s="83" t="s">
        <v>3311</v>
      </c>
      <c r="K1843" s="83" t="s">
        <v>3215</v>
      </c>
    </row>
    <row r="1844" spans="1:11" ht="26.25" x14ac:dyDescent="0.25">
      <c r="A1844" s="83" t="s">
        <v>7311</v>
      </c>
      <c r="B1844" s="83" t="s">
        <v>3208</v>
      </c>
      <c r="C1844" s="83" t="s">
        <v>3208</v>
      </c>
      <c r="D1844" s="83" t="s">
        <v>3713</v>
      </c>
      <c r="E1844" s="83" t="s">
        <v>3714</v>
      </c>
      <c r="F1844" s="83" t="s">
        <v>7312</v>
      </c>
      <c r="G1844" s="83" t="s">
        <v>5311</v>
      </c>
      <c r="H1844" s="83">
        <v>0</v>
      </c>
      <c r="I1844" s="83" t="s">
        <v>3208</v>
      </c>
      <c r="J1844" s="83" t="s">
        <v>3208</v>
      </c>
      <c r="K1844" s="83" t="s">
        <v>3208</v>
      </c>
    </row>
    <row r="1845" spans="1:11" ht="26.25" x14ac:dyDescent="0.25">
      <c r="A1845" s="83" t="s">
        <v>7313</v>
      </c>
      <c r="B1845" s="83" t="s">
        <v>3208</v>
      </c>
      <c r="C1845" s="83" t="s">
        <v>3208</v>
      </c>
      <c r="D1845" s="83" t="s">
        <v>3713</v>
      </c>
      <c r="E1845" s="83" t="s">
        <v>3714</v>
      </c>
      <c r="F1845" s="83" t="s">
        <v>6559</v>
      </c>
      <c r="G1845" s="83" t="s">
        <v>6560</v>
      </c>
      <c r="H1845" s="83">
        <v>0</v>
      </c>
      <c r="I1845" s="83" t="s">
        <v>3208</v>
      </c>
      <c r="J1845" s="83" t="s">
        <v>3208</v>
      </c>
      <c r="K1845" s="83" t="s">
        <v>3208</v>
      </c>
    </row>
    <row r="1846" spans="1:11" ht="26.25" x14ac:dyDescent="0.25">
      <c r="A1846" s="83" t="s">
        <v>583</v>
      </c>
      <c r="B1846" s="83" t="s">
        <v>3208</v>
      </c>
      <c r="C1846" s="83" t="s">
        <v>7314</v>
      </c>
      <c r="D1846" s="83" t="s">
        <v>3718</v>
      </c>
      <c r="E1846" s="83" t="s">
        <v>3727</v>
      </c>
      <c r="F1846" s="83" t="s">
        <v>7315</v>
      </c>
      <c r="G1846" s="83" t="s">
        <v>4211</v>
      </c>
      <c r="H1846" s="83">
        <v>7</v>
      </c>
      <c r="I1846" s="83" t="s">
        <v>3229</v>
      </c>
      <c r="J1846" s="83" t="s">
        <v>3311</v>
      </c>
      <c r="K1846" s="83" t="s">
        <v>3215</v>
      </c>
    </row>
    <row r="1847" spans="1:11" ht="64.5" x14ac:dyDescent="0.25">
      <c r="A1847" s="83" t="s">
        <v>316</v>
      </c>
      <c r="B1847" s="83" t="s">
        <v>3208</v>
      </c>
      <c r="C1847" s="83" t="s">
        <v>7316</v>
      </c>
      <c r="D1847" s="83" t="s">
        <v>4157</v>
      </c>
      <c r="E1847" s="83" t="s">
        <v>3727</v>
      </c>
      <c r="F1847" s="83" t="s">
        <v>7317</v>
      </c>
      <c r="G1847" s="83" t="s">
        <v>7318</v>
      </c>
      <c r="H1847" s="83">
        <v>0.09</v>
      </c>
      <c r="I1847" s="83" t="s">
        <v>3213</v>
      </c>
      <c r="J1847" s="83" t="s">
        <v>3219</v>
      </c>
      <c r="K1847" s="83" t="s">
        <v>3215</v>
      </c>
    </row>
    <row r="1848" spans="1:11" ht="51.75" x14ac:dyDescent="0.25">
      <c r="A1848" s="83" t="s">
        <v>7319</v>
      </c>
      <c r="B1848" s="83" t="s">
        <v>3208</v>
      </c>
      <c r="C1848" s="83" t="s">
        <v>3208</v>
      </c>
      <c r="D1848" s="83" t="s">
        <v>3713</v>
      </c>
      <c r="E1848" s="83" t="s">
        <v>3761</v>
      </c>
      <c r="F1848" s="83" t="s">
        <v>7320</v>
      </c>
      <c r="G1848" s="83" t="s">
        <v>7321</v>
      </c>
      <c r="H1848" s="83">
        <v>0</v>
      </c>
      <c r="I1848" s="83" t="s">
        <v>3229</v>
      </c>
      <c r="J1848" s="83" t="s">
        <v>3371</v>
      </c>
      <c r="K1848" s="83" t="s">
        <v>3215</v>
      </c>
    </row>
    <row r="1849" spans="1:11" ht="26.25" x14ac:dyDescent="0.25">
      <c r="A1849" s="83" t="s">
        <v>7322</v>
      </c>
      <c r="B1849" s="83" t="s">
        <v>3208</v>
      </c>
      <c r="C1849" s="83" t="s">
        <v>3208</v>
      </c>
      <c r="D1849" s="83" t="s">
        <v>3718</v>
      </c>
      <c r="E1849" s="83" t="s">
        <v>4248</v>
      </c>
      <c r="F1849" s="83" t="s">
        <v>7323</v>
      </c>
      <c r="G1849" s="83" t="s">
        <v>4175</v>
      </c>
      <c r="H1849" s="83">
        <v>0</v>
      </c>
      <c r="I1849" s="83" t="s">
        <v>3208</v>
      </c>
      <c r="J1849" s="83" t="s">
        <v>3208</v>
      </c>
      <c r="K1849" s="83" t="s">
        <v>3208</v>
      </c>
    </row>
    <row r="1850" spans="1:11" x14ac:dyDescent="0.25">
      <c r="A1850" s="83" t="s">
        <v>7324</v>
      </c>
      <c r="B1850" s="83" t="s">
        <v>7325</v>
      </c>
      <c r="C1850" s="83" t="s">
        <v>6752</v>
      </c>
      <c r="D1850" s="83" t="s">
        <v>3209</v>
      </c>
      <c r="E1850" s="83" t="s">
        <v>3702</v>
      </c>
      <c r="F1850" s="83" t="s">
        <v>7326</v>
      </c>
      <c r="G1850" s="83" t="s">
        <v>7327</v>
      </c>
      <c r="H1850" s="83">
        <v>0.1</v>
      </c>
      <c r="I1850" s="83" t="s">
        <v>3208</v>
      </c>
      <c r="J1850" s="83" t="s">
        <v>3208</v>
      </c>
      <c r="K1850" s="83" t="s">
        <v>3208</v>
      </c>
    </row>
    <row r="1851" spans="1:11" ht="51.75" x14ac:dyDescent="0.25">
      <c r="A1851" s="83" t="s">
        <v>7328</v>
      </c>
      <c r="B1851" s="83" t="s">
        <v>3208</v>
      </c>
      <c r="C1851" s="83" t="s">
        <v>3208</v>
      </c>
      <c r="D1851" s="83" t="s">
        <v>3741</v>
      </c>
      <c r="E1851" s="83" t="s">
        <v>3210</v>
      </c>
      <c r="F1851" s="83" t="s">
        <v>7329</v>
      </c>
      <c r="G1851" s="83" t="s">
        <v>7330</v>
      </c>
      <c r="H1851" s="83">
        <v>2.2999999999999998</v>
      </c>
      <c r="I1851" s="83" t="s">
        <v>3229</v>
      </c>
      <c r="J1851" s="83" t="s">
        <v>6262</v>
      </c>
      <c r="K1851" s="83" t="s">
        <v>3215</v>
      </c>
    </row>
    <row r="1852" spans="1:11" ht="64.5" x14ac:dyDescent="0.25">
      <c r="A1852" s="83" t="s">
        <v>3181</v>
      </c>
      <c r="B1852" s="83" t="s">
        <v>3208</v>
      </c>
      <c r="C1852" s="83" t="s">
        <v>3208</v>
      </c>
      <c r="D1852" s="83" t="s">
        <v>3713</v>
      </c>
      <c r="E1852" s="83" t="s">
        <v>3761</v>
      </c>
      <c r="F1852" s="83" t="s">
        <v>7306</v>
      </c>
      <c r="G1852" s="83" t="s">
        <v>4164</v>
      </c>
      <c r="H1852" s="83">
        <v>0</v>
      </c>
      <c r="I1852" s="83" t="s">
        <v>3213</v>
      </c>
      <c r="J1852" s="83" t="s">
        <v>3262</v>
      </c>
      <c r="K1852" s="83" t="s">
        <v>3215</v>
      </c>
    </row>
    <row r="1853" spans="1:11" x14ac:dyDescent="0.25">
      <c r="A1853" s="83" t="s">
        <v>1680</v>
      </c>
      <c r="B1853" s="83" t="s">
        <v>7331</v>
      </c>
      <c r="C1853" s="83" t="s">
        <v>7332</v>
      </c>
      <c r="D1853" s="83" t="s">
        <v>3209</v>
      </c>
      <c r="E1853" s="83" t="s">
        <v>3702</v>
      </c>
      <c r="F1853" s="83" t="s">
        <v>7333</v>
      </c>
      <c r="G1853" s="83" t="s">
        <v>7334</v>
      </c>
      <c r="H1853" s="83">
        <v>9.6999999999999993</v>
      </c>
      <c r="I1853" s="83" t="s">
        <v>3208</v>
      </c>
      <c r="J1853" s="83" t="s">
        <v>3208</v>
      </c>
      <c r="K1853" s="83" t="s">
        <v>3208</v>
      </c>
    </row>
    <row r="1854" spans="1:11" ht="26.25" x14ac:dyDescent="0.25">
      <c r="A1854" s="83" t="s">
        <v>2217</v>
      </c>
      <c r="B1854" s="83" t="s">
        <v>3208</v>
      </c>
      <c r="C1854" s="83" t="s">
        <v>3208</v>
      </c>
      <c r="D1854" s="83" t="s">
        <v>3713</v>
      </c>
      <c r="E1854" s="83" t="s">
        <v>3714</v>
      </c>
      <c r="F1854" s="83" t="s">
        <v>4242</v>
      </c>
      <c r="G1854" s="83" t="s">
        <v>4243</v>
      </c>
      <c r="H1854" s="83">
        <v>0</v>
      </c>
      <c r="I1854" s="83" t="s">
        <v>3208</v>
      </c>
      <c r="J1854" s="83" t="s">
        <v>3208</v>
      </c>
      <c r="K1854" s="83" t="s">
        <v>3208</v>
      </c>
    </row>
    <row r="1855" spans="1:11" ht="26.25" x14ac:dyDescent="0.25">
      <c r="A1855" s="83" t="s">
        <v>2215</v>
      </c>
      <c r="B1855" s="83" t="s">
        <v>3208</v>
      </c>
      <c r="C1855" s="83" t="s">
        <v>3208</v>
      </c>
      <c r="D1855" s="83" t="s">
        <v>3713</v>
      </c>
      <c r="E1855" s="83" t="s">
        <v>3714</v>
      </c>
      <c r="F1855" s="83" t="s">
        <v>4242</v>
      </c>
      <c r="G1855" s="83" t="s">
        <v>4243</v>
      </c>
      <c r="H1855" s="83">
        <v>0</v>
      </c>
      <c r="I1855" s="83" t="s">
        <v>3208</v>
      </c>
      <c r="J1855" s="83" t="s">
        <v>3208</v>
      </c>
      <c r="K1855" s="83" t="s">
        <v>3208</v>
      </c>
    </row>
    <row r="1856" spans="1:11" ht="26.25" x14ac:dyDescent="0.25">
      <c r="A1856" s="83" t="s">
        <v>2671</v>
      </c>
      <c r="B1856" s="83" t="s">
        <v>3208</v>
      </c>
      <c r="C1856" s="83" t="s">
        <v>3208</v>
      </c>
      <c r="D1856" s="83" t="s">
        <v>3713</v>
      </c>
      <c r="E1856" s="83" t="s">
        <v>3714</v>
      </c>
      <c r="F1856" s="83" t="s">
        <v>5867</v>
      </c>
      <c r="G1856" s="83" t="s">
        <v>5818</v>
      </c>
      <c r="H1856" s="83">
        <v>0</v>
      </c>
      <c r="I1856" s="83" t="s">
        <v>3208</v>
      </c>
      <c r="J1856" s="83" t="s">
        <v>3208</v>
      </c>
      <c r="K1856" s="83" t="s">
        <v>3208</v>
      </c>
    </row>
    <row r="1857" spans="1:11" ht="26.25" x14ac:dyDescent="0.25">
      <c r="A1857" s="83" t="s">
        <v>359</v>
      </c>
      <c r="B1857" s="83" t="s">
        <v>3208</v>
      </c>
      <c r="C1857" s="83" t="s">
        <v>3208</v>
      </c>
      <c r="D1857" s="83" t="s">
        <v>3718</v>
      </c>
      <c r="E1857" s="83" t="s">
        <v>4248</v>
      </c>
      <c r="F1857" s="83" t="s">
        <v>7335</v>
      </c>
      <c r="G1857" s="83" t="s">
        <v>7336</v>
      </c>
      <c r="H1857" s="83">
        <v>9.82</v>
      </c>
      <c r="I1857" s="83" t="s">
        <v>3208</v>
      </c>
      <c r="J1857" s="83" t="s">
        <v>3208</v>
      </c>
      <c r="K1857" s="83" t="s">
        <v>3208</v>
      </c>
    </row>
    <row r="1858" spans="1:11" ht="26.25" x14ac:dyDescent="0.25">
      <c r="A1858" s="83" t="s">
        <v>2446</v>
      </c>
      <c r="B1858" s="83" t="s">
        <v>3208</v>
      </c>
      <c r="C1858" s="83" t="s">
        <v>3208</v>
      </c>
      <c r="D1858" s="83" t="s">
        <v>3713</v>
      </c>
      <c r="E1858" s="83" t="s">
        <v>3714</v>
      </c>
      <c r="F1858" s="83" t="s">
        <v>4245</v>
      </c>
      <c r="G1858" s="83" t="s">
        <v>4250</v>
      </c>
      <c r="H1858" s="83">
        <v>0</v>
      </c>
      <c r="I1858" s="83" t="s">
        <v>3208</v>
      </c>
      <c r="J1858" s="83" t="s">
        <v>3208</v>
      </c>
      <c r="K1858" s="83" t="s">
        <v>3208</v>
      </c>
    </row>
    <row r="1859" spans="1:11" ht="26.25" x14ac:dyDescent="0.25">
      <c r="A1859" s="83" t="s">
        <v>580</v>
      </c>
      <c r="B1859" s="83" t="s">
        <v>3208</v>
      </c>
      <c r="C1859" s="83" t="s">
        <v>3208</v>
      </c>
      <c r="D1859" s="83" t="s">
        <v>3209</v>
      </c>
      <c r="E1859" s="83" t="s">
        <v>3210</v>
      </c>
      <c r="F1859" s="83" t="s">
        <v>7337</v>
      </c>
      <c r="G1859" s="83" t="s">
        <v>4556</v>
      </c>
      <c r="H1859" s="83">
        <v>27</v>
      </c>
      <c r="I1859" s="83" t="s">
        <v>3213</v>
      </c>
      <c r="J1859" s="83" t="s">
        <v>3747</v>
      </c>
      <c r="K1859" s="83" t="s">
        <v>3215</v>
      </c>
    </row>
    <row r="1860" spans="1:11" ht="51.75" x14ac:dyDescent="0.25">
      <c r="A1860" s="83" t="s">
        <v>516</v>
      </c>
      <c r="B1860" s="83" t="s">
        <v>3208</v>
      </c>
      <c r="C1860" s="83" t="s">
        <v>3208</v>
      </c>
      <c r="D1860" s="83" t="s">
        <v>3209</v>
      </c>
      <c r="E1860" s="83" t="s">
        <v>3210</v>
      </c>
      <c r="F1860" s="83" t="s">
        <v>7338</v>
      </c>
      <c r="G1860" s="83" t="s">
        <v>7339</v>
      </c>
      <c r="H1860" s="83">
        <v>63</v>
      </c>
      <c r="I1860" s="83" t="s">
        <v>3229</v>
      </c>
      <c r="J1860" s="83" t="s">
        <v>3289</v>
      </c>
      <c r="K1860" s="83" t="s">
        <v>3215</v>
      </c>
    </row>
    <row r="1861" spans="1:11" ht="51.75" x14ac:dyDescent="0.25">
      <c r="A1861" s="83" t="s">
        <v>792</v>
      </c>
      <c r="B1861" s="83" t="s">
        <v>3208</v>
      </c>
      <c r="C1861" s="83" t="s">
        <v>3208</v>
      </c>
      <c r="D1861" s="83" t="s">
        <v>3209</v>
      </c>
      <c r="E1861" s="83" t="s">
        <v>3210</v>
      </c>
      <c r="F1861" s="83" t="s">
        <v>5114</v>
      </c>
      <c r="G1861" s="83" t="s">
        <v>5115</v>
      </c>
      <c r="H1861" s="83">
        <v>5.6</v>
      </c>
      <c r="I1861" s="83" t="s">
        <v>3213</v>
      </c>
      <c r="J1861" s="83" t="s">
        <v>3214</v>
      </c>
      <c r="K1861" s="83" t="s">
        <v>3215</v>
      </c>
    </row>
    <row r="1862" spans="1:11" ht="51.75" x14ac:dyDescent="0.25">
      <c r="A1862" s="83" t="s">
        <v>894</v>
      </c>
      <c r="B1862" s="83" t="s">
        <v>7340</v>
      </c>
      <c r="C1862" s="83" t="s">
        <v>3208</v>
      </c>
      <c r="D1862" s="83" t="s">
        <v>3209</v>
      </c>
      <c r="E1862" s="83" t="s">
        <v>3226</v>
      </c>
      <c r="F1862" s="83" t="s">
        <v>7341</v>
      </c>
      <c r="G1862" s="83" t="s">
        <v>4793</v>
      </c>
      <c r="H1862" s="83">
        <v>40</v>
      </c>
      <c r="I1862" s="83" t="s">
        <v>3213</v>
      </c>
      <c r="J1862" s="83" t="s">
        <v>3214</v>
      </c>
      <c r="K1862" s="83" t="s">
        <v>3215</v>
      </c>
    </row>
    <row r="1863" spans="1:11" ht="51.75" x14ac:dyDescent="0.25">
      <c r="A1863" s="83" t="s">
        <v>877</v>
      </c>
      <c r="B1863" s="83" t="s">
        <v>7342</v>
      </c>
      <c r="C1863" s="83" t="s">
        <v>3208</v>
      </c>
      <c r="D1863" s="83" t="s">
        <v>3209</v>
      </c>
      <c r="E1863" s="83" t="s">
        <v>3226</v>
      </c>
      <c r="F1863" s="83" t="s">
        <v>7343</v>
      </c>
      <c r="G1863" s="83" t="s">
        <v>3981</v>
      </c>
      <c r="H1863" s="83">
        <v>346</v>
      </c>
      <c r="I1863" s="83" t="s">
        <v>3213</v>
      </c>
      <c r="J1863" s="83" t="s">
        <v>3538</v>
      </c>
      <c r="K1863" s="83" t="s">
        <v>3215</v>
      </c>
    </row>
    <row r="1864" spans="1:11" ht="51.75" x14ac:dyDescent="0.25">
      <c r="A1864" s="83" t="s">
        <v>163</v>
      </c>
      <c r="B1864" s="83" t="s">
        <v>7344</v>
      </c>
      <c r="C1864" s="83" t="s">
        <v>3208</v>
      </c>
      <c r="D1864" s="83" t="s">
        <v>3209</v>
      </c>
      <c r="E1864" s="83" t="s">
        <v>3226</v>
      </c>
      <c r="F1864" s="83" t="s">
        <v>4632</v>
      </c>
      <c r="G1864" s="83" t="s">
        <v>4633</v>
      </c>
      <c r="H1864" s="83">
        <v>591</v>
      </c>
      <c r="I1864" s="83" t="s">
        <v>3229</v>
      </c>
      <c r="J1864" s="83" t="s">
        <v>3371</v>
      </c>
      <c r="K1864" s="83" t="s">
        <v>3215</v>
      </c>
    </row>
    <row r="1865" spans="1:11" ht="64.5" x14ac:dyDescent="0.25">
      <c r="A1865" s="83" t="s">
        <v>945</v>
      </c>
      <c r="B1865" s="83" t="s">
        <v>7345</v>
      </c>
      <c r="C1865" s="83" t="s">
        <v>3208</v>
      </c>
      <c r="D1865" s="83" t="s">
        <v>3209</v>
      </c>
      <c r="E1865" s="83" t="s">
        <v>3226</v>
      </c>
      <c r="F1865" s="83" t="s">
        <v>3515</v>
      </c>
      <c r="G1865" s="83" t="s">
        <v>3516</v>
      </c>
      <c r="H1865" s="83">
        <v>73</v>
      </c>
      <c r="I1865" s="83" t="s">
        <v>3213</v>
      </c>
      <c r="J1865" s="83" t="s">
        <v>3413</v>
      </c>
      <c r="K1865" s="83" t="s">
        <v>3215</v>
      </c>
    </row>
    <row r="1866" spans="1:11" ht="51.75" x14ac:dyDescent="0.25">
      <c r="A1866" s="83" t="s">
        <v>934</v>
      </c>
      <c r="B1866" s="83" t="s">
        <v>7346</v>
      </c>
      <c r="C1866" s="83" t="s">
        <v>3208</v>
      </c>
      <c r="D1866" s="83" t="s">
        <v>3209</v>
      </c>
      <c r="E1866" s="83" t="s">
        <v>3226</v>
      </c>
      <c r="F1866" s="83" t="s">
        <v>6840</v>
      </c>
      <c r="G1866" s="83" t="s">
        <v>3237</v>
      </c>
      <c r="H1866" s="83">
        <v>684</v>
      </c>
      <c r="I1866" s="83" t="s">
        <v>3229</v>
      </c>
      <c r="J1866" s="83" t="s">
        <v>3238</v>
      </c>
      <c r="K1866" s="83" t="s">
        <v>3215</v>
      </c>
    </row>
    <row r="1867" spans="1:11" ht="51.75" x14ac:dyDescent="0.25">
      <c r="A1867" s="83" t="s">
        <v>901</v>
      </c>
      <c r="B1867" s="83" t="s">
        <v>7347</v>
      </c>
      <c r="C1867" s="83" t="s">
        <v>3208</v>
      </c>
      <c r="D1867" s="83" t="s">
        <v>3209</v>
      </c>
      <c r="E1867" s="83" t="s">
        <v>3226</v>
      </c>
      <c r="F1867" s="83" t="s">
        <v>7348</v>
      </c>
      <c r="G1867" s="83" t="s">
        <v>7349</v>
      </c>
      <c r="H1867" s="83">
        <v>30</v>
      </c>
      <c r="I1867" s="83" t="s">
        <v>3229</v>
      </c>
      <c r="J1867" s="83" t="s">
        <v>4399</v>
      </c>
      <c r="K1867" s="83" t="s">
        <v>3215</v>
      </c>
    </row>
    <row r="1868" spans="1:11" ht="51.75" x14ac:dyDescent="0.25">
      <c r="A1868" s="83" t="s">
        <v>1150</v>
      </c>
      <c r="B1868" s="83" t="s">
        <v>7350</v>
      </c>
      <c r="C1868" s="83" t="s">
        <v>3208</v>
      </c>
      <c r="D1868" s="83" t="s">
        <v>3209</v>
      </c>
      <c r="E1868" s="83" t="s">
        <v>3226</v>
      </c>
      <c r="F1868" s="83" t="s">
        <v>7351</v>
      </c>
      <c r="G1868" s="83" t="s">
        <v>7271</v>
      </c>
      <c r="H1868" s="83">
        <v>13</v>
      </c>
      <c r="I1868" s="83" t="s">
        <v>3229</v>
      </c>
      <c r="J1868" s="83" t="s">
        <v>3371</v>
      </c>
      <c r="K1868" s="83" t="s">
        <v>3215</v>
      </c>
    </row>
    <row r="1869" spans="1:11" ht="26.25" x14ac:dyDescent="0.25">
      <c r="A1869" s="83" t="s">
        <v>1024</v>
      </c>
      <c r="B1869" s="83" t="s">
        <v>7352</v>
      </c>
      <c r="C1869" s="83" t="s">
        <v>3208</v>
      </c>
      <c r="D1869" s="83" t="s">
        <v>3209</v>
      </c>
      <c r="E1869" s="83" t="s">
        <v>3226</v>
      </c>
      <c r="F1869" s="83" t="s">
        <v>7353</v>
      </c>
      <c r="G1869" s="83" t="s">
        <v>5571</v>
      </c>
      <c r="H1869" s="83">
        <v>1.3</v>
      </c>
      <c r="I1869" s="83" t="s">
        <v>3229</v>
      </c>
      <c r="J1869" s="83" t="s">
        <v>3222</v>
      </c>
      <c r="K1869" s="83" t="s">
        <v>3215</v>
      </c>
    </row>
    <row r="1870" spans="1:11" ht="39" x14ac:dyDescent="0.25">
      <c r="A1870" s="83" t="s">
        <v>812</v>
      </c>
      <c r="B1870" s="83" t="s">
        <v>7354</v>
      </c>
      <c r="C1870" s="83" t="s">
        <v>3208</v>
      </c>
      <c r="D1870" s="83" t="s">
        <v>3209</v>
      </c>
      <c r="E1870" s="83" t="s">
        <v>3226</v>
      </c>
      <c r="F1870" s="83" t="s">
        <v>7355</v>
      </c>
      <c r="G1870" s="83" t="s">
        <v>7356</v>
      </c>
      <c r="H1870" s="83">
        <v>6.4</v>
      </c>
      <c r="I1870" s="83" t="s">
        <v>3229</v>
      </c>
      <c r="J1870" s="83" t="s">
        <v>3241</v>
      </c>
      <c r="K1870" s="83" t="s">
        <v>3215</v>
      </c>
    </row>
    <row r="1871" spans="1:11" ht="51.75" x14ac:dyDescent="0.25">
      <c r="A1871" s="83" t="s">
        <v>781</v>
      </c>
      <c r="B1871" s="83" t="s">
        <v>7357</v>
      </c>
      <c r="C1871" s="83" t="s">
        <v>3208</v>
      </c>
      <c r="D1871" s="83" t="s">
        <v>3209</v>
      </c>
      <c r="E1871" s="83" t="s">
        <v>3226</v>
      </c>
      <c r="F1871" s="83" t="s">
        <v>5912</v>
      </c>
      <c r="G1871" s="83" t="s">
        <v>4270</v>
      </c>
      <c r="H1871" s="83">
        <v>4</v>
      </c>
      <c r="I1871" s="83" t="s">
        <v>3229</v>
      </c>
      <c r="J1871" s="83" t="s">
        <v>3371</v>
      </c>
      <c r="K1871" s="83" t="s">
        <v>3215</v>
      </c>
    </row>
    <row r="1872" spans="1:11" ht="39" x14ac:dyDescent="0.25">
      <c r="A1872" s="83" t="s">
        <v>64</v>
      </c>
      <c r="B1872" s="83" t="s">
        <v>7358</v>
      </c>
      <c r="C1872" s="83" t="s">
        <v>3208</v>
      </c>
      <c r="D1872" s="83" t="s">
        <v>3209</v>
      </c>
      <c r="E1872" s="83" t="s">
        <v>3226</v>
      </c>
      <c r="F1872" s="83" t="s">
        <v>4277</v>
      </c>
      <c r="G1872" s="83" t="s">
        <v>3237</v>
      </c>
      <c r="H1872" s="83">
        <v>688</v>
      </c>
      <c r="I1872" s="83" t="s">
        <v>3229</v>
      </c>
      <c r="J1872" s="83" t="s">
        <v>3241</v>
      </c>
      <c r="K1872" s="83" t="s">
        <v>3215</v>
      </c>
    </row>
    <row r="1873" spans="1:11" ht="51.75" x14ac:dyDescent="0.25">
      <c r="A1873" s="83" t="s">
        <v>791</v>
      </c>
      <c r="B1873" s="83" t="s">
        <v>7359</v>
      </c>
      <c r="C1873" s="83" t="s">
        <v>3208</v>
      </c>
      <c r="D1873" s="83" t="s">
        <v>3209</v>
      </c>
      <c r="E1873" s="83" t="s">
        <v>3226</v>
      </c>
      <c r="F1873" s="83" t="s">
        <v>7360</v>
      </c>
      <c r="G1873" s="83" t="s">
        <v>4270</v>
      </c>
      <c r="H1873" s="83">
        <v>14</v>
      </c>
      <c r="I1873" s="83" t="s">
        <v>3229</v>
      </c>
      <c r="J1873" s="83" t="s">
        <v>3371</v>
      </c>
      <c r="K1873" s="83" t="s">
        <v>3215</v>
      </c>
    </row>
    <row r="1874" spans="1:11" ht="26.25" x14ac:dyDescent="0.25">
      <c r="A1874" s="83" t="s">
        <v>832</v>
      </c>
      <c r="B1874" s="83" t="s">
        <v>7361</v>
      </c>
      <c r="C1874" s="83" t="s">
        <v>3208</v>
      </c>
      <c r="D1874" s="83" t="s">
        <v>3209</v>
      </c>
      <c r="E1874" s="83" t="s">
        <v>3226</v>
      </c>
      <c r="F1874" s="83" t="s">
        <v>7362</v>
      </c>
      <c r="G1874" s="83" t="s">
        <v>7363</v>
      </c>
      <c r="H1874" s="83">
        <v>24.6</v>
      </c>
      <c r="I1874" s="83" t="s">
        <v>3213</v>
      </c>
      <c r="J1874" s="83" t="s">
        <v>3467</v>
      </c>
      <c r="K1874" s="83" t="s">
        <v>3215</v>
      </c>
    </row>
    <row r="1875" spans="1:11" ht="51.75" x14ac:dyDescent="0.25">
      <c r="A1875" s="83" t="s">
        <v>1467</v>
      </c>
      <c r="B1875" s="83" t="s">
        <v>7364</v>
      </c>
      <c r="C1875" s="83" t="s">
        <v>7365</v>
      </c>
      <c r="D1875" s="83" t="s">
        <v>3209</v>
      </c>
      <c r="E1875" s="83" t="s">
        <v>3246</v>
      </c>
      <c r="F1875" s="83" t="s">
        <v>7366</v>
      </c>
      <c r="G1875" s="83" t="s">
        <v>7367</v>
      </c>
      <c r="H1875" s="83">
        <v>255.5</v>
      </c>
      <c r="I1875" s="83" t="s">
        <v>3229</v>
      </c>
      <c r="J1875" s="83" t="s">
        <v>3238</v>
      </c>
      <c r="K1875" s="83" t="s">
        <v>3215</v>
      </c>
    </row>
    <row r="1876" spans="1:11" ht="64.5" x14ac:dyDescent="0.25">
      <c r="A1876" s="83" t="s">
        <v>1469</v>
      </c>
      <c r="B1876" s="83" t="s">
        <v>5149</v>
      </c>
      <c r="C1876" s="83" t="s">
        <v>7368</v>
      </c>
      <c r="D1876" s="83" t="s">
        <v>3209</v>
      </c>
      <c r="E1876" s="83" t="s">
        <v>3246</v>
      </c>
      <c r="F1876" s="83" t="s">
        <v>5151</v>
      </c>
      <c r="G1876" s="83" t="s">
        <v>7369</v>
      </c>
      <c r="H1876" s="83">
        <v>8</v>
      </c>
      <c r="I1876" s="83" t="s">
        <v>3213</v>
      </c>
      <c r="J1876" s="83" t="s">
        <v>3413</v>
      </c>
      <c r="K1876" s="83" t="s">
        <v>3215</v>
      </c>
    </row>
    <row r="1877" spans="1:11" ht="51.75" x14ac:dyDescent="0.25">
      <c r="A1877" s="83" t="s">
        <v>1478</v>
      </c>
      <c r="B1877" s="83" t="s">
        <v>7370</v>
      </c>
      <c r="C1877" s="83" t="s">
        <v>7371</v>
      </c>
      <c r="D1877" s="83" t="s">
        <v>3209</v>
      </c>
      <c r="E1877" s="83" t="s">
        <v>3246</v>
      </c>
      <c r="F1877" s="83" t="s">
        <v>7372</v>
      </c>
      <c r="G1877" s="83" t="s">
        <v>7373</v>
      </c>
      <c r="H1877" s="83">
        <v>20</v>
      </c>
      <c r="I1877" s="83" t="s">
        <v>3229</v>
      </c>
      <c r="J1877" s="83" t="s">
        <v>3238</v>
      </c>
      <c r="K1877" s="83" t="s">
        <v>3215</v>
      </c>
    </row>
    <row r="1878" spans="1:11" ht="51.75" x14ac:dyDescent="0.25">
      <c r="A1878" s="83" t="s">
        <v>1754</v>
      </c>
      <c r="B1878" s="83" t="s">
        <v>7374</v>
      </c>
      <c r="C1878" s="83" t="s">
        <v>7375</v>
      </c>
      <c r="D1878" s="83" t="s">
        <v>3209</v>
      </c>
      <c r="E1878" s="83" t="s">
        <v>3246</v>
      </c>
      <c r="F1878" s="83" t="s">
        <v>7376</v>
      </c>
      <c r="G1878" s="83" t="s">
        <v>7377</v>
      </c>
      <c r="H1878" s="83">
        <v>369.2</v>
      </c>
      <c r="I1878" s="83" t="s">
        <v>3213</v>
      </c>
      <c r="J1878" s="83" t="s">
        <v>3271</v>
      </c>
      <c r="K1878" s="83" t="s">
        <v>3215</v>
      </c>
    </row>
    <row r="1879" spans="1:11" ht="51.75" x14ac:dyDescent="0.25">
      <c r="A1879" s="83" t="s">
        <v>1750</v>
      </c>
      <c r="B1879" s="83" t="s">
        <v>7378</v>
      </c>
      <c r="C1879" s="83" t="s">
        <v>7379</v>
      </c>
      <c r="D1879" s="83" t="s">
        <v>3209</v>
      </c>
      <c r="E1879" s="83" t="s">
        <v>3246</v>
      </c>
      <c r="F1879" s="83" t="s">
        <v>7380</v>
      </c>
      <c r="G1879" s="83" t="s">
        <v>5236</v>
      </c>
      <c r="H1879" s="83">
        <v>128.30000000000001</v>
      </c>
      <c r="I1879" s="83" t="s">
        <v>3213</v>
      </c>
      <c r="J1879" s="83" t="s">
        <v>3214</v>
      </c>
      <c r="K1879" s="83" t="s">
        <v>3215</v>
      </c>
    </row>
    <row r="1880" spans="1:11" ht="64.5" x14ac:dyDescent="0.25">
      <c r="A1880" s="83" t="s">
        <v>1517</v>
      </c>
      <c r="B1880" s="83" t="s">
        <v>7381</v>
      </c>
      <c r="C1880" s="83" t="s">
        <v>7382</v>
      </c>
      <c r="D1880" s="83" t="s">
        <v>3209</v>
      </c>
      <c r="E1880" s="83" t="s">
        <v>3246</v>
      </c>
      <c r="F1880" s="83" t="s">
        <v>7383</v>
      </c>
      <c r="G1880" s="83" t="s">
        <v>3261</v>
      </c>
      <c r="H1880" s="83">
        <v>89.6</v>
      </c>
      <c r="I1880" s="83" t="s">
        <v>3213</v>
      </c>
      <c r="J1880" s="83" t="s">
        <v>3262</v>
      </c>
      <c r="K1880" s="83" t="s">
        <v>3215</v>
      </c>
    </row>
    <row r="1881" spans="1:11" ht="51.75" x14ac:dyDescent="0.25">
      <c r="A1881" s="83" t="s">
        <v>77</v>
      </c>
      <c r="B1881" s="83" t="s">
        <v>7384</v>
      </c>
      <c r="C1881" s="83" t="s">
        <v>7385</v>
      </c>
      <c r="D1881" s="83" t="s">
        <v>3209</v>
      </c>
      <c r="E1881" s="83" t="s">
        <v>3246</v>
      </c>
      <c r="F1881" s="83" t="s">
        <v>7386</v>
      </c>
      <c r="G1881" s="83" t="s">
        <v>3981</v>
      </c>
      <c r="H1881" s="83">
        <v>844</v>
      </c>
      <c r="I1881" s="83" t="s">
        <v>3213</v>
      </c>
      <c r="J1881" s="83" t="s">
        <v>3538</v>
      </c>
      <c r="K1881" s="83" t="s">
        <v>3215</v>
      </c>
    </row>
    <row r="1882" spans="1:11" ht="51.75" x14ac:dyDescent="0.25">
      <c r="A1882" s="83" t="s">
        <v>1490</v>
      </c>
      <c r="B1882" s="83" t="s">
        <v>7387</v>
      </c>
      <c r="C1882" s="83" t="s">
        <v>7388</v>
      </c>
      <c r="D1882" s="83" t="s">
        <v>3209</v>
      </c>
      <c r="E1882" s="83" t="s">
        <v>3246</v>
      </c>
      <c r="F1882" s="83" t="s">
        <v>7389</v>
      </c>
      <c r="G1882" s="83" t="s">
        <v>4729</v>
      </c>
      <c r="H1882" s="83">
        <v>146.80000000000001</v>
      </c>
      <c r="I1882" s="83" t="s">
        <v>3229</v>
      </c>
      <c r="J1882" s="83" t="s">
        <v>3289</v>
      </c>
      <c r="K1882" s="83" t="s">
        <v>3215</v>
      </c>
    </row>
    <row r="1883" spans="1:11" ht="64.5" x14ac:dyDescent="0.25">
      <c r="A1883" s="83" t="s">
        <v>1511</v>
      </c>
      <c r="B1883" s="83" t="s">
        <v>7390</v>
      </c>
      <c r="C1883" s="83" t="s">
        <v>7391</v>
      </c>
      <c r="D1883" s="83" t="s">
        <v>3209</v>
      </c>
      <c r="E1883" s="83" t="s">
        <v>3246</v>
      </c>
      <c r="F1883" s="83" t="s">
        <v>7392</v>
      </c>
      <c r="G1883" s="83" t="s">
        <v>3573</v>
      </c>
      <c r="H1883" s="83">
        <v>328.5</v>
      </c>
      <c r="I1883" s="83" t="s">
        <v>3213</v>
      </c>
      <c r="J1883" s="83" t="s">
        <v>3262</v>
      </c>
      <c r="K1883" s="83" t="s">
        <v>3215</v>
      </c>
    </row>
    <row r="1884" spans="1:11" ht="51.75" x14ac:dyDescent="0.25">
      <c r="A1884" s="83" t="s">
        <v>1505</v>
      </c>
      <c r="B1884" s="83" t="s">
        <v>7393</v>
      </c>
      <c r="C1884" s="83" t="s">
        <v>7394</v>
      </c>
      <c r="D1884" s="83" t="s">
        <v>3209</v>
      </c>
      <c r="E1884" s="83" t="s">
        <v>3246</v>
      </c>
      <c r="F1884" s="83" t="s">
        <v>7395</v>
      </c>
      <c r="G1884" s="83" t="s">
        <v>3366</v>
      </c>
      <c r="H1884" s="83">
        <v>583.9</v>
      </c>
      <c r="I1884" s="83" t="s">
        <v>3213</v>
      </c>
      <c r="J1884" s="83" t="s">
        <v>3214</v>
      </c>
      <c r="K1884" s="83" t="s">
        <v>3215</v>
      </c>
    </row>
    <row r="1885" spans="1:11" ht="51.75" x14ac:dyDescent="0.25">
      <c r="A1885" s="83" t="s">
        <v>1509</v>
      </c>
      <c r="B1885" s="83" t="s">
        <v>7396</v>
      </c>
      <c r="C1885" s="83" t="s">
        <v>7397</v>
      </c>
      <c r="D1885" s="83" t="s">
        <v>3209</v>
      </c>
      <c r="E1885" s="83" t="s">
        <v>3246</v>
      </c>
      <c r="F1885" s="83" t="s">
        <v>4321</v>
      </c>
      <c r="G1885" s="83" t="s">
        <v>3791</v>
      </c>
      <c r="H1885" s="83">
        <v>238.8</v>
      </c>
      <c r="I1885" s="83" t="s">
        <v>3229</v>
      </c>
      <c r="J1885" s="83" t="s">
        <v>3289</v>
      </c>
      <c r="K1885" s="83" t="s">
        <v>3215</v>
      </c>
    </row>
    <row r="1886" spans="1:11" ht="39" x14ac:dyDescent="0.25">
      <c r="A1886" s="83" t="s">
        <v>1716</v>
      </c>
      <c r="B1886" s="83" t="s">
        <v>7398</v>
      </c>
      <c r="C1886" s="83" t="s">
        <v>7399</v>
      </c>
      <c r="D1886" s="83" t="s">
        <v>3209</v>
      </c>
      <c r="E1886" s="83" t="s">
        <v>3246</v>
      </c>
      <c r="F1886" s="83" t="s">
        <v>7400</v>
      </c>
      <c r="G1886" s="83" t="s">
        <v>6150</v>
      </c>
      <c r="H1886" s="83">
        <v>105.5</v>
      </c>
      <c r="I1886" s="83" t="s">
        <v>3229</v>
      </c>
      <c r="J1886" s="83" t="s">
        <v>356</v>
      </c>
      <c r="K1886" s="83" t="s">
        <v>3215</v>
      </c>
    </row>
    <row r="1887" spans="1:11" ht="51.75" x14ac:dyDescent="0.25">
      <c r="A1887" s="83" t="s">
        <v>1717</v>
      </c>
      <c r="B1887" s="83" t="s">
        <v>7401</v>
      </c>
      <c r="C1887" s="83" t="s">
        <v>7402</v>
      </c>
      <c r="D1887" s="83" t="s">
        <v>3209</v>
      </c>
      <c r="E1887" s="83" t="s">
        <v>3246</v>
      </c>
      <c r="F1887" s="83" t="s">
        <v>7403</v>
      </c>
      <c r="G1887" s="83" t="s">
        <v>3237</v>
      </c>
      <c r="H1887" s="83">
        <v>36.9</v>
      </c>
      <c r="I1887" s="83" t="s">
        <v>3229</v>
      </c>
      <c r="J1887" s="83" t="s">
        <v>3230</v>
      </c>
      <c r="K1887" s="83" t="s">
        <v>3215</v>
      </c>
    </row>
    <row r="1888" spans="1:11" ht="51.75" x14ac:dyDescent="0.25">
      <c r="A1888" s="83" t="s">
        <v>1687</v>
      </c>
      <c r="B1888" s="83" t="s">
        <v>7404</v>
      </c>
      <c r="C1888" s="83" t="s">
        <v>7405</v>
      </c>
      <c r="D1888" s="83" t="s">
        <v>3209</v>
      </c>
      <c r="E1888" s="83" t="s">
        <v>3246</v>
      </c>
      <c r="F1888" s="83" t="s">
        <v>3283</v>
      </c>
      <c r="G1888" s="83" t="s">
        <v>7406</v>
      </c>
      <c r="H1888" s="83">
        <v>135.80000000000001</v>
      </c>
      <c r="I1888" s="83" t="s">
        <v>3229</v>
      </c>
      <c r="J1888" s="83" t="s">
        <v>3230</v>
      </c>
      <c r="K1888" s="83" t="s">
        <v>3215</v>
      </c>
    </row>
    <row r="1889" spans="1:11" ht="26.25" x14ac:dyDescent="0.25">
      <c r="A1889" s="83" t="s">
        <v>1693</v>
      </c>
      <c r="B1889" s="83" t="s">
        <v>7407</v>
      </c>
      <c r="C1889" s="83" t="s">
        <v>7408</v>
      </c>
      <c r="D1889" s="83" t="s">
        <v>3209</v>
      </c>
      <c r="E1889" s="83" t="s">
        <v>3246</v>
      </c>
      <c r="F1889" s="83" t="s">
        <v>5934</v>
      </c>
      <c r="G1889" s="83" t="s">
        <v>7409</v>
      </c>
      <c r="H1889" s="83">
        <v>2.9</v>
      </c>
      <c r="I1889" s="83" t="s">
        <v>3229</v>
      </c>
      <c r="J1889" s="83" t="s">
        <v>3311</v>
      </c>
      <c r="K1889" s="83" t="s">
        <v>3215</v>
      </c>
    </row>
    <row r="1890" spans="1:11" ht="51.75" x14ac:dyDescent="0.25">
      <c r="A1890" s="83" t="s">
        <v>1698</v>
      </c>
      <c r="B1890" s="83" t="s">
        <v>7410</v>
      </c>
      <c r="C1890" s="83" t="s">
        <v>7411</v>
      </c>
      <c r="D1890" s="83" t="s">
        <v>3209</v>
      </c>
      <c r="E1890" s="83" t="s">
        <v>3246</v>
      </c>
      <c r="F1890" s="83" t="s">
        <v>7412</v>
      </c>
      <c r="G1890" s="83" t="s">
        <v>7413</v>
      </c>
      <c r="H1890" s="83">
        <v>51.2</v>
      </c>
      <c r="I1890" s="83" t="s">
        <v>3229</v>
      </c>
      <c r="J1890" s="83" t="s">
        <v>3230</v>
      </c>
      <c r="K1890" s="83" t="s">
        <v>3215</v>
      </c>
    </row>
    <row r="1891" spans="1:11" ht="39" x14ac:dyDescent="0.25">
      <c r="A1891" s="83" t="s">
        <v>1704</v>
      </c>
      <c r="B1891" s="83" t="s">
        <v>7414</v>
      </c>
      <c r="C1891" s="83" t="s">
        <v>7415</v>
      </c>
      <c r="D1891" s="83" t="s">
        <v>3209</v>
      </c>
      <c r="E1891" s="83" t="s">
        <v>3246</v>
      </c>
      <c r="F1891" s="83" t="s">
        <v>4338</v>
      </c>
      <c r="G1891" s="83" t="s">
        <v>5182</v>
      </c>
      <c r="H1891" s="83">
        <v>46.7</v>
      </c>
      <c r="I1891" s="83" t="s">
        <v>3229</v>
      </c>
      <c r="J1891" s="83" t="s">
        <v>3241</v>
      </c>
      <c r="K1891" s="83" t="s">
        <v>3215</v>
      </c>
    </row>
    <row r="1892" spans="1:11" ht="26.25" x14ac:dyDescent="0.25">
      <c r="A1892" s="83" t="s">
        <v>1651</v>
      </c>
      <c r="B1892" s="83" t="s">
        <v>7416</v>
      </c>
      <c r="C1892" s="83" t="s">
        <v>7417</v>
      </c>
      <c r="D1892" s="83" t="s">
        <v>3209</v>
      </c>
      <c r="E1892" s="83" t="s">
        <v>3246</v>
      </c>
      <c r="F1892" s="83" t="s">
        <v>7418</v>
      </c>
      <c r="G1892" s="83" t="s">
        <v>5307</v>
      </c>
      <c r="H1892" s="83">
        <v>150</v>
      </c>
      <c r="I1892" s="83" t="s">
        <v>3229</v>
      </c>
      <c r="J1892" s="83" t="s">
        <v>3311</v>
      </c>
      <c r="K1892" s="83" t="s">
        <v>3215</v>
      </c>
    </row>
    <row r="1893" spans="1:11" ht="51.75" x14ac:dyDescent="0.25">
      <c r="A1893" s="83" t="s">
        <v>1639</v>
      </c>
      <c r="B1893" s="83" t="s">
        <v>7419</v>
      </c>
      <c r="C1893" s="83" t="s">
        <v>7420</v>
      </c>
      <c r="D1893" s="83" t="s">
        <v>3209</v>
      </c>
      <c r="E1893" s="83" t="s">
        <v>3246</v>
      </c>
      <c r="F1893" s="83" t="s">
        <v>7421</v>
      </c>
      <c r="G1893" s="83" t="s">
        <v>5126</v>
      </c>
      <c r="H1893" s="83">
        <v>88.1</v>
      </c>
      <c r="I1893" s="83" t="s">
        <v>3213</v>
      </c>
      <c r="J1893" s="83" t="s">
        <v>3538</v>
      </c>
      <c r="K1893" s="83" t="s">
        <v>3215</v>
      </c>
    </row>
    <row r="1894" spans="1:11" ht="51.75" x14ac:dyDescent="0.25">
      <c r="A1894" s="83" t="s">
        <v>1623</v>
      </c>
      <c r="B1894" s="83" t="s">
        <v>7422</v>
      </c>
      <c r="C1894" s="83" t="s">
        <v>7423</v>
      </c>
      <c r="D1894" s="83" t="s">
        <v>3209</v>
      </c>
      <c r="E1894" s="83" t="s">
        <v>3246</v>
      </c>
      <c r="F1894" s="83" t="s">
        <v>7424</v>
      </c>
      <c r="G1894" s="83" t="s">
        <v>4266</v>
      </c>
      <c r="H1894" s="83">
        <v>45.9</v>
      </c>
      <c r="I1894" s="83" t="s">
        <v>3229</v>
      </c>
      <c r="J1894" s="83" t="s">
        <v>3289</v>
      </c>
      <c r="K1894" s="83" t="s">
        <v>3215</v>
      </c>
    </row>
    <row r="1895" spans="1:11" ht="51.75" x14ac:dyDescent="0.25">
      <c r="A1895" s="83" t="s">
        <v>78</v>
      </c>
      <c r="B1895" s="83" t="s">
        <v>7425</v>
      </c>
      <c r="C1895" s="83" t="s">
        <v>7426</v>
      </c>
      <c r="D1895" s="83" t="s">
        <v>3209</v>
      </c>
      <c r="E1895" s="83" t="s">
        <v>3246</v>
      </c>
      <c r="F1895" s="83" t="s">
        <v>7427</v>
      </c>
      <c r="G1895" s="83" t="s">
        <v>3569</v>
      </c>
      <c r="H1895" s="83">
        <v>46.9</v>
      </c>
      <c r="I1895" s="83" t="s">
        <v>3229</v>
      </c>
      <c r="J1895" s="83" t="s">
        <v>3289</v>
      </c>
      <c r="K1895" s="83" t="s">
        <v>3215</v>
      </c>
    </row>
    <row r="1896" spans="1:11" ht="39" x14ac:dyDescent="0.25">
      <c r="A1896" s="83" t="s">
        <v>1732</v>
      </c>
      <c r="B1896" s="83" t="s">
        <v>7428</v>
      </c>
      <c r="C1896" s="83" t="s">
        <v>7429</v>
      </c>
      <c r="D1896" s="83" t="s">
        <v>3209</v>
      </c>
      <c r="E1896" s="83" t="s">
        <v>3246</v>
      </c>
      <c r="F1896" s="83" t="s">
        <v>7430</v>
      </c>
      <c r="G1896" s="83" t="s">
        <v>7431</v>
      </c>
      <c r="H1896" s="83">
        <v>20</v>
      </c>
      <c r="I1896" s="83" t="s">
        <v>3229</v>
      </c>
      <c r="J1896" s="83" t="s">
        <v>356</v>
      </c>
      <c r="K1896" s="83" t="s">
        <v>3215</v>
      </c>
    </row>
    <row r="1897" spans="1:11" ht="26.25" x14ac:dyDescent="0.25">
      <c r="A1897" s="83" t="s">
        <v>1372</v>
      </c>
      <c r="B1897" s="83" t="s">
        <v>7432</v>
      </c>
      <c r="C1897" s="83" t="s">
        <v>7433</v>
      </c>
      <c r="D1897" s="83" t="s">
        <v>3209</v>
      </c>
      <c r="E1897" s="83" t="s">
        <v>3246</v>
      </c>
      <c r="F1897" s="83" t="s">
        <v>7434</v>
      </c>
      <c r="G1897" s="83" t="s">
        <v>7435</v>
      </c>
      <c r="H1897" s="83">
        <v>13</v>
      </c>
      <c r="I1897" s="83" t="s">
        <v>3229</v>
      </c>
      <c r="J1897" s="83" t="s">
        <v>3324</v>
      </c>
      <c r="K1897" s="83" t="s">
        <v>3215</v>
      </c>
    </row>
    <row r="1898" spans="1:11" ht="26.25" x14ac:dyDescent="0.25">
      <c r="A1898" s="83" t="s">
        <v>1381</v>
      </c>
      <c r="B1898" s="83" t="s">
        <v>7436</v>
      </c>
      <c r="C1898" s="83" t="s">
        <v>7437</v>
      </c>
      <c r="D1898" s="83" t="s">
        <v>3209</v>
      </c>
      <c r="E1898" s="83" t="s">
        <v>3246</v>
      </c>
      <c r="F1898" s="83" t="s">
        <v>7438</v>
      </c>
      <c r="G1898" s="83" t="s">
        <v>5665</v>
      </c>
      <c r="H1898" s="83">
        <v>16</v>
      </c>
      <c r="I1898" s="83" t="s">
        <v>3229</v>
      </c>
      <c r="J1898" s="83" t="s">
        <v>3397</v>
      </c>
      <c r="K1898" s="83" t="s">
        <v>3215</v>
      </c>
    </row>
    <row r="1899" spans="1:11" ht="39" x14ac:dyDescent="0.25">
      <c r="A1899" s="83" t="s">
        <v>1385</v>
      </c>
      <c r="B1899" s="83" t="s">
        <v>7439</v>
      </c>
      <c r="C1899" s="83" t="s">
        <v>7440</v>
      </c>
      <c r="D1899" s="83" t="s">
        <v>3209</v>
      </c>
      <c r="E1899" s="83" t="s">
        <v>3246</v>
      </c>
      <c r="F1899" s="83" t="s">
        <v>7441</v>
      </c>
      <c r="G1899" s="83" t="s">
        <v>7442</v>
      </c>
      <c r="H1899" s="83">
        <v>31</v>
      </c>
      <c r="I1899" s="83" t="s">
        <v>3229</v>
      </c>
      <c r="J1899" s="83" t="s">
        <v>3241</v>
      </c>
      <c r="K1899" s="83" t="s">
        <v>3215</v>
      </c>
    </row>
    <row r="1900" spans="1:11" ht="51.75" x14ac:dyDescent="0.25">
      <c r="A1900" s="83" t="s">
        <v>1670</v>
      </c>
      <c r="B1900" s="83" t="s">
        <v>7443</v>
      </c>
      <c r="C1900" s="83" t="s">
        <v>7444</v>
      </c>
      <c r="D1900" s="83" t="s">
        <v>3209</v>
      </c>
      <c r="E1900" s="83" t="s">
        <v>3246</v>
      </c>
      <c r="F1900" s="83" t="s">
        <v>3344</v>
      </c>
      <c r="G1900" s="83" t="s">
        <v>4376</v>
      </c>
      <c r="H1900" s="83">
        <v>144.4</v>
      </c>
      <c r="I1900" s="83" t="s">
        <v>3213</v>
      </c>
      <c r="J1900" s="83" t="s">
        <v>3271</v>
      </c>
      <c r="K1900" s="83" t="s">
        <v>3215</v>
      </c>
    </row>
    <row r="1901" spans="1:11" ht="51.75" x14ac:dyDescent="0.25">
      <c r="A1901" s="83" t="s">
        <v>1654</v>
      </c>
      <c r="B1901" s="83" t="s">
        <v>7445</v>
      </c>
      <c r="C1901" s="83" t="s">
        <v>7446</v>
      </c>
      <c r="D1901" s="83" t="s">
        <v>3209</v>
      </c>
      <c r="E1901" s="83" t="s">
        <v>3246</v>
      </c>
      <c r="F1901" s="83" t="s">
        <v>4368</v>
      </c>
      <c r="G1901" s="83" t="s">
        <v>7447</v>
      </c>
      <c r="H1901" s="83">
        <v>72.5</v>
      </c>
      <c r="I1901" s="83" t="s">
        <v>3229</v>
      </c>
      <c r="J1901" s="83" t="s">
        <v>3371</v>
      </c>
      <c r="K1901" s="83" t="s">
        <v>3215</v>
      </c>
    </row>
    <row r="1902" spans="1:11" ht="51.75" x14ac:dyDescent="0.25">
      <c r="A1902" s="83" t="s">
        <v>1626</v>
      </c>
      <c r="B1902" s="83" t="s">
        <v>7448</v>
      </c>
      <c r="C1902" s="83" t="s">
        <v>7449</v>
      </c>
      <c r="D1902" s="83" t="s">
        <v>3209</v>
      </c>
      <c r="E1902" s="83" t="s">
        <v>3246</v>
      </c>
      <c r="F1902" s="83" t="s">
        <v>5239</v>
      </c>
      <c r="G1902" s="83" t="s">
        <v>4891</v>
      </c>
      <c r="H1902" s="83">
        <v>85.3</v>
      </c>
      <c r="I1902" s="83" t="s">
        <v>3229</v>
      </c>
      <c r="J1902" s="83" t="s">
        <v>3238</v>
      </c>
      <c r="K1902" s="83" t="s">
        <v>3215</v>
      </c>
    </row>
    <row r="1903" spans="1:11" ht="51.75" x14ac:dyDescent="0.25">
      <c r="A1903" s="83" t="s">
        <v>1624</v>
      </c>
      <c r="B1903" s="83" t="s">
        <v>7450</v>
      </c>
      <c r="C1903" s="83" t="s">
        <v>7451</v>
      </c>
      <c r="D1903" s="83" t="s">
        <v>3209</v>
      </c>
      <c r="E1903" s="83" t="s">
        <v>3246</v>
      </c>
      <c r="F1903" s="83" t="s">
        <v>5239</v>
      </c>
      <c r="G1903" s="83" t="s">
        <v>5240</v>
      </c>
      <c r="H1903" s="83">
        <v>44</v>
      </c>
      <c r="I1903" s="83" t="s">
        <v>3229</v>
      </c>
      <c r="J1903" s="83" t="s">
        <v>3238</v>
      </c>
      <c r="K1903" s="83" t="s">
        <v>3215</v>
      </c>
    </row>
    <row r="1904" spans="1:11" ht="51.75" x14ac:dyDescent="0.25">
      <c r="A1904" s="83" t="s">
        <v>79</v>
      </c>
      <c r="B1904" s="83" t="s">
        <v>7452</v>
      </c>
      <c r="C1904" s="83" t="s">
        <v>7453</v>
      </c>
      <c r="D1904" s="83" t="s">
        <v>3209</v>
      </c>
      <c r="E1904" s="83" t="s">
        <v>3246</v>
      </c>
      <c r="F1904" s="83" t="s">
        <v>7454</v>
      </c>
      <c r="G1904" s="83" t="s">
        <v>5596</v>
      </c>
      <c r="H1904" s="83">
        <v>88.2</v>
      </c>
      <c r="I1904" s="83" t="s">
        <v>3229</v>
      </c>
      <c r="J1904" s="83" t="s">
        <v>3289</v>
      </c>
      <c r="K1904" s="83" t="s">
        <v>3215</v>
      </c>
    </row>
    <row r="1905" spans="1:11" ht="51.75" x14ac:dyDescent="0.25">
      <c r="A1905" s="83" t="s">
        <v>1567</v>
      </c>
      <c r="B1905" s="83" t="s">
        <v>7455</v>
      </c>
      <c r="C1905" s="83" t="s">
        <v>7456</v>
      </c>
      <c r="D1905" s="83" t="s">
        <v>3209</v>
      </c>
      <c r="E1905" s="83" t="s">
        <v>3246</v>
      </c>
      <c r="F1905" s="83" t="s">
        <v>7457</v>
      </c>
      <c r="G1905" s="83" t="s">
        <v>4759</v>
      </c>
      <c r="H1905" s="83">
        <v>294</v>
      </c>
      <c r="I1905" s="83" t="s">
        <v>3229</v>
      </c>
      <c r="J1905" s="83" t="s">
        <v>3289</v>
      </c>
      <c r="K1905" s="83" t="s">
        <v>3215</v>
      </c>
    </row>
    <row r="1906" spans="1:11" ht="51.75" x14ac:dyDescent="0.25">
      <c r="A1906" s="83" t="s">
        <v>53</v>
      </c>
      <c r="B1906" s="83" t="s">
        <v>7458</v>
      </c>
      <c r="C1906" s="83" t="s">
        <v>7459</v>
      </c>
      <c r="D1906" s="83" t="s">
        <v>3209</v>
      </c>
      <c r="E1906" s="83" t="s">
        <v>3246</v>
      </c>
      <c r="F1906" s="83" t="s">
        <v>7460</v>
      </c>
      <c r="G1906" s="83" t="s">
        <v>106</v>
      </c>
      <c r="H1906" s="83">
        <v>336</v>
      </c>
      <c r="I1906" s="83" t="s">
        <v>3213</v>
      </c>
      <c r="J1906" s="83" t="s">
        <v>3257</v>
      </c>
      <c r="K1906" s="83" t="s">
        <v>3215</v>
      </c>
    </row>
    <row r="1907" spans="1:11" ht="26.25" x14ac:dyDescent="0.25">
      <c r="A1907" s="83" t="s">
        <v>1557</v>
      </c>
      <c r="B1907" s="83" t="s">
        <v>7461</v>
      </c>
      <c r="C1907" s="83" t="s">
        <v>7462</v>
      </c>
      <c r="D1907" s="83" t="s">
        <v>3209</v>
      </c>
      <c r="E1907" s="83" t="s">
        <v>3246</v>
      </c>
      <c r="F1907" s="83" t="s">
        <v>7463</v>
      </c>
      <c r="G1907" s="83" t="s">
        <v>6015</v>
      </c>
      <c r="H1907" s="83">
        <v>3.2</v>
      </c>
      <c r="I1907" s="83" t="s">
        <v>3229</v>
      </c>
      <c r="J1907" s="83" t="s">
        <v>3222</v>
      </c>
      <c r="K1907" s="83" t="s">
        <v>3215</v>
      </c>
    </row>
    <row r="1908" spans="1:11" ht="64.5" x14ac:dyDescent="0.25">
      <c r="A1908" s="83" t="s">
        <v>1563</v>
      </c>
      <c r="B1908" s="83" t="s">
        <v>7464</v>
      </c>
      <c r="C1908" s="83" t="s">
        <v>7465</v>
      </c>
      <c r="D1908" s="83" t="s">
        <v>3209</v>
      </c>
      <c r="E1908" s="83" t="s">
        <v>3246</v>
      </c>
      <c r="F1908" s="83" t="s">
        <v>7466</v>
      </c>
      <c r="G1908" s="83" t="s">
        <v>4714</v>
      </c>
      <c r="H1908" s="83">
        <v>159.30000000000001</v>
      </c>
      <c r="I1908" s="83" t="s">
        <v>3213</v>
      </c>
      <c r="J1908" s="83" t="s">
        <v>3219</v>
      </c>
      <c r="K1908" s="83" t="s">
        <v>3215</v>
      </c>
    </row>
    <row r="1909" spans="1:11" ht="39" x14ac:dyDescent="0.25">
      <c r="A1909" s="83" t="s">
        <v>1543</v>
      </c>
      <c r="B1909" s="83" t="s">
        <v>7467</v>
      </c>
      <c r="C1909" s="83" t="s">
        <v>7468</v>
      </c>
      <c r="D1909" s="83" t="s">
        <v>3209</v>
      </c>
      <c r="E1909" s="83" t="s">
        <v>3246</v>
      </c>
      <c r="F1909" s="83" t="s">
        <v>7469</v>
      </c>
      <c r="G1909" s="83" t="s">
        <v>7470</v>
      </c>
      <c r="H1909" s="83">
        <v>15.2</v>
      </c>
      <c r="I1909" s="83" t="s">
        <v>3229</v>
      </c>
      <c r="J1909" s="83" t="s">
        <v>3241</v>
      </c>
      <c r="K1909" s="83" t="s">
        <v>3215</v>
      </c>
    </row>
    <row r="1910" spans="1:11" ht="39" x14ac:dyDescent="0.25">
      <c r="A1910" s="83" t="s">
        <v>1545</v>
      </c>
      <c r="B1910" s="83" t="s">
        <v>7467</v>
      </c>
      <c r="C1910" s="83" t="s">
        <v>7471</v>
      </c>
      <c r="D1910" s="83" t="s">
        <v>3209</v>
      </c>
      <c r="E1910" s="83" t="s">
        <v>3246</v>
      </c>
      <c r="F1910" s="83" t="s">
        <v>7469</v>
      </c>
      <c r="G1910" s="83" t="s">
        <v>7472</v>
      </c>
      <c r="H1910" s="83">
        <v>11.3</v>
      </c>
      <c r="I1910" s="83" t="s">
        <v>3229</v>
      </c>
      <c r="J1910" s="83" t="s">
        <v>3241</v>
      </c>
      <c r="K1910" s="83" t="s">
        <v>3215</v>
      </c>
    </row>
    <row r="1911" spans="1:11" ht="64.5" x14ac:dyDescent="0.25">
      <c r="A1911" s="83" t="s">
        <v>1533</v>
      </c>
      <c r="B1911" s="83" t="s">
        <v>7473</v>
      </c>
      <c r="C1911" s="83" t="s">
        <v>7474</v>
      </c>
      <c r="D1911" s="83" t="s">
        <v>3209</v>
      </c>
      <c r="E1911" s="83" t="s">
        <v>3246</v>
      </c>
      <c r="F1911" s="83" t="s">
        <v>7475</v>
      </c>
      <c r="G1911" s="83" t="s">
        <v>7476</v>
      </c>
      <c r="H1911" s="83">
        <v>24.5</v>
      </c>
      <c r="I1911" s="83" t="s">
        <v>3229</v>
      </c>
      <c r="J1911" s="83" t="s">
        <v>3380</v>
      </c>
      <c r="K1911" s="83" t="s">
        <v>3215</v>
      </c>
    </row>
    <row r="1912" spans="1:11" ht="102.75" x14ac:dyDescent="0.25">
      <c r="A1912" s="83" t="s">
        <v>1513</v>
      </c>
      <c r="B1912" s="83" t="s">
        <v>7477</v>
      </c>
      <c r="C1912" s="83" t="s">
        <v>7478</v>
      </c>
      <c r="D1912" s="83" t="s">
        <v>3209</v>
      </c>
      <c r="E1912" s="83" t="s">
        <v>3246</v>
      </c>
      <c r="F1912" s="83" t="s">
        <v>7479</v>
      </c>
      <c r="G1912" s="83" t="s">
        <v>5599</v>
      </c>
      <c r="H1912" s="83">
        <v>75</v>
      </c>
      <c r="I1912" s="83" t="s">
        <v>3229</v>
      </c>
      <c r="J1912" s="83" t="s">
        <v>7480</v>
      </c>
      <c r="K1912" s="83" t="s">
        <v>3215</v>
      </c>
    </row>
    <row r="1913" spans="1:11" ht="51.75" x14ac:dyDescent="0.25">
      <c r="A1913" s="83" t="s">
        <v>1512</v>
      </c>
      <c r="B1913" s="83" t="s">
        <v>7481</v>
      </c>
      <c r="C1913" s="83" t="s">
        <v>7482</v>
      </c>
      <c r="D1913" s="83" t="s">
        <v>3209</v>
      </c>
      <c r="E1913" s="83" t="s">
        <v>3246</v>
      </c>
      <c r="F1913" s="83" t="s">
        <v>7479</v>
      </c>
      <c r="G1913" s="83" t="s">
        <v>3637</v>
      </c>
      <c r="H1913" s="83">
        <v>300.89999999999998</v>
      </c>
      <c r="I1913" s="83" t="s">
        <v>3213</v>
      </c>
      <c r="J1913" s="83" t="s">
        <v>3214</v>
      </c>
      <c r="K1913" s="83" t="s">
        <v>3215</v>
      </c>
    </row>
    <row r="1914" spans="1:11" ht="26.25" x14ac:dyDescent="0.25">
      <c r="A1914" s="83" t="s">
        <v>1407</v>
      </c>
      <c r="B1914" s="83" t="s">
        <v>6970</v>
      </c>
      <c r="C1914" s="83" t="s">
        <v>7458</v>
      </c>
      <c r="D1914" s="83" t="s">
        <v>3209</v>
      </c>
      <c r="E1914" s="83" t="s">
        <v>3246</v>
      </c>
      <c r="F1914" s="83" t="s">
        <v>7483</v>
      </c>
      <c r="G1914" s="83" t="s">
        <v>7484</v>
      </c>
      <c r="H1914" s="83">
        <v>11</v>
      </c>
      <c r="I1914" s="83" t="s">
        <v>3229</v>
      </c>
      <c r="J1914" s="83" t="s">
        <v>3324</v>
      </c>
      <c r="K1914" s="83" t="s">
        <v>3215</v>
      </c>
    </row>
    <row r="1915" spans="1:11" ht="26.25" x14ac:dyDescent="0.25">
      <c r="A1915" s="83" t="s">
        <v>1387</v>
      </c>
      <c r="B1915" s="83" t="s">
        <v>5564</v>
      </c>
      <c r="C1915" s="83" t="s">
        <v>7485</v>
      </c>
      <c r="D1915" s="83" t="s">
        <v>3209</v>
      </c>
      <c r="E1915" s="83" t="s">
        <v>3246</v>
      </c>
      <c r="F1915" s="83" t="s">
        <v>7486</v>
      </c>
      <c r="G1915" s="83" t="s">
        <v>7487</v>
      </c>
      <c r="H1915" s="83">
        <v>5.3</v>
      </c>
      <c r="I1915" s="83" t="s">
        <v>3229</v>
      </c>
      <c r="J1915" s="83" t="s">
        <v>3222</v>
      </c>
      <c r="K1915" s="83" t="s">
        <v>3215</v>
      </c>
    </row>
    <row r="1916" spans="1:11" ht="51.75" x14ac:dyDescent="0.25">
      <c r="A1916" s="83" t="s">
        <v>1313</v>
      </c>
      <c r="B1916" s="83" t="s">
        <v>7488</v>
      </c>
      <c r="C1916" s="83" t="s">
        <v>7489</v>
      </c>
      <c r="D1916" s="83" t="s">
        <v>3209</v>
      </c>
      <c r="E1916" s="83" t="s">
        <v>3246</v>
      </c>
      <c r="F1916" s="83" t="s">
        <v>7490</v>
      </c>
      <c r="G1916" s="83" t="s">
        <v>5663</v>
      </c>
      <c r="H1916" s="83">
        <v>7.5</v>
      </c>
      <c r="I1916" s="83" t="s">
        <v>3229</v>
      </c>
      <c r="J1916" s="83" t="s">
        <v>3238</v>
      </c>
      <c r="K1916" s="83" t="s">
        <v>3215</v>
      </c>
    </row>
    <row r="1917" spans="1:11" ht="51.75" x14ac:dyDescent="0.25">
      <c r="A1917" s="83" t="s">
        <v>1299</v>
      </c>
      <c r="B1917" s="83" t="s">
        <v>7491</v>
      </c>
      <c r="C1917" s="83" t="s">
        <v>7492</v>
      </c>
      <c r="D1917" s="83" t="s">
        <v>3209</v>
      </c>
      <c r="E1917" s="83" t="s">
        <v>3246</v>
      </c>
      <c r="F1917" s="83" t="s">
        <v>3416</v>
      </c>
      <c r="G1917" s="83" t="s">
        <v>7493</v>
      </c>
      <c r="H1917" s="83">
        <v>12</v>
      </c>
      <c r="I1917" s="83" t="s">
        <v>3229</v>
      </c>
      <c r="J1917" s="83" t="s">
        <v>3371</v>
      </c>
      <c r="K1917" s="83" t="s">
        <v>3215</v>
      </c>
    </row>
    <row r="1918" spans="1:11" ht="51.75" x14ac:dyDescent="0.25">
      <c r="A1918" s="83" t="s">
        <v>133</v>
      </c>
      <c r="B1918" s="83" t="s">
        <v>4672</v>
      </c>
      <c r="C1918" s="83" t="s">
        <v>7494</v>
      </c>
      <c r="D1918" s="83" t="s">
        <v>3209</v>
      </c>
      <c r="E1918" s="83" t="s">
        <v>3246</v>
      </c>
      <c r="F1918" s="83" t="s">
        <v>7495</v>
      </c>
      <c r="G1918" s="83" t="s">
        <v>3649</v>
      </c>
      <c r="H1918" s="83">
        <v>7.1</v>
      </c>
      <c r="I1918" s="83" t="s">
        <v>3213</v>
      </c>
      <c r="J1918" s="83" t="s">
        <v>3271</v>
      </c>
      <c r="K1918" s="83" t="s">
        <v>3215</v>
      </c>
    </row>
    <row r="1919" spans="1:11" ht="26.25" x14ac:dyDescent="0.25">
      <c r="A1919" s="83" t="s">
        <v>1448</v>
      </c>
      <c r="B1919" s="83" t="s">
        <v>7496</v>
      </c>
      <c r="C1919" s="83" t="s">
        <v>7497</v>
      </c>
      <c r="D1919" s="83" t="s">
        <v>3209</v>
      </c>
      <c r="E1919" s="83" t="s">
        <v>3246</v>
      </c>
      <c r="F1919" s="83" t="s">
        <v>6041</v>
      </c>
      <c r="G1919" s="83" t="s">
        <v>7498</v>
      </c>
      <c r="H1919" s="83">
        <v>14</v>
      </c>
      <c r="I1919" s="83" t="s">
        <v>3229</v>
      </c>
      <c r="J1919" s="83" t="s">
        <v>3222</v>
      </c>
      <c r="K1919" s="83" t="s">
        <v>3215</v>
      </c>
    </row>
    <row r="1920" spans="1:11" ht="26.25" x14ac:dyDescent="0.25">
      <c r="A1920" s="83" t="s">
        <v>1432</v>
      </c>
      <c r="B1920" s="83" t="s">
        <v>7499</v>
      </c>
      <c r="C1920" s="83" t="s">
        <v>7500</v>
      </c>
      <c r="D1920" s="83" t="s">
        <v>3209</v>
      </c>
      <c r="E1920" s="83" t="s">
        <v>3246</v>
      </c>
      <c r="F1920" s="83" t="s">
        <v>7501</v>
      </c>
      <c r="G1920" s="83" t="s">
        <v>7502</v>
      </c>
      <c r="H1920" s="83">
        <v>3</v>
      </c>
      <c r="I1920" s="83" t="s">
        <v>3229</v>
      </c>
      <c r="J1920" s="83" t="s">
        <v>3222</v>
      </c>
      <c r="K1920" s="83" t="s">
        <v>3215</v>
      </c>
    </row>
    <row r="1921" spans="1:11" ht="39" x14ac:dyDescent="0.25">
      <c r="A1921" s="83" t="s">
        <v>1349</v>
      </c>
      <c r="B1921" s="83" t="s">
        <v>7503</v>
      </c>
      <c r="C1921" s="83" t="s">
        <v>7504</v>
      </c>
      <c r="D1921" s="83" t="s">
        <v>3209</v>
      </c>
      <c r="E1921" s="83" t="s">
        <v>3246</v>
      </c>
      <c r="F1921" s="83" t="s">
        <v>7505</v>
      </c>
      <c r="G1921" s="83" t="s">
        <v>7506</v>
      </c>
      <c r="H1921" s="83">
        <v>30</v>
      </c>
      <c r="I1921" s="83" t="s">
        <v>3229</v>
      </c>
      <c r="J1921" s="83" t="s">
        <v>356</v>
      </c>
      <c r="K1921" s="83" t="s">
        <v>3215</v>
      </c>
    </row>
    <row r="1922" spans="1:11" ht="64.5" x14ac:dyDescent="0.25">
      <c r="A1922" s="83" t="s">
        <v>1354</v>
      </c>
      <c r="B1922" s="83" t="s">
        <v>7507</v>
      </c>
      <c r="C1922" s="83" t="s">
        <v>7508</v>
      </c>
      <c r="D1922" s="83" t="s">
        <v>3209</v>
      </c>
      <c r="E1922" s="83" t="s">
        <v>3246</v>
      </c>
      <c r="F1922" s="83" t="s">
        <v>7509</v>
      </c>
      <c r="G1922" s="83" t="s">
        <v>7510</v>
      </c>
      <c r="H1922" s="83">
        <v>12</v>
      </c>
      <c r="I1922" s="83" t="s">
        <v>3213</v>
      </c>
      <c r="J1922" s="83" t="s">
        <v>3413</v>
      </c>
      <c r="K1922" s="83" t="s">
        <v>3215</v>
      </c>
    </row>
    <row r="1923" spans="1:11" ht="51.75" x14ac:dyDescent="0.25">
      <c r="A1923" s="83" t="s">
        <v>1321</v>
      </c>
      <c r="B1923" s="83" t="s">
        <v>7511</v>
      </c>
      <c r="C1923" s="83" t="s">
        <v>7512</v>
      </c>
      <c r="D1923" s="83" t="s">
        <v>3209</v>
      </c>
      <c r="E1923" s="83" t="s">
        <v>3246</v>
      </c>
      <c r="F1923" s="83" t="s">
        <v>7513</v>
      </c>
      <c r="G1923" s="83" t="s">
        <v>4871</v>
      </c>
      <c r="H1923" s="83">
        <v>199.9</v>
      </c>
      <c r="I1923" s="83" t="s">
        <v>3213</v>
      </c>
      <c r="J1923" s="83" t="s">
        <v>3257</v>
      </c>
      <c r="K1923" s="83" t="s">
        <v>3215</v>
      </c>
    </row>
    <row r="1924" spans="1:11" ht="26.25" x14ac:dyDescent="0.25">
      <c r="A1924" s="83" t="s">
        <v>1315</v>
      </c>
      <c r="B1924" s="83" t="s">
        <v>7514</v>
      </c>
      <c r="C1924" s="83" t="s">
        <v>7515</v>
      </c>
      <c r="D1924" s="83" t="s">
        <v>3209</v>
      </c>
      <c r="E1924" s="83" t="s">
        <v>3246</v>
      </c>
      <c r="F1924" s="83" t="s">
        <v>7516</v>
      </c>
      <c r="G1924" s="83" t="s">
        <v>7517</v>
      </c>
      <c r="H1924" s="83">
        <v>5</v>
      </c>
      <c r="I1924" s="83" t="s">
        <v>3229</v>
      </c>
      <c r="J1924" s="83" t="s">
        <v>3222</v>
      </c>
      <c r="K1924" s="83" t="s">
        <v>3215</v>
      </c>
    </row>
    <row r="1925" spans="1:11" ht="26.25" x14ac:dyDescent="0.25">
      <c r="A1925" s="83" t="s">
        <v>1336</v>
      </c>
      <c r="B1925" s="83" t="s">
        <v>7518</v>
      </c>
      <c r="C1925" s="83" t="s">
        <v>7519</v>
      </c>
      <c r="D1925" s="83" t="s">
        <v>3209</v>
      </c>
      <c r="E1925" s="83" t="s">
        <v>3246</v>
      </c>
      <c r="F1925" s="83" t="s">
        <v>4472</v>
      </c>
      <c r="G1925" s="83" t="s">
        <v>6552</v>
      </c>
      <c r="H1925" s="83">
        <v>46.9</v>
      </c>
      <c r="I1925" s="83" t="s">
        <v>3213</v>
      </c>
      <c r="J1925" s="83" t="s">
        <v>4176</v>
      </c>
      <c r="K1925" s="83" t="s">
        <v>3215</v>
      </c>
    </row>
    <row r="1926" spans="1:11" ht="51.75" x14ac:dyDescent="0.25">
      <c r="A1926" s="83" t="s">
        <v>46</v>
      </c>
      <c r="B1926" s="83" t="s">
        <v>7520</v>
      </c>
      <c r="C1926" s="83" t="s">
        <v>7521</v>
      </c>
      <c r="D1926" s="83" t="s">
        <v>3209</v>
      </c>
      <c r="E1926" s="83" t="s">
        <v>3246</v>
      </c>
      <c r="F1926" s="83" t="s">
        <v>7522</v>
      </c>
      <c r="G1926" s="83" t="s">
        <v>7523</v>
      </c>
      <c r="H1926" s="83">
        <v>56</v>
      </c>
      <c r="I1926" s="83" t="s">
        <v>3213</v>
      </c>
      <c r="J1926" s="83" t="s">
        <v>3271</v>
      </c>
      <c r="K1926" s="83" t="s">
        <v>3215</v>
      </c>
    </row>
    <row r="1927" spans="1:11" ht="51.75" x14ac:dyDescent="0.25">
      <c r="A1927" s="83" t="s">
        <v>1278</v>
      </c>
      <c r="B1927" s="83" t="s">
        <v>7524</v>
      </c>
      <c r="C1927" s="83" t="s">
        <v>7525</v>
      </c>
      <c r="D1927" s="83" t="s">
        <v>3209</v>
      </c>
      <c r="E1927" s="83" t="s">
        <v>3246</v>
      </c>
      <c r="F1927" s="83" t="s">
        <v>7526</v>
      </c>
      <c r="G1927" s="83" t="s">
        <v>7527</v>
      </c>
      <c r="H1927" s="83">
        <v>6.2</v>
      </c>
      <c r="I1927" s="83" t="s">
        <v>3229</v>
      </c>
      <c r="J1927" s="83" t="s">
        <v>3238</v>
      </c>
      <c r="K1927" s="83" t="s">
        <v>3215</v>
      </c>
    </row>
    <row r="1928" spans="1:11" ht="77.25" x14ac:dyDescent="0.25">
      <c r="A1928" s="83" t="s">
        <v>1268</v>
      </c>
      <c r="B1928" s="83" t="s">
        <v>7528</v>
      </c>
      <c r="C1928" s="83" t="s">
        <v>7529</v>
      </c>
      <c r="D1928" s="83" t="s">
        <v>3209</v>
      </c>
      <c r="E1928" s="83" t="s">
        <v>3246</v>
      </c>
      <c r="F1928" s="83" t="s">
        <v>3491</v>
      </c>
      <c r="G1928" s="83" t="s">
        <v>5560</v>
      </c>
      <c r="H1928" s="83">
        <v>11.9</v>
      </c>
      <c r="I1928" s="83" t="s">
        <v>3213</v>
      </c>
      <c r="J1928" s="83" t="s">
        <v>3621</v>
      </c>
      <c r="K1928" s="83" t="s">
        <v>3215</v>
      </c>
    </row>
    <row r="1929" spans="1:11" ht="39" x14ac:dyDescent="0.25">
      <c r="A1929" s="83" t="s">
        <v>1256</v>
      </c>
      <c r="B1929" s="83" t="s">
        <v>7530</v>
      </c>
      <c r="C1929" s="83" t="s">
        <v>7531</v>
      </c>
      <c r="D1929" s="83" t="s">
        <v>3209</v>
      </c>
      <c r="E1929" s="83" t="s">
        <v>3246</v>
      </c>
      <c r="F1929" s="83" t="s">
        <v>7532</v>
      </c>
      <c r="G1929" s="83" t="s">
        <v>7533</v>
      </c>
      <c r="H1929" s="83">
        <v>5</v>
      </c>
      <c r="I1929" s="83" t="s">
        <v>3229</v>
      </c>
      <c r="J1929" s="83" t="s">
        <v>3324</v>
      </c>
      <c r="K1929" s="83" t="s">
        <v>3215</v>
      </c>
    </row>
    <row r="1930" spans="1:11" ht="64.5" x14ac:dyDescent="0.25">
      <c r="A1930" s="83" t="s">
        <v>1413</v>
      </c>
      <c r="B1930" s="83" t="s">
        <v>7534</v>
      </c>
      <c r="C1930" s="83" t="s">
        <v>3389</v>
      </c>
      <c r="D1930" s="83" t="s">
        <v>3209</v>
      </c>
      <c r="E1930" s="83" t="s">
        <v>3246</v>
      </c>
      <c r="F1930" s="83" t="s">
        <v>7535</v>
      </c>
      <c r="G1930" s="83" t="s">
        <v>3412</v>
      </c>
      <c r="H1930" s="83">
        <v>5</v>
      </c>
      <c r="I1930" s="83" t="s">
        <v>3213</v>
      </c>
      <c r="J1930" s="83" t="s">
        <v>3413</v>
      </c>
      <c r="K1930" s="83" t="s">
        <v>3215</v>
      </c>
    </row>
    <row r="1931" spans="1:11" ht="64.5" x14ac:dyDescent="0.25">
      <c r="A1931" s="83" t="s">
        <v>1417</v>
      </c>
      <c r="B1931" s="83" t="s">
        <v>7536</v>
      </c>
      <c r="C1931" s="83" t="s">
        <v>7537</v>
      </c>
      <c r="D1931" s="83" t="s">
        <v>3209</v>
      </c>
      <c r="E1931" s="83" t="s">
        <v>3246</v>
      </c>
      <c r="F1931" s="83" t="s">
        <v>7538</v>
      </c>
      <c r="G1931" s="83" t="s">
        <v>3379</v>
      </c>
      <c r="H1931" s="83">
        <v>25</v>
      </c>
      <c r="I1931" s="83" t="s">
        <v>3229</v>
      </c>
      <c r="J1931" s="83" t="s">
        <v>3380</v>
      </c>
      <c r="K1931" s="83" t="s">
        <v>3215</v>
      </c>
    </row>
    <row r="1932" spans="1:11" ht="51.75" x14ac:dyDescent="0.25">
      <c r="A1932" s="83" t="s">
        <v>1424</v>
      </c>
      <c r="B1932" s="83" t="s">
        <v>7539</v>
      </c>
      <c r="C1932" s="83" t="s">
        <v>7540</v>
      </c>
      <c r="D1932" s="83" t="s">
        <v>3209</v>
      </c>
      <c r="E1932" s="83" t="s">
        <v>3246</v>
      </c>
      <c r="F1932" s="83" t="s">
        <v>7541</v>
      </c>
      <c r="G1932" s="83" t="s">
        <v>3237</v>
      </c>
      <c r="H1932" s="83">
        <v>90</v>
      </c>
      <c r="I1932" s="83" t="s">
        <v>3229</v>
      </c>
      <c r="J1932" s="83" t="s">
        <v>3238</v>
      </c>
      <c r="K1932" s="83" t="s">
        <v>3215</v>
      </c>
    </row>
    <row r="1933" spans="1:11" ht="64.5" x14ac:dyDescent="0.25">
      <c r="A1933" s="83" t="s">
        <v>1391</v>
      </c>
      <c r="B1933" s="83" t="s">
        <v>7542</v>
      </c>
      <c r="C1933" s="83" t="s">
        <v>7543</v>
      </c>
      <c r="D1933" s="83" t="s">
        <v>3209</v>
      </c>
      <c r="E1933" s="83" t="s">
        <v>3246</v>
      </c>
      <c r="F1933" s="83" t="s">
        <v>7544</v>
      </c>
      <c r="G1933" s="83" t="s">
        <v>7545</v>
      </c>
      <c r="H1933" s="83">
        <v>6.7</v>
      </c>
      <c r="I1933" s="83" t="s">
        <v>3213</v>
      </c>
      <c r="J1933" s="83" t="s">
        <v>3413</v>
      </c>
      <c r="K1933" s="83" t="s">
        <v>3215</v>
      </c>
    </row>
    <row r="1934" spans="1:11" ht="64.5" x14ac:dyDescent="0.25">
      <c r="A1934" s="83" t="s">
        <v>947</v>
      </c>
      <c r="B1934" s="83" t="s">
        <v>7546</v>
      </c>
      <c r="C1934" s="83" t="s">
        <v>7547</v>
      </c>
      <c r="D1934" s="83" t="s">
        <v>3209</v>
      </c>
      <c r="E1934" s="83" t="s">
        <v>3246</v>
      </c>
      <c r="F1934" s="83" t="s">
        <v>7548</v>
      </c>
      <c r="G1934" s="83" t="s">
        <v>7549</v>
      </c>
      <c r="H1934" s="83">
        <v>16.2</v>
      </c>
      <c r="I1934" s="83" t="s">
        <v>3213</v>
      </c>
      <c r="J1934" s="83" t="s">
        <v>3219</v>
      </c>
      <c r="K1934" s="83" t="s">
        <v>3215</v>
      </c>
    </row>
    <row r="1935" spans="1:11" ht="26.25" x14ac:dyDescent="0.25">
      <c r="A1935" s="83" t="s">
        <v>902</v>
      </c>
      <c r="B1935" s="83" t="s">
        <v>7550</v>
      </c>
      <c r="C1935" s="83" t="s">
        <v>7551</v>
      </c>
      <c r="D1935" s="83" t="s">
        <v>3209</v>
      </c>
      <c r="E1935" s="83" t="s">
        <v>3246</v>
      </c>
      <c r="F1935" s="83" t="s">
        <v>7552</v>
      </c>
      <c r="G1935" s="83" t="s">
        <v>3584</v>
      </c>
      <c r="H1935" s="83">
        <v>5.5</v>
      </c>
      <c r="I1935" s="83" t="s">
        <v>3213</v>
      </c>
      <c r="J1935" s="83" t="s">
        <v>3467</v>
      </c>
      <c r="K1935" s="83" t="s">
        <v>3215</v>
      </c>
    </row>
    <row r="1936" spans="1:11" ht="64.5" x14ac:dyDescent="0.25">
      <c r="A1936" s="83" t="s">
        <v>572</v>
      </c>
      <c r="B1936" s="83" t="s">
        <v>7553</v>
      </c>
      <c r="C1936" s="83" t="s">
        <v>7554</v>
      </c>
      <c r="D1936" s="83" t="s">
        <v>3209</v>
      </c>
      <c r="E1936" s="83" t="s">
        <v>3246</v>
      </c>
      <c r="F1936" s="83" t="s">
        <v>7555</v>
      </c>
      <c r="G1936" s="83" t="s">
        <v>7556</v>
      </c>
      <c r="H1936" s="83">
        <v>9.4</v>
      </c>
      <c r="I1936" s="83" t="s">
        <v>3213</v>
      </c>
      <c r="J1936" s="83" t="s">
        <v>3413</v>
      </c>
      <c r="K1936" s="83" t="s">
        <v>3215</v>
      </c>
    </row>
    <row r="1937" spans="1:11" ht="26.25" x14ac:dyDescent="0.25">
      <c r="A1937" s="83" t="s">
        <v>1175</v>
      </c>
      <c r="B1937" s="83" t="s">
        <v>7557</v>
      </c>
      <c r="C1937" s="83" t="s">
        <v>7558</v>
      </c>
      <c r="D1937" s="83" t="s">
        <v>3209</v>
      </c>
      <c r="E1937" s="83" t="s">
        <v>3246</v>
      </c>
      <c r="F1937" s="83" t="s">
        <v>7559</v>
      </c>
      <c r="G1937" s="83" t="s">
        <v>7560</v>
      </c>
      <c r="H1937" s="83">
        <v>80.900000000000006</v>
      </c>
      <c r="I1937" s="83" t="s">
        <v>3213</v>
      </c>
      <c r="J1937" s="83" t="s">
        <v>3851</v>
      </c>
      <c r="K1937" s="83" t="s">
        <v>3215</v>
      </c>
    </row>
    <row r="1938" spans="1:11" ht="51.75" x14ac:dyDescent="0.25">
      <c r="A1938" s="83" t="s">
        <v>1180</v>
      </c>
      <c r="B1938" s="83" t="s">
        <v>6491</v>
      </c>
      <c r="C1938" s="83" t="s">
        <v>7561</v>
      </c>
      <c r="D1938" s="83" t="s">
        <v>3209</v>
      </c>
      <c r="E1938" s="83" t="s">
        <v>3246</v>
      </c>
      <c r="F1938" s="83" t="s">
        <v>4449</v>
      </c>
      <c r="G1938" s="83" t="s">
        <v>4322</v>
      </c>
      <c r="H1938" s="83">
        <v>80</v>
      </c>
      <c r="I1938" s="83" t="s">
        <v>3213</v>
      </c>
      <c r="J1938" s="83" t="s">
        <v>3214</v>
      </c>
      <c r="K1938" s="83" t="s">
        <v>3215</v>
      </c>
    </row>
    <row r="1939" spans="1:11" ht="51.75" x14ac:dyDescent="0.25">
      <c r="A1939" s="83" t="s">
        <v>1135</v>
      </c>
      <c r="B1939" s="83" t="s">
        <v>7562</v>
      </c>
      <c r="C1939" s="83" t="s">
        <v>6052</v>
      </c>
      <c r="D1939" s="83" t="s">
        <v>3209</v>
      </c>
      <c r="E1939" s="83" t="s">
        <v>3246</v>
      </c>
      <c r="F1939" s="83" t="s">
        <v>7563</v>
      </c>
      <c r="G1939" s="83" t="s">
        <v>7564</v>
      </c>
      <c r="H1939" s="83">
        <v>13.2</v>
      </c>
      <c r="I1939" s="83" t="s">
        <v>3213</v>
      </c>
      <c r="J1939" s="83" t="s">
        <v>3257</v>
      </c>
      <c r="K1939" s="83" t="s">
        <v>3215</v>
      </c>
    </row>
    <row r="1940" spans="1:11" ht="64.5" x14ac:dyDescent="0.25">
      <c r="A1940" s="83" t="s">
        <v>1140</v>
      </c>
      <c r="B1940" s="83" t="s">
        <v>7565</v>
      </c>
      <c r="C1940" s="83" t="s">
        <v>7566</v>
      </c>
      <c r="D1940" s="83" t="s">
        <v>3209</v>
      </c>
      <c r="E1940" s="83" t="s">
        <v>3246</v>
      </c>
      <c r="F1940" s="83" t="s">
        <v>7567</v>
      </c>
      <c r="G1940" s="83" t="s">
        <v>3475</v>
      </c>
      <c r="H1940" s="83">
        <v>39.299999999999997</v>
      </c>
      <c r="I1940" s="83" t="s">
        <v>3213</v>
      </c>
      <c r="J1940" s="83" t="s">
        <v>3219</v>
      </c>
      <c r="K1940" s="83" t="s">
        <v>3215</v>
      </c>
    </row>
    <row r="1941" spans="1:11" ht="51.75" x14ac:dyDescent="0.25">
      <c r="A1941" s="83" t="s">
        <v>1144</v>
      </c>
      <c r="B1941" s="83" t="s">
        <v>7568</v>
      </c>
      <c r="C1941" s="83" t="s">
        <v>7370</v>
      </c>
      <c r="D1941" s="83" t="s">
        <v>3209</v>
      </c>
      <c r="E1941" s="83" t="s">
        <v>3246</v>
      </c>
      <c r="F1941" s="83" t="s">
        <v>7569</v>
      </c>
      <c r="G1941" s="83" t="s">
        <v>7570</v>
      </c>
      <c r="H1941" s="83">
        <v>5</v>
      </c>
      <c r="I1941" s="83" t="s">
        <v>3229</v>
      </c>
      <c r="J1941" s="83" t="s">
        <v>3280</v>
      </c>
      <c r="K1941" s="83" t="s">
        <v>3215</v>
      </c>
    </row>
    <row r="1942" spans="1:11" ht="51.75" x14ac:dyDescent="0.25">
      <c r="A1942" s="83" t="s">
        <v>1149</v>
      </c>
      <c r="B1942" s="83" t="s">
        <v>7571</v>
      </c>
      <c r="C1942" s="83" t="s">
        <v>7572</v>
      </c>
      <c r="D1942" s="83" t="s">
        <v>3209</v>
      </c>
      <c r="E1942" s="83" t="s">
        <v>3246</v>
      </c>
      <c r="F1942" s="83" t="s">
        <v>7351</v>
      </c>
      <c r="G1942" s="83" t="s">
        <v>7271</v>
      </c>
      <c r="H1942" s="83">
        <v>26</v>
      </c>
      <c r="I1942" s="83" t="s">
        <v>3229</v>
      </c>
      <c r="J1942" s="83" t="s">
        <v>3371</v>
      </c>
      <c r="K1942" s="83" t="s">
        <v>3215</v>
      </c>
    </row>
    <row r="1943" spans="1:11" ht="51.75" x14ac:dyDescent="0.25">
      <c r="A1943" s="83" t="s">
        <v>1032</v>
      </c>
      <c r="B1943" s="83" t="s">
        <v>7573</v>
      </c>
      <c r="C1943" s="83" t="s">
        <v>7574</v>
      </c>
      <c r="D1943" s="83" t="s">
        <v>3209</v>
      </c>
      <c r="E1943" s="83" t="s">
        <v>3246</v>
      </c>
      <c r="F1943" s="83" t="s">
        <v>3564</v>
      </c>
      <c r="G1943" s="83" t="s">
        <v>4124</v>
      </c>
      <c r="H1943" s="83">
        <v>31</v>
      </c>
      <c r="I1943" s="83" t="s">
        <v>3229</v>
      </c>
      <c r="J1943" s="83" t="s">
        <v>3230</v>
      </c>
      <c r="K1943" s="83" t="s">
        <v>3215</v>
      </c>
    </row>
    <row r="1944" spans="1:11" ht="64.5" x14ac:dyDescent="0.25">
      <c r="A1944" s="83" t="s">
        <v>1037</v>
      </c>
      <c r="B1944" s="83" t="s">
        <v>7575</v>
      </c>
      <c r="C1944" s="83" t="s">
        <v>7576</v>
      </c>
      <c r="D1944" s="83" t="s">
        <v>3209</v>
      </c>
      <c r="E1944" s="83" t="s">
        <v>3246</v>
      </c>
      <c r="F1944" s="83" t="s">
        <v>5372</v>
      </c>
      <c r="G1944" s="83" t="s">
        <v>7577</v>
      </c>
      <c r="H1944" s="83">
        <v>2</v>
      </c>
      <c r="I1944" s="83" t="s">
        <v>3229</v>
      </c>
      <c r="J1944" s="83" t="s">
        <v>3380</v>
      </c>
      <c r="K1944" s="83" t="s">
        <v>3215</v>
      </c>
    </row>
    <row r="1945" spans="1:11" ht="51.75" x14ac:dyDescent="0.25">
      <c r="A1945" s="83" t="s">
        <v>99</v>
      </c>
      <c r="B1945" s="83" t="s">
        <v>7578</v>
      </c>
      <c r="C1945" s="83" t="s">
        <v>7579</v>
      </c>
      <c r="D1945" s="83" t="s">
        <v>3209</v>
      </c>
      <c r="E1945" s="83" t="s">
        <v>3246</v>
      </c>
      <c r="F1945" s="83" t="s">
        <v>7580</v>
      </c>
      <c r="G1945" s="83" t="s">
        <v>7581</v>
      </c>
      <c r="H1945" s="83">
        <v>9.8000000000000007</v>
      </c>
      <c r="I1945" s="83" t="s">
        <v>3229</v>
      </c>
      <c r="J1945" s="83" t="s">
        <v>3289</v>
      </c>
      <c r="K1945" s="83" t="s">
        <v>3215</v>
      </c>
    </row>
    <row r="1946" spans="1:11" ht="51.75" x14ac:dyDescent="0.25">
      <c r="A1946" s="83" t="s">
        <v>1044</v>
      </c>
      <c r="B1946" s="83" t="s">
        <v>7582</v>
      </c>
      <c r="C1946" s="83" t="s">
        <v>7583</v>
      </c>
      <c r="D1946" s="83" t="s">
        <v>3209</v>
      </c>
      <c r="E1946" s="83" t="s">
        <v>3246</v>
      </c>
      <c r="F1946" s="83" t="s">
        <v>7584</v>
      </c>
      <c r="G1946" s="83" t="s">
        <v>7585</v>
      </c>
      <c r="H1946" s="83">
        <v>4</v>
      </c>
      <c r="I1946" s="83" t="s">
        <v>3229</v>
      </c>
      <c r="J1946" s="83" t="s">
        <v>3730</v>
      </c>
      <c r="K1946" s="83" t="s">
        <v>3215</v>
      </c>
    </row>
    <row r="1947" spans="1:11" ht="39" x14ac:dyDescent="0.25">
      <c r="A1947" s="83" t="s">
        <v>1058</v>
      </c>
      <c r="B1947" s="83" t="s">
        <v>7586</v>
      </c>
      <c r="C1947" s="83" t="s">
        <v>7587</v>
      </c>
      <c r="D1947" s="83" t="s">
        <v>3209</v>
      </c>
      <c r="E1947" s="83" t="s">
        <v>3246</v>
      </c>
      <c r="F1947" s="83" t="s">
        <v>7588</v>
      </c>
      <c r="G1947" s="83" t="s">
        <v>5182</v>
      </c>
      <c r="H1947" s="83">
        <v>42</v>
      </c>
      <c r="I1947" s="83" t="s">
        <v>3229</v>
      </c>
      <c r="J1947" s="83" t="s">
        <v>3241</v>
      </c>
      <c r="K1947" s="83" t="s">
        <v>3215</v>
      </c>
    </row>
    <row r="1948" spans="1:11" ht="51.75" x14ac:dyDescent="0.25">
      <c r="A1948" s="83" t="s">
        <v>1060</v>
      </c>
      <c r="B1948" s="83" t="s">
        <v>7589</v>
      </c>
      <c r="C1948" s="83" t="s">
        <v>7590</v>
      </c>
      <c r="D1948" s="83" t="s">
        <v>3209</v>
      </c>
      <c r="E1948" s="83" t="s">
        <v>3246</v>
      </c>
      <c r="F1948" s="83" t="s">
        <v>3745</v>
      </c>
      <c r="G1948" s="83" t="s">
        <v>4243</v>
      </c>
      <c r="H1948" s="83">
        <v>51.1</v>
      </c>
      <c r="I1948" s="83" t="s">
        <v>3229</v>
      </c>
      <c r="J1948" s="83" t="s">
        <v>3289</v>
      </c>
      <c r="K1948" s="83" t="s">
        <v>3215</v>
      </c>
    </row>
    <row r="1949" spans="1:11" ht="51.75" x14ac:dyDescent="0.25">
      <c r="A1949" s="83" t="s">
        <v>1072</v>
      </c>
      <c r="B1949" s="83" t="s">
        <v>7591</v>
      </c>
      <c r="C1949" s="83" t="s">
        <v>7592</v>
      </c>
      <c r="D1949" s="83" t="s">
        <v>3209</v>
      </c>
      <c r="E1949" s="83" t="s">
        <v>3246</v>
      </c>
      <c r="F1949" s="83" t="s">
        <v>7593</v>
      </c>
      <c r="G1949" s="83" t="s">
        <v>7594</v>
      </c>
      <c r="H1949" s="83">
        <v>0.4</v>
      </c>
      <c r="I1949" s="83" t="s">
        <v>3229</v>
      </c>
      <c r="J1949" s="83" t="s">
        <v>3371</v>
      </c>
      <c r="K1949" s="83" t="s">
        <v>3215</v>
      </c>
    </row>
    <row r="1950" spans="1:11" ht="51.75" x14ac:dyDescent="0.25">
      <c r="A1950" s="83" t="s">
        <v>993</v>
      </c>
      <c r="B1950" s="83" t="s">
        <v>7595</v>
      </c>
      <c r="C1950" s="83" t="s">
        <v>7596</v>
      </c>
      <c r="D1950" s="83" t="s">
        <v>3209</v>
      </c>
      <c r="E1950" s="83" t="s">
        <v>3246</v>
      </c>
      <c r="F1950" s="83" t="s">
        <v>7597</v>
      </c>
      <c r="G1950" s="83" t="s">
        <v>4273</v>
      </c>
      <c r="H1950" s="83">
        <v>25</v>
      </c>
      <c r="I1950" s="83" t="s">
        <v>3229</v>
      </c>
      <c r="J1950" s="83" t="s">
        <v>3230</v>
      </c>
      <c r="K1950" s="83" t="s">
        <v>3215</v>
      </c>
    </row>
    <row r="1951" spans="1:11" ht="51.75" x14ac:dyDescent="0.25">
      <c r="A1951" s="83" t="s">
        <v>998</v>
      </c>
      <c r="B1951" s="83" t="s">
        <v>7598</v>
      </c>
      <c r="C1951" s="83" t="s">
        <v>7599</v>
      </c>
      <c r="D1951" s="83" t="s">
        <v>3209</v>
      </c>
      <c r="E1951" s="83" t="s">
        <v>3246</v>
      </c>
      <c r="F1951" s="83" t="s">
        <v>7600</v>
      </c>
      <c r="G1951" s="83" t="s">
        <v>7601</v>
      </c>
      <c r="H1951" s="83">
        <v>8</v>
      </c>
      <c r="I1951" s="83" t="s">
        <v>3229</v>
      </c>
      <c r="J1951" s="83" t="s">
        <v>3289</v>
      </c>
      <c r="K1951" s="83" t="s">
        <v>3215</v>
      </c>
    </row>
    <row r="1952" spans="1:11" ht="64.5" x14ac:dyDescent="0.25">
      <c r="A1952" s="83" t="s">
        <v>1027</v>
      </c>
      <c r="B1952" s="83" t="s">
        <v>7602</v>
      </c>
      <c r="C1952" s="83" t="s">
        <v>7603</v>
      </c>
      <c r="D1952" s="83" t="s">
        <v>3209</v>
      </c>
      <c r="E1952" s="83" t="s">
        <v>3246</v>
      </c>
      <c r="F1952" s="83" t="s">
        <v>7604</v>
      </c>
      <c r="G1952" s="83" t="s">
        <v>4743</v>
      </c>
      <c r="H1952" s="83">
        <v>24</v>
      </c>
      <c r="I1952" s="83" t="s">
        <v>3213</v>
      </c>
      <c r="J1952" s="83" t="s">
        <v>3262</v>
      </c>
      <c r="K1952" s="83" t="s">
        <v>3215</v>
      </c>
    </row>
    <row r="1953" spans="1:11" ht="26.25" x14ac:dyDescent="0.25">
      <c r="A1953" s="83" t="s">
        <v>1006</v>
      </c>
      <c r="B1953" s="83" t="s">
        <v>7605</v>
      </c>
      <c r="C1953" s="83" t="s">
        <v>7606</v>
      </c>
      <c r="D1953" s="83" t="s">
        <v>3209</v>
      </c>
      <c r="E1953" s="83" t="s">
        <v>3246</v>
      </c>
      <c r="F1953" s="83" t="s">
        <v>7607</v>
      </c>
      <c r="G1953" s="83" t="s">
        <v>3780</v>
      </c>
      <c r="H1953" s="83">
        <v>23</v>
      </c>
      <c r="I1953" s="83" t="s">
        <v>3229</v>
      </c>
      <c r="J1953" s="83" t="s">
        <v>3397</v>
      </c>
      <c r="K1953" s="83" t="s">
        <v>3215</v>
      </c>
    </row>
    <row r="1954" spans="1:11" ht="51.75" x14ac:dyDescent="0.25">
      <c r="A1954" s="83" t="s">
        <v>1009</v>
      </c>
      <c r="B1954" s="83" t="s">
        <v>7608</v>
      </c>
      <c r="C1954" s="83" t="s">
        <v>7609</v>
      </c>
      <c r="D1954" s="83" t="s">
        <v>3209</v>
      </c>
      <c r="E1954" s="83" t="s">
        <v>3246</v>
      </c>
      <c r="F1954" s="83" t="s">
        <v>7610</v>
      </c>
      <c r="G1954" s="83" t="s">
        <v>7611</v>
      </c>
      <c r="H1954" s="83">
        <v>0.2</v>
      </c>
      <c r="I1954" s="83" t="s">
        <v>3229</v>
      </c>
      <c r="J1954" s="83" t="s">
        <v>3371</v>
      </c>
      <c r="K1954" s="83" t="s">
        <v>3215</v>
      </c>
    </row>
    <row r="1955" spans="1:11" ht="64.5" x14ac:dyDescent="0.25">
      <c r="A1955" s="83" t="s">
        <v>1222</v>
      </c>
      <c r="B1955" s="83" t="s">
        <v>7612</v>
      </c>
      <c r="C1955" s="83" t="s">
        <v>7613</v>
      </c>
      <c r="D1955" s="83" t="s">
        <v>3209</v>
      </c>
      <c r="E1955" s="83" t="s">
        <v>3246</v>
      </c>
      <c r="F1955" s="83" t="s">
        <v>7614</v>
      </c>
      <c r="G1955" s="83" t="s">
        <v>7615</v>
      </c>
      <c r="H1955" s="83">
        <v>0.1</v>
      </c>
      <c r="I1955" s="83" t="s">
        <v>3213</v>
      </c>
      <c r="J1955" s="83" t="s">
        <v>3601</v>
      </c>
      <c r="K1955" s="83" t="s">
        <v>3215</v>
      </c>
    </row>
    <row r="1956" spans="1:11" ht="51.75" x14ac:dyDescent="0.25">
      <c r="A1956" s="83" t="s">
        <v>1224</v>
      </c>
      <c r="B1956" s="83" t="s">
        <v>7616</v>
      </c>
      <c r="C1956" s="83" t="s">
        <v>7617</v>
      </c>
      <c r="D1956" s="83" t="s">
        <v>3209</v>
      </c>
      <c r="E1956" s="83" t="s">
        <v>3246</v>
      </c>
      <c r="F1956" s="83" t="s">
        <v>7618</v>
      </c>
      <c r="G1956" s="83" t="s">
        <v>7619</v>
      </c>
      <c r="H1956" s="83">
        <v>9</v>
      </c>
      <c r="I1956" s="83" t="s">
        <v>3229</v>
      </c>
      <c r="J1956" s="83" t="s">
        <v>3280</v>
      </c>
      <c r="K1956" s="83" t="s">
        <v>3215</v>
      </c>
    </row>
    <row r="1957" spans="1:11" ht="51.75" x14ac:dyDescent="0.25">
      <c r="A1957" s="83" t="s">
        <v>1226</v>
      </c>
      <c r="B1957" s="83" t="s">
        <v>7620</v>
      </c>
      <c r="C1957" s="83" t="s">
        <v>7621</v>
      </c>
      <c r="D1957" s="83" t="s">
        <v>3209</v>
      </c>
      <c r="E1957" s="83" t="s">
        <v>3246</v>
      </c>
      <c r="F1957" s="83" t="s">
        <v>7622</v>
      </c>
      <c r="G1957" s="83" t="s">
        <v>7623</v>
      </c>
      <c r="H1957" s="83">
        <v>17</v>
      </c>
      <c r="I1957" s="83" t="s">
        <v>3229</v>
      </c>
      <c r="J1957" s="83" t="s">
        <v>3280</v>
      </c>
      <c r="K1957" s="83" t="s">
        <v>3215</v>
      </c>
    </row>
    <row r="1958" spans="1:11" ht="26.25" x14ac:dyDescent="0.25">
      <c r="A1958" s="83" t="s">
        <v>1234</v>
      </c>
      <c r="B1958" s="83" t="s">
        <v>7624</v>
      </c>
      <c r="C1958" s="83" t="s">
        <v>7625</v>
      </c>
      <c r="D1958" s="83" t="s">
        <v>3209</v>
      </c>
      <c r="E1958" s="83" t="s">
        <v>3246</v>
      </c>
      <c r="F1958" s="83" t="s">
        <v>7626</v>
      </c>
      <c r="G1958" s="83" t="s">
        <v>7627</v>
      </c>
      <c r="H1958" s="83">
        <v>16</v>
      </c>
      <c r="I1958" s="83" t="s">
        <v>3229</v>
      </c>
      <c r="J1958" s="83" t="s">
        <v>3222</v>
      </c>
      <c r="K1958" s="83" t="s">
        <v>3215</v>
      </c>
    </row>
    <row r="1959" spans="1:11" ht="51.75" x14ac:dyDescent="0.25">
      <c r="A1959" s="83" t="s">
        <v>162</v>
      </c>
      <c r="B1959" s="83" t="s">
        <v>7628</v>
      </c>
      <c r="C1959" s="83" t="s">
        <v>7629</v>
      </c>
      <c r="D1959" s="83" t="s">
        <v>3209</v>
      </c>
      <c r="E1959" s="83" t="s">
        <v>3246</v>
      </c>
      <c r="F1959" s="83" t="s">
        <v>5405</v>
      </c>
      <c r="G1959" s="83" t="s">
        <v>7630</v>
      </c>
      <c r="H1959" s="83">
        <v>49</v>
      </c>
      <c r="I1959" s="83" t="s">
        <v>3229</v>
      </c>
      <c r="J1959" s="83" t="s">
        <v>3371</v>
      </c>
      <c r="K1959" s="83" t="s">
        <v>3215</v>
      </c>
    </row>
    <row r="1960" spans="1:11" ht="51.75" x14ac:dyDescent="0.25">
      <c r="A1960" s="83" t="s">
        <v>1214</v>
      </c>
      <c r="B1960" s="83" t="s">
        <v>7631</v>
      </c>
      <c r="C1960" s="83" t="s">
        <v>7632</v>
      </c>
      <c r="D1960" s="83" t="s">
        <v>3209</v>
      </c>
      <c r="E1960" s="83" t="s">
        <v>3246</v>
      </c>
      <c r="F1960" s="83" t="s">
        <v>7633</v>
      </c>
      <c r="G1960" s="83" t="s">
        <v>7634</v>
      </c>
      <c r="H1960" s="83">
        <v>11</v>
      </c>
      <c r="I1960" s="83" t="s">
        <v>3213</v>
      </c>
      <c r="J1960" s="83" t="s">
        <v>3257</v>
      </c>
      <c r="K1960" s="83" t="s">
        <v>3215</v>
      </c>
    </row>
    <row r="1961" spans="1:11" ht="64.5" x14ac:dyDescent="0.25">
      <c r="A1961" s="83" t="s">
        <v>1216</v>
      </c>
      <c r="B1961" s="83" t="s">
        <v>7635</v>
      </c>
      <c r="C1961" s="83" t="s">
        <v>7636</v>
      </c>
      <c r="D1961" s="83" t="s">
        <v>3209</v>
      </c>
      <c r="E1961" s="83" t="s">
        <v>3246</v>
      </c>
      <c r="F1961" s="83" t="s">
        <v>7637</v>
      </c>
      <c r="G1961" s="83" t="s">
        <v>5053</v>
      </c>
      <c r="H1961" s="83">
        <v>31.5</v>
      </c>
      <c r="I1961" s="83" t="s">
        <v>3213</v>
      </c>
      <c r="J1961" s="83" t="s">
        <v>3413</v>
      </c>
      <c r="K1961" s="83" t="s">
        <v>3215</v>
      </c>
    </row>
    <row r="1962" spans="1:11" ht="64.5" x14ac:dyDescent="0.25">
      <c r="A1962" s="83" t="s">
        <v>1190</v>
      </c>
      <c r="B1962" s="83" t="s">
        <v>7638</v>
      </c>
      <c r="C1962" s="83" t="s">
        <v>7639</v>
      </c>
      <c r="D1962" s="83" t="s">
        <v>3209</v>
      </c>
      <c r="E1962" s="83" t="s">
        <v>3246</v>
      </c>
      <c r="F1962" s="83" t="s">
        <v>7640</v>
      </c>
      <c r="G1962" s="83" t="s">
        <v>7641</v>
      </c>
      <c r="H1962" s="83">
        <v>15</v>
      </c>
      <c r="I1962" s="83" t="s">
        <v>3213</v>
      </c>
      <c r="J1962" s="83" t="s">
        <v>3413</v>
      </c>
      <c r="K1962" s="83" t="s">
        <v>3215</v>
      </c>
    </row>
    <row r="1963" spans="1:11" ht="51.75" x14ac:dyDescent="0.25">
      <c r="A1963" s="83" t="s">
        <v>1205</v>
      </c>
      <c r="B1963" s="83" t="s">
        <v>7642</v>
      </c>
      <c r="C1963" s="83" t="s">
        <v>7643</v>
      </c>
      <c r="D1963" s="83" t="s">
        <v>3209</v>
      </c>
      <c r="E1963" s="83" t="s">
        <v>3246</v>
      </c>
      <c r="F1963" s="83" t="s">
        <v>4592</v>
      </c>
      <c r="G1963" s="83" t="s">
        <v>3315</v>
      </c>
      <c r="H1963" s="83">
        <v>20</v>
      </c>
      <c r="I1963" s="83" t="s">
        <v>3229</v>
      </c>
      <c r="J1963" s="83" t="s">
        <v>3238</v>
      </c>
      <c r="K1963" s="83" t="s">
        <v>3215</v>
      </c>
    </row>
    <row r="1964" spans="1:11" ht="51.75" x14ac:dyDescent="0.25">
      <c r="A1964" s="83" t="s">
        <v>1159</v>
      </c>
      <c r="B1964" s="83" t="s">
        <v>7644</v>
      </c>
      <c r="C1964" s="83" t="s">
        <v>7645</v>
      </c>
      <c r="D1964" s="83" t="s">
        <v>3209</v>
      </c>
      <c r="E1964" s="83" t="s">
        <v>3246</v>
      </c>
      <c r="F1964" s="83" t="s">
        <v>6182</v>
      </c>
      <c r="G1964" s="83" t="s">
        <v>7646</v>
      </c>
      <c r="H1964" s="83">
        <v>1.4</v>
      </c>
      <c r="I1964" s="83" t="s">
        <v>3213</v>
      </c>
      <c r="J1964" s="83" t="s">
        <v>3521</v>
      </c>
      <c r="K1964" s="83" t="s">
        <v>3215</v>
      </c>
    </row>
    <row r="1965" spans="1:11" ht="26.25" x14ac:dyDescent="0.25">
      <c r="A1965" s="83" t="s">
        <v>847</v>
      </c>
      <c r="B1965" s="83" t="s">
        <v>7647</v>
      </c>
      <c r="C1965" s="83" t="s">
        <v>7648</v>
      </c>
      <c r="D1965" s="83" t="s">
        <v>3209</v>
      </c>
      <c r="E1965" s="83" t="s">
        <v>3246</v>
      </c>
      <c r="F1965" s="83" t="s">
        <v>3652</v>
      </c>
      <c r="G1965" s="83" t="s">
        <v>7649</v>
      </c>
      <c r="H1965" s="83">
        <v>0.4</v>
      </c>
      <c r="I1965" s="83" t="s">
        <v>3213</v>
      </c>
      <c r="J1965" s="83" t="s">
        <v>3467</v>
      </c>
      <c r="K1965" s="83" t="s">
        <v>3215</v>
      </c>
    </row>
    <row r="1966" spans="1:11" ht="26.25" x14ac:dyDescent="0.25">
      <c r="A1966" s="83" t="s">
        <v>834</v>
      </c>
      <c r="B1966" s="83" t="s">
        <v>7650</v>
      </c>
      <c r="C1966" s="83" t="s">
        <v>7651</v>
      </c>
      <c r="D1966" s="83" t="s">
        <v>3209</v>
      </c>
      <c r="E1966" s="83" t="s">
        <v>3246</v>
      </c>
      <c r="F1966" s="83" t="s">
        <v>7652</v>
      </c>
      <c r="G1966" s="83" t="s">
        <v>7653</v>
      </c>
      <c r="H1966" s="83">
        <v>8.3000000000000007</v>
      </c>
      <c r="I1966" s="83" t="s">
        <v>3213</v>
      </c>
      <c r="J1966" s="83" t="s">
        <v>3467</v>
      </c>
      <c r="K1966" s="83" t="s">
        <v>3215</v>
      </c>
    </row>
    <row r="1967" spans="1:11" x14ac:dyDescent="0.25">
      <c r="A1967" s="83" t="s">
        <v>7654</v>
      </c>
      <c r="B1967" s="83" t="s">
        <v>3208</v>
      </c>
      <c r="C1967" s="83" t="s">
        <v>3208</v>
      </c>
      <c r="D1967" s="83" t="s">
        <v>3209</v>
      </c>
      <c r="E1967" s="83" t="s">
        <v>3663</v>
      </c>
      <c r="F1967" s="83" t="s">
        <v>5433</v>
      </c>
      <c r="G1967" s="83" t="s">
        <v>5434</v>
      </c>
      <c r="H1967" s="83">
        <v>1080</v>
      </c>
      <c r="I1967" s="83" t="s">
        <v>3208</v>
      </c>
      <c r="J1967" s="83" t="s">
        <v>3208</v>
      </c>
      <c r="K1967" s="83" t="s">
        <v>3208</v>
      </c>
    </row>
    <row r="1968" spans="1:11" x14ac:dyDescent="0.25">
      <c r="A1968" s="83" t="s">
        <v>7655</v>
      </c>
      <c r="B1968" s="83" t="s">
        <v>3208</v>
      </c>
      <c r="C1968" s="83" t="s">
        <v>3208</v>
      </c>
      <c r="D1968" s="83" t="s">
        <v>3209</v>
      </c>
      <c r="E1968" s="83" t="s">
        <v>3663</v>
      </c>
      <c r="F1968" s="83" t="s">
        <v>7656</v>
      </c>
      <c r="G1968" s="83" t="s">
        <v>3208</v>
      </c>
      <c r="H1968" s="83">
        <v>0</v>
      </c>
      <c r="I1968" s="83" t="s">
        <v>3208</v>
      </c>
      <c r="J1968" s="83" t="s">
        <v>3208</v>
      </c>
      <c r="K1968" s="83" t="s">
        <v>3208</v>
      </c>
    </row>
    <row r="1969" spans="1:11" ht="51.75" x14ac:dyDescent="0.25">
      <c r="A1969" s="83" t="s">
        <v>156</v>
      </c>
      <c r="B1969" s="83" t="s">
        <v>7657</v>
      </c>
      <c r="C1969" s="83" t="s">
        <v>7658</v>
      </c>
      <c r="D1969" s="83" t="s">
        <v>3209</v>
      </c>
      <c r="E1969" s="83" t="s">
        <v>3246</v>
      </c>
      <c r="F1969" s="83" t="s">
        <v>7659</v>
      </c>
      <c r="G1969" s="83" t="s">
        <v>7050</v>
      </c>
      <c r="H1969" s="83">
        <v>49</v>
      </c>
      <c r="I1969" s="83" t="s">
        <v>3229</v>
      </c>
      <c r="J1969" s="83" t="s">
        <v>3371</v>
      </c>
      <c r="K1969" s="83" t="s">
        <v>3215</v>
      </c>
    </row>
    <row r="1970" spans="1:11" ht="51.75" x14ac:dyDescent="0.25">
      <c r="A1970" s="83" t="s">
        <v>102</v>
      </c>
      <c r="B1970" s="83" t="s">
        <v>7660</v>
      </c>
      <c r="C1970" s="83" t="s">
        <v>7661</v>
      </c>
      <c r="D1970" s="83" t="s">
        <v>3209</v>
      </c>
      <c r="E1970" s="83" t="s">
        <v>3246</v>
      </c>
      <c r="F1970" s="83" t="s">
        <v>7662</v>
      </c>
      <c r="G1970" s="83" t="s">
        <v>6978</v>
      </c>
      <c r="H1970" s="83">
        <v>282</v>
      </c>
      <c r="I1970" s="83" t="s">
        <v>3229</v>
      </c>
      <c r="J1970" s="83" t="s">
        <v>3371</v>
      </c>
      <c r="K1970" s="83" t="s">
        <v>3215</v>
      </c>
    </row>
    <row r="1971" spans="1:11" x14ac:dyDescent="0.25">
      <c r="A1971" s="83" t="s">
        <v>7663</v>
      </c>
      <c r="B1971" s="83" t="s">
        <v>3208</v>
      </c>
      <c r="C1971" s="83" t="s">
        <v>3208</v>
      </c>
      <c r="D1971" s="83" t="s">
        <v>3209</v>
      </c>
      <c r="E1971" s="83" t="s">
        <v>3663</v>
      </c>
      <c r="F1971" s="83" t="s">
        <v>7664</v>
      </c>
      <c r="G1971" s="83" t="s">
        <v>3208</v>
      </c>
      <c r="H1971" s="83">
        <v>200</v>
      </c>
      <c r="I1971" s="83" t="s">
        <v>3208</v>
      </c>
      <c r="J1971" s="83" t="s">
        <v>3208</v>
      </c>
      <c r="K1971" s="83" t="s">
        <v>3208</v>
      </c>
    </row>
    <row r="1972" spans="1:11" x14ac:dyDescent="0.25">
      <c r="A1972" s="83" t="s">
        <v>7665</v>
      </c>
      <c r="B1972" s="83" t="s">
        <v>3208</v>
      </c>
      <c r="C1972" s="83" t="s">
        <v>3208</v>
      </c>
      <c r="D1972" s="83" t="s">
        <v>3209</v>
      </c>
      <c r="E1972" s="83" t="s">
        <v>3663</v>
      </c>
      <c r="F1972" s="83" t="s">
        <v>3692</v>
      </c>
      <c r="G1972" s="83" t="s">
        <v>3693</v>
      </c>
      <c r="H1972" s="83">
        <v>60</v>
      </c>
      <c r="I1972" s="83" t="s">
        <v>3208</v>
      </c>
      <c r="J1972" s="83" t="s">
        <v>3208</v>
      </c>
      <c r="K1972" s="83" t="s">
        <v>3208</v>
      </c>
    </row>
    <row r="1973" spans="1:11" x14ac:dyDescent="0.25">
      <c r="A1973" s="83" t="s">
        <v>7666</v>
      </c>
      <c r="B1973" s="83" t="s">
        <v>3208</v>
      </c>
      <c r="C1973" s="83" t="s">
        <v>3208</v>
      </c>
      <c r="D1973" s="83" t="s">
        <v>3209</v>
      </c>
      <c r="E1973" s="83" t="s">
        <v>3663</v>
      </c>
      <c r="F1973" s="83" t="s">
        <v>7667</v>
      </c>
      <c r="G1973" s="83" t="s">
        <v>7668</v>
      </c>
      <c r="H1973" s="83">
        <v>25</v>
      </c>
      <c r="I1973" s="83" t="s">
        <v>3208</v>
      </c>
      <c r="J1973" s="83" t="s">
        <v>3208</v>
      </c>
      <c r="K1973" s="83" t="s">
        <v>3208</v>
      </c>
    </row>
    <row r="1974" spans="1:11" x14ac:dyDescent="0.25">
      <c r="A1974" s="83" t="s">
        <v>7669</v>
      </c>
      <c r="B1974" s="83" t="s">
        <v>3208</v>
      </c>
      <c r="C1974" s="83" t="s">
        <v>3208</v>
      </c>
      <c r="D1974" s="83" t="s">
        <v>3209</v>
      </c>
      <c r="E1974" s="83" t="s">
        <v>3663</v>
      </c>
      <c r="F1974" s="83" t="s">
        <v>4641</v>
      </c>
      <c r="G1974" s="83" t="s">
        <v>4642</v>
      </c>
      <c r="H1974" s="83">
        <v>342</v>
      </c>
      <c r="I1974" s="83" t="s">
        <v>3208</v>
      </c>
      <c r="J1974" s="83" t="s">
        <v>3208</v>
      </c>
      <c r="K1974" s="83" t="s">
        <v>3208</v>
      </c>
    </row>
    <row r="1975" spans="1:11" x14ac:dyDescent="0.25">
      <c r="A1975" s="83" t="s">
        <v>7670</v>
      </c>
      <c r="B1975" s="83" t="s">
        <v>3208</v>
      </c>
      <c r="C1975" s="83" t="s">
        <v>3208</v>
      </c>
      <c r="D1975" s="83" t="s">
        <v>3209</v>
      </c>
      <c r="E1975" s="83" t="s">
        <v>3663</v>
      </c>
      <c r="F1975" s="83" t="s">
        <v>4641</v>
      </c>
      <c r="G1975" s="83" t="s">
        <v>4642</v>
      </c>
      <c r="H1975" s="83">
        <v>104</v>
      </c>
      <c r="I1975" s="83" t="s">
        <v>3208</v>
      </c>
      <c r="J1975" s="83" t="s">
        <v>3208</v>
      </c>
      <c r="K1975" s="83" t="s">
        <v>3208</v>
      </c>
    </row>
    <row r="1976" spans="1:11" x14ac:dyDescent="0.25">
      <c r="A1976" s="83" t="s">
        <v>7671</v>
      </c>
      <c r="B1976" s="83" t="s">
        <v>3208</v>
      </c>
      <c r="C1976" s="83" t="s">
        <v>3208</v>
      </c>
      <c r="D1976" s="83" t="s">
        <v>3209</v>
      </c>
      <c r="E1976" s="83" t="s">
        <v>3663</v>
      </c>
      <c r="F1976" s="83" t="s">
        <v>4641</v>
      </c>
      <c r="G1976" s="83" t="s">
        <v>4642</v>
      </c>
      <c r="H1976" s="83">
        <v>6</v>
      </c>
      <c r="I1976" s="83" t="s">
        <v>3208</v>
      </c>
      <c r="J1976" s="83" t="s">
        <v>3208</v>
      </c>
      <c r="K1976" s="83" t="s">
        <v>3208</v>
      </c>
    </row>
    <row r="1977" spans="1:11" x14ac:dyDescent="0.25">
      <c r="A1977" s="83" t="s">
        <v>7672</v>
      </c>
      <c r="B1977" s="83" t="s">
        <v>4330</v>
      </c>
      <c r="C1977" s="83" t="s">
        <v>7673</v>
      </c>
      <c r="D1977" s="83" t="s">
        <v>3209</v>
      </c>
      <c r="E1977" s="83" t="s">
        <v>3702</v>
      </c>
      <c r="F1977" s="83" t="s">
        <v>4332</v>
      </c>
      <c r="G1977" s="83" t="s">
        <v>6924</v>
      </c>
      <c r="H1977" s="83">
        <v>0</v>
      </c>
      <c r="I1977" s="83" t="s">
        <v>3208</v>
      </c>
      <c r="J1977" s="83" t="s">
        <v>3208</v>
      </c>
      <c r="K1977" s="83" t="s">
        <v>3208</v>
      </c>
    </row>
    <row r="1978" spans="1:11" ht="26.25" x14ac:dyDescent="0.25">
      <c r="A1978" s="83" t="s">
        <v>7674</v>
      </c>
      <c r="B1978" s="83" t="s">
        <v>3208</v>
      </c>
      <c r="C1978" s="83" t="s">
        <v>3208</v>
      </c>
      <c r="D1978" s="83" t="s">
        <v>3713</v>
      </c>
      <c r="E1978" s="83" t="s">
        <v>3714</v>
      </c>
      <c r="F1978" s="83" t="s">
        <v>7675</v>
      </c>
      <c r="G1978" s="83" t="s">
        <v>7676</v>
      </c>
      <c r="H1978" s="83">
        <v>0</v>
      </c>
      <c r="I1978" s="83" t="s">
        <v>3208</v>
      </c>
      <c r="J1978" s="83" t="s">
        <v>3208</v>
      </c>
      <c r="K1978" s="83" t="s">
        <v>3208</v>
      </c>
    </row>
    <row r="1979" spans="1:11" ht="26.25" x14ac:dyDescent="0.25">
      <c r="A1979" s="83" t="s">
        <v>7677</v>
      </c>
      <c r="B1979" s="83" t="s">
        <v>3208</v>
      </c>
      <c r="C1979" s="83" t="s">
        <v>3208</v>
      </c>
      <c r="D1979" s="83" t="s">
        <v>3713</v>
      </c>
      <c r="E1979" s="83" t="s">
        <v>3714</v>
      </c>
      <c r="F1979" s="83" t="s">
        <v>7678</v>
      </c>
      <c r="G1979" s="83" t="s">
        <v>3208</v>
      </c>
      <c r="H1979" s="83">
        <v>0</v>
      </c>
      <c r="I1979" s="83" t="s">
        <v>3208</v>
      </c>
      <c r="J1979" s="83" t="s">
        <v>3208</v>
      </c>
      <c r="K1979" s="83" t="s">
        <v>3208</v>
      </c>
    </row>
    <row r="1980" spans="1:11" ht="26.25" x14ac:dyDescent="0.25">
      <c r="A1980" s="83" t="s">
        <v>7679</v>
      </c>
      <c r="B1980" s="83" t="s">
        <v>3208</v>
      </c>
      <c r="C1980" s="83" t="s">
        <v>3208</v>
      </c>
      <c r="D1980" s="83" t="s">
        <v>3713</v>
      </c>
      <c r="E1980" s="83" t="s">
        <v>3714</v>
      </c>
      <c r="F1980" s="83" t="s">
        <v>7680</v>
      </c>
      <c r="G1980" s="83" t="s">
        <v>3208</v>
      </c>
      <c r="H1980" s="83">
        <v>0</v>
      </c>
      <c r="I1980" s="83" t="s">
        <v>3208</v>
      </c>
      <c r="J1980" s="83" t="s">
        <v>3208</v>
      </c>
      <c r="K1980" s="83" t="s">
        <v>3208</v>
      </c>
    </row>
    <row r="1981" spans="1:11" x14ac:dyDescent="0.25">
      <c r="A1981" s="83" t="s">
        <v>7681</v>
      </c>
      <c r="B1981" s="83" t="s">
        <v>7682</v>
      </c>
      <c r="C1981" s="83" t="s">
        <v>7683</v>
      </c>
      <c r="D1981" s="83" t="s">
        <v>3209</v>
      </c>
      <c r="E1981" s="83" t="s">
        <v>3702</v>
      </c>
      <c r="F1981" s="83" t="s">
        <v>7684</v>
      </c>
      <c r="G1981" s="83" t="s">
        <v>7685</v>
      </c>
      <c r="H1981" s="83">
        <v>14.5</v>
      </c>
      <c r="I1981" s="83" t="s">
        <v>3208</v>
      </c>
      <c r="J1981" s="83" t="s">
        <v>3208</v>
      </c>
      <c r="K1981" s="83" t="s">
        <v>3208</v>
      </c>
    </row>
    <row r="1982" spans="1:11" x14ac:dyDescent="0.25">
      <c r="A1982" s="83" t="s">
        <v>7686</v>
      </c>
      <c r="B1982" s="83" t="s">
        <v>7687</v>
      </c>
      <c r="C1982" s="83" t="s">
        <v>7688</v>
      </c>
      <c r="D1982" s="83" t="s">
        <v>3209</v>
      </c>
      <c r="E1982" s="83" t="s">
        <v>3702</v>
      </c>
      <c r="F1982" s="83" t="s">
        <v>7689</v>
      </c>
      <c r="G1982" s="83" t="s">
        <v>7690</v>
      </c>
      <c r="H1982" s="83">
        <v>3.4</v>
      </c>
      <c r="I1982" s="83" t="s">
        <v>3208</v>
      </c>
      <c r="J1982" s="83" t="s">
        <v>3208</v>
      </c>
      <c r="K1982" s="83" t="s">
        <v>3208</v>
      </c>
    </row>
    <row r="1983" spans="1:11" x14ac:dyDescent="0.25">
      <c r="A1983" s="83" t="s">
        <v>7691</v>
      </c>
      <c r="B1983" s="83" t="s">
        <v>7692</v>
      </c>
      <c r="C1983" s="83" t="s">
        <v>3208</v>
      </c>
      <c r="D1983" s="83" t="s">
        <v>3209</v>
      </c>
      <c r="E1983" s="83" t="s">
        <v>3702</v>
      </c>
      <c r="F1983" s="83" t="s">
        <v>7693</v>
      </c>
      <c r="G1983" s="83" t="s">
        <v>7694</v>
      </c>
      <c r="H1983" s="83">
        <v>245</v>
      </c>
      <c r="I1983" s="83" t="s">
        <v>3208</v>
      </c>
      <c r="J1983" s="83" t="s">
        <v>3208</v>
      </c>
      <c r="K1983" s="83" t="s">
        <v>3208</v>
      </c>
    </row>
    <row r="1984" spans="1:11" x14ac:dyDescent="0.25">
      <c r="A1984" s="83" t="s">
        <v>7695</v>
      </c>
      <c r="B1984" s="83" t="s">
        <v>7696</v>
      </c>
      <c r="C1984" s="83" t="s">
        <v>3208</v>
      </c>
      <c r="D1984" s="83" t="s">
        <v>3209</v>
      </c>
      <c r="E1984" s="83" t="s">
        <v>3702</v>
      </c>
      <c r="F1984" s="83" t="s">
        <v>7697</v>
      </c>
      <c r="G1984" s="83" t="s">
        <v>7698</v>
      </c>
      <c r="H1984" s="83">
        <v>28</v>
      </c>
      <c r="I1984" s="83" t="s">
        <v>3208</v>
      </c>
      <c r="J1984" s="83" t="s">
        <v>3208</v>
      </c>
      <c r="K1984" s="83" t="s">
        <v>3208</v>
      </c>
    </row>
    <row r="1985" spans="1:11" x14ac:dyDescent="0.25">
      <c r="A1985" s="83" t="s">
        <v>7699</v>
      </c>
      <c r="B1985" s="83" t="s">
        <v>7700</v>
      </c>
      <c r="C1985" s="83" t="s">
        <v>7701</v>
      </c>
      <c r="D1985" s="83" t="s">
        <v>3209</v>
      </c>
      <c r="E1985" s="83" t="s">
        <v>3702</v>
      </c>
      <c r="F1985" s="83" t="s">
        <v>7702</v>
      </c>
      <c r="G1985" s="83" t="s">
        <v>3208</v>
      </c>
      <c r="H1985" s="83">
        <v>0</v>
      </c>
      <c r="I1985" s="83" t="s">
        <v>3208</v>
      </c>
      <c r="J1985" s="83" t="s">
        <v>3208</v>
      </c>
      <c r="K1985" s="83" t="s">
        <v>3208</v>
      </c>
    </row>
    <row r="1986" spans="1:11" ht="26.25" x14ac:dyDescent="0.25">
      <c r="A1986" s="83" t="s">
        <v>7703</v>
      </c>
      <c r="B1986" s="83" t="s">
        <v>3208</v>
      </c>
      <c r="C1986" s="83" t="s">
        <v>7704</v>
      </c>
      <c r="D1986" s="83" t="s">
        <v>3718</v>
      </c>
      <c r="E1986" s="83" t="s">
        <v>3702</v>
      </c>
      <c r="F1986" s="83" t="s">
        <v>7705</v>
      </c>
      <c r="G1986" s="83" t="s">
        <v>7706</v>
      </c>
      <c r="H1986" s="83">
        <v>1.3</v>
      </c>
      <c r="I1986" s="83" t="s">
        <v>3208</v>
      </c>
      <c r="J1986" s="83" t="s">
        <v>3208</v>
      </c>
      <c r="K1986" s="83" t="s">
        <v>3208</v>
      </c>
    </row>
    <row r="1987" spans="1:11" ht="51.75" x14ac:dyDescent="0.25">
      <c r="A1987" s="83" t="s">
        <v>1893</v>
      </c>
      <c r="B1987" s="83" t="s">
        <v>3208</v>
      </c>
      <c r="C1987" s="83" t="s">
        <v>3208</v>
      </c>
      <c r="D1987" s="83" t="s">
        <v>3713</v>
      </c>
      <c r="E1987" s="83" t="s">
        <v>3761</v>
      </c>
      <c r="F1987" s="83" t="s">
        <v>7707</v>
      </c>
      <c r="G1987" s="83" t="s">
        <v>7708</v>
      </c>
      <c r="H1987" s="83">
        <v>0</v>
      </c>
      <c r="I1987" s="83" t="s">
        <v>3229</v>
      </c>
      <c r="J1987" s="83" t="s">
        <v>3280</v>
      </c>
      <c r="K1987" s="83" t="s">
        <v>3215</v>
      </c>
    </row>
    <row r="1988" spans="1:11" ht="26.25" x14ac:dyDescent="0.25">
      <c r="A1988" s="83" t="s">
        <v>991</v>
      </c>
      <c r="B1988" s="83" t="s">
        <v>3208</v>
      </c>
      <c r="C1988" s="83" t="s">
        <v>7709</v>
      </c>
      <c r="D1988" s="83" t="s">
        <v>3752</v>
      </c>
      <c r="E1988" s="83" t="s">
        <v>3723</v>
      </c>
      <c r="F1988" s="83" t="s">
        <v>7710</v>
      </c>
      <c r="G1988" s="83" t="s">
        <v>4519</v>
      </c>
      <c r="H1988" s="83">
        <v>0</v>
      </c>
      <c r="I1988" s="83" t="s">
        <v>3229</v>
      </c>
      <c r="J1988" s="83" t="s">
        <v>3324</v>
      </c>
      <c r="K1988" s="83" t="s">
        <v>3215</v>
      </c>
    </row>
    <row r="1989" spans="1:11" ht="26.25" x14ac:dyDescent="0.25">
      <c r="A1989" s="83" t="s">
        <v>7711</v>
      </c>
      <c r="B1989" s="83" t="s">
        <v>3208</v>
      </c>
      <c r="C1989" s="83" t="s">
        <v>3208</v>
      </c>
      <c r="D1989" s="83" t="s">
        <v>3722</v>
      </c>
      <c r="E1989" s="83" t="s">
        <v>3723</v>
      </c>
      <c r="F1989" s="83" t="s">
        <v>7712</v>
      </c>
      <c r="G1989" s="83" t="s">
        <v>4837</v>
      </c>
      <c r="H1989" s="83">
        <v>0</v>
      </c>
      <c r="I1989" s="83" t="s">
        <v>3229</v>
      </c>
      <c r="J1989" s="83" t="s">
        <v>3311</v>
      </c>
      <c r="K1989" s="83" t="s">
        <v>3215</v>
      </c>
    </row>
    <row r="1990" spans="1:11" ht="64.5" x14ac:dyDescent="0.25">
      <c r="A1990" s="83" t="s">
        <v>557</v>
      </c>
      <c r="B1990" s="83" t="s">
        <v>3208</v>
      </c>
      <c r="C1990" s="83" t="s">
        <v>7713</v>
      </c>
      <c r="D1990" s="83" t="s">
        <v>3718</v>
      </c>
      <c r="E1990" s="83" t="s">
        <v>3727</v>
      </c>
      <c r="F1990" s="83" t="s">
        <v>3777</v>
      </c>
      <c r="G1990" s="83" t="s">
        <v>7714</v>
      </c>
      <c r="H1990" s="83">
        <v>10</v>
      </c>
      <c r="I1990" s="83" t="s">
        <v>3213</v>
      </c>
      <c r="J1990" s="83" t="s">
        <v>3413</v>
      </c>
      <c r="K1990" s="83" t="s">
        <v>3215</v>
      </c>
    </row>
    <row r="1991" spans="1:11" ht="64.5" x14ac:dyDescent="0.25">
      <c r="A1991" s="83" t="s">
        <v>530</v>
      </c>
      <c r="B1991" s="83" t="s">
        <v>3208</v>
      </c>
      <c r="C1991" s="83" t="s">
        <v>7715</v>
      </c>
      <c r="D1991" s="83" t="s">
        <v>3718</v>
      </c>
      <c r="E1991" s="83" t="s">
        <v>3727</v>
      </c>
      <c r="F1991" s="83" t="s">
        <v>3777</v>
      </c>
      <c r="G1991" s="83" t="s">
        <v>7716</v>
      </c>
      <c r="H1991" s="83">
        <v>0.6</v>
      </c>
      <c r="I1991" s="83" t="s">
        <v>3213</v>
      </c>
      <c r="J1991" s="83" t="s">
        <v>3413</v>
      </c>
      <c r="K1991" s="83" t="s">
        <v>3215</v>
      </c>
    </row>
    <row r="1992" spans="1:11" ht="51.75" x14ac:dyDescent="0.25">
      <c r="A1992" s="83" t="s">
        <v>533</v>
      </c>
      <c r="B1992" s="83" t="s">
        <v>3208</v>
      </c>
      <c r="C1992" s="83" t="s">
        <v>7717</v>
      </c>
      <c r="D1992" s="83" t="s">
        <v>3718</v>
      </c>
      <c r="E1992" s="83" t="s">
        <v>3727</v>
      </c>
      <c r="F1992" s="83" t="s">
        <v>6271</v>
      </c>
      <c r="G1992" s="83" t="s">
        <v>7718</v>
      </c>
      <c r="H1992" s="83">
        <v>5</v>
      </c>
      <c r="I1992" s="83" t="s">
        <v>3229</v>
      </c>
      <c r="J1992" s="83" t="s">
        <v>3521</v>
      </c>
      <c r="K1992" s="83" t="s">
        <v>3215</v>
      </c>
    </row>
    <row r="1993" spans="1:11" ht="64.5" x14ac:dyDescent="0.25">
      <c r="A1993" s="83" t="s">
        <v>7719</v>
      </c>
      <c r="B1993" s="83" t="s">
        <v>3208</v>
      </c>
      <c r="C1993" s="83" t="s">
        <v>3208</v>
      </c>
      <c r="D1993" s="83" t="s">
        <v>5483</v>
      </c>
      <c r="E1993" s="83" t="s">
        <v>3210</v>
      </c>
      <c r="F1993" s="83" t="s">
        <v>6275</v>
      </c>
      <c r="G1993" s="83" t="s">
        <v>5485</v>
      </c>
      <c r="H1993" s="83">
        <v>388810</v>
      </c>
      <c r="I1993" s="83" t="s">
        <v>3213</v>
      </c>
      <c r="J1993" s="83" t="s">
        <v>3219</v>
      </c>
      <c r="K1993" s="83" t="s">
        <v>3215</v>
      </c>
    </row>
    <row r="1994" spans="1:11" ht="64.5" x14ac:dyDescent="0.25">
      <c r="A1994" s="83" t="s">
        <v>526</v>
      </c>
      <c r="B1994" s="83" t="s">
        <v>3208</v>
      </c>
      <c r="C1994" s="83" t="s">
        <v>7116</v>
      </c>
      <c r="D1994" s="83" t="s">
        <v>3741</v>
      </c>
      <c r="E1994" s="83" t="s">
        <v>3727</v>
      </c>
      <c r="F1994" s="83" t="s">
        <v>3745</v>
      </c>
      <c r="G1994" s="83" t="s">
        <v>7720</v>
      </c>
      <c r="H1994" s="83">
        <v>9.6999999999999993</v>
      </c>
      <c r="I1994" s="83" t="s">
        <v>3213</v>
      </c>
      <c r="J1994" s="83" t="s">
        <v>3262</v>
      </c>
      <c r="K1994" s="83" t="s">
        <v>3215</v>
      </c>
    </row>
    <row r="1995" spans="1:11" ht="26.25" x14ac:dyDescent="0.25">
      <c r="A1995" s="83" t="s">
        <v>690</v>
      </c>
      <c r="B1995" s="83" t="s">
        <v>3208</v>
      </c>
      <c r="C1995" s="83" t="s">
        <v>7721</v>
      </c>
      <c r="D1995" s="83" t="s">
        <v>3752</v>
      </c>
      <c r="E1995" s="83" t="s">
        <v>3723</v>
      </c>
      <c r="F1995" s="83" t="s">
        <v>3756</v>
      </c>
      <c r="G1995" s="83" t="s">
        <v>3757</v>
      </c>
      <c r="H1995" s="83">
        <v>4</v>
      </c>
      <c r="I1995" s="83" t="s">
        <v>3213</v>
      </c>
      <c r="J1995" s="83" t="s">
        <v>3896</v>
      </c>
      <c r="K1995" s="83" t="s">
        <v>3215</v>
      </c>
    </row>
    <row r="1996" spans="1:11" ht="26.25" x14ac:dyDescent="0.25">
      <c r="A1996" s="83" t="s">
        <v>1017</v>
      </c>
      <c r="B1996" s="83" t="s">
        <v>3208</v>
      </c>
      <c r="C1996" s="83" t="s">
        <v>7722</v>
      </c>
      <c r="D1996" s="83" t="s">
        <v>3752</v>
      </c>
      <c r="E1996" s="83" t="s">
        <v>3723</v>
      </c>
      <c r="F1996" s="83" t="s">
        <v>4574</v>
      </c>
      <c r="G1996" s="83" t="s">
        <v>7723</v>
      </c>
      <c r="H1996" s="83">
        <v>0</v>
      </c>
      <c r="I1996" s="83" t="s">
        <v>3213</v>
      </c>
      <c r="J1996" s="83" t="s">
        <v>3851</v>
      </c>
      <c r="K1996" s="83" t="s">
        <v>3215</v>
      </c>
    </row>
    <row r="1997" spans="1:11" ht="39" x14ac:dyDescent="0.25">
      <c r="A1997" s="83" t="s">
        <v>1988</v>
      </c>
      <c r="B1997" s="83" t="s">
        <v>3208</v>
      </c>
      <c r="C1997" s="83" t="s">
        <v>3208</v>
      </c>
      <c r="D1997" s="83" t="s">
        <v>3713</v>
      </c>
      <c r="E1997" s="83" t="s">
        <v>3761</v>
      </c>
      <c r="F1997" s="83" t="s">
        <v>7724</v>
      </c>
      <c r="G1997" s="83" t="s">
        <v>7725</v>
      </c>
      <c r="H1997" s="83">
        <v>0</v>
      </c>
      <c r="I1997" s="83" t="s">
        <v>3229</v>
      </c>
      <c r="J1997" s="83" t="s">
        <v>3241</v>
      </c>
      <c r="K1997" s="83" t="s">
        <v>3215</v>
      </c>
    </row>
    <row r="1998" spans="1:11" ht="64.5" x14ac:dyDescent="0.25">
      <c r="A1998" s="83" t="s">
        <v>1966</v>
      </c>
      <c r="B1998" s="83" t="s">
        <v>3208</v>
      </c>
      <c r="C1998" s="83" t="s">
        <v>3208</v>
      </c>
      <c r="D1998" s="83" t="s">
        <v>3713</v>
      </c>
      <c r="E1998" s="83" t="s">
        <v>3761</v>
      </c>
      <c r="F1998" s="83" t="s">
        <v>7726</v>
      </c>
      <c r="G1998" s="83" t="s">
        <v>7727</v>
      </c>
      <c r="H1998" s="83">
        <v>0</v>
      </c>
      <c r="I1998" s="83" t="s">
        <v>3213</v>
      </c>
      <c r="J1998" s="83" t="s">
        <v>3413</v>
      </c>
      <c r="K1998" s="83" t="s">
        <v>3215</v>
      </c>
    </row>
    <row r="1999" spans="1:11" ht="64.5" x14ac:dyDescent="0.25">
      <c r="A1999" s="83" t="s">
        <v>1990</v>
      </c>
      <c r="B1999" s="83" t="s">
        <v>3208</v>
      </c>
      <c r="C1999" s="83" t="s">
        <v>3208</v>
      </c>
      <c r="D1999" s="83" t="s">
        <v>3713</v>
      </c>
      <c r="E1999" s="83" t="s">
        <v>3761</v>
      </c>
      <c r="F1999" s="83" t="s">
        <v>7728</v>
      </c>
      <c r="G1999" s="83" t="s">
        <v>4952</v>
      </c>
      <c r="H1999" s="83">
        <v>0</v>
      </c>
      <c r="I1999" s="83" t="s">
        <v>3213</v>
      </c>
      <c r="J1999" s="83" t="s">
        <v>3601</v>
      </c>
      <c r="K1999" s="83" t="s">
        <v>3215</v>
      </c>
    </row>
    <row r="2000" spans="1:11" ht="51.75" x14ac:dyDescent="0.25">
      <c r="A2000" s="83" t="s">
        <v>2141</v>
      </c>
      <c r="B2000" s="83" t="s">
        <v>3208</v>
      </c>
      <c r="C2000" s="83" t="s">
        <v>3208</v>
      </c>
      <c r="D2000" s="83" t="s">
        <v>3713</v>
      </c>
      <c r="E2000" s="83" t="s">
        <v>3761</v>
      </c>
      <c r="F2000" s="83" t="s">
        <v>3768</v>
      </c>
      <c r="G2000" s="83" t="s">
        <v>3769</v>
      </c>
      <c r="H2000" s="83">
        <v>0</v>
      </c>
      <c r="I2000" s="83" t="s">
        <v>3213</v>
      </c>
      <c r="J2000" s="83" t="s">
        <v>3214</v>
      </c>
      <c r="K2000" s="83" t="s">
        <v>3215</v>
      </c>
    </row>
    <row r="2001" spans="1:11" ht="51.75" x14ac:dyDescent="0.25">
      <c r="A2001" s="83" t="s">
        <v>2144</v>
      </c>
      <c r="B2001" s="83" t="s">
        <v>3208</v>
      </c>
      <c r="C2001" s="83" t="s">
        <v>3208</v>
      </c>
      <c r="D2001" s="83" t="s">
        <v>3713</v>
      </c>
      <c r="E2001" s="83" t="s">
        <v>3761</v>
      </c>
      <c r="F2001" s="83" t="s">
        <v>5500</v>
      </c>
      <c r="G2001" s="83" t="s">
        <v>7729</v>
      </c>
      <c r="H2001" s="83">
        <v>0</v>
      </c>
      <c r="I2001" s="83" t="s">
        <v>3229</v>
      </c>
      <c r="J2001" s="83" t="s">
        <v>3289</v>
      </c>
      <c r="K2001" s="83" t="s">
        <v>3215</v>
      </c>
    </row>
    <row r="2002" spans="1:11" ht="26.25" x14ac:dyDescent="0.25">
      <c r="A2002" s="83" t="s">
        <v>2155</v>
      </c>
      <c r="B2002" s="83" t="s">
        <v>3208</v>
      </c>
      <c r="C2002" s="83" t="s">
        <v>3208</v>
      </c>
      <c r="D2002" s="83" t="s">
        <v>3713</v>
      </c>
      <c r="E2002" s="83" t="s">
        <v>3761</v>
      </c>
      <c r="F2002" s="83" t="s">
        <v>6298</v>
      </c>
      <c r="G2002" s="83" t="s">
        <v>4211</v>
      </c>
      <c r="H2002" s="83">
        <v>0</v>
      </c>
      <c r="I2002" s="83" t="s">
        <v>3229</v>
      </c>
      <c r="J2002" s="83" t="s">
        <v>3311</v>
      </c>
      <c r="K2002" s="83" t="s">
        <v>3215</v>
      </c>
    </row>
    <row r="2003" spans="1:11" ht="51.75" x14ac:dyDescent="0.25">
      <c r="A2003" s="83" t="s">
        <v>2159</v>
      </c>
      <c r="B2003" s="83" t="s">
        <v>3208</v>
      </c>
      <c r="C2003" s="83" t="s">
        <v>3208</v>
      </c>
      <c r="D2003" s="83" t="s">
        <v>3713</v>
      </c>
      <c r="E2003" s="83" t="s">
        <v>3761</v>
      </c>
      <c r="F2003" s="83" t="s">
        <v>3773</v>
      </c>
      <c r="G2003" s="83" t="s">
        <v>3774</v>
      </c>
      <c r="H2003" s="83">
        <v>0</v>
      </c>
      <c r="I2003" s="83" t="s">
        <v>3229</v>
      </c>
      <c r="J2003" s="83" t="s">
        <v>3289</v>
      </c>
      <c r="K2003" s="83" t="s">
        <v>3215</v>
      </c>
    </row>
    <row r="2004" spans="1:11" ht="26.25" x14ac:dyDescent="0.25">
      <c r="A2004" s="83" t="s">
        <v>2162</v>
      </c>
      <c r="B2004" s="83" t="s">
        <v>3208</v>
      </c>
      <c r="C2004" s="83" t="s">
        <v>3208</v>
      </c>
      <c r="D2004" s="83" t="s">
        <v>3713</v>
      </c>
      <c r="E2004" s="83" t="s">
        <v>3761</v>
      </c>
      <c r="F2004" s="83" t="s">
        <v>5505</v>
      </c>
      <c r="G2004" s="83" t="s">
        <v>5506</v>
      </c>
      <c r="H2004" s="83">
        <v>0</v>
      </c>
      <c r="I2004" s="83" t="s">
        <v>3229</v>
      </c>
      <c r="J2004" s="83" t="s">
        <v>3311</v>
      </c>
      <c r="K2004" s="83" t="s">
        <v>3215</v>
      </c>
    </row>
    <row r="2005" spans="1:11" ht="51.75" x14ac:dyDescent="0.25">
      <c r="A2005" s="83" t="s">
        <v>2234</v>
      </c>
      <c r="B2005" s="83" t="s">
        <v>3208</v>
      </c>
      <c r="C2005" s="83" t="s">
        <v>3208</v>
      </c>
      <c r="D2005" s="83" t="s">
        <v>3713</v>
      </c>
      <c r="E2005" s="83" t="s">
        <v>3761</v>
      </c>
      <c r="F2005" s="83" t="s">
        <v>7730</v>
      </c>
      <c r="G2005" s="83" t="s">
        <v>7581</v>
      </c>
      <c r="H2005" s="83">
        <v>0</v>
      </c>
      <c r="I2005" s="83" t="s">
        <v>3229</v>
      </c>
      <c r="J2005" s="83" t="s">
        <v>3238</v>
      </c>
      <c r="K2005" s="83" t="s">
        <v>3215</v>
      </c>
    </row>
    <row r="2006" spans="1:11" ht="26.25" x14ac:dyDescent="0.25">
      <c r="A2006" s="83" t="s">
        <v>2172</v>
      </c>
      <c r="B2006" s="83" t="s">
        <v>3208</v>
      </c>
      <c r="C2006" s="83" t="s">
        <v>3208</v>
      </c>
      <c r="D2006" s="83" t="s">
        <v>3713</v>
      </c>
      <c r="E2006" s="83" t="s">
        <v>3761</v>
      </c>
      <c r="F2006" s="83" t="s">
        <v>7731</v>
      </c>
      <c r="G2006" s="83" t="s">
        <v>3757</v>
      </c>
      <c r="H2006" s="83">
        <v>0</v>
      </c>
      <c r="I2006" s="83" t="s">
        <v>3213</v>
      </c>
      <c r="J2006" s="83" t="s">
        <v>3896</v>
      </c>
      <c r="K2006" s="83" t="s">
        <v>3215</v>
      </c>
    </row>
    <row r="2007" spans="1:11" ht="26.25" x14ac:dyDescent="0.25">
      <c r="A2007" s="83" t="s">
        <v>2173</v>
      </c>
      <c r="B2007" s="83" t="s">
        <v>3208</v>
      </c>
      <c r="C2007" s="83" t="s">
        <v>3208</v>
      </c>
      <c r="D2007" s="83" t="s">
        <v>3713</v>
      </c>
      <c r="E2007" s="83" t="s">
        <v>3761</v>
      </c>
      <c r="F2007" s="83" t="s">
        <v>7731</v>
      </c>
      <c r="G2007" s="83" t="s">
        <v>3757</v>
      </c>
      <c r="H2007" s="83">
        <v>0</v>
      </c>
      <c r="I2007" s="83" t="s">
        <v>3213</v>
      </c>
      <c r="J2007" s="83" t="s">
        <v>3896</v>
      </c>
      <c r="K2007" s="83" t="s">
        <v>3215</v>
      </c>
    </row>
    <row r="2008" spans="1:11" ht="39" x14ac:dyDescent="0.25">
      <c r="A2008" s="83" t="s">
        <v>129</v>
      </c>
      <c r="B2008" s="83" t="s">
        <v>3208</v>
      </c>
      <c r="C2008" s="83" t="s">
        <v>3208</v>
      </c>
      <c r="D2008" s="83" t="s">
        <v>3713</v>
      </c>
      <c r="E2008" s="83" t="s">
        <v>3761</v>
      </c>
      <c r="F2008" s="83" t="s">
        <v>7732</v>
      </c>
      <c r="G2008" s="83" t="s">
        <v>3341</v>
      </c>
      <c r="H2008" s="83">
        <v>0</v>
      </c>
      <c r="I2008" s="83" t="s">
        <v>3229</v>
      </c>
      <c r="J2008" s="83" t="s">
        <v>3241</v>
      </c>
      <c r="K2008" s="83" t="s">
        <v>3215</v>
      </c>
    </row>
    <row r="2009" spans="1:11" ht="51.75" x14ac:dyDescent="0.25">
      <c r="A2009" s="83" t="s">
        <v>1998</v>
      </c>
      <c r="B2009" s="83" t="s">
        <v>3208</v>
      </c>
      <c r="C2009" s="83" t="s">
        <v>3208</v>
      </c>
      <c r="D2009" s="83" t="s">
        <v>3713</v>
      </c>
      <c r="E2009" s="83" t="s">
        <v>3761</v>
      </c>
      <c r="F2009" s="83" t="s">
        <v>7733</v>
      </c>
      <c r="G2009" s="83" t="s">
        <v>7734</v>
      </c>
      <c r="H2009" s="83">
        <v>0</v>
      </c>
      <c r="I2009" s="83" t="s">
        <v>3229</v>
      </c>
      <c r="J2009" s="83" t="s">
        <v>3337</v>
      </c>
      <c r="K2009" s="83" t="s">
        <v>3215</v>
      </c>
    </row>
    <row r="2010" spans="1:11" ht="39" x14ac:dyDescent="0.25">
      <c r="A2010" s="83" t="s">
        <v>2187</v>
      </c>
      <c r="B2010" s="83" t="s">
        <v>3208</v>
      </c>
      <c r="C2010" s="83" t="s">
        <v>3208</v>
      </c>
      <c r="D2010" s="83" t="s">
        <v>3713</v>
      </c>
      <c r="E2010" s="83" t="s">
        <v>3761</v>
      </c>
      <c r="F2010" s="83" t="s">
        <v>3785</v>
      </c>
      <c r="G2010" s="83" t="s">
        <v>7431</v>
      </c>
      <c r="H2010" s="83">
        <v>0</v>
      </c>
      <c r="I2010" s="83" t="s">
        <v>3229</v>
      </c>
      <c r="J2010" s="83" t="s">
        <v>356</v>
      </c>
      <c r="K2010" s="83" t="s">
        <v>3215</v>
      </c>
    </row>
    <row r="2011" spans="1:11" ht="51.75" x14ac:dyDescent="0.25">
      <c r="A2011" s="83" t="s">
        <v>2189</v>
      </c>
      <c r="B2011" s="83" t="s">
        <v>3208</v>
      </c>
      <c r="C2011" s="83" t="s">
        <v>3208</v>
      </c>
      <c r="D2011" s="83" t="s">
        <v>3713</v>
      </c>
      <c r="E2011" s="83" t="s">
        <v>3761</v>
      </c>
      <c r="F2011" s="83" t="s">
        <v>7735</v>
      </c>
      <c r="G2011" s="83" t="s">
        <v>4515</v>
      </c>
      <c r="H2011" s="83">
        <v>0</v>
      </c>
      <c r="I2011" s="83" t="s">
        <v>3229</v>
      </c>
      <c r="J2011" s="83" t="s">
        <v>3337</v>
      </c>
      <c r="K2011" s="83" t="s">
        <v>3215</v>
      </c>
    </row>
    <row r="2012" spans="1:11" ht="51.75" x14ac:dyDescent="0.25">
      <c r="A2012" s="83" t="s">
        <v>2193</v>
      </c>
      <c r="B2012" s="83" t="s">
        <v>3208</v>
      </c>
      <c r="C2012" s="83" t="s">
        <v>3208</v>
      </c>
      <c r="D2012" s="83" t="s">
        <v>3713</v>
      </c>
      <c r="E2012" s="83" t="s">
        <v>3761</v>
      </c>
      <c r="F2012" s="83" t="s">
        <v>6304</v>
      </c>
      <c r="G2012" s="83" t="s">
        <v>5086</v>
      </c>
      <c r="H2012" s="83">
        <v>0</v>
      </c>
      <c r="I2012" s="83" t="s">
        <v>3213</v>
      </c>
      <c r="J2012" s="83" t="s">
        <v>3214</v>
      </c>
      <c r="K2012" s="83" t="s">
        <v>3215</v>
      </c>
    </row>
    <row r="2013" spans="1:11" ht="51.75" x14ac:dyDescent="0.25">
      <c r="A2013" s="83" t="s">
        <v>2205</v>
      </c>
      <c r="B2013" s="83" t="s">
        <v>3208</v>
      </c>
      <c r="C2013" s="83" t="s">
        <v>3208</v>
      </c>
      <c r="D2013" s="83" t="s">
        <v>3713</v>
      </c>
      <c r="E2013" s="83" t="s">
        <v>3761</v>
      </c>
      <c r="F2013" s="83" t="s">
        <v>7053</v>
      </c>
      <c r="G2013" s="83" t="s">
        <v>4759</v>
      </c>
      <c r="H2013" s="83">
        <v>0</v>
      </c>
      <c r="I2013" s="83" t="s">
        <v>3229</v>
      </c>
      <c r="J2013" s="83" t="s">
        <v>3289</v>
      </c>
      <c r="K2013" s="83" t="s">
        <v>3215</v>
      </c>
    </row>
    <row r="2014" spans="1:11" ht="51.75" x14ac:dyDescent="0.25">
      <c r="A2014" s="83" t="s">
        <v>2206</v>
      </c>
      <c r="B2014" s="83" t="s">
        <v>3208</v>
      </c>
      <c r="C2014" s="83" t="s">
        <v>3208</v>
      </c>
      <c r="D2014" s="83" t="s">
        <v>3713</v>
      </c>
      <c r="E2014" s="83" t="s">
        <v>3761</v>
      </c>
      <c r="F2014" s="83" t="s">
        <v>7053</v>
      </c>
      <c r="G2014" s="83" t="s">
        <v>4759</v>
      </c>
      <c r="H2014" s="83">
        <v>0</v>
      </c>
      <c r="I2014" s="83" t="s">
        <v>3229</v>
      </c>
      <c r="J2014" s="83" t="s">
        <v>3289</v>
      </c>
      <c r="K2014" s="83" t="s">
        <v>3215</v>
      </c>
    </row>
    <row r="2015" spans="1:11" ht="51.75" x14ac:dyDescent="0.25">
      <c r="A2015" s="83" t="s">
        <v>2229</v>
      </c>
      <c r="B2015" s="83" t="s">
        <v>3208</v>
      </c>
      <c r="C2015" s="83" t="s">
        <v>3208</v>
      </c>
      <c r="D2015" s="83" t="s">
        <v>3713</v>
      </c>
      <c r="E2015" s="83" t="s">
        <v>3761</v>
      </c>
      <c r="F2015" s="83" t="s">
        <v>4728</v>
      </c>
      <c r="G2015" s="83" t="s">
        <v>4729</v>
      </c>
      <c r="H2015" s="83">
        <v>0</v>
      </c>
      <c r="I2015" s="83" t="s">
        <v>3229</v>
      </c>
      <c r="J2015" s="83" t="s">
        <v>3289</v>
      </c>
      <c r="K2015" s="83" t="s">
        <v>3215</v>
      </c>
    </row>
    <row r="2016" spans="1:11" ht="51.75" x14ac:dyDescent="0.25">
      <c r="A2016" s="83" t="s">
        <v>2008</v>
      </c>
      <c r="B2016" s="83" t="s">
        <v>3208</v>
      </c>
      <c r="C2016" s="83" t="s">
        <v>3208</v>
      </c>
      <c r="D2016" s="83" t="s">
        <v>3713</v>
      </c>
      <c r="E2016" s="83" t="s">
        <v>3761</v>
      </c>
      <c r="F2016" s="83" t="s">
        <v>3790</v>
      </c>
      <c r="G2016" s="83" t="s">
        <v>3791</v>
      </c>
      <c r="H2016" s="83">
        <v>0</v>
      </c>
      <c r="I2016" s="83" t="s">
        <v>3229</v>
      </c>
      <c r="J2016" s="83" t="s">
        <v>3289</v>
      </c>
      <c r="K2016" s="83" t="s">
        <v>3215</v>
      </c>
    </row>
    <row r="2017" spans="1:11" ht="64.5" x14ac:dyDescent="0.25">
      <c r="A2017" s="83" t="s">
        <v>2019</v>
      </c>
      <c r="B2017" s="83" t="s">
        <v>3208</v>
      </c>
      <c r="C2017" s="83" t="s">
        <v>3208</v>
      </c>
      <c r="D2017" s="83" t="s">
        <v>3713</v>
      </c>
      <c r="E2017" s="83" t="s">
        <v>3761</v>
      </c>
      <c r="F2017" s="83" t="s">
        <v>3792</v>
      </c>
      <c r="G2017" s="83" t="s">
        <v>3408</v>
      </c>
      <c r="H2017" s="83">
        <v>0</v>
      </c>
      <c r="I2017" s="83" t="s">
        <v>3229</v>
      </c>
      <c r="J2017" s="83" t="s">
        <v>3380</v>
      </c>
      <c r="K2017" s="83" t="s">
        <v>3215</v>
      </c>
    </row>
    <row r="2018" spans="1:11" ht="39" x14ac:dyDescent="0.25">
      <c r="A2018" s="83" t="s">
        <v>2022</v>
      </c>
      <c r="B2018" s="83" t="s">
        <v>3208</v>
      </c>
      <c r="C2018" s="83" t="s">
        <v>3208</v>
      </c>
      <c r="D2018" s="83" t="s">
        <v>3713</v>
      </c>
      <c r="E2018" s="83" t="s">
        <v>3761</v>
      </c>
      <c r="F2018" s="83" t="s">
        <v>3792</v>
      </c>
      <c r="G2018" s="83" t="s">
        <v>3795</v>
      </c>
      <c r="H2018" s="83">
        <v>0</v>
      </c>
      <c r="I2018" s="83" t="s">
        <v>3229</v>
      </c>
      <c r="J2018" s="83" t="s">
        <v>3241</v>
      </c>
      <c r="K2018" s="83" t="s">
        <v>3215</v>
      </c>
    </row>
    <row r="2019" spans="1:11" ht="51.75" x14ac:dyDescent="0.25">
      <c r="A2019" s="83" t="s">
        <v>2026</v>
      </c>
      <c r="B2019" s="83" t="s">
        <v>3208</v>
      </c>
      <c r="C2019" s="83" t="s">
        <v>3208</v>
      </c>
      <c r="D2019" s="83" t="s">
        <v>3713</v>
      </c>
      <c r="E2019" s="83" t="s">
        <v>3761</v>
      </c>
      <c r="F2019" s="83" t="s">
        <v>3792</v>
      </c>
      <c r="G2019" s="83" t="s">
        <v>3565</v>
      </c>
      <c r="H2019" s="83">
        <v>0</v>
      </c>
      <c r="I2019" s="83" t="s">
        <v>3229</v>
      </c>
      <c r="J2019" s="83" t="s">
        <v>3230</v>
      </c>
      <c r="K2019" s="83" t="s">
        <v>3215</v>
      </c>
    </row>
    <row r="2020" spans="1:11" ht="64.5" x14ac:dyDescent="0.25">
      <c r="A2020" s="83" t="s">
        <v>2039</v>
      </c>
      <c r="B2020" s="83" t="s">
        <v>3208</v>
      </c>
      <c r="C2020" s="83" t="s">
        <v>3208</v>
      </c>
      <c r="D2020" s="83" t="s">
        <v>3713</v>
      </c>
      <c r="E2020" s="83" t="s">
        <v>3761</v>
      </c>
      <c r="F2020" s="83" t="s">
        <v>3792</v>
      </c>
      <c r="G2020" s="83" t="s">
        <v>3795</v>
      </c>
      <c r="H2020" s="83">
        <v>0</v>
      </c>
      <c r="I2020" s="83" t="s">
        <v>3229</v>
      </c>
      <c r="J2020" s="83" t="s">
        <v>3380</v>
      </c>
      <c r="K2020" s="83" t="s">
        <v>3215</v>
      </c>
    </row>
    <row r="2021" spans="1:11" ht="26.25" x14ac:dyDescent="0.25">
      <c r="A2021" s="83" t="s">
        <v>2045</v>
      </c>
      <c r="B2021" s="83" t="s">
        <v>3208</v>
      </c>
      <c r="C2021" s="83" t="s">
        <v>3208</v>
      </c>
      <c r="D2021" s="83" t="s">
        <v>3713</v>
      </c>
      <c r="E2021" s="83" t="s">
        <v>3761</v>
      </c>
      <c r="F2021" s="83" t="s">
        <v>4739</v>
      </c>
      <c r="G2021" s="83" t="s">
        <v>7736</v>
      </c>
      <c r="H2021" s="83">
        <v>0</v>
      </c>
      <c r="I2021" s="83" t="s">
        <v>3213</v>
      </c>
      <c r="J2021" s="83" t="s">
        <v>3467</v>
      </c>
      <c r="K2021" s="83" t="s">
        <v>3215</v>
      </c>
    </row>
    <row r="2022" spans="1:11" ht="51.75" x14ac:dyDescent="0.25">
      <c r="A2022" s="83" t="s">
        <v>1971</v>
      </c>
      <c r="B2022" s="83" t="s">
        <v>3208</v>
      </c>
      <c r="C2022" s="83" t="s">
        <v>3208</v>
      </c>
      <c r="D2022" s="83" t="s">
        <v>3713</v>
      </c>
      <c r="E2022" s="83" t="s">
        <v>3761</v>
      </c>
      <c r="F2022" s="83" t="s">
        <v>5520</v>
      </c>
      <c r="G2022" s="83" t="s">
        <v>3822</v>
      </c>
      <c r="H2022" s="83">
        <v>0</v>
      </c>
      <c r="I2022" s="83" t="s">
        <v>3213</v>
      </c>
      <c r="J2022" s="83" t="s">
        <v>3271</v>
      </c>
      <c r="K2022" s="83" t="s">
        <v>3215</v>
      </c>
    </row>
    <row r="2023" spans="1:11" ht="51.75" x14ac:dyDescent="0.25">
      <c r="A2023" s="83" t="s">
        <v>1950</v>
      </c>
      <c r="B2023" s="83" t="s">
        <v>3208</v>
      </c>
      <c r="C2023" s="83" t="s">
        <v>3208</v>
      </c>
      <c r="D2023" s="83" t="s">
        <v>3713</v>
      </c>
      <c r="E2023" s="83" t="s">
        <v>3761</v>
      </c>
      <c r="F2023" s="83" t="s">
        <v>7737</v>
      </c>
      <c r="G2023" s="83" t="s">
        <v>7738</v>
      </c>
      <c r="H2023" s="83">
        <v>0</v>
      </c>
      <c r="I2023" s="83" t="s">
        <v>3229</v>
      </c>
      <c r="J2023" s="83" t="s">
        <v>3371</v>
      </c>
      <c r="K2023" s="83" t="s">
        <v>3215</v>
      </c>
    </row>
    <row r="2024" spans="1:11" ht="39" x14ac:dyDescent="0.25">
      <c r="A2024" s="83" t="s">
        <v>1918</v>
      </c>
      <c r="B2024" s="83" t="s">
        <v>3208</v>
      </c>
      <c r="C2024" s="83" t="s">
        <v>3208</v>
      </c>
      <c r="D2024" s="83" t="s">
        <v>3713</v>
      </c>
      <c r="E2024" s="83" t="s">
        <v>3761</v>
      </c>
      <c r="F2024" s="83" t="s">
        <v>7739</v>
      </c>
      <c r="G2024" s="83" t="s">
        <v>6407</v>
      </c>
      <c r="H2024" s="83">
        <v>0</v>
      </c>
      <c r="I2024" s="83" t="s">
        <v>3229</v>
      </c>
      <c r="J2024" s="83" t="s">
        <v>3241</v>
      </c>
      <c r="K2024" s="83" t="s">
        <v>3215</v>
      </c>
    </row>
    <row r="2025" spans="1:11" ht="64.5" x14ac:dyDescent="0.25">
      <c r="A2025" s="83" t="s">
        <v>2057</v>
      </c>
      <c r="B2025" s="83" t="s">
        <v>3208</v>
      </c>
      <c r="C2025" s="83" t="s">
        <v>3208</v>
      </c>
      <c r="D2025" s="83" t="s">
        <v>3713</v>
      </c>
      <c r="E2025" s="83" t="s">
        <v>3761</v>
      </c>
      <c r="F2025" s="83" t="s">
        <v>3802</v>
      </c>
      <c r="G2025" s="83" t="s">
        <v>3803</v>
      </c>
      <c r="H2025" s="83">
        <v>0</v>
      </c>
      <c r="I2025" s="83" t="s">
        <v>3213</v>
      </c>
      <c r="J2025" s="83" t="s">
        <v>3413</v>
      </c>
      <c r="K2025" s="83" t="s">
        <v>3215</v>
      </c>
    </row>
    <row r="2026" spans="1:11" ht="51.75" x14ac:dyDescent="0.25">
      <c r="A2026" s="83" t="s">
        <v>1851</v>
      </c>
      <c r="B2026" s="83" t="s">
        <v>3208</v>
      </c>
      <c r="C2026" s="83" t="s">
        <v>3208</v>
      </c>
      <c r="D2026" s="83" t="s">
        <v>3713</v>
      </c>
      <c r="E2026" s="83" t="s">
        <v>3761</v>
      </c>
      <c r="F2026" s="83" t="s">
        <v>7740</v>
      </c>
      <c r="G2026" s="83" t="s">
        <v>7741</v>
      </c>
      <c r="H2026" s="83">
        <v>0</v>
      </c>
      <c r="I2026" s="83" t="s">
        <v>3229</v>
      </c>
      <c r="J2026" s="83" t="s">
        <v>3337</v>
      </c>
      <c r="K2026" s="83" t="s">
        <v>3215</v>
      </c>
    </row>
    <row r="2027" spans="1:11" ht="51.75" x14ac:dyDescent="0.25">
      <c r="A2027" s="83" t="s">
        <v>2071</v>
      </c>
      <c r="B2027" s="83" t="s">
        <v>3208</v>
      </c>
      <c r="C2027" s="83" t="s">
        <v>3208</v>
      </c>
      <c r="D2027" s="83" t="s">
        <v>3713</v>
      </c>
      <c r="E2027" s="83" t="s">
        <v>3761</v>
      </c>
      <c r="F2027" s="83" t="s">
        <v>3804</v>
      </c>
      <c r="G2027" s="83" t="s">
        <v>3791</v>
      </c>
      <c r="H2027" s="83">
        <v>0</v>
      </c>
      <c r="I2027" s="83" t="s">
        <v>3229</v>
      </c>
      <c r="J2027" s="83" t="s">
        <v>3230</v>
      </c>
      <c r="K2027" s="83" t="s">
        <v>3215</v>
      </c>
    </row>
    <row r="2028" spans="1:11" ht="26.25" x14ac:dyDescent="0.25">
      <c r="A2028" s="83" t="s">
        <v>2078</v>
      </c>
      <c r="B2028" s="83" t="s">
        <v>3208</v>
      </c>
      <c r="C2028" s="83" t="s">
        <v>3208</v>
      </c>
      <c r="D2028" s="83" t="s">
        <v>3713</v>
      </c>
      <c r="E2028" s="83" t="s">
        <v>3761</v>
      </c>
      <c r="F2028" s="83" t="s">
        <v>3807</v>
      </c>
      <c r="G2028" s="83" t="s">
        <v>3808</v>
      </c>
      <c r="H2028" s="83">
        <v>0</v>
      </c>
      <c r="I2028" s="83" t="s">
        <v>3229</v>
      </c>
      <c r="J2028" s="83" t="s">
        <v>3311</v>
      </c>
      <c r="K2028" s="83" t="s">
        <v>3215</v>
      </c>
    </row>
    <row r="2029" spans="1:11" ht="51.75" x14ac:dyDescent="0.25">
      <c r="A2029" s="83" t="s">
        <v>118</v>
      </c>
      <c r="B2029" s="83" t="s">
        <v>3208</v>
      </c>
      <c r="C2029" s="83" t="s">
        <v>3208</v>
      </c>
      <c r="D2029" s="83" t="s">
        <v>3713</v>
      </c>
      <c r="E2029" s="83" t="s">
        <v>3761</v>
      </c>
      <c r="F2029" s="83" t="s">
        <v>3811</v>
      </c>
      <c r="G2029" s="83" t="s">
        <v>3812</v>
      </c>
      <c r="H2029" s="83">
        <v>0</v>
      </c>
      <c r="I2029" s="83" t="s">
        <v>3213</v>
      </c>
      <c r="J2029" s="83" t="s">
        <v>3538</v>
      </c>
      <c r="K2029" s="83" t="s">
        <v>3215</v>
      </c>
    </row>
    <row r="2030" spans="1:11" ht="51.75" x14ac:dyDescent="0.25">
      <c r="A2030" s="83" t="s">
        <v>97</v>
      </c>
      <c r="B2030" s="83" t="s">
        <v>3208</v>
      </c>
      <c r="C2030" s="83" t="s">
        <v>3208</v>
      </c>
      <c r="D2030" s="83" t="s">
        <v>3713</v>
      </c>
      <c r="E2030" s="83" t="s">
        <v>3761</v>
      </c>
      <c r="F2030" s="83" t="s">
        <v>3811</v>
      </c>
      <c r="G2030" s="83" t="s">
        <v>3812</v>
      </c>
      <c r="H2030" s="83">
        <v>0</v>
      </c>
      <c r="I2030" s="83" t="s">
        <v>3213</v>
      </c>
      <c r="J2030" s="83" t="s">
        <v>3538</v>
      </c>
      <c r="K2030" s="83" t="s">
        <v>3215</v>
      </c>
    </row>
    <row r="2031" spans="1:11" ht="51.75" x14ac:dyDescent="0.25">
      <c r="A2031" s="83" t="s">
        <v>32</v>
      </c>
      <c r="B2031" s="83" t="s">
        <v>3208</v>
      </c>
      <c r="C2031" s="83" t="s">
        <v>3208</v>
      </c>
      <c r="D2031" s="83" t="s">
        <v>3713</v>
      </c>
      <c r="E2031" s="83" t="s">
        <v>3761</v>
      </c>
      <c r="F2031" s="83" t="s">
        <v>7742</v>
      </c>
      <c r="G2031" s="83" t="s">
        <v>6400</v>
      </c>
      <c r="H2031" s="83">
        <v>0</v>
      </c>
      <c r="I2031" s="83" t="s">
        <v>3229</v>
      </c>
      <c r="J2031" s="83" t="s">
        <v>3371</v>
      </c>
      <c r="K2031" s="83" t="s">
        <v>3215</v>
      </c>
    </row>
    <row r="2032" spans="1:11" ht="51.75" x14ac:dyDescent="0.25">
      <c r="A2032" s="83" t="s">
        <v>1842</v>
      </c>
      <c r="B2032" s="83" t="s">
        <v>3208</v>
      </c>
      <c r="C2032" s="83" t="s">
        <v>3208</v>
      </c>
      <c r="D2032" s="83" t="s">
        <v>3713</v>
      </c>
      <c r="E2032" s="83" t="s">
        <v>3761</v>
      </c>
      <c r="F2032" s="83" t="s">
        <v>3813</v>
      </c>
      <c r="G2032" s="83" t="s">
        <v>3248</v>
      </c>
      <c r="H2032" s="83">
        <v>0</v>
      </c>
      <c r="I2032" s="83" t="s">
        <v>3229</v>
      </c>
      <c r="J2032" s="83" t="s">
        <v>3230</v>
      </c>
      <c r="K2032" s="83" t="s">
        <v>3215</v>
      </c>
    </row>
    <row r="2033" spans="1:11" ht="26.25" x14ac:dyDescent="0.25">
      <c r="A2033" s="83" t="s">
        <v>1793</v>
      </c>
      <c r="B2033" s="83" t="s">
        <v>3208</v>
      </c>
      <c r="C2033" s="83" t="s">
        <v>3208</v>
      </c>
      <c r="D2033" s="83" t="s">
        <v>3713</v>
      </c>
      <c r="E2033" s="83" t="s">
        <v>3761</v>
      </c>
      <c r="F2033" s="83" t="s">
        <v>5529</v>
      </c>
      <c r="G2033" s="83" t="s">
        <v>7743</v>
      </c>
      <c r="H2033" s="83">
        <v>0</v>
      </c>
      <c r="I2033" s="83" t="s">
        <v>3229</v>
      </c>
      <c r="J2033" s="83" t="s">
        <v>3311</v>
      </c>
      <c r="K2033" s="83" t="s">
        <v>3215</v>
      </c>
    </row>
    <row r="2034" spans="1:11" ht="51.75" x14ac:dyDescent="0.25">
      <c r="A2034" s="83" t="s">
        <v>2100</v>
      </c>
      <c r="B2034" s="83" t="s">
        <v>3208</v>
      </c>
      <c r="C2034" s="83" t="s">
        <v>3208</v>
      </c>
      <c r="D2034" s="83" t="s">
        <v>3713</v>
      </c>
      <c r="E2034" s="83" t="s">
        <v>3761</v>
      </c>
      <c r="F2034" s="83" t="s">
        <v>3814</v>
      </c>
      <c r="G2034" s="83" t="s">
        <v>3815</v>
      </c>
      <c r="H2034" s="83">
        <v>0</v>
      </c>
      <c r="I2034" s="83" t="s">
        <v>3213</v>
      </c>
      <c r="J2034" s="83" t="s">
        <v>3214</v>
      </c>
      <c r="K2034" s="83" t="s">
        <v>3215</v>
      </c>
    </row>
    <row r="2035" spans="1:11" ht="51.75" x14ac:dyDescent="0.25">
      <c r="A2035" s="83" t="s">
        <v>2103</v>
      </c>
      <c r="B2035" s="83" t="s">
        <v>3208</v>
      </c>
      <c r="C2035" s="83" t="s">
        <v>3208</v>
      </c>
      <c r="D2035" s="83" t="s">
        <v>3713</v>
      </c>
      <c r="E2035" s="83" t="s">
        <v>3761</v>
      </c>
      <c r="F2035" s="83" t="s">
        <v>3814</v>
      </c>
      <c r="G2035" s="83" t="s">
        <v>3815</v>
      </c>
      <c r="H2035" s="83">
        <v>0</v>
      </c>
      <c r="I2035" s="83" t="s">
        <v>3213</v>
      </c>
      <c r="J2035" s="83" t="s">
        <v>3214</v>
      </c>
      <c r="K2035" s="83" t="s">
        <v>3215</v>
      </c>
    </row>
    <row r="2036" spans="1:11" ht="51.75" x14ac:dyDescent="0.25">
      <c r="A2036" s="83" t="s">
        <v>111</v>
      </c>
      <c r="B2036" s="83" t="s">
        <v>3208</v>
      </c>
      <c r="C2036" s="83" t="s">
        <v>3208</v>
      </c>
      <c r="D2036" s="83" t="s">
        <v>3713</v>
      </c>
      <c r="E2036" s="83" t="s">
        <v>3761</v>
      </c>
      <c r="F2036" s="83" t="s">
        <v>7744</v>
      </c>
      <c r="G2036" s="83" t="s">
        <v>7745</v>
      </c>
      <c r="H2036" s="83">
        <v>0</v>
      </c>
      <c r="I2036" s="83" t="s">
        <v>3229</v>
      </c>
      <c r="J2036" s="83" t="s">
        <v>3371</v>
      </c>
      <c r="K2036" s="83" t="s">
        <v>3215</v>
      </c>
    </row>
    <row r="2037" spans="1:11" ht="51.75" x14ac:dyDescent="0.25">
      <c r="A2037" s="83" t="s">
        <v>2111</v>
      </c>
      <c r="B2037" s="83" t="s">
        <v>3208</v>
      </c>
      <c r="C2037" s="83" t="s">
        <v>3208</v>
      </c>
      <c r="D2037" s="83" t="s">
        <v>3713</v>
      </c>
      <c r="E2037" s="83" t="s">
        <v>3761</v>
      </c>
      <c r="F2037" s="83" t="s">
        <v>3820</v>
      </c>
      <c r="G2037" s="83" t="s">
        <v>3417</v>
      </c>
      <c r="H2037" s="83">
        <v>0</v>
      </c>
      <c r="I2037" s="83" t="s">
        <v>3213</v>
      </c>
      <c r="J2037" s="83" t="s">
        <v>3214</v>
      </c>
      <c r="K2037" s="83" t="s">
        <v>3215</v>
      </c>
    </row>
    <row r="2038" spans="1:11" ht="51.75" x14ac:dyDescent="0.25">
      <c r="A2038" s="83" t="s">
        <v>2117</v>
      </c>
      <c r="B2038" s="83" t="s">
        <v>3208</v>
      </c>
      <c r="C2038" s="83" t="s">
        <v>3208</v>
      </c>
      <c r="D2038" s="83" t="s">
        <v>3713</v>
      </c>
      <c r="E2038" s="83" t="s">
        <v>3761</v>
      </c>
      <c r="F2038" s="83" t="s">
        <v>7746</v>
      </c>
      <c r="G2038" s="83" t="s">
        <v>4597</v>
      </c>
      <c r="H2038" s="83">
        <v>0</v>
      </c>
      <c r="I2038" s="83" t="s">
        <v>3229</v>
      </c>
      <c r="J2038" s="83" t="s">
        <v>3230</v>
      </c>
      <c r="K2038" s="83" t="s">
        <v>3215</v>
      </c>
    </row>
    <row r="2039" spans="1:11" ht="51.75" x14ac:dyDescent="0.25">
      <c r="A2039" s="83" t="s">
        <v>2121</v>
      </c>
      <c r="B2039" s="83" t="s">
        <v>3208</v>
      </c>
      <c r="C2039" s="83" t="s">
        <v>3208</v>
      </c>
      <c r="D2039" s="83" t="s">
        <v>3713</v>
      </c>
      <c r="E2039" s="83" t="s">
        <v>3761</v>
      </c>
      <c r="F2039" s="83" t="s">
        <v>7747</v>
      </c>
      <c r="G2039" s="83" t="s">
        <v>7748</v>
      </c>
      <c r="H2039" s="83">
        <v>0</v>
      </c>
      <c r="I2039" s="83" t="s">
        <v>3213</v>
      </c>
      <c r="J2039" s="83" t="s">
        <v>3214</v>
      </c>
      <c r="K2039" s="83" t="s">
        <v>3215</v>
      </c>
    </row>
    <row r="2040" spans="1:11" ht="64.5" x14ac:dyDescent="0.25">
      <c r="A2040" s="83" t="s">
        <v>3178</v>
      </c>
      <c r="B2040" s="83" t="s">
        <v>3208</v>
      </c>
      <c r="C2040" s="83" t="s">
        <v>3208</v>
      </c>
      <c r="D2040" s="83" t="s">
        <v>3713</v>
      </c>
      <c r="E2040" s="83" t="s">
        <v>3761</v>
      </c>
      <c r="F2040" s="83" t="s">
        <v>7749</v>
      </c>
      <c r="G2040" s="83" t="s">
        <v>7750</v>
      </c>
      <c r="H2040" s="83">
        <v>0</v>
      </c>
      <c r="I2040" s="83" t="s">
        <v>3213</v>
      </c>
      <c r="J2040" s="83" t="s">
        <v>3219</v>
      </c>
      <c r="K2040" s="83" t="s">
        <v>3215</v>
      </c>
    </row>
    <row r="2041" spans="1:11" ht="26.25" x14ac:dyDescent="0.25">
      <c r="A2041" s="83" t="s">
        <v>1850</v>
      </c>
      <c r="B2041" s="83" t="s">
        <v>3208</v>
      </c>
      <c r="C2041" s="83" t="s">
        <v>3208</v>
      </c>
      <c r="D2041" s="83" t="s">
        <v>3713</v>
      </c>
      <c r="E2041" s="83" t="s">
        <v>3761</v>
      </c>
      <c r="F2041" s="83" t="s">
        <v>7751</v>
      </c>
      <c r="G2041" s="83" t="s">
        <v>4191</v>
      </c>
      <c r="H2041" s="83">
        <v>0</v>
      </c>
      <c r="I2041" s="83" t="s">
        <v>3229</v>
      </c>
      <c r="J2041" s="83" t="s">
        <v>3311</v>
      </c>
      <c r="K2041" s="83" t="s">
        <v>3215</v>
      </c>
    </row>
    <row r="2042" spans="1:11" ht="26.25" x14ac:dyDescent="0.25">
      <c r="A2042" s="83" t="s">
        <v>1777</v>
      </c>
      <c r="B2042" s="83" t="s">
        <v>3208</v>
      </c>
      <c r="C2042" s="83" t="s">
        <v>3208</v>
      </c>
      <c r="D2042" s="83" t="s">
        <v>3713</v>
      </c>
      <c r="E2042" s="83" t="s">
        <v>3761</v>
      </c>
      <c r="F2042" s="83" t="s">
        <v>4746</v>
      </c>
      <c r="G2042" s="83" t="s">
        <v>7752</v>
      </c>
      <c r="H2042" s="83">
        <v>0</v>
      </c>
      <c r="I2042" s="83" t="s">
        <v>3213</v>
      </c>
      <c r="J2042" s="83" t="s">
        <v>3851</v>
      </c>
      <c r="K2042" s="83" t="s">
        <v>3215</v>
      </c>
    </row>
    <row r="2043" spans="1:11" ht="51.75" x14ac:dyDescent="0.25">
      <c r="A2043" s="83" t="s">
        <v>1938</v>
      </c>
      <c r="B2043" s="83" t="s">
        <v>3208</v>
      </c>
      <c r="C2043" s="83" t="s">
        <v>3208</v>
      </c>
      <c r="D2043" s="83" t="s">
        <v>3713</v>
      </c>
      <c r="E2043" s="83" t="s">
        <v>3761</v>
      </c>
      <c r="F2043" s="83" t="s">
        <v>3798</v>
      </c>
      <c r="G2043" s="83" t="s">
        <v>5536</v>
      </c>
      <c r="H2043" s="83">
        <v>0</v>
      </c>
      <c r="I2043" s="83" t="s">
        <v>3229</v>
      </c>
      <c r="J2043" s="83" t="s">
        <v>3332</v>
      </c>
      <c r="K2043" s="83" t="s">
        <v>3215</v>
      </c>
    </row>
    <row r="2044" spans="1:11" ht="39" x14ac:dyDescent="0.25">
      <c r="A2044" s="83" t="s">
        <v>1957</v>
      </c>
      <c r="B2044" s="83" t="s">
        <v>3208</v>
      </c>
      <c r="C2044" s="83" t="s">
        <v>3208</v>
      </c>
      <c r="D2044" s="83" t="s">
        <v>3713</v>
      </c>
      <c r="E2044" s="83" t="s">
        <v>3761</v>
      </c>
      <c r="F2044" s="83" t="s">
        <v>3798</v>
      </c>
      <c r="G2044" s="83" t="s">
        <v>5536</v>
      </c>
      <c r="H2044" s="83">
        <v>0</v>
      </c>
      <c r="I2044" s="83" t="s">
        <v>3229</v>
      </c>
      <c r="J2044" s="83" t="s">
        <v>6317</v>
      </c>
      <c r="K2044" s="83" t="s">
        <v>3215</v>
      </c>
    </row>
    <row r="2045" spans="1:11" ht="51.75" x14ac:dyDescent="0.25">
      <c r="A2045" s="83" t="s">
        <v>1945</v>
      </c>
      <c r="B2045" s="83" t="s">
        <v>3208</v>
      </c>
      <c r="C2045" s="83" t="s">
        <v>3208</v>
      </c>
      <c r="D2045" s="83" t="s">
        <v>3713</v>
      </c>
      <c r="E2045" s="83" t="s">
        <v>3761</v>
      </c>
      <c r="F2045" s="83" t="s">
        <v>3798</v>
      </c>
      <c r="G2045" s="83" t="s">
        <v>3256</v>
      </c>
      <c r="H2045" s="83">
        <v>0</v>
      </c>
      <c r="I2045" s="83" t="s">
        <v>3213</v>
      </c>
      <c r="J2045" s="83" t="s">
        <v>3271</v>
      </c>
      <c r="K2045" s="83" t="s">
        <v>3215</v>
      </c>
    </row>
    <row r="2046" spans="1:11" ht="51.75" x14ac:dyDescent="0.25">
      <c r="A2046" s="83" t="s">
        <v>2426</v>
      </c>
      <c r="B2046" s="83" t="s">
        <v>3208</v>
      </c>
      <c r="C2046" s="83" t="s">
        <v>3208</v>
      </c>
      <c r="D2046" s="83" t="s">
        <v>3713</v>
      </c>
      <c r="E2046" s="83" t="s">
        <v>3761</v>
      </c>
      <c r="F2046" s="83" t="s">
        <v>4746</v>
      </c>
      <c r="G2046" s="83" t="s">
        <v>4888</v>
      </c>
      <c r="H2046" s="83">
        <v>0</v>
      </c>
      <c r="I2046" s="83" t="s">
        <v>3229</v>
      </c>
      <c r="J2046" s="83" t="s">
        <v>3238</v>
      </c>
      <c r="K2046" s="83" t="s">
        <v>3215</v>
      </c>
    </row>
    <row r="2047" spans="1:11" ht="26.25" x14ac:dyDescent="0.25">
      <c r="A2047" s="83" t="s">
        <v>7753</v>
      </c>
      <c r="B2047" s="83" t="s">
        <v>3208</v>
      </c>
      <c r="C2047" s="83" t="s">
        <v>3208</v>
      </c>
      <c r="D2047" s="83" t="s">
        <v>3713</v>
      </c>
      <c r="E2047" s="83" t="s">
        <v>3714</v>
      </c>
      <c r="F2047" s="83" t="s">
        <v>3875</v>
      </c>
      <c r="G2047" s="83" t="s">
        <v>7754</v>
      </c>
      <c r="H2047" s="83">
        <v>0</v>
      </c>
      <c r="I2047" s="83" t="s">
        <v>3208</v>
      </c>
      <c r="J2047" s="83" t="s">
        <v>3208</v>
      </c>
      <c r="K2047" s="83" t="s">
        <v>3208</v>
      </c>
    </row>
    <row r="2048" spans="1:11" ht="26.25" x14ac:dyDescent="0.25">
      <c r="A2048" s="83" t="s">
        <v>7755</v>
      </c>
      <c r="B2048" s="83" t="s">
        <v>3208</v>
      </c>
      <c r="C2048" s="83" t="s">
        <v>3208</v>
      </c>
      <c r="D2048" s="83" t="s">
        <v>3713</v>
      </c>
      <c r="E2048" s="83" t="s">
        <v>3714</v>
      </c>
      <c r="F2048" s="83" t="s">
        <v>3875</v>
      </c>
      <c r="G2048" s="83" t="s">
        <v>7756</v>
      </c>
      <c r="H2048" s="83">
        <v>0</v>
      </c>
      <c r="I2048" s="83" t="s">
        <v>3208</v>
      </c>
      <c r="J2048" s="83" t="s">
        <v>3208</v>
      </c>
      <c r="K2048" s="83" t="s">
        <v>3208</v>
      </c>
    </row>
    <row r="2049" spans="1:11" ht="26.25" x14ac:dyDescent="0.25">
      <c r="A2049" s="83" t="s">
        <v>7757</v>
      </c>
      <c r="B2049" s="83" t="s">
        <v>3208</v>
      </c>
      <c r="C2049" s="83" t="s">
        <v>3208</v>
      </c>
      <c r="D2049" s="83" t="s">
        <v>3209</v>
      </c>
      <c r="E2049" s="83" t="s">
        <v>3663</v>
      </c>
      <c r="F2049" s="83" t="s">
        <v>6376</v>
      </c>
      <c r="G2049" s="83" t="s">
        <v>6377</v>
      </c>
      <c r="H2049" s="83">
        <v>7500</v>
      </c>
      <c r="I2049" s="83" t="s">
        <v>3208</v>
      </c>
      <c r="J2049" s="83" t="s">
        <v>3208</v>
      </c>
      <c r="K2049" s="83" t="s">
        <v>3208</v>
      </c>
    </row>
    <row r="2050" spans="1:11" ht="26.25" x14ac:dyDescent="0.25">
      <c r="A2050" s="83" t="s">
        <v>841</v>
      </c>
      <c r="B2050" s="83" t="s">
        <v>7758</v>
      </c>
      <c r="C2050" s="83" t="s">
        <v>7759</v>
      </c>
      <c r="D2050" s="83" t="s">
        <v>3209</v>
      </c>
      <c r="E2050" s="83" t="s">
        <v>3246</v>
      </c>
      <c r="F2050" s="83" t="s">
        <v>7760</v>
      </c>
      <c r="G2050" s="83" t="s">
        <v>6608</v>
      </c>
      <c r="H2050" s="83">
        <v>2.2000000000000002</v>
      </c>
      <c r="I2050" s="83" t="s">
        <v>3213</v>
      </c>
      <c r="J2050" s="83" t="s">
        <v>3467</v>
      </c>
      <c r="K2050" s="83" t="s">
        <v>3215</v>
      </c>
    </row>
    <row r="2051" spans="1:11" ht="51.75" x14ac:dyDescent="0.25">
      <c r="A2051" s="83" t="s">
        <v>961</v>
      </c>
      <c r="B2051" s="83" t="s">
        <v>7761</v>
      </c>
      <c r="C2051" s="83" t="s">
        <v>7762</v>
      </c>
      <c r="D2051" s="83" t="s">
        <v>3209</v>
      </c>
      <c r="E2051" s="83" t="s">
        <v>3246</v>
      </c>
      <c r="F2051" s="83" t="s">
        <v>7763</v>
      </c>
      <c r="G2051" s="83" t="s">
        <v>3838</v>
      </c>
      <c r="H2051" s="83">
        <v>96</v>
      </c>
      <c r="I2051" s="83" t="s">
        <v>3213</v>
      </c>
      <c r="J2051" s="83" t="s">
        <v>3214</v>
      </c>
      <c r="K2051" s="83" t="s">
        <v>3215</v>
      </c>
    </row>
    <row r="2052" spans="1:11" ht="26.25" x14ac:dyDescent="0.25">
      <c r="A2052" s="83" t="s">
        <v>2689</v>
      </c>
      <c r="B2052" s="83" t="s">
        <v>3208</v>
      </c>
      <c r="C2052" s="83" t="s">
        <v>3208</v>
      </c>
      <c r="D2052" s="83" t="s">
        <v>3713</v>
      </c>
      <c r="E2052" s="83" t="s">
        <v>3761</v>
      </c>
      <c r="F2052" s="83" t="s">
        <v>7764</v>
      </c>
      <c r="G2052" s="83" t="s">
        <v>7765</v>
      </c>
      <c r="H2052" s="83">
        <v>0</v>
      </c>
      <c r="I2052" s="83" t="s">
        <v>3229</v>
      </c>
      <c r="J2052" s="83" t="s">
        <v>3311</v>
      </c>
      <c r="K2052" s="83" t="s">
        <v>3215</v>
      </c>
    </row>
    <row r="2053" spans="1:11" ht="51.75" x14ac:dyDescent="0.25">
      <c r="A2053" s="83" t="s">
        <v>114</v>
      </c>
      <c r="B2053" s="83" t="s">
        <v>7766</v>
      </c>
      <c r="C2053" s="83" t="s">
        <v>7767</v>
      </c>
      <c r="D2053" s="83" t="s">
        <v>3209</v>
      </c>
      <c r="E2053" s="83" t="s">
        <v>3246</v>
      </c>
      <c r="F2053" s="83" t="s">
        <v>7768</v>
      </c>
      <c r="G2053" s="83" t="s">
        <v>3838</v>
      </c>
      <c r="H2053" s="83">
        <v>229.3</v>
      </c>
      <c r="I2053" s="83" t="s">
        <v>3213</v>
      </c>
      <c r="J2053" s="83" t="s">
        <v>3214</v>
      </c>
      <c r="K2053" s="83" t="s">
        <v>3215</v>
      </c>
    </row>
    <row r="2054" spans="1:11" x14ac:dyDescent="0.25">
      <c r="A2054" s="83" t="s">
        <v>7769</v>
      </c>
      <c r="B2054" s="83" t="s">
        <v>7770</v>
      </c>
      <c r="C2054" s="83" t="s">
        <v>3208</v>
      </c>
      <c r="D2054" s="83" t="s">
        <v>3209</v>
      </c>
      <c r="E2054" s="83" t="s">
        <v>3702</v>
      </c>
      <c r="F2054" s="83" t="s">
        <v>7771</v>
      </c>
      <c r="G2054" s="83" t="s">
        <v>7772</v>
      </c>
      <c r="H2054" s="83">
        <v>428.4</v>
      </c>
      <c r="I2054" s="83" t="s">
        <v>3208</v>
      </c>
      <c r="J2054" s="83" t="s">
        <v>3208</v>
      </c>
      <c r="K2054" s="83" t="s">
        <v>3208</v>
      </c>
    </row>
    <row r="2055" spans="1:11" ht="51.75" x14ac:dyDescent="0.25">
      <c r="A2055" s="83" t="s">
        <v>2647</v>
      </c>
      <c r="B2055" s="83" t="s">
        <v>3208</v>
      </c>
      <c r="C2055" s="83" t="s">
        <v>3208</v>
      </c>
      <c r="D2055" s="83" t="s">
        <v>3713</v>
      </c>
      <c r="E2055" s="83" t="s">
        <v>3761</v>
      </c>
      <c r="F2055" s="83" t="s">
        <v>3854</v>
      </c>
      <c r="G2055" s="83" t="s">
        <v>6333</v>
      </c>
      <c r="H2055" s="83">
        <v>0</v>
      </c>
      <c r="I2055" s="83" t="s">
        <v>3229</v>
      </c>
      <c r="J2055" s="83" t="s">
        <v>3238</v>
      </c>
      <c r="K2055" s="83" t="s">
        <v>3215</v>
      </c>
    </row>
    <row r="2056" spans="1:11" ht="26.25" x14ac:dyDescent="0.25">
      <c r="A2056" s="83" t="s">
        <v>501</v>
      </c>
      <c r="B2056" s="83" t="s">
        <v>3208</v>
      </c>
      <c r="C2056" s="83" t="s">
        <v>7773</v>
      </c>
      <c r="D2056" s="83" t="s">
        <v>3718</v>
      </c>
      <c r="E2056" s="83" t="s">
        <v>3727</v>
      </c>
      <c r="F2056" s="83" t="s">
        <v>5548</v>
      </c>
      <c r="G2056" s="83" t="s">
        <v>3676</v>
      </c>
      <c r="H2056" s="83">
        <v>8</v>
      </c>
      <c r="I2056" s="83" t="s">
        <v>3229</v>
      </c>
      <c r="J2056" s="83" t="s">
        <v>3397</v>
      </c>
      <c r="K2056" s="83" t="s">
        <v>3215</v>
      </c>
    </row>
    <row r="2057" spans="1:11" ht="230.25" x14ac:dyDescent="0.25">
      <c r="A2057" s="83" t="s">
        <v>1679</v>
      </c>
      <c r="B2057" s="83" t="s">
        <v>7774</v>
      </c>
      <c r="C2057" s="83" t="s">
        <v>3208</v>
      </c>
      <c r="D2057" s="83" t="s">
        <v>3209</v>
      </c>
      <c r="E2057" s="83" t="s">
        <v>3226</v>
      </c>
      <c r="F2057" s="83" t="s">
        <v>7775</v>
      </c>
      <c r="G2057" s="83" t="s">
        <v>5599</v>
      </c>
      <c r="H2057" s="83">
        <v>160044</v>
      </c>
      <c r="I2057" s="83" t="s">
        <v>7023</v>
      </c>
      <c r="J2057" s="83" t="s">
        <v>7776</v>
      </c>
      <c r="K2057" s="83" t="s">
        <v>3215</v>
      </c>
    </row>
    <row r="2058" spans="1:11" ht="153.75" x14ac:dyDescent="0.25">
      <c r="A2058" s="83" t="s">
        <v>1527</v>
      </c>
      <c r="B2058" s="83" t="s">
        <v>7777</v>
      </c>
      <c r="C2058" s="83" t="s">
        <v>3208</v>
      </c>
      <c r="D2058" s="83" t="s">
        <v>3209</v>
      </c>
      <c r="E2058" s="83" t="s">
        <v>3226</v>
      </c>
      <c r="F2058" s="83" t="s">
        <v>5067</v>
      </c>
      <c r="G2058" s="83" t="s">
        <v>5599</v>
      </c>
      <c r="H2058" s="83">
        <v>14479.6</v>
      </c>
      <c r="I2058" s="83" t="s">
        <v>3229</v>
      </c>
      <c r="J2058" s="83" t="s">
        <v>6340</v>
      </c>
      <c r="K2058" s="83" t="s">
        <v>3215</v>
      </c>
    </row>
    <row r="2059" spans="1:11" ht="51.75" x14ac:dyDescent="0.25">
      <c r="A2059" s="83" t="s">
        <v>484</v>
      </c>
      <c r="B2059" s="83" t="s">
        <v>3208</v>
      </c>
      <c r="C2059" s="83" t="s">
        <v>3208</v>
      </c>
      <c r="D2059" s="83" t="s">
        <v>3209</v>
      </c>
      <c r="E2059" s="83" t="s">
        <v>3210</v>
      </c>
      <c r="F2059" s="83" t="s">
        <v>7778</v>
      </c>
      <c r="G2059" s="83" t="s">
        <v>6522</v>
      </c>
      <c r="H2059" s="83">
        <v>293</v>
      </c>
      <c r="I2059" s="83" t="s">
        <v>3229</v>
      </c>
      <c r="J2059" s="83" t="s">
        <v>3230</v>
      </c>
      <c r="K2059" s="83" t="s">
        <v>3215</v>
      </c>
    </row>
    <row r="2060" spans="1:11" x14ac:dyDescent="0.25">
      <c r="A2060" s="83" t="s">
        <v>7779</v>
      </c>
      <c r="B2060" s="83" t="s">
        <v>3208</v>
      </c>
      <c r="C2060" s="83" t="s">
        <v>3208</v>
      </c>
      <c r="D2060" s="83" t="s">
        <v>3209</v>
      </c>
      <c r="E2060" s="83" t="s">
        <v>3663</v>
      </c>
      <c r="F2060" s="83" t="s">
        <v>7780</v>
      </c>
      <c r="G2060" s="83" t="s">
        <v>3810</v>
      </c>
      <c r="H2060" s="83">
        <v>30</v>
      </c>
      <c r="I2060" s="83" t="s">
        <v>3208</v>
      </c>
      <c r="J2060" s="83" t="s">
        <v>3208</v>
      </c>
      <c r="K2060" s="83" t="s">
        <v>3208</v>
      </c>
    </row>
    <row r="2061" spans="1:11" ht="64.5" x14ac:dyDescent="0.25">
      <c r="A2061" s="83" t="s">
        <v>570</v>
      </c>
      <c r="B2061" s="83" t="s">
        <v>3208</v>
      </c>
      <c r="C2061" s="83" t="s">
        <v>3208</v>
      </c>
      <c r="D2061" s="83" t="s">
        <v>3209</v>
      </c>
      <c r="E2061" s="83" t="s">
        <v>3210</v>
      </c>
      <c r="F2061" s="83" t="s">
        <v>3719</v>
      </c>
      <c r="G2061" s="83" t="s">
        <v>7781</v>
      </c>
      <c r="H2061" s="83">
        <v>49</v>
      </c>
      <c r="I2061" s="83" t="s">
        <v>3213</v>
      </c>
      <c r="J2061" s="83" t="s">
        <v>3262</v>
      </c>
      <c r="K2061" s="83" t="s">
        <v>3215</v>
      </c>
    </row>
    <row r="2062" spans="1:11" ht="51.75" x14ac:dyDescent="0.25">
      <c r="A2062" s="83" t="s">
        <v>786</v>
      </c>
      <c r="B2062" s="83" t="s">
        <v>7782</v>
      </c>
      <c r="C2062" s="83" t="s">
        <v>7783</v>
      </c>
      <c r="D2062" s="83" t="s">
        <v>3209</v>
      </c>
      <c r="E2062" s="83" t="s">
        <v>3246</v>
      </c>
      <c r="F2062" s="83" t="s">
        <v>7784</v>
      </c>
      <c r="G2062" s="83" t="s">
        <v>5627</v>
      </c>
      <c r="H2062" s="83">
        <v>3.1</v>
      </c>
      <c r="I2062" s="83" t="s">
        <v>3213</v>
      </c>
      <c r="J2062" s="83" t="s">
        <v>3257</v>
      </c>
      <c r="K2062" s="83" t="s">
        <v>3215</v>
      </c>
    </row>
    <row r="2063" spans="1:11" ht="64.5" x14ac:dyDescent="0.25">
      <c r="A2063" s="83" t="s">
        <v>7785</v>
      </c>
      <c r="B2063" s="83" t="s">
        <v>3208</v>
      </c>
      <c r="C2063" s="83" t="s">
        <v>3208</v>
      </c>
      <c r="D2063" s="83" t="s">
        <v>3209</v>
      </c>
      <c r="E2063" s="83" t="s">
        <v>3210</v>
      </c>
      <c r="F2063" s="83" t="s">
        <v>7786</v>
      </c>
      <c r="G2063" s="83" t="s">
        <v>5667</v>
      </c>
      <c r="H2063" s="83">
        <v>50</v>
      </c>
      <c r="I2063" s="83" t="s">
        <v>3213</v>
      </c>
      <c r="J2063" s="83" t="s">
        <v>3436</v>
      </c>
      <c r="K2063" s="83" t="s">
        <v>3215</v>
      </c>
    </row>
    <row r="2064" spans="1:11" ht="26.25" x14ac:dyDescent="0.25">
      <c r="A2064" s="83" t="s">
        <v>709</v>
      </c>
      <c r="B2064" s="83" t="s">
        <v>3208</v>
      </c>
      <c r="C2064" s="83" t="s">
        <v>7787</v>
      </c>
      <c r="D2064" s="83" t="s">
        <v>3718</v>
      </c>
      <c r="E2064" s="83" t="s">
        <v>3727</v>
      </c>
      <c r="F2064" s="83" t="s">
        <v>7788</v>
      </c>
      <c r="G2064" s="83" t="s">
        <v>7736</v>
      </c>
      <c r="H2064" s="83">
        <v>7.5</v>
      </c>
      <c r="I2064" s="83" t="s">
        <v>3213</v>
      </c>
      <c r="J2064" s="83" t="s">
        <v>3467</v>
      </c>
      <c r="K2064" s="83" t="s">
        <v>3215</v>
      </c>
    </row>
    <row r="2065" spans="1:11" ht="51.75" x14ac:dyDescent="0.25">
      <c r="A2065" s="83" t="s">
        <v>869</v>
      </c>
      <c r="B2065" s="83" t="s">
        <v>7789</v>
      </c>
      <c r="C2065" s="83" t="s">
        <v>3208</v>
      </c>
      <c r="D2065" s="83" t="s">
        <v>3209</v>
      </c>
      <c r="E2065" s="83" t="s">
        <v>3226</v>
      </c>
      <c r="F2065" s="83" t="s">
        <v>7790</v>
      </c>
      <c r="G2065" s="83" t="s">
        <v>5008</v>
      </c>
      <c r="H2065" s="83">
        <v>46</v>
      </c>
      <c r="I2065" s="83" t="s">
        <v>3229</v>
      </c>
      <c r="J2065" s="83" t="s">
        <v>3289</v>
      </c>
      <c r="K2065" s="83" t="s">
        <v>3215</v>
      </c>
    </row>
    <row r="2066" spans="1:11" ht="51.75" x14ac:dyDescent="0.25">
      <c r="A2066" s="83" t="s">
        <v>668</v>
      </c>
      <c r="B2066" s="83" t="s">
        <v>3208</v>
      </c>
      <c r="C2066" s="83" t="s">
        <v>3208</v>
      </c>
      <c r="D2066" s="83" t="s">
        <v>3209</v>
      </c>
      <c r="E2066" s="83" t="s">
        <v>3210</v>
      </c>
      <c r="F2066" s="83" t="s">
        <v>7791</v>
      </c>
      <c r="G2066" s="83" t="s">
        <v>5200</v>
      </c>
      <c r="H2066" s="83">
        <v>8.9</v>
      </c>
      <c r="I2066" s="83" t="s">
        <v>3229</v>
      </c>
      <c r="J2066" s="83" t="s">
        <v>3230</v>
      </c>
      <c r="K2066" s="83" t="s">
        <v>3215</v>
      </c>
    </row>
    <row r="2067" spans="1:11" ht="64.5" x14ac:dyDescent="0.25">
      <c r="A2067" s="83" t="s">
        <v>544</v>
      </c>
      <c r="B2067" s="83" t="s">
        <v>7792</v>
      </c>
      <c r="C2067" s="83" t="s">
        <v>3208</v>
      </c>
      <c r="D2067" s="83" t="s">
        <v>3209</v>
      </c>
      <c r="E2067" s="83" t="s">
        <v>3226</v>
      </c>
      <c r="F2067" s="83" t="s">
        <v>7793</v>
      </c>
      <c r="G2067" s="83" t="s">
        <v>7794</v>
      </c>
      <c r="H2067" s="83">
        <v>36.9</v>
      </c>
      <c r="I2067" s="83" t="s">
        <v>3213</v>
      </c>
      <c r="J2067" s="83" t="s">
        <v>3262</v>
      </c>
      <c r="K2067" s="83" t="s">
        <v>3215</v>
      </c>
    </row>
    <row r="2068" spans="1:11" ht="51.75" x14ac:dyDescent="0.25">
      <c r="A2068" s="83" t="s">
        <v>939</v>
      </c>
      <c r="B2068" s="83" t="s">
        <v>7795</v>
      </c>
      <c r="C2068" s="83" t="s">
        <v>7796</v>
      </c>
      <c r="D2068" s="83" t="s">
        <v>3209</v>
      </c>
      <c r="E2068" s="83" t="s">
        <v>3246</v>
      </c>
      <c r="F2068" s="83" t="s">
        <v>7797</v>
      </c>
      <c r="G2068" s="83" t="s">
        <v>7798</v>
      </c>
      <c r="H2068" s="83">
        <v>9.4</v>
      </c>
      <c r="I2068" s="83" t="s">
        <v>3229</v>
      </c>
      <c r="J2068" s="83" t="s">
        <v>3230</v>
      </c>
      <c r="K2068" s="83" t="s">
        <v>3215</v>
      </c>
    </row>
    <row r="2069" spans="1:11" ht="26.25" x14ac:dyDescent="0.25">
      <c r="A2069" s="83" t="s">
        <v>554</v>
      </c>
      <c r="B2069" s="83" t="s">
        <v>3208</v>
      </c>
      <c r="C2069" s="83" t="s">
        <v>3208</v>
      </c>
      <c r="D2069" s="83" t="s">
        <v>3209</v>
      </c>
      <c r="E2069" s="83" t="s">
        <v>3210</v>
      </c>
      <c r="F2069" s="83" t="s">
        <v>7799</v>
      </c>
      <c r="G2069" s="83" t="s">
        <v>6832</v>
      </c>
      <c r="H2069" s="83">
        <v>7</v>
      </c>
      <c r="I2069" s="83" t="s">
        <v>3213</v>
      </c>
      <c r="J2069" s="83" t="s">
        <v>3896</v>
      </c>
      <c r="K2069" s="83" t="s">
        <v>3215</v>
      </c>
    </row>
    <row r="2070" spans="1:11" ht="51.75" x14ac:dyDescent="0.25">
      <c r="A2070" s="83" t="s">
        <v>1142</v>
      </c>
      <c r="B2070" s="83" t="s">
        <v>7800</v>
      </c>
      <c r="C2070" s="83" t="s">
        <v>3208</v>
      </c>
      <c r="D2070" s="83" t="s">
        <v>3209</v>
      </c>
      <c r="E2070" s="83" t="s">
        <v>3226</v>
      </c>
      <c r="F2070" s="83" t="s">
        <v>7801</v>
      </c>
      <c r="G2070" s="83" t="s">
        <v>152</v>
      </c>
      <c r="H2070" s="83">
        <v>106</v>
      </c>
      <c r="I2070" s="83" t="s">
        <v>3213</v>
      </c>
      <c r="J2070" s="83" t="s">
        <v>3538</v>
      </c>
      <c r="K2070" s="83" t="s">
        <v>3215</v>
      </c>
    </row>
    <row r="2071" spans="1:11" ht="51.75" x14ac:dyDescent="0.25">
      <c r="A2071" s="83" t="s">
        <v>2348</v>
      </c>
      <c r="B2071" s="83" t="s">
        <v>3208</v>
      </c>
      <c r="C2071" s="83" t="s">
        <v>3208</v>
      </c>
      <c r="D2071" s="83" t="s">
        <v>3713</v>
      </c>
      <c r="E2071" s="83" t="s">
        <v>3761</v>
      </c>
      <c r="F2071" s="83" t="s">
        <v>3886</v>
      </c>
      <c r="G2071" s="83" t="s">
        <v>3362</v>
      </c>
      <c r="H2071" s="83">
        <v>0</v>
      </c>
      <c r="I2071" s="83" t="s">
        <v>3229</v>
      </c>
      <c r="J2071" s="83" t="s">
        <v>3371</v>
      </c>
      <c r="K2071" s="83" t="s">
        <v>3215</v>
      </c>
    </row>
    <row r="2072" spans="1:11" ht="51.75" x14ac:dyDescent="0.25">
      <c r="A2072" s="83" t="s">
        <v>2536</v>
      </c>
      <c r="B2072" s="83" t="s">
        <v>3208</v>
      </c>
      <c r="C2072" s="83" t="s">
        <v>3208</v>
      </c>
      <c r="D2072" s="83" t="s">
        <v>3713</v>
      </c>
      <c r="E2072" s="83" t="s">
        <v>3761</v>
      </c>
      <c r="F2072" s="83" t="s">
        <v>3901</v>
      </c>
      <c r="G2072" s="83" t="s">
        <v>3902</v>
      </c>
      <c r="H2072" s="83">
        <v>0</v>
      </c>
      <c r="I2072" s="83" t="s">
        <v>3229</v>
      </c>
      <c r="J2072" s="83" t="s">
        <v>3238</v>
      </c>
      <c r="K2072" s="83" t="s">
        <v>3215</v>
      </c>
    </row>
    <row r="2073" spans="1:11" ht="64.5" x14ac:dyDescent="0.25">
      <c r="A2073" s="83" t="s">
        <v>2352</v>
      </c>
      <c r="B2073" s="83" t="s">
        <v>3208</v>
      </c>
      <c r="C2073" s="83" t="s">
        <v>3208</v>
      </c>
      <c r="D2073" s="83" t="s">
        <v>3713</v>
      </c>
      <c r="E2073" s="83" t="s">
        <v>3761</v>
      </c>
      <c r="F2073" s="83" t="s">
        <v>3976</v>
      </c>
      <c r="G2073" s="83" t="s">
        <v>7802</v>
      </c>
      <c r="H2073" s="83">
        <v>0</v>
      </c>
      <c r="I2073" s="83" t="s">
        <v>3213</v>
      </c>
      <c r="J2073" s="83" t="s">
        <v>3219</v>
      </c>
      <c r="K2073" s="83" t="s">
        <v>3215</v>
      </c>
    </row>
    <row r="2074" spans="1:11" ht="26.25" x14ac:dyDescent="0.25">
      <c r="A2074" s="83" t="s">
        <v>7803</v>
      </c>
      <c r="B2074" s="83" t="s">
        <v>3208</v>
      </c>
      <c r="C2074" s="83" t="s">
        <v>3208</v>
      </c>
      <c r="D2074" s="83" t="s">
        <v>3713</v>
      </c>
      <c r="E2074" s="83" t="s">
        <v>3714</v>
      </c>
      <c r="F2074" s="83" t="s">
        <v>3875</v>
      </c>
      <c r="G2074" s="83" t="s">
        <v>7804</v>
      </c>
      <c r="H2074" s="83">
        <v>0</v>
      </c>
      <c r="I2074" s="83" t="s">
        <v>3208</v>
      </c>
      <c r="J2074" s="83" t="s">
        <v>3208</v>
      </c>
      <c r="K2074" s="83" t="s">
        <v>3208</v>
      </c>
    </row>
    <row r="2075" spans="1:11" ht="39" x14ac:dyDescent="0.25">
      <c r="A2075" s="83" t="s">
        <v>623</v>
      </c>
      <c r="B2075" s="83" t="s">
        <v>3208</v>
      </c>
      <c r="C2075" s="83" t="s">
        <v>7805</v>
      </c>
      <c r="D2075" s="83" t="s">
        <v>3718</v>
      </c>
      <c r="E2075" s="83" t="s">
        <v>3727</v>
      </c>
      <c r="F2075" s="83" t="s">
        <v>7806</v>
      </c>
      <c r="G2075" s="83" t="s">
        <v>7807</v>
      </c>
      <c r="H2075" s="83">
        <v>2.4</v>
      </c>
      <c r="I2075" s="83" t="s">
        <v>3229</v>
      </c>
      <c r="J2075" s="83" t="s">
        <v>7808</v>
      </c>
      <c r="K2075" s="83" t="s">
        <v>3215</v>
      </c>
    </row>
    <row r="2076" spans="1:11" ht="26.25" x14ac:dyDescent="0.25">
      <c r="A2076" s="83" t="s">
        <v>611</v>
      </c>
      <c r="B2076" s="83" t="s">
        <v>3208</v>
      </c>
      <c r="C2076" s="83" t="s">
        <v>3208</v>
      </c>
      <c r="D2076" s="83" t="s">
        <v>3209</v>
      </c>
      <c r="E2076" s="83" t="s">
        <v>3210</v>
      </c>
      <c r="F2076" s="83" t="s">
        <v>7809</v>
      </c>
      <c r="G2076" s="83" t="s">
        <v>3937</v>
      </c>
      <c r="H2076" s="83">
        <v>25</v>
      </c>
      <c r="I2076" s="83" t="s">
        <v>3229</v>
      </c>
      <c r="J2076" s="83" t="s">
        <v>3397</v>
      </c>
      <c r="K2076" s="83" t="s">
        <v>3215</v>
      </c>
    </row>
    <row r="2077" spans="1:11" ht="26.25" x14ac:dyDescent="0.25">
      <c r="A2077" s="83" t="s">
        <v>854</v>
      </c>
      <c r="B2077" s="83" t="s">
        <v>7810</v>
      </c>
      <c r="C2077" s="83" t="s">
        <v>7811</v>
      </c>
      <c r="D2077" s="83" t="s">
        <v>3209</v>
      </c>
      <c r="E2077" s="83" t="s">
        <v>3246</v>
      </c>
      <c r="F2077" s="83" t="s">
        <v>7812</v>
      </c>
      <c r="G2077" s="83" t="s">
        <v>7813</v>
      </c>
      <c r="H2077" s="83">
        <v>0.7</v>
      </c>
      <c r="I2077" s="83" t="s">
        <v>3213</v>
      </c>
      <c r="J2077" s="83" t="s">
        <v>3467</v>
      </c>
      <c r="K2077" s="83" t="s">
        <v>3215</v>
      </c>
    </row>
    <row r="2078" spans="1:11" ht="26.25" x14ac:dyDescent="0.25">
      <c r="A2078" s="83" t="s">
        <v>7814</v>
      </c>
      <c r="B2078" s="83" t="s">
        <v>3208</v>
      </c>
      <c r="C2078" s="83" t="s">
        <v>3208</v>
      </c>
      <c r="D2078" s="83" t="s">
        <v>3713</v>
      </c>
      <c r="E2078" s="83" t="s">
        <v>3714</v>
      </c>
      <c r="F2078" s="83" t="s">
        <v>3909</v>
      </c>
      <c r="G2078" s="83" t="s">
        <v>7815</v>
      </c>
      <c r="H2078" s="83">
        <v>0</v>
      </c>
      <c r="I2078" s="83" t="s">
        <v>3208</v>
      </c>
      <c r="J2078" s="83" t="s">
        <v>3208</v>
      </c>
      <c r="K2078" s="83" t="s">
        <v>3208</v>
      </c>
    </row>
    <row r="2079" spans="1:11" ht="26.25" x14ac:dyDescent="0.25">
      <c r="A2079" s="83" t="s">
        <v>7816</v>
      </c>
      <c r="B2079" s="83" t="s">
        <v>3208</v>
      </c>
      <c r="C2079" s="83" t="s">
        <v>3208</v>
      </c>
      <c r="D2079" s="83" t="s">
        <v>3209</v>
      </c>
      <c r="E2079" s="83" t="s">
        <v>3702</v>
      </c>
      <c r="F2079" s="83" t="s">
        <v>7817</v>
      </c>
      <c r="G2079" s="83" t="s">
        <v>5102</v>
      </c>
      <c r="H2079" s="83">
        <v>0</v>
      </c>
      <c r="I2079" s="83" t="s">
        <v>3208</v>
      </c>
      <c r="J2079" s="83" t="s">
        <v>3208</v>
      </c>
      <c r="K2079" s="83" t="s">
        <v>3208</v>
      </c>
    </row>
    <row r="2080" spans="1:11" ht="51.75" x14ac:dyDescent="0.25">
      <c r="A2080" s="83" t="s">
        <v>1250</v>
      </c>
      <c r="B2080" s="83" t="s">
        <v>7818</v>
      </c>
      <c r="C2080" s="83" t="s">
        <v>7819</v>
      </c>
      <c r="D2080" s="83" t="s">
        <v>3209</v>
      </c>
      <c r="E2080" s="83" t="s">
        <v>3246</v>
      </c>
      <c r="F2080" s="83" t="s">
        <v>7820</v>
      </c>
      <c r="G2080" s="83" t="s">
        <v>5599</v>
      </c>
      <c r="H2080" s="83">
        <v>600</v>
      </c>
      <c r="I2080" s="83" t="s">
        <v>3229</v>
      </c>
      <c r="J2080" s="83" t="s">
        <v>3280</v>
      </c>
      <c r="K2080" s="83" t="s">
        <v>3215</v>
      </c>
    </row>
    <row r="2081" spans="1:11" ht="51.75" x14ac:dyDescent="0.25">
      <c r="A2081" s="83" t="s">
        <v>2349</v>
      </c>
      <c r="B2081" s="83" t="s">
        <v>3208</v>
      </c>
      <c r="C2081" s="83" t="s">
        <v>3208</v>
      </c>
      <c r="D2081" s="83" t="s">
        <v>3713</v>
      </c>
      <c r="E2081" s="83" t="s">
        <v>3761</v>
      </c>
      <c r="F2081" s="83" t="s">
        <v>3895</v>
      </c>
      <c r="G2081" s="83" t="s">
        <v>152</v>
      </c>
      <c r="H2081" s="83">
        <v>0</v>
      </c>
      <c r="I2081" s="83" t="s">
        <v>3213</v>
      </c>
      <c r="J2081" s="83" t="s">
        <v>3538</v>
      </c>
      <c r="K2081" s="83" t="s">
        <v>3215</v>
      </c>
    </row>
    <row r="2082" spans="1:11" ht="64.5" x14ac:dyDescent="0.25">
      <c r="A2082" s="83" t="s">
        <v>2294</v>
      </c>
      <c r="B2082" s="83" t="s">
        <v>3208</v>
      </c>
      <c r="C2082" s="83" t="s">
        <v>3208</v>
      </c>
      <c r="D2082" s="83" t="s">
        <v>3713</v>
      </c>
      <c r="E2082" s="83" t="s">
        <v>3761</v>
      </c>
      <c r="F2082" s="83" t="s">
        <v>4041</v>
      </c>
      <c r="G2082" s="83" t="s">
        <v>4042</v>
      </c>
      <c r="H2082" s="83">
        <v>0</v>
      </c>
      <c r="I2082" s="83" t="s">
        <v>3229</v>
      </c>
      <c r="J2082" s="83" t="s">
        <v>3380</v>
      </c>
      <c r="K2082" s="83" t="s">
        <v>3215</v>
      </c>
    </row>
    <row r="2083" spans="1:11" ht="26.25" x14ac:dyDescent="0.25">
      <c r="A2083" s="83" t="s">
        <v>7821</v>
      </c>
      <c r="B2083" s="83" t="s">
        <v>3208</v>
      </c>
      <c r="C2083" s="83" t="s">
        <v>3208</v>
      </c>
      <c r="D2083" s="83" t="s">
        <v>3209</v>
      </c>
      <c r="E2083" s="83" t="s">
        <v>3663</v>
      </c>
      <c r="F2083" s="83" t="s">
        <v>7103</v>
      </c>
      <c r="G2083" s="83" t="s">
        <v>4542</v>
      </c>
      <c r="H2083" s="83">
        <v>30</v>
      </c>
      <c r="I2083" s="83" t="s">
        <v>3208</v>
      </c>
      <c r="J2083" s="83" t="s">
        <v>3208</v>
      </c>
      <c r="K2083" s="83" t="s">
        <v>3208</v>
      </c>
    </row>
    <row r="2084" spans="1:11" ht="51.75" x14ac:dyDescent="0.25">
      <c r="A2084" s="83" t="s">
        <v>1915</v>
      </c>
      <c r="B2084" s="83" t="s">
        <v>3208</v>
      </c>
      <c r="C2084" s="83" t="s">
        <v>3208</v>
      </c>
      <c r="D2084" s="83" t="s">
        <v>3713</v>
      </c>
      <c r="E2084" s="83" t="s">
        <v>3761</v>
      </c>
      <c r="F2084" s="83" t="s">
        <v>3901</v>
      </c>
      <c r="G2084" s="83" t="s">
        <v>3902</v>
      </c>
      <c r="H2084" s="83">
        <v>0</v>
      </c>
      <c r="I2084" s="83" t="s">
        <v>3229</v>
      </c>
      <c r="J2084" s="83" t="s">
        <v>3238</v>
      </c>
      <c r="K2084" s="83" t="s">
        <v>3215</v>
      </c>
    </row>
    <row r="2085" spans="1:11" ht="64.5" x14ac:dyDescent="0.25">
      <c r="A2085" s="83" t="s">
        <v>596</v>
      </c>
      <c r="B2085" s="83" t="s">
        <v>3208</v>
      </c>
      <c r="C2085" s="83" t="s">
        <v>3208</v>
      </c>
      <c r="D2085" s="83" t="s">
        <v>3209</v>
      </c>
      <c r="E2085" s="83" t="s">
        <v>3210</v>
      </c>
      <c r="F2085" s="83" t="s">
        <v>7822</v>
      </c>
      <c r="G2085" s="83" t="s">
        <v>7823</v>
      </c>
      <c r="H2085" s="83">
        <v>60</v>
      </c>
      <c r="I2085" s="83" t="s">
        <v>3213</v>
      </c>
      <c r="J2085" s="83" t="s">
        <v>3413</v>
      </c>
      <c r="K2085" s="83" t="s">
        <v>3215</v>
      </c>
    </row>
    <row r="2086" spans="1:11" ht="51.75" x14ac:dyDescent="0.25">
      <c r="A2086" s="83" t="s">
        <v>606</v>
      </c>
      <c r="B2086" s="83" t="s">
        <v>3208</v>
      </c>
      <c r="C2086" s="83" t="s">
        <v>7824</v>
      </c>
      <c r="D2086" s="83" t="s">
        <v>3718</v>
      </c>
      <c r="E2086" s="83" t="s">
        <v>3727</v>
      </c>
      <c r="F2086" s="83" t="s">
        <v>7825</v>
      </c>
      <c r="G2086" s="83" t="s">
        <v>4796</v>
      </c>
      <c r="H2086" s="83">
        <v>9.9</v>
      </c>
      <c r="I2086" s="83" t="s">
        <v>3229</v>
      </c>
      <c r="J2086" s="83" t="s">
        <v>3289</v>
      </c>
      <c r="K2086" s="83" t="s">
        <v>3215</v>
      </c>
    </row>
    <row r="2087" spans="1:11" ht="51.75" x14ac:dyDescent="0.25">
      <c r="A2087" s="83" t="s">
        <v>2495</v>
      </c>
      <c r="B2087" s="83" t="s">
        <v>3208</v>
      </c>
      <c r="C2087" s="83" t="s">
        <v>3208</v>
      </c>
      <c r="D2087" s="83" t="s">
        <v>3713</v>
      </c>
      <c r="E2087" s="83" t="s">
        <v>3761</v>
      </c>
      <c r="F2087" s="83" t="s">
        <v>3854</v>
      </c>
      <c r="G2087" s="83" t="s">
        <v>6333</v>
      </c>
      <c r="H2087" s="83">
        <v>0</v>
      </c>
      <c r="I2087" s="83" t="s">
        <v>3229</v>
      </c>
      <c r="J2087" s="83" t="s">
        <v>3238</v>
      </c>
      <c r="K2087" s="83" t="s">
        <v>3215</v>
      </c>
    </row>
    <row r="2088" spans="1:11" ht="64.5" x14ac:dyDescent="0.25">
      <c r="A2088" s="83" t="s">
        <v>647</v>
      </c>
      <c r="B2088" s="83" t="s">
        <v>3208</v>
      </c>
      <c r="C2088" s="83" t="s">
        <v>3208</v>
      </c>
      <c r="D2088" s="83" t="s">
        <v>3209</v>
      </c>
      <c r="E2088" s="83" t="s">
        <v>3210</v>
      </c>
      <c r="F2088" s="83" t="s">
        <v>3802</v>
      </c>
      <c r="G2088" s="83" t="s">
        <v>3412</v>
      </c>
      <c r="H2088" s="83">
        <v>41</v>
      </c>
      <c r="I2088" s="83" t="s">
        <v>3213</v>
      </c>
      <c r="J2088" s="83" t="s">
        <v>3413</v>
      </c>
      <c r="K2088" s="83" t="s">
        <v>3215</v>
      </c>
    </row>
    <row r="2089" spans="1:11" x14ac:dyDescent="0.25">
      <c r="A2089" s="83" t="s">
        <v>7826</v>
      </c>
      <c r="B2089" s="83" t="s">
        <v>3208</v>
      </c>
      <c r="C2089" s="83" t="s">
        <v>3208</v>
      </c>
      <c r="D2089" s="83" t="s">
        <v>3209</v>
      </c>
      <c r="E2089" s="83" t="s">
        <v>3663</v>
      </c>
      <c r="F2089" s="83" t="s">
        <v>7105</v>
      </c>
      <c r="G2089" s="83" t="s">
        <v>7827</v>
      </c>
      <c r="H2089" s="83">
        <v>79</v>
      </c>
      <c r="I2089" s="83" t="s">
        <v>3208</v>
      </c>
      <c r="J2089" s="83" t="s">
        <v>3208</v>
      </c>
      <c r="K2089" s="83" t="s">
        <v>3208</v>
      </c>
    </row>
    <row r="2090" spans="1:11" ht="51.75" x14ac:dyDescent="0.25">
      <c r="A2090" s="83" t="s">
        <v>1614</v>
      </c>
      <c r="B2090" s="83" t="s">
        <v>7828</v>
      </c>
      <c r="C2090" s="83" t="s">
        <v>3208</v>
      </c>
      <c r="D2090" s="83" t="s">
        <v>3209</v>
      </c>
      <c r="E2090" s="83" t="s">
        <v>3226</v>
      </c>
      <c r="F2090" s="83" t="s">
        <v>7829</v>
      </c>
      <c r="G2090" s="83" t="s">
        <v>4819</v>
      </c>
      <c r="H2090" s="83">
        <v>426.5</v>
      </c>
      <c r="I2090" s="83" t="s">
        <v>3229</v>
      </c>
      <c r="J2090" s="83" t="s">
        <v>3238</v>
      </c>
      <c r="K2090" s="83" t="s">
        <v>3215</v>
      </c>
    </row>
    <row r="2091" spans="1:11" ht="51.75" x14ac:dyDescent="0.25">
      <c r="A2091" s="83" t="s">
        <v>2291</v>
      </c>
      <c r="B2091" s="83" t="s">
        <v>3208</v>
      </c>
      <c r="C2091" s="83" t="s">
        <v>3208</v>
      </c>
      <c r="D2091" s="83" t="s">
        <v>3713</v>
      </c>
      <c r="E2091" s="83" t="s">
        <v>3761</v>
      </c>
      <c r="F2091" s="83" t="s">
        <v>6395</v>
      </c>
      <c r="G2091" s="83" t="s">
        <v>5608</v>
      </c>
      <c r="H2091" s="83">
        <v>0</v>
      </c>
      <c r="I2091" s="83" t="s">
        <v>3229</v>
      </c>
      <c r="J2091" s="83" t="s">
        <v>3230</v>
      </c>
      <c r="K2091" s="83" t="s">
        <v>3215</v>
      </c>
    </row>
    <row r="2092" spans="1:11" ht="51.75" x14ac:dyDescent="0.25">
      <c r="A2092" s="83" t="s">
        <v>1325</v>
      </c>
      <c r="B2092" s="83" t="s">
        <v>7830</v>
      </c>
      <c r="C2092" s="83" t="s">
        <v>7831</v>
      </c>
      <c r="D2092" s="83" t="s">
        <v>3209</v>
      </c>
      <c r="E2092" s="83" t="s">
        <v>3246</v>
      </c>
      <c r="F2092" s="83" t="s">
        <v>7832</v>
      </c>
      <c r="G2092" s="83" t="s">
        <v>3940</v>
      </c>
      <c r="H2092" s="83">
        <v>23</v>
      </c>
      <c r="I2092" s="83" t="s">
        <v>3229</v>
      </c>
      <c r="J2092" s="83" t="s">
        <v>3371</v>
      </c>
      <c r="K2092" s="83" t="s">
        <v>3215</v>
      </c>
    </row>
    <row r="2093" spans="1:11" ht="51.75" x14ac:dyDescent="0.25">
      <c r="A2093" s="83" t="s">
        <v>1152</v>
      </c>
      <c r="B2093" s="83" t="s">
        <v>7833</v>
      </c>
      <c r="C2093" s="83" t="s">
        <v>3208</v>
      </c>
      <c r="D2093" s="83" t="s">
        <v>3209</v>
      </c>
      <c r="E2093" s="83" t="s">
        <v>3226</v>
      </c>
      <c r="F2093" s="83" t="s">
        <v>3564</v>
      </c>
      <c r="G2093" s="83" t="s">
        <v>3362</v>
      </c>
      <c r="H2093" s="83">
        <v>690</v>
      </c>
      <c r="I2093" s="83" t="s">
        <v>3229</v>
      </c>
      <c r="J2093" s="83" t="s">
        <v>3230</v>
      </c>
      <c r="K2093" s="83" t="s">
        <v>3215</v>
      </c>
    </row>
    <row r="2094" spans="1:11" ht="26.25" x14ac:dyDescent="0.25">
      <c r="A2094" s="83" t="s">
        <v>7834</v>
      </c>
      <c r="B2094" s="83" t="s">
        <v>3208</v>
      </c>
      <c r="C2094" s="83" t="s">
        <v>3208</v>
      </c>
      <c r="D2094" s="83" t="s">
        <v>3965</v>
      </c>
      <c r="E2094" s="83" t="s">
        <v>3966</v>
      </c>
      <c r="F2094" s="83" t="s">
        <v>4864</v>
      </c>
      <c r="G2094" s="83" t="s">
        <v>7835</v>
      </c>
      <c r="H2094" s="83">
        <v>0</v>
      </c>
      <c r="I2094" s="83" t="s">
        <v>3213</v>
      </c>
      <c r="J2094" s="83" t="s">
        <v>4000</v>
      </c>
      <c r="K2094" s="83" t="s">
        <v>3215</v>
      </c>
    </row>
    <row r="2095" spans="1:11" ht="26.25" x14ac:dyDescent="0.25">
      <c r="A2095" s="83" t="s">
        <v>2688</v>
      </c>
      <c r="B2095" s="83" t="s">
        <v>3208</v>
      </c>
      <c r="C2095" s="83" t="s">
        <v>3208</v>
      </c>
      <c r="D2095" s="83" t="s">
        <v>3713</v>
      </c>
      <c r="E2095" s="83" t="s">
        <v>3761</v>
      </c>
      <c r="F2095" s="83" t="s">
        <v>7764</v>
      </c>
      <c r="G2095" s="83" t="s">
        <v>7765</v>
      </c>
      <c r="H2095" s="83">
        <v>0</v>
      </c>
      <c r="I2095" s="83" t="s">
        <v>3229</v>
      </c>
      <c r="J2095" s="83" t="s">
        <v>3311</v>
      </c>
      <c r="K2095" s="83" t="s">
        <v>3215</v>
      </c>
    </row>
    <row r="2096" spans="1:11" ht="64.5" x14ac:dyDescent="0.25">
      <c r="A2096" s="83" t="s">
        <v>2503</v>
      </c>
      <c r="B2096" s="83" t="s">
        <v>3208</v>
      </c>
      <c r="C2096" s="83" t="s">
        <v>3208</v>
      </c>
      <c r="D2096" s="83" t="s">
        <v>3713</v>
      </c>
      <c r="E2096" s="83" t="s">
        <v>3761</v>
      </c>
      <c r="F2096" s="83" t="s">
        <v>3901</v>
      </c>
      <c r="G2096" s="83" t="s">
        <v>7836</v>
      </c>
      <c r="H2096" s="83">
        <v>0</v>
      </c>
      <c r="I2096" s="83" t="s">
        <v>3213</v>
      </c>
      <c r="J2096" s="83" t="s">
        <v>3219</v>
      </c>
      <c r="K2096" s="83" t="s">
        <v>3215</v>
      </c>
    </row>
    <row r="2097" spans="1:11" ht="64.5" x14ac:dyDescent="0.25">
      <c r="A2097" s="83" t="s">
        <v>2529</v>
      </c>
      <c r="B2097" s="83" t="s">
        <v>3208</v>
      </c>
      <c r="C2097" s="83" t="s">
        <v>3208</v>
      </c>
      <c r="D2097" s="83" t="s">
        <v>3713</v>
      </c>
      <c r="E2097" s="83" t="s">
        <v>3761</v>
      </c>
      <c r="F2097" s="83" t="s">
        <v>3991</v>
      </c>
      <c r="G2097" s="83" t="s">
        <v>7837</v>
      </c>
      <c r="H2097" s="83">
        <v>0</v>
      </c>
      <c r="I2097" s="83" t="s">
        <v>3213</v>
      </c>
      <c r="J2097" s="83" t="s">
        <v>3413</v>
      </c>
      <c r="K2097" s="83" t="s">
        <v>3215</v>
      </c>
    </row>
    <row r="2098" spans="1:11" ht="51.75" x14ac:dyDescent="0.25">
      <c r="A2098" s="83" t="s">
        <v>2387</v>
      </c>
      <c r="B2098" s="83" t="s">
        <v>3208</v>
      </c>
      <c r="C2098" s="83" t="s">
        <v>3208</v>
      </c>
      <c r="D2098" s="83" t="s">
        <v>3713</v>
      </c>
      <c r="E2098" s="83" t="s">
        <v>3761</v>
      </c>
      <c r="F2098" s="83" t="s">
        <v>4013</v>
      </c>
      <c r="G2098" s="83" t="s">
        <v>5608</v>
      </c>
      <c r="H2098" s="83">
        <v>0</v>
      </c>
      <c r="I2098" s="83" t="s">
        <v>3229</v>
      </c>
      <c r="J2098" s="83" t="s">
        <v>3238</v>
      </c>
      <c r="K2098" s="83" t="s">
        <v>3215</v>
      </c>
    </row>
    <row r="2099" spans="1:11" ht="26.25" x14ac:dyDescent="0.25">
      <c r="A2099" s="83" t="s">
        <v>2396</v>
      </c>
      <c r="B2099" s="83" t="s">
        <v>3208</v>
      </c>
      <c r="C2099" s="83" t="s">
        <v>3208</v>
      </c>
      <c r="D2099" s="83" t="s">
        <v>3713</v>
      </c>
      <c r="E2099" s="83" t="s">
        <v>3761</v>
      </c>
      <c r="F2099" s="83" t="s">
        <v>4013</v>
      </c>
      <c r="G2099" s="83" t="s">
        <v>4870</v>
      </c>
      <c r="H2099" s="83">
        <v>0</v>
      </c>
      <c r="I2099" s="83" t="s">
        <v>3213</v>
      </c>
      <c r="J2099" s="83" t="s">
        <v>3896</v>
      </c>
      <c r="K2099" s="83" t="s">
        <v>3215</v>
      </c>
    </row>
    <row r="2100" spans="1:11" ht="51.75" x14ac:dyDescent="0.25">
      <c r="A2100" s="83" t="s">
        <v>2528</v>
      </c>
      <c r="B2100" s="83" t="s">
        <v>3208</v>
      </c>
      <c r="C2100" s="83" t="s">
        <v>3208</v>
      </c>
      <c r="D2100" s="83" t="s">
        <v>3713</v>
      </c>
      <c r="E2100" s="83" t="s">
        <v>3761</v>
      </c>
      <c r="F2100" s="83" t="s">
        <v>3976</v>
      </c>
      <c r="G2100" s="83" t="s">
        <v>4058</v>
      </c>
      <c r="H2100" s="83">
        <v>0</v>
      </c>
      <c r="I2100" s="83" t="s">
        <v>3229</v>
      </c>
      <c r="J2100" s="83" t="s">
        <v>3289</v>
      </c>
      <c r="K2100" s="83" t="s">
        <v>3215</v>
      </c>
    </row>
    <row r="2101" spans="1:11" ht="51.75" x14ac:dyDescent="0.25">
      <c r="A2101" s="83" t="s">
        <v>2587</v>
      </c>
      <c r="B2101" s="83" t="s">
        <v>3208</v>
      </c>
      <c r="C2101" s="83" t="s">
        <v>3208</v>
      </c>
      <c r="D2101" s="83" t="s">
        <v>3713</v>
      </c>
      <c r="E2101" s="83" t="s">
        <v>3761</v>
      </c>
      <c r="F2101" s="83" t="s">
        <v>3974</v>
      </c>
      <c r="G2101" s="83" t="s">
        <v>4886</v>
      </c>
      <c r="H2101" s="83">
        <v>0</v>
      </c>
      <c r="I2101" s="83" t="s">
        <v>3229</v>
      </c>
      <c r="J2101" s="83" t="s">
        <v>3371</v>
      </c>
      <c r="K2101" s="83" t="s">
        <v>3215</v>
      </c>
    </row>
    <row r="2102" spans="1:11" ht="26.25" x14ac:dyDescent="0.25">
      <c r="A2102" s="83" t="s">
        <v>7838</v>
      </c>
      <c r="B2102" s="83" t="s">
        <v>3208</v>
      </c>
      <c r="C2102" s="83" t="s">
        <v>3208</v>
      </c>
      <c r="D2102" s="83" t="s">
        <v>3713</v>
      </c>
      <c r="E2102" s="83" t="s">
        <v>3714</v>
      </c>
      <c r="F2102" s="83" t="s">
        <v>7839</v>
      </c>
      <c r="G2102" s="83" t="s">
        <v>3810</v>
      </c>
      <c r="H2102" s="83">
        <v>0</v>
      </c>
      <c r="I2102" s="83" t="s">
        <v>3208</v>
      </c>
      <c r="J2102" s="83" t="s">
        <v>3208</v>
      </c>
      <c r="K2102" s="83" t="s">
        <v>3208</v>
      </c>
    </row>
    <row r="2103" spans="1:11" ht="64.5" x14ac:dyDescent="0.25">
      <c r="A2103" s="83" t="s">
        <v>1040</v>
      </c>
      <c r="B2103" s="83" t="s">
        <v>7840</v>
      </c>
      <c r="C2103" s="83" t="s">
        <v>3208</v>
      </c>
      <c r="D2103" s="83" t="s">
        <v>3209</v>
      </c>
      <c r="E2103" s="83" t="s">
        <v>3226</v>
      </c>
      <c r="F2103" s="83" t="s">
        <v>7841</v>
      </c>
      <c r="G2103" s="83" t="s">
        <v>4952</v>
      </c>
      <c r="H2103" s="83">
        <v>60</v>
      </c>
      <c r="I2103" s="83" t="s">
        <v>3213</v>
      </c>
      <c r="J2103" s="83" t="s">
        <v>3601</v>
      </c>
      <c r="K2103" s="83" t="s">
        <v>3215</v>
      </c>
    </row>
    <row r="2104" spans="1:11" ht="51.75" x14ac:dyDescent="0.25">
      <c r="A2104" s="83" t="s">
        <v>2590</v>
      </c>
      <c r="B2104" s="83" t="s">
        <v>3208</v>
      </c>
      <c r="C2104" s="83" t="s">
        <v>3208</v>
      </c>
      <c r="D2104" s="83" t="s">
        <v>3713</v>
      </c>
      <c r="E2104" s="83" t="s">
        <v>3761</v>
      </c>
      <c r="F2104" s="83" t="s">
        <v>5671</v>
      </c>
      <c r="G2104" s="83" t="s">
        <v>7842</v>
      </c>
      <c r="H2104" s="83">
        <v>0</v>
      </c>
      <c r="I2104" s="83" t="s">
        <v>3229</v>
      </c>
      <c r="J2104" s="83" t="s">
        <v>3289</v>
      </c>
      <c r="K2104" s="83" t="s">
        <v>3215</v>
      </c>
    </row>
    <row r="2105" spans="1:11" ht="51.75" x14ac:dyDescent="0.25">
      <c r="A2105" s="83" t="s">
        <v>7843</v>
      </c>
      <c r="B2105" s="83" t="s">
        <v>3208</v>
      </c>
      <c r="C2105" s="83" t="s">
        <v>3208</v>
      </c>
      <c r="D2105" s="83" t="s">
        <v>3965</v>
      </c>
      <c r="E2105" s="83" t="s">
        <v>3966</v>
      </c>
      <c r="F2105" s="83" t="s">
        <v>7844</v>
      </c>
      <c r="G2105" s="83" t="s">
        <v>7845</v>
      </c>
      <c r="H2105" s="83">
        <v>0</v>
      </c>
      <c r="I2105" s="83" t="s">
        <v>3213</v>
      </c>
      <c r="J2105" s="83" t="s">
        <v>3538</v>
      </c>
      <c r="K2105" s="83" t="s">
        <v>3215</v>
      </c>
    </row>
    <row r="2106" spans="1:11" ht="51.75" x14ac:dyDescent="0.25">
      <c r="A2106" s="83" t="s">
        <v>2266</v>
      </c>
      <c r="B2106" s="83" t="s">
        <v>3208</v>
      </c>
      <c r="C2106" s="83" t="s">
        <v>3208</v>
      </c>
      <c r="D2106" s="83" t="s">
        <v>3713</v>
      </c>
      <c r="E2106" s="83" t="s">
        <v>3761</v>
      </c>
      <c r="F2106" s="83" t="s">
        <v>7846</v>
      </c>
      <c r="G2106" s="83" t="s">
        <v>4593</v>
      </c>
      <c r="H2106" s="83">
        <v>0</v>
      </c>
      <c r="I2106" s="83" t="s">
        <v>3229</v>
      </c>
      <c r="J2106" s="83" t="s">
        <v>3238</v>
      </c>
      <c r="K2106" s="83" t="s">
        <v>3215</v>
      </c>
    </row>
    <row r="2107" spans="1:11" ht="64.5" x14ac:dyDescent="0.25">
      <c r="A2107" s="83" t="s">
        <v>2361</v>
      </c>
      <c r="B2107" s="83" t="s">
        <v>3208</v>
      </c>
      <c r="C2107" s="83" t="s">
        <v>3208</v>
      </c>
      <c r="D2107" s="83" t="s">
        <v>3713</v>
      </c>
      <c r="E2107" s="83" t="s">
        <v>3761</v>
      </c>
      <c r="F2107" s="83" t="s">
        <v>3886</v>
      </c>
      <c r="G2107" s="83" t="s">
        <v>3743</v>
      </c>
      <c r="H2107" s="83">
        <v>0</v>
      </c>
      <c r="I2107" s="83" t="s">
        <v>3213</v>
      </c>
      <c r="J2107" s="83" t="s">
        <v>3413</v>
      </c>
      <c r="K2107" s="83" t="s">
        <v>3215</v>
      </c>
    </row>
    <row r="2108" spans="1:11" x14ac:dyDescent="0.25">
      <c r="A2108" s="83" t="s">
        <v>7847</v>
      </c>
      <c r="B2108" s="83" t="s">
        <v>7848</v>
      </c>
      <c r="C2108" s="83" t="s">
        <v>7849</v>
      </c>
      <c r="D2108" s="83" t="s">
        <v>3209</v>
      </c>
      <c r="E2108" s="83" t="s">
        <v>3702</v>
      </c>
      <c r="F2108" s="83" t="s">
        <v>7850</v>
      </c>
      <c r="G2108" s="83" t="s">
        <v>7851</v>
      </c>
      <c r="H2108" s="83">
        <v>1</v>
      </c>
      <c r="I2108" s="83" t="s">
        <v>3208</v>
      </c>
      <c r="J2108" s="83" t="s">
        <v>3208</v>
      </c>
      <c r="K2108" s="83" t="s">
        <v>3208</v>
      </c>
    </row>
    <row r="2109" spans="1:11" ht="64.5" x14ac:dyDescent="0.25">
      <c r="A2109" s="83" t="s">
        <v>2362</v>
      </c>
      <c r="B2109" s="83" t="s">
        <v>3208</v>
      </c>
      <c r="C2109" s="83" t="s">
        <v>3208</v>
      </c>
      <c r="D2109" s="83" t="s">
        <v>3713</v>
      </c>
      <c r="E2109" s="83" t="s">
        <v>3761</v>
      </c>
      <c r="F2109" s="83" t="s">
        <v>3886</v>
      </c>
      <c r="G2109" s="83" t="s">
        <v>3743</v>
      </c>
      <c r="H2109" s="83">
        <v>0</v>
      </c>
      <c r="I2109" s="83" t="s">
        <v>3213</v>
      </c>
      <c r="J2109" s="83" t="s">
        <v>3413</v>
      </c>
      <c r="K2109" s="83" t="s">
        <v>3215</v>
      </c>
    </row>
    <row r="2110" spans="1:11" ht="39" x14ac:dyDescent="0.25">
      <c r="A2110" s="83" t="s">
        <v>2598</v>
      </c>
      <c r="B2110" s="83" t="s">
        <v>3208</v>
      </c>
      <c r="C2110" s="83" t="s">
        <v>3208</v>
      </c>
      <c r="D2110" s="83" t="s">
        <v>3713</v>
      </c>
      <c r="E2110" s="83" t="s">
        <v>3761</v>
      </c>
      <c r="F2110" s="83" t="s">
        <v>5639</v>
      </c>
      <c r="G2110" s="83" t="s">
        <v>7287</v>
      </c>
      <c r="H2110" s="83">
        <v>0</v>
      </c>
      <c r="I2110" s="83" t="s">
        <v>3229</v>
      </c>
      <c r="J2110" s="83" t="s">
        <v>356</v>
      </c>
      <c r="K2110" s="83" t="s">
        <v>3215</v>
      </c>
    </row>
    <row r="2111" spans="1:11" ht="64.5" x14ac:dyDescent="0.25">
      <c r="A2111" s="83" t="s">
        <v>1892</v>
      </c>
      <c r="B2111" s="83" t="s">
        <v>3208</v>
      </c>
      <c r="C2111" s="83" t="s">
        <v>3208</v>
      </c>
      <c r="D2111" s="83" t="s">
        <v>3713</v>
      </c>
      <c r="E2111" s="83" t="s">
        <v>3761</v>
      </c>
      <c r="F2111" s="83" t="s">
        <v>7852</v>
      </c>
      <c r="G2111" s="83" t="s">
        <v>7794</v>
      </c>
      <c r="H2111" s="83">
        <v>0</v>
      </c>
      <c r="I2111" s="83" t="s">
        <v>3213</v>
      </c>
      <c r="J2111" s="83" t="s">
        <v>3262</v>
      </c>
      <c r="K2111" s="83" t="s">
        <v>3215</v>
      </c>
    </row>
    <row r="2112" spans="1:11" ht="51.75" x14ac:dyDescent="0.25">
      <c r="A2112" s="83" t="s">
        <v>2632</v>
      </c>
      <c r="B2112" s="83" t="s">
        <v>3208</v>
      </c>
      <c r="C2112" s="83" t="s">
        <v>3208</v>
      </c>
      <c r="D2112" s="83" t="s">
        <v>3713</v>
      </c>
      <c r="E2112" s="83" t="s">
        <v>3761</v>
      </c>
      <c r="F2112" s="83" t="s">
        <v>4897</v>
      </c>
      <c r="G2112" s="83" t="s">
        <v>4898</v>
      </c>
      <c r="H2112" s="83">
        <v>0</v>
      </c>
      <c r="I2112" s="83" t="s">
        <v>3213</v>
      </c>
      <c r="J2112" s="83" t="s">
        <v>3257</v>
      </c>
      <c r="K2112" s="83" t="s">
        <v>3215</v>
      </c>
    </row>
    <row r="2113" spans="1:11" ht="26.25" x14ac:dyDescent="0.25">
      <c r="A2113" s="83" t="s">
        <v>1835</v>
      </c>
      <c r="B2113" s="83" t="s">
        <v>3208</v>
      </c>
      <c r="C2113" s="83" t="s">
        <v>3208</v>
      </c>
      <c r="D2113" s="83" t="s">
        <v>3713</v>
      </c>
      <c r="E2113" s="83" t="s">
        <v>3761</v>
      </c>
      <c r="F2113" s="83" t="s">
        <v>3901</v>
      </c>
      <c r="G2113" s="83" t="s">
        <v>5530</v>
      </c>
      <c r="H2113" s="83">
        <v>0</v>
      </c>
      <c r="I2113" s="83" t="s">
        <v>3229</v>
      </c>
      <c r="J2113" s="83" t="s">
        <v>3311</v>
      </c>
      <c r="K2113" s="83" t="s">
        <v>3215</v>
      </c>
    </row>
    <row r="2114" spans="1:11" ht="39" x14ac:dyDescent="0.25">
      <c r="A2114" s="83" t="s">
        <v>2614</v>
      </c>
      <c r="B2114" s="83" t="s">
        <v>3208</v>
      </c>
      <c r="C2114" s="83" t="s">
        <v>3208</v>
      </c>
      <c r="D2114" s="83" t="s">
        <v>3713</v>
      </c>
      <c r="E2114" s="83" t="s">
        <v>3761</v>
      </c>
      <c r="F2114" s="83" t="s">
        <v>7853</v>
      </c>
      <c r="G2114" s="83" t="s">
        <v>7854</v>
      </c>
      <c r="H2114" s="83">
        <v>0</v>
      </c>
      <c r="I2114" s="83" t="s">
        <v>3229</v>
      </c>
      <c r="J2114" s="83" t="s">
        <v>356</v>
      </c>
      <c r="K2114" s="83" t="s">
        <v>3215</v>
      </c>
    </row>
    <row r="2115" spans="1:11" ht="51.75" x14ac:dyDescent="0.25">
      <c r="A2115" s="83" t="s">
        <v>2384</v>
      </c>
      <c r="B2115" s="83" t="s">
        <v>3208</v>
      </c>
      <c r="C2115" s="83" t="s">
        <v>3208</v>
      </c>
      <c r="D2115" s="83" t="s">
        <v>3713</v>
      </c>
      <c r="E2115" s="83" t="s">
        <v>3761</v>
      </c>
      <c r="F2115" s="83" t="s">
        <v>4013</v>
      </c>
      <c r="G2115" s="83" t="s">
        <v>3417</v>
      </c>
      <c r="H2115" s="83">
        <v>0</v>
      </c>
      <c r="I2115" s="83" t="s">
        <v>3213</v>
      </c>
      <c r="J2115" s="83" t="s">
        <v>3538</v>
      </c>
      <c r="K2115" s="83" t="s">
        <v>3215</v>
      </c>
    </row>
    <row r="2116" spans="1:11" ht="26.25" x14ac:dyDescent="0.25">
      <c r="A2116" s="83" t="s">
        <v>7855</v>
      </c>
      <c r="B2116" s="83" t="s">
        <v>3208</v>
      </c>
      <c r="C2116" s="83" t="s">
        <v>3208</v>
      </c>
      <c r="D2116" s="83" t="s">
        <v>3713</v>
      </c>
      <c r="E2116" s="83" t="s">
        <v>3714</v>
      </c>
      <c r="F2116" s="83" t="s">
        <v>5652</v>
      </c>
      <c r="G2116" s="83" t="s">
        <v>5653</v>
      </c>
      <c r="H2116" s="83">
        <v>0</v>
      </c>
      <c r="I2116" s="83" t="s">
        <v>3208</v>
      </c>
      <c r="J2116" s="83" t="s">
        <v>3208</v>
      </c>
      <c r="K2116" s="83" t="s">
        <v>3208</v>
      </c>
    </row>
    <row r="2117" spans="1:11" ht="26.25" x14ac:dyDescent="0.25">
      <c r="A2117" s="83" t="s">
        <v>437</v>
      </c>
      <c r="B2117" s="83" t="s">
        <v>3208</v>
      </c>
      <c r="C2117" s="83" t="s">
        <v>3208</v>
      </c>
      <c r="D2117" s="83" t="s">
        <v>3209</v>
      </c>
      <c r="E2117" s="83" t="s">
        <v>3210</v>
      </c>
      <c r="F2117" s="83" t="s">
        <v>4864</v>
      </c>
      <c r="G2117" s="83" t="s">
        <v>3999</v>
      </c>
      <c r="H2117" s="83">
        <v>49.5</v>
      </c>
      <c r="I2117" s="83" t="s">
        <v>3213</v>
      </c>
      <c r="J2117" s="83" t="s">
        <v>4000</v>
      </c>
      <c r="K2117" s="83" t="s">
        <v>3215</v>
      </c>
    </row>
    <row r="2118" spans="1:11" ht="51.75" x14ac:dyDescent="0.25">
      <c r="A2118" s="83" t="s">
        <v>81</v>
      </c>
      <c r="B2118" s="83" t="s">
        <v>3208</v>
      </c>
      <c r="C2118" s="83" t="s">
        <v>3208</v>
      </c>
      <c r="D2118" s="83" t="s">
        <v>3713</v>
      </c>
      <c r="E2118" s="83" t="s">
        <v>3761</v>
      </c>
      <c r="F2118" s="83" t="s">
        <v>7856</v>
      </c>
      <c r="G2118" s="83" t="s">
        <v>5212</v>
      </c>
      <c r="H2118" s="83">
        <v>0</v>
      </c>
      <c r="I2118" s="83" t="s">
        <v>3229</v>
      </c>
      <c r="J2118" s="83" t="s">
        <v>3371</v>
      </c>
      <c r="K2118" s="83" t="s">
        <v>3215</v>
      </c>
    </row>
    <row r="2119" spans="1:11" ht="51.75" x14ac:dyDescent="0.25">
      <c r="A2119" s="83" t="s">
        <v>138</v>
      </c>
      <c r="B2119" s="83" t="s">
        <v>3208</v>
      </c>
      <c r="C2119" s="83" t="s">
        <v>3208</v>
      </c>
      <c r="D2119" s="83" t="s">
        <v>3713</v>
      </c>
      <c r="E2119" s="83" t="s">
        <v>3761</v>
      </c>
      <c r="F2119" s="83" t="s">
        <v>4013</v>
      </c>
      <c r="G2119" s="83" t="s">
        <v>4014</v>
      </c>
      <c r="H2119" s="83">
        <v>0</v>
      </c>
      <c r="I2119" s="83" t="s">
        <v>3229</v>
      </c>
      <c r="J2119" s="83" t="s">
        <v>3289</v>
      </c>
      <c r="K2119" s="83" t="s">
        <v>3215</v>
      </c>
    </row>
    <row r="2120" spans="1:11" ht="26.25" x14ac:dyDescent="0.25">
      <c r="A2120" s="83" t="s">
        <v>2325</v>
      </c>
      <c r="B2120" s="83" t="s">
        <v>3208</v>
      </c>
      <c r="C2120" s="83" t="s">
        <v>3208</v>
      </c>
      <c r="D2120" s="83" t="s">
        <v>3713</v>
      </c>
      <c r="E2120" s="83" t="s">
        <v>3761</v>
      </c>
      <c r="F2120" s="83" t="s">
        <v>4045</v>
      </c>
      <c r="G2120" s="83" t="s">
        <v>4804</v>
      </c>
      <c r="H2120" s="83">
        <v>0</v>
      </c>
      <c r="I2120" s="83" t="s">
        <v>3213</v>
      </c>
      <c r="J2120" s="83" t="s">
        <v>3948</v>
      </c>
      <c r="K2120" s="83" t="s">
        <v>3215</v>
      </c>
    </row>
    <row r="2121" spans="1:11" ht="64.5" x14ac:dyDescent="0.25">
      <c r="A2121" s="83" t="s">
        <v>442</v>
      </c>
      <c r="B2121" s="83" t="s">
        <v>3208</v>
      </c>
      <c r="C2121" s="83" t="s">
        <v>7857</v>
      </c>
      <c r="D2121" s="83" t="s">
        <v>3718</v>
      </c>
      <c r="E2121" s="83" t="s">
        <v>3727</v>
      </c>
      <c r="F2121" s="83" t="s">
        <v>7858</v>
      </c>
      <c r="G2121" s="83" t="s">
        <v>7859</v>
      </c>
      <c r="H2121" s="83">
        <v>3.2</v>
      </c>
      <c r="I2121" s="83" t="s">
        <v>3213</v>
      </c>
      <c r="J2121" s="83" t="s">
        <v>3413</v>
      </c>
      <c r="K2121" s="83" t="s">
        <v>3215</v>
      </c>
    </row>
    <row r="2122" spans="1:11" ht="26.25" x14ac:dyDescent="0.25">
      <c r="A2122" s="83" t="s">
        <v>7860</v>
      </c>
      <c r="B2122" s="83" t="s">
        <v>3208</v>
      </c>
      <c r="C2122" s="83" t="s">
        <v>3208</v>
      </c>
      <c r="D2122" s="83" t="s">
        <v>3713</v>
      </c>
      <c r="E2122" s="83" t="s">
        <v>3714</v>
      </c>
      <c r="F2122" s="83" t="s">
        <v>7861</v>
      </c>
      <c r="G2122" s="83" t="s">
        <v>7862</v>
      </c>
      <c r="H2122" s="83">
        <v>0</v>
      </c>
      <c r="I2122" s="83" t="s">
        <v>3208</v>
      </c>
      <c r="J2122" s="83" t="s">
        <v>3208</v>
      </c>
      <c r="K2122" s="83" t="s">
        <v>3208</v>
      </c>
    </row>
    <row r="2123" spans="1:11" ht="26.25" x14ac:dyDescent="0.25">
      <c r="A2123" s="83" t="s">
        <v>2665</v>
      </c>
      <c r="B2123" s="83" t="s">
        <v>3208</v>
      </c>
      <c r="C2123" s="83" t="s">
        <v>3208</v>
      </c>
      <c r="D2123" s="83" t="s">
        <v>3713</v>
      </c>
      <c r="E2123" s="83" t="s">
        <v>3761</v>
      </c>
      <c r="F2123" s="83" t="s">
        <v>7863</v>
      </c>
      <c r="G2123" s="83" t="s">
        <v>7864</v>
      </c>
      <c r="H2123" s="83">
        <v>0</v>
      </c>
      <c r="I2123" s="83" t="s">
        <v>3213</v>
      </c>
      <c r="J2123" s="83" t="s">
        <v>3948</v>
      </c>
      <c r="K2123" s="83" t="s">
        <v>3215</v>
      </c>
    </row>
    <row r="2124" spans="1:11" ht="26.25" x14ac:dyDescent="0.25">
      <c r="A2124" s="83" t="s">
        <v>2311</v>
      </c>
      <c r="B2124" s="83" t="s">
        <v>3208</v>
      </c>
      <c r="C2124" s="83" t="s">
        <v>3208</v>
      </c>
      <c r="D2124" s="83" t="s">
        <v>3713</v>
      </c>
      <c r="E2124" s="83" t="s">
        <v>3761</v>
      </c>
      <c r="F2124" s="83" t="s">
        <v>3886</v>
      </c>
      <c r="G2124" s="83" t="s">
        <v>4910</v>
      </c>
      <c r="H2124" s="83">
        <v>0</v>
      </c>
      <c r="I2124" s="83" t="s">
        <v>3229</v>
      </c>
      <c r="J2124" s="83" t="s">
        <v>3324</v>
      </c>
      <c r="K2124" s="83" t="s">
        <v>3215</v>
      </c>
    </row>
    <row r="2125" spans="1:11" ht="26.25" x14ac:dyDescent="0.25">
      <c r="A2125" s="83" t="s">
        <v>1089</v>
      </c>
      <c r="B2125" s="83" t="s">
        <v>7865</v>
      </c>
      <c r="C2125" s="83" t="s">
        <v>3208</v>
      </c>
      <c r="D2125" s="83" t="s">
        <v>3209</v>
      </c>
      <c r="E2125" s="83" t="s">
        <v>3226</v>
      </c>
      <c r="F2125" s="83" t="s">
        <v>5706</v>
      </c>
      <c r="G2125" s="83" t="s">
        <v>5707</v>
      </c>
      <c r="H2125" s="83">
        <v>320</v>
      </c>
      <c r="I2125" s="83" t="s">
        <v>3213</v>
      </c>
      <c r="J2125" s="83" t="s">
        <v>3896</v>
      </c>
      <c r="K2125" s="83" t="s">
        <v>3215</v>
      </c>
    </row>
    <row r="2126" spans="1:11" ht="51.75" x14ac:dyDescent="0.25">
      <c r="A2126" s="83" t="s">
        <v>2336</v>
      </c>
      <c r="B2126" s="83" t="s">
        <v>3208</v>
      </c>
      <c r="C2126" s="83" t="s">
        <v>3208</v>
      </c>
      <c r="D2126" s="83" t="s">
        <v>3713</v>
      </c>
      <c r="E2126" s="83" t="s">
        <v>3761</v>
      </c>
      <c r="F2126" s="83" t="s">
        <v>3895</v>
      </c>
      <c r="G2126" s="83" t="s">
        <v>7772</v>
      </c>
      <c r="H2126" s="83">
        <v>0</v>
      </c>
      <c r="I2126" s="83" t="s">
        <v>3229</v>
      </c>
      <c r="J2126" s="83" t="s">
        <v>3238</v>
      </c>
      <c r="K2126" s="83" t="s">
        <v>3215</v>
      </c>
    </row>
    <row r="2127" spans="1:11" ht="26.25" x14ac:dyDescent="0.25">
      <c r="A2127" s="83" t="s">
        <v>2594</v>
      </c>
      <c r="B2127" s="83" t="s">
        <v>3208</v>
      </c>
      <c r="C2127" s="83" t="s">
        <v>3208</v>
      </c>
      <c r="D2127" s="83" t="s">
        <v>3713</v>
      </c>
      <c r="E2127" s="83" t="s">
        <v>3761</v>
      </c>
      <c r="F2127" s="83" t="s">
        <v>5659</v>
      </c>
      <c r="G2127" s="83" t="s">
        <v>6374</v>
      </c>
      <c r="H2127" s="83">
        <v>0</v>
      </c>
      <c r="I2127" s="83" t="s">
        <v>3229</v>
      </c>
      <c r="J2127" s="83" t="s">
        <v>3397</v>
      </c>
      <c r="K2127" s="83" t="s">
        <v>3215</v>
      </c>
    </row>
    <row r="2128" spans="1:11" ht="51.75" x14ac:dyDescent="0.25">
      <c r="A2128" s="83" t="s">
        <v>2290</v>
      </c>
      <c r="B2128" s="83" t="s">
        <v>3208</v>
      </c>
      <c r="C2128" s="83" t="s">
        <v>3208</v>
      </c>
      <c r="D2128" s="83" t="s">
        <v>3713</v>
      </c>
      <c r="E2128" s="83" t="s">
        <v>3761</v>
      </c>
      <c r="F2128" s="83" t="s">
        <v>3901</v>
      </c>
      <c r="G2128" s="83" t="s">
        <v>4542</v>
      </c>
      <c r="H2128" s="83">
        <v>0</v>
      </c>
      <c r="I2128" s="83" t="s">
        <v>3213</v>
      </c>
      <c r="J2128" s="83" t="s">
        <v>3214</v>
      </c>
      <c r="K2128" s="83" t="s">
        <v>3215</v>
      </c>
    </row>
    <row r="2129" spans="1:11" ht="51.75" x14ac:dyDescent="0.25">
      <c r="A2129" s="83" t="s">
        <v>2300</v>
      </c>
      <c r="B2129" s="83" t="s">
        <v>3208</v>
      </c>
      <c r="C2129" s="83" t="s">
        <v>3208</v>
      </c>
      <c r="D2129" s="83" t="s">
        <v>3713</v>
      </c>
      <c r="E2129" s="83" t="s">
        <v>3761</v>
      </c>
      <c r="F2129" s="83" t="s">
        <v>7866</v>
      </c>
      <c r="G2129" s="83" t="s">
        <v>7867</v>
      </c>
      <c r="H2129" s="83">
        <v>0</v>
      </c>
      <c r="I2129" s="83" t="s">
        <v>3229</v>
      </c>
      <c r="J2129" s="83" t="s">
        <v>3521</v>
      </c>
      <c r="K2129" s="83" t="s">
        <v>3215</v>
      </c>
    </row>
    <row r="2130" spans="1:11" ht="51.75" x14ac:dyDescent="0.25">
      <c r="A2130" s="83" t="s">
        <v>2511</v>
      </c>
      <c r="B2130" s="83" t="s">
        <v>3208</v>
      </c>
      <c r="C2130" s="83" t="s">
        <v>3208</v>
      </c>
      <c r="D2130" s="83" t="s">
        <v>3713</v>
      </c>
      <c r="E2130" s="83" t="s">
        <v>3761</v>
      </c>
      <c r="F2130" s="83" t="s">
        <v>3991</v>
      </c>
      <c r="G2130" s="83" t="s">
        <v>3525</v>
      </c>
      <c r="H2130" s="83">
        <v>0</v>
      </c>
      <c r="I2130" s="83" t="s">
        <v>3213</v>
      </c>
      <c r="J2130" s="83" t="s">
        <v>3271</v>
      </c>
      <c r="K2130" s="83" t="s">
        <v>3215</v>
      </c>
    </row>
    <row r="2131" spans="1:11" ht="64.5" x14ac:dyDescent="0.25">
      <c r="A2131" s="83" t="s">
        <v>2427</v>
      </c>
      <c r="B2131" s="83" t="s">
        <v>3208</v>
      </c>
      <c r="C2131" s="83" t="s">
        <v>3208</v>
      </c>
      <c r="D2131" s="83" t="s">
        <v>3713</v>
      </c>
      <c r="E2131" s="83" t="s">
        <v>3761</v>
      </c>
      <c r="F2131" s="83" t="s">
        <v>4011</v>
      </c>
      <c r="G2131" s="83" t="s">
        <v>5083</v>
      </c>
      <c r="H2131" s="83">
        <v>0</v>
      </c>
      <c r="I2131" s="83" t="s">
        <v>3213</v>
      </c>
      <c r="J2131" s="83" t="s">
        <v>3413</v>
      </c>
      <c r="K2131" s="83" t="s">
        <v>3215</v>
      </c>
    </row>
    <row r="2132" spans="1:11" ht="26.25" x14ac:dyDescent="0.25">
      <c r="A2132" s="83" t="s">
        <v>7868</v>
      </c>
      <c r="B2132" s="83" t="s">
        <v>3208</v>
      </c>
      <c r="C2132" s="83" t="s">
        <v>3208</v>
      </c>
      <c r="D2132" s="83" t="s">
        <v>3713</v>
      </c>
      <c r="E2132" s="83" t="s">
        <v>3714</v>
      </c>
      <c r="F2132" s="83" t="s">
        <v>7869</v>
      </c>
      <c r="G2132" s="83" t="s">
        <v>6663</v>
      </c>
      <c r="H2132" s="83">
        <v>0</v>
      </c>
      <c r="I2132" s="83" t="s">
        <v>3208</v>
      </c>
      <c r="J2132" s="83" t="s">
        <v>3208</v>
      </c>
      <c r="K2132" s="83" t="s">
        <v>3208</v>
      </c>
    </row>
    <row r="2133" spans="1:11" ht="64.5" x14ac:dyDescent="0.25">
      <c r="A2133" s="83" t="s">
        <v>1890</v>
      </c>
      <c r="B2133" s="83" t="s">
        <v>3208</v>
      </c>
      <c r="C2133" s="83" t="s">
        <v>3208</v>
      </c>
      <c r="D2133" s="83" t="s">
        <v>3713</v>
      </c>
      <c r="E2133" s="83" t="s">
        <v>3761</v>
      </c>
      <c r="F2133" s="83" t="s">
        <v>3976</v>
      </c>
      <c r="G2133" s="83" t="s">
        <v>5664</v>
      </c>
      <c r="H2133" s="83">
        <v>0</v>
      </c>
      <c r="I2133" s="83" t="s">
        <v>3213</v>
      </c>
      <c r="J2133" s="83" t="s">
        <v>3262</v>
      </c>
      <c r="K2133" s="83" t="s">
        <v>3215</v>
      </c>
    </row>
    <row r="2134" spans="1:11" ht="51.75" x14ac:dyDescent="0.25">
      <c r="A2134" s="83" t="s">
        <v>1823</v>
      </c>
      <c r="B2134" s="83" t="s">
        <v>3208</v>
      </c>
      <c r="C2134" s="83" t="s">
        <v>3208</v>
      </c>
      <c r="D2134" s="83" t="s">
        <v>3713</v>
      </c>
      <c r="E2134" s="83" t="s">
        <v>3761</v>
      </c>
      <c r="F2134" s="83" t="s">
        <v>6463</v>
      </c>
      <c r="G2134" s="83" t="s">
        <v>7169</v>
      </c>
      <c r="H2134" s="83">
        <v>0</v>
      </c>
      <c r="I2134" s="83" t="s">
        <v>3229</v>
      </c>
      <c r="J2134" s="83" t="s">
        <v>3371</v>
      </c>
      <c r="K2134" s="83" t="s">
        <v>3215</v>
      </c>
    </row>
    <row r="2135" spans="1:11" ht="26.25" x14ac:dyDescent="0.25">
      <c r="A2135" s="83" t="s">
        <v>2638</v>
      </c>
      <c r="B2135" s="83" t="s">
        <v>3208</v>
      </c>
      <c r="C2135" s="83" t="s">
        <v>3208</v>
      </c>
      <c r="D2135" s="83" t="s">
        <v>3713</v>
      </c>
      <c r="E2135" s="83" t="s">
        <v>3761</v>
      </c>
      <c r="F2135" s="83" t="s">
        <v>7870</v>
      </c>
      <c r="G2135" s="83" t="s">
        <v>5594</v>
      </c>
      <c r="H2135" s="83">
        <v>0</v>
      </c>
      <c r="I2135" s="83" t="s">
        <v>3229</v>
      </c>
      <c r="J2135" s="83" t="s">
        <v>3311</v>
      </c>
      <c r="K2135" s="83" t="s">
        <v>3215</v>
      </c>
    </row>
    <row r="2136" spans="1:11" ht="64.5" x14ac:dyDescent="0.25">
      <c r="A2136" s="83" t="s">
        <v>2652</v>
      </c>
      <c r="B2136" s="83" t="s">
        <v>3208</v>
      </c>
      <c r="C2136" s="83" t="s">
        <v>3208</v>
      </c>
      <c r="D2136" s="83" t="s">
        <v>3713</v>
      </c>
      <c r="E2136" s="83" t="s">
        <v>3761</v>
      </c>
      <c r="F2136" s="83" t="s">
        <v>7871</v>
      </c>
      <c r="G2136" s="83" t="s">
        <v>7872</v>
      </c>
      <c r="H2136" s="83">
        <v>0</v>
      </c>
      <c r="I2136" s="83" t="s">
        <v>3229</v>
      </c>
      <c r="J2136" s="83" t="s">
        <v>3380</v>
      </c>
      <c r="K2136" s="83" t="s">
        <v>3215</v>
      </c>
    </row>
    <row r="2137" spans="1:11" ht="51.75" x14ac:dyDescent="0.25">
      <c r="A2137" s="83" t="s">
        <v>2702</v>
      </c>
      <c r="B2137" s="83" t="s">
        <v>3208</v>
      </c>
      <c r="C2137" s="83" t="s">
        <v>3208</v>
      </c>
      <c r="D2137" s="83" t="s">
        <v>3713</v>
      </c>
      <c r="E2137" s="83" t="s">
        <v>3761</v>
      </c>
      <c r="F2137" s="83" t="s">
        <v>6438</v>
      </c>
      <c r="G2137" s="83" t="s">
        <v>7168</v>
      </c>
      <c r="H2137" s="83">
        <v>0</v>
      </c>
      <c r="I2137" s="83" t="s">
        <v>3229</v>
      </c>
      <c r="J2137" s="83" t="s">
        <v>3238</v>
      </c>
      <c r="K2137" s="83" t="s">
        <v>3215</v>
      </c>
    </row>
    <row r="2138" spans="1:11" ht="26.25" x14ac:dyDescent="0.25">
      <c r="A2138" s="83" t="s">
        <v>2326</v>
      </c>
      <c r="B2138" s="83" t="s">
        <v>3208</v>
      </c>
      <c r="C2138" s="83" t="s">
        <v>3208</v>
      </c>
      <c r="D2138" s="83" t="s">
        <v>3713</v>
      </c>
      <c r="E2138" s="83" t="s">
        <v>3761</v>
      </c>
      <c r="F2138" s="83" t="s">
        <v>4045</v>
      </c>
      <c r="G2138" s="83" t="s">
        <v>7873</v>
      </c>
      <c r="H2138" s="83">
        <v>0</v>
      </c>
      <c r="I2138" s="83" t="s">
        <v>3213</v>
      </c>
      <c r="J2138" s="83" t="s">
        <v>3948</v>
      </c>
      <c r="K2138" s="83" t="s">
        <v>3215</v>
      </c>
    </row>
    <row r="2139" spans="1:11" ht="51.75" x14ac:dyDescent="0.25">
      <c r="A2139" s="83" t="s">
        <v>2370</v>
      </c>
      <c r="B2139" s="83" t="s">
        <v>3208</v>
      </c>
      <c r="C2139" s="83" t="s">
        <v>3208</v>
      </c>
      <c r="D2139" s="83" t="s">
        <v>3713</v>
      </c>
      <c r="E2139" s="83" t="s">
        <v>3761</v>
      </c>
      <c r="F2139" s="83" t="s">
        <v>4013</v>
      </c>
      <c r="G2139" s="83" t="s">
        <v>3417</v>
      </c>
      <c r="H2139" s="83">
        <v>0</v>
      </c>
      <c r="I2139" s="83" t="s">
        <v>3213</v>
      </c>
      <c r="J2139" s="83" t="s">
        <v>3538</v>
      </c>
      <c r="K2139" s="83" t="s">
        <v>3215</v>
      </c>
    </row>
    <row r="2140" spans="1:11" ht="26.25" x14ac:dyDescent="0.25">
      <c r="A2140" s="83" t="s">
        <v>1462</v>
      </c>
      <c r="B2140" s="83" t="s">
        <v>7874</v>
      </c>
      <c r="C2140" s="83" t="s">
        <v>7875</v>
      </c>
      <c r="D2140" s="83" t="s">
        <v>3209</v>
      </c>
      <c r="E2140" s="83" t="s">
        <v>3246</v>
      </c>
      <c r="F2140" s="83" t="s">
        <v>7876</v>
      </c>
      <c r="G2140" s="83" t="s">
        <v>4020</v>
      </c>
      <c r="H2140" s="83">
        <v>140.4</v>
      </c>
      <c r="I2140" s="83" t="s">
        <v>3213</v>
      </c>
      <c r="J2140" s="83" t="s">
        <v>3896</v>
      </c>
      <c r="K2140" s="83" t="s">
        <v>3215</v>
      </c>
    </row>
    <row r="2141" spans="1:11" ht="51.75" x14ac:dyDescent="0.25">
      <c r="A2141" s="83" t="s">
        <v>2611</v>
      </c>
      <c r="B2141" s="83" t="s">
        <v>3208</v>
      </c>
      <c r="C2141" s="83" t="s">
        <v>3208</v>
      </c>
      <c r="D2141" s="83" t="s">
        <v>3713</v>
      </c>
      <c r="E2141" s="83" t="s">
        <v>3761</v>
      </c>
      <c r="F2141" s="83" t="s">
        <v>6469</v>
      </c>
      <c r="G2141" s="83" t="s">
        <v>4556</v>
      </c>
      <c r="H2141" s="83">
        <v>0</v>
      </c>
      <c r="I2141" s="83" t="s">
        <v>3213</v>
      </c>
      <c r="J2141" s="83" t="s">
        <v>3257</v>
      </c>
      <c r="K2141" s="83" t="s">
        <v>3215</v>
      </c>
    </row>
    <row r="2142" spans="1:11" ht="64.5" x14ac:dyDescent="0.25">
      <c r="A2142" s="83" t="s">
        <v>2435</v>
      </c>
      <c r="B2142" s="83" t="s">
        <v>3208</v>
      </c>
      <c r="C2142" s="83" t="s">
        <v>3208</v>
      </c>
      <c r="D2142" s="83" t="s">
        <v>3713</v>
      </c>
      <c r="E2142" s="83" t="s">
        <v>3761</v>
      </c>
      <c r="F2142" s="83" t="s">
        <v>4013</v>
      </c>
      <c r="G2142" s="83" t="s">
        <v>4879</v>
      </c>
      <c r="H2142" s="83">
        <v>0</v>
      </c>
      <c r="I2142" s="83" t="s">
        <v>3213</v>
      </c>
      <c r="J2142" s="83" t="s">
        <v>3601</v>
      </c>
      <c r="K2142" s="83" t="s">
        <v>3215</v>
      </c>
    </row>
    <row r="2143" spans="1:11" ht="51.75" x14ac:dyDescent="0.25">
      <c r="A2143" s="83" t="s">
        <v>135</v>
      </c>
      <c r="B2143" s="83" t="s">
        <v>3208</v>
      </c>
      <c r="C2143" s="83" t="s">
        <v>3208</v>
      </c>
      <c r="D2143" s="83" t="s">
        <v>3713</v>
      </c>
      <c r="E2143" s="83" t="s">
        <v>3761</v>
      </c>
      <c r="F2143" s="83" t="s">
        <v>3950</v>
      </c>
      <c r="G2143" s="83" t="s">
        <v>3649</v>
      </c>
      <c r="H2143" s="83">
        <v>0</v>
      </c>
      <c r="I2143" s="83" t="s">
        <v>3213</v>
      </c>
      <c r="J2143" s="83" t="s">
        <v>3271</v>
      </c>
      <c r="K2143" s="83" t="s">
        <v>3215</v>
      </c>
    </row>
    <row r="2144" spans="1:11" ht="64.5" x14ac:dyDescent="0.25">
      <c r="A2144" s="83" t="s">
        <v>2658</v>
      </c>
      <c r="B2144" s="83" t="s">
        <v>3208</v>
      </c>
      <c r="C2144" s="83" t="s">
        <v>3208</v>
      </c>
      <c r="D2144" s="83" t="s">
        <v>3713</v>
      </c>
      <c r="E2144" s="83" t="s">
        <v>3761</v>
      </c>
      <c r="F2144" s="83" t="s">
        <v>4895</v>
      </c>
      <c r="G2144" s="83" t="s">
        <v>4885</v>
      </c>
      <c r="H2144" s="83">
        <v>0</v>
      </c>
      <c r="I2144" s="83" t="s">
        <v>3229</v>
      </c>
      <c r="J2144" s="83" t="s">
        <v>3601</v>
      </c>
      <c r="K2144" s="83" t="s">
        <v>3215</v>
      </c>
    </row>
    <row r="2145" spans="1:11" ht="77.25" x14ac:dyDescent="0.25">
      <c r="A2145" s="83" t="s">
        <v>82</v>
      </c>
      <c r="B2145" s="83" t="s">
        <v>3208</v>
      </c>
      <c r="C2145" s="83" t="s">
        <v>3208</v>
      </c>
      <c r="D2145" s="83" t="s">
        <v>3713</v>
      </c>
      <c r="E2145" s="83" t="s">
        <v>3761</v>
      </c>
      <c r="F2145" s="83" t="s">
        <v>3886</v>
      </c>
      <c r="G2145" s="83" t="s">
        <v>4088</v>
      </c>
      <c r="H2145" s="83">
        <v>0</v>
      </c>
      <c r="I2145" s="83" t="s">
        <v>3213</v>
      </c>
      <c r="J2145" s="83" t="s">
        <v>3621</v>
      </c>
      <c r="K2145" s="83" t="s">
        <v>3215</v>
      </c>
    </row>
    <row r="2146" spans="1:11" ht="51.75" x14ac:dyDescent="0.25">
      <c r="A2146" s="83" t="s">
        <v>2500</v>
      </c>
      <c r="B2146" s="83" t="s">
        <v>3208</v>
      </c>
      <c r="C2146" s="83" t="s">
        <v>3208</v>
      </c>
      <c r="D2146" s="83" t="s">
        <v>3713</v>
      </c>
      <c r="E2146" s="83" t="s">
        <v>3761</v>
      </c>
      <c r="F2146" s="83" t="s">
        <v>4903</v>
      </c>
      <c r="G2146" s="83" t="s">
        <v>3838</v>
      </c>
      <c r="H2146" s="83">
        <v>0</v>
      </c>
      <c r="I2146" s="83" t="s">
        <v>3213</v>
      </c>
      <c r="J2146" s="83" t="s">
        <v>3214</v>
      </c>
      <c r="K2146" s="83" t="s">
        <v>3215</v>
      </c>
    </row>
    <row r="2147" spans="1:11" ht="26.25" x14ac:dyDescent="0.25">
      <c r="A2147" s="83" t="s">
        <v>7877</v>
      </c>
      <c r="B2147" s="83" t="s">
        <v>3208</v>
      </c>
      <c r="C2147" s="83" t="s">
        <v>3208</v>
      </c>
      <c r="D2147" s="83" t="s">
        <v>3713</v>
      </c>
      <c r="E2147" s="83" t="s">
        <v>3714</v>
      </c>
      <c r="F2147" s="83" t="s">
        <v>5652</v>
      </c>
      <c r="G2147" s="83" t="s">
        <v>5653</v>
      </c>
      <c r="H2147" s="83">
        <v>0</v>
      </c>
      <c r="I2147" s="83" t="s">
        <v>3208</v>
      </c>
      <c r="J2147" s="83" t="s">
        <v>3208</v>
      </c>
      <c r="K2147" s="83" t="s">
        <v>3208</v>
      </c>
    </row>
    <row r="2148" spans="1:11" ht="51.75" x14ac:dyDescent="0.25">
      <c r="A2148" s="83" t="s">
        <v>2653</v>
      </c>
      <c r="B2148" s="83" t="s">
        <v>3208</v>
      </c>
      <c r="C2148" s="83" t="s">
        <v>3208</v>
      </c>
      <c r="D2148" s="83" t="s">
        <v>3713</v>
      </c>
      <c r="E2148" s="83" t="s">
        <v>3761</v>
      </c>
      <c r="F2148" s="83" t="s">
        <v>7878</v>
      </c>
      <c r="G2148" s="83" t="s">
        <v>4851</v>
      </c>
      <c r="H2148" s="83">
        <v>0</v>
      </c>
      <c r="I2148" s="83" t="s">
        <v>3213</v>
      </c>
      <c r="J2148" s="83" t="s">
        <v>3214</v>
      </c>
      <c r="K2148" s="83" t="s">
        <v>3215</v>
      </c>
    </row>
    <row r="2149" spans="1:11" ht="26.25" x14ac:dyDescent="0.25">
      <c r="A2149" s="83" t="s">
        <v>2324</v>
      </c>
      <c r="B2149" s="83" t="s">
        <v>3208</v>
      </c>
      <c r="C2149" s="83" t="s">
        <v>3208</v>
      </c>
      <c r="D2149" s="83" t="s">
        <v>3713</v>
      </c>
      <c r="E2149" s="83" t="s">
        <v>3761</v>
      </c>
      <c r="F2149" s="83" t="s">
        <v>4045</v>
      </c>
      <c r="G2149" s="83" t="s">
        <v>4804</v>
      </c>
      <c r="H2149" s="83">
        <v>0</v>
      </c>
      <c r="I2149" s="83" t="s">
        <v>3213</v>
      </c>
      <c r="J2149" s="83" t="s">
        <v>3948</v>
      </c>
      <c r="K2149" s="83" t="s">
        <v>3215</v>
      </c>
    </row>
    <row r="2150" spans="1:11" ht="26.25" x14ac:dyDescent="0.25">
      <c r="A2150" s="83" t="s">
        <v>7879</v>
      </c>
      <c r="B2150" s="83" t="s">
        <v>3208</v>
      </c>
      <c r="C2150" s="83" t="s">
        <v>3208</v>
      </c>
      <c r="D2150" s="83" t="s">
        <v>3718</v>
      </c>
      <c r="E2150" s="83" t="s">
        <v>4248</v>
      </c>
      <c r="F2150" s="83" t="s">
        <v>7880</v>
      </c>
      <c r="G2150" s="83" t="s">
        <v>7881</v>
      </c>
      <c r="H2150" s="83">
        <v>5</v>
      </c>
      <c r="I2150" s="83" t="s">
        <v>3208</v>
      </c>
      <c r="J2150" s="83" t="s">
        <v>3208</v>
      </c>
      <c r="K2150" s="83" t="s">
        <v>3208</v>
      </c>
    </row>
    <row r="2151" spans="1:11" ht="51.75" x14ac:dyDescent="0.25">
      <c r="A2151" s="83" t="s">
        <v>2695</v>
      </c>
      <c r="B2151" s="83" t="s">
        <v>3208</v>
      </c>
      <c r="C2151" s="83" t="s">
        <v>3208</v>
      </c>
      <c r="D2151" s="83" t="s">
        <v>3713</v>
      </c>
      <c r="E2151" s="83" t="s">
        <v>3761</v>
      </c>
      <c r="F2151" s="83" t="s">
        <v>4947</v>
      </c>
      <c r="G2151" s="83" t="s">
        <v>3366</v>
      </c>
      <c r="H2151" s="83">
        <v>0</v>
      </c>
      <c r="I2151" s="83" t="s">
        <v>3213</v>
      </c>
      <c r="J2151" s="83" t="s">
        <v>3214</v>
      </c>
      <c r="K2151" s="83" t="s">
        <v>3215</v>
      </c>
    </row>
    <row r="2152" spans="1:11" x14ac:dyDescent="0.25">
      <c r="A2152" s="83" t="s">
        <v>7882</v>
      </c>
      <c r="B2152" s="83" t="s">
        <v>3208</v>
      </c>
      <c r="C2152" s="83" t="s">
        <v>3208</v>
      </c>
      <c r="D2152" s="83" t="s">
        <v>3209</v>
      </c>
      <c r="E2152" s="83" t="s">
        <v>3663</v>
      </c>
      <c r="F2152" s="83" t="s">
        <v>4960</v>
      </c>
      <c r="G2152" s="83" t="s">
        <v>7883</v>
      </c>
      <c r="H2152" s="83">
        <v>315</v>
      </c>
      <c r="I2152" s="83" t="s">
        <v>3208</v>
      </c>
      <c r="J2152" s="83" t="s">
        <v>3208</v>
      </c>
      <c r="K2152" s="83" t="s">
        <v>3208</v>
      </c>
    </row>
    <row r="2153" spans="1:11" ht="51.75" x14ac:dyDescent="0.25">
      <c r="A2153" s="83" t="s">
        <v>2673</v>
      </c>
      <c r="B2153" s="83" t="s">
        <v>3208</v>
      </c>
      <c r="C2153" s="83" t="s">
        <v>3208</v>
      </c>
      <c r="D2153" s="83" t="s">
        <v>3713</v>
      </c>
      <c r="E2153" s="83" t="s">
        <v>3761</v>
      </c>
      <c r="F2153" s="83" t="s">
        <v>7884</v>
      </c>
      <c r="G2153" s="83" t="s">
        <v>7885</v>
      </c>
      <c r="H2153" s="83">
        <v>0</v>
      </c>
      <c r="I2153" s="83" t="s">
        <v>3213</v>
      </c>
      <c r="J2153" s="83" t="s">
        <v>3538</v>
      </c>
      <c r="K2153" s="83" t="s">
        <v>3215</v>
      </c>
    </row>
    <row r="2154" spans="1:11" ht="39" x14ac:dyDescent="0.25">
      <c r="A2154" s="83" t="s">
        <v>714</v>
      </c>
      <c r="B2154" s="83" t="s">
        <v>7886</v>
      </c>
      <c r="C2154" s="83" t="s">
        <v>3208</v>
      </c>
      <c r="D2154" s="83" t="s">
        <v>3209</v>
      </c>
      <c r="E2154" s="83" t="s">
        <v>3226</v>
      </c>
      <c r="F2154" s="83" t="s">
        <v>4103</v>
      </c>
      <c r="G2154" s="83" t="s">
        <v>3797</v>
      </c>
      <c r="H2154" s="83">
        <v>23</v>
      </c>
      <c r="I2154" s="83" t="s">
        <v>3229</v>
      </c>
      <c r="J2154" s="83" t="s">
        <v>3241</v>
      </c>
      <c r="K2154" s="83" t="s">
        <v>3215</v>
      </c>
    </row>
    <row r="2155" spans="1:11" ht="51.75" x14ac:dyDescent="0.25">
      <c r="A2155" s="83" t="s">
        <v>463</v>
      </c>
      <c r="B2155" s="83" t="s">
        <v>3208</v>
      </c>
      <c r="C2155" s="83" t="s">
        <v>7887</v>
      </c>
      <c r="D2155" s="83" t="s">
        <v>3741</v>
      </c>
      <c r="E2155" s="83" t="s">
        <v>3727</v>
      </c>
      <c r="F2155" s="83" t="s">
        <v>4915</v>
      </c>
      <c r="G2155" s="83" t="s">
        <v>4916</v>
      </c>
      <c r="H2155" s="83">
        <v>0.5</v>
      </c>
      <c r="I2155" s="83" t="s">
        <v>3229</v>
      </c>
      <c r="J2155" s="83" t="s">
        <v>3289</v>
      </c>
      <c r="K2155" s="83" t="s">
        <v>3215</v>
      </c>
    </row>
    <row r="2156" spans="1:11" ht="26.25" x14ac:dyDescent="0.25">
      <c r="A2156" s="83" t="s">
        <v>7888</v>
      </c>
      <c r="B2156" s="83" t="s">
        <v>3208</v>
      </c>
      <c r="C2156" s="83" t="s">
        <v>3208</v>
      </c>
      <c r="D2156" s="83" t="s">
        <v>3713</v>
      </c>
      <c r="E2156" s="83" t="s">
        <v>3714</v>
      </c>
      <c r="F2156" s="83" t="s">
        <v>7889</v>
      </c>
      <c r="G2156" s="83" t="s">
        <v>3891</v>
      </c>
      <c r="H2156" s="83">
        <v>0</v>
      </c>
      <c r="I2156" s="83" t="s">
        <v>3208</v>
      </c>
      <c r="J2156" s="83" t="s">
        <v>3208</v>
      </c>
      <c r="K2156" s="83" t="s">
        <v>3208</v>
      </c>
    </row>
    <row r="2157" spans="1:11" ht="26.25" x14ac:dyDescent="0.25">
      <c r="A2157" s="83" t="s">
        <v>1869</v>
      </c>
      <c r="B2157" s="83" t="s">
        <v>3208</v>
      </c>
      <c r="C2157" s="83" t="s">
        <v>3208</v>
      </c>
      <c r="D2157" s="83" t="s">
        <v>3713</v>
      </c>
      <c r="E2157" s="83" t="s">
        <v>3761</v>
      </c>
      <c r="F2157" s="83" t="s">
        <v>7890</v>
      </c>
      <c r="G2157" s="83" t="s">
        <v>5022</v>
      </c>
      <c r="H2157" s="83">
        <v>0</v>
      </c>
      <c r="I2157" s="83" t="s">
        <v>3213</v>
      </c>
      <c r="J2157" s="83" t="s">
        <v>4176</v>
      </c>
      <c r="K2157" s="83" t="s">
        <v>3215</v>
      </c>
    </row>
    <row r="2158" spans="1:11" ht="39" x14ac:dyDescent="0.25">
      <c r="A2158" s="83" t="s">
        <v>2710</v>
      </c>
      <c r="B2158" s="83" t="s">
        <v>3208</v>
      </c>
      <c r="C2158" s="83" t="s">
        <v>3208</v>
      </c>
      <c r="D2158" s="83" t="s">
        <v>3713</v>
      </c>
      <c r="E2158" s="83" t="s">
        <v>3761</v>
      </c>
      <c r="F2158" s="83" t="s">
        <v>6482</v>
      </c>
      <c r="G2158" s="83" t="s">
        <v>6483</v>
      </c>
      <c r="H2158" s="83">
        <v>0</v>
      </c>
      <c r="I2158" s="83" t="s">
        <v>3229</v>
      </c>
      <c r="J2158" s="83" t="s">
        <v>3241</v>
      </c>
      <c r="K2158" s="83" t="s">
        <v>3215</v>
      </c>
    </row>
    <row r="2159" spans="1:11" ht="26.25" x14ac:dyDescent="0.25">
      <c r="A2159" s="83" t="s">
        <v>7891</v>
      </c>
      <c r="B2159" s="83" t="s">
        <v>3208</v>
      </c>
      <c r="C2159" s="83" t="s">
        <v>3208</v>
      </c>
      <c r="D2159" s="83" t="s">
        <v>3713</v>
      </c>
      <c r="E2159" s="83" t="s">
        <v>3714</v>
      </c>
      <c r="F2159" s="83" t="s">
        <v>7892</v>
      </c>
      <c r="G2159" s="83" t="s">
        <v>7447</v>
      </c>
      <c r="H2159" s="83">
        <v>0</v>
      </c>
      <c r="I2159" s="83" t="s">
        <v>3208</v>
      </c>
      <c r="J2159" s="83" t="s">
        <v>3208</v>
      </c>
      <c r="K2159" s="83" t="s">
        <v>3208</v>
      </c>
    </row>
    <row r="2160" spans="1:11" ht="51.75" x14ac:dyDescent="0.25">
      <c r="A2160" s="83" t="s">
        <v>421</v>
      </c>
      <c r="B2160" s="83" t="s">
        <v>3208</v>
      </c>
      <c r="C2160" s="83" t="s">
        <v>7893</v>
      </c>
      <c r="D2160" s="83" t="s">
        <v>3718</v>
      </c>
      <c r="E2160" s="83" t="s">
        <v>3727</v>
      </c>
      <c r="F2160" s="83" t="s">
        <v>7894</v>
      </c>
      <c r="G2160" s="83" t="s">
        <v>7895</v>
      </c>
      <c r="H2160" s="83">
        <v>5</v>
      </c>
      <c r="I2160" s="83" t="s">
        <v>3229</v>
      </c>
      <c r="J2160" s="83" t="s">
        <v>3337</v>
      </c>
      <c r="K2160" s="83" t="s">
        <v>3215</v>
      </c>
    </row>
    <row r="2161" spans="1:11" ht="77.25" x14ac:dyDescent="0.25">
      <c r="A2161" s="83" t="s">
        <v>1933</v>
      </c>
      <c r="B2161" s="83" t="s">
        <v>3208</v>
      </c>
      <c r="C2161" s="83" t="s">
        <v>3208</v>
      </c>
      <c r="D2161" s="83" t="s">
        <v>3713</v>
      </c>
      <c r="E2161" s="83" t="s">
        <v>3761</v>
      </c>
      <c r="F2161" s="83" t="s">
        <v>4922</v>
      </c>
      <c r="G2161" s="83" t="s">
        <v>6051</v>
      </c>
      <c r="H2161" s="83">
        <v>0</v>
      </c>
      <c r="I2161" s="83" t="s">
        <v>3213</v>
      </c>
      <c r="J2161" s="83" t="s">
        <v>3621</v>
      </c>
      <c r="K2161" s="83" t="s">
        <v>3215</v>
      </c>
    </row>
    <row r="2162" spans="1:11" ht="26.25" x14ac:dyDescent="0.25">
      <c r="A2162" s="83" t="s">
        <v>7896</v>
      </c>
      <c r="B2162" s="83" t="s">
        <v>3208</v>
      </c>
      <c r="C2162" s="83" t="s">
        <v>3208</v>
      </c>
      <c r="D2162" s="83" t="s">
        <v>3713</v>
      </c>
      <c r="E2162" s="83" t="s">
        <v>3714</v>
      </c>
      <c r="F2162" s="83" t="s">
        <v>7897</v>
      </c>
      <c r="G2162" s="83" t="s">
        <v>7898</v>
      </c>
      <c r="H2162" s="83">
        <v>0</v>
      </c>
      <c r="I2162" s="83" t="s">
        <v>3208</v>
      </c>
      <c r="J2162" s="83" t="s">
        <v>3208</v>
      </c>
      <c r="K2162" s="83" t="s">
        <v>3208</v>
      </c>
    </row>
    <row r="2163" spans="1:11" ht="39" x14ac:dyDescent="0.25">
      <c r="A2163" s="83" t="s">
        <v>462</v>
      </c>
      <c r="B2163" s="83" t="s">
        <v>3208</v>
      </c>
      <c r="C2163" s="83" t="s">
        <v>7899</v>
      </c>
      <c r="D2163" s="83" t="s">
        <v>3741</v>
      </c>
      <c r="E2163" s="83" t="s">
        <v>3727</v>
      </c>
      <c r="F2163" s="83" t="s">
        <v>4915</v>
      </c>
      <c r="G2163" s="83" t="s">
        <v>4916</v>
      </c>
      <c r="H2163" s="83">
        <v>1.5</v>
      </c>
      <c r="I2163" s="83" t="s">
        <v>3229</v>
      </c>
      <c r="J2163" s="83" t="s">
        <v>2706</v>
      </c>
      <c r="K2163" s="83" t="s">
        <v>3215</v>
      </c>
    </row>
    <row r="2164" spans="1:11" ht="26.25" x14ac:dyDescent="0.25">
      <c r="A2164" s="83" t="s">
        <v>472</v>
      </c>
      <c r="B2164" s="83" t="s">
        <v>3208</v>
      </c>
      <c r="C2164" s="83" t="s">
        <v>7900</v>
      </c>
      <c r="D2164" s="83" t="s">
        <v>3718</v>
      </c>
      <c r="E2164" s="83" t="s">
        <v>3727</v>
      </c>
      <c r="F2164" s="83" t="s">
        <v>4194</v>
      </c>
      <c r="G2164" s="83" t="s">
        <v>4195</v>
      </c>
      <c r="H2164" s="83">
        <v>5.43</v>
      </c>
      <c r="I2164" s="83" t="s">
        <v>3213</v>
      </c>
      <c r="J2164" s="83" t="s">
        <v>3948</v>
      </c>
      <c r="K2164" s="83" t="s">
        <v>3215</v>
      </c>
    </row>
    <row r="2165" spans="1:11" ht="51.75" x14ac:dyDescent="0.25">
      <c r="A2165" s="83" t="s">
        <v>115</v>
      </c>
      <c r="B2165" s="83" t="s">
        <v>3208</v>
      </c>
      <c r="C2165" s="83" t="s">
        <v>3208</v>
      </c>
      <c r="D2165" s="83" t="s">
        <v>3713</v>
      </c>
      <c r="E2165" s="83" t="s">
        <v>3761</v>
      </c>
      <c r="F2165" s="83" t="s">
        <v>4967</v>
      </c>
      <c r="G2165" s="83" t="s">
        <v>4968</v>
      </c>
      <c r="H2165" s="83">
        <v>0</v>
      </c>
      <c r="I2165" s="83" t="s">
        <v>3229</v>
      </c>
      <c r="J2165" s="83" t="s">
        <v>3371</v>
      </c>
      <c r="K2165" s="83" t="s">
        <v>3215</v>
      </c>
    </row>
    <row r="2166" spans="1:11" ht="26.25" x14ac:dyDescent="0.25">
      <c r="A2166" s="83" t="s">
        <v>1581</v>
      </c>
      <c r="B2166" s="83" t="s">
        <v>7901</v>
      </c>
      <c r="C2166" s="83" t="s">
        <v>7902</v>
      </c>
      <c r="D2166" s="83" t="s">
        <v>3209</v>
      </c>
      <c r="E2166" s="83" t="s">
        <v>3246</v>
      </c>
      <c r="F2166" s="83" t="s">
        <v>7903</v>
      </c>
      <c r="G2166" s="83" t="s">
        <v>3791</v>
      </c>
      <c r="H2166" s="83">
        <v>48</v>
      </c>
      <c r="I2166" s="83" t="s">
        <v>3229</v>
      </c>
      <c r="J2166" s="83" t="s">
        <v>3311</v>
      </c>
      <c r="K2166" s="83" t="s">
        <v>3215</v>
      </c>
    </row>
    <row r="2167" spans="1:11" ht="26.25" x14ac:dyDescent="0.25">
      <c r="A2167" s="83" t="s">
        <v>2403</v>
      </c>
      <c r="B2167" s="83" t="s">
        <v>3208</v>
      </c>
      <c r="C2167" s="83" t="s">
        <v>3208</v>
      </c>
      <c r="D2167" s="83" t="s">
        <v>3713</v>
      </c>
      <c r="E2167" s="83" t="s">
        <v>3761</v>
      </c>
      <c r="F2167" s="83" t="s">
        <v>4096</v>
      </c>
      <c r="G2167" s="83" t="s">
        <v>7904</v>
      </c>
      <c r="H2167" s="83">
        <v>0</v>
      </c>
      <c r="I2167" s="83" t="s">
        <v>3229</v>
      </c>
      <c r="J2167" s="83" t="s">
        <v>3222</v>
      </c>
      <c r="K2167" s="83" t="s">
        <v>3215</v>
      </c>
    </row>
    <row r="2168" spans="1:11" ht="26.25" x14ac:dyDescent="0.25">
      <c r="A2168" s="83" t="s">
        <v>7905</v>
      </c>
      <c r="B2168" s="83" t="s">
        <v>3208</v>
      </c>
      <c r="C2168" s="83" t="s">
        <v>3208</v>
      </c>
      <c r="D2168" s="83" t="s">
        <v>3713</v>
      </c>
      <c r="E2168" s="83" t="s">
        <v>3714</v>
      </c>
      <c r="F2168" s="83" t="s">
        <v>7906</v>
      </c>
      <c r="G2168" s="83" t="s">
        <v>7907</v>
      </c>
      <c r="H2168" s="83">
        <v>0</v>
      </c>
      <c r="I2168" s="83" t="s">
        <v>3208</v>
      </c>
      <c r="J2168" s="83" t="s">
        <v>3208</v>
      </c>
      <c r="K2168" s="83" t="s">
        <v>3208</v>
      </c>
    </row>
    <row r="2169" spans="1:11" ht="51.75" x14ac:dyDescent="0.25">
      <c r="A2169" s="83" t="s">
        <v>2735</v>
      </c>
      <c r="B2169" s="83" t="s">
        <v>3208</v>
      </c>
      <c r="C2169" s="83" t="s">
        <v>3208</v>
      </c>
      <c r="D2169" s="83" t="s">
        <v>3713</v>
      </c>
      <c r="E2169" s="83" t="s">
        <v>3761</v>
      </c>
      <c r="F2169" s="83" t="s">
        <v>4129</v>
      </c>
      <c r="G2169" s="83" t="s">
        <v>3248</v>
      </c>
      <c r="H2169" s="83">
        <v>0</v>
      </c>
      <c r="I2169" s="83" t="s">
        <v>3229</v>
      </c>
      <c r="J2169" s="83" t="s">
        <v>3230</v>
      </c>
      <c r="K2169" s="83" t="s">
        <v>3215</v>
      </c>
    </row>
    <row r="2170" spans="1:11" ht="26.25" x14ac:dyDescent="0.25">
      <c r="A2170" s="83" t="s">
        <v>7908</v>
      </c>
      <c r="B2170" s="83" t="s">
        <v>3208</v>
      </c>
      <c r="C2170" s="83" t="s">
        <v>3208</v>
      </c>
      <c r="D2170" s="83" t="s">
        <v>3713</v>
      </c>
      <c r="E2170" s="83" t="s">
        <v>3714</v>
      </c>
      <c r="F2170" s="83" t="s">
        <v>6508</v>
      </c>
      <c r="G2170" s="83" t="s">
        <v>5632</v>
      </c>
      <c r="H2170" s="83">
        <v>0</v>
      </c>
      <c r="I2170" s="83" t="s">
        <v>3208</v>
      </c>
      <c r="J2170" s="83" t="s">
        <v>3208</v>
      </c>
      <c r="K2170" s="83" t="s">
        <v>3208</v>
      </c>
    </row>
    <row r="2171" spans="1:11" ht="39" x14ac:dyDescent="0.25">
      <c r="A2171" s="83" t="s">
        <v>2761</v>
      </c>
      <c r="B2171" s="83" t="s">
        <v>3208</v>
      </c>
      <c r="C2171" s="83" t="s">
        <v>3208</v>
      </c>
      <c r="D2171" s="83" t="s">
        <v>3713</v>
      </c>
      <c r="E2171" s="83" t="s">
        <v>3761</v>
      </c>
      <c r="F2171" s="83" t="s">
        <v>4121</v>
      </c>
      <c r="G2171" s="83" t="s">
        <v>7909</v>
      </c>
      <c r="H2171" s="83">
        <v>0</v>
      </c>
      <c r="I2171" s="83" t="s">
        <v>3229</v>
      </c>
      <c r="J2171" s="83" t="s">
        <v>356</v>
      </c>
      <c r="K2171" s="83" t="s">
        <v>3215</v>
      </c>
    </row>
    <row r="2172" spans="1:11" ht="51.75" x14ac:dyDescent="0.25">
      <c r="A2172" s="83" t="s">
        <v>1113</v>
      </c>
      <c r="B2172" s="83" t="s">
        <v>7910</v>
      </c>
      <c r="C2172" s="83" t="s">
        <v>7911</v>
      </c>
      <c r="D2172" s="83" t="s">
        <v>3209</v>
      </c>
      <c r="E2172" s="83" t="s">
        <v>3246</v>
      </c>
      <c r="F2172" s="83" t="s">
        <v>7912</v>
      </c>
      <c r="G2172" s="83" t="s">
        <v>7913</v>
      </c>
      <c r="H2172" s="83">
        <v>3</v>
      </c>
      <c r="I2172" s="83" t="s">
        <v>3229</v>
      </c>
      <c r="J2172" s="83" t="s">
        <v>3371</v>
      </c>
      <c r="K2172" s="83" t="s">
        <v>3215</v>
      </c>
    </row>
    <row r="2173" spans="1:11" ht="51.75" x14ac:dyDescent="0.25">
      <c r="A2173" s="83" t="s">
        <v>474</v>
      </c>
      <c r="B2173" s="83" t="s">
        <v>7914</v>
      </c>
      <c r="C2173" s="83" t="s">
        <v>3208</v>
      </c>
      <c r="D2173" s="83" t="s">
        <v>3209</v>
      </c>
      <c r="E2173" s="83" t="s">
        <v>3226</v>
      </c>
      <c r="F2173" s="83" t="s">
        <v>7915</v>
      </c>
      <c r="G2173" s="83" t="s">
        <v>3417</v>
      </c>
      <c r="H2173" s="83">
        <v>67.900000000000006</v>
      </c>
      <c r="I2173" s="83" t="s">
        <v>3213</v>
      </c>
      <c r="J2173" s="83" t="s">
        <v>3214</v>
      </c>
      <c r="K2173" s="83" t="s">
        <v>3215</v>
      </c>
    </row>
    <row r="2174" spans="1:11" ht="39" x14ac:dyDescent="0.25">
      <c r="A2174" s="83" t="s">
        <v>2743</v>
      </c>
      <c r="B2174" s="83" t="s">
        <v>3208</v>
      </c>
      <c r="C2174" s="83" t="s">
        <v>3208</v>
      </c>
      <c r="D2174" s="83" t="s">
        <v>3713</v>
      </c>
      <c r="E2174" s="83" t="s">
        <v>3761</v>
      </c>
      <c r="F2174" s="83" t="s">
        <v>4123</v>
      </c>
      <c r="G2174" s="83" t="s">
        <v>3795</v>
      </c>
      <c r="H2174" s="83">
        <v>0</v>
      </c>
      <c r="I2174" s="83" t="s">
        <v>3229</v>
      </c>
      <c r="J2174" s="83" t="s">
        <v>3241</v>
      </c>
      <c r="K2174" s="83" t="s">
        <v>3215</v>
      </c>
    </row>
    <row r="2175" spans="1:11" ht="51.75" x14ac:dyDescent="0.25">
      <c r="A2175" s="83" t="s">
        <v>1991</v>
      </c>
      <c r="B2175" s="83" t="s">
        <v>3208</v>
      </c>
      <c r="C2175" s="83" t="s">
        <v>3208</v>
      </c>
      <c r="D2175" s="83" t="s">
        <v>3713</v>
      </c>
      <c r="E2175" s="83" t="s">
        <v>3761</v>
      </c>
      <c r="F2175" s="83" t="s">
        <v>5735</v>
      </c>
      <c r="G2175" s="83" t="s">
        <v>7916</v>
      </c>
      <c r="H2175" s="83">
        <v>0</v>
      </c>
      <c r="I2175" s="83" t="s">
        <v>3229</v>
      </c>
      <c r="J2175" s="83" t="s">
        <v>3238</v>
      </c>
      <c r="K2175" s="83" t="s">
        <v>3215</v>
      </c>
    </row>
    <row r="2176" spans="1:11" ht="39" x14ac:dyDescent="0.25">
      <c r="A2176" s="83" t="s">
        <v>758</v>
      </c>
      <c r="B2176" s="83" t="s">
        <v>7917</v>
      </c>
      <c r="C2176" s="83" t="s">
        <v>3208</v>
      </c>
      <c r="D2176" s="83" t="s">
        <v>3209</v>
      </c>
      <c r="E2176" s="83" t="s">
        <v>3226</v>
      </c>
      <c r="F2176" s="83" t="s">
        <v>7918</v>
      </c>
      <c r="G2176" s="83" t="s">
        <v>7919</v>
      </c>
      <c r="H2176" s="83">
        <v>27.6</v>
      </c>
      <c r="I2176" s="83" t="s">
        <v>3229</v>
      </c>
      <c r="J2176" s="83" t="s">
        <v>3241</v>
      </c>
      <c r="K2176" s="83" t="s">
        <v>3215</v>
      </c>
    </row>
    <row r="2177" spans="1:11" ht="39" x14ac:dyDescent="0.25">
      <c r="A2177" s="83" t="s">
        <v>2742</v>
      </c>
      <c r="B2177" s="83" t="s">
        <v>3208</v>
      </c>
      <c r="C2177" s="83" t="s">
        <v>3208</v>
      </c>
      <c r="D2177" s="83" t="s">
        <v>3713</v>
      </c>
      <c r="E2177" s="83" t="s">
        <v>3761</v>
      </c>
      <c r="F2177" s="83" t="s">
        <v>4123</v>
      </c>
      <c r="G2177" s="83" t="s">
        <v>3795</v>
      </c>
      <c r="H2177" s="83">
        <v>0</v>
      </c>
      <c r="I2177" s="83" t="s">
        <v>3229</v>
      </c>
      <c r="J2177" s="83" t="s">
        <v>3241</v>
      </c>
      <c r="K2177" s="83" t="s">
        <v>3215</v>
      </c>
    </row>
    <row r="2178" spans="1:11" ht="39" x14ac:dyDescent="0.25">
      <c r="A2178" s="83" t="s">
        <v>399</v>
      </c>
      <c r="B2178" s="83" t="s">
        <v>3208</v>
      </c>
      <c r="C2178" s="83" t="s">
        <v>7920</v>
      </c>
      <c r="D2178" s="83" t="s">
        <v>3718</v>
      </c>
      <c r="E2178" s="83" t="s">
        <v>3727</v>
      </c>
      <c r="F2178" s="83" t="s">
        <v>7921</v>
      </c>
      <c r="G2178" s="83" t="s">
        <v>7922</v>
      </c>
      <c r="H2178" s="83">
        <v>10</v>
      </c>
      <c r="I2178" s="83" t="s">
        <v>3229</v>
      </c>
      <c r="J2178" s="83" t="s">
        <v>3241</v>
      </c>
      <c r="K2178" s="83" t="s">
        <v>3215</v>
      </c>
    </row>
    <row r="2179" spans="1:11" ht="26.25" x14ac:dyDescent="0.25">
      <c r="A2179" s="83" t="s">
        <v>7923</v>
      </c>
      <c r="B2179" s="83" t="s">
        <v>3208</v>
      </c>
      <c r="C2179" s="83" t="s">
        <v>3208</v>
      </c>
      <c r="D2179" s="83" t="s">
        <v>3965</v>
      </c>
      <c r="E2179" s="83" t="s">
        <v>4054</v>
      </c>
      <c r="F2179" s="83" t="s">
        <v>7863</v>
      </c>
      <c r="G2179" s="83" t="s">
        <v>7864</v>
      </c>
      <c r="H2179" s="83">
        <v>0</v>
      </c>
      <c r="I2179" s="83" t="s">
        <v>3213</v>
      </c>
      <c r="J2179" s="83" t="s">
        <v>3948</v>
      </c>
      <c r="K2179" s="83" t="s">
        <v>3215</v>
      </c>
    </row>
    <row r="2180" spans="1:11" ht="64.5" x14ac:dyDescent="0.25">
      <c r="A2180" s="83" t="s">
        <v>2738</v>
      </c>
      <c r="B2180" s="83" t="s">
        <v>3208</v>
      </c>
      <c r="C2180" s="83" t="s">
        <v>3208</v>
      </c>
      <c r="D2180" s="83" t="s">
        <v>3713</v>
      </c>
      <c r="E2180" s="83" t="s">
        <v>3761</v>
      </c>
      <c r="F2180" s="83" t="s">
        <v>7924</v>
      </c>
      <c r="G2180" s="83" t="s">
        <v>7925</v>
      </c>
      <c r="H2180" s="83">
        <v>0</v>
      </c>
      <c r="I2180" s="83" t="s">
        <v>3229</v>
      </c>
      <c r="J2180" s="83" t="s">
        <v>3380</v>
      </c>
      <c r="K2180" s="83" t="s">
        <v>3215</v>
      </c>
    </row>
    <row r="2181" spans="1:11" ht="51.75" x14ac:dyDescent="0.25">
      <c r="A2181" s="83" t="s">
        <v>2808</v>
      </c>
      <c r="B2181" s="83" t="s">
        <v>3208</v>
      </c>
      <c r="C2181" s="83" t="s">
        <v>3208</v>
      </c>
      <c r="D2181" s="83" t="s">
        <v>3713</v>
      </c>
      <c r="E2181" s="83" t="s">
        <v>3761</v>
      </c>
      <c r="F2181" s="83" t="s">
        <v>4180</v>
      </c>
      <c r="G2181" s="83" t="s">
        <v>7926</v>
      </c>
      <c r="H2181" s="83">
        <v>0</v>
      </c>
      <c r="I2181" s="83" t="s">
        <v>3229</v>
      </c>
      <c r="J2181" s="83" t="s">
        <v>3332</v>
      </c>
      <c r="K2181" s="83" t="s">
        <v>3215</v>
      </c>
    </row>
    <row r="2182" spans="1:11" ht="26.25" x14ac:dyDescent="0.25">
      <c r="A2182" s="83" t="s">
        <v>2790</v>
      </c>
      <c r="B2182" s="83" t="s">
        <v>3208</v>
      </c>
      <c r="C2182" s="83" t="s">
        <v>3208</v>
      </c>
      <c r="D2182" s="83" t="s">
        <v>3713</v>
      </c>
      <c r="E2182" s="83" t="s">
        <v>3761</v>
      </c>
      <c r="F2182" s="83" t="s">
        <v>4168</v>
      </c>
      <c r="G2182" s="83" t="s">
        <v>5865</v>
      </c>
      <c r="H2182" s="83">
        <v>0</v>
      </c>
      <c r="I2182" s="83" t="s">
        <v>3213</v>
      </c>
      <c r="J2182" s="83" t="s">
        <v>3948</v>
      </c>
      <c r="K2182" s="83" t="s">
        <v>3215</v>
      </c>
    </row>
    <row r="2183" spans="1:11" ht="51.75" x14ac:dyDescent="0.25">
      <c r="A2183" s="83" t="s">
        <v>2849</v>
      </c>
      <c r="B2183" s="83" t="s">
        <v>3208</v>
      </c>
      <c r="C2183" s="83" t="s">
        <v>3208</v>
      </c>
      <c r="D2183" s="83" t="s">
        <v>3713</v>
      </c>
      <c r="E2183" s="83" t="s">
        <v>3761</v>
      </c>
      <c r="F2183" s="83" t="s">
        <v>4168</v>
      </c>
      <c r="G2183" s="83" t="s">
        <v>7927</v>
      </c>
      <c r="H2183" s="83">
        <v>0</v>
      </c>
      <c r="I2183" s="83" t="s">
        <v>3229</v>
      </c>
      <c r="J2183" s="83" t="s">
        <v>3280</v>
      </c>
      <c r="K2183" s="83" t="s">
        <v>3215</v>
      </c>
    </row>
    <row r="2184" spans="1:11" ht="26.25" x14ac:dyDescent="0.25">
      <c r="A2184" s="83" t="s">
        <v>7928</v>
      </c>
      <c r="B2184" s="83" t="s">
        <v>3208</v>
      </c>
      <c r="C2184" s="83" t="s">
        <v>3208</v>
      </c>
      <c r="D2184" s="83" t="s">
        <v>3713</v>
      </c>
      <c r="E2184" s="83" t="s">
        <v>3714</v>
      </c>
      <c r="F2184" s="83" t="s">
        <v>5804</v>
      </c>
      <c r="G2184" s="83" t="s">
        <v>5566</v>
      </c>
      <c r="H2184" s="83">
        <v>0</v>
      </c>
      <c r="I2184" s="83" t="s">
        <v>3208</v>
      </c>
      <c r="J2184" s="83" t="s">
        <v>3208</v>
      </c>
      <c r="K2184" s="83" t="s">
        <v>3208</v>
      </c>
    </row>
    <row r="2185" spans="1:11" ht="51.75" x14ac:dyDescent="0.25">
      <c r="A2185" s="83" t="s">
        <v>2853</v>
      </c>
      <c r="B2185" s="83" t="s">
        <v>3208</v>
      </c>
      <c r="C2185" s="83" t="s">
        <v>3208</v>
      </c>
      <c r="D2185" s="83" t="s">
        <v>3713</v>
      </c>
      <c r="E2185" s="83" t="s">
        <v>3761</v>
      </c>
      <c r="F2185" s="83" t="s">
        <v>4168</v>
      </c>
      <c r="G2185" s="83" t="s">
        <v>4237</v>
      </c>
      <c r="H2185" s="83">
        <v>0</v>
      </c>
      <c r="I2185" s="83" t="s">
        <v>3229</v>
      </c>
      <c r="J2185" s="83" t="s">
        <v>3332</v>
      </c>
      <c r="K2185" s="83" t="s">
        <v>3215</v>
      </c>
    </row>
    <row r="2186" spans="1:11" ht="26.25" x14ac:dyDescent="0.25">
      <c r="A2186" s="83" t="s">
        <v>7929</v>
      </c>
      <c r="B2186" s="83" t="s">
        <v>3208</v>
      </c>
      <c r="C2186" s="83" t="s">
        <v>3208</v>
      </c>
      <c r="D2186" s="83" t="s">
        <v>3713</v>
      </c>
      <c r="E2186" s="83" t="s">
        <v>3714</v>
      </c>
      <c r="F2186" s="83" t="s">
        <v>7930</v>
      </c>
      <c r="G2186" s="83" t="s">
        <v>7931</v>
      </c>
      <c r="H2186" s="83">
        <v>0</v>
      </c>
      <c r="I2186" s="83" t="s">
        <v>3208</v>
      </c>
      <c r="J2186" s="83" t="s">
        <v>3208</v>
      </c>
      <c r="K2186" s="83" t="s">
        <v>3208</v>
      </c>
    </row>
    <row r="2187" spans="1:11" ht="51.75" x14ac:dyDescent="0.25">
      <c r="A2187" s="83" t="s">
        <v>1820</v>
      </c>
      <c r="B2187" s="83" t="s">
        <v>3208</v>
      </c>
      <c r="C2187" s="83" t="s">
        <v>3208</v>
      </c>
      <c r="D2187" s="83" t="s">
        <v>3713</v>
      </c>
      <c r="E2187" s="83" t="s">
        <v>3761</v>
      </c>
      <c r="F2187" s="83" t="s">
        <v>7932</v>
      </c>
      <c r="G2187" s="83" t="s">
        <v>7933</v>
      </c>
      <c r="H2187" s="83">
        <v>0</v>
      </c>
      <c r="I2187" s="83" t="s">
        <v>3229</v>
      </c>
      <c r="J2187" s="83" t="s">
        <v>3332</v>
      </c>
      <c r="K2187" s="83" t="s">
        <v>3215</v>
      </c>
    </row>
    <row r="2188" spans="1:11" ht="26.25" x14ac:dyDescent="0.25">
      <c r="A2188" s="83" t="s">
        <v>7934</v>
      </c>
      <c r="B2188" s="83" t="s">
        <v>3208</v>
      </c>
      <c r="C2188" s="83" t="s">
        <v>3208</v>
      </c>
      <c r="D2188" s="83" t="s">
        <v>3713</v>
      </c>
      <c r="E2188" s="83" t="s">
        <v>3714</v>
      </c>
      <c r="F2188" s="83" t="s">
        <v>7935</v>
      </c>
      <c r="G2188" s="83" t="s">
        <v>4145</v>
      </c>
      <c r="H2188" s="83">
        <v>0</v>
      </c>
      <c r="I2188" s="83" t="s">
        <v>3208</v>
      </c>
      <c r="J2188" s="83" t="s">
        <v>3208</v>
      </c>
      <c r="K2188" s="83" t="s">
        <v>3208</v>
      </c>
    </row>
    <row r="2189" spans="1:11" ht="64.5" x14ac:dyDescent="0.25">
      <c r="A2189" s="83" t="s">
        <v>1883</v>
      </c>
      <c r="B2189" s="83" t="s">
        <v>3208</v>
      </c>
      <c r="C2189" s="83" t="s">
        <v>3208</v>
      </c>
      <c r="D2189" s="83" t="s">
        <v>3713</v>
      </c>
      <c r="E2189" s="83" t="s">
        <v>3761</v>
      </c>
      <c r="F2189" s="83" t="s">
        <v>4168</v>
      </c>
      <c r="G2189" s="83" t="s">
        <v>4164</v>
      </c>
      <c r="H2189" s="83">
        <v>0</v>
      </c>
      <c r="I2189" s="83" t="s">
        <v>3213</v>
      </c>
      <c r="J2189" s="83" t="s">
        <v>3262</v>
      </c>
      <c r="K2189" s="83" t="s">
        <v>3215</v>
      </c>
    </row>
    <row r="2190" spans="1:11" ht="64.5" x14ac:dyDescent="0.25">
      <c r="A2190" s="83" t="s">
        <v>322</v>
      </c>
      <c r="B2190" s="83" t="s">
        <v>3208</v>
      </c>
      <c r="C2190" s="83" t="s">
        <v>3208</v>
      </c>
      <c r="D2190" s="83" t="s">
        <v>3718</v>
      </c>
      <c r="E2190" s="83" t="s">
        <v>3210</v>
      </c>
      <c r="F2190" s="83" t="s">
        <v>7936</v>
      </c>
      <c r="G2190" s="83" t="s">
        <v>4179</v>
      </c>
      <c r="H2190" s="83">
        <v>0</v>
      </c>
      <c r="I2190" s="83" t="s">
        <v>3229</v>
      </c>
      <c r="J2190" s="83" t="s">
        <v>3380</v>
      </c>
      <c r="K2190" s="83" t="s">
        <v>3215</v>
      </c>
    </row>
    <row r="2191" spans="1:11" ht="51.75" x14ac:dyDescent="0.25">
      <c r="A2191" s="83" t="s">
        <v>2780</v>
      </c>
      <c r="B2191" s="83" t="s">
        <v>3208</v>
      </c>
      <c r="C2191" s="83" t="s">
        <v>3208</v>
      </c>
      <c r="D2191" s="83" t="s">
        <v>3713</v>
      </c>
      <c r="E2191" s="83" t="s">
        <v>3761</v>
      </c>
      <c r="F2191" s="83" t="s">
        <v>7937</v>
      </c>
      <c r="G2191" s="83" t="s">
        <v>7938</v>
      </c>
      <c r="H2191" s="83">
        <v>0</v>
      </c>
      <c r="I2191" s="83" t="s">
        <v>3229</v>
      </c>
      <c r="J2191" s="83" t="s">
        <v>3371</v>
      </c>
      <c r="K2191" s="83" t="s">
        <v>3215</v>
      </c>
    </row>
    <row r="2192" spans="1:11" ht="51.75" x14ac:dyDescent="0.25">
      <c r="A2192" s="83" t="s">
        <v>2864</v>
      </c>
      <c r="B2192" s="83" t="s">
        <v>3208</v>
      </c>
      <c r="C2192" s="83" t="s">
        <v>3208</v>
      </c>
      <c r="D2192" s="83" t="s">
        <v>3713</v>
      </c>
      <c r="E2192" s="83" t="s">
        <v>3761</v>
      </c>
      <c r="F2192" s="83" t="s">
        <v>5073</v>
      </c>
      <c r="G2192" s="83" t="s">
        <v>5871</v>
      </c>
      <c r="H2192" s="83">
        <v>0</v>
      </c>
      <c r="I2192" s="83" t="s">
        <v>3213</v>
      </c>
      <c r="J2192" s="83" t="s">
        <v>3538</v>
      </c>
      <c r="K2192" s="83" t="s">
        <v>3215</v>
      </c>
    </row>
    <row r="2193" spans="1:11" ht="26.25" x14ac:dyDescent="0.25">
      <c r="A2193" s="83" t="s">
        <v>7939</v>
      </c>
      <c r="B2193" s="83" t="s">
        <v>3208</v>
      </c>
      <c r="C2193" s="83" t="s">
        <v>3208</v>
      </c>
      <c r="D2193" s="83" t="s">
        <v>3713</v>
      </c>
      <c r="E2193" s="83" t="s">
        <v>3714</v>
      </c>
      <c r="F2193" s="83" t="s">
        <v>6540</v>
      </c>
      <c r="G2193" s="83" t="s">
        <v>7940</v>
      </c>
      <c r="H2193" s="83">
        <v>0</v>
      </c>
      <c r="I2193" s="83" t="s">
        <v>3208</v>
      </c>
      <c r="J2193" s="83" t="s">
        <v>3208</v>
      </c>
      <c r="K2193" s="83" t="s">
        <v>3208</v>
      </c>
    </row>
    <row r="2194" spans="1:11" ht="51.75" x14ac:dyDescent="0.25">
      <c r="A2194" s="83" t="s">
        <v>2907</v>
      </c>
      <c r="B2194" s="83" t="s">
        <v>3208</v>
      </c>
      <c r="C2194" s="83" t="s">
        <v>3208</v>
      </c>
      <c r="D2194" s="83" t="s">
        <v>3713</v>
      </c>
      <c r="E2194" s="83" t="s">
        <v>3761</v>
      </c>
      <c r="F2194" s="83" t="s">
        <v>4160</v>
      </c>
      <c r="G2194" s="83" t="s">
        <v>7941</v>
      </c>
      <c r="H2194" s="83">
        <v>0</v>
      </c>
      <c r="I2194" s="83" t="s">
        <v>3229</v>
      </c>
      <c r="J2194" s="83" t="s">
        <v>3730</v>
      </c>
      <c r="K2194" s="83" t="s">
        <v>3215</v>
      </c>
    </row>
    <row r="2195" spans="1:11" ht="26.25" x14ac:dyDescent="0.25">
      <c r="A2195" s="83" t="s">
        <v>119</v>
      </c>
      <c r="B2195" s="83" t="s">
        <v>7942</v>
      </c>
      <c r="C2195" s="83" t="s">
        <v>3208</v>
      </c>
      <c r="D2195" s="83" t="s">
        <v>3209</v>
      </c>
      <c r="E2195" s="83" t="s">
        <v>3226</v>
      </c>
      <c r="F2195" s="83" t="s">
        <v>7943</v>
      </c>
      <c r="G2195" s="83" t="s">
        <v>3375</v>
      </c>
      <c r="H2195" s="83">
        <v>156</v>
      </c>
      <c r="I2195" s="83" t="s">
        <v>3229</v>
      </c>
      <c r="J2195" s="83" t="s">
        <v>3311</v>
      </c>
      <c r="K2195" s="83" t="s">
        <v>3215</v>
      </c>
    </row>
    <row r="2196" spans="1:11" ht="26.25" x14ac:dyDescent="0.25">
      <c r="A2196" s="83" t="s">
        <v>321</v>
      </c>
      <c r="B2196" s="83" t="s">
        <v>3208</v>
      </c>
      <c r="C2196" s="83" t="s">
        <v>3208</v>
      </c>
      <c r="D2196" s="83" t="s">
        <v>3718</v>
      </c>
      <c r="E2196" s="83" t="s">
        <v>3210</v>
      </c>
      <c r="F2196" s="83" t="s">
        <v>6534</v>
      </c>
      <c r="G2196" s="83" t="s">
        <v>5865</v>
      </c>
      <c r="H2196" s="83">
        <v>3.68</v>
      </c>
      <c r="I2196" s="83" t="s">
        <v>3213</v>
      </c>
      <c r="J2196" s="83" t="s">
        <v>3948</v>
      </c>
      <c r="K2196" s="83" t="s">
        <v>3215</v>
      </c>
    </row>
    <row r="2197" spans="1:11" x14ac:dyDescent="0.25">
      <c r="A2197" s="83" t="s">
        <v>7944</v>
      </c>
      <c r="B2197" s="83" t="s">
        <v>4995</v>
      </c>
      <c r="C2197" s="83" t="s">
        <v>7945</v>
      </c>
      <c r="D2197" s="83" t="s">
        <v>3209</v>
      </c>
      <c r="E2197" s="83" t="s">
        <v>3702</v>
      </c>
      <c r="F2197" s="83" t="s">
        <v>7946</v>
      </c>
      <c r="G2197" s="83" t="s">
        <v>3810</v>
      </c>
      <c r="H2197" s="83">
        <v>53</v>
      </c>
      <c r="I2197" s="83" t="s">
        <v>3208</v>
      </c>
      <c r="J2197" s="83" t="s">
        <v>3208</v>
      </c>
      <c r="K2197" s="83" t="s">
        <v>3208</v>
      </c>
    </row>
    <row r="2198" spans="1:11" ht="26.25" x14ac:dyDescent="0.25">
      <c r="A2198" s="83" t="s">
        <v>379</v>
      </c>
      <c r="B2198" s="83" t="s">
        <v>3208</v>
      </c>
      <c r="C2198" s="83" t="s">
        <v>7947</v>
      </c>
      <c r="D2198" s="83" t="s">
        <v>4157</v>
      </c>
      <c r="E2198" s="83" t="s">
        <v>3727</v>
      </c>
      <c r="F2198" s="83" t="s">
        <v>7948</v>
      </c>
      <c r="G2198" s="83" t="s">
        <v>4217</v>
      </c>
      <c r="H2198" s="83">
        <v>0.37</v>
      </c>
      <c r="I2198" s="83" t="s">
        <v>3213</v>
      </c>
      <c r="J2198" s="83" t="s">
        <v>3948</v>
      </c>
      <c r="K2198" s="83" t="s">
        <v>3215</v>
      </c>
    </row>
    <row r="2199" spans="1:11" ht="64.5" x14ac:dyDescent="0.25">
      <c r="A2199" s="83" t="s">
        <v>2797</v>
      </c>
      <c r="B2199" s="83" t="s">
        <v>3208</v>
      </c>
      <c r="C2199" s="83" t="s">
        <v>3208</v>
      </c>
      <c r="D2199" s="83" t="s">
        <v>3713</v>
      </c>
      <c r="E2199" s="83" t="s">
        <v>3761</v>
      </c>
      <c r="F2199" s="83" t="s">
        <v>4144</v>
      </c>
      <c r="G2199" s="83" t="s">
        <v>5878</v>
      </c>
      <c r="H2199" s="83">
        <v>0</v>
      </c>
      <c r="I2199" s="83" t="s">
        <v>3213</v>
      </c>
      <c r="J2199" s="83" t="s">
        <v>3413</v>
      </c>
      <c r="K2199" s="83" t="s">
        <v>3215</v>
      </c>
    </row>
    <row r="2200" spans="1:11" ht="26.25" x14ac:dyDescent="0.25">
      <c r="A2200" s="83" t="s">
        <v>7949</v>
      </c>
      <c r="B2200" s="83" t="s">
        <v>3208</v>
      </c>
      <c r="C2200" s="83" t="s">
        <v>3208</v>
      </c>
      <c r="D2200" s="83" t="s">
        <v>3713</v>
      </c>
      <c r="E2200" s="83" t="s">
        <v>3714</v>
      </c>
      <c r="F2200" s="83" t="s">
        <v>7950</v>
      </c>
      <c r="G2200" s="83" t="s">
        <v>7951</v>
      </c>
      <c r="H2200" s="83">
        <v>0</v>
      </c>
      <c r="I2200" s="83" t="s">
        <v>3208</v>
      </c>
      <c r="J2200" s="83" t="s">
        <v>3208</v>
      </c>
      <c r="K2200" s="83" t="s">
        <v>3208</v>
      </c>
    </row>
    <row r="2201" spans="1:11" ht="26.25" x14ac:dyDescent="0.25">
      <c r="A2201" s="83" t="s">
        <v>896</v>
      </c>
      <c r="B2201" s="83" t="s">
        <v>7952</v>
      </c>
      <c r="C2201" s="83" t="s">
        <v>3208</v>
      </c>
      <c r="D2201" s="83" t="s">
        <v>3209</v>
      </c>
      <c r="E2201" s="83" t="s">
        <v>3226</v>
      </c>
      <c r="F2201" s="83" t="s">
        <v>4492</v>
      </c>
      <c r="G2201" s="83" t="s">
        <v>3569</v>
      </c>
      <c r="H2201" s="83">
        <v>50</v>
      </c>
      <c r="I2201" s="83" t="s">
        <v>3229</v>
      </c>
      <c r="J2201" s="83" t="s">
        <v>3311</v>
      </c>
      <c r="K2201" s="83" t="s">
        <v>3215</v>
      </c>
    </row>
    <row r="2202" spans="1:11" ht="26.25" x14ac:dyDescent="0.25">
      <c r="A2202" s="83" t="s">
        <v>7953</v>
      </c>
      <c r="B2202" s="83" t="s">
        <v>3208</v>
      </c>
      <c r="C2202" s="83" t="s">
        <v>3208</v>
      </c>
      <c r="D2202" s="83" t="s">
        <v>3718</v>
      </c>
      <c r="E2202" s="83" t="s">
        <v>4248</v>
      </c>
      <c r="F2202" s="83" t="s">
        <v>5079</v>
      </c>
      <c r="G2202" s="83" t="s">
        <v>7476</v>
      </c>
      <c r="H2202" s="83">
        <v>0</v>
      </c>
      <c r="I2202" s="83" t="s">
        <v>3208</v>
      </c>
      <c r="J2202" s="83" t="s">
        <v>3208</v>
      </c>
      <c r="K2202" s="83" t="s">
        <v>3208</v>
      </c>
    </row>
    <row r="2203" spans="1:11" ht="51.75" x14ac:dyDescent="0.25">
      <c r="A2203" s="83" t="s">
        <v>545</v>
      </c>
      <c r="B2203" s="83" t="s">
        <v>7954</v>
      </c>
      <c r="C2203" s="83" t="s">
        <v>3208</v>
      </c>
      <c r="D2203" s="83" t="s">
        <v>3209</v>
      </c>
      <c r="E2203" s="83" t="s">
        <v>3226</v>
      </c>
      <c r="F2203" s="83" t="s">
        <v>4142</v>
      </c>
      <c r="G2203" s="83" t="s">
        <v>4143</v>
      </c>
      <c r="H2203" s="83">
        <v>15.4</v>
      </c>
      <c r="I2203" s="83" t="s">
        <v>3213</v>
      </c>
      <c r="J2203" s="83" t="s">
        <v>3257</v>
      </c>
      <c r="K2203" s="83" t="s">
        <v>3215</v>
      </c>
    </row>
    <row r="2204" spans="1:11" ht="51.75" x14ac:dyDescent="0.25">
      <c r="A2204" s="83" t="s">
        <v>374</v>
      </c>
      <c r="B2204" s="83" t="s">
        <v>3208</v>
      </c>
      <c r="C2204" s="83" t="s">
        <v>7955</v>
      </c>
      <c r="D2204" s="83" t="s">
        <v>4157</v>
      </c>
      <c r="E2204" s="83" t="s">
        <v>3727</v>
      </c>
      <c r="F2204" s="83" t="s">
        <v>5093</v>
      </c>
      <c r="G2204" s="83" t="s">
        <v>4237</v>
      </c>
      <c r="H2204" s="83">
        <v>0.57999999999999996</v>
      </c>
      <c r="I2204" s="83" t="s">
        <v>3229</v>
      </c>
      <c r="J2204" s="83" t="s">
        <v>3332</v>
      </c>
      <c r="K2204" s="83" t="s">
        <v>3215</v>
      </c>
    </row>
    <row r="2205" spans="1:11" x14ac:dyDescent="0.25">
      <c r="A2205" s="83" t="s">
        <v>7956</v>
      </c>
      <c r="B2205" s="83" t="s">
        <v>7957</v>
      </c>
      <c r="C2205" s="83" t="s">
        <v>7958</v>
      </c>
      <c r="D2205" s="83" t="s">
        <v>3209</v>
      </c>
      <c r="E2205" s="83" t="s">
        <v>3702</v>
      </c>
      <c r="F2205" s="83" t="s">
        <v>7959</v>
      </c>
      <c r="G2205" s="83" t="s">
        <v>5566</v>
      </c>
      <c r="H2205" s="83">
        <v>10.8</v>
      </c>
      <c r="I2205" s="83" t="s">
        <v>3208</v>
      </c>
      <c r="J2205" s="83" t="s">
        <v>3208</v>
      </c>
      <c r="K2205" s="83" t="s">
        <v>3208</v>
      </c>
    </row>
    <row r="2206" spans="1:11" ht="64.5" x14ac:dyDescent="0.25">
      <c r="A2206" s="83" t="s">
        <v>345</v>
      </c>
      <c r="B2206" s="83" t="s">
        <v>3208</v>
      </c>
      <c r="C2206" s="83" t="s">
        <v>7960</v>
      </c>
      <c r="D2206" s="83" t="s">
        <v>4157</v>
      </c>
      <c r="E2206" s="83" t="s">
        <v>3727</v>
      </c>
      <c r="F2206" s="83" t="s">
        <v>5055</v>
      </c>
      <c r="G2206" s="83" t="s">
        <v>7961</v>
      </c>
      <c r="H2206" s="83">
        <v>0.03</v>
      </c>
      <c r="I2206" s="83" t="s">
        <v>3213</v>
      </c>
      <c r="J2206" s="83" t="s">
        <v>3436</v>
      </c>
      <c r="K2206" s="83" t="s">
        <v>3215</v>
      </c>
    </row>
    <row r="2207" spans="1:11" ht="51.75" x14ac:dyDescent="0.25">
      <c r="A2207" s="83" t="s">
        <v>639</v>
      </c>
      <c r="B2207" s="83" t="s">
        <v>3208</v>
      </c>
      <c r="C2207" s="83" t="s">
        <v>3208</v>
      </c>
      <c r="D2207" s="83" t="s">
        <v>3209</v>
      </c>
      <c r="E2207" s="83" t="s">
        <v>3210</v>
      </c>
      <c r="F2207" s="83" t="s">
        <v>6990</v>
      </c>
      <c r="G2207" s="83" t="s">
        <v>4827</v>
      </c>
      <c r="H2207" s="83">
        <v>320</v>
      </c>
      <c r="I2207" s="83" t="s">
        <v>3213</v>
      </c>
      <c r="J2207" s="83" t="s">
        <v>3271</v>
      </c>
      <c r="K2207" s="83" t="s">
        <v>3215</v>
      </c>
    </row>
    <row r="2208" spans="1:11" ht="26.25" x14ac:dyDescent="0.25">
      <c r="A2208" s="83" t="s">
        <v>7962</v>
      </c>
      <c r="B2208" s="83" t="s">
        <v>3208</v>
      </c>
      <c r="C2208" s="83" t="s">
        <v>3208</v>
      </c>
      <c r="D2208" s="83" t="s">
        <v>3713</v>
      </c>
      <c r="E2208" s="83" t="s">
        <v>3714</v>
      </c>
      <c r="F2208" s="83" t="s">
        <v>7963</v>
      </c>
      <c r="G2208" s="83" t="s">
        <v>7964</v>
      </c>
      <c r="H2208" s="83">
        <v>0</v>
      </c>
      <c r="I2208" s="83" t="s">
        <v>3208</v>
      </c>
      <c r="J2208" s="83" t="s">
        <v>3208</v>
      </c>
      <c r="K2208" s="83" t="s">
        <v>3208</v>
      </c>
    </row>
    <row r="2209" spans="1:11" ht="64.5" x14ac:dyDescent="0.25">
      <c r="A2209" s="83" t="s">
        <v>335</v>
      </c>
      <c r="B2209" s="83" t="s">
        <v>3208</v>
      </c>
      <c r="C2209" s="83" t="s">
        <v>7965</v>
      </c>
      <c r="D2209" s="83" t="s">
        <v>4157</v>
      </c>
      <c r="E2209" s="83" t="s">
        <v>3727</v>
      </c>
      <c r="F2209" s="83" t="s">
        <v>7966</v>
      </c>
      <c r="G2209" s="83" t="s">
        <v>7967</v>
      </c>
      <c r="H2209" s="83">
        <v>1.55</v>
      </c>
      <c r="I2209" s="83" t="s">
        <v>3213</v>
      </c>
      <c r="J2209" s="83" t="s">
        <v>3219</v>
      </c>
      <c r="K2209" s="83" t="s">
        <v>3215</v>
      </c>
    </row>
    <row r="2210" spans="1:11" ht="26.25" x14ac:dyDescent="0.25">
      <c r="A2210" s="83" t="s">
        <v>7968</v>
      </c>
      <c r="B2210" s="83" t="s">
        <v>3208</v>
      </c>
      <c r="C2210" s="83" t="s">
        <v>7969</v>
      </c>
      <c r="D2210" s="83" t="s">
        <v>3718</v>
      </c>
      <c r="E2210" s="83" t="s">
        <v>3702</v>
      </c>
      <c r="F2210" s="83" t="s">
        <v>7970</v>
      </c>
      <c r="G2210" s="83" t="s">
        <v>7971</v>
      </c>
      <c r="H2210" s="83">
        <v>2.4</v>
      </c>
      <c r="I2210" s="83" t="s">
        <v>3208</v>
      </c>
      <c r="J2210" s="83" t="s">
        <v>3208</v>
      </c>
      <c r="K2210" s="83" t="s">
        <v>3208</v>
      </c>
    </row>
    <row r="2211" spans="1:11" ht="26.25" x14ac:dyDescent="0.25">
      <c r="A2211" s="83" t="s">
        <v>631</v>
      </c>
      <c r="B2211" s="83" t="s">
        <v>7972</v>
      </c>
      <c r="C2211" s="83" t="s">
        <v>3208</v>
      </c>
      <c r="D2211" s="83" t="s">
        <v>3209</v>
      </c>
      <c r="E2211" s="83" t="s">
        <v>3226</v>
      </c>
      <c r="F2211" s="83" t="s">
        <v>6580</v>
      </c>
      <c r="G2211" s="83" t="s">
        <v>6581</v>
      </c>
      <c r="H2211" s="83">
        <v>5</v>
      </c>
      <c r="I2211" s="83" t="s">
        <v>3213</v>
      </c>
      <c r="J2211" s="83" t="s">
        <v>3467</v>
      </c>
      <c r="K2211" s="83" t="s">
        <v>3215</v>
      </c>
    </row>
    <row r="2212" spans="1:11" ht="26.25" x14ac:dyDescent="0.25">
      <c r="A2212" s="83" t="s">
        <v>370</v>
      </c>
      <c r="B2212" s="83" t="s">
        <v>3208</v>
      </c>
      <c r="C2212" s="83" t="s">
        <v>7973</v>
      </c>
      <c r="D2212" s="83" t="s">
        <v>4157</v>
      </c>
      <c r="E2212" s="83" t="s">
        <v>3727</v>
      </c>
      <c r="F2212" s="83" t="s">
        <v>7974</v>
      </c>
      <c r="G2212" s="83" t="s">
        <v>7975</v>
      </c>
      <c r="H2212" s="83">
        <v>0.74</v>
      </c>
      <c r="I2212" s="83" t="s">
        <v>3213</v>
      </c>
      <c r="J2212" s="83" t="s">
        <v>3948</v>
      </c>
      <c r="K2212" s="83" t="s">
        <v>3215</v>
      </c>
    </row>
    <row r="2213" spans="1:11" ht="26.25" x14ac:dyDescent="0.25">
      <c r="A2213" s="83" t="s">
        <v>7976</v>
      </c>
      <c r="B2213" s="83" t="s">
        <v>3208</v>
      </c>
      <c r="C2213" s="83" t="s">
        <v>3208</v>
      </c>
      <c r="D2213" s="83" t="s">
        <v>3713</v>
      </c>
      <c r="E2213" s="83" t="s">
        <v>3714</v>
      </c>
      <c r="F2213" s="83" t="s">
        <v>5057</v>
      </c>
      <c r="G2213" s="83" t="s">
        <v>4164</v>
      </c>
      <c r="H2213" s="83">
        <v>0</v>
      </c>
      <c r="I2213" s="83" t="s">
        <v>3208</v>
      </c>
      <c r="J2213" s="83" t="s">
        <v>3208</v>
      </c>
      <c r="K2213" s="83" t="s">
        <v>3208</v>
      </c>
    </row>
    <row r="2214" spans="1:11" ht="77.25" x14ac:dyDescent="0.25">
      <c r="A2214" s="83" t="s">
        <v>2904</v>
      </c>
      <c r="B2214" s="83" t="s">
        <v>3208</v>
      </c>
      <c r="C2214" s="83" t="s">
        <v>3208</v>
      </c>
      <c r="D2214" s="83" t="s">
        <v>3713</v>
      </c>
      <c r="E2214" s="83" t="s">
        <v>3761</v>
      </c>
      <c r="F2214" s="83" t="s">
        <v>7977</v>
      </c>
      <c r="G2214" s="83" t="s">
        <v>7978</v>
      </c>
      <c r="H2214" s="83">
        <v>0</v>
      </c>
      <c r="I2214" s="83" t="s">
        <v>3213</v>
      </c>
      <c r="J2214" s="83" t="s">
        <v>3621</v>
      </c>
      <c r="K2214" s="83" t="s">
        <v>3215</v>
      </c>
    </row>
    <row r="2215" spans="1:11" ht="26.25" x14ac:dyDescent="0.25">
      <c r="A2215" s="83" t="s">
        <v>330</v>
      </c>
      <c r="B2215" s="83" t="s">
        <v>3208</v>
      </c>
      <c r="C2215" s="83" t="s">
        <v>7979</v>
      </c>
      <c r="D2215" s="83" t="s">
        <v>4157</v>
      </c>
      <c r="E2215" s="83" t="s">
        <v>3727</v>
      </c>
      <c r="F2215" s="83" t="s">
        <v>7980</v>
      </c>
      <c r="G2215" s="83" t="s">
        <v>7981</v>
      </c>
      <c r="H2215" s="83">
        <v>0.81</v>
      </c>
      <c r="I2215" s="83" t="s">
        <v>3213</v>
      </c>
      <c r="J2215" s="83" t="s">
        <v>3747</v>
      </c>
      <c r="K2215" s="83" t="s">
        <v>3215</v>
      </c>
    </row>
    <row r="2216" spans="1:11" ht="26.25" x14ac:dyDescent="0.25">
      <c r="A2216" s="83" t="s">
        <v>7982</v>
      </c>
      <c r="B2216" s="83" t="s">
        <v>3208</v>
      </c>
      <c r="C2216" s="83" t="s">
        <v>3208</v>
      </c>
      <c r="D2216" s="83" t="s">
        <v>3713</v>
      </c>
      <c r="E2216" s="83" t="s">
        <v>3714</v>
      </c>
      <c r="F2216" s="83" t="s">
        <v>7983</v>
      </c>
      <c r="G2216" s="83" t="s">
        <v>4885</v>
      </c>
      <c r="H2216" s="83">
        <v>0</v>
      </c>
      <c r="I2216" s="83" t="s">
        <v>3208</v>
      </c>
      <c r="J2216" s="83" t="s">
        <v>3208</v>
      </c>
      <c r="K2216" s="83" t="s">
        <v>3208</v>
      </c>
    </row>
    <row r="2217" spans="1:11" ht="26.25" x14ac:dyDescent="0.25">
      <c r="A2217" s="83" t="s">
        <v>7984</v>
      </c>
      <c r="B2217" s="83" t="s">
        <v>3208</v>
      </c>
      <c r="C2217" s="83" t="s">
        <v>3208</v>
      </c>
      <c r="D2217" s="83" t="s">
        <v>3718</v>
      </c>
      <c r="E2217" s="83" t="s">
        <v>3702</v>
      </c>
      <c r="F2217" s="83" t="s">
        <v>7985</v>
      </c>
      <c r="G2217" s="83" t="s">
        <v>7986</v>
      </c>
      <c r="H2217" s="83">
        <v>5.4</v>
      </c>
      <c r="I2217" s="83" t="s">
        <v>3208</v>
      </c>
      <c r="J2217" s="83" t="s">
        <v>3208</v>
      </c>
      <c r="K2217" s="83" t="s">
        <v>3208</v>
      </c>
    </row>
    <row r="2218" spans="1:11" ht="51.75" x14ac:dyDescent="0.25">
      <c r="A2218" s="83" t="s">
        <v>7987</v>
      </c>
      <c r="B2218" s="83" t="s">
        <v>3208</v>
      </c>
      <c r="C2218" s="83" t="s">
        <v>3208</v>
      </c>
      <c r="D2218" s="83" t="s">
        <v>4005</v>
      </c>
      <c r="E2218" s="83" t="s">
        <v>3210</v>
      </c>
      <c r="F2218" s="83" t="s">
        <v>7988</v>
      </c>
      <c r="G2218" s="83" t="s">
        <v>7989</v>
      </c>
      <c r="H2218" s="83">
        <v>20</v>
      </c>
      <c r="I2218" s="83" t="s">
        <v>3213</v>
      </c>
      <c r="J2218" s="83" t="s">
        <v>3271</v>
      </c>
      <c r="K2218" s="83" t="s">
        <v>3215</v>
      </c>
    </row>
    <row r="2219" spans="1:11" ht="26.25" x14ac:dyDescent="0.25">
      <c r="A2219" s="83" t="s">
        <v>1669</v>
      </c>
      <c r="B2219" s="83" t="s">
        <v>7990</v>
      </c>
      <c r="C2219" s="83" t="s">
        <v>7991</v>
      </c>
      <c r="D2219" s="83" t="s">
        <v>3209</v>
      </c>
      <c r="E2219" s="83" t="s">
        <v>3246</v>
      </c>
      <c r="F2219" s="83" t="s">
        <v>7992</v>
      </c>
      <c r="G2219" s="83" t="s">
        <v>4365</v>
      </c>
      <c r="H2219" s="83">
        <v>12</v>
      </c>
      <c r="I2219" s="83" t="s">
        <v>3229</v>
      </c>
      <c r="J2219" s="83" t="s">
        <v>3324</v>
      </c>
      <c r="K2219" s="83" t="s">
        <v>3215</v>
      </c>
    </row>
    <row r="2220" spans="1:11" ht="26.25" x14ac:dyDescent="0.25">
      <c r="A2220" s="83" t="s">
        <v>7993</v>
      </c>
      <c r="B2220" s="83" t="s">
        <v>3208</v>
      </c>
      <c r="C2220" s="83" t="s">
        <v>3208</v>
      </c>
      <c r="D2220" s="83" t="s">
        <v>3713</v>
      </c>
      <c r="E2220" s="83" t="s">
        <v>3714</v>
      </c>
      <c r="F2220" s="83" t="s">
        <v>5789</v>
      </c>
      <c r="G2220" s="83" t="s">
        <v>5790</v>
      </c>
      <c r="H2220" s="83">
        <v>0</v>
      </c>
      <c r="I2220" s="83" t="s">
        <v>3208</v>
      </c>
      <c r="J2220" s="83" t="s">
        <v>3208</v>
      </c>
      <c r="K2220" s="83" t="s">
        <v>3208</v>
      </c>
    </row>
    <row r="2221" spans="1:11" ht="26.25" x14ac:dyDescent="0.25">
      <c r="A2221" s="83" t="s">
        <v>7994</v>
      </c>
      <c r="B2221" s="83" t="s">
        <v>3208</v>
      </c>
      <c r="C2221" s="83" t="s">
        <v>3208</v>
      </c>
      <c r="D2221" s="83" t="s">
        <v>3713</v>
      </c>
      <c r="E2221" s="83" t="s">
        <v>3714</v>
      </c>
      <c r="F2221" s="83" t="s">
        <v>5789</v>
      </c>
      <c r="G2221" s="83" t="s">
        <v>5790</v>
      </c>
      <c r="H2221" s="83">
        <v>0</v>
      </c>
      <c r="I2221" s="83" t="s">
        <v>3208</v>
      </c>
      <c r="J2221" s="83" t="s">
        <v>3208</v>
      </c>
      <c r="K2221" s="83" t="s">
        <v>3208</v>
      </c>
    </row>
    <row r="2222" spans="1:11" x14ac:dyDescent="0.25">
      <c r="A2222" s="83" t="s">
        <v>7995</v>
      </c>
      <c r="B2222" s="83" t="s">
        <v>5944</v>
      </c>
      <c r="C2222" s="83" t="s">
        <v>7996</v>
      </c>
      <c r="D2222" s="83" t="s">
        <v>3209</v>
      </c>
      <c r="E2222" s="83" t="s">
        <v>3702</v>
      </c>
      <c r="F2222" s="83" t="s">
        <v>7997</v>
      </c>
      <c r="G2222" s="83" t="s">
        <v>7998</v>
      </c>
      <c r="H2222" s="83">
        <v>17.5</v>
      </c>
      <c r="I2222" s="83" t="s">
        <v>3208</v>
      </c>
      <c r="J2222" s="83" t="s">
        <v>3208</v>
      </c>
      <c r="K2222" s="83" t="s">
        <v>3208</v>
      </c>
    </row>
    <row r="2223" spans="1:11" ht="26.25" x14ac:dyDescent="0.25">
      <c r="A2223" s="83" t="s">
        <v>7999</v>
      </c>
      <c r="B2223" s="83" t="s">
        <v>3208</v>
      </c>
      <c r="C2223" s="83" t="s">
        <v>3208</v>
      </c>
      <c r="D2223" s="83" t="s">
        <v>3718</v>
      </c>
      <c r="E2223" s="83" t="s">
        <v>4248</v>
      </c>
      <c r="F2223" s="83" t="s">
        <v>8000</v>
      </c>
      <c r="G2223" s="83" t="s">
        <v>5096</v>
      </c>
      <c r="H2223" s="83">
        <v>0</v>
      </c>
      <c r="I2223" s="83" t="s">
        <v>3208</v>
      </c>
      <c r="J2223" s="83" t="s">
        <v>3208</v>
      </c>
      <c r="K2223" s="83" t="s">
        <v>3208</v>
      </c>
    </row>
    <row r="2224" spans="1:11" ht="26.25" x14ac:dyDescent="0.25">
      <c r="A2224" s="83" t="s">
        <v>8001</v>
      </c>
      <c r="B2224" s="83" t="s">
        <v>3208</v>
      </c>
      <c r="C2224" s="83" t="s">
        <v>3208</v>
      </c>
      <c r="D2224" s="83" t="s">
        <v>3713</v>
      </c>
      <c r="E2224" s="83" t="s">
        <v>3714</v>
      </c>
      <c r="F2224" s="83" t="s">
        <v>8002</v>
      </c>
      <c r="G2224" s="83" t="s">
        <v>8003</v>
      </c>
      <c r="H2224" s="83">
        <v>0</v>
      </c>
      <c r="I2224" s="83" t="s">
        <v>3208</v>
      </c>
      <c r="J2224" s="83" t="s">
        <v>3208</v>
      </c>
      <c r="K2224" s="83" t="s">
        <v>3208</v>
      </c>
    </row>
    <row r="2225" spans="1:11" ht="26.25" x14ac:dyDescent="0.25">
      <c r="A2225" s="83" t="s">
        <v>8004</v>
      </c>
      <c r="B2225" s="83" t="s">
        <v>3208</v>
      </c>
      <c r="C2225" s="83" t="s">
        <v>8005</v>
      </c>
      <c r="D2225" s="83" t="s">
        <v>3718</v>
      </c>
      <c r="E2225" s="83" t="s">
        <v>3702</v>
      </c>
      <c r="F2225" s="83" t="s">
        <v>4182</v>
      </c>
      <c r="G2225" s="83" t="s">
        <v>4925</v>
      </c>
      <c r="H2225" s="83">
        <v>0.86</v>
      </c>
      <c r="I2225" s="83" t="s">
        <v>3208</v>
      </c>
      <c r="J2225" s="83" t="s">
        <v>3208</v>
      </c>
      <c r="K2225" s="83" t="s">
        <v>3208</v>
      </c>
    </row>
    <row r="2226" spans="1:11" ht="64.5" x14ac:dyDescent="0.25">
      <c r="A2226" s="83" t="s">
        <v>597</v>
      </c>
      <c r="B2226" s="83" t="s">
        <v>8006</v>
      </c>
      <c r="C2226" s="83" t="s">
        <v>3208</v>
      </c>
      <c r="D2226" s="83" t="s">
        <v>3209</v>
      </c>
      <c r="E2226" s="83" t="s">
        <v>3226</v>
      </c>
      <c r="F2226" s="83" t="s">
        <v>8007</v>
      </c>
      <c r="G2226" s="83" t="s">
        <v>4881</v>
      </c>
      <c r="H2226" s="83">
        <v>38</v>
      </c>
      <c r="I2226" s="83" t="s">
        <v>3213</v>
      </c>
      <c r="J2226" s="83" t="s">
        <v>3413</v>
      </c>
      <c r="K2226" s="83" t="s">
        <v>3215</v>
      </c>
    </row>
    <row r="2227" spans="1:11" ht="26.25" x14ac:dyDescent="0.25">
      <c r="A2227" s="83" t="s">
        <v>8008</v>
      </c>
      <c r="B2227" s="83" t="s">
        <v>3208</v>
      </c>
      <c r="C2227" s="83" t="s">
        <v>3208</v>
      </c>
      <c r="D2227" s="83" t="s">
        <v>3713</v>
      </c>
      <c r="E2227" s="83" t="s">
        <v>3714</v>
      </c>
      <c r="F2227" s="83" t="s">
        <v>6559</v>
      </c>
      <c r="G2227" s="83" t="s">
        <v>6560</v>
      </c>
      <c r="H2227" s="83">
        <v>0</v>
      </c>
      <c r="I2227" s="83" t="s">
        <v>3208</v>
      </c>
      <c r="J2227" s="83" t="s">
        <v>3208</v>
      </c>
      <c r="K2227" s="83" t="s">
        <v>3208</v>
      </c>
    </row>
    <row r="2228" spans="1:11" ht="64.5" x14ac:dyDescent="0.25">
      <c r="A2228" s="83" t="s">
        <v>432</v>
      </c>
      <c r="B2228" s="83" t="s">
        <v>3208</v>
      </c>
      <c r="C2228" s="83" t="s">
        <v>8009</v>
      </c>
      <c r="D2228" s="83" t="s">
        <v>3741</v>
      </c>
      <c r="E2228" s="83" t="s">
        <v>3727</v>
      </c>
      <c r="F2228" s="83" t="s">
        <v>5079</v>
      </c>
      <c r="G2228" s="83" t="s">
        <v>8010</v>
      </c>
      <c r="H2228" s="83">
        <v>0.6</v>
      </c>
      <c r="I2228" s="83" t="s">
        <v>3213</v>
      </c>
      <c r="J2228" s="83" t="s">
        <v>3262</v>
      </c>
      <c r="K2228" s="83" t="s">
        <v>3215</v>
      </c>
    </row>
    <row r="2229" spans="1:11" ht="26.25" x14ac:dyDescent="0.25">
      <c r="A2229" s="83" t="s">
        <v>2826</v>
      </c>
      <c r="B2229" s="83" t="s">
        <v>3208</v>
      </c>
      <c r="C2229" s="83" t="s">
        <v>3208</v>
      </c>
      <c r="D2229" s="83" t="s">
        <v>3713</v>
      </c>
      <c r="E2229" s="83" t="s">
        <v>3761</v>
      </c>
      <c r="F2229" s="83" t="s">
        <v>4144</v>
      </c>
      <c r="G2229" s="83" t="s">
        <v>4145</v>
      </c>
      <c r="H2229" s="83">
        <v>0</v>
      </c>
      <c r="I2229" s="83" t="s">
        <v>3213</v>
      </c>
      <c r="J2229" s="83" t="s">
        <v>3948</v>
      </c>
      <c r="K2229" s="83" t="s">
        <v>3215</v>
      </c>
    </row>
    <row r="2230" spans="1:11" ht="51.75" x14ac:dyDescent="0.25">
      <c r="A2230" s="83" t="s">
        <v>626</v>
      </c>
      <c r="B2230" s="83" t="s">
        <v>8011</v>
      </c>
      <c r="C2230" s="83" t="s">
        <v>3208</v>
      </c>
      <c r="D2230" s="83" t="s">
        <v>3209</v>
      </c>
      <c r="E2230" s="83" t="s">
        <v>3226</v>
      </c>
      <c r="F2230" s="83" t="s">
        <v>8012</v>
      </c>
      <c r="G2230" s="83" t="s">
        <v>3791</v>
      </c>
      <c r="H2230" s="83">
        <v>82</v>
      </c>
      <c r="I2230" s="83" t="s">
        <v>3229</v>
      </c>
      <c r="J2230" s="83" t="s">
        <v>4192</v>
      </c>
      <c r="K2230" s="83" t="s">
        <v>3215</v>
      </c>
    </row>
    <row r="2231" spans="1:11" ht="51.75" x14ac:dyDescent="0.25">
      <c r="A2231" s="83" t="s">
        <v>386</v>
      </c>
      <c r="B2231" s="83" t="s">
        <v>3208</v>
      </c>
      <c r="C2231" s="83" t="s">
        <v>8013</v>
      </c>
      <c r="D2231" s="83" t="s">
        <v>3718</v>
      </c>
      <c r="E2231" s="83" t="s">
        <v>3727</v>
      </c>
      <c r="F2231" s="83" t="s">
        <v>8014</v>
      </c>
      <c r="G2231" s="83" t="s">
        <v>8015</v>
      </c>
      <c r="H2231" s="83">
        <v>0.32</v>
      </c>
      <c r="I2231" s="83" t="s">
        <v>3229</v>
      </c>
      <c r="J2231" s="83" t="s">
        <v>3337</v>
      </c>
      <c r="K2231" s="83" t="s">
        <v>3215</v>
      </c>
    </row>
    <row r="2232" spans="1:11" ht="26.25" x14ac:dyDescent="0.25">
      <c r="A2232" s="83" t="s">
        <v>8016</v>
      </c>
      <c r="B2232" s="83" t="s">
        <v>3208</v>
      </c>
      <c r="C2232" s="83" t="s">
        <v>3208</v>
      </c>
      <c r="D2232" s="83" t="s">
        <v>3713</v>
      </c>
      <c r="E2232" s="83" t="s">
        <v>3714</v>
      </c>
      <c r="F2232" s="83" t="s">
        <v>5789</v>
      </c>
      <c r="G2232" s="83" t="s">
        <v>5790</v>
      </c>
      <c r="H2232" s="83">
        <v>0</v>
      </c>
      <c r="I2232" s="83" t="s">
        <v>3208</v>
      </c>
      <c r="J2232" s="83" t="s">
        <v>3208</v>
      </c>
      <c r="K2232" s="83" t="s">
        <v>3208</v>
      </c>
    </row>
    <row r="2233" spans="1:11" ht="64.5" x14ac:dyDescent="0.25">
      <c r="A2233" s="83" t="s">
        <v>863</v>
      </c>
      <c r="B2233" s="83" t="s">
        <v>8017</v>
      </c>
      <c r="C2233" s="83" t="s">
        <v>8018</v>
      </c>
      <c r="D2233" s="83" t="s">
        <v>3209</v>
      </c>
      <c r="E2233" s="83" t="s">
        <v>3246</v>
      </c>
      <c r="F2233" s="83" t="s">
        <v>5754</v>
      </c>
      <c r="G2233" s="83" t="s">
        <v>8019</v>
      </c>
      <c r="H2233" s="83">
        <v>89321</v>
      </c>
      <c r="I2233" s="83" t="s">
        <v>3213</v>
      </c>
      <c r="J2233" s="83" t="s">
        <v>3262</v>
      </c>
      <c r="K2233" s="83" t="s">
        <v>3215</v>
      </c>
    </row>
    <row r="2234" spans="1:11" ht="26.25" x14ac:dyDescent="0.25">
      <c r="A2234" s="83" t="s">
        <v>8020</v>
      </c>
      <c r="B2234" s="83" t="s">
        <v>3208</v>
      </c>
      <c r="C2234" s="83" t="s">
        <v>3208</v>
      </c>
      <c r="D2234" s="83" t="s">
        <v>3713</v>
      </c>
      <c r="E2234" s="83" t="s">
        <v>3714</v>
      </c>
      <c r="F2234" s="83" t="s">
        <v>4230</v>
      </c>
      <c r="G2234" s="83" t="s">
        <v>4231</v>
      </c>
      <c r="H2234" s="83">
        <v>0</v>
      </c>
      <c r="I2234" s="83" t="s">
        <v>3208</v>
      </c>
      <c r="J2234" s="83" t="s">
        <v>3208</v>
      </c>
      <c r="K2234" s="83" t="s">
        <v>3208</v>
      </c>
    </row>
    <row r="2235" spans="1:11" ht="51.75" x14ac:dyDescent="0.25">
      <c r="A2235" s="83" t="s">
        <v>435</v>
      </c>
      <c r="B2235" s="83" t="s">
        <v>8021</v>
      </c>
      <c r="C2235" s="83" t="s">
        <v>3208</v>
      </c>
      <c r="D2235" s="83" t="s">
        <v>3209</v>
      </c>
      <c r="E2235" s="83" t="s">
        <v>3226</v>
      </c>
      <c r="F2235" s="83" t="s">
        <v>4230</v>
      </c>
      <c r="G2235" s="83" t="s">
        <v>4233</v>
      </c>
      <c r="H2235" s="83">
        <v>1.3</v>
      </c>
      <c r="I2235" s="83" t="s">
        <v>3229</v>
      </c>
      <c r="J2235" s="83" t="s">
        <v>3289</v>
      </c>
      <c r="K2235" s="83" t="s">
        <v>3215</v>
      </c>
    </row>
    <row r="2236" spans="1:11" ht="26.25" x14ac:dyDescent="0.25">
      <c r="A2236" s="83" t="s">
        <v>8022</v>
      </c>
      <c r="B2236" s="83" t="s">
        <v>3208</v>
      </c>
      <c r="C2236" s="83" t="s">
        <v>3208</v>
      </c>
      <c r="D2236" s="83" t="s">
        <v>3713</v>
      </c>
      <c r="E2236" s="83" t="s">
        <v>3714</v>
      </c>
      <c r="F2236" s="83" t="s">
        <v>4235</v>
      </c>
      <c r="G2236" s="83" t="s">
        <v>4236</v>
      </c>
      <c r="H2236" s="83">
        <v>0</v>
      </c>
      <c r="I2236" s="83" t="s">
        <v>3208</v>
      </c>
      <c r="J2236" s="83" t="s">
        <v>3208</v>
      </c>
      <c r="K2236" s="83" t="s">
        <v>3208</v>
      </c>
    </row>
    <row r="2237" spans="1:11" ht="26.25" x14ac:dyDescent="0.25">
      <c r="A2237" s="83" t="s">
        <v>8023</v>
      </c>
      <c r="B2237" s="83" t="s">
        <v>3208</v>
      </c>
      <c r="C2237" s="83" t="s">
        <v>3208</v>
      </c>
      <c r="D2237" s="83" t="s">
        <v>3713</v>
      </c>
      <c r="E2237" s="83" t="s">
        <v>3714</v>
      </c>
      <c r="F2237" s="83" t="s">
        <v>4235</v>
      </c>
      <c r="G2237" s="83" t="s">
        <v>4236</v>
      </c>
      <c r="H2237" s="83">
        <v>0</v>
      </c>
      <c r="I2237" s="83" t="s">
        <v>3208</v>
      </c>
      <c r="J2237" s="83" t="s">
        <v>3208</v>
      </c>
      <c r="K2237" s="83" t="s">
        <v>3208</v>
      </c>
    </row>
    <row r="2238" spans="1:11" ht="77.25" x14ac:dyDescent="0.25">
      <c r="A2238" s="83" t="s">
        <v>325</v>
      </c>
      <c r="B2238" s="83" t="s">
        <v>3208</v>
      </c>
      <c r="C2238" s="83" t="s">
        <v>8024</v>
      </c>
      <c r="D2238" s="83" t="s">
        <v>3718</v>
      </c>
      <c r="E2238" s="83" t="s">
        <v>3727</v>
      </c>
      <c r="F2238" s="83" t="s">
        <v>8025</v>
      </c>
      <c r="G2238" s="83" t="s">
        <v>8026</v>
      </c>
      <c r="H2238" s="83">
        <v>0.17</v>
      </c>
      <c r="I2238" s="83" t="s">
        <v>3213</v>
      </c>
      <c r="J2238" s="83" t="s">
        <v>3621</v>
      </c>
      <c r="K2238" s="83" t="s">
        <v>3215</v>
      </c>
    </row>
    <row r="2239" spans="1:11" ht="26.25" x14ac:dyDescent="0.25">
      <c r="A2239" s="83" t="s">
        <v>2450</v>
      </c>
      <c r="B2239" s="83" t="s">
        <v>3208</v>
      </c>
      <c r="C2239" s="83" t="s">
        <v>3208</v>
      </c>
      <c r="D2239" s="83" t="s">
        <v>3713</v>
      </c>
      <c r="E2239" s="83" t="s">
        <v>3714</v>
      </c>
      <c r="F2239" s="83" t="s">
        <v>4245</v>
      </c>
      <c r="G2239" s="83" t="s">
        <v>4250</v>
      </c>
      <c r="H2239" s="83">
        <v>0</v>
      </c>
      <c r="I2239" s="83" t="s">
        <v>3208</v>
      </c>
      <c r="J2239" s="83" t="s">
        <v>3208</v>
      </c>
      <c r="K2239" s="83" t="s">
        <v>3208</v>
      </c>
    </row>
    <row r="2240" spans="1:11" ht="26.25" x14ac:dyDescent="0.25">
      <c r="A2240" s="83" t="s">
        <v>2484</v>
      </c>
      <c r="B2240" s="83" t="s">
        <v>3208</v>
      </c>
      <c r="C2240" s="83" t="s">
        <v>3208</v>
      </c>
      <c r="D2240" s="83" t="s">
        <v>3713</v>
      </c>
      <c r="E2240" s="83" t="s">
        <v>3714</v>
      </c>
      <c r="F2240" s="83" t="s">
        <v>4241</v>
      </c>
      <c r="G2240" s="83" t="s">
        <v>3392</v>
      </c>
      <c r="H2240" s="83">
        <v>0</v>
      </c>
      <c r="I2240" s="83" t="s">
        <v>3208</v>
      </c>
      <c r="J2240" s="83" t="s">
        <v>3208</v>
      </c>
      <c r="K2240" s="83" t="s">
        <v>3208</v>
      </c>
    </row>
    <row r="2241" spans="1:11" ht="26.25" x14ac:dyDescent="0.25">
      <c r="A2241" s="83" t="s">
        <v>2491</v>
      </c>
      <c r="B2241" s="83" t="s">
        <v>3208</v>
      </c>
      <c r="C2241" s="83" t="s">
        <v>3208</v>
      </c>
      <c r="D2241" s="83" t="s">
        <v>3713</v>
      </c>
      <c r="E2241" s="83" t="s">
        <v>3714</v>
      </c>
      <c r="F2241" s="83" t="s">
        <v>4241</v>
      </c>
      <c r="G2241" s="83" t="s">
        <v>3392</v>
      </c>
      <c r="H2241" s="83">
        <v>0</v>
      </c>
      <c r="I2241" s="83" t="s">
        <v>3208</v>
      </c>
      <c r="J2241" s="83" t="s">
        <v>3208</v>
      </c>
      <c r="K2241" s="83" t="s">
        <v>3208</v>
      </c>
    </row>
    <row r="2242" spans="1:11" ht="26.25" x14ac:dyDescent="0.25">
      <c r="A2242" s="83" t="s">
        <v>2213</v>
      </c>
      <c r="B2242" s="83" t="s">
        <v>3208</v>
      </c>
      <c r="C2242" s="83" t="s">
        <v>3208</v>
      </c>
      <c r="D2242" s="83" t="s">
        <v>3713</v>
      </c>
      <c r="E2242" s="83" t="s">
        <v>3714</v>
      </c>
      <c r="F2242" s="83" t="s">
        <v>4242</v>
      </c>
      <c r="G2242" s="83" t="s">
        <v>4243</v>
      </c>
      <c r="H2242" s="83">
        <v>0</v>
      </c>
      <c r="I2242" s="83" t="s">
        <v>3208</v>
      </c>
      <c r="J2242" s="83" t="s">
        <v>3208</v>
      </c>
      <c r="K2242" s="83" t="s">
        <v>3208</v>
      </c>
    </row>
    <row r="2243" spans="1:11" ht="26.25" x14ac:dyDescent="0.25">
      <c r="A2243" s="83" t="s">
        <v>2126</v>
      </c>
      <c r="B2243" s="83" t="s">
        <v>3208</v>
      </c>
      <c r="C2243" s="83" t="s">
        <v>3208</v>
      </c>
      <c r="D2243" s="83" t="s">
        <v>3713</v>
      </c>
      <c r="E2243" s="83" t="s">
        <v>3714</v>
      </c>
      <c r="F2243" s="83" t="s">
        <v>4251</v>
      </c>
      <c r="G2243" s="83" t="s">
        <v>3417</v>
      </c>
      <c r="H2243" s="83">
        <v>0</v>
      </c>
      <c r="I2243" s="83" t="s">
        <v>3208</v>
      </c>
      <c r="J2243" s="83" t="s">
        <v>3208</v>
      </c>
      <c r="K2243" s="83" t="s">
        <v>3208</v>
      </c>
    </row>
    <row r="2244" spans="1:11" x14ac:dyDescent="0.25">
      <c r="A2244" s="83" t="s">
        <v>663</v>
      </c>
      <c r="B2244" s="83" t="s">
        <v>3208</v>
      </c>
      <c r="C2244" s="83" t="s">
        <v>3208</v>
      </c>
      <c r="D2244" s="83" t="s">
        <v>3209</v>
      </c>
      <c r="E2244" s="83" t="s">
        <v>3663</v>
      </c>
      <c r="F2244" s="83" t="s">
        <v>8027</v>
      </c>
      <c r="G2244" s="83" t="s">
        <v>5755</v>
      </c>
      <c r="H2244" s="83">
        <v>28.2</v>
      </c>
      <c r="I2244" s="83" t="s">
        <v>3208</v>
      </c>
      <c r="J2244" s="83" t="s">
        <v>3208</v>
      </c>
      <c r="K2244" s="83" t="s">
        <v>3208</v>
      </c>
    </row>
    <row r="2245" spans="1:11" ht="51.75" x14ac:dyDescent="0.25">
      <c r="A2245" s="83" t="s">
        <v>605</v>
      </c>
      <c r="B2245" s="83" t="s">
        <v>3208</v>
      </c>
      <c r="C2245" s="83" t="s">
        <v>3208</v>
      </c>
      <c r="D2245" s="83" t="s">
        <v>3209</v>
      </c>
      <c r="E2245" s="83" t="s">
        <v>3210</v>
      </c>
      <c r="F2245" s="83" t="s">
        <v>8028</v>
      </c>
      <c r="G2245" s="83" t="s">
        <v>5887</v>
      </c>
      <c r="H2245" s="83">
        <v>665</v>
      </c>
      <c r="I2245" s="83" t="s">
        <v>3213</v>
      </c>
      <c r="J2245" s="83" t="s">
        <v>3271</v>
      </c>
      <c r="K2245" s="83" t="s">
        <v>3215</v>
      </c>
    </row>
    <row r="2246" spans="1:11" ht="26.25" x14ac:dyDescent="0.25">
      <c r="A2246" s="83" t="s">
        <v>624</v>
      </c>
      <c r="B2246" s="83" t="s">
        <v>8029</v>
      </c>
      <c r="C2246" s="83" t="s">
        <v>3208</v>
      </c>
      <c r="D2246" s="83" t="s">
        <v>3209</v>
      </c>
      <c r="E2246" s="83" t="s">
        <v>3226</v>
      </c>
      <c r="F2246" s="83" t="s">
        <v>8030</v>
      </c>
      <c r="G2246" s="83" t="s">
        <v>8031</v>
      </c>
      <c r="H2246" s="83">
        <v>20</v>
      </c>
      <c r="I2246" s="83" t="s">
        <v>3229</v>
      </c>
      <c r="J2246" s="83" t="s">
        <v>3222</v>
      </c>
      <c r="K2246" s="83" t="s">
        <v>3215</v>
      </c>
    </row>
    <row r="2247" spans="1:11" ht="51.75" x14ac:dyDescent="0.25">
      <c r="A2247" s="83" t="s">
        <v>892</v>
      </c>
      <c r="B2247" s="83" t="s">
        <v>8032</v>
      </c>
      <c r="C2247" s="83" t="s">
        <v>3208</v>
      </c>
      <c r="D2247" s="83" t="s">
        <v>3209</v>
      </c>
      <c r="E2247" s="83" t="s">
        <v>3226</v>
      </c>
      <c r="F2247" s="83" t="s">
        <v>7341</v>
      </c>
      <c r="G2247" s="83" t="s">
        <v>4793</v>
      </c>
      <c r="H2247" s="83">
        <v>30</v>
      </c>
      <c r="I2247" s="83" t="s">
        <v>3213</v>
      </c>
      <c r="J2247" s="83" t="s">
        <v>3214</v>
      </c>
      <c r="K2247" s="83" t="s">
        <v>3215</v>
      </c>
    </row>
    <row r="2248" spans="1:11" ht="51.75" x14ac:dyDescent="0.25">
      <c r="A2248" s="83" t="s">
        <v>149</v>
      </c>
      <c r="B2248" s="83" t="s">
        <v>8033</v>
      </c>
      <c r="C2248" s="83" t="s">
        <v>3208</v>
      </c>
      <c r="D2248" s="83" t="s">
        <v>3209</v>
      </c>
      <c r="E2248" s="83" t="s">
        <v>3226</v>
      </c>
      <c r="F2248" s="83" t="s">
        <v>8034</v>
      </c>
      <c r="G2248" s="83" t="s">
        <v>8035</v>
      </c>
      <c r="H2248" s="83">
        <v>884.8</v>
      </c>
      <c r="I2248" s="83" t="s">
        <v>3213</v>
      </c>
      <c r="J2248" s="83" t="s">
        <v>3257</v>
      </c>
      <c r="K2248" s="83" t="s">
        <v>3215</v>
      </c>
    </row>
    <row r="2249" spans="1:11" ht="26.25" x14ac:dyDescent="0.25">
      <c r="A2249" s="83" t="s">
        <v>974</v>
      </c>
      <c r="B2249" s="83" t="s">
        <v>8036</v>
      </c>
      <c r="C2249" s="83" t="s">
        <v>3208</v>
      </c>
      <c r="D2249" s="83" t="s">
        <v>3209</v>
      </c>
      <c r="E2249" s="83" t="s">
        <v>3226</v>
      </c>
      <c r="F2249" s="83" t="s">
        <v>8037</v>
      </c>
      <c r="G2249" s="83" t="s">
        <v>6832</v>
      </c>
      <c r="H2249" s="83">
        <v>208</v>
      </c>
      <c r="I2249" s="83" t="s">
        <v>3213</v>
      </c>
      <c r="J2249" s="83" t="s">
        <v>4000</v>
      </c>
      <c r="K2249" s="83" t="s">
        <v>3215</v>
      </c>
    </row>
    <row r="2250" spans="1:11" ht="51.75" x14ac:dyDescent="0.25">
      <c r="A2250" s="83" t="s">
        <v>1116</v>
      </c>
      <c r="B2250" s="83" t="s">
        <v>8038</v>
      </c>
      <c r="C2250" s="83" t="s">
        <v>3208</v>
      </c>
      <c r="D2250" s="83" t="s">
        <v>3209</v>
      </c>
      <c r="E2250" s="83" t="s">
        <v>3226</v>
      </c>
      <c r="F2250" s="83" t="s">
        <v>8039</v>
      </c>
      <c r="G2250" s="83" t="s">
        <v>8040</v>
      </c>
      <c r="H2250" s="83">
        <v>20</v>
      </c>
      <c r="I2250" s="83" t="s">
        <v>3213</v>
      </c>
      <c r="J2250" s="83" t="s">
        <v>3257</v>
      </c>
      <c r="K2250" s="83" t="s">
        <v>3215</v>
      </c>
    </row>
    <row r="2251" spans="1:11" ht="51.75" x14ac:dyDescent="0.25">
      <c r="A2251" s="83" t="s">
        <v>1056</v>
      </c>
      <c r="B2251" s="83" t="s">
        <v>8041</v>
      </c>
      <c r="C2251" s="83" t="s">
        <v>3208</v>
      </c>
      <c r="D2251" s="83" t="s">
        <v>3209</v>
      </c>
      <c r="E2251" s="83" t="s">
        <v>3226</v>
      </c>
      <c r="F2251" s="83" t="s">
        <v>8042</v>
      </c>
      <c r="G2251" s="83" t="s">
        <v>3284</v>
      </c>
      <c r="H2251" s="83">
        <v>195</v>
      </c>
      <c r="I2251" s="83" t="s">
        <v>3229</v>
      </c>
      <c r="J2251" s="83" t="s">
        <v>3230</v>
      </c>
      <c r="K2251" s="83" t="s">
        <v>3215</v>
      </c>
    </row>
    <row r="2252" spans="1:11" ht="39" x14ac:dyDescent="0.25">
      <c r="A2252" s="83" t="s">
        <v>1059</v>
      </c>
      <c r="B2252" s="83" t="s">
        <v>8043</v>
      </c>
      <c r="C2252" s="83" t="s">
        <v>3208</v>
      </c>
      <c r="D2252" s="83" t="s">
        <v>3209</v>
      </c>
      <c r="E2252" s="83" t="s">
        <v>3226</v>
      </c>
      <c r="F2252" s="83" t="s">
        <v>7588</v>
      </c>
      <c r="G2252" s="83" t="s">
        <v>5182</v>
      </c>
      <c r="H2252" s="83">
        <v>150</v>
      </c>
      <c r="I2252" s="83" t="s">
        <v>3229</v>
      </c>
      <c r="J2252" s="83" t="s">
        <v>3241</v>
      </c>
      <c r="K2252" s="83" t="s">
        <v>3215</v>
      </c>
    </row>
    <row r="2253" spans="1:11" ht="39" x14ac:dyDescent="0.25">
      <c r="A2253" s="83" t="s">
        <v>1066</v>
      </c>
      <c r="B2253" s="83" t="s">
        <v>8044</v>
      </c>
      <c r="C2253" s="83" t="s">
        <v>3208</v>
      </c>
      <c r="D2253" s="83" t="s">
        <v>3209</v>
      </c>
      <c r="E2253" s="83" t="s">
        <v>3226</v>
      </c>
      <c r="F2253" s="83" t="s">
        <v>8045</v>
      </c>
      <c r="G2253" s="83" t="s">
        <v>8046</v>
      </c>
      <c r="H2253" s="83">
        <v>35</v>
      </c>
      <c r="I2253" s="83" t="s">
        <v>3229</v>
      </c>
      <c r="J2253" s="83" t="s">
        <v>3241</v>
      </c>
      <c r="K2253" s="83" t="s">
        <v>3215</v>
      </c>
    </row>
    <row r="2254" spans="1:11" ht="39" x14ac:dyDescent="0.25">
      <c r="A2254" s="83" t="s">
        <v>770</v>
      </c>
      <c r="B2254" s="83" t="s">
        <v>8047</v>
      </c>
      <c r="C2254" s="83" t="s">
        <v>3208</v>
      </c>
      <c r="D2254" s="83" t="s">
        <v>3209</v>
      </c>
      <c r="E2254" s="83" t="s">
        <v>3226</v>
      </c>
      <c r="F2254" s="83" t="s">
        <v>8048</v>
      </c>
      <c r="G2254" s="83" t="s">
        <v>4417</v>
      </c>
      <c r="H2254" s="83">
        <v>483</v>
      </c>
      <c r="I2254" s="83" t="s">
        <v>3229</v>
      </c>
      <c r="J2254" s="83" t="s">
        <v>3241</v>
      </c>
      <c r="K2254" s="83" t="s">
        <v>3215</v>
      </c>
    </row>
    <row r="2255" spans="1:11" ht="51.75" x14ac:dyDescent="0.25">
      <c r="A2255" s="83" t="s">
        <v>1738</v>
      </c>
      <c r="B2255" s="83" t="s">
        <v>8049</v>
      </c>
      <c r="C2255" s="83" t="s">
        <v>8050</v>
      </c>
      <c r="D2255" s="83" t="s">
        <v>3209</v>
      </c>
      <c r="E2255" s="83" t="s">
        <v>3246</v>
      </c>
      <c r="F2255" s="83" t="s">
        <v>8051</v>
      </c>
      <c r="G2255" s="83" t="s">
        <v>8052</v>
      </c>
      <c r="H2255" s="83">
        <v>0.3</v>
      </c>
      <c r="I2255" s="83" t="s">
        <v>3229</v>
      </c>
      <c r="J2255" s="83" t="s">
        <v>3337</v>
      </c>
      <c r="K2255" s="83" t="s">
        <v>3215</v>
      </c>
    </row>
    <row r="2256" spans="1:11" ht="64.5" x14ac:dyDescent="0.25">
      <c r="A2256" s="83" t="s">
        <v>1735</v>
      </c>
      <c r="B2256" s="83" t="s">
        <v>5913</v>
      </c>
      <c r="C2256" s="83" t="s">
        <v>8053</v>
      </c>
      <c r="D2256" s="83" t="s">
        <v>3209</v>
      </c>
      <c r="E2256" s="83" t="s">
        <v>3246</v>
      </c>
      <c r="F2256" s="83" t="s">
        <v>5915</v>
      </c>
      <c r="G2256" s="83" t="s">
        <v>7837</v>
      </c>
      <c r="H2256" s="83">
        <v>159.69999999999999</v>
      </c>
      <c r="I2256" s="83" t="s">
        <v>3213</v>
      </c>
      <c r="J2256" s="83" t="s">
        <v>3413</v>
      </c>
      <c r="K2256" s="83" t="s">
        <v>3215</v>
      </c>
    </row>
    <row r="2257" spans="1:11" ht="64.5" x14ac:dyDescent="0.25">
      <c r="A2257" s="83" t="s">
        <v>1746</v>
      </c>
      <c r="B2257" s="83" t="s">
        <v>8054</v>
      </c>
      <c r="C2257" s="83" t="s">
        <v>8055</v>
      </c>
      <c r="D2257" s="83" t="s">
        <v>3209</v>
      </c>
      <c r="E2257" s="83" t="s">
        <v>3246</v>
      </c>
      <c r="F2257" s="83" t="s">
        <v>8056</v>
      </c>
      <c r="G2257" s="83" t="s">
        <v>8057</v>
      </c>
      <c r="H2257" s="83">
        <v>86.3</v>
      </c>
      <c r="I2257" s="83" t="s">
        <v>3213</v>
      </c>
      <c r="J2257" s="83" t="s">
        <v>3413</v>
      </c>
      <c r="K2257" s="83" t="s">
        <v>3215</v>
      </c>
    </row>
    <row r="2258" spans="1:11" ht="64.5" x14ac:dyDescent="0.25">
      <c r="A2258" s="83" t="s">
        <v>1740</v>
      </c>
      <c r="B2258" s="83" t="s">
        <v>8058</v>
      </c>
      <c r="C2258" s="83" t="s">
        <v>8059</v>
      </c>
      <c r="D2258" s="83" t="s">
        <v>3209</v>
      </c>
      <c r="E2258" s="83" t="s">
        <v>3246</v>
      </c>
      <c r="F2258" s="83" t="s">
        <v>8060</v>
      </c>
      <c r="G2258" s="83" t="s">
        <v>8061</v>
      </c>
      <c r="H2258" s="83">
        <v>2.6</v>
      </c>
      <c r="I2258" s="83" t="s">
        <v>3229</v>
      </c>
      <c r="J2258" s="83" t="s">
        <v>3380</v>
      </c>
      <c r="K2258" s="83" t="s">
        <v>3215</v>
      </c>
    </row>
    <row r="2259" spans="1:11" ht="51.75" x14ac:dyDescent="0.25">
      <c r="A2259" s="83" t="s">
        <v>1473</v>
      </c>
      <c r="B2259" s="83" t="s">
        <v>8062</v>
      </c>
      <c r="C2259" s="83" t="s">
        <v>8063</v>
      </c>
      <c r="D2259" s="83" t="s">
        <v>3209</v>
      </c>
      <c r="E2259" s="83" t="s">
        <v>3246</v>
      </c>
      <c r="F2259" s="83" t="s">
        <v>8064</v>
      </c>
      <c r="G2259" s="83" t="s">
        <v>5968</v>
      </c>
      <c r="H2259" s="83">
        <v>60</v>
      </c>
      <c r="I2259" s="83" t="s">
        <v>3229</v>
      </c>
      <c r="J2259" s="83" t="s">
        <v>3371</v>
      </c>
      <c r="K2259" s="83" t="s">
        <v>3215</v>
      </c>
    </row>
    <row r="2260" spans="1:11" ht="51.75" x14ac:dyDescent="0.25">
      <c r="A2260" s="83" t="s">
        <v>1535</v>
      </c>
      <c r="B2260" s="83" t="s">
        <v>8065</v>
      </c>
      <c r="C2260" s="83" t="s">
        <v>8066</v>
      </c>
      <c r="D2260" s="83" t="s">
        <v>3209</v>
      </c>
      <c r="E2260" s="83" t="s">
        <v>3246</v>
      </c>
      <c r="F2260" s="83" t="s">
        <v>5642</v>
      </c>
      <c r="G2260" s="83" t="s">
        <v>8067</v>
      </c>
      <c r="H2260" s="83">
        <v>68.2</v>
      </c>
      <c r="I2260" s="83" t="s">
        <v>3213</v>
      </c>
      <c r="J2260" s="83" t="s">
        <v>3271</v>
      </c>
      <c r="K2260" s="83" t="s">
        <v>3215</v>
      </c>
    </row>
    <row r="2261" spans="1:11" ht="26.25" x14ac:dyDescent="0.25">
      <c r="A2261" s="83" t="s">
        <v>1539</v>
      </c>
      <c r="B2261" s="83" t="s">
        <v>8068</v>
      </c>
      <c r="C2261" s="83" t="s">
        <v>8069</v>
      </c>
      <c r="D2261" s="83" t="s">
        <v>3209</v>
      </c>
      <c r="E2261" s="83" t="s">
        <v>3246</v>
      </c>
      <c r="F2261" s="83" t="s">
        <v>8070</v>
      </c>
      <c r="G2261" s="83" t="s">
        <v>8071</v>
      </c>
      <c r="H2261" s="83">
        <v>20</v>
      </c>
      <c r="I2261" s="83" t="s">
        <v>3229</v>
      </c>
      <c r="J2261" s="83" t="s">
        <v>3311</v>
      </c>
      <c r="K2261" s="83" t="s">
        <v>3215</v>
      </c>
    </row>
    <row r="2262" spans="1:11" ht="51.75" x14ac:dyDescent="0.25">
      <c r="A2262" s="83" t="s">
        <v>1484</v>
      </c>
      <c r="B2262" s="83" t="s">
        <v>8072</v>
      </c>
      <c r="C2262" s="83" t="s">
        <v>8073</v>
      </c>
      <c r="D2262" s="83" t="s">
        <v>3209</v>
      </c>
      <c r="E2262" s="83" t="s">
        <v>3246</v>
      </c>
      <c r="F2262" s="83" t="s">
        <v>8074</v>
      </c>
      <c r="G2262" s="83" t="s">
        <v>3431</v>
      </c>
      <c r="H2262" s="83">
        <v>152.69999999999999</v>
      </c>
      <c r="I2262" s="83" t="s">
        <v>3213</v>
      </c>
      <c r="J2262" s="83" t="s">
        <v>3257</v>
      </c>
      <c r="K2262" s="83" t="s">
        <v>3215</v>
      </c>
    </row>
    <row r="2263" spans="1:11" ht="39" x14ac:dyDescent="0.25">
      <c r="A2263" s="83" t="s">
        <v>1502</v>
      </c>
      <c r="B2263" s="83" t="s">
        <v>8075</v>
      </c>
      <c r="C2263" s="83" t="s">
        <v>8076</v>
      </c>
      <c r="D2263" s="83" t="s">
        <v>3209</v>
      </c>
      <c r="E2263" s="83" t="s">
        <v>3246</v>
      </c>
      <c r="F2263" s="83" t="s">
        <v>8077</v>
      </c>
      <c r="G2263" s="83" t="s">
        <v>8078</v>
      </c>
      <c r="H2263" s="83">
        <v>0.6</v>
      </c>
      <c r="I2263" s="83" t="s">
        <v>3229</v>
      </c>
      <c r="J2263" s="83" t="s">
        <v>6317</v>
      </c>
      <c r="K2263" s="83" t="s">
        <v>3215</v>
      </c>
    </row>
    <row r="2264" spans="1:11" ht="51.75" x14ac:dyDescent="0.25">
      <c r="A2264" s="83" t="s">
        <v>1718</v>
      </c>
      <c r="B2264" s="83" t="s">
        <v>8079</v>
      </c>
      <c r="C2264" s="83" t="s">
        <v>8080</v>
      </c>
      <c r="D2264" s="83" t="s">
        <v>3209</v>
      </c>
      <c r="E2264" s="83" t="s">
        <v>3246</v>
      </c>
      <c r="F2264" s="83" t="s">
        <v>8081</v>
      </c>
      <c r="G2264" s="83" t="s">
        <v>4398</v>
      </c>
      <c r="H2264" s="83">
        <v>131.6</v>
      </c>
      <c r="I2264" s="83" t="s">
        <v>3229</v>
      </c>
      <c r="J2264" s="83" t="s">
        <v>3302</v>
      </c>
      <c r="K2264" s="83" t="s">
        <v>3215</v>
      </c>
    </row>
    <row r="2265" spans="1:11" ht="26.25" x14ac:dyDescent="0.25">
      <c r="A2265" s="83" t="s">
        <v>1720</v>
      </c>
      <c r="B2265" s="83" t="s">
        <v>8082</v>
      </c>
      <c r="C2265" s="83" t="s">
        <v>8083</v>
      </c>
      <c r="D2265" s="83" t="s">
        <v>3209</v>
      </c>
      <c r="E2265" s="83" t="s">
        <v>3246</v>
      </c>
      <c r="F2265" s="83" t="s">
        <v>8084</v>
      </c>
      <c r="G2265" s="83" t="s">
        <v>3384</v>
      </c>
      <c r="H2265" s="83">
        <v>21.8</v>
      </c>
      <c r="I2265" s="83" t="s">
        <v>3229</v>
      </c>
      <c r="J2265" s="83" t="s">
        <v>3311</v>
      </c>
      <c r="K2265" s="83" t="s">
        <v>3215</v>
      </c>
    </row>
    <row r="2266" spans="1:11" ht="51.75" x14ac:dyDescent="0.25">
      <c r="A2266" s="83" t="s">
        <v>61</v>
      </c>
      <c r="B2266" s="83" t="s">
        <v>4330</v>
      </c>
      <c r="C2266" s="83" t="s">
        <v>8085</v>
      </c>
      <c r="D2266" s="83" t="s">
        <v>3209</v>
      </c>
      <c r="E2266" s="83" t="s">
        <v>3246</v>
      </c>
      <c r="F2266" s="83" t="s">
        <v>4332</v>
      </c>
      <c r="G2266" s="83" t="s">
        <v>3370</v>
      </c>
      <c r="H2266" s="83">
        <v>13</v>
      </c>
      <c r="I2266" s="83" t="s">
        <v>3229</v>
      </c>
      <c r="J2266" s="83" t="s">
        <v>3371</v>
      </c>
      <c r="K2266" s="83" t="s">
        <v>3215</v>
      </c>
    </row>
    <row r="2267" spans="1:11" ht="64.5" x14ac:dyDescent="0.25">
      <c r="A2267" s="83" t="s">
        <v>1701</v>
      </c>
      <c r="B2267" s="83" t="s">
        <v>8086</v>
      </c>
      <c r="C2267" s="83" t="s">
        <v>8087</v>
      </c>
      <c r="D2267" s="83" t="s">
        <v>3209</v>
      </c>
      <c r="E2267" s="83" t="s">
        <v>3246</v>
      </c>
      <c r="F2267" s="83" t="s">
        <v>5208</v>
      </c>
      <c r="G2267" s="83" t="s">
        <v>3795</v>
      </c>
      <c r="H2267" s="83">
        <v>14.8</v>
      </c>
      <c r="I2267" s="83" t="s">
        <v>3229</v>
      </c>
      <c r="J2267" s="83" t="s">
        <v>3380</v>
      </c>
      <c r="K2267" s="83" t="s">
        <v>3215</v>
      </c>
    </row>
    <row r="2268" spans="1:11" ht="51.75" x14ac:dyDescent="0.25">
      <c r="A2268" s="83" t="s">
        <v>1105</v>
      </c>
      <c r="B2268" s="83" t="s">
        <v>3208</v>
      </c>
      <c r="C2268" s="83" t="s">
        <v>8088</v>
      </c>
      <c r="D2268" s="83" t="s">
        <v>3209</v>
      </c>
      <c r="E2268" s="83" t="s">
        <v>3246</v>
      </c>
      <c r="F2268" s="83" t="s">
        <v>5942</v>
      </c>
      <c r="G2268" s="83" t="s">
        <v>3806</v>
      </c>
      <c r="H2268" s="83">
        <v>76.400000000000006</v>
      </c>
      <c r="I2268" s="83" t="s">
        <v>3229</v>
      </c>
      <c r="J2268" s="83" t="s">
        <v>3371</v>
      </c>
      <c r="K2268" s="83" t="s">
        <v>3215</v>
      </c>
    </row>
    <row r="2269" spans="1:11" ht="51.75" x14ac:dyDescent="0.25">
      <c r="A2269" s="83" t="s">
        <v>1703</v>
      </c>
      <c r="B2269" s="83" t="s">
        <v>8089</v>
      </c>
      <c r="C2269" s="83" t="s">
        <v>8090</v>
      </c>
      <c r="D2269" s="83" t="s">
        <v>3209</v>
      </c>
      <c r="E2269" s="83" t="s">
        <v>3246</v>
      </c>
      <c r="F2269" s="83" t="s">
        <v>4338</v>
      </c>
      <c r="G2269" s="83" t="s">
        <v>4339</v>
      </c>
      <c r="H2269" s="83">
        <v>190.2</v>
      </c>
      <c r="I2269" s="83" t="s">
        <v>3213</v>
      </c>
      <c r="J2269" s="83" t="s">
        <v>3257</v>
      </c>
      <c r="K2269" s="83" t="s">
        <v>3215</v>
      </c>
    </row>
    <row r="2270" spans="1:11" ht="51.75" x14ac:dyDescent="0.25">
      <c r="A2270" s="83" t="s">
        <v>1706</v>
      </c>
      <c r="B2270" s="83" t="s">
        <v>8091</v>
      </c>
      <c r="C2270" s="83" t="s">
        <v>8092</v>
      </c>
      <c r="D2270" s="83" t="s">
        <v>3209</v>
      </c>
      <c r="E2270" s="83" t="s">
        <v>3246</v>
      </c>
      <c r="F2270" s="83" t="s">
        <v>8093</v>
      </c>
      <c r="G2270" s="83" t="s">
        <v>8094</v>
      </c>
      <c r="H2270" s="83">
        <v>87.6</v>
      </c>
      <c r="I2270" s="83" t="s">
        <v>3229</v>
      </c>
      <c r="J2270" s="83" t="s">
        <v>4430</v>
      </c>
      <c r="K2270" s="83" t="s">
        <v>3215</v>
      </c>
    </row>
    <row r="2271" spans="1:11" ht="51.75" x14ac:dyDescent="0.25">
      <c r="A2271" s="83" t="s">
        <v>1710</v>
      </c>
      <c r="B2271" s="83" t="s">
        <v>8095</v>
      </c>
      <c r="C2271" s="83" t="s">
        <v>8096</v>
      </c>
      <c r="D2271" s="83" t="s">
        <v>3209</v>
      </c>
      <c r="E2271" s="83" t="s">
        <v>3246</v>
      </c>
      <c r="F2271" s="83" t="s">
        <v>8097</v>
      </c>
      <c r="G2271" s="83" t="s">
        <v>5254</v>
      </c>
      <c r="H2271" s="83">
        <v>63.9</v>
      </c>
      <c r="I2271" s="83" t="s">
        <v>3229</v>
      </c>
      <c r="J2271" s="83" t="s">
        <v>3371</v>
      </c>
      <c r="K2271" s="83" t="s">
        <v>3215</v>
      </c>
    </row>
    <row r="2272" spans="1:11" ht="51.75" x14ac:dyDescent="0.25">
      <c r="A2272" s="83" t="s">
        <v>1713</v>
      </c>
      <c r="B2272" s="83" t="s">
        <v>8098</v>
      </c>
      <c r="C2272" s="83" t="s">
        <v>8099</v>
      </c>
      <c r="D2272" s="83" t="s">
        <v>3209</v>
      </c>
      <c r="E2272" s="83" t="s">
        <v>3246</v>
      </c>
      <c r="F2272" s="83" t="s">
        <v>8100</v>
      </c>
      <c r="G2272" s="83" t="s">
        <v>3565</v>
      </c>
      <c r="H2272" s="83">
        <v>76.8</v>
      </c>
      <c r="I2272" s="83" t="s">
        <v>3229</v>
      </c>
      <c r="J2272" s="83" t="s">
        <v>3230</v>
      </c>
      <c r="K2272" s="83" t="s">
        <v>3215</v>
      </c>
    </row>
    <row r="2273" spans="1:11" ht="51.75" x14ac:dyDescent="0.25">
      <c r="A2273" s="83" t="s">
        <v>1714</v>
      </c>
      <c r="B2273" s="83" t="s">
        <v>8101</v>
      </c>
      <c r="C2273" s="83" t="s">
        <v>8102</v>
      </c>
      <c r="D2273" s="83" t="s">
        <v>3209</v>
      </c>
      <c r="E2273" s="83" t="s">
        <v>3246</v>
      </c>
      <c r="F2273" s="83" t="s">
        <v>8103</v>
      </c>
      <c r="G2273" s="83" t="s">
        <v>3508</v>
      </c>
      <c r="H2273" s="83">
        <v>58.3</v>
      </c>
      <c r="I2273" s="83" t="s">
        <v>3229</v>
      </c>
      <c r="J2273" s="83" t="s">
        <v>3371</v>
      </c>
      <c r="K2273" s="83" t="s">
        <v>3215</v>
      </c>
    </row>
    <row r="2274" spans="1:11" ht="51.75" x14ac:dyDescent="0.25">
      <c r="A2274" s="83" t="s">
        <v>1661</v>
      </c>
      <c r="B2274" s="83" t="s">
        <v>8104</v>
      </c>
      <c r="C2274" s="83" t="s">
        <v>8105</v>
      </c>
      <c r="D2274" s="83" t="s">
        <v>3209</v>
      </c>
      <c r="E2274" s="83" t="s">
        <v>3246</v>
      </c>
      <c r="F2274" s="83" t="s">
        <v>8106</v>
      </c>
      <c r="G2274" s="83" t="s">
        <v>8107</v>
      </c>
      <c r="H2274" s="83">
        <v>33.6</v>
      </c>
      <c r="I2274" s="83" t="s">
        <v>3229</v>
      </c>
      <c r="J2274" s="83" t="s">
        <v>3302</v>
      </c>
      <c r="K2274" s="83" t="s">
        <v>3215</v>
      </c>
    </row>
    <row r="2275" spans="1:11" ht="51.75" x14ac:dyDescent="0.25">
      <c r="A2275" s="83" t="s">
        <v>1647</v>
      </c>
      <c r="B2275" s="83" t="s">
        <v>3208</v>
      </c>
      <c r="C2275" s="83" t="s">
        <v>8108</v>
      </c>
      <c r="D2275" s="83" t="s">
        <v>3209</v>
      </c>
      <c r="E2275" s="83" t="s">
        <v>3246</v>
      </c>
      <c r="F2275" s="83" t="s">
        <v>4659</v>
      </c>
      <c r="G2275" s="83" t="s">
        <v>8109</v>
      </c>
      <c r="H2275" s="83">
        <v>17.100000000000001</v>
      </c>
      <c r="I2275" s="83" t="s">
        <v>3229</v>
      </c>
      <c r="J2275" s="83" t="s">
        <v>3230</v>
      </c>
      <c r="K2275" s="83" t="s">
        <v>3215</v>
      </c>
    </row>
    <row r="2276" spans="1:11" ht="39" x14ac:dyDescent="0.25">
      <c r="A2276" s="83" t="s">
        <v>1641</v>
      </c>
      <c r="B2276" s="83" t="s">
        <v>8110</v>
      </c>
      <c r="C2276" s="83" t="s">
        <v>8111</v>
      </c>
      <c r="D2276" s="83" t="s">
        <v>3209</v>
      </c>
      <c r="E2276" s="83" t="s">
        <v>3246</v>
      </c>
      <c r="F2276" s="83" t="s">
        <v>8112</v>
      </c>
      <c r="G2276" s="83" t="s">
        <v>8113</v>
      </c>
      <c r="H2276" s="83">
        <v>22.4</v>
      </c>
      <c r="I2276" s="83" t="s">
        <v>3229</v>
      </c>
      <c r="J2276" s="83" t="s">
        <v>3241</v>
      </c>
      <c r="K2276" s="83" t="s">
        <v>3215</v>
      </c>
    </row>
    <row r="2277" spans="1:11" ht="39" x14ac:dyDescent="0.25">
      <c r="A2277" s="83" t="s">
        <v>1631</v>
      </c>
      <c r="B2277" s="83" t="s">
        <v>8114</v>
      </c>
      <c r="C2277" s="83" t="s">
        <v>8115</v>
      </c>
      <c r="D2277" s="83" t="s">
        <v>3209</v>
      </c>
      <c r="E2277" s="83" t="s">
        <v>3246</v>
      </c>
      <c r="F2277" s="83" t="s">
        <v>8112</v>
      </c>
      <c r="G2277" s="83" t="s">
        <v>5676</v>
      </c>
      <c r="H2277" s="83">
        <v>118.6</v>
      </c>
      <c r="I2277" s="83" t="s">
        <v>3229</v>
      </c>
      <c r="J2277" s="83" t="s">
        <v>3241</v>
      </c>
      <c r="K2277" s="83" t="s">
        <v>3215</v>
      </c>
    </row>
    <row r="2278" spans="1:11" ht="51.75" x14ac:dyDescent="0.25">
      <c r="A2278" s="83" t="s">
        <v>1638</v>
      </c>
      <c r="B2278" s="83" t="s">
        <v>8116</v>
      </c>
      <c r="C2278" s="83" t="s">
        <v>8117</v>
      </c>
      <c r="D2278" s="83" t="s">
        <v>3209</v>
      </c>
      <c r="E2278" s="83" t="s">
        <v>3246</v>
      </c>
      <c r="F2278" s="83" t="s">
        <v>7427</v>
      </c>
      <c r="G2278" s="83" t="s">
        <v>3352</v>
      </c>
      <c r="H2278" s="83">
        <v>24.2</v>
      </c>
      <c r="I2278" s="83" t="s">
        <v>3229</v>
      </c>
      <c r="J2278" s="83" t="s">
        <v>3289</v>
      </c>
      <c r="K2278" s="83" t="s">
        <v>3215</v>
      </c>
    </row>
    <row r="2279" spans="1:11" ht="39" x14ac:dyDescent="0.25">
      <c r="A2279" s="83" t="s">
        <v>1648</v>
      </c>
      <c r="B2279" s="83" t="s">
        <v>8118</v>
      </c>
      <c r="C2279" s="83" t="s">
        <v>8119</v>
      </c>
      <c r="D2279" s="83" t="s">
        <v>3209</v>
      </c>
      <c r="E2279" s="83" t="s">
        <v>3246</v>
      </c>
      <c r="F2279" s="83" t="s">
        <v>3318</v>
      </c>
      <c r="G2279" s="83" t="s">
        <v>8120</v>
      </c>
      <c r="H2279" s="83">
        <v>4.3</v>
      </c>
      <c r="I2279" s="83" t="s">
        <v>3229</v>
      </c>
      <c r="J2279" s="83" t="s">
        <v>3241</v>
      </c>
      <c r="K2279" s="83" t="s">
        <v>3215</v>
      </c>
    </row>
    <row r="2280" spans="1:11" ht="51.75" x14ac:dyDescent="0.25">
      <c r="A2280" s="83" t="s">
        <v>113</v>
      </c>
      <c r="B2280" s="83" t="s">
        <v>8121</v>
      </c>
      <c r="C2280" s="83" t="s">
        <v>8122</v>
      </c>
      <c r="D2280" s="83" t="s">
        <v>3209</v>
      </c>
      <c r="E2280" s="83" t="s">
        <v>3246</v>
      </c>
      <c r="F2280" s="83" t="s">
        <v>8123</v>
      </c>
      <c r="G2280" s="83" t="s">
        <v>4052</v>
      </c>
      <c r="H2280" s="83">
        <v>259.10000000000002</v>
      </c>
      <c r="I2280" s="83" t="s">
        <v>3229</v>
      </c>
      <c r="J2280" s="83" t="s">
        <v>3371</v>
      </c>
      <c r="K2280" s="83" t="s">
        <v>3215</v>
      </c>
    </row>
    <row r="2281" spans="1:11" ht="51.75" x14ac:dyDescent="0.25">
      <c r="A2281" s="83" t="s">
        <v>1667</v>
      </c>
      <c r="B2281" s="83" t="s">
        <v>8124</v>
      </c>
      <c r="C2281" s="83" t="s">
        <v>8125</v>
      </c>
      <c r="D2281" s="83" t="s">
        <v>3209</v>
      </c>
      <c r="E2281" s="83" t="s">
        <v>3246</v>
      </c>
      <c r="F2281" s="83" t="s">
        <v>8126</v>
      </c>
      <c r="G2281" s="83" t="s">
        <v>4421</v>
      </c>
      <c r="H2281" s="83">
        <v>64</v>
      </c>
      <c r="I2281" s="83" t="s">
        <v>3229</v>
      </c>
      <c r="J2281" s="83" t="s">
        <v>3238</v>
      </c>
      <c r="K2281" s="83" t="s">
        <v>3215</v>
      </c>
    </row>
    <row r="2282" spans="1:11" ht="51.75" x14ac:dyDescent="0.25">
      <c r="A2282" s="83" t="s">
        <v>1390</v>
      </c>
      <c r="B2282" s="83" t="s">
        <v>8127</v>
      </c>
      <c r="C2282" s="83" t="s">
        <v>8128</v>
      </c>
      <c r="D2282" s="83" t="s">
        <v>3209</v>
      </c>
      <c r="E2282" s="83" t="s">
        <v>3246</v>
      </c>
      <c r="F2282" s="83" t="s">
        <v>8129</v>
      </c>
      <c r="G2282" s="83" t="s">
        <v>5699</v>
      </c>
      <c r="H2282" s="83">
        <v>19.7</v>
      </c>
      <c r="I2282" s="83" t="s">
        <v>3229</v>
      </c>
      <c r="J2282" s="83" t="s">
        <v>3238</v>
      </c>
      <c r="K2282" s="83" t="s">
        <v>3215</v>
      </c>
    </row>
    <row r="2283" spans="1:11" ht="26.25" x14ac:dyDescent="0.25">
      <c r="A2283" s="83" t="s">
        <v>1237</v>
      </c>
      <c r="B2283" s="83" t="s">
        <v>8130</v>
      </c>
      <c r="C2283" s="83" t="s">
        <v>8131</v>
      </c>
      <c r="D2283" s="83" t="s">
        <v>3209</v>
      </c>
      <c r="E2283" s="83" t="s">
        <v>3246</v>
      </c>
      <c r="F2283" s="83" t="s">
        <v>8132</v>
      </c>
      <c r="G2283" s="83" t="s">
        <v>4519</v>
      </c>
      <c r="H2283" s="83">
        <v>109</v>
      </c>
      <c r="I2283" s="83" t="s">
        <v>3229</v>
      </c>
      <c r="J2283" s="83" t="s">
        <v>3324</v>
      </c>
      <c r="K2283" s="83" t="s">
        <v>3215</v>
      </c>
    </row>
    <row r="2284" spans="1:11" ht="51.75" x14ac:dyDescent="0.25">
      <c r="A2284" s="83" t="s">
        <v>1340</v>
      </c>
      <c r="B2284" s="83" t="s">
        <v>8133</v>
      </c>
      <c r="C2284" s="83" t="s">
        <v>8134</v>
      </c>
      <c r="D2284" s="83" t="s">
        <v>3209</v>
      </c>
      <c r="E2284" s="83" t="s">
        <v>3246</v>
      </c>
      <c r="F2284" s="83" t="s">
        <v>4364</v>
      </c>
      <c r="G2284" s="83" t="s">
        <v>8135</v>
      </c>
      <c r="H2284" s="83">
        <v>7</v>
      </c>
      <c r="I2284" s="83" t="s">
        <v>3229</v>
      </c>
      <c r="J2284" s="83" t="s">
        <v>3332</v>
      </c>
      <c r="K2284" s="83" t="s">
        <v>3215</v>
      </c>
    </row>
    <row r="2285" spans="1:11" ht="39" x14ac:dyDescent="0.25">
      <c r="A2285" s="83" t="s">
        <v>1673</v>
      </c>
      <c r="B2285" s="83" t="s">
        <v>8136</v>
      </c>
      <c r="C2285" s="83" t="s">
        <v>8137</v>
      </c>
      <c r="D2285" s="83" t="s">
        <v>3209</v>
      </c>
      <c r="E2285" s="83" t="s">
        <v>3246</v>
      </c>
      <c r="F2285" s="83" t="s">
        <v>5971</v>
      </c>
      <c r="G2285" s="83" t="s">
        <v>6972</v>
      </c>
      <c r="H2285" s="83">
        <v>20.3</v>
      </c>
      <c r="I2285" s="83" t="s">
        <v>3229</v>
      </c>
      <c r="J2285" s="83" t="s">
        <v>3241</v>
      </c>
      <c r="K2285" s="83" t="s">
        <v>3215</v>
      </c>
    </row>
    <row r="2286" spans="1:11" ht="51.75" x14ac:dyDescent="0.25">
      <c r="A2286" s="83" t="s">
        <v>1675</v>
      </c>
      <c r="B2286" s="83" t="s">
        <v>3208</v>
      </c>
      <c r="C2286" s="83" t="s">
        <v>8138</v>
      </c>
      <c r="D2286" s="83" t="s">
        <v>3209</v>
      </c>
      <c r="E2286" s="83" t="s">
        <v>3246</v>
      </c>
      <c r="F2286" s="83" t="s">
        <v>8139</v>
      </c>
      <c r="G2286" s="83" t="s">
        <v>8140</v>
      </c>
      <c r="H2286" s="83">
        <v>3.6</v>
      </c>
      <c r="I2286" s="83" t="s">
        <v>3229</v>
      </c>
      <c r="J2286" s="83" t="s">
        <v>3230</v>
      </c>
      <c r="K2286" s="83" t="s">
        <v>3215</v>
      </c>
    </row>
    <row r="2287" spans="1:11" ht="51.75" x14ac:dyDescent="0.25">
      <c r="A2287" s="83" t="s">
        <v>1596</v>
      </c>
      <c r="B2287" s="83" t="s">
        <v>8141</v>
      </c>
      <c r="C2287" s="83" t="s">
        <v>8142</v>
      </c>
      <c r="D2287" s="83" t="s">
        <v>3209</v>
      </c>
      <c r="E2287" s="83" t="s">
        <v>3246</v>
      </c>
      <c r="F2287" s="83" t="s">
        <v>8143</v>
      </c>
      <c r="G2287" s="83" t="s">
        <v>8144</v>
      </c>
      <c r="H2287" s="83">
        <v>3</v>
      </c>
      <c r="I2287" s="83" t="s">
        <v>3213</v>
      </c>
      <c r="J2287" s="83" t="s">
        <v>3214</v>
      </c>
      <c r="K2287" s="83" t="s">
        <v>3215</v>
      </c>
    </row>
    <row r="2288" spans="1:11" ht="51.75" x14ac:dyDescent="0.25">
      <c r="A2288" s="83" t="s">
        <v>1582</v>
      </c>
      <c r="B2288" s="83" t="s">
        <v>8145</v>
      </c>
      <c r="C2288" s="83" t="s">
        <v>8146</v>
      </c>
      <c r="D2288" s="83" t="s">
        <v>3209</v>
      </c>
      <c r="E2288" s="83" t="s">
        <v>3246</v>
      </c>
      <c r="F2288" s="83" t="s">
        <v>6717</v>
      </c>
      <c r="G2288" s="83" t="s">
        <v>8147</v>
      </c>
      <c r="H2288" s="83">
        <v>14.7</v>
      </c>
      <c r="I2288" s="83" t="s">
        <v>3229</v>
      </c>
      <c r="J2288" s="83" t="s">
        <v>3289</v>
      </c>
      <c r="K2288" s="83" t="s">
        <v>3215</v>
      </c>
    </row>
    <row r="2289" spans="1:11" ht="26.25" x14ac:dyDescent="0.25">
      <c r="A2289" s="83" t="s">
        <v>1584</v>
      </c>
      <c r="B2289" s="83" t="s">
        <v>8148</v>
      </c>
      <c r="C2289" s="83" t="s">
        <v>8149</v>
      </c>
      <c r="D2289" s="83" t="s">
        <v>3209</v>
      </c>
      <c r="E2289" s="83" t="s">
        <v>3246</v>
      </c>
      <c r="F2289" s="83" t="s">
        <v>8150</v>
      </c>
      <c r="G2289" s="83" t="s">
        <v>8151</v>
      </c>
      <c r="H2289" s="83">
        <v>6</v>
      </c>
      <c r="I2289" s="83" t="s">
        <v>3229</v>
      </c>
      <c r="J2289" s="83" t="s">
        <v>3397</v>
      </c>
      <c r="K2289" s="83" t="s">
        <v>3215</v>
      </c>
    </row>
    <row r="2290" spans="1:11" ht="51.75" x14ac:dyDescent="0.25">
      <c r="A2290" s="83" t="s">
        <v>87</v>
      </c>
      <c r="B2290" s="83" t="s">
        <v>3208</v>
      </c>
      <c r="C2290" s="83" t="s">
        <v>8152</v>
      </c>
      <c r="D2290" s="83" t="s">
        <v>3209</v>
      </c>
      <c r="E2290" s="83" t="s">
        <v>3246</v>
      </c>
      <c r="F2290" s="83" t="s">
        <v>3924</v>
      </c>
      <c r="G2290" s="83" t="s">
        <v>3212</v>
      </c>
      <c r="H2290" s="83">
        <v>70</v>
      </c>
      <c r="I2290" s="83" t="s">
        <v>3213</v>
      </c>
      <c r="J2290" s="83" t="s">
        <v>3214</v>
      </c>
      <c r="K2290" s="83" t="s">
        <v>3215</v>
      </c>
    </row>
    <row r="2291" spans="1:11" ht="26.25" x14ac:dyDescent="0.25">
      <c r="A2291" s="83" t="s">
        <v>1554</v>
      </c>
      <c r="B2291" s="83" t="s">
        <v>6765</v>
      </c>
      <c r="C2291" s="83" t="s">
        <v>8153</v>
      </c>
      <c r="D2291" s="83" t="s">
        <v>3209</v>
      </c>
      <c r="E2291" s="83" t="s">
        <v>3246</v>
      </c>
      <c r="F2291" s="83" t="s">
        <v>8154</v>
      </c>
      <c r="G2291" s="83" t="s">
        <v>5696</v>
      </c>
      <c r="H2291" s="83">
        <v>65</v>
      </c>
      <c r="I2291" s="83" t="s">
        <v>3229</v>
      </c>
      <c r="J2291" s="83" t="s">
        <v>3324</v>
      </c>
      <c r="K2291" s="83" t="s">
        <v>3215</v>
      </c>
    </row>
    <row r="2292" spans="1:11" ht="51.75" x14ac:dyDescent="0.25">
      <c r="A2292" s="83" t="s">
        <v>1542</v>
      </c>
      <c r="B2292" s="83" t="s">
        <v>8155</v>
      </c>
      <c r="C2292" s="83" t="s">
        <v>8156</v>
      </c>
      <c r="D2292" s="83" t="s">
        <v>3209</v>
      </c>
      <c r="E2292" s="83" t="s">
        <v>3246</v>
      </c>
      <c r="F2292" s="83" t="s">
        <v>8157</v>
      </c>
      <c r="G2292" s="83" t="s">
        <v>4891</v>
      </c>
      <c r="H2292" s="83">
        <v>72.5</v>
      </c>
      <c r="I2292" s="83" t="s">
        <v>3229</v>
      </c>
      <c r="J2292" s="83" t="s">
        <v>3238</v>
      </c>
      <c r="K2292" s="83" t="s">
        <v>3215</v>
      </c>
    </row>
    <row r="2293" spans="1:11" ht="51.75" x14ac:dyDescent="0.25">
      <c r="A2293" s="83" t="s">
        <v>100</v>
      </c>
      <c r="B2293" s="83" t="s">
        <v>8158</v>
      </c>
      <c r="C2293" s="83" t="s">
        <v>8159</v>
      </c>
      <c r="D2293" s="83" t="s">
        <v>3209</v>
      </c>
      <c r="E2293" s="83" t="s">
        <v>3246</v>
      </c>
      <c r="F2293" s="83" t="s">
        <v>8160</v>
      </c>
      <c r="G2293" s="83" t="s">
        <v>8161</v>
      </c>
      <c r="H2293" s="83">
        <v>24.4</v>
      </c>
      <c r="I2293" s="83" t="s">
        <v>3229</v>
      </c>
      <c r="J2293" s="83" t="s">
        <v>3289</v>
      </c>
      <c r="K2293" s="83" t="s">
        <v>3215</v>
      </c>
    </row>
    <row r="2294" spans="1:11" ht="26.25" x14ac:dyDescent="0.25">
      <c r="A2294" s="83" t="s">
        <v>1546</v>
      </c>
      <c r="B2294" s="83" t="s">
        <v>8162</v>
      </c>
      <c r="C2294" s="83" t="s">
        <v>8163</v>
      </c>
      <c r="D2294" s="83" t="s">
        <v>3209</v>
      </c>
      <c r="E2294" s="83" t="s">
        <v>3246</v>
      </c>
      <c r="F2294" s="83" t="s">
        <v>8164</v>
      </c>
      <c r="G2294" s="83" t="s">
        <v>5665</v>
      </c>
      <c r="H2294" s="83">
        <v>97</v>
      </c>
      <c r="I2294" s="83" t="s">
        <v>3229</v>
      </c>
      <c r="J2294" s="83" t="s">
        <v>3397</v>
      </c>
      <c r="K2294" s="83" t="s">
        <v>3215</v>
      </c>
    </row>
    <row r="2295" spans="1:11" ht="51.75" x14ac:dyDescent="0.25">
      <c r="A2295" s="83" t="s">
        <v>1530</v>
      </c>
      <c r="B2295" s="83" t="s">
        <v>8165</v>
      </c>
      <c r="C2295" s="83" t="s">
        <v>8166</v>
      </c>
      <c r="D2295" s="83" t="s">
        <v>3209</v>
      </c>
      <c r="E2295" s="83" t="s">
        <v>3246</v>
      </c>
      <c r="F2295" s="83" t="s">
        <v>4414</v>
      </c>
      <c r="G2295" s="83" t="s">
        <v>4871</v>
      </c>
      <c r="H2295" s="83">
        <v>61</v>
      </c>
      <c r="I2295" s="83" t="s">
        <v>3213</v>
      </c>
      <c r="J2295" s="83" t="s">
        <v>3271</v>
      </c>
      <c r="K2295" s="83" t="s">
        <v>3215</v>
      </c>
    </row>
    <row r="2296" spans="1:11" ht="51.75" x14ac:dyDescent="0.25">
      <c r="A2296" s="83" t="s">
        <v>1402</v>
      </c>
      <c r="B2296" s="83" t="s">
        <v>8167</v>
      </c>
      <c r="C2296" s="83" t="s">
        <v>8168</v>
      </c>
      <c r="D2296" s="83" t="s">
        <v>3209</v>
      </c>
      <c r="E2296" s="83" t="s">
        <v>3246</v>
      </c>
      <c r="F2296" s="83" t="s">
        <v>8169</v>
      </c>
      <c r="G2296" s="83" t="s">
        <v>8109</v>
      </c>
      <c r="H2296" s="83">
        <v>15</v>
      </c>
      <c r="I2296" s="83" t="s">
        <v>3229</v>
      </c>
      <c r="J2296" s="83" t="s">
        <v>3238</v>
      </c>
      <c r="K2296" s="83" t="s">
        <v>3215</v>
      </c>
    </row>
    <row r="2297" spans="1:11" ht="39" x14ac:dyDescent="0.25">
      <c r="A2297" s="83" t="s">
        <v>1405</v>
      </c>
      <c r="B2297" s="83" t="s">
        <v>8170</v>
      </c>
      <c r="C2297" s="83" t="s">
        <v>8171</v>
      </c>
      <c r="D2297" s="83" t="s">
        <v>3209</v>
      </c>
      <c r="E2297" s="83" t="s">
        <v>3246</v>
      </c>
      <c r="F2297" s="83" t="s">
        <v>8172</v>
      </c>
      <c r="G2297" s="83" t="s">
        <v>7533</v>
      </c>
      <c r="H2297" s="83">
        <v>16</v>
      </c>
      <c r="I2297" s="83" t="s">
        <v>3229</v>
      </c>
      <c r="J2297" s="83" t="s">
        <v>3324</v>
      </c>
      <c r="K2297" s="83" t="s">
        <v>3215</v>
      </c>
    </row>
    <row r="2298" spans="1:11" ht="39" x14ac:dyDescent="0.25">
      <c r="A2298" s="83" t="s">
        <v>1284</v>
      </c>
      <c r="B2298" s="83" t="s">
        <v>8173</v>
      </c>
      <c r="C2298" s="83" t="s">
        <v>8174</v>
      </c>
      <c r="D2298" s="83" t="s">
        <v>3209</v>
      </c>
      <c r="E2298" s="83" t="s">
        <v>3246</v>
      </c>
      <c r="F2298" s="83" t="s">
        <v>5280</v>
      </c>
      <c r="G2298" s="83" t="s">
        <v>8175</v>
      </c>
      <c r="H2298" s="83">
        <v>180</v>
      </c>
      <c r="I2298" s="83" t="s">
        <v>3229</v>
      </c>
      <c r="J2298" s="83" t="s">
        <v>356</v>
      </c>
      <c r="K2298" s="83" t="s">
        <v>3215</v>
      </c>
    </row>
    <row r="2299" spans="1:11" ht="26.25" x14ac:dyDescent="0.25">
      <c r="A2299" s="83" t="s">
        <v>1288</v>
      </c>
      <c r="B2299" s="83" t="s">
        <v>8176</v>
      </c>
      <c r="C2299" s="83" t="s">
        <v>8177</v>
      </c>
      <c r="D2299" s="83" t="s">
        <v>3209</v>
      </c>
      <c r="E2299" s="83" t="s">
        <v>3246</v>
      </c>
      <c r="F2299" s="83" t="s">
        <v>8178</v>
      </c>
      <c r="G2299" s="83" t="s">
        <v>4519</v>
      </c>
      <c r="H2299" s="83">
        <v>13.5</v>
      </c>
      <c r="I2299" s="83" t="s">
        <v>3229</v>
      </c>
      <c r="J2299" s="83" t="s">
        <v>3324</v>
      </c>
      <c r="K2299" s="83" t="s">
        <v>3215</v>
      </c>
    </row>
    <row r="2300" spans="1:11" ht="64.5" x14ac:dyDescent="0.25">
      <c r="A2300" s="83" t="s">
        <v>1456</v>
      </c>
      <c r="B2300" s="83" t="s">
        <v>8179</v>
      </c>
      <c r="C2300" s="83" t="s">
        <v>4299</v>
      </c>
      <c r="D2300" s="83" t="s">
        <v>3209</v>
      </c>
      <c r="E2300" s="83" t="s">
        <v>3246</v>
      </c>
      <c r="F2300" s="83" t="s">
        <v>8180</v>
      </c>
      <c r="G2300" s="83" t="s">
        <v>4604</v>
      </c>
      <c r="H2300" s="83">
        <v>53</v>
      </c>
      <c r="I2300" s="83" t="s">
        <v>3213</v>
      </c>
      <c r="J2300" s="83" t="s">
        <v>3413</v>
      </c>
      <c r="K2300" s="83" t="s">
        <v>3215</v>
      </c>
    </row>
    <row r="2301" spans="1:11" ht="51.75" x14ac:dyDescent="0.25">
      <c r="A2301" s="83" t="s">
        <v>58</v>
      </c>
      <c r="B2301" s="83" t="s">
        <v>3437</v>
      </c>
      <c r="C2301" s="83" t="s">
        <v>8181</v>
      </c>
      <c r="D2301" s="83" t="s">
        <v>3209</v>
      </c>
      <c r="E2301" s="83" t="s">
        <v>3246</v>
      </c>
      <c r="F2301" s="83" t="s">
        <v>3439</v>
      </c>
      <c r="G2301" s="83" t="s">
        <v>3440</v>
      </c>
      <c r="H2301" s="83">
        <v>94</v>
      </c>
      <c r="I2301" s="83" t="s">
        <v>3213</v>
      </c>
      <c r="J2301" s="83" t="s">
        <v>3257</v>
      </c>
      <c r="K2301" s="83" t="s">
        <v>3215</v>
      </c>
    </row>
    <row r="2302" spans="1:11" ht="51.75" x14ac:dyDescent="0.25">
      <c r="A2302" s="83" t="s">
        <v>1369</v>
      </c>
      <c r="B2302" s="83" t="s">
        <v>8182</v>
      </c>
      <c r="C2302" s="83" t="s">
        <v>8183</v>
      </c>
      <c r="D2302" s="83" t="s">
        <v>3209</v>
      </c>
      <c r="E2302" s="83" t="s">
        <v>3246</v>
      </c>
      <c r="F2302" s="83" t="s">
        <v>8184</v>
      </c>
      <c r="G2302" s="83" t="s">
        <v>8185</v>
      </c>
      <c r="H2302" s="83">
        <v>5</v>
      </c>
      <c r="I2302" s="83" t="s">
        <v>3229</v>
      </c>
      <c r="J2302" s="83" t="s">
        <v>3337</v>
      </c>
      <c r="K2302" s="83" t="s">
        <v>3215</v>
      </c>
    </row>
    <row r="2303" spans="1:11" ht="51.75" x14ac:dyDescent="0.25">
      <c r="A2303" s="83" t="s">
        <v>153</v>
      </c>
      <c r="B2303" s="83" t="s">
        <v>8186</v>
      </c>
      <c r="C2303" s="83" t="s">
        <v>8187</v>
      </c>
      <c r="D2303" s="83" t="s">
        <v>3209</v>
      </c>
      <c r="E2303" s="83" t="s">
        <v>3246</v>
      </c>
      <c r="F2303" s="83" t="s">
        <v>5458</v>
      </c>
      <c r="G2303" s="83" t="s">
        <v>8188</v>
      </c>
      <c r="H2303" s="83">
        <v>215</v>
      </c>
      <c r="I2303" s="83" t="s">
        <v>3213</v>
      </c>
      <c r="J2303" s="83" t="s">
        <v>3271</v>
      </c>
      <c r="K2303" s="83" t="s">
        <v>3215</v>
      </c>
    </row>
    <row r="2304" spans="1:11" ht="51.75" x14ac:dyDescent="0.25">
      <c r="A2304" s="83" t="s">
        <v>1323</v>
      </c>
      <c r="B2304" s="83" t="s">
        <v>8189</v>
      </c>
      <c r="C2304" s="83" t="s">
        <v>8190</v>
      </c>
      <c r="D2304" s="83" t="s">
        <v>3209</v>
      </c>
      <c r="E2304" s="83" t="s">
        <v>3246</v>
      </c>
      <c r="F2304" s="83" t="s">
        <v>8191</v>
      </c>
      <c r="G2304" s="83" t="s">
        <v>8192</v>
      </c>
      <c r="H2304" s="83">
        <v>139</v>
      </c>
      <c r="I2304" s="83" t="s">
        <v>3229</v>
      </c>
      <c r="J2304" s="83" t="s">
        <v>4399</v>
      </c>
      <c r="K2304" s="83" t="s">
        <v>3215</v>
      </c>
    </row>
    <row r="2305" spans="1:11" ht="51.75" x14ac:dyDescent="0.25">
      <c r="A2305" s="83" t="s">
        <v>1316</v>
      </c>
      <c r="B2305" s="83" t="s">
        <v>8193</v>
      </c>
      <c r="C2305" s="83" t="s">
        <v>8194</v>
      </c>
      <c r="D2305" s="83" t="s">
        <v>3209</v>
      </c>
      <c r="E2305" s="83" t="s">
        <v>3246</v>
      </c>
      <c r="F2305" s="83" t="s">
        <v>8195</v>
      </c>
      <c r="G2305" s="83" t="s">
        <v>8196</v>
      </c>
      <c r="H2305" s="83">
        <v>15</v>
      </c>
      <c r="I2305" s="83" t="s">
        <v>3229</v>
      </c>
      <c r="J2305" s="83" t="s">
        <v>3238</v>
      </c>
      <c r="K2305" s="83" t="s">
        <v>3215</v>
      </c>
    </row>
    <row r="2306" spans="1:11" ht="26.25" x14ac:dyDescent="0.25">
      <c r="A2306" s="83" t="s">
        <v>1329</v>
      </c>
      <c r="B2306" s="83" t="s">
        <v>8197</v>
      </c>
      <c r="C2306" s="83" t="s">
        <v>8198</v>
      </c>
      <c r="D2306" s="83" t="s">
        <v>3209</v>
      </c>
      <c r="E2306" s="83" t="s">
        <v>3246</v>
      </c>
      <c r="F2306" s="83" t="s">
        <v>8199</v>
      </c>
      <c r="G2306" s="83" t="s">
        <v>7406</v>
      </c>
      <c r="H2306" s="83">
        <v>48</v>
      </c>
      <c r="I2306" s="83" t="s">
        <v>3229</v>
      </c>
      <c r="J2306" s="83" t="s">
        <v>3324</v>
      </c>
      <c r="K2306" s="83" t="s">
        <v>3215</v>
      </c>
    </row>
    <row r="2307" spans="1:11" ht="51.75" x14ac:dyDescent="0.25">
      <c r="A2307" s="83" t="s">
        <v>1314</v>
      </c>
      <c r="B2307" s="83" t="s">
        <v>8200</v>
      </c>
      <c r="C2307" s="83" t="s">
        <v>8201</v>
      </c>
      <c r="D2307" s="83" t="s">
        <v>3209</v>
      </c>
      <c r="E2307" s="83" t="s">
        <v>3246</v>
      </c>
      <c r="F2307" s="83" t="s">
        <v>8202</v>
      </c>
      <c r="G2307" s="83" t="s">
        <v>7188</v>
      </c>
      <c r="H2307" s="83">
        <v>26</v>
      </c>
      <c r="I2307" s="83" t="s">
        <v>3229</v>
      </c>
      <c r="J2307" s="83" t="s">
        <v>3238</v>
      </c>
      <c r="K2307" s="83" t="s">
        <v>3215</v>
      </c>
    </row>
    <row r="2308" spans="1:11" ht="26.25" x14ac:dyDescent="0.25">
      <c r="A2308" s="83" t="s">
        <v>1283</v>
      </c>
      <c r="B2308" s="83" t="s">
        <v>8203</v>
      </c>
      <c r="C2308" s="83" t="s">
        <v>8204</v>
      </c>
      <c r="D2308" s="83" t="s">
        <v>3209</v>
      </c>
      <c r="E2308" s="83" t="s">
        <v>3246</v>
      </c>
      <c r="F2308" s="83" t="s">
        <v>8205</v>
      </c>
      <c r="G2308" s="83" t="s">
        <v>8206</v>
      </c>
      <c r="H2308" s="83">
        <v>0.4</v>
      </c>
      <c r="I2308" s="83" t="s">
        <v>3213</v>
      </c>
      <c r="J2308" s="83" t="s">
        <v>3467</v>
      </c>
      <c r="K2308" s="83" t="s">
        <v>3215</v>
      </c>
    </row>
    <row r="2309" spans="1:11" ht="51.75" x14ac:dyDescent="0.25">
      <c r="A2309" s="83" t="s">
        <v>905</v>
      </c>
      <c r="B2309" s="83" t="s">
        <v>8207</v>
      </c>
      <c r="C2309" s="83" t="s">
        <v>8208</v>
      </c>
      <c r="D2309" s="83" t="s">
        <v>3209</v>
      </c>
      <c r="E2309" s="83" t="s">
        <v>3246</v>
      </c>
      <c r="F2309" s="83" t="s">
        <v>8209</v>
      </c>
      <c r="G2309" s="83" t="s">
        <v>8210</v>
      </c>
      <c r="H2309" s="83">
        <v>1.5</v>
      </c>
      <c r="I2309" s="83" t="s">
        <v>3229</v>
      </c>
      <c r="J2309" s="83" t="s">
        <v>3337</v>
      </c>
      <c r="K2309" s="83" t="s">
        <v>3215</v>
      </c>
    </row>
    <row r="2310" spans="1:11" ht="64.5" x14ac:dyDescent="0.25">
      <c r="A2310" s="83" t="s">
        <v>908</v>
      </c>
      <c r="B2310" s="83" t="s">
        <v>8211</v>
      </c>
      <c r="C2310" s="83" t="s">
        <v>8212</v>
      </c>
      <c r="D2310" s="83" t="s">
        <v>3209</v>
      </c>
      <c r="E2310" s="83" t="s">
        <v>3246</v>
      </c>
      <c r="F2310" s="83" t="s">
        <v>8213</v>
      </c>
      <c r="G2310" s="83" t="s">
        <v>8214</v>
      </c>
      <c r="H2310" s="83">
        <v>25</v>
      </c>
      <c r="I2310" s="83" t="s">
        <v>3229</v>
      </c>
      <c r="J2310" s="83" t="s">
        <v>3380</v>
      </c>
      <c r="K2310" s="83" t="s">
        <v>3215</v>
      </c>
    </row>
    <row r="2311" spans="1:11" ht="51.75" x14ac:dyDescent="0.25">
      <c r="A2311" s="83" t="s">
        <v>1248</v>
      </c>
      <c r="B2311" s="83" t="s">
        <v>8215</v>
      </c>
      <c r="C2311" s="83" t="s">
        <v>6005</v>
      </c>
      <c r="D2311" s="83" t="s">
        <v>3209</v>
      </c>
      <c r="E2311" s="83" t="s">
        <v>3246</v>
      </c>
      <c r="F2311" s="83" t="s">
        <v>8216</v>
      </c>
      <c r="G2311" s="83" t="s">
        <v>3448</v>
      </c>
      <c r="H2311" s="83">
        <v>16</v>
      </c>
      <c r="I2311" s="83" t="s">
        <v>3229</v>
      </c>
      <c r="J2311" s="83" t="s">
        <v>3238</v>
      </c>
      <c r="K2311" s="83" t="s">
        <v>3215</v>
      </c>
    </row>
    <row r="2312" spans="1:11" ht="51.75" x14ac:dyDescent="0.25">
      <c r="A2312" s="83" t="s">
        <v>1439</v>
      </c>
      <c r="B2312" s="83" t="s">
        <v>8217</v>
      </c>
      <c r="C2312" s="83" t="s">
        <v>8218</v>
      </c>
      <c r="D2312" s="83" t="s">
        <v>3209</v>
      </c>
      <c r="E2312" s="83" t="s">
        <v>3246</v>
      </c>
      <c r="F2312" s="83" t="s">
        <v>8219</v>
      </c>
      <c r="G2312" s="83" t="s">
        <v>8220</v>
      </c>
      <c r="H2312" s="83">
        <v>10</v>
      </c>
      <c r="I2312" s="83" t="s">
        <v>3229</v>
      </c>
      <c r="J2312" s="83" t="s">
        <v>3238</v>
      </c>
      <c r="K2312" s="83" t="s">
        <v>3215</v>
      </c>
    </row>
    <row r="2313" spans="1:11" ht="51.75" x14ac:dyDescent="0.25">
      <c r="A2313" s="83" t="s">
        <v>1443</v>
      </c>
      <c r="B2313" s="83" t="s">
        <v>8221</v>
      </c>
      <c r="C2313" s="83" t="s">
        <v>8222</v>
      </c>
      <c r="D2313" s="83" t="s">
        <v>3209</v>
      </c>
      <c r="E2313" s="83" t="s">
        <v>3246</v>
      </c>
      <c r="F2313" s="83" t="s">
        <v>8223</v>
      </c>
      <c r="G2313" s="83" t="s">
        <v>3963</v>
      </c>
      <c r="H2313" s="83">
        <v>27</v>
      </c>
      <c r="I2313" s="83" t="s">
        <v>3229</v>
      </c>
      <c r="J2313" s="83" t="s">
        <v>3280</v>
      </c>
      <c r="K2313" s="83" t="s">
        <v>3215</v>
      </c>
    </row>
    <row r="2314" spans="1:11" ht="64.5" x14ac:dyDescent="0.25">
      <c r="A2314" s="83" t="s">
        <v>1444</v>
      </c>
      <c r="B2314" s="83" t="s">
        <v>7599</v>
      </c>
      <c r="C2314" s="83" t="s">
        <v>8224</v>
      </c>
      <c r="D2314" s="83" t="s">
        <v>3209</v>
      </c>
      <c r="E2314" s="83" t="s">
        <v>3246</v>
      </c>
      <c r="F2314" s="83" t="s">
        <v>8225</v>
      </c>
      <c r="G2314" s="83" t="s">
        <v>8226</v>
      </c>
      <c r="H2314" s="83">
        <v>5</v>
      </c>
      <c r="I2314" s="83" t="s">
        <v>3213</v>
      </c>
      <c r="J2314" s="83" t="s">
        <v>3413</v>
      </c>
      <c r="K2314" s="83" t="s">
        <v>3215</v>
      </c>
    </row>
    <row r="2315" spans="1:11" ht="51.75" x14ac:dyDescent="0.25">
      <c r="A2315" s="83" t="s">
        <v>1415</v>
      </c>
      <c r="B2315" s="83" t="s">
        <v>8227</v>
      </c>
      <c r="C2315" s="83" t="s">
        <v>8228</v>
      </c>
      <c r="D2315" s="83" t="s">
        <v>3209</v>
      </c>
      <c r="E2315" s="83" t="s">
        <v>3246</v>
      </c>
      <c r="F2315" s="83" t="s">
        <v>8229</v>
      </c>
      <c r="G2315" s="83" t="s">
        <v>6751</v>
      </c>
      <c r="H2315" s="83">
        <v>14</v>
      </c>
      <c r="I2315" s="83" t="s">
        <v>3229</v>
      </c>
      <c r="J2315" s="83" t="s">
        <v>3337</v>
      </c>
      <c r="K2315" s="83" t="s">
        <v>3215</v>
      </c>
    </row>
    <row r="2316" spans="1:11" ht="51.75" x14ac:dyDescent="0.25">
      <c r="A2316" s="83" t="s">
        <v>966</v>
      </c>
      <c r="B2316" s="83" t="s">
        <v>8230</v>
      </c>
      <c r="C2316" s="83" t="s">
        <v>8231</v>
      </c>
      <c r="D2316" s="83" t="s">
        <v>3209</v>
      </c>
      <c r="E2316" s="83" t="s">
        <v>3246</v>
      </c>
      <c r="F2316" s="83" t="s">
        <v>8232</v>
      </c>
      <c r="G2316" s="83" t="s">
        <v>8233</v>
      </c>
      <c r="H2316" s="83">
        <v>2.2999999999999998</v>
      </c>
      <c r="I2316" s="83" t="s">
        <v>3229</v>
      </c>
      <c r="J2316" s="83" t="s">
        <v>3332</v>
      </c>
      <c r="K2316" s="83" t="s">
        <v>3215</v>
      </c>
    </row>
    <row r="2317" spans="1:11" ht="51.75" x14ac:dyDescent="0.25">
      <c r="A2317" s="83" t="s">
        <v>919</v>
      </c>
      <c r="B2317" s="83" t="s">
        <v>8234</v>
      </c>
      <c r="C2317" s="83" t="s">
        <v>8235</v>
      </c>
      <c r="D2317" s="83" t="s">
        <v>3209</v>
      </c>
      <c r="E2317" s="83" t="s">
        <v>3246</v>
      </c>
      <c r="F2317" s="83" t="s">
        <v>8236</v>
      </c>
      <c r="G2317" s="83" t="s">
        <v>8237</v>
      </c>
      <c r="H2317" s="83">
        <v>8</v>
      </c>
      <c r="I2317" s="83" t="s">
        <v>3229</v>
      </c>
      <c r="J2317" s="83" t="s">
        <v>3230</v>
      </c>
      <c r="K2317" s="83" t="s">
        <v>3215</v>
      </c>
    </row>
    <row r="2318" spans="1:11" ht="26.25" x14ac:dyDescent="0.25">
      <c r="A2318" s="83" t="s">
        <v>933</v>
      </c>
      <c r="B2318" s="83" t="s">
        <v>8238</v>
      </c>
      <c r="C2318" s="83" t="s">
        <v>8239</v>
      </c>
      <c r="D2318" s="83" t="s">
        <v>3209</v>
      </c>
      <c r="E2318" s="83" t="s">
        <v>3246</v>
      </c>
      <c r="F2318" s="83" t="s">
        <v>8240</v>
      </c>
      <c r="G2318" s="83" t="s">
        <v>6301</v>
      </c>
      <c r="H2318" s="83">
        <v>1.7</v>
      </c>
      <c r="I2318" s="83" t="s">
        <v>3229</v>
      </c>
      <c r="J2318" s="83" t="s">
        <v>3311</v>
      </c>
      <c r="K2318" s="83" t="s">
        <v>3215</v>
      </c>
    </row>
    <row r="2319" spans="1:11" ht="26.25" x14ac:dyDescent="0.25">
      <c r="A2319" s="83" t="s">
        <v>1176</v>
      </c>
      <c r="B2319" s="83" t="s">
        <v>8241</v>
      </c>
      <c r="C2319" s="83" t="s">
        <v>8242</v>
      </c>
      <c r="D2319" s="83" t="s">
        <v>3209</v>
      </c>
      <c r="E2319" s="83" t="s">
        <v>3246</v>
      </c>
      <c r="F2319" s="83" t="s">
        <v>8243</v>
      </c>
      <c r="G2319" s="83" t="s">
        <v>6608</v>
      </c>
      <c r="H2319" s="83">
        <v>28</v>
      </c>
      <c r="I2319" s="83" t="s">
        <v>3213</v>
      </c>
      <c r="J2319" s="83" t="s">
        <v>3467</v>
      </c>
      <c r="K2319" s="83" t="s">
        <v>3215</v>
      </c>
    </row>
    <row r="2320" spans="1:11" ht="26.25" x14ac:dyDescent="0.25">
      <c r="A2320" s="83" t="s">
        <v>1130</v>
      </c>
      <c r="B2320" s="83" t="s">
        <v>8244</v>
      </c>
      <c r="C2320" s="83" t="s">
        <v>8245</v>
      </c>
      <c r="D2320" s="83" t="s">
        <v>3209</v>
      </c>
      <c r="E2320" s="83" t="s">
        <v>3246</v>
      </c>
      <c r="F2320" s="83" t="s">
        <v>8246</v>
      </c>
      <c r="G2320" s="83" t="s">
        <v>8247</v>
      </c>
      <c r="H2320" s="83">
        <v>23</v>
      </c>
      <c r="I2320" s="83" t="s">
        <v>3229</v>
      </c>
      <c r="J2320" s="83" t="s">
        <v>3397</v>
      </c>
      <c r="K2320" s="83" t="s">
        <v>3215</v>
      </c>
    </row>
    <row r="2321" spans="1:11" ht="64.5" x14ac:dyDescent="0.25">
      <c r="A2321" s="83" t="s">
        <v>1139</v>
      </c>
      <c r="B2321" s="83" t="s">
        <v>8248</v>
      </c>
      <c r="C2321" s="83" t="s">
        <v>8249</v>
      </c>
      <c r="D2321" s="83" t="s">
        <v>3209</v>
      </c>
      <c r="E2321" s="83" t="s">
        <v>3246</v>
      </c>
      <c r="F2321" s="83" t="s">
        <v>8250</v>
      </c>
      <c r="G2321" s="83" t="s">
        <v>8251</v>
      </c>
      <c r="H2321" s="83">
        <v>31</v>
      </c>
      <c r="I2321" s="83" t="s">
        <v>3213</v>
      </c>
      <c r="J2321" s="83" t="s">
        <v>3413</v>
      </c>
      <c r="K2321" s="83" t="s">
        <v>3215</v>
      </c>
    </row>
    <row r="2322" spans="1:11" ht="64.5" x14ac:dyDescent="0.25">
      <c r="A2322" s="83" t="s">
        <v>1115</v>
      </c>
      <c r="B2322" s="83" t="s">
        <v>8252</v>
      </c>
      <c r="C2322" s="83" t="s">
        <v>8253</v>
      </c>
      <c r="D2322" s="83" t="s">
        <v>3209</v>
      </c>
      <c r="E2322" s="83" t="s">
        <v>3246</v>
      </c>
      <c r="F2322" s="83" t="s">
        <v>8254</v>
      </c>
      <c r="G2322" s="83" t="s">
        <v>8255</v>
      </c>
      <c r="H2322" s="83">
        <v>24</v>
      </c>
      <c r="I2322" s="83" t="s">
        <v>3213</v>
      </c>
      <c r="J2322" s="83" t="s">
        <v>3413</v>
      </c>
      <c r="K2322" s="83" t="s">
        <v>3215</v>
      </c>
    </row>
    <row r="2323" spans="1:11" ht="26.25" x14ac:dyDescent="0.25">
      <c r="A2323" s="83" t="s">
        <v>1095</v>
      </c>
      <c r="B2323" s="83" t="s">
        <v>8256</v>
      </c>
      <c r="C2323" s="83" t="s">
        <v>8257</v>
      </c>
      <c r="D2323" s="83" t="s">
        <v>3209</v>
      </c>
      <c r="E2323" s="83" t="s">
        <v>3246</v>
      </c>
      <c r="F2323" s="83" t="s">
        <v>8258</v>
      </c>
      <c r="G2323" s="83" t="s">
        <v>5513</v>
      </c>
      <c r="H2323" s="83">
        <v>15</v>
      </c>
      <c r="I2323" s="83" t="s">
        <v>3229</v>
      </c>
      <c r="J2323" s="83" t="s">
        <v>3397</v>
      </c>
      <c r="K2323" s="83" t="s">
        <v>3215</v>
      </c>
    </row>
    <row r="2324" spans="1:11" ht="26.25" x14ac:dyDescent="0.25">
      <c r="A2324" s="83" t="s">
        <v>1103</v>
      </c>
      <c r="B2324" s="83" t="s">
        <v>8259</v>
      </c>
      <c r="C2324" s="83" t="s">
        <v>8260</v>
      </c>
      <c r="D2324" s="83" t="s">
        <v>3209</v>
      </c>
      <c r="E2324" s="83" t="s">
        <v>3246</v>
      </c>
      <c r="F2324" s="83" t="s">
        <v>4449</v>
      </c>
      <c r="G2324" s="83" t="s">
        <v>5366</v>
      </c>
      <c r="H2324" s="83">
        <v>1.5</v>
      </c>
      <c r="I2324" s="83" t="s">
        <v>3229</v>
      </c>
      <c r="J2324" s="83" t="s">
        <v>3222</v>
      </c>
      <c r="K2324" s="83" t="s">
        <v>3215</v>
      </c>
    </row>
    <row r="2325" spans="1:11" ht="51.75" x14ac:dyDescent="0.25">
      <c r="A2325" s="83" t="s">
        <v>1029</v>
      </c>
      <c r="B2325" s="83" t="s">
        <v>8261</v>
      </c>
      <c r="C2325" s="83" t="s">
        <v>7432</v>
      </c>
      <c r="D2325" s="83" t="s">
        <v>3209</v>
      </c>
      <c r="E2325" s="83" t="s">
        <v>3246</v>
      </c>
      <c r="F2325" s="83" t="s">
        <v>3888</v>
      </c>
      <c r="G2325" s="83" t="s">
        <v>6611</v>
      </c>
      <c r="H2325" s="83">
        <v>18</v>
      </c>
      <c r="I2325" s="83" t="s">
        <v>3213</v>
      </c>
      <c r="J2325" s="83" t="s">
        <v>3214</v>
      </c>
      <c r="K2325" s="83" t="s">
        <v>3215</v>
      </c>
    </row>
    <row r="2326" spans="1:11" ht="51.75" x14ac:dyDescent="0.25">
      <c r="A2326" s="83" t="s">
        <v>1054</v>
      </c>
      <c r="B2326" s="83" t="s">
        <v>8262</v>
      </c>
      <c r="C2326" s="83" t="s">
        <v>8263</v>
      </c>
      <c r="D2326" s="83" t="s">
        <v>3209</v>
      </c>
      <c r="E2326" s="83" t="s">
        <v>3246</v>
      </c>
      <c r="F2326" s="83" t="s">
        <v>6621</v>
      </c>
      <c r="G2326" s="83" t="s">
        <v>8264</v>
      </c>
      <c r="H2326" s="83">
        <v>0.2</v>
      </c>
      <c r="I2326" s="83" t="s">
        <v>3229</v>
      </c>
      <c r="J2326" s="83" t="s">
        <v>3371</v>
      </c>
      <c r="K2326" s="83" t="s">
        <v>3215</v>
      </c>
    </row>
    <row r="2327" spans="1:11" ht="51.75" x14ac:dyDescent="0.25">
      <c r="A2327" s="83" t="s">
        <v>1057</v>
      </c>
      <c r="B2327" s="83" t="s">
        <v>8265</v>
      </c>
      <c r="C2327" s="83" t="s">
        <v>8266</v>
      </c>
      <c r="D2327" s="83" t="s">
        <v>3209</v>
      </c>
      <c r="E2327" s="83" t="s">
        <v>3246</v>
      </c>
      <c r="F2327" s="83" t="s">
        <v>8267</v>
      </c>
      <c r="G2327" s="83" t="s">
        <v>3284</v>
      </c>
      <c r="H2327" s="83">
        <v>13.4</v>
      </c>
      <c r="I2327" s="83" t="s">
        <v>3229</v>
      </c>
      <c r="J2327" s="83" t="s">
        <v>3230</v>
      </c>
      <c r="K2327" s="83" t="s">
        <v>3215</v>
      </c>
    </row>
    <row r="2328" spans="1:11" ht="64.5" x14ac:dyDescent="0.25">
      <c r="A2328" s="83" t="s">
        <v>1067</v>
      </c>
      <c r="B2328" s="83" t="s">
        <v>8268</v>
      </c>
      <c r="C2328" s="83" t="s">
        <v>8269</v>
      </c>
      <c r="D2328" s="83" t="s">
        <v>3209</v>
      </c>
      <c r="E2328" s="83" t="s">
        <v>3246</v>
      </c>
      <c r="F2328" s="83" t="s">
        <v>8270</v>
      </c>
      <c r="G2328" s="83" t="s">
        <v>8271</v>
      </c>
      <c r="H2328" s="83">
        <v>1.3</v>
      </c>
      <c r="I2328" s="83" t="s">
        <v>3229</v>
      </c>
      <c r="J2328" s="83" t="s">
        <v>3601</v>
      </c>
      <c r="K2328" s="83" t="s">
        <v>3215</v>
      </c>
    </row>
    <row r="2329" spans="1:11" ht="51.75" x14ac:dyDescent="0.25">
      <c r="A2329" s="83" t="s">
        <v>1078</v>
      </c>
      <c r="B2329" s="83" t="s">
        <v>8272</v>
      </c>
      <c r="C2329" s="83" t="s">
        <v>8273</v>
      </c>
      <c r="D2329" s="83" t="s">
        <v>3209</v>
      </c>
      <c r="E2329" s="83" t="s">
        <v>3246</v>
      </c>
      <c r="F2329" s="83" t="s">
        <v>4570</v>
      </c>
      <c r="G2329" s="83" t="s">
        <v>8274</v>
      </c>
      <c r="H2329" s="83">
        <v>3.3</v>
      </c>
      <c r="I2329" s="83" t="s">
        <v>3229</v>
      </c>
      <c r="J2329" s="83" t="s">
        <v>3337</v>
      </c>
      <c r="K2329" s="83" t="s">
        <v>3215</v>
      </c>
    </row>
    <row r="2330" spans="1:11" ht="51.75" x14ac:dyDescent="0.25">
      <c r="A2330" s="83" t="s">
        <v>995</v>
      </c>
      <c r="B2330" s="83" t="s">
        <v>8275</v>
      </c>
      <c r="C2330" s="83" t="s">
        <v>8276</v>
      </c>
      <c r="D2330" s="83" t="s">
        <v>3209</v>
      </c>
      <c r="E2330" s="83" t="s">
        <v>3246</v>
      </c>
      <c r="F2330" s="83" t="s">
        <v>4272</v>
      </c>
      <c r="G2330" s="83" t="s">
        <v>4273</v>
      </c>
      <c r="H2330" s="83">
        <v>22.6</v>
      </c>
      <c r="I2330" s="83" t="s">
        <v>3229</v>
      </c>
      <c r="J2330" s="83" t="s">
        <v>3230</v>
      </c>
      <c r="K2330" s="83" t="s">
        <v>3215</v>
      </c>
    </row>
    <row r="2331" spans="1:11" ht="64.5" x14ac:dyDescent="0.25">
      <c r="A2331" s="83" t="s">
        <v>1002</v>
      </c>
      <c r="B2331" s="83" t="s">
        <v>8277</v>
      </c>
      <c r="C2331" s="83" t="s">
        <v>8278</v>
      </c>
      <c r="D2331" s="83" t="s">
        <v>3209</v>
      </c>
      <c r="E2331" s="83" t="s">
        <v>3246</v>
      </c>
      <c r="F2331" s="83" t="s">
        <v>8279</v>
      </c>
      <c r="G2331" s="83" t="s">
        <v>8280</v>
      </c>
      <c r="H2331" s="83">
        <v>1.6</v>
      </c>
      <c r="I2331" s="83" t="s">
        <v>3229</v>
      </c>
      <c r="J2331" s="83" t="s">
        <v>3601</v>
      </c>
      <c r="K2331" s="83" t="s">
        <v>3215</v>
      </c>
    </row>
    <row r="2332" spans="1:11" ht="51.75" x14ac:dyDescent="0.25">
      <c r="A2332" s="83" t="s">
        <v>1003</v>
      </c>
      <c r="B2332" s="83" t="s">
        <v>8281</v>
      </c>
      <c r="C2332" s="83" t="s">
        <v>8282</v>
      </c>
      <c r="D2332" s="83" t="s">
        <v>3209</v>
      </c>
      <c r="E2332" s="83" t="s">
        <v>3246</v>
      </c>
      <c r="F2332" s="83" t="s">
        <v>7604</v>
      </c>
      <c r="G2332" s="83" t="s">
        <v>8283</v>
      </c>
      <c r="H2332" s="83">
        <v>0.1</v>
      </c>
      <c r="I2332" s="83" t="s">
        <v>3229</v>
      </c>
      <c r="J2332" s="83" t="s">
        <v>3230</v>
      </c>
      <c r="K2332" s="83" t="s">
        <v>3215</v>
      </c>
    </row>
    <row r="2333" spans="1:11" ht="26.25" x14ac:dyDescent="0.25">
      <c r="A2333" s="83" t="s">
        <v>1007</v>
      </c>
      <c r="B2333" s="83" t="s">
        <v>8284</v>
      </c>
      <c r="C2333" s="83" t="s">
        <v>8285</v>
      </c>
      <c r="D2333" s="83" t="s">
        <v>3209</v>
      </c>
      <c r="E2333" s="83" t="s">
        <v>3246</v>
      </c>
      <c r="F2333" s="83" t="s">
        <v>8286</v>
      </c>
      <c r="G2333" s="83" t="s">
        <v>8287</v>
      </c>
      <c r="H2333" s="83">
        <v>9</v>
      </c>
      <c r="I2333" s="83" t="s">
        <v>3213</v>
      </c>
      <c r="J2333" s="83" t="s">
        <v>3851</v>
      </c>
      <c r="K2333" s="83" t="s">
        <v>3215</v>
      </c>
    </row>
    <row r="2334" spans="1:11" ht="51.75" x14ac:dyDescent="0.25">
      <c r="A2334" s="83" t="s">
        <v>1012</v>
      </c>
      <c r="B2334" s="83" t="s">
        <v>8288</v>
      </c>
      <c r="C2334" s="83" t="s">
        <v>8289</v>
      </c>
      <c r="D2334" s="83" t="s">
        <v>3209</v>
      </c>
      <c r="E2334" s="83" t="s">
        <v>3246</v>
      </c>
      <c r="F2334" s="83" t="s">
        <v>8290</v>
      </c>
      <c r="G2334" s="83" t="s">
        <v>8291</v>
      </c>
      <c r="H2334" s="83">
        <v>18</v>
      </c>
      <c r="I2334" s="83" t="s">
        <v>3229</v>
      </c>
      <c r="J2334" s="83" t="s">
        <v>3337</v>
      </c>
      <c r="K2334" s="83" t="s">
        <v>3215</v>
      </c>
    </row>
    <row r="2335" spans="1:11" ht="51.75" x14ac:dyDescent="0.25">
      <c r="A2335" s="83" t="s">
        <v>1244</v>
      </c>
      <c r="B2335" s="83" t="s">
        <v>8292</v>
      </c>
      <c r="C2335" s="83" t="s">
        <v>8293</v>
      </c>
      <c r="D2335" s="83" t="s">
        <v>3209</v>
      </c>
      <c r="E2335" s="83" t="s">
        <v>3246</v>
      </c>
      <c r="F2335" s="83" t="s">
        <v>8294</v>
      </c>
      <c r="G2335" s="83" t="s">
        <v>8295</v>
      </c>
      <c r="H2335" s="83">
        <v>63</v>
      </c>
      <c r="I2335" s="83" t="s">
        <v>3213</v>
      </c>
      <c r="J2335" s="83" t="s">
        <v>3271</v>
      </c>
      <c r="K2335" s="83" t="s">
        <v>3215</v>
      </c>
    </row>
    <row r="2336" spans="1:11" ht="26.25" x14ac:dyDescent="0.25">
      <c r="A2336" s="83" t="s">
        <v>1209</v>
      </c>
      <c r="B2336" s="83" t="s">
        <v>8296</v>
      </c>
      <c r="C2336" s="83" t="s">
        <v>8297</v>
      </c>
      <c r="D2336" s="83" t="s">
        <v>3209</v>
      </c>
      <c r="E2336" s="83" t="s">
        <v>3246</v>
      </c>
      <c r="F2336" s="83" t="s">
        <v>8298</v>
      </c>
      <c r="G2336" s="83" t="s">
        <v>4046</v>
      </c>
      <c r="H2336" s="83">
        <v>25</v>
      </c>
      <c r="I2336" s="83" t="s">
        <v>3213</v>
      </c>
      <c r="J2336" s="83" t="s">
        <v>3948</v>
      </c>
      <c r="K2336" s="83" t="s">
        <v>3215</v>
      </c>
    </row>
    <row r="2337" spans="1:11" ht="51.75" x14ac:dyDescent="0.25">
      <c r="A2337" s="83" t="s">
        <v>1210</v>
      </c>
      <c r="B2337" s="83" t="s">
        <v>8299</v>
      </c>
      <c r="C2337" s="83" t="s">
        <v>8300</v>
      </c>
      <c r="D2337" s="83" t="s">
        <v>3209</v>
      </c>
      <c r="E2337" s="83" t="s">
        <v>3246</v>
      </c>
      <c r="F2337" s="83" t="s">
        <v>8301</v>
      </c>
      <c r="G2337" s="83" t="s">
        <v>3661</v>
      </c>
      <c r="H2337" s="83">
        <v>20</v>
      </c>
      <c r="I2337" s="83" t="s">
        <v>3229</v>
      </c>
      <c r="J2337" s="83" t="s">
        <v>3371</v>
      </c>
      <c r="K2337" s="83" t="s">
        <v>3215</v>
      </c>
    </row>
    <row r="2338" spans="1:11" ht="64.5" x14ac:dyDescent="0.25">
      <c r="A2338" s="83" t="s">
        <v>1211</v>
      </c>
      <c r="B2338" s="83" t="s">
        <v>8302</v>
      </c>
      <c r="C2338" s="83" t="s">
        <v>8303</v>
      </c>
      <c r="D2338" s="83" t="s">
        <v>3209</v>
      </c>
      <c r="E2338" s="83" t="s">
        <v>3246</v>
      </c>
      <c r="F2338" s="83" t="s">
        <v>8304</v>
      </c>
      <c r="G2338" s="83" t="s">
        <v>6932</v>
      </c>
      <c r="H2338" s="83">
        <v>14.5</v>
      </c>
      <c r="I2338" s="83" t="s">
        <v>3213</v>
      </c>
      <c r="J2338" s="83" t="s">
        <v>3413</v>
      </c>
      <c r="K2338" s="83" t="s">
        <v>3215</v>
      </c>
    </row>
    <row r="2339" spans="1:11" ht="64.5" x14ac:dyDescent="0.25">
      <c r="A2339" s="83" t="s">
        <v>1220</v>
      </c>
      <c r="B2339" s="83" t="s">
        <v>8305</v>
      </c>
      <c r="C2339" s="83" t="s">
        <v>8306</v>
      </c>
      <c r="D2339" s="83" t="s">
        <v>3209</v>
      </c>
      <c r="E2339" s="83" t="s">
        <v>3246</v>
      </c>
      <c r="F2339" s="83" t="s">
        <v>8307</v>
      </c>
      <c r="G2339" s="83" t="s">
        <v>8308</v>
      </c>
      <c r="H2339" s="83">
        <v>24</v>
      </c>
      <c r="I2339" s="83" t="s">
        <v>3213</v>
      </c>
      <c r="J2339" s="83" t="s">
        <v>3262</v>
      </c>
      <c r="K2339" s="83" t="s">
        <v>3215</v>
      </c>
    </row>
    <row r="2340" spans="1:11" ht="64.5" x14ac:dyDescent="0.25">
      <c r="A2340" s="83" t="s">
        <v>1206</v>
      </c>
      <c r="B2340" s="83" t="s">
        <v>8309</v>
      </c>
      <c r="C2340" s="83" t="s">
        <v>8310</v>
      </c>
      <c r="D2340" s="83" t="s">
        <v>3209</v>
      </c>
      <c r="E2340" s="83" t="s">
        <v>3246</v>
      </c>
      <c r="F2340" s="83" t="s">
        <v>5414</v>
      </c>
      <c r="G2340" s="83" t="s">
        <v>8311</v>
      </c>
      <c r="H2340" s="83">
        <v>19.8</v>
      </c>
      <c r="I2340" s="83" t="s">
        <v>3213</v>
      </c>
      <c r="J2340" s="83" t="s">
        <v>3262</v>
      </c>
      <c r="K2340" s="83" t="s">
        <v>3215</v>
      </c>
    </row>
    <row r="2341" spans="1:11" ht="64.5" x14ac:dyDescent="0.25">
      <c r="A2341" s="83" t="s">
        <v>1202</v>
      </c>
      <c r="B2341" s="83" t="s">
        <v>3208</v>
      </c>
      <c r="C2341" s="83" t="s">
        <v>8312</v>
      </c>
      <c r="D2341" s="83" t="s">
        <v>3209</v>
      </c>
      <c r="E2341" s="83" t="s">
        <v>3246</v>
      </c>
      <c r="F2341" s="83" t="s">
        <v>8313</v>
      </c>
      <c r="G2341" s="83" t="s">
        <v>3412</v>
      </c>
      <c r="H2341" s="83">
        <v>53.8</v>
      </c>
      <c r="I2341" s="83" t="s">
        <v>3213</v>
      </c>
      <c r="J2341" s="83" t="s">
        <v>3413</v>
      </c>
      <c r="K2341" s="83" t="s">
        <v>3215</v>
      </c>
    </row>
    <row r="2342" spans="1:11" ht="26.25" x14ac:dyDescent="0.25">
      <c r="A2342" s="83" t="s">
        <v>1204</v>
      </c>
      <c r="B2342" s="83" t="s">
        <v>8314</v>
      </c>
      <c r="C2342" s="83" t="s">
        <v>8315</v>
      </c>
      <c r="D2342" s="83" t="s">
        <v>3209</v>
      </c>
      <c r="E2342" s="83" t="s">
        <v>3246</v>
      </c>
      <c r="F2342" s="83" t="s">
        <v>8316</v>
      </c>
      <c r="G2342" s="83" t="s">
        <v>3221</v>
      </c>
      <c r="H2342" s="83">
        <v>26.1</v>
      </c>
      <c r="I2342" s="83" t="s">
        <v>3213</v>
      </c>
      <c r="J2342" s="83" t="s">
        <v>3222</v>
      </c>
      <c r="K2342" s="83" t="s">
        <v>3215</v>
      </c>
    </row>
    <row r="2343" spans="1:11" ht="26.25" x14ac:dyDescent="0.25">
      <c r="A2343" s="83" t="s">
        <v>1161</v>
      </c>
      <c r="B2343" s="83" t="s">
        <v>8317</v>
      </c>
      <c r="C2343" s="83" t="s">
        <v>8318</v>
      </c>
      <c r="D2343" s="83" t="s">
        <v>3209</v>
      </c>
      <c r="E2343" s="83" t="s">
        <v>3246</v>
      </c>
      <c r="F2343" s="83" t="s">
        <v>6182</v>
      </c>
      <c r="G2343" s="83" t="s">
        <v>8319</v>
      </c>
      <c r="H2343" s="83">
        <v>5.6</v>
      </c>
      <c r="I2343" s="83" t="s">
        <v>3213</v>
      </c>
      <c r="J2343" s="83" t="s">
        <v>4000</v>
      </c>
      <c r="K2343" s="83" t="s">
        <v>3215</v>
      </c>
    </row>
    <row r="2344" spans="1:11" ht="64.5" x14ac:dyDescent="0.25">
      <c r="A2344" s="83" t="s">
        <v>1164</v>
      </c>
      <c r="B2344" s="83" t="s">
        <v>8320</v>
      </c>
      <c r="C2344" s="83" t="s">
        <v>8321</v>
      </c>
      <c r="D2344" s="83" t="s">
        <v>3209</v>
      </c>
      <c r="E2344" s="83" t="s">
        <v>3246</v>
      </c>
      <c r="F2344" s="83" t="s">
        <v>8322</v>
      </c>
      <c r="G2344" s="83" t="s">
        <v>8057</v>
      </c>
      <c r="H2344" s="83">
        <v>41</v>
      </c>
      <c r="I2344" s="83" t="s">
        <v>3213</v>
      </c>
      <c r="J2344" s="83" t="s">
        <v>3413</v>
      </c>
      <c r="K2344" s="83" t="s">
        <v>3215</v>
      </c>
    </row>
    <row r="2345" spans="1:11" ht="26.25" x14ac:dyDescent="0.25">
      <c r="A2345" s="83" t="s">
        <v>852</v>
      </c>
      <c r="B2345" s="83" t="s">
        <v>8323</v>
      </c>
      <c r="C2345" s="83" t="s">
        <v>8324</v>
      </c>
      <c r="D2345" s="83" t="s">
        <v>3209</v>
      </c>
      <c r="E2345" s="83" t="s">
        <v>3246</v>
      </c>
      <c r="F2345" s="83" t="s">
        <v>3652</v>
      </c>
      <c r="G2345" s="83" t="s">
        <v>8325</v>
      </c>
      <c r="H2345" s="83">
        <v>1.7</v>
      </c>
      <c r="I2345" s="83" t="s">
        <v>3213</v>
      </c>
      <c r="J2345" s="83" t="s">
        <v>3467</v>
      </c>
      <c r="K2345" s="83" t="s">
        <v>3215</v>
      </c>
    </row>
    <row r="2346" spans="1:11" x14ac:dyDescent="0.25">
      <c r="A2346" s="83" t="s">
        <v>8326</v>
      </c>
      <c r="B2346" s="83" t="s">
        <v>3208</v>
      </c>
      <c r="C2346" s="83" t="s">
        <v>3208</v>
      </c>
      <c r="D2346" s="83" t="s">
        <v>3209</v>
      </c>
      <c r="E2346" s="83" t="s">
        <v>3663</v>
      </c>
      <c r="F2346" s="83" t="s">
        <v>8327</v>
      </c>
      <c r="G2346" s="83" t="s">
        <v>3208</v>
      </c>
      <c r="H2346" s="83">
        <v>7000</v>
      </c>
      <c r="I2346" s="83" t="s">
        <v>3208</v>
      </c>
      <c r="J2346" s="83" t="s">
        <v>3208</v>
      </c>
      <c r="K2346" s="83" t="s">
        <v>3208</v>
      </c>
    </row>
    <row r="2347" spans="1:11" ht="26.25" x14ac:dyDescent="0.25">
      <c r="A2347" s="83" t="s">
        <v>8328</v>
      </c>
      <c r="B2347" s="83" t="s">
        <v>3208</v>
      </c>
      <c r="C2347" s="83" t="s">
        <v>3208</v>
      </c>
      <c r="D2347" s="83" t="s">
        <v>3209</v>
      </c>
      <c r="E2347" s="83" t="s">
        <v>3663</v>
      </c>
      <c r="F2347" s="83" t="s">
        <v>8329</v>
      </c>
      <c r="G2347" s="83" t="s">
        <v>8330</v>
      </c>
      <c r="H2347" s="83">
        <v>0</v>
      </c>
      <c r="I2347" s="83" t="s">
        <v>3208</v>
      </c>
      <c r="J2347" s="83" t="s">
        <v>3208</v>
      </c>
      <c r="K2347" s="83" t="s">
        <v>3208</v>
      </c>
    </row>
    <row r="2348" spans="1:11" ht="51.75" x14ac:dyDescent="0.25">
      <c r="A2348" s="83" t="s">
        <v>1016</v>
      </c>
      <c r="B2348" s="83" t="s">
        <v>8331</v>
      </c>
      <c r="C2348" s="83" t="s">
        <v>8332</v>
      </c>
      <c r="D2348" s="83" t="s">
        <v>3209</v>
      </c>
      <c r="E2348" s="83" t="s">
        <v>3246</v>
      </c>
      <c r="F2348" s="83" t="s">
        <v>8333</v>
      </c>
      <c r="G2348" s="83" t="s">
        <v>8334</v>
      </c>
      <c r="H2348" s="83">
        <v>1.2</v>
      </c>
      <c r="I2348" s="83" t="s">
        <v>3229</v>
      </c>
      <c r="J2348" s="83" t="s">
        <v>3371</v>
      </c>
      <c r="K2348" s="83" t="s">
        <v>3215</v>
      </c>
    </row>
    <row r="2349" spans="1:11" ht="64.5" x14ac:dyDescent="0.25">
      <c r="A2349" s="83" t="s">
        <v>988</v>
      </c>
      <c r="B2349" s="83" t="s">
        <v>8335</v>
      </c>
      <c r="C2349" s="83" t="s">
        <v>8336</v>
      </c>
      <c r="D2349" s="83" t="s">
        <v>3209</v>
      </c>
      <c r="E2349" s="83" t="s">
        <v>3246</v>
      </c>
      <c r="F2349" s="83" t="s">
        <v>8337</v>
      </c>
      <c r="G2349" s="83" t="s">
        <v>3475</v>
      </c>
      <c r="H2349" s="83">
        <v>34.700000000000003</v>
      </c>
      <c r="I2349" s="83" t="s">
        <v>3213</v>
      </c>
      <c r="J2349" s="83" t="s">
        <v>3219</v>
      </c>
      <c r="K2349" s="83" t="s">
        <v>3215</v>
      </c>
    </row>
    <row r="2350" spans="1:11" ht="51.75" x14ac:dyDescent="0.25">
      <c r="A2350" s="83" t="s">
        <v>989</v>
      </c>
      <c r="B2350" s="83" t="s">
        <v>8338</v>
      </c>
      <c r="C2350" s="83" t="s">
        <v>8339</v>
      </c>
      <c r="D2350" s="83" t="s">
        <v>3209</v>
      </c>
      <c r="E2350" s="83" t="s">
        <v>3246</v>
      </c>
      <c r="F2350" s="83" t="s">
        <v>8340</v>
      </c>
      <c r="G2350" s="83" t="s">
        <v>5262</v>
      </c>
      <c r="H2350" s="83">
        <v>28</v>
      </c>
      <c r="I2350" s="83" t="s">
        <v>3229</v>
      </c>
      <c r="J2350" s="83" t="s">
        <v>3230</v>
      </c>
      <c r="K2350" s="83" t="s">
        <v>3215</v>
      </c>
    </row>
    <row r="2351" spans="1:11" ht="64.5" x14ac:dyDescent="0.25">
      <c r="A2351" s="83" t="s">
        <v>955</v>
      </c>
      <c r="B2351" s="83" t="s">
        <v>8341</v>
      </c>
      <c r="C2351" s="83" t="s">
        <v>8342</v>
      </c>
      <c r="D2351" s="83" t="s">
        <v>3209</v>
      </c>
      <c r="E2351" s="83" t="s">
        <v>3246</v>
      </c>
      <c r="F2351" s="83" t="s">
        <v>8343</v>
      </c>
      <c r="G2351" s="83" t="s">
        <v>6161</v>
      </c>
      <c r="H2351" s="83">
        <v>8.6</v>
      </c>
      <c r="I2351" s="83" t="s">
        <v>3213</v>
      </c>
      <c r="J2351" s="83" t="s">
        <v>3413</v>
      </c>
      <c r="K2351" s="83" t="s">
        <v>3215</v>
      </c>
    </row>
    <row r="2352" spans="1:11" ht="26.25" x14ac:dyDescent="0.25">
      <c r="A2352" s="83" t="s">
        <v>956</v>
      </c>
      <c r="B2352" s="83" t="s">
        <v>8344</v>
      </c>
      <c r="C2352" s="83" t="s">
        <v>8345</v>
      </c>
      <c r="D2352" s="83" t="s">
        <v>3209</v>
      </c>
      <c r="E2352" s="83" t="s">
        <v>3246</v>
      </c>
      <c r="F2352" s="83" t="s">
        <v>5133</v>
      </c>
      <c r="G2352" s="83" t="s">
        <v>4030</v>
      </c>
      <c r="H2352" s="83">
        <v>16.8</v>
      </c>
      <c r="I2352" s="83" t="s">
        <v>3213</v>
      </c>
      <c r="J2352" s="83" t="s">
        <v>3948</v>
      </c>
      <c r="K2352" s="83" t="s">
        <v>3215</v>
      </c>
    </row>
    <row r="2353" spans="1:11" ht="51.75" x14ac:dyDescent="0.25">
      <c r="A2353" s="83" t="s">
        <v>813</v>
      </c>
      <c r="B2353" s="83" t="s">
        <v>8346</v>
      </c>
      <c r="C2353" s="83" t="s">
        <v>6020</v>
      </c>
      <c r="D2353" s="83" t="s">
        <v>3209</v>
      </c>
      <c r="E2353" s="83" t="s">
        <v>3246</v>
      </c>
      <c r="F2353" s="83" t="s">
        <v>8347</v>
      </c>
      <c r="G2353" s="83" t="s">
        <v>7349</v>
      </c>
      <c r="H2353" s="83">
        <v>31.3</v>
      </c>
      <c r="I2353" s="83" t="s">
        <v>3229</v>
      </c>
      <c r="J2353" s="83" t="s">
        <v>4399</v>
      </c>
      <c r="K2353" s="83" t="s">
        <v>3215</v>
      </c>
    </row>
    <row r="2354" spans="1:11" ht="26.25" x14ac:dyDescent="0.25">
      <c r="A2354" s="83" t="s">
        <v>886</v>
      </c>
      <c r="B2354" s="83" t="s">
        <v>8348</v>
      </c>
      <c r="C2354" s="83" t="s">
        <v>8349</v>
      </c>
      <c r="D2354" s="83" t="s">
        <v>3209</v>
      </c>
      <c r="E2354" s="83" t="s">
        <v>3246</v>
      </c>
      <c r="F2354" s="83" t="s">
        <v>8350</v>
      </c>
      <c r="G2354" s="83" t="s">
        <v>5513</v>
      </c>
      <c r="H2354" s="83">
        <v>23</v>
      </c>
      <c r="I2354" s="83" t="s">
        <v>3229</v>
      </c>
      <c r="J2354" s="83" t="s">
        <v>3397</v>
      </c>
      <c r="K2354" s="83" t="s">
        <v>3215</v>
      </c>
    </row>
    <row r="2355" spans="1:11" ht="64.5" x14ac:dyDescent="0.25">
      <c r="A2355" s="83" t="s">
        <v>876</v>
      </c>
      <c r="B2355" s="83" t="s">
        <v>8351</v>
      </c>
      <c r="C2355" s="83" t="s">
        <v>8352</v>
      </c>
      <c r="D2355" s="83" t="s">
        <v>3209</v>
      </c>
      <c r="E2355" s="83" t="s">
        <v>3246</v>
      </c>
      <c r="F2355" s="83" t="s">
        <v>8353</v>
      </c>
      <c r="G2355" s="83" t="s">
        <v>5152</v>
      </c>
      <c r="H2355" s="83">
        <v>36.700000000000003</v>
      </c>
      <c r="I2355" s="83" t="s">
        <v>3213</v>
      </c>
      <c r="J2355" s="83" t="s">
        <v>3413</v>
      </c>
      <c r="K2355" s="83" t="s">
        <v>3215</v>
      </c>
    </row>
    <row r="2356" spans="1:11" ht="51.75" x14ac:dyDescent="0.25">
      <c r="A2356" s="83" t="s">
        <v>866</v>
      </c>
      <c r="B2356" s="83" t="s">
        <v>8354</v>
      </c>
      <c r="C2356" s="83" t="s">
        <v>8355</v>
      </c>
      <c r="D2356" s="83" t="s">
        <v>3209</v>
      </c>
      <c r="E2356" s="83" t="s">
        <v>3246</v>
      </c>
      <c r="F2356" s="83" t="s">
        <v>3745</v>
      </c>
      <c r="G2356" s="83" t="s">
        <v>3355</v>
      </c>
      <c r="H2356" s="83">
        <v>12.2</v>
      </c>
      <c r="I2356" s="83" t="s">
        <v>3229</v>
      </c>
      <c r="J2356" s="83" t="s">
        <v>3289</v>
      </c>
      <c r="K2356" s="83" t="s">
        <v>3215</v>
      </c>
    </row>
    <row r="2357" spans="1:11" ht="64.5" x14ac:dyDescent="0.25">
      <c r="A2357" s="83" t="s">
        <v>844</v>
      </c>
      <c r="B2357" s="83" t="s">
        <v>8356</v>
      </c>
      <c r="C2357" s="83" t="s">
        <v>8357</v>
      </c>
      <c r="D2357" s="83" t="s">
        <v>3209</v>
      </c>
      <c r="E2357" s="83" t="s">
        <v>3246</v>
      </c>
      <c r="F2357" s="83" t="s">
        <v>8358</v>
      </c>
      <c r="G2357" s="83" t="s">
        <v>5345</v>
      </c>
      <c r="H2357" s="83">
        <v>7</v>
      </c>
      <c r="I2357" s="83" t="s">
        <v>3229</v>
      </c>
      <c r="J2357" s="83" t="s">
        <v>3380</v>
      </c>
      <c r="K2357" s="83" t="s">
        <v>3215</v>
      </c>
    </row>
    <row r="2358" spans="1:11" ht="26.25" x14ac:dyDescent="0.25">
      <c r="A2358" s="83" t="s">
        <v>8359</v>
      </c>
      <c r="B2358" s="83" t="s">
        <v>3208</v>
      </c>
      <c r="C2358" s="83" t="s">
        <v>3208</v>
      </c>
      <c r="D2358" s="83" t="s">
        <v>3209</v>
      </c>
      <c r="E2358" s="83" t="s">
        <v>3663</v>
      </c>
      <c r="F2358" s="83" t="s">
        <v>8360</v>
      </c>
      <c r="G2358" s="83" t="s">
        <v>8361</v>
      </c>
      <c r="H2358" s="83">
        <v>98</v>
      </c>
      <c r="I2358" s="83" t="s">
        <v>3208</v>
      </c>
      <c r="J2358" s="83" t="s">
        <v>3208</v>
      </c>
      <c r="K2358" s="83" t="s">
        <v>3208</v>
      </c>
    </row>
    <row r="2359" spans="1:11" ht="26.25" x14ac:dyDescent="0.25">
      <c r="A2359" s="83" t="s">
        <v>8362</v>
      </c>
      <c r="B2359" s="83" t="s">
        <v>3208</v>
      </c>
      <c r="C2359" s="83" t="s">
        <v>3208</v>
      </c>
      <c r="D2359" s="83" t="s">
        <v>3209</v>
      </c>
      <c r="E2359" s="83" t="s">
        <v>3663</v>
      </c>
      <c r="F2359" s="83" t="s">
        <v>8363</v>
      </c>
      <c r="G2359" s="83" t="s">
        <v>8364</v>
      </c>
      <c r="H2359" s="83">
        <v>10</v>
      </c>
      <c r="I2359" s="83" t="s">
        <v>3208</v>
      </c>
      <c r="J2359" s="83" t="s">
        <v>3208</v>
      </c>
      <c r="K2359" s="83" t="s">
        <v>3208</v>
      </c>
    </row>
    <row r="2360" spans="1:11" x14ac:dyDescent="0.25">
      <c r="A2360" s="83" t="s">
        <v>8365</v>
      </c>
      <c r="B2360" s="83" t="s">
        <v>8366</v>
      </c>
      <c r="C2360" s="83" t="s">
        <v>8367</v>
      </c>
      <c r="D2360" s="83" t="s">
        <v>3209</v>
      </c>
      <c r="E2360" s="83" t="s">
        <v>3702</v>
      </c>
      <c r="F2360" s="83" t="s">
        <v>8368</v>
      </c>
      <c r="G2360" s="83" t="s">
        <v>3208</v>
      </c>
      <c r="H2360" s="83">
        <v>0</v>
      </c>
      <c r="I2360" s="83" t="s">
        <v>3208</v>
      </c>
      <c r="J2360" s="83" t="s">
        <v>3208</v>
      </c>
      <c r="K2360" s="83" t="s">
        <v>3208</v>
      </c>
    </row>
    <row r="2361" spans="1:11" ht="26.25" x14ac:dyDescent="0.25">
      <c r="A2361" s="83" t="s">
        <v>8369</v>
      </c>
      <c r="B2361" s="83" t="s">
        <v>3208</v>
      </c>
      <c r="C2361" s="83" t="s">
        <v>3208</v>
      </c>
      <c r="D2361" s="83" t="s">
        <v>3713</v>
      </c>
      <c r="E2361" s="83" t="s">
        <v>3714</v>
      </c>
      <c r="F2361" s="83" t="s">
        <v>8370</v>
      </c>
      <c r="G2361" s="83" t="s">
        <v>3208</v>
      </c>
      <c r="H2361" s="83">
        <v>0</v>
      </c>
      <c r="I2361" s="83" t="s">
        <v>3208</v>
      </c>
      <c r="J2361" s="83" t="s">
        <v>3208</v>
      </c>
      <c r="K2361" s="83" t="s">
        <v>3208</v>
      </c>
    </row>
    <row r="2362" spans="1:11" ht="39" x14ac:dyDescent="0.25">
      <c r="A2362" s="83" t="s">
        <v>521</v>
      </c>
      <c r="B2362" s="83" t="s">
        <v>3208</v>
      </c>
      <c r="C2362" s="83" t="s">
        <v>8371</v>
      </c>
      <c r="D2362" s="83" t="s">
        <v>3718</v>
      </c>
      <c r="E2362" s="83" t="s">
        <v>3727</v>
      </c>
      <c r="F2362" s="83" t="s">
        <v>8372</v>
      </c>
      <c r="G2362" s="83" t="s">
        <v>8373</v>
      </c>
      <c r="H2362" s="83">
        <v>8</v>
      </c>
      <c r="I2362" s="83" t="s">
        <v>3229</v>
      </c>
      <c r="J2362" s="83" t="s">
        <v>3241</v>
      </c>
      <c r="K2362" s="83" t="s">
        <v>3215</v>
      </c>
    </row>
    <row r="2363" spans="1:11" ht="51.75" x14ac:dyDescent="0.25">
      <c r="A2363" s="83" t="s">
        <v>590</v>
      </c>
      <c r="B2363" s="83" t="s">
        <v>3208</v>
      </c>
      <c r="C2363" s="83" t="s">
        <v>8374</v>
      </c>
      <c r="D2363" s="83" t="s">
        <v>3741</v>
      </c>
      <c r="E2363" s="83" t="s">
        <v>3727</v>
      </c>
      <c r="F2363" s="83" t="s">
        <v>8375</v>
      </c>
      <c r="G2363" s="83" t="s">
        <v>152</v>
      </c>
      <c r="H2363" s="83">
        <v>1</v>
      </c>
      <c r="I2363" s="83" t="s">
        <v>3213</v>
      </c>
      <c r="J2363" s="83" t="s">
        <v>3538</v>
      </c>
      <c r="K2363" s="83" t="s">
        <v>3215</v>
      </c>
    </row>
    <row r="2364" spans="1:11" ht="64.5" x14ac:dyDescent="0.25">
      <c r="A2364" s="83" t="s">
        <v>540</v>
      </c>
      <c r="B2364" s="83" t="s">
        <v>3208</v>
      </c>
      <c r="C2364" s="83" t="s">
        <v>8376</v>
      </c>
      <c r="D2364" s="83" t="s">
        <v>3741</v>
      </c>
      <c r="E2364" s="83" t="s">
        <v>3727</v>
      </c>
      <c r="F2364" s="83" t="s">
        <v>8377</v>
      </c>
      <c r="G2364" s="83" t="s">
        <v>4902</v>
      </c>
      <c r="H2364" s="83">
        <v>7.7</v>
      </c>
      <c r="I2364" s="83" t="s">
        <v>3213</v>
      </c>
      <c r="J2364" s="83" t="s">
        <v>3219</v>
      </c>
      <c r="K2364" s="83" t="s">
        <v>3215</v>
      </c>
    </row>
    <row r="2365" spans="1:11" ht="51.75" x14ac:dyDescent="0.25">
      <c r="A2365" s="83" t="s">
        <v>1021</v>
      </c>
      <c r="B2365" s="83" t="s">
        <v>3208</v>
      </c>
      <c r="C2365" s="83" t="s">
        <v>8378</v>
      </c>
      <c r="D2365" s="83" t="s">
        <v>3752</v>
      </c>
      <c r="E2365" s="83" t="s">
        <v>3723</v>
      </c>
      <c r="F2365" s="83" t="s">
        <v>6283</v>
      </c>
      <c r="G2365" s="83" t="s">
        <v>6284</v>
      </c>
      <c r="H2365" s="83">
        <v>0</v>
      </c>
      <c r="I2365" s="83" t="s">
        <v>3229</v>
      </c>
      <c r="J2365" s="83" t="s">
        <v>3337</v>
      </c>
      <c r="K2365" s="83" t="s">
        <v>3215</v>
      </c>
    </row>
    <row r="2366" spans="1:11" ht="51.75" x14ac:dyDescent="0.25">
      <c r="A2366" s="83" t="s">
        <v>1901</v>
      </c>
      <c r="B2366" s="83" t="s">
        <v>3208</v>
      </c>
      <c r="C2366" s="83" t="s">
        <v>3208</v>
      </c>
      <c r="D2366" s="83" t="s">
        <v>3713</v>
      </c>
      <c r="E2366" s="83" t="s">
        <v>3761</v>
      </c>
      <c r="F2366" s="83" t="s">
        <v>3798</v>
      </c>
      <c r="G2366" s="83" t="s">
        <v>6051</v>
      </c>
      <c r="H2366" s="83">
        <v>0</v>
      </c>
      <c r="I2366" s="83" t="s">
        <v>3213</v>
      </c>
      <c r="J2366" s="83" t="s">
        <v>3257</v>
      </c>
      <c r="K2366" s="83" t="s">
        <v>3215</v>
      </c>
    </row>
    <row r="2367" spans="1:11" ht="26.25" x14ac:dyDescent="0.25">
      <c r="A2367" s="83" t="s">
        <v>644</v>
      </c>
      <c r="B2367" s="83" t="s">
        <v>3208</v>
      </c>
      <c r="C2367" s="83" t="s">
        <v>8379</v>
      </c>
      <c r="D2367" s="83" t="s">
        <v>3718</v>
      </c>
      <c r="E2367" s="83" t="s">
        <v>3727</v>
      </c>
      <c r="F2367" s="83" t="s">
        <v>7731</v>
      </c>
      <c r="G2367" s="83" t="s">
        <v>8380</v>
      </c>
      <c r="H2367" s="83">
        <v>10</v>
      </c>
      <c r="I2367" s="83" t="s">
        <v>3213</v>
      </c>
      <c r="J2367" s="83" t="s">
        <v>3467</v>
      </c>
      <c r="K2367" s="83" t="s">
        <v>3215</v>
      </c>
    </row>
    <row r="2368" spans="1:11" ht="51.75" x14ac:dyDescent="0.25">
      <c r="A2368" s="83" t="s">
        <v>1964</v>
      </c>
      <c r="B2368" s="83" t="s">
        <v>3208</v>
      </c>
      <c r="C2368" s="83" t="s">
        <v>3208</v>
      </c>
      <c r="D2368" s="83" t="s">
        <v>3713</v>
      </c>
      <c r="E2368" s="83" t="s">
        <v>3761</v>
      </c>
      <c r="F2368" s="83" t="s">
        <v>8381</v>
      </c>
      <c r="G2368" s="83" t="s">
        <v>8382</v>
      </c>
      <c r="H2368" s="83">
        <v>0</v>
      </c>
      <c r="I2368" s="83" t="s">
        <v>3213</v>
      </c>
      <c r="J2368" s="83" t="s">
        <v>3257</v>
      </c>
      <c r="K2368" s="83" t="s">
        <v>3215</v>
      </c>
    </row>
    <row r="2369" spans="1:11" ht="51.75" x14ac:dyDescent="0.25">
      <c r="A2369" s="83" t="s">
        <v>2136</v>
      </c>
      <c r="B2369" s="83" t="s">
        <v>3208</v>
      </c>
      <c r="C2369" s="83" t="s">
        <v>3208</v>
      </c>
      <c r="D2369" s="83" t="s">
        <v>3713</v>
      </c>
      <c r="E2369" s="83" t="s">
        <v>3761</v>
      </c>
      <c r="F2369" s="83" t="s">
        <v>3765</v>
      </c>
      <c r="G2369" s="83" t="s">
        <v>8383</v>
      </c>
      <c r="H2369" s="83">
        <v>0</v>
      </c>
      <c r="I2369" s="83" t="s">
        <v>3229</v>
      </c>
      <c r="J2369" s="83" t="s">
        <v>3289</v>
      </c>
      <c r="K2369" s="83" t="s">
        <v>3215</v>
      </c>
    </row>
    <row r="2370" spans="1:11" ht="26.25" x14ac:dyDescent="0.25">
      <c r="A2370" s="83" t="s">
        <v>2150</v>
      </c>
      <c r="B2370" s="83" t="s">
        <v>3208</v>
      </c>
      <c r="C2370" s="83" t="s">
        <v>3208</v>
      </c>
      <c r="D2370" s="83" t="s">
        <v>3713</v>
      </c>
      <c r="E2370" s="83" t="s">
        <v>3761</v>
      </c>
      <c r="F2370" s="83" t="s">
        <v>3772</v>
      </c>
      <c r="G2370" s="83" t="s">
        <v>3444</v>
      </c>
      <c r="H2370" s="83">
        <v>0</v>
      </c>
      <c r="I2370" s="83" t="s">
        <v>3213</v>
      </c>
      <c r="J2370" s="83" t="s">
        <v>3851</v>
      </c>
      <c r="K2370" s="83" t="s">
        <v>3215</v>
      </c>
    </row>
    <row r="2371" spans="1:11" ht="51.75" x14ac:dyDescent="0.25">
      <c r="A2371" s="83" t="s">
        <v>2165</v>
      </c>
      <c r="B2371" s="83" t="s">
        <v>3208</v>
      </c>
      <c r="C2371" s="83" t="s">
        <v>3208</v>
      </c>
      <c r="D2371" s="83" t="s">
        <v>3713</v>
      </c>
      <c r="E2371" s="83" t="s">
        <v>3761</v>
      </c>
      <c r="F2371" s="83" t="s">
        <v>6300</v>
      </c>
      <c r="G2371" s="83" t="s">
        <v>4793</v>
      </c>
      <c r="H2371" s="83">
        <v>0</v>
      </c>
      <c r="I2371" s="83" t="s">
        <v>3213</v>
      </c>
      <c r="J2371" s="83" t="s">
        <v>3214</v>
      </c>
      <c r="K2371" s="83" t="s">
        <v>3215</v>
      </c>
    </row>
    <row r="2372" spans="1:11" ht="51.75" x14ac:dyDescent="0.25">
      <c r="A2372" s="83" t="s">
        <v>2428</v>
      </c>
      <c r="B2372" s="83" t="s">
        <v>3208</v>
      </c>
      <c r="C2372" s="83" t="s">
        <v>3208</v>
      </c>
      <c r="D2372" s="83" t="s">
        <v>3713</v>
      </c>
      <c r="E2372" s="83" t="s">
        <v>3761</v>
      </c>
      <c r="F2372" s="83" t="s">
        <v>8384</v>
      </c>
      <c r="G2372" s="83" t="s">
        <v>8385</v>
      </c>
      <c r="H2372" s="83">
        <v>0</v>
      </c>
      <c r="I2372" s="83" t="s">
        <v>3229</v>
      </c>
      <c r="J2372" s="83" t="s">
        <v>3238</v>
      </c>
      <c r="K2372" s="83" t="s">
        <v>3215</v>
      </c>
    </row>
    <row r="2373" spans="1:11" ht="26.25" x14ac:dyDescent="0.25">
      <c r="A2373" s="83" t="s">
        <v>2174</v>
      </c>
      <c r="B2373" s="83" t="s">
        <v>3208</v>
      </c>
      <c r="C2373" s="83" t="s">
        <v>3208</v>
      </c>
      <c r="D2373" s="83" t="s">
        <v>3713</v>
      </c>
      <c r="E2373" s="83" t="s">
        <v>3761</v>
      </c>
      <c r="F2373" s="83" t="s">
        <v>8386</v>
      </c>
      <c r="G2373" s="83" t="s">
        <v>8387</v>
      </c>
      <c r="H2373" s="83">
        <v>0</v>
      </c>
      <c r="I2373" s="83" t="s">
        <v>3229</v>
      </c>
      <c r="J2373" s="83" t="s">
        <v>3397</v>
      </c>
      <c r="K2373" s="83" t="s">
        <v>3215</v>
      </c>
    </row>
    <row r="2374" spans="1:11" ht="51.75" x14ac:dyDescent="0.25">
      <c r="A2374" s="83" t="s">
        <v>8388</v>
      </c>
      <c r="B2374" s="83" t="s">
        <v>3208</v>
      </c>
      <c r="C2374" s="83" t="s">
        <v>3208</v>
      </c>
      <c r="D2374" s="83" t="s">
        <v>3713</v>
      </c>
      <c r="E2374" s="83" t="s">
        <v>3761</v>
      </c>
      <c r="F2374" s="83" t="s">
        <v>8389</v>
      </c>
      <c r="G2374" s="83" t="s">
        <v>4429</v>
      </c>
      <c r="H2374" s="83">
        <v>0</v>
      </c>
      <c r="I2374" s="83" t="s">
        <v>3229</v>
      </c>
      <c r="J2374" s="83" t="s">
        <v>4430</v>
      </c>
      <c r="K2374" s="83" t="s">
        <v>3215</v>
      </c>
    </row>
    <row r="2375" spans="1:11" ht="51.75" x14ac:dyDescent="0.25">
      <c r="A2375" s="83" t="s">
        <v>1947</v>
      </c>
      <c r="B2375" s="83" t="s">
        <v>3208</v>
      </c>
      <c r="C2375" s="83" t="s">
        <v>3208</v>
      </c>
      <c r="D2375" s="83" t="s">
        <v>3713</v>
      </c>
      <c r="E2375" s="83" t="s">
        <v>3761</v>
      </c>
      <c r="F2375" s="83" t="s">
        <v>8390</v>
      </c>
      <c r="G2375" s="83" t="s">
        <v>4891</v>
      </c>
      <c r="H2375" s="83">
        <v>0</v>
      </c>
      <c r="I2375" s="83" t="s">
        <v>3229</v>
      </c>
      <c r="J2375" s="83" t="s">
        <v>3238</v>
      </c>
      <c r="K2375" s="83" t="s">
        <v>3215</v>
      </c>
    </row>
    <row r="2376" spans="1:11" ht="39" x14ac:dyDescent="0.25">
      <c r="A2376" s="83" t="s">
        <v>2179</v>
      </c>
      <c r="B2376" s="83" t="s">
        <v>3208</v>
      </c>
      <c r="C2376" s="83" t="s">
        <v>3208</v>
      </c>
      <c r="D2376" s="83" t="s">
        <v>3713</v>
      </c>
      <c r="E2376" s="83" t="s">
        <v>3761</v>
      </c>
      <c r="F2376" s="83" t="s">
        <v>3779</v>
      </c>
      <c r="G2376" s="83" t="s">
        <v>5284</v>
      </c>
      <c r="H2376" s="83">
        <v>0</v>
      </c>
      <c r="I2376" s="83" t="s">
        <v>3229</v>
      </c>
      <c r="J2376" s="83" t="s">
        <v>2706</v>
      </c>
      <c r="K2376" s="83" t="s">
        <v>3215</v>
      </c>
    </row>
    <row r="2377" spans="1:11" ht="26.25" x14ac:dyDescent="0.25">
      <c r="A2377" s="83" t="s">
        <v>2244</v>
      </c>
      <c r="B2377" s="83" t="s">
        <v>3208</v>
      </c>
      <c r="C2377" s="83" t="s">
        <v>3208</v>
      </c>
      <c r="D2377" s="83" t="s">
        <v>3713</v>
      </c>
      <c r="E2377" s="83" t="s">
        <v>3761</v>
      </c>
      <c r="F2377" s="83" t="s">
        <v>8391</v>
      </c>
      <c r="G2377" s="83" t="s">
        <v>8392</v>
      </c>
      <c r="H2377" s="83">
        <v>0</v>
      </c>
      <c r="I2377" s="83" t="s">
        <v>3229</v>
      </c>
      <c r="J2377" s="83" t="s">
        <v>3222</v>
      </c>
      <c r="K2377" s="83" t="s">
        <v>3215</v>
      </c>
    </row>
    <row r="2378" spans="1:11" ht="26.25" x14ac:dyDescent="0.25">
      <c r="A2378" s="83" t="s">
        <v>2209</v>
      </c>
      <c r="B2378" s="83" t="s">
        <v>3208</v>
      </c>
      <c r="C2378" s="83" t="s">
        <v>3208</v>
      </c>
      <c r="D2378" s="83" t="s">
        <v>3713</v>
      </c>
      <c r="E2378" s="83" t="s">
        <v>3761</v>
      </c>
      <c r="F2378" s="83" t="s">
        <v>8393</v>
      </c>
      <c r="G2378" s="83" t="s">
        <v>5307</v>
      </c>
      <c r="H2378" s="83">
        <v>0</v>
      </c>
      <c r="I2378" s="83" t="s">
        <v>3229</v>
      </c>
      <c r="J2378" s="83" t="s">
        <v>3311</v>
      </c>
      <c r="K2378" s="83" t="s">
        <v>3215</v>
      </c>
    </row>
    <row r="2379" spans="1:11" ht="26.25" x14ac:dyDescent="0.25">
      <c r="A2379" s="83" t="s">
        <v>2397</v>
      </c>
      <c r="B2379" s="83" t="s">
        <v>3208</v>
      </c>
      <c r="C2379" s="83" t="s">
        <v>3208</v>
      </c>
      <c r="D2379" s="83" t="s">
        <v>3713</v>
      </c>
      <c r="E2379" s="83" t="s">
        <v>3761</v>
      </c>
      <c r="F2379" s="83" t="s">
        <v>8394</v>
      </c>
      <c r="G2379" s="83" t="s">
        <v>8395</v>
      </c>
      <c r="H2379" s="83">
        <v>0</v>
      </c>
      <c r="I2379" s="83" t="s">
        <v>3229</v>
      </c>
      <c r="J2379" s="83" t="s">
        <v>3222</v>
      </c>
      <c r="K2379" s="83" t="s">
        <v>3215</v>
      </c>
    </row>
    <row r="2380" spans="1:11" ht="64.5" x14ac:dyDescent="0.25">
      <c r="A2380" s="83" t="s">
        <v>2002</v>
      </c>
      <c r="B2380" s="83" t="s">
        <v>3208</v>
      </c>
      <c r="C2380" s="83" t="s">
        <v>3208</v>
      </c>
      <c r="D2380" s="83" t="s">
        <v>3713</v>
      </c>
      <c r="E2380" s="83" t="s">
        <v>3761</v>
      </c>
      <c r="F2380" s="83" t="s">
        <v>8396</v>
      </c>
      <c r="G2380" s="83" t="s">
        <v>3824</v>
      </c>
      <c r="H2380" s="83">
        <v>0</v>
      </c>
      <c r="I2380" s="83" t="s">
        <v>3213</v>
      </c>
      <c r="J2380" s="83" t="s">
        <v>3413</v>
      </c>
      <c r="K2380" s="83" t="s">
        <v>3215</v>
      </c>
    </row>
    <row r="2381" spans="1:11" ht="51.75" x14ac:dyDescent="0.25">
      <c r="A2381" s="83" t="s">
        <v>2003</v>
      </c>
      <c r="B2381" s="83" t="s">
        <v>3208</v>
      </c>
      <c r="C2381" s="83" t="s">
        <v>3208</v>
      </c>
      <c r="D2381" s="83" t="s">
        <v>3713</v>
      </c>
      <c r="E2381" s="83" t="s">
        <v>3761</v>
      </c>
      <c r="F2381" s="83" t="s">
        <v>3790</v>
      </c>
      <c r="G2381" s="83" t="s">
        <v>3791</v>
      </c>
      <c r="H2381" s="83">
        <v>0</v>
      </c>
      <c r="I2381" s="83" t="s">
        <v>3229</v>
      </c>
      <c r="J2381" s="83" t="s">
        <v>3289</v>
      </c>
      <c r="K2381" s="83" t="s">
        <v>3215</v>
      </c>
    </row>
    <row r="2382" spans="1:11" ht="51.75" x14ac:dyDescent="0.25">
      <c r="A2382" s="83" t="s">
        <v>2016</v>
      </c>
      <c r="B2382" s="83" t="s">
        <v>3208</v>
      </c>
      <c r="C2382" s="83" t="s">
        <v>3208</v>
      </c>
      <c r="D2382" s="83" t="s">
        <v>3713</v>
      </c>
      <c r="E2382" s="83" t="s">
        <v>3761</v>
      </c>
      <c r="F2382" s="83" t="s">
        <v>3792</v>
      </c>
      <c r="G2382" s="83" t="s">
        <v>3408</v>
      </c>
      <c r="H2382" s="83">
        <v>0</v>
      </c>
      <c r="I2382" s="83" t="s">
        <v>3229</v>
      </c>
      <c r="J2382" s="83" t="s">
        <v>3289</v>
      </c>
      <c r="K2382" s="83" t="s">
        <v>3215</v>
      </c>
    </row>
    <row r="2383" spans="1:11" ht="51.75" x14ac:dyDescent="0.25">
      <c r="A2383" s="83" t="s">
        <v>2017</v>
      </c>
      <c r="B2383" s="83" t="s">
        <v>3208</v>
      </c>
      <c r="C2383" s="83" t="s">
        <v>3208</v>
      </c>
      <c r="D2383" s="83" t="s">
        <v>3713</v>
      </c>
      <c r="E2383" s="83" t="s">
        <v>3761</v>
      </c>
      <c r="F2383" s="83" t="s">
        <v>3792</v>
      </c>
      <c r="G2383" s="83" t="s">
        <v>3408</v>
      </c>
      <c r="H2383" s="83">
        <v>0</v>
      </c>
      <c r="I2383" s="83" t="s">
        <v>3229</v>
      </c>
      <c r="J2383" s="83" t="s">
        <v>3289</v>
      </c>
      <c r="K2383" s="83" t="s">
        <v>3215</v>
      </c>
    </row>
    <row r="2384" spans="1:11" ht="51.75" x14ac:dyDescent="0.25">
      <c r="A2384" s="83" t="s">
        <v>2023</v>
      </c>
      <c r="B2384" s="83" t="s">
        <v>3208</v>
      </c>
      <c r="C2384" s="83" t="s">
        <v>3208</v>
      </c>
      <c r="D2384" s="83" t="s">
        <v>3713</v>
      </c>
      <c r="E2384" s="83" t="s">
        <v>3761</v>
      </c>
      <c r="F2384" s="83" t="s">
        <v>3792</v>
      </c>
      <c r="G2384" s="83" t="s">
        <v>3341</v>
      </c>
      <c r="H2384" s="83">
        <v>0</v>
      </c>
      <c r="I2384" s="83" t="s">
        <v>3229</v>
      </c>
      <c r="J2384" s="83" t="s">
        <v>3230</v>
      </c>
      <c r="K2384" s="83" t="s">
        <v>3215</v>
      </c>
    </row>
    <row r="2385" spans="1:11" ht="26.25" x14ac:dyDescent="0.25">
      <c r="A2385" s="83" t="s">
        <v>2054</v>
      </c>
      <c r="B2385" s="83" t="s">
        <v>3208</v>
      </c>
      <c r="C2385" s="83" t="s">
        <v>3208</v>
      </c>
      <c r="D2385" s="83" t="s">
        <v>3713</v>
      </c>
      <c r="E2385" s="83" t="s">
        <v>3761</v>
      </c>
      <c r="F2385" s="83" t="s">
        <v>5523</v>
      </c>
      <c r="G2385" s="83" t="s">
        <v>3221</v>
      </c>
      <c r="H2385" s="83">
        <v>0</v>
      </c>
      <c r="I2385" s="83" t="s">
        <v>3213</v>
      </c>
      <c r="J2385" s="83" t="s">
        <v>3222</v>
      </c>
      <c r="K2385" s="83" t="s">
        <v>3215</v>
      </c>
    </row>
    <row r="2386" spans="1:11" ht="26.25" x14ac:dyDescent="0.25">
      <c r="A2386" s="83" t="s">
        <v>1953</v>
      </c>
      <c r="B2386" s="83" t="s">
        <v>3208</v>
      </c>
      <c r="C2386" s="83" t="s">
        <v>3208</v>
      </c>
      <c r="D2386" s="83" t="s">
        <v>3713</v>
      </c>
      <c r="E2386" s="83" t="s">
        <v>3761</v>
      </c>
      <c r="F2386" s="83" t="s">
        <v>8397</v>
      </c>
      <c r="G2386" s="83" t="s">
        <v>3466</v>
      </c>
      <c r="H2386" s="83">
        <v>0</v>
      </c>
      <c r="I2386" s="83" t="s">
        <v>3213</v>
      </c>
      <c r="J2386" s="83" t="s">
        <v>3467</v>
      </c>
      <c r="K2386" s="83" t="s">
        <v>3215</v>
      </c>
    </row>
    <row r="2387" spans="1:11" ht="64.5" x14ac:dyDescent="0.25">
      <c r="A2387" s="83" t="s">
        <v>2055</v>
      </c>
      <c r="B2387" s="83" t="s">
        <v>3208</v>
      </c>
      <c r="C2387" s="83" t="s">
        <v>3208</v>
      </c>
      <c r="D2387" s="83" t="s">
        <v>3713</v>
      </c>
      <c r="E2387" s="83" t="s">
        <v>3761</v>
      </c>
      <c r="F2387" s="83" t="s">
        <v>3802</v>
      </c>
      <c r="G2387" s="83" t="s">
        <v>3803</v>
      </c>
      <c r="H2387" s="83">
        <v>0</v>
      </c>
      <c r="I2387" s="83" t="s">
        <v>3213</v>
      </c>
      <c r="J2387" s="83" t="s">
        <v>3413</v>
      </c>
      <c r="K2387" s="83" t="s">
        <v>3215</v>
      </c>
    </row>
    <row r="2388" spans="1:11" ht="64.5" x14ac:dyDescent="0.25">
      <c r="A2388" s="83" t="s">
        <v>2061</v>
      </c>
      <c r="B2388" s="83" t="s">
        <v>3208</v>
      </c>
      <c r="C2388" s="83" t="s">
        <v>3208</v>
      </c>
      <c r="D2388" s="83" t="s">
        <v>3713</v>
      </c>
      <c r="E2388" s="83" t="s">
        <v>3761</v>
      </c>
      <c r="F2388" s="83" t="s">
        <v>3802</v>
      </c>
      <c r="G2388" s="83" t="s">
        <v>3803</v>
      </c>
      <c r="H2388" s="83">
        <v>0</v>
      </c>
      <c r="I2388" s="83" t="s">
        <v>3213</v>
      </c>
      <c r="J2388" s="83" t="s">
        <v>3413</v>
      </c>
      <c r="K2388" s="83" t="s">
        <v>3215</v>
      </c>
    </row>
    <row r="2389" spans="1:11" ht="64.5" x14ac:dyDescent="0.25">
      <c r="A2389" s="83" t="s">
        <v>2065</v>
      </c>
      <c r="B2389" s="83" t="s">
        <v>3208</v>
      </c>
      <c r="C2389" s="83" t="s">
        <v>3208</v>
      </c>
      <c r="D2389" s="83" t="s">
        <v>3713</v>
      </c>
      <c r="E2389" s="83" t="s">
        <v>3761</v>
      </c>
      <c r="F2389" s="83" t="s">
        <v>3802</v>
      </c>
      <c r="G2389" s="83" t="s">
        <v>3803</v>
      </c>
      <c r="H2389" s="83">
        <v>0</v>
      </c>
      <c r="I2389" s="83" t="s">
        <v>3213</v>
      </c>
      <c r="J2389" s="83" t="s">
        <v>3413</v>
      </c>
      <c r="K2389" s="83" t="s">
        <v>3215</v>
      </c>
    </row>
    <row r="2390" spans="1:11" ht="51.75" x14ac:dyDescent="0.25">
      <c r="A2390" s="83" t="s">
        <v>2068</v>
      </c>
      <c r="B2390" s="83" t="s">
        <v>3208</v>
      </c>
      <c r="C2390" s="83" t="s">
        <v>3208</v>
      </c>
      <c r="D2390" s="83" t="s">
        <v>3713</v>
      </c>
      <c r="E2390" s="83" t="s">
        <v>3761</v>
      </c>
      <c r="F2390" s="83" t="s">
        <v>3804</v>
      </c>
      <c r="G2390" s="83" t="s">
        <v>3791</v>
      </c>
      <c r="H2390" s="83">
        <v>0</v>
      </c>
      <c r="I2390" s="83" t="s">
        <v>3229</v>
      </c>
      <c r="J2390" s="83" t="s">
        <v>3289</v>
      </c>
      <c r="K2390" s="83" t="s">
        <v>3215</v>
      </c>
    </row>
    <row r="2391" spans="1:11" ht="26.25" x14ac:dyDescent="0.25">
      <c r="A2391" s="83" t="s">
        <v>2083</v>
      </c>
      <c r="B2391" s="83" t="s">
        <v>3208</v>
      </c>
      <c r="C2391" s="83" t="s">
        <v>3208</v>
      </c>
      <c r="D2391" s="83" t="s">
        <v>3713</v>
      </c>
      <c r="E2391" s="83" t="s">
        <v>3761</v>
      </c>
      <c r="F2391" s="83" t="s">
        <v>3807</v>
      </c>
      <c r="G2391" s="83" t="s">
        <v>3808</v>
      </c>
      <c r="H2391" s="83">
        <v>0</v>
      </c>
      <c r="I2391" s="83" t="s">
        <v>3229</v>
      </c>
      <c r="J2391" s="83" t="s">
        <v>3311</v>
      </c>
      <c r="K2391" s="83" t="s">
        <v>3215</v>
      </c>
    </row>
    <row r="2392" spans="1:11" ht="26.25" x14ac:dyDescent="0.25">
      <c r="A2392" s="83" t="s">
        <v>2086</v>
      </c>
      <c r="B2392" s="83" t="s">
        <v>3208</v>
      </c>
      <c r="C2392" s="83" t="s">
        <v>3208</v>
      </c>
      <c r="D2392" s="83" t="s">
        <v>3713</v>
      </c>
      <c r="E2392" s="83" t="s">
        <v>3761</v>
      </c>
      <c r="F2392" s="83" t="s">
        <v>3807</v>
      </c>
      <c r="G2392" s="83" t="s">
        <v>3808</v>
      </c>
      <c r="H2392" s="83">
        <v>0</v>
      </c>
      <c r="I2392" s="83" t="s">
        <v>3229</v>
      </c>
      <c r="J2392" s="83" t="s">
        <v>3311</v>
      </c>
      <c r="K2392" s="83" t="s">
        <v>3215</v>
      </c>
    </row>
    <row r="2393" spans="1:11" ht="77.25" x14ac:dyDescent="0.25">
      <c r="A2393" s="83" t="s">
        <v>1859</v>
      </c>
      <c r="B2393" s="83" t="s">
        <v>3208</v>
      </c>
      <c r="C2393" s="83" t="s">
        <v>3208</v>
      </c>
      <c r="D2393" s="83" t="s">
        <v>3713</v>
      </c>
      <c r="E2393" s="83" t="s">
        <v>3761</v>
      </c>
      <c r="F2393" s="83" t="s">
        <v>6338</v>
      </c>
      <c r="G2393" s="83" t="s">
        <v>8398</v>
      </c>
      <c r="H2393" s="83">
        <v>0</v>
      </c>
      <c r="I2393" s="83" t="s">
        <v>3213</v>
      </c>
      <c r="J2393" s="83" t="s">
        <v>3621</v>
      </c>
      <c r="K2393" s="83" t="s">
        <v>3215</v>
      </c>
    </row>
    <row r="2394" spans="1:11" ht="26.25" x14ac:dyDescent="0.25">
      <c r="A2394" s="83" t="s">
        <v>1958</v>
      </c>
      <c r="B2394" s="83" t="s">
        <v>3208</v>
      </c>
      <c r="C2394" s="83" t="s">
        <v>3208</v>
      </c>
      <c r="D2394" s="83" t="s">
        <v>3713</v>
      </c>
      <c r="E2394" s="83" t="s">
        <v>3761</v>
      </c>
      <c r="F2394" s="83" t="s">
        <v>8399</v>
      </c>
      <c r="G2394" s="83" t="s">
        <v>4563</v>
      </c>
      <c r="H2394" s="83">
        <v>0</v>
      </c>
      <c r="I2394" s="83" t="s">
        <v>3213</v>
      </c>
      <c r="J2394" s="83" t="s">
        <v>3851</v>
      </c>
      <c r="K2394" s="83" t="s">
        <v>3215</v>
      </c>
    </row>
    <row r="2395" spans="1:11" ht="51.75" x14ac:dyDescent="0.25">
      <c r="A2395" s="83" t="s">
        <v>2105</v>
      </c>
      <c r="B2395" s="83" t="s">
        <v>3208</v>
      </c>
      <c r="C2395" s="83" t="s">
        <v>3208</v>
      </c>
      <c r="D2395" s="83" t="s">
        <v>3713</v>
      </c>
      <c r="E2395" s="83" t="s">
        <v>3761</v>
      </c>
      <c r="F2395" s="83" t="s">
        <v>8400</v>
      </c>
      <c r="G2395" s="83" t="s">
        <v>4556</v>
      </c>
      <c r="H2395" s="83">
        <v>0</v>
      </c>
      <c r="I2395" s="83" t="s">
        <v>3213</v>
      </c>
      <c r="J2395" s="83" t="s">
        <v>3257</v>
      </c>
      <c r="K2395" s="83" t="s">
        <v>3215</v>
      </c>
    </row>
    <row r="2396" spans="1:11" ht="51.75" x14ac:dyDescent="0.25">
      <c r="A2396" s="83" t="s">
        <v>2118</v>
      </c>
      <c r="B2396" s="83" t="s">
        <v>3208</v>
      </c>
      <c r="C2396" s="83" t="s">
        <v>3208</v>
      </c>
      <c r="D2396" s="83" t="s">
        <v>3713</v>
      </c>
      <c r="E2396" s="83" t="s">
        <v>3761</v>
      </c>
      <c r="F2396" s="83" t="s">
        <v>5531</v>
      </c>
      <c r="G2396" s="83" t="s">
        <v>7065</v>
      </c>
      <c r="H2396" s="83">
        <v>0</v>
      </c>
      <c r="I2396" s="83" t="s">
        <v>3229</v>
      </c>
      <c r="J2396" s="83" t="s">
        <v>3289</v>
      </c>
      <c r="K2396" s="83" t="s">
        <v>3215</v>
      </c>
    </row>
    <row r="2397" spans="1:11" ht="51.75" x14ac:dyDescent="0.25">
      <c r="A2397" s="83" t="s">
        <v>2119</v>
      </c>
      <c r="B2397" s="83" t="s">
        <v>3208</v>
      </c>
      <c r="C2397" s="83" t="s">
        <v>3208</v>
      </c>
      <c r="D2397" s="83" t="s">
        <v>3713</v>
      </c>
      <c r="E2397" s="83" t="s">
        <v>3761</v>
      </c>
      <c r="F2397" s="83" t="s">
        <v>5531</v>
      </c>
      <c r="G2397" s="83" t="s">
        <v>7065</v>
      </c>
      <c r="H2397" s="83">
        <v>0</v>
      </c>
      <c r="I2397" s="83" t="s">
        <v>3229</v>
      </c>
      <c r="J2397" s="83" t="s">
        <v>3289</v>
      </c>
      <c r="K2397" s="83" t="s">
        <v>3215</v>
      </c>
    </row>
    <row r="2398" spans="1:11" ht="51.75" x14ac:dyDescent="0.25">
      <c r="A2398" s="83" t="s">
        <v>2128</v>
      </c>
      <c r="B2398" s="83" t="s">
        <v>3208</v>
      </c>
      <c r="C2398" s="83" t="s">
        <v>3208</v>
      </c>
      <c r="D2398" s="83" t="s">
        <v>3713</v>
      </c>
      <c r="E2398" s="83" t="s">
        <v>3761</v>
      </c>
      <c r="F2398" s="83" t="s">
        <v>8401</v>
      </c>
      <c r="G2398" s="83" t="s">
        <v>3417</v>
      </c>
      <c r="H2398" s="83">
        <v>0</v>
      </c>
      <c r="I2398" s="83" t="s">
        <v>3213</v>
      </c>
      <c r="J2398" s="83" t="s">
        <v>3214</v>
      </c>
      <c r="K2398" s="83" t="s">
        <v>3215</v>
      </c>
    </row>
    <row r="2399" spans="1:11" ht="39" x14ac:dyDescent="0.25">
      <c r="A2399" s="83" t="s">
        <v>52</v>
      </c>
      <c r="B2399" s="83" t="s">
        <v>3208</v>
      </c>
      <c r="C2399" s="83" t="s">
        <v>3208</v>
      </c>
      <c r="D2399" s="83" t="s">
        <v>3713</v>
      </c>
      <c r="E2399" s="83" t="s">
        <v>3761</v>
      </c>
      <c r="F2399" s="83" t="s">
        <v>4765</v>
      </c>
      <c r="G2399" s="83" t="s">
        <v>3237</v>
      </c>
      <c r="H2399" s="83">
        <v>0</v>
      </c>
      <c r="I2399" s="83" t="s">
        <v>3229</v>
      </c>
      <c r="J2399" s="83" t="s">
        <v>3241</v>
      </c>
      <c r="K2399" s="83" t="s">
        <v>3215</v>
      </c>
    </row>
    <row r="2400" spans="1:11" ht="51.75" x14ac:dyDescent="0.25">
      <c r="A2400" s="83" t="s">
        <v>1941</v>
      </c>
      <c r="B2400" s="83" t="s">
        <v>3208</v>
      </c>
      <c r="C2400" s="83" t="s">
        <v>3208</v>
      </c>
      <c r="D2400" s="83" t="s">
        <v>3713</v>
      </c>
      <c r="E2400" s="83" t="s">
        <v>3761</v>
      </c>
      <c r="F2400" s="83" t="s">
        <v>3798</v>
      </c>
      <c r="G2400" s="83" t="s">
        <v>5536</v>
      </c>
      <c r="H2400" s="83">
        <v>0</v>
      </c>
      <c r="I2400" s="83" t="s">
        <v>3229</v>
      </c>
      <c r="J2400" s="83" t="s">
        <v>3332</v>
      </c>
      <c r="K2400" s="83" t="s">
        <v>3215</v>
      </c>
    </row>
    <row r="2401" spans="1:11" ht="26.25" x14ac:dyDescent="0.25">
      <c r="A2401" s="83" t="s">
        <v>8402</v>
      </c>
      <c r="B2401" s="83" t="s">
        <v>8403</v>
      </c>
      <c r="C2401" s="83" t="s">
        <v>8404</v>
      </c>
      <c r="D2401" s="83" t="s">
        <v>3209</v>
      </c>
      <c r="E2401" s="83" t="s">
        <v>3702</v>
      </c>
      <c r="F2401" s="83" t="s">
        <v>8405</v>
      </c>
      <c r="G2401" s="83" t="s">
        <v>3649</v>
      </c>
      <c r="H2401" s="83">
        <v>4271.5</v>
      </c>
      <c r="I2401" s="83" t="s">
        <v>3208</v>
      </c>
      <c r="J2401" s="83" t="s">
        <v>3208</v>
      </c>
      <c r="K2401" s="83" t="s">
        <v>3208</v>
      </c>
    </row>
    <row r="2402" spans="1:11" ht="26.25" x14ac:dyDescent="0.25">
      <c r="A2402" s="83" t="s">
        <v>831</v>
      </c>
      <c r="B2402" s="83" t="s">
        <v>8406</v>
      </c>
      <c r="C2402" s="83" t="s">
        <v>8407</v>
      </c>
      <c r="D2402" s="83" t="s">
        <v>3209</v>
      </c>
      <c r="E2402" s="83" t="s">
        <v>3246</v>
      </c>
      <c r="F2402" s="83" t="s">
        <v>7120</v>
      </c>
      <c r="G2402" s="83" t="s">
        <v>8408</v>
      </c>
      <c r="H2402" s="83">
        <v>1.3</v>
      </c>
      <c r="I2402" s="83" t="s">
        <v>3213</v>
      </c>
      <c r="J2402" s="83" t="s">
        <v>3467</v>
      </c>
      <c r="K2402" s="83" t="s">
        <v>3215</v>
      </c>
    </row>
    <row r="2403" spans="1:11" ht="39" x14ac:dyDescent="0.25">
      <c r="A2403" s="83" t="s">
        <v>2239</v>
      </c>
      <c r="B2403" s="83" t="s">
        <v>3208</v>
      </c>
      <c r="C2403" s="83" t="s">
        <v>3208</v>
      </c>
      <c r="D2403" s="83" t="s">
        <v>3713</v>
      </c>
      <c r="E2403" s="83" t="s">
        <v>3761</v>
      </c>
      <c r="F2403" s="83" t="s">
        <v>3854</v>
      </c>
      <c r="G2403" s="83" t="s">
        <v>6333</v>
      </c>
      <c r="H2403" s="83">
        <v>0</v>
      </c>
      <c r="I2403" s="83" t="s">
        <v>3229</v>
      </c>
      <c r="J2403" s="83" t="s">
        <v>3241</v>
      </c>
      <c r="K2403" s="83" t="s">
        <v>3215</v>
      </c>
    </row>
    <row r="2404" spans="1:11" ht="51.75" x14ac:dyDescent="0.25">
      <c r="A2404" s="83" t="s">
        <v>2253</v>
      </c>
      <c r="B2404" s="83" t="s">
        <v>3208</v>
      </c>
      <c r="C2404" s="83" t="s">
        <v>3208</v>
      </c>
      <c r="D2404" s="83" t="s">
        <v>3713</v>
      </c>
      <c r="E2404" s="83" t="s">
        <v>3761</v>
      </c>
      <c r="F2404" s="83" t="s">
        <v>3854</v>
      </c>
      <c r="G2404" s="83" t="s">
        <v>8409</v>
      </c>
      <c r="H2404" s="83">
        <v>0</v>
      </c>
      <c r="I2404" s="83" t="s">
        <v>3229</v>
      </c>
      <c r="J2404" s="83" t="s">
        <v>3238</v>
      </c>
      <c r="K2404" s="83" t="s">
        <v>3215</v>
      </c>
    </row>
    <row r="2405" spans="1:11" x14ac:dyDescent="0.25">
      <c r="A2405" s="83" t="s">
        <v>8410</v>
      </c>
      <c r="B2405" s="83" t="s">
        <v>3208</v>
      </c>
      <c r="C2405" s="83" t="s">
        <v>3208</v>
      </c>
      <c r="D2405" s="83" t="s">
        <v>3209</v>
      </c>
      <c r="E2405" s="83" t="s">
        <v>3663</v>
      </c>
      <c r="F2405" s="83" t="s">
        <v>3864</v>
      </c>
      <c r="G2405" s="83" t="s">
        <v>5550</v>
      </c>
      <c r="H2405" s="83">
        <v>113</v>
      </c>
      <c r="I2405" s="83" t="s">
        <v>3208</v>
      </c>
      <c r="J2405" s="83" t="s">
        <v>3208</v>
      </c>
      <c r="K2405" s="83" t="s">
        <v>3208</v>
      </c>
    </row>
    <row r="2406" spans="1:11" ht="26.25" x14ac:dyDescent="0.25">
      <c r="A2406" s="83" t="s">
        <v>566</v>
      </c>
      <c r="B2406" s="83" t="s">
        <v>3208</v>
      </c>
      <c r="C2406" s="83" t="s">
        <v>8411</v>
      </c>
      <c r="D2406" s="83" t="s">
        <v>3741</v>
      </c>
      <c r="E2406" s="83" t="s">
        <v>3727</v>
      </c>
      <c r="F2406" s="83" t="s">
        <v>3864</v>
      </c>
      <c r="G2406" s="83" t="s">
        <v>3808</v>
      </c>
      <c r="H2406" s="83">
        <v>5</v>
      </c>
      <c r="I2406" s="83" t="s">
        <v>3229</v>
      </c>
      <c r="J2406" s="83" t="s">
        <v>3311</v>
      </c>
      <c r="K2406" s="83" t="s">
        <v>3215</v>
      </c>
    </row>
    <row r="2407" spans="1:11" ht="26.25" x14ac:dyDescent="0.25">
      <c r="A2407" s="83" t="s">
        <v>675</v>
      </c>
      <c r="B2407" s="83" t="s">
        <v>3208</v>
      </c>
      <c r="C2407" s="83" t="s">
        <v>8412</v>
      </c>
      <c r="D2407" s="83" t="s">
        <v>3718</v>
      </c>
      <c r="E2407" s="83" t="s">
        <v>3727</v>
      </c>
      <c r="F2407" s="83" t="s">
        <v>6338</v>
      </c>
      <c r="G2407" s="83" t="s">
        <v>8413</v>
      </c>
      <c r="H2407" s="83">
        <v>10</v>
      </c>
      <c r="I2407" s="83" t="s">
        <v>3229</v>
      </c>
      <c r="J2407" s="83" t="s">
        <v>3397</v>
      </c>
      <c r="K2407" s="83" t="s">
        <v>3215</v>
      </c>
    </row>
    <row r="2408" spans="1:11" ht="26.25" x14ac:dyDescent="0.25">
      <c r="A2408" s="83" t="s">
        <v>8414</v>
      </c>
      <c r="B2408" s="83" t="s">
        <v>3208</v>
      </c>
      <c r="C2408" s="83" t="s">
        <v>8415</v>
      </c>
      <c r="D2408" s="83" t="s">
        <v>3718</v>
      </c>
      <c r="E2408" s="83" t="s">
        <v>3702</v>
      </c>
      <c r="F2408" s="83" t="s">
        <v>8416</v>
      </c>
      <c r="G2408" s="83" t="s">
        <v>5686</v>
      </c>
      <c r="H2408" s="83">
        <v>9.6999999999999993</v>
      </c>
      <c r="I2408" s="83" t="s">
        <v>3208</v>
      </c>
      <c r="J2408" s="83" t="s">
        <v>3208</v>
      </c>
      <c r="K2408" s="83" t="s">
        <v>3208</v>
      </c>
    </row>
    <row r="2409" spans="1:11" ht="51.75" x14ac:dyDescent="0.25">
      <c r="A2409" s="83" t="s">
        <v>485</v>
      </c>
      <c r="B2409" s="83" t="s">
        <v>3208</v>
      </c>
      <c r="C2409" s="83" t="s">
        <v>3208</v>
      </c>
      <c r="D2409" s="83" t="s">
        <v>3209</v>
      </c>
      <c r="E2409" s="83" t="s">
        <v>3210</v>
      </c>
      <c r="F2409" s="83" t="s">
        <v>7778</v>
      </c>
      <c r="G2409" s="83" t="s">
        <v>6522</v>
      </c>
      <c r="H2409" s="83">
        <v>1</v>
      </c>
      <c r="I2409" s="83" t="s">
        <v>3229</v>
      </c>
      <c r="J2409" s="83" t="s">
        <v>3230</v>
      </c>
      <c r="K2409" s="83" t="s">
        <v>3215</v>
      </c>
    </row>
    <row r="2410" spans="1:11" ht="26.25" x14ac:dyDescent="0.25">
      <c r="A2410" s="83" t="s">
        <v>8417</v>
      </c>
      <c r="B2410" s="83" t="s">
        <v>3208</v>
      </c>
      <c r="C2410" s="83" t="s">
        <v>3208</v>
      </c>
      <c r="D2410" s="83" t="s">
        <v>3209</v>
      </c>
      <c r="E2410" s="83" t="s">
        <v>3663</v>
      </c>
      <c r="F2410" s="83" t="s">
        <v>3864</v>
      </c>
      <c r="G2410" s="83" t="s">
        <v>5599</v>
      </c>
      <c r="H2410" s="83">
        <v>27</v>
      </c>
      <c r="I2410" s="83" t="s">
        <v>3208</v>
      </c>
      <c r="J2410" s="83" t="s">
        <v>3208</v>
      </c>
      <c r="K2410" s="83" t="s">
        <v>3208</v>
      </c>
    </row>
    <row r="2411" spans="1:11" ht="77.25" x14ac:dyDescent="0.25">
      <c r="A2411" s="83" t="s">
        <v>706</v>
      </c>
      <c r="B2411" s="83" t="s">
        <v>8418</v>
      </c>
      <c r="C2411" s="83" t="s">
        <v>8419</v>
      </c>
      <c r="D2411" s="83" t="s">
        <v>3209</v>
      </c>
      <c r="E2411" s="83" t="s">
        <v>3246</v>
      </c>
      <c r="F2411" s="83" t="s">
        <v>5559</v>
      </c>
      <c r="G2411" s="83" t="s">
        <v>5560</v>
      </c>
      <c r="H2411" s="83">
        <v>80</v>
      </c>
      <c r="I2411" s="83" t="s">
        <v>3213</v>
      </c>
      <c r="J2411" s="83" t="s">
        <v>3621</v>
      </c>
      <c r="K2411" s="83" t="s">
        <v>3215</v>
      </c>
    </row>
    <row r="2412" spans="1:11" ht="39" x14ac:dyDescent="0.25">
      <c r="A2412" s="83" t="s">
        <v>8420</v>
      </c>
      <c r="B2412" s="83" t="s">
        <v>3208</v>
      </c>
      <c r="C2412" s="83" t="s">
        <v>3208</v>
      </c>
      <c r="D2412" s="83" t="s">
        <v>8421</v>
      </c>
      <c r="E2412" s="83" t="s">
        <v>3966</v>
      </c>
      <c r="F2412" s="83" t="s">
        <v>8422</v>
      </c>
      <c r="G2412" s="83" t="s">
        <v>8423</v>
      </c>
      <c r="H2412" s="83">
        <v>0</v>
      </c>
      <c r="I2412" s="83" t="s">
        <v>3229</v>
      </c>
      <c r="J2412" s="83" t="s">
        <v>356</v>
      </c>
      <c r="K2412" s="83" t="s">
        <v>3215</v>
      </c>
    </row>
    <row r="2413" spans="1:11" ht="26.25" x14ac:dyDescent="0.25">
      <c r="A2413" s="83" t="s">
        <v>492</v>
      </c>
      <c r="B2413" s="83" t="s">
        <v>3208</v>
      </c>
      <c r="C2413" s="83" t="s">
        <v>8424</v>
      </c>
      <c r="D2413" s="83" t="s">
        <v>3741</v>
      </c>
      <c r="E2413" s="83" t="s">
        <v>3727</v>
      </c>
      <c r="F2413" s="83" t="s">
        <v>8425</v>
      </c>
      <c r="G2413" s="83" t="s">
        <v>8426</v>
      </c>
      <c r="H2413" s="83">
        <v>10</v>
      </c>
      <c r="I2413" s="83" t="s">
        <v>3229</v>
      </c>
      <c r="J2413" s="83" t="s">
        <v>5332</v>
      </c>
      <c r="K2413" s="83" t="s">
        <v>3215</v>
      </c>
    </row>
    <row r="2414" spans="1:11" ht="51.75" x14ac:dyDescent="0.25">
      <c r="A2414" s="83" t="s">
        <v>710</v>
      </c>
      <c r="B2414" s="83" t="s">
        <v>3208</v>
      </c>
      <c r="C2414" s="83" t="s">
        <v>8427</v>
      </c>
      <c r="D2414" s="83" t="s">
        <v>3718</v>
      </c>
      <c r="E2414" s="83" t="s">
        <v>3727</v>
      </c>
      <c r="F2414" s="83" t="s">
        <v>8428</v>
      </c>
      <c r="G2414" s="83" t="s">
        <v>8429</v>
      </c>
      <c r="H2414" s="83">
        <v>10</v>
      </c>
      <c r="I2414" s="83" t="s">
        <v>3229</v>
      </c>
      <c r="J2414" s="83" t="s">
        <v>3337</v>
      </c>
      <c r="K2414" s="83" t="s">
        <v>3215</v>
      </c>
    </row>
    <row r="2415" spans="1:11" ht="26.25" x14ac:dyDescent="0.25">
      <c r="A2415" s="83" t="s">
        <v>634</v>
      </c>
      <c r="B2415" s="83" t="s">
        <v>3208</v>
      </c>
      <c r="C2415" s="83" t="s">
        <v>3208</v>
      </c>
      <c r="D2415" s="83" t="s">
        <v>3209</v>
      </c>
      <c r="E2415" s="83" t="s">
        <v>3210</v>
      </c>
      <c r="F2415" s="83" t="s">
        <v>6369</v>
      </c>
      <c r="G2415" s="83" t="s">
        <v>6370</v>
      </c>
      <c r="H2415" s="83">
        <v>31</v>
      </c>
      <c r="I2415" s="83" t="s">
        <v>3213</v>
      </c>
      <c r="J2415" s="83" t="s">
        <v>3467</v>
      </c>
      <c r="K2415" s="83" t="s">
        <v>3215</v>
      </c>
    </row>
    <row r="2416" spans="1:11" x14ac:dyDescent="0.25">
      <c r="A2416" s="83" t="s">
        <v>8430</v>
      </c>
      <c r="B2416" s="83" t="s">
        <v>3208</v>
      </c>
      <c r="C2416" s="83" t="s">
        <v>3208</v>
      </c>
      <c r="D2416" s="83" t="s">
        <v>3209</v>
      </c>
      <c r="E2416" s="83" t="s">
        <v>4248</v>
      </c>
      <c r="F2416" s="83" t="s">
        <v>8431</v>
      </c>
      <c r="G2416" s="83" t="s">
        <v>3904</v>
      </c>
      <c r="H2416" s="83">
        <v>40.700000000000003</v>
      </c>
      <c r="I2416" s="83" t="s">
        <v>3208</v>
      </c>
      <c r="J2416" s="83" t="s">
        <v>3208</v>
      </c>
      <c r="K2416" s="83" t="s">
        <v>3208</v>
      </c>
    </row>
    <row r="2417" spans="1:11" ht="39" x14ac:dyDescent="0.25">
      <c r="A2417" s="83" t="s">
        <v>8432</v>
      </c>
      <c r="B2417" s="83" t="s">
        <v>3208</v>
      </c>
      <c r="C2417" s="83" t="s">
        <v>3208</v>
      </c>
      <c r="D2417" s="83" t="s">
        <v>3713</v>
      </c>
      <c r="E2417" s="83" t="s">
        <v>3714</v>
      </c>
      <c r="F2417" s="83" t="s">
        <v>8433</v>
      </c>
      <c r="G2417" s="83" t="s">
        <v>4986</v>
      </c>
      <c r="H2417" s="83">
        <v>0</v>
      </c>
      <c r="I2417" s="83" t="s">
        <v>3229</v>
      </c>
      <c r="J2417" s="83" t="s">
        <v>356</v>
      </c>
      <c r="K2417" s="83" t="s">
        <v>3215</v>
      </c>
    </row>
    <row r="2418" spans="1:11" ht="51.75" x14ac:dyDescent="0.25">
      <c r="A2418" s="83" t="s">
        <v>2346</v>
      </c>
      <c r="B2418" s="83" t="s">
        <v>3208</v>
      </c>
      <c r="C2418" s="83" t="s">
        <v>3208</v>
      </c>
      <c r="D2418" s="83" t="s">
        <v>3713</v>
      </c>
      <c r="E2418" s="83" t="s">
        <v>3761</v>
      </c>
      <c r="F2418" s="83" t="s">
        <v>3886</v>
      </c>
      <c r="G2418" s="83" t="s">
        <v>3362</v>
      </c>
      <c r="H2418" s="83">
        <v>0</v>
      </c>
      <c r="I2418" s="83" t="s">
        <v>3229</v>
      </c>
      <c r="J2418" s="83" t="s">
        <v>3289</v>
      </c>
      <c r="K2418" s="83" t="s">
        <v>3215</v>
      </c>
    </row>
    <row r="2419" spans="1:11" ht="39" x14ac:dyDescent="0.25">
      <c r="A2419" s="83" t="s">
        <v>8434</v>
      </c>
      <c r="B2419" s="83" t="s">
        <v>3208</v>
      </c>
      <c r="C2419" s="83" t="s">
        <v>3208</v>
      </c>
      <c r="D2419" s="83" t="s">
        <v>3713</v>
      </c>
      <c r="E2419" s="83" t="s">
        <v>3714</v>
      </c>
      <c r="F2419" s="83" t="s">
        <v>3994</v>
      </c>
      <c r="G2419" s="83" t="s">
        <v>6289</v>
      </c>
      <c r="H2419" s="83">
        <v>0</v>
      </c>
      <c r="I2419" s="83" t="s">
        <v>3229</v>
      </c>
      <c r="J2419" s="83" t="s">
        <v>3241</v>
      </c>
      <c r="K2419" s="83" t="s">
        <v>3215</v>
      </c>
    </row>
    <row r="2420" spans="1:11" ht="51.75" x14ac:dyDescent="0.25">
      <c r="A2420" s="83" t="s">
        <v>8435</v>
      </c>
      <c r="B2420" s="83" t="s">
        <v>3208</v>
      </c>
      <c r="C2420" s="83" t="s">
        <v>3208</v>
      </c>
      <c r="D2420" s="83" t="s">
        <v>3713</v>
      </c>
      <c r="E2420" s="83" t="s">
        <v>3714</v>
      </c>
      <c r="F2420" s="83" t="s">
        <v>7130</v>
      </c>
      <c r="G2420" s="83" t="s">
        <v>8436</v>
      </c>
      <c r="H2420" s="83">
        <v>0</v>
      </c>
      <c r="I2420" s="83" t="s">
        <v>3213</v>
      </c>
      <c r="J2420" s="83" t="s">
        <v>3214</v>
      </c>
      <c r="K2420" s="83" t="s">
        <v>3215</v>
      </c>
    </row>
    <row r="2421" spans="1:11" ht="51.75" x14ac:dyDescent="0.25">
      <c r="A2421" s="83" t="s">
        <v>2261</v>
      </c>
      <c r="B2421" s="83" t="s">
        <v>3208</v>
      </c>
      <c r="C2421" s="83" t="s">
        <v>3208</v>
      </c>
      <c r="D2421" s="83" t="s">
        <v>3713</v>
      </c>
      <c r="E2421" s="83" t="s">
        <v>3761</v>
      </c>
      <c r="F2421" s="83" t="s">
        <v>3854</v>
      </c>
      <c r="G2421" s="83" t="s">
        <v>3408</v>
      </c>
      <c r="H2421" s="83">
        <v>0</v>
      </c>
      <c r="I2421" s="83" t="s">
        <v>3229</v>
      </c>
      <c r="J2421" s="83" t="s">
        <v>3289</v>
      </c>
      <c r="K2421" s="83" t="s">
        <v>3215</v>
      </c>
    </row>
    <row r="2422" spans="1:11" ht="51.75" x14ac:dyDescent="0.25">
      <c r="A2422" s="83" t="s">
        <v>8437</v>
      </c>
      <c r="B2422" s="83" t="s">
        <v>8438</v>
      </c>
      <c r="C2422" s="83" t="s">
        <v>3208</v>
      </c>
      <c r="D2422" s="83" t="s">
        <v>3209</v>
      </c>
      <c r="E2422" s="83" t="s">
        <v>3226</v>
      </c>
      <c r="F2422" s="83" t="s">
        <v>6367</v>
      </c>
      <c r="G2422" s="83" t="s">
        <v>4365</v>
      </c>
      <c r="H2422" s="83">
        <v>80</v>
      </c>
      <c r="I2422" s="83" t="s">
        <v>3229</v>
      </c>
      <c r="J2422" s="83" t="s">
        <v>6262</v>
      </c>
      <c r="K2422" s="83" t="s">
        <v>3215</v>
      </c>
    </row>
    <row r="2423" spans="1:11" ht="39" x14ac:dyDescent="0.25">
      <c r="A2423" s="83" t="s">
        <v>814</v>
      </c>
      <c r="B2423" s="83" t="s">
        <v>8439</v>
      </c>
      <c r="C2423" s="83" t="s">
        <v>8440</v>
      </c>
      <c r="D2423" s="83" t="s">
        <v>3209</v>
      </c>
      <c r="E2423" s="83" t="s">
        <v>3246</v>
      </c>
      <c r="F2423" s="83" t="s">
        <v>5559</v>
      </c>
      <c r="G2423" s="83" t="s">
        <v>8441</v>
      </c>
      <c r="H2423" s="83">
        <v>12.8</v>
      </c>
      <c r="I2423" s="83" t="s">
        <v>3229</v>
      </c>
      <c r="J2423" s="83" t="s">
        <v>356</v>
      </c>
      <c r="K2423" s="83" t="s">
        <v>3215</v>
      </c>
    </row>
    <row r="2424" spans="1:11" ht="26.25" x14ac:dyDescent="0.25">
      <c r="A2424" s="83" t="s">
        <v>8442</v>
      </c>
      <c r="B2424" s="83" t="s">
        <v>3208</v>
      </c>
      <c r="C2424" s="83" t="s">
        <v>3208</v>
      </c>
      <c r="D2424" s="83" t="s">
        <v>3713</v>
      </c>
      <c r="E2424" s="83" t="s">
        <v>3714</v>
      </c>
      <c r="F2424" s="83" t="s">
        <v>8443</v>
      </c>
      <c r="G2424" s="83" t="s">
        <v>3208</v>
      </c>
      <c r="H2424" s="83">
        <v>0</v>
      </c>
      <c r="I2424" s="83" t="s">
        <v>3208</v>
      </c>
      <c r="J2424" s="83" t="s">
        <v>3208</v>
      </c>
      <c r="K2424" s="83" t="s">
        <v>3208</v>
      </c>
    </row>
    <row r="2425" spans="1:11" ht="26.25" x14ac:dyDescent="0.25">
      <c r="A2425" s="83" t="s">
        <v>8444</v>
      </c>
      <c r="B2425" s="83" t="s">
        <v>3208</v>
      </c>
      <c r="C2425" s="83" t="s">
        <v>3208</v>
      </c>
      <c r="D2425" s="83" t="s">
        <v>3713</v>
      </c>
      <c r="E2425" s="83" t="s">
        <v>3714</v>
      </c>
      <c r="F2425" s="83" t="s">
        <v>3909</v>
      </c>
      <c r="G2425" s="83" t="s">
        <v>3910</v>
      </c>
      <c r="H2425" s="83">
        <v>0</v>
      </c>
      <c r="I2425" s="83" t="s">
        <v>3208</v>
      </c>
      <c r="J2425" s="83" t="s">
        <v>3208</v>
      </c>
      <c r="K2425" s="83" t="s">
        <v>3208</v>
      </c>
    </row>
    <row r="2426" spans="1:11" ht="26.25" x14ac:dyDescent="0.25">
      <c r="A2426" s="83" t="s">
        <v>801</v>
      </c>
      <c r="B2426" s="83" t="s">
        <v>3208</v>
      </c>
      <c r="C2426" s="83" t="s">
        <v>8445</v>
      </c>
      <c r="D2426" s="83" t="s">
        <v>3718</v>
      </c>
      <c r="E2426" s="83" t="s">
        <v>3727</v>
      </c>
      <c r="F2426" s="83" t="s">
        <v>8446</v>
      </c>
      <c r="G2426" s="83" t="s">
        <v>8447</v>
      </c>
      <c r="H2426" s="83">
        <v>0.6</v>
      </c>
      <c r="I2426" s="83" t="s">
        <v>3229</v>
      </c>
      <c r="J2426" s="83" t="s">
        <v>3222</v>
      </c>
      <c r="K2426" s="83" t="s">
        <v>3215</v>
      </c>
    </row>
    <row r="2427" spans="1:11" ht="51.75" x14ac:dyDescent="0.25">
      <c r="A2427" s="83" t="s">
        <v>503</v>
      </c>
      <c r="B2427" s="83" t="s">
        <v>3208</v>
      </c>
      <c r="C2427" s="83" t="s">
        <v>8448</v>
      </c>
      <c r="D2427" s="83" t="s">
        <v>3718</v>
      </c>
      <c r="E2427" s="83" t="s">
        <v>3727</v>
      </c>
      <c r="F2427" s="83" t="s">
        <v>8449</v>
      </c>
      <c r="G2427" s="83" t="s">
        <v>8450</v>
      </c>
      <c r="H2427" s="83">
        <v>9.5</v>
      </c>
      <c r="I2427" s="83" t="s">
        <v>3229</v>
      </c>
      <c r="J2427" s="83" t="s">
        <v>3238</v>
      </c>
      <c r="K2427" s="83" t="s">
        <v>3215</v>
      </c>
    </row>
    <row r="2428" spans="1:11" ht="51.75" x14ac:dyDescent="0.25">
      <c r="A2428" s="83" t="s">
        <v>2196</v>
      </c>
      <c r="B2428" s="83" t="s">
        <v>3208</v>
      </c>
      <c r="C2428" s="83" t="s">
        <v>3208</v>
      </c>
      <c r="D2428" s="83" t="s">
        <v>3713</v>
      </c>
      <c r="E2428" s="83" t="s">
        <v>3761</v>
      </c>
      <c r="F2428" s="83" t="s">
        <v>5480</v>
      </c>
      <c r="G2428" s="83" t="s">
        <v>4759</v>
      </c>
      <c r="H2428" s="83">
        <v>0</v>
      </c>
      <c r="I2428" s="83" t="s">
        <v>3229</v>
      </c>
      <c r="J2428" s="83" t="s">
        <v>3289</v>
      </c>
      <c r="K2428" s="83" t="s">
        <v>3215</v>
      </c>
    </row>
    <row r="2429" spans="1:11" x14ac:dyDescent="0.25">
      <c r="A2429" s="83" t="s">
        <v>8451</v>
      </c>
      <c r="B2429" s="83" t="s">
        <v>3208</v>
      </c>
      <c r="C2429" s="83" t="s">
        <v>3208</v>
      </c>
      <c r="D2429" s="83" t="s">
        <v>3209</v>
      </c>
      <c r="E2429" s="83" t="s">
        <v>3663</v>
      </c>
      <c r="F2429" s="83" t="s">
        <v>8452</v>
      </c>
      <c r="G2429" s="83" t="s">
        <v>4090</v>
      </c>
      <c r="H2429" s="83">
        <v>53.6</v>
      </c>
      <c r="I2429" s="83" t="s">
        <v>3208</v>
      </c>
      <c r="J2429" s="83" t="s">
        <v>3208</v>
      </c>
      <c r="K2429" s="83" t="s">
        <v>3208</v>
      </c>
    </row>
    <row r="2430" spans="1:11" ht="51.75" x14ac:dyDescent="0.25">
      <c r="A2430" s="83" t="s">
        <v>578</v>
      </c>
      <c r="B2430" s="83" t="s">
        <v>8453</v>
      </c>
      <c r="C2430" s="83" t="s">
        <v>3208</v>
      </c>
      <c r="D2430" s="83" t="s">
        <v>3209</v>
      </c>
      <c r="E2430" s="83" t="s">
        <v>3226</v>
      </c>
      <c r="F2430" s="83" t="s">
        <v>6367</v>
      </c>
      <c r="G2430" s="83" t="s">
        <v>4365</v>
      </c>
      <c r="H2430" s="83">
        <v>48</v>
      </c>
      <c r="I2430" s="83" t="s">
        <v>3229</v>
      </c>
      <c r="J2430" s="83" t="s">
        <v>6262</v>
      </c>
      <c r="K2430" s="83" t="s">
        <v>3215</v>
      </c>
    </row>
    <row r="2431" spans="1:11" ht="26.25" x14ac:dyDescent="0.25">
      <c r="A2431" s="83" t="s">
        <v>2350</v>
      </c>
      <c r="B2431" s="83" t="s">
        <v>3208</v>
      </c>
      <c r="C2431" s="83" t="s">
        <v>3208</v>
      </c>
      <c r="D2431" s="83" t="s">
        <v>3713</v>
      </c>
      <c r="E2431" s="83" t="s">
        <v>3761</v>
      </c>
      <c r="F2431" s="83" t="s">
        <v>3895</v>
      </c>
      <c r="G2431" s="83" t="s">
        <v>5126</v>
      </c>
      <c r="H2431" s="83">
        <v>0</v>
      </c>
      <c r="I2431" s="83" t="s">
        <v>3213</v>
      </c>
      <c r="J2431" s="83" t="s">
        <v>3896</v>
      </c>
      <c r="K2431" s="83" t="s">
        <v>3215</v>
      </c>
    </row>
    <row r="2432" spans="1:11" ht="26.25" x14ac:dyDescent="0.25">
      <c r="A2432" s="83" t="s">
        <v>661</v>
      </c>
      <c r="B2432" s="83" t="s">
        <v>3208</v>
      </c>
      <c r="C2432" s="83" t="s">
        <v>3208</v>
      </c>
      <c r="D2432" s="83" t="s">
        <v>3209</v>
      </c>
      <c r="E2432" s="83" t="s">
        <v>3210</v>
      </c>
      <c r="F2432" s="83" t="s">
        <v>7740</v>
      </c>
      <c r="G2432" s="83" t="s">
        <v>5661</v>
      </c>
      <c r="H2432" s="83">
        <v>19</v>
      </c>
      <c r="I2432" s="83" t="s">
        <v>3229</v>
      </c>
      <c r="J2432" s="83" t="s">
        <v>3397</v>
      </c>
      <c r="K2432" s="83" t="s">
        <v>3215</v>
      </c>
    </row>
    <row r="2433" spans="1:11" ht="26.25" x14ac:dyDescent="0.25">
      <c r="A2433" s="83" t="s">
        <v>496</v>
      </c>
      <c r="B2433" s="83" t="s">
        <v>3208</v>
      </c>
      <c r="C2433" s="83" t="s">
        <v>3208</v>
      </c>
      <c r="D2433" s="83" t="s">
        <v>3209</v>
      </c>
      <c r="E2433" s="83" t="s">
        <v>3210</v>
      </c>
      <c r="F2433" s="83" t="s">
        <v>5551</v>
      </c>
      <c r="G2433" s="83" t="s">
        <v>8454</v>
      </c>
      <c r="H2433" s="83">
        <v>35</v>
      </c>
      <c r="I2433" s="83" t="s">
        <v>3229</v>
      </c>
      <c r="J2433" s="83" t="s">
        <v>8455</v>
      </c>
      <c r="K2433" s="83" t="s">
        <v>3215</v>
      </c>
    </row>
    <row r="2434" spans="1:11" ht="51.75" x14ac:dyDescent="0.25">
      <c r="A2434" s="83" t="s">
        <v>723</v>
      </c>
      <c r="B2434" s="83" t="s">
        <v>3208</v>
      </c>
      <c r="C2434" s="83" t="s">
        <v>3208</v>
      </c>
      <c r="D2434" s="83" t="s">
        <v>3209</v>
      </c>
      <c r="E2434" s="83" t="s">
        <v>3210</v>
      </c>
      <c r="F2434" s="83" t="s">
        <v>8456</v>
      </c>
      <c r="G2434" s="83" t="s">
        <v>4793</v>
      </c>
      <c r="H2434" s="83">
        <v>17</v>
      </c>
      <c r="I2434" s="83" t="s">
        <v>3213</v>
      </c>
      <c r="J2434" s="83" t="s">
        <v>3214</v>
      </c>
      <c r="K2434" s="83" t="s">
        <v>3215</v>
      </c>
    </row>
    <row r="2435" spans="1:11" ht="39" x14ac:dyDescent="0.25">
      <c r="A2435" s="83" t="s">
        <v>729</v>
      </c>
      <c r="B2435" s="83" t="s">
        <v>3208</v>
      </c>
      <c r="C2435" s="83" t="s">
        <v>8457</v>
      </c>
      <c r="D2435" s="83" t="s">
        <v>3718</v>
      </c>
      <c r="E2435" s="83" t="s">
        <v>3727</v>
      </c>
      <c r="F2435" s="83" t="s">
        <v>8458</v>
      </c>
      <c r="G2435" s="83" t="s">
        <v>8459</v>
      </c>
      <c r="H2435" s="83">
        <v>10</v>
      </c>
      <c r="I2435" s="83" t="s">
        <v>3229</v>
      </c>
      <c r="J2435" s="83" t="s">
        <v>3241</v>
      </c>
      <c r="K2435" s="83" t="s">
        <v>3215</v>
      </c>
    </row>
    <row r="2436" spans="1:11" ht="77.25" x14ac:dyDescent="0.25">
      <c r="A2436" s="83" t="s">
        <v>756</v>
      </c>
      <c r="B2436" s="83" t="s">
        <v>8460</v>
      </c>
      <c r="C2436" s="83" t="s">
        <v>8461</v>
      </c>
      <c r="D2436" s="83" t="s">
        <v>3209</v>
      </c>
      <c r="E2436" s="83" t="s">
        <v>3246</v>
      </c>
      <c r="F2436" s="83" t="s">
        <v>8462</v>
      </c>
      <c r="G2436" s="83" t="s">
        <v>8463</v>
      </c>
      <c r="H2436" s="83">
        <v>21</v>
      </c>
      <c r="I2436" s="83" t="s">
        <v>3213</v>
      </c>
      <c r="J2436" s="83" t="s">
        <v>3621</v>
      </c>
      <c r="K2436" s="83" t="s">
        <v>3215</v>
      </c>
    </row>
    <row r="2437" spans="1:11" ht="51.75" x14ac:dyDescent="0.25">
      <c r="A2437" s="83" t="s">
        <v>2284</v>
      </c>
      <c r="B2437" s="83" t="s">
        <v>3208</v>
      </c>
      <c r="C2437" s="83" t="s">
        <v>3208</v>
      </c>
      <c r="D2437" s="83" t="s">
        <v>3713</v>
      </c>
      <c r="E2437" s="83" t="s">
        <v>3761</v>
      </c>
      <c r="F2437" s="83" t="s">
        <v>3926</v>
      </c>
      <c r="G2437" s="83" t="s">
        <v>3256</v>
      </c>
      <c r="H2437" s="83">
        <v>0</v>
      </c>
      <c r="I2437" s="83" t="s">
        <v>3213</v>
      </c>
      <c r="J2437" s="83" t="s">
        <v>3271</v>
      </c>
      <c r="K2437" s="83" t="s">
        <v>3215</v>
      </c>
    </row>
    <row r="2438" spans="1:11" ht="39" x14ac:dyDescent="0.25">
      <c r="A2438" s="83" t="s">
        <v>655</v>
      </c>
      <c r="B2438" s="83" t="s">
        <v>3208</v>
      </c>
      <c r="C2438" s="83" t="s">
        <v>3208</v>
      </c>
      <c r="D2438" s="83" t="s">
        <v>3209</v>
      </c>
      <c r="E2438" s="83" t="s">
        <v>3210</v>
      </c>
      <c r="F2438" s="83" t="s">
        <v>8464</v>
      </c>
      <c r="G2438" s="83" t="s">
        <v>6503</v>
      </c>
      <c r="H2438" s="83">
        <v>48</v>
      </c>
      <c r="I2438" s="83" t="s">
        <v>3229</v>
      </c>
      <c r="J2438" s="83" t="s">
        <v>356</v>
      </c>
      <c r="K2438" s="83" t="s">
        <v>3215</v>
      </c>
    </row>
    <row r="2439" spans="1:11" ht="51.75" x14ac:dyDescent="0.25">
      <c r="A2439" s="83" t="s">
        <v>51</v>
      </c>
      <c r="B2439" s="83" t="s">
        <v>8465</v>
      </c>
      <c r="C2439" s="83" t="s">
        <v>8466</v>
      </c>
      <c r="D2439" s="83" t="s">
        <v>3209</v>
      </c>
      <c r="E2439" s="83" t="s">
        <v>3246</v>
      </c>
      <c r="F2439" s="83" t="s">
        <v>8467</v>
      </c>
      <c r="G2439" s="83" t="s">
        <v>8035</v>
      </c>
      <c r="H2439" s="83">
        <v>724</v>
      </c>
      <c r="I2439" s="83" t="s">
        <v>3213</v>
      </c>
      <c r="J2439" s="83" t="s">
        <v>3257</v>
      </c>
      <c r="K2439" s="83" t="s">
        <v>3215</v>
      </c>
    </row>
    <row r="2440" spans="1:11" ht="64.5" x14ac:dyDescent="0.25">
      <c r="A2440" s="83" t="s">
        <v>2276</v>
      </c>
      <c r="B2440" s="83" t="s">
        <v>3208</v>
      </c>
      <c r="C2440" s="83" t="s">
        <v>3208</v>
      </c>
      <c r="D2440" s="83" t="s">
        <v>3713</v>
      </c>
      <c r="E2440" s="83" t="s">
        <v>3761</v>
      </c>
      <c r="F2440" s="83" t="s">
        <v>7140</v>
      </c>
      <c r="G2440" s="83" t="s">
        <v>8468</v>
      </c>
      <c r="H2440" s="83">
        <v>0</v>
      </c>
      <c r="I2440" s="83" t="s">
        <v>3229</v>
      </c>
      <c r="J2440" s="83" t="s">
        <v>3380</v>
      </c>
      <c r="K2440" s="83" t="s">
        <v>3215</v>
      </c>
    </row>
    <row r="2441" spans="1:11" ht="26.25" x14ac:dyDescent="0.25">
      <c r="A2441" s="83" t="s">
        <v>646</v>
      </c>
      <c r="B2441" s="83" t="s">
        <v>3208</v>
      </c>
      <c r="C2441" s="83" t="s">
        <v>8469</v>
      </c>
      <c r="D2441" s="83" t="s">
        <v>3718</v>
      </c>
      <c r="E2441" s="83" t="s">
        <v>3727</v>
      </c>
      <c r="F2441" s="83" t="s">
        <v>8470</v>
      </c>
      <c r="G2441" s="83" t="s">
        <v>8471</v>
      </c>
      <c r="H2441" s="83">
        <v>4.0999999999999996</v>
      </c>
      <c r="I2441" s="83" t="s">
        <v>3229</v>
      </c>
      <c r="J2441" s="83" t="s">
        <v>3311</v>
      </c>
      <c r="K2441" s="83" t="s">
        <v>3215</v>
      </c>
    </row>
    <row r="2442" spans="1:11" x14ac:dyDescent="0.25">
      <c r="A2442" s="83" t="s">
        <v>8472</v>
      </c>
      <c r="B2442" s="83" t="s">
        <v>3208</v>
      </c>
      <c r="C2442" s="83" t="s">
        <v>3208</v>
      </c>
      <c r="D2442" s="83" t="s">
        <v>3209</v>
      </c>
      <c r="E2442" s="83" t="s">
        <v>3663</v>
      </c>
      <c r="F2442" s="83" t="s">
        <v>4960</v>
      </c>
      <c r="G2442" s="83" t="s">
        <v>8473</v>
      </c>
      <c r="H2442" s="83">
        <v>110</v>
      </c>
      <c r="I2442" s="83" t="s">
        <v>3208</v>
      </c>
      <c r="J2442" s="83" t="s">
        <v>3208</v>
      </c>
      <c r="K2442" s="83" t="s">
        <v>3208</v>
      </c>
    </row>
    <row r="2443" spans="1:11" ht="51.75" x14ac:dyDescent="0.25">
      <c r="A2443" s="83" t="s">
        <v>2274</v>
      </c>
      <c r="B2443" s="83" t="s">
        <v>3208</v>
      </c>
      <c r="C2443" s="83" t="s">
        <v>3208</v>
      </c>
      <c r="D2443" s="83" t="s">
        <v>3713</v>
      </c>
      <c r="E2443" s="83" t="s">
        <v>3761</v>
      </c>
      <c r="F2443" s="83" t="s">
        <v>3830</v>
      </c>
      <c r="G2443" s="83" t="s">
        <v>3569</v>
      </c>
      <c r="H2443" s="83">
        <v>0</v>
      </c>
      <c r="I2443" s="83" t="s">
        <v>3229</v>
      </c>
      <c r="J2443" s="83" t="s">
        <v>3289</v>
      </c>
      <c r="K2443" s="83" t="s">
        <v>3215</v>
      </c>
    </row>
    <row r="2444" spans="1:11" ht="26.25" x14ac:dyDescent="0.25">
      <c r="A2444" s="83" t="s">
        <v>1833</v>
      </c>
      <c r="B2444" s="83" t="s">
        <v>3208</v>
      </c>
      <c r="C2444" s="83" t="s">
        <v>3208</v>
      </c>
      <c r="D2444" s="83" t="s">
        <v>3713</v>
      </c>
      <c r="E2444" s="83" t="s">
        <v>3761</v>
      </c>
      <c r="F2444" s="83" t="s">
        <v>3901</v>
      </c>
      <c r="G2444" s="83" t="s">
        <v>5530</v>
      </c>
      <c r="H2444" s="83">
        <v>0</v>
      </c>
      <c r="I2444" s="83" t="s">
        <v>3229</v>
      </c>
      <c r="J2444" s="83" t="s">
        <v>3311</v>
      </c>
      <c r="K2444" s="83" t="s">
        <v>3215</v>
      </c>
    </row>
    <row r="2445" spans="1:11" ht="51.75" x14ac:dyDescent="0.25">
      <c r="A2445" s="83" t="s">
        <v>8474</v>
      </c>
      <c r="B2445" s="83" t="s">
        <v>3208</v>
      </c>
      <c r="C2445" s="83" t="s">
        <v>3208</v>
      </c>
      <c r="D2445" s="83" t="s">
        <v>3713</v>
      </c>
      <c r="E2445" s="83" t="s">
        <v>3714</v>
      </c>
      <c r="F2445" s="83" t="s">
        <v>6472</v>
      </c>
      <c r="G2445" s="83" t="s">
        <v>8475</v>
      </c>
      <c r="H2445" s="83">
        <v>0</v>
      </c>
      <c r="I2445" s="83" t="s">
        <v>3229</v>
      </c>
      <c r="J2445" s="83" t="s">
        <v>3289</v>
      </c>
      <c r="K2445" s="83" t="s">
        <v>3215</v>
      </c>
    </row>
    <row r="2446" spans="1:11" x14ac:dyDescent="0.25">
      <c r="A2446" s="83" t="s">
        <v>8476</v>
      </c>
      <c r="B2446" s="83" t="s">
        <v>8477</v>
      </c>
      <c r="C2446" s="83" t="s">
        <v>8478</v>
      </c>
      <c r="D2446" s="83" t="s">
        <v>3209</v>
      </c>
      <c r="E2446" s="83" t="s">
        <v>3702</v>
      </c>
      <c r="F2446" s="83" t="s">
        <v>4029</v>
      </c>
      <c r="G2446" s="83" t="s">
        <v>8479</v>
      </c>
      <c r="H2446" s="83">
        <v>11</v>
      </c>
      <c r="I2446" s="83" t="s">
        <v>3208</v>
      </c>
      <c r="J2446" s="83" t="s">
        <v>3208</v>
      </c>
      <c r="K2446" s="83" t="s">
        <v>3208</v>
      </c>
    </row>
    <row r="2447" spans="1:11" ht="26.25" x14ac:dyDescent="0.25">
      <c r="A2447" s="83" t="s">
        <v>2321</v>
      </c>
      <c r="B2447" s="83" t="s">
        <v>3208</v>
      </c>
      <c r="C2447" s="83" t="s">
        <v>3208</v>
      </c>
      <c r="D2447" s="83" t="s">
        <v>3713</v>
      </c>
      <c r="E2447" s="83" t="s">
        <v>3761</v>
      </c>
      <c r="F2447" s="83" t="s">
        <v>4045</v>
      </c>
      <c r="G2447" s="83" t="s">
        <v>4046</v>
      </c>
      <c r="H2447" s="83">
        <v>0</v>
      </c>
      <c r="I2447" s="83" t="s">
        <v>3213</v>
      </c>
      <c r="J2447" s="83" t="s">
        <v>3948</v>
      </c>
      <c r="K2447" s="83" t="s">
        <v>3215</v>
      </c>
    </row>
    <row r="2448" spans="1:11" ht="26.25" x14ac:dyDescent="0.25">
      <c r="A2448" s="83" t="s">
        <v>2322</v>
      </c>
      <c r="B2448" s="83" t="s">
        <v>3208</v>
      </c>
      <c r="C2448" s="83" t="s">
        <v>3208</v>
      </c>
      <c r="D2448" s="83" t="s">
        <v>3713</v>
      </c>
      <c r="E2448" s="83" t="s">
        <v>3761</v>
      </c>
      <c r="F2448" s="83" t="s">
        <v>4045</v>
      </c>
      <c r="G2448" s="83" t="s">
        <v>4804</v>
      </c>
      <c r="H2448" s="83">
        <v>0</v>
      </c>
      <c r="I2448" s="83" t="s">
        <v>3213</v>
      </c>
      <c r="J2448" s="83" t="s">
        <v>3948</v>
      </c>
      <c r="K2448" s="83" t="s">
        <v>3215</v>
      </c>
    </row>
    <row r="2449" spans="1:11" ht="64.5" x14ac:dyDescent="0.25">
      <c r="A2449" s="83" t="s">
        <v>2494</v>
      </c>
      <c r="B2449" s="83" t="s">
        <v>3208</v>
      </c>
      <c r="C2449" s="83" t="s">
        <v>3208</v>
      </c>
      <c r="D2449" s="83" t="s">
        <v>3713</v>
      </c>
      <c r="E2449" s="83" t="s">
        <v>3761</v>
      </c>
      <c r="F2449" s="83" t="s">
        <v>8480</v>
      </c>
      <c r="G2449" s="83" t="s">
        <v>8481</v>
      </c>
      <c r="H2449" s="83">
        <v>0</v>
      </c>
      <c r="I2449" s="83" t="s">
        <v>3213</v>
      </c>
      <c r="J2449" s="83" t="s">
        <v>3413</v>
      </c>
      <c r="K2449" s="83" t="s">
        <v>3215</v>
      </c>
    </row>
    <row r="2450" spans="1:11" ht="51.75" x14ac:dyDescent="0.25">
      <c r="A2450" s="83" t="s">
        <v>2508</v>
      </c>
      <c r="B2450" s="83" t="s">
        <v>3208</v>
      </c>
      <c r="C2450" s="83" t="s">
        <v>3208</v>
      </c>
      <c r="D2450" s="83" t="s">
        <v>3713</v>
      </c>
      <c r="E2450" s="83" t="s">
        <v>3761</v>
      </c>
      <c r="F2450" s="83" t="s">
        <v>3886</v>
      </c>
      <c r="G2450" s="83" t="s">
        <v>8482</v>
      </c>
      <c r="H2450" s="83">
        <v>0</v>
      </c>
      <c r="I2450" s="83" t="s">
        <v>3229</v>
      </c>
      <c r="J2450" s="83" t="s">
        <v>3238</v>
      </c>
      <c r="K2450" s="83" t="s">
        <v>3215</v>
      </c>
    </row>
    <row r="2451" spans="1:11" ht="51.75" x14ac:dyDescent="0.25">
      <c r="A2451" s="83" t="s">
        <v>2363</v>
      </c>
      <c r="B2451" s="83" t="s">
        <v>3208</v>
      </c>
      <c r="C2451" s="83" t="s">
        <v>3208</v>
      </c>
      <c r="D2451" s="83" t="s">
        <v>3713</v>
      </c>
      <c r="E2451" s="83" t="s">
        <v>3761</v>
      </c>
      <c r="F2451" s="83" t="s">
        <v>3991</v>
      </c>
      <c r="G2451" s="83" t="s">
        <v>8483</v>
      </c>
      <c r="H2451" s="83">
        <v>0</v>
      </c>
      <c r="I2451" s="83" t="s">
        <v>3213</v>
      </c>
      <c r="J2451" s="83" t="s">
        <v>3214</v>
      </c>
      <c r="K2451" s="83" t="s">
        <v>3215</v>
      </c>
    </row>
    <row r="2452" spans="1:11" ht="51.75" x14ac:dyDescent="0.25">
      <c r="A2452" s="83" t="s">
        <v>2560</v>
      </c>
      <c r="B2452" s="83" t="s">
        <v>3208</v>
      </c>
      <c r="C2452" s="83" t="s">
        <v>3208</v>
      </c>
      <c r="D2452" s="83" t="s">
        <v>3713</v>
      </c>
      <c r="E2452" s="83" t="s">
        <v>3761</v>
      </c>
      <c r="F2452" s="83" t="s">
        <v>4015</v>
      </c>
      <c r="G2452" s="83" t="s">
        <v>4729</v>
      </c>
      <c r="H2452" s="83">
        <v>0</v>
      </c>
      <c r="I2452" s="83" t="s">
        <v>3229</v>
      </c>
      <c r="J2452" s="83" t="s">
        <v>3289</v>
      </c>
      <c r="K2452" s="83" t="s">
        <v>3215</v>
      </c>
    </row>
    <row r="2453" spans="1:11" ht="51.75" x14ac:dyDescent="0.25">
      <c r="A2453" s="83" t="s">
        <v>2546</v>
      </c>
      <c r="B2453" s="83" t="s">
        <v>3208</v>
      </c>
      <c r="C2453" s="83" t="s">
        <v>3208</v>
      </c>
      <c r="D2453" s="83" t="s">
        <v>3713</v>
      </c>
      <c r="E2453" s="83" t="s">
        <v>3761</v>
      </c>
      <c r="F2453" s="83" t="s">
        <v>3886</v>
      </c>
      <c r="G2453" s="83" t="s">
        <v>3520</v>
      </c>
      <c r="H2453" s="83">
        <v>0</v>
      </c>
      <c r="I2453" s="83" t="s">
        <v>3229</v>
      </c>
      <c r="J2453" s="83" t="s">
        <v>3521</v>
      </c>
      <c r="K2453" s="83" t="s">
        <v>3215</v>
      </c>
    </row>
    <row r="2454" spans="1:11" ht="64.5" x14ac:dyDescent="0.25">
      <c r="A2454" s="83" t="s">
        <v>2567</v>
      </c>
      <c r="B2454" s="83" t="s">
        <v>3208</v>
      </c>
      <c r="C2454" s="83" t="s">
        <v>3208</v>
      </c>
      <c r="D2454" s="83" t="s">
        <v>3713</v>
      </c>
      <c r="E2454" s="83" t="s">
        <v>3761</v>
      </c>
      <c r="F2454" s="83" t="s">
        <v>8484</v>
      </c>
      <c r="G2454" s="83" t="s">
        <v>5152</v>
      </c>
      <c r="H2454" s="83">
        <v>0</v>
      </c>
      <c r="I2454" s="83" t="s">
        <v>3213</v>
      </c>
      <c r="J2454" s="83" t="s">
        <v>3413</v>
      </c>
      <c r="K2454" s="83" t="s">
        <v>3215</v>
      </c>
    </row>
    <row r="2455" spans="1:11" ht="26.25" x14ac:dyDescent="0.25">
      <c r="A2455" s="83" t="s">
        <v>8485</v>
      </c>
      <c r="B2455" s="83" t="s">
        <v>3208</v>
      </c>
      <c r="C2455" s="83" t="s">
        <v>3208</v>
      </c>
      <c r="D2455" s="83" t="s">
        <v>3713</v>
      </c>
      <c r="E2455" s="83" t="s">
        <v>3714</v>
      </c>
      <c r="F2455" s="83" t="s">
        <v>8486</v>
      </c>
      <c r="G2455" s="83" t="s">
        <v>8487</v>
      </c>
      <c r="H2455" s="83">
        <v>0</v>
      </c>
      <c r="I2455" s="83" t="s">
        <v>3208</v>
      </c>
      <c r="J2455" s="83" t="s">
        <v>3208</v>
      </c>
      <c r="K2455" s="83" t="s">
        <v>3208</v>
      </c>
    </row>
    <row r="2456" spans="1:11" ht="26.25" x14ac:dyDescent="0.25">
      <c r="A2456" s="83" t="s">
        <v>2519</v>
      </c>
      <c r="B2456" s="83" t="s">
        <v>3208</v>
      </c>
      <c r="C2456" s="83" t="s">
        <v>3208</v>
      </c>
      <c r="D2456" s="83" t="s">
        <v>3713</v>
      </c>
      <c r="E2456" s="83" t="s">
        <v>3761</v>
      </c>
      <c r="F2456" s="83" t="s">
        <v>3886</v>
      </c>
      <c r="G2456" s="83" t="s">
        <v>3838</v>
      </c>
      <c r="H2456" s="83">
        <v>0</v>
      </c>
      <c r="I2456" s="83" t="s">
        <v>3213</v>
      </c>
      <c r="J2456" s="83" t="s">
        <v>3851</v>
      </c>
      <c r="K2456" s="83" t="s">
        <v>3215</v>
      </c>
    </row>
    <row r="2457" spans="1:11" ht="26.25" x14ac:dyDescent="0.25">
      <c r="A2457" s="83" t="s">
        <v>8488</v>
      </c>
      <c r="B2457" s="83" t="s">
        <v>3208</v>
      </c>
      <c r="C2457" s="83" t="s">
        <v>3208</v>
      </c>
      <c r="D2457" s="83" t="s">
        <v>3965</v>
      </c>
      <c r="E2457" s="83" t="s">
        <v>3966</v>
      </c>
      <c r="F2457" s="83" t="s">
        <v>6456</v>
      </c>
      <c r="G2457" s="83" t="s">
        <v>3947</v>
      </c>
      <c r="H2457" s="83">
        <v>0</v>
      </c>
      <c r="I2457" s="83" t="s">
        <v>3213</v>
      </c>
      <c r="J2457" s="83" t="s">
        <v>3948</v>
      </c>
      <c r="K2457" s="83" t="s">
        <v>3215</v>
      </c>
    </row>
    <row r="2458" spans="1:11" ht="64.5" x14ac:dyDescent="0.25">
      <c r="A2458" s="83" t="s">
        <v>2572</v>
      </c>
      <c r="B2458" s="83" t="s">
        <v>3208</v>
      </c>
      <c r="C2458" s="83" t="s">
        <v>3208</v>
      </c>
      <c r="D2458" s="83" t="s">
        <v>3713</v>
      </c>
      <c r="E2458" s="83" t="s">
        <v>3761</v>
      </c>
      <c r="F2458" s="83" t="s">
        <v>8489</v>
      </c>
      <c r="G2458" s="83" t="s">
        <v>8490</v>
      </c>
      <c r="H2458" s="83">
        <v>0</v>
      </c>
      <c r="I2458" s="83" t="s">
        <v>3213</v>
      </c>
      <c r="J2458" s="83" t="s">
        <v>3413</v>
      </c>
      <c r="K2458" s="83" t="s">
        <v>3215</v>
      </c>
    </row>
    <row r="2459" spans="1:11" ht="26.25" x14ac:dyDescent="0.25">
      <c r="A2459" s="83" t="s">
        <v>2574</v>
      </c>
      <c r="B2459" s="83" t="s">
        <v>3208</v>
      </c>
      <c r="C2459" s="83" t="s">
        <v>3208</v>
      </c>
      <c r="D2459" s="83" t="s">
        <v>3713</v>
      </c>
      <c r="E2459" s="83" t="s">
        <v>3761</v>
      </c>
      <c r="F2459" s="83" t="s">
        <v>6442</v>
      </c>
      <c r="G2459" s="83" t="s">
        <v>3221</v>
      </c>
      <c r="H2459" s="83">
        <v>0</v>
      </c>
      <c r="I2459" s="83" t="s">
        <v>3213</v>
      </c>
      <c r="J2459" s="83" t="s">
        <v>3222</v>
      </c>
      <c r="K2459" s="83" t="s">
        <v>3215</v>
      </c>
    </row>
    <row r="2460" spans="1:11" x14ac:dyDescent="0.25">
      <c r="A2460" s="83" t="s">
        <v>8491</v>
      </c>
      <c r="B2460" s="83" t="s">
        <v>8492</v>
      </c>
      <c r="C2460" s="83" t="s">
        <v>8493</v>
      </c>
      <c r="D2460" s="83" t="s">
        <v>3209</v>
      </c>
      <c r="E2460" s="83" t="s">
        <v>3702</v>
      </c>
      <c r="F2460" s="83" t="s">
        <v>7850</v>
      </c>
      <c r="G2460" s="83" t="s">
        <v>8494</v>
      </c>
      <c r="H2460" s="83">
        <v>45.5</v>
      </c>
      <c r="I2460" s="83" t="s">
        <v>3208</v>
      </c>
      <c r="J2460" s="83" t="s">
        <v>3208</v>
      </c>
      <c r="K2460" s="83" t="s">
        <v>3208</v>
      </c>
    </row>
    <row r="2461" spans="1:11" ht="51.75" x14ac:dyDescent="0.25">
      <c r="A2461" s="83" t="s">
        <v>2712</v>
      </c>
      <c r="B2461" s="83" t="s">
        <v>3208</v>
      </c>
      <c r="C2461" s="83" t="s">
        <v>3208</v>
      </c>
      <c r="D2461" s="83" t="s">
        <v>3713</v>
      </c>
      <c r="E2461" s="83" t="s">
        <v>3761</v>
      </c>
      <c r="F2461" s="83" t="s">
        <v>6433</v>
      </c>
      <c r="G2461" s="83" t="s">
        <v>6434</v>
      </c>
      <c r="H2461" s="83">
        <v>0</v>
      </c>
      <c r="I2461" s="83" t="s">
        <v>3229</v>
      </c>
      <c r="J2461" s="83" t="s">
        <v>3332</v>
      </c>
      <c r="K2461" s="83" t="s">
        <v>3215</v>
      </c>
    </row>
    <row r="2462" spans="1:11" ht="51.75" x14ac:dyDescent="0.25">
      <c r="A2462" s="83" t="s">
        <v>2480</v>
      </c>
      <c r="B2462" s="83" t="s">
        <v>3208</v>
      </c>
      <c r="C2462" s="83" t="s">
        <v>3208</v>
      </c>
      <c r="D2462" s="83" t="s">
        <v>3713</v>
      </c>
      <c r="E2462" s="83" t="s">
        <v>3761</v>
      </c>
      <c r="F2462" s="83" t="s">
        <v>3976</v>
      </c>
      <c r="G2462" s="83" t="s">
        <v>3977</v>
      </c>
      <c r="H2462" s="83">
        <v>0</v>
      </c>
      <c r="I2462" s="83" t="s">
        <v>3229</v>
      </c>
      <c r="J2462" s="83" t="s">
        <v>3289</v>
      </c>
      <c r="K2462" s="83" t="s">
        <v>3215</v>
      </c>
    </row>
    <row r="2463" spans="1:11" ht="26.25" x14ac:dyDescent="0.25">
      <c r="A2463" s="83" t="s">
        <v>2465</v>
      </c>
      <c r="B2463" s="83" t="s">
        <v>3208</v>
      </c>
      <c r="C2463" s="83" t="s">
        <v>3208</v>
      </c>
      <c r="D2463" s="83" t="s">
        <v>3713</v>
      </c>
      <c r="E2463" s="83" t="s">
        <v>3761</v>
      </c>
      <c r="F2463" s="83" t="s">
        <v>3950</v>
      </c>
      <c r="G2463" s="83" t="s">
        <v>4079</v>
      </c>
      <c r="H2463" s="83">
        <v>0</v>
      </c>
      <c r="I2463" s="83" t="s">
        <v>3213</v>
      </c>
      <c r="J2463" s="83" t="s">
        <v>3467</v>
      </c>
      <c r="K2463" s="83" t="s">
        <v>3215</v>
      </c>
    </row>
    <row r="2464" spans="1:11" ht="26.25" x14ac:dyDescent="0.25">
      <c r="A2464" s="83" t="s">
        <v>772</v>
      </c>
      <c r="B2464" s="83" t="s">
        <v>8495</v>
      </c>
      <c r="C2464" s="83" t="s">
        <v>8496</v>
      </c>
      <c r="D2464" s="83" t="s">
        <v>3209</v>
      </c>
      <c r="E2464" s="83" t="s">
        <v>3246</v>
      </c>
      <c r="F2464" s="83" t="s">
        <v>5695</v>
      </c>
      <c r="G2464" s="83" t="s">
        <v>5696</v>
      </c>
      <c r="H2464" s="83">
        <v>65</v>
      </c>
      <c r="I2464" s="83" t="s">
        <v>3229</v>
      </c>
      <c r="J2464" s="83" t="s">
        <v>3324</v>
      </c>
      <c r="K2464" s="83" t="s">
        <v>3215</v>
      </c>
    </row>
    <row r="2465" spans="1:11" ht="51.75" x14ac:dyDescent="0.25">
      <c r="A2465" s="83" t="s">
        <v>2634</v>
      </c>
      <c r="B2465" s="83" t="s">
        <v>3208</v>
      </c>
      <c r="C2465" s="83" t="s">
        <v>3208</v>
      </c>
      <c r="D2465" s="83" t="s">
        <v>3713</v>
      </c>
      <c r="E2465" s="83" t="s">
        <v>3761</v>
      </c>
      <c r="F2465" s="83" t="s">
        <v>8497</v>
      </c>
      <c r="G2465" s="83" t="s">
        <v>4786</v>
      </c>
      <c r="H2465" s="83">
        <v>0</v>
      </c>
      <c r="I2465" s="83" t="s">
        <v>3229</v>
      </c>
      <c r="J2465" s="83" t="s">
        <v>3371</v>
      </c>
      <c r="K2465" s="83" t="s">
        <v>3215</v>
      </c>
    </row>
    <row r="2466" spans="1:11" ht="26.25" x14ac:dyDescent="0.25">
      <c r="A2466" s="83" t="s">
        <v>2433</v>
      </c>
      <c r="B2466" s="83" t="s">
        <v>3208</v>
      </c>
      <c r="C2466" s="83" t="s">
        <v>3208</v>
      </c>
      <c r="D2466" s="83" t="s">
        <v>3713</v>
      </c>
      <c r="E2466" s="83" t="s">
        <v>3761</v>
      </c>
      <c r="F2466" s="83" t="s">
        <v>3976</v>
      </c>
      <c r="G2466" s="83" t="s">
        <v>3392</v>
      </c>
      <c r="H2466" s="83">
        <v>0</v>
      </c>
      <c r="I2466" s="83" t="s">
        <v>3229</v>
      </c>
      <c r="J2466" s="83" t="s">
        <v>3324</v>
      </c>
      <c r="K2466" s="83" t="s">
        <v>3215</v>
      </c>
    </row>
    <row r="2467" spans="1:11" ht="51.75" x14ac:dyDescent="0.25">
      <c r="A2467" s="83" t="s">
        <v>3172</v>
      </c>
      <c r="B2467" s="83" t="s">
        <v>8498</v>
      </c>
      <c r="C2467" s="83" t="s">
        <v>3208</v>
      </c>
      <c r="D2467" s="83" t="s">
        <v>3209</v>
      </c>
      <c r="E2467" s="83" t="s">
        <v>3226</v>
      </c>
      <c r="F2467" s="83" t="s">
        <v>8499</v>
      </c>
      <c r="G2467" s="83" t="s">
        <v>8500</v>
      </c>
      <c r="H2467" s="83">
        <v>18.75</v>
      </c>
      <c r="I2467" s="83" t="s">
        <v>3213</v>
      </c>
      <c r="J2467" s="83" t="s">
        <v>3214</v>
      </c>
      <c r="K2467" s="83" t="s">
        <v>3215</v>
      </c>
    </row>
    <row r="2468" spans="1:11" ht="26.25" x14ac:dyDescent="0.25">
      <c r="A2468" s="83" t="s">
        <v>8501</v>
      </c>
      <c r="B2468" s="83" t="s">
        <v>3208</v>
      </c>
      <c r="C2468" s="83" t="s">
        <v>3208</v>
      </c>
      <c r="D2468" s="83" t="s">
        <v>3713</v>
      </c>
      <c r="E2468" s="83" t="s">
        <v>3714</v>
      </c>
      <c r="F2468" s="83" t="s">
        <v>8502</v>
      </c>
      <c r="G2468" s="83" t="s">
        <v>8503</v>
      </c>
      <c r="H2468" s="83">
        <v>0</v>
      </c>
      <c r="I2468" s="83" t="s">
        <v>3208</v>
      </c>
      <c r="J2468" s="83" t="s">
        <v>3208</v>
      </c>
      <c r="K2468" s="83" t="s">
        <v>3208</v>
      </c>
    </row>
    <row r="2469" spans="1:11" ht="51.75" x14ac:dyDescent="0.25">
      <c r="A2469" s="83" t="s">
        <v>2668</v>
      </c>
      <c r="B2469" s="83" t="s">
        <v>3208</v>
      </c>
      <c r="C2469" s="83" t="s">
        <v>3208</v>
      </c>
      <c r="D2469" s="83" t="s">
        <v>3713</v>
      </c>
      <c r="E2469" s="83" t="s">
        <v>3761</v>
      </c>
      <c r="F2469" s="83" t="s">
        <v>6429</v>
      </c>
      <c r="G2469" s="83" t="s">
        <v>4851</v>
      </c>
      <c r="H2469" s="83">
        <v>0</v>
      </c>
      <c r="I2469" s="83" t="s">
        <v>3213</v>
      </c>
      <c r="J2469" s="83" t="s">
        <v>3214</v>
      </c>
      <c r="K2469" s="83" t="s">
        <v>3215</v>
      </c>
    </row>
    <row r="2470" spans="1:11" ht="51.75" x14ac:dyDescent="0.25">
      <c r="A2470" s="83" t="s">
        <v>2386</v>
      </c>
      <c r="B2470" s="83" t="s">
        <v>3208</v>
      </c>
      <c r="C2470" s="83" t="s">
        <v>3208</v>
      </c>
      <c r="D2470" s="83" t="s">
        <v>3713</v>
      </c>
      <c r="E2470" s="83" t="s">
        <v>3761</v>
      </c>
      <c r="F2470" s="83" t="s">
        <v>4013</v>
      </c>
      <c r="G2470" s="83" t="s">
        <v>5608</v>
      </c>
      <c r="H2470" s="83">
        <v>0</v>
      </c>
      <c r="I2470" s="83" t="s">
        <v>3229</v>
      </c>
      <c r="J2470" s="83" t="s">
        <v>3238</v>
      </c>
      <c r="K2470" s="83" t="s">
        <v>3215</v>
      </c>
    </row>
    <row r="2471" spans="1:11" ht="51.75" x14ac:dyDescent="0.25">
      <c r="A2471" s="83" t="s">
        <v>2478</v>
      </c>
      <c r="B2471" s="83" t="s">
        <v>3208</v>
      </c>
      <c r="C2471" s="83" t="s">
        <v>3208</v>
      </c>
      <c r="D2471" s="83" t="s">
        <v>3713</v>
      </c>
      <c r="E2471" s="83" t="s">
        <v>3761</v>
      </c>
      <c r="F2471" s="83" t="s">
        <v>3976</v>
      </c>
      <c r="G2471" s="83" t="s">
        <v>8504</v>
      </c>
      <c r="H2471" s="83">
        <v>0</v>
      </c>
      <c r="I2471" s="83" t="s">
        <v>3229</v>
      </c>
      <c r="J2471" s="83" t="s">
        <v>3289</v>
      </c>
      <c r="K2471" s="83" t="s">
        <v>3215</v>
      </c>
    </row>
    <row r="2472" spans="1:11" ht="51.75" x14ac:dyDescent="0.25">
      <c r="A2472" s="83" t="s">
        <v>2660</v>
      </c>
      <c r="B2472" s="83" t="s">
        <v>3208</v>
      </c>
      <c r="C2472" s="83" t="s">
        <v>3208</v>
      </c>
      <c r="D2472" s="83" t="s">
        <v>3713</v>
      </c>
      <c r="E2472" s="83" t="s">
        <v>3761</v>
      </c>
      <c r="F2472" s="83" t="s">
        <v>8505</v>
      </c>
      <c r="G2472" s="83" t="s">
        <v>3237</v>
      </c>
      <c r="H2472" s="83">
        <v>0</v>
      </c>
      <c r="I2472" s="83" t="s">
        <v>3229</v>
      </c>
      <c r="J2472" s="83" t="s">
        <v>3302</v>
      </c>
      <c r="K2472" s="83" t="s">
        <v>3215</v>
      </c>
    </row>
    <row r="2473" spans="1:11" ht="64.5" x14ac:dyDescent="0.25">
      <c r="A2473" s="83" t="s">
        <v>2661</v>
      </c>
      <c r="B2473" s="83" t="s">
        <v>3208</v>
      </c>
      <c r="C2473" s="83" t="s">
        <v>3208</v>
      </c>
      <c r="D2473" s="83" t="s">
        <v>3713</v>
      </c>
      <c r="E2473" s="83" t="s">
        <v>3761</v>
      </c>
      <c r="F2473" s="83" t="s">
        <v>6453</v>
      </c>
      <c r="G2473" s="83" t="s">
        <v>8506</v>
      </c>
      <c r="H2473" s="83">
        <v>0</v>
      </c>
      <c r="I2473" s="83" t="s">
        <v>3229</v>
      </c>
      <c r="J2473" s="83" t="s">
        <v>3601</v>
      </c>
      <c r="K2473" s="83" t="s">
        <v>3215</v>
      </c>
    </row>
    <row r="2474" spans="1:11" x14ac:dyDescent="0.25">
      <c r="A2474" s="83" t="s">
        <v>8507</v>
      </c>
      <c r="B2474" s="83" t="s">
        <v>3208</v>
      </c>
      <c r="C2474" s="83" t="s">
        <v>3208</v>
      </c>
      <c r="D2474" s="83" t="s">
        <v>3209</v>
      </c>
      <c r="E2474" s="83" t="s">
        <v>3663</v>
      </c>
      <c r="F2474" s="83" t="s">
        <v>8508</v>
      </c>
      <c r="G2474" s="83" t="s">
        <v>5692</v>
      </c>
      <c r="H2474" s="83">
        <v>12.9</v>
      </c>
      <c r="I2474" s="83" t="s">
        <v>3208</v>
      </c>
      <c r="J2474" s="83" t="s">
        <v>3208</v>
      </c>
      <c r="K2474" s="83" t="s">
        <v>3208</v>
      </c>
    </row>
    <row r="2475" spans="1:11" ht="26.25" x14ac:dyDescent="0.25">
      <c r="A2475" s="83" t="s">
        <v>8509</v>
      </c>
      <c r="B2475" s="83" t="s">
        <v>3208</v>
      </c>
      <c r="C2475" s="83" t="s">
        <v>3208</v>
      </c>
      <c r="D2475" s="83" t="s">
        <v>4005</v>
      </c>
      <c r="E2475" s="83" t="s">
        <v>4248</v>
      </c>
      <c r="F2475" s="83" t="s">
        <v>8510</v>
      </c>
      <c r="G2475" s="83" t="s">
        <v>7864</v>
      </c>
      <c r="H2475" s="83">
        <v>15</v>
      </c>
      <c r="I2475" s="83" t="s">
        <v>3208</v>
      </c>
      <c r="J2475" s="83" t="s">
        <v>3208</v>
      </c>
      <c r="K2475" s="83" t="s">
        <v>3208</v>
      </c>
    </row>
    <row r="2476" spans="1:11" ht="51.75" x14ac:dyDescent="0.25">
      <c r="A2476" s="83" t="s">
        <v>2642</v>
      </c>
      <c r="B2476" s="83" t="s">
        <v>3208</v>
      </c>
      <c r="C2476" s="83" t="s">
        <v>3208</v>
      </c>
      <c r="D2476" s="83" t="s">
        <v>3713</v>
      </c>
      <c r="E2476" s="83" t="s">
        <v>3761</v>
      </c>
      <c r="F2476" s="83" t="s">
        <v>3901</v>
      </c>
      <c r="G2476" s="83" t="s">
        <v>4134</v>
      </c>
      <c r="H2476" s="83">
        <v>0</v>
      </c>
      <c r="I2476" s="83" t="s">
        <v>3229</v>
      </c>
      <c r="J2476" s="83" t="s">
        <v>3230</v>
      </c>
      <c r="K2476" s="83" t="s">
        <v>3215</v>
      </c>
    </row>
    <row r="2477" spans="1:11" ht="51.75" x14ac:dyDescent="0.25">
      <c r="A2477" s="83" t="s">
        <v>2555</v>
      </c>
      <c r="B2477" s="83" t="s">
        <v>3208</v>
      </c>
      <c r="C2477" s="83" t="s">
        <v>3208</v>
      </c>
      <c r="D2477" s="83" t="s">
        <v>3713</v>
      </c>
      <c r="E2477" s="83" t="s">
        <v>3761</v>
      </c>
      <c r="F2477" s="83" t="s">
        <v>3886</v>
      </c>
      <c r="G2477" s="83" t="s">
        <v>3520</v>
      </c>
      <c r="H2477" s="83">
        <v>0</v>
      </c>
      <c r="I2477" s="83" t="s">
        <v>3229</v>
      </c>
      <c r="J2477" s="83" t="s">
        <v>3521</v>
      </c>
      <c r="K2477" s="83" t="s">
        <v>3215</v>
      </c>
    </row>
    <row r="2478" spans="1:11" ht="39" x14ac:dyDescent="0.25">
      <c r="A2478" s="83" t="s">
        <v>2562</v>
      </c>
      <c r="B2478" s="83" t="s">
        <v>3208</v>
      </c>
      <c r="C2478" s="83" t="s">
        <v>3208</v>
      </c>
      <c r="D2478" s="83" t="s">
        <v>3713</v>
      </c>
      <c r="E2478" s="83" t="s">
        <v>3761</v>
      </c>
      <c r="F2478" s="83" t="s">
        <v>4015</v>
      </c>
      <c r="G2478" s="83" t="s">
        <v>6440</v>
      </c>
      <c r="H2478" s="83">
        <v>0</v>
      </c>
      <c r="I2478" s="83" t="s">
        <v>3229</v>
      </c>
      <c r="J2478" s="83" t="s">
        <v>3241</v>
      </c>
      <c r="K2478" s="83" t="s">
        <v>3215</v>
      </c>
    </row>
    <row r="2479" spans="1:11" ht="51.75" x14ac:dyDescent="0.25">
      <c r="A2479" s="83" t="s">
        <v>8511</v>
      </c>
      <c r="B2479" s="83" t="s">
        <v>3208</v>
      </c>
      <c r="C2479" s="83" t="s">
        <v>3208</v>
      </c>
      <c r="D2479" s="83" t="s">
        <v>3965</v>
      </c>
      <c r="E2479" s="83" t="s">
        <v>3966</v>
      </c>
      <c r="F2479" s="83" t="s">
        <v>3967</v>
      </c>
      <c r="G2479" s="83" t="s">
        <v>8512</v>
      </c>
      <c r="H2479" s="83">
        <v>24</v>
      </c>
      <c r="I2479" s="83" t="s">
        <v>3229</v>
      </c>
      <c r="J2479" s="83" t="s">
        <v>3337</v>
      </c>
      <c r="K2479" s="83" t="s">
        <v>3215</v>
      </c>
    </row>
    <row r="2480" spans="1:11" ht="39" x14ac:dyDescent="0.25">
      <c r="A2480" s="83" t="s">
        <v>505</v>
      </c>
      <c r="B2480" s="83" t="s">
        <v>3208</v>
      </c>
      <c r="C2480" s="83" t="s">
        <v>8513</v>
      </c>
      <c r="D2480" s="83" t="s">
        <v>3718</v>
      </c>
      <c r="E2480" s="83" t="s">
        <v>3727</v>
      </c>
      <c r="F2480" s="83" t="s">
        <v>5120</v>
      </c>
      <c r="G2480" s="83" t="s">
        <v>8514</v>
      </c>
      <c r="H2480" s="83">
        <v>8.5</v>
      </c>
      <c r="I2480" s="83" t="s">
        <v>3229</v>
      </c>
      <c r="J2480" s="83" t="s">
        <v>3241</v>
      </c>
      <c r="K2480" s="83" t="s">
        <v>3215</v>
      </c>
    </row>
    <row r="2481" spans="1:11" ht="51.75" x14ac:dyDescent="0.25">
      <c r="A2481" s="83" t="s">
        <v>2527</v>
      </c>
      <c r="B2481" s="83" t="s">
        <v>3208</v>
      </c>
      <c r="C2481" s="83" t="s">
        <v>3208</v>
      </c>
      <c r="D2481" s="83" t="s">
        <v>3713</v>
      </c>
      <c r="E2481" s="83" t="s">
        <v>3761</v>
      </c>
      <c r="F2481" s="83" t="s">
        <v>6438</v>
      </c>
      <c r="G2481" s="83" t="s">
        <v>5887</v>
      </c>
      <c r="H2481" s="83">
        <v>0</v>
      </c>
      <c r="I2481" s="83" t="s">
        <v>3213</v>
      </c>
      <c r="J2481" s="83" t="s">
        <v>3271</v>
      </c>
      <c r="K2481" s="83" t="s">
        <v>3215</v>
      </c>
    </row>
    <row r="2482" spans="1:11" ht="64.5" x14ac:dyDescent="0.25">
      <c r="A2482" s="83" t="s">
        <v>1864</v>
      </c>
      <c r="B2482" s="83" t="s">
        <v>3208</v>
      </c>
      <c r="C2482" s="83" t="s">
        <v>3208</v>
      </c>
      <c r="D2482" s="83" t="s">
        <v>3713</v>
      </c>
      <c r="E2482" s="83" t="s">
        <v>3761</v>
      </c>
      <c r="F2482" s="83" t="s">
        <v>4048</v>
      </c>
      <c r="G2482" s="83" t="s">
        <v>3488</v>
      </c>
      <c r="H2482" s="83">
        <v>0</v>
      </c>
      <c r="I2482" s="83" t="s">
        <v>3213</v>
      </c>
      <c r="J2482" s="83" t="s">
        <v>3262</v>
      </c>
      <c r="K2482" s="83" t="s">
        <v>3215</v>
      </c>
    </row>
    <row r="2483" spans="1:11" ht="51.75" x14ac:dyDescent="0.25">
      <c r="A2483" s="83" t="s">
        <v>2434</v>
      </c>
      <c r="B2483" s="83" t="s">
        <v>3208</v>
      </c>
      <c r="C2483" s="83" t="s">
        <v>3208</v>
      </c>
      <c r="D2483" s="83" t="s">
        <v>3713</v>
      </c>
      <c r="E2483" s="83" t="s">
        <v>3761</v>
      </c>
      <c r="F2483" s="83" t="s">
        <v>3976</v>
      </c>
      <c r="G2483" s="83" t="s">
        <v>7339</v>
      </c>
      <c r="H2483" s="83">
        <v>0</v>
      </c>
      <c r="I2483" s="83" t="s">
        <v>3229</v>
      </c>
      <c r="J2483" s="83" t="s">
        <v>3289</v>
      </c>
      <c r="K2483" s="83" t="s">
        <v>3215</v>
      </c>
    </row>
    <row r="2484" spans="1:11" ht="64.5" x14ac:dyDescent="0.25">
      <c r="A2484" s="83" t="s">
        <v>1888</v>
      </c>
      <c r="B2484" s="83" t="s">
        <v>3208</v>
      </c>
      <c r="C2484" s="83" t="s">
        <v>3208</v>
      </c>
      <c r="D2484" s="83" t="s">
        <v>3713</v>
      </c>
      <c r="E2484" s="83" t="s">
        <v>3761</v>
      </c>
      <c r="F2484" s="83" t="s">
        <v>4013</v>
      </c>
      <c r="G2484" s="83" t="s">
        <v>3904</v>
      </c>
      <c r="H2484" s="83">
        <v>0</v>
      </c>
      <c r="I2484" s="83" t="s">
        <v>3213</v>
      </c>
      <c r="J2484" s="83" t="s">
        <v>3262</v>
      </c>
      <c r="K2484" s="83" t="s">
        <v>3215</v>
      </c>
    </row>
    <row r="2485" spans="1:11" ht="26.25" x14ac:dyDescent="0.25">
      <c r="A2485" s="83" t="s">
        <v>458</v>
      </c>
      <c r="B2485" s="83" t="s">
        <v>3208</v>
      </c>
      <c r="C2485" s="83" t="s">
        <v>8515</v>
      </c>
      <c r="D2485" s="83" t="s">
        <v>3741</v>
      </c>
      <c r="E2485" s="83" t="s">
        <v>3727</v>
      </c>
      <c r="F2485" s="83" t="s">
        <v>4864</v>
      </c>
      <c r="G2485" s="83" t="s">
        <v>7241</v>
      </c>
      <c r="H2485" s="83">
        <v>1.3</v>
      </c>
      <c r="I2485" s="83" t="s">
        <v>3213</v>
      </c>
      <c r="J2485" s="83" t="s">
        <v>4000</v>
      </c>
      <c r="K2485" s="83" t="s">
        <v>3215</v>
      </c>
    </row>
    <row r="2486" spans="1:11" ht="26.25" x14ac:dyDescent="0.25">
      <c r="A2486" s="83" t="s">
        <v>774</v>
      </c>
      <c r="B2486" s="83" t="s">
        <v>8516</v>
      </c>
      <c r="C2486" s="83" t="s">
        <v>8517</v>
      </c>
      <c r="D2486" s="83" t="s">
        <v>3209</v>
      </c>
      <c r="E2486" s="83" t="s">
        <v>3246</v>
      </c>
      <c r="F2486" s="83" t="s">
        <v>5695</v>
      </c>
      <c r="G2486" s="83" t="s">
        <v>5696</v>
      </c>
      <c r="H2486" s="83">
        <v>23</v>
      </c>
      <c r="I2486" s="83" t="s">
        <v>3229</v>
      </c>
      <c r="J2486" s="83" t="s">
        <v>3324</v>
      </c>
      <c r="K2486" s="83" t="s">
        <v>3215</v>
      </c>
    </row>
    <row r="2487" spans="1:11" ht="51.75" x14ac:dyDescent="0.25">
      <c r="A2487" s="83" t="s">
        <v>2482</v>
      </c>
      <c r="B2487" s="83" t="s">
        <v>3208</v>
      </c>
      <c r="C2487" s="83" t="s">
        <v>3208</v>
      </c>
      <c r="D2487" s="83" t="s">
        <v>3713</v>
      </c>
      <c r="E2487" s="83" t="s">
        <v>3761</v>
      </c>
      <c r="F2487" s="83" t="s">
        <v>3976</v>
      </c>
      <c r="G2487" s="83" t="s">
        <v>3977</v>
      </c>
      <c r="H2487" s="83">
        <v>0</v>
      </c>
      <c r="I2487" s="83" t="s">
        <v>3229</v>
      </c>
      <c r="J2487" s="83" t="s">
        <v>3289</v>
      </c>
      <c r="K2487" s="83" t="s">
        <v>3215</v>
      </c>
    </row>
    <row r="2488" spans="1:11" ht="26.25" x14ac:dyDescent="0.25">
      <c r="A2488" s="83" t="s">
        <v>2353</v>
      </c>
      <c r="B2488" s="83" t="s">
        <v>3208</v>
      </c>
      <c r="C2488" s="83" t="s">
        <v>3208</v>
      </c>
      <c r="D2488" s="83" t="s">
        <v>3713</v>
      </c>
      <c r="E2488" s="83" t="s">
        <v>3761</v>
      </c>
      <c r="F2488" s="83" t="s">
        <v>3901</v>
      </c>
      <c r="G2488" s="83" t="s">
        <v>3947</v>
      </c>
      <c r="H2488" s="83">
        <v>0</v>
      </c>
      <c r="I2488" s="83" t="s">
        <v>3213</v>
      </c>
      <c r="J2488" s="83" t="s">
        <v>3948</v>
      </c>
      <c r="K2488" s="83" t="s">
        <v>3215</v>
      </c>
    </row>
    <row r="2489" spans="1:11" ht="26.25" x14ac:dyDescent="0.25">
      <c r="A2489" s="83" t="s">
        <v>1768</v>
      </c>
      <c r="B2489" s="83" t="s">
        <v>3208</v>
      </c>
      <c r="C2489" s="83" t="s">
        <v>3208</v>
      </c>
      <c r="D2489" s="83" t="s">
        <v>3713</v>
      </c>
      <c r="E2489" s="83" t="s">
        <v>3761</v>
      </c>
      <c r="F2489" s="83" t="s">
        <v>3886</v>
      </c>
      <c r="G2489" s="83" t="s">
        <v>8518</v>
      </c>
      <c r="H2489" s="83">
        <v>0</v>
      </c>
      <c r="I2489" s="83" t="s">
        <v>3229</v>
      </c>
      <c r="J2489" s="83" t="s">
        <v>3397</v>
      </c>
      <c r="K2489" s="83" t="s">
        <v>3215</v>
      </c>
    </row>
    <row r="2490" spans="1:11" ht="51.75" x14ac:dyDescent="0.25">
      <c r="A2490" s="83" t="s">
        <v>2541</v>
      </c>
      <c r="B2490" s="83" t="s">
        <v>3208</v>
      </c>
      <c r="C2490" s="83" t="s">
        <v>3208</v>
      </c>
      <c r="D2490" s="83" t="s">
        <v>3713</v>
      </c>
      <c r="E2490" s="83" t="s">
        <v>3761</v>
      </c>
      <c r="F2490" s="83" t="s">
        <v>8519</v>
      </c>
      <c r="G2490" s="83" t="s">
        <v>8520</v>
      </c>
      <c r="H2490" s="83">
        <v>0</v>
      </c>
      <c r="I2490" s="83" t="s">
        <v>3229</v>
      </c>
      <c r="J2490" s="83" t="s">
        <v>3238</v>
      </c>
      <c r="K2490" s="83" t="s">
        <v>3215</v>
      </c>
    </row>
    <row r="2491" spans="1:11" ht="64.5" x14ac:dyDescent="0.25">
      <c r="A2491" s="83" t="s">
        <v>1812</v>
      </c>
      <c r="B2491" s="83" t="s">
        <v>3208</v>
      </c>
      <c r="C2491" s="83" t="s">
        <v>3208</v>
      </c>
      <c r="D2491" s="83" t="s">
        <v>3713</v>
      </c>
      <c r="E2491" s="83" t="s">
        <v>3761</v>
      </c>
      <c r="F2491" s="83" t="s">
        <v>4015</v>
      </c>
      <c r="G2491" s="83" t="s">
        <v>4016</v>
      </c>
      <c r="H2491" s="83">
        <v>0</v>
      </c>
      <c r="I2491" s="83" t="s">
        <v>3213</v>
      </c>
      <c r="J2491" s="83" t="s">
        <v>3413</v>
      </c>
      <c r="K2491" s="83" t="s">
        <v>3215</v>
      </c>
    </row>
    <row r="2492" spans="1:11" ht="51.75" x14ac:dyDescent="0.25">
      <c r="A2492" s="83" t="s">
        <v>2470</v>
      </c>
      <c r="B2492" s="83" t="s">
        <v>3208</v>
      </c>
      <c r="C2492" s="83" t="s">
        <v>3208</v>
      </c>
      <c r="D2492" s="83" t="s">
        <v>3713</v>
      </c>
      <c r="E2492" s="83" t="s">
        <v>3761</v>
      </c>
      <c r="F2492" s="83" t="s">
        <v>3950</v>
      </c>
      <c r="G2492" s="83" t="s">
        <v>8521</v>
      </c>
      <c r="H2492" s="83">
        <v>0</v>
      </c>
      <c r="I2492" s="83" t="s">
        <v>3213</v>
      </c>
      <c r="J2492" s="83" t="s">
        <v>3257</v>
      </c>
      <c r="K2492" s="83" t="s">
        <v>3215</v>
      </c>
    </row>
    <row r="2493" spans="1:11" ht="26.25" x14ac:dyDescent="0.25">
      <c r="A2493" s="83" t="s">
        <v>2409</v>
      </c>
      <c r="B2493" s="83" t="s">
        <v>3208</v>
      </c>
      <c r="C2493" s="83" t="s">
        <v>3208</v>
      </c>
      <c r="D2493" s="83" t="s">
        <v>3713</v>
      </c>
      <c r="E2493" s="83" t="s">
        <v>3761</v>
      </c>
      <c r="F2493" s="83" t="s">
        <v>3895</v>
      </c>
      <c r="G2493" s="83" t="s">
        <v>4848</v>
      </c>
      <c r="H2493" s="83">
        <v>0</v>
      </c>
      <c r="I2493" s="83" t="s">
        <v>3213</v>
      </c>
      <c r="J2493" s="83" t="s">
        <v>3896</v>
      </c>
      <c r="K2493" s="83" t="s">
        <v>3215</v>
      </c>
    </row>
    <row r="2494" spans="1:11" ht="51.75" x14ac:dyDescent="0.25">
      <c r="A2494" s="83" t="s">
        <v>2461</v>
      </c>
      <c r="B2494" s="83" t="s">
        <v>3208</v>
      </c>
      <c r="C2494" s="83" t="s">
        <v>3208</v>
      </c>
      <c r="D2494" s="83" t="s">
        <v>3713</v>
      </c>
      <c r="E2494" s="83" t="s">
        <v>3761</v>
      </c>
      <c r="F2494" s="83" t="s">
        <v>4011</v>
      </c>
      <c r="G2494" s="83" t="s">
        <v>4581</v>
      </c>
      <c r="H2494" s="83">
        <v>0</v>
      </c>
      <c r="I2494" s="83" t="s">
        <v>3229</v>
      </c>
      <c r="J2494" s="83" t="s">
        <v>3371</v>
      </c>
      <c r="K2494" s="83" t="s">
        <v>3215</v>
      </c>
    </row>
    <row r="2495" spans="1:11" ht="51.75" x14ac:dyDescent="0.25">
      <c r="A2495" s="83" t="s">
        <v>2514</v>
      </c>
      <c r="B2495" s="83" t="s">
        <v>3208</v>
      </c>
      <c r="C2495" s="83" t="s">
        <v>3208</v>
      </c>
      <c r="D2495" s="83" t="s">
        <v>3713</v>
      </c>
      <c r="E2495" s="83" t="s">
        <v>3761</v>
      </c>
      <c r="F2495" s="83" t="s">
        <v>3886</v>
      </c>
      <c r="G2495" s="83" t="s">
        <v>3838</v>
      </c>
      <c r="H2495" s="83">
        <v>0</v>
      </c>
      <c r="I2495" s="83" t="s">
        <v>3213</v>
      </c>
      <c r="J2495" s="83" t="s">
        <v>3214</v>
      </c>
      <c r="K2495" s="83" t="s">
        <v>3215</v>
      </c>
    </row>
    <row r="2496" spans="1:11" ht="51.75" x14ac:dyDescent="0.25">
      <c r="A2496" s="83" t="s">
        <v>2436</v>
      </c>
      <c r="B2496" s="83" t="s">
        <v>3208</v>
      </c>
      <c r="C2496" s="83" t="s">
        <v>3208</v>
      </c>
      <c r="D2496" s="83" t="s">
        <v>3713</v>
      </c>
      <c r="E2496" s="83" t="s">
        <v>3761</v>
      </c>
      <c r="F2496" s="83" t="s">
        <v>3976</v>
      </c>
      <c r="G2496" s="83" t="s">
        <v>3855</v>
      </c>
      <c r="H2496" s="83">
        <v>0</v>
      </c>
      <c r="I2496" s="83" t="s">
        <v>3229</v>
      </c>
      <c r="J2496" s="83" t="s">
        <v>3280</v>
      </c>
      <c r="K2496" s="83" t="s">
        <v>3215</v>
      </c>
    </row>
    <row r="2497" spans="1:11" ht="51.75" x14ac:dyDescent="0.25">
      <c r="A2497" s="83" t="s">
        <v>2412</v>
      </c>
      <c r="B2497" s="83" t="s">
        <v>3208</v>
      </c>
      <c r="C2497" s="83" t="s">
        <v>3208</v>
      </c>
      <c r="D2497" s="83" t="s">
        <v>3713</v>
      </c>
      <c r="E2497" s="83" t="s">
        <v>3761</v>
      </c>
      <c r="F2497" s="83" t="s">
        <v>3895</v>
      </c>
      <c r="G2497" s="83" t="s">
        <v>3942</v>
      </c>
      <c r="H2497" s="83">
        <v>0</v>
      </c>
      <c r="I2497" s="83" t="s">
        <v>3229</v>
      </c>
      <c r="J2497" s="83" t="s">
        <v>3521</v>
      </c>
      <c r="K2497" s="83" t="s">
        <v>3215</v>
      </c>
    </row>
    <row r="2498" spans="1:11" ht="26.25" x14ac:dyDescent="0.25">
      <c r="A2498" s="83" t="s">
        <v>8522</v>
      </c>
      <c r="B2498" s="83" t="s">
        <v>3208</v>
      </c>
      <c r="C2498" s="83" t="s">
        <v>3208</v>
      </c>
      <c r="D2498" s="83" t="s">
        <v>3713</v>
      </c>
      <c r="E2498" s="83" t="s">
        <v>3714</v>
      </c>
      <c r="F2498" s="83" t="s">
        <v>8523</v>
      </c>
      <c r="G2498" s="83" t="s">
        <v>4294</v>
      </c>
      <c r="H2498" s="83">
        <v>0</v>
      </c>
      <c r="I2498" s="83" t="s">
        <v>3208</v>
      </c>
      <c r="J2498" s="83" t="s">
        <v>3208</v>
      </c>
      <c r="K2498" s="83" t="s">
        <v>3208</v>
      </c>
    </row>
    <row r="2499" spans="1:11" ht="39" x14ac:dyDescent="0.25">
      <c r="A2499" s="83" t="s">
        <v>731</v>
      </c>
      <c r="B2499" s="83" t="s">
        <v>8524</v>
      </c>
      <c r="C2499" s="83" t="s">
        <v>8525</v>
      </c>
      <c r="D2499" s="83" t="s">
        <v>3209</v>
      </c>
      <c r="E2499" s="83" t="s">
        <v>3246</v>
      </c>
      <c r="F2499" s="83" t="s">
        <v>8526</v>
      </c>
      <c r="G2499" s="83" t="s">
        <v>3963</v>
      </c>
      <c r="H2499" s="83">
        <v>28</v>
      </c>
      <c r="I2499" s="83" t="s">
        <v>8527</v>
      </c>
      <c r="J2499" s="83" t="s">
        <v>8528</v>
      </c>
      <c r="K2499" s="83" t="s">
        <v>8529</v>
      </c>
    </row>
    <row r="2500" spans="1:11" ht="51.75" x14ac:dyDescent="0.25">
      <c r="A2500" s="83" t="s">
        <v>2483</v>
      </c>
      <c r="B2500" s="83" t="s">
        <v>3208</v>
      </c>
      <c r="C2500" s="83" t="s">
        <v>3208</v>
      </c>
      <c r="D2500" s="83" t="s">
        <v>3713</v>
      </c>
      <c r="E2500" s="83" t="s">
        <v>3761</v>
      </c>
      <c r="F2500" s="83" t="s">
        <v>8530</v>
      </c>
      <c r="G2500" s="83" t="s">
        <v>8531</v>
      </c>
      <c r="H2500" s="83">
        <v>0</v>
      </c>
      <c r="I2500" s="83" t="s">
        <v>3229</v>
      </c>
      <c r="J2500" s="83" t="s">
        <v>3289</v>
      </c>
      <c r="K2500" s="83" t="s">
        <v>3215</v>
      </c>
    </row>
    <row r="2501" spans="1:11" ht="39" x14ac:dyDescent="0.25">
      <c r="A2501" s="83" t="s">
        <v>2626</v>
      </c>
      <c r="B2501" s="83" t="s">
        <v>3208</v>
      </c>
      <c r="C2501" s="83" t="s">
        <v>3208</v>
      </c>
      <c r="D2501" s="83" t="s">
        <v>3713</v>
      </c>
      <c r="E2501" s="83" t="s">
        <v>3761</v>
      </c>
      <c r="F2501" s="83" t="s">
        <v>4057</v>
      </c>
      <c r="G2501" s="83" t="s">
        <v>4058</v>
      </c>
      <c r="H2501" s="83">
        <v>0</v>
      </c>
      <c r="I2501" s="83" t="s">
        <v>3229</v>
      </c>
      <c r="J2501" s="83" t="s">
        <v>3241</v>
      </c>
      <c r="K2501" s="83" t="s">
        <v>3215</v>
      </c>
    </row>
    <row r="2502" spans="1:11" ht="26.25" x14ac:dyDescent="0.25">
      <c r="A2502" s="83" t="s">
        <v>1789</v>
      </c>
      <c r="B2502" s="83" t="s">
        <v>3208</v>
      </c>
      <c r="C2502" s="83" t="s">
        <v>3208</v>
      </c>
      <c r="D2502" s="83" t="s">
        <v>3713</v>
      </c>
      <c r="E2502" s="83" t="s">
        <v>3761</v>
      </c>
      <c r="F2502" s="83" t="s">
        <v>3950</v>
      </c>
      <c r="G2502" s="83" t="s">
        <v>4072</v>
      </c>
      <c r="H2502" s="83">
        <v>0</v>
      </c>
      <c r="I2502" s="83" t="s">
        <v>3213</v>
      </c>
      <c r="J2502" s="83" t="s">
        <v>3467</v>
      </c>
      <c r="K2502" s="83" t="s">
        <v>3215</v>
      </c>
    </row>
    <row r="2503" spans="1:11" ht="39" x14ac:dyDescent="0.25">
      <c r="A2503" s="83" t="s">
        <v>2649</v>
      </c>
      <c r="B2503" s="83" t="s">
        <v>3208</v>
      </c>
      <c r="C2503" s="83" t="s">
        <v>3208</v>
      </c>
      <c r="D2503" s="83" t="s">
        <v>3713</v>
      </c>
      <c r="E2503" s="83" t="s">
        <v>3761</v>
      </c>
      <c r="F2503" s="83" t="s">
        <v>4076</v>
      </c>
      <c r="G2503" s="83" t="s">
        <v>4077</v>
      </c>
      <c r="H2503" s="83">
        <v>0</v>
      </c>
      <c r="I2503" s="83" t="s">
        <v>3229</v>
      </c>
      <c r="J2503" s="83" t="s">
        <v>3241</v>
      </c>
      <c r="K2503" s="83" t="s">
        <v>3215</v>
      </c>
    </row>
    <row r="2504" spans="1:11" ht="51.75" x14ac:dyDescent="0.25">
      <c r="A2504" s="83" t="s">
        <v>738</v>
      </c>
      <c r="B2504" s="83" t="s">
        <v>8532</v>
      </c>
      <c r="C2504" s="83" t="s">
        <v>8533</v>
      </c>
      <c r="D2504" s="83" t="s">
        <v>3209</v>
      </c>
      <c r="E2504" s="83" t="s">
        <v>3246</v>
      </c>
      <c r="F2504" s="83" t="s">
        <v>8534</v>
      </c>
      <c r="G2504" s="83" t="s">
        <v>8535</v>
      </c>
      <c r="H2504" s="83">
        <v>15</v>
      </c>
      <c r="I2504" s="83" t="s">
        <v>3229</v>
      </c>
      <c r="J2504" s="83" t="s">
        <v>3238</v>
      </c>
      <c r="K2504" s="83" t="s">
        <v>3215</v>
      </c>
    </row>
    <row r="2505" spans="1:11" ht="51.75" x14ac:dyDescent="0.25">
      <c r="A2505" s="83" t="s">
        <v>2305</v>
      </c>
      <c r="B2505" s="83" t="s">
        <v>3208</v>
      </c>
      <c r="C2505" s="83" t="s">
        <v>3208</v>
      </c>
      <c r="D2505" s="83" t="s">
        <v>3713</v>
      </c>
      <c r="E2505" s="83" t="s">
        <v>3761</v>
      </c>
      <c r="F2505" s="83" t="s">
        <v>8536</v>
      </c>
      <c r="G2505" s="83" t="s">
        <v>7413</v>
      </c>
      <c r="H2505" s="83">
        <v>0</v>
      </c>
      <c r="I2505" s="83" t="s">
        <v>3229</v>
      </c>
      <c r="J2505" s="83" t="s">
        <v>3230</v>
      </c>
      <c r="K2505" s="83" t="s">
        <v>3215</v>
      </c>
    </row>
    <row r="2506" spans="1:11" ht="26.25" x14ac:dyDescent="0.25">
      <c r="A2506" s="83" t="s">
        <v>8537</v>
      </c>
      <c r="B2506" s="83" t="s">
        <v>3208</v>
      </c>
      <c r="C2506" s="83" t="s">
        <v>3208</v>
      </c>
      <c r="D2506" s="83" t="s">
        <v>3713</v>
      </c>
      <c r="E2506" s="83" t="s">
        <v>3714</v>
      </c>
      <c r="F2506" s="83" t="s">
        <v>8538</v>
      </c>
      <c r="G2506" s="83" t="s">
        <v>7205</v>
      </c>
      <c r="H2506" s="83">
        <v>0</v>
      </c>
      <c r="I2506" s="83" t="s">
        <v>3208</v>
      </c>
      <c r="J2506" s="83" t="s">
        <v>3208</v>
      </c>
      <c r="K2506" s="83" t="s">
        <v>3208</v>
      </c>
    </row>
    <row r="2507" spans="1:11" x14ac:dyDescent="0.25">
      <c r="A2507" s="83" t="s">
        <v>8539</v>
      </c>
      <c r="B2507" s="83" t="s">
        <v>7217</v>
      </c>
      <c r="C2507" s="83" t="s">
        <v>4498</v>
      </c>
      <c r="D2507" s="83" t="s">
        <v>3209</v>
      </c>
      <c r="E2507" s="83" t="s">
        <v>3702</v>
      </c>
      <c r="F2507" s="83" t="s">
        <v>8540</v>
      </c>
      <c r="G2507" s="83" t="s">
        <v>3925</v>
      </c>
      <c r="H2507" s="83">
        <v>36.5</v>
      </c>
      <c r="I2507" s="83" t="s">
        <v>3208</v>
      </c>
      <c r="J2507" s="83" t="s">
        <v>3208</v>
      </c>
      <c r="K2507" s="83" t="s">
        <v>3208</v>
      </c>
    </row>
    <row r="2508" spans="1:11" ht="26.25" x14ac:dyDescent="0.25">
      <c r="A2508" s="83" t="s">
        <v>8541</v>
      </c>
      <c r="B2508" s="83" t="s">
        <v>3208</v>
      </c>
      <c r="C2508" s="83" t="s">
        <v>3208</v>
      </c>
      <c r="D2508" s="83" t="s">
        <v>3713</v>
      </c>
      <c r="E2508" s="83" t="s">
        <v>3761</v>
      </c>
      <c r="F2508" s="83" t="s">
        <v>8542</v>
      </c>
      <c r="G2508" s="83" t="s">
        <v>8543</v>
      </c>
      <c r="H2508" s="83">
        <v>0</v>
      </c>
      <c r="I2508" s="83" t="s">
        <v>3229</v>
      </c>
      <c r="J2508" s="83" t="s">
        <v>3222</v>
      </c>
      <c r="K2508" s="83" t="s">
        <v>3215</v>
      </c>
    </row>
    <row r="2509" spans="1:11" ht="51.75" x14ac:dyDescent="0.25">
      <c r="A2509" s="83" t="s">
        <v>2687</v>
      </c>
      <c r="B2509" s="83" t="s">
        <v>3208</v>
      </c>
      <c r="C2509" s="83" t="s">
        <v>3208</v>
      </c>
      <c r="D2509" s="83" t="s">
        <v>3713</v>
      </c>
      <c r="E2509" s="83" t="s">
        <v>3761</v>
      </c>
      <c r="F2509" s="83" t="s">
        <v>8544</v>
      </c>
      <c r="G2509" s="83" t="s">
        <v>5825</v>
      </c>
      <c r="H2509" s="83">
        <v>0</v>
      </c>
      <c r="I2509" s="83" t="s">
        <v>3213</v>
      </c>
      <c r="J2509" s="83" t="s">
        <v>3521</v>
      </c>
      <c r="K2509" s="83" t="s">
        <v>3215</v>
      </c>
    </row>
    <row r="2510" spans="1:11" ht="51.75" x14ac:dyDescent="0.25">
      <c r="A2510" s="83" t="s">
        <v>2763</v>
      </c>
      <c r="B2510" s="83" t="s">
        <v>3208</v>
      </c>
      <c r="C2510" s="83" t="s">
        <v>3208</v>
      </c>
      <c r="D2510" s="83" t="s">
        <v>3713</v>
      </c>
      <c r="E2510" s="83" t="s">
        <v>3761</v>
      </c>
      <c r="F2510" s="83" t="s">
        <v>8545</v>
      </c>
      <c r="G2510" s="83" t="s">
        <v>3315</v>
      </c>
      <c r="H2510" s="83">
        <v>0</v>
      </c>
      <c r="I2510" s="83" t="s">
        <v>3229</v>
      </c>
      <c r="J2510" s="83" t="s">
        <v>3238</v>
      </c>
      <c r="K2510" s="83" t="s">
        <v>3215</v>
      </c>
    </row>
    <row r="2511" spans="1:11" ht="51.75" x14ac:dyDescent="0.25">
      <c r="A2511" s="83" t="s">
        <v>8546</v>
      </c>
      <c r="B2511" s="83" t="s">
        <v>3208</v>
      </c>
      <c r="C2511" s="83" t="s">
        <v>3208</v>
      </c>
      <c r="D2511" s="83" t="s">
        <v>3965</v>
      </c>
      <c r="E2511" s="83" t="s">
        <v>4054</v>
      </c>
      <c r="F2511" s="83" t="s">
        <v>5720</v>
      </c>
      <c r="G2511" s="83" t="s">
        <v>5721</v>
      </c>
      <c r="H2511" s="83">
        <v>0</v>
      </c>
      <c r="I2511" s="83" t="s">
        <v>3213</v>
      </c>
      <c r="J2511" s="83" t="s">
        <v>3271</v>
      </c>
      <c r="K2511" s="83" t="s">
        <v>3215</v>
      </c>
    </row>
    <row r="2512" spans="1:11" ht="26.25" x14ac:dyDescent="0.25">
      <c r="A2512" s="83" t="s">
        <v>459</v>
      </c>
      <c r="B2512" s="83" t="s">
        <v>3208</v>
      </c>
      <c r="C2512" s="83" t="s">
        <v>8547</v>
      </c>
      <c r="D2512" s="83" t="s">
        <v>3741</v>
      </c>
      <c r="E2512" s="83" t="s">
        <v>3727</v>
      </c>
      <c r="F2512" s="83" t="s">
        <v>8548</v>
      </c>
      <c r="G2512" s="83" t="s">
        <v>8549</v>
      </c>
      <c r="H2512" s="83">
        <v>4.5</v>
      </c>
      <c r="I2512" s="83" t="s">
        <v>3229</v>
      </c>
      <c r="J2512" s="83" t="s">
        <v>3397</v>
      </c>
      <c r="K2512" s="83" t="s">
        <v>3215</v>
      </c>
    </row>
    <row r="2513" spans="1:11" ht="51.75" x14ac:dyDescent="0.25">
      <c r="A2513" s="83" t="s">
        <v>2691</v>
      </c>
      <c r="B2513" s="83" t="s">
        <v>3208</v>
      </c>
      <c r="C2513" s="83" t="s">
        <v>3208</v>
      </c>
      <c r="D2513" s="83" t="s">
        <v>3713</v>
      </c>
      <c r="E2513" s="83" t="s">
        <v>3761</v>
      </c>
      <c r="F2513" s="83" t="s">
        <v>4947</v>
      </c>
      <c r="G2513" s="83" t="s">
        <v>4948</v>
      </c>
      <c r="H2513" s="83">
        <v>0</v>
      </c>
      <c r="I2513" s="83" t="s">
        <v>3213</v>
      </c>
      <c r="J2513" s="83" t="s">
        <v>3214</v>
      </c>
      <c r="K2513" s="83" t="s">
        <v>3215</v>
      </c>
    </row>
    <row r="2514" spans="1:11" ht="39" x14ac:dyDescent="0.25">
      <c r="A2514" s="83" t="s">
        <v>2701</v>
      </c>
      <c r="B2514" s="83" t="s">
        <v>3208</v>
      </c>
      <c r="C2514" s="83" t="s">
        <v>3208</v>
      </c>
      <c r="D2514" s="83" t="s">
        <v>3713</v>
      </c>
      <c r="E2514" s="83" t="s">
        <v>3761</v>
      </c>
      <c r="F2514" s="83" t="s">
        <v>3834</v>
      </c>
      <c r="G2514" s="83" t="s">
        <v>8550</v>
      </c>
      <c r="H2514" s="83">
        <v>0</v>
      </c>
      <c r="I2514" s="83" t="s">
        <v>3229</v>
      </c>
      <c r="J2514" s="83" t="s">
        <v>3241</v>
      </c>
      <c r="K2514" s="83" t="s">
        <v>3215</v>
      </c>
    </row>
    <row r="2515" spans="1:11" ht="51.75" x14ac:dyDescent="0.25">
      <c r="A2515" s="83" t="s">
        <v>665</v>
      </c>
      <c r="B2515" s="83" t="s">
        <v>3208</v>
      </c>
      <c r="C2515" s="83" t="s">
        <v>3208</v>
      </c>
      <c r="D2515" s="83" t="s">
        <v>3209</v>
      </c>
      <c r="E2515" s="83" t="s">
        <v>3210</v>
      </c>
      <c r="F2515" s="83" t="s">
        <v>6484</v>
      </c>
      <c r="G2515" s="83" t="s">
        <v>6485</v>
      </c>
      <c r="H2515" s="83">
        <v>15.8</v>
      </c>
      <c r="I2515" s="83" t="s">
        <v>3213</v>
      </c>
      <c r="J2515" s="83" t="s">
        <v>3214</v>
      </c>
      <c r="K2515" s="83" t="s">
        <v>3215</v>
      </c>
    </row>
    <row r="2516" spans="1:11" ht="39" x14ac:dyDescent="0.25">
      <c r="A2516" s="83" t="s">
        <v>2723</v>
      </c>
      <c r="B2516" s="83" t="s">
        <v>3208</v>
      </c>
      <c r="C2516" s="83" t="s">
        <v>3208</v>
      </c>
      <c r="D2516" s="83" t="s">
        <v>3713</v>
      </c>
      <c r="E2516" s="83" t="s">
        <v>3761</v>
      </c>
      <c r="F2516" s="83" t="s">
        <v>8551</v>
      </c>
      <c r="G2516" s="83" t="s">
        <v>8552</v>
      </c>
      <c r="H2516" s="83">
        <v>0</v>
      </c>
      <c r="I2516" s="83" t="s">
        <v>3229</v>
      </c>
      <c r="J2516" s="83" t="s">
        <v>356</v>
      </c>
      <c r="K2516" s="83" t="s">
        <v>3215</v>
      </c>
    </row>
    <row r="2517" spans="1:11" x14ac:dyDescent="0.25">
      <c r="A2517" s="83" t="s">
        <v>8553</v>
      </c>
      <c r="B2517" s="83" t="s">
        <v>3208</v>
      </c>
      <c r="C2517" s="83" t="s">
        <v>3208</v>
      </c>
      <c r="D2517" s="83" t="s">
        <v>3209</v>
      </c>
      <c r="E2517" s="83" t="s">
        <v>3663</v>
      </c>
      <c r="F2517" s="83" t="s">
        <v>4960</v>
      </c>
      <c r="G2517" s="83" t="s">
        <v>8473</v>
      </c>
      <c r="H2517" s="83">
        <v>25</v>
      </c>
      <c r="I2517" s="83" t="s">
        <v>3208</v>
      </c>
      <c r="J2517" s="83" t="s">
        <v>3208</v>
      </c>
      <c r="K2517" s="83" t="s">
        <v>3208</v>
      </c>
    </row>
    <row r="2518" spans="1:11" ht="51.75" x14ac:dyDescent="0.25">
      <c r="A2518" s="83" t="s">
        <v>1416</v>
      </c>
      <c r="B2518" s="83" t="s">
        <v>8554</v>
      </c>
      <c r="C2518" s="83" t="s">
        <v>8555</v>
      </c>
      <c r="D2518" s="83" t="s">
        <v>3209</v>
      </c>
      <c r="E2518" s="83" t="s">
        <v>3246</v>
      </c>
      <c r="F2518" s="83" t="s">
        <v>6802</v>
      </c>
      <c r="G2518" s="83" t="s">
        <v>7128</v>
      </c>
      <c r="H2518" s="83">
        <v>14</v>
      </c>
      <c r="I2518" s="83" t="s">
        <v>3229</v>
      </c>
      <c r="J2518" s="83" t="s">
        <v>3289</v>
      </c>
      <c r="K2518" s="83" t="s">
        <v>3215</v>
      </c>
    </row>
    <row r="2519" spans="1:11" ht="39" x14ac:dyDescent="0.25">
      <c r="A2519" s="83" t="s">
        <v>410</v>
      </c>
      <c r="B2519" s="83" t="s">
        <v>3208</v>
      </c>
      <c r="C2519" s="83" t="s">
        <v>8556</v>
      </c>
      <c r="D2519" s="83" t="s">
        <v>3718</v>
      </c>
      <c r="E2519" s="83" t="s">
        <v>3727</v>
      </c>
      <c r="F2519" s="83" t="s">
        <v>7248</v>
      </c>
      <c r="G2519" s="83" t="s">
        <v>8557</v>
      </c>
      <c r="H2519" s="83">
        <v>1</v>
      </c>
      <c r="I2519" s="83" t="s">
        <v>3229</v>
      </c>
      <c r="J2519" s="83" t="s">
        <v>356</v>
      </c>
      <c r="K2519" s="83" t="s">
        <v>3215</v>
      </c>
    </row>
    <row r="2520" spans="1:11" ht="26.25" x14ac:dyDescent="0.25">
      <c r="A2520" s="83" t="s">
        <v>397</v>
      </c>
      <c r="B2520" s="83" t="s">
        <v>3208</v>
      </c>
      <c r="C2520" s="83" t="s">
        <v>8558</v>
      </c>
      <c r="D2520" s="83" t="s">
        <v>3718</v>
      </c>
      <c r="E2520" s="83" t="s">
        <v>3727</v>
      </c>
      <c r="F2520" s="83" t="s">
        <v>7248</v>
      </c>
      <c r="G2520" s="83" t="s">
        <v>8559</v>
      </c>
      <c r="H2520" s="83">
        <v>10</v>
      </c>
      <c r="I2520" s="83" t="s">
        <v>3213</v>
      </c>
      <c r="J2520" s="83" t="s">
        <v>3851</v>
      </c>
      <c r="K2520" s="83" t="s">
        <v>3215</v>
      </c>
    </row>
    <row r="2521" spans="1:11" ht="26.25" x14ac:dyDescent="0.25">
      <c r="A2521" s="83" t="s">
        <v>8560</v>
      </c>
      <c r="B2521" s="83" t="s">
        <v>3208</v>
      </c>
      <c r="C2521" s="83" t="s">
        <v>3208</v>
      </c>
      <c r="D2521" s="83" t="s">
        <v>3713</v>
      </c>
      <c r="E2521" s="83" t="s">
        <v>3714</v>
      </c>
      <c r="F2521" s="83" t="s">
        <v>7240</v>
      </c>
      <c r="G2521" s="83" t="s">
        <v>7241</v>
      </c>
      <c r="H2521" s="83">
        <v>0</v>
      </c>
      <c r="I2521" s="83" t="s">
        <v>3208</v>
      </c>
      <c r="J2521" s="83" t="s">
        <v>3208</v>
      </c>
      <c r="K2521" s="83" t="s">
        <v>3208</v>
      </c>
    </row>
    <row r="2522" spans="1:11" ht="26.25" x14ac:dyDescent="0.25">
      <c r="A2522" s="83" t="s">
        <v>8561</v>
      </c>
      <c r="B2522" s="83" t="s">
        <v>3208</v>
      </c>
      <c r="C2522" s="83" t="s">
        <v>3208</v>
      </c>
      <c r="D2522" s="83" t="s">
        <v>3713</v>
      </c>
      <c r="E2522" s="83" t="s">
        <v>3714</v>
      </c>
      <c r="F2522" s="83" t="s">
        <v>7248</v>
      </c>
      <c r="G2522" s="83" t="s">
        <v>8562</v>
      </c>
      <c r="H2522" s="83">
        <v>0</v>
      </c>
      <c r="I2522" s="83" t="s">
        <v>3208</v>
      </c>
      <c r="J2522" s="83" t="s">
        <v>3208</v>
      </c>
      <c r="K2522" s="83" t="s">
        <v>3208</v>
      </c>
    </row>
    <row r="2523" spans="1:11" ht="64.5" x14ac:dyDescent="0.25">
      <c r="A2523" s="83" t="s">
        <v>413</v>
      </c>
      <c r="B2523" s="83" t="s">
        <v>3208</v>
      </c>
      <c r="C2523" s="83" t="s">
        <v>8563</v>
      </c>
      <c r="D2523" s="83" t="s">
        <v>4005</v>
      </c>
      <c r="E2523" s="83" t="s">
        <v>3727</v>
      </c>
      <c r="F2523" s="83" t="s">
        <v>8564</v>
      </c>
      <c r="G2523" s="83" t="s">
        <v>8565</v>
      </c>
      <c r="H2523" s="83">
        <v>16.399999999999999</v>
      </c>
      <c r="I2523" s="83" t="s">
        <v>3213</v>
      </c>
      <c r="J2523" s="83" t="s">
        <v>3436</v>
      </c>
      <c r="K2523" s="83" t="s">
        <v>3215</v>
      </c>
    </row>
    <row r="2524" spans="1:11" ht="64.5" x14ac:dyDescent="0.25">
      <c r="A2524" s="83" t="s">
        <v>2774</v>
      </c>
      <c r="B2524" s="83" t="s">
        <v>3208</v>
      </c>
      <c r="C2524" s="83" t="s">
        <v>3208</v>
      </c>
      <c r="D2524" s="83" t="s">
        <v>3713</v>
      </c>
      <c r="E2524" s="83" t="s">
        <v>3761</v>
      </c>
      <c r="F2524" s="83" t="s">
        <v>4982</v>
      </c>
      <c r="G2524" s="83" t="s">
        <v>8566</v>
      </c>
      <c r="H2524" s="83">
        <v>0</v>
      </c>
      <c r="I2524" s="83" t="s">
        <v>3229</v>
      </c>
      <c r="J2524" s="83" t="s">
        <v>3380</v>
      </c>
      <c r="K2524" s="83" t="s">
        <v>3215</v>
      </c>
    </row>
    <row r="2525" spans="1:11" ht="26.25" x14ac:dyDescent="0.25">
      <c r="A2525" s="83" t="s">
        <v>649</v>
      </c>
      <c r="B2525" s="83" t="s">
        <v>3208</v>
      </c>
      <c r="C2525" s="83" t="s">
        <v>3208</v>
      </c>
      <c r="D2525" s="83" t="s">
        <v>3209</v>
      </c>
      <c r="E2525" s="83" t="s">
        <v>3210</v>
      </c>
      <c r="F2525" s="83" t="s">
        <v>7126</v>
      </c>
      <c r="G2525" s="83" t="s">
        <v>5638</v>
      </c>
      <c r="H2525" s="83">
        <v>25</v>
      </c>
      <c r="I2525" s="83" t="s">
        <v>3229</v>
      </c>
      <c r="J2525" s="83" t="s">
        <v>3397</v>
      </c>
      <c r="K2525" s="83" t="s">
        <v>3215</v>
      </c>
    </row>
    <row r="2526" spans="1:11" ht="26.25" x14ac:dyDescent="0.25">
      <c r="A2526" s="83" t="s">
        <v>8567</v>
      </c>
      <c r="B2526" s="83" t="s">
        <v>3208</v>
      </c>
      <c r="C2526" s="83" t="s">
        <v>8568</v>
      </c>
      <c r="D2526" s="83" t="s">
        <v>3718</v>
      </c>
      <c r="E2526" s="83" t="s">
        <v>3702</v>
      </c>
      <c r="F2526" s="83" t="s">
        <v>3830</v>
      </c>
      <c r="G2526" s="83" t="s">
        <v>8569</v>
      </c>
      <c r="H2526" s="83">
        <v>4</v>
      </c>
      <c r="I2526" s="83" t="s">
        <v>3208</v>
      </c>
      <c r="J2526" s="83" t="s">
        <v>3208</v>
      </c>
      <c r="K2526" s="83" t="s">
        <v>3208</v>
      </c>
    </row>
    <row r="2527" spans="1:11" ht="51.75" x14ac:dyDescent="0.25">
      <c r="A2527" s="83" t="s">
        <v>2745</v>
      </c>
      <c r="B2527" s="83" t="s">
        <v>3208</v>
      </c>
      <c r="C2527" s="83" t="s">
        <v>3208</v>
      </c>
      <c r="D2527" s="83" t="s">
        <v>3713</v>
      </c>
      <c r="E2527" s="83" t="s">
        <v>3761</v>
      </c>
      <c r="F2527" s="83" t="s">
        <v>4123</v>
      </c>
      <c r="G2527" s="83" t="s">
        <v>3565</v>
      </c>
      <c r="H2527" s="83">
        <v>0</v>
      </c>
      <c r="I2527" s="83" t="s">
        <v>3229</v>
      </c>
      <c r="J2527" s="83" t="s">
        <v>3230</v>
      </c>
      <c r="K2527" s="83" t="s">
        <v>3215</v>
      </c>
    </row>
    <row r="2528" spans="1:11" x14ac:dyDescent="0.25">
      <c r="A2528" s="83" t="s">
        <v>8570</v>
      </c>
      <c r="B2528" s="83" t="s">
        <v>8571</v>
      </c>
      <c r="C2528" s="83" t="s">
        <v>8572</v>
      </c>
      <c r="D2528" s="83" t="s">
        <v>3209</v>
      </c>
      <c r="E2528" s="83" t="s">
        <v>3702</v>
      </c>
      <c r="F2528" s="83" t="s">
        <v>8573</v>
      </c>
      <c r="G2528" s="83" t="s">
        <v>8574</v>
      </c>
      <c r="H2528" s="83">
        <v>10</v>
      </c>
      <c r="I2528" s="83" t="s">
        <v>3208</v>
      </c>
      <c r="J2528" s="83" t="s">
        <v>3208</v>
      </c>
      <c r="K2528" s="83" t="s">
        <v>3208</v>
      </c>
    </row>
    <row r="2529" spans="1:11" ht="26.25" x14ac:dyDescent="0.25">
      <c r="A2529" s="83" t="s">
        <v>2795</v>
      </c>
      <c r="B2529" s="83" t="s">
        <v>3208</v>
      </c>
      <c r="C2529" s="83" t="s">
        <v>3208</v>
      </c>
      <c r="D2529" s="83" t="s">
        <v>3713</v>
      </c>
      <c r="E2529" s="83" t="s">
        <v>3761</v>
      </c>
      <c r="F2529" s="83" t="s">
        <v>4168</v>
      </c>
      <c r="G2529" s="83" t="s">
        <v>5865</v>
      </c>
      <c r="H2529" s="83">
        <v>0</v>
      </c>
      <c r="I2529" s="83" t="s">
        <v>3213</v>
      </c>
      <c r="J2529" s="83" t="s">
        <v>3948</v>
      </c>
      <c r="K2529" s="83" t="s">
        <v>3215</v>
      </c>
    </row>
    <row r="2530" spans="1:11" ht="26.25" x14ac:dyDescent="0.25">
      <c r="A2530" s="83" t="s">
        <v>2798</v>
      </c>
      <c r="B2530" s="83" t="s">
        <v>3208</v>
      </c>
      <c r="C2530" s="83" t="s">
        <v>3208</v>
      </c>
      <c r="D2530" s="83" t="s">
        <v>3713</v>
      </c>
      <c r="E2530" s="83" t="s">
        <v>3761</v>
      </c>
      <c r="F2530" s="83" t="s">
        <v>4144</v>
      </c>
      <c r="G2530" s="83" t="s">
        <v>4202</v>
      </c>
      <c r="H2530" s="83">
        <v>0</v>
      </c>
      <c r="I2530" s="83" t="s">
        <v>3213</v>
      </c>
      <c r="J2530" s="83" t="s">
        <v>3467</v>
      </c>
      <c r="K2530" s="83" t="s">
        <v>3215</v>
      </c>
    </row>
    <row r="2531" spans="1:11" x14ac:dyDescent="0.25">
      <c r="A2531" s="83" t="s">
        <v>8575</v>
      </c>
      <c r="B2531" s="83" t="s">
        <v>3208</v>
      </c>
      <c r="C2531" s="83" t="s">
        <v>3208</v>
      </c>
      <c r="D2531" s="83" t="s">
        <v>3209</v>
      </c>
      <c r="E2531" s="83" t="s">
        <v>3663</v>
      </c>
      <c r="F2531" s="83" t="s">
        <v>8576</v>
      </c>
      <c r="G2531" s="83" t="s">
        <v>8577</v>
      </c>
      <c r="H2531" s="83">
        <v>60</v>
      </c>
      <c r="I2531" s="83" t="s">
        <v>3208</v>
      </c>
      <c r="J2531" s="83" t="s">
        <v>3208</v>
      </c>
      <c r="K2531" s="83" t="s">
        <v>3208</v>
      </c>
    </row>
    <row r="2532" spans="1:11" ht="26.25" x14ac:dyDescent="0.25">
      <c r="A2532" s="83" t="s">
        <v>8578</v>
      </c>
      <c r="B2532" s="83" t="s">
        <v>3208</v>
      </c>
      <c r="C2532" s="83" t="s">
        <v>3208</v>
      </c>
      <c r="D2532" s="83" t="s">
        <v>3713</v>
      </c>
      <c r="E2532" s="83" t="s">
        <v>3714</v>
      </c>
      <c r="F2532" s="83" t="s">
        <v>8007</v>
      </c>
      <c r="G2532" s="83" t="s">
        <v>4881</v>
      </c>
      <c r="H2532" s="83">
        <v>0</v>
      </c>
      <c r="I2532" s="83" t="s">
        <v>3208</v>
      </c>
      <c r="J2532" s="83" t="s">
        <v>3208</v>
      </c>
      <c r="K2532" s="83" t="s">
        <v>3208</v>
      </c>
    </row>
    <row r="2533" spans="1:11" ht="51.75" x14ac:dyDescent="0.25">
      <c r="A2533" s="83" t="s">
        <v>594</v>
      </c>
      <c r="B2533" s="83" t="s">
        <v>8579</v>
      </c>
      <c r="C2533" s="83" t="s">
        <v>3208</v>
      </c>
      <c r="D2533" s="83" t="s">
        <v>3209</v>
      </c>
      <c r="E2533" s="83" t="s">
        <v>3226</v>
      </c>
      <c r="F2533" s="83" t="s">
        <v>6559</v>
      </c>
      <c r="G2533" s="83" t="s">
        <v>8580</v>
      </c>
      <c r="H2533" s="83">
        <v>31.7</v>
      </c>
      <c r="I2533" s="83" t="s">
        <v>3213</v>
      </c>
      <c r="J2533" s="83" t="s">
        <v>3257</v>
      </c>
      <c r="K2533" s="83" t="s">
        <v>3215</v>
      </c>
    </row>
    <row r="2534" spans="1:11" ht="26.25" x14ac:dyDescent="0.25">
      <c r="A2534" s="83" t="s">
        <v>8581</v>
      </c>
      <c r="B2534" s="83" t="s">
        <v>3208</v>
      </c>
      <c r="C2534" s="83" t="s">
        <v>3208</v>
      </c>
      <c r="D2534" s="83" t="s">
        <v>3713</v>
      </c>
      <c r="E2534" s="83" t="s">
        <v>3714</v>
      </c>
      <c r="F2534" s="83" t="s">
        <v>8582</v>
      </c>
      <c r="G2534" s="83" t="s">
        <v>8583</v>
      </c>
      <c r="H2534" s="83">
        <v>0</v>
      </c>
      <c r="I2534" s="83" t="s">
        <v>3208</v>
      </c>
      <c r="J2534" s="83" t="s">
        <v>3208</v>
      </c>
      <c r="K2534" s="83" t="s">
        <v>3208</v>
      </c>
    </row>
    <row r="2535" spans="1:11" ht="26.25" x14ac:dyDescent="0.25">
      <c r="A2535" s="83" t="s">
        <v>339</v>
      </c>
      <c r="B2535" s="83" t="s">
        <v>3208</v>
      </c>
      <c r="C2535" s="83" t="s">
        <v>8584</v>
      </c>
      <c r="D2535" s="83" t="s">
        <v>4157</v>
      </c>
      <c r="E2535" s="83" t="s">
        <v>3727</v>
      </c>
      <c r="F2535" s="83" t="s">
        <v>7936</v>
      </c>
      <c r="G2535" s="83" t="s">
        <v>5865</v>
      </c>
      <c r="H2535" s="83">
        <v>3.88</v>
      </c>
      <c r="I2535" s="83" t="s">
        <v>3213</v>
      </c>
      <c r="J2535" s="83" t="s">
        <v>3948</v>
      </c>
      <c r="K2535" s="83" t="s">
        <v>3215</v>
      </c>
    </row>
    <row r="2536" spans="1:11" ht="64.5" x14ac:dyDescent="0.25">
      <c r="A2536" s="83" t="s">
        <v>1879</v>
      </c>
      <c r="B2536" s="83" t="s">
        <v>3208</v>
      </c>
      <c r="C2536" s="83" t="s">
        <v>3208</v>
      </c>
      <c r="D2536" s="83" t="s">
        <v>3713</v>
      </c>
      <c r="E2536" s="83" t="s">
        <v>3761</v>
      </c>
      <c r="F2536" s="83" t="s">
        <v>8585</v>
      </c>
      <c r="G2536" s="83" t="s">
        <v>8010</v>
      </c>
      <c r="H2536" s="83">
        <v>0</v>
      </c>
      <c r="I2536" s="83" t="s">
        <v>3213</v>
      </c>
      <c r="J2536" s="83" t="s">
        <v>3262</v>
      </c>
      <c r="K2536" s="83" t="s">
        <v>3215</v>
      </c>
    </row>
    <row r="2537" spans="1:11" ht="64.5" x14ac:dyDescent="0.25">
      <c r="A2537" s="83" t="s">
        <v>392</v>
      </c>
      <c r="B2537" s="83" t="s">
        <v>3208</v>
      </c>
      <c r="C2537" s="83" t="s">
        <v>8586</v>
      </c>
      <c r="D2537" s="83" t="s">
        <v>3718</v>
      </c>
      <c r="E2537" s="83" t="s">
        <v>3727</v>
      </c>
      <c r="F2537" s="83" t="s">
        <v>8587</v>
      </c>
      <c r="G2537" s="83" t="s">
        <v>4200</v>
      </c>
      <c r="H2537" s="83">
        <v>0.31</v>
      </c>
      <c r="I2537" s="83" t="s">
        <v>3213</v>
      </c>
      <c r="J2537" s="83" t="s">
        <v>3413</v>
      </c>
      <c r="K2537" s="83" t="s">
        <v>3215</v>
      </c>
    </row>
    <row r="2538" spans="1:11" ht="39" x14ac:dyDescent="0.25">
      <c r="A2538" s="83" t="s">
        <v>2902</v>
      </c>
      <c r="B2538" s="83" t="s">
        <v>3208</v>
      </c>
      <c r="C2538" s="83" t="s">
        <v>3208</v>
      </c>
      <c r="D2538" s="83" t="s">
        <v>3713</v>
      </c>
      <c r="E2538" s="83" t="s">
        <v>3761</v>
      </c>
      <c r="F2538" s="83" t="s">
        <v>8588</v>
      </c>
      <c r="G2538" s="83" t="s">
        <v>8589</v>
      </c>
      <c r="H2538" s="83">
        <v>0</v>
      </c>
      <c r="I2538" s="83" t="s">
        <v>3229</v>
      </c>
      <c r="J2538" s="83" t="s">
        <v>356</v>
      </c>
      <c r="K2538" s="83" t="s">
        <v>3215</v>
      </c>
    </row>
    <row r="2539" spans="1:11" ht="51.75" x14ac:dyDescent="0.25">
      <c r="A2539" s="83" t="s">
        <v>1553</v>
      </c>
      <c r="B2539" s="83" t="s">
        <v>4995</v>
      </c>
      <c r="C2539" s="83" t="s">
        <v>8590</v>
      </c>
      <c r="D2539" s="83" t="s">
        <v>3209</v>
      </c>
      <c r="E2539" s="83" t="s">
        <v>3246</v>
      </c>
      <c r="F2539" s="83" t="s">
        <v>7946</v>
      </c>
      <c r="G2539" s="83" t="s">
        <v>8591</v>
      </c>
      <c r="H2539" s="83">
        <v>34</v>
      </c>
      <c r="I2539" s="83" t="s">
        <v>3213</v>
      </c>
      <c r="J2539" s="83" t="s">
        <v>3271</v>
      </c>
      <c r="K2539" s="83" t="s">
        <v>3215</v>
      </c>
    </row>
    <row r="2540" spans="1:11" ht="39" x14ac:dyDescent="0.25">
      <c r="A2540" s="83" t="s">
        <v>2841</v>
      </c>
      <c r="B2540" s="83" t="s">
        <v>3208</v>
      </c>
      <c r="C2540" s="83" t="s">
        <v>3208</v>
      </c>
      <c r="D2540" s="83" t="s">
        <v>3713</v>
      </c>
      <c r="E2540" s="83" t="s">
        <v>3761</v>
      </c>
      <c r="F2540" s="83" t="s">
        <v>8592</v>
      </c>
      <c r="G2540" s="83" t="s">
        <v>8593</v>
      </c>
      <c r="H2540" s="83">
        <v>0</v>
      </c>
      <c r="I2540" s="83" t="s">
        <v>3229</v>
      </c>
      <c r="J2540" s="83" t="s">
        <v>356</v>
      </c>
      <c r="K2540" s="83" t="s">
        <v>3215</v>
      </c>
    </row>
    <row r="2541" spans="1:11" ht="26.25" x14ac:dyDescent="0.25">
      <c r="A2541" s="83" t="s">
        <v>8594</v>
      </c>
      <c r="B2541" s="83" t="s">
        <v>3208</v>
      </c>
      <c r="C2541" s="83" t="s">
        <v>3208</v>
      </c>
      <c r="D2541" s="83" t="s">
        <v>3965</v>
      </c>
      <c r="E2541" s="83" t="s">
        <v>4054</v>
      </c>
      <c r="F2541" s="83" t="s">
        <v>5742</v>
      </c>
      <c r="G2541" s="83" t="s">
        <v>4214</v>
      </c>
      <c r="H2541" s="83">
        <v>0</v>
      </c>
      <c r="I2541" s="83" t="s">
        <v>3213</v>
      </c>
      <c r="J2541" s="83" t="s">
        <v>4000</v>
      </c>
      <c r="K2541" s="83" t="s">
        <v>3215</v>
      </c>
    </row>
    <row r="2542" spans="1:11" ht="51.75" x14ac:dyDescent="0.25">
      <c r="A2542" s="83" t="s">
        <v>8595</v>
      </c>
      <c r="B2542" s="83" t="s">
        <v>3208</v>
      </c>
      <c r="C2542" s="83" t="s">
        <v>3208</v>
      </c>
      <c r="D2542" s="83" t="s">
        <v>3713</v>
      </c>
      <c r="E2542" s="83" t="s">
        <v>3714</v>
      </c>
      <c r="F2542" s="83" t="s">
        <v>8596</v>
      </c>
      <c r="G2542" s="83" t="s">
        <v>5240</v>
      </c>
      <c r="H2542" s="83">
        <v>0</v>
      </c>
      <c r="I2542" s="83" t="s">
        <v>3229</v>
      </c>
      <c r="J2542" s="83" t="s">
        <v>3238</v>
      </c>
      <c r="K2542" s="83" t="s">
        <v>3215</v>
      </c>
    </row>
    <row r="2543" spans="1:11" ht="51.75" x14ac:dyDescent="0.25">
      <c r="A2543" s="83" t="s">
        <v>637</v>
      </c>
      <c r="B2543" s="83" t="s">
        <v>3208</v>
      </c>
      <c r="C2543" s="83" t="s">
        <v>3208</v>
      </c>
      <c r="D2543" s="83" t="s">
        <v>3209</v>
      </c>
      <c r="E2543" s="83" t="s">
        <v>3210</v>
      </c>
      <c r="F2543" s="83" t="s">
        <v>6990</v>
      </c>
      <c r="G2543" s="83" t="s">
        <v>4827</v>
      </c>
      <c r="H2543" s="83">
        <v>160</v>
      </c>
      <c r="I2543" s="83" t="s">
        <v>3213</v>
      </c>
      <c r="J2543" s="83" t="s">
        <v>3271</v>
      </c>
      <c r="K2543" s="83" t="s">
        <v>3215</v>
      </c>
    </row>
    <row r="2544" spans="1:11" ht="26.25" x14ac:dyDescent="0.25">
      <c r="A2544" s="83" t="s">
        <v>719</v>
      </c>
      <c r="B2544" s="83" t="s">
        <v>3208</v>
      </c>
      <c r="C2544" s="83" t="s">
        <v>8597</v>
      </c>
      <c r="D2544" s="83" t="s">
        <v>3718</v>
      </c>
      <c r="E2544" s="83" t="s">
        <v>3727</v>
      </c>
      <c r="F2544" s="83" t="s">
        <v>8598</v>
      </c>
      <c r="G2544" s="83" t="s">
        <v>7327</v>
      </c>
      <c r="H2544" s="83">
        <v>2</v>
      </c>
      <c r="I2544" s="83" t="s">
        <v>3213</v>
      </c>
      <c r="J2544" s="83" t="s">
        <v>3467</v>
      </c>
      <c r="K2544" s="83" t="s">
        <v>3215</v>
      </c>
    </row>
    <row r="2545" spans="1:11" ht="26.25" x14ac:dyDescent="0.25">
      <c r="A2545" s="83" t="s">
        <v>8599</v>
      </c>
      <c r="B2545" s="83" t="s">
        <v>3208</v>
      </c>
      <c r="C2545" s="83" t="s">
        <v>3208</v>
      </c>
      <c r="D2545" s="83" t="s">
        <v>3713</v>
      </c>
      <c r="E2545" s="83" t="s">
        <v>3714</v>
      </c>
      <c r="F2545" s="83" t="s">
        <v>5027</v>
      </c>
      <c r="G2545" s="83" t="s">
        <v>5028</v>
      </c>
      <c r="H2545" s="83">
        <v>0</v>
      </c>
      <c r="I2545" s="83" t="s">
        <v>3208</v>
      </c>
      <c r="J2545" s="83" t="s">
        <v>3208</v>
      </c>
      <c r="K2545" s="83" t="s">
        <v>3208</v>
      </c>
    </row>
    <row r="2546" spans="1:11" ht="26.25" x14ac:dyDescent="0.25">
      <c r="A2546" s="83" t="s">
        <v>8600</v>
      </c>
      <c r="B2546" s="83" t="s">
        <v>3208</v>
      </c>
      <c r="C2546" s="83" t="s">
        <v>3208</v>
      </c>
      <c r="D2546" s="83" t="s">
        <v>3713</v>
      </c>
      <c r="E2546" s="83" t="s">
        <v>3714</v>
      </c>
      <c r="F2546" s="83" t="s">
        <v>4168</v>
      </c>
      <c r="G2546" s="83" t="s">
        <v>4164</v>
      </c>
      <c r="H2546" s="83">
        <v>0</v>
      </c>
      <c r="I2546" s="83" t="s">
        <v>3208</v>
      </c>
      <c r="J2546" s="83" t="s">
        <v>3208</v>
      </c>
      <c r="K2546" s="83" t="s">
        <v>3208</v>
      </c>
    </row>
    <row r="2547" spans="1:11" ht="26.25" x14ac:dyDescent="0.25">
      <c r="A2547" s="83" t="s">
        <v>361</v>
      </c>
      <c r="B2547" s="83" t="s">
        <v>3208</v>
      </c>
      <c r="C2547" s="83" t="s">
        <v>8601</v>
      </c>
      <c r="D2547" s="83" t="s">
        <v>4157</v>
      </c>
      <c r="E2547" s="83" t="s">
        <v>3727</v>
      </c>
      <c r="F2547" s="83" t="s">
        <v>8602</v>
      </c>
      <c r="G2547" s="83" t="s">
        <v>5072</v>
      </c>
      <c r="H2547" s="83">
        <v>0.23</v>
      </c>
      <c r="I2547" s="83" t="s">
        <v>3213</v>
      </c>
      <c r="J2547" s="83" t="s">
        <v>3948</v>
      </c>
      <c r="K2547" s="83" t="s">
        <v>3215</v>
      </c>
    </row>
    <row r="2548" spans="1:11" ht="26.25" x14ac:dyDescent="0.25">
      <c r="A2548" s="83" t="s">
        <v>2850</v>
      </c>
      <c r="B2548" s="83" t="s">
        <v>3208</v>
      </c>
      <c r="C2548" s="83" t="s">
        <v>3208</v>
      </c>
      <c r="D2548" s="83" t="s">
        <v>3713</v>
      </c>
      <c r="E2548" s="83" t="s">
        <v>3761</v>
      </c>
      <c r="F2548" s="83" t="s">
        <v>8603</v>
      </c>
      <c r="G2548" s="83" t="s">
        <v>8604</v>
      </c>
      <c r="H2548" s="83">
        <v>0</v>
      </c>
      <c r="I2548" s="83" t="s">
        <v>3213</v>
      </c>
      <c r="J2548" s="83" t="s">
        <v>4176</v>
      </c>
      <c r="K2548" s="83" t="s">
        <v>3215</v>
      </c>
    </row>
    <row r="2549" spans="1:11" ht="26.25" x14ac:dyDescent="0.25">
      <c r="A2549" s="83" t="s">
        <v>8605</v>
      </c>
      <c r="B2549" s="83" t="s">
        <v>3208</v>
      </c>
      <c r="C2549" s="83" t="s">
        <v>3208</v>
      </c>
      <c r="D2549" s="83" t="s">
        <v>3209</v>
      </c>
      <c r="E2549" s="83" t="s">
        <v>3663</v>
      </c>
      <c r="F2549" s="83" t="s">
        <v>8606</v>
      </c>
      <c r="G2549" s="83" t="s">
        <v>5599</v>
      </c>
      <c r="H2549" s="83">
        <v>52126.400000000001</v>
      </c>
      <c r="I2549" s="83" t="s">
        <v>3208</v>
      </c>
      <c r="J2549" s="83" t="s">
        <v>3208</v>
      </c>
      <c r="K2549" s="83" t="s">
        <v>3208</v>
      </c>
    </row>
    <row r="2550" spans="1:11" ht="26.25" x14ac:dyDescent="0.25">
      <c r="A2550" s="83" t="s">
        <v>342</v>
      </c>
      <c r="B2550" s="83" t="s">
        <v>3208</v>
      </c>
      <c r="C2550" s="83" t="s">
        <v>8607</v>
      </c>
      <c r="D2550" s="83" t="s">
        <v>4157</v>
      </c>
      <c r="E2550" s="83" t="s">
        <v>3727</v>
      </c>
      <c r="F2550" s="83" t="s">
        <v>8608</v>
      </c>
      <c r="G2550" s="83" t="s">
        <v>8609</v>
      </c>
      <c r="H2550" s="83">
        <v>0.13</v>
      </c>
      <c r="I2550" s="83" t="s">
        <v>3213</v>
      </c>
      <c r="J2550" s="83" t="s">
        <v>3948</v>
      </c>
      <c r="K2550" s="83" t="s">
        <v>3215</v>
      </c>
    </row>
    <row r="2551" spans="1:11" x14ac:dyDescent="0.25">
      <c r="A2551" s="83" t="s">
        <v>8610</v>
      </c>
      <c r="B2551" s="83" t="s">
        <v>8611</v>
      </c>
      <c r="C2551" s="83" t="s">
        <v>3208</v>
      </c>
      <c r="D2551" s="83" t="s">
        <v>3209</v>
      </c>
      <c r="E2551" s="83" t="s">
        <v>3702</v>
      </c>
      <c r="F2551" s="83" t="s">
        <v>8612</v>
      </c>
      <c r="G2551" s="83" t="s">
        <v>8613</v>
      </c>
      <c r="H2551" s="83">
        <v>25</v>
      </c>
      <c r="I2551" s="83" t="s">
        <v>3208</v>
      </c>
      <c r="J2551" s="83" t="s">
        <v>3208</v>
      </c>
      <c r="K2551" s="83" t="s">
        <v>3208</v>
      </c>
    </row>
    <row r="2552" spans="1:11" ht="26.25" x14ac:dyDescent="0.25">
      <c r="A2552" s="83" t="s">
        <v>341</v>
      </c>
      <c r="B2552" s="83" t="s">
        <v>3208</v>
      </c>
      <c r="C2552" s="83" t="s">
        <v>8614</v>
      </c>
      <c r="D2552" s="83" t="s">
        <v>4157</v>
      </c>
      <c r="E2552" s="83" t="s">
        <v>3702</v>
      </c>
      <c r="F2552" s="83" t="s">
        <v>8615</v>
      </c>
      <c r="G2552" s="83" t="s">
        <v>4202</v>
      </c>
      <c r="H2552" s="83">
        <v>0.32</v>
      </c>
      <c r="I2552" s="83" t="s">
        <v>3208</v>
      </c>
      <c r="J2552" s="83" t="s">
        <v>3208</v>
      </c>
      <c r="K2552" s="83" t="s">
        <v>3208</v>
      </c>
    </row>
    <row r="2553" spans="1:11" ht="26.25" x14ac:dyDescent="0.25">
      <c r="A2553" s="83" t="s">
        <v>8616</v>
      </c>
      <c r="B2553" s="83" t="s">
        <v>3208</v>
      </c>
      <c r="C2553" s="83" t="s">
        <v>3208</v>
      </c>
      <c r="D2553" s="83" t="s">
        <v>3713</v>
      </c>
      <c r="E2553" s="83" t="s">
        <v>3714</v>
      </c>
      <c r="F2553" s="83" t="s">
        <v>5853</v>
      </c>
      <c r="G2553" s="83" t="s">
        <v>8617</v>
      </c>
      <c r="H2553" s="83">
        <v>0</v>
      </c>
      <c r="I2553" s="83" t="s">
        <v>3208</v>
      </c>
      <c r="J2553" s="83" t="s">
        <v>3208</v>
      </c>
      <c r="K2553" s="83" t="s">
        <v>3208</v>
      </c>
    </row>
    <row r="2554" spans="1:11" ht="26.25" x14ac:dyDescent="0.25">
      <c r="A2554" s="83" t="s">
        <v>8618</v>
      </c>
      <c r="B2554" s="83" t="s">
        <v>3208</v>
      </c>
      <c r="C2554" s="83" t="s">
        <v>3208</v>
      </c>
      <c r="D2554" s="83" t="s">
        <v>3965</v>
      </c>
      <c r="E2554" s="83" t="s">
        <v>4054</v>
      </c>
      <c r="F2554" s="83" t="s">
        <v>3946</v>
      </c>
      <c r="G2554" s="83" t="s">
        <v>8619</v>
      </c>
      <c r="H2554" s="83">
        <v>17.8</v>
      </c>
      <c r="I2554" s="83" t="s">
        <v>3213</v>
      </c>
      <c r="J2554" s="83" t="s">
        <v>3948</v>
      </c>
      <c r="K2554" s="83" t="s">
        <v>3215</v>
      </c>
    </row>
    <row r="2555" spans="1:11" ht="51.75" x14ac:dyDescent="0.25">
      <c r="A2555" s="83" t="s">
        <v>2855</v>
      </c>
      <c r="B2555" s="83" t="s">
        <v>3208</v>
      </c>
      <c r="C2555" s="83" t="s">
        <v>3208</v>
      </c>
      <c r="D2555" s="83" t="s">
        <v>3713</v>
      </c>
      <c r="E2555" s="83" t="s">
        <v>3761</v>
      </c>
      <c r="F2555" s="83" t="s">
        <v>8620</v>
      </c>
      <c r="G2555" s="83" t="s">
        <v>7261</v>
      </c>
      <c r="H2555" s="83">
        <v>0</v>
      </c>
      <c r="I2555" s="83" t="s">
        <v>3213</v>
      </c>
      <c r="J2555" s="83" t="s">
        <v>3271</v>
      </c>
      <c r="K2555" s="83" t="s">
        <v>3215</v>
      </c>
    </row>
    <row r="2556" spans="1:11" ht="115.5" x14ac:dyDescent="0.25">
      <c r="A2556" s="83" t="s">
        <v>158</v>
      </c>
      <c r="B2556" s="83" t="s">
        <v>8621</v>
      </c>
      <c r="C2556" s="83" t="s">
        <v>3208</v>
      </c>
      <c r="D2556" s="83" t="s">
        <v>3209</v>
      </c>
      <c r="E2556" s="83" t="s">
        <v>3226</v>
      </c>
      <c r="F2556" s="83" t="s">
        <v>8622</v>
      </c>
      <c r="G2556" s="83" t="s">
        <v>3649</v>
      </c>
      <c r="H2556" s="83">
        <v>1440</v>
      </c>
      <c r="I2556" s="83" t="s">
        <v>3213</v>
      </c>
      <c r="J2556" s="83" t="s">
        <v>8623</v>
      </c>
      <c r="K2556" s="83" t="s">
        <v>3215</v>
      </c>
    </row>
    <row r="2557" spans="1:11" x14ac:dyDescent="0.25">
      <c r="A2557" s="83" t="s">
        <v>547</v>
      </c>
      <c r="B2557" s="83" t="s">
        <v>3208</v>
      </c>
      <c r="C2557" s="83" t="s">
        <v>3208</v>
      </c>
      <c r="D2557" s="83" t="s">
        <v>3209</v>
      </c>
      <c r="E2557" s="83" t="s">
        <v>3663</v>
      </c>
      <c r="F2557" s="83" t="s">
        <v>6590</v>
      </c>
      <c r="G2557" s="83" t="s">
        <v>5837</v>
      </c>
      <c r="H2557" s="83">
        <v>9</v>
      </c>
      <c r="I2557" s="83" t="s">
        <v>3208</v>
      </c>
      <c r="J2557" s="83" t="s">
        <v>3208</v>
      </c>
      <c r="K2557" s="83" t="s">
        <v>3208</v>
      </c>
    </row>
    <row r="2558" spans="1:11" x14ac:dyDescent="0.25">
      <c r="A2558" s="83" t="s">
        <v>8624</v>
      </c>
      <c r="B2558" s="83" t="s">
        <v>3208</v>
      </c>
      <c r="C2558" s="83" t="s">
        <v>3208</v>
      </c>
      <c r="D2558" s="83" t="s">
        <v>3209</v>
      </c>
      <c r="E2558" s="83" t="s">
        <v>3663</v>
      </c>
      <c r="F2558" s="83" t="s">
        <v>6540</v>
      </c>
      <c r="G2558" s="83" t="s">
        <v>4986</v>
      </c>
      <c r="H2558" s="83">
        <v>12</v>
      </c>
      <c r="I2558" s="83" t="s">
        <v>3208</v>
      </c>
      <c r="J2558" s="83" t="s">
        <v>3208</v>
      </c>
      <c r="K2558" s="83" t="s">
        <v>3208</v>
      </c>
    </row>
    <row r="2559" spans="1:11" ht="26.25" x14ac:dyDescent="0.25">
      <c r="A2559" s="83" t="s">
        <v>2218</v>
      </c>
      <c r="B2559" s="83" t="s">
        <v>3208</v>
      </c>
      <c r="C2559" s="83" t="s">
        <v>3208</v>
      </c>
      <c r="D2559" s="83" t="s">
        <v>3713</v>
      </c>
      <c r="E2559" s="83" t="s">
        <v>3714</v>
      </c>
      <c r="F2559" s="83" t="s">
        <v>4242</v>
      </c>
      <c r="G2559" s="83" t="s">
        <v>4243</v>
      </c>
      <c r="H2559" s="83">
        <v>0</v>
      </c>
      <c r="I2559" s="83" t="s">
        <v>3208</v>
      </c>
      <c r="J2559" s="83" t="s">
        <v>3208</v>
      </c>
      <c r="K2559" s="83" t="s">
        <v>3208</v>
      </c>
    </row>
    <row r="2560" spans="1:11" ht="26.25" x14ac:dyDescent="0.25">
      <c r="A2560" s="83" t="s">
        <v>2219</v>
      </c>
      <c r="B2560" s="83" t="s">
        <v>3208</v>
      </c>
      <c r="C2560" s="83" t="s">
        <v>3208</v>
      </c>
      <c r="D2560" s="83" t="s">
        <v>3713</v>
      </c>
      <c r="E2560" s="83" t="s">
        <v>3714</v>
      </c>
      <c r="F2560" s="83" t="s">
        <v>4242</v>
      </c>
      <c r="G2560" s="83" t="s">
        <v>4243</v>
      </c>
      <c r="H2560" s="83">
        <v>0</v>
      </c>
      <c r="I2560" s="83" t="s">
        <v>3208</v>
      </c>
      <c r="J2560" s="83" t="s">
        <v>3208</v>
      </c>
      <c r="K2560" s="83" t="s">
        <v>3208</v>
      </c>
    </row>
    <row r="2561" spans="1:11" ht="26.25" x14ac:dyDescent="0.25">
      <c r="A2561" s="83" t="s">
        <v>2447</v>
      </c>
      <c r="B2561" s="83" t="s">
        <v>3208</v>
      </c>
      <c r="C2561" s="83" t="s">
        <v>3208</v>
      </c>
      <c r="D2561" s="83" t="s">
        <v>3713</v>
      </c>
      <c r="E2561" s="83" t="s">
        <v>3714</v>
      </c>
      <c r="F2561" s="83" t="s">
        <v>4245</v>
      </c>
      <c r="G2561" s="83" t="s">
        <v>4250</v>
      </c>
      <c r="H2561" s="83">
        <v>0</v>
      </c>
      <c r="I2561" s="83" t="s">
        <v>3208</v>
      </c>
      <c r="J2561" s="83" t="s">
        <v>3208</v>
      </c>
      <c r="K2561" s="83" t="s">
        <v>3208</v>
      </c>
    </row>
    <row r="2562" spans="1:11" ht="26.25" x14ac:dyDescent="0.25">
      <c r="A2562" s="83" t="s">
        <v>2125</v>
      </c>
      <c r="B2562" s="83" t="s">
        <v>3208</v>
      </c>
      <c r="C2562" s="83" t="s">
        <v>3208</v>
      </c>
      <c r="D2562" s="83" t="s">
        <v>3713</v>
      </c>
      <c r="E2562" s="83" t="s">
        <v>3714</v>
      </c>
      <c r="F2562" s="83" t="s">
        <v>4251</v>
      </c>
      <c r="G2562" s="83" t="s">
        <v>3417</v>
      </c>
      <c r="H2562" s="83">
        <v>0</v>
      </c>
      <c r="I2562" s="83" t="s">
        <v>3208</v>
      </c>
      <c r="J2562" s="83" t="s">
        <v>3208</v>
      </c>
      <c r="K2562" s="83" t="s">
        <v>3208</v>
      </c>
    </row>
    <row r="2563" spans="1:11" ht="26.25" x14ac:dyDescent="0.25">
      <c r="A2563" s="83" t="s">
        <v>2490</v>
      </c>
      <c r="B2563" s="83" t="s">
        <v>3208</v>
      </c>
      <c r="C2563" s="83" t="s">
        <v>3208</v>
      </c>
      <c r="D2563" s="83" t="s">
        <v>3713</v>
      </c>
      <c r="E2563" s="83" t="s">
        <v>3714</v>
      </c>
      <c r="F2563" s="83" t="s">
        <v>4241</v>
      </c>
      <c r="G2563" s="83" t="s">
        <v>3392</v>
      </c>
      <c r="H2563" s="83">
        <v>0</v>
      </c>
      <c r="I2563" s="83" t="s">
        <v>3208</v>
      </c>
      <c r="J2563" s="83" t="s">
        <v>3208</v>
      </c>
      <c r="K2563" s="83" t="s">
        <v>3208</v>
      </c>
    </row>
    <row r="2564" spans="1:11" ht="26.25" x14ac:dyDescent="0.25">
      <c r="A2564" s="83" t="s">
        <v>2224</v>
      </c>
      <c r="B2564" s="83" t="s">
        <v>3208</v>
      </c>
      <c r="C2564" s="83" t="s">
        <v>3208</v>
      </c>
      <c r="D2564" s="83" t="s">
        <v>3713</v>
      </c>
      <c r="E2564" s="83" t="s">
        <v>3714</v>
      </c>
      <c r="F2564" s="83" t="s">
        <v>4242</v>
      </c>
      <c r="G2564" s="83" t="s">
        <v>4243</v>
      </c>
      <c r="H2564" s="83">
        <v>0</v>
      </c>
      <c r="I2564" s="83" t="s">
        <v>3208</v>
      </c>
      <c r="J2564" s="83" t="s">
        <v>3208</v>
      </c>
      <c r="K2564" s="83" t="s">
        <v>3208</v>
      </c>
    </row>
    <row r="2565" spans="1:11" x14ac:dyDescent="0.25">
      <c r="A2565" s="83" t="s">
        <v>8625</v>
      </c>
      <c r="B2565" s="83" t="s">
        <v>3208</v>
      </c>
      <c r="C2565" s="83" t="s">
        <v>3208</v>
      </c>
      <c r="D2565" s="83" t="s">
        <v>3965</v>
      </c>
      <c r="E2565" s="83" t="s">
        <v>3208</v>
      </c>
      <c r="F2565" s="83" t="s">
        <v>3208</v>
      </c>
      <c r="G2565" s="83" t="s">
        <v>8626</v>
      </c>
      <c r="H2565" s="83">
        <v>0</v>
      </c>
      <c r="I2565" s="83" t="s">
        <v>3208</v>
      </c>
      <c r="J2565" s="83" t="s">
        <v>3208</v>
      </c>
      <c r="K2565" s="83" t="s">
        <v>3208</v>
      </c>
    </row>
    <row r="2566" spans="1:11" x14ac:dyDescent="0.25">
      <c r="A2566" s="83" t="s">
        <v>8627</v>
      </c>
      <c r="B2566" s="83" t="s">
        <v>3208</v>
      </c>
      <c r="C2566" s="83" t="s">
        <v>3208</v>
      </c>
      <c r="D2566" s="83" t="s">
        <v>3965</v>
      </c>
      <c r="E2566" s="83" t="s">
        <v>3208</v>
      </c>
      <c r="F2566" s="83" t="s">
        <v>3208</v>
      </c>
      <c r="G2566" s="83" t="s">
        <v>8628</v>
      </c>
      <c r="H2566" s="83">
        <v>0</v>
      </c>
      <c r="I2566" s="83" t="s">
        <v>3208</v>
      </c>
      <c r="J2566" s="83" t="s">
        <v>3208</v>
      </c>
      <c r="K2566" s="83" t="s">
        <v>3208</v>
      </c>
    </row>
    <row r="2567" spans="1:11" ht="64.5" x14ac:dyDescent="0.25">
      <c r="A2567" s="83" t="s">
        <v>581</v>
      </c>
      <c r="B2567" s="83" t="s">
        <v>3208</v>
      </c>
      <c r="C2567" s="83" t="s">
        <v>3208</v>
      </c>
      <c r="D2567" s="83" t="s">
        <v>3209</v>
      </c>
      <c r="E2567" s="83" t="s">
        <v>3210</v>
      </c>
      <c r="F2567" s="83" t="s">
        <v>8629</v>
      </c>
      <c r="G2567" s="83" t="s">
        <v>3218</v>
      </c>
      <c r="H2567" s="83">
        <v>116.3</v>
      </c>
      <c r="I2567" s="83" t="s">
        <v>3213</v>
      </c>
      <c r="J2567" s="83" t="s">
        <v>3219</v>
      </c>
      <c r="K2567" s="83" t="s">
        <v>3215</v>
      </c>
    </row>
    <row r="2568" spans="1:11" ht="26.25" x14ac:dyDescent="0.25">
      <c r="A2568" s="83" t="s">
        <v>511</v>
      </c>
      <c r="B2568" s="83" t="s">
        <v>3208</v>
      </c>
      <c r="C2568" s="83" t="s">
        <v>3208</v>
      </c>
      <c r="D2568" s="83" t="s">
        <v>3209</v>
      </c>
      <c r="E2568" s="83" t="s">
        <v>3210</v>
      </c>
      <c r="F2568" s="83" t="s">
        <v>8630</v>
      </c>
      <c r="G2568" s="83" t="s">
        <v>4910</v>
      </c>
      <c r="H2568" s="83">
        <v>35</v>
      </c>
      <c r="I2568" s="83" t="s">
        <v>3229</v>
      </c>
      <c r="J2568" s="83" t="s">
        <v>3324</v>
      </c>
      <c r="K2568" s="83" t="s">
        <v>3215</v>
      </c>
    </row>
    <row r="2569" spans="1:11" ht="51.75" x14ac:dyDescent="0.25">
      <c r="A2569" s="83" t="s">
        <v>512</v>
      </c>
      <c r="B2569" s="83" t="s">
        <v>3208</v>
      </c>
      <c r="C2569" s="83" t="s">
        <v>3208</v>
      </c>
      <c r="D2569" s="83" t="s">
        <v>3209</v>
      </c>
      <c r="E2569" s="83" t="s">
        <v>3210</v>
      </c>
      <c r="F2569" s="83" t="s">
        <v>8631</v>
      </c>
      <c r="G2569" s="83" t="s">
        <v>4107</v>
      </c>
      <c r="H2569" s="83">
        <v>14.85</v>
      </c>
      <c r="I2569" s="83" t="s">
        <v>3229</v>
      </c>
      <c r="J2569" s="83" t="s">
        <v>3289</v>
      </c>
      <c r="K2569" s="83" t="s">
        <v>3215</v>
      </c>
    </row>
    <row r="2570" spans="1:11" ht="39" x14ac:dyDescent="0.25">
      <c r="A2570" s="83" t="s">
        <v>518</v>
      </c>
      <c r="B2570" s="83" t="s">
        <v>3208</v>
      </c>
      <c r="C2570" s="83" t="s">
        <v>3208</v>
      </c>
      <c r="D2570" s="83" t="s">
        <v>3209</v>
      </c>
      <c r="E2570" s="83" t="s">
        <v>3210</v>
      </c>
      <c r="F2570" s="83" t="s">
        <v>5443</v>
      </c>
      <c r="G2570" s="83" t="s">
        <v>6450</v>
      </c>
      <c r="H2570" s="83">
        <v>13</v>
      </c>
      <c r="I2570" s="83" t="s">
        <v>3229</v>
      </c>
      <c r="J2570" s="83" t="s">
        <v>3241</v>
      </c>
      <c r="K2570" s="83" t="s">
        <v>3215</v>
      </c>
    </row>
    <row r="2571" spans="1:11" ht="51.75" x14ac:dyDescent="0.25">
      <c r="A2571" s="83" t="s">
        <v>682</v>
      </c>
      <c r="B2571" s="83" t="s">
        <v>3208</v>
      </c>
      <c r="C2571" s="83" t="s">
        <v>3208</v>
      </c>
      <c r="D2571" s="83" t="s">
        <v>3209</v>
      </c>
      <c r="E2571" s="83" t="s">
        <v>3210</v>
      </c>
      <c r="F2571" s="83" t="s">
        <v>6388</v>
      </c>
      <c r="G2571" s="83" t="s">
        <v>8535</v>
      </c>
      <c r="H2571" s="83">
        <v>61</v>
      </c>
      <c r="I2571" s="83" t="s">
        <v>3229</v>
      </c>
      <c r="J2571" s="83" t="s">
        <v>3238</v>
      </c>
      <c r="K2571" s="83" t="s">
        <v>3215</v>
      </c>
    </row>
    <row r="2572" spans="1:11" ht="102.75" x14ac:dyDescent="0.25">
      <c r="A2572" s="83" t="s">
        <v>629</v>
      </c>
      <c r="B2572" s="83" t="s">
        <v>3208</v>
      </c>
      <c r="C2572" s="83" t="s">
        <v>3208</v>
      </c>
      <c r="D2572" s="83" t="s">
        <v>3209</v>
      </c>
      <c r="E2572" s="83" t="s">
        <v>3210</v>
      </c>
      <c r="F2572" s="83" t="s">
        <v>5892</v>
      </c>
      <c r="G2572" s="83" t="s">
        <v>3417</v>
      </c>
      <c r="H2572" s="83">
        <v>195</v>
      </c>
      <c r="I2572" s="83" t="s">
        <v>3213</v>
      </c>
      <c r="J2572" s="83" t="s">
        <v>5893</v>
      </c>
      <c r="K2572" s="83" t="s">
        <v>3215</v>
      </c>
    </row>
    <row r="2573" spans="1:11" ht="51.75" x14ac:dyDescent="0.25">
      <c r="A2573" s="83" t="s">
        <v>612</v>
      </c>
      <c r="B2573" s="83" t="s">
        <v>3208</v>
      </c>
      <c r="C2573" s="83" t="s">
        <v>3208</v>
      </c>
      <c r="D2573" s="83" t="s">
        <v>3209</v>
      </c>
      <c r="E2573" s="83" t="s">
        <v>3210</v>
      </c>
      <c r="F2573" s="83" t="s">
        <v>8632</v>
      </c>
      <c r="G2573" s="83" t="s">
        <v>8633</v>
      </c>
      <c r="H2573" s="83">
        <v>45</v>
      </c>
      <c r="I2573" s="83" t="s">
        <v>3213</v>
      </c>
      <c r="J2573" s="83" t="s">
        <v>3271</v>
      </c>
      <c r="K2573" s="83" t="s">
        <v>3215</v>
      </c>
    </row>
    <row r="2574" spans="1:11" ht="51.75" x14ac:dyDescent="0.25">
      <c r="A2574" s="83" t="s">
        <v>740</v>
      </c>
      <c r="B2574" s="83" t="s">
        <v>3208</v>
      </c>
      <c r="C2574" s="83" t="s">
        <v>3208</v>
      </c>
      <c r="D2574" s="83" t="s">
        <v>3209</v>
      </c>
      <c r="E2574" s="83" t="s">
        <v>3210</v>
      </c>
      <c r="F2574" s="83" t="s">
        <v>8634</v>
      </c>
      <c r="G2574" s="83" t="s">
        <v>5895</v>
      </c>
      <c r="H2574" s="83">
        <v>50</v>
      </c>
      <c r="I2574" s="83" t="s">
        <v>3213</v>
      </c>
      <c r="J2574" s="83" t="s">
        <v>3214</v>
      </c>
      <c r="K2574" s="83" t="s">
        <v>3215</v>
      </c>
    </row>
    <row r="2575" spans="1:11" ht="51.75" x14ac:dyDescent="0.25">
      <c r="A2575" s="83" t="s">
        <v>742</v>
      </c>
      <c r="B2575" s="83" t="s">
        <v>3208</v>
      </c>
      <c r="C2575" s="83" t="s">
        <v>3208</v>
      </c>
      <c r="D2575" s="83" t="s">
        <v>3209</v>
      </c>
      <c r="E2575" s="83" t="s">
        <v>3210</v>
      </c>
      <c r="F2575" s="83" t="s">
        <v>8635</v>
      </c>
      <c r="G2575" s="83" t="s">
        <v>4948</v>
      </c>
      <c r="H2575" s="83">
        <v>338</v>
      </c>
      <c r="I2575" s="83" t="s">
        <v>3213</v>
      </c>
      <c r="J2575" s="83" t="s">
        <v>3214</v>
      </c>
      <c r="K2575" s="83" t="s">
        <v>3215</v>
      </c>
    </row>
    <row r="2576" spans="1:11" ht="51.75" x14ac:dyDescent="0.25">
      <c r="A2576" s="83" t="s">
        <v>638</v>
      </c>
      <c r="B2576" s="83" t="s">
        <v>3208</v>
      </c>
      <c r="C2576" s="83" t="s">
        <v>3208</v>
      </c>
      <c r="D2576" s="83" t="s">
        <v>3209</v>
      </c>
      <c r="E2576" s="83" t="s">
        <v>3210</v>
      </c>
      <c r="F2576" s="83" t="s">
        <v>8636</v>
      </c>
      <c r="G2576" s="83" t="s">
        <v>4827</v>
      </c>
      <c r="H2576" s="83">
        <v>200</v>
      </c>
      <c r="I2576" s="83" t="s">
        <v>3213</v>
      </c>
      <c r="J2576" s="83" t="s">
        <v>3271</v>
      </c>
      <c r="K2576" s="83" t="s">
        <v>3215</v>
      </c>
    </row>
    <row r="2577" spans="1:11" ht="51.75" x14ac:dyDescent="0.25">
      <c r="A2577" s="83" t="s">
        <v>884</v>
      </c>
      <c r="B2577" s="83" t="s">
        <v>8637</v>
      </c>
      <c r="C2577" s="83" t="s">
        <v>3208</v>
      </c>
      <c r="D2577" s="83" t="s">
        <v>3209</v>
      </c>
      <c r="E2577" s="83" t="s">
        <v>3226</v>
      </c>
      <c r="F2577" s="83" t="s">
        <v>8638</v>
      </c>
      <c r="G2577" s="83" t="s">
        <v>5599</v>
      </c>
      <c r="H2577" s="83">
        <v>113</v>
      </c>
      <c r="I2577" s="83" t="s">
        <v>3229</v>
      </c>
      <c r="J2577" s="83" t="s">
        <v>3230</v>
      </c>
      <c r="K2577" s="83" t="s">
        <v>3215</v>
      </c>
    </row>
    <row r="2578" spans="1:11" ht="51.75" x14ac:dyDescent="0.25">
      <c r="A2578" s="83" t="s">
        <v>165</v>
      </c>
      <c r="B2578" s="83" t="s">
        <v>8639</v>
      </c>
      <c r="C2578" s="83" t="s">
        <v>3208</v>
      </c>
      <c r="D2578" s="83" t="s">
        <v>3209</v>
      </c>
      <c r="E2578" s="83" t="s">
        <v>3226</v>
      </c>
      <c r="F2578" s="83" t="s">
        <v>4632</v>
      </c>
      <c r="G2578" s="83" t="s">
        <v>4633</v>
      </c>
      <c r="H2578" s="83">
        <v>160</v>
      </c>
      <c r="I2578" s="83" t="s">
        <v>3229</v>
      </c>
      <c r="J2578" s="83" t="s">
        <v>3371</v>
      </c>
      <c r="K2578" s="83" t="s">
        <v>3215</v>
      </c>
    </row>
    <row r="2579" spans="1:11" ht="26.25" x14ac:dyDescent="0.25">
      <c r="A2579" s="83" t="s">
        <v>972</v>
      </c>
      <c r="B2579" s="83" t="s">
        <v>8640</v>
      </c>
      <c r="C2579" s="83" t="s">
        <v>3208</v>
      </c>
      <c r="D2579" s="83" t="s">
        <v>3209</v>
      </c>
      <c r="E2579" s="83" t="s">
        <v>3226</v>
      </c>
      <c r="F2579" s="83" t="s">
        <v>8037</v>
      </c>
      <c r="G2579" s="83" t="s">
        <v>6832</v>
      </c>
      <c r="H2579" s="83">
        <v>415</v>
      </c>
      <c r="I2579" s="83" t="s">
        <v>3213</v>
      </c>
      <c r="J2579" s="83" t="s">
        <v>4000</v>
      </c>
      <c r="K2579" s="83" t="s">
        <v>3215</v>
      </c>
    </row>
    <row r="2580" spans="1:11" ht="26.25" x14ac:dyDescent="0.25">
      <c r="A2580" s="83" t="s">
        <v>925</v>
      </c>
      <c r="B2580" s="83" t="s">
        <v>8641</v>
      </c>
      <c r="C2580" s="83" t="s">
        <v>3208</v>
      </c>
      <c r="D2580" s="83" t="s">
        <v>3209</v>
      </c>
      <c r="E2580" s="83" t="s">
        <v>3226</v>
      </c>
      <c r="F2580" s="83" t="s">
        <v>8642</v>
      </c>
      <c r="G2580" s="83" t="s">
        <v>3913</v>
      </c>
      <c r="H2580" s="83">
        <v>94</v>
      </c>
      <c r="I2580" s="83" t="s">
        <v>3229</v>
      </c>
      <c r="J2580" s="83" t="s">
        <v>3311</v>
      </c>
      <c r="K2580" s="83" t="s">
        <v>3215</v>
      </c>
    </row>
    <row r="2581" spans="1:11" ht="51.75" x14ac:dyDescent="0.25">
      <c r="A2581" s="83" t="s">
        <v>931</v>
      </c>
      <c r="B2581" s="83" t="s">
        <v>8643</v>
      </c>
      <c r="C2581" s="83" t="s">
        <v>3208</v>
      </c>
      <c r="D2581" s="83" t="s">
        <v>3209</v>
      </c>
      <c r="E2581" s="83" t="s">
        <v>3226</v>
      </c>
      <c r="F2581" s="83" t="s">
        <v>8644</v>
      </c>
      <c r="G2581" s="83" t="s">
        <v>5599</v>
      </c>
      <c r="H2581" s="83">
        <v>209953.5</v>
      </c>
      <c r="I2581" s="83" t="s">
        <v>3229</v>
      </c>
      <c r="J2581" s="83" t="s">
        <v>6262</v>
      </c>
      <c r="K2581" s="83" t="s">
        <v>3215</v>
      </c>
    </row>
    <row r="2582" spans="1:11" ht="51.75" x14ac:dyDescent="0.25">
      <c r="A2582" s="83" t="s">
        <v>879</v>
      </c>
      <c r="B2582" s="83" t="s">
        <v>8645</v>
      </c>
      <c r="C2582" s="83" t="s">
        <v>3208</v>
      </c>
      <c r="D2582" s="83" t="s">
        <v>3209</v>
      </c>
      <c r="E2582" s="83" t="s">
        <v>3226</v>
      </c>
      <c r="F2582" s="83" t="s">
        <v>8646</v>
      </c>
      <c r="G2582" s="83" t="s">
        <v>3520</v>
      </c>
      <c r="H2582" s="83">
        <v>5000</v>
      </c>
      <c r="I2582" s="83" t="s">
        <v>3229</v>
      </c>
      <c r="J2582" s="83" t="s">
        <v>3521</v>
      </c>
      <c r="K2582" s="83" t="s">
        <v>3215</v>
      </c>
    </row>
    <row r="2583" spans="1:11" ht="51.75" x14ac:dyDescent="0.25">
      <c r="A2583" s="83" t="s">
        <v>75</v>
      </c>
      <c r="B2583" s="83" t="s">
        <v>8647</v>
      </c>
      <c r="C2583" s="83" t="s">
        <v>3208</v>
      </c>
      <c r="D2583" s="83" t="s">
        <v>3209</v>
      </c>
      <c r="E2583" s="83" t="s">
        <v>3226</v>
      </c>
      <c r="F2583" s="83" t="s">
        <v>4541</v>
      </c>
      <c r="G2583" s="83" t="s">
        <v>4542</v>
      </c>
      <c r="H2583" s="83">
        <v>600</v>
      </c>
      <c r="I2583" s="83" t="s">
        <v>3213</v>
      </c>
      <c r="J2583" s="83" t="s">
        <v>3214</v>
      </c>
      <c r="K2583" s="83" t="s">
        <v>3215</v>
      </c>
    </row>
    <row r="2584" spans="1:11" ht="64.5" x14ac:dyDescent="0.25">
      <c r="A2584" s="83" t="s">
        <v>1084</v>
      </c>
      <c r="B2584" s="83" t="s">
        <v>8648</v>
      </c>
      <c r="C2584" s="83" t="s">
        <v>3208</v>
      </c>
      <c r="D2584" s="83" t="s">
        <v>3209</v>
      </c>
      <c r="E2584" s="83" t="s">
        <v>3226</v>
      </c>
      <c r="F2584" s="83" t="s">
        <v>5128</v>
      </c>
      <c r="G2584" s="83" t="s">
        <v>3633</v>
      </c>
      <c r="H2584" s="83">
        <v>173</v>
      </c>
      <c r="I2584" s="83" t="s">
        <v>3213</v>
      </c>
      <c r="J2584" s="83" t="s">
        <v>3262</v>
      </c>
      <c r="K2584" s="83" t="s">
        <v>3215</v>
      </c>
    </row>
    <row r="2585" spans="1:11" ht="51.75" x14ac:dyDescent="0.25">
      <c r="A2585" s="83" t="s">
        <v>1039</v>
      </c>
      <c r="B2585" s="83" t="s">
        <v>8649</v>
      </c>
      <c r="C2585" s="83" t="s">
        <v>3208</v>
      </c>
      <c r="D2585" s="83" t="s">
        <v>3209</v>
      </c>
      <c r="E2585" s="83" t="s">
        <v>3226</v>
      </c>
      <c r="F2585" s="83" t="s">
        <v>8650</v>
      </c>
      <c r="G2585" s="83" t="s">
        <v>5166</v>
      </c>
      <c r="H2585" s="83">
        <v>23</v>
      </c>
      <c r="I2585" s="83" t="s">
        <v>3213</v>
      </c>
      <c r="J2585" s="83" t="s">
        <v>3257</v>
      </c>
      <c r="K2585" s="83" t="s">
        <v>3215</v>
      </c>
    </row>
    <row r="2586" spans="1:11" ht="51.75" x14ac:dyDescent="0.25">
      <c r="A2586" s="83" t="s">
        <v>779</v>
      </c>
      <c r="B2586" s="83" t="s">
        <v>8651</v>
      </c>
      <c r="C2586" s="83" t="s">
        <v>3208</v>
      </c>
      <c r="D2586" s="83" t="s">
        <v>3209</v>
      </c>
      <c r="E2586" s="83" t="s">
        <v>3226</v>
      </c>
      <c r="F2586" s="83" t="s">
        <v>8652</v>
      </c>
      <c r="G2586" s="83" t="s">
        <v>3565</v>
      </c>
      <c r="H2586" s="83">
        <v>148</v>
      </c>
      <c r="I2586" s="83" t="s">
        <v>3229</v>
      </c>
      <c r="J2586" s="83" t="s">
        <v>3230</v>
      </c>
      <c r="K2586" s="83" t="s">
        <v>3215</v>
      </c>
    </row>
    <row r="2587" spans="1:11" ht="51.75" x14ac:dyDescent="0.25">
      <c r="A2587" s="83" t="s">
        <v>799</v>
      </c>
      <c r="B2587" s="83" t="s">
        <v>8653</v>
      </c>
      <c r="C2587" s="83" t="s">
        <v>3208</v>
      </c>
      <c r="D2587" s="83" t="s">
        <v>3209</v>
      </c>
      <c r="E2587" s="83" t="s">
        <v>3226</v>
      </c>
      <c r="F2587" s="83" t="s">
        <v>8654</v>
      </c>
      <c r="G2587" s="83" t="s">
        <v>3981</v>
      </c>
      <c r="H2587" s="83">
        <v>94</v>
      </c>
      <c r="I2587" s="83" t="s">
        <v>3213</v>
      </c>
      <c r="J2587" s="83" t="s">
        <v>3538</v>
      </c>
      <c r="K2587" s="83" t="s">
        <v>3215</v>
      </c>
    </row>
    <row r="2588" spans="1:11" ht="51.75" x14ac:dyDescent="0.25">
      <c r="A2588" s="83" t="s">
        <v>837</v>
      </c>
      <c r="B2588" s="83" t="s">
        <v>8655</v>
      </c>
      <c r="C2588" s="83" t="s">
        <v>3208</v>
      </c>
      <c r="D2588" s="83" t="s">
        <v>3209</v>
      </c>
      <c r="E2588" s="83" t="s">
        <v>3226</v>
      </c>
      <c r="F2588" s="83" t="s">
        <v>3660</v>
      </c>
      <c r="G2588" s="83" t="s">
        <v>4556</v>
      </c>
      <c r="H2588" s="83">
        <v>100</v>
      </c>
      <c r="I2588" s="83" t="s">
        <v>3213</v>
      </c>
      <c r="J2588" s="83" t="s">
        <v>3257</v>
      </c>
      <c r="K2588" s="83" t="s">
        <v>3215</v>
      </c>
    </row>
    <row r="2589" spans="1:11" ht="26.25" x14ac:dyDescent="0.25">
      <c r="A2589" s="83" t="s">
        <v>1743</v>
      </c>
      <c r="B2589" s="83" t="s">
        <v>8656</v>
      </c>
      <c r="C2589" s="83" t="s">
        <v>5084</v>
      </c>
      <c r="D2589" s="83" t="s">
        <v>3209</v>
      </c>
      <c r="E2589" s="83" t="s">
        <v>3246</v>
      </c>
      <c r="F2589" s="83" t="s">
        <v>8657</v>
      </c>
      <c r="G2589" s="83" t="s">
        <v>3810</v>
      </c>
      <c r="H2589" s="83">
        <v>365</v>
      </c>
      <c r="I2589" s="83" t="s">
        <v>3213</v>
      </c>
      <c r="J2589" s="83" t="s">
        <v>3467</v>
      </c>
      <c r="K2589" s="83" t="s">
        <v>3215</v>
      </c>
    </row>
    <row r="2590" spans="1:11" ht="51.75" x14ac:dyDescent="0.25">
      <c r="A2590" s="83" t="s">
        <v>1466</v>
      </c>
      <c r="B2590" s="83" t="s">
        <v>8658</v>
      </c>
      <c r="C2590" s="83" t="s">
        <v>8659</v>
      </c>
      <c r="D2590" s="83" t="s">
        <v>3209</v>
      </c>
      <c r="E2590" s="83" t="s">
        <v>3246</v>
      </c>
      <c r="F2590" s="83" t="s">
        <v>8660</v>
      </c>
      <c r="G2590" s="83" t="s">
        <v>8661</v>
      </c>
      <c r="H2590" s="83">
        <v>80.599999999999994</v>
      </c>
      <c r="I2590" s="83" t="s">
        <v>3213</v>
      </c>
      <c r="J2590" s="83" t="s">
        <v>3538</v>
      </c>
      <c r="K2590" s="83" t="s">
        <v>3215</v>
      </c>
    </row>
    <row r="2591" spans="1:11" ht="51.75" x14ac:dyDescent="0.25">
      <c r="A2591" s="83" t="s">
        <v>1475</v>
      </c>
      <c r="B2591" s="83" t="s">
        <v>8662</v>
      </c>
      <c r="C2591" s="83" t="s">
        <v>8663</v>
      </c>
      <c r="D2591" s="83" t="s">
        <v>3209</v>
      </c>
      <c r="E2591" s="83" t="s">
        <v>3246</v>
      </c>
      <c r="F2591" s="83" t="s">
        <v>8664</v>
      </c>
      <c r="G2591" s="83" t="s">
        <v>4322</v>
      </c>
      <c r="H2591" s="83">
        <v>78</v>
      </c>
      <c r="I2591" s="83" t="s">
        <v>3213</v>
      </c>
      <c r="J2591" s="83" t="s">
        <v>3214</v>
      </c>
      <c r="K2591" s="83" t="s">
        <v>3215</v>
      </c>
    </row>
    <row r="2592" spans="1:11" ht="51.75" x14ac:dyDescent="0.25">
      <c r="A2592" s="83" t="s">
        <v>1476</v>
      </c>
      <c r="B2592" s="83" t="s">
        <v>8665</v>
      </c>
      <c r="C2592" s="83" t="s">
        <v>8666</v>
      </c>
      <c r="D2592" s="83" t="s">
        <v>3209</v>
      </c>
      <c r="E2592" s="83" t="s">
        <v>3246</v>
      </c>
      <c r="F2592" s="83" t="s">
        <v>8667</v>
      </c>
      <c r="G2592" s="83" t="s">
        <v>8535</v>
      </c>
      <c r="H2592" s="83">
        <v>102</v>
      </c>
      <c r="I2592" s="83" t="s">
        <v>3229</v>
      </c>
      <c r="J2592" s="83" t="s">
        <v>3238</v>
      </c>
      <c r="K2592" s="83" t="s">
        <v>3215</v>
      </c>
    </row>
    <row r="2593" spans="1:11" ht="64.5" x14ac:dyDescent="0.25">
      <c r="A2593" s="83" t="s">
        <v>1477</v>
      </c>
      <c r="B2593" s="83" t="s">
        <v>8668</v>
      </c>
      <c r="C2593" s="83" t="s">
        <v>8669</v>
      </c>
      <c r="D2593" s="83" t="s">
        <v>3209</v>
      </c>
      <c r="E2593" s="83" t="s">
        <v>3246</v>
      </c>
      <c r="F2593" s="83" t="s">
        <v>8670</v>
      </c>
      <c r="G2593" s="83" t="s">
        <v>8671</v>
      </c>
      <c r="H2593" s="83">
        <v>4.0999999999999996</v>
      </c>
      <c r="I2593" s="83" t="s">
        <v>3213</v>
      </c>
      <c r="J2593" s="83" t="s">
        <v>3413</v>
      </c>
      <c r="K2593" s="83" t="s">
        <v>3215</v>
      </c>
    </row>
    <row r="2594" spans="1:11" ht="26.25" x14ac:dyDescent="0.25">
      <c r="A2594" s="83" t="s">
        <v>1479</v>
      </c>
      <c r="B2594" s="83" t="s">
        <v>8672</v>
      </c>
      <c r="C2594" s="83" t="s">
        <v>8673</v>
      </c>
      <c r="D2594" s="83" t="s">
        <v>3209</v>
      </c>
      <c r="E2594" s="83" t="s">
        <v>3246</v>
      </c>
      <c r="F2594" s="83" t="s">
        <v>8674</v>
      </c>
      <c r="G2594" s="83" t="s">
        <v>8675</v>
      </c>
      <c r="H2594" s="83">
        <v>91</v>
      </c>
      <c r="I2594" s="83" t="s">
        <v>3213</v>
      </c>
      <c r="J2594" s="83" t="s">
        <v>4176</v>
      </c>
      <c r="K2594" s="83" t="s">
        <v>3215</v>
      </c>
    </row>
    <row r="2595" spans="1:11" ht="51.75" x14ac:dyDescent="0.25">
      <c r="A2595" s="83" t="s">
        <v>1756</v>
      </c>
      <c r="B2595" s="83" t="s">
        <v>8676</v>
      </c>
      <c r="C2595" s="83" t="s">
        <v>8677</v>
      </c>
      <c r="D2595" s="83" t="s">
        <v>3209</v>
      </c>
      <c r="E2595" s="83" t="s">
        <v>3246</v>
      </c>
      <c r="F2595" s="83" t="s">
        <v>8678</v>
      </c>
      <c r="G2595" s="83" t="s">
        <v>8679</v>
      </c>
      <c r="H2595" s="83">
        <v>95.5</v>
      </c>
      <c r="I2595" s="83" t="s">
        <v>3229</v>
      </c>
      <c r="J2595" s="83" t="s">
        <v>4399</v>
      </c>
      <c r="K2595" s="83" t="s">
        <v>3215</v>
      </c>
    </row>
    <row r="2596" spans="1:11" ht="64.5" x14ac:dyDescent="0.25">
      <c r="A2596" s="83" t="s">
        <v>1752</v>
      </c>
      <c r="B2596" s="83" t="s">
        <v>8680</v>
      </c>
      <c r="C2596" s="83" t="s">
        <v>8681</v>
      </c>
      <c r="D2596" s="83" t="s">
        <v>3209</v>
      </c>
      <c r="E2596" s="83" t="s">
        <v>3246</v>
      </c>
      <c r="F2596" s="83" t="s">
        <v>8682</v>
      </c>
      <c r="G2596" s="83" t="s">
        <v>8683</v>
      </c>
      <c r="H2596" s="83">
        <v>46.7</v>
      </c>
      <c r="I2596" s="83" t="s">
        <v>3213</v>
      </c>
      <c r="J2596" s="83" t="s">
        <v>3219</v>
      </c>
      <c r="K2596" s="83" t="s">
        <v>3215</v>
      </c>
    </row>
    <row r="2597" spans="1:11" ht="51.75" x14ac:dyDescent="0.25">
      <c r="A2597" s="83" t="s">
        <v>1753</v>
      </c>
      <c r="B2597" s="83" t="s">
        <v>8684</v>
      </c>
      <c r="C2597" s="83" t="s">
        <v>8685</v>
      </c>
      <c r="D2597" s="83" t="s">
        <v>3209</v>
      </c>
      <c r="E2597" s="83" t="s">
        <v>3246</v>
      </c>
      <c r="F2597" s="83" t="s">
        <v>8686</v>
      </c>
      <c r="G2597" s="83" t="s">
        <v>8687</v>
      </c>
      <c r="H2597" s="83">
        <v>18.3</v>
      </c>
      <c r="I2597" s="83" t="s">
        <v>3229</v>
      </c>
      <c r="J2597" s="83" t="s">
        <v>3371</v>
      </c>
      <c r="K2597" s="83" t="s">
        <v>3215</v>
      </c>
    </row>
    <row r="2598" spans="1:11" ht="64.5" x14ac:dyDescent="0.25">
      <c r="A2598" s="83" t="s">
        <v>1748</v>
      </c>
      <c r="B2598" s="83" t="s">
        <v>8688</v>
      </c>
      <c r="C2598" s="83" t="s">
        <v>8689</v>
      </c>
      <c r="D2598" s="83" t="s">
        <v>3209</v>
      </c>
      <c r="E2598" s="83" t="s">
        <v>3246</v>
      </c>
      <c r="F2598" s="83" t="s">
        <v>8690</v>
      </c>
      <c r="G2598" s="83" t="s">
        <v>3525</v>
      </c>
      <c r="H2598" s="83">
        <v>67.8</v>
      </c>
      <c r="I2598" s="83" t="s">
        <v>3213</v>
      </c>
      <c r="J2598" s="83" t="s">
        <v>3413</v>
      </c>
      <c r="K2598" s="83" t="s">
        <v>3215</v>
      </c>
    </row>
    <row r="2599" spans="1:11" ht="51.75" x14ac:dyDescent="0.25">
      <c r="A2599" s="83" t="s">
        <v>1525</v>
      </c>
      <c r="B2599" s="83" t="s">
        <v>8691</v>
      </c>
      <c r="C2599" s="83" t="s">
        <v>8692</v>
      </c>
      <c r="D2599" s="83" t="s">
        <v>3209</v>
      </c>
      <c r="E2599" s="83" t="s">
        <v>3246</v>
      </c>
      <c r="F2599" s="83" t="s">
        <v>8693</v>
      </c>
      <c r="G2599" s="83" t="s">
        <v>8694</v>
      </c>
      <c r="H2599" s="83">
        <v>43.4</v>
      </c>
      <c r="I2599" s="83" t="s">
        <v>3229</v>
      </c>
      <c r="J2599" s="83" t="s">
        <v>3521</v>
      </c>
      <c r="K2599" s="83" t="s">
        <v>3215</v>
      </c>
    </row>
    <row r="2600" spans="1:11" ht="64.5" x14ac:dyDescent="0.25">
      <c r="A2600" s="83" t="s">
        <v>1487</v>
      </c>
      <c r="B2600" s="83" t="s">
        <v>6141</v>
      </c>
      <c r="C2600" s="83" t="s">
        <v>8695</v>
      </c>
      <c r="D2600" s="83" t="s">
        <v>3209</v>
      </c>
      <c r="E2600" s="83" t="s">
        <v>3246</v>
      </c>
      <c r="F2600" s="83" t="s">
        <v>8696</v>
      </c>
      <c r="G2600" s="83" t="s">
        <v>8697</v>
      </c>
      <c r="H2600" s="83">
        <v>20.9</v>
      </c>
      <c r="I2600" s="83" t="s">
        <v>3213</v>
      </c>
      <c r="J2600" s="83" t="s">
        <v>3413</v>
      </c>
      <c r="K2600" s="83" t="s">
        <v>3215</v>
      </c>
    </row>
    <row r="2601" spans="1:11" ht="51.75" x14ac:dyDescent="0.25">
      <c r="A2601" s="83" t="s">
        <v>1497</v>
      </c>
      <c r="B2601" s="83" t="s">
        <v>8698</v>
      </c>
      <c r="C2601" s="83" t="s">
        <v>8699</v>
      </c>
      <c r="D2601" s="83" t="s">
        <v>3209</v>
      </c>
      <c r="E2601" s="83" t="s">
        <v>3246</v>
      </c>
      <c r="F2601" s="83" t="s">
        <v>8700</v>
      </c>
      <c r="G2601" s="83" t="s">
        <v>4302</v>
      </c>
      <c r="H2601" s="83">
        <v>103</v>
      </c>
      <c r="I2601" s="83" t="s">
        <v>3229</v>
      </c>
      <c r="J2601" s="83" t="s">
        <v>3280</v>
      </c>
      <c r="K2601" s="83" t="s">
        <v>3215</v>
      </c>
    </row>
    <row r="2602" spans="1:11" ht="51.75" x14ac:dyDescent="0.25">
      <c r="A2602" s="83" t="s">
        <v>127</v>
      </c>
      <c r="B2602" s="83" t="s">
        <v>8701</v>
      </c>
      <c r="C2602" s="83" t="s">
        <v>8702</v>
      </c>
      <c r="D2602" s="83" t="s">
        <v>3209</v>
      </c>
      <c r="E2602" s="83" t="s">
        <v>3246</v>
      </c>
      <c r="F2602" s="83" t="s">
        <v>8703</v>
      </c>
      <c r="G2602" s="83" t="s">
        <v>5166</v>
      </c>
      <c r="H2602" s="83">
        <v>366.7</v>
      </c>
      <c r="I2602" s="83" t="s">
        <v>3213</v>
      </c>
      <c r="J2602" s="83" t="s">
        <v>3257</v>
      </c>
      <c r="K2602" s="83" t="s">
        <v>3215</v>
      </c>
    </row>
    <row r="2603" spans="1:11" ht="51.75" x14ac:dyDescent="0.25">
      <c r="A2603" s="83" t="s">
        <v>1510</v>
      </c>
      <c r="B2603" s="83" t="s">
        <v>8704</v>
      </c>
      <c r="C2603" s="83" t="s">
        <v>8705</v>
      </c>
      <c r="D2603" s="83" t="s">
        <v>3209</v>
      </c>
      <c r="E2603" s="83" t="s">
        <v>3246</v>
      </c>
      <c r="F2603" s="83" t="s">
        <v>8706</v>
      </c>
      <c r="G2603" s="83" t="s">
        <v>8385</v>
      </c>
      <c r="H2603" s="83">
        <v>51.9</v>
      </c>
      <c r="I2603" s="83" t="s">
        <v>3229</v>
      </c>
      <c r="J2603" s="83" t="s">
        <v>3238</v>
      </c>
      <c r="K2603" s="83" t="s">
        <v>3215</v>
      </c>
    </row>
    <row r="2604" spans="1:11" ht="39" x14ac:dyDescent="0.25">
      <c r="A2604" s="83" t="s">
        <v>1681</v>
      </c>
      <c r="B2604" s="83" t="s">
        <v>8707</v>
      </c>
      <c r="C2604" s="83" t="s">
        <v>8708</v>
      </c>
      <c r="D2604" s="83" t="s">
        <v>3209</v>
      </c>
      <c r="E2604" s="83" t="s">
        <v>3246</v>
      </c>
      <c r="F2604" s="83" t="s">
        <v>8709</v>
      </c>
      <c r="G2604" s="83" t="s">
        <v>8710</v>
      </c>
      <c r="H2604" s="83">
        <v>28</v>
      </c>
      <c r="I2604" s="83" t="s">
        <v>3229</v>
      </c>
      <c r="J2604" s="83" t="s">
        <v>3241</v>
      </c>
      <c r="K2604" s="83" t="s">
        <v>3215</v>
      </c>
    </row>
    <row r="2605" spans="1:11" ht="51.75" x14ac:dyDescent="0.25">
      <c r="A2605" s="83" t="s">
        <v>1692</v>
      </c>
      <c r="B2605" s="83" t="s">
        <v>8711</v>
      </c>
      <c r="C2605" s="83" t="s">
        <v>8712</v>
      </c>
      <c r="D2605" s="83" t="s">
        <v>3209</v>
      </c>
      <c r="E2605" s="83" t="s">
        <v>3246</v>
      </c>
      <c r="F2605" s="83" t="s">
        <v>8713</v>
      </c>
      <c r="G2605" s="83" t="s">
        <v>8714</v>
      </c>
      <c r="H2605" s="83">
        <v>87.6</v>
      </c>
      <c r="I2605" s="83" t="s">
        <v>3229</v>
      </c>
      <c r="J2605" s="83" t="s">
        <v>3230</v>
      </c>
      <c r="K2605" s="83" t="s">
        <v>3215</v>
      </c>
    </row>
    <row r="2606" spans="1:11" ht="51.75" x14ac:dyDescent="0.25">
      <c r="A2606" s="83" t="s">
        <v>76</v>
      </c>
      <c r="B2606" s="83" t="s">
        <v>8715</v>
      </c>
      <c r="C2606" s="83" t="s">
        <v>7098</v>
      </c>
      <c r="D2606" s="83" t="s">
        <v>3209</v>
      </c>
      <c r="E2606" s="83" t="s">
        <v>3246</v>
      </c>
      <c r="F2606" s="83" t="s">
        <v>8716</v>
      </c>
      <c r="G2606" s="83" t="s">
        <v>3927</v>
      </c>
      <c r="H2606" s="83">
        <v>109.8</v>
      </c>
      <c r="I2606" s="83" t="s">
        <v>3213</v>
      </c>
      <c r="J2606" s="83" t="s">
        <v>3257</v>
      </c>
      <c r="K2606" s="83" t="s">
        <v>3215</v>
      </c>
    </row>
    <row r="2607" spans="1:11" ht="51.75" x14ac:dyDescent="0.25">
      <c r="A2607" s="83" t="s">
        <v>1104</v>
      </c>
      <c r="B2607" s="83" t="s">
        <v>3208</v>
      </c>
      <c r="C2607" s="83" t="s">
        <v>8717</v>
      </c>
      <c r="D2607" s="83" t="s">
        <v>3209</v>
      </c>
      <c r="E2607" s="83" t="s">
        <v>3246</v>
      </c>
      <c r="F2607" s="83" t="s">
        <v>8718</v>
      </c>
      <c r="G2607" s="83" t="s">
        <v>6924</v>
      </c>
      <c r="H2607" s="83">
        <v>199</v>
      </c>
      <c r="I2607" s="83" t="s">
        <v>3229</v>
      </c>
      <c r="J2607" s="83" t="s">
        <v>3371</v>
      </c>
      <c r="K2607" s="83" t="s">
        <v>3215</v>
      </c>
    </row>
    <row r="2608" spans="1:11" ht="51.75" x14ac:dyDescent="0.25">
      <c r="A2608" s="83" t="s">
        <v>1707</v>
      </c>
      <c r="B2608" s="83" t="s">
        <v>8719</v>
      </c>
      <c r="C2608" s="83" t="s">
        <v>8720</v>
      </c>
      <c r="D2608" s="83" t="s">
        <v>3209</v>
      </c>
      <c r="E2608" s="83" t="s">
        <v>3246</v>
      </c>
      <c r="F2608" s="83" t="s">
        <v>5211</v>
      </c>
      <c r="G2608" s="83" t="s">
        <v>4720</v>
      </c>
      <c r="H2608" s="83">
        <v>11.1</v>
      </c>
      <c r="I2608" s="83" t="s">
        <v>3229</v>
      </c>
      <c r="J2608" s="83" t="s">
        <v>4399</v>
      </c>
      <c r="K2608" s="83" t="s">
        <v>3215</v>
      </c>
    </row>
    <row r="2609" spans="1:11" ht="51.75" x14ac:dyDescent="0.25">
      <c r="A2609" s="83" t="s">
        <v>1663</v>
      </c>
      <c r="B2609" s="83" t="s">
        <v>4657</v>
      </c>
      <c r="C2609" s="83" t="s">
        <v>8721</v>
      </c>
      <c r="D2609" s="83" t="s">
        <v>3209</v>
      </c>
      <c r="E2609" s="83" t="s">
        <v>3246</v>
      </c>
      <c r="F2609" s="83" t="s">
        <v>4659</v>
      </c>
      <c r="G2609" s="83" t="s">
        <v>5608</v>
      </c>
      <c r="H2609" s="83">
        <v>119.4</v>
      </c>
      <c r="I2609" s="83" t="s">
        <v>3229</v>
      </c>
      <c r="J2609" s="83" t="s">
        <v>3230</v>
      </c>
      <c r="K2609" s="83" t="s">
        <v>3215</v>
      </c>
    </row>
    <row r="2610" spans="1:11" ht="51.75" x14ac:dyDescent="0.25">
      <c r="A2610" s="83" t="s">
        <v>1665</v>
      </c>
      <c r="B2610" s="83" t="s">
        <v>8722</v>
      </c>
      <c r="C2610" s="83" t="s">
        <v>8723</v>
      </c>
      <c r="D2610" s="83" t="s">
        <v>3209</v>
      </c>
      <c r="E2610" s="83" t="s">
        <v>3246</v>
      </c>
      <c r="F2610" s="83" t="s">
        <v>8724</v>
      </c>
      <c r="G2610" s="83" t="s">
        <v>7729</v>
      </c>
      <c r="H2610" s="83">
        <v>44</v>
      </c>
      <c r="I2610" s="83" t="s">
        <v>3229</v>
      </c>
      <c r="J2610" s="83" t="s">
        <v>3289</v>
      </c>
      <c r="K2610" s="83" t="s">
        <v>3215</v>
      </c>
    </row>
    <row r="2611" spans="1:11" ht="39" x14ac:dyDescent="0.25">
      <c r="A2611" s="83" t="s">
        <v>1645</v>
      </c>
      <c r="B2611" s="83" t="s">
        <v>8725</v>
      </c>
      <c r="C2611" s="83" t="s">
        <v>8726</v>
      </c>
      <c r="D2611" s="83" t="s">
        <v>3209</v>
      </c>
      <c r="E2611" s="83" t="s">
        <v>3246</v>
      </c>
      <c r="F2611" s="83" t="s">
        <v>3318</v>
      </c>
      <c r="G2611" s="83" t="s">
        <v>3778</v>
      </c>
      <c r="H2611" s="83">
        <v>51.2</v>
      </c>
      <c r="I2611" s="83" t="s">
        <v>3229</v>
      </c>
      <c r="J2611" s="83" t="s">
        <v>3241</v>
      </c>
      <c r="K2611" s="83" t="s">
        <v>3215</v>
      </c>
    </row>
    <row r="2612" spans="1:11" ht="51.75" x14ac:dyDescent="0.25">
      <c r="A2612" s="83" t="s">
        <v>1730</v>
      </c>
      <c r="B2612" s="83" t="s">
        <v>8727</v>
      </c>
      <c r="C2612" s="83" t="s">
        <v>8728</v>
      </c>
      <c r="D2612" s="83" t="s">
        <v>3209</v>
      </c>
      <c r="E2612" s="83" t="s">
        <v>3246</v>
      </c>
      <c r="F2612" s="83" t="s">
        <v>8729</v>
      </c>
      <c r="G2612" s="83" t="s">
        <v>3794</v>
      </c>
      <c r="H2612" s="83">
        <v>18.2</v>
      </c>
      <c r="I2612" s="83" t="s">
        <v>3229</v>
      </c>
      <c r="J2612" s="83" t="s">
        <v>3230</v>
      </c>
      <c r="K2612" s="83" t="s">
        <v>3215</v>
      </c>
    </row>
    <row r="2613" spans="1:11" ht="26.25" x14ac:dyDescent="0.25">
      <c r="A2613" s="83" t="s">
        <v>1729</v>
      </c>
      <c r="B2613" s="83" t="s">
        <v>8730</v>
      </c>
      <c r="C2613" s="83" t="s">
        <v>8731</v>
      </c>
      <c r="D2613" s="83" t="s">
        <v>3209</v>
      </c>
      <c r="E2613" s="83" t="s">
        <v>3246</v>
      </c>
      <c r="F2613" s="83" t="s">
        <v>8732</v>
      </c>
      <c r="G2613" s="83" t="s">
        <v>5117</v>
      </c>
      <c r="H2613" s="83">
        <v>6.4</v>
      </c>
      <c r="I2613" s="83" t="s">
        <v>3229</v>
      </c>
      <c r="J2613" s="83" t="s">
        <v>3222</v>
      </c>
      <c r="K2613" s="83" t="s">
        <v>3215</v>
      </c>
    </row>
    <row r="2614" spans="1:11" ht="64.5" x14ac:dyDescent="0.25">
      <c r="A2614" s="83" t="s">
        <v>72</v>
      </c>
      <c r="B2614" s="83" t="s">
        <v>8733</v>
      </c>
      <c r="C2614" s="83" t="s">
        <v>8734</v>
      </c>
      <c r="D2614" s="83" t="s">
        <v>3209</v>
      </c>
      <c r="E2614" s="83" t="s">
        <v>3246</v>
      </c>
      <c r="F2614" s="83" t="s">
        <v>8735</v>
      </c>
      <c r="G2614" s="83" t="s">
        <v>5664</v>
      </c>
      <c r="H2614" s="83">
        <v>667.8</v>
      </c>
      <c r="I2614" s="83" t="s">
        <v>3213</v>
      </c>
      <c r="J2614" s="83" t="s">
        <v>3262</v>
      </c>
      <c r="K2614" s="83" t="s">
        <v>3215</v>
      </c>
    </row>
    <row r="2615" spans="1:11" ht="51.75" x14ac:dyDescent="0.25">
      <c r="A2615" s="83" t="s">
        <v>1380</v>
      </c>
      <c r="B2615" s="83" t="s">
        <v>8736</v>
      </c>
      <c r="C2615" s="83" t="s">
        <v>8737</v>
      </c>
      <c r="D2615" s="83" t="s">
        <v>3209</v>
      </c>
      <c r="E2615" s="83" t="s">
        <v>3246</v>
      </c>
      <c r="F2615" s="83" t="s">
        <v>8738</v>
      </c>
      <c r="G2615" s="83" t="s">
        <v>8739</v>
      </c>
      <c r="H2615" s="83">
        <v>10</v>
      </c>
      <c r="I2615" s="83" t="s">
        <v>3229</v>
      </c>
      <c r="J2615" s="83" t="s">
        <v>3230</v>
      </c>
      <c r="K2615" s="83" t="s">
        <v>3215</v>
      </c>
    </row>
    <row r="2616" spans="1:11" ht="26.25" x14ac:dyDescent="0.25">
      <c r="A2616" s="83" t="s">
        <v>1364</v>
      </c>
      <c r="B2616" s="83" t="s">
        <v>8740</v>
      </c>
      <c r="C2616" s="83" t="s">
        <v>8741</v>
      </c>
      <c r="D2616" s="83" t="s">
        <v>3209</v>
      </c>
      <c r="E2616" s="83" t="s">
        <v>3246</v>
      </c>
      <c r="F2616" s="83" t="s">
        <v>4364</v>
      </c>
      <c r="G2616" s="83" t="s">
        <v>8742</v>
      </c>
      <c r="H2616" s="83">
        <v>6.3</v>
      </c>
      <c r="I2616" s="83" t="s">
        <v>3229</v>
      </c>
      <c r="J2616" s="83" t="s">
        <v>3222</v>
      </c>
      <c r="K2616" s="83" t="s">
        <v>3215</v>
      </c>
    </row>
    <row r="2617" spans="1:11" ht="51.75" x14ac:dyDescent="0.25">
      <c r="A2617" s="83" t="s">
        <v>1634</v>
      </c>
      <c r="B2617" s="83" t="s">
        <v>8743</v>
      </c>
      <c r="C2617" s="83" t="s">
        <v>8744</v>
      </c>
      <c r="D2617" s="83" t="s">
        <v>3209</v>
      </c>
      <c r="E2617" s="83" t="s">
        <v>3246</v>
      </c>
      <c r="F2617" s="83" t="s">
        <v>8745</v>
      </c>
      <c r="G2617" s="83" t="s">
        <v>3355</v>
      </c>
      <c r="H2617" s="83">
        <v>19.5</v>
      </c>
      <c r="I2617" s="83" t="s">
        <v>3229</v>
      </c>
      <c r="J2617" s="83" t="s">
        <v>3289</v>
      </c>
      <c r="K2617" s="83" t="s">
        <v>3215</v>
      </c>
    </row>
    <row r="2618" spans="1:11" ht="51.75" x14ac:dyDescent="0.25">
      <c r="A2618" s="83" t="s">
        <v>1618</v>
      </c>
      <c r="B2618" s="83" t="s">
        <v>8746</v>
      </c>
      <c r="C2618" s="83" t="s">
        <v>8747</v>
      </c>
      <c r="D2618" s="83" t="s">
        <v>3209</v>
      </c>
      <c r="E2618" s="83" t="s">
        <v>3246</v>
      </c>
      <c r="F2618" s="83" t="s">
        <v>8748</v>
      </c>
      <c r="G2618" s="83" t="s">
        <v>5740</v>
      </c>
      <c r="H2618" s="83">
        <v>348.5</v>
      </c>
      <c r="I2618" s="83" t="s">
        <v>3229</v>
      </c>
      <c r="J2618" s="83" t="s">
        <v>3289</v>
      </c>
      <c r="K2618" s="83" t="s">
        <v>3215</v>
      </c>
    </row>
    <row r="2619" spans="1:11" ht="51.75" x14ac:dyDescent="0.25">
      <c r="A2619" s="83" t="s">
        <v>1622</v>
      </c>
      <c r="B2619" s="83" t="s">
        <v>8749</v>
      </c>
      <c r="C2619" s="83" t="s">
        <v>8750</v>
      </c>
      <c r="D2619" s="83" t="s">
        <v>3209</v>
      </c>
      <c r="E2619" s="83" t="s">
        <v>3246</v>
      </c>
      <c r="F2619" s="83" t="s">
        <v>8748</v>
      </c>
      <c r="G2619" s="83" t="s">
        <v>5130</v>
      </c>
      <c r="H2619" s="83">
        <v>66.099999999999994</v>
      </c>
      <c r="I2619" s="83" t="s">
        <v>3229</v>
      </c>
      <c r="J2619" s="83" t="s">
        <v>3289</v>
      </c>
      <c r="K2619" s="83" t="s">
        <v>3215</v>
      </c>
    </row>
    <row r="2620" spans="1:11" ht="51.75" x14ac:dyDescent="0.25">
      <c r="A2620" s="83" t="s">
        <v>1627</v>
      </c>
      <c r="B2620" s="83" t="s">
        <v>3208</v>
      </c>
      <c r="C2620" s="83" t="s">
        <v>8751</v>
      </c>
      <c r="D2620" s="83" t="s">
        <v>3209</v>
      </c>
      <c r="E2620" s="83" t="s">
        <v>3246</v>
      </c>
      <c r="F2620" s="83" t="s">
        <v>8752</v>
      </c>
      <c r="G2620" s="83" t="s">
        <v>4729</v>
      </c>
      <c r="H2620" s="83">
        <v>72.5</v>
      </c>
      <c r="I2620" s="83" t="s">
        <v>3229</v>
      </c>
      <c r="J2620" s="83" t="s">
        <v>3289</v>
      </c>
      <c r="K2620" s="83" t="s">
        <v>3215</v>
      </c>
    </row>
    <row r="2621" spans="1:11" ht="51.75" x14ac:dyDescent="0.25">
      <c r="A2621" s="83" t="s">
        <v>1636</v>
      </c>
      <c r="B2621" s="83" t="s">
        <v>3208</v>
      </c>
      <c r="C2621" s="83" t="s">
        <v>8753</v>
      </c>
      <c r="D2621" s="83" t="s">
        <v>3209</v>
      </c>
      <c r="E2621" s="83" t="s">
        <v>3246</v>
      </c>
      <c r="F2621" s="83" t="s">
        <v>8752</v>
      </c>
      <c r="G2621" s="83" t="s">
        <v>4729</v>
      </c>
      <c r="H2621" s="83">
        <v>59.7</v>
      </c>
      <c r="I2621" s="83" t="s">
        <v>3229</v>
      </c>
      <c r="J2621" s="83" t="s">
        <v>3289</v>
      </c>
      <c r="K2621" s="83" t="s">
        <v>3215</v>
      </c>
    </row>
    <row r="2622" spans="1:11" ht="51.75" x14ac:dyDescent="0.25">
      <c r="A2622" s="83" t="s">
        <v>1617</v>
      </c>
      <c r="B2622" s="83" t="s">
        <v>8754</v>
      </c>
      <c r="C2622" s="83" t="s">
        <v>8755</v>
      </c>
      <c r="D2622" s="83" t="s">
        <v>3209</v>
      </c>
      <c r="E2622" s="83" t="s">
        <v>3246</v>
      </c>
      <c r="F2622" s="83" t="s">
        <v>4368</v>
      </c>
      <c r="G2622" s="83" t="s">
        <v>4369</v>
      </c>
      <c r="H2622" s="83">
        <v>174.9</v>
      </c>
      <c r="I2622" s="83" t="s">
        <v>3229</v>
      </c>
      <c r="J2622" s="83" t="s">
        <v>3289</v>
      </c>
      <c r="K2622" s="83" t="s">
        <v>3215</v>
      </c>
    </row>
    <row r="2623" spans="1:11" ht="51.75" x14ac:dyDescent="0.25">
      <c r="A2623" s="83" t="s">
        <v>1653</v>
      </c>
      <c r="B2623" s="83" t="s">
        <v>8756</v>
      </c>
      <c r="C2623" s="83" t="s">
        <v>8757</v>
      </c>
      <c r="D2623" s="83" t="s">
        <v>3209</v>
      </c>
      <c r="E2623" s="83" t="s">
        <v>3246</v>
      </c>
      <c r="F2623" s="83" t="s">
        <v>8139</v>
      </c>
      <c r="G2623" s="83" t="s">
        <v>4819</v>
      </c>
      <c r="H2623" s="83">
        <v>32.799999999999997</v>
      </c>
      <c r="I2623" s="83" t="s">
        <v>3229</v>
      </c>
      <c r="J2623" s="83" t="s">
        <v>3230</v>
      </c>
      <c r="K2623" s="83" t="s">
        <v>3215</v>
      </c>
    </row>
    <row r="2624" spans="1:11" ht="26.25" x14ac:dyDescent="0.25">
      <c r="A2624" s="83" t="s">
        <v>1678</v>
      </c>
      <c r="B2624" s="83" t="s">
        <v>8758</v>
      </c>
      <c r="C2624" s="83" t="s">
        <v>8759</v>
      </c>
      <c r="D2624" s="83" t="s">
        <v>3209</v>
      </c>
      <c r="E2624" s="83" t="s">
        <v>3246</v>
      </c>
      <c r="F2624" s="83" t="s">
        <v>8760</v>
      </c>
      <c r="G2624" s="83" t="s">
        <v>4519</v>
      </c>
      <c r="H2624" s="83">
        <v>30</v>
      </c>
      <c r="I2624" s="83" t="s">
        <v>3229</v>
      </c>
      <c r="J2624" s="83" t="s">
        <v>3324</v>
      </c>
      <c r="K2624" s="83" t="s">
        <v>3215</v>
      </c>
    </row>
    <row r="2625" spans="1:11" ht="51.75" x14ac:dyDescent="0.25">
      <c r="A2625" s="83" t="s">
        <v>1602</v>
      </c>
      <c r="B2625" s="83" t="s">
        <v>8761</v>
      </c>
      <c r="C2625" s="83" t="s">
        <v>8762</v>
      </c>
      <c r="D2625" s="83" t="s">
        <v>3209</v>
      </c>
      <c r="E2625" s="83" t="s">
        <v>3246</v>
      </c>
      <c r="F2625" s="83" t="s">
        <v>8763</v>
      </c>
      <c r="G2625" s="83" t="s">
        <v>4058</v>
      </c>
      <c r="H2625" s="83">
        <v>166.3</v>
      </c>
      <c r="I2625" s="83" t="s">
        <v>3229</v>
      </c>
      <c r="J2625" s="83" t="s">
        <v>3289</v>
      </c>
      <c r="K2625" s="83" t="s">
        <v>3215</v>
      </c>
    </row>
    <row r="2626" spans="1:11" ht="39" x14ac:dyDescent="0.25">
      <c r="A2626" s="83" t="s">
        <v>1592</v>
      </c>
      <c r="B2626" s="83" t="s">
        <v>8764</v>
      </c>
      <c r="C2626" s="83" t="s">
        <v>8765</v>
      </c>
      <c r="D2626" s="83" t="s">
        <v>3209</v>
      </c>
      <c r="E2626" s="83" t="s">
        <v>3246</v>
      </c>
      <c r="F2626" s="83" t="s">
        <v>8766</v>
      </c>
      <c r="G2626" s="83" t="s">
        <v>8767</v>
      </c>
      <c r="H2626" s="83">
        <v>213.2</v>
      </c>
      <c r="I2626" s="83" t="s">
        <v>3229</v>
      </c>
      <c r="J2626" s="83" t="s">
        <v>3241</v>
      </c>
      <c r="K2626" s="83" t="s">
        <v>3215</v>
      </c>
    </row>
    <row r="2627" spans="1:11" ht="64.5" x14ac:dyDescent="0.25">
      <c r="A2627" s="83" t="s">
        <v>1609</v>
      </c>
      <c r="B2627" s="83" t="s">
        <v>8768</v>
      </c>
      <c r="C2627" s="83" t="s">
        <v>8769</v>
      </c>
      <c r="D2627" s="83" t="s">
        <v>3209</v>
      </c>
      <c r="E2627" s="83" t="s">
        <v>3246</v>
      </c>
      <c r="F2627" s="83" t="s">
        <v>8770</v>
      </c>
      <c r="G2627" s="83" t="s">
        <v>8771</v>
      </c>
      <c r="H2627" s="83">
        <v>75.400000000000006</v>
      </c>
      <c r="I2627" s="83" t="s">
        <v>3229</v>
      </c>
      <c r="J2627" s="83" t="s">
        <v>3380</v>
      </c>
      <c r="K2627" s="83" t="s">
        <v>3215</v>
      </c>
    </row>
    <row r="2628" spans="1:11" ht="26.25" x14ac:dyDescent="0.25">
      <c r="A2628" s="83" t="s">
        <v>1591</v>
      </c>
      <c r="B2628" s="83" t="s">
        <v>8772</v>
      </c>
      <c r="C2628" s="83" t="s">
        <v>8773</v>
      </c>
      <c r="D2628" s="83" t="s">
        <v>3209</v>
      </c>
      <c r="E2628" s="83" t="s">
        <v>3246</v>
      </c>
      <c r="F2628" s="83" t="s">
        <v>8774</v>
      </c>
      <c r="G2628" s="83" t="s">
        <v>8775</v>
      </c>
      <c r="H2628" s="83">
        <v>243</v>
      </c>
      <c r="I2628" s="83" t="s">
        <v>3229</v>
      </c>
      <c r="J2628" s="83" t="s">
        <v>3311</v>
      </c>
      <c r="K2628" s="83" t="s">
        <v>3215</v>
      </c>
    </row>
    <row r="2629" spans="1:11" ht="51.75" x14ac:dyDescent="0.25">
      <c r="A2629" s="83" t="s">
        <v>1595</v>
      </c>
      <c r="B2629" s="83" t="s">
        <v>8776</v>
      </c>
      <c r="C2629" s="83" t="s">
        <v>8777</v>
      </c>
      <c r="D2629" s="83" t="s">
        <v>3209</v>
      </c>
      <c r="E2629" s="83" t="s">
        <v>3246</v>
      </c>
      <c r="F2629" s="83" t="s">
        <v>8778</v>
      </c>
      <c r="G2629" s="83" t="s">
        <v>8779</v>
      </c>
      <c r="H2629" s="83">
        <v>204.7</v>
      </c>
      <c r="I2629" s="83" t="s">
        <v>3213</v>
      </c>
      <c r="J2629" s="83" t="s">
        <v>3257</v>
      </c>
      <c r="K2629" s="83" t="s">
        <v>3215</v>
      </c>
    </row>
    <row r="2630" spans="1:11" ht="51.75" x14ac:dyDescent="0.25">
      <c r="A2630" s="83" t="s">
        <v>1578</v>
      </c>
      <c r="B2630" s="83" t="s">
        <v>8780</v>
      </c>
      <c r="C2630" s="83" t="s">
        <v>8781</v>
      </c>
      <c r="D2630" s="83" t="s">
        <v>3209</v>
      </c>
      <c r="E2630" s="83" t="s">
        <v>3246</v>
      </c>
      <c r="F2630" s="83" t="s">
        <v>8782</v>
      </c>
      <c r="G2630" s="83" t="s">
        <v>4314</v>
      </c>
      <c r="H2630" s="83">
        <v>25</v>
      </c>
      <c r="I2630" s="83" t="s">
        <v>3229</v>
      </c>
      <c r="J2630" s="83" t="s">
        <v>3280</v>
      </c>
      <c r="K2630" s="83" t="s">
        <v>3215</v>
      </c>
    </row>
    <row r="2631" spans="1:11" ht="51.75" x14ac:dyDescent="0.25">
      <c r="A2631" s="83" t="s">
        <v>1572</v>
      </c>
      <c r="B2631" s="83" t="s">
        <v>5282</v>
      </c>
      <c r="C2631" s="83" t="s">
        <v>8783</v>
      </c>
      <c r="D2631" s="83" t="s">
        <v>3209</v>
      </c>
      <c r="E2631" s="83" t="s">
        <v>3246</v>
      </c>
      <c r="F2631" s="83" t="s">
        <v>8784</v>
      </c>
      <c r="G2631" s="83" t="s">
        <v>4365</v>
      </c>
      <c r="H2631" s="83">
        <v>127.3</v>
      </c>
      <c r="I2631" s="83" t="s">
        <v>3229</v>
      </c>
      <c r="J2631" s="83" t="s">
        <v>3289</v>
      </c>
      <c r="K2631" s="83" t="s">
        <v>3215</v>
      </c>
    </row>
    <row r="2632" spans="1:11" ht="51.75" x14ac:dyDescent="0.25">
      <c r="A2632" s="83" t="s">
        <v>1579</v>
      </c>
      <c r="B2632" s="83" t="s">
        <v>8785</v>
      </c>
      <c r="C2632" s="83" t="s">
        <v>8786</v>
      </c>
      <c r="D2632" s="83" t="s">
        <v>3209</v>
      </c>
      <c r="E2632" s="83" t="s">
        <v>3246</v>
      </c>
      <c r="F2632" s="83" t="s">
        <v>8787</v>
      </c>
      <c r="G2632" s="83" t="s">
        <v>8788</v>
      </c>
      <c r="H2632" s="83">
        <v>30</v>
      </c>
      <c r="I2632" s="83" t="s">
        <v>3229</v>
      </c>
      <c r="J2632" s="83" t="s">
        <v>3280</v>
      </c>
      <c r="K2632" s="83" t="s">
        <v>3215</v>
      </c>
    </row>
    <row r="2633" spans="1:11" ht="26.25" x14ac:dyDescent="0.25">
      <c r="A2633" s="83" t="s">
        <v>1580</v>
      </c>
      <c r="B2633" s="83" t="s">
        <v>8789</v>
      </c>
      <c r="C2633" s="83" t="s">
        <v>8790</v>
      </c>
      <c r="D2633" s="83" t="s">
        <v>3209</v>
      </c>
      <c r="E2633" s="83" t="s">
        <v>3246</v>
      </c>
      <c r="F2633" s="83" t="s">
        <v>8791</v>
      </c>
      <c r="G2633" s="83" t="s">
        <v>3791</v>
      </c>
      <c r="H2633" s="83">
        <v>4.5</v>
      </c>
      <c r="I2633" s="83" t="s">
        <v>3229</v>
      </c>
      <c r="J2633" s="83" t="s">
        <v>3311</v>
      </c>
      <c r="K2633" s="83" t="s">
        <v>3215</v>
      </c>
    </row>
    <row r="2634" spans="1:11" ht="51.75" x14ac:dyDescent="0.25">
      <c r="A2634" s="83" t="s">
        <v>126</v>
      </c>
      <c r="B2634" s="83" t="s">
        <v>8792</v>
      </c>
      <c r="C2634" s="83" t="s">
        <v>8793</v>
      </c>
      <c r="D2634" s="83" t="s">
        <v>3209</v>
      </c>
      <c r="E2634" s="83" t="s">
        <v>3246</v>
      </c>
      <c r="F2634" s="83" t="s">
        <v>4394</v>
      </c>
      <c r="G2634" s="83" t="s">
        <v>5102</v>
      </c>
      <c r="H2634" s="83">
        <v>113.8</v>
      </c>
      <c r="I2634" s="83" t="s">
        <v>3213</v>
      </c>
      <c r="J2634" s="83" t="s">
        <v>3271</v>
      </c>
      <c r="K2634" s="83" t="s">
        <v>3215</v>
      </c>
    </row>
    <row r="2635" spans="1:11" ht="39" x14ac:dyDescent="0.25">
      <c r="A2635" s="83" t="s">
        <v>1564</v>
      </c>
      <c r="B2635" s="83" t="s">
        <v>7467</v>
      </c>
      <c r="C2635" s="83" t="s">
        <v>8794</v>
      </c>
      <c r="D2635" s="83" t="s">
        <v>3209</v>
      </c>
      <c r="E2635" s="83" t="s">
        <v>3246</v>
      </c>
      <c r="F2635" s="83" t="s">
        <v>7469</v>
      </c>
      <c r="G2635" s="83" t="s">
        <v>8459</v>
      </c>
      <c r="H2635" s="83">
        <v>19.5</v>
      </c>
      <c r="I2635" s="83" t="s">
        <v>3229</v>
      </c>
      <c r="J2635" s="83" t="s">
        <v>3241</v>
      </c>
      <c r="K2635" s="83" t="s">
        <v>3215</v>
      </c>
    </row>
    <row r="2636" spans="1:11" ht="51.75" x14ac:dyDescent="0.25">
      <c r="A2636" s="83" t="s">
        <v>1516</v>
      </c>
      <c r="B2636" s="83" t="s">
        <v>8795</v>
      </c>
      <c r="C2636" s="83" t="s">
        <v>8796</v>
      </c>
      <c r="D2636" s="83" t="s">
        <v>3209</v>
      </c>
      <c r="E2636" s="83" t="s">
        <v>3246</v>
      </c>
      <c r="F2636" s="83" t="s">
        <v>3888</v>
      </c>
      <c r="G2636" s="83" t="s">
        <v>6611</v>
      </c>
      <c r="H2636" s="83">
        <v>56</v>
      </c>
      <c r="I2636" s="83" t="s">
        <v>3213</v>
      </c>
      <c r="J2636" s="83" t="s">
        <v>3214</v>
      </c>
      <c r="K2636" s="83" t="s">
        <v>3215</v>
      </c>
    </row>
    <row r="2637" spans="1:11" ht="51.75" x14ac:dyDescent="0.25">
      <c r="A2637" s="83" t="s">
        <v>1514</v>
      </c>
      <c r="B2637" s="83" t="s">
        <v>8797</v>
      </c>
      <c r="C2637" s="83" t="s">
        <v>8477</v>
      </c>
      <c r="D2637" s="83" t="s">
        <v>3209</v>
      </c>
      <c r="E2637" s="83" t="s">
        <v>3246</v>
      </c>
      <c r="F2637" s="83" t="s">
        <v>7479</v>
      </c>
      <c r="G2637" s="83" t="s">
        <v>4761</v>
      </c>
      <c r="H2637" s="83">
        <v>322.89999999999998</v>
      </c>
      <c r="I2637" s="83" t="s">
        <v>3213</v>
      </c>
      <c r="J2637" s="83" t="s">
        <v>3257</v>
      </c>
      <c r="K2637" s="83" t="s">
        <v>3215</v>
      </c>
    </row>
    <row r="2638" spans="1:11" ht="39" x14ac:dyDescent="0.25">
      <c r="A2638" s="83" t="s">
        <v>1290</v>
      </c>
      <c r="B2638" s="83" t="s">
        <v>8798</v>
      </c>
      <c r="C2638" s="83" t="s">
        <v>8799</v>
      </c>
      <c r="D2638" s="83" t="s">
        <v>3209</v>
      </c>
      <c r="E2638" s="83" t="s">
        <v>3246</v>
      </c>
      <c r="F2638" s="83" t="s">
        <v>5283</v>
      </c>
      <c r="G2638" s="83" t="s">
        <v>5284</v>
      </c>
      <c r="H2638" s="83">
        <v>26.5</v>
      </c>
      <c r="I2638" s="83" t="s">
        <v>3229</v>
      </c>
      <c r="J2638" s="83" t="s">
        <v>2706</v>
      </c>
      <c r="K2638" s="83" t="s">
        <v>3215</v>
      </c>
    </row>
    <row r="2639" spans="1:11" ht="26.25" x14ac:dyDescent="0.25">
      <c r="A2639" s="83" t="s">
        <v>1305</v>
      </c>
      <c r="B2639" s="83" t="s">
        <v>8800</v>
      </c>
      <c r="C2639" s="83" t="s">
        <v>8801</v>
      </c>
      <c r="D2639" s="83" t="s">
        <v>3209</v>
      </c>
      <c r="E2639" s="83" t="s">
        <v>3246</v>
      </c>
      <c r="F2639" s="83" t="s">
        <v>8802</v>
      </c>
      <c r="G2639" s="83" t="s">
        <v>6799</v>
      </c>
      <c r="H2639" s="83">
        <v>0.3</v>
      </c>
      <c r="I2639" s="83" t="s">
        <v>3213</v>
      </c>
      <c r="J2639" s="83" t="s">
        <v>3222</v>
      </c>
      <c r="K2639" s="83" t="s">
        <v>3215</v>
      </c>
    </row>
    <row r="2640" spans="1:11" ht="26.25" x14ac:dyDescent="0.25">
      <c r="A2640" s="83" t="s">
        <v>1307</v>
      </c>
      <c r="B2640" s="83" t="s">
        <v>8803</v>
      </c>
      <c r="C2640" s="83" t="s">
        <v>8804</v>
      </c>
      <c r="D2640" s="83" t="s">
        <v>3209</v>
      </c>
      <c r="E2640" s="83" t="s">
        <v>3246</v>
      </c>
      <c r="F2640" s="83" t="s">
        <v>8802</v>
      </c>
      <c r="G2640" s="83" t="s">
        <v>6799</v>
      </c>
      <c r="H2640" s="83">
        <v>0.4</v>
      </c>
      <c r="I2640" s="83" t="s">
        <v>3213</v>
      </c>
      <c r="J2640" s="83" t="s">
        <v>4000</v>
      </c>
      <c r="K2640" s="83" t="s">
        <v>3215</v>
      </c>
    </row>
    <row r="2641" spans="1:11" ht="64.5" x14ac:dyDescent="0.25">
      <c r="A2641" s="83" t="s">
        <v>1309</v>
      </c>
      <c r="B2641" s="83" t="s">
        <v>8805</v>
      </c>
      <c r="C2641" s="83" t="s">
        <v>8806</v>
      </c>
      <c r="D2641" s="83" t="s">
        <v>3209</v>
      </c>
      <c r="E2641" s="83" t="s">
        <v>3246</v>
      </c>
      <c r="F2641" s="83" t="s">
        <v>3480</v>
      </c>
      <c r="G2641" s="83" t="s">
        <v>4604</v>
      </c>
      <c r="H2641" s="83">
        <v>29</v>
      </c>
      <c r="I2641" s="83" t="s">
        <v>3213</v>
      </c>
      <c r="J2641" s="83" t="s">
        <v>3413</v>
      </c>
      <c r="K2641" s="83" t="s">
        <v>3215</v>
      </c>
    </row>
    <row r="2642" spans="1:11" ht="64.5" x14ac:dyDescent="0.25">
      <c r="A2642" s="83" t="s">
        <v>1269</v>
      </c>
      <c r="B2642" s="83" t="s">
        <v>8807</v>
      </c>
      <c r="C2642" s="83" t="s">
        <v>8808</v>
      </c>
      <c r="D2642" s="83" t="s">
        <v>3209</v>
      </c>
      <c r="E2642" s="83" t="s">
        <v>3246</v>
      </c>
      <c r="F2642" s="83" t="s">
        <v>8809</v>
      </c>
      <c r="G2642" s="83" t="s">
        <v>8810</v>
      </c>
      <c r="H2642" s="83">
        <v>5.6</v>
      </c>
      <c r="I2642" s="83" t="s">
        <v>3229</v>
      </c>
      <c r="J2642" s="83" t="s">
        <v>3380</v>
      </c>
      <c r="K2642" s="83" t="s">
        <v>3215</v>
      </c>
    </row>
    <row r="2643" spans="1:11" ht="51.75" x14ac:dyDescent="0.25">
      <c r="A2643" s="83" t="s">
        <v>1272</v>
      </c>
      <c r="B2643" s="83" t="s">
        <v>8811</v>
      </c>
      <c r="C2643" s="83" t="s">
        <v>8812</v>
      </c>
      <c r="D2643" s="83" t="s">
        <v>3209</v>
      </c>
      <c r="E2643" s="83" t="s">
        <v>3246</v>
      </c>
      <c r="F2643" s="83" t="s">
        <v>8813</v>
      </c>
      <c r="G2643" s="83" t="s">
        <v>8814</v>
      </c>
      <c r="H2643" s="83">
        <v>49</v>
      </c>
      <c r="I2643" s="83" t="s">
        <v>3229</v>
      </c>
      <c r="J2643" s="83" t="s">
        <v>3289</v>
      </c>
      <c r="K2643" s="83" t="s">
        <v>3215</v>
      </c>
    </row>
    <row r="2644" spans="1:11" ht="51.75" x14ac:dyDescent="0.25">
      <c r="A2644" s="83" t="s">
        <v>1281</v>
      </c>
      <c r="B2644" s="83" t="s">
        <v>8815</v>
      </c>
      <c r="C2644" s="83" t="s">
        <v>8816</v>
      </c>
      <c r="D2644" s="83" t="s">
        <v>3209</v>
      </c>
      <c r="E2644" s="83" t="s">
        <v>3246</v>
      </c>
      <c r="F2644" s="83" t="s">
        <v>8817</v>
      </c>
      <c r="G2644" s="83" t="s">
        <v>6077</v>
      </c>
      <c r="H2644" s="83">
        <v>3</v>
      </c>
      <c r="I2644" s="83" t="s">
        <v>3229</v>
      </c>
      <c r="J2644" s="83" t="s">
        <v>3238</v>
      </c>
      <c r="K2644" s="83" t="s">
        <v>3215</v>
      </c>
    </row>
    <row r="2645" spans="1:11" ht="51.75" x14ac:dyDescent="0.25">
      <c r="A2645" s="83" t="s">
        <v>1451</v>
      </c>
      <c r="B2645" s="83" t="s">
        <v>8278</v>
      </c>
      <c r="C2645" s="83" t="s">
        <v>8818</v>
      </c>
      <c r="D2645" s="83" t="s">
        <v>3209</v>
      </c>
      <c r="E2645" s="83" t="s">
        <v>3246</v>
      </c>
      <c r="F2645" s="83" t="s">
        <v>8819</v>
      </c>
      <c r="G2645" s="83" t="s">
        <v>8820</v>
      </c>
      <c r="H2645" s="83">
        <v>7</v>
      </c>
      <c r="I2645" s="83" t="s">
        <v>3213</v>
      </c>
      <c r="J2645" s="83" t="s">
        <v>3271</v>
      </c>
      <c r="K2645" s="83" t="s">
        <v>3215</v>
      </c>
    </row>
    <row r="2646" spans="1:11" ht="26.25" x14ac:dyDescent="0.25">
      <c r="A2646" s="83" t="s">
        <v>1342</v>
      </c>
      <c r="B2646" s="83" t="s">
        <v>8821</v>
      </c>
      <c r="C2646" s="83" t="s">
        <v>8822</v>
      </c>
      <c r="D2646" s="83" t="s">
        <v>3209</v>
      </c>
      <c r="E2646" s="83" t="s">
        <v>3246</v>
      </c>
      <c r="F2646" s="83" t="s">
        <v>8823</v>
      </c>
      <c r="G2646" s="83" t="s">
        <v>8824</v>
      </c>
      <c r="H2646" s="83">
        <v>15</v>
      </c>
      <c r="I2646" s="83" t="s">
        <v>3229</v>
      </c>
      <c r="J2646" s="83" t="s">
        <v>3324</v>
      </c>
      <c r="K2646" s="83" t="s">
        <v>3215</v>
      </c>
    </row>
    <row r="2647" spans="1:11" ht="51.75" x14ac:dyDescent="0.25">
      <c r="A2647" s="83" t="s">
        <v>1347</v>
      </c>
      <c r="B2647" s="83" t="s">
        <v>8825</v>
      </c>
      <c r="C2647" s="83" t="s">
        <v>8826</v>
      </c>
      <c r="D2647" s="83" t="s">
        <v>3209</v>
      </c>
      <c r="E2647" s="83" t="s">
        <v>3246</v>
      </c>
      <c r="F2647" s="83" t="s">
        <v>8827</v>
      </c>
      <c r="G2647" s="83" t="s">
        <v>8828</v>
      </c>
      <c r="H2647" s="83">
        <v>48.7</v>
      </c>
      <c r="I2647" s="83" t="s">
        <v>3229</v>
      </c>
      <c r="J2647" s="83" t="s">
        <v>3230</v>
      </c>
      <c r="K2647" s="83" t="s">
        <v>3215</v>
      </c>
    </row>
    <row r="2648" spans="1:11" ht="51.75" x14ac:dyDescent="0.25">
      <c r="A2648" s="83" t="s">
        <v>1322</v>
      </c>
      <c r="B2648" s="83" t="s">
        <v>8829</v>
      </c>
      <c r="C2648" s="83" t="s">
        <v>8830</v>
      </c>
      <c r="D2648" s="83" t="s">
        <v>3209</v>
      </c>
      <c r="E2648" s="83" t="s">
        <v>3246</v>
      </c>
      <c r="F2648" s="83" t="s">
        <v>8831</v>
      </c>
      <c r="G2648" s="83" t="s">
        <v>8832</v>
      </c>
      <c r="H2648" s="83">
        <v>87</v>
      </c>
      <c r="I2648" s="83" t="s">
        <v>3229</v>
      </c>
      <c r="J2648" s="83" t="s">
        <v>4399</v>
      </c>
      <c r="K2648" s="83" t="s">
        <v>3215</v>
      </c>
    </row>
    <row r="2649" spans="1:11" ht="26.25" x14ac:dyDescent="0.25">
      <c r="A2649" s="83" t="s">
        <v>94</v>
      </c>
      <c r="B2649" s="83" t="s">
        <v>8833</v>
      </c>
      <c r="C2649" s="83" t="s">
        <v>8834</v>
      </c>
      <c r="D2649" s="83" t="s">
        <v>3209</v>
      </c>
      <c r="E2649" s="83" t="s">
        <v>3246</v>
      </c>
      <c r="F2649" s="83" t="s">
        <v>8835</v>
      </c>
      <c r="G2649" s="83" t="s">
        <v>3375</v>
      </c>
      <c r="H2649" s="83">
        <v>107</v>
      </c>
      <c r="I2649" s="83" t="s">
        <v>3229</v>
      </c>
      <c r="J2649" s="83" t="s">
        <v>3397</v>
      </c>
      <c r="K2649" s="83" t="s">
        <v>3215</v>
      </c>
    </row>
    <row r="2650" spans="1:11" ht="26.25" x14ac:dyDescent="0.25">
      <c r="A2650" s="83" t="s">
        <v>1249</v>
      </c>
      <c r="B2650" s="83" t="s">
        <v>8836</v>
      </c>
      <c r="C2650" s="83" t="s">
        <v>8837</v>
      </c>
      <c r="D2650" s="83" t="s">
        <v>3209</v>
      </c>
      <c r="E2650" s="83" t="s">
        <v>3246</v>
      </c>
      <c r="F2650" s="83" t="s">
        <v>8838</v>
      </c>
      <c r="G2650" s="83" t="s">
        <v>6799</v>
      </c>
      <c r="H2650" s="83">
        <v>1.1000000000000001</v>
      </c>
      <c r="I2650" s="83" t="s">
        <v>7051</v>
      </c>
      <c r="J2650" s="83" t="s">
        <v>3222</v>
      </c>
      <c r="K2650" s="83" t="s">
        <v>3215</v>
      </c>
    </row>
    <row r="2651" spans="1:11" ht="26.25" x14ac:dyDescent="0.25">
      <c r="A2651" s="83" t="s">
        <v>1253</v>
      </c>
      <c r="B2651" s="83" t="s">
        <v>8839</v>
      </c>
      <c r="C2651" s="83" t="s">
        <v>8840</v>
      </c>
      <c r="D2651" s="83" t="s">
        <v>3209</v>
      </c>
      <c r="E2651" s="83" t="s">
        <v>3246</v>
      </c>
      <c r="F2651" s="83" t="s">
        <v>8841</v>
      </c>
      <c r="G2651" s="83" t="s">
        <v>8842</v>
      </c>
      <c r="H2651" s="83">
        <v>18</v>
      </c>
      <c r="I2651" s="83" t="s">
        <v>3229</v>
      </c>
      <c r="J2651" s="83" t="s">
        <v>3397</v>
      </c>
      <c r="K2651" s="83" t="s">
        <v>3215</v>
      </c>
    </row>
    <row r="2652" spans="1:11" ht="51.75" x14ac:dyDescent="0.25">
      <c r="A2652" s="83" t="s">
        <v>1221</v>
      </c>
      <c r="B2652" s="83" t="s">
        <v>8843</v>
      </c>
      <c r="C2652" s="83" t="s">
        <v>8844</v>
      </c>
      <c r="D2652" s="83" t="s">
        <v>3209</v>
      </c>
      <c r="E2652" s="83" t="s">
        <v>3246</v>
      </c>
      <c r="F2652" s="83" t="s">
        <v>8845</v>
      </c>
      <c r="G2652" s="83" t="s">
        <v>3565</v>
      </c>
      <c r="H2652" s="83">
        <v>11</v>
      </c>
      <c r="I2652" s="83" t="s">
        <v>3229</v>
      </c>
      <c r="J2652" s="83" t="s">
        <v>3230</v>
      </c>
      <c r="K2652" s="83" t="s">
        <v>3215</v>
      </c>
    </row>
    <row r="2653" spans="1:11" ht="51.75" x14ac:dyDescent="0.25">
      <c r="A2653" s="83" t="s">
        <v>1239</v>
      </c>
      <c r="B2653" s="83" t="s">
        <v>8846</v>
      </c>
      <c r="C2653" s="83" t="s">
        <v>8847</v>
      </c>
      <c r="D2653" s="83" t="s">
        <v>3209</v>
      </c>
      <c r="E2653" s="83" t="s">
        <v>3246</v>
      </c>
      <c r="F2653" s="83" t="s">
        <v>8848</v>
      </c>
      <c r="G2653" s="83" t="s">
        <v>3417</v>
      </c>
      <c r="H2653" s="83">
        <v>4</v>
      </c>
      <c r="I2653" s="83" t="s">
        <v>3213</v>
      </c>
      <c r="J2653" s="83" t="s">
        <v>3214</v>
      </c>
      <c r="K2653" s="83" t="s">
        <v>3215</v>
      </c>
    </row>
    <row r="2654" spans="1:11" ht="51.75" x14ac:dyDescent="0.25">
      <c r="A2654" s="83" t="s">
        <v>1440</v>
      </c>
      <c r="B2654" s="83" t="s">
        <v>8849</v>
      </c>
      <c r="C2654" s="83" t="s">
        <v>8850</v>
      </c>
      <c r="D2654" s="83" t="s">
        <v>3209</v>
      </c>
      <c r="E2654" s="83" t="s">
        <v>3246</v>
      </c>
      <c r="F2654" s="83" t="s">
        <v>8851</v>
      </c>
      <c r="G2654" s="83" t="s">
        <v>3355</v>
      </c>
      <c r="H2654" s="83">
        <v>43.8</v>
      </c>
      <c r="I2654" s="83" t="s">
        <v>3229</v>
      </c>
      <c r="J2654" s="83" t="s">
        <v>3289</v>
      </c>
      <c r="K2654" s="83" t="s">
        <v>3215</v>
      </c>
    </row>
    <row r="2655" spans="1:11" ht="39" x14ac:dyDescent="0.25">
      <c r="A2655" s="83" t="s">
        <v>1414</v>
      </c>
      <c r="B2655" s="83" t="s">
        <v>8852</v>
      </c>
      <c r="C2655" s="83" t="s">
        <v>5232</v>
      </c>
      <c r="D2655" s="83" t="s">
        <v>3209</v>
      </c>
      <c r="E2655" s="83" t="s">
        <v>3246</v>
      </c>
      <c r="F2655" s="83" t="s">
        <v>7535</v>
      </c>
      <c r="G2655" s="83" t="s">
        <v>4417</v>
      </c>
      <c r="H2655" s="83">
        <v>960</v>
      </c>
      <c r="I2655" s="83" t="s">
        <v>3229</v>
      </c>
      <c r="J2655" s="83" t="s">
        <v>3241</v>
      </c>
      <c r="K2655" s="83" t="s">
        <v>3215</v>
      </c>
    </row>
    <row r="2656" spans="1:11" ht="51.75" x14ac:dyDescent="0.25">
      <c r="A2656" s="83" t="s">
        <v>967</v>
      </c>
      <c r="B2656" s="83" t="s">
        <v>8853</v>
      </c>
      <c r="C2656" s="83" t="s">
        <v>8854</v>
      </c>
      <c r="D2656" s="83" t="s">
        <v>3209</v>
      </c>
      <c r="E2656" s="83" t="s">
        <v>3246</v>
      </c>
      <c r="F2656" s="83" t="s">
        <v>8232</v>
      </c>
      <c r="G2656" s="83" t="s">
        <v>8855</v>
      </c>
      <c r="H2656" s="83">
        <v>7</v>
      </c>
      <c r="I2656" s="83" t="s">
        <v>3229</v>
      </c>
      <c r="J2656" s="83" t="s">
        <v>3337</v>
      </c>
      <c r="K2656" s="83" t="s">
        <v>3215</v>
      </c>
    </row>
    <row r="2657" spans="1:11" ht="26.25" x14ac:dyDescent="0.25">
      <c r="A2657" s="83" t="s">
        <v>971</v>
      </c>
      <c r="B2657" s="83" t="s">
        <v>8856</v>
      </c>
      <c r="C2657" s="83" t="s">
        <v>8857</v>
      </c>
      <c r="D2657" s="83" t="s">
        <v>3209</v>
      </c>
      <c r="E2657" s="83" t="s">
        <v>3246</v>
      </c>
      <c r="F2657" s="83" t="s">
        <v>6831</v>
      </c>
      <c r="G2657" s="83" t="s">
        <v>6832</v>
      </c>
      <c r="H2657" s="83">
        <v>12</v>
      </c>
      <c r="I2657" s="83" t="s">
        <v>3213</v>
      </c>
      <c r="J2657" s="83" t="s">
        <v>3896</v>
      </c>
      <c r="K2657" s="83" t="s">
        <v>3215</v>
      </c>
    </row>
    <row r="2658" spans="1:11" ht="51.75" x14ac:dyDescent="0.25">
      <c r="A2658" s="83" t="s">
        <v>948</v>
      </c>
      <c r="B2658" s="83" t="s">
        <v>8858</v>
      </c>
      <c r="C2658" s="83" t="s">
        <v>8859</v>
      </c>
      <c r="D2658" s="83" t="s">
        <v>3209</v>
      </c>
      <c r="E2658" s="83" t="s">
        <v>3246</v>
      </c>
      <c r="F2658" s="83" t="s">
        <v>5443</v>
      </c>
      <c r="G2658" s="83" t="s">
        <v>5444</v>
      </c>
      <c r="H2658" s="83">
        <v>7</v>
      </c>
      <c r="I2658" s="83" t="s">
        <v>3213</v>
      </c>
      <c r="J2658" s="83" t="s">
        <v>3271</v>
      </c>
      <c r="K2658" s="83" t="s">
        <v>3215</v>
      </c>
    </row>
    <row r="2659" spans="1:11" ht="51.75" x14ac:dyDescent="0.25">
      <c r="A2659" s="83" t="s">
        <v>949</v>
      </c>
      <c r="B2659" s="83" t="s">
        <v>8860</v>
      </c>
      <c r="C2659" s="83" t="s">
        <v>8861</v>
      </c>
      <c r="D2659" s="83" t="s">
        <v>3209</v>
      </c>
      <c r="E2659" s="83" t="s">
        <v>3246</v>
      </c>
      <c r="F2659" s="83" t="s">
        <v>8862</v>
      </c>
      <c r="G2659" s="83" t="s">
        <v>8863</v>
      </c>
      <c r="H2659" s="83">
        <v>3.7</v>
      </c>
      <c r="I2659" s="83" t="s">
        <v>3229</v>
      </c>
      <c r="J2659" s="83" t="s">
        <v>3332</v>
      </c>
      <c r="K2659" s="83" t="s">
        <v>3215</v>
      </c>
    </row>
    <row r="2660" spans="1:11" ht="64.5" x14ac:dyDescent="0.25">
      <c r="A2660" s="83" t="s">
        <v>950</v>
      </c>
      <c r="B2660" s="83" t="s">
        <v>8864</v>
      </c>
      <c r="C2660" s="83" t="s">
        <v>8062</v>
      </c>
      <c r="D2660" s="83" t="s">
        <v>3209</v>
      </c>
      <c r="E2660" s="83" t="s">
        <v>3246</v>
      </c>
      <c r="F2660" s="83" t="s">
        <v>8865</v>
      </c>
      <c r="G2660" s="83" t="s">
        <v>8866</v>
      </c>
      <c r="H2660" s="83">
        <v>3.6</v>
      </c>
      <c r="I2660" s="83" t="s">
        <v>3213</v>
      </c>
      <c r="J2660" s="83" t="s">
        <v>3413</v>
      </c>
      <c r="K2660" s="83" t="s">
        <v>3215</v>
      </c>
    </row>
    <row r="2661" spans="1:11" ht="51.75" x14ac:dyDescent="0.25">
      <c r="A2661" s="83" t="s">
        <v>915</v>
      </c>
      <c r="B2661" s="83" t="s">
        <v>8867</v>
      </c>
      <c r="C2661" s="83" t="s">
        <v>8868</v>
      </c>
      <c r="D2661" s="83" t="s">
        <v>3209</v>
      </c>
      <c r="E2661" s="83" t="s">
        <v>3246</v>
      </c>
      <c r="F2661" s="83" t="s">
        <v>3519</v>
      </c>
      <c r="G2661" s="83" t="s">
        <v>3520</v>
      </c>
      <c r="H2661" s="83">
        <v>2.4</v>
      </c>
      <c r="I2661" s="83" t="s">
        <v>3229</v>
      </c>
      <c r="J2661" s="83" t="s">
        <v>3521</v>
      </c>
      <c r="K2661" s="83" t="s">
        <v>3215</v>
      </c>
    </row>
    <row r="2662" spans="1:11" ht="39" x14ac:dyDescent="0.25">
      <c r="A2662" s="83" t="s">
        <v>917</v>
      </c>
      <c r="B2662" s="83" t="s">
        <v>8869</v>
      </c>
      <c r="C2662" s="83" t="s">
        <v>8870</v>
      </c>
      <c r="D2662" s="83" t="s">
        <v>3209</v>
      </c>
      <c r="E2662" s="83" t="s">
        <v>3246</v>
      </c>
      <c r="F2662" s="83" t="s">
        <v>8871</v>
      </c>
      <c r="G2662" s="83" t="s">
        <v>8872</v>
      </c>
      <c r="H2662" s="83">
        <v>245</v>
      </c>
      <c r="I2662" s="83" t="s">
        <v>3229</v>
      </c>
      <c r="J2662" s="83" t="s">
        <v>3241</v>
      </c>
      <c r="K2662" s="83" t="s">
        <v>3215</v>
      </c>
    </row>
    <row r="2663" spans="1:11" ht="64.5" x14ac:dyDescent="0.25">
      <c r="A2663" s="83" t="s">
        <v>921</v>
      </c>
      <c r="B2663" s="83" t="s">
        <v>8873</v>
      </c>
      <c r="C2663" s="83" t="s">
        <v>8874</v>
      </c>
      <c r="D2663" s="83" t="s">
        <v>3209</v>
      </c>
      <c r="E2663" s="83" t="s">
        <v>3246</v>
      </c>
      <c r="F2663" s="83" t="s">
        <v>8875</v>
      </c>
      <c r="G2663" s="83" t="s">
        <v>4262</v>
      </c>
      <c r="H2663" s="83">
        <v>60</v>
      </c>
      <c r="I2663" s="83" t="s">
        <v>3229</v>
      </c>
      <c r="J2663" s="83" t="s">
        <v>3380</v>
      </c>
      <c r="K2663" s="83" t="s">
        <v>3215</v>
      </c>
    </row>
    <row r="2664" spans="1:11" ht="51.75" x14ac:dyDescent="0.25">
      <c r="A2664" s="83" t="s">
        <v>935</v>
      </c>
      <c r="B2664" s="83" t="s">
        <v>8876</v>
      </c>
      <c r="C2664" s="83" t="s">
        <v>8877</v>
      </c>
      <c r="D2664" s="83" t="s">
        <v>3209</v>
      </c>
      <c r="E2664" s="83" t="s">
        <v>3246</v>
      </c>
      <c r="F2664" s="83" t="s">
        <v>8878</v>
      </c>
      <c r="G2664" s="83" t="s">
        <v>8879</v>
      </c>
      <c r="H2664" s="83">
        <v>0.4</v>
      </c>
      <c r="I2664" s="83" t="s">
        <v>3229</v>
      </c>
      <c r="J2664" s="83" t="s">
        <v>3238</v>
      </c>
      <c r="K2664" s="83" t="s">
        <v>3215</v>
      </c>
    </row>
    <row r="2665" spans="1:11" ht="64.5" x14ac:dyDescent="0.25">
      <c r="A2665" s="83" t="s">
        <v>1133</v>
      </c>
      <c r="B2665" s="83" t="s">
        <v>8880</v>
      </c>
      <c r="C2665" s="83" t="s">
        <v>8881</v>
      </c>
      <c r="D2665" s="83" t="s">
        <v>3209</v>
      </c>
      <c r="E2665" s="83" t="s">
        <v>3246</v>
      </c>
      <c r="F2665" s="83" t="s">
        <v>8882</v>
      </c>
      <c r="G2665" s="83" t="s">
        <v>5907</v>
      </c>
      <c r="H2665" s="83">
        <v>25</v>
      </c>
      <c r="I2665" s="83" t="s">
        <v>3213</v>
      </c>
      <c r="J2665" s="83" t="s">
        <v>3413</v>
      </c>
      <c r="K2665" s="83" t="s">
        <v>3215</v>
      </c>
    </row>
    <row r="2666" spans="1:11" ht="51.75" x14ac:dyDescent="0.25">
      <c r="A2666" s="83" t="s">
        <v>1147</v>
      </c>
      <c r="B2666" s="83" t="s">
        <v>8883</v>
      </c>
      <c r="C2666" s="83" t="s">
        <v>8884</v>
      </c>
      <c r="D2666" s="83" t="s">
        <v>3209</v>
      </c>
      <c r="E2666" s="83" t="s">
        <v>3246</v>
      </c>
      <c r="F2666" s="83" t="s">
        <v>3564</v>
      </c>
      <c r="G2666" s="83" t="s">
        <v>3565</v>
      </c>
      <c r="H2666" s="83">
        <v>102</v>
      </c>
      <c r="I2666" s="83" t="s">
        <v>3229</v>
      </c>
      <c r="J2666" s="83" t="s">
        <v>3230</v>
      </c>
      <c r="K2666" s="83" t="s">
        <v>3215</v>
      </c>
    </row>
    <row r="2667" spans="1:11" ht="64.5" x14ac:dyDescent="0.25">
      <c r="A2667" s="83" t="s">
        <v>1107</v>
      </c>
      <c r="B2667" s="83" t="s">
        <v>8885</v>
      </c>
      <c r="C2667" s="83" t="s">
        <v>8886</v>
      </c>
      <c r="D2667" s="83" t="s">
        <v>3209</v>
      </c>
      <c r="E2667" s="83" t="s">
        <v>3246</v>
      </c>
      <c r="F2667" s="83" t="s">
        <v>8887</v>
      </c>
      <c r="G2667" s="83" t="s">
        <v>3355</v>
      </c>
      <c r="H2667" s="83">
        <v>29</v>
      </c>
      <c r="I2667" s="83" t="s">
        <v>3229</v>
      </c>
      <c r="J2667" s="83" t="s">
        <v>3380</v>
      </c>
      <c r="K2667" s="83" t="s">
        <v>3215</v>
      </c>
    </row>
    <row r="2668" spans="1:11" ht="51.75" x14ac:dyDescent="0.25">
      <c r="A2668" s="83" t="s">
        <v>1109</v>
      </c>
      <c r="B2668" s="83" t="s">
        <v>8888</v>
      </c>
      <c r="C2668" s="83" t="s">
        <v>8889</v>
      </c>
      <c r="D2668" s="83" t="s">
        <v>3209</v>
      </c>
      <c r="E2668" s="83" t="s">
        <v>3246</v>
      </c>
      <c r="F2668" s="83" t="s">
        <v>3568</v>
      </c>
      <c r="G2668" s="83" t="s">
        <v>3569</v>
      </c>
      <c r="H2668" s="83">
        <v>25</v>
      </c>
      <c r="I2668" s="83" t="s">
        <v>3229</v>
      </c>
      <c r="J2668" s="83" t="s">
        <v>3289</v>
      </c>
      <c r="K2668" s="83" t="s">
        <v>3215</v>
      </c>
    </row>
    <row r="2669" spans="1:11" ht="51.75" x14ac:dyDescent="0.25">
      <c r="A2669" s="83" t="s">
        <v>1033</v>
      </c>
      <c r="B2669" s="83" t="s">
        <v>8890</v>
      </c>
      <c r="C2669" s="83" t="s">
        <v>8891</v>
      </c>
      <c r="D2669" s="83" t="s">
        <v>3209</v>
      </c>
      <c r="E2669" s="83" t="s">
        <v>3246</v>
      </c>
      <c r="F2669" s="83" t="s">
        <v>3564</v>
      </c>
      <c r="G2669" s="83" t="s">
        <v>4124</v>
      </c>
      <c r="H2669" s="83">
        <v>39</v>
      </c>
      <c r="I2669" s="83" t="s">
        <v>3229</v>
      </c>
      <c r="J2669" s="83" t="s">
        <v>3230</v>
      </c>
      <c r="K2669" s="83" t="s">
        <v>3215</v>
      </c>
    </row>
    <row r="2670" spans="1:11" ht="64.5" x14ac:dyDescent="0.25">
      <c r="A2670" s="83" t="s">
        <v>1082</v>
      </c>
      <c r="B2670" s="83" t="s">
        <v>8892</v>
      </c>
      <c r="C2670" s="83" t="s">
        <v>8893</v>
      </c>
      <c r="D2670" s="83" t="s">
        <v>3209</v>
      </c>
      <c r="E2670" s="83" t="s">
        <v>3246</v>
      </c>
      <c r="F2670" s="83" t="s">
        <v>8894</v>
      </c>
      <c r="G2670" s="83" t="s">
        <v>8895</v>
      </c>
      <c r="H2670" s="83">
        <v>0.1</v>
      </c>
      <c r="I2670" s="83" t="s">
        <v>3213</v>
      </c>
      <c r="J2670" s="83" t="s">
        <v>3262</v>
      </c>
      <c r="K2670" s="83" t="s">
        <v>3215</v>
      </c>
    </row>
    <row r="2671" spans="1:11" ht="64.5" x14ac:dyDescent="0.25">
      <c r="A2671" s="83" t="s">
        <v>1026</v>
      </c>
      <c r="B2671" s="83" t="s">
        <v>8896</v>
      </c>
      <c r="C2671" s="83" t="s">
        <v>8897</v>
      </c>
      <c r="D2671" s="83" t="s">
        <v>3209</v>
      </c>
      <c r="E2671" s="83" t="s">
        <v>3246</v>
      </c>
      <c r="F2671" s="83" t="s">
        <v>6160</v>
      </c>
      <c r="G2671" s="83" t="s">
        <v>8898</v>
      </c>
      <c r="H2671" s="83">
        <v>38</v>
      </c>
      <c r="I2671" s="83" t="s">
        <v>3213</v>
      </c>
      <c r="J2671" s="83" t="s">
        <v>3262</v>
      </c>
      <c r="K2671" s="83" t="s">
        <v>3215</v>
      </c>
    </row>
    <row r="2672" spans="1:11" ht="64.5" x14ac:dyDescent="0.25">
      <c r="A2672" s="83" t="s">
        <v>1000</v>
      </c>
      <c r="B2672" s="83" t="s">
        <v>8899</v>
      </c>
      <c r="C2672" s="83" t="s">
        <v>8900</v>
      </c>
      <c r="D2672" s="83" t="s">
        <v>3209</v>
      </c>
      <c r="E2672" s="83" t="s">
        <v>3246</v>
      </c>
      <c r="F2672" s="83" t="s">
        <v>8901</v>
      </c>
      <c r="G2672" s="83" t="s">
        <v>6906</v>
      </c>
      <c r="H2672" s="83">
        <v>1.3</v>
      </c>
      <c r="I2672" s="83" t="s">
        <v>3229</v>
      </c>
      <c r="J2672" s="83" t="s">
        <v>3601</v>
      </c>
      <c r="K2672" s="83" t="s">
        <v>3215</v>
      </c>
    </row>
    <row r="2673" spans="1:11" ht="26.25" x14ac:dyDescent="0.25">
      <c r="A2673" s="83" t="s">
        <v>1008</v>
      </c>
      <c r="B2673" s="83" t="s">
        <v>8902</v>
      </c>
      <c r="C2673" s="83" t="s">
        <v>8903</v>
      </c>
      <c r="D2673" s="83" t="s">
        <v>3209</v>
      </c>
      <c r="E2673" s="83" t="s">
        <v>3246</v>
      </c>
      <c r="F2673" s="83" t="s">
        <v>8904</v>
      </c>
      <c r="G2673" s="83" t="s">
        <v>8905</v>
      </c>
      <c r="H2673" s="83">
        <v>4.3</v>
      </c>
      <c r="I2673" s="83" t="s">
        <v>3229</v>
      </c>
      <c r="J2673" s="83" t="s">
        <v>3324</v>
      </c>
      <c r="K2673" s="83" t="s">
        <v>3215</v>
      </c>
    </row>
    <row r="2674" spans="1:11" ht="26.25" x14ac:dyDescent="0.25">
      <c r="A2674" s="83" t="s">
        <v>1011</v>
      </c>
      <c r="B2674" s="83" t="s">
        <v>8906</v>
      </c>
      <c r="C2674" s="83" t="s">
        <v>8907</v>
      </c>
      <c r="D2674" s="83" t="s">
        <v>3209</v>
      </c>
      <c r="E2674" s="83" t="s">
        <v>3246</v>
      </c>
      <c r="F2674" s="83" t="s">
        <v>8908</v>
      </c>
      <c r="G2674" s="83" t="s">
        <v>6293</v>
      </c>
      <c r="H2674" s="83">
        <v>11.2</v>
      </c>
      <c r="I2674" s="83" t="s">
        <v>3213</v>
      </c>
      <c r="J2674" s="83" t="s">
        <v>3222</v>
      </c>
      <c r="K2674" s="83" t="s">
        <v>3215</v>
      </c>
    </row>
    <row r="2675" spans="1:11" ht="64.5" x14ac:dyDescent="0.25">
      <c r="A2675" s="83" t="s">
        <v>1015</v>
      </c>
      <c r="B2675" s="83" t="s">
        <v>8909</v>
      </c>
      <c r="C2675" s="83" t="s">
        <v>8910</v>
      </c>
      <c r="D2675" s="83" t="s">
        <v>3209</v>
      </c>
      <c r="E2675" s="83" t="s">
        <v>3246</v>
      </c>
      <c r="F2675" s="83" t="s">
        <v>5390</v>
      </c>
      <c r="G2675" s="83" t="s">
        <v>8911</v>
      </c>
      <c r="H2675" s="83">
        <v>1.3</v>
      </c>
      <c r="I2675" s="83" t="s">
        <v>3229</v>
      </c>
      <c r="J2675" s="83" t="s">
        <v>3601</v>
      </c>
      <c r="K2675" s="83" t="s">
        <v>3215</v>
      </c>
    </row>
    <row r="2676" spans="1:11" ht="51.75" x14ac:dyDescent="0.25">
      <c r="A2676" s="83" t="s">
        <v>1242</v>
      </c>
      <c r="B2676" s="83" t="s">
        <v>8912</v>
      </c>
      <c r="C2676" s="83" t="s">
        <v>8913</v>
      </c>
      <c r="D2676" s="83" t="s">
        <v>3209</v>
      </c>
      <c r="E2676" s="83" t="s">
        <v>3246</v>
      </c>
      <c r="F2676" s="83" t="s">
        <v>8914</v>
      </c>
      <c r="G2676" s="83" t="s">
        <v>4556</v>
      </c>
      <c r="H2676" s="83">
        <v>327</v>
      </c>
      <c r="I2676" s="83" t="s">
        <v>3213</v>
      </c>
      <c r="J2676" s="83" t="s">
        <v>3257</v>
      </c>
      <c r="K2676" s="83" t="s">
        <v>3215</v>
      </c>
    </row>
    <row r="2677" spans="1:11" ht="51.75" x14ac:dyDescent="0.25">
      <c r="A2677" s="83" t="s">
        <v>103</v>
      </c>
      <c r="B2677" s="83" t="s">
        <v>8915</v>
      </c>
      <c r="C2677" s="83" t="s">
        <v>5183</v>
      </c>
      <c r="D2677" s="83" t="s">
        <v>3209</v>
      </c>
      <c r="E2677" s="83" t="s">
        <v>3246</v>
      </c>
      <c r="F2677" s="83" t="s">
        <v>8916</v>
      </c>
      <c r="G2677" s="83" t="s">
        <v>5102</v>
      </c>
      <c r="H2677" s="83">
        <v>101</v>
      </c>
      <c r="I2677" s="83" t="s">
        <v>3213</v>
      </c>
      <c r="J2677" s="83" t="s">
        <v>3271</v>
      </c>
      <c r="K2677" s="83" t="s">
        <v>3215</v>
      </c>
    </row>
    <row r="2678" spans="1:11" ht="51.75" x14ac:dyDescent="0.25">
      <c r="A2678" s="83" t="s">
        <v>155</v>
      </c>
      <c r="B2678" s="83" t="s">
        <v>8917</v>
      </c>
      <c r="C2678" s="83" t="s">
        <v>8918</v>
      </c>
      <c r="D2678" s="83" t="s">
        <v>3209</v>
      </c>
      <c r="E2678" s="83" t="s">
        <v>3246</v>
      </c>
      <c r="F2678" s="83" t="s">
        <v>6175</v>
      </c>
      <c r="G2678" s="83" t="s">
        <v>3256</v>
      </c>
      <c r="H2678" s="83">
        <v>190</v>
      </c>
      <c r="I2678" s="83" t="s">
        <v>3213</v>
      </c>
      <c r="J2678" s="83" t="s">
        <v>3257</v>
      </c>
      <c r="K2678" s="83" t="s">
        <v>3215</v>
      </c>
    </row>
    <row r="2679" spans="1:11" ht="51.75" x14ac:dyDescent="0.25">
      <c r="A2679" s="83" t="s">
        <v>1227</v>
      </c>
      <c r="B2679" s="83" t="s">
        <v>8919</v>
      </c>
      <c r="C2679" s="83" t="s">
        <v>8920</v>
      </c>
      <c r="D2679" s="83" t="s">
        <v>3209</v>
      </c>
      <c r="E2679" s="83" t="s">
        <v>3246</v>
      </c>
      <c r="F2679" s="83" t="s">
        <v>8921</v>
      </c>
      <c r="G2679" s="83" t="s">
        <v>5972</v>
      </c>
      <c r="H2679" s="83">
        <v>36</v>
      </c>
      <c r="I2679" s="83" t="s">
        <v>3229</v>
      </c>
      <c r="J2679" s="83" t="s">
        <v>3238</v>
      </c>
      <c r="K2679" s="83" t="s">
        <v>3215</v>
      </c>
    </row>
    <row r="2680" spans="1:11" ht="51.75" x14ac:dyDescent="0.25">
      <c r="A2680" s="83" t="s">
        <v>1232</v>
      </c>
      <c r="B2680" s="83" t="s">
        <v>8922</v>
      </c>
      <c r="C2680" s="83" t="s">
        <v>8923</v>
      </c>
      <c r="D2680" s="83" t="s">
        <v>3209</v>
      </c>
      <c r="E2680" s="83" t="s">
        <v>3246</v>
      </c>
      <c r="F2680" s="83" t="s">
        <v>8924</v>
      </c>
      <c r="G2680" s="83" t="s">
        <v>8925</v>
      </c>
      <c r="H2680" s="83">
        <v>13</v>
      </c>
      <c r="I2680" s="83" t="s">
        <v>3229</v>
      </c>
      <c r="J2680" s="83" t="s">
        <v>3280</v>
      </c>
      <c r="K2680" s="83" t="s">
        <v>3215</v>
      </c>
    </row>
    <row r="2681" spans="1:11" ht="64.5" x14ac:dyDescent="0.25">
      <c r="A2681" s="83" t="s">
        <v>1208</v>
      </c>
      <c r="B2681" s="83" t="s">
        <v>8926</v>
      </c>
      <c r="C2681" s="83" t="s">
        <v>8927</v>
      </c>
      <c r="D2681" s="83" t="s">
        <v>3209</v>
      </c>
      <c r="E2681" s="83" t="s">
        <v>3246</v>
      </c>
      <c r="F2681" s="83" t="s">
        <v>8307</v>
      </c>
      <c r="G2681" s="83" t="s">
        <v>4923</v>
      </c>
      <c r="H2681" s="83">
        <v>150</v>
      </c>
      <c r="I2681" s="83" t="s">
        <v>3213</v>
      </c>
      <c r="J2681" s="83" t="s">
        <v>3262</v>
      </c>
      <c r="K2681" s="83" t="s">
        <v>3215</v>
      </c>
    </row>
    <row r="2682" spans="1:11" ht="64.5" x14ac:dyDescent="0.25">
      <c r="A2682" s="83" t="s">
        <v>1199</v>
      </c>
      <c r="B2682" s="83" t="s">
        <v>8928</v>
      </c>
      <c r="C2682" s="83" t="s">
        <v>8929</v>
      </c>
      <c r="D2682" s="83" t="s">
        <v>3209</v>
      </c>
      <c r="E2682" s="83" t="s">
        <v>3246</v>
      </c>
      <c r="F2682" s="83" t="s">
        <v>8930</v>
      </c>
      <c r="G2682" s="83" t="s">
        <v>7510</v>
      </c>
      <c r="H2682" s="83">
        <v>17</v>
      </c>
      <c r="I2682" s="83" t="s">
        <v>3213</v>
      </c>
      <c r="J2682" s="83" t="s">
        <v>3219</v>
      </c>
      <c r="K2682" s="83" t="s">
        <v>3215</v>
      </c>
    </row>
    <row r="2683" spans="1:11" ht="64.5" x14ac:dyDescent="0.25">
      <c r="A2683" s="83" t="s">
        <v>1201</v>
      </c>
      <c r="B2683" s="83" t="s">
        <v>3208</v>
      </c>
      <c r="C2683" s="83" t="s">
        <v>8931</v>
      </c>
      <c r="D2683" s="83" t="s">
        <v>3209</v>
      </c>
      <c r="E2683" s="83" t="s">
        <v>3246</v>
      </c>
      <c r="F2683" s="83" t="s">
        <v>8313</v>
      </c>
      <c r="G2683" s="83" t="s">
        <v>3451</v>
      </c>
      <c r="H2683" s="83">
        <v>31.9</v>
      </c>
      <c r="I2683" s="83" t="s">
        <v>3213</v>
      </c>
      <c r="J2683" s="83" t="s">
        <v>3413</v>
      </c>
      <c r="K2683" s="83" t="s">
        <v>3215</v>
      </c>
    </row>
    <row r="2684" spans="1:11" ht="51.75" x14ac:dyDescent="0.25">
      <c r="A2684" s="83" t="s">
        <v>1168</v>
      </c>
      <c r="B2684" s="83" t="s">
        <v>8932</v>
      </c>
      <c r="C2684" s="83" t="s">
        <v>8933</v>
      </c>
      <c r="D2684" s="83" t="s">
        <v>3209</v>
      </c>
      <c r="E2684" s="83" t="s">
        <v>3246</v>
      </c>
      <c r="F2684" s="83" t="s">
        <v>8934</v>
      </c>
      <c r="G2684" s="83" t="s">
        <v>8935</v>
      </c>
      <c r="H2684" s="83">
        <v>12.5</v>
      </c>
      <c r="I2684" s="83" t="s">
        <v>3213</v>
      </c>
      <c r="J2684" s="83" t="s">
        <v>3257</v>
      </c>
      <c r="K2684" s="83" t="s">
        <v>3215</v>
      </c>
    </row>
    <row r="2685" spans="1:11" ht="26.25" x14ac:dyDescent="0.25">
      <c r="A2685" s="83" t="s">
        <v>845</v>
      </c>
      <c r="B2685" s="83" t="s">
        <v>8936</v>
      </c>
      <c r="C2685" s="83" t="s">
        <v>8937</v>
      </c>
      <c r="D2685" s="83" t="s">
        <v>3209</v>
      </c>
      <c r="E2685" s="83" t="s">
        <v>3246</v>
      </c>
      <c r="F2685" s="83" t="s">
        <v>3652</v>
      </c>
      <c r="G2685" s="83" t="s">
        <v>4607</v>
      </c>
      <c r="H2685" s="83">
        <v>1.4</v>
      </c>
      <c r="I2685" s="83" t="s">
        <v>3213</v>
      </c>
      <c r="J2685" s="83" t="s">
        <v>3467</v>
      </c>
      <c r="K2685" s="83" t="s">
        <v>3215</v>
      </c>
    </row>
    <row r="2686" spans="1:11" ht="26.25" x14ac:dyDescent="0.25">
      <c r="A2686" s="83" t="s">
        <v>849</v>
      </c>
      <c r="B2686" s="83" t="s">
        <v>8938</v>
      </c>
      <c r="C2686" s="83" t="s">
        <v>8939</v>
      </c>
      <c r="D2686" s="83" t="s">
        <v>3209</v>
      </c>
      <c r="E2686" s="83" t="s">
        <v>3246</v>
      </c>
      <c r="F2686" s="83" t="s">
        <v>3652</v>
      </c>
      <c r="G2686" s="83" t="s">
        <v>4740</v>
      </c>
      <c r="H2686" s="83">
        <v>5</v>
      </c>
      <c r="I2686" s="83" t="s">
        <v>3213</v>
      </c>
      <c r="J2686" s="83" t="s">
        <v>3467</v>
      </c>
      <c r="K2686" s="83" t="s">
        <v>3215</v>
      </c>
    </row>
    <row r="2687" spans="1:11" ht="26.25" x14ac:dyDescent="0.25">
      <c r="A2687" s="83" t="s">
        <v>830</v>
      </c>
      <c r="B2687" s="83" t="s">
        <v>8940</v>
      </c>
      <c r="C2687" s="83" t="s">
        <v>8941</v>
      </c>
      <c r="D2687" s="83" t="s">
        <v>3209</v>
      </c>
      <c r="E2687" s="83" t="s">
        <v>3246</v>
      </c>
      <c r="F2687" s="83" t="s">
        <v>8942</v>
      </c>
      <c r="G2687" s="83" t="s">
        <v>8943</v>
      </c>
      <c r="H2687" s="83">
        <v>2.2999999999999998</v>
      </c>
      <c r="I2687" s="83" t="s">
        <v>3213</v>
      </c>
      <c r="J2687" s="83" t="s">
        <v>3467</v>
      </c>
      <c r="K2687" s="83" t="s">
        <v>3215</v>
      </c>
    </row>
    <row r="2688" spans="1:11" ht="64.5" x14ac:dyDescent="0.25">
      <c r="A2688" s="83" t="s">
        <v>842</v>
      </c>
      <c r="B2688" s="83" t="s">
        <v>8944</v>
      </c>
      <c r="C2688" s="83" t="s">
        <v>8945</v>
      </c>
      <c r="D2688" s="83" t="s">
        <v>3209</v>
      </c>
      <c r="E2688" s="83" t="s">
        <v>3246</v>
      </c>
      <c r="F2688" s="83" t="s">
        <v>5428</v>
      </c>
      <c r="G2688" s="83" t="s">
        <v>3743</v>
      </c>
      <c r="H2688" s="83">
        <v>8</v>
      </c>
      <c r="I2688" s="83" t="s">
        <v>3213</v>
      </c>
      <c r="J2688" s="83" t="s">
        <v>3413</v>
      </c>
      <c r="K2688" s="83" t="s">
        <v>3215</v>
      </c>
    </row>
    <row r="2689" spans="1:11" x14ac:dyDescent="0.25">
      <c r="A2689" s="83" t="s">
        <v>8946</v>
      </c>
      <c r="B2689" s="83" t="s">
        <v>3208</v>
      </c>
      <c r="C2689" s="83" t="s">
        <v>3208</v>
      </c>
      <c r="D2689" s="83" t="s">
        <v>3209</v>
      </c>
      <c r="E2689" s="83" t="s">
        <v>3663</v>
      </c>
      <c r="F2689" s="83" t="s">
        <v>8947</v>
      </c>
      <c r="G2689" s="83" t="s">
        <v>3208</v>
      </c>
      <c r="H2689" s="83">
        <v>9.1</v>
      </c>
      <c r="I2689" s="83" t="s">
        <v>3208</v>
      </c>
      <c r="J2689" s="83" t="s">
        <v>3208</v>
      </c>
      <c r="K2689" s="83" t="s">
        <v>3208</v>
      </c>
    </row>
    <row r="2690" spans="1:11" ht="64.5" x14ac:dyDescent="0.25">
      <c r="A2690" s="83" t="s">
        <v>980</v>
      </c>
      <c r="B2690" s="83" t="s">
        <v>8948</v>
      </c>
      <c r="C2690" s="83" t="s">
        <v>8949</v>
      </c>
      <c r="D2690" s="83" t="s">
        <v>3209</v>
      </c>
      <c r="E2690" s="83" t="s">
        <v>3246</v>
      </c>
      <c r="F2690" s="83" t="s">
        <v>8950</v>
      </c>
      <c r="G2690" s="83" t="s">
        <v>8951</v>
      </c>
      <c r="H2690" s="83">
        <v>12</v>
      </c>
      <c r="I2690" s="83" t="s">
        <v>3213</v>
      </c>
      <c r="J2690" s="83" t="s">
        <v>3413</v>
      </c>
      <c r="K2690" s="83" t="s">
        <v>3215</v>
      </c>
    </row>
    <row r="2691" spans="1:11" ht="77.25" x14ac:dyDescent="0.25">
      <c r="A2691" s="83" t="s">
        <v>954</v>
      </c>
      <c r="B2691" s="83" t="s">
        <v>8952</v>
      </c>
      <c r="C2691" s="83" t="s">
        <v>8953</v>
      </c>
      <c r="D2691" s="83" t="s">
        <v>3209</v>
      </c>
      <c r="E2691" s="83" t="s">
        <v>3246</v>
      </c>
      <c r="F2691" s="83" t="s">
        <v>8954</v>
      </c>
      <c r="G2691" s="83" t="s">
        <v>4871</v>
      </c>
      <c r="H2691" s="83">
        <v>289591</v>
      </c>
      <c r="I2691" s="83" t="s">
        <v>3213</v>
      </c>
      <c r="J2691" s="83" t="s">
        <v>3621</v>
      </c>
      <c r="K2691" s="83" t="s">
        <v>3215</v>
      </c>
    </row>
    <row r="2692" spans="1:11" ht="39" x14ac:dyDescent="0.25">
      <c r="A2692" s="83" t="s">
        <v>958</v>
      </c>
      <c r="B2692" s="83" t="s">
        <v>8955</v>
      </c>
      <c r="C2692" s="83" t="s">
        <v>8956</v>
      </c>
      <c r="D2692" s="83" t="s">
        <v>3209</v>
      </c>
      <c r="E2692" s="83" t="s">
        <v>3246</v>
      </c>
      <c r="F2692" s="83" t="s">
        <v>8957</v>
      </c>
      <c r="G2692" s="83" t="s">
        <v>8958</v>
      </c>
      <c r="H2692" s="83">
        <v>16</v>
      </c>
      <c r="I2692" s="83" t="s">
        <v>3229</v>
      </c>
      <c r="J2692" s="83" t="s">
        <v>3241</v>
      </c>
      <c r="K2692" s="83" t="s">
        <v>3215</v>
      </c>
    </row>
    <row r="2693" spans="1:11" ht="26.25" x14ac:dyDescent="0.25">
      <c r="A2693" s="83" t="s">
        <v>825</v>
      </c>
      <c r="B2693" s="83" t="s">
        <v>8959</v>
      </c>
      <c r="C2693" s="83" t="s">
        <v>8960</v>
      </c>
      <c r="D2693" s="83" t="s">
        <v>3209</v>
      </c>
      <c r="E2693" s="83" t="s">
        <v>3246</v>
      </c>
      <c r="F2693" s="83" t="s">
        <v>8961</v>
      </c>
      <c r="G2693" s="83" t="s">
        <v>6234</v>
      </c>
      <c r="H2693" s="83">
        <v>11.6</v>
      </c>
      <c r="I2693" s="83" t="s">
        <v>3229</v>
      </c>
      <c r="J2693" s="83" t="s">
        <v>3397</v>
      </c>
      <c r="K2693" s="83" t="s">
        <v>3215</v>
      </c>
    </row>
    <row r="2694" spans="1:11" ht="39" x14ac:dyDescent="0.25">
      <c r="A2694" s="83" t="s">
        <v>816</v>
      </c>
      <c r="B2694" s="83" t="s">
        <v>8962</v>
      </c>
      <c r="C2694" s="83" t="s">
        <v>8963</v>
      </c>
      <c r="D2694" s="83" t="s">
        <v>3209</v>
      </c>
      <c r="E2694" s="83" t="s">
        <v>3246</v>
      </c>
      <c r="F2694" s="83" t="s">
        <v>8964</v>
      </c>
      <c r="G2694" s="83" t="s">
        <v>6295</v>
      </c>
      <c r="H2694" s="83">
        <v>6.9</v>
      </c>
      <c r="I2694" s="83" t="s">
        <v>3229</v>
      </c>
      <c r="J2694" s="83" t="s">
        <v>3241</v>
      </c>
      <c r="K2694" s="83" t="s">
        <v>3215</v>
      </c>
    </row>
    <row r="2695" spans="1:11" ht="51.75" x14ac:dyDescent="0.25">
      <c r="A2695" s="83" t="s">
        <v>777</v>
      </c>
      <c r="B2695" s="83" t="s">
        <v>8965</v>
      </c>
      <c r="C2695" s="83" t="s">
        <v>8966</v>
      </c>
      <c r="D2695" s="83" t="s">
        <v>3209</v>
      </c>
      <c r="E2695" s="83" t="s">
        <v>3246</v>
      </c>
      <c r="F2695" s="83" t="s">
        <v>8967</v>
      </c>
      <c r="G2695" s="83" t="s">
        <v>3293</v>
      </c>
      <c r="H2695" s="83">
        <v>3.5</v>
      </c>
      <c r="I2695" s="83" t="s">
        <v>3229</v>
      </c>
      <c r="J2695" s="83" t="s">
        <v>3230</v>
      </c>
      <c r="K2695" s="83" t="s">
        <v>3215</v>
      </c>
    </row>
    <row r="2696" spans="1:11" ht="64.5" x14ac:dyDescent="0.25">
      <c r="A2696" s="83" t="s">
        <v>778</v>
      </c>
      <c r="B2696" s="83" t="s">
        <v>8968</v>
      </c>
      <c r="C2696" s="83" t="s">
        <v>8969</v>
      </c>
      <c r="D2696" s="83" t="s">
        <v>3209</v>
      </c>
      <c r="E2696" s="83" t="s">
        <v>3246</v>
      </c>
      <c r="F2696" s="83" t="s">
        <v>8950</v>
      </c>
      <c r="G2696" s="83" t="s">
        <v>8951</v>
      </c>
      <c r="H2696" s="83">
        <v>10</v>
      </c>
      <c r="I2696" s="83" t="s">
        <v>3213</v>
      </c>
      <c r="J2696" s="83" t="s">
        <v>3413</v>
      </c>
      <c r="K2696" s="83" t="s">
        <v>3215</v>
      </c>
    </row>
    <row r="2697" spans="1:11" ht="26.25" x14ac:dyDescent="0.25">
      <c r="A2697" s="83" t="s">
        <v>785</v>
      </c>
      <c r="B2697" s="83" t="s">
        <v>8970</v>
      </c>
      <c r="C2697" s="83" t="s">
        <v>8971</v>
      </c>
      <c r="D2697" s="83" t="s">
        <v>3209</v>
      </c>
      <c r="E2697" s="83" t="s">
        <v>3246</v>
      </c>
      <c r="F2697" s="83" t="s">
        <v>8972</v>
      </c>
      <c r="G2697" s="83" t="s">
        <v>6603</v>
      </c>
      <c r="H2697" s="83">
        <v>13</v>
      </c>
      <c r="I2697" s="83" t="s">
        <v>3229</v>
      </c>
      <c r="J2697" s="83" t="s">
        <v>3311</v>
      </c>
      <c r="K2697" s="83" t="s">
        <v>3215</v>
      </c>
    </row>
    <row r="2698" spans="1:11" ht="64.5" x14ac:dyDescent="0.25">
      <c r="A2698" s="83" t="s">
        <v>795</v>
      </c>
      <c r="B2698" s="83" t="s">
        <v>8973</v>
      </c>
      <c r="C2698" s="83" t="s">
        <v>8974</v>
      </c>
      <c r="D2698" s="83" t="s">
        <v>3209</v>
      </c>
      <c r="E2698" s="83" t="s">
        <v>3246</v>
      </c>
      <c r="F2698" s="83" t="s">
        <v>8975</v>
      </c>
      <c r="G2698" s="83" t="s">
        <v>3743</v>
      </c>
      <c r="H2698" s="83">
        <v>28</v>
      </c>
      <c r="I2698" s="83" t="s">
        <v>3213</v>
      </c>
      <c r="J2698" s="83" t="s">
        <v>3413</v>
      </c>
      <c r="K2698" s="83" t="s">
        <v>3215</v>
      </c>
    </row>
    <row r="2699" spans="1:11" ht="64.5" x14ac:dyDescent="0.25">
      <c r="A2699" s="83" t="s">
        <v>887</v>
      </c>
      <c r="B2699" s="83" t="s">
        <v>8976</v>
      </c>
      <c r="C2699" s="83" t="s">
        <v>8977</v>
      </c>
      <c r="D2699" s="83" t="s">
        <v>3209</v>
      </c>
      <c r="E2699" s="83" t="s">
        <v>3246</v>
      </c>
      <c r="F2699" s="83" t="s">
        <v>8978</v>
      </c>
      <c r="G2699" s="83" t="s">
        <v>8979</v>
      </c>
      <c r="H2699" s="83">
        <v>14</v>
      </c>
      <c r="I2699" s="83" t="s">
        <v>3213</v>
      </c>
      <c r="J2699" s="83" t="s">
        <v>3413</v>
      </c>
      <c r="K2699" s="83" t="s">
        <v>3215</v>
      </c>
    </row>
    <row r="2700" spans="1:11" ht="51.75" x14ac:dyDescent="0.25">
      <c r="A2700" s="83" t="s">
        <v>875</v>
      </c>
      <c r="B2700" s="83" t="s">
        <v>8980</v>
      </c>
      <c r="C2700" s="83" t="s">
        <v>8981</v>
      </c>
      <c r="D2700" s="83" t="s">
        <v>3209</v>
      </c>
      <c r="E2700" s="83" t="s">
        <v>3246</v>
      </c>
      <c r="F2700" s="83" t="s">
        <v>8982</v>
      </c>
      <c r="G2700" s="83" t="s">
        <v>5319</v>
      </c>
      <c r="H2700" s="83">
        <v>28</v>
      </c>
      <c r="I2700" s="83" t="s">
        <v>3229</v>
      </c>
      <c r="J2700" s="83" t="s">
        <v>3230</v>
      </c>
      <c r="K2700" s="83" t="s">
        <v>3215</v>
      </c>
    </row>
    <row r="2701" spans="1:11" ht="51.75" x14ac:dyDescent="0.25">
      <c r="A2701" s="83" t="s">
        <v>865</v>
      </c>
      <c r="B2701" s="83" t="s">
        <v>8983</v>
      </c>
      <c r="C2701" s="83" t="s">
        <v>8984</v>
      </c>
      <c r="D2701" s="83" t="s">
        <v>3209</v>
      </c>
      <c r="E2701" s="83" t="s">
        <v>3246</v>
      </c>
      <c r="F2701" s="83" t="s">
        <v>8985</v>
      </c>
      <c r="G2701" s="83" t="s">
        <v>3237</v>
      </c>
      <c r="H2701" s="83">
        <v>31</v>
      </c>
      <c r="I2701" s="83" t="s">
        <v>3229</v>
      </c>
      <c r="J2701" s="83" t="s">
        <v>3238</v>
      </c>
      <c r="K2701" s="83" t="s">
        <v>3215</v>
      </c>
    </row>
    <row r="2702" spans="1:11" x14ac:dyDescent="0.25">
      <c r="A2702" s="83" t="s">
        <v>8986</v>
      </c>
      <c r="B2702" s="83" t="s">
        <v>3208</v>
      </c>
      <c r="C2702" s="83" t="s">
        <v>3208</v>
      </c>
      <c r="D2702" s="83" t="s">
        <v>3209</v>
      </c>
      <c r="E2702" s="83" t="s">
        <v>3663</v>
      </c>
      <c r="F2702" s="83" t="s">
        <v>7664</v>
      </c>
      <c r="G2702" s="83" t="s">
        <v>3208</v>
      </c>
      <c r="H2702" s="83">
        <v>400</v>
      </c>
      <c r="I2702" s="83" t="s">
        <v>3208</v>
      </c>
      <c r="J2702" s="83" t="s">
        <v>3208</v>
      </c>
      <c r="K2702" s="83" t="s">
        <v>3208</v>
      </c>
    </row>
    <row r="2703" spans="1:11" x14ac:dyDescent="0.25">
      <c r="A2703" s="83" t="s">
        <v>8987</v>
      </c>
      <c r="B2703" s="83" t="s">
        <v>3208</v>
      </c>
      <c r="C2703" s="83" t="s">
        <v>3208</v>
      </c>
      <c r="D2703" s="83" t="s">
        <v>3209</v>
      </c>
      <c r="E2703" s="83" t="s">
        <v>3663</v>
      </c>
      <c r="F2703" s="83" t="s">
        <v>8988</v>
      </c>
      <c r="G2703" s="83" t="s">
        <v>8398</v>
      </c>
      <c r="H2703" s="83">
        <v>20</v>
      </c>
      <c r="I2703" s="83" t="s">
        <v>3208</v>
      </c>
      <c r="J2703" s="83" t="s">
        <v>3208</v>
      </c>
      <c r="K2703" s="83" t="s">
        <v>3208</v>
      </c>
    </row>
    <row r="2704" spans="1:11" x14ac:dyDescent="0.25">
      <c r="A2704" s="83" t="s">
        <v>8989</v>
      </c>
      <c r="B2704" s="83" t="s">
        <v>3208</v>
      </c>
      <c r="C2704" s="83" t="s">
        <v>3208</v>
      </c>
      <c r="D2704" s="83" t="s">
        <v>3209</v>
      </c>
      <c r="E2704" s="83" t="s">
        <v>3663</v>
      </c>
      <c r="F2704" s="83" t="s">
        <v>8990</v>
      </c>
      <c r="G2704" s="83" t="s">
        <v>4633</v>
      </c>
      <c r="H2704" s="83">
        <v>98</v>
      </c>
      <c r="I2704" s="83" t="s">
        <v>3208</v>
      </c>
      <c r="J2704" s="83" t="s">
        <v>3208</v>
      </c>
      <c r="K2704" s="83" t="s">
        <v>3208</v>
      </c>
    </row>
    <row r="2705" spans="1:11" x14ac:dyDescent="0.25">
      <c r="A2705" s="83" t="s">
        <v>8991</v>
      </c>
      <c r="B2705" s="83" t="s">
        <v>3208</v>
      </c>
      <c r="C2705" s="83" t="s">
        <v>3208</v>
      </c>
      <c r="D2705" s="83" t="s">
        <v>3209</v>
      </c>
      <c r="E2705" s="83" t="s">
        <v>3663</v>
      </c>
      <c r="F2705" s="83" t="s">
        <v>8992</v>
      </c>
      <c r="G2705" s="83" t="s">
        <v>8993</v>
      </c>
      <c r="H2705" s="83">
        <v>35</v>
      </c>
      <c r="I2705" s="83" t="s">
        <v>3208</v>
      </c>
      <c r="J2705" s="83" t="s">
        <v>3208</v>
      </c>
      <c r="K2705" s="83" t="s">
        <v>3208</v>
      </c>
    </row>
    <row r="2706" spans="1:11" x14ac:dyDescent="0.25">
      <c r="A2706" s="83" t="s">
        <v>8994</v>
      </c>
      <c r="B2706" s="83" t="s">
        <v>3208</v>
      </c>
      <c r="C2706" s="83" t="s">
        <v>8995</v>
      </c>
      <c r="D2706" s="83" t="s">
        <v>3752</v>
      </c>
      <c r="E2706" s="83" t="s">
        <v>3663</v>
      </c>
      <c r="F2706" s="83" t="s">
        <v>8996</v>
      </c>
      <c r="G2706" s="83" t="s">
        <v>8997</v>
      </c>
      <c r="H2706" s="83">
        <v>5.5</v>
      </c>
      <c r="I2706" s="83" t="s">
        <v>3208</v>
      </c>
      <c r="J2706" s="83" t="s">
        <v>3208</v>
      </c>
      <c r="K2706" s="83" t="s">
        <v>3208</v>
      </c>
    </row>
    <row r="2707" spans="1:11" x14ac:dyDescent="0.25">
      <c r="A2707" s="83" t="s">
        <v>8998</v>
      </c>
      <c r="B2707" s="83" t="s">
        <v>8999</v>
      </c>
      <c r="C2707" s="83" t="s">
        <v>9000</v>
      </c>
      <c r="D2707" s="83" t="s">
        <v>3209</v>
      </c>
      <c r="E2707" s="83" t="s">
        <v>3702</v>
      </c>
      <c r="F2707" s="83" t="s">
        <v>4664</v>
      </c>
      <c r="G2707" s="83" t="s">
        <v>9001</v>
      </c>
      <c r="H2707" s="83">
        <v>0</v>
      </c>
      <c r="I2707" s="83" t="s">
        <v>3208</v>
      </c>
      <c r="J2707" s="83" t="s">
        <v>3208</v>
      </c>
      <c r="K2707" s="83" t="s">
        <v>3208</v>
      </c>
    </row>
    <row r="2708" spans="1:11" ht="26.25" x14ac:dyDescent="0.25">
      <c r="A2708" s="83" t="s">
        <v>9002</v>
      </c>
      <c r="B2708" s="83" t="s">
        <v>3208</v>
      </c>
      <c r="C2708" s="83" t="s">
        <v>3208</v>
      </c>
      <c r="D2708" s="83" t="s">
        <v>3713</v>
      </c>
      <c r="E2708" s="83" t="s">
        <v>3714</v>
      </c>
      <c r="F2708" s="83" t="s">
        <v>5460</v>
      </c>
      <c r="G2708" s="83" t="s">
        <v>3208</v>
      </c>
      <c r="H2708" s="83">
        <v>0</v>
      </c>
      <c r="I2708" s="83" t="s">
        <v>3208</v>
      </c>
      <c r="J2708" s="83" t="s">
        <v>3208</v>
      </c>
      <c r="K2708" s="83" t="s">
        <v>3208</v>
      </c>
    </row>
    <row r="2709" spans="1:11" ht="26.25" x14ac:dyDescent="0.25">
      <c r="A2709" s="83" t="s">
        <v>9003</v>
      </c>
      <c r="B2709" s="83" t="s">
        <v>3208</v>
      </c>
      <c r="C2709" s="83" t="s">
        <v>3208</v>
      </c>
      <c r="D2709" s="83" t="s">
        <v>3713</v>
      </c>
      <c r="E2709" s="83" t="s">
        <v>3714</v>
      </c>
      <c r="F2709" s="83" t="s">
        <v>9004</v>
      </c>
      <c r="G2709" s="83" t="s">
        <v>9005</v>
      </c>
      <c r="H2709" s="83">
        <v>0</v>
      </c>
      <c r="I2709" s="83" t="s">
        <v>3208</v>
      </c>
      <c r="J2709" s="83" t="s">
        <v>3208</v>
      </c>
      <c r="K2709" s="83" t="s">
        <v>3208</v>
      </c>
    </row>
    <row r="2710" spans="1:11" ht="26.25" x14ac:dyDescent="0.25">
      <c r="A2710" s="83" t="s">
        <v>9006</v>
      </c>
      <c r="B2710" s="83" t="s">
        <v>3208</v>
      </c>
      <c r="C2710" s="83" t="s">
        <v>3208</v>
      </c>
      <c r="D2710" s="83" t="s">
        <v>3713</v>
      </c>
      <c r="E2710" s="83" t="s">
        <v>3714</v>
      </c>
      <c r="F2710" s="83" t="s">
        <v>5465</v>
      </c>
      <c r="G2710" s="83" t="s">
        <v>3208</v>
      </c>
      <c r="H2710" s="83">
        <v>0</v>
      </c>
      <c r="I2710" s="83" t="s">
        <v>3208</v>
      </c>
      <c r="J2710" s="83" t="s">
        <v>3208</v>
      </c>
      <c r="K2710" s="83" t="s">
        <v>3208</v>
      </c>
    </row>
    <row r="2711" spans="1:11" ht="26.25" x14ac:dyDescent="0.25">
      <c r="A2711" s="83" t="s">
        <v>9007</v>
      </c>
      <c r="B2711" s="83" t="s">
        <v>9008</v>
      </c>
      <c r="C2711" s="83" t="s">
        <v>9009</v>
      </c>
      <c r="D2711" s="83" t="s">
        <v>3209</v>
      </c>
      <c r="E2711" s="83" t="s">
        <v>3702</v>
      </c>
      <c r="F2711" s="83" t="s">
        <v>8914</v>
      </c>
      <c r="G2711" s="83" t="s">
        <v>3829</v>
      </c>
      <c r="H2711" s="83">
        <v>0</v>
      </c>
      <c r="I2711" s="83" t="s">
        <v>3208</v>
      </c>
      <c r="J2711" s="83" t="s">
        <v>3208</v>
      </c>
      <c r="K2711" s="83" t="s">
        <v>3208</v>
      </c>
    </row>
    <row r="2712" spans="1:11" x14ac:dyDescent="0.25">
      <c r="A2712" s="83" t="s">
        <v>9010</v>
      </c>
      <c r="B2712" s="83" t="s">
        <v>9011</v>
      </c>
      <c r="C2712" s="83" t="s">
        <v>3208</v>
      </c>
      <c r="D2712" s="83" t="s">
        <v>3209</v>
      </c>
      <c r="E2712" s="83" t="s">
        <v>3702</v>
      </c>
      <c r="F2712" s="83" t="s">
        <v>5468</v>
      </c>
      <c r="G2712" s="83" t="s">
        <v>5469</v>
      </c>
      <c r="H2712" s="83">
        <v>59</v>
      </c>
      <c r="I2712" s="83" t="s">
        <v>3208</v>
      </c>
      <c r="J2712" s="83" t="s">
        <v>3208</v>
      </c>
      <c r="K2712" s="83" t="s">
        <v>3208</v>
      </c>
    </row>
    <row r="2713" spans="1:11" x14ac:dyDescent="0.25">
      <c r="A2713" s="83" t="s">
        <v>9012</v>
      </c>
      <c r="B2713" s="83" t="s">
        <v>9013</v>
      </c>
      <c r="C2713" s="83" t="s">
        <v>3208</v>
      </c>
      <c r="D2713" s="83" t="s">
        <v>3209</v>
      </c>
      <c r="E2713" s="83" t="s">
        <v>3702</v>
      </c>
      <c r="F2713" s="83" t="s">
        <v>9014</v>
      </c>
      <c r="G2713" s="83" t="s">
        <v>9015</v>
      </c>
      <c r="H2713" s="83">
        <v>1</v>
      </c>
      <c r="I2713" s="83" t="s">
        <v>3208</v>
      </c>
      <c r="J2713" s="83" t="s">
        <v>3208</v>
      </c>
      <c r="K2713" s="83" t="s">
        <v>3208</v>
      </c>
    </row>
    <row r="2714" spans="1:11" x14ac:dyDescent="0.25">
      <c r="A2714" s="83" t="s">
        <v>9016</v>
      </c>
      <c r="B2714" s="83" t="s">
        <v>9017</v>
      </c>
      <c r="C2714" s="83" t="s">
        <v>3208</v>
      </c>
      <c r="D2714" s="83" t="s">
        <v>3209</v>
      </c>
      <c r="E2714" s="83" t="s">
        <v>3702</v>
      </c>
      <c r="F2714" s="83" t="s">
        <v>6383</v>
      </c>
      <c r="G2714" s="83" t="s">
        <v>3208</v>
      </c>
      <c r="H2714" s="83">
        <v>49</v>
      </c>
      <c r="I2714" s="83" t="s">
        <v>3208</v>
      </c>
      <c r="J2714" s="83" t="s">
        <v>3208</v>
      </c>
      <c r="K2714" s="83" t="s">
        <v>3208</v>
      </c>
    </row>
    <row r="2715" spans="1:11" ht="26.25" x14ac:dyDescent="0.25">
      <c r="A2715" s="83" t="s">
        <v>9018</v>
      </c>
      <c r="B2715" s="83" t="s">
        <v>3208</v>
      </c>
      <c r="C2715" s="83" t="s">
        <v>9019</v>
      </c>
      <c r="D2715" s="83" t="s">
        <v>3718</v>
      </c>
      <c r="E2715" s="83" t="s">
        <v>3702</v>
      </c>
      <c r="F2715" s="83" t="s">
        <v>9020</v>
      </c>
      <c r="G2715" s="83" t="s">
        <v>9021</v>
      </c>
      <c r="H2715" s="83">
        <v>7</v>
      </c>
      <c r="I2715" s="83" t="s">
        <v>3208</v>
      </c>
      <c r="J2715" s="83" t="s">
        <v>3208</v>
      </c>
      <c r="K2715" s="83" t="s">
        <v>3208</v>
      </c>
    </row>
    <row r="2716" spans="1:11" ht="26.25" x14ac:dyDescent="0.25">
      <c r="A2716" s="83" t="s">
        <v>9022</v>
      </c>
      <c r="B2716" s="83" t="s">
        <v>3208</v>
      </c>
      <c r="C2716" s="83" t="s">
        <v>9023</v>
      </c>
      <c r="D2716" s="83" t="s">
        <v>3718</v>
      </c>
      <c r="E2716" s="83" t="s">
        <v>3702</v>
      </c>
      <c r="F2716" s="83" t="s">
        <v>9024</v>
      </c>
      <c r="G2716" s="83" t="s">
        <v>9025</v>
      </c>
      <c r="H2716" s="83">
        <v>1.3</v>
      </c>
      <c r="I2716" s="83" t="s">
        <v>3208</v>
      </c>
      <c r="J2716" s="83" t="s">
        <v>3208</v>
      </c>
      <c r="K2716" s="83" t="s">
        <v>3208</v>
      </c>
    </row>
    <row r="2717" spans="1:11" ht="26.25" x14ac:dyDescent="0.25">
      <c r="A2717" s="83" t="s">
        <v>1900</v>
      </c>
      <c r="B2717" s="83" t="s">
        <v>3208</v>
      </c>
      <c r="C2717" s="83" t="s">
        <v>3208</v>
      </c>
      <c r="D2717" s="83" t="s">
        <v>3713</v>
      </c>
      <c r="E2717" s="83" t="s">
        <v>3761</v>
      </c>
      <c r="F2717" s="83" t="s">
        <v>3798</v>
      </c>
      <c r="G2717" s="83" t="s">
        <v>9026</v>
      </c>
      <c r="H2717" s="83">
        <v>0</v>
      </c>
      <c r="I2717" s="83" t="s">
        <v>3213</v>
      </c>
      <c r="J2717" s="83" t="s">
        <v>3948</v>
      </c>
      <c r="K2717" s="83" t="s">
        <v>3215</v>
      </c>
    </row>
    <row r="2718" spans="1:11" ht="51.75" x14ac:dyDescent="0.25">
      <c r="A2718" s="83" t="s">
        <v>559</v>
      </c>
      <c r="B2718" s="83" t="s">
        <v>3208</v>
      </c>
      <c r="C2718" s="83" t="s">
        <v>9027</v>
      </c>
      <c r="D2718" s="83" t="s">
        <v>3718</v>
      </c>
      <c r="E2718" s="83" t="s">
        <v>3727</v>
      </c>
      <c r="F2718" s="83" t="s">
        <v>9028</v>
      </c>
      <c r="G2718" s="83" t="s">
        <v>9029</v>
      </c>
      <c r="H2718" s="83">
        <v>5</v>
      </c>
      <c r="I2718" s="83" t="s">
        <v>3229</v>
      </c>
      <c r="J2718" s="83" t="s">
        <v>3371</v>
      </c>
      <c r="K2718" s="83" t="s">
        <v>3215</v>
      </c>
    </row>
    <row r="2719" spans="1:11" ht="51.75" x14ac:dyDescent="0.25">
      <c r="A2719" s="83" t="s">
        <v>689</v>
      </c>
      <c r="B2719" s="83" t="s">
        <v>3208</v>
      </c>
      <c r="C2719" s="83" t="s">
        <v>9030</v>
      </c>
      <c r="D2719" s="83" t="s">
        <v>3752</v>
      </c>
      <c r="E2719" s="83" t="s">
        <v>3723</v>
      </c>
      <c r="F2719" s="83" t="s">
        <v>3756</v>
      </c>
      <c r="G2719" s="83" t="s">
        <v>3757</v>
      </c>
      <c r="H2719" s="83">
        <v>9</v>
      </c>
      <c r="I2719" s="83" t="s">
        <v>3213</v>
      </c>
      <c r="J2719" s="83" t="s">
        <v>3538</v>
      </c>
      <c r="K2719" s="83" t="s">
        <v>3215</v>
      </c>
    </row>
    <row r="2720" spans="1:11" ht="26.25" x14ac:dyDescent="0.25">
      <c r="A2720" s="83" t="s">
        <v>1018</v>
      </c>
      <c r="B2720" s="83" t="s">
        <v>3208</v>
      </c>
      <c r="C2720" s="83" t="s">
        <v>9031</v>
      </c>
      <c r="D2720" s="83" t="s">
        <v>3752</v>
      </c>
      <c r="E2720" s="83" t="s">
        <v>3723</v>
      </c>
      <c r="F2720" s="83" t="s">
        <v>4574</v>
      </c>
      <c r="G2720" s="83" t="s">
        <v>9032</v>
      </c>
      <c r="H2720" s="83">
        <v>0</v>
      </c>
      <c r="I2720" s="83" t="s">
        <v>3213</v>
      </c>
      <c r="J2720" s="83" t="s">
        <v>3851</v>
      </c>
      <c r="K2720" s="83" t="s">
        <v>3215</v>
      </c>
    </row>
    <row r="2721" spans="1:11" ht="51.75" x14ac:dyDescent="0.25">
      <c r="A2721" s="83" t="s">
        <v>699</v>
      </c>
      <c r="B2721" s="83" t="s">
        <v>3208</v>
      </c>
      <c r="C2721" s="83" t="s">
        <v>9033</v>
      </c>
      <c r="D2721" s="83" t="s">
        <v>3718</v>
      </c>
      <c r="E2721" s="83" t="s">
        <v>3727</v>
      </c>
      <c r="F2721" s="83" t="s">
        <v>9034</v>
      </c>
      <c r="G2721" s="83" t="s">
        <v>9035</v>
      </c>
      <c r="H2721" s="83">
        <v>5</v>
      </c>
      <c r="I2721" s="83" t="s">
        <v>3229</v>
      </c>
      <c r="J2721" s="83" t="s">
        <v>3230</v>
      </c>
      <c r="K2721" s="83" t="s">
        <v>3215</v>
      </c>
    </row>
    <row r="2722" spans="1:11" ht="51.75" x14ac:dyDescent="0.25">
      <c r="A2722" s="83" t="s">
        <v>1906</v>
      </c>
      <c r="B2722" s="83" t="s">
        <v>3208</v>
      </c>
      <c r="C2722" s="83" t="s">
        <v>3208</v>
      </c>
      <c r="D2722" s="83" t="s">
        <v>3713</v>
      </c>
      <c r="E2722" s="83" t="s">
        <v>3761</v>
      </c>
      <c r="F2722" s="83" t="s">
        <v>4746</v>
      </c>
      <c r="G2722" s="83" t="s">
        <v>9036</v>
      </c>
      <c r="H2722" s="83">
        <v>0</v>
      </c>
      <c r="I2722" s="83" t="s">
        <v>3229</v>
      </c>
      <c r="J2722" s="83" t="s">
        <v>3280</v>
      </c>
      <c r="K2722" s="83" t="s">
        <v>3215</v>
      </c>
    </row>
    <row r="2723" spans="1:11" ht="26.25" x14ac:dyDescent="0.25">
      <c r="A2723" s="83" t="s">
        <v>1962</v>
      </c>
      <c r="B2723" s="83" t="s">
        <v>3208</v>
      </c>
      <c r="C2723" s="83" t="s">
        <v>3208</v>
      </c>
      <c r="D2723" s="83" t="s">
        <v>3713</v>
      </c>
      <c r="E2723" s="83" t="s">
        <v>3761</v>
      </c>
      <c r="F2723" s="83" t="s">
        <v>9037</v>
      </c>
      <c r="G2723" s="83" t="s">
        <v>4556</v>
      </c>
      <c r="H2723" s="83">
        <v>0</v>
      </c>
      <c r="I2723" s="83" t="s">
        <v>3213</v>
      </c>
      <c r="J2723" s="83" t="s">
        <v>3222</v>
      </c>
      <c r="K2723" s="83" t="s">
        <v>3215</v>
      </c>
    </row>
    <row r="2724" spans="1:11" ht="26.25" x14ac:dyDescent="0.25">
      <c r="A2724" s="83" t="s">
        <v>674</v>
      </c>
      <c r="B2724" s="83" t="s">
        <v>3208</v>
      </c>
      <c r="C2724" s="83" t="s">
        <v>9038</v>
      </c>
      <c r="D2724" s="83" t="s">
        <v>3718</v>
      </c>
      <c r="E2724" s="83" t="s">
        <v>3727</v>
      </c>
      <c r="F2724" s="83" t="s">
        <v>9039</v>
      </c>
      <c r="G2724" s="83" t="s">
        <v>9040</v>
      </c>
      <c r="H2724" s="83">
        <v>5</v>
      </c>
      <c r="I2724" s="83" t="s">
        <v>3229</v>
      </c>
      <c r="J2724" s="83" t="s">
        <v>3397</v>
      </c>
      <c r="K2724" s="83" t="s">
        <v>3215</v>
      </c>
    </row>
    <row r="2725" spans="1:11" ht="64.5" x14ac:dyDescent="0.25">
      <c r="A2725" s="83" t="s">
        <v>645</v>
      </c>
      <c r="B2725" s="83" t="s">
        <v>3208</v>
      </c>
      <c r="C2725" s="83" t="s">
        <v>9041</v>
      </c>
      <c r="D2725" s="83" t="s">
        <v>3718</v>
      </c>
      <c r="E2725" s="83" t="s">
        <v>3727</v>
      </c>
      <c r="F2725" s="83" t="s">
        <v>9042</v>
      </c>
      <c r="G2725" s="83" t="s">
        <v>9043</v>
      </c>
      <c r="H2725" s="83">
        <v>7.4</v>
      </c>
      <c r="I2725" s="83" t="s">
        <v>3213</v>
      </c>
      <c r="J2725" s="83" t="s">
        <v>3413</v>
      </c>
      <c r="K2725" s="83" t="s">
        <v>3215</v>
      </c>
    </row>
    <row r="2726" spans="1:11" ht="39" x14ac:dyDescent="0.25">
      <c r="A2726" s="83" t="s">
        <v>1907</v>
      </c>
      <c r="B2726" s="83" t="s">
        <v>3208</v>
      </c>
      <c r="C2726" s="83" t="s">
        <v>3208</v>
      </c>
      <c r="D2726" s="83" t="s">
        <v>3713</v>
      </c>
      <c r="E2726" s="83" t="s">
        <v>3761</v>
      </c>
      <c r="F2726" s="83" t="s">
        <v>3798</v>
      </c>
      <c r="G2726" s="83" t="s">
        <v>9044</v>
      </c>
      <c r="H2726" s="83">
        <v>0</v>
      </c>
      <c r="I2726" s="83" t="s">
        <v>3229</v>
      </c>
      <c r="J2726" s="83" t="s">
        <v>356</v>
      </c>
      <c r="K2726" s="83" t="s">
        <v>3215</v>
      </c>
    </row>
    <row r="2727" spans="1:11" ht="51.75" x14ac:dyDescent="0.25">
      <c r="A2727" s="83" t="s">
        <v>2134</v>
      </c>
      <c r="B2727" s="83" t="s">
        <v>3208</v>
      </c>
      <c r="C2727" s="83" t="s">
        <v>3208</v>
      </c>
      <c r="D2727" s="83" t="s">
        <v>3713</v>
      </c>
      <c r="E2727" s="83" t="s">
        <v>3761</v>
      </c>
      <c r="F2727" s="83" t="s">
        <v>3764</v>
      </c>
      <c r="G2727" s="83" t="s">
        <v>3237</v>
      </c>
      <c r="H2727" s="83">
        <v>0</v>
      </c>
      <c r="I2727" s="83" t="s">
        <v>3229</v>
      </c>
      <c r="J2727" s="83" t="s">
        <v>3230</v>
      </c>
      <c r="K2727" s="83" t="s">
        <v>3215</v>
      </c>
    </row>
    <row r="2728" spans="1:11" ht="51.75" x14ac:dyDescent="0.25">
      <c r="A2728" s="83" t="s">
        <v>2138</v>
      </c>
      <c r="B2728" s="83" t="s">
        <v>3208</v>
      </c>
      <c r="C2728" s="83" t="s">
        <v>3208</v>
      </c>
      <c r="D2728" s="83" t="s">
        <v>3713</v>
      </c>
      <c r="E2728" s="83" t="s">
        <v>3761</v>
      </c>
      <c r="F2728" s="83" t="s">
        <v>3766</v>
      </c>
      <c r="G2728" s="83" t="s">
        <v>3767</v>
      </c>
      <c r="H2728" s="83">
        <v>0</v>
      </c>
      <c r="I2728" s="83" t="s">
        <v>3229</v>
      </c>
      <c r="J2728" s="83" t="s">
        <v>3230</v>
      </c>
      <c r="K2728" s="83" t="s">
        <v>3215</v>
      </c>
    </row>
    <row r="2729" spans="1:11" ht="51.75" x14ac:dyDescent="0.25">
      <c r="A2729" s="83" t="s">
        <v>2146</v>
      </c>
      <c r="B2729" s="83" t="s">
        <v>3208</v>
      </c>
      <c r="C2729" s="83" t="s">
        <v>3208</v>
      </c>
      <c r="D2729" s="83" t="s">
        <v>3713</v>
      </c>
      <c r="E2729" s="83" t="s">
        <v>3761</v>
      </c>
      <c r="F2729" s="83" t="s">
        <v>9045</v>
      </c>
      <c r="G2729" s="83" t="s">
        <v>4298</v>
      </c>
      <c r="H2729" s="83">
        <v>0</v>
      </c>
      <c r="I2729" s="83" t="s">
        <v>3213</v>
      </c>
      <c r="J2729" s="83" t="s">
        <v>3271</v>
      </c>
      <c r="K2729" s="83" t="s">
        <v>3215</v>
      </c>
    </row>
    <row r="2730" spans="1:11" ht="64.5" x14ac:dyDescent="0.25">
      <c r="A2730" s="83" t="s">
        <v>3179</v>
      </c>
      <c r="B2730" s="83" t="s">
        <v>3208</v>
      </c>
      <c r="C2730" s="83" t="s">
        <v>3208</v>
      </c>
      <c r="D2730" s="83" t="s">
        <v>3713</v>
      </c>
      <c r="E2730" s="83" t="s">
        <v>3761</v>
      </c>
      <c r="F2730" s="83" t="s">
        <v>9046</v>
      </c>
      <c r="G2730" s="83" t="s">
        <v>8671</v>
      </c>
      <c r="H2730" s="83">
        <v>0</v>
      </c>
      <c r="I2730" s="83" t="s">
        <v>3213</v>
      </c>
      <c r="J2730" s="83" t="s">
        <v>3413</v>
      </c>
      <c r="K2730" s="83" t="s">
        <v>3215</v>
      </c>
    </row>
    <row r="2731" spans="1:11" ht="26.25" x14ac:dyDescent="0.25">
      <c r="A2731" s="83" t="s">
        <v>2154</v>
      </c>
      <c r="B2731" s="83" t="s">
        <v>3208</v>
      </c>
      <c r="C2731" s="83" t="s">
        <v>3208</v>
      </c>
      <c r="D2731" s="83" t="s">
        <v>3713</v>
      </c>
      <c r="E2731" s="83" t="s">
        <v>3761</v>
      </c>
      <c r="F2731" s="83" t="s">
        <v>6298</v>
      </c>
      <c r="G2731" s="83" t="s">
        <v>4211</v>
      </c>
      <c r="H2731" s="83">
        <v>0</v>
      </c>
      <c r="I2731" s="83" t="s">
        <v>3229</v>
      </c>
      <c r="J2731" s="83" t="s">
        <v>3311</v>
      </c>
      <c r="K2731" s="83" t="s">
        <v>3215</v>
      </c>
    </row>
    <row r="2732" spans="1:11" ht="51.75" x14ac:dyDescent="0.25">
      <c r="A2732" s="83" t="s">
        <v>2419</v>
      </c>
      <c r="B2732" s="83" t="s">
        <v>3208</v>
      </c>
      <c r="C2732" s="83" t="s">
        <v>3208</v>
      </c>
      <c r="D2732" s="83" t="s">
        <v>3713</v>
      </c>
      <c r="E2732" s="83" t="s">
        <v>3761</v>
      </c>
      <c r="F2732" s="83" t="s">
        <v>9047</v>
      </c>
      <c r="G2732" s="83" t="s">
        <v>6097</v>
      </c>
      <c r="H2732" s="83">
        <v>0</v>
      </c>
      <c r="I2732" s="83" t="s">
        <v>3229</v>
      </c>
      <c r="J2732" s="83" t="s">
        <v>3730</v>
      </c>
      <c r="K2732" s="83" t="s">
        <v>3215</v>
      </c>
    </row>
    <row r="2733" spans="1:11" ht="39" x14ac:dyDescent="0.25">
      <c r="A2733" s="83" t="s">
        <v>1807</v>
      </c>
      <c r="B2733" s="83" t="s">
        <v>3208</v>
      </c>
      <c r="C2733" s="83" t="s">
        <v>3208</v>
      </c>
      <c r="D2733" s="83" t="s">
        <v>3713</v>
      </c>
      <c r="E2733" s="83" t="s">
        <v>3761</v>
      </c>
      <c r="F2733" s="83" t="s">
        <v>9048</v>
      </c>
      <c r="G2733" s="83" t="s">
        <v>8767</v>
      </c>
      <c r="H2733" s="83">
        <v>0</v>
      </c>
      <c r="I2733" s="83" t="s">
        <v>3229</v>
      </c>
      <c r="J2733" s="83" t="s">
        <v>3241</v>
      </c>
      <c r="K2733" s="83" t="s">
        <v>3215</v>
      </c>
    </row>
    <row r="2734" spans="1:11" ht="51.75" x14ac:dyDescent="0.25">
      <c r="A2734" s="83" t="s">
        <v>2204</v>
      </c>
      <c r="B2734" s="83" t="s">
        <v>3208</v>
      </c>
      <c r="C2734" s="83" t="s">
        <v>3208</v>
      </c>
      <c r="D2734" s="83" t="s">
        <v>3713</v>
      </c>
      <c r="E2734" s="83" t="s">
        <v>3761</v>
      </c>
      <c r="F2734" s="83" t="s">
        <v>7053</v>
      </c>
      <c r="G2734" s="83" t="s">
        <v>4759</v>
      </c>
      <c r="H2734" s="83">
        <v>0</v>
      </c>
      <c r="I2734" s="83" t="s">
        <v>3229</v>
      </c>
      <c r="J2734" s="83" t="s">
        <v>3289</v>
      </c>
      <c r="K2734" s="83" t="s">
        <v>3215</v>
      </c>
    </row>
    <row r="2735" spans="1:11" ht="39" x14ac:dyDescent="0.25">
      <c r="A2735" s="83" t="s">
        <v>2210</v>
      </c>
      <c r="B2735" s="83" t="s">
        <v>3208</v>
      </c>
      <c r="C2735" s="83" t="s">
        <v>3208</v>
      </c>
      <c r="D2735" s="83" t="s">
        <v>3713</v>
      </c>
      <c r="E2735" s="83" t="s">
        <v>3761</v>
      </c>
      <c r="F2735" s="83" t="s">
        <v>9049</v>
      </c>
      <c r="G2735" s="83" t="s">
        <v>9050</v>
      </c>
      <c r="H2735" s="83">
        <v>0</v>
      </c>
      <c r="I2735" s="83" t="s">
        <v>3229</v>
      </c>
      <c r="J2735" s="83" t="s">
        <v>3241</v>
      </c>
      <c r="K2735" s="83" t="s">
        <v>3215</v>
      </c>
    </row>
    <row r="2736" spans="1:11" ht="51.75" x14ac:dyDescent="0.25">
      <c r="A2736" s="83" t="s">
        <v>1912</v>
      </c>
      <c r="B2736" s="83" t="s">
        <v>3208</v>
      </c>
      <c r="C2736" s="83" t="s">
        <v>3208</v>
      </c>
      <c r="D2736" s="83" t="s">
        <v>3713</v>
      </c>
      <c r="E2736" s="83" t="s">
        <v>3761</v>
      </c>
      <c r="F2736" s="83" t="s">
        <v>9051</v>
      </c>
      <c r="G2736" s="83" t="s">
        <v>9052</v>
      </c>
      <c r="H2736" s="83">
        <v>0</v>
      </c>
      <c r="I2736" s="83" t="s">
        <v>3229</v>
      </c>
      <c r="J2736" s="83" t="s">
        <v>3238</v>
      </c>
      <c r="K2736" s="83" t="s">
        <v>3215</v>
      </c>
    </row>
    <row r="2737" spans="1:11" ht="51.75" x14ac:dyDescent="0.25">
      <c r="A2737" s="83" t="s">
        <v>2010</v>
      </c>
      <c r="B2737" s="83" t="s">
        <v>3208</v>
      </c>
      <c r="C2737" s="83" t="s">
        <v>3208</v>
      </c>
      <c r="D2737" s="83" t="s">
        <v>3713</v>
      </c>
      <c r="E2737" s="83" t="s">
        <v>3761</v>
      </c>
      <c r="F2737" s="83" t="s">
        <v>3790</v>
      </c>
      <c r="G2737" s="83" t="s">
        <v>3791</v>
      </c>
      <c r="H2737" s="83">
        <v>0</v>
      </c>
      <c r="I2737" s="83" t="s">
        <v>3229</v>
      </c>
      <c r="J2737" s="83" t="s">
        <v>3289</v>
      </c>
      <c r="K2737" s="83" t="s">
        <v>3215</v>
      </c>
    </row>
    <row r="2738" spans="1:11" ht="51.75" x14ac:dyDescent="0.25">
      <c r="A2738" s="83" t="s">
        <v>2032</v>
      </c>
      <c r="B2738" s="83" t="s">
        <v>3208</v>
      </c>
      <c r="C2738" s="83" t="s">
        <v>3208</v>
      </c>
      <c r="D2738" s="83" t="s">
        <v>3713</v>
      </c>
      <c r="E2738" s="83" t="s">
        <v>3761</v>
      </c>
      <c r="F2738" s="83" t="s">
        <v>3792</v>
      </c>
      <c r="G2738" s="83" t="s">
        <v>3565</v>
      </c>
      <c r="H2738" s="83">
        <v>0</v>
      </c>
      <c r="I2738" s="83" t="s">
        <v>3229</v>
      </c>
      <c r="J2738" s="83" t="s">
        <v>3289</v>
      </c>
      <c r="K2738" s="83" t="s">
        <v>3215</v>
      </c>
    </row>
    <row r="2739" spans="1:11" ht="51.75" x14ac:dyDescent="0.25">
      <c r="A2739" s="83" t="s">
        <v>2033</v>
      </c>
      <c r="B2739" s="83" t="s">
        <v>3208</v>
      </c>
      <c r="C2739" s="83" t="s">
        <v>3208</v>
      </c>
      <c r="D2739" s="83" t="s">
        <v>3713</v>
      </c>
      <c r="E2739" s="83" t="s">
        <v>3761</v>
      </c>
      <c r="F2739" s="83" t="s">
        <v>3792</v>
      </c>
      <c r="G2739" s="83" t="s">
        <v>3794</v>
      </c>
      <c r="H2739" s="83">
        <v>0</v>
      </c>
      <c r="I2739" s="83" t="s">
        <v>3229</v>
      </c>
      <c r="J2739" s="83" t="s">
        <v>3230</v>
      </c>
      <c r="K2739" s="83" t="s">
        <v>3215</v>
      </c>
    </row>
    <row r="2740" spans="1:11" ht="51.75" x14ac:dyDescent="0.25">
      <c r="A2740" s="83" t="s">
        <v>1975</v>
      </c>
      <c r="B2740" s="83" t="s">
        <v>3208</v>
      </c>
      <c r="C2740" s="83" t="s">
        <v>3208</v>
      </c>
      <c r="D2740" s="83" t="s">
        <v>3713</v>
      </c>
      <c r="E2740" s="83" t="s">
        <v>3761</v>
      </c>
      <c r="F2740" s="83" t="s">
        <v>5520</v>
      </c>
      <c r="G2740" s="83" t="s">
        <v>3822</v>
      </c>
      <c r="H2740" s="83">
        <v>0</v>
      </c>
      <c r="I2740" s="83" t="s">
        <v>3213</v>
      </c>
      <c r="J2740" s="83" t="s">
        <v>3271</v>
      </c>
      <c r="K2740" s="83" t="s">
        <v>3215</v>
      </c>
    </row>
    <row r="2741" spans="1:11" ht="39" x14ac:dyDescent="0.25">
      <c r="A2741" s="83" t="s">
        <v>1802</v>
      </c>
      <c r="B2741" s="83" t="s">
        <v>3208</v>
      </c>
      <c r="C2741" s="83" t="s">
        <v>3208</v>
      </c>
      <c r="D2741" s="83" t="s">
        <v>3713</v>
      </c>
      <c r="E2741" s="83" t="s">
        <v>3761</v>
      </c>
      <c r="F2741" s="83" t="s">
        <v>9053</v>
      </c>
      <c r="G2741" s="83" t="s">
        <v>9054</v>
      </c>
      <c r="H2741" s="83">
        <v>0</v>
      </c>
      <c r="I2741" s="83" t="s">
        <v>3229</v>
      </c>
      <c r="J2741" s="83" t="s">
        <v>356</v>
      </c>
      <c r="K2741" s="83" t="s">
        <v>3215</v>
      </c>
    </row>
    <row r="2742" spans="1:11" ht="26.25" x14ac:dyDescent="0.25">
      <c r="A2742" s="83" t="s">
        <v>2084</v>
      </c>
      <c r="B2742" s="83" t="s">
        <v>3208</v>
      </c>
      <c r="C2742" s="83" t="s">
        <v>3208</v>
      </c>
      <c r="D2742" s="83" t="s">
        <v>3713</v>
      </c>
      <c r="E2742" s="83" t="s">
        <v>3761</v>
      </c>
      <c r="F2742" s="83" t="s">
        <v>3807</v>
      </c>
      <c r="G2742" s="83" t="s">
        <v>3808</v>
      </c>
      <c r="H2742" s="83">
        <v>0</v>
      </c>
      <c r="I2742" s="83" t="s">
        <v>3229</v>
      </c>
      <c r="J2742" s="83" t="s">
        <v>3311</v>
      </c>
      <c r="K2742" s="83" t="s">
        <v>3215</v>
      </c>
    </row>
    <row r="2743" spans="1:11" ht="51.75" x14ac:dyDescent="0.25">
      <c r="A2743" s="83" t="s">
        <v>2093</v>
      </c>
      <c r="B2743" s="83" t="s">
        <v>3208</v>
      </c>
      <c r="C2743" s="83" t="s">
        <v>3208</v>
      </c>
      <c r="D2743" s="83" t="s">
        <v>3713</v>
      </c>
      <c r="E2743" s="83" t="s">
        <v>3761</v>
      </c>
      <c r="F2743" s="83" t="s">
        <v>4750</v>
      </c>
      <c r="G2743" s="83" t="s">
        <v>4729</v>
      </c>
      <c r="H2743" s="83">
        <v>0</v>
      </c>
      <c r="I2743" s="83" t="s">
        <v>3229</v>
      </c>
      <c r="J2743" s="83" t="s">
        <v>3289</v>
      </c>
      <c r="K2743" s="83" t="s">
        <v>3215</v>
      </c>
    </row>
    <row r="2744" spans="1:11" ht="51.75" x14ac:dyDescent="0.25">
      <c r="A2744" s="83" t="s">
        <v>2095</v>
      </c>
      <c r="B2744" s="83" t="s">
        <v>3208</v>
      </c>
      <c r="C2744" s="83" t="s">
        <v>3208</v>
      </c>
      <c r="D2744" s="83" t="s">
        <v>3713</v>
      </c>
      <c r="E2744" s="83" t="s">
        <v>3761</v>
      </c>
      <c r="F2744" s="83" t="s">
        <v>4750</v>
      </c>
      <c r="G2744" s="83" t="s">
        <v>4729</v>
      </c>
      <c r="H2744" s="83">
        <v>0</v>
      </c>
      <c r="I2744" s="83" t="s">
        <v>3229</v>
      </c>
      <c r="J2744" s="83" t="s">
        <v>3289</v>
      </c>
      <c r="K2744" s="83" t="s">
        <v>3215</v>
      </c>
    </row>
    <row r="2745" spans="1:11" ht="51.75" x14ac:dyDescent="0.25">
      <c r="A2745" s="83" t="s">
        <v>2096</v>
      </c>
      <c r="B2745" s="83" t="s">
        <v>3208</v>
      </c>
      <c r="C2745" s="83" t="s">
        <v>3208</v>
      </c>
      <c r="D2745" s="83" t="s">
        <v>3713</v>
      </c>
      <c r="E2745" s="83" t="s">
        <v>3761</v>
      </c>
      <c r="F2745" s="83" t="s">
        <v>4750</v>
      </c>
      <c r="G2745" s="83" t="s">
        <v>4729</v>
      </c>
      <c r="H2745" s="83">
        <v>0</v>
      </c>
      <c r="I2745" s="83" t="s">
        <v>3229</v>
      </c>
      <c r="J2745" s="83" t="s">
        <v>3289</v>
      </c>
      <c r="K2745" s="83" t="s">
        <v>3215</v>
      </c>
    </row>
    <row r="2746" spans="1:11" ht="51.75" x14ac:dyDescent="0.25">
      <c r="A2746" s="83" t="s">
        <v>1783</v>
      </c>
      <c r="B2746" s="83" t="s">
        <v>3208</v>
      </c>
      <c r="C2746" s="83" t="s">
        <v>3208</v>
      </c>
      <c r="D2746" s="83" t="s">
        <v>3713</v>
      </c>
      <c r="E2746" s="83" t="s">
        <v>3761</v>
      </c>
      <c r="F2746" s="83" t="s">
        <v>9055</v>
      </c>
      <c r="G2746" s="83" t="s">
        <v>5121</v>
      </c>
      <c r="H2746" s="83">
        <v>0</v>
      </c>
      <c r="I2746" s="83" t="s">
        <v>3229</v>
      </c>
      <c r="J2746" s="83" t="s">
        <v>3337</v>
      </c>
      <c r="K2746" s="83" t="s">
        <v>3215</v>
      </c>
    </row>
    <row r="2747" spans="1:11" ht="51.75" x14ac:dyDescent="0.25">
      <c r="A2747" s="83" t="s">
        <v>1956</v>
      </c>
      <c r="B2747" s="83" t="s">
        <v>3208</v>
      </c>
      <c r="C2747" s="83" t="s">
        <v>3208</v>
      </c>
      <c r="D2747" s="83" t="s">
        <v>3713</v>
      </c>
      <c r="E2747" s="83" t="s">
        <v>3761</v>
      </c>
      <c r="F2747" s="83" t="s">
        <v>3813</v>
      </c>
      <c r="G2747" s="83" t="s">
        <v>3248</v>
      </c>
      <c r="H2747" s="83">
        <v>0</v>
      </c>
      <c r="I2747" s="83" t="s">
        <v>3229</v>
      </c>
      <c r="J2747" s="83" t="s">
        <v>3230</v>
      </c>
      <c r="K2747" s="83" t="s">
        <v>3215</v>
      </c>
    </row>
    <row r="2748" spans="1:11" ht="51.75" x14ac:dyDescent="0.25">
      <c r="A2748" s="83" t="s">
        <v>9056</v>
      </c>
      <c r="B2748" s="83" t="s">
        <v>3208</v>
      </c>
      <c r="C2748" s="83" t="s">
        <v>3208</v>
      </c>
      <c r="D2748" s="83" t="s">
        <v>3713</v>
      </c>
      <c r="E2748" s="83" t="s">
        <v>3761</v>
      </c>
      <c r="F2748" s="83" t="s">
        <v>4754</v>
      </c>
      <c r="G2748" s="83" t="s">
        <v>9057</v>
      </c>
      <c r="H2748" s="83">
        <v>0</v>
      </c>
      <c r="I2748" s="83" t="s">
        <v>3229</v>
      </c>
      <c r="J2748" s="83" t="s">
        <v>3238</v>
      </c>
      <c r="K2748" s="83" t="s">
        <v>3215</v>
      </c>
    </row>
    <row r="2749" spans="1:11" ht="77.25" x14ac:dyDescent="0.25">
      <c r="A2749" s="83" t="s">
        <v>1876</v>
      </c>
      <c r="B2749" s="83" t="s">
        <v>3208</v>
      </c>
      <c r="C2749" s="83" t="s">
        <v>3208</v>
      </c>
      <c r="D2749" s="83" t="s">
        <v>3713</v>
      </c>
      <c r="E2749" s="83" t="s">
        <v>3761</v>
      </c>
      <c r="F2749" s="83" t="s">
        <v>9058</v>
      </c>
      <c r="G2749" s="83" t="s">
        <v>9059</v>
      </c>
      <c r="H2749" s="83">
        <v>0</v>
      </c>
      <c r="I2749" s="83" t="s">
        <v>3213</v>
      </c>
      <c r="J2749" s="83" t="s">
        <v>3621</v>
      </c>
      <c r="K2749" s="83" t="s">
        <v>3215</v>
      </c>
    </row>
    <row r="2750" spans="1:11" ht="51.75" x14ac:dyDescent="0.25">
      <c r="A2750" s="83" t="s">
        <v>1856</v>
      </c>
      <c r="B2750" s="83" t="s">
        <v>3208</v>
      </c>
      <c r="C2750" s="83" t="s">
        <v>3208</v>
      </c>
      <c r="D2750" s="83" t="s">
        <v>3713</v>
      </c>
      <c r="E2750" s="83" t="s">
        <v>3761</v>
      </c>
      <c r="F2750" s="83" t="s">
        <v>9060</v>
      </c>
      <c r="G2750" s="83" t="s">
        <v>7413</v>
      </c>
      <c r="H2750" s="83">
        <v>0</v>
      </c>
      <c r="I2750" s="83" t="s">
        <v>3229</v>
      </c>
      <c r="J2750" s="83" t="s">
        <v>3337</v>
      </c>
      <c r="K2750" s="83" t="s">
        <v>3215</v>
      </c>
    </row>
    <row r="2751" spans="1:11" ht="51.75" x14ac:dyDescent="0.25">
      <c r="A2751" s="83" t="s">
        <v>2104</v>
      </c>
      <c r="B2751" s="83" t="s">
        <v>3208</v>
      </c>
      <c r="C2751" s="83" t="s">
        <v>3208</v>
      </c>
      <c r="D2751" s="83" t="s">
        <v>3713</v>
      </c>
      <c r="E2751" s="83" t="s">
        <v>3761</v>
      </c>
      <c r="F2751" s="83" t="s">
        <v>9061</v>
      </c>
      <c r="G2751" s="83" t="s">
        <v>5887</v>
      </c>
      <c r="H2751" s="83">
        <v>0</v>
      </c>
      <c r="I2751" s="83" t="s">
        <v>3213</v>
      </c>
      <c r="J2751" s="83" t="s">
        <v>3271</v>
      </c>
      <c r="K2751" s="83" t="s">
        <v>3215</v>
      </c>
    </row>
    <row r="2752" spans="1:11" ht="51.75" x14ac:dyDescent="0.25">
      <c r="A2752" s="83" t="s">
        <v>1921</v>
      </c>
      <c r="B2752" s="83" t="s">
        <v>3208</v>
      </c>
      <c r="C2752" s="83" t="s">
        <v>3208</v>
      </c>
      <c r="D2752" s="83" t="s">
        <v>3713</v>
      </c>
      <c r="E2752" s="83" t="s">
        <v>3761</v>
      </c>
      <c r="F2752" s="83" t="s">
        <v>3816</v>
      </c>
      <c r="G2752" s="83" t="s">
        <v>9062</v>
      </c>
      <c r="H2752" s="83">
        <v>0</v>
      </c>
      <c r="I2752" s="83" t="s">
        <v>3213</v>
      </c>
      <c r="J2752" s="83" t="s">
        <v>3257</v>
      </c>
      <c r="K2752" s="83" t="s">
        <v>3215</v>
      </c>
    </row>
    <row r="2753" spans="1:11" ht="51.75" x14ac:dyDescent="0.25">
      <c r="A2753" s="83" t="s">
        <v>2127</v>
      </c>
      <c r="B2753" s="83" t="s">
        <v>3208</v>
      </c>
      <c r="C2753" s="83" t="s">
        <v>3208</v>
      </c>
      <c r="D2753" s="83" t="s">
        <v>3713</v>
      </c>
      <c r="E2753" s="83" t="s">
        <v>3761</v>
      </c>
      <c r="F2753" s="83" t="s">
        <v>8401</v>
      </c>
      <c r="G2753" s="83" t="s">
        <v>3417</v>
      </c>
      <c r="H2753" s="83">
        <v>0</v>
      </c>
      <c r="I2753" s="83" t="s">
        <v>3213</v>
      </c>
      <c r="J2753" s="83" t="s">
        <v>3214</v>
      </c>
      <c r="K2753" s="83" t="s">
        <v>3215</v>
      </c>
    </row>
    <row r="2754" spans="1:11" ht="26.25" x14ac:dyDescent="0.25">
      <c r="A2754" s="83" t="s">
        <v>1931</v>
      </c>
      <c r="B2754" s="83" t="s">
        <v>3208</v>
      </c>
      <c r="C2754" s="83" t="s">
        <v>3208</v>
      </c>
      <c r="D2754" s="83" t="s">
        <v>3713</v>
      </c>
      <c r="E2754" s="83" t="s">
        <v>3761</v>
      </c>
      <c r="F2754" s="83" t="s">
        <v>4765</v>
      </c>
      <c r="G2754" s="83" t="s">
        <v>9063</v>
      </c>
      <c r="H2754" s="83">
        <v>0</v>
      </c>
      <c r="I2754" s="83" t="s">
        <v>3213</v>
      </c>
      <c r="J2754" s="83" t="s">
        <v>3851</v>
      </c>
      <c r="K2754" s="83" t="s">
        <v>3215</v>
      </c>
    </row>
    <row r="2755" spans="1:11" ht="64.5" x14ac:dyDescent="0.25">
      <c r="A2755" s="83" t="s">
        <v>2098</v>
      </c>
      <c r="B2755" s="83" t="s">
        <v>3208</v>
      </c>
      <c r="C2755" s="83" t="s">
        <v>3208</v>
      </c>
      <c r="D2755" s="83" t="s">
        <v>3713</v>
      </c>
      <c r="E2755" s="83" t="s">
        <v>3761</v>
      </c>
      <c r="F2755" s="83" t="s">
        <v>4746</v>
      </c>
      <c r="G2755" s="83" t="s">
        <v>9064</v>
      </c>
      <c r="H2755" s="83">
        <v>0</v>
      </c>
      <c r="I2755" s="83" t="s">
        <v>3213</v>
      </c>
      <c r="J2755" s="83" t="s">
        <v>3262</v>
      </c>
      <c r="K2755" s="83" t="s">
        <v>3215</v>
      </c>
    </row>
    <row r="2756" spans="1:11" ht="51.75" x14ac:dyDescent="0.25">
      <c r="A2756" s="83" t="s">
        <v>1937</v>
      </c>
      <c r="B2756" s="83" t="s">
        <v>3208</v>
      </c>
      <c r="C2756" s="83" t="s">
        <v>3208</v>
      </c>
      <c r="D2756" s="83" t="s">
        <v>3713</v>
      </c>
      <c r="E2756" s="83" t="s">
        <v>3761</v>
      </c>
      <c r="F2756" s="83" t="s">
        <v>3798</v>
      </c>
      <c r="G2756" s="83" t="s">
        <v>5536</v>
      </c>
      <c r="H2756" s="83">
        <v>0</v>
      </c>
      <c r="I2756" s="83" t="s">
        <v>3229</v>
      </c>
      <c r="J2756" s="83" t="s">
        <v>3332</v>
      </c>
      <c r="K2756" s="83" t="s">
        <v>3215</v>
      </c>
    </row>
    <row r="2757" spans="1:11" ht="51.75" x14ac:dyDescent="0.25">
      <c r="A2757" s="83" t="s">
        <v>1943</v>
      </c>
      <c r="B2757" s="83" t="s">
        <v>3208</v>
      </c>
      <c r="C2757" s="83" t="s">
        <v>3208</v>
      </c>
      <c r="D2757" s="83" t="s">
        <v>3713</v>
      </c>
      <c r="E2757" s="83" t="s">
        <v>3761</v>
      </c>
      <c r="F2757" s="83" t="s">
        <v>3798</v>
      </c>
      <c r="G2757" s="83" t="s">
        <v>5536</v>
      </c>
      <c r="H2757" s="83">
        <v>0</v>
      </c>
      <c r="I2757" s="83" t="s">
        <v>3229</v>
      </c>
      <c r="J2757" s="83" t="s">
        <v>3332</v>
      </c>
      <c r="K2757" s="83" t="s">
        <v>3215</v>
      </c>
    </row>
    <row r="2758" spans="1:11" ht="51.75" x14ac:dyDescent="0.25">
      <c r="A2758" s="83" t="s">
        <v>1944</v>
      </c>
      <c r="B2758" s="83" t="s">
        <v>3208</v>
      </c>
      <c r="C2758" s="83" t="s">
        <v>3208</v>
      </c>
      <c r="D2758" s="83" t="s">
        <v>3713</v>
      </c>
      <c r="E2758" s="83" t="s">
        <v>3761</v>
      </c>
      <c r="F2758" s="83" t="s">
        <v>3798</v>
      </c>
      <c r="G2758" s="83" t="s">
        <v>5536</v>
      </c>
      <c r="H2758" s="83">
        <v>0</v>
      </c>
      <c r="I2758" s="83" t="s">
        <v>3229</v>
      </c>
      <c r="J2758" s="83" t="s">
        <v>3332</v>
      </c>
      <c r="K2758" s="83" t="s">
        <v>3215</v>
      </c>
    </row>
    <row r="2759" spans="1:11" ht="51.75" x14ac:dyDescent="0.25">
      <c r="A2759" s="83" t="s">
        <v>587</v>
      </c>
      <c r="B2759" s="83" t="s">
        <v>3208</v>
      </c>
      <c r="C2759" s="83" t="s">
        <v>9065</v>
      </c>
      <c r="D2759" s="83" t="s">
        <v>3718</v>
      </c>
      <c r="E2759" s="83" t="s">
        <v>3727</v>
      </c>
      <c r="F2759" s="83" t="s">
        <v>5579</v>
      </c>
      <c r="G2759" s="83" t="s">
        <v>6379</v>
      </c>
      <c r="H2759" s="83">
        <v>10</v>
      </c>
      <c r="I2759" s="83" t="s">
        <v>3229</v>
      </c>
      <c r="J2759" s="83" t="s">
        <v>3371</v>
      </c>
      <c r="K2759" s="83" t="s">
        <v>3215</v>
      </c>
    </row>
    <row r="2760" spans="1:11" ht="64.5" x14ac:dyDescent="0.25">
      <c r="A2760" s="83" t="s">
        <v>803</v>
      </c>
      <c r="B2760" s="83" t="s">
        <v>3208</v>
      </c>
      <c r="C2760" s="83" t="s">
        <v>4961</v>
      </c>
      <c r="D2760" s="83" t="s">
        <v>3718</v>
      </c>
      <c r="E2760" s="83" t="s">
        <v>3727</v>
      </c>
      <c r="F2760" s="83" t="s">
        <v>9066</v>
      </c>
      <c r="G2760" s="83" t="s">
        <v>6635</v>
      </c>
      <c r="H2760" s="83">
        <v>5</v>
      </c>
      <c r="I2760" s="83" t="s">
        <v>3213</v>
      </c>
      <c r="J2760" s="83" t="s">
        <v>3219</v>
      </c>
      <c r="K2760" s="83" t="s">
        <v>3215</v>
      </c>
    </row>
    <row r="2761" spans="1:11" x14ac:dyDescent="0.25">
      <c r="A2761" s="83" t="s">
        <v>9067</v>
      </c>
      <c r="B2761" s="83" t="s">
        <v>9068</v>
      </c>
      <c r="C2761" s="83" t="s">
        <v>9069</v>
      </c>
      <c r="D2761" s="83" t="s">
        <v>3209</v>
      </c>
      <c r="E2761" s="83" t="s">
        <v>3702</v>
      </c>
      <c r="F2761" s="83" t="s">
        <v>6323</v>
      </c>
      <c r="G2761" s="83" t="s">
        <v>6324</v>
      </c>
      <c r="H2761" s="83">
        <v>19</v>
      </c>
      <c r="I2761" s="83" t="s">
        <v>3208</v>
      </c>
      <c r="J2761" s="83" t="s">
        <v>3208</v>
      </c>
      <c r="K2761" s="83" t="s">
        <v>3208</v>
      </c>
    </row>
    <row r="2762" spans="1:11" ht="26.25" x14ac:dyDescent="0.25">
      <c r="A2762" s="83" t="s">
        <v>9070</v>
      </c>
      <c r="B2762" s="83" t="s">
        <v>3208</v>
      </c>
      <c r="C2762" s="83" t="s">
        <v>3208</v>
      </c>
      <c r="D2762" s="83" t="s">
        <v>3713</v>
      </c>
      <c r="E2762" s="83" t="s">
        <v>3714</v>
      </c>
      <c r="F2762" s="83" t="s">
        <v>3875</v>
      </c>
      <c r="G2762" s="83" t="s">
        <v>9071</v>
      </c>
      <c r="H2762" s="83">
        <v>0</v>
      </c>
      <c r="I2762" s="83" t="s">
        <v>3208</v>
      </c>
      <c r="J2762" s="83" t="s">
        <v>3208</v>
      </c>
      <c r="K2762" s="83" t="s">
        <v>3208</v>
      </c>
    </row>
    <row r="2763" spans="1:11" ht="26.25" x14ac:dyDescent="0.25">
      <c r="A2763" s="83" t="s">
        <v>9072</v>
      </c>
      <c r="B2763" s="83" t="s">
        <v>3208</v>
      </c>
      <c r="C2763" s="83" t="s">
        <v>3208</v>
      </c>
      <c r="D2763" s="83" t="s">
        <v>3209</v>
      </c>
      <c r="E2763" s="83" t="s">
        <v>3663</v>
      </c>
      <c r="F2763" s="83" t="s">
        <v>6376</v>
      </c>
      <c r="G2763" s="83" t="s">
        <v>6377</v>
      </c>
      <c r="H2763" s="83">
        <v>1200</v>
      </c>
      <c r="I2763" s="83" t="s">
        <v>3208</v>
      </c>
      <c r="J2763" s="83" t="s">
        <v>3208</v>
      </c>
      <c r="K2763" s="83" t="s">
        <v>3208</v>
      </c>
    </row>
    <row r="2764" spans="1:11" x14ac:dyDescent="0.25">
      <c r="A2764" s="83" t="s">
        <v>9073</v>
      </c>
      <c r="B2764" s="83" t="s">
        <v>3472</v>
      </c>
      <c r="C2764" s="83" t="s">
        <v>9074</v>
      </c>
      <c r="D2764" s="83" t="s">
        <v>3209</v>
      </c>
      <c r="E2764" s="83" t="s">
        <v>3702</v>
      </c>
      <c r="F2764" s="83" t="s">
        <v>3474</v>
      </c>
      <c r="G2764" s="83" t="s">
        <v>9075</v>
      </c>
      <c r="H2764" s="83">
        <v>0</v>
      </c>
      <c r="I2764" s="83" t="s">
        <v>3208</v>
      </c>
      <c r="J2764" s="83" t="s">
        <v>3208</v>
      </c>
      <c r="K2764" s="83" t="s">
        <v>3208</v>
      </c>
    </row>
    <row r="2765" spans="1:11" ht="51.75" x14ac:dyDescent="0.25">
      <c r="A2765" s="83" t="s">
        <v>2804</v>
      </c>
      <c r="B2765" s="83" t="s">
        <v>3208</v>
      </c>
      <c r="C2765" s="83" t="s">
        <v>3208</v>
      </c>
      <c r="D2765" s="83" t="s">
        <v>3713</v>
      </c>
      <c r="E2765" s="83" t="s">
        <v>3761</v>
      </c>
      <c r="F2765" s="83" t="s">
        <v>9076</v>
      </c>
      <c r="G2765" s="83" t="s">
        <v>6593</v>
      </c>
      <c r="H2765" s="83">
        <v>0</v>
      </c>
      <c r="I2765" s="83" t="s">
        <v>3229</v>
      </c>
      <c r="J2765" s="83" t="s">
        <v>3332</v>
      </c>
      <c r="K2765" s="83" t="s">
        <v>3215</v>
      </c>
    </row>
    <row r="2766" spans="1:11" ht="51.75" x14ac:dyDescent="0.25">
      <c r="A2766" s="83" t="s">
        <v>615</v>
      </c>
      <c r="B2766" s="83" t="s">
        <v>9077</v>
      </c>
      <c r="C2766" s="83" t="s">
        <v>3208</v>
      </c>
      <c r="D2766" s="83" t="s">
        <v>3209</v>
      </c>
      <c r="E2766" s="83" t="s">
        <v>3226</v>
      </c>
      <c r="F2766" s="83" t="s">
        <v>9078</v>
      </c>
      <c r="G2766" s="83" t="s">
        <v>9079</v>
      </c>
      <c r="H2766" s="83">
        <v>30</v>
      </c>
      <c r="I2766" s="83" t="s">
        <v>3213</v>
      </c>
      <c r="J2766" s="83" t="s">
        <v>3271</v>
      </c>
      <c r="K2766" s="83" t="s">
        <v>3215</v>
      </c>
    </row>
    <row r="2767" spans="1:11" ht="26.25" x14ac:dyDescent="0.25">
      <c r="A2767" s="83" t="s">
        <v>2569</v>
      </c>
      <c r="B2767" s="83" t="s">
        <v>3208</v>
      </c>
      <c r="C2767" s="83" t="s">
        <v>3208</v>
      </c>
      <c r="D2767" s="83" t="s">
        <v>3713</v>
      </c>
      <c r="E2767" s="83" t="s">
        <v>3761</v>
      </c>
      <c r="F2767" s="83" t="s">
        <v>8538</v>
      </c>
      <c r="G2767" s="83" t="s">
        <v>8392</v>
      </c>
      <c r="H2767" s="83">
        <v>0</v>
      </c>
      <c r="I2767" s="83" t="s">
        <v>3229</v>
      </c>
      <c r="J2767" s="83" t="s">
        <v>3222</v>
      </c>
      <c r="K2767" s="83" t="s">
        <v>3215</v>
      </c>
    </row>
    <row r="2768" spans="1:11" ht="26.25" x14ac:dyDescent="0.25">
      <c r="A2768" s="83" t="s">
        <v>9080</v>
      </c>
      <c r="B2768" s="83" t="s">
        <v>3208</v>
      </c>
      <c r="C2768" s="83" t="s">
        <v>3208</v>
      </c>
      <c r="D2768" s="83" t="s">
        <v>3713</v>
      </c>
      <c r="E2768" s="83" t="s">
        <v>3714</v>
      </c>
      <c r="F2768" s="83" t="s">
        <v>9081</v>
      </c>
      <c r="G2768" s="83" t="s">
        <v>9082</v>
      </c>
      <c r="H2768" s="83">
        <v>0</v>
      </c>
      <c r="I2768" s="83" t="s">
        <v>3208</v>
      </c>
      <c r="J2768" s="83" t="s">
        <v>3208</v>
      </c>
      <c r="K2768" s="83" t="s">
        <v>3208</v>
      </c>
    </row>
    <row r="2769" spans="1:11" x14ac:dyDescent="0.25">
      <c r="A2769" s="83" t="s">
        <v>9083</v>
      </c>
      <c r="B2769" s="83" t="s">
        <v>9084</v>
      </c>
      <c r="C2769" s="83" t="s">
        <v>3208</v>
      </c>
      <c r="D2769" s="83" t="s">
        <v>3209</v>
      </c>
      <c r="E2769" s="83" t="s">
        <v>3702</v>
      </c>
      <c r="F2769" s="83" t="s">
        <v>7771</v>
      </c>
      <c r="G2769" s="83" t="s">
        <v>7772</v>
      </c>
      <c r="H2769" s="83">
        <v>49</v>
      </c>
      <c r="I2769" s="83" t="s">
        <v>3208</v>
      </c>
      <c r="J2769" s="83" t="s">
        <v>3208</v>
      </c>
      <c r="K2769" s="83" t="s">
        <v>3208</v>
      </c>
    </row>
    <row r="2770" spans="1:11" ht="26.25" x14ac:dyDescent="0.25">
      <c r="A2770" s="83" t="s">
        <v>9085</v>
      </c>
      <c r="B2770" s="83" t="s">
        <v>3208</v>
      </c>
      <c r="C2770" s="83" t="s">
        <v>3208</v>
      </c>
      <c r="D2770" s="83" t="s">
        <v>3713</v>
      </c>
      <c r="E2770" s="83" t="s">
        <v>3714</v>
      </c>
      <c r="F2770" s="83" t="s">
        <v>8443</v>
      </c>
      <c r="G2770" s="83" t="s">
        <v>9086</v>
      </c>
      <c r="H2770" s="83">
        <v>0</v>
      </c>
      <c r="I2770" s="83" t="s">
        <v>3208</v>
      </c>
      <c r="J2770" s="83" t="s">
        <v>3208</v>
      </c>
      <c r="K2770" s="83" t="s">
        <v>3208</v>
      </c>
    </row>
    <row r="2771" spans="1:11" ht="51.75" x14ac:dyDescent="0.25">
      <c r="A2771" s="83" t="s">
        <v>2390</v>
      </c>
      <c r="B2771" s="83" t="s">
        <v>3208</v>
      </c>
      <c r="C2771" s="83" t="s">
        <v>3208</v>
      </c>
      <c r="D2771" s="83" t="s">
        <v>3713</v>
      </c>
      <c r="E2771" s="83" t="s">
        <v>3761</v>
      </c>
      <c r="F2771" s="83" t="s">
        <v>3854</v>
      </c>
      <c r="G2771" s="83" t="s">
        <v>6333</v>
      </c>
      <c r="H2771" s="83">
        <v>0</v>
      </c>
      <c r="I2771" s="83" t="s">
        <v>3229</v>
      </c>
      <c r="J2771" s="83" t="s">
        <v>3238</v>
      </c>
      <c r="K2771" s="83" t="s">
        <v>3215</v>
      </c>
    </row>
    <row r="2772" spans="1:11" x14ac:dyDescent="0.25">
      <c r="A2772" s="83" t="s">
        <v>9087</v>
      </c>
      <c r="B2772" s="83" t="s">
        <v>3208</v>
      </c>
      <c r="C2772" s="83" t="s">
        <v>3208</v>
      </c>
      <c r="D2772" s="83" t="s">
        <v>3209</v>
      </c>
      <c r="E2772" s="83" t="s">
        <v>3663</v>
      </c>
      <c r="F2772" s="83" t="s">
        <v>9088</v>
      </c>
      <c r="G2772" s="83" t="s">
        <v>9089</v>
      </c>
      <c r="H2772" s="83">
        <v>15</v>
      </c>
      <c r="I2772" s="83" t="s">
        <v>3208</v>
      </c>
      <c r="J2772" s="83" t="s">
        <v>3208</v>
      </c>
      <c r="K2772" s="83" t="s">
        <v>3208</v>
      </c>
    </row>
    <row r="2773" spans="1:11" ht="26.25" x14ac:dyDescent="0.25">
      <c r="A2773" s="83" t="s">
        <v>565</v>
      </c>
      <c r="B2773" s="83" t="s">
        <v>3208</v>
      </c>
      <c r="C2773" s="83" t="s">
        <v>9090</v>
      </c>
      <c r="D2773" s="83" t="s">
        <v>3741</v>
      </c>
      <c r="E2773" s="83" t="s">
        <v>3727</v>
      </c>
      <c r="F2773" s="83" t="s">
        <v>3864</v>
      </c>
      <c r="G2773" s="83" t="s">
        <v>3808</v>
      </c>
      <c r="H2773" s="83">
        <v>10</v>
      </c>
      <c r="I2773" s="83" t="s">
        <v>3229</v>
      </c>
      <c r="J2773" s="83" t="s">
        <v>3311</v>
      </c>
      <c r="K2773" s="83" t="s">
        <v>3215</v>
      </c>
    </row>
    <row r="2774" spans="1:11" ht="51.75" x14ac:dyDescent="0.25">
      <c r="A2774" s="83" t="s">
        <v>727</v>
      </c>
      <c r="B2774" s="83" t="s">
        <v>3208</v>
      </c>
      <c r="C2774" s="83" t="s">
        <v>9091</v>
      </c>
      <c r="D2774" s="83" t="s">
        <v>3718</v>
      </c>
      <c r="E2774" s="83" t="s">
        <v>3727</v>
      </c>
      <c r="F2774" s="83" t="s">
        <v>5585</v>
      </c>
      <c r="G2774" s="83" t="s">
        <v>9092</v>
      </c>
      <c r="H2774" s="83">
        <v>1</v>
      </c>
      <c r="I2774" s="83" t="s">
        <v>3229</v>
      </c>
      <c r="J2774" s="83" t="s">
        <v>3371</v>
      </c>
      <c r="K2774" s="83" t="s">
        <v>3215</v>
      </c>
    </row>
    <row r="2775" spans="1:11" ht="51.75" x14ac:dyDescent="0.25">
      <c r="A2775" s="83" t="s">
        <v>2197</v>
      </c>
      <c r="B2775" s="83" t="s">
        <v>3208</v>
      </c>
      <c r="C2775" s="83" t="s">
        <v>3208</v>
      </c>
      <c r="D2775" s="83" t="s">
        <v>3713</v>
      </c>
      <c r="E2775" s="83" t="s">
        <v>3761</v>
      </c>
      <c r="F2775" s="83" t="s">
        <v>3785</v>
      </c>
      <c r="G2775" s="83" t="s">
        <v>8855</v>
      </c>
      <c r="H2775" s="83">
        <v>0</v>
      </c>
      <c r="I2775" s="83" t="s">
        <v>3229</v>
      </c>
      <c r="J2775" s="83" t="s">
        <v>3337</v>
      </c>
      <c r="K2775" s="83" t="s">
        <v>3215</v>
      </c>
    </row>
    <row r="2776" spans="1:11" ht="26.25" x14ac:dyDescent="0.25">
      <c r="A2776" s="83" t="s">
        <v>510</v>
      </c>
      <c r="B2776" s="83" t="s">
        <v>3208</v>
      </c>
      <c r="C2776" s="83" t="s">
        <v>9093</v>
      </c>
      <c r="D2776" s="83" t="s">
        <v>3741</v>
      </c>
      <c r="E2776" s="83" t="s">
        <v>3727</v>
      </c>
      <c r="F2776" s="83" t="s">
        <v>9094</v>
      </c>
      <c r="G2776" s="83" t="s">
        <v>9095</v>
      </c>
      <c r="H2776" s="83">
        <v>9</v>
      </c>
      <c r="I2776" s="83" t="s">
        <v>3213</v>
      </c>
      <c r="J2776" s="83" t="s">
        <v>3851</v>
      </c>
      <c r="K2776" s="83" t="s">
        <v>3215</v>
      </c>
    </row>
    <row r="2777" spans="1:11" ht="51.75" x14ac:dyDescent="0.25">
      <c r="A2777" s="83" t="s">
        <v>2375</v>
      </c>
      <c r="B2777" s="83" t="s">
        <v>3208</v>
      </c>
      <c r="C2777" s="83" t="s">
        <v>3208</v>
      </c>
      <c r="D2777" s="83" t="s">
        <v>3713</v>
      </c>
      <c r="E2777" s="83" t="s">
        <v>3761</v>
      </c>
      <c r="F2777" s="83" t="s">
        <v>3854</v>
      </c>
      <c r="G2777" s="83" t="s">
        <v>3858</v>
      </c>
      <c r="H2777" s="83">
        <v>0</v>
      </c>
      <c r="I2777" s="83" t="s">
        <v>3229</v>
      </c>
      <c r="J2777" s="83" t="s">
        <v>3238</v>
      </c>
      <c r="K2777" s="83" t="s">
        <v>3215</v>
      </c>
    </row>
    <row r="2778" spans="1:11" ht="51.75" x14ac:dyDescent="0.25">
      <c r="A2778" s="83" t="s">
        <v>724</v>
      </c>
      <c r="B2778" s="83" t="s">
        <v>3208</v>
      </c>
      <c r="C2778" s="83" t="s">
        <v>3208</v>
      </c>
      <c r="D2778" s="83" t="s">
        <v>3209</v>
      </c>
      <c r="E2778" s="83" t="s">
        <v>3210</v>
      </c>
      <c r="F2778" s="83" t="s">
        <v>9096</v>
      </c>
      <c r="G2778" s="83" t="s">
        <v>5650</v>
      </c>
      <c r="H2778" s="83">
        <v>10</v>
      </c>
      <c r="I2778" s="83" t="s">
        <v>3229</v>
      </c>
      <c r="J2778" s="83" t="s">
        <v>4399</v>
      </c>
      <c r="K2778" s="83" t="s">
        <v>3215</v>
      </c>
    </row>
    <row r="2779" spans="1:11" ht="26.25" x14ac:dyDescent="0.25">
      <c r="A2779" s="83" t="s">
        <v>9097</v>
      </c>
      <c r="B2779" s="83" t="s">
        <v>3208</v>
      </c>
      <c r="C2779" s="83" t="s">
        <v>3208</v>
      </c>
      <c r="D2779" s="83" t="s">
        <v>3741</v>
      </c>
      <c r="E2779" s="83" t="s">
        <v>4248</v>
      </c>
      <c r="F2779" s="83" t="s">
        <v>9098</v>
      </c>
      <c r="G2779" s="83" t="s">
        <v>9099</v>
      </c>
      <c r="H2779" s="83">
        <v>3</v>
      </c>
      <c r="I2779" s="83" t="s">
        <v>3208</v>
      </c>
      <c r="J2779" s="83" t="s">
        <v>3208</v>
      </c>
      <c r="K2779" s="83" t="s">
        <v>3208</v>
      </c>
    </row>
    <row r="2780" spans="1:11" ht="26.25" x14ac:dyDescent="0.25">
      <c r="A2780" s="83" t="s">
        <v>9100</v>
      </c>
      <c r="B2780" s="83" t="s">
        <v>3208</v>
      </c>
      <c r="C2780" s="83" t="s">
        <v>3208</v>
      </c>
      <c r="D2780" s="83" t="s">
        <v>3713</v>
      </c>
      <c r="E2780" s="83" t="s">
        <v>3714</v>
      </c>
      <c r="F2780" s="83" t="s">
        <v>3909</v>
      </c>
      <c r="G2780" s="83" t="s">
        <v>3910</v>
      </c>
      <c r="H2780" s="83">
        <v>0</v>
      </c>
      <c r="I2780" s="83" t="s">
        <v>3208</v>
      </c>
      <c r="J2780" s="83" t="s">
        <v>3208</v>
      </c>
      <c r="K2780" s="83" t="s">
        <v>3208</v>
      </c>
    </row>
    <row r="2781" spans="1:11" ht="26.25" x14ac:dyDescent="0.25">
      <c r="A2781" s="83" t="s">
        <v>643</v>
      </c>
      <c r="B2781" s="83" t="s">
        <v>3208</v>
      </c>
      <c r="C2781" s="83" t="s">
        <v>9101</v>
      </c>
      <c r="D2781" s="83" t="s">
        <v>3718</v>
      </c>
      <c r="E2781" s="83" t="s">
        <v>3727</v>
      </c>
      <c r="F2781" s="83" t="s">
        <v>9102</v>
      </c>
      <c r="G2781" s="83" t="s">
        <v>9103</v>
      </c>
      <c r="H2781" s="83">
        <v>1.7</v>
      </c>
      <c r="I2781" s="83" t="s">
        <v>3229</v>
      </c>
      <c r="J2781" s="83" t="s">
        <v>3397</v>
      </c>
      <c r="K2781" s="83" t="s">
        <v>3215</v>
      </c>
    </row>
    <row r="2782" spans="1:11" x14ac:dyDescent="0.25">
      <c r="A2782" s="83" t="s">
        <v>9104</v>
      </c>
      <c r="B2782" s="83" t="s">
        <v>9105</v>
      </c>
      <c r="C2782" s="83" t="s">
        <v>9106</v>
      </c>
      <c r="D2782" s="83" t="s">
        <v>3209</v>
      </c>
      <c r="E2782" s="83" t="s">
        <v>3702</v>
      </c>
      <c r="F2782" s="83" t="s">
        <v>9107</v>
      </c>
      <c r="G2782" s="83" t="s">
        <v>3542</v>
      </c>
      <c r="H2782" s="83">
        <v>12</v>
      </c>
      <c r="I2782" s="83" t="s">
        <v>3208</v>
      </c>
      <c r="J2782" s="83" t="s">
        <v>3208</v>
      </c>
      <c r="K2782" s="83" t="s">
        <v>3208</v>
      </c>
    </row>
    <row r="2783" spans="1:11" ht="26.25" x14ac:dyDescent="0.25">
      <c r="A2783" s="83" t="s">
        <v>9108</v>
      </c>
      <c r="B2783" s="83" t="s">
        <v>3208</v>
      </c>
      <c r="C2783" s="83" t="s">
        <v>3208</v>
      </c>
      <c r="D2783" s="83" t="s">
        <v>3713</v>
      </c>
      <c r="E2783" s="83" t="s">
        <v>3714</v>
      </c>
      <c r="F2783" s="83" t="s">
        <v>9109</v>
      </c>
      <c r="G2783" s="83" t="s">
        <v>9110</v>
      </c>
      <c r="H2783" s="83">
        <v>0</v>
      </c>
      <c r="I2783" s="83" t="s">
        <v>3213</v>
      </c>
      <c r="J2783" s="83" t="s">
        <v>3222</v>
      </c>
      <c r="K2783" s="83" t="s">
        <v>3215</v>
      </c>
    </row>
    <row r="2784" spans="1:11" ht="77.25" x14ac:dyDescent="0.25">
      <c r="A2784" s="83" t="s">
        <v>543</v>
      </c>
      <c r="B2784" s="83" t="s">
        <v>3208</v>
      </c>
      <c r="C2784" s="83" t="s">
        <v>3208</v>
      </c>
      <c r="D2784" s="83" t="s">
        <v>3209</v>
      </c>
      <c r="E2784" s="83" t="s">
        <v>3210</v>
      </c>
      <c r="F2784" s="83" t="s">
        <v>3884</v>
      </c>
      <c r="G2784" s="83" t="s">
        <v>3885</v>
      </c>
      <c r="H2784" s="83">
        <v>3400</v>
      </c>
      <c r="I2784" s="83" t="s">
        <v>3213</v>
      </c>
      <c r="J2784" s="83" t="s">
        <v>3621</v>
      </c>
      <c r="K2784" s="83" t="s">
        <v>3215</v>
      </c>
    </row>
    <row r="2785" spans="1:11" ht="64.5" x14ac:dyDescent="0.25">
      <c r="A2785" s="83" t="s">
        <v>9111</v>
      </c>
      <c r="B2785" s="83" t="s">
        <v>3208</v>
      </c>
      <c r="C2785" s="83" t="s">
        <v>9112</v>
      </c>
      <c r="D2785" s="83" t="s">
        <v>3718</v>
      </c>
      <c r="E2785" s="83" t="s">
        <v>3727</v>
      </c>
      <c r="F2785" s="83" t="s">
        <v>9113</v>
      </c>
      <c r="G2785" s="83" t="s">
        <v>6316</v>
      </c>
      <c r="H2785" s="83">
        <v>10</v>
      </c>
      <c r="I2785" s="83" t="s">
        <v>3213</v>
      </c>
      <c r="J2785" s="83" t="s">
        <v>3413</v>
      </c>
      <c r="K2785" s="83" t="s">
        <v>3215</v>
      </c>
    </row>
    <row r="2786" spans="1:11" x14ac:dyDescent="0.25">
      <c r="A2786" s="83" t="s">
        <v>9114</v>
      </c>
      <c r="B2786" s="83" t="s">
        <v>3208</v>
      </c>
      <c r="C2786" s="83" t="s">
        <v>3208</v>
      </c>
      <c r="D2786" s="83" t="s">
        <v>3209</v>
      </c>
      <c r="E2786" s="83" t="s">
        <v>3663</v>
      </c>
      <c r="F2786" s="83" t="s">
        <v>4832</v>
      </c>
      <c r="G2786" s="83" t="s">
        <v>4833</v>
      </c>
      <c r="H2786" s="83">
        <v>2235</v>
      </c>
      <c r="I2786" s="83" t="s">
        <v>3208</v>
      </c>
      <c r="J2786" s="83" t="s">
        <v>3208</v>
      </c>
      <c r="K2786" s="83" t="s">
        <v>3208</v>
      </c>
    </row>
    <row r="2787" spans="1:11" ht="51.75" x14ac:dyDescent="0.25">
      <c r="A2787" s="83" t="s">
        <v>488</v>
      </c>
      <c r="B2787" s="83" t="s">
        <v>3208</v>
      </c>
      <c r="C2787" s="83" t="s">
        <v>9115</v>
      </c>
      <c r="D2787" s="83" t="s">
        <v>3718</v>
      </c>
      <c r="E2787" s="83" t="s">
        <v>3727</v>
      </c>
      <c r="F2787" s="83" t="s">
        <v>9116</v>
      </c>
      <c r="G2787" s="83" t="s">
        <v>9117</v>
      </c>
      <c r="H2787" s="83">
        <v>10</v>
      </c>
      <c r="I2787" s="83" t="s">
        <v>3229</v>
      </c>
      <c r="J2787" s="83" t="s">
        <v>3238</v>
      </c>
      <c r="K2787" s="83" t="s">
        <v>3215</v>
      </c>
    </row>
    <row r="2788" spans="1:11" ht="77.25" x14ac:dyDescent="0.25">
      <c r="A2788" s="83" t="s">
        <v>475</v>
      </c>
      <c r="B2788" s="83" t="s">
        <v>3208</v>
      </c>
      <c r="C2788" s="83" t="s">
        <v>3208</v>
      </c>
      <c r="D2788" s="83" t="s">
        <v>3209</v>
      </c>
      <c r="E2788" s="83" t="s">
        <v>3210</v>
      </c>
      <c r="F2788" s="83" t="s">
        <v>7786</v>
      </c>
      <c r="G2788" s="83" t="s">
        <v>9118</v>
      </c>
      <c r="H2788" s="83">
        <v>14.8</v>
      </c>
      <c r="I2788" s="83" t="s">
        <v>3213</v>
      </c>
      <c r="J2788" s="83" t="s">
        <v>9119</v>
      </c>
      <c r="K2788" s="83" t="s">
        <v>3215</v>
      </c>
    </row>
    <row r="2789" spans="1:11" ht="26.25" x14ac:dyDescent="0.25">
      <c r="A2789" s="83" t="s">
        <v>478</v>
      </c>
      <c r="B2789" s="83" t="s">
        <v>3208</v>
      </c>
      <c r="C2789" s="83" t="s">
        <v>9120</v>
      </c>
      <c r="D2789" s="83" t="s">
        <v>3741</v>
      </c>
      <c r="E2789" s="83" t="s">
        <v>3727</v>
      </c>
      <c r="F2789" s="83" t="s">
        <v>9121</v>
      </c>
      <c r="G2789" s="83" t="s">
        <v>9122</v>
      </c>
      <c r="H2789" s="83">
        <v>0.8</v>
      </c>
      <c r="I2789" s="83" t="s">
        <v>3213</v>
      </c>
      <c r="J2789" s="83" t="s">
        <v>3948</v>
      </c>
      <c r="K2789" s="83" t="s">
        <v>3215</v>
      </c>
    </row>
    <row r="2790" spans="1:11" ht="39" x14ac:dyDescent="0.25">
      <c r="A2790" s="83" t="s">
        <v>1488</v>
      </c>
      <c r="B2790" s="83" t="s">
        <v>9123</v>
      </c>
      <c r="C2790" s="83" t="s">
        <v>9124</v>
      </c>
      <c r="D2790" s="83" t="s">
        <v>3209</v>
      </c>
      <c r="E2790" s="83" t="s">
        <v>3246</v>
      </c>
      <c r="F2790" s="83" t="s">
        <v>5798</v>
      </c>
      <c r="G2790" s="83" t="s">
        <v>6440</v>
      </c>
      <c r="H2790" s="83">
        <v>140.69999999999999</v>
      </c>
      <c r="I2790" s="83" t="s">
        <v>3229</v>
      </c>
      <c r="J2790" s="83" t="s">
        <v>3241</v>
      </c>
      <c r="K2790" s="83" t="s">
        <v>3215</v>
      </c>
    </row>
    <row r="2791" spans="1:11" ht="51.75" x14ac:dyDescent="0.25">
      <c r="A2791" s="83" t="s">
        <v>739</v>
      </c>
      <c r="B2791" s="83" t="s">
        <v>3208</v>
      </c>
      <c r="C2791" s="83" t="s">
        <v>3208</v>
      </c>
      <c r="D2791" s="83" t="s">
        <v>3209</v>
      </c>
      <c r="E2791" s="83" t="s">
        <v>3210</v>
      </c>
      <c r="F2791" s="83" t="s">
        <v>3859</v>
      </c>
      <c r="G2791" s="83" t="s">
        <v>3440</v>
      </c>
      <c r="H2791" s="83">
        <v>122.6</v>
      </c>
      <c r="I2791" s="83" t="s">
        <v>3213</v>
      </c>
      <c r="J2791" s="83" t="s">
        <v>3257</v>
      </c>
      <c r="K2791" s="83" t="s">
        <v>3215</v>
      </c>
    </row>
    <row r="2792" spans="1:11" ht="51.75" x14ac:dyDescent="0.25">
      <c r="A2792" s="83" t="s">
        <v>150</v>
      </c>
      <c r="B2792" s="83" t="s">
        <v>9125</v>
      </c>
      <c r="C2792" s="83" t="s">
        <v>3208</v>
      </c>
      <c r="D2792" s="83" t="s">
        <v>3209</v>
      </c>
      <c r="E2792" s="83" t="s">
        <v>3226</v>
      </c>
      <c r="F2792" s="83" t="s">
        <v>9126</v>
      </c>
      <c r="G2792" s="83" t="s">
        <v>4819</v>
      </c>
      <c r="H2792" s="83">
        <v>2895.9</v>
      </c>
      <c r="I2792" s="83" t="s">
        <v>3229</v>
      </c>
      <c r="J2792" s="83" t="s">
        <v>3371</v>
      </c>
      <c r="K2792" s="83" t="s">
        <v>3215</v>
      </c>
    </row>
    <row r="2793" spans="1:11" x14ac:dyDescent="0.25">
      <c r="A2793" s="83" t="s">
        <v>9127</v>
      </c>
      <c r="B2793" s="83" t="s">
        <v>8756</v>
      </c>
      <c r="C2793" s="83" t="s">
        <v>9128</v>
      </c>
      <c r="D2793" s="83" t="s">
        <v>3209</v>
      </c>
      <c r="E2793" s="83" t="s">
        <v>3702</v>
      </c>
      <c r="F2793" s="83" t="s">
        <v>8139</v>
      </c>
      <c r="G2793" s="83" t="s">
        <v>9129</v>
      </c>
      <c r="H2793" s="83">
        <v>0</v>
      </c>
      <c r="I2793" s="83" t="s">
        <v>3208</v>
      </c>
      <c r="J2793" s="83" t="s">
        <v>3208</v>
      </c>
      <c r="K2793" s="83" t="s">
        <v>3208</v>
      </c>
    </row>
    <row r="2794" spans="1:11" ht="77.25" x14ac:dyDescent="0.25">
      <c r="A2794" s="83" t="s">
        <v>617</v>
      </c>
      <c r="B2794" s="83" t="s">
        <v>3208</v>
      </c>
      <c r="C2794" s="83" t="s">
        <v>3208</v>
      </c>
      <c r="D2794" s="83" t="s">
        <v>3209</v>
      </c>
      <c r="E2794" s="83" t="s">
        <v>3210</v>
      </c>
      <c r="F2794" s="83" t="s">
        <v>9130</v>
      </c>
      <c r="G2794" s="83" t="s">
        <v>9131</v>
      </c>
      <c r="H2794" s="83">
        <v>50</v>
      </c>
      <c r="I2794" s="83" t="s">
        <v>3213</v>
      </c>
      <c r="J2794" s="83" t="s">
        <v>3899</v>
      </c>
      <c r="K2794" s="83" t="s">
        <v>3215</v>
      </c>
    </row>
    <row r="2795" spans="1:11" ht="51.75" x14ac:dyDescent="0.25">
      <c r="A2795" s="83" t="s">
        <v>987</v>
      </c>
      <c r="B2795" s="83" t="s">
        <v>9132</v>
      </c>
      <c r="C2795" s="83" t="s">
        <v>9133</v>
      </c>
      <c r="D2795" s="83" t="s">
        <v>3209</v>
      </c>
      <c r="E2795" s="83" t="s">
        <v>3246</v>
      </c>
      <c r="F2795" s="83" t="s">
        <v>9134</v>
      </c>
      <c r="G2795" s="83" t="s">
        <v>6362</v>
      </c>
      <c r="H2795" s="83">
        <v>598</v>
      </c>
      <c r="I2795" s="83" t="s">
        <v>3213</v>
      </c>
      <c r="J2795" s="83" t="s">
        <v>3214</v>
      </c>
      <c r="K2795" s="83" t="s">
        <v>3215</v>
      </c>
    </row>
    <row r="2796" spans="1:11" ht="77.25" x14ac:dyDescent="0.25">
      <c r="A2796" s="83" t="s">
        <v>9135</v>
      </c>
      <c r="B2796" s="83" t="s">
        <v>3208</v>
      </c>
      <c r="C2796" s="83" t="s">
        <v>3208</v>
      </c>
      <c r="D2796" s="83" t="s">
        <v>3713</v>
      </c>
      <c r="E2796" s="83" t="s">
        <v>3714</v>
      </c>
      <c r="F2796" s="83" t="s">
        <v>9136</v>
      </c>
      <c r="G2796" s="83" t="s">
        <v>9137</v>
      </c>
      <c r="H2796" s="83">
        <v>0</v>
      </c>
      <c r="I2796" s="83" t="s">
        <v>3213</v>
      </c>
      <c r="J2796" s="83" t="s">
        <v>3621</v>
      </c>
      <c r="K2796" s="83" t="s">
        <v>3215</v>
      </c>
    </row>
    <row r="2797" spans="1:11" ht="64.5" x14ac:dyDescent="0.25">
      <c r="A2797" s="83" t="s">
        <v>775</v>
      </c>
      <c r="B2797" s="83" t="s">
        <v>9138</v>
      </c>
      <c r="C2797" s="83" t="s">
        <v>9139</v>
      </c>
      <c r="D2797" s="83" t="s">
        <v>3209</v>
      </c>
      <c r="E2797" s="83" t="s">
        <v>3246</v>
      </c>
      <c r="F2797" s="83" t="s">
        <v>9140</v>
      </c>
      <c r="G2797" s="83" t="s">
        <v>8061</v>
      </c>
      <c r="H2797" s="83">
        <v>23</v>
      </c>
      <c r="I2797" s="83" t="s">
        <v>3229</v>
      </c>
      <c r="J2797" s="83" t="s">
        <v>3380</v>
      </c>
      <c r="K2797" s="83" t="s">
        <v>3215</v>
      </c>
    </row>
    <row r="2798" spans="1:11" ht="64.5" x14ac:dyDescent="0.25">
      <c r="A2798" s="83" t="s">
        <v>1857</v>
      </c>
      <c r="B2798" s="83" t="s">
        <v>3208</v>
      </c>
      <c r="C2798" s="83" t="s">
        <v>3208</v>
      </c>
      <c r="D2798" s="83" t="s">
        <v>3713</v>
      </c>
      <c r="E2798" s="83" t="s">
        <v>3761</v>
      </c>
      <c r="F2798" s="83" t="s">
        <v>3901</v>
      </c>
      <c r="G2798" s="83" t="s">
        <v>4923</v>
      </c>
      <c r="H2798" s="83">
        <v>0</v>
      </c>
      <c r="I2798" s="83" t="s">
        <v>3213</v>
      </c>
      <c r="J2798" s="83" t="s">
        <v>3262</v>
      </c>
      <c r="K2798" s="83" t="s">
        <v>3215</v>
      </c>
    </row>
    <row r="2799" spans="1:11" ht="51.75" x14ac:dyDescent="0.25">
      <c r="A2799" s="83" t="s">
        <v>1731</v>
      </c>
      <c r="B2799" s="83" t="s">
        <v>9141</v>
      </c>
      <c r="C2799" s="83" t="s">
        <v>9142</v>
      </c>
      <c r="D2799" s="83" t="s">
        <v>3209</v>
      </c>
      <c r="E2799" s="83" t="s">
        <v>3246</v>
      </c>
      <c r="F2799" s="83" t="s">
        <v>3391</v>
      </c>
      <c r="G2799" s="83" t="s">
        <v>5608</v>
      </c>
      <c r="H2799" s="83">
        <v>365</v>
      </c>
      <c r="I2799" s="83" t="s">
        <v>3229</v>
      </c>
      <c r="J2799" s="83" t="s">
        <v>3230</v>
      </c>
      <c r="K2799" s="83" t="s">
        <v>3215</v>
      </c>
    </row>
    <row r="2800" spans="1:11" ht="77.25" x14ac:dyDescent="0.25">
      <c r="A2800" s="83" t="s">
        <v>579</v>
      </c>
      <c r="B2800" s="83" t="s">
        <v>3208</v>
      </c>
      <c r="C2800" s="83" t="s">
        <v>3208</v>
      </c>
      <c r="D2800" s="83" t="s">
        <v>3209</v>
      </c>
      <c r="E2800" s="83" t="s">
        <v>3210</v>
      </c>
      <c r="F2800" s="83" t="s">
        <v>9143</v>
      </c>
      <c r="G2800" s="83" t="s">
        <v>3417</v>
      </c>
      <c r="H2800" s="83">
        <v>46</v>
      </c>
      <c r="I2800" s="83" t="s">
        <v>3213</v>
      </c>
      <c r="J2800" s="83" t="s">
        <v>9144</v>
      </c>
      <c r="K2800" s="83" t="s">
        <v>3215</v>
      </c>
    </row>
    <row r="2801" spans="1:11" ht="64.5" x14ac:dyDescent="0.25">
      <c r="A2801" s="83" t="s">
        <v>598</v>
      </c>
      <c r="B2801" s="83" t="s">
        <v>3208</v>
      </c>
      <c r="C2801" s="83" t="s">
        <v>3208</v>
      </c>
      <c r="D2801" s="83" t="s">
        <v>3209</v>
      </c>
      <c r="E2801" s="83" t="s">
        <v>3210</v>
      </c>
      <c r="F2801" s="83" t="s">
        <v>7822</v>
      </c>
      <c r="G2801" s="83" t="s">
        <v>7823</v>
      </c>
      <c r="H2801" s="83">
        <v>109</v>
      </c>
      <c r="I2801" s="83" t="s">
        <v>3213</v>
      </c>
      <c r="J2801" s="83" t="s">
        <v>3413</v>
      </c>
      <c r="K2801" s="83" t="s">
        <v>3215</v>
      </c>
    </row>
    <row r="2802" spans="1:11" ht="51.75" x14ac:dyDescent="0.25">
      <c r="A2802" s="83" t="s">
        <v>2235</v>
      </c>
      <c r="B2802" s="83" t="s">
        <v>3208</v>
      </c>
      <c r="C2802" s="83" t="s">
        <v>3208</v>
      </c>
      <c r="D2802" s="83" t="s">
        <v>3713</v>
      </c>
      <c r="E2802" s="83" t="s">
        <v>3761</v>
      </c>
      <c r="F2802" s="83" t="s">
        <v>3854</v>
      </c>
      <c r="G2802" s="83" t="s">
        <v>4781</v>
      </c>
      <c r="H2802" s="83">
        <v>0</v>
      </c>
      <c r="I2802" s="83" t="s">
        <v>3229</v>
      </c>
      <c r="J2802" s="83" t="s">
        <v>3238</v>
      </c>
      <c r="K2802" s="83" t="s">
        <v>3215</v>
      </c>
    </row>
    <row r="2803" spans="1:11" x14ac:dyDescent="0.25">
      <c r="A2803" s="83" t="s">
        <v>9145</v>
      </c>
      <c r="B2803" s="83" t="s">
        <v>3208</v>
      </c>
      <c r="C2803" s="83" t="s">
        <v>3208</v>
      </c>
      <c r="D2803" s="83" t="s">
        <v>3209</v>
      </c>
      <c r="E2803" s="83" t="s">
        <v>3663</v>
      </c>
      <c r="F2803" s="83" t="s">
        <v>4832</v>
      </c>
      <c r="G2803" s="83" t="s">
        <v>4833</v>
      </c>
      <c r="H2803" s="83">
        <v>49</v>
      </c>
      <c r="I2803" s="83" t="s">
        <v>3208</v>
      </c>
      <c r="J2803" s="83" t="s">
        <v>3208</v>
      </c>
      <c r="K2803" s="83" t="s">
        <v>3208</v>
      </c>
    </row>
    <row r="2804" spans="1:11" ht="51.75" x14ac:dyDescent="0.25">
      <c r="A2804" s="83" t="s">
        <v>1508</v>
      </c>
      <c r="B2804" s="83" t="s">
        <v>9146</v>
      </c>
      <c r="C2804" s="83" t="s">
        <v>9147</v>
      </c>
      <c r="D2804" s="83" t="s">
        <v>3209</v>
      </c>
      <c r="E2804" s="83" t="s">
        <v>3246</v>
      </c>
      <c r="F2804" s="83" t="s">
        <v>9148</v>
      </c>
      <c r="G2804" s="83" t="s">
        <v>6423</v>
      </c>
      <c r="H2804" s="83">
        <v>147</v>
      </c>
      <c r="I2804" s="83" t="s">
        <v>3213</v>
      </c>
      <c r="J2804" s="83" t="s">
        <v>3214</v>
      </c>
      <c r="K2804" s="83" t="s">
        <v>3215</v>
      </c>
    </row>
    <row r="2805" spans="1:11" ht="51.75" x14ac:dyDescent="0.25">
      <c r="A2805" s="83" t="s">
        <v>2237</v>
      </c>
      <c r="B2805" s="83" t="s">
        <v>3208</v>
      </c>
      <c r="C2805" s="83" t="s">
        <v>3208</v>
      </c>
      <c r="D2805" s="83" t="s">
        <v>3713</v>
      </c>
      <c r="E2805" s="83" t="s">
        <v>3761</v>
      </c>
      <c r="F2805" s="83" t="s">
        <v>3854</v>
      </c>
      <c r="G2805" s="83" t="s">
        <v>9149</v>
      </c>
      <c r="H2805" s="83">
        <v>0</v>
      </c>
      <c r="I2805" s="83" t="s">
        <v>3229</v>
      </c>
      <c r="J2805" s="83" t="s">
        <v>3289</v>
      </c>
      <c r="K2805" s="83" t="s">
        <v>3215</v>
      </c>
    </row>
    <row r="2806" spans="1:11" x14ac:dyDescent="0.25">
      <c r="A2806" s="83" t="s">
        <v>9150</v>
      </c>
      <c r="B2806" s="83" t="s">
        <v>9151</v>
      </c>
      <c r="C2806" s="83" t="s">
        <v>3208</v>
      </c>
      <c r="D2806" s="83" t="s">
        <v>3209</v>
      </c>
      <c r="E2806" s="83" t="s">
        <v>3702</v>
      </c>
      <c r="F2806" s="83" t="s">
        <v>9152</v>
      </c>
      <c r="G2806" s="83" t="s">
        <v>4063</v>
      </c>
      <c r="H2806" s="83">
        <v>12</v>
      </c>
      <c r="I2806" s="83" t="s">
        <v>3208</v>
      </c>
      <c r="J2806" s="83" t="s">
        <v>3208</v>
      </c>
      <c r="K2806" s="83" t="s">
        <v>3208</v>
      </c>
    </row>
    <row r="2807" spans="1:11" ht="51.75" x14ac:dyDescent="0.25">
      <c r="A2807" s="83" t="s">
        <v>628</v>
      </c>
      <c r="B2807" s="83" t="s">
        <v>3208</v>
      </c>
      <c r="C2807" s="83" t="s">
        <v>3208</v>
      </c>
      <c r="D2807" s="83" t="s">
        <v>3209</v>
      </c>
      <c r="E2807" s="83" t="s">
        <v>3210</v>
      </c>
      <c r="F2807" s="83" t="s">
        <v>5572</v>
      </c>
      <c r="G2807" s="83" t="s">
        <v>4191</v>
      </c>
      <c r="H2807" s="83">
        <v>355</v>
      </c>
      <c r="I2807" s="83" t="s">
        <v>3229</v>
      </c>
      <c r="J2807" s="83" t="s">
        <v>4192</v>
      </c>
      <c r="K2807" s="83" t="s">
        <v>3215</v>
      </c>
    </row>
    <row r="2808" spans="1:11" ht="39" x14ac:dyDescent="0.25">
      <c r="A2808" s="83" t="s">
        <v>796</v>
      </c>
      <c r="B2808" s="83" t="s">
        <v>9153</v>
      </c>
      <c r="C2808" s="83" t="s">
        <v>9154</v>
      </c>
      <c r="D2808" s="83" t="s">
        <v>3209</v>
      </c>
      <c r="E2808" s="83" t="s">
        <v>3246</v>
      </c>
      <c r="F2808" s="83" t="s">
        <v>9155</v>
      </c>
      <c r="G2808" s="83" t="s">
        <v>9156</v>
      </c>
      <c r="H2808" s="83">
        <v>9.5</v>
      </c>
      <c r="I2808" s="83" t="s">
        <v>3229</v>
      </c>
      <c r="J2808" s="83" t="s">
        <v>356</v>
      </c>
      <c r="K2808" s="83" t="s">
        <v>3215</v>
      </c>
    </row>
    <row r="2809" spans="1:11" ht="64.5" x14ac:dyDescent="0.25">
      <c r="A2809" s="83" t="s">
        <v>509</v>
      </c>
      <c r="B2809" s="83" t="s">
        <v>3208</v>
      </c>
      <c r="C2809" s="83" t="s">
        <v>9157</v>
      </c>
      <c r="D2809" s="83" t="s">
        <v>3718</v>
      </c>
      <c r="E2809" s="83" t="s">
        <v>3727</v>
      </c>
      <c r="F2809" s="83" t="s">
        <v>9158</v>
      </c>
      <c r="G2809" s="83" t="s">
        <v>9159</v>
      </c>
      <c r="H2809" s="83">
        <v>7</v>
      </c>
      <c r="I2809" s="83" t="s">
        <v>3229</v>
      </c>
      <c r="J2809" s="83" t="s">
        <v>3380</v>
      </c>
      <c r="K2809" s="83" t="s">
        <v>3215</v>
      </c>
    </row>
    <row r="2810" spans="1:11" ht="51.75" x14ac:dyDescent="0.25">
      <c r="A2810" s="83" t="s">
        <v>798</v>
      </c>
      <c r="B2810" s="83" t="s">
        <v>9160</v>
      </c>
      <c r="C2810" s="83" t="s">
        <v>3208</v>
      </c>
      <c r="D2810" s="83" t="s">
        <v>3209</v>
      </c>
      <c r="E2810" s="83" t="s">
        <v>3226</v>
      </c>
      <c r="F2810" s="83" t="s">
        <v>9161</v>
      </c>
      <c r="G2810" s="83" t="s">
        <v>4815</v>
      </c>
      <c r="H2810" s="83">
        <v>150</v>
      </c>
      <c r="I2810" s="83" t="s">
        <v>3229</v>
      </c>
      <c r="J2810" s="83" t="s">
        <v>3238</v>
      </c>
      <c r="K2810" s="83" t="s">
        <v>3215</v>
      </c>
    </row>
    <row r="2811" spans="1:11" ht="51.75" x14ac:dyDescent="0.25">
      <c r="A2811" s="83" t="s">
        <v>2686</v>
      </c>
      <c r="B2811" s="83" t="s">
        <v>3208</v>
      </c>
      <c r="C2811" s="83" t="s">
        <v>3208</v>
      </c>
      <c r="D2811" s="83" t="s">
        <v>3713</v>
      </c>
      <c r="E2811" s="83" t="s">
        <v>3761</v>
      </c>
      <c r="F2811" s="83" t="s">
        <v>9162</v>
      </c>
      <c r="G2811" s="83" t="s">
        <v>8052</v>
      </c>
      <c r="H2811" s="83">
        <v>0</v>
      </c>
      <c r="I2811" s="83" t="s">
        <v>3229</v>
      </c>
      <c r="J2811" s="83" t="s">
        <v>3337</v>
      </c>
      <c r="K2811" s="83" t="s">
        <v>3215</v>
      </c>
    </row>
    <row r="2812" spans="1:11" ht="26.25" x14ac:dyDescent="0.25">
      <c r="A2812" s="83" t="s">
        <v>685</v>
      </c>
      <c r="B2812" s="83" t="s">
        <v>3208</v>
      </c>
      <c r="C2812" s="83" t="s">
        <v>3208</v>
      </c>
      <c r="D2812" s="83" t="s">
        <v>3209</v>
      </c>
      <c r="E2812" s="83" t="s">
        <v>3210</v>
      </c>
      <c r="F2812" s="83" t="s">
        <v>9163</v>
      </c>
      <c r="G2812" s="83" t="s">
        <v>5665</v>
      </c>
      <c r="H2812" s="83">
        <v>26</v>
      </c>
      <c r="I2812" s="83" t="s">
        <v>3229</v>
      </c>
      <c r="J2812" s="83" t="s">
        <v>3397</v>
      </c>
      <c r="K2812" s="83" t="s">
        <v>3215</v>
      </c>
    </row>
    <row r="2813" spans="1:11" ht="51.75" x14ac:dyDescent="0.25">
      <c r="A2813" s="83" t="s">
        <v>2645</v>
      </c>
      <c r="B2813" s="83" t="s">
        <v>3208</v>
      </c>
      <c r="C2813" s="83" t="s">
        <v>3208</v>
      </c>
      <c r="D2813" s="83" t="s">
        <v>3713</v>
      </c>
      <c r="E2813" s="83" t="s">
        <v>3761</v>
      </c>
      <c r="F2813" s="83" t="s">
        <v>3854</v>
      </c>
      <c r="G2813" s="83" t="s">
        <v>8409</v>
      </c>
      <c r="H2813" s="83">
        <v>0</v>
      </c>
      <c r="I2813" s="83" t="s">
        <v>3229</v>
      </c>
      <c r="J2813" s="83" t="s">
        <v>3238</v>
      </c>
      <c r="K2813" s="83" t="s">
        <v>3215</v>
      </c>
    </row>
    <row r="2814" spans="1:11" ht="26.25" x14ac:dyDescent="0.25">
      <c r="A2814" s="83" t="s">
        <v>2690</v>
      </c>
      <c r="B2814" s="83" t="s">
        <v>3208</v>
      </c>
      <c r="C2814" s="83" t="s">
        <v>3208</v>
      </c>
      <c r="D2814" s="83" t="s">
        <v>3713</v>
      </c>
      <c r="E2814" s="83" t="s">
        <v>3761</v>
      </c>
      <c r="F2814" s="83" t="s">
        <v>9164</v>
      </c>
      <c r="G2814" s="83" t="s">
        <v>9165</v>
      </c>
      <c r="H2814" s="83">
        <v>0</v>
      </c>
      <c r="I2814" s="83" t="s">
        <v>3213</v>
      </c>
      <c r="J2814" s="83" t="s">
        <v>3222</v>
      </c>
      <c r="K2814" s="83" t="s">
        <v>3215</v>
      </c>
    </row>
    <row r="2815" spans="1:11" ht="51.75" x14ac:dyDescent="0.25">
      <c r="A2815" s="83" t="s">
        <v>2523</v>
      </c>
      <c r="B2815" s="83" t="s">
        <v>3208</v>
      </c>
      <c r="C2815" s="83" t="s">
        <v>3208</v>
      </c>
      <c r="D2815" s="83" t="s">
        <v>3713</v>
      </c>
      <c r="E2815" s="83" t="s">
        <v>3761</v>
      </c>
      <c r="F2815" s="83" t="s">
        <v>3886</v>
      </c>
      <c r="G2815" s="83" t="s">
        <v>4887</v>
      </c>
      <c r="H2815" s="83">
        <v>0</v>
      </c>
      <c r="I2815" s="83" t="s">
        <v>3229</v>
      </c>
      <c r="J2815" s="83" t="s">
        <v>3289</v>
      </c>
      <c r="K2815" s="83" t="s">
        <v>3215</v>
      </c>
    </row>
    <row r="2816" spans="1:11" ht="64.5" x14ac:dyDescent="0.25">
      <c r="A2816" s="83" t="s">
        <v>2493</v>
      </c>
      <c r="B2816" s="83" t="s">
        <v>3208</v>
      </c>
      <c r="C2816" s="83" t="s">
        <v>3208</v>
      </c>
      <c r="D2816" s="83" t="s">
        <v>3713</v>
      </c>
      <c r="E2816" s="83" t="s">
        <v>3761</v>
      </c>
      <c r="F2816" s="83" t="s">
        <v>8480</v>
      </c>
      <c r="G2816" s="83" t="s">
        <v>8481</v>
      </c>
      <c r="H2816" s="83">
        <v>0</v>
      </c>
      <c r="I2816" s="83" t="s">
        <v>3213</v>
      </c>
      <c r="J2816" s="83" t="s">
        <v>3413</v>
      </c>
      <c r="K2816" s="83" t="s">
        <v>3215</v>
      </c>
    </row>
    <row r="2817" spans="1:11" ht="51.75" x14ac:dyDescent="0.25">
      <c r="A2817" s="83" t="s">
        <v>2559</v>
      </c>
      <c r="B2817" s="83" t="s">
        <v>3208</v>
      </c>
      <c r="C2817" s="83" t="s">
        <v>3208</v>
      </c>
      <c r="D2817" s="83" t="s">
        <v>3713</v>
      </c>
      <c r="E2817" s="83" t="s">
        <v>3761</v>
      </c>
      <c r="F2817" s="83" t="s">
        <v>4015</v>
      </c>
      <c r="G2817" s="83" t="s">
        <v>4729</v>
      </c>
      <c r="H2817" s="83">
        <v>0</v>
      </c>
      <c r="I2817" s="83" t="s">
        <v>3229</v>
      </c>
      <c r="J2817" s="83" t="s">
        <v>3289</v>
      </c>
      <c r="K2817" s="83" t="s">
        <v>3215</v>
      </c>
    </row>
    <row r="2818" spans="1:11" ht="64.5" x14ac:dyDescent="0.25">
      <c r="A2818" s="83" t="s">
        <v>2513</v>
      </c>
      <c r="B2818" s="83" t="s">
        <v>3208</v>
      </c>
      <c r="C2818" s="83" t="s">
        <v>3208</v>
      </c>
      <c r="D2818" s="83" t="s">
        <v>3713</v>
      </c>
      <c r="E2818" s="83" t="s">
        <v>3761</v>
      </c>
      <c r="F2818" s="83" t="s">
        <v>3991</v>
      </c>
      <c r="G2818" s="83" t="s">
        <v>6863</v>
      </c>
      <c r="H2818" s="83">
        <v>0</v>
      </c>
      <c r="I2818" s="83" t="s">
        <v>3213</v>
      </c>
      <c r="J2818" s="83" t="s">
        <v>3413</v>
      </c>
      <c r="K2818" s="83" t="s">
        <v>3215</v>
      </c>
    </row>
    <row r="2819" spans="1:11" ht="51.75" x14ac:dyDescent="0.25">
      <c r="A2819" s="83" t="s">
        <v>2432</v>
      </c>
      <c r="B2819" s="83" t="s">
        <v>3208</v>
      </c>
      <c r="C2819" s="83" t="s">
        <v>3208</v>
      </c>
      <c r="D2819" s="83" t="s">
        <v>3713</v>
      </c>
      <c r="E2819" s="83" t="s">
        <v>3761</v>
      </c>
      <c r="F2819" s="83" t="s">
        <v>3901</v>
      </c>
      <c r="G2819" s="83" t="s">
        <v>7339</v>
      </c>
      <c r="H2819" s="83">
        <v>0</v>
      </c>
      <c r="I2819" s="83" t="s">
        <v>3229</v>
      </c>
      <c r="J2819" s="83" t="s">
        <v>3289</v>
      </c>
      <c r="K2819" s="83" t="s">
        <v>3215</v>
      </c>
    </row>
    <row r="2820" spans="1:11" ht="51.75" x14ac:dyDescent="0.25">
      <c r="A2820" s="83" t="s">
        <v>2424</v>
      </c>
      <c r="B2820" s="83" t="s">
        <v>3208</v>
      </c>
      <c r="C2820" s="83" t="s">
        <v>3208</v>
      </c>
      <c r="D2820" s="83" t="s">
        <v>3713</v>
      </c>
      <c r="E2820" s="83" t="s">
        <v>3761</v>
      </c>
      <c r="F2820" s="83" t="s">
        <v>3950</v>
      </c>
      <c r="G2820" s="83" t="s">
        <v>9166</v>
      </c>
      <c r="H2820" s="83">
        <v>0</v>
      </c>
      <c r="I2820" s="83" t="s">
        <v>3229</v>
      </c>
      <c r="J2820" s="83" t="s">
        <v>3289</v>
      </c>
      <c r="K2820" s="83" t="s">
        <v>3215</v>
      </c>
    </row>
    <row r="2821" spans="1:11" ht="26.25" x14ac:dyDescent="0.25">
      <c r="A2821" s="83" t="s">
        <v>2308</v>
      </c>
      <c r="B2821" s="83" t="s">
        <v>3208</v>
      </c>
      <c r="C2821" s="83" t="s">
        <v>3208</v>
      </c>
      <c r="D2821" s="83" t="s">
        <v>3713</v>
      </c>
      <c r="E2821" s="83" t="s">
        <v>3761</v>
      </c>
      <c r="F2821" s="83" t="s">
        <v>3886</v>
      </c>
      <c r="G2821" s="83" t="s">
        <v>4191</v>
      </c>
      <c r="H2821" s="83">
        <v>0</v>
      </c>
      <c r="I2821" s="83" t="s">
        <v>3229</v>
      </c>
      <c r="J2821" s="83" t="s">
        <v>3397</v>
      </c>
      <c r="K2821" s="83" t="s">
        <v>3215</v>
      </c>
    </row>
    <row r="2822" spans="1:11" ht="51.75" x14ac:dyDescent="0.25">
      <c r="A2822" s="83" t="s">
        <v>9167</v>
      </c>
      <c r="B2822" s="83" t="s">
        <v>3208</v>
      </c>
      <c r="C2822" s="83" t="s">
        <v>3208</v>
      </c>
      <c r="D2822" s="83" t="s">
        <v>3965</v>
      </c>
      <c r="E2822" s="83" t="s">
        <v>3966</v>
      </c>
      <c r="F2822" s="83" t="s">
        <v>6456</v>
      </c>
      <c r="G2822" s="83" t="s">
        <v>6457</v>
      </c>
      <c r="H2822" s="83">
        <v>11.8</v>
      </c>
      <c r="I2822" s="83" t="s">
        <v>3229</v>
      </c>
      <c r="J2822" s="83" t="s">
        <v>3371</v>
      </c>
      <c r="K2822" s="83" t="s">
        <v>3215</v>
      </c>
    </row>
    <row r="2823" spans="1:11" ht="51.75" x14ac:dyDescent="0.25">
      <c r="A2823" s="83" t="s">
        <v>2584</v>
      </c>
      <c r="B2823" s="83" t="s">
        <v>3208</v>
      </c>
      <c r="C2823" s="83" t="s">
        <v>3208</v>
      </c>
      <c r="D2823" s="83" t="s">
        <v>3713</v>
      </c>
      <c r="E2823" s="83" t="s">
        <v>3761</v>
      </c>
      <c r="F2823" s="83" t="s">
        <v>3974</v>
      </c>
      <c r="G2823" s="83" t="s">
        <v>3975</v>
      </c>
      <c r="H2823" s="83">
        <v>0</v>
      </c>
      <c r="I2823" s="83" t="s">
        <v>3229</v>
      </c>
      <c r="J2823" s="83" t="s">
        <v>3371</v>
      </c>
      <c r="K2823" s="83" t="s">
        <v>3215</v>
      </c>
    </row>
    <row r="2824" spans="1:11" ht="51.75" x14ac:dyDescent="0.25">
      <c r="A2824" s="83" t="s">
        <v>2539</v>
      </c>
      <c r="B2824" s="83" t="s">
        <v>3208</v>
      </c>
      <c r="C2824" s="83" t="s">
        <v>3208</v>
      </c>
      <c r="D2824" s="83" t="s">
        <v>3713</v>
      </c>
      <c r="E2824" s="83" t="s">
        <v>3761</v>
      </c>
      <c r="F2824" s="83" t="s">
        <v>7191</v>
      </c>
      <c r="G2824" s="83" t="s">
        <v>6485</v>
      </c>
      <c r="H2824" s="83">
        <v>0</v>
      </c>
      <c r="I2824" s="83" t="s">
        <v>3213</v>
      </c>
      <c r="J2824" s="83" t="s">
        <v>3214</v>
      </c>
      <c r="K2824" s="83" t="s">
        <v>3215</v>
      </c>
    </row>
    <row r="2825" spans="1:11" ht="51.75" x14ac:dyDescent="0.25">
      <c r="A2825" s="83" t="s">
        <v>2543</v>
      </c>
      <c r="B2825" s="83" t="s">
        <v>3208</v>
      </c>
      <c r="C2825" s="83" t="s">
        <v>3208</v>
      </c>
      <c r="D2825" s="83" t="s">
        <v>3713</v>
      </c>
      <c r="E2825" s="83" t="s">
        <v>3761</v>
      </c>
      <c r="F2825" s="83" t="s">
        <v>3886</v>
      </c>
      <c r="G2825" s="83" t="s">
        <v>3520</v>
      </c>
      <c r="H2825" s="83">
        <v>0</v>
      </c>
      <c r="I2825" s="83" t="s">
        <v>3229</v>
      </c>
      <c r="J2825" s="83" t="s">
        <v>3521</v>
      </c>
      <c r="K2825" s="83" t="s">
        <v>3215</v>
      </c>
    </row>
    <row r="2826" spans="1:11" x14ac:dyDescent="0.25">
      <c r="A2826" s="83" t="s">
        <v>9168</v>
      </c>
      <c r="B2826" s="83" t="s">
        <v>3208</v>
      </c>
      <c r="C2826" s="83" t="s">
        <v>3208</v>
      </c>
      <c r="D2826" s="83" t="s">
        <v>3965</v>
      </c>
      <c r="E2826" s="83" t="s">
        <v>3966</v>
      </c>
      <c r="F2826" s="83" t="s">
        <v>6456</v>
      </c>
      <c r="G2826" s="83" t="s">
        <v>8512</v>
      </c>
      <c r="H2826" s="83">
        <v>21</v>
      </c>
      <c r="I2826" s="83" t="s">
        <v>3208</v>
      </c>
      <c r="J2826" s="83" t="s">
        <v>3208</v>
      </c>
      <c r="K2826" s="83" t="s">
        <v>3208</v>
      </c>
    </row>
    <row r="2827" spans="1:11" ht="26.25" x14ac:dyDescent="0.25">
      <c r="A2827" s="83" t="s">
        <v>9169</v>
      </c>
      <c r="B2827" s="83" t="s">
        <v>3208</v>
      </c>
      <c r="C2827" s="83" t="s">
        <v>3208</v>
      </c>
      <c r="D2827" s="83" t="s">
        <v>3713</v>
      </c>
      <c r="E2827" s="83" t="s">
        <v>3714</v>
      </c>
      <c r="F2827" s="83" t="s">
        <v>4034</v>
      </c>
      <c r="G2827" s="83" t="s">
        <v>4035</v>
      </c>
      <c r="H2827" s="83">
        <v>0</v>
      </c>
      <c r="I2827" s="83" t="s">
        <v>3208</v>
      </c>
      <c r="J2827" s="83" t="s">
        <v>3208</v>
      </c>
      <c r="K2827" s="83" t="s">
        <v>3208</v>
      </c>
    </row>
    <row r="2828" spans="1:11" ht="39" x14ac:dyDescent="0.25">
      <c r="A2828" s="83" t="s">
        <v>468</v>
      </c>
      <c r="B2828" s="83" t="s">
        <v>3208</v>
      </c>
      <c r="C2828" s="83" t="s">
        <v>3208</v>
      </c>
      <c r="D2828" s="83" t="s">
        <v>3209</v>
      </c>
      <c r="E2828" s="83" t="s">
        <v>3210</v>
      </c>
      <c r="F2828" s="83" t="s">
        <v>3985</v>
      </c>
      <c r="G2828" s="83" t="s">
        <v>7287</v>
      </c>
      <c r="H2828" s="83">
        <v>21</v>
      </c>
      <c r="I2828" s="83" t="s">
        <v>3229</v>
      </c>
      <c r="J2828" s="83" t="s">
        <v>356</v>
      </c>
      <c r="K2828" s="83" t="s">
        <v>3215</v>
      </c>
    </row>
    <row r="2829" spans="1:11" ht="90" x14ac:dyDescent="0.25">
      <c r="A2829" s="83" t="s">
        <v>821</v>
      </c>
      <c r="B2829" s="83" t="s">
        <v>9170</v>
      </c>
      <c r="C2829" s="83" t="s">
        <v>9171</v>
      </c>
      <c r="D2829" s="83" t="s">
        <v>3209</v>
      </c>
      <c r="E2829" s="83" t="s">
        <v>3246</v>
      </c>
      <c r="F2829" s="83" t="s">
        <v>9172</v>
      </c>
      <c r="G2829" s="83" t="s">
        <v>9173</v>
      </c>
      <c r="H2829" s="83">
        <v>325</v>
      </c>
      <c r="I2829" s="83" t="s">
        <v>3229</v>
      </c>
      <c r="J2829" s="83" t="s">
        <v>9174</v>
      </c>
      <c r="K2829" s="83" t="s">
        <v>3215</v>
      </c>
    </row>
    <row r="2830" spans="1:11" ht="26.25" x14ac:dyDescent="0.25">
      <c r="A2830" s="83" t="s">
        <v>2593</v>
      </c>
      <c r="B2830" s="83" t="s">
        <v>3208</v>
      </c>
      <c r="C2830" s="83" t="s">
        <v>3208</v>
      </c>
      <c r="D2830" s="83" t="s">
        <v>3713</v>
      </c>
      <c r="E2830" s="83" t="s">
        <v>3761</v>
      </c>
      <c r="F2830" s="83" t="s">
        <v>9175</v>
      </c>
      <c r="G2830" s="83" t="s">
        <v>9176</v>
      </c>
      <c r="H2830" s="83">
        <v>0</v>
      </c>
      <c r="I2830" s="83" t="s">
        <v>3213</v>
      </c>
      <c r="J2830" s="83" t="s">
        <v>3948</v>
      </c>
      <c r="K2830" s="83" t="s">
        <v>3215</v>
      </c>
    </row>
    <row r="2831" spans="1:11" ht="51.75" x14ac:dyDescent="0.25">
      <c r="A2831" s="83" t="s">
        <v>2368</v>
      </c>
      <c r="B2831" s="83" t="s">
        <v>3208</v>
      </c>
      <c r="C2831" s="83" t="s">
        <v>3208</v>
      </c>
      <c r="D2831" s="83" t="s">
        <v>3713</v>
      </c>
      <c r="E2831" s="83" t="s">
        <v>3761</v>
      </c>
      <c r="F2831" s="83" t="s">
        <v>3901</v>
      </c>
      <c r="G2831" s="83" t="s">
        <v>4896</v>
      </c>
      <c r="H2831" s="83">
        <v>0</v>
      </c>
      <c r="I2831" s="83" t="s">
        <v>3229</v>
      </c>
      <c r="J2831" s="83" t="s">
        <v>3289</v>
      </c>
      <c r="K2831" s="83" t="s">
        <v>3215</v>
      </c>
    </row>
    <row r="2832" spans="1:11" ht="51.75" x14ac:dyDescent="0.25">
      <c r="A2832" s="83" t="s">
        <v>85</v>
      </c>
      <c r="B2832" s="83" t="s">
        <v>9177</v>
      </c>
      <c r="C2832" s="83" t="s">
        <v>9178</v>
      </c>
      <c r="D2832" s="83" t="s">
        <v>3209</v>
      </c>
      <c r="E2832" s="83" t="s">
        <v>3246</v>
      </c>
      <c r="F2832" s="83" t="s">
        <v>9179</v>
      </c>
      <c r="G2832" s="83" t="s">
        <v>9180</v>
      </c>
      <c r="H2832" s="83">
        <v>24</v>
      </c>
      <c r="I2832" s="83" t="s">
        <v>3213</v>
      </c>
      <c r="J2832" s="83" t="s">
        <v>3214</v>
      </c>
      <c r="K2832" s="83" t="s">
        <v>3215</v>
      </c>
    </row>
    <row r="2833" spans="1:11" ht="64.5" x14ac:dyDescent="0.25">
      <c r="A2833" s="83" t="s">
        <v>1860</v>
      </c>
      <c r="B2833" s="83" t="s">
        <v>3208</v>
      </c>
      <c r="C2833" s="83" t="s">
        <v>3208</v>
      </c>
      <c r="D2833" s="83" t="s">
        <v>3713</v>
      </c>
      <c r="E2833" s="83" t="s">
        <v>3761</v>
      </c>
      <c r="F2833" s="83" t="s">
        <v>4013</v>
      </c>
      <c r="G2833" s="83" t="s">
        <v>3824</v>
      </c>
      <c r="H2833" s="83">
        <v>0</v>
      </c>
      <c r="I2833" s="83" t="s">
        <v>3213</v>
      </c>
      <c r="J2833" s="83" t="s">
        <v>3262</v>
      </c>
      <c r="K2833" s="83" t="s">
        <v>3215</v>
      </c>
    </row>
    <row r="2834" spans="1:11" ht="39" x14ac:dyDescent="0.25">
      <c r="A2834" s="83" t="s">
        <v>2597</v>
      </c>
      <c r="B2834" s="83" t="s">
        <v>3208</v>
      </c>
      <c r="C2834" s="83" t="s">
        <v>3208</v>
      </c>
      <c r="D2834" s="83" t="s">
        <v>3713</v>
      </c>
      <c r="E2834" s="83" t="s">
        <v>3761</v>
      </c>
      <c r="F2834" s="83" t="s">
        <v>5639</v>
      </c>
      <c r="G2834" s="83" t="s">
        <v>7287</v>
      </c>
      <c r="H2834" s="83">
        <v>0</v>
      </c>
      <c r="I2834" s="83" t="s">
        <v>3229</v>
      </c>
      <c r="J2834" s="83" t="s">
        <v>356</v>
      </c>
      <c r="K2834" s="83" t="s">
        <v>3215</v>
      </c>
    </row>
    <row r="2835" spans="1:11" ht="26.25" x14ac:dyDescent="0.25">
      <c r="A2835" s="83" t="s">
        <v>9181</v>
      </c>
      <c r="B2835" s="83" t="s">
        <v>3208</v>
      </c>
      <c r="C2835" s="83" t="s">
        <v>3208</v>
      </c>
      <c r="D2835" s="83" t="s">
        <v>3965</v>
      </c>
      <c r="E2835" s="83" t="s">
        <v>4054</v>
      </c>
      <c r="F2835" s="83" t="s">
        <v>5652</v>
      </c>
      <c r="G2835" s="83" t="s">
        <v>7293</v>
      </c>
      <c r="H2835" s="83">
        <v>0</v>
      </c>
      <c r="I2835" s="83" t="s">
        <v>3213</v>
      </c>
      <c r="J2835" s="83" t="s">
        <v>3851</v>
      </c>
      <c r="K2835" s="83" t="s">
        <v>3215</v>
      </c>
    </row>
    <row r="2836" spans="1:11" ht="26.25" x14ac:dyDescent="0.25">
      <c r="A2836" s="83" t="s">
        <v>2310</v>
      </c>
      <c r="B2836" s="83" t="s">
        <v>3208</v>
      </c>
      <c r="C2836" s="83" t="s">
        <v>3208</v>
      </c>
      <c r="D2836" s="83" t="s">
        <v>3713</v>
      </c>
      <c r="E2836" s="83" t="s">
        <v>3761</v>
      </c>
      <c r="F2836" s="83" t="s">
        <v>3976</v>
      </c>
      <c r="G2836" s="83" t="s">
        <v>4191</v>
      </c>
      <c r="H2836" s="83">
        <v>0</v>
      </c>
      <c r="I2836" s="83" t="s">
        <v>3229</v>
      </c>
      <c r="J2836" s="83" t="s">
        <v>3397</v>
      </c>
      <c r="K2836" s="83" t="s">
        <v>3215</v>
      </c>
    </row>
    <row r="2837" spans="1:11" ht="51.75" x14ac:dyDescent="0.25">
      <c r="A2837" s="83" t="s">
        <v>2366</v>
      </c>
      <c r="B2837" s="83" t="s">
        <v>3208</v>
      </c>
      <c r="C2837" s="83" t="s">
        <v>3208</v>
      </c>
      <c r="D2837" s="83" t="s">
        <v>3713</v>
      </c>
      <c r="E2837" s="83" t="s">
        <v>3761</v>
      </c>
      <c r="F2837" s="83" t="s">
        <v>3901</v>
      </c>
      <c r="G2837" s="83" t="s">
        <v>4896</v>
      </c>
      <c r="H2837" s="83">
        <v>0</v>
      </c>
      <c r="I2837" s="83" t="s">
        <v>3229</v>
      </c>
      <c r="J2837" s="83" t="s">
        <v>3289</v>
      </c>
      <c r="K2837" s="83" t="s">
        <v>3215</v>
      </c>
    </row>
    <row r="2838" spans="1:11" ht="26.25" x14ac:dyDescent="0.25">
      <c r="A2838" s="83" t="s">
        <v>2392</v>
      </c>
      <c r="B2838" s="83" t="s">
        <v>3208</v>
      </c>
      <c r="C2838" s="83" t="s">
        <v>3208</v>
      </c>
      <c r="D2838" s="83" t="s">
        <v>3713</v>
      </c>
      <c r="E2838" s="83" t="s">
        <v>3761</v>
      </c>
      <c r="F2838" s="83" t="s">
        <v>4013</v>
      </c>
      <c r="G2838" s="83" t="s">
        <v>4892</v>
      </c>
      <c r="H2838" s="83">
        <v>0</v>
      </c>
      <c r="I2838" s="83" t="s">
        <v>3229</v>
      </c>
      <c r="J2838" s="83" t="s">
        <v>8455</v>
      </c>
      <c r="K2838" s="83" t="s">
        <v>3215</v>
      </c>
    </row>
    <row r="2839" spans="1:11" ht="26.25" x14ac:dyDescent="0.25">
      <c r="A2839" s="83" t="s">
        <v>443</v>
      </c>
      <c r="B2839" s="83" t="s">
        <v>3208</v>
      </c>
      <c r="C2839" s="83" t="s">
        <v>9182</v>
      </c>
      <c r="D2839" s="83" t="s">
        <v>3718</v>
      </c>
      <c r="E2839" s="83" t="s">
        <v>3727</v>
      </c>
      <c r="F2839" s="83" t="s">
        <v>9183</v>
      </c>
      <c r="G2839" s="83" t="s">
        <v>7293</v>
      </c>
      <c r="H2839" s="83">
        <v>2</v>
      </c>
      <c r="I2839" s="83" t="s">
        <v>3213</v>
      </c>
      <c r="J2839" s="83" t="s">
        <v>3851</v>
      </c>
      <c r="K2839" s="83" t="s">
        <v>3215</v>
      </c>
    </row>
    <row r="2840" spans="1:11" ht="26.25" x14ac:dyDescent="0.25">
      <c r="A2840" s="83" t="s">
        <v>2328</v>
      </c>
      <c r="B2840" s="83" t="s">
        <v>3208</v>
      </c>
      <c r="C2840" s="83" t="s">
        <v>3208</v>
      </c>
      <c r="D2840" s="83" t="s">
        <v>3713</v>
      </c>
      <c r="E2840" s="83" t="s">
        <v>3761</v>
      </c>
      <c r="F2840" s="83" t="s">
        <v>4045</v>
      </c>
      <c r="G2840" s="83" t="s">
        <v>7873</v>
      </c>
      <c r="H2840" s="83">
        <v>0</v>
      </c>
      <c r="I2840" s="83" t="s">
        <v>3213</v>
      </c>
      <c r="J2840" s="83" t="s">
        <v>3948</v>
      </c>
      <c r="K2840" s="83" t="s">
        <v>3215</v>
      </c>
    </row>
    <row r="2841" spans="1:11" ht="39" x14ac:dyDescent="0.25">
      <c r="A2841" s="83" t="s">
        <v>9184</v>
      </c>
      <c r="B2841" s="83" t="s">
        <v>3208</v>
      </c>
      <c r="C2841" s="83" t="s">
        <v>3208</v>
      </c>
      <c r="D2841" s="83" t="s">
        <v>3713</v>
      </c>
      <c r="E2841" s="83" t="s">
        <v>3714</v>
      </c>
      <c r="F2841" s="83" t="s">
        <v>6573</v>
      </c>
      <c r="G2841" s="83" t="s">
        <v>9185</v>
      </c>
      <c r="H2841" s="83">
        <v>0</v>
      </c>
      <c r="I2841" s="83" t="s">
        <v>3208</v>
      </c>
      <c r="J2841" s="83" t="s">
        <v>3208</v>
      </c>
      <c r="K2841" s="83" t="s">
        <v>3208</v>
      </c>
    </row>
    <row r="2842" spans="1:11" ht="64.5" x14ac:dyDescent="0.25">
      <c r="A2842" s="83" t="s">
        <v>455</v>
      </c>
      <c r="B2842" s="83" t="s">
        <v>3208</v>
      </c>
      <c r="C2842" s="83" t="s">
        <v>9186</v>
      </c>
      <c r="D2842" s="83" t="s">
        <v>4005</v>
      </c>
      <c r="E2842" s="83" t="s">
        <v>3727</v>
      </c>
      <c r="F2842" s="83" t="s">
        <v>4924</v>
      </c>
      <c r="G2842" s="83" t="s">
        <v>4534</v>
      </c>
      <c r="H2842" s="83">
        <v>20</v>
      </c>
      <c r="I2842" s="83" t="s">
        <v>3213</v>
      </c>
      <c r="J2842" s="83" t="s">
        <v>3219</v>
      </c>
      <c r="K2842" s="83" t="s">
        <v>3215</v>
      </c>
    </row>
    <row r="2843" spans="1:11" ht="26.25" x14ac:dyDescent="0.25">
      <c r="A2843" s="83" t="s">
        <v>9187</v>
      </c>
      <c r="B2843" s="83" t="s">
        <v>3208</v>
      </c>
      <c r="C2843" s="83" t="s">
        <v>3208</v>
      </c>
      <c r="D2843" s="83" t="s">
        <v>3713</v>
      </c>
      <c r="E2843" s="83" t="s">
        <v>3714</v>
      </c>
      <c r="F2843" s="83" t="s">
        <v>4890</v>
      </c>
      <c r="G2843" s="83" t="s">
        <v>4891</v>
      </c>
      <c r="H2843" s="83">
        <v>0</v>
      </c>
      <c r="I2843" s="83" t="s">
        <v>3208</v>
      </c>
      <c r="J2843" s="83" t="s">
        <v>3208</v>
      </c>
      <c r="K2843" s="83" t="s">
        <v>3208</v>
      </c>
    </row>
    <row r="2844" spans="1:11" ht="39" x14ac:dyDescent="0.25">
      <c r="A2844" s="83" t="s">
        <v>3173</v>
      </c>
      <c r="B2844" s="83" t="s">
        <v>3208</v>
      </c>
      <c r="C2844" s="83" t="s">
        <v>9188</v>
      </c>
      <c r="D2844" s="83" t="s">
        <v>4005</v>
      </c>
      <c r="E2844" s="83" t="s">
        <v>3727</v>
      </c>
      <c r="F2844" s="83" t="s">
        <v>4022</v>
      </c>
      <c r="G2844" s="83" t="s">
        <v>5686</v>
      </c>
      <c r="H2844" s="83">
        <v>20</v>
      </c>
      <c r="I2844" s="83" t="s">
        <v>3229</v>
      </c>
      <c r="J2844" s="83" t="s">
        <v>3241</v>
      </c>
      <c r="K2844" s="83" t="s">
        <v>3215</v>
      </c>
    </row>
    <row r="2845" spans="1:11" ht="51.75" x14ac:dyDescent="0.25">
      <c r="A2845" s="83" t="s">
        <v>2544</v>
      </c>
      <c r="B2845" s="83" t="s">
        <v>3208</v>
      </c>
      <c r="C2845" s="83" t="s">
        <v>3208</v>
      </c>
      <c r="D2845" s="83" t="s">
        <v>3713</v>
      </c>
      <c r="E2845" s="83" t="s">
        <v>3761</v>
      </c>
      <c r="F2845" s="83" t="s">
        <v>3886</v>
      </c>
      <c r="G2845" s="83" t="s">
        <v>3520</v>
      </c>
      <c r="H2845" s="83">
        <v>0</v>
      </c>
      <c r="I2845" s="83" t="s">
        <v>3229</v>
      </c>
      <c r="J2845" s="83" t="s">
        <v>3521</v>
      </c>
      <c r="K2845" s="83" t="s">
        <v>3215</v>
      </c>
    </row>
    <row r="2846" spans="1:11" ht="26.25" x14ac:dyDescent="0.25">
      <c r="A2846" s="83" t="s">
        <v>2575</v>
      </c>
      <c r="B2846" s="83" t="s">
        <v>3208</v>
      </c>
      <c r="C2846" s="83" t="s">
        <v>3208</v>
      </c>
      <c r="D2846" s="83" t="s">
        <v>3713</v>
      </c>
      <c r="E2846" s="83" t="s">
        <v>3761</v>
      </c>
      <c r="F2846" s="83" t="s">
        <v>6442</v>
      </c>
      <c r="G2846" s="83" t="s">
        <v>3221</v>
      </c>
      <c r="H2846" s="83">
        <v>0</v>
      </c>
      <c r="I2846" s="83" t="s">
        <v>3213</v>
      </c>
      <c r="J2846" s="83" t="s">
        <v>3222</v>
      </c>
      <c r="K2846" s="83" t="s">
        <v>3215</v>
      </c>
    </row>
    <row r="2847" spans="1:11" ht="64.5" x14ac:dyDescent="0.25">
      <c r="A2847" s="83" t="s">
        <v>2581</v>
      </c>
      <c r="B2847" s="83" t="s">
        <v>3208</v>
      </c>
      <c r="C2847" s="83" t="s">
        <v>3208</v>
      </c>
      <c r="D2847" s="83" t="s">
        <v>3713</v>
      </c>
      <c r="E2847" s="83" t="s">
        <v>3761</v>
      </c>
      <c r="F2847" s="83" t="s">
        <v>9189</v>
      </c>
      <c r="G2847" s="83" t="s">
        <v>4952</v>
      </c>
      <c r="H2847" s="83">
        <v>0</v>
      </c>
      <c r="I2847" s="83" t="s">
        <v>3213</v>
      </c>
      <c r="J2847" s="83" t="s">
        <v>3601</v>
      </c>
      <c r="K2847" s="83" t="s">
        <v>3215</v>
      </c>
    </row>
    <row r="2848" spans="1:11" ht="39" x14ac:dyDescent="0.25">
      <c r="A2848" s="83" t="s">
        <v>2580</v>
      </c>
      <c r="B2848" s="83" t="s">
        <v>3208</v>
      </c>
      <c r="C2848" s="83" t="s">
        <v>3208</v>
      </c>
      <c r="D2848" s="83" t="s">
        <v>3713</v>
      </c>
      <c r="E2848" s="83" t="s">
        <v>3761</v>
      </c>
      <c r="F2848" s="83" t="s">
        <v>8508</v>
      </c>
      <c r="G2848" s="83" t="s">
        <v>5711</v>
      </c>
      <c r="H2848" s="83">
        <v>0</v>
      </c>
      <c r="I2848" s="83" t="s">
        <v>3229</v>
      </c>
      <c r="J2848" s="83" t="s">
        <v>3241</v>
      </c>
      <c r="K2848" s="83" t="s">
        <v>3215</v>
      </c>
    </row>
    <row r="2849" spans="1:11" ht="77.25" x14ac:dyDescent="0.25">
      <c r="A2849" s="83" t="s">
        <v>765</v>
      </c>
      <c r="B2849" s="83" t="s">
        <v>3208</v>
      </c>
      <c r="C2849" s="83" t="s">
        <v>3208</v>
      </c>
      <c r="D2849" s="83" t="s">
        <v>3209</v>
      </c>
      <c r="E2849" s="83" t="s">
        <v>3210</v>
      </c>
      <c r="F2849" s="83" t="s">
        <v>9190</v>
      </c>
      <c r="G2849" s="83" t="s">
        <v>3224</v>
      </c>
      <c r="H2849" s="83">
        <v>237</v>
      </c>
      <c r="I2849" s="83" t="s">
        <v>3213</v>
      </c>
      <c r="J2849" s="83" t="s">
        <v>3899</v>
      </c>
      <c r="K2849" s="83" t="s">
        <v>3215</v>
      </c>
    </row>
    <row r="2850" spans="1:11" ht="51.75" x14ac:dyDescent="0.25">
      <c r="A2850" s="83" t="s">
        <v>2588</v>
      </c>
      <c r="B2850" s="83" t="s">
        <v>3208</v>
      </c>
      <c r="C2850" s="83" t="s">
        <v>3208</v>
      </c>
      <c r="D2850" s="83" t="s">
        <v>3713</v>
      </c>
      <c r="E2850" s="83" t="s">
        <v>3761</v>
      </c>
      <c r="F2850" s="83" t="s">
        <v>3974</v>
      </c>
      <c r="G2850" s="83" t="s">
        <v>4886</v>
      </c>
      <c r="H2850" s="83">
        <v>0</v>
      </c>
      <c r="I2850" s="83" t="s">
        <v>3229</v>
      </c>
      <c r="J2850" s="83" t="s">
        <v>3371</v>
      </c>
      <c r="K2850" s="83" t="s">
        <v>3215</v>
      </c>
    </row>
    <row r="2851" spans="1:11" ht="26.25" x14ac:dyDescent="0.25">
      <c r="A2851" s="83" t="s">
        <v>9191</v>
      </c>
      <c r="B2851" s="83" t="s">
        <v>3208</v>
      </c>
      <c r="C2851" s="83" t="s">
        <v>3208</v>
      </c>
      <c r="D2851" s="83" t="s">
        <v>3713</v>
      </c>
      <c r="E2851" s="83" t="s">
        <v>3714</v>
      </c>
      <c r="F2851" s="83" t="s">
        <v>4032</v>
      </c>
      <c r="G2851" s="83" t="s">
        <v>3417</v>
      </c>
      <c r="H2851" s="83">
        <v>0</v>
      </c>
      <c r="I2851" s="83" t="s">
        <v>3208</v>
      </c>
      <c r="J2851" s="83" t="s">
        <v>3208</v>
      </c>
      <c r="K2851" s="83" t="s">
        <v>3208</v>
      </c>
    </row>
    <row r="2852" spans="1:11" ht="26.25" x14ac:dyDescent="0.25">
      <c r="A2852" s="83" t="s">
        <v>9192</v>
      </c>
      <c r="B2852" s="83" t="s">
        <v>3208</v>
      </c>
      <c r="C2852" s="83" t="s">
        <v>9193</v>
      </c>
      <c r="D2852" s="83" t="s">
        <v>3718</v>
      </c>
      <c r="E2852" s="83" t="s">
        <v>3702</v>
      </c>
      <c r="F2852" s="83" t="s">
        <v>9194</v>
      </c>
      <c r="G2852" s="83" t="s">
        <v>6428</v>
      </c>
      <c r="H2852" s="83">
        <v>10</v>
      </c>
      <c r="I2852" s="83" t="s">
        <v>3208</v>
      </c>
      <c r="J2852" s="83" t="s">
        <v>3208</v>
      </c>
      <c r="K2852" s="83" t="s">
        <v>3208</v>
      </c>
    </row>
    <row r="2853" spans="1:11" ht="39" x14ac:dyDescent="0.25">
      <c r="A2853" s="83" t="s">
        <v>2430</v>
      </c>
      <c r="B2853" s="83" t="s">
        <v>3208</v>
      </c>
      <c r="C2853" s="83" t="s">
        <v>3208</v>
      </c>
      <c r="D2853" s="83" t="s">
        <v>3713</v>
      </c>
      <c r="E2853" s="83" t="s">
        <v>3761</v>
      </c>
      <c r="F2853" s="83" t="s">
        <v>3976</v>
      </c>
      <c r="G2853" s="83" t="s">
        <v>6503</v>
      </c>
      <c r="H2853" s="83">
        <v>0</v>
      </c>
      <c r="I2853" s="83" t="s">
        <v>3229</v>
      </c>
      <c r="J2853" s="83" t="s">
        <v>356</v>
      </c>
      <c r="K2853" s="83" t="s">
        <v>3215</v>
      </c>
    </row>
    <row r="2854" spans="1:11" ht="51.75" x14ac:dyDescent="0.25">
      <c r="A2854" s="83" t="s">
        <v>2599</v>
      </c>
      <c r="B2854" s="83" t="s">
        <v>3208</v>
      </c>
      <c r="C2854" s="83" t="s">
        <v>3208</v>
      </c>
      <c r="D2854" s="83" t="s">
        <v>3713</v>
      </c>
      <c r="E2854" s="83" t="s">
        <v>3761</v>
      </c>
      <c r="F2854" s="83" t="s">
        <v>5643</v>
      </c>
      <c r="G2854" s="83" t="s">
        <v>3986</v>
      </c>
      <c r="H2854" s="83">
        <v>0</v>
      </c>
      <c r="I2854" s="83" t="s">
        <v>3229</v>
      </c>
      <c r="J2854" s="83" t="s">
        <v>3337</v>
      </c>
      <c r="K2854" s="83" t="s">
        <v>3215</v>
      </c>
    </row>
    <row r="2855" spans="1:11" ht="51.75" x14ac:dyDescent="0.25">
      <c r="A2855" s="83" t="s">
        <v>2420</v>
      </c>
      <c r="B2855" s="83" t="s">
        <v>3208</v>
      </c>
      <c r="C2855" s="83" t="s">
        <v>3208</v>
      </c>
      <c r="D2855" s="83" t="s">
        <v>3713</v>
      </c>
      <c r="E2855" s="83" t="s">
        <v>3761</v>
      </c>
      <c r="F2855" s="83" t="s">
        <v>5633</v>
      </c>
      <c r="G2855" s="83" t="s">
        <v>5634</v>
      </c>
      <c r="H2855" s="83">
        <v>0</v>
      </c>
      <c r="I2855" s="83" t="s">
        <v>3229</v>
      </c>
      <c r="J2855" s="83" t="s">
        <v>3730</v>
      </c>
      <c r="K2855" s="83" t="s">
        <v>3215</v>
      </c>
    </row>
    <row r="2856" spans="1:11" ht="51.75" x14ac:dyDescent="0.25">
      <c r="A2856" s="83" t="s">
        <v>2628</v>
      </c>
      <c r="B2856" s="83" t="s">
        <v>3208</v>
      </c>
      <c r="C2856" s="83" t="s">
        <v>3208</v>
      </c>
      <c r="D2856" s="83" t="s">
        <v>3713</v>
      </c>
      <c r="E2856" s="83" t="s">
        <v>3761</v>
      </c>
      <c r="F2856" s="83" t="s">
        <v>4074</v>
      </c>
      <c r="G2856" s="83" t="s">
        <v>4898</v>
      </c>
      <c r="H2856" s="83">
        <v>0</v>
      </c>
      <c r="I2856" s="83" t="s">
        <v>3213</v>
      </c>
      <c r="J2856" s="83" t="s">
        <v>3257</v>
      </c>
      <c r="K2856" s="83" t="s">
        <v>3215</v>
      </c>
    </row>
    <row r="2857" spans="1:11" ht="26.25" x14ac:dyDescent="0.25">
      <c r="A2857" s="83" t="s">
        <v>2492</v>
      </c>
      <c r="B2857" s="83" t="s">
        <v>3208</v>
      </c>
      <c r="C2857" s="83" t="s">
        <v>3208</v>
      </c>
      <c r="D2857" s="83" t="s">
        <v>3713</v>
      </c>
      <c r="E2857" s="83" t="s">
        <v>3761</v>
      </c>
      <c r="F2857" s="83" t="s">
        <v>9195</v>
      </c>
      <c r="G2857" s="83" t="s">
        <v>4837</v>
      </c>
      <c r="H2857" s="83">
        <v>0</v>
      </c>
      <c r="I2857" s="83" t="s">
        <v>3229</v>
      </c>
      <c r="J2857" s="83" t="s">
        <v>3311</v>
      </c>
      <c r="K2857" s="83" t="s">
        <v>3215</v>
      </c>
    </row>
    <row r="2858" spans="1:11" ht="26.25" x14ac:dyDescent="0.25">
      <c r="A2858" s="83" t="s">
        <v>460</v>
      </c>
      <c r="B2858" s="83" t="s">
        <v>3208</v>
      </c>
      <c r="C2858" s="83" t="s">
        <v>9196</v>
      </c>
      <c r="D2858" s="83" t="s">
        <v>3741</v>
      </c>
      <c r="E2858" s="83" t="s">
        <v>3727</v>
      </c>
      <c r="F2858" s="83" t="s">
        <v>4864</v>
      </c>
      <c r="G2858" s="83" t="s">
        <v>7241</v>
      </c>
      <c r="H2858" s="83">
        <v>2.2200000000000002</v>
      </c>
      <c r="I2858" s="83" t="s">
        <v>3213</v>
      </c>
      <c r="J2858" s="83" t="s">
        <v>4000</v>
      </c>
      <c r="K2858" s="83" t="s">
        <v>3215</v>
      </c>
    </row>
    <row r="2859" spans="1:11" x14ac:dyDescent="0.25">
      <c r="A2859" s="83" t="s">
        <v>9197</v>
      </c>
      <c r="B2859" s="83" t="s">
        <v>3208</v>
      </c>
      <c r="C2859" s="83" t="s">
        <v>3208</v>
      </c>
      <c r="D2859" s="83" t="s">
        <v>3209</v>
      </c>
      <c r="E2859" s="83" t="s">
        <v>3663</v>
      </c>
      <c r="F2859" s="83" t="s">
        <v>5636</v>
      </c>
      <c r="G2859" s="83" t="s">
        <v>3927</v>
      </c>
      <c r="H2859" s="83">
        <v>5</v>
      </c>
      <c r="I2859" s="83" t="s">
        <v>3208</v>
      </c>
      <c r="J2859" s="83" t="s">
        <v>3208</v>
      </c>
      <c r="K2859" s="83" t="s">
        <v>3208</v>
      </c>
    </row>
    <row r="2860" spans="1:11" ht="26.25" x14ac:dyDescent="0.25">
      <c r="A2860" s="83" t="s">
        <v>2663</v>
      </c>
      <c r="B2860" s="83" t="s">
        <v>3208</v>
      </c>
      <c r="C2860" s="83" t="s">
        <v>3208</v>
      </c>
      <c r="D2860" s="83" t="s">
        <v>3713</v>
      </c>
      <c r="E2860" s="83" t="s">
        <v>3761</v>
      </c>
      <c r="F2860" s="83" t="s">
        <v>7863</v>
      </c>
      <c r="G2860" s="83" t="s">
        <v>7864</v>
      </c>
      <c r="H2860" s="83">
        <v>0</v>
      </c>
      <c r="I2860" s="83" t="s">
        <v>3213</v>
      </c>
      <c r="J2860" s="83" t="s">
        <v>3948</v>
      </c>
      <c r="K2860" s="83" t="s">
        <v>3215</v>
      </c>
    </row>
    <row r="2861" spans="1:11" ht="26.25" x14ac:dyDescent="0.25">
      <c r="A2861" s="83" t="s">
        <v>9198</v>
      </c>
      <c r="B2861" s="83" t="s">
        <v>3208</v>
      </c>
      <c r="C2861" s="83" t="s">
        <v>3208</v>
      </c>
      <c r="D2861" s="83" t="s">
        <v>3713</v>
      </c>
      <c r="E2861" s="83" t="s">
        <v>3714</v>
      </c>
      <c r="F2861" s="83" t="s">
        <v>4067</v>
      </c>
      <c r="G2861" s="83" t="s">
        <v>4068</v>
      </c>
      <c r="H2861" s="83">
        <v>0</v>
      </c>
      <c r="I2861" s="83" t="s">
        <v>3208</v>
      </c>
      <c r="J2861" s="83" t="s">
        <v>3208</v>
      </c>
      <c r="K2861" s="83" t="s">
        <v>3208</v>
      </c>
    </row>
    <row r="2862" spans="1:11" ht="26.25" x14ac:dyDescent="0.25">
      <c r="A2862" s="83" t="s">
        <v>9199</v>
      </c>
      <c r="B2862" s="83" t="s">
        <v>3208</v>
      </c>
      <c r="C2862" s="83" t="s">
        <v>3208</v>
      </c>
      <c r="D2862" s="83" t="s">
        <v>3713</v>
      </c>
      <c r="E2862" s="83" t="s">
        <v>3714</v>
      </c>
      <c r="F2862" s="83" t="s">
        <v>9200</v>
      </c>
      <c r="G2862" s="83" t="s">
        <v>9201</v>
      </c>
      <c r="H2862" s="83">
        <v>0</v>
      </c>
      <c r="I2862" s="83" t="s">
        <v>3208</v>
      </c>
      <c r="J2862" s="83" t="s">
        <v>3208</v>
      </c>
      <c r="K2862" s="83" t="s">
        <v>3208</v>
      </c>
    </row>
    <row r="2863" spans="1:11" ht="51.75" x14ac:dyDescent="0.25">
      <c r="A2863" s="83" t="s">
        <v>2320</v>
      </c>
      <c r="B2863" s="83" t="s">
        <v>3208</v>
      </c>
      <c r="C2863" s="83" t="s">
        <v>3208</v>
      </c>
      <c r="D2863" s="83" t="s">
        <v>3713</v>
      </c>
      <c r="E2863" s="83" t="s">
        <v>3761</v>
      </c>
      <c r="F2863" s="83" t="s">
        <v>3895</v>
      </c>
      <c r="G2863" s="83" t="s">
        <v>152</v>
      </c>
      <c r="H2863" s="83">
        <v>0</v>
      </c>
      <c r="I2863" s="83" t="s">
        <v>3213</v>
      </c>
      <c r="J2863" s="83" t="s">
        <v>3538</v>
      </c>
      <c r="K2863" s="83" t="s">
        <v>3215</v>
      </c>
    </row>
    <row r="2864" spans="1:11" ht="26.25" x14ac:dyDescent="0.25">
      <c r="A2864" s="83" t="s">
        <v>9202</v>
      </c>
      <c r="B2864" s="83" t="s">
        <v>3208</v>
      </c>
      <c r="C2864" s="83" t="s">
        <v>3208</v>
      </c>
      <c r="D2864" s="83" t="s">
        <v>3713</v>
      </c>
      <c r="E2864" s="83" t="s">
        <v>3714</v>
      </c>
      <c r="F2864" s="83" t="s">
        <v>5675</v>
      </c>
      <c r="G2864" s="83" t="s">
        <v>4039</v>
      </c>
      <c r="H2864" s="83">
        <v>0</v>
      </c>
      <c r="I2864" s="83" t="s">
        <v>3208</v>
      </c>
      <c r="J2864" s="83" t="s">
        <v>3208</v>
      </c>
      <c r="K2864" s="83" t="s">
        <v>3208</v>
      </c>
    </row>
    <row r="2865" spans="1:11" ht="26.25" x14ac:dyDescent="0.25">
      <c r="A2865" s="83" t="s">
        <v>9203</v>
      </c>
      <c r="B2865" s="83" t="s">
        <v>3208</v>
      </c>
      <c r="C2865" s="83" t="s">
        <v>3208</v>
      </c>
      <c r="D2865" s="83" t="s">
        <v>8421</v>
      </c>
      <c r="E2865" s="83" t="s">
        <v>3966</v>
      </c>
      <c r="F2865" s="83" t="s">
        <v>9204</v>
      </c>
      <c r="G2865" s="83" t="s">
        <v>9205</v>
      </c>
      <c r="H2865" s="83">
        <v>0</v>
      </c>
      <c r="I2865" s="83" t="s">
        <v>3208</v>
      </c>
      <c r="J2865" s="83" t="s">
        <v>3208</v>
      </c>
      <c r="K2865" s="83" t="s">
        <v>3208</v>
      </c>
    </row>
    <row r="2866" spans="1:11" ht="51.75" x14ac:dyDescent="0.25">
      <c r="A2866" s="83" t="s">
        <v>2624</v>
      </c>
      <c r="B2866" s="83" t="s">
        <v>3208</v>
      </c>
      <c r="C2866" s="83" t="s">
        <v>3208</v>
      </c>
      <c r="D2866" s="83" t="s">
        <v>3713</v>
      </c>
      <c r="E2866" s="83" t="s">
        <v>3761</v>
      </c>
      <c r="F2866" s="83" t="s">
        <v>6463</v>
      </c>
      <c r="G2866" s="83" t="s">
        <v>6464</v>
      </c>
      <c r="H2866" s="83">
        <v>0</v>
      </c>
      <c r="I2866" s="83" t="s">
        <v>3229</v>
      </c>
      <c r="J2866" s="83" t="s">
        <v>3238</v>
      </c>
      <c r="K2866" s="83" t="s">
        <v>3215</v>
      </c>
    </row>
    <row r="2867" spans="1:11" ht="26.25" x14ac:dyDescent="0.25">
      <c r="A2867" s="83" t="s">
        <v>445</v>
      </c>
      <c r="B2867" s="83" t="s">
        <v>3208</v>
      </c>
      <c r="C2867" s="83" t="s">
        <v>9206</v>
      </c>
      <c r="D2867" s="83" t="s">
        <v>3718</v>
      </c>
      <c r="E2867" s="83" t="s">
        <v>3727</v>
      </c>
      <c r="F2867" s="83" t="s">
        <v>9207</v>
      </c>
      <c r="G2867" s="83" t="s">
        <v>7864</v>
      </c>
      <c r="H2867" s="83">
        <v>5</v>
      </c>
      <c r="I2867" s="83" t="s">
        <v>3213</v>
      </c>
      <c r="J2867" s="83" t="s">
        <v>3948</v>
      </c>
      <c r="K2867" s="83" t="s">
        <v>3215</v>
      </c>
    </row>
    <row r="2868" spans="1:11" ht="51.75" x14ac:dyDescent="0.25">
      <c r="A2868" s="83" t="s">
        <v>656</v>
      </c>
      <c r="B2868" s="83" t="s">
        <v>9208</v>
      </c>
      <c r="C2868" s="83" t="s">
        <v>9209</v>
      </c>
      <c r="D2868" s="83" t="s">
        <v>3209</v>
      </c>
      <c r="E2868" s="83" t="s">
        <v>3246</v>
      </c>
      <c r="F2868" s="83" t="s">
        <v>8526</v>
      </c>
      <c r="G2868" s="83" t="s">
        <v>9210</v>
      </c>
      <c r="H2868" s="83">
        <v>25</v>
      </c>
      <c r="I2868" s="83" t="s">
        <v>3229</v>
      </c>
      <c r="J2868" s="83" t="s">
        <v>6262</v>
      </c>
      <c r="K2868" s="83" t="s">
        <v>3215</v>
      </c>
    </row>
    <row r="2869" spans="1:11" ht="51.75" x14ac:dyDescent="0.25">
      <c r="A2869" s="83" t="s">
        <v>83</v>
      </c>
      <c r="B2869" s="83" t="s">
        <v>3208</v>
      </c>
      <c r="C2869" s="83" t="s">
        <v>3208</v>
      </c>
      <c r="D2869" s="83" t="s">
        <v>3713</v>
      </c>
      <c r="E2869" s="83" t="s">
        <v>3761</v>
      </c>
      <c r="F2869" s="83" t="s">
        <v>3950</v>
      </c>
      <c r="G2869" s="83" t="s">
        <v>3212</v>
      </c>
      <c r="H2869" s="83">
        <v>0</v>
      </c>
      <c r="I2869" s="83" t="s">
        <v>3213</v>
      </c>
      <c r="J2869" s="83" t="s">
        <v>3214</v>
      </c>
      <c r="K2869" s="83" t="s">
        <v>3215</v>
      </c>
    </row>
    <row r="2870" spans="1:11" ht="51.75" x14ac:dyDescent="0.25">
      <c r="A2870" s="83" t="s">
        <v>2655</v>
      </c>
      <c r="B2870" s="83" t="s">
        <v>3208</v>
      </c>
      <c r="C2870" s="83" t="s">
        <v>3208</v>
      </c>
      <c r="D2870" s="83" t="s">
        <v>3713</v>
      </c>
      <c r="E2870" s="83" t="s">
        <v>3761</v>
      </c>
      <c r="F2870" s="83" t="s">
        <v>7878</v>
      </c>
      <c r="G2870" s="83" t="s">
        <v>4851</v>
      </c>
      <c r="H2870" s="83">
        <v>0</v>
      </c>
      <c r="I2870" s="83" t="s">
        <v>3213</v>
      </c>
      <c r="J2870" s="83" t="s">
        <v>3214</v>
      </c>
      <c r="K2870" s="83" t="s">
        <v>3215</v>
      </c>
    </row>
    <row r="2871" spans="1:11" ht="51.75" x14ac:dyDescent="0.25">
      <c r="A2871" s="83" t="s">
        <v>2550</v>
      </c>
      <c r="B2871" s="83" t="s">
        <v>3208</v>
      </c>
      <c r="C2871" s="83" t="s">
        <v>3208</v>
      </c>
      <c r="D2871" s="83" t="s">
        <v>3713</v>
      </c>
      <c r="E2871" s="83" t="s">
        <v>3761</v>
      </c>
      <c r="F2871" s="83" t="s">
        <v>3886</v>
      </c>
      <c r="G2871" s="83" t="s">
        <v>3520</v>
      </c>
      <c r="H2871" s="83">
        <v>0</v>
      </c>
      <c r="I2871" s="83" t="s">
        <v>3229</v>
      </c>
      <c r="J2871" s="83" t="s">
        <v>3521</v>
      </c>
      <c r="K2871" s="83" t="s">
        <v>3215</v>
      </c>
    </row>
    <row r="2872" spans="1:11" ht="64.5" x14ac:dyDescent="0.25">
      <c r="A2872" s="83" t="s">
        <v>465</v>
      </c>
      <c r="B2872" s="83" t="s">
        <v>3208</v>
      </c>
      <c r="C2872" s="83" t="s">
        <v>3208</v>
      </c>
      <c r="D2872" s="83" t="s">
        <v>3209</v>
      </c>
      <c r="E2872" s="83" t="s">
        <v>3210</v>
      </c>
      <c r="F2872" s="83" t="s">
        <v>9211</v>
      </c>
      <c r="G2872" s="83" t="s">
        <v>4885</v>
      </c>
      <c r="H2872" s="83">
        <v>19.170000000000002</v>
      </c>
      <c r="I2872" s="83" t="s">
        <v>3229</v>
      </c>
      <c r="J2872" s="83" t="s">
        <v>3601</v>
      </c>
      <c r="K2872" s="83" t="s">
        <v>3215</v>
      </c>
    </row>
    <row r="2873" spans="1:11" ht="26.25" x14ac:dyDescent="0.25">
      <c r="A2873" s="83" t="s">
        <v>2402</v>
      </c>
      <c r="B2873" s="83" t="s">
        <v>3208</v>
      </c>
      <c r="C2873" s="83" t="s">
        <v>3208</v>
      </c>
      <c r="D2873" s="83" t="s">
        <v>3713</v>
      </c>
      <c r="E2873" s="83" t="s">
        <v>3761</v>
      </c>
      <c r="F2873" s="83" t="s">
        <v>4013</v>
      </c>
      <c r="G2873" s="83" t="s">
        <v>4870</v>
      </c>
      <c r="H2873" s="83">
        <v>0</v>
      </c>
      <c r="I2873" s="83" t="s">
        <v>3213</v>
      </c>
      <c r="J2873" s="83" t="s">
        <v>3896</v>
      </c>
      <c r="K2873" s="83" t="s">
        <v>3215</v>
      </c>
    </row>
    <row r="2874" spans="1:11" ht="26.25" x14ac:dyDescent="0.25">
      <c r="A2874" s="83" t="s">
        <v>2335</v>
      </c>
      <c r="B2874" s="83" t="s">
        <v>3208</v>
      </c>
      <c r="C2874" s="83" t="s">
        <v>3208</v>
      </c>
      <c r="D2874" s="83" t="s">
        <v>3713</v>
      </c>
      <c r="E2874" s="83" t="s">
        <v>3761</v>
      </c>
      <c r="F2874" s="83" t="s">
        <v>3895</v>
      </c>
      <c r="G2874" s="83" t="s">
        <v>3757</v>
      </c>
      <c r="H2874" s="83">
        <v>0</v>
      </c>
      <c r="I2874" s="83" t="s">
        <v>3213</v>
      </c>
      <c r="J2874" s="83" t="s">
        <v>3896</v>
      </c>
      <c r="K2874" s="83" t="s">
        <v>3215</v>
      </c>
    </row>
    <row r="2875" spans="1:11" ht="51.75" x14ac:dyDescent="0.25">
      <c r="A2875" s="83" t="s">
        <v>2171</v>
      </c>
      <c r="B2875" s="83" t="s">
        <v>3208</v>
      </c>
      <c r="C2875" s="83" t="s">
        <v>3208</v>
      </c>
      <c r="D2875" s="83" t="s">
        <v>3713</v>
      </c>
      <c r="E2875" s="83" t="s">
        <v>3761</v>
      </c>
      <c r="F2875" s="83" t="s">
        <v>3834</v>
      </c>
      <c r="G2875" s="83" t="s">
        <v>3448</v>
      </c>
      <c r="H2875" s="83">
        <v>0</v>
      </c>
      <c r="I2875" s="83" t="s">
        <v>3229</v>
      </c>
      <c r="J2875" s="83" t="s">
        <v>3238</v>
      </c>
      <c r="K2875" s="83" t="s">
        <v>3215</v>
      </c>
    </row>
    <row r="2876" spans="1:11" ht="26.25" x14ac:dyDescent="0.25">
      <c r="A2876" s="83" t="s">
        <v>420</v>
      </c>
      <c r="B2876" s="83" t="s">
        <v>3208</v>
      </c>
      <c r="C2876" s="83" t="s">
        <v>3208</v>
      </c>
      <c r="D2876" s="83" t="s">
        <v>3209</v>
      </c>
      <c r="E2876" s="83" t="s">
        <v>3210</v>
      </c>
      <c r="F2876" s="83" t="s">
        <v>8405</v>
      </c>
      <c r="G2876" s="83" t="s">
        <v>3791</v>
      </c>
      <c r="H2876" s="83">
        <v>108</v>
      </c>
      <c r="I2876" s="83" t="s">
        <v>3229</v>
      </c>
      <c r="J2876" s="83" t="s">
        <v>3311</v>
      </c>
      <c r="K2876" s="83" t="s">
        <v>3215</v>
      </c>
    </row>
    <row r="2877" spans="1:11" ht="64.5" x14ac:dyDescent="0.25">
      <c r="A2877" s="83" t="s">
        <v>2676</v>
      </c>
      <c r="B2877" s="83" t="s">
        <v>3208</v>
      </c>
      <c r="C2877" s="83" t="s">
        <v>3208</v>
      </c>
      <c r="D2877" s="83" t="s">
        <v>3713</v>
      </c>
      <c r="E2877" s="83" t="s">
        <v>3761</v>
      </c>
      <c r="F2877" s="83" t="s">
        <v>6468</v>
      </c>
      <c r="G2877" s="83" t="s">
        <v>5828</v>
      </c>
      <c r="H2877" s="83">
        <v>0</v>
      </c>
      <c r="I2877" s="83" t="s">
        <v>3213</v>
      </c>
      <c r="J2877" s="83" t="s">
        <v>3219</v>
      </c>
      <c r="K2877" s="83" t="s">
        <v>3215</v>
      </c>
    </row>
    <row r="2878" spans="1:11" ht="26.25" x14ac:dyDescent="0.25">
      <c r="A2878" s="83" t="s">
        <v>963</v>
      </c>
      <c r="B2878" s="83" t="s">
        <v>7217</v>
      </c>
      <c r="C2878" s="83" t="s">
        <v>9212</v>
      </c>
      <c r="D2878" s="83" t="s">
        <v>3209</v>
      </c>
      <c r="E2878" s="83" t="s">
        <v>3246</v>
      </c>
      <c r="F2878" s="83" t="s">
        <v>7219</v>
      </c>
      <c r="G2878" s="83" t="s">
        <v>9213</v>
      </c>
      <c r="H2878" s="83">
        <v>8.1</v>
      </c>
      <c r="I2878" s="83" t="s">
        <v>3213</v>
      </c>
      <c r="J2878" s="83" t="s">
        <v>3467</v>
      </c>
      <c r="K2878" s="83" t="s">
        <v>3215</v>
      </c>
    </row>
    <row r="2879" spans="1:11" ht="26.25" x14ac:dyDescent="0.25">
      <c r="A2879" s="83" t="s">
        <v>2677</v>
      </c>
      <c r="B2879" s="83" t="s">
        <v>3208</v>
      </c>
      <c r="C2879" s="83" t="s">
        <v>3208</v>
      </c>
      <c r="D2879" s="83" t="s">
        <v>3713</v>
      </c>
      <c r="E2879" s="83" t="s">
        <v>3761</v>
      </c>
      <c r="F2879" s="83" t="s">
        <v>4084</v>
      </c>
      <c r="G2879" s="83" t="s">
        <v>4085</v>
      </c>
      <c r="H2879" s="83">
        <v>0</v>
      </c>
      <c r="I2879" s="83" t="s">
        <v>3213</v>
      </c>
      <c r="J2879" s="83" t="s">
        <v>3948</v>
      </c>
      <c r="K2879" s="83" t="s">
        <v>3215</v>
      </c>
    </row>
    <row r="2880" spans="1:11" ht="51.75" x14ac:dyDescent="0.25">
      <c r="A2880" s="83" t="s">
        <v>2786</v>
      </c>
      <c r="B2880" s="83" t="s">
        <v>3208</v>
      </c>
      <c r="C2880" s="83" t="s">
        <v>3208</v>
      </c>
      <c r="D2880" s="83" t="s">
        <v>3713</v>
      </c>
      <c r="E2880" s="83" t="s">
        <v>3761</v>
      </c>
      <c r="F2880" s="83" t="s">
        <v>9076</v>
      </c>
      <c r="G2880" s="83" t="s">
        <v>6593</v>
      </c>
      <c r="H2880" s="83">
        <v>0</v>
      </c>
      <c r="I2880" s="83" t="s">
        <v>3229</v>
      </c>
      <c r="J2880" s="83" t="s">
        <v>3332</v>
      </c>
      <c r="K2880" s="83" t="s">
        <v>3215</v>
      </c>
    </row>
    <row r="2881" spans="1:11" ht="26.25" x14ac:dyDescent="0.25">
      <c r="A2881" s="83" t="s">
        <v>9214</v>
      </c>
      <c r="B2881" s="83" t="s">
        <v>3208</v>
      </c>
      <c r="C2881" s="83" t="s">
        <v>3208</v>
      </c>
      <c r="D2881" s="83" t="s">
        <v>3713</v>
      </c>
      <c r="E2881" s="83" t="s">
        <v>3714</v>
      </c>
      <c r="F2881" s="83" t="s">
        <v>9215</v>
      </c>
      <c r="G2881" s="83" t="s">
        <v>4928</v>
      </c>
      <c r="H2881" s="83">
        <v>0</v>
      </c>
      <c r="I2881" s="83" t="s">
        <v>3208</v>
      </c>
      <c r="J2881" s="83" t="s">
        <v>3208</v>
      </c>
      <c r="K2881" s="83" t="s">
        <v>3208</v>
      </c>
    </row>
    <row r="2882" spans="1:11" ht="64.5" x14ac:dyDescent="0.25">
      <c r="A2882" s="83" t="s">
        <v>464</v>
      </c>
      <c r="B2882" s="83" t="s">
        <v>3208</v>
      </c>
      <c r="C2882" s="83" t="s">
        <v>3208</v>
      </c>
      <c r="D2882" s="83" t="s">
        <v>3209</v>
      </c>
      <c r="E2882" s="83" t="s">
        <v>3210</v>
      </c>
      <c r="F2882" s="83" t="s">
        <v>5761</v>
      </c>
      <c r="G2882" s="83" t="s">
        <v>9216</v>
      </c>
      <c r="H2882" s="83">
        <v>49.7</v>
      </c>
      <c r="I2882" s="83" t="s">
        <v>3213</v>
      </c>
      <c r="J2882" s="83" t="s">
        <v>3262</v>
      </c>
      <c r="K2882" s="83" t="s">
        <v>3215</v>
      </c>
    </row>
    <row r="2883" spans="1:11" ht="51.75" x14ac:dyDescent="0.25">
      <c r="A2883" s="83" t="s">
        <v>2718</v>
      </c>
      <c r="B2883" s="83" t="s">
        <v>3208</v>
      </c>
      <c r="C2883" s="83" t="s">
        <v>3208</v>
      </c>
      <c r="D2883" s="83" t="s">
        <v>3713</v>
      </c>
      <c r="E2883" s="83" t="s">
        <v>3761</v>
      </c>
      <c r="F2883" s="83" t="s">
        <v>9217</v>
      </c>
      <c r="G2883" s="83" t="s">
        <v>4925</v>
      </c>
      <c r="H2883" s="83">
        <v>0</v>
      </c>
      <c r="I2883" s="83" t="s">
        <v>3229</v>
      </c>
      <c r="J2883" s="83" t="s">
        <v>3337</v>
      </c>
      <c r="K2883" s="83" t="s">
        <v>3215</v>
      </c>
    </row>
    <row r="2884" spans="1:11" ht="26.25" x14ac:dyDescent="0.25">
      <c r="A2884" s="83" t="s">
        <v>9218</v>
      </c>
      <c r="B2884" s="83" t="s">
        <v>3208</v>
      </c>
      <c r="C2884" s="83" t="s">
        <v>3208</v>
      </c>
      <c r="D2884" s="83" t="s">
        <v>3713</v>
      </c>
      <c r="E2884" s="83" t="s">
        <v>3714</v>
      </c>
      <c r="F2884" s="83" t="s">
        <v>9219</v>
      </c>
      <c r="G2884" s="83" t="s">
        <v>4902</v>
      </c>
      <c r="H2884" s="83">
        <v>0</v>
      </c>
      <c r="I2884" s="83" t="s">
        <v>3208</v>
      </c>
      <c r="J2884" s="83" t="s">
        <v>3208</v>
      </c>
      <c r="K2884" s="83" t="s">
        <v>3208</v>
      </c>
    </row>
    <row r="2885" spans="1:11" ht="64.5" x14ac:dyDescent="0.25">
      <c r="A2885" s="83" t="s">
        <v>2753</v>
      </c>
      <c r="B2885" s="83" t="s">
        <v>3208</v>
      </c>
      <c r="C2885" s="83" t="s">
        <v>3208</v>
      </c>
      <c r="D2885" s="83" t="s">
        <v>3713</v>
      </c>
      <c r="E2885" s="83" t="s">
        <v>3761</v>
      </c>
      <c r="F2885" s="83" t="s">
        <v>9220</v>
      </c>
      <c r="G2885" s="83" t="s">
        <v>9221</v>
      </c>
      <c r="H2885" s="83">
        <v>0</v>
      </c>
      <c r="I2885" s="83" t="s">
        <v>3229</v>
      </c>
      <c r="J2885" s="83" t="s">
        <v>3380</v>
      </c>
      <c r="K2885" s="83" t="s">
        <v>3215</v>
      </c>
    </row>
    <row r="2886" spans="1:11" ht="64.5" x14ac:dyDescent="0.25">
      <c r="A2886" s="83" t="s">
        <v>2778</v>
      </c>
      <c r="B2886" s="83" t="s">
        <v>3208</v>
      </c>
      <c r="C2886" s="83" t="s">
        <v>3208</v>
      </c>
      <c r="D2886" s="83" t="s">
        <v>3713</v>
      </c>
      <c r="E2886" s="83" t="s">
        <v>3761</v>
      </c>
      <c r="F2886" s="83" t="s">
        <v>6507</v>
      </c>
      <c r="G2886" s="83" t="s">
        <v>5781</v>
      </c>
      <c r="H2886" s="83">
        <v>0</v>
      </c>
      <c r="I2886" s="83" t="s">
        <v>3213</v>
      </c>
      <c r="J2886" s="83" t="s">
        <v>3413</v>
      </c>
      <c r="K2886" s="83" t="s">
        <v>3215</v>
      </c>
    </row>
    <row r="2887" spans="1:11" ht="26.25" x14ac:dyDescent="0.25">
      <c r="A2887" s="83" t="s">
        <v>9222</v>
      </c>
      <c r="B2887" s="83" t="s">
        <v>9223</v>
      </c>
      <c r="C2887" s="83" t="s">
        <v>9224</v>
      </c>
      <c r="D2887" s="83" t="s">
        <v>3209</v>
      </c>
      <c r="E2887" s="83" t="s">
        <v>3702</v>
      </c>
      <c r="F2887" s="83" t="s">
        <v>9225</v>
      </c>
      <c r="G2887" s="83" t="s">
        <v>9226</v>
      </c>
      <c r="H2887" s="83">
        <v>224433</v>
      </c>
      <c r="I2887" s="83" t="s">
        <v>3208</v>
      </c>
      <c r="J2887" s="83" t="s">
        <v>3208</v>
      </c>
      <c r="K2887" s="83" t="s">
        <v>3208</v>
      </c>
    </row>
    <row r="2888" spans="1:11" ht="26.25" x14ac:dyDescent="0.25">
      <c r="A2888" s="83" t="s">
        <v>9227</v>
      </c>
      <c r="B2888" s="83" t="s">
        <v>3208</v>
      </c>
      <c r="C2888" s="83" t="s">
        <v>3208</v>
      </c>
      <c r="D2888" s="83" t="s">
        <v>3713</v>
      </c>
      <c r="E2888" s="83" t="s">
        <v>3714</v>
      </c>
      <c r="F2888" s="83" t="s">
        <v>4985</v>
      </c>
      <c r="G2888" s="83" t="s">
        <v>4986</v>
      </c>
      <c r="H2888" s="83">
        <v>0</v>
      </c>
      <c r="I2888" s="83" t="s">
        <v>3208</v>
      </c>
      <c r="J2888" s="83" t="s">
        <v>3208</v>
      </c>
      <c r="K2888" s="83" t="s">
        <v>3208</v>
      </c>
    </row>
    <row r="2889" spans="1:11" ht="51.75" x14ac:dyDescent="0.25">
      <c r="A2889" s="83" t="s">
        <v>1791</v>
      </c>
      <c r="B2889" s="83" t="s">
        <v>3208</v>
      </c>
      <c r="C2889" s="83" t="s">
        <v>3208</v>
      </c>
      <c r="D2889" s="83" t="s">
        <v>3713</v>
      </c>
      <c r="E2889" s="83" t="s">
        <v>3761</v>
      </c>
      <c r="F2889" s="83" t="s">
        <v>9228</v>
      </c>
      <c r="G2889" s="83" t="s">
        <v>9229</v>
      </c>
      <c r="H2889" s="83">
        <v>0</v>
      </c>
      <c r="I2889" s="83" t="s">
        <v>3229</v>
      </c>
      <c r="J2889" s="83" t="s">
        <v>3337</v>
      </c>
      <c r="K2889" s="83" t="s">
        <v>3215</v>
      </c>
    </row>
    <row r="2890" spans="1:11" ht="64.5" x14ac:dyDescent="0.25">
      <c r="A2890" s="83" t="s">
        <v>398</v>
      </c>
      <c r="B2890" s="83" t="s">
        <v>3208</v>
      </c>
      <c r="C2890" s="83" t="s">
        <v>9230</v>
      </c>
      <c r="D2890" s="83" t="s">
        <v>3718</v>
      </c>
      <c r="E2890" s="83" t="s">
        <v>3727</v>
      </c>
      <c r="F2890" s="83" t="s">
        <v>9231</v>
      </c>
      <c r="G2890" s="83" t="s">
        <v>9232</v>
      </c>
      <c r="H2890" s="83">
        <v>5</v>
      </c>
      <c r="I2890" s="83" t="s">
        <v>3229</v>
      </c>
      <c r="J2890" s="83" t="s">
        <v>3380</v>
      </c>
      <c r="K2890" s="83" t="s">
        <v>3215</v>
      </c>
    </row>
    <row r="2891" spans="1:11" ht="26.25" x14ac:dyDescent="0.25">
      <c r="A2891" s="83" t="s">
        <v>9233</v>
      </c>
      <c r="B2891" s="83" t="s">
        <v>3208</v>
      </c>
      <c r="C2891" s="83" t="s">
        <v>3208</v>
      </c>
      <c r="D2891" s="83" t="s">
        <v>3713</v>
      </c>
      <c r="E2891" s="83" t="s">
        <v>3714</v>
      </c>
      <c r="F2891" s="83" t="s">
        <v>9234</v>
      </c>
      <c r="G2891" s="83" t="s">
        <v>9232</v>
      </c>
      <c r="H2891" s="83">
        <v>0</v>
      </c>
      <c r="I2891" s="83" t="s">
        <v>3208</v>
      </c>
      <c r="J2891" s="83" t="s">
        <v>3208</v>
      </c>
      <c r="K2891" s="83" t="s">
        <v>3208</v>
      </c>
    </row>
    <row r="2892" spans="1:11" ht="64.5" x14ac:dyDescent="0.25">
      <c r="A2892" s="83" t="s">
        <v>2755</v>
      </c>
      <c r="B2892" s="83" t="s">
        <v>3208</v>
      </c>
      <c r="C2892" s="83" t="s">
        <v>3208</v>
      </c>
      <c r="D2892" s="83" t="s">
        <v>3713</v>
      </c>
      <c r="E2892" s="83" t="s">
        <v>3761</v>
      </c>
      <c r="F2892" s="83" t="s">
        <v>9220</v>
      </c>
      <c r="G2892" s="83" t="s">
        <v>4179</v>
      </c>
      <c r="H2892" s="83">
        <v>0</v>
      </c>
      <c r="I2892" s="83" t="s">
        <v>3229</v>
      </c>
      <c r="J2892" s="83" t="s">
        <v>3380</v>
      </c>
      <c r="K2892" s="83" t="s">
        <v>3215</v>
      </c>
    </row>
    <row r="2893" spans="1:11" ht="39" x14ac:dyDescent="0.25">
      <c r="A2893" s="83" t="s">
        <v>1814</v>
      </c>
      <c r="B2893" s="83" t="s">
        <v>3208</v>
      </c>
      <c r="C2893" s="83" t="s">
        <v>3208</v>
      </c>
      <c r="D2893" s="83" t="s">
        <v>3713</v>
      </c>
      <c r="E2893" s="83" t="s">
        <v>3761</v>
      </c>
      <c r="F2893" s="83" t="s">
        <v>4978</v>
      </c>
      <c r="G2893" s="83" t="s">
        <v>4979</v>
      </c>
      <c r="H2893" s="83">
        <v>0</v>
      </c>
      <c r="I2893" s="83" t="s">
        <v>3229</v>
      </c>
      <c r="J2893" s="83" t="s">
        <v>356</v>
      </c>
      <c r="K2893" s="83" t="s">
        <v>3215</v>
      </c>
    </row>
    <row r="2894" spans="1:11" ht="39" x14ac:dyDescent="0.25">
      <c r="A2894" s="83" t="s">
        <v>2776</v>
      </c>
      <c r="B2894" s="83" t="s">
        <v>3208</v>
      </c>
      <c r="C2894" s="83" t="s">
        <v>3208</v>
      </c>
      <c r="D2894" s="83" t="s">
        <v>3713</v>
      </c>
      <c r="E2894" s="83" t="s">
        <v>3761</v>
      </c>
      <c r="F2894" s="83" t="s">
        <v>9235</v>
      </c>
      <c r="G2894" s="83" t="s">
        <v>9236</v>
      </c>
      <c r="H2894" s="83">
        <v>0</v>
      </c>
      <c r="I2894" s="83" t="s">
        <v>3229</v>
      </c>
      <c r="J2894" s="83" t="s">
        <v>356</v>
      </c>
      <c r="K2894" s="83" t="s">
        <v>3215</v>
      </c>
    </row>
    <row r="2895" spans="1:11" ht="26.25" x14ac:dyDescent="0.25">
      <c r="A2895" s="83" t="s">
        <v>1846</v>
      </c>
      <c r="B2895" s="83" t="s">
        <v>3208</v>
      </c>
      <c r="C2895" s="83" t="s">
        <v>3208</v>
      </c>
      <c r="D2895" s="83" t="s">
        <v>3713</v>
      </c>
      <c r="E2895" s="83" t="s">
        <v>3761</v>
      </c>
      <c r="F2895" s="83" t="s">
        <v>9237</v>
      </c>
      <c r="G2895" s="83" t="s">
        <v>7653</v>
      </c>
      <c r="H2895" s="83">
        <v>0</v>
      </c>
      <c r="I2895" s="83" t="s">
        <v>3213</v>
      </c>
      <c r="J2895" s="83" t="s">
        <v>3467</v>
      </c>
      <c r="K2895" s="83" t="s">
        <v>3215</v>
      </c>
    </row>
    <row r="2896" spans="1:11" ht="51.75" x14ac:dyDescent="0.25">
      <c r="A2896" s="83" t="s">
        <v>790</v>
      </c>
      <c r="B2896" s="83" t="s">
        <v>9238</v>
      </c>
      <c r="C2896" s="83" t="s">
        <v>3208</v>
      </c>
      <c r="D2896" s="83" t="s">
        <v>3209</v>
      </c>
      <c r="E2896" s="83" t="s">
        <v>3226</v>
      </c>
      <c r="F2896" s="83" t="s">
        <v>9239</v>
      </c>
      <c r="G2896" s="83" t="s">
        <v>3375</v>
      </c>
      <c r="H2896" s="83">
        <v>14</v>
      </c>
      <c r="I2896" s="83" t="s">
        <v>3229</v>
      </c>
      <c r="J2896" s="83" t="s">
        <v>3280</v>
      </c>
      <c r="K2896" s="83" t="s">
        <v>3215</v>
      </c>
    </row>
    <row r="2897" spans="1:11" ht="26.25" x14ac:dyDescent="0.25">
      <c r="A2897" s="83" t="s">
        <v>9240</v>
      </c>
      <c r="B2897" s="83" t="s">
        <v>3208</v>
      </c>
      <c r="C2897" s="83" t="s">
        <v>3208</v>
      </c>
      <c r="D2897" s="83" t="s">
        <v>3965</v>
      </c>
      <c r="E2897" s="83" t="s">
        <v>4054</v>
      </c>
      <c r="F2897" s="83" t="s">
        <v>4864</v>
      </c>
      <c r="G2897" s="83" t="s">
        <v>9241</v>
      </c>
      <c r="H2897" s="83">
        <v>0</v>
      </c>
      <c r="I2897" s="83" t="s">
        <v>3213</v>
      </c>
      <c r="J2897" s="83" t="s">
        <v>4000</v>
      </c>
      <c r="K2897" s="83" t="s">
        <v>3215</v>
      </c>
    </row>
    <row r="2898" spans="1:11" x14ac:dyDescent="0.25">
      <c r="A2898" s="83" t="s">
        <v>9242</v>
      </c>
      <c r="B2898" s="83" t="s">
        <v>9243</v>
      </c>
      <c r="C2898" s="83" t="s">
        <v>9244</v>
      </c>
      <c r="D2898" s="83" t="s">
        <v>3209</v>
      </c>
      <c r="E2898" s="83" t="s">
        <v>3702</v>
      </c>
      <c r="F2898" s="83" t="s">
        <v>9245</v>
      </c>
      <c r="G2898" s="83" t="s">
        <v>9246</v>
      </c>
      <c r="H2898" s="83">
        <v>246</v>
      </c>
      <c r="I2898" s="83" t="s">
        <v>3208</v>
      </c>
      <c r="J2898" s="83" t="s">
        <v>3208</v>
      </c>
      <c r="K2898" s="83" t="s">
        <v>3208</v>
      </c>
    </row>
    <row r="2899" spans="1:11" ht="64.5" x14ac:dyDescent="0.25">
      <c r="A2899" s="83" t="s">
        <v>2760</v>
      </c>
      <c r="B2899" s="83" t="s">
        <v>3208</v>
      </c>
      <c r="C2899" s="83" t="s">
        <v>3208</v>
      </c>
      <c r="D2899" s="83" t="s">
        <v>3713</v>
      </c>
      <c r="E2899" s="83" t="s">
        <v>3761</v>
      </c>
      <c r="F2899" s="83" t="s">
        <v>9247</v>
      </c>
      <c r="G2899" s="83" t="s">
        <v>9248</v>
      </c>
      <c r="H2899" s="83">
        <v>0</v>
      </c>
      <c r="I2899" s="83" t="s">
        <v>3229</v>
      </c>
      <c r="J2899" s="83" t="s">
        <v>3380</v>
      </c>
      <c r="K2899" s="83" t="s">
        <v>3215</v>
      </c>
    </row>
    <row r="2900" spans="1:11" ht="51.75" x14ac:dyDescent="0.25">
      <c r="A2900" s="83" t="s">
        <v>514</v>
      </c>
      <c r="B2900" s="83" t="s">
        <v>9249</v>
      </c>
      <c r="C2900" s="83" t="s">
        <v>3208</v>
      </c>
      <c r="D2900" s="83" t="s">
        <v>3209</v>
      </c>
      <c r="E2900" s="83" t="s">
        <v>3226</v>
      </c>
      <c r="F2900" s="83" t="s">
        <v>8007</v>
      </c>
      <c r="G2900" s="83" t="s">
        <v>3855</v>
      </c>
      <c r="H2900" s="83">
        <v>20</v>
      </c>
      <c r="I2900" s="83" t="s">
        <v>3229</v>
      </c>
      <c r="J2900" s="83" t="s">
        <v>3280</v>
      </c>
      <c r="K2900" s="83" t="s">
        <v>3215</v>
      </c>
    </row>
    <row r="2901" spans="1:11" ht="26.25" x14ac:dyDescent="0.25">
      <c r="A2901" s="83" t="s">
        <v>2882</v>
      </c>
      <c r="B2901" s="83" t="s">
        <v>3208</v>
      </c>
      <c r="C2901" s="83" t="s">
        <v>3208</v>
      </c>
      <c r="D2901" s="83" t="s">
        <v>3713</v>
      </c>
      <c r="E2901" s="83" t="s">
        <v>3761</v>
      </c>
      <c r="F2901" s="83" t="s">
        <v>9250</v>
      </c>
      <c r="G2901" s="83" t="s">
        <v>9251</v>
      </c>
      <c r="H2901" s="83">
        <v>0</v>
      </c>
      <c r="I2901" s="83" t="s">
        <v>3229</v>
      </c>
      <c r="J2901" s="83" t="s">
        <v>3222</v>
      </c>
      <c r="K2901" s="83" t="s">
        <v>3215</v>
      </c>
    </row>
    <row r="2902" spans="1:11" ht="26.25" x14ac:dyDescent="0.25">
      <c r="A2902" s="83" t="s">
        <v>2847</v>
      </c>
      <c r="B2902" s="83" t="s">
        <v>3208</v>
      </c>
      <c r="C2902" s="83" t="s">
        <v>3208</v>
      </c>
      <c r="D2902" s="83" t="s">
        <v>3713</v>
      </c>
      <c r="E2902" s="83" t="s">
        <v>3761</v>
      </c>
      <c r="F2902" s="83" t="s">
        <v>6568</v>
      </c>
      <c r="G2902" s="83" t="s">
        <v>9252</v>
      </c>
      <c r="H2902" s="83">
        <v>0</v>
      </c>
      <c r="I2902" s="83" t="s">
        <v>3213</v>
      </c>
      <c r="J2902" s="83" t="s">
        <v>3467</v>
      </c>
      <c r="K2902" s="83" t="s">
        <v>3215</v>
      </c>
    </row>
    <row r="2903" spans="1:11" ht="26.25" x14ac:dyDescent="0.25">
      <c r="A2903" s="83" t="s">
        <v>9253</v>
      </c>
      <c r="B2903" s="83" t="s">
        <v>3208</v>
      </c>
      <c r="C2903" s="83" t="s">
        <v>3208</v>
      </c>
      <c r="D2903" s="83" t="s">
        <v>4157</v>
      </c>
      <c r="E2903" s="83" t="s">
        <v>4248</v>
      </c>
      <c r="F2903" s="83" t="s">
        <v>9254</v>
      </c>
      <c r="G2903" s="83" t="s">
        <v>9255</v>
      </c>
      <c r="H2903" s="83">
        <v>0.03</v>
      </c>
      <c r="I2903" s="83" t="s">
        <v>3208</v>
      </c>
      <c r="J2903" s="83" t="s">
        <v>3208</v>
      </c>
      <c r="K2903" s="83" t="s">
        <v>3208</v>
      </c>
    </row>
    <row r="2904" spans="1:11" ht="26.25" x14ac:dyDescent="0.25">
      <c r="A2904" s="83" t="s">
        <v>2785</v>
      </c>
      <c r="B2904" s="83" t="s">
        <v>3208</v>
      </c>
      <c r="C2904" s="83" t="s">
        <v>3208</v>
      </c>
      <c r="D2904" s="83" t="s">
        <v>3713</v>
      </c>
      <c r="E2904" s="83" t="s">
        <v>3761</v>
      </c>
      <c r="F2904" s="83" t="s">
        <v>4180</v>
      </c>
      <c r="G2904" s="83" t="s">
        <v>4217</v>
      </c>
      <c r="H2904" s="83">
        <v>0</v>
      </c>
      <c r="I2904" s="83" t="s">
        <v>3213</v>
      </c>
      <c r="J2904" s="83" t="s">
        <v>3948</v>
      </c>
      <c r="K2904" s="83" t="s">
        <v>3215</v>
      </c>
    </row>
    <row r="2905" spans="1:11" ht="26.25" x14ac:dyDescent="0.25">
      <c r="A2905" s="83" t="s">
        <v>371</v>
      </c>
      <c r="B2905" s="83" t="s">
        <v>3208</v>
      </c>
      <c r="C2905" s="83" t="s">
        <v>9256</v>
      </c>
      <c r="D2905" s="83" t="s">
        <v>4157</v>
      </c>
      <c r="E2905" s="83" t="s">
        <v>3727</v>
      </c>
      <c r="F2905" s="83" t="s">
        <v>9257</v>
      </c>
      <c r="G2905" s="83" t="s">
        <v>9258</v>
      </c>
      <c r="H2905" s="83">
        <v>0.17</v>
      </c>
      <c r="I2905" s="83" t="s">
        <v>3213</v>
      </c>
      <c r="J2905" s="83" t="s">
        <v>3948</v>
      </c>
      <c r="K2905" s="83" t="s">
        <v>3215</v>
      </c>
    </row>
    <row r="2906" spans="1:11" ht="26.25" x14ac:dyDescent="0.25">
      <c r="A2906" s="83" t="s">
        <v>9259</v>
      </c>
      <c r="B2906" s="83" t="s">
        <v>3208</v>
      </c>
      <c r="C2906" s="83" t="s">
        <v>3208</v>
      </c>
      <c r="D2906" s="83" t="s">
        <v>3713</v>
      </c>
      <c r="E2906" s="83" t="s">
        <v>3714</v>
      </c>
      <c r="F2906" s="83" t="s">
        <v>5804</v>
      </c>
      <c r="G2906" s="83" t="s">
        <v>5566</v>
      </c>
      <c r="H2906" s="83">
        <v>0</v>
      </c>
      <c r="I2906" s="83" t="s">
        <v>3208</v>
      </c>
      <c r="J2906" s="83" t="s">
        <v>3208</v>
      </c>
      <c r="K2906" s="83" t="s">
        <v>3208</v>
      </c>
    </row>
    <row r="2907" spans="1:11" ht="26.25" x14ac:dyDescent="0.25">
      <c r="A2907" s="83" t="s">
        <v>9260</v>
      </c>
      <c r="B2907" s="83" t="s">
        <v>3208</v>
      </c>
      <c r="C2907" s="83" t="s">
        <v>3208</v>
      </c>
      <c r="D2907" s="83" t="s">
        <v>3713</v>
      </c>
      <c r="E2907" s="83" t="s">
        <v>3714</v>
      </c>
      <c r="F2907" s="83" t="s">
        <v>5804</v>
      </c>
      <c r="G2907" s="83" t="s">
        <v>5566</v>
      </c>
      <c r="H2907" s="83">
        <v>0</v>
      </c>
      <c r="I2907" s="83" t="s">
        <v>3208</v>
      </c>
      <c r="J2907" s="83" t="s">
        <v>3208</v>
      </c>
      <c r="K2907" s="83" t="s">
        <v>3208</v>
      </c>
    </row>
    <row r="2908" spans="1:11" ht="51.75" x14ac:dyDescent="0.25">
      <c r="A2908" s="83" t="s">
        <v>2868</v>
      </c>
      <c r="B2908" s="83" t="s">
        <v>3208</v>
      </c>
      <c r="C2908" s="83" t="s">
        <v>3208</v>
      </c>
      <c r="D2908" s="83" t="s">
        <v>3713</v>
      </c>
      <c r="E2908" s="83" t="s">
        <v>3761</v>
      </c>
      <c r="F2908" s="83" t="s">
        <v>9261</v>
      </c>
      <c r="G2908" s="83" t="s">
        <v>9262</v>
      </c>
      <c r="H2908" s="83">
        <v>0</v>
      </c>
      <c r="I2908" s="83" t="s">
        <v>3229</v>
      </c>
      <c r="J2908" s="83" t="s">
        <v>3332</v>
      </c>
      <c r="K2908" s="83" t="s">
        <v>3215</v>
      </c>
    </row>
    <row r="2909" spans="1:11" ht="51.75" x14ac:dyDescent="0.25">
      <c r="A2909" s="83" t="s">
        <v>426</v>
      </c>
      <c r="B2909" s="83" t="s">
        <v>3208</v>
      </c>
      <c r="C2909" s="83" t="s">
        <v>9263</v>
      </c>
      <c r="D2909" s="83" t="s">
        <v>3718</v>
      </c>
      <c r="E2909" s="83" t="s">
        <v>3727</v>
      </c>
      <c r="F2909" s="83" t="s">
        <v>9264</v>
      </c>
      <c r="G2909" s="83" t="s">
        <v>9265</v>
      </c>
      <c r="H2909" s="83">
        <v>2.09</v>
      </c>
      <c r="I2909" s="83" t="s">
        <v>3213</v>
      </c>
      <c r="J2909" s="83" t="s">
        <v>3214</v>
      </c>
      <c r="K2909" s="83" t="s">
        <v>3215</v>
      </c>
    </row>
    <row r="2910" spans="1:11" ht="26.25" x14ac:dyDescent="0.25">
      <c r="A2910" s="83" t="s">
        <v>9266</v>
      </c>
      <c r="B2910" s="83" t="s">
        <v>3208</v>
      </c>
      <c r="C2910" s="83" t="s">
        <v>3208</v>
      </c>
      <c r="D2910" s="83" t="s">
        <v>3713</v>
      </c>
      <c r="E2910" s="83" t="s">
        <v>3714</v>
      </c>
      <c r="F2910" s="83" t="s">
        <v>6554</v>
      </c>
      <c r="G2910" s="83" t="s">
        <v>6555</v>
      </c>
      <c r="H2910" s="83">
        <v>0</v>
      </c>
      <c r="I2910" s="83" t="s">
        <v>3208</v>
      </c>
      <c r="J2910" s="83" t="s">
        <v>3208</v>
      </c>
      <c r="K2910" s="83" t="s">
        <v>3208</v>
      </c>
    </row>
    <row r="2911" spans="1:11" ht="51.75" x14ac:dyDescent="0.25">
      <c r="A2911" s="83" t="s">
        <v>372</v>
      </c>
      <c r="B2911" s="83" t="s">
        <v>3208</v>
      </c>
      <c r="C2911" s="83" t="s">
        <v>9267</v>
      </c>
      <c r="D2911" s="83" t="s">
        <v>4157</v>
      </c>
      <c r="E2911" s="83" t="s">
        <v>3727</v>
      </c>
      <c r="F2911" s="83" t="s">
        <v>9268</v>
      </c>
      <c r="G2911" s="83" t="s">
        <v>9262</v>
      </c>
      <c r="H2911" s="83">
        <v>0.42</v>
      </c>
      <c r="I2911" s="83" t="s">
        <v>3229</v>
      </c>
      <c r="J2911" s="83" t="s">
        <v>3332</v>
      </c>
      <c r="K2911" s="83" t="s">
        <v>3215</v>
      </c>
    </row>
    <row r="2912" spans="1:11" ht="64.5" x14ac:dyDescent="0.25">
      <c r="A2912" s="83" t="s">
        <v>338</v>
      </c>
      <c r="B2912" s="83" t="s">
        <v>3208</v>
      </c>
      <c r="C2912" s="83" t="s">
        <v>9269</v>
      </c>
      <c r="D2912" s="83" t="s">
        <v>4157</v>
      </c>
      <c r="E2912" s="83" t="s">
        <v>3727</v>
      </c>
      <c r="F2912" s="83" t="s">
        <v>9270</v>
      </c>
      <c r="G2912" s="83" t="s">
        <v>9271</v>
      </c>
      <c r="H2912" s="83">
        <v>2.92</v>
      </c>
      <c r="I2912" s="83" t="s">
        <v>3229</v>
      </c>
      <c r="J2912" s="83" t="s">
        <v>3380</v>
      </c>
      <c r="K2912" s="83" t="s">
        <v>3215</v>
      </c>
    </row>
    <row r="2913" spans="1:11" ht="77.25" x14ac:dyDescent="0.25">
      <c r="A2913" s="83" t="s">
        <v>2820</v>
      </c>
      <c r="B2913" s="83" t="s">
        <v>3208</v>
      </c>
      <c r="C2913" s="83" t="s">
        <v>3208</v>
      </c>
      <c r="D2913" s="83" t="s">
        <v>3713</v>
      </c>
      <c r="E2913" s="83" t="s">
        <v>3761</v>
      </c>
      <c r="F2913" s="83" t="s">
        <v>9272</v>
      </c>
      <c r="G2913" s="83" t="s">
        <v>9273</v>
      </c>
      <c r="H2913" s="83">
        <v>0</v>
      </c>
      <c r="I2913" s="83" t="s">
        <v>3213</v>
      </c>
      <c r="J2913" s="83" t="s">
        <v>3621</v>
      </c>
      <c r="K2913" s="83" t="s">
        <v>3215</v>
      </c>
    </row>
    <row r="2914" spans="1:11" ht="64.5" x14ac:dyDescent="0.25">
      <c r="A2914" s="83" t="s">
        <v>2840</v>
      </c>
      <c r="B2914" s="83" t="s">
        <v>3208</v>
      </c>
      <c r="C2914" s="83" t="s">
        <v>3208</v>
      </c>
      <c r="D2914" s="83" t="s">
        <v>3713</v>
      </c>
      <c r="E2914" s="83" t="s">
        <v>3761</v>
      </c>
      <c r="F2914" s="83" t="s">
        <v>9274</v>
      </c>
      <c r="G2914" s="83" t="s">
        <v>9275</v>
      </c>
      <c r="H2914" s="83">
        <v>0</v>
      </c>
      <c r="I2914" s="83" t="s">
        <v>3229</v>
      </c>
      <c r="J2914" s="83" t="s">
        <v>3380</v>
      </c>
      <c r="K2914" s="83" t="s">
        <v>3215</v>
      </c>
    </row>
    <row r="2915" spans="1:11" ht="51.75" x14ac:dyDescent="0.25">
      <c r="A2915" s="83" t="s">
        <v>2164</v>
      </c>
      <c r="B2915" s="83" t="s">
        <v>3208</v>
      </c>
      <c r="C2915" s="83" t="s">
        <v>3208</v>
      </c>
      <c r="D2915" s="83" t="s">
        <v>3713</v>
      </c>
      <c r="E2915" s="83" t="s">
        <v>3761</v>
      </c>
      <c r="F2915" s="83" t="s">
        <v>9276</v>
      </c>
      <c r="G2915" s="83" t="s">
        <v>9277</v>
      </c>
      <c r="H2915" s="83">
        <v>0</v>
      </c>
      <c r="I2915" s="83" t="s">
        <v>3213</v>
      </c>
      <c r="J2915" s="83" t="s">
        <v>3271</v>
      </c>
      <c r="K2915" s="83" t="s">
        <v>3215</v>
      </c>
    </row>
    <row r="2916" spans="1:11" ht="26.25" x14ac:dyDescent="0.25">
      <c r="A2916" s="83" t="s">
        <v>2794</v>
      </c>
      <c r="B2916" s="83" t="s">
        <v>3208</v>
      </c>
      <c r="C2916" s="83" t="s">
        <v>3208</v>
      </c>
      <c r="D2916" s="83" t="s">
        <v>3713</v>
      </c>
      <c r="E2916" s="83" t="s">
        <v>3761</v>
      </c>
      <c r="F2916" s="83" t="s">
        <v>4168</v>
      </c>
      <c r="G2916" s="83" t="s">
        <v>5865</v>
      </c>
      <c r="H2916" s="83">
        <v>0</v>
      </c>
      <c r="I2916" s="83" t="s">
        <v>3213</v>
      </c>
      <c r="J2916" s="83" t="s">
        <v>3948</v>
      </c>
      <c r="K2916" s="83" t="s">
        <v>3215</v>
      </c>
    </row>
    <row r="2917" spans="1:11" ht="51.75" x14ac:dyDescent="0.25">
      <c r="A2917" s="83" t="s">
        <v>9278</v>
      </c>
      <c r="B2917" s="83" t="s">
        <v>3208</v>
      </c>
      <c r="C2917" s="83" t="s">
        <v>3208</v>
      </c>
      <c r="D2917" s="83" t="s">
        <v>3713</v>
      </c>
      <c r="E2917" s="83" t="s">
        <v>3714</v>
      </c>
      <c r="F2917" s="83" t="s">
        <v>8596</v>
      </c>
      <c r="G2917" s="83" t="s">
        <v>5240</v>
      </c>
      <c r="H2917" s="83">
        <v>0</v>
      </c>
      <c r="I2917" s="83" t="s">
        <v>3229</v>
      </c>
      <c r="J2917" s="83" t="s">
        <v>3238</v>
      </c>
      <c r="K2917" s="83" t="s">
        <v>3215</v>
      </c>
    </row>
    <row r="2918" spans="1:11" ht="26.25" x14ac:dyDescent="0.25">
      <c r="A2918" s="83" t="s">
        <v>9279</v>
      </c>
      <c r="B2918" s="83" t="s">
        <v>3208</v>
      </c>
      <c r="C2918" s="83" t="s">
        <v>3208</v>
      </c>
      <c r="D2918" s="83" t="s">
        <v>3713</v>
      </c>
      <c r="E2918" s="83" t="s">
        <v>3714</v>
      </c>
      <c r="F2918" s="83" t="s">
        <v>9280</v>
      </c>
      <c r="G2918" s="83" t="s">
        <v>9281</v>
      </c>
      <c r="H2918" s="83">
        <v>0</v>
      </c>
      <c r="I2918" s="83" t="s">
        <v>3208</v>
      </c>
      <c r="J2918" s="83" t="s">
        <v>3208</v>
      </c>
      <c r="K2918" s="83" t="s">
        <v>3208</v>
      </c>
    </row>
    <row r="2919" spans="1:11" ht="26.25" x14ac:dyDescent="0.25">
      <c r="A2919" s="83" t="s">
        <v>1881</v>
      </c>
      <c r="B2919" s="83" t="s">
        <v>3208</v>
      </c>
      <c r="C2919" s="83" t="s">
        <v>3208</v>
      </c>
      <c r="D2919" s="83" t="s">
        <v>3713</v>
      </c>
      <c r="E2919" s="83" t="s">
        <v>3761</v>
      </c>
      <c r="F2919" s="83" t="s">
        <v>6568</v>
      </c>
      <c r="G2919" s="83" t="s">
        <v>4175</v>
      </c>
      <c r="H2919" s="83">
        <v>0</v>
      </c>
      <c r="I2919" s="83" t="s">
        <v>3213</v>
      </c>
      <c r="J2919" s="83" t="s">
        <v>4176</v>
      </c>
      <c r="K2919" s="83" t="s">
        <v>3215</v>
      </c>
    </row>
    <row r="2920" spans="1:11" ht="26.25" x14ac:dyDescent="0.25">
      <c r="A2920" s="83" t="s">
        <v>9282</v>
      </c>
      <c r="B2920" s="83" t="s">
        <v>3208</v>
      </c>
      <c r="C2920" s="83" t="s">
        <v>3208</v>
      </c>
      <c r="D2920" s="83" t="s">
        <v>3713</v>
      </c>
      <c r="E2920" s="83" t="s">
        <v>3714</v>
      </c>
      <c r="F2920" s="83" t="s">
        <v>9283</v>
      </c>
      <c r="G2920" s="83" t="s">
        <v>9284</v>
      </c>
      <c r="H2920" s="83">
        <v>0</v>
      </c>
      <c r="I2920" s="83" t="s">
        <v>3208</v>
      </c>
      <c r="J2920" s="83" t="s">
        <v>3208</v>
      </c>
      <c r="K2920" s="83" t="s">
        <v>3208</v>
      </c>
    </row>
    <row r="2921" spans="1:11" x14ac:dyDescent="0.25">
      <c r="A2921" s="83" t="s">
        <v>9285</v>
      </c>
      <c r="B2921" s="83" t="s">
        <v>4304</v>
      </c>
      <c r="C2921" s="83" t="s">
        <v>9286</v>
      </c>
      <c r="D2921" s="83" t="s">
        <v>3209</v>
      </c>
      <c r="E2921" s="83" t="s">
        <v>3702</v>
      </c>
      <c r="F2921" s="83" t="s">
        <v>7278</v>
      </c>
      <c r="G2921" s="83" t="s">
        <v>9287</v>
      </c>
      <c r="H2921" s="83">
        <v>43.3</v>
      </c>
      <c r="I2921" s="83" t="s">
        <v>3208</v>
      </c>
      <c r="J2921" s="83" t="s">
        <v>3208</v>
      </c>
      <c r="K2921" s="83" t="s">
        <v>3208</v>
      </c>
    </row>
    <row r="2922" spans="1:11" ht="26.25" x14ac:dyDescent="0.25">
      <c r="A2922" s="83" t="s">
        <v>9288</v>
      </c>
      <c r="B2922" s="83" t="s">
        <v>3208</v>
      </c>
      <c r="C2922" s="83" t="s">
        <v>3208</v>
      </c>
      <c r="D2922" s="83" t="s">
        <v>4157</v>
      </c>
      <c r="E2922" s="83" t="s">
        <v>4248</v>
      </c>
      <c r="F2922" s="83" t="s">
        <v>9289</v>
      </c>
      <c r="G2922" s="83" t="s">
        <v>5025</v>
      </c>
      <c r="H2922" s="83">
        <v>7.0000000000000007E-2</v>
      </c>
      <c r="I2922" s="83" t="s">
        <v>3208</v>
      </c>
      <c r="J2922" s="83" t="s">
        <v>3208</v>
      </c>
      <c r="K2922" s="83" t="s">
        <v>3208</v>
      </c>
    </row>
    <row r="2923" spans="1:11" ht="64.5" x14ac:dyDescent="0.25">
      <c r="A2923" s="83" t="s">
        <v>313</v>
      </c>
      <c r="B2923" s="83" t="s">
        <v>3208</v>
      </c>
      <c r="C2923" s="83" t="s">
        <v>9290</v>
      </c>
      <c r="D2923" s="83" t="s">
        <v>4157</v>
      </c>
      <c r="E2923" s="83" t="s">
        <v>3727</v>
      </c>
      <c r="F2923" s="83" t="s">
        <v>9291</v>
      </c>
      <c r="G2923" s="83" t="s">
        <v>9292</v>
      </c>
      <c r="H2923" s="83">
        <v>0.31</v>
      </c>
      <c r="I2923" s="83" t="s">
        <v>3213</v>
      </c>
      <c r="J2923" s="83" t="s">
        <v>3436</v>
      </c>
      <c r="K2923" s="83" t="s">
        <v>3215</v>
      </c>
    </row>
    <row r="2924" spans="1:11" ht="26.25" x14ac:dyDescent="0.25">
      <c r="A2924" s="83" t="s">
        <v>9293</v>
      </c>
      <c r="B2924" s="83" t="s">
        <v>3208</v>
      </c>
      <c r="C2924" s="83" t="s">
        <v>3208</v>
      </c>
      <c r="D2924" s="83" t="s">
        <v>3713</v>
      </c>
      <c r="E2924" s="83" t="s">
        <v>3714</v>
      </c>
      <c r="F2924" s="83" t="s">
        <v>5836</v>
      </c>
      <c r="G2924" s="83" t="s">
        <v>5837</v>
      </c>
      <c r="H2924" s="83">
        <v>0</v>
      </c>
      <c r="I2924" s="83" t="s">
        <v>3208</v>
      </c>
      <c r="J2924" s="83" t="s">
        <v>3208</v>
      </c>
      <c r="K2924" s="83" t="s">
        <v>3208</v>
      </c>
    </row>
    <row r="2925" spans="1:11" ht="26.25" x14ac:dyDescent="0.25">
      <c r="A2925" s="83" t="s">
        <v>2900</v>
      </c>
      <c r="B2925" s="83" t="s">
        <v>3208</v>
      </c>
      <c r="C2925" s="83" t="s">
        <v>3208</v>
      </c>
      <c r="D2925" s="83" t="s">
        <v>3713</v>
      </c>
      <c r="E2925" s="83" t="s">
        <v>3761</v>
      </c>
      <c r="F2925" s="83" t="s">
        <v>5838</v>
      </c>
      <c r="G2925" s="83" t="s">
        <v>5775</v>
      </c>
      <c r="H2925" s="83">
        <v>0</v>
      </c>
      <c r="I2925" s="83" t="s">
        <v>3213</v>
      </c>
      <c r="J2925" s="83" t="s">
        <v>3948</v>
      </c>
      <c r="K2925" s="83" t="s">
        <v>3215</v>
      </c>
    </row>
    <row r="2926" spans="1:11" ht="26.25" x14ac:dyDescent="0.25">
      <c r="A2926" s="83" t="s">
        <v>9294</v>
      </c>
      <c r="B2926" s="83" t="s">
        <v>3208</v>
      </c>
      <c r="C2926" s="83" t="s">
        <v>3208</v>
      </c>
      <c r="D2926" s="83" t="s">
        <v>3209</v>
      </c>
      <c r="E2926" s="83" t="s">
        <v>3663</v>
      </c>
      <c r="F2926" s="83" t="s">
        <v>4136</v>
      </c>
      <c r="G2926" s="83" t="s">
        <v>4137</v>
      </c>
      <c r="H2926" s="83">
        <v>59</v>
      </c>
      <c r="I2926" s="83" t="s">
        <v>3208</v>
      </c>
      <c r="J2926" s="83" t="s">
        <v>3208</v>
      </c>
      <c r="K2926" s="83" t="s">
        <v>3208</v>
      </c>
    </row>
    <row r="2927" spans="1:11" ht="51.75" x14ac:dyDescent="0.25">
      <c r="A2927" s="83" t="s">
        <v>327</v>
      </c>
      <c r="B2927" s="83" t="s">
        <v>3208</v>
      </c>
      <c r="C2927" s="83" t="s">
        <v>9295</v>
      </c>
      <c r="D2927" s="83" t="s">
        <v>4005</v>
      </c>
      <c r="E2927" s="83" t="s">
        <v>3727</v>
      </c>
      <c r="F2927" s="83" t="s">
        <v>9296</v>
      </c>
      <c r="G2927" s="83" t="s">
        <v>4083</v>
      </c>
      <c r="H2927" s="83">
        <v>11</v>
      </c>
      <c r="I2927" s="83" t="s">
        <v>3229</v>
      </c>
      <c r="J2927" s="83" t="s">
        <v>3289</v>
      </c>
      <c r="K2927" s="83" t="s">
        <v>3215</v>
      </c>
    </row>
    <row r="2928" spans="1:11" ht="26.25" x14ac:dyDescent="0.25">
      <c r="A2928" s="83" t="s">
        <v>9297</v>
      </c>
      <c r="B2928" s="83" t="s">
        <v>3208</v>
      </c>
      <c r="C2928" s="83" t="s">
        <v>3208</v>
      </c>
      <c r="D2928" s="83" t="s">
        <v>3713</v>
      </c>
      <c r="E2928" s="83" t="s">
        <v>3714</v>
      </c>
      <c r="F2928" s="83" t="s">
        <v>9298</v>
      </c>
      <c r="G2928" s="83" t="s">
        <v>6581</v>
      </c>
      <c r="H2928" s="83">
        <v>0</v>
      </c>
      <c r="I2928" s="83" t="s">
        <v>3208</v>
      </c>
      <c r="J2928" s="83" t="s">
        <v>3208</v>
      </c>
      <c r="K2928" s="83" t="s">
        <v>3208</v>
      </c>
    </row>
    <row r="2929" spans="1:11" ht="26.25" x14ac:dyDescent="0.25">
      <c r="A2929" s="83" t="s">
        <v>9299</v>
      </c>
      <c r="B2929" s="83" t="s">
        <v>3208</v>
      </c>
      <c r="C2929" s="83" t="s">
        <v>3208</v>
      </c>
      <c r="D2929" s="83" t="s">
        <v>3713</v>
      </c>
      <c r="E2929" s="83" t="s">
        <v>3714</v>
      </c>
      <c r="F2929" s="83" t="s">
        <v>9300</v>
      </c>
      <c r="G2929" s="83" t="s">
        <v>5311</v>
      </c>
      <c r="H2929" s="83">
        <v>0</v>
      </c>
      <c r="I2929" s="83" t="s">
        <v>3208</v>
      </c>
      <c r="J2929" s="83" t="s">
        <v>3208</v>
      </c>
      <c r="K2929" s="83" t="s">
        <v>3208</v>
      </c>
    </row>
    <row r="2930" spans="1:11" ht="51.75" x14ac:dyDescent="0.25">
      <c r="A2930" s="83" t="s">
        <v>767</v>
      </c>
      <c r="B2930" s="83" t="s">
        <v>3208</v>
      </c>
      <c r="C2930" s="83" t="s">
        <v>3208</v>
      </c>
      <c r="D2930" s="83" t="s">
        <v>3209</v>
      </c>
      <c r="E2930" s="83" t="s">
        <v>3210</v>
      </c>
      <c r="F2930" s="83" t="s">
        <v>9301</v>
      </c>
      <c r="G2930" s="83" t="s">
        <v>4542</v>
      </c>
      <c r="H2930" s="83">
        <v>139</v>
      </c>
      <c r="I2930" s="83" t="s">
        <v>3213</v>
      </c>
      <c r="J2930" s="83" t="s">
        <v>3214</v>
      </c>
      <c r="K2930" s="83" t="s">
        <v>3215</v>
      </c>
    </row>
    <row r="2931" spans="1:11" ht="39" x14ac:dyDescent="0.25">
      <c r="A2931" s="83" t="s">
        <v>2842</v>
      </c>
      <c r="B2931" s="83" t="s">
        <v>3208</v>
      </c>
      <c r="C2931" s="83" t="s">
        <v>3208</v>
      </c>
      <c r="D2931" s="83" t="s">
        <v>3713</v>
      </c>
      <c r="E2931" s="83" t="s">
        <v>3761</v>
      </c>
      <c r="F2931" s="83" t="s">
        <v>8592</v>
      </c>
      <c r="G2931" s="83" t="s">
        <v>9302</v>
      </c>
      <c r="H2931" s="83">
        <v>0</v>
      </c>
      <c r="I2931" s="83" t="s">
        <v>3229</v>
      </c>
      <c r="J2931" s="83" t="s">
        <v>356</v>
      </c>
      <c r="K2931" s="83" t="s">
        <v>3215</v>
      </c>
    </row>
    <row r="2932" spans="1:11" ht="26.25" x14ac:dyDescent="0.25">
      <c r="A2932" s="83" t="s">
        <v>405</v>
      </c>
      <c r="B2932" s="83" t="s">
        <v>3208</v>
      </c>
      <c r="C2932" s="83" t="s">
        <v>9303</v>
      </c>
      <c r="D2932" s="83" t="s">
        <v>3718</v>
      </c>
      <c r="E2932" s="83" t="s">
        <v>3727</v>
      </c>
      <c r="F2932" s="83" t="s">
        <v>9283</v>
      </c>
      <c r="G2932" s="83" t="s">
        <v>9284</v>
      </c>
      <c r="H2932" s="83">
        <v>0.45</v>
      </c>
      <c r="I2932" s="83" t="s">
        <v>3229</v>
      </c>
      <c r="J2932" s="83" t="s">
        <v>3222</v>
      </c>
      <c r="K2932" s="83" t="s">
        <v>3215</v>
      </c>
    </row>
    <row r="2933" spans="1:11" ht="26.25" x14ac:dyDescent="0.25">
      <c r="A2933" s="83" t="s">
        <v>9304</v>
      </c>
      <c r="B2933" s="83" t="s">
        <v>3208</v>
      </c>
      <c r="C2933" s="83" t="s">
        <v>3208</v>
      </c>
      <c r="D2933" s="83" t="s">
        <v>3713</v>
      </c>
      <c r="E2933" s="83" t="s">
        <v>3714</v>
      </c>
      <c r="F2933" s="83" t="s">
        <v>9305</v>
      </c>
      <c r="G2933" s="83" t="s">
        <v>4935</v>
      </c>
      <c r="H2933" s="83">
        <v>0</v>
      </c>
      <c r="I2933" s="83" t="s">
        <v>3208</v>
      </c>
      <c r="J2933" s="83" t="s">
        <v>3208</v>
      </c>
      <c r="K2933" s="83" t="s">
        <v>3208</v>
      </c>
    </row>
    <row r="2934" spans="1:11" ht="51.75" x14ac:dyDescent="0.25">
      <c r="A2934" s="83" t="s">
        <v>2848</v>
      </c>
      <c r="B2934" s="83" t="s">
        <v>3208</v>
      </c>
      <c r="C2934" s="83" t="s">
        <v>3208</v>
      </c>
      <c r="D2934" s="83" t="s">
        <v>3713</v>
      </c>
      <c r="E2934" s="83" t="s">
        <v>3761</v>
      </c>
      <c r="F2934" s="83" t="s">
        <v>6568</v>
      </c>
      <c r="G2934" s="83" t="s">
        <v>9306</v>
      </c>
      <c r="H2934" s="83">
        <v>0</v>
      </c>
      <c r="I2934" s="83" t="s">
        <v>3213</v>
      </c>
      <c r="J2934" s="83" t="s">
        <v>3271</v>
      </c>
      <c r="K2934" s="83" t="s">
        <v>3215</v>
      </c>
    </row>
    <row r="2935" spans="1:11" ht="26.25" x14ac:dyDescent="0.25">
      <c r="A2935" s="83" t="s">
        <v>9307</v>
      </c>
      <c r="B2935" s="83" t="s">
        <v>3208</v>
      </c>
      <c r="C2935" s="83" t="s">
        <v>3208</v>
      </c>
      <c r="D2935" s="83" t="s">
        <v>3713</v>
      </c>
      <c r="E2935" s="83" t="s">
        <v>3714</v>
      </c>
      <c r="F2935" s="83" t="s">
        <v>5853</v>
      </c>
      <c r="G2935" s="83" t="s">
        <v>8617</v>
      </c>
      <c r="H2935" s="83">
        <v>0</v>
      </c>
      <c r="I2935" s="83" t="s">
        <v>3208</v>
      </c>
      <c r="J2935" s="83" t="s">
        <v>3208</v>
      </c>
      <c r="K2935" s="83" t="s">
        <v>3208</v>
      </c>
    </row>
    <row r="2936" spans="1:11" ht="26.25" x14ac:dyDescent="0.25">
      <c r="A2936" s="83" t="s">
        <v>9308</v>
      </c>
      <c r="B2936" s="83" t="s">
        <v>3208</v>
      </c>
      <c r="C2936" s="83" t="s">
        <v>3208</v>
      </c>
      <c r="D2936" s="83" t="s">
        <v>4157</v>
      </c>
      <c r="E2936" s="83" t="s">
        <v>4248</v>
      </c>
      <c r="F2936" s="83" t="s">
        <v>9309</v>
      </c>
      <c r="G2936" s="83" t="s">
        <v>5035</v>
      </c>
      <c r="H2936" s="83">
        <v>2.2799999999999998</v>
      </c>
      <c r="I2936" s="83" t="s">
        <v>3208</v>
      </c>
      <c r="J2936" s="83" t="s">
        <v>3208</v>
      </c>
      <c r="K2936" s="83" t="s">
        <v>3208</v>
      </c>
    </row>
    <row r="2937" spans="1:11" ht="39" x14ac:dyDescent="0.25">
      <c r="A2937" s="83" t="s">
        <v>2813</v>
      </c>
      <c r="B2937" s="83" t="s">
        <v>3208</v>
      </c>
      <c r="C2937" s="83" t="s">
        <v>3208</v>
      </c>
      <c r="D2937" s="83" t="s">
        <v>3713</v>
      </c>
      <c r="E2937" s="83" t="s">
        <v>3761</v>
      </c>
      <c r="F2937" s="83" t="s">
        <v>4168</v>
      </c>
      <c r="G2937" s="83" t="s">
        <v>9310</v>
      </c>
      <c r="H2937" s="83">
        <v>0</v>
      </c>
      <c r="I2937" s="83" t="s">
        <v>3229</v>
      </c>
      <c r="J2937" s="83" t="s">
        <v>356</v>
      </c>
      <c r="K2937" s="83" t="s">
        <v>3215</v>
      </c>
    </row>
    <row r="2938" spans="1:11" ht="64.5" x14ac:dyDescent="0.25">
      <c r="A2938" s="83" t="s">
        <v>452</v>
      </c>
      <c r="B2938" s="83" t="s">
        <v>3208</v>
      </c>
      <c r="C2938" s="83" t="s">
        <v>9311</v>
      </c>
      <c r="D2938" s="83" t="s">
        <v>3718</v>
      </c>
      <c r="E2938" s="83" t="s">
        <v>3727</v>
      </c>
      <c r="F2938" s="83" t="s">
        <v>9300</v>
      </c>
      <c r="G2938" s="83" t="s">
        <v>5311</v>
      </c>
      <c r="H2938" s="83">
        <v>10</v>
      </c>
      <c r="I2938" s="83" t="s">
        <v>3229</v>
      </c>
      <c r="J2938" s="83" t="s">
        <v>3380</v>
      </c>
      <c r="K2938" s="83" t="s">
        <v>3215</v>
      </c>
    </row>
    <row r="2939" spans="1:11" ht="51.75" x14ac:dyDescent="0.25">
      <c r="A2939" s="83" t="s">
        <v>2903</v>
      </c>
      <c r="B2939" s="83" t="s">
        <v>3208</v>
      </c>
      <c r="C2939" s="83" t="s">
        <v>3208</v>
      </c>
      <c r="D2939" s="83" t="s">
        <v>3713</v>
      </c>
      <c r="E2939" s="83" t="s">
        <v>3761</v>
      </c>
      <c r="F2939" s="83" t="s">
        <v>9312</v>
      </c>
      <c r="G2939" s="83" t="s">
        <v>9262</v>
      </c>
      <c r="H2939" s="83">
        <v>0</v>
      </c>
      <c r="I2939" s="83" t="s">
        <v>3229</v>
      </c>
      <c r="J2939" s="83" t="s">
        <v>3332</v>
      </c>
      <c r="K2939" s="83" t="s">
        <v>3215</v>
      </c>
    </row>
    <row r="2940" spans="1:11" ht="26.25" x14ac:dyDescent="0.25">
      <c r="A2940" s="83" t="s">
        <v>9313</v>
      </c>
      <c r="B2940" s="83" t="s">
        <v>3208</v>
      </c>
      <c r="C2940" s="83" t="s">
        <v>3208</v>
      </c>
      <c r="D2940" s="83" t="s">
        <v>3713</v>
      </c>
      <c r="E2940" s="83" t="s">
        <v>3714</v>
      </c>
      <c r="F2940" s="83" t="s">
        <v>4235</v>
      </c>
      <c r="G2940" s="83" t="s">
        <v>4236</v>
      </c>
      <c r="H2940" s="83">
        <v>0</v>
      </c>
      <c r="I2940" s="83" t="s">
        <v>3208</v>
      </c>
      <c r="J2940" s="83" t="s">
        <v>3208</v>
      </c>
      <c r="K2940" s="83" t="s">
        <v>3208</v>
      </c>
    </row>
    <row r="2941" spans="1:11" ht="64.5" x14ac:dyDescent="0.25">
      <c r="A2941" s="83" t="s">
        <v>2895</v>
      </c>
      <c r="B2941" s="83" t="s">
        <v>3208</v>
      </c>
      <c r="C2941" s="83" t="s">
        <v>3208</v>
      </c>
      <c r="D2941" s="83" t="s">
        <v>3713</v>
      </c>
      <c r="E2941" s="83" t="s">
        <v>3761</v>
      </c>
      <c r="F2941" s="83" t="s">
        <v>9314</v>
      </c>
      <c r="G2941" s="83" t="s">
        <v>9315</v>
      </c>
      <c r="H2941" s="83">
        <v>0</v>
      </c>
      <c r="I2941" s="83" t="s">
        <v>3213</v>
      </c>
      <c r="J2941" s="83" t="s">
        <v>3413</v>
      </c>
      <c r="K2941" s="83" t="s">
        <v>3215</v>
      </c>
    </row>
    <row r="2942" spans="1:11" ht="26.25" x14ac:dyDescent="0.25">
      <c r="A2942" s="83" t="s">
        <v>2107</v>
      </c>
      <c r="B2942" s="83" t="s">
        <v>3208</v>
      </c>
      <c r="C2942" s="83" t="s">
        <v>3208</v>
      </c>
      <c r="D2942" s="83" t="s">
        <v>3713</v>
      </c>
      <c r="E2942" s="83" t="s">
        <v>3714</v>
      </c>
      <c r="F2942" s="83" t="s">
        <v>4241</v>
      </c>
      <c r="G2942" s="83" t="s">
        <v>4796</v>
      </c>
      <c r="H2942" s="83">
        <v>0</v>
      </c>
      <c r="I2942" s="83" t="s">
        <v>3208</v>
      </c>
      <c r="J2942" s="83" t="s">
        <v>3208</v>
      </c>
      <c r="K2942" s="83" t="s">
        <v>3208</v>
      </c>
    </row>
    <row r="2943" spans="1:11" ht="26.25" x14ac:dyDescent="0.25">
      <c r="A2943" s="83" t="s">
        <v>2222</v>
      </c>
      <c r="B2943" s="83" t="s">
        <v>3208</v>
      </c>
      <c r="C2943" s="83" t="s">
        <v>3208</v>
      </c>
      <c r="D2943" s="83" t="s">
        <v>3713</v>
      </c>
      <c r="E2943" s="83" t="s">
        <v>3714</v>
      </c>
      <c r="F2943" s="83" t="s">
        <v>4242</v>
      </c>
      <c r="G2943" s="83" t="s">
        <v>4243</v>
      </c>
      <c r="H2943" s="83">
        <v>0</v>
      </c>
      <c r="I2943" s="83" t="s">
        <v>3208</v>
      </c>
      <c r="J2943" s="83" t="s">
        <v>3208</v>
      </c>
      <c r="K2943" s="83" t="s">
        <v>3208</v>
      </c>
    </row>
    <row r="2944" spans="1:11" ht="26.25" x14ac:dyDescent="0.25">
      <c r="A2944" s="83" t="s">
        <v>2884</v>
      </c>
      <c r="B2944" s="83" t="s">
        <v>3208</v>
      </c>
      <c r="C2944" s="83" t="s">
        <v>3208</v>
      </c>
      <c r="D2944" s="83" t="s">
        <v>3713</v>
      </c>
      <c r="E2944" s="83" t="s">
        <v>3714</v>
      </c>
      <c r="F2944" s="83" t="s">
        <v>5105</v>
      </c>
      <c r="G2944" s="83" t="s">
        <v>5106</v>
      </c>
      <c r="H2944" s="83">
        <v>0</v>
      </c>
      <c r="I2944" s="83" t="s">
        <v>3208</v>
      </c>
      <c r="J2944" s="83" t="s">
        <v>3208</v>
      </c>
      <c r="K2944" s="83" t="s">
        <v>3208</v>
      </c>
    </row>
    <row r="2945" spans="1:11" ht="26.25" x14ac:dyDescent="0.25">
      <c r="A2945" s="83" t="s">
        <v>2227</v>
      </c>
      <c r="B2945" s="83" t="s">
        <v>3208</v>
      </c>
      <c r="C2945" s="83" t="s">
        <v>3208</v>
      </c>
      <c r="D2945" s="83" t="s">
        <v>3713</v>
      </c>
      <c r="E2945" s="83" t="s">
        <v>3714</v>
      </c>
      <c r="F2945" s="83" t="s">
        <v>4242</v>
      </c>
      <c r="G2945" s="83" t="s">
        <v>4243</v>
      </c>
      <c r="H2945" s="83">
        <v>0</v>
      </c>
      <c r="I2945" s="83" t="s">
        <v>3208</v>
      </c>
      <c r="J2945" s="83" t="s">
        <v>3208</v>
      </c>
      <c r="K2945" s="83" t="s">
        <v>3208</v>
      </c>
    </row>
    <row r="2946" spans="1:11" ht="26.25" x14ac:dyDescent="0.25">
      <c r="A2946" s="83" t="s">
        <v>2487</v>
      </c>
      <c r="B2946" s="83" t="s">
        <v>3208</v>
      </c>
      <c r="C2946" s="83" t="s">
        <v>3208</v>
      </c>
      <c r="D2946" s="83" t="s">
        <v>3713</v>
      </c>
      <c r="E2946" s="83" t="s">
        <v>3714</v>
      </c>
      <c r="F2946" s="83" t="s">
        <v>4241</v>
      </c>
      <c r="G2946" s="83" t="s">
        <v>3392</v>
      </c>
      <c r="H2946" s="83">
        <v>0</v>
      </c>
      <c r="I2946" s="83" t="s">
        <v>3208</v>
      </c>
      <c r="J2946" s="83" t="s">
        <v>3208</v>
      </c>
      <c r="K2946" s="83" t="s">
        <v>3208</v>
      </c>
    </row>
    <row r="2947" spans="1:11" ht="26.25" x14ac:dyDescent="0.25">
      <c r="A2947" s="83" t="s">
        <v>2669</v>
      </c>
      <c r="B2947" s="83" t="s">
        <v>3208</v>
      </c>
      <c r="C2947" s="83" t="s">
        <v>3208</v>
      </c>
      <c r="D2947" s="83" t="s">
        <v>3713</v>
      </c>
      <c r="E2947" s="83" t="s">
        <v>3714</v>
      </c>
      <c r="F2947" s="83" t="s">
        <v>5867</v>
      </c>
      <c r="G2947" s="83" t="s">
        <v>5818</v>
      </c>
      <c r="H2947" s="83">
        <v>0</v>
      </c>
      <c r="I2947" s="83" t="s">
        <v>3208</v>
      </c>
      <c r="J2947" s="83" t="s">
        <v>3208</v>
      </c>
      <c r="K2947" s="83" t="s">
        <v>3208</v>
      </c>
    </row>
    <row r="2948" spans="1:11" x14ac:dyDescent="0.25">
      <c r="A2948" s="83" t="s">
        <v>633</v>
      </c>
      <c r="B2948" s="83" t="s">
        <v>3208</v>
      </c>
      <c r="C2948" s="83" t="s">
        <v>3208</v>
      </c>
      <c r="D2948" s="83" t="s">
        <v>3209</v>
      </c>
      <c r="E2948" s="83" t="s">
        <v>3663</v>
      </c>
      <c r="F2948" s="83" t="s">
        <v>9316</v>
      </c>
      <c r="G2948" s="83" t="s">
        <v>9317</v>
      </c>
      <c r="H2948" s="83">
        <v>73.099999999999994</v>
      </c>
      <c r="I2948" s="83" t="s">
        <v>3208</v>
      </c>
      <c r="J2948" s="83" t="s">
        <v>3208</v>
      </c>
      <c r="K2948" s="83" t="s">
        <v>3208</v>
      </c>
    </row>
    <row r="2949" spans="1:11" ht="26.25" x14ac:dyDescent="0.25">
      <c r="A2949" s="83" t="s">
        <v>2893</v>
      </c>
      <c r="B2949" s="83" t="s">
        <v>3208</v>
      </c>
      <c r="C2949" s="83" t="s">
        <v>3208</v>
      </c>
      <c r="D2949" s="83" t="s">
        <v>3713</v>
      </c>
      <c r="E2949" s="83" t="s">
        <v>3714</v>
      </c>
      <c r="F2949" s="83" t="s">
        <v>9318</v>
      </c>
      <c r="G2949" s="83" t="s">
        <v>6552</v>
      </c>
      <c r="H2949" s="83">
        <v>0</v>
      </c>
      <c r="I2949" s="83" t="s">
        <v>3208</v>
      </c>
      <c r="J2949" s="83" t="s">
        <v>3208</v>
      </c>
      <c r="K2949" s="83" t="s">
        <v>3208</v>
      </c>
    </row>
    <row r="2950" spans="1:11" x14ac:dyDescent="0.25">
      <c r="A2950" s="83" t="s">
        <v>666</v>
      </c>
      <c r="B2950" s="83" t="s">
        <v>3208</v>
      </c>
      <c r="C2950" s="83" t="s">
        <v>3208</v>
      </c>
      <c r="D2950" s="83" t="s">
        <v>3209</v>
      </c>
      <c r="E2950" s="83" t="s">
        <v>3663</v>
      </c>
      <c r="F2950" s="83" t="s">
        <v>8027</v>
      </c>
      <c r="G2950" s="83" t="s">
        <v>5755</v>
      </c>
      <c r="H2950" s="83">
        <v>20</v>
      </c>
      <c r="I2950" s="83" t="s">
        <v>3208</v>
      </c>
      <c r="J2950" s="83" t="s">
        <v>3208</v>
      </c>
      <c r="K2950" s="83" t="s">
        <v>3208</v>
      </c>
    </row>
    <row r="2951" spans="1:11" ht="51.75" x14ac:dyDescent="0.25">
      <c r="A2951" s="83" t="s">
        <v>749</v>
      </c>
      <c r="B2951" s="83" t="s">
        <v>9319</v>
      </c>
      <c r="C2951" s="83" t="s">
        <v>9320</v>
      </c>
      <c r="D2951" s="83" t="s">
        <v>3209</v>
      </c>
      <c r="E2951" s="83" t="s">
        <v>3246</v>
      </c>
      <c r="F2951" s="83" t="s">
        <v>9321</v>
      </c>
      <c r="G2951" s="83" t="s">
        <v>7101</v>
      </c>
      <c r="H2951" s="83">
        <v>270</v>
      </c>
      <c r="I2951" s="83" t="s">
        <v>3229</v>
      </c>
      <c r="J2951" s="83" t="s">
        <v>3230</v>
      </c>
      <c r="K2951" s="83" t="s">
        <v>3215</v>
      </c>
    </row>
    <row r="2952" spans="1:11" ht="51.75" x14ac:dyDescent="0.25">
      <c r="A2952" s="83" t="s">
        <v>9322</v>
      </c>
      <c r="B2952" s="83" t="s">
        <v>3208</v>
      </c>
      <c r="C2952" s="83" t="s">
        <v>3208</v>
      </c>
      <c r="D2952" s="83" t="s">
        <v>3965</v>
      </c>
      <c r="E2952" s="83" t="s">
        <v>3208</v>
      </c>
      <c r="F2952" s="83" t="s">
        <v>3208</v>
      </c>
      <c r="G2952" s="83" t="s">
        <v>3208</v>
      </c>
      <c r="H2952" s="83">
        <v>0</v>
      </c>
      <c r="I2952" s="83" t="s">
        <v>3229</v>
      </c>
      <c r="J2952" s="83" t="s">
        <v>3289</v>
      </c>
      <c r="K2952" s="83" t="s">
        <v>3215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B0C33-92F1-43F8-98AD-DEBAA89C2C31}">
  <dimension ref="A1:AC2235"/>
  <sheetViews>
    <sheetView workbookViewId="0"/>
  </sheetViews>
  <sheetFormatPr defaultRowHeight="15" x14ac:dyDescent="0.25"/>
  <cols>
    <col min="1" max="1" width="22" bestFit="1" customWidth="1"/>
    <col min="2" max="2" width="10.5703125" bestFit="1" customWidth="1"/>
    <col min="3" max="3" width="9.28515625" bestFit="1" customWidth="1"/>
    <col min="4" max="4" width="23.7109375" bestFit="1" customWidth="1"/>
    <col min="5" max="5" width="21.5703125" bestFit="1" customWidth="1"/>
    <col min="6" max="6" width="24.85546875" bestFit="1" customWidth="1"/>
    <col min="7" max="7" width="33.140625" bestFit="1" customWidth="1"/>
    <col min="8" max="8" width="10.7109375" bestFit="1" customWidth="1"/>
    <col min="9" max="10" width="9.28515625" bestFit="1" customWidth="1"/>
    <col min="11" max="11" width="10.5703125" bestFit="1" customWidth="1"/>
    <col min="12" max="12" width="9.5703125" bestFit="1" customWidth="1"/>
    <col min="13" max="13" width="12" bestFit="1" customWidth="1"/>
    <col min="14" max="14" width="12.7109375" bestFit="1" customWidth="1"/>
    <col min="15" max="15" width="15.140625" bestFit="1" customWidth="1"/>
    <col min="16" max="16" width="14.85546875" bestFit="1" customWidth="1"/>
    <col min="17" max="17" width="15.85546875" bestFit="1" customWidth="1"/>
    <col min="18" max="18" width="15.28515625" bestFit="1" customWidth="1"/>
    <col min="19" max="19" width="15.7109375" bestFit="1" customWidth="1"/>
    <col min="20" max="20" width="15.140625" bestFit="1" customWidth="1"/>
    <col min="21" max="21" width="14.5703125" bestFit="1" customWidth="1"/>
    <col min="22" max="22" width="15.5703125" bestFit="1" customWidth="1"/>
    <col min="23" max="23" width="14.85546875" bestFit="1" customWidth="1"/>
    <col min="24" max="24" width="15.28515625" bestFit="1" customWidth="1"/>
    <col min="25" max="25" width="15.85546875" bestFit="1" customWidth="1"/>
    <col min="26" max="26" width="15.140625" bestFit="1" customWidth="1"/>
    <col min="27" max="27" width="45" bestFit="1" customWidth="1"/>
    <col min="28" max="28" width="21" bestFit="1" customWidth="1"/>
    <col min="29" max="29" width="11" bestFit="1" customWidth="1"/>
  </cols>
  <sheetData>
    <row r="1" spans="1:29" x14ac:dyDescent="0.25">
      <c r="A1" t="s">
        <v>262</v>
      </c>
      <c r="B1" t="s">
        <v>9323</v>
      </c>
      <c r="C1" t="s">
        <v>9324</v>
      </c>
      <c r="D1" t="s">
        <v>9325</v>
      </c>
      <c r="E1" t="s">
        <v>9326</v>
      </c>
      <c r="F1" t="s">
        <v>9327</v>
      </c>
      <c r="G1" t="s">
        <v>9328</v>
      </c>
      <c r="H1" t="s">
        <v>239</v>
      </c>
      <c r="I1" t="s">
        <v>275</v>
      </c>
      <c r="J1" t="s">
        <v>276</v>
      </c>
      <c r="K1" t="s">
        <v>277</v>
      </c>
      <c r="L1" t="s">
        <v>278</v>
      </c>
      <c r="M1" t="s">
        <v>303</v>
      </c>
      <c r="N1" t="s">
        <v>304</v>
      </c>
      <c r="O1" t="s">
        <v>281</v>
      </c>
      <c r="P1" t="s">
        <v>282</v>
      </c>
      <c r="Q1" t="s">
        <v>283</v>
      </c>
      <c r="R1" t="s">
        <v>284</v>
      </c>
      <c r="S1" t="s">
        <v>285</v>
      </c>
      <c r="T1" t="s">
        <v>286</v>
      </c>
      <c r="U1" t="s">
        <v>287</v>
      </c>
      <c r="V1" t="s">
        <v>288</v>
      </c>
      <c r="W1" t="s">
        <v>289</v>
      </c>
      <c r="X1" t="s">
        <v>290</v>
      </c>
      <c r="Y1" t="s">
        <v>291</v>
      </c>
      <c r="Z1" t="s">
        <v>292</v>
      </c>
      <c r="AA1" t="s">
        <v>9329</v>
      </c>
      <c r="AB1" t="s">
        <v>9330</v>
      </c>
      <c r="AC1" t="s">
        <v>9331</v>
      </c>
    </row>
    <row r="2" spans="1:29" x14ac:dyDescent="0.25">
      <c r="A2" t="s">
        <v>1754</v>
      </c>
      <c r="B2" t="s">
        <v>254</v>
      </c>
      <c r="C2" t="s">
        <v>331</v>
      </c>
      <c r="D2" t="s">
        <v>3209</v>
      </c>
      <c r="E2" t="s">
        <v>3246</v>
      </c>
      <c r="F2">
        <v>19200826</v>
      </c>
      <c r="G2" t="s">
        <v>9332</v>
      </c>
      <c r="H2" t="s">
        <v>241</v>
      </c>
      <c r="I2" t="s">
        <v>242</v>
      </c>
      <c r="J2" t="s">
        <v>241</v>
      </c>
      <c r="K2" t="s">
        <v>242</v>
      </c>
      <c r="L2" t="s">
        <v>242</v>
      </c>
      <c r="M2">
        <v>39.137683670000001</v>
      </c>
      <c r="N2">
        <v>-123.18628699999999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 t="s">
        <v>9333</v>
      </c>
      <c r="AB2" t="s">
        <v>242</v>
      </c>
      <c r="AC2" t="s">
        <v>3213</v>
      </c>
    </row>
    <row r="3" spans="1:29" x14ac:dyDescent="0.25">
      <c r="A3" t="s">
        <v>1752</v>
      </c>
      <c r="B3" t="s">
        <v>254</v>
      </c>
      <c r="C3" t="s">
        <v>317</v>
      </c>
      <c r="D3" t="s">
        <v>3209</v>
      </c>
      <c r="E3" t="s">
        <v>3246</v>
      </c>
      <c r="F3">
        <v>19220116</v>
      </c>
      <c r="G3" t="s">
        <v>9334</v>
      </c>
      <c r="H3" t="s">
        <v>242</v>
      </c>
      <c r="I3" t="s">
        <v>242</v>
      </c>
      <c r="J3" t="s">
        <v>241</v>
      </c>
      <c r="K3" t="s">
        <v>242</v>
      </c>
      <c r="L3" t="s">
        <v>242</v>
      </c>
      <c r="M3">
        <v>39.214562049999998</v>
      </c>
      <c r="N3">
        <v>-123.2004597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 t="s">
        <v>9335</v>
      </c>
      <c r="AB3" t="s">
        <v>242</v>
      </c>
      <c r="AC3" t="s">
        <v>3213</v>
      </c>
    </row>
    <row r="4" spans="1:29" x14ac:dyDescent="0.25">
      <c r="A4" t="s">
        <v>1753</v>
      </c>
      <c r="B4" t="s">
        <v>254</v>
      </c>
      <c r="C4" t="s">
        <v>507</v>
      </c>
      <c r="D4" t="s">
        <v>3209</v>
      </c>
      <c r="E4" t="s">
        <v>3246</v>
      </c>
      <c r="F4">
        <v>19220714</v>
      </c>
      <c r="G4" t="s">
        <v>9332</v>
      </c>
      <c r="H4" t="s">
        <v>242</v>
      </c>
      <c r="I4" t="s">
        <v>242</v>
      </c>
      <c r="J4" t="s">
        <v>241</v>
      </c>
      <c r="K4" t="s">
        <v>242</v>
      </c>
      <c r="L4" t="s">
        <v>242</v>
      </c>
      <c r="M4">
        <v>38.604198400000001</v>
      </c>
      <c r="N4">
        <v>-122.85003380000001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 t="s">
        <v>9335</v>
      </c>
      <c r="AB4" t="s">
        <v>242</v>
      </c>
      <c r="AC4" t="s">
        <v>3229</v>
      </c>
    </row>
    <row r="5" spans="1:29" x14ac:dyDescent="0.25">
      <c r="A5" t="s">
        <v>1749</v>
      </c>
      <c r="B5" t="s">
        <v>254</v>
      </c>
      <c r="C5" t="s">
        <v>331</v>
      </c>
      <c r="D5" t="s">
        <v>3209</v>
      </c>
      <c r="E5" t="s">
        <v>3246</v>
      </c>
      <c r="F5">
        <v>19230516</v>
      </c>
      <c r="G5" t="s">
        <v>9332</v>
      </c>
      <c r="H5" t="s">
        <v>241</v>
      </c>
      <c r="I5" t="s">
        <v>242</v>
      </c>
      <c r="J5" t="s">
        <v>241</v>
      </c>
      <c r="K5" t="s">
        <v>242</v>
      </c>
      <c r="L5" t="s">
        <v>242</v>
      </c>
      <c r="M5">
        <v>39.121693559999997</v>
      </c>
      <c r="N5">
        <v>-123.19254100000001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t="s">
        <v>9335</v>
      </c>
      <c r="AB5" t="s">
        <v>242</v>
      </c>
      <c r="AC5" t="s">
        <v>3213</v>
      </c>
    </row>
    <row r="6" spans="1:29" x14ac:dyDescent="0.25">
      <c r="A6" t="s">
        <v>1750</v>
      </c>
      <c r="B6" t="s">
        <v>254</v>
      </c>
      <c r="C6" t="s">
        <v>319</v>
      </c>
      <c r="D6" t="s">
        <v>3209</v>
      </c>
      <c r="E6" t="s">
        <v>3246</v>
      </c>
      <c r="F6">
        <v>19230803</v>
      </c>
      <c r="G6" t="s">
        <v>9332</v>
      </c>
      <c r="H6" t="s">
        <v>241</v>
      </c>
      <c r="I6" t="s">
        <v>242</v>
      </c>
      <c r="J6" t="s">
        <v>241</v>
      </c>
      <c r="K6" t="s">
        <v>242</v>
      </c>
      <c r="L6" t="s">
        <v>242</v>
      </c>
      <c r="M6">
        <v>39.009172380000003</v>
      </c>
      <c r="N6">
        <v>-123.11673829999999</v>
      </c>
      <c r="O6">
        <v>0.03</v>
      </c>
      <c r="P6">
        <v>0</v>
      </c>
      <c r="Q6">
        <v>0</v>
      </c>
      <c r="R6">
        <v>6.6666666666666697E-3</v>
      </c>
      <c r="S6">
        <v>0.1</v>
      </c>
      <c r="T6">
        <v>0.18</v>
      </c>
      <c r="U6">
        <v>2.9</v>
      </c>
      <c r="V6">
        <v>3.6</v>
      </c>
      <c r="W6">
        <v>0.21</v>
      </c>
      <c r="X6">
        <v>0.16</v>
      </c>
      <c r="Y6">
        <v>0</v>
      </c>
      <c r="Z6">
        <v>0</v>
      </c>
      <c r="AA6" t="s">
        <v>9335</v>
      </c>
      <c r="AB6" t="s">
        <v>242</v>
      </c>
      <c r="AC6" t="s">
        <v>3213</v>
      </c>
    </row>
    <row r="7" spans="1:29" x14ac:dyDescent="0.25">
      <c r="A7" t="s">
        <v>86</v>
      </c>
      <c r="B7" t="s">
        <v>254</v>
      </c>
      <c r="C7" t="s">
        <v>331</v>
      </c>
      <c r="D7" t="s">
        <v>3209</v>
      </c>
      <c r="E7" t="s">
        <v>3246</v>
      </c>
      <c r="F7">
        <v>19230820</v>
      </c>
      <c r="G7" t="s">
        <v>9332</v>
      </c>
      <c r="H7" t="s">
        <v>241</v>
      </c>
      <c r="I7" t="s">
        <v>242</v>
      </c>
      <c r="J7" t="s">
        <v>241</v>
      </c>
      <c r="K7" t="s">
        <v>242</v>
      </c>
      <c r="L7" t="s">
        <v>242</v>
      </c>
      <c r="M7">
        <v>39.18737144</v>
      </c>
      <c r="N7">
        <v>-123.20105719999999</v>
      </c>
      <c r="O7">
        <v>0</v>
      </c>
      <c r="P7">
        <v>0</v>
      </c>
      <c r="Q7">
        <v>0</v>
      </c>
      <c r="R7">
        <v>0</v>
      </c>
      <c r="S7">
        <v>0</v>
      </c>
      <c r="T7">
        <v>4.32</v>
      </c>
      <c r="U7">
        <v>4.8600000000000003</v>
      </c>
      <c r="V7">
        <v>2.2599999999999998</v>
      </c>
      <c r="W7">
        <v>0</v>
      </c>
      <c r="X7">
        <v>0</v>
      </c>
      <c r="Y7">
        <v>0</v>
      </c>
      <c r="Z7">
        <v>0</v>
      </c>
      <c r="AA7" t="s">
        <v>9336</v>
      </c>
      <c r="AB7" t="s">
        <v>242</v>
      </c>
      <c r="AC7" t="s">
        <v>3213</v>
      </c>
    </row>
    <row r="8" spans="1:29" x14ac:dyDescent="0.25">
      <c r="A8" t="s">
        <v>1748</v>
      </c>
      <c r="B8" t="s">
        <v>254</v>
      </c>
      <c r="C8" t="s">
        <v>317</v>
      </c>
      <c r="D8" t="s">
        <v>3209</v>
      </c>
      <c r="E8" t="s">
        <v>3246</v>
      </c>
      <c r="F8">
        <v>19241107</v>
      </c>
      <c r="G8" t="s">
        <v>9334</v>
      </c>
      <c r="H8" t="s">
        <v>242</v>
      </c>
      <c r="I8" t="s">
        <v>242</v>
      </c>
      <c r="J8" t="s">
        <v>241</v>
      </c>
      <c r="K8" t="s">
        <v>242</v>
      </c>
      <c r="L8" t="s">
        <v>242</v>
      </c>
      <c r="M8">
        <v>39.279284390000001</v>
      </c>
      <c r="N8">
        <v>-123.2082721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 t="s">
        <v>9335</v>
      </c>
      <c r="AB8" t="s">
        <v>242</v>
      </c>
      <c r="AC8" t="s">
        <v>3213</v>
      </c>
    </row>
    <row r="9" spans="1:29" x14ac:dyDescent="0.25">
      <c r="A9" t="s">
        <v>48</v>
      </c>
      <c r="B9" t="s">
        <v>254</v>
      </c>
      <c r="C9" t="s">
        <v>333</v>
      </c>
      <c r="D9" t="s">
        <v>3209</v>
      </c>
      <c r="E9" t="s">
        <v>3246</v>
      </c>
      <c r="F9">
        <v>19241107</v>
      </c>
      <c r="G9" t="s">
        <v>9334</v>
      </c>
      <c r="H9" t="s">
        <v>241</v>
      </c>
      <c r="I9" t="s">
        <v>242</v>
      </c>
      <c r="J9" t="s">
        <v>241</v>
      </c>
      <c r="K9" t="s">
        <v>242</v>
      </c>
      <c r="L9" t="s">
        <v>242</v>
      </c>
      <c r="M9">
        <v>39.084579570000002</v>
      </c>
      <c r="N9">
        <v>-123.1708399</v>
      </c>
      <c r="O9">
        <v>0</v>
      </c>
      <c r="P9">
        <v>0</v>
      </c>
      <c r="Q9">
        <v>0</v>
      </c>
      <c r="R9">
        <v>0</v>
      </c>
      <c r="S9">
        <v>0</v>
      </c>
      <c r="T9">
        <v>2.69</v>
      </c>
      <c r="U9">
        <v>2.61</v>
      </c>
      <c r="V9">
        <v>2.16</v>
      </c>
      <c r="W9">
        <v>1.3</v>
      </c>
      <c r="X9">
        <v>0</v>
      </c>
      <c r="Y9">
        <v>0</v>
      </c>
      <c r="Z9">
        <v>0</v>
      </c>
      <c r="AA9" t="s">
        <v>9335</v>
      </c>
      <c r="AB9" t="s">
        <v>242</v>
      </c>
      <c r="AC9" t="s">
        <v>3213</v>
      </c>
    </row>
    <row r="10" spans="1:29" x14ac:dyDescent="0.25">
      <c r="A10" t="s">
        <v>110</v>
      </c>
      <c r="B10" t="s">
        <v>254</v>
      </c>
      <c r="C10" t="s">
        <v>331</v>
      </c>
      <c r="D10" t="s">
        <v>3209</v>
      </c>
      <c r="E10" t="s">
        <v>3246</v>
      </c>
      <c r="F10">
        <v>19251112</v>
      </c>
      <c r="G10" t="s">
        <v>9332</v>
      </c>
      <c r="H10" t="s">
        <v>241</v>
      </c>
      <c r="I10" t="s">
        <v>242</v>
      </c>
      <c r="J10" t="s">
        <v>241</v>
      </c>
      <c r="K10" t="s">
        <v>242</v>
      </c>
      <c r="L10" t="s">
        <v>242</v>
      </c>
      <c r="M10">
        <v>39.156293179999999</v>
      </c>
      <c r="N10">
        <v>-123.1865403</v>
      </c>
      <c r="O10">
        <v>0</v>
      </c>
      <c r="P10">
        <v>0</v>
      </c>
      <c r="Q10">
        <v>0</v>
      </c>
      <c r="R10">
        <v>0</v>
      </c>
      <c r="S10">
        <v>0</v>
      </c>
      <c r="T10">
        <v>6.33</v>
      </c>
      <c r="U10">
        <v>16.329999999999998</v>
      </c>
      <c r="V10">
        <v>10.46</v>
      </c>
      <c r="W10">
        <v>0</v>
      </c>
      <c r="X10">
        <v>0</v>
      </c>
      <c r="Y10">
        <v>0</v>
      </c>
      <c r="Z10">
        <v>0</v>
      </c>
      <c r="AA10" t="s">
        <v>9335</v>
      </c>
      <c r="AB10" t="s">
        <v>242</v>
      </c>
      <c r="AC10" t="s">
        <v>3213</v>
      </c>
    </row>
    <row r="11" spans="1:29" x14ac:dyDescent="0.25">
      <c r="A11" t="s">
        <v>1746</v>
      </c>
      <c r="B11" t="s">
        <v>254</v>
      </c>
      <c r="C11" t="s">
        <v>317</v>
      </c>
      <c r="D11" t="s">
        <v>3209</v>
      </c>
      <c r="E11" t="s">
        <v>3246</v>
      </c>
      <c r="F11">
        <v>19291021</v>
      </c>
      <c r="G11" t="s">
        <v>9332</v>
      </c>
      <c r="H11" t="s">
        <v>242</v>
      </c>
      <c r="I11" t="s">
        <v>242</v>
      </c>
      <c r="J11" t="s">
        <v>241</v>
      </c>
      <c r="K11" t="s">
        <v>242</v>
      </c>
      <c r="L11" t="s">
        <v>242</v>
      </c>
      <c r="M11">
        <v>39.290525799999998</v>
      </c>
      <c r="N11">
        <v>-123.2098779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 t="s">
        <v>9335</v>
      </c>
      <c r="AB11" t="s">
        <v>242</v>
      </c>
      <c r="AC11" t="s">
        <v>3213</v>
      </c>
    </row>
    <row r="12" spans="1:29" x14ac:dyDescent="0.25">
      <c r="A12" t="s">
        <v>1743</v>
      </c>
      <c r="B12" t="s">
        <v>254</v>
      </c>
      <c r="C12" t="s">
        <v>317</v>
      </c>
      <c r="D12" t="s">
        <v>3209</v>
      </c>
      <c r="E12" t="s">
        <v>3246</v>
      </c>
      <c r="F12">
        <v>19300416</v>
      </c>
      <c r="G12" t="s">
        <v>9332</v>
      </c>
      <c r="H12" t="s">
        <v>242</v>
      </c>
      <c r="I12" t="s">
        <v>242</v>
      </c>
      <c r="J12" t="s">
        <v>241</v>
      </c>
      <c r="K12" t="s">
        <v>242</v>
      </c>
      <c r="L12" t="s">
        <v>242</v>
      </c>
      <c r="M12">
        <v>39.249927040000003</v>
      </c>
      <c r="N12">
        <v>-123.2060042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 t="s">
        <v>9335</v>
      </c>
      <c r="AB12" t="s">
        <v>242</v>
      </c>
      <c r="AC12" t="s">
        <v>3213</v>
      </c>
    </row>
    <row r="13" spans="1:29" x14ac:dyDescent="0.25">
      <c r="A13" t="s">
        <v>1744</v>
      </c>
      <c r="B13" t="s">
        <v>254</v>
      </c>
      <c r="C13" t="s">
        <v>317</v>
      </c>
      <c r="D13" t="s">
        <v>3209</v>
      </c>
      <c r="E13" t="s">
        <v>3246</v>
      </c>
      <c r="F13">
        <v>19300926</v>
      </c>
      <c r="G13" t="s">
        <v>9332</v>
      </c>
      <c r="H13" t="s">
        <v>242</v>
      </c>
      <c r="I13" t="s">
        <v>242</v>
      </c>
      <c r="J13" t="s">
        <v>241</v>
      </c>
      <c r="K13" t="s">
        <v>242</v>
      </c>
      <c r="L13" t="s">
        <v>242</v>
      </c>
      <c r="M13">
        <v>39.286404109999999</v>
      </c>
      <c r="N13">
        <v>-123.21016059999999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 t="s">
        <v>9335</v>
      </c>
      <c r="AB13" t="s">
        <v>242</v>
      </c>
      <c r="AC13" t="s">
        <v>3213</v>
      </c>
    </row>
    <row r="14" spans="1:29" x14ac:dyDescent="0.25">
      <c r="A14" t="s">
        <v>1745</v>
      </c>
      <c r="B14" t="s">
        <v>254</v>
      </c>
      <c r="C14" t="s">
        <v>333</v>
      </c>
      <c r="D14" t="s">
        <v>3209</v>
      </c>
      <c r="E14" t="s">
        <v>3246</v>
      </c>
      <c r="F14">
        <v>19301226</v>
      </c>
      <c r="G14" t="s">
        <v>9332</v>
      </c>
      <c r="H14" t="s">
        <v>241</v>
      </c>
      <c r="I14" t="s">
        <v>242</v>
      </c>
      <c r="J14" t="s">
        <v>241</v>
      </c>
      <c r="K14" t="s">
        <v>242</v>
      </c>
      <c r="L14" t="s">
        <v>242</v>
      </c>
      <c r="M14">
        <v>39.107756180000003</v>
      </c>
      <c r="N14">
        <v>-123.1859623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 t="s">
        <v>9335</v>
      </c>
      <c r="AB14" t="s">
        <v>242</v>
      </c>
      <c r="AC14" t="s">
        <v>3213</v>
      </c>
    </row>
    <row r="15" spans="1:29" x14ac:dyDescent="0.25">
      <c r="A15" t="s">
        <v>121</v>
      </c>
      <c r="B15" t="s">
        <v>254</v>
      </c>
      <c r="C15" t="s">
        <v>333</v>
      </c>
      <c r="D15" t="s">
        <v>3209</v>
      </c>
      <c r="E15" t="s">
        <v>3246</v>
      </c>
      <c r="F15">
        <v>19301226</v>
      </c>
      <c r="G15" t="s">
        <v>9332</v>
      </c>
      <c r="H15" t="s">
        <v>241</v>
      </c>
      <c r="I15" t="s">
        <v>242</v>
      </c>
      <c r="J15" t="s">
        <v>241</v>
      </c>
      <c r="K15" t="s">
        <v>242</v>
      </c>
      <c r="L15" t="s">
        <v>242</v>
      </c>
      <c r="M15">
        <v>39.106675860000003</v>
      </c>
      <c r="N15">
        <v>-123.18418200000001</v>
      </c>
      <c r="O15">
        <v>0</v>
      </c>
      <c r="P15">
        <v>0</v>
      </c>
      <c r="Q15">
        <v>0</v>
      </c>
      <c r="R15">
        <v>0</v>
      </c>
      <c r="S15">
        <v>0.18</v>
      </c>
      <c r="T15">
        <v>2.4700000000000002</v>
      </c>
      <c r="U15">
        <v>4.01</v>
      </c>
      <c r="V15">
        <v>3.15</v>
      </c>
      <c r="W15">
        <v>0</v>
      </c>
      <c r="X15">
        <v>0</v>
      </c>
      <c r="Y15">
        <v>0</v>
      </c>
      <c r="Z15">
        <v>0</v>
      </c>
      <c r="AA15" t="s">
        <v>9335</v>
      </c>
      <c r="AB15" t="s">
        <v>242</v>
      </c>
      <c r="AC15" t="s">
        <v>3213</v>
      </c>
    </row>
    <row r="16" spans="1:29" x14ac:dyDescent="0.25">
      <c r="A16" t="s">
        <v>1739</v>
      </c>
      <c r="B16" t="s">
        <v>254</v>
      </c>
      <c r="C16" t="s">
        <v>354</v>
      </c>
      <c r="D16" t="s">
        <v>3209</v>
      </c>
      <c r="E16" t="s">
        <v>3246</v>
      </c>
      <c r="F16">
        <v>19370517</v>
      </c>
      <c r="G16" t="s">
        <v>9332</v>
      </c>
      <c r="H16" t="s">
        <v>241</v>
      </c>
      <c r="I16" t="s">
        <v>242</v>
      </c>
      <c r="J16" t="s">
        <v>241</v>
      </c>
      <c r="K16" t="s">
        <v>242</v>
      </c>
      <c r="L16" t="s">
        <v>242</v>
      </c>
      <c r="M16">
        <v>38.720195650000001</v>
      </c>
      <c r="N16">
        <v>-122.90750199999999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 t="s">
        <v>9335</v>
      </c>
      <c r="AB16" t="s">
        <v>242</v>
      </c>
      <c r="AC16" t="s">
        <v>3229</v>
      </c>
    </row>
    <row r="17" spans="1:29" x14ac:dyDescent="0.25">
      <c r="A17" t="s">
        <v>1734</v>
      </c>
      <c r="B17" t="s">
        <v>254</v>
      </c>
      <c r="C17" t="s">
        <v>317</v>
      </c>
      <c r="D17" t="s">
        <v>3209</v>
      </c>
      <c r="E17" t="s">
        <v>3246</v>
      </c>
      <c r="F17">
        <v>19400220</v>
      </c>
      <c r="G17" t="s">
        <v>9334</v>
      </c>
      <c r="H17" t="s">
        <v>242</v>
      </c>
      <c r="I17" t="s">
        <v>242</v>
      </c>
      <c r="J17" t="s">
        <v>241</v>
      </c>
      <c r="K17" t="s">
        <v>242</v>
      </c>
      <c r="L17" t="s">
        <v>242</v>
      </c>
      <c r="M17">
        <v>39.275169980000001</v>
      </c>
      <c r="N17">
        <v>-123.2078484</v>
      </c>
      <c r="O17">
        <v>0</v>
      </c>
      <c r="P17">
        <v>0</v>
      </c>
      <c r="Q17">
        <v>0</v>
      </c>
      <c r="R17">
        <v>0</v>
      </c>
      <c r="S17">
        <v>6.5979999999999997E-3</v>
      </c>
      <c r="T17">
        <v>6.4446670000000003E-3</v>
      </c>
      <c r="U17">
        <v>8.2349999999999993E-3</v>
      </c>
      <c r="V17">
        <v>8.286E-3</v>
      </c>
      <c r="W17">
        <v>9.5646670000000007E-3</v>
      </c>
      <c r="X17">
        <v>3.5799999999999997E-4</v>
      </c>
      <c r="Y17">
        <v>0</v>
      </c>
      <c r="Z17">
        <v>0</v>
      </c>
      <c r="AA17" t="s">
        <v>9335</v>
      </c>
      <c r="AB17" t="s">
        <v>242</v>
      </c>
      <c r="AC17" t="s">
        <v>3213</v>
      </c>
    </row>
    <row r="18" spans="1:29" x14ac:dyDescent="0.25">
      <c r="A18" t="s">
        <v>1735</v>
      </c>
      <c r="B18" t="s">
        <v>254</v>
      </c>
      <c r="C18" t="s">
        <v>317</v>
      </c>
      <c r="D18" t="s">
        <v>3209</v>
      </c>
      <c r="E18" t="s">
        <v>3246</v>
      </c>
      <c r="F18">
        <v>19400220</v>
      </c>
      <c r="G18" t="s">
        <v>9332</v>
      </c>
      <c r="H18" t="s">
        <v>242</v>
      </c>
      <c r="I18" t="s">
        <v>242</v>
      </c>
      <c r="J18" t="s">
        <v>241</v>
      </c>
      <c r="K18" t="s">
        <v>242</v>
      </c>
      <c r="L18" t="s">
        <v>242</v>
      </c>
      <c r="M18">
        <v>39.273699999999998</v>
      </c>
      <c r="N18">
        <v>-123.2077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 t="s">
        <v>9335</v>
      </c>
      <c r="AB18" t="s">
        <v>242</v>
      </c>
      <c r="AC18" t="s">
        <v>3213</v>
      </c>
    </row>
    <row r="19" spans="1:29" x14ac:dyDescent="0.25">
      <c r="A19" t="s">
        <v>72</v>
      </c>
      <c r="B19" t="s">
        <v>254</v>
      </c>
      <c r="C19" t="s">
        <v>348</v>
      </c>
      <c r="D19" t="s">
        <v>3209</v>
      </c>
      <c r="E19" t="s">
        <v>3246</v>
      </c>
      <c r="F19">
        <v>19460423</v>
      </c>
      <c r="G19" t="s">
        <v>9332</v>
      </c>
      <c r="H19" t="s">
        <v>242</v>
      </c>
      <c r="I19" t="s">
        <v>242</v>
      </c>
      <c r="J19" t="s">
        <v>241</v>
      </c>
      <c r="K19" t="s">
        <v>242</v>
      </c>
      <c r="L19" t="s">
        <v>242</v>
      </c>
      <c r="M19">
        <v>39.334625099999997</v>
      </c>
      <c r="N19">
        <v>-123.1098623</v>
      </c>
      <c r="O19">
        <v>0</v>
      </c>
      <c r="P19">
        <v>0</v>
      </c>
      <c r="Q19">
        <v>0</v>
      </c>
      <c r="R19">
        <v>0</v>
      </c>
      <c r="S19">
        <v>0</v>
      </c>
      <c r="T19">
        <v>2.66</v>
      </c>
      <c r="U19">
        <v>10.19</v>
      </c>
      <c r="V19">
        <v>19.45</v>
      </c>
      <c r="W19">
        <v>21.71</v>
      </c>
      <c r="X19">
        <v>9.6</v>
      </c>
      <c r="Y19">
        <v>0</v>
      </c>
      <c r="Z19">
        <v>0</v>
      </c>
      <c r="AA19" t="s">
        <v>9335</v>
      </c>
      <c r="AB19" t="s">
        <v>242</v>
      </c>
      <c r="AC19" t="s">
        <v>3213</v>
      </c>
    </row>
    <row r="20" spans="1:29" x14ac:dyDescent="0.25">
      <c r="A20" t="s">
        <v>1723</v>
      </c>
      <c r="B20" t="s">
        <v>254</v>
      </c>
      <c r="C20" t="s">
        <v>354</v>
      </c>
      <c r="D20" t="s">
        <v>3209</v>
      </c>
      <c r="E20" t="s">
        <v>3246</v>
      </c>
      <c r="F20">
        <v>19470428</v>
      </c>
      <c r="G20" t="s">
        <v>9332</v>
      </c>
      <c r="H20" t="s">
        <v>241</v>
      </c>
      <c r="I20" t="s">
        <v>242</v>
      </c>
      <c r="J20" t="s">
        <v>241</v>
      </c>
      <c r="K20" t="s">
        <v>242</v>
      </c>
      <c r="L20" t="s">
        <v>242</v>
      </c>
      <c r="M20">
        <v>38.836282339999997</v>
      </c>
      <c r="N20">
        <v>-123.0153653</v>
      </c>
      <c r="O20">
        <v>0</v>
      </c>
      <c r="P20">
        <v>0</v>
      </c>
      <c r="Q20">
        <v>0.66</v>
      </c>
      <c r="R20">
        <v>2.5</v>
      </c>
      <c r="S20">
        <v>3</v>
      </c>
      <c r="T20">
        <v>3.33</v>
      </c>
      <c r="U20">
        <v>3.66</v>
      </c>
      <c r="V20">
        <v>4.33</v>
      </c>
      <c r="W20">
        <v>2.66</v>
      </c>
      <c r="X20">
        <v>3.33</v>
      </c>
      <c r="Y20">
        <v>2.33</v>
      </c>
      <c r="Z20">
        <v>0</v>
      </c>
      <c r="AA20" t="s">
        <v>9335</v>
      </c>
      <c r="AB20" t="s">
        <v>242</v>
      </c>
      <c r="AC20" t="s">
        <v>3229</v>
      </c>
    </row>
    <row r="21" spans="1:29" x14ac:dyDescent="0.25">
      <c r="A21" t="s">
        <v>1715</v>
      </c>
      <c r="B21" t="s">
        <v>254</v>
      </c>
      <c r="C21" t="s">
        <v>333</v>
      </c>
      <c r="D21" t="s">
        <v>3209</v>
      </c>
      <c r="E21" t="s">
        <v>3246</v>
      </c>
      <c r="F21">
        <v>19480108</v>
      </c>
      <c r="G21" t="s">
        <v>9334</v>
      </c>
      <c r="H21" t="s">
        <v>242</v>
      </c>
      <c r="I21" t="s">
        <v>242</v>
      </c>
      <c r="J21" t="s">
        <v>241</v>
      </c>
      <c r="K21" t="s">
        <v>242</v>
      </c>
      <c r="L21" t="s">
        <v>242</v>
      </c>
      <c r="M21">
        <v>39.039213250000003</v>
      </c>
      <c r="N21">
        <v>-123.19381919999999</v>
      </c>
      <c r="O21">
        <v>36.299999999999997</v>
      </c>
      <c r="P21">
        <v>1.1000000000000001</v>
      </c>
      <c r="Q21">
        <v>0</v>
      </c>
      <c r="R21">
        <v>0</v>
      </c>
      <c r="S21">
        <v>0</v>
      </c>
      <c r="T21">
        <v>0</v>
      </c>
      <c r="U21">
        <v>0</v>
      </c>
      <c r="V21">
        <v>0.63</v>
      </c>
      <c r="W21">
        <v>0</v>
      </c>
      <c r="X21">
        <v>4.93</v>
      </c>
      <c r="Y21">
        <v>29.8</v>
      </c>
      <c r="Z21">
        <v>31.16</v>
      </c>
      <c r="AA21" t="s">
        <v>9335</v>
      </c>
      <c r="AB21" t="s">
        <v>242</v>
      </c>
      <c r="AC21" t="s">
        <v>3213</v>
      </c>
    </row>
    <row r="22" spans="1:29" x14ac:dyDescent="0.25">
      <c r="A22" t="s">
        <v>1720</v>
      </c>
      <c r="B22" t="s">
        <v>254</v>
      </c>
      <c r="C22" t="s">
        <v>308</v>
      </c>
      <c r="D22" t="s">
        <v>3209</v>
      </c>
      <c r="E22" t="s">
        <v>3246</v>
      </c>
      <c r="F22">
        <v>19480527</v>
      </c>
      <c r="G22" t="s">
        <v>9332</v>
      </c>
      <c r="H22" t="s">
        <v>242</v>
      </c>
      <c r="I22" t="s">
        <v>242</v>
      </c>
      <c r="J22" t="s">
        <v>241</v>
      </c>
      <c r="K22" t="s">
        <v>242</v>
      </c>
      <c r="L22" t="s">
        <v>242</v>
      </c>
      <c r="M22">
        <v>38.659607899999997</v>
      </c>
      <c r="N22">
        <v>-122.7382728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 t="s">
        <v>9335</v>
      </c>
      <c r="AB22" t="s">
        <v>242</v>
      </c>
      <c r="AC22" t="s">
        <v>3229</v>
      </c>
    </row>
    <row r="23" spans="1:29" x14ac:dyDescent="0.25">
      <c r="A23" t="s">
        <v>1445</v>
      </c>
      <c r="B23" t="s">
        <v>254</v>
      </c>
      <c r="C23" t="s">
        <v>311</v>
      </c>
      <c r="D23" t="s">
        <v>3209</v>
      </c>
      <c r="E23" t="s">
        <v>3246</v>
      </c>
      <c r="F23">
        <v>19581206</v>
      </c>
      <c r="G23" t="s">
        <v>9332</v>
      </c>
      <c r="H23" t="s">
        <v>242</v>
      </c>
      <c r="I23" t="s">
        <v>242</v>
      </c>
      <c r="J23" t="s">
        <v>242</v>
      </c>
      <c r="K23" t="s">
        <v>241</v>
      </c>
      <c r="L23" t="s">
        <v>242</v>
      </c>
      <c r="M23">
        <v>38.6218</v>
      </c>
      <c r="N23">
        <v>-122.77419999999999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 t="s">
        <v>9335</v>
      </c>
      <c r="AB23" t="s">
        <v>242</v>
      </c>
      <c r="AC23" t="s">
        <v>3229</v>
      </c>
    </row>
    <row r="24" spans="1:29" x14ac:dyDescent="0.25">
      <c r="A24" t="s">
        <v>1679</v>
      </c>
      <c r="B24" t="s">
        <v>254</v>
      </c>
      <c r="C24" t="s">
        <v>326</v>
      </c>
      <c r="D24" t="s">
        <v>3209</v>
      </c>
      <c r="E24" t="s">
        <v>3226</v>
      </c>
      <c r="F24">
        <v>19490128</v>
      </c>
      <c r="G24" t="s">
        <v>9332</v>
      </c>
      <c r="H24" t="s">
        <v>241</v>
      </c>
      <c r="I24" t="s">
        <v>242</v>
      </c>
      <c r="J24" t="s">
        <v>242</v>
      </c>
      <c r="K24" t="s">
        <v>241</v>
      </c>
      <c r="L24" t="s">
        <v>242</v>
      </c>
      <c r="M24">
        <v>39.1982</v>
      </c>
      <c r="N24">
        <v>-123.1823</v>
      </c>
      <c r="O24">
        <v>9523.33</v>
      </c>
      <c r="P24">
        <v>4503.33</v>
      </c>
      <c r="Q24">
        <v>8425.33</v>
      </c>
      <c r="R24">
        <v>12960.66</v>
      </c>
      <c r="S24">
        <v>1804.33</v>
      </c>
      <c r="T24">
        <v>0</v>
      </c>
      <c r="U24">
        <v>0</v>
      </c>
      <c r="V24">
        <v>0</v>
      </c>
      <c r="W24">
        <v>0</v>
      </c>
      <c r="X24">
        <v>592.33000000000004</v>
      </c>
      <c r="Y24">
        <v>1159.33</v>
      </c>
      <c r="Z24">
        <v>5230.33</v>
      </c>
      <c r="AA24" t="s">
        <v>9337</v>
      </c>
      <c r="AB24" t="s">
        <v>242</v>
      </c>
      <c r="AC24" t="s">
        <v>3229</v>
      </c>
    </row>
    <row r="25" spans="1:29" x14ac:dyDescent="0.25">
      <c r="A25" t="s">
        <v>31</v>
      </c>
      <c r="B25" t="s">
        <v>254</v>
      </c>
      <c r="C25" t="s">
        <v>326</v>
      </c>
      <c r="D25" t="s">
        <v>3209</v>
      </c>
      <c r="E25" t="s">
        <v>3246</v>
      </c>
      <c r="F25">
        <v>19490128</v>
      </c>
      <c r="G25" t="s">
        <v>9334</v>
      </c>
      <c r="H25" t="s">
        <v>241</v>
      </c>
      <c r="I25" t="s">
        <v>242</v>
      </c>
      <c r="J25" t="s">
        <v>242</v>
      </c>
      <c r="K25" t="s">
        <v>241</v>
      </c>
      <c r="L25" t="s">
        <v>242</v>
      </c>
      <c r="M25">
        <v>39.198</v>
      </c>
      <c r="N25">
        <v>-123.1827</v>
      </c>
      <c r="O25">
        <v>25.36</v>
      </c>
      <c r="P25">
        <v>40.549999999999997</v>
      </c>
      <c r="Q25">
        <v>100.77</v>
      </c>
      <c r="R25">
        <v>73.16</v>
      </c>
      <c r="S25">
        <v>147.08000000000001</v>
      </c>
      <c r="T25">
        <v>444.88</v>
      </c>
      <c r="U25">
        <v>992.43</v>
      </c>
      <c r="V25">
        <v>1228.9100000000001</v>
      </c>
      <c r="W25">
        <v>833.22</v>
      </c>
      <c r="X25">
        <v>522.38</v>
      </c>
      <c r="Y25">
        <v>193.65</v>
      </c>
      <c r="Z25">
        <v>55.67</v>
      </c>
      <c r="AA25" t="s">
        <v>9337</v>
      </c>
      <c r="AB25" t="s">
        <v>242</v>
      </c>
      <c r="AC25" t="s">
        <v>3213</v>
      </c>
    </row>
    <row r="26" spans="1:29" x14ac:dyDescent="0.25">
      <c r="A26" t="s">
        <v>1681</v>
      </c>
      <c r="B26" t="s">
        <v>254</v>
      </c>
      <c r="C26" t="s">
        <v>354</v>
      </c>
      <c r="D26" t="s">
        <v>3209</v>
      </c>
      <c r="E26" t="s">
        <v>3246</v>
      </c>
      <c r="F26">
        <v>19490224</v>
      </c>
      <c r="G26" t="s">
        <v>9332</v>
      </c>
      <c r="H26" t="s">
        <v>242</v>
      </c>
      <c r="I26" t="s">
        <v>242</v>
      </c>
      <c r="J26" t="s">
        <v>242</v>
      </c>
      <c r="K26" t="s">
        <v>241</v>
      </c>
      <c r="L26" t="s">
        <v>242</v>
      </c>
      <c r="M26">
        <v>38.756496149999997</v>
      </c>
      <c r="N26">
        <v>-123.0328157</v>
      </c>
      <c r="O26">
        <v>0</v>
      </c>
      <c r="P26">
        <v>0</v>
      </c>
      <c r="Q26">
        <v>6.33</v>
      </c>
      <c r="R26">
        <v>9</v>
      </c>
      <c r="S26">
        <v>4.66</v>
      </c>
      <c r="T26">
        <v>7.33</v>
      </c>
      <c r="U26">
        <v>0.66</v>
      </c>
      <c r="V26">
        <v>0</v>
      </c>
      <c r="W26">
        <v>0</v>
      </c>
      <c r="X26">
        <v>0</v>
      </c>
      <c r="Y26">
        <v>0</v>
      </c>
      <c r="Z26">
        <v>0</v>
      </c>
      <c r="AA26" t="s">
        <v>9335</v>
      </c>
      <c r="AB26" t="s">
        <v>242</v>
      </c>
      <c r="AC26" t="s">
        <v>3229</v>
      </c>
    </row>
    <row r="27" spans="1:29" x14ac:dyDescent="0.25">
      <c r="A27" t="s">
        <v>112</v>
      </c>
      <c r="B27" t="s">
        <v>254</v>
      </c>
      <c r="C27" t="s">
        <v>331</v>
      </c>
      <c r="D27" t="s">
        <v>3209</v>
      </c>
      <c r="E27" t="s">
        <v>3246</v>
      </c>
      <c r="F27">
        <v>19490303</v>
      </c>
      <c r="G27" t="s">
        <v>9332</v>
      </c>
      <c r="H27" t="s">
        <v>241</v>
      </c>
      <c r="I27" t="s">
        <v>242</v>
      </c>
      <c r="J27" t="s">
        <v>242</v>
      </c>
      <c r="K27" t="s">
        <v>241</v>
      </c>
      <c r="L27" t="s">
        <v>242</v>
      </c>
      <c r="M27">
        <v>39.156293179999999</v>
      </c>
      <c r="N27">
        <v>-123.1865403</v>
      </c>
      <c r="O27">
        <v>0</v>
      </c>
      <c r="P27">
        <v>0</v>
      </c>
      <c r="Q27">
        <v>0</v>
      </c>
      <c r="R27">
        <v>0</v>
      </c>
      <c r="S27">
        <v>2</v>
      </c>
      <c r="T27">
        <v>18.43</v>
      </c>
      <c r="U27">
        <v>18.309999999999999</v>
      </c>
      <c r="V27">
        <v>43.33</v>
      </c>
      <c r="W27">
        <v>20.100000000000001</v>
      </c>
      <c r="X27">
        <v>0</v>
      </c>
      <c r="Y27">
        <v>0</v>
      </c>
      <c r="Z27">
        <v>0</v>
      </c>
      <c r="AA27" t="s">
        <v>9335</v>
      </c>
      <c r="AB27" t="s">
        <v>242</v>
      </c>
      <c r="AC27" t="s">
        <v>3213</v>
      </c>
    </row>
    <row r="28" spans="1:29" x14ac:dyDescent="0.25">
      <c r="A28" t="s">
        <v>1683</v>
      </c>
      <c r="B28" t="s">
        <v>254</v>
      </c>
      <c r="C28" t="s">
        <v>319</v>
      </c>
      <c r="D28" t="s">
        <v>3209</v>
      </c>
      <c r="E28" t="s">
        <v>3246</v>
      </c>
      <c r="F28">
        <v>19490418</v>
      </c>
      <c r="G28" t="s">
        <v>9332</v>
      </c>
      <c r="H28" t="s">
        <v>241</v>
      </c>
      <c r="I28" t="s">
        <v>242</v>
      </c>
      <c r="J28" t="s">
        <v>242</v>
      </c>
      <c r="K28" t="s">
        <v>241</v>
      </c>
      <c r="L28" t="s">
        <v>242</v>
      </c>
      <c r="M28">
        <v>39.022510420000003</v>
      </c>
      <c r="N28">
        <v>-123.1289171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 t="s">
        <v>9335</v>
      </c>
      <c r="AB28" t="s">
        <v>242</v>
      </c>
      <c r="AC28" t="s">
        <v>3213</v>
      </c>
    </row>
    <row r="29" spans="1:29" x14ac:dyDescent="0.25">
      <c r="A29" t="s">
        <v>160</v>
      </c>
      <c r="B29" t="s">
        <v>254</v>
      </c>
      <c r="C29" t="s">
        <v>319</v>
      </c>
      <c r="D29" t="s">
        <v>3209</v>
      </c>
      <c r="E29" t="s">
        <v>3246</v>
      </c>
      <c r="F29">
        <v>19490418</v>
      </c>
      <c r="G29" t="s">
        <v>9332</v>
      </c>
      <c r="H29" t="s">
        <v>241</v>
      </c>
      <c r="I29" t="s">
        <v>242</v>
      </c>
      <c r="J29" t="s">
        <v>242</v>
      </c>
      <c r="K29" t="s">
        <v>241</v>
      </c>
      <c r="L29" t="s">
        <v>242</v>
      </c>
      <c r="M29">
        <v>39.023601829999997</v>
      </c>
      <c r="N29">
        <v>-123.1296385</v>
      </c>
      <c r="O29">
        <v>0</v>
      </c>
      <c r="P29">
        <v>0</v>
      </c>
      <c r="Q29">
        <v>0</v>
      </c>
      <c r="R29">
        <v>0</v>
      </c>
      <c r="S29">
        <v>0</v>
      </c>
      <c r="T29">
        <v>6.06</v>
      </c>
      <c r="U29">
        <v>18.37</v>
      </c>
      <c r="V29">
        <v>27.2</v>
      </c>
      <c r="W29">
        <v>15.83</v>
      </c>
      <c r="X29">
        <v>4.5</v>
      </c>
      <c r="Y29">
        <v>0</v>
      </c>
      <c r="Z29">
        <v>0</v>
      </c>
      <c r="AA29" t="s">
        <v>9335</v>
      </c>
      <c r="AB29" t="s">
        <v>242</v>
      </c>
      <c r="AC29" t="s">
        <v>3213</v>
      </c>
    </row>
    <row r="30" spans="1:29" x14ac:dyDescent="0.25">
      <c r="A30" t="s">
        <v>1689</v>
      </c>
      <c r="B30" t="s">
        <v>254</v>
      </c>
      <c r="C30" t="s">
        <v>436</v>
      </c>
      <c r="D30" t="s">
        <v>3209</v>
      </c>
      <c r="E30" t="s">
        <v>3246</v>
      </c>
      <c r="F30">
        <v>19490601</v>
      </c>
      <c r="G30" t="s">
        <v>9332</v>
      </c>
      <c r="H30" t="s">
        <v>241</v>
      </c>
      <c r="I30" t="s">
        <v>242</v>
      </c>
      <c r="J30" t="s">
        <v>242</v>
      </c>
      <c r="K30" t="s">
        <v>241</v>
      </c>
      <c r="L30" t="s">
        <v>242</v>
      </c>
      <c r="M30">
        <v>38.67715638</v>
      </c>
      <c r="N30">
        <v>-122.8617637</v>
      </c>
      <c r="O30">
        <v>0</v>
      </c>
      <c r="P30">
        <v>0.08</v>
      </c>
      <c r="Q30">
        <v>0.2</v>
      </c>
      <c r="R30">
        <v>0.06</v>
      </c>
      <c r="S30">
        <v>0.24</v>
      </c>
      <c r="T30">
        <v>0.83</v>
      </c>
      <c r="U30">
        <v>1.54</v>
      </c>
      <c r="V30">
        <v>1.95</v>
      </c>
      <c r="W30">
        <v>0.78</v>
      </c>
      <c r="X30">
        <v>0</v>
      </c>
      <c r="Y30">
        <v>0</v>
      </c>
      <c r="Z30">
        <v>0</v>
      </c>
      <c r="AA30" t="s">
        <v>9335</v>
      </c>
      <c r="AB30" t="s">
        <v>242</v>
      </c>
      <c r="AC30" t="s">
        <v>3229</v>
      </c>
    </row>
    <row r="31" spans="1:29" x14ac:dyDescent="0.25">
      <c r="A31" t="s">
        <v>1690</v>
      </c>
      <c r="B31" t="s">
        <v>254</v>
      </c>
      <c r="C31" t="s">
        <v>436</v>
      </c>
      <c r="D31" t="s">
        <v>3209</v>
      </c>
      <c r="E31" t="s">
        <v>3246</v>
      </c>
      <c r="F31">
        <v>19490601</v>
      </c>
      <c r="G31" t="s">
        <v>9332</v>
      </c>
      <c r="H31" t="s">
        <v>241</v>
      </c>
      <c r="I31" t="s">
        <v>242</v>
      </c>
      <c r="J31" t="s">
        <v>242</v>
      </c>
      <c r="K31" t="s">
        <v>241</v>
      </c>
      <c r="L31" t="s">
        <v>242</v>
      </c>
      <c r="M31">
        <v>38.676651219999997</v>
      </c>
      <c r="N31">
        <v>-122.85580229999999</v>
      </c>
      <c r="O31">
        <v>0</v>
      </c>
      <c r="P31">
        <v>0</v>
      </c>
      <c r="Q31">
        <v>0</v>
      </c>
      <c r="R31">
        <v>0</v>
      </c>
      <c r="S31">
        <v>0.1</v>
      </c>
      <c r="T31">
        <v>0.73</v>
      </c>
      <c r="U31">
        <v>1.4</v>
      </c>
      <c r="V31">
        <v>2</v>
      </c>
      <c r="W31">
        <v>1.66</v>
      </c>
      <c r="X31">
        <v>0</v>
      </c>
      <c r="Y31">
        <v>0</v>
      </c>
      <c r="Z31">
        <v>0</v>
      </c>
      <c r="AA31" t="s">
        <v>9335</v>
      </c>
      <c r="AB31" t="s">
        <v>242</v>
      </c>
      <c r="AC31" t="s">
        <v>3229</v>
      </c>
    </row>
    <row r="32" spans="1:29" x14ac:dyDescent="0.25">
      <c r="A32" t="s">
        <v>1693</v>
      </c>
      <c r="B32" t="s">
        <v>254</v>
      </c>
      <c r="C32" t="s">
        <v>308</v>
      </c>
      <c r="D32" t="s">
        <v>3209</v>
      </c>
      <c r="E32" t="s">
        <v>3246</v>
      </c>
      <c r="F32">
        <v>19490620</v>
      </c>
      <c r="G32" t="s">
        <v>9332</v>
      </c>
      <c r="H32" t="s">
        <v>242</v>
      </c>
      <c r="I32" t="s">
        <v>242</v>
      </c>
      <c r="J32" t="s">
        <v>242</v>
      </c>
      <c r="K32" t="s">
        <v>241</v>
      </c>
      <c r="L32" t="s">
        <v>242</v>
      </c>
      <c r="M32">
        <v>38.642499999999998</v>
      </c>
      <c r="N32">
        <v>-122.7521</v>
      </c>
      <c r="O32">
        <v>0</v>
      </c>
      <c r="P32">
        <v>0</v>
      </c>
      <c r="Q32">
        <v>0</v>
      </c>
      <c r="R32">
        <v>0</v>
      </c>
      <c r="S32">
        <v>0.03</v>
      </c>
      <c r="T32">
        <v>0.02</v>
      </c>
      <c r="U32">
        <v>0.02</v>
      </c>
      <c r="V32">
        <v>0.03</v>
      </c>
      <c r="W32">
        <v>0.01</v>
      </c>
      <c r="X32">
        <v>0</v>
      </c>
      <c r="Y32">
        <v>0</v>
      </c>
      <c r="Z32">
        <v>0</v>
      </c>
      <c r="AA32" t="s">
        <v>9333</v>
      </c>
      <c r="AB32" t="s">
        <v>242</v>
      </c>
      <c r="AC32" t="s">
        <v>3229</v>
      </c>
    </row>
    <row r="33" spans="1:29" x14ac:dyDescent="0.25">
      <c r="A33" t="s">
        <v>1695</v>
      </c>
      <c r="B33" t="s">
        <v>254</v>
      </c>
      <c r="C33" t="s">
        <v>311</v>
      </c>
      <c r="D33" t="s">
        <v>3209</v>
      </c>
      <c r="E33" t="s">
        <v>3246</v>
      </c>
      <c r="F33">
        <v>19490629</v>
      </c>
      <c r="G33" t="s">
        <v>9332</v>
      </c>
      <c r="H33" t="s">
        <v>241</v>
      </c>
      <c r="I33" t="s">
        <v>242</v>
      </c>
      <c r="J33" t="s">
        <v>242</v>
      </c>
      <c r="K33" t="s">
        <v>241</v>
      </c>
      <c r="L33" t="s">
        <v>242</v>
      </c>
      <c r="M33">
        <v>38.638919659999999</v>
      </c>
      <c r="N33">
        <v>-122.7940779</v>
      </c>
      <c r="O33">
        <v>0</v>
      </c>
      <c r="P33">
        <v>0</v>
      </c>
      <c r="Q33">
        <v>0</v>
      </c>
      <c r="R33">
        <v>0</v>
      </c>
      <c r="S33">
        <v>0.33</v>
      </c>
      <c r="T33">
        <v>2.75</v>
      </c>
      <c r="U33">
        <v>2.83</v>
      </c>
      <c r="V33">
        <v>3</v>
      </c>
      <c r="W33">
        <v>3.33</v>
      </c>
      <c r="X33">
        <v>0.74</v>
      </c>
      <c r="Y33">
        <v>0</v>
      </c>
      <c r="Z33">
        <v>0</v>
      </c>
      <c r="AA33" t="s">
        <v>9335</v>
      </c>
      <c r="AB33" t="s">
        <v>242</v>
      </c>
      <c r="AC33" t="s">
        <v>3229</v>
      </c>
    </row>
    <row r="34" spans="1:29" x14ac:dyDescent="0.25">
      <c r="A34" t="s">
        <v>61</v>
      </c>
      <c r="B34" t="s">
        <v>254</v>
      </c>
      <c r="C34" t="s">
        <v>311</v>
      </c>
      <c r="D34" t="s">
        <v>3209</v>
      </c>
      <c r="E34" t="s">
        <v>3246</v>
      </c>
      <c r="F34">
        <v>19490629</v>
      </c>
      <c r="G34" t="s">
        <v>9332</v>
      </c>
      <c r="H34" t="s">
        <v>241</v>
      </c>
      <c r="I34" t="s">
        <v>242</v>
      </c>
      <c r="J34" t="s">
        <v>242</v>
      </c>
      <c r="K34" t="s">
        <v>241</v>
      </c>
      <c r="L34" t="s">
        <v>242</v>
      </c>
      <c r="M34">
        <v>38.652414620000002</v>
      </c>
      <c r="N34">
        <v>-122.788275</v>
      </c>
      <c r="O34">
        <v>0</v>
      </c>
      <c r="P34">
        <v>0</v>
      </c>
      <c r="Q34">
        <v>0</v>
      </c>
      <c r="R34">
        <v>0</v>
      </c>
      <c r="S34">
        <v>0.3</v>
      </c>
      <c r="T34">
        <v>0.66</v>
      </c>
      <c r="U34">
        <v>1.2</v>
      </c>
      <c r="V34">
        <v>1.4</v>
      </c>
      <c r="W34">
        <v>1.1000000000000001</v>
      </c>
      <c r="X34">
        <v>0.6</v>
      </c>
      <c r="Y34">
        <v>0</v>
      </c>
      <c r="Z34">
        <v>0</v>
      </c>
      <c r="AA34" t="s">
        <v>9335</v>
      </c>
      <c r="AB34" t="s">
        <v>242</v>
      </c>
      <c r="AC34" t="s">
        <v>3229</v>
      </c>
    </row>
    <row r="35" spans="1:29" x14ac:dyDescent="0.25">
      <c r="A35" t="s">
        <v>66</v>
      </c>
      <c r="B35" t="s">
        <v>254</v>
      </c>
      <c r="C35" t="s">
        <v>311</v>
      </c>
      <c r="D35" t="s">
        <v>3209</v>
      </c>
      <c r="E35" t="s">
        <v>3246</v>
      </c>
      <c r="F35">
        <v>19490629</v>
      </c>
      <c r="G35" t="s">
        <v>9332</v>
      </c>
      <c r="H35" t="s">
        <v>241</v>
      </c>
      <c r="I35" t="s">
        <v>242</v>
      </c>
      <c r="J35" t="s">
        <v>242</v>
      </c>
      <c r="K35" t="s">
        <v>241</v>
      </c>
      <c r="L35" t="s">
        <v>242</v>
      </c>
      <c r="M35">
        <v>38.627695240000001</v>
      </c>
      <c r="N35">
        <v>-122.7890519</v>
      </c>
      <c r="O35">
        <v>0</v>
      </c>
      <c r="P35">
        <v>0</v>
      </c>
      <c r="Q35">
        <v>0</v>
      </c>
      <c r="R35">
        <v>0</v>
      </c>
      <c r="S35">
        <v>1.2</v>
      </c>
      <c r="T35">
        <v>2.76</v>
      </c>
      <c r="U35">
        <v>5.0599999999999996</v>
      </c>
      <c r="V35">
        <v>6</v>
      </c>
      <c r="W35">
        <v>4.63</v>
      </c>
      <c r="X35">
        <v>2.46</v>
      </c>
      <c r="Y35">
        <v>0</v>
      </c>
      <c r="Z35">
        <v>0</v>
      </c>
      <c r="AA35" t="s">
        <v>9335</v>
      </c>
      <c r="AB35" t="s">
        <v>242</v>
      </c>
      <c r="AC35" t="s">
        <v>3229</v>
      </c>
    </row>
    <row r="36" spans="1:29" x14ac:dyDescent="0.25">
      <c r="A36" t="s">
        <v>54</v>
      </c>
      <c r="B36" t="s">
        <v>254</v>
      </c>
      <c r="C36" t="s">
        <v>311</v>
      </c>
      <c r="D36" t="s">
        <v>3209</v>
      </c>
      <c r="E36" t="s">
        <v>3226</v>
      </c>
      <c r="F36">
        <v>19490708</v>
      </c>
      <c r="G36" t="s">
        <v>9338</v>
      </c>
      <c r="H36" t="s">
        <v>241</v>
      </c>
      <c r="I36" t="s">
        <v>242</v>
      </c>
      <c r="J36" t="s">
        <v>242</v>
      </c>
      <c r="K36" t="s">
        <v>241</v>
      </c>
      <c r="L36" t="s">
        <v>242</v>
      </c>
      <c r="M36">
        <v>38.633328259999999</v>
      </c>
      <c r="N36">
        <v>-122.8559333</v>
      </c>
      <c r="O36">
        <v>0</v>
      </c>
      <c r="P36">
        <v>0</v>
      </c>
      <c r="Q36">
        <v>0</v>
      </c>
      <c r="R36">
        <v>0</v>
      </c>
      <c r="S36">
        <v>31.66</v>
      </c>
      <c r="T36">
        <v>77.56</v>
      </c>
      <c r="U36">
        <v>88.45</v>
      </c>
      <c r="V36">
        <v>89.86</v>
      </c>
      <c r="W36">
        <v>78.44</v>
      </c>
      <c r="X36">
        <v>69.19</v>
      </c>
      <c r="Y36">
        <v>0</v>
      </c>
      <c r="Z36">
        <v>0</v>
      </c>
      <c r="AA36" t="s">
        <v>9336</v>
      </c>
      <c r="AB36" t="s">
        <v>242</v>
      </c>
      <c r="AC36" t="s">
        <v>3229</v>
      </c>
    </row>
    <row r="37" spans="1:29" x14ac:dyDescent="0.25">
      <c r="A37" t="s">
        <v>76</v>
      </c>
      <c r="B37" t="s">
        <v>254</v>
      </c>
      <c r="C37" t="s">
        <v>331</v>
      </c>
      <c r="D37" t="s">
        <v>3209</v>
      </c>
      <c r="E37" t="s">
        <v>3246</v>
      </c>
      <c r="F37">
        <v>19490729</v>
      </c>
      <c r="G37" t="s">
        <v>9332</v>
      </c>
      <c r="H37" t="s">
        <v>241</v>
      </c>
      <c r="I37" t="s">
        <v>242</v>
      </c>
      <c r="J37" t="s">
        <v>242</v>
      </c>
      <c r="K37" t="s">
        <v>241</v>
      </c>
      <c r="L37" t="s">
        <v>242</v>
      </c>
      <c r="M37">
        <v>39.133968340000003</v>
      </c>
      <c r="N37">
        <v>-123.1871063</v>
      </c>
      <c r="O37">
        <v>0</v>
      </c>
      <c r="P37">
        <v>0</v>
      </c>
      <c r="Q37">
        <v>0</v>
      </c>
      <c r="R37">
        <v>0</v>
      </c>
      <c r="S37">
        <v>0</v>
      </c>
      <c r="T37">
        <v>13.74</v>
      </c>
      <c r="U37">
        <v>14.84</v>
      </c>
      <c r="V37">
        <v>8.31</v>
      </c>
      <c r="W37">
        <v>6.16</v>
      </c>
      <c r="X37">
        <v>0</v>
      </c>
      <c r="Y37">
        <v>0</v>
      </c>
      <c r="Z37">
        <v>0</v>
      </c>
      <c r="AA37" t="s">
        <v>9335</v>
      </c>
      <c r="AB37" t="s">
        <v>242</v>
      </c>
      <c r="AC37" t="s">
        <v>3213</v>
      </c>
    </row>
    <row r="38" spans="1:29" x14ac:dyDescent="0.25">
      <c r="A38" t="s">
        <v>130</v>
      </c>
      <c r="B38" t="s">
        <v>254</v>
      </c>
      <c r="C38" t="s">
        <v>354</v>
      </c>
      <c r="D38" t="s">
        <v>3209</v>
      </c>
      <c r="E38" t="s">
        <v>3246</v>
      </c>
      <c r="F38">
        <v>19490804</v>
      </c>
      <c r="G38" t="s">
        <v>9332</v>
      </c>
      <c r="H38" t="s">
        <v>241</v>
      </c>
      <c r="I38" t="s">
        <v>242</v>
      </c>
      <c r="J38" t="s">
        <v>242</v>
      </c>
      <c r="K38" t="s">
        <v>241</v>
      </c>
      <c r="L38" t="s">
        <v>242</v>
      </c>
      <c r="M38">
        <v>38.811669389999999</v>
      </c>
      <c r="N38">
        <v>-123.003783</v>
      </c>
      <c r="O38">
        <v>0</v>
      </c>
      <c r="P38">
        <v>0</v>
      </c>
      <c r="Q38">
        <v>0</v>
      </c>
      <c r="R38">
        <v>0.33</v>
      </c>
      <c r="S38">
        <v>0</v>
      </c>
      <c r="T38">
        <v>0.23</v>
      </c>
      <c r="U38">
        <v>0.26</v>
      </c>
      <c r="V38">
        <v>3.26</v>
      </c>
      <c r="W38">
        <v>2.13</v>
      </c>
      <c r="X38">
        <v>0</v>
      </c>
      <c r="Y38">
        <v>0</v>
      </c>
      <c r="Z38">
        <v>0</v>
      </c>
      <c r="AA38" t="s">
        <v>9335</v>
      </c>
      <c r="AB38" t="s">
        <v>242</v>
      </c>
      <c r="AC38" t="s">
        <v>3229</v>
      </c>
    </row>
    <row r="39" spans="1:29" x14ac:dyDescent="0.25">
      <c r="A39" t="s">
        <v>1104</v>
      </c>
      <c r="B39" t="s">
        <v>254</v>
      </c>
      <c r="C39" t="s">
        <v>311</v>
      </c>
      <c r="D39" t="s">
        <v>3209</v>
      </c>
      <c r="E39" t="s">
        <v>3246</v>
      </c>
      <c r="F39">
        <v>19730614</v>
      </c>
      <c r="G39" t="s">
        <v>9332</v>
      </c>
      <c r="H39" t="s">
        <v>241</v>
      </c>
      <c r="I39" t="s">
        <v>242</v>
      </c>
      <c r="J39" t="s">
        <v>242</v>
      </c>
      <c r="K39" t="s">
        <v>241</v>
      </c>
      <c r="L39" t="s">
        <v>242</v>
      </c>
      <c r="M39">
        <v>38.638919659999999</v>
      </c>
      <c r="N39">
        <v>-122.7940779</v>
      </c>
      <c r="O39">
        <v>0</v>
      </c>
      <c r="P39">
        <v>0</v>
      </c>
      <c r="Q39">
        <v>0</v>
      </c>
      <c r="R39">
        <v>0</v>
      </c>
      <c r="S39">
        <v>5</v>
      </c>
      <c r="T39">
        <v>15.66</v>
      </c>
      <c r="U39">
        <v>17.64</v>
      </c>
      <c r="V39">
        <v>17.68</v>
      </c>
      <c r="W39">
        <v>17.079999999999998</v>
      </c>
      <c r="X39">
        <v>6.57</v>
      </c>
      <c r="Y39">
        <v>0</v>
      </c>
      <c r="Z39">
        <v>0</v>
      </c>
      <c r="AA39" t="s">
        <v>9335</v>
      </c>
      <c r="AB39" t="s">
        <v>242</v>
      </c>
      <c r="AC39" t="s">
        <v>3229</v>
      </c>
    </row>
    <row r="40" spans="1:29" x14ac:dyDescent="0.25">
      <c r="A40" t="s">
        <v>1105</v>
      </c>
      <c r="B40" t="s">
        <v>254</v>
      </c>
      <c r="C40" t="s">
        <v>311</v>
      </c>
      <c r="D40" t="s">
        <v>3209</v>
      </c>
      <c r="E40" t="s">
        <v>3246</v>
      </c>
      <c r="F40">
        <v>19730614</v>
      </c>
      <c r="G40" t="s">
        <v>9338</v>
      </c>
      <c r="H40" t="s">
        <v>241</v>
      </c>
      <c r="I40" t="s">
        <v>242</v>
      </c>
      <c r="J40" t="s">
        <v>242</v>
      </c>
      <c r="K40" t="s">
        <v>241</v>
      </c>
      <c r="L40" t="s">
        <v>242</v>
      </c>
      <c r="M40">
        <v>38.638919659999999</v>
      </c>
      <c r="N40">
        <v>-122.7940779</v>
      </c>
      <c r="O40">
        <v>0</v>
      </c>
      <c r="P40">
        <v>0</v>
      </c>
      <c r="Q40">
        <v>0</v>
      </c>
      <c r="R40">
        <v>0</v>
      </c>
      <c r="S40">
        <v>1.66</v>
      </c>
      <c r="T40">
        <v>10.25</v>
      </c>
      <c r="U40">
        <v>11.43</v>
      </c>
      <c r="V40">
        <v>13.64</v>
      </c>
      <c r="W40">
        <v>10.17</v>
      </c>
      <c r="X40">
        <v>7.87</v>
      </c>
      <c r="Y40">
        <v>0</v>
      </c>
      <c r="Z40">
        <v>0</v>
      </c>
      <c r="AA40" t="s">
        <v>9335</v>
      </c>
      <c r="AB40" t="s">
        <v>242</v>
      </c>
      <c r="AC40" t="s">
        <v>3229</v>
      </c>
    </row>
    <row r="41" spans="1:29" x14ac:dyDescent="0.25">
      <c r="A41" t="s">
        <v>67</v>
      </c>
      <c r="B41" t="s">
        <v>254</v>
      </c>
      <c r="C41" t="s">
        <v>311</v>
      </c>
      <c r="D41" t="s">
        <v>3209</v>
      </c>
      <c r="E41" t="s">
        <v>3246</v>
      </c>
      <c r="F41">
        <v>19730614</v>
      </c>
      <c r="G41" t="s">
        <v>9332</v>
      </c>
      <c r="H41" t="s">
        <v>241</v>
      </c>
      <c r="I41" t="s">
        <v>242</v>
      </c>
      <c r="J41" t="s">
        <v>242</v>
      </c>
      <c r="K41" t="s">
        <v>241</v>
      </c>
      <c r="L41" t="s">
        <v>242</v>
      </c>
      <c r="M41">
        <v>38.64335346</v>
      </c>
      <c r="N41">
        <v>-122.78817479999999</v>
      </c>
      <c r="O41">
        <v>0</v>
      </c>
      <c r="P41">
        <v>0</v>
      </c>
      <c r="Q41">
        <v>0</v>
      </c>
      <c r="R41">
        <v>0</v>
      </c>
      <c r="S41">
        <v>0.7</v>
      </c>
      <c r="T41">
        <v>1.63</v>
      </c>
      <c r="U41">
        <v>3.03</v>
      </c>
      <c r="V41">
        <v>3.56</v>
      </c>
      <c r="W41">
        <v>2.73</v>
      </c>
      <c r="X41">
        <v>1.46</v>
      </c>
      <c r="Y41">
        <v>0</v>
      </c>
      <c r="Z41">
        <v>0</v>
      </c>
      <c r="AA41" t="s">
        <v>9335</v>
      </c>
      <c r="AB41" t="s">
        <v>242</v>
      </c>
      <c r="AC41" t="s">
        <v>3229</v>
      </c>
    </row>
    <row r="42" spans="1:29" x14ac:dyDescent="0.25">
      <c r="A42" t="s">
        <v>69</v>
      </c>
      <c r="B42" t="s">
        <v>254</v>
      </c>
      <c r="C42" t="s">
        <v>311</v>
      </c>
      <c r="D42" t="s">
        <v>3209</v>
      </c>
      <c r="E42" t="s">
        <v>3246</v>
      </c>
      <c r="F42">
        <v>19490808</v>
      </c>
      <c r="G42" t="s">
        <v>9332</v>
      </c>
      <c r="H42" t="s">
        <v>241</v>
      </c>
      <c r="I42" t="s">
        <v>242</v>
      </c>
      <c r="J42" t="s">
        <v>242</v>
      </c>
      <c r="K42" t="s">
        <v>241</v>
      </c>
      <c r="L42" t="s">
        <v>242</v>
      </c>
      <c r="M42">
        <v>38.627695240000001</v>
      </c>
      <c r="N42">
        <v>-122.7890519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 t="s">
        <v>9335</v>
      </c>
      <c r="AB42" t="s">
        <v>242</v>
      </c>
      <c r="AC42" t="s">
        <v>3229</v>
      </c>
    </row>
    <row r="43" spans="1:29" x14ac:dyDescent="0.25">
      <c r="A43" t="s">
        <v>1702</v>
      </c>
      <c r="B43" t="s">
        <v>254</v>
      </c>
      <c r="C43" t="s">
        <v>331</v>
      </c>
      <c r="D43" t="s">
        <v>3209</v>
      </c>
      <c r="E43" t="s">
        <v>3246</v>
      </c>
      <c r="F43">
        <v>19490809</v>
      </c>
      <c r="G43" t="s">
        <v>9332</v>
      </c>
      <c r="H43" t="s">
        <v>241</v>
      </c>
      <c r="I43" t="s">
        <v>242</v>
      </c>
      <c r="J43" t="s">
        <v>242</v>
      </c>
      <c r="K43" t="s">
        <v>241</v>
      </c>
      <c r="L43" t="s">
        <v>242</v>
      </c>
      <c r="M43">
        <v>39.132292380000003</v>
      </c>
      <c r="N43">
        <v>-123.18989879999999</v>
      </c>
      <c r="O43">
        <v>0</v>
      </c>
      <c r="P43">
        <v>0</v>
      </c>
      <c r="Q43">
        <v>1.03</v>
      </c>
      <c r="R43">
        <v>1.53</v>
      </c>
      <c r="S43">
        <v>2.66</v>
      </c>
      <c r="T43">
        <v>2.8</v>
      </c>
      <c r="U43">
        <v>4.53</v>
      </c>
      <c r="V43">
        <v>2.86</v>
      </c>
      <c r="W43">
        <v>1.3</v>
      </c>
      <c r="X43">
        <v>1.03</v>
      </c>
      <c r="Y43">
        <v>0</v>
      </c>
      <c r="Z43">
        <v>0</v>
      </c>
      <c r="AA43" t="s">
        <v>9335</v>
      </c>
      <c r="AB43" t="s">
        <v>242</v>
      </c>
      <c r="AC43" t="s">
        <v>3213</v>
      </c>
    </row>
    <row r="44" spans="1:29" x14ac:dyDescent="0.25">
      <c r="A44" t="s">
        <v>1703</v>
      </c>
      <c r="B44" t="s">
        <v>254</v>
      </c>
      <c r="C44" t="s">
        <v>331</v>
      </c>
      <c r="D44" t="s">
        <v>3209</v>
      </c>
      <c r="E44" t="s">
        <v>3246</v>
      </c>
      <c r="F44">
        <v>19490809</v>
      </c>
      <c r="G44" t="s">
        <v>9332</v>
      </c>
      <c r="H44" t="s">
        <v>241</v>
      </c>
      <c r="I44" t="s">
        <v>242</v>
      </c>
      <c r="J44" t="s">
        <v>242</v>
      </c>
      <c r="K44" t="s">
        <v>241</v>
      </c>
      <c r="L44" t="s">
        <v>242</v>
      </c>
      <c r="M44">
        <v>39.132292380000003</v>
      </c>
      <c r="N44">
        <v>-123.18989879999999</v>
      </c>
      <c r="O44">
        <v>0</v>
      </c>
      <c r="P44">
        <v>0</v>
      </c>
      <c r="Q44">
        <v>0</v>
      </c>
      <c r="R44">
        <v>0</v>
      </c>
      <c r="S44">
        <v>0</v>
      </c>
      <c r="T44">
        <v>8.76</v>
      </c>
      <c r="U44">
        <v>9.6999999999999993</v>
      </c>
      <c r="V44">
        <v>7.73</v>
      </c>
      <c r="W44">
        <v>6.5</v>
      </c>
      <c r="X44">
        <v>8.9</v>
      </c>
      <c r="Y44">
        <v>0</v>
      </c>
      <c r="Z44">
        <v>0</v>
      </c>
      <c r="AA44" t="s">
        <v>9335</v>
      </c>
      <c r="AB44" t="s">
        <v>242</v>
      </c>
      <c r="AC44" t="s">
        <v>3213</v>
      </c>
    </row>
    <row r="45" spans="1:29" x14ac:dyDescent="0.25">
      <c r="A45" t="s">
        <v>1704</v>
      </c>
      <c r="B45" t="s">
        <v>254</v>
      </c>
      <c r="C45" t="s">
        <v>354</v>
      </c>
      <c r="D45" t="s">
        <v>3209</v>
      </c>
      <c r="E45" t="s">
        <v>3246</v>
      </c>
      <c r="F45">
        <v>19490809</v>
      </c>
      <c r="G45" t="s">
        <v>9332</v>
      </c>
      <c r="H45" t="s">
        <v>241</v>
      </c>
      <c r="I45" t="s">
        <v>242</v>
      </c>
      <c r="J45" t="s">
        <v>242</v>
      </c>
      <c r="K45" t="s">
        <v>241</v>
      </c>
      <c r="L45" t="s">
        <v>242</v>
      </c>
      <c r="M45">
        <v>38.804042019999997</v>
      </c>
      <c r="N45">
        <v>-122.99665659999999</v>
      </c>
      <c r="O45">
        <v>0</v>
      </c>
      <c r="P45">
        <v>0</v>
      </c>
      <c r="Q45">
        <v>0</v>
      </c>
      <c r="R45">
        <v>0</v>
      </c>
      <c r="S45">
        <v>0</v>
      </c>
      <c r="T45">
        <v>1.1000000000000001</v>
      </c>
      <c r="U45">
        <v>2.5</v>
      </c>
      <c r="V45">
        <v>1.4</v>
      </c>
      <c r="W45">
        <v>0</v>
      </c>
      <c r="X45">
        <v>0</v>
      </c>
      <c r="Y45">
        <v>0</v>
      </c>
      <c r="Z45">
        <v>0</v>
      </c>
      <c r="AA45" t="s">
        <v>9335</v>
      </c>
      <c r="AB45" t="s">
        <v>242</v>
      </c>
      <c r="AC45" t="s">
        <v>3229</v>
      </c>
    </row>
    <row r="46" spans="1:29" x14ac:dyDescent="0.25">
      <c r="A46" t="s">
        <v>157</v>
      </c>
      <c r="B46" t="s">
        <v>254</v>
      </c>
      <c r="C46" t="s">
        <v>311</v>
      </c>
      <c r="D46" t="s">
        <v>3209</v>
      </c>
      <c r="E46" t="s">
        <v>3246</v>
      </c>
      <c r="F46">
        <v>19490906</v>
      </c>
      <c r="G46" t="s">
        <v>9334</v>
      </c>
      <c r="H46" t="s">
        <v>241</v>
      </c>
      <c r="I46" t="s">
        <v>242</v>
      </c>
      <c r="J46" t="s">
        <v>242</v>
      </c>
      <c r="K46" t="s">
        <v>241</v>
      </c>
      <c r="L46" t="s">
        <v>242</v>
      </c>
      <c r="M46">
        <v>38.649280470000001</v>
      </c>
      <c r="N46">
        <v>-122.8083757</v>
      </c>
      <c r="O46">
        <v>0</v>
      </c>
      <c r="P46">
        <v>0</v>
      </c>
      <c r="Q46">
        <v>0</v>
      </c>
      <c r="R46">
        <v>0.2</v>
      </c>
      <c r="S46">
        <v>0.14000000000000001</v>
      </c>
      <c r="T46">
        <v>0.33</v>
      </c>
      <c r="U46">
        <v>1.41</v>
      </c>
      <c r="V46">
        <v>1.76</v>
      </c>
      <c r="W46">
        <v>1.18</v>
      </c>
      <c r="X46">
        <v>0.94</v>
      </c>
      <c r="Y46">
        <v>0.14000000000000001</v>
      </c>
      <c r="Z46">
        <v>0</v>
      </c>
      <c r="AA46" t="s">
        <v>9335</v>
      </c>
      <c r="AB46" t="s">
        <v>242</v>
      </c>
      <c r="AC46" t="s">
        <v>3229</v>
      </c>
    </row>
    <row r="47" spans="1:29" x14ac:dyDescent="0.25">
      <c r="A47" t="s">
        <v>1710</v>
      </c>
      <c r="B47" t="s">
        <v>254</v>
      </c>
      <c r="C47" t="s">
        <v>311</v>
      </c>
      <c r="D47" t="s">
        <v>3209</v>
      </c>
      <c r="E47" t="s">
        <v>3246</v>
      </c>
      <c r="F47">
        <v>19491007</v>
      </c>
      <c r="G47" t="s">
        <v>9332</v>
      </c>
      <c r="H47" t="s">
        <v>241</v>
      </c>
      <c r="I47" t="s">
        <v>242</v>
      </c>
      <c r="J47" t="s">
        <v>242</v>
      </c>
      <c r="K47" t="s">
        <v>241</v>
      </c>
      <c r="L47" t="s">
        <v>242</v>
      </c>
      <c r="M47">
        <v>38.651000000000003</v>
      </c>
      <c r="N47">
        <v>-122.80629999999999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 t="s">
        <v>9335</v>
      </c>
      <c r="AB47" t="s">
        <v>242</v>
      </c>
      <c r="AC47" t="s">
        <v>3229</v>
      </c>
    </row>
    <row r="48" spans="1:29" x14ac:dyDescent="0.25">
      <c r="A48" t="s">
        <v>1714</v>
      </c>
      <c r="B48" t="s">
        <v>254</v>
      </c>
      <c r="C48" t="s">
        <v>311</v>
      </c>
      <c r="D48" t="s">
        <v>3209</v>
      </c>
      <c r="E48" t="s">
        <v>3246</v>
      </c>
      <c r="F48">
        <v>19491117</v>
      </c>
      <c r="G48" t="s">
        <v>9332</v>
      </c>
      <c r="H48" t="s">
        <v>241</v>
      </c>
      <c r="I48" t="s">
        <v>242</v>
      </c>
      <c r="J48" t="s">
        <v>242</v>
      </c>
      <c r="K48" t="s">
        <v>241</v>
      </c>
      <c r="L48" t="s">
        <v>242</v>
      </c>
      <c r="M48">
        <v>38.632911460000003</v>
      </c>
      <c r="N48">
        <v>-122.8286702</v>
      </c>
      <c r="O48">
        <v>0</v>
      </c>
      <c r="P48">
        <v>0</v>
      </c>
      <c r="Q48">
        <v>0</v>
      </c>
      <c r="R48">
        <v>0</v>
      </c>
      <c r="S48">
        <v>0.28999999999999998</v>
      </c>
      <c r="T48">
        <v>0.57999999999999996</v>
      </c>
      <c r="U48">
        <v>0.57999999999999996</v>
      </c>
      <c r="V48">
        <v>0.49</v>
      </c>
      <c r="W48">
        <v>0.54</v>
      </c>
      <c r="X48">
        <v>0.39</v>
      </c>
      <c r="Y48">
        <v>0</v>
      </c>
      <c r="Z48">
        <v>0</v>
      </c>
      <c r="AA48" t="s">
        <v>9335</v>
      </c>
      <c r="AB48" t="s">
        <v>242</v>
      </c>
      <c r="AC48" t="s">
        <v>3229</v>
      </c>
    </row>
    <row r="49" spans="1:29" x14ac:dyDescent="0.25">
      <c r="A49" t="s">
        <v>45</v>
      </c>
      <c r="B49" t="s">
        <v>254</v>
      </c>
      <c r="C49" t="s">
        <v>436</v>
      </c>
      <c r="D49" t="s">
        <v>3209</v>
      </c>
      <c r="E49" t="s">
        <v>3246</v>
      </c>
      <c r="F49">
        <v>19491121</v>
      </c>
      <c r="G49" t="s">
        <v>9332</v>
      </c>
      <c r="H49" t="s">
        <v>241</v>
      </c>
      <c r="I49" t="s">
        <v>242</v>
      </c>
      <c r="J49" t="s">
        <v>242</v>
      </c>
      <c r="K49" t="s">
        <v>241</v>
      </c>
      <c r="L49" t="s">
        <v>242</v>
      </c>
      <c r="M49">
        <v>38.681298380000001</v>
      </c>
      <c r="N49">
        <v>-122.8586608</v>
      </c>
      <c r="O49">
        <v>0</v>
      </c>
      <c r="P49">
        <v>0</v>
      </c>
      <c r="Q49">
        <v>0</v>
      </c>
      <c r="R49">
        <v>0</v>
      </c>
      <c r="S49">
        <v>0.41</v>
      </c>
      <c r="T49">
        <v>1.75</v>
      </c>
      <c r="U49">
        <v>4.4800000000000004</v>
      </c>
      <c r="V49">
        <v>6.55</v>
      </c>
      <c r="W49">
        <v>6.38</v>
      </c>
      <c r="X49">
        <v>0.45</v>
      </c>
      <c r="Y49">
        <v>0.28999999999999998</v>
      </c>
      <c r="Z49">
        <v>0</v>
      </c>
      <c r="AA49" t="s">
        <v>9335</v>
      </c>
      <c r="AB49" t="s">
        <v>242</v>
      </c>
      <c r="AC49" t="s">
        <v>3229</v>
      </c>
    </row>
    <row r="50" spans="1:29" x14ac:dyDescent="0.25">
      <c r="A50" t="s">
        <v>1628</v>
      </c>
      <c r="B50" t="s">
        <v>254</v>
      </c>
      <c r="C50" t="s">
        <v>333</v>
      </c>
      <c r="D50" t="s">
        <v>3209</v>
      </c>
      <c r="E50" t="s">
        <v>3246</v>
      </c>
      <c r="F50">
        <v>19500103</v>
      </c>
      <c r="G50" t="s">
        <v>9332</v>
      </c>
      <c r="H50" t="s">
        <v>241</v>
      </c>
      <c r="I50" t="s">
        <v>242</v>
      </c>
      <c r="J50" t="s">
        <v>242</v>
      </c>
      <c r="K50" t="s">
        <v>241</v>
      </c>
      <c r="L50" t="s">
        <v>242</v>
      </c>
      <c r="M50">
        <v>39.103251139999998</v>
      </c>
      <c r="N50">
        <v>-123.1834199</v>
      </c>
      <c r="O50">
        <v>0</v>
      </c>
      <c r="P50">
        <v>0</v>
      </c>
      <c r="Q50">
        <v>0</v>
      </c>
      <c r="R50">
        <v>0</v>
      </c>
      <c r="S50">
        <v>1.44</v>
      </c>
      <c r="T50">
        <v>2.72</v>
      </c>
      <c r="U50">
        <v>4.9000000000000004</v>
      </c>
      <c r="V50">
        <v>3.69</v>
      </c>
      <c r="W50">
        <v>2.41</v>
      </c>
      <c r="X50">
        <v>1.1100000000000001</v>
      </c>
      <c r="Y50">
        <v>0</v>
      </c>
      <c r="Z50">
        <v>0</v>
      </c>
      <c r="AA50" t="s">
        <v>9335</v>
      </c>
      <c r="AB50" t="s">
        <v>242</v>
      </c>
      <c r="AC50" t="s">
        <v>3213</v>
      </c>
    </row>
    <row r="51" spans="1:29" x14ac:dyDescent="0.25">
      <c r="A51" t="s">
        <v>1629</v>
      </c>
      <c r="B51" t="s">
        <v>254</v>
      </c>
      <c r="C51" t="s">
        <v>348</v>
      </c>
      <c r="D51" t="s">
        <v>3209</v>
      </c>
      <c r="E51" t="s">
        <v>3246</v>
      </c>
      <c r="F51">
        <v>19500103</v>
      </c>
      <c r="G51" t="s">
        <v>9332</v>
      </c>
      <c r="H51" t="s">
        <v>242</v>
      </c>
      <c r="I51" t="s">
        <v>242</v>
      </c>
      <c r="J51" t="s">
        <v>242</v>
      </c>
      <c r="K51" t="s">
        <v>241</v>
      </c>
      <c r="L51" t="s">
        <v>242</v>
      </c>
      <c r="M51">
        <v>39.36080844</v>
      </c>
      <c r="N51">
        <v>-123.12831370000001</v>
      </c>
      <c r="O51">
        <v>0</v>
      </c>
      <c r="P51">
        <v>0</v>
      </c>
      <c r="Q51">
        <v>3.83</v>
      </c>
      <c r="R51">
        <v>3</v>
      </c>
      <c r="S51">
        <v>3.31</v>
      </c>
      <c r="T51">
        <v>3.7</v>
      </c>
      <c r="U51">
        <v>4.22</v>
      </c>
      <c r="V51">
        <v>1.03</v>
      </c>
      <c r="W51">
        <v>2.54</v>
      </c>
      <c r="X51">
        <v>3.58</v>
      </c>
      <c r="Y51">
        <v>0</v>
      </c>
      <c r="Z51">
        <v>0</v>
      </c>
      <c r="AA51" t="s">
        <v>9335</v>
      </c>
      <c r="AB51" t="s">
        <v>242</v>
      </c>
      <c r="AC51" t="s">
        <v>3213</v>
      </c>
    </row>
    <row r="52" spans="1:29" x14ac:dyDescent="0.25">
      <c r="A52" t="s">
        <v>96</v>
      </c>
      <c r="B52" t="s">
        <v>254</v>
      </c>
      <c r="C52" t="s">
        <v>311</v>
      </c>
      <c r="D52" t="s">
        <v>3209</v>
      </c>
      <c r="E52" t="s">
        <v>3246</v>
      </c>
      <c r="F52">
        <v>19500109</v>
      </c>
      <c r="G52" t="s">
        <v>9334</v>
      </c>
      <c r="H52" t="s">
        <v>242</v>
      </c>
      <c r="I52" t="s">
        <v>242</v>
      </c>
      <c r="J52" t="s">
        <v>242</v>
      </c>
      <c r="K52" t="s">
        <v>241</v>
      </c>
      <c r="L52" t="s">
        <v>242</v>
      </c>
      <c r="M52">
        <v>38.615037770000001</v>
      </c>
      <c r="N52">
        <v>-122.7724616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 t="s">
        <v>9335</v>
      </c>
      <c r="AB52" t="s">
        <v>242</v>
      </c>
      <c r="AC52" t="s">
        <v>3229</v>
      </c>
    </row>
    <row r="53" spans="1:29" x14ac:dyDescent="0.25">
      <c r="A53" t="s">
        <v>1613</v>
      </c>
      <c r="B53" t="s">
        <v>254</v>
      </c>
      <c r="C53" t="s">
        <v>348</v>
      </c>
      <c r="D53" t="s">
        <v>3209</v>
      </c>
      <c r="E53" t="s">
        <v>3246</v>
      </c>
      <c r="F53">
        <v>19500131</v>
      </c>
      <c r="G53" t="s">
        <v>9332</v>
      </c>
      <c r="H53" t="s">
        <v>242</v>
      </c>
      <c r="I53" t="s">
        <v>242</v>
      </c>
      <c r="J53" t="s">
        <v>242</v>
      </c>
      <c r="K53" t="s">
        <v>241</v>
      </c>
      <c r="L53" t="s">
        <v>242</v>
      </c>
      <c r="M53">
        <v>39.36080844</v>
      </c>
      <c r="N53">
        <v>-123.12831370000001</v>
      </c>
      <c r="O53">
        <v>0</v>
      </c>
      <c r="P53">
        <v>0</v>
      </c>
      <c r="Q53">
        <v>0</v>
      </c>
      <c r="R53">
        <v>75</v>
      </c>
      <c r="S53">
        <v>566.33000000000004</v>
      </c>
      <c r="T53">
        <v>1544.66</v>
      </c>
      <c r="U53">
        <v>1771</v>
      </c>
      <c r="V53">
        <v>1811.66</v>
      </c>
      <c r="W53">
        <v>1246</v>
      </c>
      <c r="X53">
        <v>825</v>
      </c>
      <c r="Y53">
        <v>17.329999999999998</v>
      </c>
      <c r="Z53">
        <v>0</v>
      </c>
      <c r="AA53" t="s">
        <v>9335</v>
      </c>
      <c r="AB53" t="s">
        <v>241</v>
      </c>
      <c r="AC53" t="s">
        <v>3213</v>
      </c>
    </row>
    <row r="54" spans="1:29" x14ac:dyDescent="0.25">
      <c r="A54" t="s">
        <v>1657</v>
      </c>
      <c r="B54" t="s">
        <v>254</v>
      </c>
      <c r="C54" t="s">
        <v>308</v>
      </c>
      <c r="D54" t="s">
        <v>3209</v>
      </c>
      <c r="E54" t="s">
        <v>3246</v>
      </c>
      <c r="F54">
        <v>19500210</v>
      </c>
      <c r="G54" t="s">
        <v>9332</v>
      </c>
      <c r="H54" t="s">
        <v>242</v>
      </c>
      <c r="I54" t="s">
        <v>242</v>
      </c>
      <c r="J54" t="s">
        <v>242</v>
      </c>
      <c r="K54" t="s">
        <v>241</v>
      </c>
      <c r="L54" t="s">
        <v>242</v>
      </c>
      <c r="M54">
        <v>38.697977430000002</v>
      </c>
      <c r="N54">
        <v>-122.6591274</v>
      </c>
      <c r="O54">
        <v>8.4400000000000002E-4</v>
      </c>
      <c r="P54">
        <v>8.4400000000000002E-4</v>
      </c>
      <c r="Q54">
        <v>8.4400000000000002E-4</v>
      </c>
      <c r="R54">
        <v>8.4400000000000002E-4</v>
      </c>
      <c r="S54">
        <v>8.4400000000000002E-4</v>
      </c>
      <c r="T54">
        <v>8.4400000000000002E-4</v>
      </c>
      <c r="U54">
        <v>8.4400000000000002E-4</v>
      </c>
      <c r="V54">
        <v>8.4400000000000002E-4</v>
      </c>
      <c r="W54">
        <v>8.4400000000000002E-4</v>
      </c>
      <c r="X54">
        <v>8.4400000000000002E-4</v>
      </c>
      <c r="Y54">
        <v>8.4400000000000002E-4</v>
      </c>
      <c r="Z54">
        <v>8.4400000000000002E-4</v>
      </c>
      <c r="AA54" t="s">
        <v>9339</v>
      </c>
      <c r="AB54" t="s">
        <v>242</v>
      </c>
      <c r="AC54" t="s">
        <v>3229</v>
      </c>
    </row>
    <row r="55" spans="1:29" x14ac:dyDescent="0.25">
      <c r="A55" t="s">
        <v>1644</v>
      </c>
      <c r="B55" t="s">
        <v>254</v>
      </c>
      <c r="C55" t="s">
        <v>311</v>
      </c>
      <c r="D55" t="s">
        <v>3209</v>
      </c>
      <c r="E55" t="s">
        <v>3246</v>
      </c>
      <c r="F55">
        <v>19500214</v>
      </c>
      <c r="G55" t="s">
        <v>9332</v>
      </c>
      <c r="H55" t="s">
        <v>241</v>
      </c>
      <c r="I55" t="s">
        <v>242</v>
      </c>
      <c r="J55" t="s">
        <v>242</v>
      </c>
      <c r="K55" t="s">
        <v>241</v>
      </c>
      <c r="L55" t="s">
        <v>242</v>
      </c>
      <c r="M55">
        <v>38.630591209999999</v>
      </c>
      <c r="N55">
        <v>-122.8457973</v>
      </c>
      <c r="O55">
        <v>0</v>
      </c>
      <c r="P55">
        <v>0</v>
      </c>
      <c r="Q55">
        <v>0</v>
      </c>
      <c r="R55">
        <v>0</v>
      </c>
      <c r="S55">
        <v>0.28999999999999998</v>
      </c>
      <c r="T55">
        <v>0.88</v>
      </c>
      <c r="U55">
        <v>0.88</v>
      </c>
      <c r="V55">
        <v>0.88</v>
      </c>
      <c r="W55">
        <v>0.73</v>
      </c>
      <c r="X55">
        <v>0.44</v>
      </c>
      <c r="Y55">
        <v>0</v>
      </c>
      <c r="Z55">
        <v>0</v>
      </c>
      <c r="AA55" t="s">
        <v>9335</v>
      </c>
      <c r="AB55" t="s">
        <v>242</v>
      </c>
      <c r="AC55" t="s">
        <v>3229</v>
      </c>
    </row>
    <row r="56" spans="1:29" x14ac:dyDescent="0.25">
      <c r="A56" t="s">
        <v>1662</v>
      </c>
      <c r="B56" t="s">
        <v>254</v>
      </c>
      <c r="C56" t="s">
        <v>319</v>
      </c>
      <c r="D56" t="s">
        <v>3209</v>
      </c>
      <c r="E56" t="s">
        <v>3246</v>
      </c>
      <c r="F56">
        <v>19500315</v>
      </c>
      <c r="G56" t="s">
        <v>9334</v>
      </c>
      <c r="H56" t="s">
        <v>242</v>
      </c>
      <c r="I56" t="s">
        <v>242</v>
      </c>
      <c r="J56" t="s">
        <v>242</v>
      </c>
      <c r="K56" t="s">
        <v>241</v>
      </c>
      <c r="L56" t="s">
        <v>242</v>
      </c>
      <c r="M56">
        <v>38.984499999999997</v>
      </c>
      <c r="N56">
        <v>-123.16630000000001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 t="s">
        <v>9335</v>
      </c>
      <c r="AB56" t="s">
        <v>242</v>
      </c>
      <c r="AC56" t="s">
        <v>3213</v>
      </c>
    </row>
    <row r="57" spans="1:29" x14ac:dyDescent="0.25">
      <c r="A57" t="s">
        <v>114</v>
      </c>
      <c r="B57" t="s">
        <v>254</v>
      </c>
      <c r="C57" t="s">
        <v>319</v>
      </c>
      <c r="D57" t="s">
        <v>3209</v>
      </c>
      <c r="E57" t="s">
        <v>3246</v>
      </c>
      <c r="F57">
        <v>19500330</v>
      </c>
      <c r="G57" t="s">
        <v>9334</v>
      </c>
      <c r="H57" t="s">
        <v>241</v>
      </c>
      <c r="I57" t="s">
        <v>242</v>
      </c>
      <c r="J57" t="s">
        <v>242</v>
      </c>
      <c r="K57" t="s">
        <v>241</v>
      </c>
      <c r="L57" t="s">
        <v>242</v>
      </c>
      <c r="M57">
        <v>39.018127759999999</v>
      </c>
      <c r="N57">
        <v>-123.12779140000001</v>
      </c>
      <c r="O57">
        <v>0</v>
      </c>
      <c r="P57">
        <v>0</v>
      </c>
      <c r="Q57">
        <v>0</v>
      </c>
      <c r="R57">
        <v>0</v>
      </c>
      <c r="S57">
        <v>4.49</v>
      </c>
      <c r="T57">
        <v>23.8</v>
      </c>
      <c r="U57">
        <v>25.71</v>
      </c>
      <c r="V57">
        <v>27.79</v>
      </c>
      <c r="W57">
        <v>19.010000000000002</v>
      </c>
      <c r="X57">
        <v>6.96</v>
      </c>
      <c r="Y57">
        <v>0</v>
      </c>
      <c r="Z57">
        <v>0</v>
      </c>
      <c r="AA57" t="s">
        <v>9335</v>
      </c>
      <c r="AB57" t="s">
        <v>242</v>
      </c>
      <c r="AC57" t="s">
        <v>3213</v>
      </c>
    </row>
    <row r="58" spans="1:29" x14ac:dyDescent="0.25">
      <c r="A58" t="s">
        <v>1651</v>
      </c>
      <c r="B58" t="s">
        <v>254</v>
      </c>
      <c r="C58" t="s">
        <v>308</v>
      </c>
      <c r="D58" t="s">
        <v>3209</v>
      </c>
      <c r="E58" t="s">
        <v>3246</v>
      </c>
      <c r="F58">
        <v>19500419</v>
      </c>
      <c r="G58" t="s">
        <v>9332</v>
      </c>
      <c r="H58" t="s">
        <v>242</v>
      </c>
      <c r="I58" t="s">
        <v>242</v>
      </c>
      <c r="J58" t="s">
        <v>242</v>
      </c>
      <c r="K58" t="s">
        <v>241</v>
      </c>
      <c r="L58" t="s">
        <v>242</v>
      </c>
      <c r="M58">
        <v>38.645409389999998</v>
      </c>
      <c r="N58">
        <v>-122.68000069999999</v>
      </c>
      <c r="O58">
        <v>14.06</v>
      </c>
      <c r="P58">
        <v>13.7</v>
      </c>
      <c r="Q58">
        <v>7.33</v>
      </c>
      <c r="R58">
        <v>6.13</v>
      </c>
      <c r="S58">
        <v>0.06</v>
      </c>
      <c r="T58">
        <v>0.36</v>
      </c>
      <c r="U58">
        <v>0</v>
      </c>
      <c r="V58">
        <v>0</v>
      </c>
      <c r="W58">
        <v>0</v>
      </c>
      <c r="X58">
        <v>0</v>
      </c>
      <c r="Y58">
        <v>0.83</v>
      </c>
      <c r="Z58">
        <v>24.33</v>
      </c>
      <c r="AA58" t="s">
        <v>9335</v>
      </c>
      <c r="AB58" t="s">
        <v>242</v>
      </c>
      <c r="AC58" t="s">
        <v>3229</v>
      </c>
    </row>
    <row r="59" spans="1:29" x14ac:dyDescent="0.25">
      <c r="A59" t="s">
        <v>1637</v>
      </c>
      <c r="B59" t="s">
        <v>254</v>
      </c>
      <c r="C59" t="s">
        <v>348</v>
      </c>
      <c r="D59" t="s">
        <v>3209</v>
      </c>
      <c r="E59" t="s">
        <v>3246</v>
      </c>
      <c r="F59">
        <v>19500426</v>
      </c>
      <c r="G59" t="s">
        <v>9332</v>
      </c>
      <c r="H59" t="s">
        <v>242</v>
      </c>
      <c r="I59" t="s">
        <v>242</v>
      </c>
      <c r="J59" t="s">
        <v>242</v>
      </c>
      <c r="K59" t="s">
        <v>241</v>
      </c>
      <c r="L59" t="s">
        <v>242</v>
      </c>
      <c r="M59">
        <v>39.321202810000003</v>
      </c>
      <c r="N59">
        <v>-123.1064696</v>
      </c>
      <c r="O59">
        <v>0</v>
      </c>
      <c r="P59">
        <v>0</v>
      </c>
      <c r="Q59">
        <v>0</v>
      </c>
      <c r="R59">
        <v>1.26</v>
      </c>
      <c r="S59">
        <v>1.26</v>
      </c>
      <c r="T59">
        <v>1.26</v>
      </c>
      <c r="U59">
        <v>1.53</v>
      </c>
      <c r="V59">
        <v>1.53</v>
      </c>
      <c r="W59">
        <v>1.53</v>
      </c>
      <c r="X59">
        <v>1.26</v>
      </c>
      <c r="Y59">
        <v>0</v>
      </c>
      <c r="Z59">
        <v>0</v>
      </c>
      <c r="AA59" t="s">
        <v>9335</v>
      </c>
      <c r="AB59" t="s">
        <v>242</v>
      </c>
      <c r="AC59" t="s">
        <v>3213</v>
      </c>
    </row>
    <row r="60" spans="1:29" x14ac:dyDescent="0.25">
      <c r="A60" t="s">
        <v>1664</v>
      </c>
      <c r="B60" t="s">
        <v>254</v>
      </c>
      <c r="C60" t="s">
        <v>311</v>
      </c>
      <c r="D60" t="s">
        <v>3209</v>
      </c>
      <c r="E60" t="s">
        <v>3246</v>
      </c>
      <c r="F60">
        <v>19500502</v>
      </c>
      <c r="G60" t="s">
        <v>9332</v>
      </c>
      <c r="H60" t="s">
        <v>242</v>
      </c>
      <c r="I60" t="s">
        <v>242</v>
      </c>
      <c r="J60" t="s">
        <v>242</v>
      </c>
      <c r="K60" t="s">
        <v>241</v>
      </c>
      <c r="L60" t="s">
        <v>242</v>
      </c>
      <c r="M60">
        <v>38.624699999999997</v>
      </c>
      <c r="N60">
        <v>-122.66070000000001</v>
      </c>
      <c r="O60">
        <v>9.3000000000000007</v>
      </c>
      <c r="P60">
        <v>1.7</v>
      </c>
      <c r="Q60">
        <v>3.86</v>
      </c>
      <c r="R60">
        <v>2.6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3.13</v>
      </c>
      <c r="Z60">
        <v>26.7</v>
      </c>
      <c r="AA60" t="s">
        <v>9335</v>
      </c>
      <c r="AB60" t="s">
        <v>242</v>
      </c>
      <c r="AC60" t="s">
        <v>3229</v>
      </c>
    </row>
    <row r="61" spans="1:29" x14ac:dyDescent="0.25">
      <c r="A61" t="s">
        <v>1625</v>
      </c>
      <c r="B61" t="s">
        <v>254</v>
      </c>
      <c r="C61" t="s">
        <v>308</v>
      </c>
      <c r="D61" t="s">
        <v>3209</v>
      </c>
      <c r="E61" t="s">
        <v>3246</v>
      </c>
      <c r="F61">
        <v>19500510</v>
      </c>
      <c r="G61" t="s">
        <v>9332</v>
      </c>
      <c r="H61" t="s">
        <v>242</v>
      </c>
      <c r="I61" t="s">
        <v>242</v>
      </c>
      <c r="J61" t="s">
        <v>242</v>
      </c>
      <c r="K61" t="s">
        <v>241</v>
      </c>
      <c r="L61" t="s">
        <v>242</v>
      </c>
      <c r="M61">
        <v>38.662973450000003</v>
      </c>
      <c r="N61">
        <v>-122.72709999999999</v>
      </c>
      <c r="O61">
        <v>0</v>
      </c>
      <c r="P61">
        <v>0</v>
      </c>
      <c r="Q61">
        <v>0</v>
      </c>
      <c r="R61">
        <v>0</v>
      </c>
      <c r="S61">
        <v>1.2</v>
      </c>
      <c r="T61">
        <v>3.43</v>
      </c>
      <c r="U61">
        <v>3.73</v>
      </c>
      <c r="V61">
        <v>5</v>
      </c>
      <c r="W61">
        <v>5.16</v>
      </c>
      <c r="X61">
        <v>2.2599999999999998</v>
      </c>
      <c r="Y61">
        <v>0</v>
      </c>
      <c r="Z61">
        <v>0</v>
      </c>
      <c r="AA61" t="s">
        <v>9335</v>
      </c>
      <c r="AB61" t="s">
        <v>242</v>
      </c>
      <c r="AC61" t="s">
        <v>3229</v>
      </c>
    </row>
    <row r="62" spans="1:29" x14ac:dyDescent="0.25">
      <c r="A62" t="s">
        <v>1639</v>
      </c>
      <c r="B62" t="s">
        <v>254</v>
      </c>
      <c r="C62" t="s">
        <v>319</v>
      </c>
      <c r="D62" t="s">
        <v>3209</v>
      </c>
      <c r="E62" t="s">
        <v>3246</v>
      </c>
      <c r="F62">
        <v>19500522</v>
      </c>
      <c r="G62" t="s">
        <v>9332</v>
      </c>
      <c r="H62" t="s">
        <v>241</v>
      </c>
      <c r="I62" t="s">
        <v>242</v>
      </c>
      <c r="J62" t="s">
        <v>242</v>
      </c>
      <c r="K62" t="s">
        <v>241</v>
      </c>
      <c r="L62" t="s">
        <v>242</v>
      </c>
      <c r="M62">
        <v>38.965619080000003</v>
      </c>
      <c r="N62">
        <v>-123.10550120000001</v>
      </c>
      <c r="O62">
        <v>0</v>
      </c>
      <c r="P62">
        <v>0</v>
      </c>
      <c r="Q62">
        <v>0</v>
      </c>
      <c r="R62">
        <v>0</v>
      </c>
      <c r="S62">
        <v>2.2000000000000002</v>
      </c>
      <c r="T62">
        <v>0</v>
      </c>
      <c r="U62">
        <v>2.4300000000000002</v>
      </c>
      <c r="V62">
        <v>0</v>
      </c>
      <c r="W62">
        <v>0</v>
      </c>
      <c r="X62">
        <v>0</v>
      </c>
      <c r="Y62">
        <v>0</v>
      </c>
      <c r="Z62">
        <v>0</v>
      </c>
      <c r="AA62" t="s">
        <v>9335</v>
      </c>
      <c r="AB62" t="s">
        <v>242</v>
      </c>
      <c r="AC62" t="s">
        <v>3213</v>
      </c>
    </row>
    <row r="63" spans="1:29" x14ac:dyDescent="0.25">
      <c r="A63" t="s">
        <v>1655</v>
      </c>
      <c r="B63" t="s">
        <v>254</v>
      </c>
      <c r="C63" t="s">
        <v>319</v>
      </c>
      <c r="D63" t="s">
        <v>3209</v>
      </c>
      <c r="E63" t="s">
        <v>3246</v>
      </c>
      <c r="F63">
        <v>19500524</v>
      </c>
      <c r="G63" t="s">
        <v>9332</v>
      </c>
      <c r="H63" t="s">
        <v>241</v>
      </c>
      <c r="I63" t="s">
        <v>242</v>
      </c>
      <c r="J63" t="s">
        <v>242</v>
      </c>
      <c r="K63" t="s">
        <v>241</v>
      </c>
      <c r="L63" t="s">
        <v>242</v>
      </c>
      <c r="M63">
        <v>38.957941599999998</v>
      </c>
      <c r="N63">
        <v>-123.10432659999999</v>
      </c>
      <c r="O63">
        <v>0</v>
      </c>
      <c r="P63">
        <v>0</v>
      </c>
      <c r="Q63">
        <v>0</v>
      </c>
      <c r="R63">
        <v>0</v>
      </c>
      <c r="S63">
        <v>0</v>
      </c>
      <c r="T63">
        <v>5.5666666666666703E-3</v>
      </c>
      <c r="U63">
        <v>5.5666666666666703E-3</v>
      </c>
      <c r="V63">
        <v>5.5666666666666703E-3</v>
      </c>
      <c r="W63">
        <v>2.3333333333333301E-3</v>
      </c>
      <c r="X63">
        <v>0</v>
      </c>
      <c r="Y63">
        <v>0</v>
      </c>
      <c r="Z63">
        <v>0</v>
      </c>
      <c r="AA63" t="s">
        <v>9335</v>
      </c>
      <c r="AB63" t="s">
        <v>242</v>
      </c>
      <c r="AC63" t="s">
        <v>3213</v>
      </c>
    </row>
    <row r="64" spans="1:29" x14ac:dyDescent="0.25">
      <c r="A64" t="s">
        <v>168</v>
      </c>
      <c r="B64" t="s">
        <v>254</v>
      </c>
      <c r="C64" t="s">
        <v>319</v>
      </c>
      <c r="D64" t="s">
        <v>3209</v>
      </c>
      <c r="E64" t="s">
        <v>3246</v>
      </c>
      <c r="F64">
        <v>19500524</v>
      </c>
      <c r="G64" t="s">
        <v>9332</v>
      </c>
      <c r="H64" t="s">
        <v>241</v>
      </c>
      <c r="I64" t="s">
        <v>242</v>
      </c>
      <c r="J64" t="s">
        <v>242</v>
      </c>
      <c r="K64" t="s">
        <v>241</v>
      </c>
      <c r="L64" t="s">
        <v>242</v>
      </c>
      <c r="M64">
        <v>38.961497459999997</v>
      </c>
      <c r="N64">
        <v>-123.10578870000001</v>
      </c>
      <c r="O64">
        <v>0</v>
      </c>
      <c r="P64">
        <v>0</v>
      </c>
      <c r="Q64">
        <v>0</v>
      </c>
      <c r="R64">
        <v>0</v>
      </c>
      <c r="S64">
        <v>1.97</v>
      </c>
      <c r="T64">
        <v>4.58</v>
      </c>
      <c r="U64">
        <v>12.33</v>
      </c>
      <c r="V64">
        <v>5.52</v>
      </c>
      <c r="W64">
        <v>7.83</v>
      </c>
      <c r="X64">
        <v>0.35</v>
      </c>
      <c r="Y64">
        <v>0</v>
      </c>
      <c r="Z64">
        <v>0</v>
      </c>
      <c r="AA64" t="s">
        <v>9335</v>
      </c>
      <c r="AB64" t="s">
        <v>242</v>
      </c>
      <c r="AC64" t="s">
        <v>3213</v>
      </c>
    </row>
    <row r="65" spans="1:29" x14ac:dyDescent="0.25">
      <c r="A65" t="s">
        <v>1623</v>
      </c>
      <c r="B65" t="s">
        <v>254</v>
      </c>
      <c r="C65" t="s">
        <v>354</v>
      </c>
      <c r="D65" t="s">
        <v>3209</v>
      </c>
      <c r="E65" t="s">
        <v>3246</v>
      </c>
      <c r="F65">
        <v>19500525</v>
      </c>
      <c r="G65" t="s">
        <v>9332</v>
      </c>
      <c r="H65" t="s">
        <v>241</v>
      </c>
      <c r="I65" t="s">
        <v>242</v>
      </c>
      <c r="J65" t="s">
        <v>242</v>
      </c>
      <c r="K65" t="s">
        <v>241</v>
      </c>
      <c r="L65" t="s">
        <v>242</v>
      </c>
      <c r="M65">
        <v>38.722136800000001</v>
      </c>
      <c r="N65">
        <v>-122.905073</v>
      </c>
      <c r="O65">
        <v>0</v>
      </c>
      <c r="P65">
        <v>0</v>
      </c>
      <c r="Q65">
        <v>0</v>
      </c>
      <c r="R65">
        <v>0</v>
      </c>
      <c r="S65">
        <v>0</v>
      </c>
      <c r="T65">
        <v>5.3</v>
      </c>
      <c r="U65">
        <v>5.3</v>
      </c>
      <c r="V65">
        <v>5.3</v>
      </c>
      <c r="W65">
        <v>5.3</v>
      </c>
      <c r="X65">
        <v>0</v>
      </c>
      <c r="Y65">
        <v>0</v>
      </c>
      <c r="Z65">
        <v>0</v>
      </c>
      <c r="AA65" t="s">
        <v>9335</v>
      </c>
      <c r="AB65" t="s">
        <v>242</v>
      </c>
      <c r="AC65" t="s">
        <v>3229</v>
      </c>
    </row>
    <row r="66" spans="1:29" x14ac:dyDescent="0.25">
      <c r="A66" t="s">
        <v>1665</v>
      </c>
      <c r="B66" t="s">
        <v>254</v>
      </c>
      <c r="C66" t="s">
        <v>436</v>
      </c>
      <c r="D66" t="s">
        <v>3209</v>
      </c>
      <c r="E66" t="s">
        <v>3246</v>
      </c>
      <c r="F66">
        <v>19500614</v>
      </c>
      <c r="G66" t="s">
        <v>9332</v>
      </c>
      <c r="H66" t="s">
        <v>241</v>
      </c>
      <c r="I66" t="s">
        <v>242</v>
      </c>
      <c r="J66" t="s">
        <v>242</v>
      </c>
      <c r="K66" t="s">
        <v>241</v>
      </c>
      <c r="L66" t="s">
        <v>242</v>
      </c>
      <c r="M66">
        <v>38.6724958</v>
      </c>
      <c r="N66">
        <v>-122.83053169999999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 t="s">
        <v>9335</v>
      </c>
      <c r="AB66" t="s">
        <v>242</v>
      </c>
      <c r="AC66" t="s">
        <v>3229</v>
      </c>
    </row>
    <row r="67" spans="1:29" x14ac:dyDescent="0.25">
      <c r="A67" t="s">
        <v>1641</v>
      </c>
      <c r="B67" t="s">
        <v>254</v>
      </c>
      <c r="C67" t="s">
        <v>354</v>
      </c>
      <c r="D67" t="s">
        <v>3209</v>
      </c>
      <c r="E67" t="s">
        <v>3246</v>
      </c>
      <c r="F67">
        <v>19500622</v>
      </c>
      <c r="G67" t="s">
        <v>9332</v>
      </c>
      <c r="H67" t="s">
        <v>241</v>
      </c>
      <c r="I67" t="s">
        <v>242</v>
      </c>
      <c r="J67" t="s">
        <v>242</v>
      </c>
      <c r="K67" t="s">
        <v>241</v>
      </c>
      <c r="L67" t="s">
        <v>242</v>
      </c>
      <c r="M67">
        <v>38.792673090000001</v>
      </c>
      <c r="N67">
        <v>-123.00948030000001</v>
      </c>
      <c r="O67">
        <v>0.43</v>
      </c>
      <c r="P67">
        <v>0.38</v>
      </c>
      <c r="Q67">
        <v>0.36</v>
      </c>
      <c r="R67">
        <v>0.45</v>
      </c>
      <c r="S67">
        <v>0.55000000000000004</v>
      </c>
      <c r="T67">
        <v>0.45</v>
      </c>
      <c r="U67">
        <v>0.49</v>
      </c>
      <c r="V67">
        <v>2.31</v>
      </c>
      <c r="W67">
        <v>0.63</v>
      </c>
      <c r="X67">
        <v>0.35</v>
      </c>
      <c r="Y67">
        <v>0.17</v>
      </c>
      <c r="Z67">
        <v>0.31</v>
      </c>
      <c r="AA67" t="s">
        <v>9333</v>
      </c>
      <c r="AB67" t="s">
        <v>242</v>
      </c>
      <c r="AC67" t="s">
        <v>3229</v>
      </c>
    </row>
    <row r="68" spans="1:29" x14ac:dyDescent="0.25">
      <c r="A68" t="s">
        <v>1631</v>
      </c>
      <c r="B68" t="s">
        <v>254</v>
      </c>
      <c r="C68" t="s">
        <v>354</v>
      </c>
      <c r="D68" t="s">
        <v>3209</v>
      </c>
      <c r="E68" t="s">
        <v>3246</v>
      </c>
      <c r="F68">
        <v>19500622</v>
      </c>
      <c r="G68" t="s">
        <v>9332</v>
      </c>
      <c r="H68" t="s">
        <v>241</v>
      </c>
      <c r="I68" t="s">
        <v>242</v>
      </c>
      <c r="J68" t="s">
        <v>242</v>
      </c>
      <c r="K68" t="s">
        <v>241</v>
      </c>
      <c r="L68" t="s">
        <v>242</v>
      </c>
      <c r="M68">
        <v>38.792673090000001</v>
      </c>
      <c r="N68">
        <v>-123.00948030000001</v>
      </c>
      <c r="O68">
        <v>0</v>
      </c>
      <c r="P68">
        <v>0</v>
      </c>
      <c r="Q68">
        <v>0</v>
      </c>
      <c r="R68">
        <v>6.6666666666666697E-3</v>
      </c>
      <c r="S68">
        <v>0.44</v>
      </c>
      <c r="T68">
        <v>1.43</v>
      </c>
      <c r="U68">
        <v>3.5</v>
      </c>
      <c r="V68">
        <v>3.83</v>
      </c>
      <c r="W68">
        <v>3.56</v>
      </c>
      <c r="X68">
        <v>0</v>
      </c>
      <c r="Y68">
        <v>0</v>
      </c>
      <c r="Z68">
        <v>0</v>
      </c>
      <c r="AA68" t="s">
        <v>9335</v>
      </c>
      <c r="AB68" t="s">
        <v>242</v>
      </c>
      <c r="AC68" t="s">
        <v>3229</v>
      </c>
    </row>
    <row r="69" spans="1:29" x14ac:dyDescent="0.25">
      <c r="A69" t="s">
        <v>78</v>
      </c>
      <c r="B69" t="s">
        <v>254</v>
      </c>
      <c r="C69" t="s">
        <v>436</v>
      </c>
      <c r="D69" t="s">
        <v>3209</v>
      </c>
      <c r="E69" t="s">
        <v>3246</v>
      </c>
      <c r="F69">
        <v>19500705</v>
      </c>
      <c r="G69" t="s">
        <v>9332</v>
      </c>
      <c r="H69" t="s">
        <v>241</v>
      </c>
      <c r="I69" t="s">
        <v>242</v>
      </c>
      <c r="J69" t="s">
        <v>242</v>
      </c>
      <c r="K69" t="s">
        <v>241</v>
      </c>
      <c r="L69" t="s">
        <v>242</v>
      </c>
      <c r="M69">
        <v>38.682987109999999</v>
      </c>
      <c r="N69">
        <v>-122.85307570000001</v>
      </c>
      <c r="O69">
        <v>0</v>
      </c>
      <c r="P69">
        <v>0</v>
      </c>
      <c r="Q69">
        <v>0</v>
      </c>
      <c r="R69">
        <v>0</v>
      </c>
      <c r="S69">
        <v>0.56000000000000005</v>
      </c>
      <c r="T69">
        <v>1.26</v>
      </c>
      <c r="U69">
        <v>1.43</v>
      </c>
      <c r="V69">
        <v>1.46</v>
      </c>
      <c r="W69">
        <v>1.43</v>
      </c>
      <c r="X69">
        <v>0.5</v>
      </c>
      <c r="Y69">
        <v>0</v>
      </c>
      <c r="Z69">
        <v>0</v>
      </c>
      <c r="AA69" t="s">
        <v>9335</v>
      </c>
      <c r="AB69" t="s">
        <v>242</v>
      </c>
      <c r="AC69" t="s">
        <v>3229</v>
      </c>
    </row>
    <row r="70" spans="1:29" x14ac:dyDescent="0.25">
      <c r="A70" t="s">
        <v>1638</v>
      </c>
      <c r="B70" t="s">
        <v>254</v>
      </c>
      <c r="C70" t="s">
        <v>436</v>
      </c>
      <c r="D70" t="s">
        <v>3209</v>
      </c>
      <c r="E70" t="s">
        <v>3246</v>
      </c>
      <c r="F70">
        <v>19500705</v>
      </c>
      <c r="G70" t="s">
        <v>9332</v>
      </c>
      <c r="H70" t="s">
        <v>241</v>
      </c>
      <c r="I70" t="s">
        <v>242</v>
      </c>
      <c r="J70" t="s">
        <v>242</v>
      </c>
      <c r="K70" t="s">
        <v>241</v>
      </c>
      <c r="L70" t="s">
        <v>242</v>
      </c>
      <c r="M70">
        <v>38.711496179999997</v>
      </c>
      <c r="N70">
        <v>-122.89617579999999</v>
      </c>
      <c r="O70">
        <v>0</v>
      </c>
      <c r="P70">
        <v>0</v>
      </c>
      <c r="Q70">
        <v>0</v>
      </c>
      <c r="R70">
        <v>0</v>
      </c>
      <c r="S70">
        <v>0</v>
      </c>
      <c r="T70">
        <v>0.88</v>
      </c>
      <c r="U70">
        <v>1.47</v>
      </c>
      <c r="V70">
        <v>1.17</v>
      </c>
      <c r="W70">
        <v>1.47</v>
      </c>
      <c r="X70">
        <v>1.02</v>
      </c>
      <c r="Y70">
        <v>0</v>
      </c>
      <c r="Z70">
        <v>0</v>
      </c>
      <c r="AA70" t="s">
        <v>9335</v>
      </c>
      <c r="AB70" t="s">
        <v>242</v>
      </c>
      <c r="AC70" t="s">
        <v>3229</v>
      </c>
    </row>
    <row r="71" spans="1:29" x14ac:dyDescent="0.25">
      <c r="A71" t="s">
        <v>1645</v>
      </c>
      <c r="B71" t="s">
        <v>254</v>
      </c>
      <c r="C71" t="s">
        <v>354</v>
      </c>
      <c r="D71" t="s">
        <v>3209</v>
      </c>
      <c r="E71" t="s">
        <v>3246</v>
      </c>
      <c r="F71">
        <v>19500725</v>
      </c>
      <c r="G71" t="s">
        <v>9332</v>
      </c>
      <c r="H71" t="s">
        <v>241</v>
      </c>
      <c r="I71" t="s">
        <v>242</v>
      </c>
      <c r="J71" t="s">
        <v>242</v>
      </c>
      <c r="K71" t="s">
        <v>241</v>
      </c>
      <c r="L71" t="s">
        <v>242</v>
      </c>
      <c r="M71">
        <v>38.790369720000001</v>
      </c>
      <c r="N71">
        <v>-123.0059389</v>
      </c>
      <c r="O71">
        <v>0</v>
      </c>
      <c r="P71">
        <v>0</v>
      </c>
      <c r="Q71">
        <v>0</v>
      </c>
      <c r="R71">
        <v>0</v>
      </c>
      <c r="S71">
        <v>0</v>
      </c>
      <c r="T71">
        <v>1.1000000000000001</v>
      </c>
      <c r="U71">
        <v>1.1000000000000001</v>
      </c>
      <c r="V71">
        <v>1.1000000000000001</v>
      </c>
      <c r="W71">
        <v>0.36</v>
      </c>
      <c r="X71">
        <v>0</v>
      </c>
      <c r="Y71">
        <v>0</v>
      </c>
      <c r="Z71">
        <v>0</v>
      </c>
      <c r="AA71" t="s">
        <v>9335</v>
      </c>
      <c r="AB71" t="s">
        <v>242</v>
      </c>
      <c r="AC71" t="s">
        <v>3229</v>
      </c>
    </row>
    <row r="72" spans="1:29" x14ac:dyDescent="0.25">
      <c r="A72" t="s">
        <v>1666</v>
      </c>
      <c r="B72" t="s">
        <v>254</v>
      </c>
      <c r="C72" t="s">
        <v>354</v>
      </c>
      <c r="D72" t="s">
        <v>3209</v>
      </c>
      <c r="E72" t="s">
        <v>3246</v>
      </c>
      <c r="F72">
        <v>19500725</v>
      </c>
      <c r="G72" t="s">
        <v>9332</v>
      </c>
      <c r="H72" t="s">
        <v>241</v>
      </c>
      <c r="I72" t="s">
        <v>242</v>
      </c>
      <c r="J72" t="s">
        <v>242</v>
      </c>
      <c r="K72" t="s">
        <v>241</v>
      </c>
      <c r="L72" t="s">
        <v>242</v>
      </c>
      <c r="M72">
        <v>38.790790659999999</v>
      </c>
      <c r="N72">
        <v>-123.0048922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 t="s">
        <v>9335</v>
      </c>
      <c r="AB72" t="s">
        <v>242</v>
      </c>
      <c r="AC72" t="s">
        <v>3229</v>
      </c>
    </row>
    <row r="73" spans="1:29" x14ac:dyDescent="0.25">
      <c r="A73" t="s">
        <v>1648</v>
      </c>
      <c r="B73" t="s">
        <v>254</v>
      </c>
      <c r="C73" t="s">
        <v>354</v>
      </c>
      <c r="D73" t="s">
        <v>3209</v>
      </c>
      <c r="E73" t="s">
        <v>3246</v>
      </c>
      <c r="F73">
        <v>19500725</v>
      </c>
      <c r="G73" t="s">
        <v>9332</v>
      </c>
      <c r="H73" t="s">
        <v>241</v>
      </c>
      <c r="I73" t="s">
        <v>242</v>
      </c>
      <c r="J73" t="s">
        <v>242</v>
      </c>
      <c r="K73" t="s">
        <v>241</v>
      </c>
      <c r="L73" t="s">
        <v>242</v>
      </c>
      <c r="M73">
        <v>38.794595010000002</v>
      </c>
      <c r="N73">
        <v>-123.0095075</v>
      </c>
      <c r="O73">
        <v>0</v>
      </c>
      <c r="P73">
        <v>0</v>
      </c>
      <c r="Q73">
        <v>0</v>
      </c>
      <c r="R73">
        <v>0.6</v>
      </c>
      <c r="S73">
        <v>0.8</v>
      </c>
      <c r="T73">
        <v>0.8</v>
      </c>
      <c r="U73">
        <v>0.8</v>
      </c>
      <c r="V73">
        <v>0</v>
      </c>
      <c r="W73">
        <v>0.4</v>
      </c>
      <c r="X73">
        <v>0.2</v>
      </c>
      <c r="Y73">
        <v>0.2</v>
      </c>
      <c r="Z73">
        <v>0.2</v>
      </c>
      <c r="AA73" t="s">
        <v>9339</v>
      </c>
      <c r="AB73" t="s">
        <v>242</v>
      </c>
      <c r="AC73" t="s">
        <v>3229</v>
      </c>
    </row>
    <row r="74" spans="1:29" x14ac:dyDescent="0.25">
      <c r="A74" t="s">
        <v>113</v>
      </c>
      <c r="B74" t="s">
        <v>254</v>
      </c>
      <c r="C74" t="s">
        <v>311</v>
      </c>
      <c r="D74" t="s">
        <v>3209</v>
      </c>
      <c r="E74" t="s">
        <v>3246</v>
      </c>
      <c r="F74">
        <v>19500731</v>
      </c>
      <c r="G74" t="s">
        <v>9332</v>
      </c>
      <c r="H74" t="s">
        <v>241</v>
      </c>
      <c r="I74" t="s">
        <v>242</v>
      </c>
      <c r="J74" t="s">
        <v>242</v>
      </c>
      <c r="K74" t="s">
        <v>241</v>
      </c>
      <c r="L74" t="s">
        <v>242</v>
      </c>
      <c r="M74">
        <v>38.60905691</v>
      </c>
      <c r="N74">
        <v>-122.78394609999999</v>
      </c>
      <c r="O74">
        <v>0.16</v>
      </c>
      <c r="P74">
        <v>0.01</v>
      </c>
      <c r="Q74">
        <v>1.1200000000000001</v>
      </c>
      <c r="R74">
        <v>1.29</v>
      </c>
      <c r="S74">
        <v>0.91</v>
      </c>
      <c r="T74">
        <v>2.13</v>
      </c>
      <c r="U74">
        <v>7.37</v>
      </c>
      <c r="V74">
        <v>8.91</v>
      </c>
      <c r="W74">
        <v>4.55</v>
      </c>
      <c r="X74">
        <v>1.64</v>
      </c>
      <c r="Y74">
        <v>15.92</v>
      </c>
      <c r="Z74">
        <v>0.02</v>
      </c>
      <c r="AA74" t="s">
        <v>9335</v>
      </c>
      <c r="AB74" t="s">
        <v>242</v>
      </c>
      <c r="AC74" t="s">
        <v>3229</v>
      </c>
    </row>
    <row r="75" spans="1:29" x14ac:dyDescent="0.25">
      <c r="A75" t="s">
        <v>148</v>
      </c>
      <c r="B75" t="s">
        <v>254</v>
      </c>
      <c r="C75" t="s">
        <v>354</v>
      </c>
      <c r="D75" t="s">
        <v>3209</v>
      </c>
      <c r="E75" t="s">
        <v>3246</v>
      </c>
      <c r="F75">
        <v>19500905</v>
      </c>
      <c r="G75" t="s">
        <v>9332</v>
      </c>
      <c r="H75" t="s">
        <v>241</v>
      </c>
      <c r="I75" t="s">
        <v>242</v>
      </c>
      <c r="J75" t="s">
        <v>242</v>
      </c>
      <c r="K75" t="s">
        <v>241</v>
      </c>
      <c r="L75" t="s">
        <v>242</v>
      </c>
      <c r="M75">
        <v>38.769599069999998</v>
      </c>
      <c r="N75">
        <v>-122.9782854</v>
      </c>
      <c r="O75">
        <v>0</v>
      </c>
      <c r="P75">
        <v>0</v>
      </c>
      <c r="Q75">
        <v>0</v>
      </c>
      <c r="R75">
        <v>0</v>
      </c>
      <c r="S75">
        <v>0</v>
      </c>
      <c r="T75">
        <v>0.73</v>
      </c>
      <c r="U75">
        <v>1.2</v>
      </c>
      <c r="V75">
        <v>1.86</v>
      </c>
      <c r="W75">
        <v>0.53</v>
      </c>
      <c r="X75">
        <v>0.03</v>
      </c>
      <c r="Y75">
        <v>0</v>
      </c>
      <c r="Z75">
        <v>0</v>
      </c>
      <c r="AA75" t="s">
        <v>9335</v>
      </c>
      <c r="AB75" t="s">
        <v>242</v>
      </c>
      <c r="AC75" t="s">
        <v>3229</v>
      </c>
    </row>
    <row r="76" spans="1:29" x14ac:dyDescent="0.25">
      <c r="A76" t="s">
        <v>42</v>
      </c>
      <c r="B76" t="s">
        <v>254</v>
      </c>
      <c r="C76" t="s">
        <v>436</v>
      </c>
      <c r="D76" t="s">
        <v>3209</v>
      </c>
      <c r="E76" t="s">
        <v>3246</v>
      </c>
      <c r="F76">
        <v>19500905</v>
      </c>
      <c r="G76" t="s">
        <v>9332</v>
      </c>
      <c r="H76" t="s">
        <v>241</v>
      </c>
      <c r="I76" t="s">
        <v>242</v>
      </c>
      <c r="J76" t="s">
        <v>242</v>
      </c>
      <c r="K76" t="s">
        <v>241</v>
      </c>
      <c r="L76" t="s">
        <v>242</v>
      </c>
      <c r="M76">
        <v>38.707210140000001</v>
      </c>
      <c r="N76">
        <v>-122.8821035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 t="s">
        <v>9335</v>
      </c>
      <c r="AB76" t="s">
        <v>242</v>
      </c>
      <c r="AC76" t="s">
        <v>3229</v>
      </c>
    </row>
    <row r="77" spans="1:29" x14ac:dyDescent="0.25">
      <c r="A77" t="s">
        <v>1646</v>
      </c>
      <c r="B77" t="s">
        <v>254</v>
      </c>
      <c r="C77" t="s">
        <v>311</v>
      </c>
      <c r="D77" t="s">
        <v>3209</v>
      </c>
      <c r="E77" t="s">
        <v>3246</v>
      </c>
      <c r="F77">
        <v>19500927</v>
      </c>
      <c r="G77" t="s">
        <v>9332</v>
      </c>
      <c r="H77" t="s">
        <v>242</v>
      </c>
      <c r="I77" t="s">
        <v>242</v>
      </c>
      <c r="J77" t="s">
        <v>242</v>
      </c>
      <c r="K77" t="s">
        <v>241</v>
      </c>
      <c r="L77" t="s">
        <v>242</v>
      </c>
      <c r="M77">
        <v>38.582296890000002</v>
      </c>
      <c r="N77">
        <v>-122.761262</v>
      </c>
      <c r="O77">
        <v>0</v>
      </c>
      <c r="P77">
        <v>0</v>
      </c>
      <c r="Q77">
        <v>0</v>
      </c>
      <c r="R77">
        <v>0</v>
      </c>
      <c r="S77">
        <v>0.66</v>
      </c>
      <c r="T77">
        <v>0.66</v>
      </c>
      <c r="U77">
        <v>0.66</v>
      </c>
      <c r="V77">
        <v>0.66</v>
      </c>
      <c r="W77">
        <v>0.66</v>
      </c>
      <c r="X77">
        <v>0</v>
      </c>
      <c r="Y77">
        <v>0</v>
      </c>
      <c r="Z77">
        <v>0</v>
      </c>
      <c r="AA77" t="s">
        <v>9335</v>
      </c>
      <c r="AB77" t="s">
        <v>242</v>
      </c>
      <c r="AC77" t="s">
        <v>3229</v>
      </c>
    </row>
    <row r="78" spans="1:29" x14ac:dyDescent="0.25">
      <c r="A78" t="s">
        <v>1642</v>
      </c>
      <c r="B78" t="s">
        <v>254</v>
      </c>
      <c r="C78" t="s">
        <v>331</v>
      </c>
      <c r="D78" t="s">
        <v>3209</v>
      </c>
      <c r="E78" t="s">
        <v>3246</v>
      </c>
      <c r="F78">
        <v>19501002</v>
      </c>
      <c r="G78" t="s">
        <v>9332</v>
      </c>
      <c r="H78" t="s">
        <v>241</v>
      </c>
      <c r="I78" t="s">
        <v>242</v>
      </c>
      <c r="J78" t="s">
        <v>242</v>
      </c>
      <c r="K78" t="s">
        <v>241</v>
      </c>
      <c r="L78" t="s">
        <v>242</v>
      </c>
      <c r="M78">
        <v>39.160679160000001</v>
      </c>
      <c r="N78">
        <v>-123.1931975</v>
      </c>
      <c r="O78">
        <v>0</v>
      </c>
      <c r="P78">
        <v>0</v>
      </c>
      <c r="Q78">
        <v>0</v>
      </c>
      <c r="R78">
        <v>0.01</v>
      </c>
      <c r="S78">
        <v>0.75</v>
      </c>
      <c r="T78">
        <v>0.78</v>
      </c>
      <c r="U78">
        <v>0.78</v>
      </c>
      <c r="V78">
        <v>0.75</v>
      </c>
      <c r="W78">
        <v>0.71</v>
      </c>
      <c r="X78">
        <v>0.62</v>
      </c>
      <c r="Y78">
        <v>0.04</v>
      </c>
      <c r="Z78">
        <v>4.9816666666666698E-3</v>
      </c>
      <c r="AA78" t="s">
        <v>9335</v>
      </c>
      <c r="AB78" t="s">
        <v>242</v>
      </c>
      <c r="AC78" t="s">
        <v>3213</v>
      </c>
    </row>
    <row r="79" spans="1:29" x14ac:dyDescent="0.25">
      <c r="A79" t="s">
        <v>1670</v>
      </c>
      <c r="B79" t="s">
        <v>254</v>
      </c>
      <c r="C79" t="s">
        <v>331</v>
      </c>
      <c r="D79" t="s">
        <v>3209</v>
      </c>
      <c r="E79" t="s">
        <v>3246</v>
      </c>
      <c r="F79">
        <v>19501002</v>
      </c>
      <c r="G79" t="s">
        <v>9332</v>
      </c>
      <c r="H79" t="s">
        <v>241</v>
      </c>
      <c r="I79" t="s">
        <v>242</v>
      </c>
      <c r="J79" t="s">
        <v>242</v>
      </c>
      <c r="K79" t="s">
        <v>241</v>
      </c>
      <c r="L79" t="s">
        <v>242</v>
      </c>
      <c r="M79">
        <v>39.160679160000001</v>
      </c>
      <c r="N79">
        <v>-123.1931975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 t="s">
        <v>9340</v>
      </c>
      <c r="AB79" t="s">
        <v>242</v>
      </c>
      <c r="AC79" t="s">
        <v>3213</v>
      </c>
    </row>
    <row r="80" spans="1:29" x14ac:dyDescent="0.25">
      <c r="A80" t="s">
        <v>1630</v>
      </c>
      <c r="B80" t="s">
        <v>254</v>
      </c>
      <c r="C80" t="s">
        <v>436</v>
      </c>
      <c r="D80" t="s">
        <v>3209</v>
      </c>
      <c r="E80" t="s">
        <v>3246</v>
      </c>
      <c r="F80">
        <v>19501009</v>
      </c>
      <c r="G80" t="s">
        <v>9332</v>
      </c>
      <c r="H80" t="s">
        <v>241</v>
      </c>
      <c r="I80" t="s">
        <v>242</v>
      </c>
      <c r="J80" t="s">
        <v>242</v>
      </c>
      <c r="K80" t="s">
        <v>241</v>
      </c>
      <c r="L80" t="s">
        <v>242</v>
      </c>
      <c r="M80">
        <v>38.707999999999998</v>
      </c>
      <c r="N80">
        <v>-122.8963</v>
      </c>
      <c r="O80">
        <v>0</v>
      </c>
      <c r="P80">
        <v>0</v>
      </c>
      <c r="Q80">
        <v>0</v>
      </c>
      <c r="R80">
        <v>0</v>
      </c>
      <c r="S80">
        <v>0</v>
      </c>
      <c r="T80">
        <v>0.48</v>
      </c>
      <c r="U80">
        <v>4.75</v>
      </c>
      <c r="V80">
        <v>4.8499999999999996</v>
      </c>
      <c r="W80">
        <v>3.39</v>
      </c>
      <c r="X80">
        <v>4.47</v>
      </c>
      <c r="Y80">
        <v>0.04</v>
      </c>
      <c r="Z80">
        <v>0</v>
      </c>
      <c r="AA80" t="s">
        <v>9335</v>
      </c>
      <c r="AB80" t="s">
        <v>242</v>
      </c>
      <c r="AC80" t="s">
        <v>3229</v>
      </c>
    </row>
    <row r="81" spans="1:29" x14ac:dyDescent="0.25">
      <c r="A81" t="s">
        <v>1640</v>
      </c>
      <c r="B81" t="s">
        <v>254</v>
      </c>
      <c r="C81" t="s">
        <v>436</v>
      </c>
      <c r="D81" t="s">
        <v>3209</v>
      </c>
      <c r="E81" t="s">
        <v>3246</v>
      </c>
      <c r="F81">
        <v>19501009</v>
      </c>
      <c r="G81" t="s">
        <v>9332</v>
      </c>
      <c r="H81" t="s">
        <v>241</v>
      </c>
      <c r="I81" t="s">
        <v>242</v>
      </c>
      <c r="J81" t="s">
        <v>242</v>
      </c>
      <c r="K81" t="s">
        <v>241</v>
      </c>
      <c r="L81" t="s">
        <v>242</v>
      </c>
      <c r="M81">
        <v>38.689222209999997</v>
      </c>
      <c r="N81">
        <v>-122.8640118</v>
      </c>
      <c r="O81">
        <v>0</v>
      </c>
      <c r="P81">
        <v>0</v>
      </c>
      <c r="Q81">
        <v>0</v>
      </c>
      <c r="R81">
        <v>0</v>
      </c>
      <c r="S81">
        <v>0.2</v>
      </c>
      <c r="T81">
        <v>0.73</v>
      </c>
      <c r="U81">
        <v>1.56</v>
      </c>
      <c r="V81">
        <v>1.1599999999999999</v>
      </c>
      <c r="W81">
        <v>0.8</v>
      </c>
      <c r="X81">
        <v>0.2</v>
      </c>
      <c r="Y81">
        <v>0.03</v>
      </c>
      <c r="Z81">
        <v>0</v>
      </c>
      <c r="AA81" t="s">
        <v>9335</v>
      </c>
      <c r="AB81" t="s">
        <v>242</v>
      </c>
      <c r="AC81" t="s">
        <v>3229</v>
      </c>
    </row>
    <row r="82" spans="1:29" x14ac:dyDescent="0.25">
      <c r="A82" t="s">
        <v>1672</v>
      </c>
      <c r="B82" t="s">
        <v>254</v>
      </c>
      <c r="C82" t="s">
        <v>354</v>
      </c>
      <c r="D82" t="s">
        <v>3209</v>
      </c>
      <c r="E82" t="s">
        <v>3246</v>
      </c>
      <c r="F82">
        <v>19501009</v>
      </c>
      <c r="G82" t="s">
        <v>9332</v>
      </c>
      <c r="H82" t="s">
        <v>241</v>
      </c>
      <c r="I82" t="s">
        <v>242</v>
      </c>
      <c r="J82" t="s">
        <v>242</v>
      </c>
      <c r="K82" t="s">
        <v>241</v>
      </c>
      <c r="L82" t="s">
        <v>242</v>
      </c>
      <c r="M82">
        <v>38.803387039999997</v>
      </c>
      <c r="N82">
        <v>-123.0089303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 t="s">
        <v>9335</v>
      </c>
      <c r="AB82" t="s">
        <v>242</v>
      </c>
      <c r="AC82" t="s">
        <v>3229</v>
      </c>
    </row>
    <row r="83" spans="1:29" x14ac:dyDescent="0.25">
      <c r="A83" t="s">
        <v>1649</v>
      </c>
      <c r="B83" t="s">
        <v>254</v>
      </c>
      <c r="C83" t="s">
        <v>311</v>
      </c>
      <c r="D83" t="s">
        <v>3209</v>
      </c>
      <c r="E83" t="s">
        <v>3246</v>
      </c>
      <c r="F83">
        <v>19501009</v>
      </c>
      <c r="G83" t="s">
        <v>9332</v>
      </c>
      <c r="H83" t="s">
        <v>241</v>
      </c>
      <c r="I83" t="s">
        <v>242</v>
      </c>
      <c r="J83" t="s">
        <v>242</v>
      </c>
      <c r="K83" t="s">
        <v>241</v>
      </c>
      <c r="L83" t="s">
        <v>242</v>
      </c>
      <c r="M83">
        <v>38.635360159999998</v>
      </c>
      <c r="N83">
        <v>-122.8318496</v>
      </c>
      <c r="O83">
        <v>0.05</v>
      </c>
      <c r="P83">
        <v>0.05</v>
      </c>
      <c r="Q83">
        <v>0.05</v>
      </c>
      <c r="R83">
        <v>0.05</v>
      </c>
      <c r="S83">
        <v>0.05</v>
      </c>
      <c r="T83">
        <v>0.48</v>
      </c>
      <c r="U83">
        <v>0.48</v>
      </c>
      <c r="V83">
        <v>0.48</v>
      </c>
      <c r="W83">
        <v>0.48</v>
      </c>
      <c r="X83">
        <v>0.34</v>
      </c>
      <c r="Y83">
        <v>0.05</v>
      </c>
      <c r="Z83">
        <v>0.05</v>
      </c>
      <c r="AA83" t="s">
        <v>9335</v>
      </c>
      <c r="AB83" t="s">
        <v>242</v>
      </c>
      <c r="AC83" t="s">
        <v>3229</v>
      </c>
    </row>
    <row r="84" spans="1:29" x14ac:dyDescent="0.25">
      <c r="A84" t="s">
        <v>1634</v>
      </c>
      <c r="B84" t="s">
        <v>254</v>
      </c>
      <c r="C84" t="s">
        <v>436</v>
      </c>
      <c r="D84" t="s">
        <v>3209</v>
      </c>
      <c r="E84" t="s">
        <v>3246</v>
      </c>
      <c r="F84">
        <v>19501103</v>
      </c>
      <c r="G84" t="s">
        <v>9332</v>
      </c>
      <c r="H84" t="s">
        <v>241</v>
      </c>
      <c r="I84" t="s">
        <v>242</v>
      </c>
      <c r="J84" t="s">
        <v>242</v>
      </c>
      <c r="K84" t="s">
        <v>241</v>
      </c>
      <c r="L84" t="s">
        <v>242</v>
      </c>
      <c r="M84">
        <v>38.688636500000001</v>
      </c>
      <c r="N84">
        <v>-122.86890990000001</v>
      </c>
      <c r="O84">
        <v>0</v>
      </c>
      <c r="P84">
        <v>0</v>
      </c>
      <c r="Q84">
        <v>0</v>
      </c>
      <c r="R84">
        <v>0</v>
      </c>
      <c r="S84">
        <v>0</v>
      </c>
      <c r="T84">
        <v>1.2</v>
      </c>
      <c r="U84">
        <v>2.63</v>
      </c>
      <c r="V84">
        <v>2.5</v>
      </c>
      <c r="W84">
        <v>3.03</v>
      </c>
      <c r="X84">
        <v>0</v>
      </c>
      <c r="Y84">
        <v>0</v>
      </c>
      <c r="Z84">
        <v>0</v>
      </c>
      <c r="AA84" t="s">
        <v>9335</v>
      </c>
      <c r="AB84" t="s">
        <v>242</v>
      </c>
      <c r="AC84" t="s">
        <v>3229</v>
      </c>
    </row>
    <row r="85" spans="1:29" x14ac:dyDescent="0.25">
      <c r="A85" t="s">
        <v>1618</v>
      </c>
      <c r="B85" t="s">
        <v>254</v>
      </c>
      <c r="C85" t="s">
        <v>436</v>
      </c>
      <c r="D85" t="s">
        <v>3209</v>
      </c>
      <c r="E85" t="s">
        <v>3246</v>
      </c>
      <c r="F85">
        <v>19501108</v>
      </c>
      <c r="G85" t="s">
        <v>9332</v>
      </c>
      <c r="H85" t="s">
        <v>241</v>
      </c>
      <c r="I85" t="s">
        <v>242</v>
      </c>
      <c r="J85" t="s">
        <v>242</v>
      </c>
      <c r="K85" t="s">
        <v>241</v>
      </c>
      <c r="L85" t="s">
        <v>242</v>
      </c>
      <c r="M85">
        <v>38.696356020000003</v>
      </c>
      <c r="N85">
        <v>-122.86479919999999</v>
      </c>
      <c r="O85">
        <v>0</v>
      </c>
      <c r="P85">
        <v>0</v>
      </c>
      <c r="Q85">
        <v>0</v>
      </c>
      <c r="R85">
        <v>0</v>
      </c>
      <c r="S85">
        <v>2.63</v>
      </c>
      <c r="T85">
        <v>11.33</v>
      </c>
      <c r="U85">
        <v>11.1</v>
      </c>
      <c r="V85">
        <v>10.16</v>
      </c>
      <c r="W85">
        <v>5.3</v>
      </c>
      <c r="X85">
        <v>2.4300000000000002</v>
      </c>
      <c r="Y85">
        <v>0</v>
      </c>
      <c r="Z85">
        <v>0</v>
      </c>
      <c r="AA85" t="s">
        <v>9335</v>
      </c>
      <c r="AB85" t="s">
        <v>242</v>
      </c>
      <c r="AC85" t="s">
        <v>3229</v>
      </c>
    </row>
    <row r="86" spans="1:29" x14ac:dyDescent="0.25">
      <c r="A86" t="s">
        <v>1622</v>
      </c>
      <c r="B86" t="s">
        <v>254</v>
      </c>
      <c r="C86" t="s">
        <v>436</v>
      </c>
      <c r="D86" t="s">
        <v>3209</v>
      </c>
      <c r="E86" t="s">
        <v>3246</v>
      </c>
      <c r="F86">
        <v>19501108</v>
      </c>
      <c r="G86" t="s">
        <v>9332</v>
      </c>
      <c r="H86" t="s">
        <v>241</v>
      </c>
      <c r="I86" t="s">
        <v>242</v>
      </c>
      <c r="J86" t="s">
        <v>242</v>
      </c>
      <c r="K86" t="s">
        <v>241</v>
      </c>
      <c r="L86" t="s">
        <v>242</v>
      </c>
      <c r="M86">
        <v>38.692721030000001</v>
      </c>
      <c r="N86">
        <v>-122.8735148</v>
      </c>
      <c r="O86">
        <v>0</v>
      </c>
      <c r="P86">
        <v>0</v>
      </c>
      <c r="Q86">
        <v>0</v>
      </c>
      <c r="R86">
        <v>0</v>
      </c>
      <c r="S86">
        <v>1.23</v>
      </c>
      <c r="T86">
        <v>3.73</v>
      </c>
      <c r="U86">
        <v>5.56</v>
      </c>
      <c r="V86">
        <v>6.96</v>
      </c>
      <c r="W86">
        <v>5.3</v>
      </c>
      <c r="X86">
        <v>2.46</v>
      </c>
      <c r="Y86">
        <v>0</v>
      </c>
      <c r="Z86">
        <v>0</v>
      </c>
      <c r="AA86" t="s">
        <v>9335</v>
      </c>
      <c r="AB86" t="s">
        <v>242</v>
      </c>
      <c r="AC86" t="s">
        <v>3229</v>
      </c>
    </row>
    <row r="87" spans="1:29" x14ac:dyDescent="0.25">
      <c r="A87" t="s">
        <v>1627</v>
      </c>
      <c r="B87" t="s">
        <v>254</v>
      </c>
      <c r="C87" t="s">
        <v>436</v>
      </c>
      <c r="D87" t="s">
        <v>3209</v>
      </c>
      <c r="E87" t="s">
        <v>3246</v>
      </c>
      <c r="F87">
        <v>19501113</v>
      </c>
      <c r="G87" t="s">
        <v>9332</v>
      </c>
      <c r="H87" t="s">
        <v>241</v>
      </c>
      <c r="I87" t="s">
        <v>242</v>
      </c>
      <c r="J87" t="s">
        <v>242</v>
      </c>
      <c r="K87" t="s">
        <v>241</v>
      </c>
      <c r="L87" t="s">
        <v>242</v>
      </c>
      <c r="M87">
        <v>38.699889839999997</v>
      </c>
      <c r="N87">
        <v>-122.88779479999999</v>
      </c>
      <c r="O87">
        <v>0</v>
      </c>
      <c r="P87">
        <v>0</v>
      </c>
      <c r="Q87">
        <v>0</v>
      </c>
      <c r="R87">
        <v>0.1</v>
      </c>
      <c r="S87">
        <v>1</v>
      </c>
      <c r="T87">
        <v>2.6</v>
      </c>
      <c r="U87">
        <v>3.86</v>
      </c>
      <c r="V87">
        <v>5.36</v>
      </c>
      <c r="W87">
        <v>3.5</v>
      </c>
      <c r="X87">
        <v>1.1599999999999999</v>
      </c>
      <c r="Y87">
        <v>0</v>
      </c>
      <c r="Z87">
        <v>0</v>
      </c>
      <c r="AA87" t="s">
        <v>9335</v>
      </c>
      <c r="AB87" t="s">
        <v>242</v>
      </c>
      <c r="AC87" t="s">
        <v>3229</v>
      </c>
    </row>
    <row r="88" spans="1:29" x14ac:dyDescent="0.25">
      <c r="A88" t="s">
        <v>1636</v>
      </c>
      <c r="B88" t="s">
        <v>254</v>
      </c>
      <c r="C88" t="s">
        <v>436</v>
      </c>
      <c r="D88" t="s">
        <v>3209</v>
      </c>
      <c r="E88" t="s">
        <v>3246</v>
      </c>
      <c r="F88">
        <v>19501113</v>
      </c>
      <c r="G88" t="s">
        <v>9332</v>
      </c>
      <c r="H88" t="s">
        <v>241</v>
      </c>
      <c r="I88" t="s">
        <v>242</v>
      </c>
      <c r="J88" t="s">
        <v>242</v>
      </c>
      <c r="K88" t="s">
        <v>241</v>
      </c>
      <c r="L88" t="s">
        <v>242</v>
      </c>
      <c r="M88">
        <v>38.701284100000002</v>
      </c>
      <c r="N88">
        <v>-122.88500879999999</v>
      </c>
      <c r="O88">
        <v>0</v>
      </c>
      <c r="P88">
        <v>0</v>
      </c>
      <c r="Q88">
        <v>0</v>
      </c>
      <c r="R88">
        <v>0.06</v>
      </c>
      <c r="S88">
        <v>0.36</v>
      </c>
      <c r="T88">
        <v>1.23</v>
      </c>
      <c r="U88">
        <v>2.33</v>
      </c>
      <c r="V88">
        <v>2.66</v>
      </c>
      <c r="W88">
        <v>1.6</v>
      </c>
      <c r="X88">
        <v>0.8</v>
      </c>
      <c r="Y88">
        <v>0</v>
      </c>
      <c r="Z88">
        <v>0</v>
      </c>
      <c r="AA88" t="s">
        <v>9335</v>
      </c>
      <c r="AB88" t="s">
        <v>242</v>
      </c>
      <c r="AC88" t="s">
        <v>3229</v>
      </c>
    </row>
    <row r="89" spans="1:29" x14ac:dyDescent="0.25">
      <c r="A89" t="s">
        <v>1673</v>
      </c>
      <c r="B89" t="s">
        <v>254</v>
      </c>
      <c r="C89" t="s">
        <v>354</v>
      </c>
      <c r="D89" t="s">
        <v>3209</v>
      </c>
      <c r="E89" t="s">
        <v>3246</v>
      </c>
      <c r="F89">
        <v>19501113</v>
      </c>
      <c r="G89" t="s">
        <v>9332</v>
      </c>
      <c r="H89" t="s">
        <v>241</v>
      </c>
      <c r="I89" t="s">
        <v>242</v>
      </c>
      <c r="J89" t="s">
        <v>242</v>
      </c>
      <c r="K89" t="s">
        <v>241</v>
      </c>
      <c r="L89" t="s">
        <v>242</v>
      </c>
      <c r="M89">
        <v>38.790506999999998</v>
      </c>
      <c r="N89">
        <v>-123.0059408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 t="s">
        <v>9333</v>
      </c>
      <c r="AB89" t="s">
        <v>242</v>
      </c>
      <c r="AC89" t="s">
        <v>3229</v>
      </c>
    </row>
    <row r="90" spans="1:29" x14ac:dyDescent="0.25">
      <c r="A90" t="s">
        <v>1654</v>
      </c>
      <c r="B90" t="s">
        <v>254</v>
      </c>
      <c r="C90" t="s">
        <v>311</v>
      </c>
      <c r="D90" t="s">
        <v>3209</v>
      </c>
      <c r="E90" t="s">
        <v>3246</v>
      </c>
      <c r="F90">
        <v>19501114</v>
      </c>
      <c r="G90" t="s">
        <v>9332</v>
      </c>
      <c r="H90" t="s">
        <v>241</v>
      </c>
      <c r="I90" t="s">
        <v>242</v>
      </c>
      <c r="J90" t="s">
        <v>242</v>
      </c>
      <c r="K90" t="s">
        <v>241</v>
      </c>
      <c r="L90" t="s">
        <v>242</v>
      </c>
      <c r="M90">
        <v>38.638064730000004</v>
      </c>
      <c r="N90">
        <v>-122.79861990000001</v>
      </c>
      <c r="O90">
        <v>0</v>
      </c>
      <c r="P90">
        <v>0</v>
      </c>
      <c r="Q90">
        <v>0</v>
      </c>
      <c r="R90">
        <v>8.9999999999999998E-4</v>
      </c>
      <c r="S90">
        <v>2.57666666666667E-4</v>
      </c>
      <c r="T90">
        <v>0.01</v>
      </c>
      <c r="U90">
        <v>0.01</v>
      </c>
      <c r="V90">
        <v>0.01</v>
      </c>
      <c r="W90">
        <v>0.01</v>
      </c>
      <c r="X90">
        <v>0.01</v>
      </c>
      <c r="Y90">
        <v>0</v>
      </c>
      <c r="Z90">
        <v>0</v>
      </c>
      <c r="AA90" t="s">
        <v>9335</v>
      </c>
      <c r="AB90" t="s">
        <v>242</v>
      </c>
      <c r="AC90" t="s">
        <v>3229</v>
      </c>
    </row>
    <row r="91" spans="1:29" x14ac:dyDescent="0.25">
      <c r="A91" t="s">
        <v>1619</v>
      </c>
      <c r="B91" t="s">
        <v>254</v>
      </c>
      <c r="C91" t="s">
        <v>436</v>
      </c>
      <c r="D91" t="s">
        <v>3209</v>
      </c>
      <c r="E91" t="s">
        <v>3246</v>
      </c>
      <c r="F91">
        <v>19501114</v>
      </c>
      <c r="G91" t="s">
        <v>9332</v>
      </c>
      <c r="H91" t="s">
        <v>241</v>
      </c>
      <c r="I91" t="s">
        <v>242</v>
      </c>
      <c r="J91" t="s">
        <v>242</v>
      </c>
      <c r="K91" t="s">
        <v>241</v>
      </c>
      <c r="L91" t="s">
        <v>242</v>
      </c>
      <c r="M91">
        <v>38.667238879999999</v>
      </c>
      <c r="N91">
        <v>-122.82836880000001</v>
      </c>
      <c r="O91">
        <v>0</v>
      </c>
      <c r="P91">
        <v>15.73</v>
      </c>
      <c r="Q91">
        <v>0</v>
      </c>
      <c r="R91">
        <v>0</v>
      </c>
      <c r="S91">
        <v>0</v>
      </c>
      <c r="T91">
        <v>8.57</v>
      </c>
      <c r="U91">
        <v>8.57</v>
      </c>
      <c r="V91">
        <v>8.57</v>
      </c>
      <c r="W91">
        <v>8.57</v>
      </c>
      <c r="X91">
        <v>0</v>
      </c>
      <c r="Y91">
        <v>0</v>
      </c>
      <c r="Z91">
        <v>0</v>
      </c>
      <c r="AA91" t="s">
        <v>9335</v>
      </c>
      <c r="AB91" t="s">
        <v>242</v>
      </c>
      <c r="AC91" t="s">
        <v>3229</v>
      </c>
    </row>
    <row r="92" spans="1:29" x14ac:dyDescent="0.25">
      <c r="A92" t="s">
        <v>1617</v>
      </c>
      <c r="B92" t="s">
        <v>254</v>
      </c>
      <c r="C92" t="s">
        <v>436</v>
      </c>
      <c r="D92" t="s">
        <v>3209</v>
      </c>
      <c r="E92" t="s">
        <v>3246</v>
      </c>
      <c r="F92">
        <v>19501114</v>
      </c>
      <c r="G92" t="s">
        <v>9332</v>
      </c>
      <c r="H92" t="s">
        <v>241</v>
      </c>
      <c r="I92" t="s">
        <v>242</v>
      </c>
      <c r="J92" t="s">
        <v>242</v>
      </c>
      <c r="K92" t="s">
        <v>241</v>
      </c>
      <c r="L92" t="s">
        <v>242</v>
      </c>
      <c r="M92">
        <v>38.69175044</v>
      </c>
      <c r="N92">
        <v>-122.8563341</v>
      </c>
      <c r="O92">
        <v>0</v>
      </c>
      <c r="P92">
        <v>7.92</v>
      </c>
      <c r="Q92">
        <v>0</v>
      </c>
      <c r="R92">
        <v>0</v>
      </c>
      <c r="S92">
        <v>0</v>
      </c>
      <c r="T92">
        <v>14.48</v>
      </c>
      <c r="U92">
        <v>14.48</v>
      </c>
      <c r="V92">
        <v>14.48</v>
      </c>
      <c r="W92">
        <v>14.48</v>
      </c>
      <c r="X92">
        <v>2</v>
      </c>
      <c r="Y92">
        <v>0</v>
      </c>
      <c r="Z92">
        <v>0</v>
      </c>
      <c r="AA92" t="s">
        <v>9335</v>
      </c>
      <c r="AB92" t="s">
        <v>242</v>
      </c>
      <c r="AC92" t="s">
        <v>3229</v>
      </c>
    </row>
    <row r="93" spans="1:29" x14ac:dyDescent="0.25">
      <c r="A93" t="s">
        <v>1620</v>
      </c>
      <c r="B93" t="s">
        <v>254</v>
      </c>
      <c r="C93" t="s">
        <v>436</v>
      </c>
      <c r="D93" t="s">
        <v>3209</v>
      </c>
      <c r="E93" t="s">
        <v>3246</v>
      </c>
      <c r="F93">
        <v>19501114</v>
      </c>
      <c r="G93" t="s">
        <v>9332</v>
      </c>
      <c r="H93" t="s">
        <v>241</v>
      </c>
      <c r="I93" t="s">
        <v>242</v>
      </c>
      <c r="J93" t="s">
        <v>242</v>
      </c>
      <c r="K93" t="s">
        <v>241</v>
      </c>
      <c r="L93" t="s">
        <v>242</v>
      </c>
      <c r="M93">
        <v>38.687095499999998</v>
      </c>
      <c r="N93">
        <v>-122.8545263</v>
      </c>
      <c r="O93">
        <v>0</v>
      </c>
      <c r="P93">
        <v>0</v>
      </c>
      <c r="Q93">
        <v>0</v>
      </c>
      <c r="R93">
        <v>0.13</v>
      </c>
      <c r="S93">
        <v>0.43</v>
      </c>
      <c r="T93">
        <v>4.41</v>
      </c>
      <c r="U93">
        <v>7.58</v>
      </c>
      <c r="V93">
        <v>7.54</v>
      </c>
      <c r="W93">
        <v>4.54</v>
      </c>
      <c r="X93">
        <v>1.28</v>
      </c>
      <c r="Y93">
        <v>0.05</v>
      </c>
      <c r="Z93">
        <v>0</v>
      </c>
      <c r="AA93" t="s">
        <v>9335</v>
      </c>
      <c r="AB93" t="s">
        <v>242</v>
      </c>
      <c r="AC93" t="s">
        <v>3229</v>
      </c>
    </row>
    <row r="94" spans="1:29" x14ac:dyDescent="0.25">
      <c r="A94" t="s">
        <v>1676</v>
      </c>
      <c r="B94" t="s">
        <v>254</v>
      </c>
      <c r="C94" t="s">
        <v>436</v>
      </c>
      <c r="D94" t="s">
        <v>3209</v>
      </c>
      <c r="E94" t="s">
        <v>3246</v>
      </c>
      <c r="F94">
        <v>19501122</v>
      </c>
      <c r="G94" t="s">
        <v>9332</v>
      </c>
      <c r="H94" t="s">
        <v>241</v>
      </c>
      <c r="I94" t="s">
        <v>242</v>
      </c>
      <c r="J94" t="s">
        <v>242</v>
      </c>
      <c r="K94" t="s">
        <v>241</v>
      </c>
      <c r="L94" t="s">
        <v>242</v>
      </c>
      <c r="M94">
        <v>38.666976769999998</v>
      </c>
      <c r="N94">
        <v>-122.82661450000001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 t="s">
        <v>9335</v>
      </c>
      <c r="AB94" t="s">
        <v>242</v>
      </c>
      <c r="AC94" t="s">
        <v>3229</v>
      </c>
    </row>
    <row r="95" spans="1:29" x14ac:dyDescent="0.25">
      <c r="A95" t="s">
        <v>1600</v>
      </c>
      <c r="B95" t="s">
        <v>254</v>
      </c>
      <c r="C95" t="s">
        <v>354</v>
      </c>
      <c r="D95" t="s">
        <v>3209</v>
      </c>
      <c r="E95" t="s">
        <v>3246</v>
      </c>
      <c r="F95">
        <v>19510202</v>
      </c>
      <c r="G95" t="s">
        <v>9332</v>
      </c>
      <c r="H95" t="s">
        <v>241</v>
      </c>
      <c r="I95" t="s">
        <v>242</v>
      </c>
      <c r="J95" t="s">
        <v>242</v>
      </c>
      <c r="K95" t="s">
        <v>241</v>
      </c>
      <c r="L95" t="s">
        <v>242</v>
      </c>
      <c r="M95">
        <v>38.807837650000003</v>
      </c>
      <c r="N95">
        <v>-123.00232509999999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 t="s">
        <v>9335</v>
      </c>
      <c r="AB95" t="s">
        <v>242</v>
      </c>
      <c r="AC95" t="s">
        <v>3229</v>
      </c>
    </row>
    <row r="96" spans="1:29" x14ac:dyDescent="0.25">
      <c r="A96" t="s">
        <v>1601</v>
      </c>
      <c r="B96" t="s">
        <v>254</v>
      </c>
      <c r="C96" t="s">
        <v>331</v>
      </c>
      <c r="D96" t="s">
        <v>3209</v>
      </c>
      <c r="E96" t="s">
        <v>3246</v>
      </c>
      <c r="F96">
        <v>19510213</v>
      </c>
      <c r="G96" t="s">
        <v>9332</v>
      </c>
      <c r="H96" t="s">
        <v>241</v>
      </c>
      <c r="I96" t="s">
        <v>242</v>
      </c>
      <c r="J96" t="s">
        <v>242</v>
      </c>
      <c r="K96" t="s">
        <v>241</v>
      </c>
      <c r="L96" t="s">
        <v>242</v>
      </c>
      <c r="M96">
        <v>39.160679160000001</v>
      </c>
      <c r="N96">
        <v>-123.1931975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 t="s">
        <v>9335</v>
      </c>
      <c r="AB96" t="s">
        <v>242</v>
      </c>
      <c r="AC96" t="s">
        <v>3213</v>
      </c>
    </row>
    <row r="97" spans="1:29" x14ac:dyDescent="0.25">
      <c r="A97" t="s">
        <v>1602</v>
      </c>
      <c r="B97" t="s">
        <v>254</v>
      </c>
      <c r="C97" t="s">
        <v>354</v>
      </c>
      <c r="D97" t="s">
        <v>3209</v>
      </c>
      <c r="E97" t="s">
        <v>3246</v>
      </c>
      <c r="F97">
        <v>19510226</v>
      </c>
      <c r="G97" t="s">
        <v>9332</v>
      </c>
      <c r="H97" t="s">
        <v>241</v>
      </c>
      <c r="I97" t="s">
        <v>242</v>
      </c>
      <c r="J97" t="s">
        <v>242</v>
      </c>
      <c r="K97" t="s">
        <v>241</v>
      </c>
      <c r="L97" t="s">
        <v>242</v>
      </c>
      <c r="M97">
        <v>38.721321250000003</v>
      </c>
      <c r="N97">
        <v>-122.90401110000001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 t="s">
        <v>9335</v>
      </c>
      <c r="AB97" t="s">
        <v>242</v>
      </c>
      <c r="AC97" t="s">
        <v>3229</v>
      </c>
    </row>
    <row r="98" spans="1:29" x14ac:dyDescent="0.25">
      <c r="A98" t="s">
        <v>1596</v>
      </c>
      <c r="B98" t="s">
        <v>254</v>
      </c>
      <c r="C98" t="s">
        <v>333</v>
      </c>
      <c r="D98" t="s">
        <v>3209</v>
      </c>
      <c r="E98" t="s">
        <v>3246</v>
      </c>
      <c r="F98">
        <v>19510320</v>
      </c>
      <c r="G98" t="s">
        <v>9332</v>
      </c>
      <c r="H98" t="s">
        <v>241</v>
      </c>
      <c r="I98" t="s">
        <v>242</v>
      </c>
      <c r="J98" t="s">
        <v>242</v>
      </c>
      <c r="K98" t="s">
        <v>241</v>
      </c>
      <c r="L98" t="s">
        <v>242</v>
      </c>
      <c r="M98">
        <v>39.046995770000002</v>
      </c>
      <c r="N98">
        <v>-123.1354693</v>
      </c>
      <c r="O98">
        <v>0</v>
      </c>
      <c r="P98">
        <v>0</v>
      </c>
      <c r="Q98">
        <v>0</v>
      </c>
      <c r="R98">
        <v>0</v>
      </c>
      <c r="S98">
        <v>0.25</v>
      </c>
      <c r="T98">
        <v>0.75</v>
      </c>
      <c r="U98">
        <v>0.75</v>
      </c>
      <c r="V98">
        <v>0.75</v>
      </c>
      <c r="W98">
        <v>0.4</v>
      </c>
      <c r="X98">
        <v>0</v>
      </c>
      <c r="Y98">
        <v>0</v>
      </c>
      <c r="Z98">
        <v>0</v>
      </c>
      <c r="AA98" t="s">
        <v>9335</v>
      </c>
      <c r="AB98" t="s">
        <v>242</v>
      </c>
      <c r="AC98" t="s">
        <v>3213</v>
      </c>
    </row>
    <row r="99" spans="1:29" x14ac:dyDescent="0.25">
      <c r="A99" t="s">
        <v>1592</v>
      </c>
      <c r="B99" t="s">
        <v>254</v>
      </c>
      <c r="C99" t="s">
        <v>354</v>
      </c>
      <c r="D99" t="s">
        <v>3209</v>
      </c>
      <c r="E99" t="s">
        <v>3246</v>
      </c>
      <c r="F99">
        <v>19510326</v>
      </c>
      <c r="G99" t="s">
        <v>9332</v>
      </c>
      <c r="H99" t="s">
        <v>241</v>
      </c>
      <c r="I99" t="s">
        <v>242</v>
      </c>
      <c r="J99" t="s">
        <v>242</v>
      </c>
      <c r="K99" t="s">
        <v>241</v>
      </c>
      <c r="L99" t="s">
        <v>242</v>
      </c>
      <c r="M99">
        <v>38.729953430000002</v>
      </c>
      <c r="N99">
        <v>-122.92375269999999</v>
      </c>
      <c r="O99">
        <v>0</v>
      </c>
      <c r="P99">
        <v>0</v>
      </c>
      <c r="Q99">
        <v>0</v>
      </c>
      <c r="R99">
        <v>1.84</v>
      </c>
      <c r="S99">
        <v>1.84</v>
      </c>
      <c r="T99">
        <v>2.4500000000000002</v>
      </c>
      <c r="U99">
        <v>2.4500000000000002</v>
      </c>
      <c r="V99">
        <v>1.84</v>
      </c>
      <c r="W99">
        <v>0.61</v>
      </c>
      <c r="X99">
        <v>0</v>
      </c>
      <c r="Y99">
        <v>0</v>
      </c>
      <c r="Z99">
        <v>0</v>
      </c>
      <c r="AA99" t="s">
        <v>9335</v>
      </c>
      <c r="AB99" t="s">
        <v>242</v>
      </c>
      <c r="AC99" t="s">
        <v>3229</v>
      </c>
    </row>
    <row r="100" spans="1:29" x14ac:dyDescent="0.25">
      <c r="A100" t="s">
        <v>1599</v>
      </c>
      <c r="B100" t="s">
        <v>254</v>
      </c>
      <c r="C100" t="s">
        <v>354</v>
      </c>
      <c r="D100" t="s">
        <v>3209</v>
      </c>
      <c r="E100" t="s">
        <v>3246</v>
      </c>
      <c r="F100">
        <v>19510411</v>
      </c>
      <c r="G100" t="s">
        <v>9332</v>
      </c>
      <c r="H100" t="s">
        <v>241</v>
      </c>
      <c r="I100" t="s">
        <v>242</v>
      </c>
      <c r="J100" t="s">
        <v>242</v>
      </c>
      <c r="K100" t="s">
        <v>241</v>
      </c>
      <c r="L100" t="s">
        <v>242</v>
      </c>
      <c r="M100">
        <v>38.788093410000002</v>
      </c>
      <c r="N100">
        <v>-122.99924040000001</v>
      </c>
      <c r="O100">
        <v>0</v>
      </c>
      <c r="P100">
        <v>0</v>
      </c>
      <c r="Q100">
        <v>0</v>
      </c>
      <c r="R100">
        <v>0</v>
      </c>
      <c r="S100">
        <v>1.12533333333333E-3</v>
      </c>
      <c r="T100">
        <v>2.1993333333333301E-3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 t="s">
        <v>9335</v>
      </c>
      <c r="AB100" t="s">
        <v>242</v>
      </c>
      <c r="AC100" t="s">
        <v>3229</v>
      </c>
    </row>
    <row r="101" spans="1:29" x14ac:dyDescent="0.25">
      <c r="A101" t="s">
        <v>1594</v>
      </c>
      <c r="B101" t="s">
        <v>254</v>
      </c>
      <c r="C101" t="s">
        <v>354</v>
      </c>
      <c r="D101" t="s">
        <v>3209</v>
      </c>
      <c r="E101" t="s">
        <v>3246</v>
      </c>
      <c r="F101">
        <v>19510411</v>
      </c>
      <c r="G101" t="s">
        <v>9332</v>
      </c>
      <c r="H101" t="s">
        <v>241</v>
      </c>
      <c r="I101" t="s">
        <v>242</v>
      </c>
      <c r="J101" t="s">
        <v>242</v>
      </c>
      <c r="K101" t="s">
        <v>241</v>
      </c>
      <c r="L101" t="s">
        <v>242</v>
      </c>
      <c r="M101">
        <v>38.71648751</v>
      </c>
      <c r="N101">
        <v>-122.90763</v>
      </c>
      <c r="O101">
        <v>0.02</v>
      </c>
      <c r="P101">
        <v>0.02</v>
      </c>
      <c r="Q101">
        <v>0.04</v>
      </c>
      <c r="R101">
        <v>0.08</v>
      </c>
      <c r="S101">
        <v>0.47</v>
      </c>
      <c r="T101">
        <v>0.74</v>
      </c>
      <c r="U101">
        <v>1.17</v>
      </c>
      <c r="V101">
        <v>1.59</v>
      </c>
      <c r="W101">
        <v>1.4</v>
      </c>
      <c r="X101">
        <v>0.7</v>
      </c>
      <c r="Y101">
        <v>0.38</v>
      </c>
      <c r="Z101">
        <v>0.04</v>
      </c>
      <c r="AA101" t="s">
        <v>9335</v>
      </c>
      <c r="AB101" t="s">
        <v>242</v>
      </c>
      <c r="AC101" t="s">
        <v>3229</v>
      </c>
    </row>
    <row r="102" spans="1:29" x14ac:dyDescent="0.25">
      <c r="A102" t="s">
        <v>1588</v>
      </c>
      <c r="B102" t="s">
        <v>254</v>
      </c>
      <c r="C102" t="s">
        <v>348</v>
      </c>
      <c r="D102" t="s">
        <v>3209</v>
      </c>
      <c r="E102" t="s">
        <v>3246</v>
      </c>
      <c r="F102">
        <v>19510418</v>
      </c>
      <c r="G102" t="s">
        <v>9332</v>
      </c>
      <c r="H102" t="s">
        <v>242</v>
      </c>
      <c r="I102" t="s">
        <v>242</v>
      </c>
      <c r="J102" t="s">
        <v>242</v>
      </c>
      <c r="K102" t="s">
        <v>241</v>
      </c>
      <c r="L102" t="s">
        <v>242</v>
      </c>
      <c r="M102">
        <v>39.272913690000003</v>
      </c>
      <c r="N102">
        <v>-123.1025337</v>
      </c>
      <c r="O102">
        <v>0</v>
      </c>
      <c r="P102">
        <v>0</v>
      </c>
      <c r="Q102">
        <v>0</v>
      </c>
      <c r="R102">
        <v>0</v>
      </c>
      <c r="S102">
        <v>12</v>
      </c>
      <c r="T102">
        <v>12</v>
      </c>
      <c r="U102">
        <v>12</v>
      </c>
      <c r="V102">
        <v>12</v>
      </c>
      <c r="W102">
        <v>12</v>
      </c>
      <c r="X102">
        <v>0</v>
      </c>
      <c r="Y102">
        <v>0</v>
      </c>
      <c r="Z102">
        <v>0</v>
      </c>
      <c r="AA102" t="s">
        <v>9335</v>
      </c>
      <c r="AB102" t="s">
        <v>242</v>
      </c>
      <c r="AC102" t="s">
        <v>3213</v>
      </c>
    </row>
    <row r="103" spans="1:29" x14ac:dyDescent="0.25">
      <c r="A103" t="s">
        <v>1606</v>
      </c>
      <c r="B103" t="s">
        <v>254</v>
      </c>
      <c r="C103" t="s">
        <v>333</v>
      </c>
      <c r="D103" t="s">
        <v>3209</v>
      </c>
      <c r="E103" t="s">
        <v>3246</v>
      </c>
      <c r="F103">
        <v>19510514</v>
      </c>
      <c r="G103" t="s">
        <v>9332</v>
      </c>
      <c r="H103" t="s">
        <v>241</v>
      </c>
      <c r="I103" t="s">
        <v>242</v>
      </c>
      <c r="J103" t="s">
        <v>242</v>
      </c>
      <c r="K103" t="s">
        <v>241</v>
      </c>
      <c r="L103" t="s">
        <v>242</v>
      </c>
      <c r="M103">
        <v>39.096699999999998</v>
      </c>
      <c r="N103">
        <v>-123.1755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 t="s">
        <v>9335</v>
      </c>
      <c r="AB103" t="s">
        <v>242</v>
      </c>
      <c r="AC103" t="s">
        <v>3213</v>
      </c>
    </row>
    <row r="104" spans="1:29" x14ac:dyDescent="0.25">
      <c r="A104" t="s">
        <v>1607</v>
      </c>
      <c r="B104" t="s">
        <v>254</v>
      </c>
      <c r="C104" t="s">
        <v>311</v>
      </c>
      <c r="D104" t="s">
        <v>3209</v>
      </c>
      <c r="E104" t="s">
        <v>3246</v>
      </c>
      <c r="F104">
        <v>19510607</v>
      </c>
      <c r="G104" t="s">
        <v>9332</v>
      </c>
      <c r="H104" t="s">
        <v>241</v>
      </c>
      <c r="I104" t="s">
        <v>242</v>
      </c>
      <c r="J104" t="s">
        <v>242</v>
      </c>
      <c r="K104" t="s">
        <v>241</v>
      </c>
      <c r="L104" t="s">
        <v>242</v>
      </c>
      <c r="M104">
        <v>38.651000000000003</v>
      </c>
      <c r="N104">
        <v>-122.80629999999999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 t="s">
        <v>9335</v>
      </c>
      <c r="AB104" t="s">
        <v>242</v>
      </c>
      <c r="AC104" t="s">
        <v>3229</v>
      </c>
    </row>
    <row r="105" spans="1:29" x14ac:dyDescent="0.25">
      <c r="A105" t="s">
        <v>1590</v>
      </c>
      <c r="B105" t="s">
        <v>254</v>
      </c>
      <c r="C105" t="s">
        <v>354</v>
      </c>
      <c r="D105" t="s">
        <v>3209</v>
      </c>
      <c r="E105" t="s">
        <v>3246</v>
      </c>
      <c r="F105">
        <v>19510716</v>
      </c>
      <c r="G105" t="s">
        <v>9332</v>
      </c>
      <c r="H105" t="s">
        <v>241</v>
      </c>
      <c r="I105" t="s">
        <v>242</v>
      </c>
      <c r="J105" t="s">
        <v>242</v>
      </c>
      <c r="K105" t="s">
        <v>241</v>
      </c>
      <c r="L105" t="s">
        <v>242</v>
      </c>
      <c r="M105">
        <v>38.807837650000003</v>
      </c>
      <c r="N105">
        <v>-123.00232509999999</v>
      </c>
      <c r="O105">
        <v>0</v>
      </c>
      <c r="P105">
        <v>0</v>
      </c>
      <c r="Q105">
        <v>0</v>
      </c>
      <c r="R105">
        <v>0</v>
      </c>
      <c r="S105">
        <v>0.43</v>
      </c>
      <c r="T105">
        <v>1.63</v>
      </c>
      <c r="U105">
        <v>5.46</v>
      </c>
      <c r="V105">
        <v>5.93</v>
      </c>
      <c r="W105">
        <v>2.83</v>
      </c>
      <c r="X105">
        <v>0.23</v>
      </c>
      <c r="Y105">
        <v>0</v>
      </c>
      <c r="Z105">
        <v>0</v>
      </c>
      <c r="AA105" t="s">
        <v>9335</v>
      </c>
      <c r="AB105" t="s">
        <v>242</v>
      </c>
      <c r="AC105" t="s">
        <v>3229</v>
      </c>
    </row>
    <row r="106" spans="1:29" x14ac:dyDescent="0.25">
      <c r="A106" t="s">
        <v>1591</v>
      </c>
      <c r="B106" t="s">
        <v>254</v>
      </c>
      <c r="C106" t="s">
        <v>311</v>
      </c>
      <c r="D106" t="s">
        <v>3209</v>
      </c>
      <c r="E106" t="s">
        <v>3246</v>
      </c>
      <c r="F106">
        <v>19510831</v>
      </c>
      <c r="G106" t="s">
        <v>9332</v>
      </c>
      <c r="H106" t="s">
        <v>241</v>
      </c>
      <c r="I106" t="s">
        <v>242</v>
      </c>
      <c r="J106" t="s">
        <v>242</v>
      </c>
      <c r="K106" t="s">
        <v>241</v>
      </c>
      <c r="L106" t="s">
        <v>242</v>
      </c>
      <c r="M106">
        <v>38.613454930000003</v>
      </c>
      <c r="N106">
        <v>-122.7832944</v>
      </c>
      <c r="O106">
        <v>0</v>
      </c>
      <c r="P106">
        <v>0</v>
      </c>
      <c r="Q106">
        <v>0</v>
      </c>
      <c r="R106">
        <v>2</v>
      </c>
      <c r="S106">
        <v>2</v>
      </c>
      <c r="T106">
        <v>2</v>
      </c>
      <c r="U106">
        <v>2.66</v>
      </c>
      <c r="V106">
        <v>2.66</v>
      </c>
      <c r="W106">
        <v>2.66</v>
      </c>
      <c r="X106">
        <v>2.66</v>
      </c>
      <c r="Y106">
        <v>2</v>
      </c>
      <c r="Z106">
        <v>0</v>
      </c>
      <c r="AA106" t="s">
        <v>9335</v>
      </c>
      <c r="AB106" t="s">
        <v>242</v>
      </c>
      <c r="AC106" t="s">
        <v>3229</v>
      </c>
    </row>
    <row r="107" spans="1:29" x14ac:dyDescent="0.25">
      <c r="A107" t="s">
        <v>1598</v>
      </c>
      <c r="B107" t="s">
        <v>254</v>
      </c>
      <c r="C107" t="s">
        <v>311</v>
      </c>
      <c r="D107" t="s">
        <v>3209</v>
      </c>
      <c r="E107" t="s">
        <v>3246</v>
      </c>
      <c r="F107">
        <v>19510906</v>
      </c>
      <c r="G107" t="s">
        <v>9332</v>
      </c>
      <c r="H107" t="s">
        <v>242</v>
      </c>
      <c r="I107" t="s">
        <v>242</v>
      </c>
      <c r="J107" t="s">
        <v>242</v>
      </c>
      <c r="K107" t="s">
        <v>241</v>
      </c>
      <c r="L107" t="s">
        <v>242</v>
      </c>
      <c r="M107">
        <v>38.615083200000001</v>
      </c>
      <c r="N107">
        <v>-122.6531116</v>
      </c>
      <c r="O107">
        <v>0.33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0.03</v>
      </c>
      <c r="V107">
        <v>0.03</v>
      </c>
      <c r="W107">
        <v>0</v>
      </c>
      <c r="X107">
        <v>0</v>
      </c>
      <c r="Y107">
        <v>0.6</v>
      </c>
      <c r="Z107">
        <v>0.77</v>
      </c>
      <c r="AA107" t="s">
        <v>9335</v>
      </c>
      <c r="AB107" t="s">
        <v>242</v>
      </c>
      <c r="AC107" t="s">
        <v>3229</v>
      </c>
    </row>
    <row r="108" spans="1:29" x14ac:dyDescent="0.25">
      <c r="A108" t="s">
        <v>1610</v>
      </c>
      <c r="B108" t="s">
        <v>254</v>
      </c>
      <c r="C108" t="s">
        <v>354</v>
      </c>
      <c r="D108" t="s">
        <v>3209</v>
      </c>
      <c r="E108" t="s">
        <v>3246</v>
      </c>
      <c r="F108">
        <v>19510906</v>
      </c>
      <c r="G108" t="s">
        <v>9332</v>
      </c>
      <c r="H108" t="s">
        <v>241</v>
      </c>
      <c r="I108" t="s">
        <v>242</v>
      </c>
      <c r="J108" t="s">
        <v>242</v>
      </c>
      <c r="K108" t="s">
        <v>241</v>
      </c>
      <c r="L108" t="s">
        <v>242</v>
      </c>
      <c r="M108">
        <v>38.826459229999998</v>
      </c>
      <c r="N108">
        <v>-123.00820419999999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 t="s">
        <v>9333</v>
      </c>
      <c r="AB108" t="s">
        <v>242</v>
      </c>
      <c r="AC108" t="s">
        <v>3229</v>
      </c>
    </row>
    <row r="109" spans="1:29" x14ac:dyDescent="0.25">
      <c r="A109" t="s">
        <v>1611</v>
      </c>
      <c r="B109" t="s">
        <v>254</v>
      </c>
      <c r="C109" t="s">
        <v>354</v>
      </c>
      <c r="D109" t="s">
        <v>3209</v>
      </c>
      <c r="E109" t="s">
        <v>3246</v>
      </c>
      <c r="F109">
        <v>19510919</v>
      </c>
      <c r="G109" t="s">
        <v>9332</v>
      </c>
      <c r="H109" t="s">
        <v>241</v>
      </c>
      <c r="I109" t="s">
        <v>242</v>
      </c>
      <c r="J109" t="s">
        <v>242</v>
      </c>
      <c r="K109" t="s">
        <v>241</v>
      </c>
      <c r="L109" t="s">
        <v>242</v>
      </c>
      <c r="M109">
        <v>38.720195650000001</v>
      </c>
      <c r="N109">
        <v>-122.90750199999999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 t="s">
        <v>9335</v>
      </c>
      <c r="AB109" t="s">
        <v>242</v>
      </c>
      <c r="AC109" t="s">
        <v>3229</v>
      </c>
    </row>
    <row r="110" spans="1:29" x14ac:dyDescent="0.25">
      <c r="A110" t="s">
        <v>1595</v>
      </c>
      <c r="B110" t="s">
        <v>254</v>
      </c>
      <c r="C110" t="s">
        <v>333</v>
      </c>
      <c r="D110" t="s">
        <v>3209</v>
      </c>
      <c r="E110" t="s">
        <v>3246</v>
      </c>
      <c r="F110">
        <v>19511029</v>
      </c>
      <c r="G110" t="s">
        <v>9332</v>
      </c>
      <c r="H110" t="s">
        <v>241</v>
      </c>
      <c r="I110" t="s">
        <v>242</v>
      </c>
      <c r="J110" t="s">
        <v>242</v>
      </c>
      <c r="K110" t="s">
        <v>241</v>
      </c>
      <c r="L110" t="s">
        <v>242</v>
      </c>
      <c r="M110">
        <v>39.090453920000002</v>
      </c>
      <c r="N110">
        <v>-123.1726353</v>
      </c>
      <c r="O110">
        <v>0</v>
      </c>
      <c r="P110">
        <v>0</v>
      </c>
      <c r="Q110">
        <v>0</v>
      </c>
      <c r="R110">
        <v>0</v>
      </c>
      <c r="S110">
        <v>0.93</v>
      </c>
      <c r="T110">
        <v>4.2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 t="s">
        <v>9335</v>
      </c>
      <c r="AB110" t="s">
        <v>242</v>
      </c>
      <c r="AC110" t="s">
        <v>3213</v>
      </c>
    </row>
    <row r="111" spans="1:29" x14ac:dyDescent="0.25">
      <c r="A111" t="s">
        <v>1574</v>
      </c>
      <c r="B111" t="s">
        <v>254</v>
      </c>
      <c r="C111" t="s">
        <v>331</v>
      </c>
      <c r="D111" t="s">
        <v>3209</v>
      </c>
      <c r="E111" t="s">
        <v>3246</v>
      </c>
      <c r="F111">
        <v>19520121</v>
      </c>
      <c r="G111" t="s">
        <v>9332</v>
      </c>
      <c r="H111" t="s">
        <v>241</v>
      </c>
      <c r="I111" t="s">
        <v>242</v>
      </c>
      <c r="J111" t="s">
        <v>242</v>
      </c>
      <c r="K111" t="s">
        <v>241</v>
      </c>
      <c r="L111" t="s">
        <v>242</v>
      </c>
      <c r="M111">
        <v>39.11908176</v>
      </c>
      <c r="N111">
        <v>-123.1928496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 t="s">
        <v>9335</v>
      </c>
      <c r="AB111" t="s">
        <v>242</v>
      </c>
      <c r="AC111" t="s">
        <v>3213</v>
      </c>
    </row>
    <row r="112" spans="1:29" x14ac:dyDescent="0.25">
      <c r="A112" t="s">
        <v>1575</v>
      </c>
      <c r="B112" t="s">
        <v>254</v>
      </c>
      <c r="C112" t="s">
        <v>311</v>
      </c>
      <c r="D112" t="s">
        <v>3209</v>
      </c>
      <c r="E112" t="s">
        <v>3246</v>
      </c>
      <c r="F112">
        <v>19520317</v>
      </c>
      <c r="G112" t="s">
        <v>9332</v>
      </c>
      <c r="H112" t="s">
        <v>241</v>
      </c>
      <c r="I112" t="s">
        <v>242</v>
      </c>
      <c r="J112" t="s">
        <v>242</v>
      </c>
      <c r="K112" t="s">
        <v>241</v>
      </c>
      <c r="L112" t="s">
        <v>242</v>
      </c>
      <c r="M112">
        <v>38.627721319999999</v>
      </c>
      <c r="N112">
        <v>-122.7852015</v>
      </c>
      <c r="O112">
        <v>0.06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2.4300000000000002</v>
      </c>
      <c r="Z112">
        <v>3.43</v>
      </c>
      <c r="AA112" t="s">
        <v>9335</v>
      </c>
      <c r="AB112" t="s">
        <v>242</v>
      </c>
      <c r="AC112" t="s">
        <v>3229</v>
      </c>
    </row>
    <row r="113" spans="1:29" x14ac:dyDescent="0.25">
      <c r="A113" t="s">
        <v>79</v>
      </c>
      <c r="B113" t="s">
        <v>254</v>
      </c>
      <c r="C113" t="s">
        <v>436</v>
      </c>
      <c r="D113" t="s">
        <v>3209</v>
      </c>
      <c r="E113" t="s">
        <v>3246</v>
      </c>
      <c r="F113">
        <v>19520320</v>
      </c>
      <c r="G113" t="s">
        <v>9332</v>
      </c>
      <c r="H113" t="s">
        <v>241</v>
      </c>
      <c r="I113" t="s">
        <v>242</v>
      </c>
      <c r="J113" t="s">
        <v>242</v>
      </c>
      <c r="K113" t="s">
        <v>241</v>
      </c>
      <c r="L113" t="s">
        <v>242</v>
      </c>
      <c r="M113">
        <v>38.676033349999997</v>
      </c>
      <c r="N113">
        <v>-122.865078</v>
      </c>
      <c r="O113">
        <v>0</v>
      </c>
      <c r="P113">
        <v>0</v>
      </c>
      <c r="Q113">
        <v>0</v>
      </c>
      <c r="R113">
        <v>0</v>
      </c>
      <c r="S113">
        <v>0.76</v>
      </c>
      <c r="T113">
        <v>3.33</v>
      </c>
      <c r="U113">
        <v>4.53</v>
      </c>
      <c r="V113">
        <v>5</v>
      </c>
      <c r="W113">
        <v>6.4</v>
      </c>
      <c r="X113">
        <v>0.16</v>
      </c>
      <c r="Y113">
        <v>0</v>
      </c>
      <c r="Z113">
        <v>0</v>
      </c>
      <c r="AA113" t="s">
        <v>9335</v>
      </c>
      <c r="AB113" t="s">
        <v>242</v>
      </c>
      <c r="AC113" t="s">
        <v>3229</v>
      </c>
    </row>
    <row r="114" spans="1:29" x14ac:dyDescent="0.25">
      <c r="A114" t="s">
        <v>117</v>
      </c>
      <c r="B114" t="s">
        <v>254</v>
      </c>
      <c r="C114" t="s">
        <v>311</v>
      </c>
      <c r="D114" t="s">
        <v>3209</v>
      </c>
      <c r="E114" t="s">
        <v>3246</v>
      </c>
      <c r="F114">
        <v>19520331</v>
      </c>
      <c r="G114" t="s">
        <v>9338</v>
      </c>
      <c r="H114" t="s">
        <v>242</v>
      </c>
      <c r="I114" t="s">
        <v>242</v>
      </c>
      <c r="J114" t="s">
        <v>242</v>
      </c>
      <c r="K114" t="s">
        <v>241</v>
      </c>
      <c r="L114" t="s">
        <v>242</v>
      </c>
      <c r="M114">
        <v>38.618600000000001</v>
      </c>
      <c r="N114">
        <v>-122.7654</v>
      </c>
      <c r="O114">
        <v>29.5</v>
      </c>
      <c r="P114">
        <v>22.83</v>
      </c>
      <c r="Q114">
        <v>4.66</v>
      </c>
      <c r="R114">
        <v>3.5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3.33</v>
      </c>
      <c r="Z114">
        <v>4.83</v>
      </c>
      <c r="AA114" t="s">
        <v>9335</v>
      </c>
      <c r="AB114" t="s">
        <v>242</v>
      </c>
      <c r="AC114" t="s">
        <v>3229</v>
      </c>
    </row>
    <row r="115" spans="1:29" x14ac:dyDescent="0.25">
      <c r="A115" t="s">
        <v>1576</v>
      </c>
      <c r="B115" t="s">
        <v>254</v>
      </c>
      <c r="C115" t="s">
        <v>311</v>
      </c>
      <c r="D115" t="s">
        <v>3209</v>
      </c>
      <c r="E115" t="s">
        <v>3246</v>
      </c>
      <c r="F115">
        <v>19520415</v>
      </c>
      <c r="G115" t="s">
        <v>9332</v>
      </c>
      <c r="H115" t="s">
        <v>242</v>
      </c>
      <c r="I115" t="s">
        <v>242</v>
      </c>
      <c r="J115" t="s">
        <v>242</v>
      </c>
      <c r="K115" t="s">
        <v>241</v>
      </c>
      <c r="L115" t="s">
        <v>242</v>
      </c>
      <c r="M115">
        <v>38.605933800000003</v>
      </c>
      <c r="N115">
        <v>-122.7580147</v>
      </c>
      <c r="O115">
        <v>0.16</v>
      </c>
      <c r="P115">
        <v>0</v>
      </c>
      <c r="Q115">
        <v>0.16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8.16</v>
      </c>
      <c r="Z115">
        <v>0</v>
      </c>
      <c r="AA115" t="s">
        <v>9335</v>
      </c>
      <c r="AB115" t="s">
        <v>242</v>
      </c>
      <c r="AC115" t="s">
        <v>3229</v>
      </c>
    </row>
    <row r="116" spans="1:29" x14ac:dyDescent="0.25">
      <c r="A116" t="s">
        <v>1573</v>
      </c>
      <c r="B116" t="s">
        <v>254</v>
      </c>
      <c r="C116" t="s">
        <v>311</v>
      </c>
      <c r="D116" t="s">
        <v>3209</v>
      </c>
      <c r="E116" t="s">
        <v>3246</v>
      </c>
      <c r="F116">
        <v>19520415</v>
      </c>
      <c r="G116" t="s">
        <v>9332</v>
      </c>
      <c r="H116" t="s">
        <v>241</v>
      </c>
      <c r="I116" t="s">
        <v>242</v>
      </c>
      <c r="J116" t="s">
        <v>242</v>
      </c>
      <c r="K116" t="s">
        <v>241</v>
      </c>
      <c r="L116" t="s">
        <v>242</v>
      </c>
      <c r="M116">
        <v>38.604916899999999</v>
      </c>
      <c r="N116">
        <v>-122.7870502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0.38</v>
      </c>
      <c r="U116">
        <v>0.3</v>
      </c>
      <c r="V116">
        <v>0.97</v>
      </c>
      <c r="W116">
        <v>0.14000000000000001</v>
      </c>
      <c r="X116">
        <v>0</v>
      </c>
      <c r="Y116">
        <v>0</v>
      </c>
      <c r="Z116">
        <v>0</v>
      </c>
      <c r="AA116" t="s">
        <v>9335</v>
      </c>
      <c r="AB116" t="s">
        <v>242</v>
      </c>
      <c r="AC116" t="s">
        <v>3229</v>
      </c>
    </row>
    <row r="117" spans="1:29" x14ac:dyDescent="0.25">
      <c r="A117" t="s">
        <v>1572</v>
      </c>
      <c r="B117" t="s">
        <v>254</v>
      </c>
      <c r="C117" t="s">
        <v>436</v>
      </c>
      <c r="D117" t="s">
        <v>3209</v>
      </c>
      <c r="E117" t="s">
        <v>3246</v>
      </c>
      <c r="F117">
        <v>19520425</v>
      </c>
      <c r="G117" t="s">
        <v>9332</v>
      </c>
      <c r="H117" t="s">
        <v>241</v>
      </c>
      <c r="I117" t="s">
        <v>242</v>
      </c>
      <c r="J117" t="s">
        <v>242</v>
      </c>
      <c r="K117" t="s">
        <v>241</v>
      </c>
      <c r="L117" t="s">
        <v>242</v>
      </c>
      <c r="M117">
        <v>38.664725079999997</v>
      </c>
      <c r="N117">
        <v>-122.83429390000001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0.96</v>
      </c>
      <c r="U117">
        <v>0.63</v>
      </c>
      <c r="V117">
        <v>1.06</v>
      </c>
      <c r="W117">
        <v>0</v>
      </c>
      <c r="X117">
        <v>0</v>
      </c>
      <c r="Y117">
        <v>0</v>
      </c>
      <c r="Z117">
        <v>0</v>
      </c>
      <c r="AA117" t="s">
        <v>9335</v>
      </c>
      <c r="AB117" t="s">
        <v>242</v>
      </c>
      <c r="AC117" t="s">
        <v>3229</v>
      </c>
    </row>
    <row r="118" spans="1:29" x14ac:dyDescent="0.25">
      <c r="A118" t="s">
        <v>1565</v>
      </c>
      <c r="B118" t="s">
        <v>254</v>
      </c>
      <c r="C118" t="s">
        <v>507</v>
      </c>
      <c r="D118" t="s">
        <v>3209</v>
      </c>
      <c r="E118" t="s">
        <v>3246</v>
      </c>
      <c r="F118">
        <v>19520527</v>
      </c>
      <c r="G118" t="s">
        <v>9332</v>
      </c>
      <c r="H118" t="s">
        <v>242</v>
      </c>
      <c r="I118" t="s">
        <v>242</v>
      </c>
      <c r="J118" t="s">
        <v>242</v>
      </c>
      <c r="K118" t="s">
        <v>241</v>
      </c>
      <c r="L118" t="s">
        <v>242</v>
      </c>
      <c r="M118">
        <v>38.6011059</v>
      </c>
      <c r="N118">
        <v>-122.8597953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125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 t="s">
        <v>9341</v>
      </c>
      <c r="AB118" t="s">
        <v>242</v>
      </c>
      <c r="AC118" t="s">
        <v>3229</v>
      </c>
    </row>
    <row r="119" spans="1:29" x14ac:dyDescent="0.25">
      <c r="A119" t="s">
        <v>1580</v>
      </c>
      <c r="B119" t="s">
        <v>254</v>
      </c>
      <c r="C119" t="s">
        <v>311</v>
      </c>
      <c r="D119" t="s">
        <v>3209</v>
      </c>
      <c r="E119" t="s">
        <v>3246</v>
      </c>
      <c r="F119">
        <v>19520605</v>
      </c>
      <c r="G119" t="s">
        <v>9332</v>
      </c>
      <c r="H119" t="s">
        <v>242</v>
      </c>
      <c r="I119" t="s">
        <v>242</v>
      </c>
      <c r="J119" t="s">
        <v>242</v>
      </c>
      <c r="K119" t="s">
        <v>241</v>
      </c>
      <c r="L119" t="s">
        <v>242</v>
      </c>
      <c r="M119">
        <v>38.635604579999999</v>
      </c>
      <c r="N119">
        <v>-122.75587950000001</v>
      </c>
      <c r="O119">
        <v>0.03</v>
      </c>
      <c r="P119">
        <v>0</v>
      </c>
      <c r="Q119">
        <v>0.1</v>
      </c>
      <c r="R119">
        <v>0.06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3.06</v>
      </c>
      <c r="Z119">
        <v>0.93</v>
      </c>
      <c r="AA119" t="s">
        <v>9335</v>
      </c>
      <c r="AB119" t="s">
        <v>242</v>
      </c>
      <c r="AC119" t="s">
        <v>3229</v>
      </c>
    </row>
    <row r="120" spans="1:29" x14ac:dyDescent="0.25">
      <c r="A120" t="s">
        <v>1581</v>
      </c>
      <c r="B120" t="s">
        <v>254</v>
      </c>
      <c r="C120" t="s">
        <v>311</v>
      </c>
      <c r="D120" t="s">
        <v>3209</v>
      </c>
      <c r="E120" t="s">
        <v>3246</v>
      </c>
      <c r="F120">
        <v>19520605</v>
      </c>
      <c r="G120" t="s">
        <v>9332</v>
      </c>
      <c r="H120" t="s">
        <v>242</v>
      </c>
      <c r="I120" t="s">
        <v>242</v>
      </c>
      <c r="J120" t="s">
        <v>242</v>
      </c>
      <c r="K120" t="s">
        <v>241</v>
      </c>
      <c r="L120" t="s">
        <v>242</v>
      </c>
      <c r="M120">
        <v>38.626800000000003</v>
      </c>
      <c r="N120">
        <v>-122.75060000000001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 t="s">
        <v>9335</v>
      </c>
      <c r="AB120" t="s">
        <v>242</v>
      </c>
      <c r="AC120" t="s">
        <v>3229</v>
      </c>
    </row>
    <row r="121" spans="1:29" x14ac:dyDescent="0.25">
      <c r="A121" t="s">
        <v>1566</v>
      </c>
      <c r="B121" t="s">
        <v>254</v>
      </c>
      <c r="C121" t="s">
        <v>436</v>
      </c>
      <c r="D121" t="s">
        <v>3209</v>
      </c>
      <c r="E121" t="s">
        <v>3246</v>
      </c>
      <c r="F121">
        <v>19520612</v>
      </c>
      <c r="G121" t="s">
        <v>9332</v>
      </c>
      <c r="H121" t="s">
        <v>241</v>
      </c>
      <c r="I121" t="s">
        <v>242</v>
      </c>
      <c r="J121" t="s">
        <v>242</v>
      </c>
      <c r="K121" t="s">
        <v>241</v>
      </c>
      <c r="L121" t="s">
        <v>242</v>
      </c>
      <c r="M121">
        <v>38.701269689999997</v>
      </c>
      <c r="N121">
        <v>-122.8687135</v>
      </c>
      <c r="O121">
        <v>0</v>
      </c>
      <c r="P121">
        <v>2.35</v>
      </c>
      <c r="Q121">
        <v>1.35</v>
      </c>
      <c r="R121">
        <v>0.6</v>
      </c>
      <c r="S121">
        <v>1.1000000000000001</v>
      </c>
      <c r="T121">
        <v>4.93</v>
      </c>
      <c r="U121">
        <v>9.7899999999999991</v>
      </c>
      <c r="V121">
        <v>12.02</v>
      </c>
      <c r="W121">
        <v>9.94</v>
      </c>
      <c r="X121">
        <v>6.01</v>
      </c>
      <c r="Y121">
        <v>0.37</v>
      </c>
      <c r="Z121">
        <v>0</v>
      </c>
      <c r="AA121" t="s">
        <v>9335</v>
      </c>
      <c r="AB121" t="s">
        <v>242</v>
      </c>
      <c r="AC121" t="s">
        <v>3229</v>
      </c>
    </row>
    <row r="122" spans="1:29" x14ac:dyDescent="0.25">
      <c r="A122" t="s">
        <v>1582</v>
      </c>
      <c r="B122" t="s">
        <v>254</v>
      </c>
      <c r="C122" t="s">
        <v>436</v>
      </c>
      <c r="D122" t="s">
        <v>3209</v>
      </c>
      <c r="E122" t="s">
        <v>3246</v>
      </c>
      <c r="F122">
        <v>19520612</v>
      </c>
      <c r="G122" t="s">
        <v>9332</v>
      </c>
      <c r="H122" t="s">
        <v>241</v>
      </c>
      <c r="I122" t="s">
        <v>242</v>
      </c>
      <c r="J122" t="s">
        <v>242</v>
      </c>
      <c r="K122" t="s">
        <v>241</v>
      </c>
      <c r="L122" t="s">
        <v>242</v>
      </c>
      <c r="M122">
        <v>38.70928335</v>
      </c>
      <c r="N122">
        <v>-122.8982508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 t="s">
        <v>9335</v>
      </c>
      <c r="AB122" t="s">
        <v>242</v>
      </c>
      <c r="AC122" t="s">
        <v>3229</v>
      </c>
    </row>
    <row r="123" spans="1:29" x14ac:dyDescent="0.25">
      <c r="A123" t="s">
        <v>1584</v>
      </c>
      <c r="B123" t="s">
        <v>254</v>
      </c>
      <c r="C123" t="s">
        <v>311</v>
      </c>
      <c r="D123" t="s">
        <v>3209</v>
      </c>
      <c r="E123" t="s">
        <v>3246</v>
      </c>
      <c r="F123">
        <v>19520624</v>
      </c>
      <c r="G123" t="s">
        <v>9332</v>
      </c>
      <c r="H123" t="s">
        <v>242</v>
      </c>
      <c r="I123" t="s">
        <v>242</v>
      </c>
      <c r="J123" t="s">
        <v>242</v>
      </c>
      <c r="K123" t="s">
        <v>241</v>
      </c>
      <c r="L123" t="s">
        <v>242</v>
      </c>
      <c r="M123">
        <v>38.572347139999998</v>
      </c>
      <c r="N123">
        <v>-122.63488150000001</v>
      </c>
      <c r="O123">
        <v>0.73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1.46</v>
      </c>
      <c r="Z123">
        <v>1.53</v>
      </c>
      <c r="AA123" t="s">
        <v>9335</v>
      </c>
      <c r="AB123" t="s">
        <v>242</v>
      </c>
      <c r="AC123" t="s">
        <v>3229</v>
      </c>
    </row>
    <row r="124" spans="1:29" x14ac:dyDescent="0.25">
      <c r="A124" t="s">
        <v>1567</v>
      </c>
      <c r="B124" t="s">
        <v>254</v>
      </c>
      <c r="C124" t="s">
        <v>436</v>
      </c>
      <c r="D124" t="s">
        <v>3209</v>
      </c>
      <c r="E124" t="s">
        <v>3246</v>
      </c>
      <c r="F124">
        <v>19520625</v>
      </c>
      <c r="G124" t="s">
        <v>9332</v>
      </c>
      <c r="H124" t="s">
        <v>241</v>
      </c>
      <c r="I124" t="s">
        <v>242</v>
      </c>
      <c r="J124" t="s">
        <v>242</v>
      </c>
      <c r="K124" t="s">
        <v>241</v>
      </c>
      <c r="L124" t="s">
        <v>242</v>
      </c>
      <c r="M124">
        <v>38.672565980000002</v>
      </c>
      <c r="N124">
        <v>-122.85119950000001</v>
      </c>
      <c r="O124">
        <v>0</v>
      </c>
      <c r="P124">
        <v>0</v>
      </c>
      <c r="Q124">
        <v>0</v>
      </c>
      <c r="R124">
        <v>1.06</v>
      </c>
      <c r="S124">
        <v>2.2599999999999998</v>
      </c>
      <c r="T124">
        <v>5.7</v>
      </c>
      <c r="U124">
        <v>6.66</v>
      </c>
      <c r="V124">
        <v>10.029999999999999</v>
      </c>
      <c r="W124">
        <v>5.66</v>
      </c>
      <c r="X124">
        <v>0</v>
      </c>
      <c r="Y124">
        <v>0</v>
      </c>
      <c r="Z124">
        <v>0</v>
      </c>
      <c r="AA124" t="s">
        <v>9335</v>
      </c>
      <c r="AB124" t="s">
        <v>242</v>
      </c>
      <c r="AC124" t="s">
        <v>3229</v>
      </c>
    </row>
    <row r="125" spans="1:29" x14ac:dyDescent="0.25">
      <c r="A125" t="s">
        <v>1570</v>
      </c>
      <c r="B125" t="s">
        <v>254</v>
      </c>
      <c r="C125" t="s">
        <v>354</v>
      </c>
      <c r="D125" t="s">
        <v>3209</v>
      </c>
      <c r="E125" t="s">
        <v>3246</v>
      </c>
      <c r="F125">
        <v>19520626</v>
      </c>
      <c r="G125" t="s">
        <v>9332</v>
      </c>
      <c r="H125" t="s">
        <v>241</v>
      </c>
      <c r="I125" t="s">
        <v>242</v>
      </c>
      <c r="J125" t="s">
        <v>242</v>
      </c>
      <c r="K125" t="s">
        <v>241</v>
      </c>
      <c r="L125" t="s">
        <v>242</v>
      </c>
      <c r="M125">
        <v>38.773897150000003</v>
      </c>
      <c r="N125">
        <v>-122.9895698</v>
      </c>
      <c r="O125">
        <v>0.46</v>
      </c>
      <c r="P125">
        <v>0.46</v>
      </c>
      <c r="Q125">
        <v>0.46</v>
      </c>
      <c r="R125">
        <v>0.41</v>
      </c>
      <c r="S125">
        <v>2.61</v>
      </c>
      <c r="T125">
        <v>0.99</v>
      </c>
      <c r="U125">
        <v>1.21</v>
      </c>
      <c r="V125">
        <v>1.31</v>
      </c>
      <c r="W125">
        <v>1.41</v>
      </c>
      <c r="X125">
        <v>1.26</v>
      </c>
      <c r="Y125">
        <v>1.27</v>
      </c>
      <c r="Z125">
        <v>0.96</v>
      </c>
      <c r="AA125" t="s">
        <v>9339</v>
      </c>
      <c r="AB125" t="s">
        <v>242</v>
      </c>
      <c r="AC125" t="s">
        <v>3229</v>
      </c>
    </row>
    <row r="126" spans="1:29" x14ac:dyDescent="0.25">
      <c r="A126" t="s">
        <v>1585</v>
      </c>
      <c r="B126" t="s">
        <v>254</v>
      </c>
      <c r="C126" t="s">
        <v>308</v>
      </c>
      <c r="D126" t="s">
        <v>3209</v>
      </c>
      <c r="E126" t="s">
        <v>3246</v>
      </c>
      <c r="F126">
        <v>19520710</v>
      </c>
      <c r="G126" t="s">
        <v>9332</v>
      </c>
      <c r="H126" t="s">
        <v>242</v>
      </c>
      <c r="I126" t="s">
        <v>242</v>
      </c>
      <c r="J126" t="s">
        <v>242</v>
      </c>
      <c r="K126" t="s">
        <v>241</v>
      </c>
      <c r="L126" t="s">
        <v>242</v>
      </c>
      <c r="M126">
        <v>38.653292520000001</v>
      </c>
      <c r="N126">
        <v>-122.7382073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 t="s">
        <v>9335</v>
      </c>
      <c r="AB126" t="s">
        <v>242</v>
      </c>
      <c r="AC126" t="s">
        <v>3229</v>
      </c>
    </row>
    <row r="127" spans="1:29" x14ac:dyDescent="0.25">
      <c r="A127" t="s">
        <v>71</v>
      </c>
      <c r="B127" t="s">
        <v>254</v>
      </c>
      <c r="C127" t="s">
        <v>331</v>
      </c>
      <c r="D127" t="s">
        <v>3209</v>
      </c>
      <c r="E127" t="s">
        <v>3246</v>
      </c>
      <c r="F127">
        <v>19520721</v>
      </c>
      <c r="G127" t="s">
        <v>9334</v>
      </c>
      <c r="H127" t="s">
        <v>241</v>
      </c>
      <c r="I127" t="s">
        <v>242</v>
      </c>
      <c r="J127" t="s">
        <v>242</v>
      </c>
      <c r="K127" t="s">
        <v>241</v>
      </c>
      <c r="L127" t="s">
        <v>242</v>
      </c>
      <c r="M127">
        <v>39.16017677</v>
      </c>
      <c r="N127">
        <v>-123.1886037</v>
      </c>
      <c r="O127">
        <v>0</v>
      </c>
      <c r="P127">
        <v>0</v>
      </c>
      <c r="Q127">
        <v>0</v>
      </c>
      <c r="R127">
        <v>0</v>
      </c>
      <c r="S127">
        <v>1.1299999999999999</v>
      </c>
      <c r="T127">
        <v>3.42</v>
      </c>
      <c r="U127">
        <v>4.95</v>
      </c>
      <c r="V127">
        <v>4.33</v>
      </c>
      <c r="W127">
        <v>0</v>
      </c>
      <c r="X127">
        <v>0</v>
      </c>
      <c r="Y127">
        <v>0</v>
      </c>
      <c r="Z127">
        <v>0</v>
      </c>
      <c r="AA127" t="s">
        <v>9335</v>
      </c>
      <c r="AB127" t="s">
        <v>242</v>
      </c>
      <c r="AC127" t="s">
        <v>3213</v>
      </c>
    </row>
    <row r="128" spans="1:29" x14ac:dyDescent="0.25">
      <c r="A128" t="s">
        <v>126</v>
      </c>
      <c r="B128" t="s">
        <v>254</v>
      </c>
      <c r="C128" t="s">
        <v>331</v>
      </c>
      <c r="D128" t="s">
        <v>3209</v>
      </c>
      <c r="E128" t="s">
        <v>3246</v>
      </c>
      <c r="F128">
        <v>19520721</v>
      </c>
      <c r="G128" t="s">
        <v>9334</v>
      </c>
      <c r="H128" t="s">
        <v>241</v>
      </c>
      <c r="I128" t="s">
        <v>242</v>
      </c>
      <c r="J128" t="s">
        <v>242</v>
      </c>
      <c r="K128" t="s">
        <v>241</v>
      </c>
      <c r="L128" t="s">
        <v>242</v>
      </c>
      <c r="M128">
        <v>39.16017677</v>
      </c>
      <c r="N128">
        <v>-123.1886037</v>
      </c>
      <c r="O128">
        <v>0</v>
      </c>
      <c r="P128">
        <v>0</v>
      </c>
      <c r="Q128">
        <v>0</v>
      </c>
      <c r="R128">
        <v>0</v>
      </c>
      <c r="S128">
        <v>0.55000000000000004</v>
      </c>
      <c r="T128">
        <v>1.57</v>
      </c>
      <c r="U128">
        <v>2.0499999999999998</v>
      </c>
      <c r="V128">
        <v>1.76</v>
      </c>
      <c r="W128">
        <v>5.12</v>
      </c>
      <c r="X128">
        <v>0.3</v>
      </c>
      <c r="Y128">
        <v>0</v>
      </c>
      <c r="Z128">
        <v>0</v>
      </c>
      <c r="AA128" t="s">
        <v>9335</v>
      </c>
      <c r="AB128" t="s">
        <v>242</v>
      </c>
      <c r="AC128" t="s">
        <v>3213</v>
      </c>
    </row>
    <row r="129" spans="1:29" x14ac:dyDescent="0.25">
      <c r="A129" t="s">
        <v>87</v>
      </c>
      <c r="B129" t="s">
        <v>254</v>
      </c>
      <c r="C129" t="s">
        <v>333</v>
      </c>
      <c r="D129" t="s">
        <v>3209</v>
      </c>
      <c r="E129" t="s">
        <v>3246</v>
      </c>
      <c r="F129">
        <v>19520827</v>
      </c>
      <c r="G129" t="s">
        <v>9332</v>
      </c>
      <c r="H129" t="s">
        <v>241</v>
      </c>
      <c r="I129" t="s">
        <v>242</v>
      </c>
      <c r="J129" t="s">
        <v>242</v>
      </c>
      <c r="K129" t="s">
        <v>241</v>
      </c>
      <c r="L129" t="s">
        <v>242</v>
      </c>
      <c r="M129">
        <v>39.035699999999999</v>
      </c>
      <c r="N129">
        <v>-123.12909999999999</v>
      </c>
      <c r="O129">
        <v>0</v>
      </c>
      <c r="P129">
        <v>0</v>
      </c>
      <c r="Q129">
        <v>0</v>
      </c>
      <c r="R129">
        <v>0</v>
      </c>
      <c r="S129">
        <v>1.23</v>
      </c>
      <c r="T129">
        <v>5.13</v>
      </c>
      <c r="U129">
        <v>8.8800000000000008</v>
      </c>
      <c r="V129">
        <v>7.16</v>
      </c>
      <c r="W129">
        <v>2.89</v>
      </c>
      <c r="X129">
        <v>1.24</v>
      </c>
      <c r="Y129">
        <v>0</v>
      </c>
      <c r="Z129">
        <v>0</v>
      </c>
      <c r="AA129" t="s">
        <v>9335</v>
      </c>
      <c r="AB129" t="s">
        <v>242</v>
      </c>
      <c r="AC129" t="s">
        <v>3213</v>
      </c>
    </row>
    <row r="130" spans="1:29" x14ac:dyDescent="0.25">
      <c r="A130" t="s">
        <v>1569</v>
      </c>
      <c r="B130" t="s">
        <v>254</v>
      </c>
      <c r="C130" t="s">
        <v>333</v>
      </c>
      <c r="D130" t="s">
        <v>3209</v>
      </c>
      <c r="E130" t="s">
        <v>3246</v>
      </c>
      <c r="F130">
        <v>19520827</v>
      </c>
      <c r="G130" t="s">
        <v>9334</v>
      </c>
      <c r="H130" t="s">
        <v>241</v>
      </c>
      <c r="I130" t="s">
        <v>242</v>
      </c>
      <c r="J130" t="s">
        <v>242</v>
      </c>
      <c r="K130" t="s">
        <v>241</v>
      </c>
      <c r="L130" t="s">
        <v>242</v>
      </c>
      <c r="M130">
        <v>39.044703210000002</v>
      </c>
      <c r="N130">
        <v>-123.1340241</v>
      </c>
      <c r="O130">
        <v>0</v>
      </c>
      <c r="P130">
        <v>0</v>
      </c>
      <c r="Q130">
        <v>0</v>
      </c>
      <c r="R130">
        <v>0</v>
      </c>
      <c r="S130">
        <v>0.33</v>
      </c>
      <c r="T130">
        <v>0.4</v>
      </c>
      <c r="U130">
        <v>2.5099999999999998</v>
      </c>
      <c r="V130">
        <v>3.29</v>
      </c>
      <c r="W130">
        <v>2.57</v>
      </c>
      <c r="X130">
        <v>0.54</v>
      </c>
      <c r="Y130">
        <v>0</v>
      </c>
      <c r="Z130">
        <v>0</v>
      </c>
      <c r="AA130" t="s">
        <v>9335</v>
      </c>
      <c r="AB130" t="s">
        <v>242</v>
      </c>
      <c r="AC130" t="s">
        <v>3213</v>
      </c>
    </row>
    <row r="131" spans="1:29" x14ac:dyDescent="0.25">
      <c r="A131" t="s">
        <v>93</v>
      </c>
      <c r="B131" t="s">
        <v>254</v>
      </c>
      <c r="C131" t="s">
        <v>311</v>
      </c>
      <c r="D131" t="s">
        <v>3209</v>
      </c>
      <c r="E131" t="s">
        <v>3246</v>
      </c>
      <c r="F131">
        <v>19521106</v>
      </c>
      <c r="G131" t="s">
        <v>9332</v>
      </c>
      <c r="H131" t="s">
        <v>242</v>
      </c>
      <c r="I131" t="s">
        <v>242</v>
      </c>
      <c r="J131" t="s">
        <v>242</v>
      </c>
      <c r="K131" t="s">
        <v>241</v>
      </c>
      <c r="L131" t="s">
        <v>242</v>
      </c>
      <c r="M131">
        <v>38.668055000000003</v>
      </c>
      <c r="N131">
        <v>-122.7900242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 t="s">
        <v>9335</v>
      </c>
      <c r="AB131" t="s">
        <v>242</v>
      </c>
      <c r="AC131" t="s">
        <v>3229</v>
      </c>
    </row>
    <row r="132" spans="1:29" x14ac:dyDescent="0.25">
      <c r="A132" t="s">
        <v>53</v>
      </c>
      <c r="B132" t="s">
        <v>254</v>
      </c>
      <c r="C132" t="s">
        <v>333</v>
      </c>
      <c r="D132" t="s">
        <v>3209</v>
      </c>
      <c r="E132" t="s">
        <v>3246</v>
      </c>
      <c r="F132">
        <v>19530120</v>
      </c>
      <c r="G132" t="s">
        <v>9332</v>
      </c>
      <c r="H132" t="s">
        <v>241</v>
      </c>
      <c r="I132" t="s">
        <v>242</v>
      </c>
      <c r="J132" t="s">
        <v>242</v>
      </c>
      <c r="K132" t="s">
        <v>241</v>
      </c>
      <c r="L132" t="s">
        <v>242</v>
      </c>
      <c r="M132">
        <v>39.104620310000001</v>
      </c>
      <c r="N132">
        <v>-123.18379520000001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5.86</v>
      </c>
      <c r="V132">
        <v>3.06</v>
      </c>
      <c r="W132">
        <v>0</v>
      </c>
      <c r="X132">
        <v>0</v>
      </c>
      <c r="Y132">
        <v>0</v>
      </c>
      <c r="Z132">
        <v>0</v>
      </c>
      <c r="AA132" t="s">
        <v>9335</v>
      </c>
      <c r="AB132" t="s">
        <v>242</v>
      </c>
      <c r="AC132" t="s">
        <v>3213</v>
      </c>
    </row>
    <row r="133" spans="1:29" x14ac:dyDescent="0.25">
      <c r="A133" t="s">
        <v>1552</v>
      </c>
      <c r="B133" t="s">
        <v>254</v>
      </c>
      <c r="C133" t="s">
        <v>331</v>
      </c>
      <c r="D133" t="s">
        <v>3209</v>
      </c>
      <c r="E133" t="s">
        <v>3246</v>
      </c>
      <c r="F133">
        <v>19530120</v>
      </c>
      <c r="G133" t="s">
        <v>9338</v>
      </c>
      <c r="H133" t="s">
        <v>241</v>
      </c>
      <c r="I133" t="s">
        <v>242</v>
      </c>
      <c r="J133" t="s">
        <v>242</v>
      </c>
      <c r="K133" t="s">
        <v>241</v>
      </c>
      <c r="L133" t="s">
        <v>242</v>
      </c>
      <c r="M133">
        <v>39.166674899999997</v>
      </c>
      <c r="N133">
        <v>-123.19629860000001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 t="s">
        <v>9335</v>
      </c>
      <c r="AB133" t="s">
        <v>242</v>
      </c>
      <c r="AC133" t="s">
        <v>3213</v>
      </c>
    </row>
    <row r="134" spans="1:29" x14ac:dyDescent="0.25">
      <c r="A134" t="s">
        <v>1553</v>
      </c>
      <c r="B134" t="s">
        <v>254</v>
      </c>
      <c r="C134" t="s">
        <v>331</v>
      </c>
      <c r="D134" t="s">
        <v>3209</v>
      </c>
      <c r="E134" t="s">
        <v>3246</v>
      </c>
      <c r="F134">
        <v>19530120</v>
      </c>
      <c r="G134" t="s">
        <v>9338</v>
      </c>
      <c r="H134" t="s">
        <v>241</v>
      </c>
      <c r="I134" t="s">
        <v>242</v>
      </c>
      <c r="J134" t="s">
        <v>242</v>
      </c>
      <c r="K134" t="s">
        <v>241</v>
      </c>
      <c r="L134" t="s">
        <v>242</v>
      </c>
      <c r="M134">
        <v>39.166674899999997</v>
      </c>
      <c r="N134">
        <v>-123.19629860000001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 t="s">
        <v>9335</v>
      </c>
      <c r="AB134" t="s">
        <v>242</v>
      </c>
      <c r="AC134" t="s">
        <v>3213</v>
      </c>
    </row>
    <row r="135" spans="1:29" x14ac:dyDescent="0.25">
      <c r="A135" t="s">
        <v>70</v>
      </c>
      <c r="B135" t="s">
        <v>254</v>
      </c>
      <c r="C135" t="s">
        <v>331</v>
      </c>
      <c r="D135" t="s">
        <v>3209</v>
      </c>
      <c r="E135" t="s">
        <v>3246</v>
      </c>
      <c r="F135">
        <v>19530121</v>
      </c>
      <c r="G135" t="s">
        <v>9334</v>
      </c>
      <c r="H135" t="s">
        <v>241</v>
      </c>
      <c r="I135" t="s">
        <v>242</v>
      </c>
      <c r="J135" t="s">
        <v>242</v>
      </c>
      <c r="K135" t="s">
        <v>241</v>
      </c>
      <c r="L135" t="s">
        <v>242</v>
      </c>
      <c r="M135">
        <v>39.166641779999999</v>
      </c>
      <c r="N135">
        <v>-123.1963033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0.57999999999999996</v>
      </c>
      <c r="U135">
        <v>7.69</v>
      </c>
      <c r="V135">
        <v>2.2999999999999998</v>
      </c>
      <c r="W135">
        <v>1.39</v>
      </c>
      <c r="X135">
        <v>0</v>
      </c>
      <c r="Y135">
        <v>0</v>
      </c>
      <c r="Z135">
        <v>0</v>
      </c>
      <c r="AA135" t="s">
        <v>9335</v>
      </c>
      <c r="AB135" t="s">
        <v>242</v>
      </c>
      <c r="AC135" t="s">
        <v>3213</v>
      </c>
    </row>
    <row r="136" spans="1:29" x14ac:dyDescent="0.25">
      <c r="A136" t="s">
        <v>1549</v>
      </c>
      <c r="B136" t="s">
        <v>254</v>
      </c>
      <c r="C136" t="s">
        <v>331</v>
      </c>
      <c r="D136" t="s">
        <v>3209</v>
      </c>
      <c r="E136" t="s">
        <v>3246</v>
      </c>
      <c r="F136">
        <v>19530204</v>
      </c>
      <c r="G136" t="s">
        <v>9332</v>
      </c>
      <c r="H136" t="s">
        <v>242</v>
      </c>
      <c r="I136" t="s">
        <v>242</v>
      </c>
      <c r="J136" t="s">
        <v>242</v>
      </c>
      <c r="K136" t="s">
        <v>241</v>
      </c>
      <c r="L136" t="s">
        <v>242</v>
      </c>
      <c r="M136">
        <v>39.147191329999998</v>
      </c>
      <c r="N136">
        <v>-123.23599369999999</v>
      </c>
      <c r="O136">
        <v>0.03</v>
      </c>
      <c r="P136">
        <v>0.03</v>
      </c>
      <c r="Q136">
        <v>0.03</v>
      </c>
      <c r="R136">
        <v>0.03</v>
      </c>
      <c r="S136">
        <v>0.03</v>
      </c>
      <c r="T136">
        <v>0.03</v>
      </c>
      <c r="U136">
        <v>0.03</v>
      </c>
      <c r="V136">
        <v>0.03</v>
      </c>
      <c r="W136">
        <v>0.03</v>
      </c>
      <c r="X136">
        <v>0.03</v>
      </c>
      <c r="Y136">
        <v>0.03</v>
      </c>
      <c r="Z136">
        <v>0.03</v>
      </c>
      <c r="AA136" t="s">
        <v>9333</v>
      </c>
      <c r="AB136" t="s">
        <v>242</v>
      </c>
      <c r="AC136" t="s">
        <v>3213</v>
      </c>
    </row>
    <row r="137" spans="1:29" x14ac:dyDescent="0.25">
      <c r="A137" t="s">
        <v>1555</v>
      </c>
      <c r="B137" t="s">
        <v>254</v>
      </c>
      <c r="C137" t="s">
        <v>311</v>
      </c>
      <c r="D137" t="s">
        <v>3209</v>
      </c>
      <c r="E137" t="s">
        <v>3246</v>
      </c>
      <c r="F137">
        <v>19530312</v>
      </c>
      <c r="G137" t="s">
        <v>9332</v>
      </c>
      <c r="H137" t="s">
        <v>241</v>
      </c>
      <c r="I137" t="s">
        <v>242</v>
      </c>
      <c r="J137" t="s">
        <v>242</v>
      </c>
      <c r="K137" t="s">
        <v>241</v>
      </c>
      <c r="L137" t="s">
        <v>242</v>
      </c>
      <c r="M137">
        <v>38.632594279999999</v>
      </c>
      <c r="N137">
        <v>-122.8346181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 t="s">
        <v>9335</v>
      </c>
      <c r="AB137" t="s">
        <v>242</v>
      </c>
      <c r="AC137" t="s">
        <v>3229</v>
      </c>
    </row>
    <row r="138" spans="1:29" x14ac:dyDescent="0.25">
      <c r="A138" t="s">
        <v>1544</v>
      </c>
      <c r="B138" t="s">
        <v>254</v>
      </c>
      <c r="C138" t="s">
        <v>436</v>
      </c>
      <c r="D138" t="s">
        <v>3209</v>
      </c>
      <c r="E138" t="s">
        <v>3246</v>
      </c>
      <c r="F138">
        <v>19530406</v>
      </c>
      <c r="G138" t="s">
        <v>9332</v>
      </c>
      <c r="H138" t="s">
        <v>241</v>
      </c>
      <c r="I138" t="s">
        <v>242</v>
      </c>
      <c r="J138" t="s">
        <v>242</v>
      </c>
      <c r="K138" t="s">
        <v>241</v>
      </c>
      <c r="L138" t="s">
        <v>242</v>
      </c>
      <c r="M138">
        <v>38.672729279999999</v>
      </c>
      <c r="N138">
        <v>-122.86626390000001</v>
      </c>
      <c r="O138">
        <v>0</v>
      </c>
      <c r="P138">
        <v>0</v>
      </c>
      <c r="Q138">
        <v>0</v>
      </c>
      <c r="R138">
        <v>0.03</v>
      </c>
      <c r="S138">
        <v>1.1599999999999999</v>
      </c>
      <c r="T138">
        <v>1.73</v>
      </c>
      <c r="U138">
        <v>2.7</v>
      </c>
      <c r="V138">
        <v>1.6</v>
      </c>
      <c r="W138">
        <v>1</v>
      </c>
      <c r="X138">
        <v>0.4</v>
      </c>
      <c r="Y138">
        <v>3.3333333333333301E-3</v>
      </c>
      <c r="Z138">
        <v>0</v>
      </c>
      <c r="AA138" t="s">
        <v>9335</v>
      </c>
      <c r="AB138" t="s">
        <v>242</v>
      </c>
      <c r="AC138" t="s">
        <v>3229</v>
      </c>
    </row>
    <row r="139" spans="1:29" x14ac:dyDescent="0.25">
      <c r="A139" t="s">
        <v>1547</v>
      </c>
      <c r="B139" t="s">
        <v>254</v>
      </c>
      <c r="C139" t="s">
        <v>311</v>
      </c>
      <c r="D139" t="s">
        <v>3209</v>
      </c>
      <c r="E139" t="s">
        <v>3246</v>
      </c>
      <c r="F139">
        <v>19530424</v>
      </c>
      <c r="G139" t="s">
        <v>9332</v>
      </c>
      <c r="H139" t="s">
        <v>242</v>
      </c>
      <c r="I139" t="s">
        <v>242</v>
      </c>
      <c r="J139" t="s">
        <v>242</v>
      </c>
      <c r="K139" t="s">
        <v>241</v>
      </c>
      <c r="L139" t="s">
        <v>242</v>
      </c>
      <c r="M139">
        <v>38.569216050000001</v>
      </c>
      <c r="N139">
        <v>-122.65479070000001</v>
      </c>
      <c r="O139">
        <v>1.33</v>
      </c>
      <c r="P139">
        <v>1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0.33</v>
      </c>
      <c r="X139">
        <v>1.41</v>
      </c>
      <c r="Y139">
        <v>2.83</v>
      </c>
      <c r="Z139">
        <v>4</v>
      </c>
      <c r="AA139" t="s">
        <v>9335</v>
      </c>
      <c r="AB139" t="s">
        <v>242</v>
      </c>
      <c r="AC139" t="s">
        <v>3229</v>
      </c>
    </row>
    <row r="140" spans="1:29" x14ac:dyDescent="0.25">
      <c r="A140" t="s">
        <v>1558</v>
      </c>
      <c r="B140" t="s">
        <v>254</v>
      </c>
      <c r="C140" t="s">
        <v>331</v>
      </c>
      <c r="D140" t="s">
        <v>3209</v>
      </c>
      <c r="E140" t="s">
        <v>3246</v>
      </c>
      <c r="F140">
        <v>19530501</v>
      </c>
      <c r="G140" t="s">
        <v>9332</v>
      </c>
      <c r="H140" t="s">
        <v>241</v>
      </c>
      <c r="I140" t="s">
        <v>242</v>
      </c>
      <c r="J140" t="s">
        <v>242</v>
      </c>
      <c r="K140" t="s">
        <v>241</v>
      </c>
      <c r="L140" t="s">
        <v>242</v>
      </c>
      <c r="M140">
        <v>39.194352199999997</v>
      </c>
      <c r="N140">
        <v>-123.1897069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 t="s">
        <v>9335</v>
      </c>
      <c r="AB140" t="s">
        <v>242</v>
      </c>
      <c r="AC140" t="s">
        <v>3213</v>
      </c>
    </row>
    <row r="141" spans="1:29" x14ac:dyDescent="0.25">
      <c r="A141" t="s">
        <v>1551</v>
      </c>
      <c r="B141" t="s">
        <v>254</v>
      </c>
      <c r="C141" t="s">
        <v>331</v>
      </c>
      <c r="D141" t="s">
        <v>3209</v>
      </c>
      <c r="E141" t="s">
        <v>3246</v>
      </c>
      <c r="F141">
        <v>19530501</v>
      </c>
      <c r="G141" t="s">
        <v>9332</v>
      </c>
      <c r="H141" t="s">
        <v>241</v>
      </c>
      <c r="I141" t="s">
        <v>242</v>
      </c>
      <c r="J141" t="s">
        <v>242</v>
      </c>
      <c r="K141" t="s">
        <v>241</v>
      </c>
      <c r="L141" t="s">
        <v>242</v>
      </c>
      <c r="M141">
        <v>39.194352199999997</v>
      </c>
      <c r="N141">
        <v>-123.1897069</v>
      </c>
      <c r="O141">
        <v>0</v>
      </c>
      <c r="P141">
        <v>0</v>
      </c>
      <c r="Q141">
        <v>0</v>
      </c>
      <c r="R141">
        <v>5.4999999999999997E-3</v>
      </c>
      <c r="S141">
        <v>8.3000000000000001E-3</v>
      </c>
      <c r="T141">
        <v>8.3000000000000001E-3</v>
      </c>
      <c r="U141">
        <v>8.3000000000000001E-3</v>
      </c>
      <c r="V141">
        <v>0.01</v>
      </c>
      <c r="W141">
        <v>0.01</v>
      </c>
      <c r="X141">
        <v>9.1999999999999998E-3</v>
      </c>
      <c r="Y141">
        <v>0</v>
      </c>
      <c r="Z141">
        <v>0</v>
      </c>
      <c r="AA141" t="s">
        <v>9335</v>
      </c>
      <c r="AB141" t="s">
        <v>241</v>
      </c>
      <c r="AC141" t="s">
        <v>3213</v>
      </c>
    </row>
    <row r="142" spans="1:29" x14ac:dyDescent="0.25">
      <c r="A142" t="s">
        <v>124</v>
      </c>
      <c r="B142" t="s">
        <v>254</v>
      </c>
      <c r="C142" t="s">
        <v>311</v>
      </c>
      <c r="D142" t="s">
        <v>3209</v>
      </c>
      <c r="E142" t="s">
        <v>3246</v>
      </c>
      <c r="F142">
        <v>19530605</v>
      </c>
      <c r="G142" t="s">
        <v>9332</v>
      </c>
      <c r="H142" t="s">
        <v>241</v>
      </c>
      <c r="I142" t="s">
        <v>242</v>
      </c>
      <c r="J142" t="s">
        <v>242</v>
      </c>
      <c r="K142" t="s">
        <v>241</v>
      </c>
      <c r="L142" t="s">
        <v>242</v>
      </c>
      <c r="M142">
        <v>38.651193810000002</v>
      </c>
      <c r="N142">
        <v>-122.8061208</v>
      </c>
      <c r="O142">
        <v>0</v>
      </c>
      <c r="P142">
        <v>0</v>
      </c>
      <c r="Q142">
        <v>0</v>
      </c>
      <c r="R142">
        <v>0.2</v>
      </c>
      <c r="S142">
        <v>0.18</v>
      </c>
      <c r="T142">
        <v>0.57999999999999996</v>
      </c>
      <c r="U142">
        <v>2.12</v>
      </c>
      <c r="V142">
        <v>3.24</v>
      </c>
      <c r="W142">
        <v>2.2400000000000002</v>
      </c>
      <c r="X142">
        <v>1.76</v>
      </c>
      <c r="Y142">
        <v>0.5</v>
      </c>
      <c r="Z142">
        <v>0</v>
      </c>
      <c r="AA142" t="s">
        <v>9335</v>
      </c>
      <c r="AB142" t="s">
        <v>242</v>
      </c>
      <c r="AC142" t="s">
        <v>3229</v>
      </c>
    </row>
    <row r="143" spans="1:29" x14ac:dyDescent="0.25">
      <c r="A143" t="s">
        <v>100</v>
      </c>
      <c r="B143" t="s">
        <v>254</v>
      </c>
      <c r="C143" t="s">
        <v>354</v>
      </c>
      <c r="D143" t="s">
        <v>3209</v>
      </c>
      <c r="E143" t="s">
        <v>3246</v>
      </c>
      <c r="F143">
        <v>19530701</v>
      </c>
      <c r="G143" t="s">
        <v>9332</v>
      </c>
      <c r="H143" t="s">
        <v>241</v>
      </c>
      <c r="I143" t="s">
        <v>242</v>
      </c>
      <c r="J143" t="s">
        <v>242</v>
      </c>
      <c r="K143" t="s">
        <v>241</v>
      </c>
      <c r="L143" t="s">
        <v>242</v>
      </c>
      <c r="M143">
        <v>38.715211650000001</v>
      </c>
      <c r="N143">
        <v>-122.90997470000001</v>
      </c>
      <c r="O143">
        <v>0</v>
      </c>
      <c r="P143">
        <v>0</v>
      </c>
      <c r="Q143">
        <v>0</v>
      </c>
      <c r="R143">
        <v>0</v>
      </c>
      <c r="S143">
        <v>0.03</v>
      </c>
      <c r="T143">
        <v>0.6</v>
      </c>
      <c r="U143">
        <v>1.59</v>
      </c>
      <c r="V143">
        <v>1.89</v>
      </c>
      <c r="W143">
        <v>1.1599999999999999</v>
      </c>
      <c r="X143">
        <v>0.87</v>
      </c>
      <c r="Y143">
        <v>0.22</v>
      </c>
      <c r="Z143">
        <v>0</v>
      </c>
      <c r="AA143" t="s">
        <v>9335</v>
      </c>
      <c r="AB143" t="s">
        <v>242</v>
      </c>
      <c r="AC143" t="s">
        <v>3229</v>
      </c>
    </row>
    <row r="144" spans="1:29" x14ac:dyDescent="0.25">
      <c r="A144" t="s">
        <v>1559</v>
      </c>
      <c r="B144" t="s">
        <v>254</v>
      </c>
      <c r="C144" t="s">
        <v>354</v>
      </c>
      <c r="D144" t="s">
        <v>3209</v>
      </c>
      <c r="E144" t="s">
        <v>3246</v>
      </c>
      <c r="F144">
        <v>19530706</v>
      </c>
      <c r="G144" t="s">
        <v>9332</v>
      </c>
      <c r="H144" t="s">
        <v>241</v>
      </c>
      <c r="I144" t="s">
        <v>242</v>
      </c>
      <c r="J144" t="s">
        <v>242</v>
      </c>
      <c r="K144" t="s">
        <v>241</v>
      </c>
      <c r="L144" t="s">
        <v>242</v>
      </c>
      <c r="M144">
        <v>38.7102</v>
      </c>
      <c r="N144">
        <v>-122.9046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 t="s">
        <v>9335</v>
      </c>
      <c r="AB144" t="s">
        <v>242</v>
      </c>
      <c r="AC144" t="s">
        <v>3229</v>
      </c>
    </row>
    <row r="145" spans="1:29" x14ac:dyDescent="0.25">
      <c r="A145" t="s">
        <v>1546</v>
      </c>
      <c r="B145" t="s">
        <v>254</v>
      </c>
      <c r="C145" t="s">
        <v>311</v>
      </c>
      <c r="D145" t="s">
        <v>3209</v>
      </c>
      <c r="E145" t="s">
        <v>3246</v>
      </c>
      <c r="F145">
        <v>19530902</v>
      </c>
      <c r="G145" t="s">
        <v>9332</v>
      </c>
      <c r="H145" t="s">
        <v>242</v>
      </c>
      <c r="I145" t="s">
        <v>242</v>
      </c>
      <c r="J145" t="s">
        <v>242</v>
      </c>
      <c r="K145" t="s">
        <v>241</v>
      </c>
      <c r="L145" t="s">
        <v>242</v>
      </c>
      <c r="M145">
        <v>38.615977579999999</v>
      </c>
      <c r="N145">
        <v>-122.6884702</v>
      </c>
      <c r="O145">
        <v>27.66</v>
      </c>
      <c r="P145">
        <v>1.1599999999999999</v>
      </c>
      <c r="Q145">
        <v>26</v>
      </c>
      <c r="R145">
        <v>5.96</v>
      </c>
      <c r="S145">
        <v>0.9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3.63</v>
      </c>
      <c r="AA145" t="s">
        <v>9335</v>
      </c>
      <c r="AB145" t="s">
        <v>242</v>
      </c>
      <c r="AC145" t="s">
        <v>3229</v>
      </c>
    </row>
    <row r="146" spans="1:29" x14ac:dyDescent="0.25">
      <c r="A146" t="s">
        <v>1561</v>
      </c>
      <c r="B146" t="s">
        <v>254</v>
      </c>
      <c r="C146" t="s">
        <v>317</v>
      </c>
      <c r="D146" t="s">
        <v>3209</v>
      </c>
      <c r="E146" t="s">
        <v>3246</v>
      </c>
      <c r="F146">
        <v>19531112</v>
      </c>
      <c r="G146" t="s">
        <v>9332</v>
      </c>
      <c r="H146" t="s">
        <v>242</v>
      </c>
      <c r="I146" t="s">
        <v>242</v>
      </c>
      <c r="J146" t="s">
        <v>242</v>
      </c>
      <c r="K146" t="s">
        <v>241</v>
      </c>
      <c r="L146" t="s">
        <v>242</v>
      </c>
      <c r="M146">
        <v>39.254550469999998</v>
      </c>
      <c r="N146">
        <v>-123.2103214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 t="s">
        <v>9335</v>
      </c>
      <c r="AB146" t="s">
        <v>242</v>
      </c>
      <c r="AC146" t="s">
        <v>3213</v>
      </c>
    </row>
    <row r="147" spans="1:29" x14ac:dyDescent="0.25">
      <c r="A147" t="s">
        <v>1563</v>
      </c>
      <c r="B147" t="s">
        <v>254</v>
      </c>
      <c r="C147" t="s">
        <v>317</v>
      </c>
      <c r="D147" t="s">
        <v>3209</v>
      </c>
      <c r="E147" t="s">
        <v>3246</v>
      </c>
      <c r="F147">
        <v>19531228</v>
      </c>
      <c r="G147" t="s">
        <v>9334</v>
      </c>
      <c r="H147" t="s">
        <v>242</v>
      </c>
      <c r="I147" t="s">
        <v>242</v>
      </c>
      <c r="J147" t="s">
        <v>242</v>
      </c>
      <c r="K147" t="s">
        <v>241</v>
      </c>
      <c r="L147" t="s">
        <v>242</v>
      </c>
      <c r="M147">
        <v>39.240112500000002</v>
      </c>
      <c r="N147">
        <v>-123.1991278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 t="s">
        <v>9340</v>
      </c>
      <c r="AB147" t="s">
        <v>242</v>
      </c>
      <c r="AC147" t="s">
        <v>3213</v>
      </c>
    </row>
    <row r="148" spans="1:29" x14ac:dyDescent="0.25">
      <c r="A148" t="s">
        <v>1564</v>
      </c>
      <c r="B148" t="s">
        <v>254</v>
      </c>
      <c r="C148" t="s">
        <v>354</v>
      </c>
      <c r="D148" t="s">
        <v>3209</v>
      </c>
      <c r="E148" t="s">
        <v>3246</v>
      </c>
      <c r="F148">
        <v>19531229</v>
      </c>
      <c r="G148" t="s">
        <v>9332</v>
      </c>
      <c r="H148" t="s">
        <v>241</v>
      </c>
      <c r="I148" t="s">
        <v>242</v>
      </c>
      <c r="J148" t="s">
        <v>242</v>
      </c>
      <c r="K148" t="s">
        <v>241</v>
      </c>
      <c r="L148" t="s">
        <v>242</v>
      </c>
      <c r="M148">
        <v>38.753846529999997</v>
      </c>
      <c r="N148">
        <v>-122.9573783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 t="s">
        <v>9335</v>
      </c>
      <c r="AB148" t="s">
        <v>242</v>
      </c>
      <c r="AC148" t="s">
        <v>3229</v>
      </c>
    </row>
    <row r="149" spans="1:29" x14ac:dyDescent="0.25">
      <c r="A149" t="s">
        <v>1543</v>
      </c>
      <c r="B149" t="s">
        <v>254</v>
      </c>
      <c r="C149" t="s">
        <v>354</v>
      </c>
      <c r="D149" t="s">
        <v>3209</v>
      </c>
      <c r="E149" t="s">
        <v>3246</v>
      </c>
      <c r="F149">
        <v>19531229</v>
      </c>
      <c r="G149" t="s">
        <v>9332</v>
      </c>
      <c r="H149" t="s">
        <v>241</v>
      </c>
      <c r="I149" t="s">
        <v>242</v>
      </c>
      <c r="J149" t="s">
        <v>242</v>
      </c>
      <c r="K149" t="s">
        <v>241</v>
      </c>
      <c r="L149" t="s">
        <v>242</v>
      </c>
      <c r="M149">
        <v>38.753846529999997</v>
      </c>
      <c r="N149">
        <v>-122.9573783</v>
      </c>
      <c r="O149">
        <v>0.08</v>
      </c>
      <c r="P149">
        <v>0.08</v>
      </c>
      <c r="Q149">
        <v>0.08</v>
      </c>
      <c r="R149">
        <v>0.14000000000000001</v>
      </c>
      <c r="S149">
        <v>1.04</v>
      </c>
      <c r="T149">
        <v>1.81</v>
      </c>
      <c r="U149">
        <v>2.99</v>
      </c>
      <c r="V149">
        <v>2.99</v>
      </c>
      <c r="W149">
        <v>2.79</v>
      </c>
      <c r="X149">
        <v>1.74</v>
      </c>
      <c r="Y149">
        <v>0.51</v>
      </c>
      <c r="Z149">
        <v>0.08</v>
      </c>
      <c r="AA149" t="s">
        <v>9335</v>
      </c>
      <c r="AB149" t="s">
        <v>242</v>
      </c>
      <c r="AC149" t="s">
        <v>3229</v>
      </c>
    </row>
    <row r="150" spans="1:29" x14ac:dyDescent="0.25">
      <c r="A150" t="s">
        <v>1545</v>
      </c>
      <c r="B150" t="s">
        <v>254</v>
      </c>
      <c r="C150" t="s">
        <v>354</v>
      </c>
      <c r="D150" t="s">
        <v>3209</v>
      </c>
      <c r="E150" t="s">
        <v>3246</v>
      </c>
      <c r="F150">
        <v>19531229</v>
      </c>
      <c r="G150" t="s">
        <v>9332</v>
      </c>
      <c r="H150" t="s">
        <v>241</v>
      </c>
      <c r="I150" t="s">
        <v>242</v>
      </c>
      <c r="J150" t="s">
        <v>242</v>
      </c>
      <c r="K150" t="s">
        <v>241</v>
      </c>
      <c r="L150" t="s">
        <v>242</v>
      </c>
      <c r="M150">
        <v>38.753846529999997</v>
      </c>
      <c r="N150">
        <v>-122.9573783</v>
      </c>
      <c r="O150">
        <v>0</v>
      </c>
      <c r="P150">
        <v>0</v>
      </c>
      <c r="Q150">
        <v>0</v>
      </c>
      <c r="R150">
        <v>0</v>
      </c>
      <c r="S150">
        <v>3.3333333333333301E-3</v>
      </c>
      <c r="T150">
        <v>0.56000000000000005</v>
      </c>
      <c r="U150">
        <v>1.66</v>
      </c>
      <c r="V150">
        <v>2.16</v>
      </c>
      <c r="W150">
        <v>1.43</v>
      </c>
      <c r="X150">
        <v>0.43</v>
      </c>
      <c r="Y150">
        <v>0</v>
      </c>
      <c r="Z150">
        <v>0</v>
      </c>
      <c r="AA150" t="s">
        <v>9335</v>
      </c>
      <c r="AB150" t="s">
        <v>242</v>
      </c>
      <c r="AC150" t="s">
        <v>3229</v>
      </c>
    </row>
    <row r="151" spans="1:29" x14ac:dyDescent="0.25">
      <c r="A151" t="s">
        <v>147</v>
      </c>
      <c r="B151" t="s">
        <v>254</v>
      </c>
      <c r="C151" t="s">
        <v>331</v>
      </c>
      <c r="D151" t="s">
        <v>3209</v>
      </c>
      <c r="E151" t="s">
        <v>3246</v>
      </c>
      <c r="F151">
        <v>19540111</v>
      </c>
      <c r="G151" t="s">
        <v>9332</v>
      </c>
      <c r="H151" t="s">
        <v>241</v>
      </c>
      <c r="I151" t="s">
        <v>242</v>
      </c>
      <c r="J151" t="s">
        <v>242</v>
      </c>
      <c r="K151" t="s">
        <v>241</v>
      </c>
      <c r="L151" t="s">
        <v>242</v>
      </c>
      <c r="M151">
        <v>39.116104829999998</v>
      </c>
      <c r="N151">
        <v>-123.1885695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0.26</v>
      </c>
      <c r="V151">
        <v>0</v>
      </c>
      <c r="W151">
        <v>0</v>
      </c>
      <c r="X151">
        <v>0</v>
      </c>
      <c r="Y151">
        <v>0</v>
      </c>
      <c r="Z151">
        <v>0</v>
      </c>
      <c r="AA151" t="s">
        <v>9335</v>
      </c>
      <c r="AB151" t="s">
        <v>242</v>
      </c>
      <c r="AC151" t="s">
        <v>3213</v>
      </c>
    </row>
    <row r="152" spans="1:29" x14ac:dyDescent="0.25">
      <c r="A152" t="s">
        <v>1530</v>
      </c>
      <c r="B152" t="s">
        <v>254</v>
      </c>
      <c r="C152" t="s">
        <v>331</v>
      </c>
      <c r="D152" t="s">
        <v>3209</v>
      </c>
      <c r="E152" t="s">
        <v>3246</v>
      </c>
      <c r="F152">
        <v>19540111</v>
      </c>
      <c r="G152" t="s">
        <v>9332</v>
      </c>
      <c r="H152" t="s">
        <v>241</v>
      </c>
      <c r="I152" t="s">
        <v>242</v>
      </c>
      <c r="J152" t="s">
        <v>242</v>
      </c>
      <c r="K152" t="s">
        <v>241</v>
      </c>
      <c r="L152" t="s">
        <v>242</v>
      </c>
      <c r="M152">
        <v>39.137683670000001</v>
      </c>
      <c r="N152">
        <v>-123.18628699999999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 t="s">
        <v>9335</v>
      </c>
      <c r="AB152" t="s">
        <v>242</v>
      </c>
      <c r="AC152" t="s">
        <v>3213</v>
      </c>
    </row>
    <row r="153" spans="1:29" x14ac:dyDescent="0.25">
      <c r="A153" t="s">
        <v>89</v>
      </c>
      <c r="B153" t="s">
        <v>254</v>
      </c>
      <c r="C153" t="s">
        <v>331</v>
      </c>
      <c r="D153" t="s">
        <v>3209</v>
      </c>
      <c r="E153" t="s">
        <v>3226</v>
      </c>
      <c r="F153">
        <v>19540125</v>
      </c>
      <c r="G153" t="s">
        <v>9332</v>
      </c>
      <c r="H153" t="s">
        <v>241</v>
      </c>
      <c r="I153" t="s">
        <v>242</v>
      </c>
      <c r="J153" t="s">
        <v>242</v>
      </c>
      <c r="K153" t="s">
        <v>241</v>
      </c>
      <c r="L153" t="s">
        <v>242</v>
      </c>
      <c r="M153">
        <v>39.162145899999999</v>
      </c>
      <c r="N153">
        <v>-123.1974549</v>
      </c>
      <c r="O153">
        <v>117.86</v>
      </c>
      <c r="P153">
        <v>89.56</v>
      </c>
      <c r="Q153">
        <v>98.7</v>
      </c>
      <c r="R153">
        <v>99.16</v>
      </c>
      <c r="S153">
        <v>112.16</v>
      </c>
      <c r="T153">
        <v>162.6</v>
      </c>
      <c r="U153">
        <v>171.1</v>
      </c>
      <c r="V153">
        <v>176.46</v>
      </c>
      <c r="W153">
        <v>119.13</v>
      </c>
      <c r="X153">
        <v>57.8</v>
      </c>
      <c r="Y153">
        <v>37.130000000000003</v>
      </c>
      <c r="Z153">
        <v>75.53</v>
      </c>
      <c r="AA153" t="s">
        <v>9336</v>
      </c>
      <c r="AB153" t="s">
        <v>242</v>
      </c>
      <c r="AC153" t="s">
        <v>3213</v>
      </c>
    </row>
    <row r="154" spans="1:29" x14ac:dyDescent="0.25">
      <c r="A154" t="s">
        <v>51</v>
      </c>
      <c r="B154" t="s">
        <v>254</v>
      </c>
      <c r="C154" t="s">
        <v>333</v>
      </c>
      <c r="D154" t="s">
        <v>3209</v>
      </c>
      <c r="E154" t="s">
        <v>3246</v>
      </c>
      <c r="F154">
        <v>19540210</v>
      </c>
      <c r="G154" t="s">
        <v>9334</v>
      </c>
      <c r="H154" t="s">
        <v>241</v>
      </c>
      <c r="I154" t="s">
        <v>242</v>
      </c>
      <c r="J154" t="s">
        <v>242</v>
      </c>
      <c r="K154" t="s">
        <v>241</v>
      </c>
      <c r="L154" t="s">
        <v>242</v>
      </c>
      <c r="M154">
        <v>39.091099999999997</v>
      </c>
      <c r="N154">
        <v>-123.1786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24.43</v>
      </c>
      <c r="U154">
        <v>61.46</v>
      </c>
      <c r="V154">
        <v>61.46</v>
      </c>
      <c r="W154">
        <v>59.11</v>
      </c>
      <c r="X154">
        <v>57.03</v>
      </c>
      <c r="Y154">
        <v>14.46</v>
      </c>
      <c r="Z154">
        <v>5.33</v>
      </c>
      <c r="AA154" t="s">
        <v>9336</v>
      </c>
      <c r="AB154" t="s">
        <v>242</v>
      </c>
      <c r="AC154" t="s">
        <v>3213</v>
      </c>
    </row>
    <row r="155" spans="1:29" x14ac:dyDescent="0.25">
      <c r="A155" t="s">
        <v>1534</v>
      </c>
      <c r="B155" t="s">
        <v>254</v>
      </c>
      <c r="C155" t="s">
        <v>436</v>
      </c>
      <c r="D155" t="s">
        <v>3209</v>
      </c>
      <c r="E155" t="s">
        <v>3246</v>
      </c>
      <c r="F155">
        <v>19540216</v>
      </c>
      <c r="G155" t="s">
        <v>9332</v>
      </c>
      <c r="H155" t="s">
        <v>241</v>
      </c>
      <c r="I155" t="s">
        <v>242</v>
      </c>
      <c r="J155" t="s">
        <v>242</v>
      </c>
      <c r="K155" t="s">
        <v>241</v>
      </c>
      <c r="L155" t="s">
        <v>242</v>
      </c>
      <c r="M155">
        <v>38.705199999999998</v>
      </c>
      <c r="N155">
        <v>-122.87990000000001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 t="s">
        <v>9335</v>
      </c>
      <c r="AB155" t="s">
        <v>242</v>
      </c>
      <c r="AC155" t="s">
        <v>3229</v>
      </c>
    </row>
    <row r="156" spans="1:29" x14ac:dyDescent="0.25">
      <c r="A156" t="s">
        <v>1526</v>
      </c>
      <c r="B156" t="s">
        <v>254</v>
      </c>
      <c r="C156" t="s">
        <v>354</v>
      </c>
      <c r="D156" t="s">
        <v>3209</v>
      </c>
      <c r="E156" t="s">
        <v>3246</v>
      </c>
      <c r="F156">
        <v>19540216</v>
      </c>
      <c r="G156" t="s">
        <v>9332</v>
      </c>
      <c r="H156" t="s">
        <v>241</v>
      </c>
      <c r="I156" t="s">
        <v>242</v>
      </c>
      <c r="J156" t="s">
        <v>242</v>
      </c>
      <c r="K156" t="s">
        <v>241</v>
      </c>
      <c r="L156" t="s">
        <v>242</v>
      </c>
      <c r="M156">
        <v>38.784819730000002</v>
      </c>
      <c r="N156">
        <v>-122.99673850000001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1.2213333333333299E-3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 t="s">
        <v>9340</v>
      </c>
      <c r="AB156" t="s">
        <v>242</v>
      </c>
      <c r="AC156" t="s">
        <v>3229</v>
      </c>
    </row>
    <row r="157" spans="1:29" x14ac:dyDescent="0.25">
      <c r="A157" t="s">
        <v>49</v>
      </c>
      <c r="B157" t="s">
        <v>254</v>
      </c>
      <c r="C157" t="s">
        <v>311</v>
      </c>
      <c r="D157" t="s">
        <v>3209</v>
      </c>
      <c r="E157" t="s">
        <v>3246</v>
      </c>
      <c r="F157">
        <v>19540216</v>
      </c>
      <c r="G157" t="s">
        <v>9332</v>
      </c>
      <c r="H157" t="s">
        <v>241</v>
      </c>
      <c r="I157" t="s">
        <v>242</v>
      </c>
      <c r="J157" t="s">
        <v>242</v>
      </c>
      <c r="K157" t="s">
        <v>241</v>
      </c>
      <c r="L157" t="s">
        <v>242</v>
      </c>
      <c r="M157">
        <v>38.64412471</v>
      </c>
      <c r="N157">
        <v>-122.7958866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 t="s">
        <v>9335</v>
      </c>
      <c r="AB157" t="s">
        <v>242</v>
      </c>
      <c r="AC157" t="s">
        <v>3229</v>
      </c>
    </row>
    <row r="158" spans="1:29" x14ac:dyDescent="0.25">
      <c r="A158" t="s">
        <v>1515</v>
      </c>
      <c r="B158" t="s">
        <v>254</v>
      </c>
      <c r="C158" t="s">
        <v>311</v>
      </c>
      <c r="D158" t="s">
        <v>3209</v>
      </c>
      <c r="E158" t="s">
        <v>3246</v>
      </c>
      <c r="F158">
        <v>19540216</v>
      </c>
      <c r="G158" t="s">
        <v>9332</v>
      </c>
      <c r="H158" t="s">
        <v>241</v>
      </c>
      <c r="I158" t="s">
        <v>242</v>
      </c>
      <c r="J158" t="s">
        <v>242</v>
      </c>
      <c r="K158" t="s">
        <v>241</v>
      </c>
      <c r="L158" t="s">
        <v>242</v>
      </c>
      <c r="M158">
        <v>38.658522009999999</v>
      </c>
      <c r="N158">
        <v>-122.8062527</v>
      </c>
      <c r="O158">
        <v>0</v>
      </c>
      <c r="P158">
        <v>0</v>
      </c>
      <c r="Q158">
        <v>0</v>
      </c>
      <c r="R158">
        <v>2</v>
      </c>
      <c r="S158">
        <v>2</v>
      </c>
      <c r="T158">
        <v>2.66</v>
      </c>
      <c r="U158">
        <v>3.4</v>
      </c>
      <c r="V158">
        <v>3.56</v>
      </c>
      <c r="W158">
        <v>2</v>
      </c>
      <c r="X158">
        <v>1.66</v>
      </c>
      <c r="Y158">
        <v>1.1599999999999999</v>
      </c>
      <c r="Z158">
        <v>0.8</v>
      </c>
      <c r="AA158" t="s">
        <v>9335</v>
      </c>
      <c r="AB158" t="s">
        <v>242</v>
      </c>
      <c r="AC158" t="s">
        <v>3229</v>
      </c>
    </row>
    <row r="159" spans="1:29" x14ac:dyDescent="0.25">
      <c r="A159" t="s">
        <v>1521</v>
      </c>
      <c r="B159" t="s">
        <v>254</v>
      </c>
      <c r="C159" t="s">
        <v>436</v>
      </c>
      <c r="D159" t="s">
        <v>3209</v>
      </c>
      <c r="E159" t="s">
        <v>3246</v>
      </c>
      <c r="F159">
        <v>19540216</v>
      </c>
      <c r="G159" t="s">
        <v>9332</v>
      </c>
      <c r="H159" t="s">
        <v>241</v>
      </c>
      <c r="I159" t="s">
        <v>242</v>
      </c>
      <c r="J159" t="s">
        <v>242</v>
      </c>
      <c r="K159" t="s">
        <v>241</v>
      </c>
      <c r="L159" t="s">
        <v>242</v>
      </c>
      <c r="M159">
        <v>38.689222209999997</v>
      </c>
      <c r="N159">
        <v>-122.8640118</v>
      </c>
      <c r="O159">
        <v>0</v>
      </c>
      <c r="P159">
        <v>0</v>
      </c>
      <c r="Q159">
        <v>0</v>
      </c>
      <c r="R159">
        <v>0</v>
      </c>
      <c r="S159">
        <v>0.23</v>
      </c>
      <c r="T159">
        <v>0.73</v>
      </c>
      <c r="U159">
        <v>1.56</v>
      </c>
      <c r="V159">
        <v>1.1599999999999999</v>
      </c>
      <c r="W159">
        <v>0.8</v>
      </c>
      <c r="X159">
        <v>0.2</v>
      </c>
      <c r="Y159">
        <v>0.03</v>
      </c>
      <c r="Z159">
        <v>0</v>
      </c>
      <c r="AA159" t="s">
        <v>9335</v>
      </c>
      <c r="AB159" t="s">
        <v>242</v>
      </c>
      <c r="AC159" t="s">
        <v>3229</v>
      </c>
    </row>
    <row r="160" spans="1:29" x14ac:dyDescent="0.25">
      <c r="A160" t="s">
        <v>1523</v>
      </c>
      <c r="B160" t="s">
        <v>254</v>
      </c>
      <c r="C160" t="s">
        <v>319</v>
      </c>
      <c r="D160" t="s">
        <v>3209</v>
      </c>
      <c r="E160" t="s">
        <v>3246</v>
      </c>
      <c r="F160">
        <v>19540223</v>
      </c>
      <c r="G160" t="s">
        <v>9332</v>
      </c>
      <c r="H160" t="s">
        <v>241</v>
      </c>
      <c r="I160" t="s">
        <v>242</v>
      </c>
      <c r="J160" t="s">
        <v>242</v>
      </c>
      <c r="K160" t="s">
        <v>241</v>
      </c>
      <c r="L160" t="s">
        <v>242</v>
      </c>
      <c r="M160">
        <v>38.882882000000002</v>
      </c>
      <c r="N160">
        <v>-123.0553797</v>
      </c>
      <c r="O160">
        <v>0</v>
      </c>
      <c r="P160">
        <v>0</v>
      </c>
      <c r="Q160">
        <v>0</v>
      </c>
      <c r="R160">
        <v>0</v>
      </c>
      <c r="S160">
        <v>0.05</v>
      </c>
      <c r="T160">
        <v>0.08</v>
      </c>
      <c r="U160">
        <v>0.11</v>
      </c>
      <c r="V160">
        <v>0.26</v>
      </c>
      <c r="W160">
        <v>0.11</v>
      </c>
      <c r="X160">
        <v>0.06</v>
      </c>
      <c r="Y160">
        <v>0</v>
      </c>
      <c r="Z160">
        <v>0</v>
      </c>
      <c r="AA160" t="s">
        <v>9335</v>
      </c>
      <c r="AB160" t="s">
        <v>242</v>
      </c>
      <c r="AC160" t="s">
        <v>3213</v>
      </c>
    </row>
    <row r="161" spans="1:29" x14ac:dyDescent="0.25">
      <c r="A161" t="s">
        <v>1513</v>
      </c>
      <c r="B161" t="s">
        <v>254</v>
      </c>
      <c r="C161" t="s">
        <v>507</v>
      </c>
      <c r="D161" t="s">
        <v>3209</v>
      </c>
      <c r="E161" t="s">
        <v>3246</v>
      </c>
      <c r="F161">
        <v>19540317</v>
      </c>
      <c r="G161" t="s">
        <v>9332</v>
      </c>
      <c r="H161" t="s">
        <v>241</v>
      </c>
      <c r="I161" t="s">
        <v>242</v>
      </c>
      <c r="J161" t="s">
        <v>242</v>
      </c>
      <c r="K161" t="s">
        <v>241</v>
      </c>
      <c r="L161" t="s">
        <v>242</v>
      </c>
      <c r="M161">
        <v>38.6173</v>
      </c>
      <c r="N161">
        <v>-122.82810000000001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60</v>
      </c>
      <c r="U161">
        <v>6</v>
      </c>
      <c r="V161">
        <v>0</v>
      </c>
      <c r="W161">
        <v>0</v>
      </c>
      <c r="X161">
        <v>0</v>
      </c>
      <c r="Y161">
        <v>0</v>
      </c>
      <c r="Z161">
        <v>0</v>
      </c>
      <c r="AA161" t="s">
        <v>9341</v>
      </c>
      <c r="AB161" t="s">
        <v>241</v>
      </c>
      <c r="AC161" t="s">
        <v>3229</v>
      </c>
    </row>
    <row r="162" spans="1:29" x14ac:dyDescent="0.25">
      <c r="A162" t="s">
        <v>1512</v>
      </c>
      <c r="B162" t="s">
        <v>254</v>
      </c>
      <c r="C162" t="s">
        <v>333</v>
      </c>
      <c r="D162" t="s">
        <v>3209</v>
      </c>
      <c r="E162" t="s">
        <v>3246</v>
      </c>
      <c r="F162">
        <v>19540317</v>
      </c>
      <c r="G162" t="s">
        <v>9332</v>
      </c>
      <c r="H162" t="s">
        <v>241</v>
      </c>
      <c r="I162" t="s">
        <v>242</v>
      </c>
      <c r="J162" t="s">
        <v>242</v>
      </c>
      <c r="K162" t="s">
        <v>241</v>
      </c>
      <c r="L162" t="s">
        <v>242</v>
      </c>
      <c r="M162">
        <v>39.036548379999999</v>
      </c>
      <c r="N162">
        <v>-123.12544339999999</v>
      </c>
      <c r="O162">
        <v>0</v>
      </c>
      <c r="P162">
        <v>0</v>
      </c>
      <c r="Q162">
        <v>0</v>
      </c>
      <c r="R162">
        <v>0</v>
      </c>
      <c r="S162">
        <v>14.5</v>
      </c>
      <c r="T162">
        <v>73.66</v>
      </c>
      <c r="U162">
        <v>85</v>
      </c>
      <c r="V162">
        <v>23.33</v>
      </c>
      <c r="W162">
        <v>53.33</v>
      </c>
      <c r="X162">
        <v>5</v>
      </c>
      <c r="Y162">
        <v>0</v>
      </c>
      <c r="Z162">
        <v>0</v>
      </c>
      <c r="AA162" t="s">
        <v>9335</v>
      </c>
      <c r="AB162" t="s">
        <v>242</v>
      </c>
      <c r="AC162" t="s">
        <v>3213</v>
      </c>
    </row>
    <row r="163" spans="1:29" x14ac:dyDescent="0.25">
      <c r="A163" t="s">
        <v>1516</v>
      </c>
      <c r="B163" t="s">
        <v>254</v>
      </c>
      <c r="C163" t="s">
        <v>333</v>
      </c>
      <c r="D163" t="s">
        <v>3209</v>
      </c>
      <c r="E163" t="s">
        <v>3246</v>
      </c>
      <c r="F163">
        <v>19540317</v>
      </c>
      <c r="G163" t="s">
        <v>9332</v>
      </c>
      <c r="H163" t="s">
        <v>241</v>
      </c>
      <c r="I163" t="s">
        <v>242</v>
      </c>
      <c r="J163" t="s">
        <v>242</v>
      </c>
      <c r="K163" t="s">
        <v>241</v>
      </c>
      <c r="L163" t="s">
        <v>242</v>
      </c>
      <c r="M163">
        <v>39.038471919999999</v>
      </c>
      <c r="N163">
        <v>-123.1272943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3.18</v>
      </c>
      <c r="V163">
        <v>2.65</v>
      </c>
      <c r="W163">
        <v>6.07</v>
      </c>
      <c r="X163">
        <v>6.04</v>
      </c>
      <c r="Y163">
        <v>0.63</v>
      </c>
      <c r="Z163">
        <v>0</v>
      </c>
      <c r="AA163" t="s">
        <v>9335</v>
      </c>
      <c r="AB163" t="s">
        <v>242</v>
      </c>
      <c r="AC163" t="s">
        <v>3213</v>
      </c>
    </row>
    <row r="164" spans="1:29" x14ac:dyDescent="0.25">
      <c r="A164" t="s">
        <v>1514</v>
      </c>
      <c r="B164" t="s">
        <v>254</v>
      </c>
      <c r="C164" t="s">
        <v>333</v>
      </c>
      <c r="D164" t="s">
        <v>3209</v>
      </c>
      <c r="E164" t="s">
        <v>3246</v>
      </c>
      <c r="F164">
        <v>19540317</v>
      </c>
      <c r="G164" t="s">
        <v>9332</v>
      </c>
      <c r="H164" t="s">
        <v>241</v>
      </c>
      <c r="I164" t="s">
        <v>242</v>
      </c>
      <c r="J164" t="s">
        <v>242</v>
      </c>
      <c r="K164" t="s">
        <v>241</v>
      </c>
      <c r="L164" t="s">
        <v>242</v>
      </c>
      <c r="M164">
        <v>39.117144359999998</v>
      </c>
      <c r="N164">
        <v>-123.1808319</v>
      </c>
      <c r="O164">
        <v>0</v>
      </c>
      <c r="P164">
        <v>0</v>
      </c>
      <c r="Q164">
        <v>0</v>
      </c>
      <c r="R164">
        <v>0</v>
      </c>
      <c r="S164">
        <v>2.33</v>
      </c>
      <c r="T164">
        <v>5.66</v>
      </c>
      <c r="U164">
        <v>6.33</v>
      </c>
      <c r="V164">
        <v>5</v>
      </c>
      <c r="W164">
        <v>2.33</v>
      </c>
      <c r="X164">
        <v>0</v>
      </c>
      <c r="Y164">
        <v>0</v>
      </c>
      <c r="Z164">
        <v>0</v>
      </c>
      <c r="AA164" t="s">
        <v>9335</v>
      </c>
      <c r="AB164" t="s">
        <v>242</v>
      </c>
      <c r="AC164" t="s">
        <v>3213</v>
      </c>
    </row>
    <row r="165" spans="1:29" x14ac:dyDescent="0.25">
      <c r="A165" t="s">
        <v>1535</v>
      </c>
      <c r="B165" t="s">
        <v>254</v>
      </c>
      <c r="C165" t="s">
        <v>331</v>
      </c>
      <c r="D165" t="s">
        <v>3209</v>
      </c>
      <c r="E165" t="s">
        <v>3246</v>
      </c>
      <c r="F165">
        <v>19540325</v>
      </c>
      <c r="G165" t="s">
        <v>9332</v>
      </c>
      <c r="H165" t="s">
        <v>241</v>
      </c>
      <c r="I165" t="s">
        <v>242</v>
      </c>
      <c r="J165" t="s">
        <v>242</v>
      </c>
      <c r="K165" t="s">
        <v>241</v>
      </c>
      <c r="L165" t="s">
        <v>242</v>
      </c>
      <c r="M165">
        <v>39.176295789999998</v>
      </c>
      <c r="N165">
        <v>-123.1966358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 t="s">
        <v>9335</v>
      </c>
      <c r="AB165" t="s">
        <v>242</v>
      </c>
      <c r="AC165" t="s">
        <v>3213</v>
      </c>
    </row>
    <row r="166" spans="1:29" x14ac:dyDescent="0.25">
      <c r="A166" t="s">
        <v>1536</v>
      </c>
      <c r="B166" t="s">
        <v>254</v>
      </c>
      <c r="C166" t="s">
        <v>354</v>
      </c>
      <c r="D166" t="s">
        <v>3209</v>
      </c>
      <c r="E166" t="s">
        <v>3246</v>
      </c>
      <c r="F166">
        <v>19540430</v>
      </c>
      <c r="G166" t="s">
        <v>9332</v>
      </c>
      <c r="H166" t="s">
        <v>242</v>
      </c>
      <c r="I166" t="s">
        <v>242</v>
      </c>
      <c r="J166" t="s">
        <v>242</v>
      </c>
      <c r="K166" t="s">
        <v>241</v>
      </c>
      <c r="L166" t="s">
        <v>242</v>
      </c>
      <c r="M166">
        <v>38.747675129999998</v>
      </c>
      <c r="N166">
        <v>-122.9730752</v>
      </c>
      <c r="O166">
        <v>46.46</v>
      </c>
      <c r="P166">
        <v>0</v>
      </c>
      <c r="Q166">
        <v>9.73</v>
      </c>
      <c r="R166">
        <v>1.53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1.23</v>
      </c>
      <c r="Z166">
        <v>14.53</v>
      </c>
      <c r="AA166" t="s">
        <v>9335</v>
      </c>
      <c r="AB166" t="s">
        <v>242</v>
      </c>
      <c r="AC166" t="s">
        <v>3229</v>
      </c>
    </row>
    <row r="167" spans="1:29" x14ac:dyDescent="0.25">
      <c r="A167" t="s">
        <v>1520</v>
      </c>
      <c r="B167" t="s">
        <v>254</v>
      </c>
      <c r="C167" t="s">
        <v>354</v>
      </c>
      <c r="D167" t="s">
        <v>3209</v>
      </c>
      <c r="E167" t="s">
        <v>3246</v>
      </c>
      <c r="F167">
        <v>19540806</v>
      </c>
      <c r="G167" t="s">
        <v>9332</v>
      </c>
      <c r="H167" t="s">
        <v>241</v>
      </c>
      <c r="I167" t="s">
        <v>242</v>
      </c>
      <c r="J167" t="s">
        <v>242</v>
      </c>
      <c r="K167" t="s">
        <v>241</v>
      </c>
      <c r="L167" t="s">
        <v>242</v>
      </c>
      <c r="M167">
        <v>38.863508619999998</v>
      </c>
      <c r="N167">
        <v>-123.0417453</v>
      </c>
      <c r="O167">
        <v>0</v>
      </c>
      <c r="P167">
        <v>0</v>
      </c>
      <c r="Q167">
        <v>0</v>
      </c>
      <c r="R167">
        <v>0</v>
      </c>
      <c r="S167">
        <v>0.62</v>
      </c>
      <c r="T167">
        <v>0.77</v>
      </c>
      <c r="U167">
        <v>1.49</v>
      </c>
      <c r="V167">
        <v>1.17</v>
      </c>
      <c r="W167">
        <v>0.52</v>
      </c>
      <c r="X167">
        <v>0.51</v>
      </c>
      <c r="Y167">
        <v>0</v>
      </c>
      <c r="Z167">
        <v>0</v>
      </c>
      <c r="AA167" t="s">
        <v>9335</v>
      </c>
      <c r="AB167" t="s">
        <v>242</v>
      </c>
      <c r="AC167" t="s">
        <v>3213</v>
      </c>
    </row>
    <row r="168" spans="1:29" x14ac:dyDescent="0.25">
      <c r="A168" t="s">
        <v>1522</v>
      </c>
      <c r="B168" t="s">
        <v>254</v>
      </c>
      <c r="C168" t="s">
        <v>354</v>
      </c>
      <c r="D168" t="s">
        <v>3209</v>
      </c>
      <c r="E168" t="s">
        <v>3246</v>
      </c>
      <c r="F168">
        <v>19540806</v>
      </c>
      <c r="G168" t="s">
        <v>9332</v>
      </c>
      <c r="H168" t="s">
        <v>241</v>
      </c>
      <c r="I168" t="s">
        <v>242</v>
      </c>
      <c r="J168" t="s">
        <v>242</v>
      </c>
      <c r="K168" t="s">
        <v>241</v>
      </c>
      <c r="L168" t="s">
        <v>242</v>
      </c>
      <c r="M168">
        <v>38.828115709999999</v>
      </c>
      <c r="N168">
        <v>-123.0071744</v>
      </c>
      <c r="O168">
        <v>0</v>
      </c>
      <c r="P168">
        <v>0</v>
      </c>
      <c r="Q168">
        <v>0.36</v>
      </c>
      <c r="R168">
        <v>0.73</v>
      </c>
      <c r="S168">
        <v>0.73</v>
      </c>
      <c r="T168">
        <v>0.73</v>
      </c>
      <c r="U168">
        <v>0.73</v>
      </c>
      <c r="V168">
        <v>0.73</v>
      </c>
      <c r="W168">
        <v>0.73</v>
      </c>
      <c r="X168">
        <v>0.73</v>
      </c>
      <c r="Y168">
        <v>0.36</v>
      </c>
      <c r="Z168">
        <v>0</v>
      </c>
      <c r="AA168" t="s">
        <v>9335</v>
      </c>
      <c r="AB168" t="s">
        <v>242</v>
      </c>
      <c r="AC168" t="s">
        <v>3229</v>
      </c>
    </row>
    <row r="169" spans="1:29" x14ac:dyDescent="0.25">
      <c r="A169" t="s">
        <v>1539</v>
      </c>
      <c r="B169" t="s">
        <v>254</v>
      </c>
      <c r="C169" t="s">
        <v>308</v>
      </c>
      <c r="D169" t="s">
        <v>3209</v>
      </c>
      <c r="E169" t="s">
        <v>3246</v>
      </c>
      <c r="F169">
        <v>19541004</v>
      </c>
      <c r="G169" t="s">
        <v>9332</v>
      </c>
      <c r="H169" t="s">
        <v>242</v>
      </c>
      <c r="I169" t="s">
        <v>242</v>
      </c>
      <c r="J169" t="s">
        <v>242</v>
      </c>
      <c r="K169" t="s">
        <v>241</v>
      </c>
      <c r="L169" t="s">
        <v>242</v>
      </c>
      <c r="M169">
        <v>38.648354490000003</v>
      </c>
      <c r="N169">
        <v>-122.7374559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 t="s">
        <v>9335</v>
      </c>
      <c r="AB169" t="s">
        <v>242</v>
      </c>
      <c r="AC169" t="s">
        <v>3229</v>
      </c>
    </row>
    <row r="170" spans="1:29" x14ac:dyDescent="0.25">
      <c r="A170" t="s">
        <v>1517</v>
      </c>
      <c r="B170" t="s">
        <v>254</v>
      </c>
      <c r="C170" t="s">
        <v>348</v>
      </c>
      <c r="D170" t="s">
        <v>3209</v>
      </c>
      <c r="E170" t="s">
        <v>3246</v>
      </c>
      <c r="F170">
        <v>19541008</v>
      </c>
      <c r="G170" t="s">
        <v>9332</v>
      </c>
      <c r="H170" t="s">
        <v>242</v>
      </c>
      <c r="I170" t="s">
        <v>242</v>
      </c>
      <c r="J170" t="s">
        <v>242</v>
      </c>
      <c r="K170" t="s">
        <v>241</v>
      </c>
      <c r="L170" t="s">
        <v>242</v>
      </c>
      <c r="M170">
        <v>39.308598740000001</v>
      </c>
      <c r="N170">
        <v>-123.13242750000001</v>
      </c>
      <c r="O170">
        <v>14.9</v>
      </c>
      <c r="P170">
        <v>14.9</v>
      </c>
      <c r="Q170">
        <v>14.9</v>
      </c>
      <c r="R170">
        <v>14.9</v>
      </c>
      <c r="S170">
        <v>9.93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9.93</v>
      </c>
      <c r="Z170">
        <v>14.9</v>
      </c>
      <c r="AA170" t="s">
        <v>9335</v>
      </c>
      <c r="AB170" t="s">
        <v>241</v>
      </c>
      <c r="AC170" t="s">
        <v>3213</v>
      </c>
    </row>
    <row r="171" spans="1:29" x14ac:dyDescent="0.25">
      <c r="A171" t="s">
        <v>1525</v>
      </c>
      <c r="B171" t="s">
        <v>254</v>
      </c>
      <c r="C171" t="s">
        <v>409</v>
      </c>
      <c r="D171" t="s">
        <v>3209</v>
      </c>
      <c r="E171" t="s">
        <v>3246</v>
      </c>
      <c r="F171">
        <v>19541117</v>
      </c>
      <c r="G171" t="s">
        <v>9332</v>
      </c>
      <c r="H171" t="s">
        <v>242</v>
      </c>
      <c r="I171" t="s">
        <v>242</v>
      </c>
      <c r="J171" t="s">
        <v>242</v>
      </c>
      <c r="K171" t="s">
        <v>241</v>
      </c>
      <c r="L171" t="s">
        <v>242</v>
      </c>
      <c r="M171">
        <v>38.831499999999998</v>
      </c>
      <c r="N171">
        <v>-122.99639999999999</v>
      </c>
      <c r="O171">
        <v>0</v>
      </c>
      <c r="P171">
        <v>0</v>
      </c>
      <c r="Q171">
        <v>0</v>
      </c>
      <c r="R171">
        <v>0</v>
      </c>
      <c r="S171">
        <v>0.05</v>
      </c>
      <c r="T171">
        <v>0.05</v>
      </c>
      <c r="U171">
        <v>0.05</v>
      </c>
      <c r="V171">
        <v>0.05</v>
      </c>
      <c r="W171">
        <v>0.05</v>
      </c>
      <c r="X171">
        <v>0</v>
      </c>
      <c r="Y171">
        <v>0</v>
      </c>
      <c r="Z171">
        <v>0</v>
      </c>
      <c r="AA171" t="s">
        <v>9335</v>
      </c>
      <c r="AB171" t="s">
        <v>242</v>
      </c>
      <c r="AC171" t="s">
        <v>3229</v>
      </c>
    </row>
    <row r="172" spans="1:29" x14ac:dyDescent="0.25">
      <c r="A172" t="s">
        <v>144</v>
      </c>
      <c r="B172" t="s">
        <v>254</v>
      </c>
      <c r="C172" t="s">
        <v>331</v>
      </c>
      <c r="D172" t="s">
        <v>3209</v>
      </c>
      <c r="E172" t="s">
        <v>3246</v>
      </c>
      <c r="F172">
        <v>19541129</v>
      </c>
      <c r="G172" t="s">
        <v>9332</v>
      </c>
      <c r="H172" t="s">
        <v>241</v>
      </c>
      <c r="I172" t="s">
        <v>242</v>
      </c>
      <c r="J172" t="s">
        <v>242</v>
      </c>
      <c r="K172" t="s">
        <v>241</v>
      </c>
      <c r="L172" t="s">
        <v>242</v>
      </c>
      <c r="M172">
        <v>39.132292380000003</v>
      </c>
      <c r="N172">
        <v>-123.18989879999999</v>
      </c>
      <c r="O172">
        <v>0</v>
      </c>
      <c r="P172">
        <v>0</v>
      </c>
      <c r="Q172">
        <v>0</v>
      </c>
      <c r="R172">
        <v>0</v>
      </c>
      <c r="S172">
        <v>1.66</v>
      </c>
      <c r="T172">
        <v>7.23</v>
      </c>
      <c r="U172">
        <v>9.2799999999999994</v>
      </c>
      <c r="V172">
        <v>6.83</v>
      </c>
      <c r="W172">
        <v>4.7300000000000004</v>
      </c>
      <c r="X172">
        <v>0</v>
      </c>
      <c r="Y172">
        <v>0</v>
      </c>
      <c r="Z172">
        <v>0</v>
      </c>
      <c r="AA172" t="s">
        <v>9335</v>
      </c>
      <c r="AB172" t="s">
        <v>242</v>
      </c>
      <c r="AC172" t="s">
        <v>3213</v>
      </c>
    </row>
    <row r="173" spans="1:29" x14ac:dyDescent="0.25">
      <c r="A173" t="s">
        <v>77</v>
      </c>
      <c r="B173" t="s">
        <v>254</v>
      </c>
      <c r="C173" t="s">
        <v>319</v>
      </c>
      <c r="D173" t="s">
        <v>3209</v>
      </c>
      <c r="E173" t="s">
        <v>3246</v>
      </c>
      <c r="F173">
        <v>19550228</v>
      </c>
      <c r="G173" t="s">
        <v>9332</v>
      </c>
      <c r="H173" t="s">
        <v>241</v>
      </c>
      <c r="I173" t="s">
        <v>242</v>
      </c>
      <c r="J173" t="s">
        <v>242</v>
      </c>
      <c r="K173" t="s">
        <v>241</v>
      </c>
      <c r="L173" t="s">
        <v>242</v>
      </c>
      <c r="M173">
        <v>38.938933849999998</v>
      </c>
      <c r="N173">
        <v>-123.08152800000001</v>
      </c>
      <c r="O173">
        <v>0</v>
      </c>
      <c r="P173">
        <v>0</v>
      </c>
      <c r="Q173">
        <v>0</v>
      </c>
      <c r="R173">
        <v>0</v>
      </c>
      <c r="S173">
        <v>30.59</v>
      </c>
      <c r="T173">
        <v>34.200000000000003</v>
      </c>
      <c r="U173">
        <v>41.32</v>
      </c>
      <c r="V173">
        <v>33.119999999999997</v>
      </c>
      <c r="W173">
        <v>38.659999999999997</v>
      </c>
      <c r="X173">
        <v>2.23</v>
      </c>
      <c r="Y173">
        <v>0</v>
      </c>
      <c r="Z173">
        <v>0</v>
      </c>
      <c r="AA173" t="s">
        <v>9335</v>
      </c>
      <c r="AB173" t="s">
        <v>242</v>
      </c>
      <c r="AC173" t="s">
        <v>3213</v>
      </c>
    </row>
    <row r="174" spans="1:29" x14ac:dyDescent="0.25">
      <c r="A174" t="s">
        <v>1484</v>
      </c>
      <c r="B174" t="s">
        <v>254</v>
      </c>
      <c r="C174" t="s">
        <v>333</v>
      </c>
      <c r="D174" t="s">
        <v>3209</v>
      </c>
      <c r="E174" t="s">
        <v>3246</v>
      </c>
      <c r="F174">
        <v>19550411</v>
      </c>
      <c r="G174" t="s">
        <v>9332</v>
      </c>
      <c r="H174" t="s">
        <v>241</v>
      </c>
      <c r="I174" t="s">
        <v>242</v>
      </c>
      <c r="J174" t="s">
        <v>242</v>
      </c>
      <c r="K174" t="s">
        <v>241</v>
      </c>
      <c r="L174" t="s">
        <v>242</v>
      </c>
      <c r="M174">
        <v>39.094233780000003</v>
      </c>
      <c r="N174">
        <v>-123.1790408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1.0900000000000001</v>
      </c>
      <c r="U174">
        <v>2.33</v>
      </c>
      <c r="V174">
        <v>1.46</v>
      </c>
      <c r="W174">
        <v>3.51</v>
      </c>
      <c r="X174">
        <v>0.16</v>
      </c>
      <c r="Y174">
        <v>0</v>
      </c>
      <c r="Z174">
        <v>0</v>
      </c>
      <c r="AA174" t="s">
        <v>9335</v>
      </c>
      <c r="AB174" t="s">
        <v>242</v>
      </c>
      <c r="AC174" t="s">
        <v>3213</v>
      </c>
    </row>
    <row r="175" spans="1:29" x14ac:dyDescent="0.25">
      <c r="A175" t="s">
        <v>1485</v>
      </c>
      <c r="B175" t="s">
        <v>254</v>
      </c>
      <c r="C175" t="s">
        <v>354</v>
      </c>
      <c r="D175" t="s">
        <v>3209</v>
      </c>
      <c r="E175" t="s">
        <v>3246</v>
      </c>
      <c r="F175">
        <v>19550419</v>
      </c>
      <c r="G175" t="s">
        <v>9332</v>
      </c>
      <c r="H175" t="s">
        <v>241</v>
      </c>
      <c r="I175" t="s">
        <v>242</v>
      </c>
      <c r="J175" t="s">
        <v>242</v>
      </c>
      <c r="K175" t="s">
        <v>241</v>
      </c>
      <c r="L175" t="s">
        <v>242</v>
      </c>
      <c r="M175">
        <v>38.802349460000002</v>
      </c>
      <c r="N175">
        <v>-123.00189690000001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 t="s">
        <v>9335</v>
      </c>
      <c r="AB175" t="s">
        <v>242</v>
      </c>
      <c r="AC175" t="s">
        <v>3229</v>
      </c>
    </row>
    <row r="176" spans="1:29" x14ac:dyDescent="0.25">
      <c r="A176" t="s">
        <v>1486</v>
      </c>
      <c r="B176" t="s">
        <v>254</v>
      </c>
      <c r="C176" t="s">
        <v>354</v>
      </c>
      <c r="D176" t="s">
        <v>3209</v>
      </c>
      <c r="E176" t="s">
        <v>3246</v>
      </c>
      <c r="F176">
        <v>19550422</v>
      </c>
      <c r="G176" t="s">
        <v>9334</v>
      </c>
      <c r="H176" t="s">
        <v>241</v>
      </c>
      <c r="I176" t="s">
        <v>242</v>
      </c>
      <c r="J176" t="s">
        <v>242</v>
      </c>
      <c r="K176" t="s">
        <v>241</v>
      </c>
      <c r="L176" t="s">
        <v>242</v>
      </c>
      <c r="M176">
        <v>38.862591629999997</v>
      </c>
      <c r="N176">
        <v>-123.0417283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1</v>
      </c>
      <c r="V176">
        <v>1.3</v>
      </c>
      <c r="W176">
        <v>1.1000000000000001</v>
      </c>
      <c r="X176">
        <v>0</v>
      </c>
      <c r="Y176">
        <v>0</v>
      </c>
      <c r="Z176">
        <v>0</v>
      </c>
      <c r="AA176" t="s">
        <v>9335</v>
      </c>
      <c r="AB176" t="s">
        <v>242</v>
      </c>
      <c r="AC176" t="s">
        <v>3213</v>
      </c>
    </row>
    <row r="177" spans="1:29" x14ac:dyDescent="0.25">
      <c r="A177" t="s">
        <v>1487</v>
      </c>
      <c r="B177" t="s">
        <v>254</v>
      </c>
      <c r="C177" t="s">
        <v>317</v>
      </c>
      <c r="D177" t="s">
        <v>3209</v>
      </c>
      <c r="E177" t="s">
        <v>3246</v>
      </c>
      <c r="F177">
        <v>19550427</v>
      </c>
      <c r="G177" t="s">
        <v>9332</v>
      </c>
      <c r="H177" t="s">
        <v>242</v>
      </c>
      <c r="I177" t="s">
        <v>242</v>
      </c>
      <c r="J177" t="s">
        <v>242</v>
      </c>
      <c r="K177" t="s">
        <v>241</v>
      </c>
      <c r="L177" t="s">
        <v>242</v>
      </c>
      <c r="M177">
        <v>39.320898390000004</v>
      </c>
      <c r="N177">
        <v>-123.2201203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 t="s">
        <v>9335</v>
      </c>
      <c r="AB177" t="s">
        <v>242</v>
      </c>
      <c r="AC177" t="s">
        <v>3213</v>
      </c>
    </row>
    <row r="178" spans="1:29" x14ac:dyDescent="0.25">
      <c r="A178" t="s">
        <v>1488</v>
      </c>
      <c r="B178" t="s">
        <v>254</v>
      </c>
      <c r="C178" t="s">
        <v>354</v>
      </c>
      <c r="D178" t="s">
        <v>3209</v>
      </c>
      <c r="E178" t="s">
        <v>3246</v>
      </c>
      <c r="F178">
        <v>19550503</v>
      </c>
      <c r="G178" t="s">
        <v>9334</v>
      </c>
      <c r="H178" t="s">
        <v>241</v>
      </c>
      <c r="I178" t="s">
        <v>242</v>
      </c>
      <c r="J178" t="s">
        <v>242</v>
      </c>
      <c r="K178" t="s">
        <v>241</v>
      </c>
      <c r="L178" t="s">
        <v>242</v>
      </c>
      <c r="M178">
        <v>38.794462369999998</v>
      </c>
      <c r="N178">
        <v>-122.9930136</v>
      </c>
      <c r="O178">
        <v>0</v>
      </c>
      <c r="P178">
        <v>0</v>
      </c>
      <c r="Q178">
        <v>0</v>
      </c>
      <c r="R178">
        <v>0.06</v>
      </c>
      <c r="S178">
        <v>0.13</v>
      </c>
      <c r="T178">
        <v>0.33</v>
      </c>
      <c r="U178">
        <v>1.66</v>
      </c>
      <c r="V178">
        <v>2.6</v>
      </c>
      <c r="W178">
        <v>1.96</v>
      </c>
      <c r="X178">
        <v>0.66</v>
      </c>
      <c r="Y178">
        <v>0.1</v>
      </c>
      <c r="Z178">
        <v>0</v>
      </c>
      <c r="AA178" t="s">
        <v>9335</v>
      </c>
      <c r="AB178" t="s">
        <v>242</v>
      </c>
      <c r="AC178" t="s">
        <v>3229</v>
      </c>
    </row>
    <row r="179" spans="1:29" x14ac:dyDescent="0.25">
      <c r="A179" t="s">
        <v>1481</v>
      </c>
      <c r="B179" t="s">
        <v>254</v>
      </c>
      <c r="C179" t="s">
        <v>348</v>
      </c>
      <c r="D179" t="s">
        <v>3209</v>
      </c>
      <c r="E179" t="s">
        <v>3246</v>
      </c>
      <c r="F179">
        <v>19550517</v>
      </c>
      <c r="G179" t="s">
        <v>9332</v>
      </c>
      <c r="H179" t="s">
        <v>242</v>
      </c>
      <c r="I179" t="s">
        <v>242</v>
      </c>
      <c r="J179" t="s">
        <v>242</v>
      </c>
      <c r="K179" t="s">
        <v>241</v>
      </c>
      <c r="L179" t="s">
        <v>242</v>
      </c>
      <c r="M179">
        <v>39.308598740000001</v>
      </c>
      <c r="N179">
        <v>-123.13242750000001</v>
      </c>
      <c r="O179">
        <v>18.399999999999999</v>
      </c>
      <c r="P179">
        <v>18.399999999999999</v>
      </c>
      <c r="Q179">
        <v>18.399999999999999</v>
      </c>
      <c r="R179">
        <v>18.399999999999999</v>
      </c>
      <c r="S179">
        <v>6.13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12.26</v>
      </c>
      <c r="Z179">
        <v>18.399999999999999</v>
      </c>
      <c r="AA179" t="s">
        <v>9335</v>
      </c>
      <c r="AB179" t="s">
        <v>242</v>
      </c>
      <c r="AC179" t="s">
        <v>3213</v>
      </c>
    </row>
    <row r="180" spans="1:29" x14ac:dyDescent="0.25">
      <c r="A180" t="s">
        <v>1489</v>
      </c>
      <c r="B180" t="s">
        <v>254</v>
      </c>
      <c r="C180" t="s">
        <v>354</v>
      </c>
      <c r="D180" t="s">
        <v>3209</v>
      </c>
      <c r="E180" t="s">
        <v>3246</v>
      </c>
      <c r="F180">
        <v>19550527</v>
      </c>
      <c r="G180" t="s">
        <v>9332</v>
      </c>
      <c r="H180" t="s">
        <v>241</v>
      </c>
      <c r="I180" t="s">
        <v>242</v>
      </c>
      <c r="J180" t="s">
        <v>242</v>
      </c>
      <c r="K180" t="s">
        <v>241</v>
      </c>
      <c r="L180" t="s">
        <v>242</v>
      </c>
      <c r="M180">
        <v>38.758236670000002</v>
      </c>
      <c r="N180">
        <v>-122.95778799999999</v>
      </c>
      <c r="O180">
        <v>0</v>
      </c>
      <c r="P180">
        <v>0</v>
      </c>
      <c r="Q180">
        <v>0</v>
      </c>
      <c r="R180">
        <v>0</v>
      </c>
      <c r="S180">
        <v>3.26</v>
      </c>
      <c r="T180">
        <v>10.66</v>
      </c>
      <c r="U180">
        <v>12.33</v>
      </c>
      <c r="V180">
        <v>12.33</v>
      </c>
      <c r="W180">
        <v>13</v>
      </c>
      <c r="X180">
        <v>10.33</v>
      </c>
      <c r="Y180">
        <v>1.66</v>
      </c>
      <c r="Z180">
        <v>0</v>
      </c>
      <c r="AA180" t="s">
        <v>9335</v>
      </c>
      <c r="AB180" t="s">
        <v>241</v>
      </c>
      <c r="AC180" t="s">
        <v>3229</v>
      </c>
    </row>
    <row r="181" spans="1:29" x14ac:dyDescent="0.25">
      <c r="A181" t="s">
        <v>1490</v>
      </c>
      <c r="B181" t="s">
        <v>254</v>
      </c>
      <c r="C181" t="s">
        <v>436</v>
      </c>
      <c r="D181" t="s">
        <v>3209</v>
      </c>
      <c r="E181" t="s">
        <v>3246</v>
      </c>
      <c r="F181">
        <v>19550603</v>
      </c>
      <c r="G181" t="s">
        <v>9332</v>
      </c>
      <c r="H181" t="s">
        <v>241</v>
      </c>
      <c r="I181" t="s">
        <v>242</v>
      </c>
      <c r="J181" t="s">
        <v>242</v>
      </c>
      <c r="K181" t="s">
        <v>241</v>
      </c>
      <c r="L181" t="s">
        <v>242</v>
      </c>
      <c r="M181">
        <v>38.697082610000002</v>
      </c>
      <c r="N181">
        <v>-122.87777319999999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 t="s">
        <v>9335</v>
      </c>
      <c r="AB181" t="s">
        <v>242</v>
      </c>
      <c r="AC181" t="s">
        <v>3229</v>
      </c>
    </row>
    <row r="182" spans="1:29" x14ac:dyDescent="0.25">
      <c r="A182" t="s">
        <v>1491</v>
      </c>
      <c r="B182" t="s">
        <v>254</v>
      </c>
      <c r="C182" t="s">
        <v>331</v>
      </c>
      <c r="D182" t="s">
        <v>3209</v>
      </c>
      <c r="E182" t="s">
        <v>3246</v>
      </c>
      <c r="F182">
        <v>19550613</v>
      </c>
      <c r="G182" t="s">
        <v>9332</v>
      </c>
      <c r="H182" t="s">
        <v>241</v>
      </c>
      <c r="I182" t="s">
        <v>242</v>
      </c>
      <c r="J182" t="s">
        <v>242</v>
      </c>
      <c r="K182" t="s">
        <v>241</v>
      </c>
      <c r="L182" t="s">
        <v>242</v>
      </c>
      <c r="M182">
        <v>39.17180544</v>
      </c>
      <c r="N182">
        <v>-123.1926794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 t="s">
        <v>9335</v>
      </c>
      <c r="AB182" t="s">
        <v>242</v>
      </c>
      <c r="AC182" t="s">
        <v>3213</v>
      </c>
    </row>
    <row r="183" spans="1:29" x14ac:dyDescent="0.25">
      <c r="A183" t="s">
        <v>1493</v>
      </c>
      <c r="B183" t="s">
        <v>254</v>
      </c>
      <c r="C183" t="s">
        <v>319</v>
      </c>
      <c r="D183" t="s">
        <v>3209</v>
      </c>
      <c r="E183" t="s">
        <v>3246</v>
      </c>
      <c r="F183">
        <v>19550628</v>
      </c>
      <c r="G183" t="s">
        <v>9334</v>
      </c>
      <c r="H183" t="s">
        <v>242</v>
      </c>
      <c r="I183" t="s">
        <v>242</v>
      </c>
      <c r="J183" t="s">
        <v>242</v>
      </c>
      <c r="K183" t="s">
        <v>241</v>
      </c>
      <c r="L183" t="s">
        <v>242</v>
      </c>
      <c r="M183">
        <v>38.90412242</v>
      </c>
      <c r="N183">
        <v>-123.1041934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 t="s">
        <v>9335</v>
      </c>
      <c r="AB183" t="s">
        <v>242</v>
      </c>
      <c r="AC183" t="s">
        <v>3213</v>
      </c>
    </row>
    <row r="184" spans="1:29" x14ac:dyDescent="0.25">
      <c r="A184" t="s">
        <v>1496</v>
      </c>
      <c r="B184" t="s">
        <v>254</v>
      </c>
      <c r="C184" t="s">
        <v>308</v>
      </c>
      <c r="D184" t="s">
        <v>3209</v>
      </c>
      <c r="E184" t="s">
        <v>3246</v>
      </c>
      <c r="F184">
        <v>19550718</v>
      </c>
      <c r="G184" t="s">
        <v>9338</v>
      </c>
      <c r="H184" t="s">
        <v>242</v>
      </c>
      <c r="I184" t="s">
        <v>242</v>
      </c>
      <c r="J184" t="s">
        <v>242</v>
      </c>
      <c r="K184" t="s">
        <v>241</v>
      </c>
      <c r="L184" t="s">
        <v>242</v>
      </c>
      <c r="M184">
        <v>38.658357780000003</v>
      </c>
      <c r="N184">
        <v>-122.7186478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3.53</v>
      </c>
      <c r="Z184">
        <v>5.93</v>
      </c>
      <c r="AA184" t="s">
        <v>9335</v>
      </c>
      <c r="AB184" t="s">
        <v>242</v>
      </c>
      <c r="AC184" t="s">
        <v>3229</v>
      </c>
    </row>
    <row r="185" spans="1:29" x14ac:dyDescent="0.25">
      <c r="A185" t="s">
        <v>1511</v>
      </c>
      <c r="B185" t="s">
        <v>254</v>
      </c>
      <c r="C185" t="s">
        <v>348</v>
      </c>
      <c r="D185" t="s">
        <v>3209</v>
      </c>
      <c r="E185" t="s">
        <v>3246</v>
      </c>
      <c r="F185">
        <v>19550719</v>
      </c>
      <c r="G185" t="s">
        <v>9332</v>
      </c>
      <c r="H185" t="s">
        <v>242</v>
      </c>
      <c r="I185" t="s">
        <v>242</v>
      </c>
      <c r="J185" t="s">
        <v>242</v>
      </c>
      <c r="K185" t="s">
        <v>241</v>
      </c>
      <c r="L185" t="s">
        <v>242</v>
      </c>
      <c r="M185">
        <v>39.320379189999997</v>
      </c>
      <c r="N185">
        <v>-123.1064567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 t="s">
        <v>9335</v>
      </c>
      <c r="AB185" t="s">
        <v>242</v>
      </c>
      <c r="AC185" t="s">
        <v>3213</v>
      </c>
    </row>
    <row r="186" spans="1:29" x14ac:dyDescent="0.25">
      <c r="A186" t="s">
        <v>1499</v>
      </c>
      <c r="B186" t="s">
        <v>254</v>
      </c>
      <c r="C186" t="s">
        <v>436</v>
      </c>
      <c r="D186" t="s">
        <v>3209</v>
      </c>
      <c r="E186" t="s">
        <v>3246</v>
      </c>
      <c r="F186">
        <v>19550815</v>
      </c>
      <c r="G186" t="s">
        <v>9332</v>
      </c>
      <c r="H186" t="s">
        <v>241</v>
      </c>
      <c r="I186" t="s">
        <v>242</v>
      </c>
      <c r="J186" t="s">
        <v>242</v>
      </c>
      <c r="K186" t="s">
        <v>241</v>
      </c>
      <c r="L186" t="s">
        <v>242</v>
      </c>
      <c r="M186">
        <v>38.667433039999999</v>
      </c>
      <c r="N186">
        <v>-122.8395795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0.03</v>
      </c>
      <c r="U186">
        <v>0.06</v>
      </c>
      <c r="V186">
        <v>0.1</v>
      </c>
      <c r="W186">
        <v>0.2</v>
      </c>
      <c r="X186">
        <v>0.06</v>
      </c>
      <c r="Y186">
        <v>0</v>
      </c>
      <c r="Z186">
        <v>0</v>
      </c>
      <c r="AA186" t="s">
        <v>9335</v>
      </c>
      <c r="AB186" t="s">
        <v>242</v>
      </c>
      <c r="AC186" t="s">
        <v>3229</v>
      </c>
    </row>
    <row r="187" spans="1:29" x14ac:dyDescent="0.25">
      <c r="A187" t="s">
        <v>1504</v>
      </c>
      <c r="B187" t="s">
        <v>254</v>
      </c>
      <c r="C187" t="s">
        <v>319</v>
      </c>
      <c r="D187" t="s">
        <v>3209</v>
      </c>
      <c r="E187" t="s">
        <v>3246</v>
      </c>
      <c r="F187">
        <v>19550829</v>
      </c>
      <c r="G187" t="s">
        <v>9332</v>
      </c>
      <c r="H187" t="s">
        <v>241</v>
      </c>
      <c r="I187" t="s">
        <v>242</v>
      </c>
      <c r="J187" t="s">
        <v>242</v>
      </c>
      <c r="K187" t="s">
        <v>241</v>
      </c>
      <c r="L187" t="s">
        <v>242</v>
      </c>
      <c r="M187">
        <v>38.994261129999998</v>
      </c>
      <c r="N187">
        <v>-123.1100345</v>
      </c>
      <c r="O187">
        <v>0</v>
      </c>
      <c r="P187">
        <v>0</v>
      </c>
      <c r="Q187">
        <v>0</v>
      </c>
      <c r="R187">
        <v>52</v>
      </c>
      <c r="S187">
        <v>52</v>
      </c>
      <c r="T187">
        <v>52</v>
      </c>
      <c r="U187">
        <v>52</v>
      </c>
      <c r="V187">
        <v>52</v>
      </c>
      <c r="W187">
        <v>52</v>
      </c>
      <c r="X187">
        <v>0</v>
      </c>
      <c r="Y187">
        <v>0</v>
      </c>
      <c r="Z187">
        <v>0</v>
      </c>
      <c r="AA187" t="s">
        <v>9335</v>
      </c>
      <c r="AB187" t="s">
        <v>242</v>
      </c>
      <c r="AC187" t="s">
        <v>3213</v>
      </c>
    </row>
    <row r="188" spans="1:29" x14ac:dyDescent="0.25">
      <c r="A188" t="s">
        <v>1505</v>
      </c>
      <c r="B188" t="s">
        <v>254</v>
      </c>
      <c r="C188" t="s">
        <v>319</v>
      </c>
      <c r="D188" t="s">
        <v>3209</v>
      </c>
      <c r="E188" t="s">
        <v>3246</v>
      </c>
      <c r="F188">
        <v>19550830</v>
      </c>
      <c r="G188" t="s">
        <v>9334</v>
      </c>
      <c r="H188" t="s">
        <v>241</v>
      </c>
      <c r="I188" t="s">
        <v>242</v>
      </c>
      <c r="J188" t="s">
        <v>242</v>
      </c>
      <c r="K188" t="s">
        <v>241</v>
      </c>
      <c r="L188" t="s">
        <v>242</v>
      </c>
      <c r="M188">
        <v>39.00378714</v>
      </c>
      <c r="N188">
        <v>-123.11305849999999</v>
      </c>
      <c r="O188">
        <v>0</v>
      </c>
      <c r="P188">
        <v>0</v>
      </c>
      <c r="Q188">
        <v>0</v>
      </c>
      <c r="R188">
        <v>0</v>
      </c>
      <c r="S188">
        <v>2.23</v>
      </c>
      <c r="T188">
        <v>8.25</v>
      </c>
      <c r="U188">
        <v>11.21</v>
      </c>
      <c r="V188">
        <v>8.11</v>
      </c>
      <c r="W188">
        <v>3.21</v>
      </c>
      <c r="X188">
        <v>0.86</v>
      </c>
      <c r="Y188">
        <v>0.56000000000000005</v>
      </c>
      <c r="Z188">
        <v>0</v>
      </c>
      <c r="AA188" t="s">
        <v>9335</v>
      </c>
      <c r="AB188" t="s">
        <v>242</v>
      </c>
      <c r="AC188" t="s">
        <v>3213</v>
      </c>
    </row>
    <row r="189" spans="1:29" x14ac:dyDescent="0.25">
      <c r="A189" t="s">
        <v>1506</v>
      </c>
      <c r="B189" t="s">
        <v>254</v>
      </c>
      <c r="C189" t="s">
        <v>319</v>
      </c>
      <c r="D189" t="s">
        <v>3209</v>
      </c>
      <c r="E189" t="s">
        <v>3246</v>
      </c>
      <c r="F189">
        <v>19551010</v>
      </c>
      <c r="G189" t="s">
        <v>9332</v>
      </c>
      <c r="H189" t="s">
        <v>241</v>
      </c>
      <c r="I189" t="s">
        <v>242</v>
      </c>
      <c r="J189" t="s">
        <v>242</v>
      </c>
      <c r="K189" t="s">
        <v>241</v>
      </c>
      <c r="L189" t="s">
        <v>242</v>
      </c>
      <c r="M189">
        <v>38.971378000000001</v>
      </c>
      <c r="N189">
        <v>-123.1062943</v>
      </c>
      <c r="O189">
        <v>0.05</v>
      </c>
      <c r="P189">
        <v>0.05</v>
      </c>
      <c r="Q189">
        <v>0.05</v>
      </c>
      <c r="R189">
        <v>0.08</v>
      </c>
      <c r="S189">
        <v>0.08</v>
      </c>
      <c r="T189">
        <v>0.16</v>
      </c>
      <c r="U189">
        <v>0.16</v>
      </c>
      <c r="V189">
        <v>0.16</v>
      </c>
      <c r="W189">
        <v>0.16</v>
      </c>
      <c r="X189">
        <v>0.08</v>
      </c>
      <c r="Y189">
        <v>0.05</v>
      </c>
      <c r="Z189">
        <v>0.05</v>
      </c>
      <c r="AA189" t="s">
        <v>9342</v>
      </c>
      <c r="AB189" t="s">
        <v>242</v>
      </c>
      <c r="AC189" t="s">
        <v>3213</v>
      </c>
    </row>
    <row r="190" spans="1:29" x14ac:dyDescent="0.25">
      <c r="A190" t="s">
        <v>1507</v>
      </c>
      <c r="B190" t="s">
        <v>254</v>
      </c>
      <c r="C190" t="s">
        <v>319</v>
      </c>
      <c r="D190" t="s">
        <v>3209</v>
      </c>
      <c r="E190" t="s">
        <v>3246</v>
      </c>
      <c r="F190">
        <v>19551017</v>
      </c>
      <c r="G190" t="s">
        <v>9334</v>
      </c>
      <c r="H190" t="s">
        <v>241</v>
      </c>
      <c r="I190" t="s">
        <v>242</v>
      </c>
      <c r="J190" t="s">
        <v>242</v>
      </c>
      <c r="K190" t="s">
        <v>241</v>
      </c>
      <c r="L190" t="s">
        <v>242</v>
      </c>
      <c r="M190">
        <v>38.981699999999996</v>
      </c>
      <c r="N190">
        <v>-123.1069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0.16</v>
      </c>
      <c r="U190">
        <v>0</v>
      </c>
      <c r="V190">
        <v>0.33</v>
      </c>
      <c r="W190">
        <v>0</v>
      </c>
      <c r="X190">
        <v>0</v>
      </c>
      <c r="Y190">
        <v>0</v>
      </c>
      <c r="Z190">
        <v>0</v>
      </c>
      <c r="AA190" t="s">
        <v>9335</v>
      </c>
      <c r="AB190" t="s">
        <v>242</v>
      </c>
      <c r="AC190" t="s">
        <v>3213</v>
      </c>
    </row>
    <row r="191" spans="1:29" x14ac:dyDescent="0.25">
      <c r="A191" t="s">
        <v>1508</v>
      </c>
      <c r="B191" t="s">
        <v>254</v>
      </c>
      <c r="C191" t="s">
        <v>319</v>
      </c>
      <c r="D191" t="s">
        <v>3209</v>
      </c>
      <c r="E191" t="s">
        <v>3246</v>
      </c>
      <c r="F191">
        <v>19551017</v>
      </c>
      <c r="G191" t="s">
        <v>9334</v>
      </c>
      <c r="H191" t="s">
        <v>241</v>
      </c>
      <c r="I191" t="s">
        <v>242</v>
      </c>
      <c r="J191" t="s">
        <v>242</v>
      </c>
      <c r="K191" t="s">
        <v>241</v>
      </c>
      <c r="L191" t="s">
        <v>242</v>
      </c>
      <c r="M191">
        <v>39.021500000000003</v>
      </c>
      <c r="N191">
        <v>-123.12739999999999</v>
      </c>
      <c r="O191">
        <v>0</v>
      </c>
      <c r="P191">
        <v>0</v>
      </c>
      <c r="Q191">
        <v>0</v>
      </c>
      <c r="R191">
        <v>0</v>
      </c>
      <c r="S191">
        <v>0.09</v>
      </c>
      <c r="T191">
        <v>1.27</v>
      </c>
      <c r="U191">
        <v>4.57</v>
      </c>
      <c r="V191">
        <v>2.9</v>
      </c>
      <c r="W191">
        <v>0</v>
      </c>
      <c r="X191">
        <v>1.42</v>
      </c>
      <c r="Y191">
        <v>0</v>
      </c>
      <c r="Z191">
        <v>0</v>
      </c>
      <c r="AA191" t="s">
        <v>9335</v>
      </c>
      <c r="AB191" t="s">
        <v>242</v>
      </c>
      <c r="AC191" t="s">
        <v>3213</v>
      </c>
    </row>
    <row r="192" spans="1:29" x14ac:dyDescent="0.25">
      <c r="A192" t="s">
        <v>1509</v>
      </c>
      <c r="B192" t="s">
        <v>254</v>
      </c>
      <c r="C192" t="s">
        <v>436</v>
      </c>
      <c r="D192" t="s">
        <v>3209</v>
      </c>
      <c r="E192" t="s">
        <v>3246</v>
      </c>
      <c r="F192">
        <v>19551017</v>
      </c>
      <c r="G192" t="s">
        <v>9332</v>
      </c>
      <c r="H192" t="s">
        <v>241</v>
      </c>
      <c r="I192" t="s">
        <v>242</v>
      </c>
      <c r="J192" t="s">
        <v>242</v>
      </c>
      <c r="K192" t="s">
        <v>241</v>
      </c>
      <c r="L192" t="s">
        <v>242</v>
      </c>
      <c r="M192">
        <v>38.71371706</v>
      </c>
      <c r="N192">
        <v>-122.8930493</v>
      </c>
      <c r="O192">
        <v>0</v>
      </c>
      <c r="P192">
        <v>0</v>
      </c>
      <c r="Q192">
        <v>0</v>
      </c>
      <c r="R192">
        <v>0.6</v>
      </c>
      <c r="S192">
        <v>3.3333333333333301E-3</v>
      </c>
      <c r="T192">
        <v>4.16</v>
      </c>
      <c r="U192">
        <v>6.63</v>
      </c>
      <c r="V192">
        <v>6.1</v>
      </c>
      <c r="W192">
        <v>4.5599999999999996</v>
      </c>
      <c r="X192">
        <v>3.53</v>
      </c>
      <c r="Y192">
        <v>0</v>
      </c>
      <c r="Z192">
        <v>0</v>
      </c>
      <c r="AA192" t="s">
        <v>9335</v>
      </c>
      <c r="AB192" t="s">
        <v>242</v>
      </c>
      <c r="AC192" t="s">
        <v>3229</v>
      </c>
    </row>
    <row r="193" spans="1:29" x14ac:dyDescent="0.25">
      <c r="A193" t="s">
        <v>127</v>
      </c>
      <c r="B193" t="s">
        <v>254</v>
      </c>
      <c r="C193" t="s">
        <v>333</v>
      </c>
      <c r="D193" t="s">
        <v>3209</v>
      </c>
      <c r="E193" t="s">
        <v>3246</v>
      </c>
      <c r="F193">
        <v>19551130</v>
      </c>
      <c r="G193" t="s">
        <v>9332</v>
      </c>
      <c r="H193" t="s">
        <v>241</v>
      </c>
      <c r="I193" t="s">
        <v>242</v>
      </c>
      <c r="J193" t="s">
        <v>242</v>
      </c>
      <c r="K193" t="s">
        <v>241</v>
      </c>
      <c r="L193" t="s">
        <v>242</v>
      </c>
      <c r="M193">
        <v>39.087722560000003</v>
      </c>
      <c r="N193">
        <v>-123.17118069999999</v>
      </c>
      <c r="O193">
        <v>0</v>
      </c>
      <c r="P193">
        <v>0</v>
      </c>
      <c r="Q193">
        <v>0</v>
      </c>
      <c r="R193">
        <v>0.96</v>
      </c>
      <c r="S193">
        <v>1.21</v>
      </c>
      <c r="T193">
        <v>3.63</v>
      </c>
      <c r="U193">
        <v>2.87</v>
      </c>
      <c r="V193">
        <v>2.35</v>
      </c>
      <c r="W193">
        <v>1.38</v>
      </c>
      <c r="X193">
        <v>2.02</v>
      </c>
      <c r="Y193">
        <v>0</v>
      </c>
      <c r="Z193">
        <v>0</v>
      </c>
      <c r="AA193" t="s">
        <v>9335</v>
      </c>
      <c r="AB193" t="s">
        <v>242</v>
      </c>
      <c r="AC193" t="s">
        <v>3213</v>
      </c>
    </row>
    <row r="194" spans="1:29" x14ac:dyDescent="0.25">
      <c r="A194" t="s">
        <v>1461</v>
      </c>
      <c r="B194" t="s">
        <v>254</v>
      </c>
      <c r="C194" t="s">
        <v>436</v>
      </c>
      <c r="D194" t="s">
        <v>3209</v>
      </c>
      <c r="E194" t="s">
        <v>3246</v>
      </c>
      <c r="F194">
        <v>19560106</v>
      </c>
      <c r="G194" t="s">
        <v>9332</v>
      </c>
      <c r="H194" t="s">
        <v>241</v>
      </c>
      <c r="I194" t="s">
        <v>242</v>
      </c>
      <c r="J194" t="s">
        <v>242</v>
      </c>
      <c r="K194" t="s">
        <v>241</v>
      </c>
      <c r="L194" t="s">
        <v>242</v>
      </c>
      <c r="M194">
        <v>38.705757030000001</v>
      </c>
      <c r="N194">
        <v>-122.8925991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0.73</v>
      </c>
      <c r="U194">
        <v>1.17</v>
      </c>
      <c r="V194">
        <v>1.02</v>
      </c>
      <c r="W194">
        <v>1.47</v>
      </c>
      <c r="X194">
        <v>1.02</v>
      </c>
      <c r="Y194">
        <v>0</v>
      </c>
      <c r="Z194">
        <v>0</v>
      </c>
      <c r="AA194" t="s">
        <v>9335</v>
      </c>
      <c r="AB194" t="s">
        <v>242</v>
      </c>
      <c r="AC194" t="s">
        <v>3229</v>
      </c>
    </row>
    <row r="195" spans="1:29" x14ac:dyDescent="0.25">
      <c r="A195" t="s">
        <v>1462</v>
      </c>
      <c r="B195" t="s">
        <v>254</v>
      </c>
      <c r="C195" t="s">
        <v>319</v>
      </c>
      <c r="D195" t="s">
        <v>3209</v>
      </c>
      <c r="E195" t="s">
        <v>3246</v>
      </c>
      <c r="F195">
        <v>19560106</v>
      </c>
      <c r="G195" t="s">
        <v>9334</v>
      </c>
      <c r="H195" t="s">
        <v>242</v>
      </c>
      <c r="I195" t="s">
        <v>242</v>
      </c>
      <c r="J195" t="s">
        <v>242</v>
      </c>
      <c r="K195" t="s">
        <v>241</v>
      </c>
      <c r="L195" t="s">
        <v>242</v>
      </c>
      <c r="M195">
        <v>38.968499999999999</v>
      </c>
      <c r="N195">
        <v>-123.0483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0.06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 t="s">
        <v>9335</v>
      </c>
      <c r="AB195" t="s">
        <v>242</v>
      </c>
      <c r="AC195" t="s">
        <v>3213</v>
      </c>
    </row>
    <row r="196" spans="1:29" x14ac:dyDescent="0.25">
      <c r="A196" t="s">
        <v>1465</v>
      </c>
      <c r="B196" t="s">
        <v>254</v>
      </c>
      <c r="C196" t="s">
        <v>436</v>
      </c>
      <c r="D196" t="s">
        <v>3209</v>
      </c>
      <c r="E196" t="s">
        <v>3246</v>
      </c>
      <c r="F196">
        <v>19560321</v>
      </c>
      <c r="G196" t="s">
        <v>9332</v>
      </c>
      <c r="H196" t="s">
        <v>242</v>
      </c>
      <c r="I196" t="s">
        <v>242</v>
      </c>
      <c r="J196" t="s">
        <v>242</v>
      </c>
      <c r="K196" t="s">
        <v>241</v>
      </c>
      <c r="L196" t="s">
        <v>242</v>
      </c>
      <c r="M196">
        <v>38.653958029999998</v>
      </c>
      <c r="N196">
        <v>-122.8793434</v>
      </c>
      <c r="O196">
        <v>21.6</v>
      </c>
      <c r="P196">
        <v>16.100000000000001</v>
      </c>
      <c r="Q196">
        <v>4.8600000000000003</v>
      </c>
      <c r="R196">
        <v>8.9</v>
      </c>
      <c r="S196">
        <v>0.66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8.5299999999999994</v>
      </c>
      <c r="Z196">
        <v>13.4</v>
      </c>
      <c r="AA196" t="s">
        <v>9335</v>
      </c>
      <c r="AB196" t="s">
        <v>242</v>
      </c>
      <c r="AC196" t="s">
        <v>3229</v>
      </c>
    </row>
    <row r="197" spans="1:29" x14ac:dyDescent="0.25">
      <c r="A197" t="s">
        <v>1466</v>
      </c>
      <c r="B197" t="s">
        <v>254</v>
      </c>
      <c r="C197" t="s">
        <v>319</v>
      </c>
      <c r="D197" t="s">
        <v>3209</v>
      </c>
      <c r="E197" t="s">
        <v>3246</v>
      </c>
      <c r="F197">
        <v>19560327</v>
      </c>
      <c r="G197" t="s">
        <v>9332</v>
      </c>
      <c r="H197" t="s">
        <v>242</v>
      </c>
      <c r="I197" t="s">
        <v>242</v>
      </c>
      <c r="J197" t="s">
        <v>242</v>
      </c>
      <c r="K197" t="s">
        <v>241</v>
      </c>
      <c r="L197" t="s">
        <v>242</v>
      </c>
      <c r="M197">
        <v>38.965500079999998</v>
      </c>
      <c r="N197">
        <v>-123.0889674</v>
      </c>
      <c r="O197">
        <v>6</v>
      </c>
      <c r="P197">
        <v>5.35</v>
      </c>
      <c r="Q197">
        <v>4</v>
      </c>
      <c r="R197">
        <v>2.66</v>
      </c>
      <c r="S197">
        <v>1.33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 t="s">
        <v>9335</v>
      </c>
      <c r="AB197" t="s">
        <v>242</v>
      </c>
      <c r="AC197" t="s">
        <v>3213</v>
      </c>
    </row>
    <row r="198" spans="1:29" x14ac:dyDescent="0.25">
      <c r="A198" t="s">
        <v>1469</v>
      </c>
      <c r="B198" t="s">
        <v>254</v>
      </c>
      <c r="C198" t="s">
        <v>317</v>
      </c>
      <c r="D198" t="s">
        <v>3209</v>
      </c>
      <c r="E198" t="s">
        <v>3246</v>
      </c>
      <c r="F198">
        <v>19560514</v>
      </c>
      <c r="G198" t="s">
        <v>9332</v>
      </c>
      <c r="H198" t="s">
        <v>242</v>
      </c>
      <c r="I198" t="s">
        <v>242</v>
      </c>
      <c r="J198" t="s">
        <v>242</v>
      </c>
      <c r="K198" t="s">
        <v>241</v>
      </c>
      <c r="L198" t="s">
        <v>242</v>
      </c>
      <c r="M198">
        <v>39.305224940000002</v>
      </c>
      <c r="N198">
        <v>-123.1956388</v>
      </c>
      <c r="O198">
        <v>2</v>
      </c>
      <c r="P198">
        <v>2</v>
      </c>
      <c r="Q198">
        <v>2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2</v>
      </c>
      <c r="AA198" t="s">
        <v>9342</v>
      </c>
      <c r="AB198" t="s">
        <v>242</v>
      </c>
      <c r="AC198" t="s">
        <v>3213</v>
      </c>
    </row>
    <row r="199" spans="1:29" x14ac:dyDescent="0.25">
      <c r="A199" t="s">
        <v>1470</v>
      </c>
      <c r="B199" t="s">
        <v>254</v>
      </c>
      <c r="C199" t="s">
        <v>317</v>
      </c>
      <c r="D199" t="s">
        <v>3209</v>
      </c>
      <c r="E199" t="s">
        <v>3246</v>
      </c>
      <c r="F199">
        <v>19560514</v>
      </c>
      <c r="G199" t="s">
        <v>9332</v>
      </c>
      <c r="H199" t="s">
        <v>242</v>
      </c>
      <c r="I199" t="s">
        <v>242</v>
      </c>
      <c r="J199" t="s">
        <v>242</v>
      </c>
      <c r="K199" t="s">
        <v>241</v>
      </c>
      <c r="L199" t="s">
        <v>242</v>
      </c>
      <c r="M199">
        <v>39.304549000000002</v>
      </c>
      <c r="N199">
        <v>-123.2079976</v>
      </c>
      <c r="O199">
        <v>8.9700000000000006</v>
      </c>
      <c r="P199">
        <v>10.61</v>
      </c>
      <c r="Q199">
        <v>5.3</v>
      </c>
      <c r="R199">
        <v>2.63</v>
      </c>
      <c r="S199">
        <v>1.73</v>
      </c>
      <c r="T199">
        <v>0</v>
      </c>
      <c r="U199">
        <v>0</v>
      </c>
      <c r="V199">
        <v>0.01</v>
      </c>
      <c r="W199">
        <v>0.24</v>
      </c>
      <c r="X199">
        <v>0</v>
      </c>
      <c r="Y199">
        <v>1.73</v>
      </c>
      <c r="Z199">
        <v>2.67</v>
      </c>
      <c r="AA199" t="s">
        <v>9335</v>
      </c>
      <c r="AB199" t="s">
        <v>242</v>
      </c>
      <c r="AC199" t="s">
        <v>3213</v>
      </c>
    </row>
    <row r="200" spans="1:29" x14ac:dyDescent="0.25">
      <c r="A200" t="s">
        <v>1471</v>
      </c>
      <c r="B200" t="s">
        <v>254</v>
      </c>
      <c r="C200" t="s">
        <v>317</v>
      </c>
      <c r="D200" t="s">
        <v>3209</v>
      </c>
      <c r="E200" t="s">
        <v>3246</v>
      </c>
      <c r="F200">
        <v>19560514</v>
      </c>
      <c r="G200" t="s">
        <v>9332</v>
      </c>
      <c r="H200" t="s">
        <v>242</v>
      </c>
      <c r="I200" t="s">
        <v>242</v>
      </c>
      <c r="J200" t="s">
        <v>242</v>
      </c>
      <c r="K200" t="s">
        <v>241</v>
      </c>
      <c r="L200" t="s">
        <v>242</v>
      </c>
      <c r="M200">
        <v>39.303014220000001</v>
      </c>
      <c r="N200">
        <v>-123.1970151</v>
      </c>
      <c r="O200">
        <v>4.5</v>
      </c>
      <c r="P200">
        <v>1</v>
      </c>
      <c r="Q200">
        <v>2.66</v>
      </c>
      <c r="R200">
        <v>1.66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 t="s">
        <v>9335</v>
      </c>
      <c r="AB200" t="s">
        <v>242</v>
      </c>
      <c r="AC200" t="s">
        <v>3213</v>
      </c>
    </row>
    <row r="201" spans="1:29" x14ac:dyDescent="0.25">
      <c r="A201" t="s">
        <v>1473</v>
      </c>
      <c r="B201" t="s">
        <v>254</v>
      </c>
      <c r="C201" t="s">
        <v>311</v>
      </c>
      <c r="D201" t="s">
        <v>3209</v>
      </c>
      <c r="E201" t="s">
        <v>3246</v>
      </c>
      <c r="F201">
        <v>19560523</v>
      </c>
      <c r="G201" t="s">
        <v>9332</v>
      </c>
      <c r="H201" t="s">
        <v>241</v>
      </c>
      <c r="I201" t="s">
        <v>242</v>
      </c>
      <c r="J201" t="s">
        <v>242</v>
      </c>
      <c r="K201" t="s">
        <v>241</v>
      </c>
      <c r="L201" t="s">
        <v>242</v>
      </c>
      <c r="M201">
        <v>38.631291390000001</v>
      </c>
      <c r="N201">
        <v>-122.8248004</v>
      </c>
      <c r="O201">
        <v>0.05</v>
      </c>
      <c r="P201">
        <v>0.05</v>
      </c>
      <c r="Q201">
        <v>0.05</v>
      </c>
      <c r="R201">
        <v>0.05</v>
      </c>
      <c r="S201">
        <v>0.05</v>
      </c>
      <c r="T201">
        <v>0.51</v>
      </c>
      <c r="U201">
        <v>0.51</v>
      </c>
      <c r="V201">
        <v>0.51</v>
      </c>
      <c r="W201">
        <v>0.51</v>
      </c>
      <c r="X201">
        <v>0.37</v>
      </c>
      <c r="Y201">
        <v>0.05</v>
      </c>
      <c r="Z201">
        <v>0.05</v>
      </c>
      <c r="AA201" t="s">
        <v>9335</v>
      </c>
      <c r="AB201" t="s">
        <v>242</v>
      </c>
      <c r="AC201" t="s">
        <v>3229</v>
      </c>
    </row>
    <row r="202" spans="1:29" x14ac:dyDescent="0.25">
      <c r="A202" t="s">
        <v>150</v>
      </c>
      <c r="B202" t="s">
        <v>254</v>
      </c>
      <c r="C202" t="s">
        <v>311</v>
      </c>
      <c r="D202" t="s">
        <v>3209</v>
      </c>
      <c r="E202" t="s">
        <v>3226</v>
      </c>
      <c r="F202">
        <v>19560608</v>
      </c>
      <c r="G202" t="s">
        <v>9338</v>
      </c>
      <c r="H202" t="s">
        <v>241</v>
      </c>
      <c r="I202" t="s">
        <v>242</v>
      </c>
      <c r="J202" t="s">
        <v>242</v>
      </c>
      <c r="K202" t="s">
        <v>241</v>
      </c>
      <c r="L202" t="s">
        <v>242</v>
      </c>
      <c r="M202">
        <v>38.633713229999998</v>
      </c>
      <c r="N202">
        <v>-122.854373</v>
      </c>
      <c r="O202">
        <v>89.91</v>
      </c>
      <c r="P202">
        <v>84.14</v>
      </c>
      <c r="Q202">
        <v>93.98</v>
      </c>
      <c r="R202">
        <v>96.88</v>
      </c>
      <c r="S202">
        <v>108.27</v>
      </c>
      <c r="T202">
        <v>108.15</v>
      </c>
      <c r="U202">
        <v>117.18</v>
      </c>
      <c r="V202">
        <v>126.86</v>
      </c>
      <c r="W202">
        <v>107.72</v>
      </c>
      <c r="X202">
        <v>103.25</v>
      </c>
      <c r="Y202">
        <v>126.59</v>
      </c>
      <c r="Z202">
        <v>96.49</v>
      </c>
      <c r="AA202" t="s">
        <v>9336</v>
      </c>
      <c r="AB202" t="s">
        <v>242</v>
      </c>
      <c r="AC202" t="s">
        <v>3229</v>
      </c>
    </row>
    <row r="203" spans="1:29" x14ac:dyDescent="0.25">
      <c r="A203" t="s">
        <v>1475</v>
      </c>
      <c r="B203" t="s">
        <v>254</v>
      </c>
      <c r="C203" t="s">
        <v>319</v>
      </c>
      <c r="D203" t="s">
        <v>3209</v>
      </c>
      <c r="E203" t="s">
        <v>3246</v>
      </c>
      <c r="F203">
        <v>19560621</v>
      </c>
      <c r="G203" t="s">
        <v>9334</v>
      </c>
      <c r="H203" t="s">
        <v>241</v>
      </c>
      <c r="I203" t="s">
        <v>242</v>
      </c>
      <c r="J203" t="s">
        <v>242</v>
      </c>
      <c r="K203" t="s">
        <v>241</v>
      </c>
      <c r="L203" t="s">
        <v>242</v>
      </c>
      <c r="M203">
        <v>38.973700000000001</v>
      </c>
      <c r="N203">
        <v>-123.1095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 t="s">
        <v>9335</v>
      </c>
      <c r="AB203" t="s">
        <v>242</v>
      </c>
      <c r="AC203" t="s">
        <v>3213</v>
      </c>
    </row>
    <row r="204" spans="1:29" x14ac:dyDescent="0.25">
      <c r="A204" t="s">
        <v>149</v>
      </c>
      <c r="B204" t="s">
        <v>254</v>
      </c>
      <c r="C204" t="s">
        <v>331</v>
      </c>
      <c r="D204" t="s">
        <v>3209</v>
      </c>
      <c r="E204" t="s">
        <v>3226</v>
      </c>
      <c r="F204">
        <v>19560810</v>
      </c>
      <c r="G204" t="s">
        <v>9332</v>
      </c>
      <c r="H204" t="s">
        <v>241</v>
      </c>
      <c r="I204" t="s">
        <v>242</v>
      </c>
      <c r="J204" t="s">
        <v>242</v>
      </c>
      <c r="K204" t="s">
        <v>241</v>
      </c>
      <c r="L204" t="s">
        <v>242</v>
      </c>
      <c r="M204">
        <v>39.118699999999997</v>
      </c>
      <c r="N204">
        <v>-123.19280000000001</v>
      </c>
      <c r="O204">
        <v>39.299999999999997</v>
      </c>
      <c r="P204">
        <v>35.450000000000003</v>
      </c>
      <c r="Q204">
        <v>41.92</v>
      </c>
      <c r="R204">
        <v>43.37</v>
      </c>
      <c r="S204">
        <v>64.760000000000005</v>
      </c>
      <c r="T204">
        <v>48.61</v>
      </c>
      <c r="U204">
        <v>0</v>
      </c>
      <c r="V204">
        <v>0</v>
      </c>
      <c r="W204">
        <v>0</v>
      </c>
      <c r="X204">
        <v>0</v>
      </c>
      <c r="Y204">
        <v>31.97</v>
      </c>
      <c r="Z204">
        <v>36.93</v>
      </c>
      <c r="AA204" t="s">
        <v>9336</v>
      </c>
      <c r="AB204" t="s">
        <v>242</v>
      </c>
      <c r="AC204" t="s">
        <v>3213</v>
      </c>
    </row>
    <row r="205" spans="1:29" x14ac:dyDescent="0.25">
      <c r="A205" t="s">
        <v>1477</v>
      </c>
      <c r="B205" t="s">
        <v>254</v>
      </c>
      <c r="C205" t="s">
        <v>317</v>
      </c>
      <c r="D205" t="s">
        <v>3209</v>
      </c>
      <c r="E205" t="s">
        <v>3246</v>
      </c>
      <c r="F205">
        <v>19560815</v>
      </c>
      <c r="G205" t="s">
        <v>9332</v>
      </c>
      <c r="H205" t="s">
        <v>242</v>
      </c>
      <c r="I205" t="s">
        <v>242</v>
      </c>
      <c r="J205" t="s">
        <v>242</v>
      </c>
      <c r="K205" t="s">
        <v>241</v>
      </c>
      <c r="L205" t="s">
        <v>242</v>
      </c>
      <c r="M205">
        <v>39.286360979999998</v>
      </c>
      <c r="N205">
        <v>-123.1875458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0.33</v>
      </c>
      <c r="U205">
        <v>0.33</v>
      </c>
      <c r="V205">
        <v>0.33</v>
      </c>
      <c r="W205">
        <v>0.33</v>
      </c>
      <c r="X205">
        <v>0</v>
      </c>
      <c r="Y205">
        <v>0</v>
      </c>
      <c r="Z205">
        <v>0</v>
      </c>
      <c r="AA205" t="s">
        <v>9335</v>
      </c>
      <c r="AB205" t="s">
        <v>242</v>
      </c>
      <c r="AC205" t="s">
        <v>3213</v>
      </c>
    </row>
    <row r="206" spans="1:29" x14ac:dyDescent="0.25">
      <c r="A206" t="s">
        <v>1479</v>
      </c>
      <c r="B206" t="s">
        <v>254</v>
      </c>
      <c r="C206" t="s">
        <v>348</v>
      </c>
      <c r="D206" t="s">
        <v>3209</v>
      </c>
      <c r="E206" t="s">
        <v>3246</v>
      </c>
      <c r="F206">
        <v>19560907</v>
      </c>
      <c r="G206" t="s">
        <v>9332</v>
      </c>
      <c r="H206" t="s">
        <v>242</v>
      </c>
      <c r="I206" t="s">
        <v>242</v>
      </c>
      <c r="J206" t="s">
        <v>242</v>
      </c>
      <c r="K206" t="s">
        <v>241</v>
      </c>
      <c r="L206" t="s">
        <v>242</v>
      </c>
      <c r="M206">
        <v>39.241199999999999</v>
      </c>
      <c r="N206">
        <v>-123.1155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 t="s">
        <v>9335</v>
      </c>
      <c r="AB206" t="s">
        <v>242</v>
      </c>
      <c r="AC206" t="s">
        <v>3213</v>
      </c>
    </row>
    <row r="207" spans="1:29" x14ac:dyDescent="0.25">
      <c r="A207" t="s">
        <v>38</v>
      </c>
      <c r="B207" t="s">
        <v>254</v>
      </c>
      <c r="C207" t="s">
        <v>333</v>
      </c>
      <c r="D207" t="s">
        <v>3209</v>
      </c>
      <c r="E207" t="s">
        <v>3246</v>
      </c>
      <c r="F207">
        <v>19561119</v>
      </c>
      <c r="G207" t="s">
        <v>9332</v>
      </c>
      <c r="H207" t="s">
        <v>241</v>
      </c>
      <c r="I207" t="s">
        <v>242</v>
      </c>
      <c r="J207" t="s">
        <v>242</v>
      </c>
      <c r="K207" t="s">
        <v>241</v>
      </c>
      <c r="L207" t="s">
        <v>242</v>
      </c>
      <c r="M207">
        <v>39.058628169999999</v>
      </c>
      <c r="N207">
        <v>-123.1421714</v>
      </c>
      <c r="O207">
        <v>0</v>
      </c>
      <c r="P207">
        <v>0</v>
      </c>
      <c r="Q207">
        <v>0</v>
      </c>
      <c r="R207">
        <v>0</v>
      </c>
      <c r="S207">
        <v>0.25</v>
      </c>
      <c r="T207">
        <v>0.41</v>
      </c>
      <c r="U207">
        <v>0.83</v>
      </c>
      <c r="V207">
        <v>1</v>
      </c>
      <c r="W207">
        <v>1</v>
      </c>
      <c r="X207">
        <v>1</v>
      </c>
      <c r="Y207">
        <v>0</v>
      </c>
      <c r="Z207">
        <v>0</v>
      </c>
      <c r="AA207" t="s">
        <v>9335</v>
      </c>
      <c r="AB207" t="s">
        <v>242</v>
      </c>
      <c r="AC207" t="s">
        <v>3213</v>
      </c>
    </row>
    <row r="208" spans="1:29" x14ac:dyDescent="0.25">
      <c r="A208" t="s">
        <v>1446</v>
      </c>
      <c r="B208" t="s">
        <v>254</v>
      </c>
      <c r="C208" t="s">
        <v>348</v>
      </c>
      <c r="D208" t="s">
        <v>3209</v>
      </c>
      <c r="E208" t="s">
        <v>3246</v>
      </c>
      <c r="F208">
        <v>19570314</v>
      </c>
      <c r="G208" t="s">
        <v>9332</v>
      </c>
      <c r="H208" t="s">
        <v>242</v>
      </c>
      <c r="I208" t="s">
        <v>242</v>
      </c>
      <c r="J208" t="s">
        <v>242</v>
      </c>
      <c r="K208" t="s">
        <v>241</v>
      </c>
      <c r="L208" t="s">
        <v>242</v>
      </c>
      <c r="M208">
        <v>39.281427809999997</v>
      </c>
      <c r="N208">
        <v>-123.10231330000001</v>
      </c>
      <c r="O208">
        <v>0</v>
      </c>
      <c r="P208">
        <v>0</v>
      </c>
      <c r="Q208">
        <v>0</v>
      </c>
      <c r="R208">
        <v>0</v>
      </c>
      <c r="S208">
        <v>10</v>
      </c>
      <c r="T208">
        <v>30</v>
      </c>
      <c r="U208">
        <v>30</v>
      </c>
      <c r="V208">
        <v>30</v>
      </c>
      <c r="W208">
        <v>30</v>
      </c>
      <c r="X208">
        <v>20</v>
      </c>
      <c r="Y208">
        <v>0</v>
      </c>
      <c r="Z208">
        <v>0</v>
      </c>
      <c r="AA208" t="s">
        <v>9335</v>
      </c>
      <c r="AB208" t="s">
        <v>242</v>
      </c>
      <c r="AC208" t="s">
        <v>3213</v>
      </c>
    </row>
    <row r="209" spans="1:29" x14ac:dyDescent="0.25">
      <c r="A209" t="s">
        <v>158</v>
      </c>
      <c r="B209" t="s">
        <v>254</v>
      </c>
      <c r="C209" t="s">
        <v>331</v>
      </c>
      <c r="D209" t="s">
        <v>3209</v>
      </c>
      <c r="E209" t="s">
        <v>3226</v>
      </c>
      <c r="F209">
        <v>19570508</v>
      </c>
      <c r="G209" t="s">
        <v>9332</v>
      </c>
      <c r="H209" t="s">
        <v>241</v>
      </c>
      <c r="I209" t="s">
        <v>242</v>
      </c>
      <c r="J209" t="s">
        <v>242</v>
      </c>
      <c r="K209" t="s">
        <v>241</v>
      </c>
      <c r="L209" t="s">
        <v>242</v>
      </c>
      <c r="M209">
        <v>39.191222289999999</v>
      </c>
      <c r="N209">
        <v>-123.2004168</v>
      </c>
      <c r="O209">
        <v>32.15</v>
      </c>
      <c r="P209">
        <v>32.07</v>
      </c>
      <c r="Q209">
        <v>33.29</v>
      </c>
      <c r="R209">
        <v>44.47</v>
      </c>
      <c r="S209">
        <v>58.61</v>
      </c>
      <c r="T209">
        <v>66.22</v>
      </c>
      <c r="U209">
        <v>0</v>
      </c>
      <c r="V209">
        <v>0</v>
      </c>
      <c r="W209">
        <v>0</v>
      </c>
      <c r="X209">
        <v>0</v>
      </c>
      <c r="Y209">
        <v>62.56</v>
      </c>
      <c r="Z209">
        <v>31.09</v>
      </c>
      <c r="AA209" t="s">
        <v>9336</v>
      </c>
      <c r="AB209" t="s">
        <v>242</v>
      </c>
      <c r="AC209" t="s">
        <v>3213</v>
      </c>
    </row>
    <row r="210" spans="1:29" x14ac:dyDescent="0.25">
      <c r="A210" t="s">
        <v>1450</v>
      </c>
      <c r="B210" t="s">
        <v>254</v>
      </c>
      <c r="C210" t="s">
        <v>333</v>
      </c>
      <c r="D210" t="s">
        <v>3209</v>
      </c>
      <c r="E210" t="s">
        <v>3246</v>
      </c>
      <c r="F210">
        <v>19570524</v>
      </c>
      <c r="G210" t="s">
        <v>9332</v>
      </c>
      <c r="H210" t="s">
        <v>241</v>
      </c>
      <c r="I210" t="s">
        <v>242</v>
      </c>
      <c r="J210" t="s">
        <v>242</v>
      </c>
      <c r="K210" t="s">
        <v>241</v>
      </c>
      <c r="L210" t="s">
        <v>242</v>
      </c>
      <c r="M210">
        <v>39.093684680000003</v>
      </c>
      <c r="N210">
        <v>-123.1790316</v>
      </c>
      <c r="O210">
        <v>0</v>
      </c>
      <c r="P210">
        <v>0</v>
      </c>
      <c r="Q210">
        <v>0</v>
      </c>
      <c r="R210">
        <v>0</v>
      </c>
      <c r="S210">
        <v>0.59</v>
      </c>
      <c r="T210">
        <v>1.02</v>
      </c>
      <c r="U210">
        <v>1.64</v>
      </c>
      <c r="V210">
        <v>1.23</v>
      </c>
      <c r="W210">
        <v>0.91</v>
      </c>
      <c r="X210">
        <v>0.37</v>
      </c>
      <c r="Y210">
        <v>0</v>
      </c>
      <c r="Z210">
        <v>0</v>
      </c>
      <c r="AA210" t="s">
        <v>9335</v>
      </c>
      <c r="AB210" t="s">
        <v>242</v>
      </c>
      <c r="AC210" t="s">
        <v>3213</v>
      </c>
    </row>
    <row r="211" spans="1:29" x14ac:dyDescent="0.25">
      <c r="A211" t="s">
        <v>74</v>
      </c>
      <c r="B211" t="s">
        <v>254</v>
      </c>
      <c r="C211" t="s">
        <v>333</v>
      </c>
      <c r="D211" t="s">
        <v>3209</v>
      </c>
      <c r="E211" t="s">
        <v>3246</v>
      </c>
      <c r="F211">
        <v>19570524</v>
      </c>
      <c r="G211" t="s">
        <v>9332</v>
      </c>
      <c r="H211" t="s">
        <v>241</v>
      </c>
      <c r="I211" t="s">
        <v>242</v>
      </c>
      <c r="J211" t="s">
        <v>242</v>
      </c>
      <c r="K211" t="s">
        <v>241</v>
      </c>
      <c r="L211" t="s">
        <v>242</v>
      </c>
      <c r="M211">
        <v>39.059237170000003</v>
      </c>
      <c r="N211">
        <v>-123.1448314</v>
      </c>
      <c r="O211">
        <v>0</v>
      </c>
      <c r="P211">
        <v>0</v>
      </c>
      <c r="Q211">
        <v>0</v>
      </c>
      <c r="R211">
        <v>0</v>
      </c>
      <c r="S211">
        <v>1.31</v>
      </c>
      <c r="T211">
        <v>33.86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 t="s">
        <v>9335</v>
      </c>
      <c r="AB211" t="s">
        <v>242</v>
      </c>
      <c r="AC211" t="s">
        <v>3213</v>
      </c>
    </row>
    <row r="212" spans="1:29" x14ac:dyDescent="0.25">
      <c r="A212" t="s">
        <v>107</v>
      </c>
      <c r="B212" t="s">
        <v>254</v>
      </c>
      <c r="C212" t="s">
        <v>507</v>
      </c>
      <c r="D212" t="s">
        <v>3209</v>
      </c>
      <c r="E212" t="s">
        <v>3226</v>
      </c>
      <c r="F212">
        <v>19570529</v>
      </c>
      <c r="G212" t="s">
        <v>9334</v>
      </c>
      <c r="H212" t="s">
        <v>241</v>
      </c>
      <c r="I212" t="s">
        <v>242</v>
      </c>
      <c r="J212" t="s">
        <v>242</v>
      </c>
      <c r="K212" t="s">
        <v>241</v>
      </c>
      <c r="L212" t="s">
        <v>242</v>
      </c>
      <c r="M212">
        <v>38.622951229999998</v>
      </c>
      <c r="N212">
        <v>-122.83905590000001</v>
      </c>
      <c r="O212">
        <v>3.06</v>
      </c>
      <c r="P212">
        <v>3.44</v>
      </c>
      <c r="Q212">
        <v>3.15</v>
      </c>
      <c r="R212">
        <v>3.83</v>
      </c>
      <c r="S212">
        <v>5.71</v>
      </c>
      <c r="T212">
        <v>6.49</v>
      </c>
      <c r="U212">
        <v>7.22</v>
      </c>
      <c r="V212">
        <v>6.75</v>
      </c>
      <c r="W212">
        <v>6.9</v>
      </c>
      <c r="X212">
        <v>5.77</v>
      </c>
      <c r="Y212">
        <v>4.79</v>
      </c>
      <c r="Z212">
        <v>2.95</v>
      </c>
      <c r="AA212" t="s">
        <v>9336</v>
      </c>
      <c r="AB212" t="s">
        <v>242</v>
      </c>
      <c r="AC212" t="s">
        <v>3229</v>
      </c>
    </row>
    <row r="213" spans="1:29" x14ac:dyDescent="0.25">
      <c r="A213" t="s">
        <v>1451</v>
      </c>
      <c r="B213" t="s">
        <v>254</v>
      </c>
      <c r="C213" t="s">
        <v>331</v>
      </c>
      <c r="D213" t="s">
        <v>3209</v>
      </c>
      <c r="E213" t="s">
        <v>3246</v>
      </c>
      <c r="F213">
        <v>19570611</v>
      </c>
      <c r="G213" t="s">
        <v>9332</v>
      </c>
      <c r="H213" t="s">
        <v>242</v>
      </c>
      <c r="I213" t="s">
        <v>242</v>
      </c>
      <c r="J213" t="s">
        <v>242</v>
      </c>
      <c r="K213" t="s">
        <v>241</v>
      </c>
      <c r="L213" t="s">
        <v>242</v>
      </c>
      <c r="M213">
        <v>39.166050480000003</v>
      </c>
      <c r="N213">
        <v>-123.2698336</v>
      </c>
      <c r="O213">
        <v>0</v>
      </c>
      <c r="P213">
        <v>0</v>
      </c>
      <c r="Q213">
        <v>0</v>
      </c>
      <c r="R213">
        <v>3</v>
      </c>
      <c r="S213">
        <v>4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 t="s">
        <v>9342</v>
      </c>
      <c r="AB213" t="s">
        <v>242</v>
      </c>
      <c r="AC213" t="s">
        <v>3213</v>
      </c>
    </row>
    <row r="214" spans="1:29" x14ac:dyDescent="0.25">
      <c r="A214" t="s">
        <v>1453</v>
      </c>
      <c r="B214" t="s">
        <v>254</v>
      </c>
      <c r="C214" t="s">
        <v>354</v>
      </c>
      <c r="D214" t="s">
        <v>3209</v>
      </c>
      <c r="E214" t="s">
        <v>3246</v>
      </c>
      <c r="F214">
        <v>19570729</v>
      </c>
      <c r="G214" t="s">
        <v>9332</v>
      </c>
      <c r="H214" t="s">
        <v>242</v>
      </c>
      <c r="I214" t="s">
        <v>242</v>
      </c>
      <c r="J214" t="s">
        <v>242</v>
      </c>
      <c r="K214" t="s">
        <v>241</v>
      </c>
      <c r="L214" t="s">
        <v>242</v>
      </c>
      <c r="M214">
        <v>38.765853929999999</v>
      </c>
      <c r="N214">
        <v>-122.9989284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 t="s">
        <v>9333</v>
      </c>
      <c r="AB214" t="s">
        <v>242</v>
      </c>
      <c r="AC214" t="s">
        <v>3229</v>
      </c>
    </row>
    <row r="215" spans="1:29" x14ac:dyDescent="0.25">
      <c r="A215" t="s">
        <v>1456</v>
      </c>
      <c r="B215" t="s">
        <v>254</v>
      </c>
      <c r="C215" t="s">
        <v>317</v>
      </c>
      <c r="D215" t="s">
        <v>3209</v>
      </c>
      <c r="E215" t="s">
        <v>3246</v>
      </c>
      <c r="F215">
        <v>19571031</v>
      </c>
      <c r="G215" t="s">
        <v>9332</v>
      </c>
      <c r="H215" t="s">
        <v>242</v>
      </c>
      <c r="I215" t="s">
        <v>242</v>
      </c>
      <c r="J215" t="s">
        <v>242</v>
      </c>
      <c r="K215" t="s">
        <v>241</v>
      </c>
      <c r="L215" t="s">
        <v>242</v>
      </c>
      <c r="M215">
        <v>39.292989319999997</v>
      </c>
      <c r="N215">
        <v>-123.21062689999999</v>
      </c>
      <c r="O215">
        <v>0</v>
      </c>
      <c r="P215">
        <v>0</v>
      </c>
      <c r="Q215">
        <v>1.66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 t="s">
        <v>9335</v>
      </c>
      <c r="AB215" t="s">
        <v>242</v>
      </c>
      <c r="AC215" t="s">
        <v>3213</v>
      </c>
    </row>
    <row r="216" spans="1:29" x14ac:dyDescent="0.25">
      <c r="A216" t="s">
        <v>1460</v>
      </c>
      <c r="B216" t="s">
        <v>254</v>
      </c>
      <c r="C216" t="s">
        <v>348</v>
      </c>
      <c r="D216" t="s">
        <v>3209</v>
      </c>
      <c r="E216" t="s">
        <v>3246</v>
      </c>
      <c r="F216">
        <v>19571104</v>
      </c>
      <c r="G216" t="s">
        <v>9332</v>
      </c>
      <c r="H216" t="s">
        <v>242</v>
      </c>
      <c r="I216" t="s">
        <v>242</v>
      </c>
      <c r="J216" t="s">
        <v>242</v>
      </c>
      <c r="K216" t="s">
        <v>241</v>
      </c>
      <c r="L216" t="s">
        <v>242</v>
      </c>
      <c r="M216">
        <v>39.273496049999999</v>
      </c>
      <c r="N216">
        <v>-123.0693349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 t="s">
        <v>9342</v>
      </c>
      <c r="AB216" t="s">
        <v>242</v>
      </c>
      <c r="AC216" t="s">
        <v>3213</v>
      </c>
    </row>
    <row r="217" spans="1:29" x14ac:dyDescent="0.25">
      <c r="A217" t="s">
        <v>1459</v>
      </c>
      <c r="B217" t="s">
        <v>254</v>
      </c>
      <c r="C217" t="s">
        <v>348</v>
      </c>
      <c r="D217" t="s">
        <v>3209</v>
      </c>
      <c r="E217" t="s">
        <v>3246</v>
      </c>
      <c r="F217">
        <v>19571114</v>
      </c>
      <c r="G217" t="s">
        <v>9332</v>
      </c>
      <c r="H217" t="s">
        <v>242</v>
      </c>
      <c r="I217" t="s">
        <v>242</v>
      </c>
      <c r="J217" t="s">
        <v>242</v>
      </c>
      <c r="K217" t="s">
        <v>241</v>
      </c>
      <c r="L217" t="s">
        <v>242</v>
      </c>
      <c r="M217">
        <v>39.286412679999998</v>
      </c>
      <c r="N217">
        <v>-123.09779760000001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5.94</v>
      </c>
      <c r="U217">
        <v>6.37</v>
      </c>
      <c r="V217">
        <v>7.32</v>
      </c>
      <c r="W217">
        <v>3.51</v>
      </c>
      <c r="X217">
        <v>4.82</v>
      </c>
      <c r="Y217">
        <v>0</v>
      </c>
      <c r="Z217">
        <v>0</v>
      </c>
      <c r="AA217" t="s">
        <v>9335</v>
      </c>
      <c r="AB217" t="s">
        <v>242</v>
      </c>
      <c r="AC217" t="s">
        <v>3213</v>
      </c>
    </row>
    <row r="218" spans="1:29" x14ac:dyDescent="0.25">
      <c r="A218" t="s">
        <v>1457</v>
      </c>
      <c r="B218" t="s">
        <v>254</v>
      </c>
      <c r="C218" t="s">
        <v>319</v>
      </c>
      <c r="D218" t="s">
        <v>3209</v>
      </c>
      <c r="E218" t="s">
        <v>3246</v>
      </c>
      <c r="F218">
        <v>19571119</v>
      </c>
      <c r="G218" t="s">
        <v>9332</v>
      </c>
      <c r="H218" t="s">
        <v>241</v>
      </c>
      <c r="I218" t="s">
        <v>242</v>
      </c>
      <c r="J218" t="s">
        <v>242</v>
      </c>
      <c r="K218" t="s">
        <v>241</v>
      </c>
      <c r="L218" t="s">
        <v>242</v>
      </c>
      <c r="M218">
        <v>38.949023590000003</v>
      </c>
      <c r="N218">
        <v>-123.0890665</v>
      </c>
      <c r="O218">
        <v>0</v>
      </c>
      <c r="P218">
        <v>0</v>
      </c>
      <c r="Q218">
        <v>0</v>
      </c>
      <c r="R218">
        <v>0</v>
      </c>
      <c r="S218">
        <v>1.66</v>
      </c>
      <c r="T218">
        <v>3.73</v>
      </c>
      <c r="U218">
        <v>5.0599999999999996</v>
      </c>
      <c r="V218">
        <v>5.23</v>
      </c>
      <c r="W218">
        <v>4.3600000000000003</v>
      </c>
      <c r="X218">
        <v>0</v>
      </c>
      <c r="Y218">
        <v>0</v>
      </c>
      <c r="Z218">
        <v>0</v>
      </c>
      <c r="AA218" t="s">
        <v>9335</v>
      </c>
      <c r="AB218" t="s">
        <v>242</v>
      </c>
      <c r="AC218" t="s">
        <v>3213</v>
      </c>
    </row>
    <row r="219" spans="1:29" x14ac:dyDescent="0.25">
      <c r="A219" t="s">
        <v>56</v>
      </c>
      <c r="B219" t="s">
        <v>254</v>
      </c>
      <c r="C219" t="s">
        <v>333</v>
      </c>
      <c r="D219" t="s">
        <v>3209</v>
      </c>
      <c r="E219" t="s">
        <v>3246</v>
      </c>
      <c r="F219">
        <v>19571210</v>
      </c>
      <c r="G219" t="s">
        <v>9332</v>
      </c>
      <c r="H219" t="s">
        <v>241</v>
      </c>
      <c r="I219" t="s">
        <v>242</v>
      </c>
      <c r="J219" t="s">
        <v>242</v>
      </c>
      <c r="K219" t="s">
        <v>241</v>
      </c>
      <c r="L219" t="s">
        <v>242</v>
      </c>
      <c r="M219">
        <v>39.08011261</v>
      </c>
      <c r="N219">
        <v>-123.163304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9.5</v>
      </c>
      <c r="U219">
        <v>6.26</v>
      </c>
      <c r="V219">
        <v>0</v>
      </c>
      <c r="W219">
        <v>0</v>
      </c>
      <c r="X219">
        <v>0</v>
      </c>
      <c r="Y219">
        <v>0</v>
      </c>
      <c r="Z219">
        <v>0</v>
      </c>
      <c r="AA219" t="s">
        <v>9335</v>
      </c>
      <c r="AB219" t="s">
        <v>242</v>
      </c>
      <c r="AC219" t="s">
        <v>3213</v>
      </c>
    </row>
    <row r="220" spans="1:29" x14ac:dyDescent="0.25">
      <c r="A220" t="s">
        <v>58</v>
      </c>
      <c r="B220" t="s">
        <v>254</v>
      </c>
      <c r="C220" t="s">
        <v>333</v>
      </c>
      <c r="D220" t="s">
        <v>3209</v>
      </c>
      <c r="E220" t="s">
        <v>3246</v>
      </c>
      <c r="F220">
        <v>19571210</v>
      </c>
      <c r="G220" t="s">
        <v>9334</v>
      </c>
      <c r="H220" t="s">
        <v>241</v>
      </c>
      <c r="I220" t="s">
        <v>242</v>
      </c>
      <c r="J220" t="s">
        <v>242</v>
      </c>
      <c r="K220" t="s">
        <v>241</v>
      </c>
      <c r="L220" t="s">
        <v>242</v>
      </c>
      <c r="M220">
        <v>39.08692714</v>
      </c>
      <c r="N220">
        <v>-123.1683488</v>
      </c>
      <c r="O220">
        <v>0</v>
      </c>
      <c r="P220">
        <v>0</v>
      </c>
      <c r="Q220">
        <v>0</v>
      </c>
      <c r="R220">
        <v>0</v>
      </c>
      <c r="S220">
        <v>1</v>
      </c>
      <c r="T220">
        <v>4.8600000000000003</v>
      </c>
      <c r="U220">
        <v>7.96</v>
      </c>
      <c r="V220">
        <v>7.8</v>
      </c>
      <c r="W220">
        <v>1.03</v>
      </c>
      <c r="X220">
        <v>0</v>
      </c>
      <c r="Y220">
        <v>0</v>
      </c>
      <c r="Z220">
        <v>0</v>
      </c>
      <c r="AA220" t="s">
        <v>9335</v>
      </c>
      <c r="AB220" t="s">
        <v>242</v>
      </c>
      <c r="AC220" t="s">
        <v>3213</v>
      </c>
    </row>
    <row r="221" spans="1:29" x14ac:dyDescent="0.25">
      <c r="A221" t="s">
        <v>1428</v>
      </c>
      <c r="B221" t="s">
        <v>254</v>
      </c>
      <c r="C221" t="s">
        <v>311</v>
      </c>
      <c r="D221" t="s">
        <v>3209</v>
      </c>
      <c r="E221" t="s">
        <v>3246</v>
      </c>
      <c r="F221">
        <v>19580205</v>
      </c>
      <c r="G221" t="s">
        <v>9332</v>
      </c>
      <c r="H221" t="s">
        <v>242</v>
      </c>
      <c r="I221" t="s">
        <v>242</v>
      </c>
      <c r="J221" t="s">
        <v>242</v>
      </c>
      <c r="K221" t="s">
        <v>241</v>
      </c>
      <c r="L221" t="s">
        <v>242</v>
      </c>
      <c r="M221">
        <v>38.617360060000003</v>
      </c>
      <c r="N221">
        <v>-122.77423690000001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8.4600000000000009</v>
      </c>
      <c r="U221">
        <v>8.4600000000000009</v>
      </c>
      <c r="V221">
        <v>8.4600000000000009</v>
      </c>
      <c r="W221">
        <v>8.4600000000000009</v>
      </c>
      <c r="X221">
        <v>8.4600000000000009</v>
      </c>
      <c r="Y221">
        <v>8.4600000000000009</v>
      </c>
      <c r="Z221">
        <v>0</v>
      </c>
      <c r="AA221" t="s">
        <v>9335</v>
      </c>
      <c r="AB221" t="s">
        <v>242</v>
      </c>
      <c r="AC221" t="s">
        <v>3229</v>
      </c>
    </row>
    <row r="222" spans="1:29" x14ac:dyDescent="0.25">
      <c r="A222" t="s">
        <v>92</v>
      </c>
      <c r="B222" t="s">
        <v>254</v>
      </c>
      <c r="C222" t="s">
        <v>319</v>
      </c>
      <c r="D222" t="s">
        <v>3209</v>
      </c>
      <c r="E222" t="s">
        <v>3246</v>
      </c>
      <c r="F222">
        <v>19580411</v>
      </c>
      <c r="G222" t="s">
        <v>9334</v>
      </c>
      <c r="H222" t="s">
        <v>241</v>
      </c>
      <c r="I222" t="s">
        <v>242</v>
      </c>
      <c r="J222" t="s">
        <v>242</v>
      </c>
      <c r="K222" t="s">
        <v>241</v>
      </c>
      <c r="L222" t="s">
        <v>242</v>
      </c>
      <c r="M222">
        <v>38.986203809999999</v>
      </c>
      <c r="N222">
        <v>-123.1065253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0.7</v>
      </c>
      <c r="V222">
        <v>0.33</v>
      </c>
      <c r="W222">
        <v>0.3</v>
      </c>
      <c r="X222">
        <v>0</v>
      </c>
      <c r="Y222">
        <v>0</v>
      </c>
      <c r="Z222">
        <v>0</v>
      </c>
      <c r="AA222" t="s">
        <v>9335</v>
      </c>
      <c r="AB222" t="s">
        <v>242</v>
      </c>
      <c r="AC222" t="s">
        <v>3213</v>
      </c>
    </row>
    <row r="223" spans="1:29" x14ac:dyDescent="0.25">
      <c r="A223" t="s">
        <v>1431</v>
      </c>
      <c r="B223" t="s">
        <v>254</v>
      </c>
      <c r="C223" t="s">
        <v>319</v>
      </c>
      <c r="D223" t="s">
        <v>3209</v>
      </c>
      <c r="E223" t="s">
        <v>3246</v>
      </c>
      <c r="F223">
        <v>19580411</v>
      </c>
      <c r="G223" t="s">
        <v>9334</v>
      </c>
      <c r="H223" t="s">
        <v>241</v>
      </c>
      <c r="I223" t="s">
        <v>242</v>
      </c>
      <c r="J223" t="s">
        <v>242</v>
      </c>
      <c r="K223" t="s">
        <v>241</v>
      </c>
      <c r="L223" t="s">
        <v>242</v>
      </c>
      <c r="M223">
        <v>38.986699999999999</v>
      </c>
      <c r="N223">
        <v>-123.10680000000001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0.21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 t="s">
        <v>9335</v>
      </c>
      <c r="AB223" t="s">
        <v>242</v>
      </c>
      <c r="AC223" t="s">
        <v>3213</v>
      </c>
    </row>
    <row r="224" spans="1:29" x14ac:dyDescent="0.25">
      <c r="A224" t="s">
        <v>1434</v>
      </c>
      <c r="B224" t="s">
        <v>254</v>
      </c>
      <c r="C224" t="s">
        <v>308</v>
      </c>
      <c r="D224" t="s">
        <v>3209</v>
      </c>
      <c r="E224" t="s">
        <v>3246</v>
      </c>
      <c r="F224">
        <v>19580516</v>
      </c>
      <c r="G224" t="s">
        <v>9332</v>
      </c>
      <c r="H224" t="s">
        <v>242</v>
      </c>
      <c r="I224" t="s">
        <v>242</v>
      </c>
      <c r="J224" t="s">
        <v>242</v>
      </c>
      <c r="K224" t="s">
        <v>241</v>
      </c>
      <c r="L224" t="s">
        <v>242</v>
      </c>
      <c r="M224">
        <v>38.63853185</v>
      </c>
      <c r="N224">
        <v>-122.67272269999999</v>
      </c>
      <c r="O224">
        <v>14.53</v>
      </c>
      <c r="P224">
        <v>9.66</v>
      </c>
      <c r="Q224">
        <v>10.93</v>
      </c>
      <c r="R224">
        <v>6.06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4.9000000000000004</v>
      </c>
      <c r="Z224">
        <v>11.43</v>
      </c>
      <c r="AA224" t="s">
        <v>9335</v>
      </c>
      <c r="AB224" t="s">
        <v>242</v>
      </c>
      <c r="AC224" t="s">
        <v>3229</v>
      </c>
    </row>
    <row r="225" spans="1:29" x14ac:dyDescent="0.25">
      <c r="A225" t="s">
        <v>1437</v>
      </c>
      <c r="B225" t="s">
        <v>254</v>
      </c>
      <c r="C225" t="s">
        <v>333</v>
      </c>
      <c r="D225" t="s">
        <v>3209</v>
      </c>
      <c r="E225" t="s">
        <v>3246</v>
      </c>
      <c r="F225">
        <v>19580626</v>
      </c>
      <c r="G225" t="s">
        <v>9332</v>
      </c>
      <c r="H225" t="s">
        <v>242</v>
      </c>
      <c r="I225" t="s">
        <v>242</v>
      </c>
      <c r="J225" t="s">
        <v>242</v>
      </c>
      <c r="K225" t="s">
        <v>241</v>
      </c>
      <c r="L225" t="s">
        <v>242</v>
      </c>
      <c r="M225">
        <v>39.104229160000003</v>
      </c>
      <c r="N225">
        <v>-123.1952429</v>
      </c>
      <c r="O225">
        <v>0</v>
      </c>
      <c r="P225">
        <v>0</v>
      </c>
      <c r="Q225">
        <v>0</v>
      </c>
      <c r="R225">
        <v>0</v>
      </c>
      <c r="S225">
        <v>7.0000000000000007E-2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 t="s">
        <v>9335</v>
      </c>
      <c r="AB225" t="s">
        <v>242</v>
      </c>
      <c r="AC225" t="s">
        <v>3213</v>
      </c>
    </row>
    <row r="226" spans="1:29" x14ac:dyDescent="0.25">
      <c r="A226" t="s">
        <v>1440</v>
      </c>
      <c r="B226" t="s">
        <v>254</v>
      </c>
      <c r="C226" t="s">
        <v>436</v>
      </c>
      <c r="D226" t="s">
        <v>3209</v>
      </c>
      <c r="E226" t="s">
        <v>3246</v>
      </c>
      <c r="F226">
        <v>19580730</v>
      </c>
      <c r="G226" t="s">
        <v>9332</v>
      </c>
      <c r="H226" t="s">
        <v>241</v>
      </c>
      <c r="I226" t="s">
        <v>242</v>
      </c>
      <c r="J226" t="s">
        <v>242</v>
      </c>
      <c r="K226" t="s">
        <v>241</v>
      </c>
      <c r="L226" t="s">
        <v>242</v>
      </c>
      <c r="M226">
        <v>38.689222209999997</v>
      </c>
      <c r="N226">
        <v>-122.8640118</v>
      </c>
      <c r="O226">
        <v>0</v>
      </c>
      <c r="P226">
        <v>0</v>
      </c>
      <c r="Q226">
        <v>0</v>
      </c>
      <c r="R226">
        <v>0.03</v>
      </c>
      <c r="S226">
        <v>0.1</v>
      </c>
      <c r="T226">
        <v>0.56000000000000005</v>
      </c>
      <c r="U226">
        <v>0.83</v>
      </c>
      <c r="V226">
        <v>0.83</v>
      </c>
      <c r="W226">
        <v>0.46</v>
      </c>
      <c r="X226">
        <v>0.03</v>
      </c>
      <c r="Y226">
        <v>0</v>
      </c>
      <c r="Z226">
        <v>0</v>
      </c>
      <c r="AA226" t="s">
        <v>9335</v>
      </c>
      <c r="AB226" t="s">
        <v>242</v>
      </c>
      <c r="AC226" t="s">
        <v>3229</v>
      </c>
    </row>
    <row r="227" spans="1:29" x14ac:dyDescent="0.25">
      <c r="A227" t="s">
        <v>1441</v>
      </c>
      <c r="B227" t="s">
        <v>254</v>
      </c>
      <c r="C227" t="s">
        <v>317</v>
      </c>
      <c r="D227" t="s">
        <v>3209</v>
      </c>
      <c r="E227" t="s">
        <v>3246</v>
      </c>
      <c r="F227">
        <v>19580819</v>
      </c>
      <c r="G227" t="s">
        <v>9332</v>
      </c>
      <c r="H227" t="s">
        <v>242</v>
      </c>
      <c r="I227" t="s">
        <v>242</v>
      </c>
      <c r="J227" t="s">
        <v>242</v>
      </c>
      <c r="K227" t="s">
        <v>241</v>
      </c>
      <c r="L227" t="s">
        <v>242</v>
      </c>
      <c r="M227">
        <v>39.24916606</v>
      </c>
      <c r="N227">
        <v>-123.17279430000001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 t="s">
        <v>9333</v>
      </c>
      <c r="AB227" t="s">
        <v>242</v>
      </c>
      <c r="AC227" t="s">
        <v>3213</v>
      </c>
    </row>
    <row r="228" spans="1:29" x14ac:dyDescent="0.25">
      <c r="A228" t="s">
        <v>1442</v>
      </c>
      <c r="B228" t="s">
        <v>254</v>
      </c>
      <c r="C228" t="s">
        <v>317</v>
      </c>
      <c r="D228" t="s">
        <v>3209</v>
      </c>
      <c r="E228" t="s">
        <v>3246</v>
      </c>
      <c r="F228">
        <v>19580819</v>
      </c>
      <c r="G228" t="s">
        <v>9332</v>
      </c>
      <c r="H228" t="s">
        <v>242</v>
      </c>
      <c r="I228" t="s">
        <v>242</v>
      </c>
      <c r="J228" t="s">
        <v>242</v>
      </c>
      <c r="K228" t="s">
        <v>241</v>
      </c>
      <c r="L228" t="s">
        <v>242</v>
      </c>
      <c r="M228">
        <v>39.248872050000003</v>
      </c>
      <c r="N228">
        <v>-123.1747318</v>
      </c>
      <c r="O228">
        <v>1.8</v>
      </c>
      <c r="P228">
        <v>0</v>
      </c>
      <c r="Q228">
        <v>0.75</v>
      </c>
      <c r="R228">
        <v>1.25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1.1000000000000001</v>
      </c>
      <c r="AA228" t="s">
        <v>9335</v>
      </c>
      <c r="AB228" t="s">
        <v>242</v>
      </c>
      <c r="AC228" t="s">
        <v>3213</v>
      </c>
    </row>
    <row r="229" spans="1:29" x14ac:dyDescent="0.25">
      <c r="A229" t="s">
        <v>1444</v>
      </c>
      <c r="B229" t="s">
        <v>254</v>
      </c>
      <c r="C229" t="s">
        <v>317</v>
      </c>
      <c r="D229" t="s">
        <v>3209</v>
      </c>
      <c r="E229" t="s">
        <v>3246</v>
      </c>
      <c r="F229">
        <v>19580922</v>
      </c>
      <c r="G229" t="s">
        <v>9332</v>
      </c>
      <c r="H229" t="s">
        <v>242</v>
      </c>
      <c r="I229" t="s">
        <v>242</v>
      </c>
      <c r="J229" t="s">
        <v>242</v>
      </c>
      <c r="K229" t="s">
        <v>241</v>
      </c>
      <c r="L229" t="s">
        <v>242</v>
      </c>
      <c r="M229">
        <v>39.276937789999998</v>
      </c>
      <c r="N229">
        <v>-123.22271720000001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 t="s">
        <v>9341</v>
      </c>
      <c r="AB229" t="s">
        <v>242</v>
      </c>
      <c r="AC229" t="s">
        <v>3213</v>
      </c>
    </row>
    <row r="230" spans="1:29" x14ac:dyDescent="0.25">
      <c r="A230" t="s">
        <v>1413</v>
      </c>
      <c r="B230" t="s">
        <v>254</v>
      </c>
      <c r="C230" t="s">
        <v>317</v>
      </c>
      <c r="D230" t="s">
        <v>3209</v>
      </c>
      <c r="E230" t="s">
        <v>3246</v>
      </c>
      <c r="F230">
        <v>19590417</v>
      </c>
      <c r="G230" t="s">
        <v>9338</v>
      </c>
      <c r="H230" t="s">
        <v>242</v>
      </c>
      <c r="I230" t="s">
        <v>242</v>
      </c>
      <c r="J230" t="s">
        <v>242</v>
      </c>
      <c r="K230" t="s">
        <v>241</v>
      </c>
      <c r="L230" t="s">
        <v>242</v>
      </c>
      <c r="M230">
        <v>39.335888650000001</v>
      </c>
      <c r="N230">
        <v>-123.2308105</v>
      </c>
      <c r="O230">
        <v>0.25</v>
      </c>
      <c r="P230">
        <v>0.25</v>
      </c>
      <c r="Q230">
        <v>0.5</v>
      </c>
      <c r="R230">
        <v>0.7</v>
      </c>
      <c r="S230">
        <v>0.73</v>
      </c>
      <c r="T230">
        <v>0.5</v>
      </c>
      <c r="U230">
        <v>0.66</v>
      </c>
      <c r="V230">
        <v>0.5</v>
      </c>
      <c r="W230">
        <v>0.4</v>
      </c>
      <c r="X230">
        <v>0.21</v>
      </c>
      <c r="Y230">
        <v>0.1</v>
      </c>
      <c r="Z230">
        <v>0.06</v>
      </c>
      <c r="AA230" t="s">
        <v>9335</v>
      </c>
      <c r="AB230" t="s">
        <v>242</v>
      </c>
      <c r="AC230" t="s">
        <v>3213</v>
      </c>
    </row>
    <row r="231" spans="1:29" x14ac:dyDescent="0.25">
      <c r="A231" t="s">
        <v>1414</v>
      </c>
      <c r="B231" t="s">
        <v>254</v>
      </c>
      <c r="C231" t="s">
        <v>354</v>
      </c>
      <c r="D231" t="s">
        <v>3209</v>
      </c>
      <c r="E231" t="s">
        <v>3246</v>
      </c>
      <c r="F231">
        <v>19590417</v>
      </c>
      <c r="G231" t="s">
        <v>9332</v>
      </c>
      <c r="H231" t="s">
        <v>241</v>
      </c>
      <c r="I231" t="s">
        <v>242</v>
      </c>
      <c r="J231" t="s">
        <v>242</v>
      </c>
      <c r="K231" t="s">
        <v>241</v>
      </c>
      <c r="L231" t="s">
        <v>242</v>
      </c>
      <c r="M231">
        <v>38.784819730000002</v>
      </c>
      <c r="N231">
        <v>-122.99673850000001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2.5140000000000002E-3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 t="s">
        <v>9340</v>
      </c>
      <c r="AB231" t="s">
        <v>242</v>
      </c>
      <c r="AC231" t="s">
        <v>3229</v>
      </c>
    </row>
    <row r="232" spans="1:29" x14ac:dyDescent="0.25">
      <c r="A232" t="s">
        <v>1416</v>
      </c>
      <c r="B232" t="s">
        <v>254</v>
      </c>
      <c r="C232" t="s">
        <v>436</v>
      </c>
      <c r="D232" t="s">
        <v>3209</v>
      </c>
      <c r="E232" t="s">
        <v>3246</v>
      </c>
      <c r="F232">
        <v>19590629</v>
      </c>
      <c r="G232" t="s">
        <v>9334</v>
      </c>
      <c r="H232" t="s">
        <v>242</v>
      </c>
      <c r="I232" t="s">
        <v>242</v>
      </c>
      <c r="J232" t="s">
        <v>242</v>
      </c>
      <c r="K232" t="s">
        <v>241</v>
      </c>
      <c r="L232" t="s">
        <v>242</v>
      </c>
      <c r="M232">
        <v>38.674280340000003</v>
      </c>
      <c r="N232">
        <v>-122.8032293</v>
      </c>
      <c r="O232">
        <v>2</v>
      </c>
      <c r="P232">
        <v>1.96</v>
      </c>
      <c r="Q232">
        <v>0.66</v>
      </c>
      <c r="R232">
        <v>0.4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 t="s">
        <v>9335</v>
      </c>
      <c r="AB232" t="s">
        <v>242</v>
      </c>
      <c r="AC232" t="s">
        <v>3229</v>
      </c>
    </row>
    <row r="233" spans="1:29" x14ac:dyDescent="0.25">
      <c r="A233" t="s">
        <v>1418</v>
      </c>
      <c r="B233" t="s">
        <v>254</v>
      </c>
      <c r="C233" t="s">
        <v>311</v>
      </c>
      <c r="D233" t="s">
        <v>3209</v>
      </c>
      <c r="E233" t="s">
        <v>3246</v>
      </c>
      <c r="F233">
        <v>19590828</v>
      </c>
      <c r="G233" t="s">
        <v>9332</v>
      </c>
      <c r="H233" t="s">
        <v>242</v>
      </c>
      <c r="I233" t="s">
        <v>242</v>
      </c>
      <c r="J233" t="s">
        <v>242</v>
      </c>
      <c r="K233" t="s">
        <v>241</v>
      </c>
      <c r="L233" t="s">
        <v>242</v>
      </c>
      <c r="M233">
        <v>38.601345180000003</v>
      </c>
      <c r="N233">
        <v>-122.7457181</v>
      </c>
      <c r="O233">
        <v>0.33</v>
      </c>
      <c r="P233">
        <v>0.66</v>
      </c>
      <c r="Q233">
        <v>0.33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0.33</v>
      </c>
      <c r="Z233">
        <v>0.66</v>
      </c>
      <c r="AA233" t="s">
        <v>9335</v>
      </c>
      <c r="AB233" t="s">
        <v>242</v>
      </c>
      <c r="AC233" t="s">
        <v>3229</v>
      </c>
    </row>
    <row r="234" spans="1:29" x14ac:dyDescent="0.25">
      <c r="A234" t="s">
        <v>1423</v>
      </c>
      <c r="B234" t="s">
        <v>254</v>
      </c>
      <c r="C234" t="s">
        <v>348</v>
      </c>
      <c r="D234" t="s">
        <v>3209</v>
      </c>
      <c r="E234" t="s">
        <v>3246</v>
      </c>
      <c r="F234">
        <v>19591109</v>
      </c>
      <c r="G234" t="s">
        <v>9332</v>
      </c>
      <c r="H234" t="s">
        <v>242</v>
      </c>
      <c r="I234" t="s">
        <v>242</v>
      </c>
      <c r="J234" t="s">
        <v>242</v>
      </c>
      <c r="K234" t="s">
        <v>241</v>
      </c>
      <c r="L234" t="s">
        <v>242</v>
      </c>
      <c r="M234">
        <v>39.329696800000001</v>
      </c>
      <c r="N234">
        <v>-123.1083706</v>
      </c>
      <c r="O234">
        <v>0</v>
      </c>
      <c r="P234">
        <v>0</v>
      </c>
      <c r="Q234">
        <v>0</v>
      </c>
      <c r="R234">
        <v>2</v>
      </c>
      <c r="S234">
        <v>10</v>
      </c>
      <c r="T234">
        <v>10</v>
      </c>
      <c r="U234">
        <v>10</v>
      </c>
      <c r="V234">
        <v>10</v>
      </c>
      <c r="W234">
        <v>10</v>
      </c>
      <c r="X234">
        <v>2</v>
      </c>
      <c r="Y234">
        <v>0</v>
      </c>
      <c r="Z234">
        <v>0</v>
      </c>
      <c r="AA234" t="s">
        <v>9335</v>
      </c>
      <c r="AB234" t="s">
        <v>242</v>
      </c>
      <c r="AC234" t="s">
        <v>3213</v>
      </c>
    </row>
    <row r="235" spans="1:29" x14ac:dyDescent="0.25">
      <c r="A235" t="s">
        <v>1425</v>
      </c>
      <c r="B235" t="s">
        <v>254</v>
      </c>
      <c r="C235" t="s">
        <v>331</v>
      </c>
      <c r="D235" t="s">
        <v>3209</v>
      </c>
      <c r="E235" t="s">
        <v>3246</v>
      </c>
      <c r="F235">
        <v>19591214</v>
      </c>
      <c r="G235" t="s">
        <v>9332</v>
      </c>
      <c r="H235" t="s">
        <v>242</v>
      </c>
      <c r="I235" t="s">
        <v>242</v>
      </c>
      <c r="J235" t="s">
        <v>242</v>
      </c>
      <c r="K235" t="s">
        <v>241</v>
      </c>
      <c r="L235" t="s">
        <v>242</v>
      </c>
      <c r="M235">
        <v>39.122010250000002</v>
      </c>
      <c r="N235">
        <v>-123.118869</v>
      </c>
      <c r="O235">
        <v>2.8533299999999997E-4</v>
      </c>
      <c r="P235">
        <v>1.7200000000000001E-4</v>
      </c>
      <c r="Q235">
        <v>3.4866699999999999E-4</v>
      </c>
      <c r="R235">
        <v>5.8299999999999997E-4</v>
      </c>
      <c r="S235">
        <v>5.7066699999999996E-4</v>
      </c>
      <c r="T235">
        <v>7.9799999999999999E-4</v>
      </c>
      <c r="U235">
        <v>1.9659999999999999E-3</v>
      </c>
      <c r="V235">
        <v>1.6806670000000001E-3</v>
      </c>
      <c r="W235">
        <v>1.3196670000000001E-3</v>
      </c>
      <c r="X235">
        <v>1.2999999999999999E-3</v>
      </c>
      <c r="Y235">
        <v>5.2166699999999996E-4</v>
      </c>
      <c r="Z235">
        <v>7.9299999999999998E-4</v>
      </c>
      <c r="AA235" t="s">
        <v>9333</v>
      </c>
      <c r="AB235" t="s">
        <v>242</v>
      </c>
      <c r="AC235" t="s">
        <v>3213</v>
      </c>
    </row>
    <row r="236" spans="1:29" x14ac:dyDescent="0.25">
      <c r="A236" t="s">
        <v>1426</v>
      </c>
      <c r="B236" t="s">
        <v>254</v>
      </c>
      <c r="C236" t="s">
        <v>311</v>
      </c>
      <c r="D236" t="s">
        <v>3209</v>
      </c>
      <c r="E236" t="s">
        <v>3246</v>
      </c>
      <c r="F236">
        <v>19591218</v>
      </c>
      <c r="G236" t="s">
        <v>9332</v>
      </c>
      <c r="H236" t="s">
        <v>242</v>
      </c>
      <c r="I236" t="s">
        <v>242</v>
      </c>
      <c r="J236" t="s">
        <v>242</v>
      </c>
      <c r="K236" t="s">
        <v>241</v>
      </c>
      <c r="L236" t="s">
        <v>242</v>
      </c>
      <c r="M236">
        <v>38.614700919999997</v>
      </c>
      <c r="N236">
        <v>-122.67200800000001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 t="s">
        <v>9342</v>
      </c>
      <c r="AB236" t="s">
        <v>242</v>
      </c>
      <c r="AC236" t="s">
        <v>3229</v>
      </c>
    </row>
    <row r="237" spans="1:29" x14ac:dyDescent="0.25">
      <c r="A237" t="s">
        <v>1391</v>
      </c>
      <c r="B237" t="s">
        <v>254</v>
      </c>
      <c r="C237" t="s">
        <v>317</v>
      </c>
      <c r="D237" t="s">
        <v>3209</v>
      </c>
      <c r="E237" t="s">
        <v>3246</v>
      </c>
      <c r="F237">
        <v>19600401</v>
      </c>
      <c r="G237" t="s">
        <v>9332</v>
      </c>
      <c r="H237" t="s">
        <v>242</v>
      </c>
      <c r="I237" t="s">
        <v>242</v>
      </c>
      <c r="J237" t="s">
        <v>242</v>
      </c>
      <c r="K237" t="s">
        <v>241</v>
      </c>
      <c r="L237" t="s">
        <v>242</v>
      </c>
      <c r="M237">
        <v>39.291773790000001</v>
      </c>
      <c r="N237">
        <v>-123.221914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 t="s">
        <v>9341</v>
      </c>
      <c r="AB237" t="s">
        <v>242</v>
      </c>
      <c r="AC237" t="s">
        <v>3213</v>
      </c>
    </row>
    <row r="238" spans="1:29" x14ac:dyDescent="0.25">
      <c r="A238" t="s">
        <v>1392</v>
      </c>
      <c r="B238" t="s">
        <v>254</v>
      </c>
      <c r="C238" t="s">
        <v>311</v>
      </c>
      <c r="D238" t="s">
        <v>3209</v>
      </c>
      <c r="E238" t="s">
        <v>3246</v>
      </c>
      <c r="F238">
        <v>19600404</v>
      </c>
      <c r="G238" t="s">
        <v>9332</v>
      </c>
      <c r="H238" t="s">
        <v>241</v>
      </c>
      <c r="I238" t="s">
        <v>242</v>
      </c>
      <c r="J238" t="s">
        <v>242</v>
      </c>
      <c r="K238" t="s">
        <v>241</v>
      </c>
      <c r="L238" t="s">
        <v>242</v>
      </c>
      <c r="M238">
        <v>38.630324280000004</v>
      </c>
      <c r="N238">
        <v>-122.8447439</v>
      </c>
      <c r="O238">
        <v>0</v>
      </c>
      <c r="P238">
        <v>0</v>
      </c>
      <c r="Q238">
        <v>0</v>
      </c>
      <c r="R238">
        <v>0</v>
      </c>
      <c r="S238">
        <v>0.19</v>
      </c>
      <c r="T238">
        <v>0.39</v>
      </c>
      <c r="U238">
        <v>0.57999999999999996</v>
      </c>
      <c r="V238">
        <v>0.57999999999999996</v>
      </c>
      <c r="W238">
        <v>0.49</v>
      </c>
      <c r="X238">
        <v>0.24</v>
      </c>
      <c r="Y238">
        <v>0</v>
      </c>
      <c r="Z238">
        <v>0</v>
      </c>
      <c r="AA238" t="s">
        <v>9335</v>
      </c>
      <c r="AB238" t="s">
        <v>242</v>
      </c>
      <c r="AC238" t="s">
        <v>3229</v>
      </c>
    </row>
    <row r="239" spans="1:29" x14ac:dyDescent="0.25">
      <c r="A239" t="s">
        <v>1396</v>
      </c>
      <c r="B239" t="s">
        <v>254</v>
      </c>
      <c r="C239" t="s">
        <v>436</v>
      </c>
      <c r="D239" t="s">
        <v>3209</v>
      </c>
      <c r="E239" t="s">
        <v>3246</v>
      </c>
      <c r="F239">
        <v>19600509</v>
      </c>
      <c r="G239" t="s">
        <v>9334</v>
      </c>
      <c r="H239" t="s">
        <v>242</v>
      </c>
      <c r="I239" t="s">
        <v>242</v>
      </c>
      <c r="J239" t="s">
        <v>242</v>
      </c>
      <c r="K239" t="s">
        <v>241</v>
      </c>
      <c r="L239" t="s">
        <v>242</v>
      </c>
      <c r="M239">
        <v>38.69175577</v>
      </c>
      <c r="N239">
        <v>-122.8174417</v>
      </c>
      <c r="O239">
        <v>0</v>
      </c>
      <c r="P239">
        <v>0</v>
      </c>
      <c r="Q239">
        <v>14.97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 t="s">
        <v>9335</v>
      </c>
      <c r="AB239" t="s">
        <v>242</v>
      </c>
      <c r="AC239" t="s">
        <v>3229</v>
      </c>
    </row>
    <row r="240" spans="1:29" x14ac:dyDescent="0.25">
      <c r="A240" t="s">
        <v>1370</v>
      </c>
      <c r="B240" t="s">
        <v>254</v>
      </c>
      <c r="C240" t="s">
        <v>311</v>
      </c>
      <c r="D240" t="s">
        <v>3209</v>
      </c>
      <c r="E240" t="s">
        <v>3246</v>
      </c>
      <c r="F240">
        <v>19610117</v>
      </c>
      <c r="G240" t="s">
        <v>9332</v>
      </c>
      <c r="H240" t="s">
        <v>242</v>
      </c>
      <c r="I240" t="s">
        <v>242</v>
      </c>
      <c r="J240" t="s">
        <v>242</v>
      </c>
      <c r="K240" t="s">
        <v>241</v>
      </c>
      <c r="L240" t="s">
        <v>242</v>
      </c>
      <c r="M240">
        <v>38.589025249999999</v>
      </c>
      <c r="N240">
        <v>-122.647975</v>
      </c>
      <c r="O240">
        <v>1.33</v>
      </c>
      <c r="P240">
        <v>0.66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0.33</v>
      </c>
      <c r="Z240">
        <v>0.66</v>
      </c>
      <c r="AA240" t="s">
        <v>9335</v>
      </c>
      <c r="AB240" t="s">
        <v>242</v>
      </c>
      <c r="AC240" t="s">
        <v>3229</v>
      </c>
    </row>
    <row r="241" spans="1:29" x14ac:dyDescent="0.25">
      <c r="A241" t="s">
        <v>1373</v>
      </c>
      <c r="B241" t="s">
        <v>254</v>
      </c>
      <c r="C241" t="s">
        <v>436</v>
      </c>
      <c r="D241" t="s">
        <v>3209</v>
      </c>
      <c r="E241" t="s">
        <v>3246</v>
      </c>
      <c r="F241">
        <v>19610424</v>
      </c>
      <c r="G241" t="s">
        <v>9334</v>
      </c>
      <c r="H241" t="s">
        <v>242</v>
      </c>
      <c r="I241" t="s">
        <v>242</v>
      </c>
      <c r="J241" t="s">
        <v>242</v>
      </c>
      <c r="K241" t="s">
        <v>241</v>
      </c>
      <c r="L241" t="s">
        <v>242</v>
      </c>
      <c r="M241">
        <v>38.650078669999999</v>
      </c>
      <c r="N241">
        <v>-122.8470791</v>
      </c>
      <c r="O241">
        <v>6.73</v>
      </c>
      <c r="P241">
        <v>1.26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1.9</v>
      </c>
      <c r="Y241">
        <v>2.36</v>
      </c>
      <c r="Z241">
        <v>35.630000000000003</v>
      </c>
      <c r="AA241" t="s">
        <v>9342</v>
      </c>
      <c r="AB241" t="s">
        <v>242</v>
      </c>
      <c r="AC241" t="s">
        <v>3229</v>
      </c>
    </row>
    <row r="242" spans="1:29" x14ac:dyDescent="0.25">
      <c r="A242" t="s">
        <v>1381</v>
      </c>
      <c r="B242" t="s">
        <v>254</v>
      </c>
      <c r="C242" t="s">
        <v>311</v>
      </c>
      <c r="D242" t="s">
        <v>3209</v>
      </c>
      <c r="E242" t="s">
        <v>3246</v>
      </c>
      <c r="F242">
        <v>19610731</v>
      </c>
      <c r="G242" t="s">
        <v>9332</v>
      </c>
      <c r="H242" t="s">
        <v>242</v>
      </c>
      <c r="I242" t="s">
        <v>242</v>
      </c>
      <c r="J242" t="s">
        <v>242</v>
      </c>
      <c r="K242" t="s">
        <v>241</v>
      </c>
      <c r="L242" t="s">
        <v>242</v>
      </c>
      <c r="M242">
        <v>38.615977579999999</v>
      </c>
      <c r="N242">
        <v>-122.6884702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 t="s">
        <v>9335</v>
      </c>
      <c r="AB242" t="s">
        <v>242</v>
      </c>
      <c r="AC242" t="s">
        <v>3229</v>
      </c>
    </row>
    <row r="243" spans="1:29" x14ac:dyDescent="0.25">
      <c r="A243" t="s">
        <v>1385</v>
      </c>
      <c r="B243" t="s">
        <v>254</v>
      </c>
      <c r="C243" t="s">
        <v>354</v>
      </c>
      <c r="D243" t="s">
        <v>3209</v>
      </c>
      <c r="E243" t="s">
        <v>3246</v>
      </c>
      <c r="F243">
        <v>19611016</v>
      </c>
      <c r="G243" t="s">
        <v>9332</v>
      </c>
      <c r="H243" t="s">
        <v>242</v>
      </c>
      <c r="I243" t="s">
        <v>242</v>
      </c>
      <c r="J243" t="s">
        <v>242</v>
      </c>
      <c r="K243" t="s">
        <v>241</v>
      </c>
      <c r="L243" t="s">
        <v>242</v>
      </c>
      <c r="M243">
        <v>38.74448082</v>
      </c>
      <c r="N243">
        <v>-122.927097</v>
      </c>
      <c r="O243">
        <v>1.33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3.66</v>
      </c>
      <c r="Y243">
        <v>4.33</v>
      </c>
      <c r="Z243">
        <v>4</v>
      </c>
      <c r="AA243" t="s">
        <v>9335</v>
      </c>
      <c r="AB243" t="s">
        <v>242</v>
      </c>
      <c r="AC243" t="s">
        <v>3229</v>
      </c>
    </row>
    <row r="244" spans="1:29" x14ac:dyDescent="0.25">
      <c r="A244" t="s">
        <v>43</v>
      </c>
      <c r="B244" t="s">
        <v>254</v>
      </c>
      <c r="C244" t="s">
        <v>333</v>
      </c>
      <c r="D244" t="s">
        <v>3209</v>
      </c>
      <c r="E244" t="s">
        <v>3246</v>
      </c>
      <c r="F244">
        <v>19611227</v>
      </c>
      <c r="G244" t="s">
        <v>9334</v>
      </c>
      <c r="H244" t="s">
        <v>241</v>
      </c>
      <c r="I244" t="s">
        <v>242</v>
      </c>
      <c r="J244" t="s">
        <v>242</v>
      </c>
      <c r="K244" t="s">
        <v>241</v>
      </c>
      <c r="L244" t="s">
        <v>242</v>
      </c>
      <c r="M244">
        <v>39.076900000000002</v>
      </c>
      <c r="N244">
        <v>-123.1628</v>
      </c>
      <c r="O244">
        <v>0</v>
      </c>
      <c r="P244">
        <v>0</v>
      </c>
      <c r="Q244">
        <v>0</v>
      </c>
      <c r="R244">
        <v>0</v>
      </c>
      <c r="S244">
        <v>1.34</v>
      </c>
      <c r="T244">
        <v>21.95</v>
      </c>
      <c r="U244">
        <v>33.64</v>
      </c>
      <c r="V244">
        <v>0</v>
      </c>
      <c r="W244">
        <v>0</v>
      </c>
      <c r="X244">
        <v>0</v>
      </c>
      <c r="Y244">
        <v>0</v>
      </c>
      <c r="Z244">
        <v>0</v>
      </c>
      <c r="AA244" t="s">
        <v>9335</v>
      </c>
      <c r="AB244" t="s">
        <v>242</v>
      </c>
      <c r="AC244" t="s">
        <v>3213</v>
      </c>
    </row>
    <row r="245" spans="1:29" x14ac:dyDescent="0.25">
      <c r="A245" t="s">
        <v>1339</v>
      </c>
      <c r="B245" t="s">
        <v>254</v>
      </c>
      <c r="C245" t="s">
        <v>354</v>
      </c>
      <c r="D245" t="s">
        <v>3209</v>
      </c>
      <c r="E245" t="s">
        <v>3246</v>
      </c>
      <c r="F245">
        <v>19620201</v>
      </c>
      <c r="G245" t="s">
        <v>9332</v>
      </c>
      <c r="H245" t="s">
        <v>241</v>
      </c>
      <c r="I245" t="s">
        <v>242</v>
      </c>
      <c r="J245" t="s">
        <v>242</v>
      </c>
      <c r="K245" t="s">
        <v>241</v>
      </c>
      <c r="L245" t="s">
        <v>242</v>
      </c>
      <c r="M245">
        <v>38.78685213</v>
      </c>
      <c r="N245">
        <v>-122.98378529999999</v>
      </c>
      <c r="O245">
        <v>0.23</v>
      </c>
      <c r="P245">
        <v>0</v>
      </c>
      <c r="Q245">
        <v>0.06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0.13</v>
      </c>
      <c r="Y245">
        <v>0.06</v>
      </c>
      <c r="Z245">
        <v>0.26</v>
      </c>
      <c r="AA245" t="s">
        <v>9342</v>
      </c>
      <c r="AB245" t="s">
        <v>242</v>
      </c>
      <c r="AC245" t="s">
        <v>3229</v>
      </c>
    </row>
    <row r="246" spans="1:29" x14ac:dyDescent="0.25">
      <c r="A246" t="s">
        <v>1341</v>
      </c>
      <c r="B246" t="s">
        <v>254</v>
      </c>
      <c r="C246" t="s">
        <v>354</v>
      </c>
      <c r="D246" t="s">
        <v>3209</v>
      </c>
      <c r="E246" t="s">
        <v>3246</v>
      </c>
      <c r="F246">
        <v>19620221</v>
      </c>
      <c r="G246" t="s">
        <v>9332</v>
      </c>
      <c r="H246" t="s">
        <v>241</v>
      </c>
      <c r="I246" t="s">
        <v>242</v>
      </c>
      <c r="J246" t="s">
        <v>242</v>
      </c>
      <c r="K246" t="s">
        <v>241</v>
      </c>
      <c r="L246" t="s">
        <v>242</v>
      </c>
      <c r="M246">
        <v>38.733710670000001</v>
      </c>
      <c r="N246">
        <v>-122.93466979999999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 t="s">
        <v>9335</v>
      </c>
      <c r="AB246" t="s">
        <v>242</v>
      </c>
      <c r="AC246" t="s">
        <v>3229</v>
      </c>
    </row>
    <row r="247" spans="1:29" x14ac:dyDescent="0.25">
      <c r="A247" t="s">
        <v>1343</v>
      </c>
      <c r="B247" t="s">
        <v>254</v>
      </c>
      <c r="C247" t="s">
        <v>317</v>
      </c>
      <c r="D247" t="s">
        <v>3209</v>
      </c>
      <c r="E247" t="s">
        <v>3246</v>
      </c>
      <c r="F247">
        <v>19620316</v>
      </c>
      <c r="G247" t="s">
        <v>9332</v>
      </c>
      <c r="H247" t="s">
        <v>242</v>
      </c>
      <c r="I247" t="s">
        <v>242</v>
      </c>
      <c r="J247" t="s">
        <v>242</v>
      </c>
      <c r="K247" t="s">
        <v>241</v>
      </c>
      <c r="L247" t="s">
        <v>242</v>
      </c>
      <c r="M247">
        <v>39.298556490000003</v>
      </c>
      <c r="N247">
        <v>-123.20330079999999</v>
      </c>
      <c r="O247">
        <v>8.73</v>
      </c>
      <c r="P247">
        <v>7.48</v>
      </c>
      <c r="Q247">
        <v>4.13</v>
      </c>
      <c r="R247">
        <v>2.4</v>
      </c>
      <c r="S247">
        <v>1.42</v>
      </c>
      <c r="T247">
        <v>0.4</v>
      </c>
      <c r="U247">
        <v>0</v>
      </c>
      <c r="V247">
        <v>0.01</v>
      </c>
      <c r="W247">
        <v>0.24</v>
      </c>
      <c r="X247">
        <v>0</v>
      </c>
      <c r="Y247">
        <v>1.73</v>
      </c>
      <c r="Z247">
        <v>3.14</v>
      </c>
      <c r="AA247" t="s">
        <v>9335</v>
      </c>
      <c r="AB247" t="s">
        <v>242</v>
      </c>
      <c r="AC247" t="s">
        <v>3213</v>
      </c>
    </row>
    <row r="248" spans="1:29" x14ac:dyDescent="0.25">
      <c r="A248" t="s">
        <v>1344</v>
      </c>
      <c r="B248" t="s">
        <v>254</v>
      </c>
      <c r="C248" t="s">
        <v>333</v>
      </c>
      <c r="D248" t="s">
        <v>3209</v>
      </c>
      <c r="E248" t="s">
        <v>3246</v>
      </c>
      <c r="F248">
        <v>19620320</v>
      </c>
      <c r="G248" t="s">
        <v>9332</v>
      </c>
      <c r="H248" t="s">
        <v>241</v>
      </c>
      <c r="I248" t="s">
        <v>242</v>
      </c>
      <c r="J248" t="s">
        <v>242</v>
      </c>
      <c r="K248" t="s">
        <v>241</v>
      </c>
      <c r="L248" t="s">
        <v>242</v>
      </c>
      <c r="M248">
        <v>39.091277570000003</v>
      </c>
      <c r="N248">
        <v>-123.1726489</v>
      </c>
      <c r="O248">
        <v>0</v>
      </c>
      <c r="P248">
        <v>0</v>
      </c>
      <c r="Q248">
        <v>0</v>
      </c>
      <c r="R248">
        <v>0</v>
      </c>
      <c r="S248">
        <v>2.84</v>
      </c>
      <c r="T248">
        <v>9.35</v>
      </c>
      <c r="U248">
        <v>9.48</v>
      </c>
      <c r="V248">
        <v>9.91</v>
      </c>
      <c r="W248">
        <v>4.2300000000000004</v>
      </c>
      <c r="X248">
        <v>0</v>
      </c>
      <c r="Y248">
        <v>0</v>
      </c>
      <c r="Z248">
        <v>0</v>
      </c>
      <c r="AA248" t="s">
        <v>9335</v>
      </c>
      <c r="AB248" t="s">
        <v>242</v>
      </c>
      <c r="AC248" t="s">
        <v>3213</v>
      </c>
    </row>
    <row r="249" spans="1:29" x14ac:dyDescent="0.25">
      <c r="A249" t="s">
        <v>1345</v>
      </c>
      <c r="B249" t="s">
        <v>254</v>
      </c>
      <c r="C249" t="s">
        <v>409</v>
      </c>
      <c r="D249" t="s">
        <v>3209</v>
      </c>
      <c r="E249" t="s">
        <v>3246</v>
      </c>
      <c r="F249">
        <v>19620412</v>
      </c>
      <c r="G249" t="s">
        <v>9332</v>
      </c>
      <c r="H249" t="s">
        <v>242</v>
      </c>
      <c r="I249" t="s">
        <v>242</v>
      </c>
      <c r="J249" t="s">
        <v>242</v>
      </c>
      <c r="K249" t="s">
        <v>241</v>
      </c>
      <c r="L249" t="s">
        <v>242</v>
      </c>
      <c r="M249">
        <v>38.775054240000003</v>
      </c>
      <c r="N249">
        <v>-122.8976773</v>
      </c>
      <c r="O249">
        <v>0.66</v>
      </c>
      <c r="P249">
        <v>1</v>
      </c>
      <c r="Q249">
        <v>1.33</v>
      </c>
      <c r="R249">
        <v>1.33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0.66</v>
      </c>
      <c r="Y249">
        <v>1</v>
      </c>
      <c r="Z249">
        <v>1</v>
      </c>
      <c r="AA249" t="s">
        <v>9342</v>
      </c>
      <c r="AB249" t="s">
        <v>242</v>
      </c>
      <c r="AC249" t="s">
        <v>3229</v>
      </c>
    </row>
    <row r="250" spans="1:29" x14ac:dyDescent="0.25">
      <c r="A250" t="s">
        <v>1348</v>
      </c>
      <c r="B250" t="s">
        <v>254</v>
      </c>
      <c r="C250" t="s">
        <v>317</v>
      </c>
      <c r="D250" t="s">
        <v>3209</v>
      </c>
      <c r="E250" t="s">
        <v>3246</v>
      </c>
      <c r="F250">
        <v>19620524</v>
      </c>
      <c r="G250" t="s">
        <v>9332</v>
      </c>
      <c r="H250" t="s">
        <v>242</v>
      </c>
      <c r="I250" t="s">
        <v>242</v>
      </c>
      <c r="J250" t="s">
        <v>242</v>
      </c>
      <c r="K250" t="s">
        <v>241</v>
      </c>
      <c r="L250" t="s">
        <v>242</v>
      </c>
      <c r="M250">
        <v>39.27153594</v>
      </c>
      <c r="N250">
        <v>-123.1872966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0.1</v>
      </c>
      <c r="Y250">
        <v>0</v>
      </c>
      <c r="Z250">
        <v>0.2</v>
      </c>
      <c r="AA250" t="s">
        <v>9335</v>
      </c>
      <c r="AB250" t="s">
        <v>242</v>
      </c>
      <c r="AC250" t="s">
        <v>3213</v>
      </c>
    </row>
    <row r="251" spans="1:29" x14ac:dyDescent="0.25">
      <c r="A251" t="s">
        <v>1350</v>
      </c>
      <c r="B251" t="s">
        <v>254</v>
      </c>
      <c r="C251" t="s">
        <v>354</v>
      </c>
      <c r="D251" t="s">
        <v>3209</v>
      </c>
      <c r="E251" t="s">
        <v>3246</v>
      </c>
      <c r="F251">
        <v>19620611</v>
      </c>
      <c r="G251" t="s">
        <v>9334</v>
      </c>
      <c r="H251" t="s">
        <v>242</v>
      </c>
      <c r="I251" t="s">
        <v>242</v>
      </c>
      <c r="J251" t="s">
        <v>242</v>
      </c>
      <c r="K251" t="s">
        <v>241</v>
      </c>
      <c r="L251" t="s">
        <v>242</v>
      </c>
      <c r="M251">
        <v>38.856959680000003</v>
      </c>
      <c r="N251">
        <v>-122.9735161</v>
      </c>
      <c r="O251">
        <v>0.16</v>
      </c>
      <c r="P251">
        <v>0.66</v>
      </c>
      <c r="Q251">
        <v>2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 t="s">
        <v>9335</v>
      </c>
      <c r="AB251" t="s">
        <v>242</v>
      </c>
      <c r="AC251" t="s">
        <v>3213</v>
      </c>
    </row>
    <row r="252" spans="1:29" x14ac:dyDescent="0.25">
      <c r="A252" t="s">
        <v>1352</v>
      </c>
      <c r="B252" t="s">
        <v>254</v>
      </c>
      <c r="C252" t="s">
        <v>319</v>
      </c>
      <c r="D252" t="s">
        <v>3209</v>
      </c>
      <c r="E252" t="s">
        <v>3246</v>
      </c>
      <c r="F252">
        <v>19620706</v>
      </c>
      <c r="G252" t="s">
        <v>9332</v>
      </c>
      <c r="H252" t="s">
        <v>242</v>
      </c>
      <c r="I252" t="s">
        <v>242</v>
      </c>
      <c r="J252" t="s">
        <v>242</v>
      </c>
      <c r="K252" t="s">
        <v>241</v>
      </c>
      <c r="L252" t="s">
        <v>242</v>
      </c>
      <c r="M252">
        <v>38.945867929999999</v>
      </c>
      <c r="N252">
        <v>-123.1034356</v>
      </c>
      <c r="O252">
        <v>1.33</v>
      </c>
      <c r="P252">
        <v>1.66</v>
      </c>
      <c r="Q252">
        <v>0.66</v>
      </c>
      <c r="R252">
        <v>0.33</v>
      </c>
      <c r="S252">
        <v>0.66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0.66</v>
      </c>
      <c r="Z252">
        <v>1.33</v>
      </c>
      <c r="AA252" t="s">
        <v>9335</v>
      </c>
      <c r="AB252" t="s">
        <v>242</v>
      </c>
      <c r="AC252" t="s">
        <v>3213</v>
      </c>
    </row>
    <row r="253" spans="1:29" x14ac:dyDescent="0.25">
      <c r="A253" t="s">
        <v>1353</v>
      </c>
      <c r="B253" t="s">
        <v>254</v>
      </c>
      <c r="C253" t="s">
        <v>311</v>
      </c>
      <c r="D253" t="s">
        <v>3209</v>
      </c>
      <c r="E253" t="s">
        <v>3246</v>
      </c>
      <c r="F253">
        <v>19620725</v>
      </c>
      <c r="G253" t="s">
        <v>9332</v>
      </c>
      <c r="H253" t="s">
        <v>242</v>
      </c>
      <c r="I253" t="s">
        <v>242</v>
      </c>
      <c r="J253" t="s">
        <v>242</v>
      </c>
      <c r="K253" t="s">
        <v>241</v>
      </c>
      <c r="L253" t="s">
        <v>242</v>
      </c>
      <c r="M253">
        <v>38.597100820000001</v>
      </c>
      <c r="N253">
        <v>-122.7855642</v>
      </c>
      <c r="O253">
        <v>2.16</v>
      </c>
      <c r="P253">
        <v>2</v>
      </c>
      <c r="Q253">
        <v>1.83</v>
      </c>
      <c r="R253">
        <v>1.66</v>
      </c>
      <c r="S253">
        <v>0.83</v>
      </c>
      <c r="T253">
        <v>0.5</v>
      </c>
      <c r="U253">
        <v>0</v>
      </c>
      <c r="V253">
        <v>0</v>
      </c>
      <c r="W253">
        <v>0</v>
      </c>
      <c r="X253">
        <v>0</v>
      </c>
      <c r="Y253">
        <v>1.1599999999999999</v>
      </c>
      <c r="Z253">
        <v>1.83</v>
      </c>
      <c r="AA253" t="s">
        <v>9335</v>
      </c>
      <c r="AB253" t="s">
        <v>242</v>
      </c>
      <c r="AC253" t="s">
        <v>3229</v>
      </c>
    </row>
    <row r="254" spans="1:29" x14ac:dyDescent="0.25">
      <c r="A254" t="s">
        <v>1354</v>
      </c>
      <c r="B254" t="s">
        <v>254</v>
      </c>
      <c r="C254" t="s">
        <v>317</v>
      </c>
      <c r="D254" t="s">
        <v>3209</v>
      </c>
      <c r="E254" t="s">
        <v>3246</v>
      </c>
      <c r="F254">
        <v>19620726</v>
      </c>
      <c r="G254" t="s">
        <v>9332</v>
      </c>
      <c r="H254" t="s">
        <v>242</v>
      </c>
      <c r="I254" t="s">
        <v>242</v>
      </c>
      <c r="J254" t="s">
        <v>242</v>
      </c>
      <c r="K254" t="s">
        <v>241</v>
      </c>
      <c r="L254" t="s">
        <v>242</v>
      </c>
      <c r="M254">
        <v>39.271297150000002</v>
      </c>
      <c r="N254">
        <v>-123.1837599</v>
      </c>
      <c r="O254">
        <v>3.8</v>
      </c>
      <c r="P254">
        <v>1.86</v>
      </c>
      <c r="Q254">
        <v>1.53</v>
      </c>
      <c r="R254">
        <v>1.4</v>
      </c>
      <c r="S254">
        <v>0.33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0.36</v>
      </c>
      <c r="Z254">
        <v>1</v>
      </c>
      <c r="AA254" t="s">
        <v>9335</v>
      </c>
      <c r="AB254" t="s">
        <v>242</v>
      </c>
      <c r="AC254" t="s">
        <v>3213</v>
      </c>
    </row>
    <row r="255" spans="1:29" x14ac:dyDescent="0.25">
      <c r="A255" t="s">
        <v>1355</v>
      </c>
      <c r="B255" t="s">
        <v>254</v>
      </c>
      <c r="C255" t="s">
        <v>308</v>
      </c>
      <c r="D255" t="s">
        <v>3209</v>
      </c>
      <c r="E255" t="s">
        <v>3246</v>
      </c>
      <c r="F255">
        <v>19620815</v>
      </c>
      <c r="G255" t="s">
        <v>9332</v>
      </c>
      <c r="H255" t="s">
        <v>242</v>
      </c>
      <c r="I255" t="s">
        <v>242</v>
      </c>
      <c r="J255" t="s">
        <v>242</v>
      </c>
      <c r="K255" t="s">
        <v>241</v>
      </c>
      <c r="L255" t="s">
        <v>242</v>
      </c>
      <c r="M255">
        <v>38.737615490000003</v>
      </c>
      <c r="N255">
        <v>-122.7348745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 t="s">
        <v>9333</v>
      </c>
      <c r="AB255" t="s">
        <v>242</v>
      </c>
      <c r="AC255" t="s">
        <v>3229</v>
      </c>
    </row>
    <row r="256" spans="1:29" x14ac:dyDescent="0.25">
      <c r="A256" t="s">
        <v>1356</v>
      </c>
      <c r="B256" t="s">
        <v>254</v>
      </c>
      <c r="C256" t="s">
        <v>311</v>
      </c>
      <c r="D256" t="s">
        <v>3209</v>
      </c>
      <c r="E256" t="s">
        <v>3246</v>
      </c>
      <c r="F256">
        <v>19620824</v>
      </c>
      <c r="G256" t="s">
        <v>9332</v>
      </c>
      <c r="H256" t="s">
        <v>242</v>
      </c>
      <c r="I256" t="s">
        <v>242</v>
      </c>
      <c r="J256" t="s">
        <v>242</v>
      </c>
      <c r="K256" t="s">
        <v>241</v>
      </c>
      <c r="L256" t="s">
        <v>242</v>
      </c>
      <c r="M256">
        <v>38.589541099999998</v>
      </c>
      <c r="N256">
        <v>-122.65392749999999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 t="s">
        <v>9341</v>
      </c>
      <c r="AB256" t="s">
        <v>242</v>
      </c>
      <c r="AC256" t="s">
        <v>3229</v>
      </c>
    </row>
    <row r="257" spans="1:29" x14ac:dyDescent="0.25">
      <c r="A257" t="s">
        <v>1358</v>
      </c>
      <c r="B257" t="s">
        <v>254</v>
      </c>
      <c r="C257" t="s">
        <v>311</v>
      </c>
      <c r="D257" t="s">
        <v>3209</v>
      </c>
      <c r="E257" t="s">
        <v>3246</v>
      </c>
      <c r="F257">
        <v>19620921</v>
      </c>
      <c r="G257" t="s">
        <v>9332</v>
      </c>
      <c r="H257" t="s">
        <v>242</v>
      </c>
      <c r="I257" t="s">
        <v>242</v>
      </c>
      <c r="J257" t="s">
        <v>242</v>
      </c>
      <c r="K257" t="s">
        <v>241</v>
      </c>
      <c r="L257" t="s">
        <v>242</v>
      </c>
      <c r="M257">
        <v>38.57574803</v>
      </c>
      <c r="N257">
        <v>-122.7548955</v>
      </c>
      <c r="O257">
        <v>0</v>
      </c>
      <c r="P257">
        <v>0</v>
      </c>
      <c r="Q257">
        <v>0</v>
      </c>
      <c r="R257">
        <v>0</v>
      </c>
      <c r="S257">
        <v>0.66</v>
      </c>
      <c r="T257">
        <v>0.66</v>
      </c>
      <c r="U257">
        <v>0.66</v>
      </c>
      <c r="V257">
        <v>0.66</v>
      </c>
      <c r="W257">
        <v>0</v>
      </c>
      <c r="X257">
        <v>0</v>
      </c>
      <c r="Y257">
        <v>0</v>
      </c>
      <c r="Z257">
        <v>0</v>
      </c>
      <c r="AA257" t="s">
        <v>9335</v>
      </c>
      <c r="AB257" t="s">
        <v>242</v>
      </c>
      <c r="AC257" t="s">
        <v>3229</v>
      </c>
    </row>
    <row r="258" spans="1:29" x14ac:dyDescent="0.25">
      <c r="A258" t="s">
        <v>1360</v>
      </c>
      <c r="B258" t="s">
        <v>254</v>
      </c>
      <c r="C258" t="s">
        <v>317</v>
      </c>
      <c r="D258" t="s">
        <v>3209</v>
      </c>
      <c r="E258" t="s">
        <v>3246</v>
      </c>
      <c r="F258">
        <v>19621002</v>
      </c>
      <c r="G258" t="s">
        <v>9338</v>
      </c>
      <c r="H258" t="s">
        <v>242</v>
      </c>
      <c r="I258" t="s">
        <v>242</v>
      </c>
      <c r="J258" t="s">
        <v>242</v>
      </c>
      <c r="K258" t="s">
        <v>241</v>
      </c>
      <c r="L258" t="s">
        <v>242</v>
      </c>
      <c r="M258">
        <v>39.32742262</v>
      </c>
      <c r="N258">
        <v>-123.22642020000001</v>
      </c>
      <c r="O258">
        <v>0</v>
      </c>
      <c r="P258">
        <v>1.5</v>
      </c>
      <c r="Q258">
        <v>3.33</v>
      </c>
      <c r="R258">
        <v>6.5</v>
      </c>
      <c r="S258">
        <v>5.66</v>
      </c>
      <c r="T258">
        <v>4.33</v>
      </c>
      <c r="U258">
        <v>4.66</v>
      </c>
      <c r="V258">
        <v>4</v>
      </c>
      <c r="W258">
        <v>2.66</v>
      </c>
      <c r="X258">
        <v>2.33</v>
      </c>
      <c r="Y258">
        <v>1.66</v>
      </c>
      <c r="Z258">
        <v>0</v>
      </c>
      <c r="AA258" t="s">
        <v>9335</v>
      </c>
      <c r="AB258" t="s">
        <v>242</v>
      </c>
      <c r="AC258" t="s">
        <v>3213</v>
      </c>
    </row>
    <row r="259" spans="1:29" x14ac:dyDescent="0.25">
      <c r="A259" t="s">
        <v>1317</v>
      </c>
      <c r="B259" t="s">
        <v>254</v>
      </c>
      <c r="C259" t="s">
        <v>333</v>
      </c>
      <c r="D259" t="s">
        <v>3209</v>
      </c>
      <c r="E259" t="s">
        <v>3246</v>
      </c>
      <c r="F259">
        <v>19630102</v>
      </c>
      <c r="G259" t="s">
        <v>9334</v>
      </c>
      <c r="H259" t="s">
        <v>242</v>
      </c>
      <c r="I259" t="s">
        <v>242</v>
      </c>
      <c r="J259" t="s">
        <v>242</v>
      </c>
      <c r="K259" t="s">
        <v>241</v>
      </c>
      <c r="L259" t="s">
        <v>242</v>
      </c>
      <c r="M259">
        <v>39.082105800000001</v>
      </c>
      <c r="N259">
        <v>-123.14219730000001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4.2</v>
      </c>
      <c r="U259">
        <v>3.31</v>
      </c>
      <c r="V259">
        <v>2.2000000000000002</v>
      </c>
      <c r="W259">
        <v>0</v>
      </c>
      <c r="X259">
        <v>0</v>
      </c>
      <c r="Y259">
        <v>0</v>
      </c>
      <c r="Z259">
        <v>0</v>
      </c>
      <c r="AA259" t="s">
        <v>9335</v>
      </c>
      <c r="AB259" t="s">
        <v>242</v>
      </c>
      <c r="AC259" t="s">
        <v>3213</v>
      </c>
    </row>
    <row r="260" spans="1:29" x14ac:dyDescent="0.25">
      <c r="A260" t="s">
        <v>1319</v>
      </c>
      <c r="B260" t="s">
        <v>254</v>
      </c>
      <c r="C260" t="s">
        <v>317</v>
      </c>
      <c r="D260" t="s">
        <v>3209</v>
      </c>
      <c r="E260" t="s">
        <v>3246</v>
      </c>
      <c r="F260">
        <v>19630116</v>
      </c>
      <c r="G260" t="s">
        <v>9332</v>
      </c>
      <c r="H260" t="s">
        <v>242</v>
      </c>
      <c r="I260" t="s">
        <v>242</v>
      </c>
      <c r="J260" t="s">
        <v>242</v>
      </c>
      <c r="K260" t="s">
        <v>241</v>
      </c>
      <c r="L260" t="s">
        <v>242</v>
      </c>
      <c r="M260">
        <v>39.253990440000003</v>
      </c>
      <c r="N260">
        <v>-123.2113714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 t="s">
        <v>9335</v>
      </c>
      <c r="AB260" t="s">
        <v>242</v>
      </c>
      <c r="AC260" t="s">
        <v>3213</v>
      </c>
    </row>
    <row r="261" spans="1:29" x14ac:dyDescent="0.25">
      <c r="A261" t="s">
        <v>153</v>
      </c>
      <c r="B261" t="s">
        <v>254</v>
      </c>
      <c r="C261" t="s">
        <v>331</v>
      </c>
      <c r="D261" t="s">
        <v>3209</v>
      </c>
      <c r="E261" t="s">
        <v>3246</v>
      </c>
      <c r="F261">
        <v>19630121</v>
      </c>
      <c r="G261" t="s">
        <v>9332</v>
      </c>
      <c r="H261" t="s">
        <v>241</v>
      </c>
      <c r="I261" t="s">
        <v>242</v>
      </c>
      <c r="J261" t="s">
        <v>242</v>
      </c>
      <c r="K261" t="s">
        <v>241</v>
      </c>
      <c r="L261" t="s">
        <v>242</v>
      </c>
      <c r="M261">
        <v>39.152342609999998</v>
      </c>
      <c r="N261">
        <v>-123.1829211</v>
      </c>
      <c r="O261">
        <v>0</v>
      </c>
      <c r="P261">
        <v>0</v>
      </c>
      <c r="Q261">
        <v>0</v>
      </c>
      <c r="R261">
        <v>0</v>
      </c>
      <c r="S261">
        <v>18.88</v>
      </c>
      <c r="T261">
        <v>27.24</v>
      </c>
      <c r="U261">
        <v>28.12</v>
      </c>
      <c r="V261">
        <v>22.45</v>
      </c>
      <c r="W261">
        <v>0</v>
      </c>
      <c r="X261">
        <v>0</v>
      </c>
      <c r="Y261">
        <v>0</v>
      </c>
      <c r="Z261">
        <v>0</v>
      </c>
      <c r="AA261" t="s">
        <v>9335</v>
      </c>
      <c r="AB261" t="s">
        <v>242</v>
      </c>
      <c r="AC261" t="s">
        <v>3213</v>
      </c>
    </row>
    <row r="262" spans="1:29" x14ac:dyDescent="0.25">
      <c r="A262" t="s">
        <v>1321</v>
      </c>
      <c r="B262" t="s">
        <v>254</v>
      </c>
      <c r="C262" t="s">
        <v>333</v>
      </c>
      <c r="D262" t="s">
        <v>3209</v>
      </c>
      <c r="E262" t="s">
        <v>3246</v>
      </c>
      <c r="F262">
        <v>19630121</v>
      </c>
      <c r="G262" t="s">
        <v>9332</v>
      </c>
      <c r="H262" t="s">
        <v>241</v>
      </c>
      <c r="I262" t="s">
        <v>242</v>
      </c>
      <c r="J262" t="s">
        <v>242</v>
      </c>
      <c r="K262" t="s">
        <v>241</v>
      </c>
      <c r="L262" t="s">
        <v>242</v>
      </c>
      <c r="M262">
        <v>39.110371540000003</v>
      </c>
      <c r="N262">
        <v>-123.1853012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 t="s">
        <v>9335</v>
      </c>
      <c r="AB262" t="s">
        <v>242</v>
      </c>
      <c r="AC262" t="s">
        <v>3213</v>
      </c>
    </row>
    <row r="263" spans="1:29" x14ac:dyDescent="0.25">
      <c r="A263" t="s">
        <v>1324</v>
      </c>
      <c r="B263" t="s">
        <v>254</v>
      </c>
      <c r="C263" t="s">
        <v>311</v>
      </c>
      <c r="D263" t="s">
        <v>3209</v>
      </c>
      <c r="E263" t="s">
        <v>3246</v>
      </c>
      <c r="F263">
        <v>19630311</v>
      </c>
      <c r="G263" t="s">
        <v>9332</v>
      </c>
      <c r="H263" t="s">
        <v>242</v>
      </c>
      <c r="I263" t="s">
        <v>242</v>
      </c>
      <c r="J263" t="s">
        <v>242</v>
      </c>
      <c r="K263" t="s">
        <v>241</v>
      </c>
      <c r="L263" t="s">
        <v>242</v>
      </c>
      <c r="M263">
        <v>38.597497099999998</v>
      </c>
      <c r="N263">
        <v>-122.6552251</v>
      </c>
      <c r="O263">
        <v>0.66</v>
      </c>
      <c r="P263">
        <v>0.66</v>
      </c>
      <c r="Q263">
        <v>0.66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0.33</v>
      </c>
      <c r="Z263">
        <v>0.33</v>
      </c>
      <c r="AA263" t="s">
        <v>9333</v>
      </c>
      <c r="AB263" t="s">
        <v>242</v>
      </c>
      <c r="AC263" t="s">
        <v>3229</v>
      </c>
    </row>
    <row r="264" spans="1:29" x14ac:dyDescent="0.25">
      <c r="A264" t="s">
        <v>1325</v>
      </c>
      <c r="B264" t="s">
        <v>254</v>
      </c>
      <c r="C264" t="s">
        <v>311</v>
      </c>
      <c r="D264" t="s">
        <v>3209</v>
      </c>
      <c r="E264" t="s">
        <v>3246</v>
      </c>
      <c r="F264">
        <v>19630411</v>
      </c>
      <c r="G264" t="s">
        <v>9334</v>
      </c>
      <c r="H264" t="s">
        <v>242</v>
      </c>
      <c r="I264" t="s">
        <v>242</v>
      </c>
      <c r="J264" t="s">
        <v>242</v>
      </c>
      <c r="K264" t="s">
        <v>241</v>
      </c>
      <c r="L264" t="s">
        <v>242</v>
      </c>
      <c r="M264">
        <v>38.649248659999998</v>
      </c>
      <c r="N264">
        <v>-122.7689805</v>
      </c>
      <c r="O264">
        <v>3.33</v>
      </c>
      <c r="P264">
        <v>2</v>
      </c>
      <c r="Q264">
        <v>1</v>
      </c>
      <c r="R264">
        <v>0.33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0.66</v>
      </c>
      <c r="Y264">
        <v>1</v>
      </c>
      <c r="Z264">
        <v>2</v>
      </c>
      <c r="AA264" t="s">
        <v>9342</v>
      </c>
      <c r="AB264" t="s">
        <v>242</v>
      </c>
      <c r="AC264" t="s">
        <v>3229</v>
      </c>
    </row>
    <row r="265" spans="1:29" x14ac:dyDescent="0.25">
      <c r="A265" t="s">
        <v>1326</v>
      </c>
      <c r="B265" t="s">
        <v>254</v>
      </c>
      <c r="C265" t="s">
        <v>354</v>
      </c>
      <c r="D265" t="s">
        <v>3209</v>
      </c>
      <c r="E265" t="s">
        <v>3246</v>
      </c>
      <c r="F265">
        <v>19630418</v>
      </c>
      <c r="G265" t="s">
        <v>9332</v>
      </c>
      <c r="H265" t="s">
        <v>241</v>
      </c>
      <c r="I265" t="s">
        <v>242</v>
      </c>
      <c r="J265" t="s">
        <v>242</v>
      </c>
      <c r="K265" t="s">
        <v>241</v>
      </c>
      <c r="L265" t="s">
        <v>242</v>
      </c>
      <c r="M265">
        <v>38.810025060000001</v>
      </c>
      <c r="N265">
        <v>-123.0034088</v>
      </c>
      <c r="O265">
        <v>0</v>
      </c>
      <c r="P265">
        <v>0</v>
      </c>
      <c r="Q265">
        <v>0</v>
      </c>
      <c r="R265">
        <v>0.06</v>
      </c>
      <c r="S265">
        <v>1.6</v>
      </c>
      <c r="T265">
        <v>5.13</v>
      </c>
      <c r="U265">
        <v>4.5599999999999996</v>
      </c>
      <c r="V265">
        <v>8.8000000000000007</v>
      </c>
      <c r="W265">
        <v>5.26</v>
      </c>
      <c r="X265">
        <v>0</v>
      </c>
      <c r="Y265">
        <v>0</v>
      </c>
      <c r="Z265">
        <v>0</v>
      </c>
      <c r="AA265" t="s">
        <v>9335</v>
      </c>
      <c r="AB265" t="s">
        <v>242</v>
      </c>
      <c r="AC265" t="s">
        <v>3229</v>
      </c>
    </row>
    <row r="266" spans="1:29" x14ac:dyDescent="0.25">
      <c r="A266" t="s">
        <v>1328</v>
      </c>
      <c r="B266" t="s">
        <v>254</v>
      </c>
      <c r="C266" t="s">
        <v>331</v>
      </c>
      <c r="D266" t="s">
        <v>3209</v>
      </c>
      <c r="E266" t="s">
        <v>3246</v>
      </c>
      <c r="F266">
        <v>19630617</v>
      </c>
      <c r="G266" t="s">
        <v>9332</v>
      </c>
      <c r="H266" t="s">
        <v>242</v>
      </c>
      <c r="I266" t="s">
        <v>242</v>
      </c>
      <c r="J266" t="s">
        <v>242</v>
      </c>
      <c r="K266" t="s">
        <v>241</v>
      </c>
      <c r="L266" t="s">
        <v>242</v>
      </c>
      <c r="M266">
        <v>39.12902811</v>
      </c>
      <c r="N266">
        <v>-123.1027622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 t="s">
        <v>9333</v>
      </c>
      <c r="AB266" t="s">
        <v>242</v>
      </c>
      <c r="AC266" t="s">
        <v>3213</v>
      </c>
    </row>
    <row r="267" spans="1:29" x14ac:dyDescent="0.25">
      <c r="A267" t="s">
        <v>94</v>
      </c>
      <c r="B267" t="s">
        <v>254</v>
      </c>
      <c r="C267" t="s">
        <v>311</v>
      </c>
      <c r="D267" t="s">
        <v>3209</v>
      </c>
      <c r="E267" t="s">
        <v>3246</v>
      </c>
      <c r="F267">
        <v>19630805</v>
      </c>
      <c r="G267" t="s">
        <v>9332</v>
      </c>
      <c r="H267" t="s">
        <v>242</v>
      </c>
      <c r="I267" t="s">
        <v>242</v>
      </c>
      <c r="J267" t="s">
        <v>242</v>
      </c>
      <c r="K267" t="s">
        <v>241</v>
      </c>
      <c r="L267" t="s">
        <v>242</v>
      </c>
      <c r="M267">
        <v>38.612044879999999</v>
      </c>
      <c r="N267">
        <v>-122.74723</v>
      </c>
      <c r="O267">
        <v>16.329999999999998</v>
      </c>
      <c r="P267">
        <v>15.86</v>
      </c>
      <c r="Q267">
        <v>11.73</v>
      </c>
      <c r="R267">
        <v>1.6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8.5</v>
      </c>
      <c r="AA267" t="s">
        <v>9335</v>
      </c>
      <c r="AB267" t="s">
        <v>242</v>
      </c>
      <c r="AC267" t="s">
        <v>3229</v>
      </c>
    </row>
    <row r="268" spans="1:29" x14ac:dyDescent="0.25">
      <c r="A268" t="s">
        <v>1330</v>
      </c>
      <c r="B268" t="s">
        <v>254</v>
      </c>
      <c r="C268" t="s">
        <v>317</v>
      </c>
      <c r="D268" t="s">
        <v>3209</v>
      </c>
      <c r="E268" t="s">
        <v>3246</v>
      </c>
      <c r="F268">
        <v>19630815</v>
      </c>
      <c r="G268" t="s">
        <v>9332</v>
      </c>
      <c r="H268" t="s">
        <v>242</v>
      </c>
      <c r="I268" t="s">
        <v>242</v>
      </c>
      <c r="J268" t="s">
        <v>242</v>
      </c>
      <c r="K268" t="s">
        <v>241</v>
      </c>
      <c r="L268" t="s">
        <v>242</v>
      </c>
      <c r="M268">
        <v>39.214599999999997</v>
      </c>
      <c r="N268">
        <v>-123.2239</v>
      </c>
      <c r="O268">
        <v>68.33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27.33</v>
      </c>
      <c r="AA268" t="s">
        <v>9335</v>
      </c>
      <c r="AB268" t="s">
        <v>242</v>
      </c>
      <c r="AC268" t="s">
        <v>3213</v>
      </c>
    </row>
    <row r="269" spans="1:29" x14ac:dyDescent="0.25">
      <c r="A269" t="s">
        <v>1331</v>
      </c>
      <c r="B269" t="s">
        <v>254</v>
      </c>
      <c r="C269" t="s">
        <v>317</v>
      </c>
      <c r="D269" t="s">
        <v>3209</v>
      </c>
      <c r="E269" t="s">
        <v>3246</v>
      </c>
      <c r="F269">
        <v>19630815</v>
      </c>
      <c r="G269" t="s">
        <v>9332</v>
      </c>
      <c r="H269" t="s">
        <v>242</v>
      </c>
      <c r="I269" t="s">
        <v>242</v>
      </c>
      <c r="J269" t="s">
        <v>242</v>
      </c>
      <c r="K269" t="s">
        <v>241</v>
      </c>
      <c r="L269" t="s">
        <v>242</v>
      </c>
      <c r="M269">
        <v>39.214700000000001</v>
      </c>
      <c r="N269">
        <v>-123.22369999999999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 t="s">
        <v>9335</v>
      </c>
      <c r="AB269" t="s">
        <v>242</v>
      </c>
      <c r="AC269" t="s">
        <v>3213</v>
      </c>
    </row>
    <row r="270" spans="1:29" x14ac:dyDescent="0.25">
      <c r="A270" t="s">
        <v>1332</v>
      </c>
      <c r="B270" t="s">
        <v>254</v>
      </c>
      <c r="C270" t="s">
        <v>317</v>
      </c>
      <c r="D270" t="s">
        <v>3209</v>
      </c>
      <c r="E270" t="s">
        <v>3246</v>
      </c>
      <c r="F270">
        <v>19630815</v>
      </c>
      <c r="G270" t="s">
        <v>9332</v>
      </c>
      <c r="H270" t="s">
        <v>242</v>
      </c>
      <c r="I270" t="s">
        <v>242</v>
      </c>
      <c r="J270" t="s">
        <v>242</v>
      </c>
      <c r="K270" t="s">
        <v>241</v>
      </c>
      <c r="L270" t="s">
        <v>242</v>
      </c>
      <c r="M270">
        <v>39.21215763</v>
      </c>
      <c r="N270">
        <v>-123.22945470000001</v>
      </c>
      <c r="O270">
        <v>1.1200000000000001</v>
      </c>
      <c r="P270">
        <v>1.1200000000000001</v>
      </c>
      <c r="Q270">
        <v>0.02</v>
      </c>
      <c r="R270">
        <v>0.02</v>
      </c>
      <c r="S270">
        <v>0.45</v>
      </c>
      <c r="T270">
        <v>0.45</v>
      </c>
      <c r="U270">
        <v>0.45</v>
      </c>
      <c r="V270">
        <v>0.45</v>
      </c>
      <c r="W270">
        <v>0.45</v>
      </c>
      <c r="X270">
        <v>1.55</v>
      </c>
      <c r="Y270">
        <v>1.55</v>
      </c>
      <c r="Z270">
        <v>2.2200000000000002</v>
      </c>
      <c r="AA270" t="s">
        <v>9335</v>
      </c>
      <c r="AB270" t="s">
        <v>242</v>
      </c>
      <c r="AC270" t="s">
        <v>3213</v>
      </c>
    </row>
    <row r="271" spans="1:29" x14ac:dyDescent="0.25">
      <c r="A271" t="s">
        <v>1333</v>
      </c>
      <c r="B271" t="s">
        <v>254</v>
      </c>
      <c r="C271" t="s">
        <v>436</v>
      </c>
      <c r="D271" t="s">
        <v>3209</v>
      </c>
      <c r="E271" t="s">
        <v>3246</v>
      </c>
      <c r="F271">
        <v>19630918</v>
      </c>
      <c r="G271" t="s">
        <v>9332</v>
      </c>
      <c r="H271" t="s">
        <v>241</v>
      </c>
      <c r="I271" t="s">
        <v>242</v>
      </c>
      <c r="J271" t="s">
        <v>242</v>
      </c>
      <c r="K271" t="s">
        <v>241</v>
      </c>
      <c r="L271" t="s">
        <v>242</v>
      </c>
      <c r="M271">
        <v>38.66075653</v>
      </c>
      <c r="N271">
        <v>-122.85140869999999</v>
      </c>
      <c r="O271">
        <v>2.68</v>
      </c>
      <c r="P271">
        <v>2.56</v>
      </c>
      <c r="Q271">
        <v>0.57999999999999996</v>
      </c>
      <c r="R271">
        <v>0.63</v>
      </c>
      <c r="S271">
        <v>0</v>
      </c>
      <c r="T271">
        <v>0</v>
      </c>
      <c r="U271">
        <v>0</v>
      </c>
      <c r="V271">
        <v>0</v>
      </c>
      <c r="W271">
        <v>0.08</v>
      </c>
      <c r="X271">
        <v>0</v>
      </c>
      <c r="Y271">
        <v>0</v>
      </c>
      <c r="Z271">
        <v>0</v>
      </c>
      <c r="AA271" t="s">
        <v>9335</v>
      </c>
      <c r="AB271" t="s">
        <v>242</v>
      </c>
      <c r="AC271" t="s">
        <v>3229</v>
      </c>
    </row>
    <row r="272" spans="1:29" x14ac:dyDescent="0.25">
      <c r="A272" t="s">
        <v>1334</v>
      </c>
      <c r="B272" t="s">
        <v>254</v>
      </c>
      <c r="C272" t="s">
        <v>311</v>
      </c>
      <c r="D272" t="s">
        <v>3209</v>
      </c>
      <c r="E272" t="s">
        <v>3246</v>
      </c>
      <c r="F272">
        <v>19631017</v>
      </c>
      <c r="G272" t="s">
        <v>9332</v>
      </c>
      <c r="H272" t="s">
        <v>242</v>
      </c>
      <c r="I272" t="s">
        <v>242</v>
      </c>
      <c r="J272" t="s">
        <v>242</v>
      </c>
      <c r="K272" t="s">
        <v>241</v>
      </c>
      <c r="L272" t="s">
        <v>242</v>
      </c>
      <c r="M272">
        <v>38.605762800000001</v>
      </c>
      <c r="N272">
        <v>-122.6743735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 t="s">
        <v>9342</v>
      </c>
      <c r="AB272" t="s">
        <v>242</v>
      </c>
      <c r="AC272" t="s">
        <v>3229</v>
      </c>
    </row>
    <row r="273" spans="1:29" x14ac:dyDescent="0.25">
      <c r="A273" t="s">
        <v>62</v>
      </c>
      <c r="B273" t="s">
        <v>254</v>
      </c>
      <c r="C273" t="s">
        <v>319</v>
      </c>
      <c r="D273" t="s">
        <v>3209</v>
      </c>
      <c r="E273" t="s">
        <v>3246</v>
      </c>
      <c r="F273">
        <v>19631030</v>
      </c>
      <c r="G273" t="s">
        <v>9334</v>
      </c>
      <c r="H273" t="s">
        <v>241</v>
      </c>
      <c r="I273" t="s">
        <v>242</v>
      </c>
      <c r="J273" t="s">
        <v>242</v>
      </c>
      <c r="K273" t="s">
        <v>241</v>
      </c>
      <c r="L273" t="s">
        <v>242</v>
      </c>
      <c r="M273">
        <v>38.955758500000002</v>
      </c>
      <c r="N273">
        <v>-123.1028859</v>
      </c>
      <c r="O273">
        <v>0</v>
      </c>
      <c r="P273">
        <v>0</v>
      </c>
      <c r="Q273">
        <v>0</v>
      </c>
      <c r="R273">
        <v>0</v>
      </c>
      <c r="S273">
        <v>0.5</v>
      </c>
      <c r="T273">
        <v>1.26</v>
      </c>
      <c r="U273">
        <v>2.04</v>
      </c>
      <c r="V273">
        <v>2.2999999999999998</v>
      </c>
      <c r="W273">
        <v>1.23</v>
      </c>
      <c r="X273">
        <v>0.33</v>
      </c>
      <c r="Y273">
        <v>0</v>
      </c>
      <c r="Z273">
        <v>0</v>
      </c>
      <c r="AA273" t="s">
        <v>9335</v>
      </c>
      <c r="AB273" t="s">
        <v>242</v>
      </c>
      <c r="AC273" t="s">
        <v>3213</v>
      </c>
    </row>
    <row r="274" spans="1:29" x14ac:dyDescent="0.25">
      <c r="A274" t="s">
        <v>1336</v>
      </c>
      <c r="B274" t="s">
        <v>254</v>
      </c>
      <c r="C274" t="s">
        <v>348</v>
      </c>
      <c r="D274" t="s">
        <v>3209</v>
      </c>
      <c r="E274" t="s">
        <v>3246</v>
      </c>
      <c r="F274">
        <v>19631205</v>
      </c>
      <c r="G274" t="s">
        <v>9332</v>
      </c>
      <c r="H274" t="s">
        <v>242</v>
      </c>
      <c r="I274" t="s">
        <v>242</v>
      </c>
      <c r="J274" t="s">
        <v>242</v>
      </c>
      <c r="K274" t="s">
        <v>241</v>
      </c>
      <c r="L274" t="s">
        <v>242</v>
      </c>
      <c r="M274">
        <v>39.188079430000002</v>
      </c>
      <c r="N274">
        <v>-123.0412279</v>
      </c>
      <c r="O274">
        <v>0</v>
      </c>
      <c r="P274">
        <v>0</v>
      </c>
      <c r="Q274">
        <v>0</v>
      </c>
      <c r="R274">
        <v>0.02</v>
      </c>
      <c r="S274">
        <v>0.02</v>
      </c>
      <c r="T274">
        <v>0.02</v>
      </c>
      <c r="U274">
        <v>0.02</v>
      </c>
      <c r="V274">
        <v>0.02</v>
      </c>
      <c r="W274">
        <v>0.02</v>
      </c>
      <c r="X274">
        <v>0.02</v>
      </c>
      <c r="Y274">
        <v>0</v>
      </c>
      <c r="Z274">
        <v>0</v>
      </c>
      <c r="AA274" t="s">
        <v>9335</v>
      </c>
      <c r="AB274" t="s">
        <v>242</v>
      </c>
      <c r="AC274" t="s">
        <v>3213</v>
      </c>
    </row>
    <row r="275" spans="1:29" x14ac:dyDescent="0.25">
      <c r="A275" t="s">
        <v>1335</v>
      </c>
      <c r="B275" t="s">
        <v>254</v>
      </c>
      <c r="C275" t="s">
        <v>348</v>
      </c>
      <c r="D275" t="s">
        <v>3209</v>
      </c>
      <c r="E275" t="s">
        <v>3246</v>
      </c>
      <c r="F275">
        <v>19631205</v>
      </c>
      <c r="G275" t="s">
        <v>9332</v>
      </c>
      <c r="H275" t="s">
        <v>242</v>
      </c>
      <c r="I275" t="s">
        <v>242</v>
      </c>
      <c r="J275" t="s">
        <v>242</v>
      </c>
      <c r="K275" t="s">
        <v>241</v>
      </c>
      <c r="L275" t="s">
        <v>242</v>
      </c>
      <c r="M275">
        <v>39.191623409999998</v>
      </c>
      <c r="N275">
        <v>-123.0441029</v>
      </c>
      <c r="O275">
        <v>0.01</v>
      </c>
      <c r="P275">
        <v>0.01</v>
      </c>
      <c r="Q275">
        <v>0.01</v>
      </c>
      <c r="R275">
        <v>0.01</v>
      </c>
      <c r="S275">
        <v>0.01</v>
      </c>
      <c r="T275">
        <v>0.01</v>
      </c>
      <c r="U275">
        <v>0.01</v>
      </c>
      <c r="V275">
        <v>0.01</v>
      </c>
      <c r="W275">
        <v>0.01</v>
      </c>
      <c r="X275">
        <v>0.01</v>
      </c>
      <c r="Y275">
        <v>0.01</v>
      </c>
      <c r="Z275">
        <v>0.01</v>
      </c>
      <c r="AA275" t="s">
        <v>9335</v>
      </c>
      <c r="AB275" t="s">
        <v>241</v>
      </c>
      <c r="AC275" t="s">
        <v>3213</v>
      </c>
    </row>
    <row r="276" spans="1:29" x14ac:dyDescent="0.25">
      <c r="A276" t="s">
        <v>1283</v>
      </c>
      <c r="B276" t="s">
        <v>254</v>
      </c>
      <c r="C276" t="s">
        <v>317</v>
      </c>
      <c r="D276" t="s">
        <v>3209</v>
      </c>
      <c r="E276" t="s">
        <v>3246</v>
      </c>
      <c r="F276">
        <v>19640114</v>
      </c>
      <c r="G276" t="s">
        <v>9332</v>
      </c>
      <c r="H276" t="s">
        <v>242</v>
      </c>
      <c r="I276" t="s">
        <v>242</v>
      </c>
      <c r="J276" t="s">
        <v>242</v>
      </c>
      <c r="K276" t="s">
        <v>241</v>
      </c>
      <c r="L276" t="s">
        <v>242</v>
      </c>
      <c r="M276">
        <v>39.259827710000003</v>
      </c>
      <c r="N276">
        <v>-123.2308982</v>
      </c>
      <c r="O276">
        <v>0</v>
      </c>
      <c r="P276">
        <v>0</v>
      </c>
      <c r="Q276">
        <v>4.6E-5</v>
      </c>
      <c r="R276">
        <v>4.6E-5</v>
      </c>
      <c r="S276">
        <v>4.6E-5</v>
      </c>
      <c r="T276">
        <v>9.2E-5</v>
      </c>
      <c r="U276">
        <v>9.2E-5</v>
      </c>
      <c r="V276">
        <v>9.2E-5</v>
      </c>
      <c r="W276">
        <v>9.2E-5</v>
      </c>
      <c r="X276">
        <v>0</v>
      </c>
      <c r="Y276">
        <v>0</v>
      </c>
      <c r="Z276">
        <v>0</v>
      </c>
      <c r="AA276" t="s">
        <v>9335</v>
      </c>
      <c r="AB276" t="s">
        <v>242</v>
      </c>
      <c r="AC276" t="s">
        <v>3213</v>
      </c>
    </row>
    <row r="277" spans="1:29" x14ac:dyDescent="0.25">
      <c r="A277" t="s">
        <v>1286</v>
      </c>
      <c r="B277" t="s">
        <v>254</v>
      </c>
      <c r="C277" t="s">
        <v>308</v>
      </c>
      <c r="D277" t="s">
        <v>3209</v>
      </c>
      <c r="E277" t="s">
        <v>3246</v>
      </c>
      <c r="F277">
        <v>19640302</v>
      </c>
      <c r="G277" t="s">
        <v>9338</v>
      </c>
      <c r="H277" t="s">
        <v>242</v>
      </c>
      <c r="I277" t="s">
        <v>242</v>
      </c>
      <c r="J277" t="s">
        <v>242</v>
      </c>
      <c r="K277" t="s">
        <v>241</v>
      </c>
      <c r="L277" t="s">
        <v>242</v>
      </c>
      <c r="M277">
        <v>38.657547000000001</v>
      </c>
      <c r="N277">
        <v>-122.7165383</v>
      </c>
      <c r="O277">
        <v>4.13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5.3</v>
      </c>
      <c r="Z277">
        <v>8.6300000000000008</v>
      </c>
      <c r="AA277" t="s">
        <v>9335</v>
      </c>
      <c r="AB277" t="s">
        <v>242</v>
      </c>
      <c r="AC277" t="s">
        <v>3229</v>
      </c>
    </row>
    <row r="278" spans="1:29" x14ac:dyDescent="0.25">
      <c r="A278" t="s">
        <v>1287</v>
      </c>
      <c r="B278" t="s">
        <v>254</v>
      </c>
      <c r="C278" t="s">
        <v>311</v>
      </c>
      <c r="D278" t="s">
        <v>3209</v>
      </c>
      <c r="E278" t="s">
        <v>3246</v>
      </c>
      <c r="F278">
        <v>19640305</v>
      </c>
      <c r="G278" t="s">
        <v>9332</v>
      </c>
      <c r="H278" t="s">
        <v>242</v>
      </c>
      <c r="I278" t="s">
        <v>242</v>
      </c>
      <c r="J278" t="s">
        <v>242</v>
      </c>
      <c r="K278" t="s">
        <v>241</v>
      </c>
      <c r="L278" t="s">
        <v>242</v>
      </c>
      <c r="M278">
        <v>38.626169930000003</v>
      </c>
      <c r="N278">
        <v>-122.770832</v>
      </c>
      <c r="O278">
        <v>0</v>
      </c>
      <c r="P278">
        <v>0</v>
      </c>
      <c r="Q278">
        <v>0</v>
      </c>
      <c r="R278">
        <v>0</v>
      </c>
      <c r="S278">
        <v>0.43</v>
      </c>
      <c r="T278">
        <v>0.63</v>
      </c>
      <c r="U278">
        <v>0.83</v>
      </c>
      <c r="V278">
        <v>0</v>
      </c>
      <c r="W278">
        <v>0</v>
      </c>
      <c r="X278">
        <v>0</v>
      </c>
      <c r="Y278">
        <v>0</v>
      </c>
      <c r="Z278">
        <v>0</v>
      </c>
      <c r="AA278" t="s">
        <v>9335</v>
      </c>
      <c r="AB278" t="s">
        <v>242</v>
      </c>
      <c r="AC278" t="s">
        <v>3229</v>
      </c>
    </row>
    <row r="279" spans="1:29" x14ac:dyDescent="0.25">
      <c r="A279" t="s">
        <v>1289</v>
      </c>
      <c r="B279" t="s">
        <v>254</v>
      </c>
      <c r="C279" t="s">
        <v>409</v>
      </c>
      <c r="D279" t="s">
        <v>3209</v>
      </c>
      <c r="E279" t="s">
        <v>3246</v>
      </c>
      <c r="F279">
        <v>19640320</v>
      </c>
      <c r="G279" t="s">
        <v>9332</v>
      </c>
      <c r="H279" t="s">
        <v>242</v>
      </c>
      <c r="I279" t="s">
        <v>242</v>
      </c>
      <c r="J279" t="s">
        <v>242</v>
      </c>
      <c r="K279" t="s">
        <v>241</v>
      </c>
      <c r="L279" t="s">
        <v>242</v>
      </c>
      <c r="M279">
        <v>38.775565319999998</v>
      </c>
      <c r="N279">
        <v>-122.92013470000001</v>
      </c>
      <c r="O279">
        <v>6</v>
      </c>
      <c r="P279">
        <v>6.66</v>
      </c>
      <c r="Q279">
        <v>4.66</v>
      </c>
      <c r="R279">
        <v>3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1.66</v>
      </c>
      <c r="Y279">
        <v>5</v>
      </c>
      <c r="Z279">
        <v>16</v>
      </c>
      <c r="AA279" t="s">
        <v>9335</v>
      </c>
      <c r="AB279" t="s">
        <v>242</v>
      </c>
      <c r="AC279" t="s">
        <v>3229</v>
      </c>
    </row>
    <row r="280" spans="1:29" x14ac:dyDescent="0.25">
      <c r="A280" t="s">
        <v>1290</v>
      </c>
      <c r="B280" t="s">
        <v>254</v>
      </c>
      <c r="C280" t="s">
        <v>409</v>
      </c>
      <c r="D280" t="s">
        <v>3209</v>
      </c>
      <c r="E280" t="s">
        <v>3246</v>
      </c>
      <c r="F280">
        <v>19640320</v>
      </c>
      <c r="G280" t="s">
        <v>9332</v>
      </c>
      <c r="H280" t="s">
        <v>242</v>
      </c>
      <c r="I280" t="s">
        <v>242</v>
      </c>
      <c r="J280" t="s">
        <v>242</v>
      </c>
      <c r="K280" t="s">
        <v>241</v>
      </c>
      <c r="L280" t="s">
        <v>242</v>
      </c>
      <c r="M280">
        <v>38.775148100000003</v>
      </c>
      <c r="N280">
        <v>-122.9032912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1.66</v>
      </c>
      <c r="V280">
        <v>3.33</v>
      </c>
      <c r="W280">
        <v>3.33</v>
      </c>
      <c r="X280">
        <v>0</v>
      </c>
      <c r="Y280">
        <v>0</v>
      </c>
      <c r="Z280">
        <v>0</v>
      </c>
      <c r="AA280" t="s">
        <v>9335</v>
      </c>
      <c r="AB280" t="s">
        <v>242</v>
      </c>
      <c r="AC280" t="s">
        <v>3229</v>
      </c>
    </row>
    <row r="281" spans="1:29" x14ac:dyDescent="0.25">
      <c r="A281" t="s">
        <v>1292</v>
      </c>
      <c r="B281" t="s">
        <v>254</v>
      </c>
      <c r="C281" t="s">
        <v>354</v>
      </c>
      <c r="D281" t="s">
        <v>3209</v>
      </c>
      <c r="E281" t="s">
        <v>3246</v>
      </c>
      <c r="F281">
        <v>19640427</v>
      </c>
      <c r="G281" t="s">
        <v>9332</v>
      </c>
      <c r="H281" t="s">
        <v>241</v>
      </c>
      <c r="I281" t="s">
        <v>242</v>
      </c>
      <c r="J281" t="s">
        <v>242</v>
      </c>
      <c r="K281" t="s">
        <v>241</v>
      </c>
      <c r="L281" t="s">
        <v>242</v>
      </c>
      <c r="M281">
        <v>38.714199999999998</v>
      </c>
      <c r="N281">
        <v>-122.90940000000001</v>
      </c>
      <c r="O281">
        <v>0</v>
      </c>
      <c r="P281">
        <v>0</v>
      </c>
      <c r="Q281">
        <v>0</v>
      </c>
      <c r="R281">
        <v>0.23</v>
      </c>
      <c r="S281">
        <v>2.4</v>
      </c>
      <c r="T281">
        <v>3.43</v>
      </c>
      <c r="U281">
        <v>4.66</v>
      </c>
      <c r="V281">
        <v>4.43</v>
      </c>
      <c r="W281">
        <v>4.9000000000000004</v>
      </c>
      <c r="X281">
        <v>1.03</v>
      </c>
      <c r="Y281">
        <v>0</v>
      </c>
      <c r="Z281">
        <v>0</v>
      </c>
      <c r="AA281" t="s">
        <v>9335</v>
      </c>
      <c r="AB281" t="s">
        <v>242</v>
      </c>
      <c r="AC281" t="s">
        <v>3229</v>
      </c>
    </row>
    <row r="282" spans="1:29" x14ac:dyDescent="0.25">
      <c r="A282" t="s">
        <v>95</v>
      </c>
      <c r="B282" t="s">
        <v>254</v>
      </c>
      <c r="C282" t="s">
        <v>311</v>
      </c>
      <c r="D282" t="s">
        <v>3209</v>
      </c>
      <c r="E282" t="s">
        <v>3246</v>
      </c>
      <c r="F282">
        <v>19640522</v>
      </c>
      <c r="G282" t="s">
        <v>9334</v>
      </c>
      <c r="H282" t="s">
        <v>242</v>
      </c>
      <c r="I282" t="s">
        <v>242</v>
      </c>
      <c r="J282" t="s">
        <v>242</v>
      </c>
      <c r="K282" t="s">
        <v>241</v>
      </c>
      <c r="L282" t="s">
        <v>242</v>
      </c>
      <c r="M282">
        <v>38.609974280000003</v>
      </c>
      <c r="N282">
        <v>-122.7699569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 t="s">
        <v>9335</v>
      </c>
      <c r="AB282" t="s">
        <v>242</v>
      </c>
      <c r="AC282" t="s">
        <v>3229</v>
      </c>
    </row>
    <row r="283" spans="1:29" x14ac:dyDescent="0.25">
      <c r="A283" t="s">
        <v>1293</v>
      </c>
      <c r="B283" t="s">
        <v>254</v>
      </c>
      <c r="C283" t="s">
        <v>311</v>
      </c>
      <c r="D283" t="s">
        <v>3209</v>
      </c>
      <c r="E283" t="s">
        <v>3246</v>
      </c>
      <c r="F283">
        <v>19640522</v>
      </c>
      <c r="G283" t="s">
        <v>9332</v>
      </c>
      <c r="H283" t="s">
        <v>242</v>
      </c>
      <c r="I283" t="s">
        <v>242</v>
      </c>
      <c r="J283" t="s">
        <v>242</v>
      </c>
      <c r="K283" t="s">
        <v>241</v>
      </c>
      <c r="L283" t="s">
        <v>242</v>
      </c>
      <c r="M283">
        <v>38.611114180000001</v>
      </c>
      <c r="N283">
        <v>-122.76366950000001</v>
      </c>
      <c r="O283">
        <v>0</v>
      </c>
      <c r="P283">
        <v>0</v>
      </c>
      <c r="Q283">
        <v>0</v>
      </c>
      <c r="R283">
        <v>0</v>
      </c>
      <c r="S283">
        <v>0.16</v>
      </c>
      <c r="T283">
        <v>0.33</v>
      </c>
      <c r="U283">
        <v>0.73</v>
      </c>
      <c r="V283">
        <v>0.5</v>
      </c>
      <c r="W283">
        <v>0.23</v>
      </c>
      <c r="X283">
        <v>1.1599999999999999</v>
      </c>
      <c r="Y283">
        <v>0</v>
      </c>
      <c r="Z283">
        <v>0</v>
      </c>
      <c r="AA283" t="s">
        <v>9335</v>
      </c>
      <c r="AB283" t="s">
        <v>242</v>
      </c>
      <c r="AC283" t="s">
        <v>3229</v>
      </c>
    </row>
    <row r="284" spans="1:29" x14ac:dyDescent="0.25">
      <c r="A284" t="s">
        <v>1294</v>
      </c>
      <c r="B284" t="s">
        <v>254</v>
      </c>
      <c r="C284" t="s">
        <v>317</v>
      </c>
      <c r="D284" t="s">
        <v>3209</v>
      </c>
      <c r="E284" t="s">
        <v>3246</v>
      </c>
      <c r="F284">
        <v>19640610</v>
      </c>
      <c r="G284" t="s">
        <v>9332</v>
      </c>
      <c r="H284" t="s">
        <v>242</v>
      </c>
      <c r="I284" t="s">
        <v>242</v>
      </c>
      <c r="J284" t="s">
        <v>242</v>
      </c>
      <c r="K284" t="s">
        <v>241</v>
      </c>
      <c r="L284" t="s">
        <v>242</v>
      </c>
      <c r="M284">
        <v>39.265250160000001</v>
      </c>
      <c r="N284">
        <v>-123.184365</v>
      </c>
      <c r="O284">
        <v>0</v>
      </c>
      <c r="P284">
        <v>1</v>
      </c>
      <c r="Q284">
        <v>5.48</v>
      </c>
      <c r="R284">
        <v>6.53</v>
      </c>
      <c r="S284">
        <v>2.66</v>
      </c>
      <c r="T284">
        <v>1.83</v>
      </c>
      <c r="U284">
        <v>2.33</v>
      </c>
      <c r="V284">
        <v>1</v>
      </c>
      <c r="W284">
        <v>1</v>
      </c>
      <c r="X284">
        <v>0</v>
      </c>
      <c r="Y284">
        <v>0</v>
      </c>
      <c r="Z284">
        <v>0</v>
      </c>
      <c r="AA284" t="s">
        <v>9335</v>
      </c>
      <c r="AB284" t="s">
        <v>242</v>
      </c>
      <c r="AC284" t="s">
        <v>3213</v>
      </c>
    </row>
    <row r="285" spans="1:29" x14ac:dyDescent="0.25">
      <c r="A285" t="s">
        <v>145</v>
      </c>
      <c r="B285" t="s">
        <v>254</v>
      </c>
      <c r="C285" t="s">
        <v>331</v>
      </c>
      <c r="D285" t="s">
        <v>3209</v>
      </c>
      <c r="E285" t="s">
        <v>3246</v>
      </c>
      <c r="F285">
        <v>19640708</v>
      </c>
      <c r="G285" t="s">
        <v>9332</v>
      </c>
      <c r="H285" t="s">
        <v>241</v>
      </c>
      <c r="I285" t="s">
        <v>242</v>
      </c>
      <c r="J285" t="s">
        <v>242</v>
      </c>
      <c r="K285" t="s">
        <v>241</v>
      </c>
      <c r="L285" t="s">
        <v>242</v>
      </c>
      <c r="M285">
        <v>39.132292380000003</v>
      </c>
      <c r="N285">
        <v>-123.18989879999999</v>
      </c>
      <c r="O285">
        <v>0</v>
      </c>
      <c r="P285">
        <v>0</v>
      </c>
      <c r="Q285">
        <v>0</v>
      </c>
      <c r="R285">
        <v>0</v>
      </c>
      <c r="S285">
        <v>0.83</v>
      </c>
      <c r="T285">
        <v>3.6</v>
      </c>
      <c r="U285">
        <v>4.5599999999999996</v>
      </c>
      <c r="V285">
        <v>3.5</v>
      </c>
      <c r="W285">
        <v>2.46</v>
      </c>
      <c r="X285">
        <v>0</v>
      </c>
      <c r="Y285">
        <v>0</v>
      </c>
      <c r="Z285">
        <v>0</v>
      </c>
      <c r="AA285" t="s">
        <v>9335</v>
      </c>
      <c r="AB285" t="s">
        <v>242</v>
      </c>
      <c r="AC285" t="s">
        <v>3213</v>
      </c>
    </row>
    <row r="286" spans="1:29" x14ac:dyDescent="0.25">
      <c r="A286" t="s">
        <v>1296</v>
      </c>
      <c r="B286" t="s">
        <v>254</v>
      </c>
      <c r="C286" t="s">
        <v>331</v>
      </c>
      <c r="D286" t="s">
        <v>3209</v>
      </c>
      <c r="E286" t="s">
        <v>3246</v>
      </c>
      <c r="F286">
        <v>19640817</v>
      </c>
      <c r="G286" t="s">
        <v>9334</v>
      </c>
      <c r="H286" t="s">
        <v>241</v>
      </c>
      <c r="I286" t="s">
        <v>242</v>
      </c>
      <c r="J286" t="s">
        <v>242</v>
      </c>
      <c r="K286" t="s">
        <v>241</v>
      </c>
      <c r="L286" t="s">
        <v>242</v>
      </c>
      <c r="M286">
        <v>39.18957503</v>
      </c>
      <c r="N286">
        <v>-123.20038889999999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 t="s">
        <v>9335</v>
      </c>
      <c r="AB286" t="s">
        <v>242</v>
      </c>
      <c r="AC286" t="s">
        <v>3213</v>
      </c>
    </row>
    <row r="287" spans="1:29" x14ac:dyDescent="0.25">
      <c r="A287" t="s">
        <v>1297</v>
      </c>
      <c r="B287" t="s">
        <v>254</v>
      </c>
      <c r="C287" t="s">
        <v>436</v>
      </c>
      <c r="D287" t="s">
        <v>3209</v>
      </c>
      <c r="E287" t="s">
        <v>3246</v>
      </c>
      <c r="F287">
        <v>19640831</v>
      </c>
      <c r="G287" t="s">
        <v>9332</v>
      </c>
      <c r="H287" t="s">
        <v>242</v>
      </c>
      <c r="I287" t="s">
        <v>242</v>
      </c>
      <c r="J287" t="s">
        <v>242</v>
      </c>
      <c r="K287" t="s">
        <v>241</v>
      </c>
      <c r="L287" t="s">
        <v>242</v>
      </c>
      <c r="M287">
        <v>38.699933719999997</v>
      </c>
      <c r="N287">
        <v>-122.8259456</v>
      </c>
      <c r="O287">
        <v>0</v>
      </c>
      <c r="P287">
        <v>0</v>
      </c>
      <c r="Q287">
        <v>0</v>
      </c>
      <c r="R287">
        <v>0</v>
      </c>
      <c r="S287">
        <v>2</v>
      </c>
      <c r="T287">
        <v>2</v>
      </c>
      <c r="U287">
        <v>2</v>
      </c>
      <c r="V287">
        <v>2</v>
      </c>
      <c r="W287">
        <v>2</v>
      </c>
      <c r="X287">
        <v>2</v>
      </c>
      <c r="Y287">
        <v>0</v>
      </c>
      <c r="Z287">
        <v>0</v>
      </c>
      <c r="AA287" t="s">
        <v>9335</v>
      </c>
      <c r="AB287" t="s">
        <v>242</v>
      </c>
      <c r="AC287" t="s">
        <v>3229</v>
      </c>
    </row>
    <row r="288" spans="1:29" x14ac:dyDescent="0.25">
      <c r="A288" t="s">
        <v>1299</v>
      </c>
      <c r="B288" t="s">
        <v>254</v>
      </c>
      <c r="C288" t="s">
        <v>311</v>
      </c>
      <c r="D288" t="s">
        <v>3209</v>
      </c>
      <c r="E288" t="s">
        <v>3246</v>
      </c>
      <c r="F288">
        <v>19641008</v>
      </c>
      <c r="G288" t="s">
        <v>9332</v>
      </c>
      <c r="H288" t="s">
        <v>242</v>
      </c>
      <c r="I288" t="s">
        <v>242</v>
      </c>
      <c r="J288" t="s">
        <v>242</v>
      </c>
      <c r="K288" t="s">
        <v>241</v>
      </c>
      <c r="L288" t="s">
        <v>242</v>
      </c>
      <c r="M288">
        <v>38.596426180000002</v>
      </c>
      <c r="N288">
        <v>-122.7838072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 t="s">
        <v>9333</v>
      </c>
      <c r="AB288" t="s">
        <v>242</v>
      </c>
      <c r="AC288" t="s">
        <v>3229</v>
      </c>
    </row>
    <row r="289" spans="1:29" x14ac:dyDescent="0.25">
      <c r="A289" t="s">
        <v>1300</v>
      </c>
      <c r="B289" t="s">
        <v>254</v>
      </c>
      <c r="C289" t="s">
        <v>319</v>
      </c>
      <c r="D289" t="s">
        <v>3209</v>
      </c>
      <c r="E289" t="s">
        <v>3246</v>
      </c>
      <c r="F289">
        <v>19641008</v>
      </c>
      <c r="G289" t="s">
        <v>9332</v>
      </c>
      <c r="H289" t="s">
        <v>241</v>
      </c>
      <c r="I289" t="s">
        <v>242</v>
      </c>
      <c r="J289" t="s">
        <v>242</v>
      </c>
      <c r="K289" t="s">
        <v>241</v>
      </c>
      <c r="L289" t="s">
        <v>242</v>
      </c>
      <c r="M289">
        <v>38.999699999999997</v>
      </c>
      <c r="N289">
        <v>-123.1092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4.93</v>
      </c>
      <c r="V289">
        <v>6.83</v>
      </c>
      <c r="W289">
        <v>0</v>
      </c>
      <c r="X289">
        <v>0</v>
      </c>
      <c r="Y289">
        <v>0</v>
      </c>
      <c r="Z289">
        <v>0</v>
      </c>
      <c r="AA289" t="s">
        <v>9335</v>
      </c>
      <c r="AB289" t="s">
        <v>242</v>
      </c>
      <c r="AC289" t="s">
        <v>3213</v>
      </c>
    </row>
    <row r="290" spans="1:29" x14ac:dyDescent="0.25">
      <c r="A290" t="s">
        <v>1301</v>
      </c>
      <c r="B290" t="s">
        <v>254</v>
      </c>
      <c r="C290" t="s">
        <v>319</v>
      </c>
      <c r="D290" t="s">
        <v>3209</v>
      </c>
      <c r="E290" t="s">
        <v>3246</v>
      </c>
      <c r="F290">
        <v>19641008</v>
      </c>
      <c r="G290" t="s">
        <v>9332</v>
      </c>
      <c r="H290" t="s">
        <v>241</v>
      </c>
      <c r="I290" t="s">
        <v>242</v>
      </c>
      <c r="J290" t="s">
        <v>242</v>
      </c>
      <c r="K290" t="s">
        <v>241</v>
      </c>
      <c r="L290" t="s">
        <v>242</v>
      </c>
      <c r="M290">
        <v>38.990596629999999</v>
      </c>
      <c r="N290">
        <v>-123.1065938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0.23</v>
      </c>
      <c r="U290">
        <v>1.3</v>
      </c>
      <c r="V290">
        <v>1.36</v>
      </c>
      <c r="W290">
        <v>0</v>
      </c>
      <c r="X290">
        <v>0</v>
      </c>
      <c r="Y290">
        <v>0</v>
      </c>
      <c r="Z290">
        <v>0</v>
      </c>
      <c r="AA290" t="s">
        <v>9335</v>
      </c>
      <c r="AB290" t="s">
        <v>242</v>
      </c>
      <c r="AC290" t="s">
        <v>3213</v>
      </c>
    </row>
    <row r="291" spans="1:29" x14ac:dyDescent="0.25">
      <c r="A291" t="s">
        <v>1302</v>
      </c>
      <c r="B291" t="s">
        <v>254</v>
      </c>
      <c r="C291" t="s">
        <v>319</v>
      </c>
      <c r="D291" t="s">
        <v>3209</v>
      </c>
      <c r="E291" t="s">
        <v>3246</v>
      </c>
      <c r="F291">
        <v>19641008</v>
      </c>
      <c r="G291" t="s">
        <v>9332</v>
      </c>
      <c r="H291" t="s">
        <v>241</v>
      </c>
      <c r="I291" t="s">
        <v>242</v>
      </c>
      <c r="J291" t="s">
        <v>242</v>
      </c>
      <c r="K291" t="s">
        <v>241</v>
      </c>
      <c r="L291" t="s">
        <v>242</v>
      </c>
      <c r="M291">
        <v>38.979631240000003</v>
      </c>
      <c r="N291">
        <v>-123.10466390000001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 t="s">
        <v>9335</v>
      </c>
      <c r="AB291" t="s">
        <v>242</v>
      </c>
      <c r="AC291" t="s">
        <v>3213</v>
      </c>
    </row>
    <row r="292" spans="1:29" x14ac:dyDescent="0.25">
      <c r="A292" t="s">
        <v>1303</v>
      </c>
      <c r="B292" t="s">
        <v>254</v>
      </c>
      <c r="C292" t="s">
        <v>319</v>
      </c>
      <c r="D292" t="s">
        <v>3209</v>
      </c>
      <c r="E292" t="s">
        <v>3246</v>
      </c>
      <c r="F292">
        <v>19641008</v>
      </c>
      <c r="G292" t="s">
        <v>9332</v>
      </c>
      <c r="H292" t="s">
        <v>241</v>
      </c>
      <c r="I292" t="s">
        <v>242</v>
      </c>
      <c r="J292" t="s">
        <v>242</v>
      </c>
      <c r="K292" t="s">
        <v>241</v>
      </c>
      <c r="L292" t="s">
        <v>242</v>
      </c>
      <c r="M292">
        <v>38.976095100000002</v>
      </c>
      <c r="N292">
        <v>-123.1057303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6.13</v>
      </c>
      <c r="V292">
        <v>0</v>
      </c>
      <c r="W292">
        <v>0</v>
      </c>
      <c r="X292">
        <v>0</v>
      </c>
      <c r="Y292">
        <v>0</v>
      </c>
      <c r="Z292">
        <v>0</v>
      </c>
      <c r="AA292" t="s">
        <v>9335</v>
      </c>
      <c r="AB292" t="s">
        <v>242</v>
      </c>
      <c r="AC292" t="s">
        <v>3213</v>
      </c>
    </row>
    <row r="293" spans="1:29" x14ac:dyDescent="0.25">
      <c r="A293" t="s">
        <v>1304</v>
      </c>
      <c r="B293" t="s">
        <v>254</v>
      </c>
      <c r="C293" t="s">
        <v>319</v>
      </c>
      <c r="D293" t="s">
        <v>3209</v>
      </c>
      <c r="E293" t="s">
        <v>3246</v>
      </c>
      <c r="F293">
        <v>19641008</v>
      </c>
      <c r="G293" t="s">
        <v>9332</v>
      </c>
      <c r="H293" t="s">
        <v>241</v>
      </c>
      <c r="I293" t="s">
        <v>242</v>
      </c>
      <c r="J293" t="s">
        <v>242</v>
      </c>
      <c r="K293" t="s">
        <v>241</v>
      </c>
      <c r="L293" t="s">
        <v>242</v>
      </c>
      <c r="M293">
        <v>38.972477069999997</v>
      </c>
      <c r="N293">
        <v>-123.1071716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0.43</v>
      </c>
      <c r="U293">
        <v>5.76</v>
      </c>
      <c r="V293">
        <v>9.56</v>
      </c>
      <c r="W293">
        <v>1.26</v>
      </c>
      <c r="X293">
        <v>1.2</v>
      </c>
      <c r="Y293">
        <v>0</v>
      </c>
      <c r="Z293">
        <v>0</v>
      </c>
      <c r="AA293" t="s">
        <v>9335</v>
      </c>
      <c r="AB293" t="s">
        <v>242</v>
      </c>
      <c r="AC293" t="s">
        <v>3213</v>
      </c>
    </row>
    <row r="294" spans="1:29" x14ac:dyDescent="0.25">
      <c r="A294" t="s">
        <v>101</v>
      </c>
      <c r="B294" t="s">
        <v>254</v>
      </c>
      <c r="C294" t="s">
        <v>319</v>
      </c>
      <c r="D294" t="s">
        <v>3209</v>
      </c>
      <c r="E294" t="s">
        <v>3246</v>
      </c>
      <c r="F294">
        <v>19641008</v>
      </c>
      <c r="G294" t="s">
        <v>9332</v>
      </c>
      <c r="H294" t="s">
        <v>241</v>
      </c>
      <c r="I294" t="s">
        <v>242</v>
      </c>
      <c r="J294" t="s">
        <v>242</v>
      </c>
      <c r="K294" t="s">
        <v>241</v>
      </c>
      <c r="L294" t="s">
        <v>242</v>
      </c>
      <c r="M294">
        <v>38.972488749999997</v>
      </c>
      <c r="N294">
        <v>-123.1071936</v>
      </c>
      <c r="O294">
        <v>0</v>
      </c>
      <c r="P294">
        <v>0</v>
      </c>
      <c r="Q294">
        <v>0</v>
      </c>
      <c r="R294">
        <v>1</v>
      </c>
      <c r="S294">
        <v>2</v>
      </c>
      <c r="T294">
        <v>2</v>
      </c>
      <c r="U294">
        <v>2</v>
      </c>
      <c r="V294">
        <v>2</v>
      </c>
      <c r="W294">
        <v>2</v>
      </c>
      <c r="X294">
        <v>1</v>
      </c>
      <c r="Y294">
        <v>0</v>
      </c>
      <c r="Z294">
        <v>0</v>
      </c>
      <c r="AA294" t="s">
        <v>9335</v>
      </c>
      <c r="AB294" t="s">
        <v>242</v>
      </c>
      <c r="AC294" t="s">
        <v>3213</v>
      </c>
    </row>
    <row r="295" spans="1:29" x14ac:dyDescent="0.25">
      <c r="A295" t="s">
        <v>1305</v>
      </c>
      <c r="B295" t="s">
        <v>254</v>
      </c>
      <c r="C295" t="s">
        <v>331</v>
      </c>
      <c r="D295" t="s">
        <v>3209</v>
      </c>
      <c r="E295" t="s">
        <v>3246</v>
      </c>
      <c r="F295">
        <v>19641015</v>
      </c>
      <c r="G295" t="s">
        <v>9332</v>
      </c>
      <c r="H295" t="s">
        <v>242</v>
      </c>
      <c r="I295" t="s">
        <v>242</v>
      </c>
      <c r="J295" t="s">
        <v>242</v>
      </c>
      <c r="K295" t="s">
        <v>241</v>
      </c>
      <c r="L295" t="s">
        <v>242</v>
      </c>
      <c r="M295">
        <v>39.160452419999999</v>
      </c>
      <c r="N295">
        <v>-123.0898485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 t="s">
        <v>9333</v>
      </c>
      <c r="AB295" t="s">
        <v>242</v>
      </c>
      <c r="AC295" t="s">
        <v>3213</v>
      </c>
    </row>
    <row r="296" spans="1:29" x14ac:dyDescent="0.25">
      <c r="A296" t="s">
        <v>1307</v>
      </c>
      <c r="B296" t="s">
        <v>254</v>
      </c>
      <c r="C296" t="s">
        <v>319</v>
      </c>
      <c r="D296" t="s">
        <v>3209</v>
      </c>
      <c r="E296" t="s">
        <v>3246</v>
      </c>
      <c r="F296">
        <v>19641015</v>
      </c>
      <c r="G296" t="s">
        <v>9332</v>
      </c>
      <c r="H296" t="s">
        <v>242</v>
      </c>
      <c r="I296" t="s">
        <v>242</v>
      </c>
      <c r="J296" t="s">
        <v>242</v>
      </c>
      <c r="K296" t="s">
        <v>241</v>
      </c>
      <c r="L296" t="s">
        <v>242</v>
      </c>
      <c r="M296">
        <v>38.9463832</v>
      </c>
      <c r="N296">
        <v>-122.98458719999999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 t="s">
        <v>9333</v>
      </c>
      <c r="AB296" t="s">
        <v>242</v>
      </c>
      <c r="AC296" t="s">
        <v>3213</v>
      </c>
    </row>
    <row r="297" spans="1:29" x14ac:dyDescent="0.25">
      <c r="A297" t="s">
        <v>1309</v>
      </c>
      <c r="B297" t="s">
        <v>254</v>
      </c>
      <c r="C297" t="s">
        <v>317</v>
      </c>
      <c r="D297" t="s">
        <v>3209</v>
      </c>
      <c r="E297" t="s">
        <v>3246</v>
      </c>
      <c r="F297">
        <v>19641029</v>
      </c>
      <c r="G297" t="s">
        <v>9332</v>
      </c>
      <c r="H297" t="s">
        <v>242</v>
      </c>
      <c r="I297" t="s">
        <v>242</v>
      </c>
      <c r="J297" t="s">
        <v>242</v>
      </c>
      <c r="K297" t="s">
        <v>241</v>
      </c>
      <c r="L297" t="s">
        <v>242</v>
      </c>
      <c r="M297">
        <v>39.287367799999998</v>
      </c>
      <c r="N297">
        <v>-123.18979950000001</v>
      </c>
      <c r="O297">
        <v>7.33</v>
      </c>
      <c r="P297">
        <v>6</v>
      </c>
      <c r="Q297">
        <v>5.66</v>
      </c>
      <c r="R297">
        <v>3.66</v>
      </c>
      <c r="S297">
        <v>3.33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1.33</v>
      </c>
      <c r="AA297" t="s">
        <v>9335</v>
      </c>
      <c r="AB297" t="s">
        <v>242</v>
      </c>
      <c r="AC297" t="s">
        <v>3213</v>
      </c>
    </row>
    <row r="298" spans="1:29" x14ac:dyDescent="0.25">
      <c r="A298" t="s">
        <v>1310</v>
      </c>
      <c r="B298" t="s">
        <v>254</v>
      </c>
      <c r="C298" t="s">
        <v>317</v>
      </c>
      <c r="D298" t="s">
        <v>3209</v>
      </c>
      <c r="E298" t="s">
        <v>3246</v>
      </c>
      <c r="F298">
        <v>19641119</v>
      </c>
      <c r="G298" t="s">
        <v>9332</v>
      </c>
      <c r="H298" t="s">
        <v>242</v>
      </c>
      <c r="I298" t="s">
        <v>242</v>
      </c>
      <c r="J298" t="s">
        <v>242</v>
      </c>
      <c r="K298" t="s">
        <v>241</v>
      </c>
      <c r="L298" t="s">
        <v>242</v>
      </c>
      <c r="M298">
        <v>39.237395390000003</v>
      </c>
      <c r="N298">
        <v>-123.20967469999999</v>
      </c>
      <c r="O298">
        <v>1.2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0.48</v>
      </c>
      <c r="Z298">
        <v>0.61</v>
      </c>
      <c r="AA298" t="s">
        <v>9335</v>
      </c>
      <c r="AB298" t="s">
        <v>242</v>
      </c>
      <c r="AC298" t="s">
        <v>3213</v>
      </c>
    </row>
    <row r="299" spans="1:29" x14ac:dyDescent="0.25">
      <c r="A299" t="s">
        <v>133</v>
      </c>
      <c r="B299" t="s">
        <v>254</v>
      </c>
      <c r="C299" t="s">
        <v>331</v>
      </c>
      <c r="D299" t="s">
        <v>3209</v>
      </c>
      <c r="E299" t="s">
        <v>3246</v>
      </c>
      <c r="F299">
        <v>19641217</v>
      </c>
      <c r="G299" t="s">
        <v>9332</v>
      </c>
      <c r="H299" t="s">
        <v>241</v>
      </c>
      <c r="I299" t="s">
        <v>242</v>
      </c>
      <c r="J299" t="s">
        <v>242</v>
      </c>
      <c r="K299" t="s">
        <v>241</v>
      </c>
      <c r="L299" t="s">
        <v>242</v>
      </c>
      <c r="M299">
        <v>39.187255880000002</v>
      </c>
      <c r="N299">
        <v>-123.1989382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 t="s">
        <v>9335</v>
      </c>
      <c r="AB299" t="s">
        <v>242</v>
      </c>
      <c r="AC299" t="s">
        <v>3213</v>
      </c>
    </row>
    <row r="300" spans="1:29" x14ac:dyDescent="0.25">
      <c r="A300" t="s">
        <v>1270</v>
      </c>
      <c r="B300" t="s">
        <v>254</v>
      </c>
      <c r="C300" t="s">
        <v>354</v>
      </c>
      <c r="D300" t="s">
        <v>3209</v>
      </c>
      <c r="E300" t="s">
        <v>3246</v>
      </c>
      <c r="F300">
        <v>19650310</v>
      </c>
      <c r="G300" t="s">
        <v>9332</v>
      </c>
      <c r="H300" t="s">
        <v>242</v>
      </c>
      <c r="I300" t="s">
        <v>242</v>
      </c>
      <c r="J300" t="s">
        <v>242</v>
      </c>
      <c r="K300" t="s">
        <v>241</v>
      </c>
      <c r="L300" t="s">
        <v>242</v>
      </c>
      <c r="M300">
        <v>38.785362839999998</v>
      </c>
      <c r="N300">
        <v>-122.9974478</v>
      </c>
      <c r="O300">
        <v>0.56000000000000005</v>
      </c>
      <c r="P300">
        <v>0.56000000000000005</v>
      </c>
      <c r="Q300">
        <v>0.5</v>
      </c>
      <c r="R300">
        <v>0.5</v>
      </c>
      <c r="S300">
        <v>0.83</v>
      </c>
      <c r="T300">
        <v>0.33</v>
      </c>
      <c r="U300">
        <v>0.33</v>
      </c>
      <c r="V300">
        <v>0.33</v>
      </c>
      <c r="W300">
        <v>0.33</v>
      </c>
      <c r="X300">
        <v>0.83</v>
      </c>
      <c r="Y300">
        <v>0.5</v>
      </c>
      <c r="Z300">
        <v>0.5</v>
      </c>
      <c r="AA300" t="s">
        <v>9335</v>
      </c>
      <c r="AB300" t="s">
        <v>242</v>
      </c>
      <c r="AC300" t="s">
        <v>3229</v>
      </c>
    </row>
    <row r="301" spans="1:29" x14ac:dyDescent="0.25">
      <c r="A301" t="s">
        <v>1272</v>
      </c>
      <c r="B301" t="s">
        <v>254</v>
      </c>
      <c r="C301" t="s">
        <v>436</v>
      </c>
      <c r="D301" t="s">
        <v>3209</v>
      </c>
      <c r="E301" t="s">
        <v>3246</v>
      </c>
      <c r="F301">
        <v>19650322</v>
      </c>
      <c r="G301" t="s">
        <v>9332</v>
      </c>
      <c r="H301" t="s">
        <v>242</v>
      </c>
      <c r="I301" t="s">
        <v>242</v>
      </c>
      <c r="J301" t="s">
        <v>242</v>
      </c>
      <c r="K301" t="s">
        <v>241</v>
      </c>
      <c r="L301" t="s">
        <v>242</v>
      </c>
      <c r="M301">
        <v>38.739278140000003</v>
      </c>
      <c r="N301">
        <v>-122.85339949999999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 t="s">
        <v>9335</v>
      </c>
      <c r="AB301" t="s">
        <v>242</v>
      </c>
      <c r="AC301" t="s">
        <v>3229</v>
      </c>
    </row>
    <row r="302" spans="1:29" x14ac:dyDescent="0.25">
      <c r="A302" t="s">
        <v>1273</v>
      </c>
      <c r="B302" t="s">
        <v>254</v>
      </c>
      <c r="C302" t="s">
        <v>311</v>
      </c>
      <c r="D302" t="s">
        <v>3209</v>
      </c>
      <c r="E302" t="s">
        <v>3246</v>
      </c>
      <c r="F302">
        <v>19650510</v>
      </c>
      <c r="G302" t="s">
        <v>9334</v>
      </c>
      <c r="H302" t="s">
        <v>242</v>
      </c>
      <c r="I302" t="s">
        <v>242</v>
      </c>
      <c r="J302" t="s">
        <v>242</v>
      </c>
      <c r="K302" t="s">
        <v>241</v>
      </c>
      <c r="L302" t="s">
        <v>242</v>
      </c>
      <c r="M302">
        <v>38.668523829999998</v>
      </c>
      <c r="N302">
        <v>-122.8017634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 t="s">
        <v>9335</v>
      </c>
      <c r="AB302" t="s">
        <v>242</v>
      </c>
      <c r="AC302" t="s">
        <v>3229</v>
      </c>
    </row>
    <row r="303" spans="1:29" x14ac:dyDescent="0.25">
      <c r="A303" t="s">
        <v>1274</v>
      </c>
      <c r="B303" t="s">
        <v>254</v>
      </c>
      <c r="C303" t="s">
        <v>354</v>
      </c>
      <c r="D303" t="s">
        <v>3209</v>
      </c>
      <c r="E303" t="s">
        <v>3246</v>
      </c>
      <c r="F303">
        <v>19650614</v>
      </c>
      <c r="G303" t="s">
        <v>9332</v>
      </c>
      <c r="H303" t="s">
        <v>242</v>
      </c>
      <c r="I303" t="s">
        <v>242</v>
      </c>
      <c r="J303" t="s">
        <v>242</v>
      </c>
      <c r="K303" t="s">
        <v>241</v>
      </c>
      <c r="L303" t="s">
        <v>242</v>
      </c>
      <c r="M303">
        <v>38.769301849999998</v>
      </c>
      <c r="N303">
        <v>-123.0130075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 t="s">
        <v>9335</v>
      </c>
      <c r="AB303" t="s">
        <v>242</v>
      </c>
      <c r="AC303" t="s">
        <v>3229</v>
      </c>
    </row>
    <row r="304" spans="1:29" x14ac:dyDescent="0.25">
      <c r="A304" t="s">
        <v>46</v>
      </c>
      <c r="B304" t="s">
        <v>254</v>
      </c>
      <c r="C304" t="s">
        <v>331</v>
      </c>
      <c r="D304" t="s">
        <v>3209</v>
      </c>
      <c r="E304" t="s">
        <v>3246</v>
      </c>
      <c r="F304">
        <v>19650701</v>
      </c>
      <c r="G304" t="s">
        <v>9332</v>
      </c>
      <c r="H304" t="s">
        <v>241</v>
      </c>
      <c r="I304" t="s">
        <v>242</v>
      </c>
      <c r="J304" t="s">
        <v>242</v>
      </c>
      <c r="K304" t="s">
        <v>241</v>
      </c>
      <c r="L304" t="s">
        <v>242</v>
      </c>
      <c r="M304">
        <v>39.149005520000003</v>
      </c>
      <c r="N304">
        <v>-123.1816417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5.58</v>
      </c>
      <c r="U304">
        <v>5</v>
      </c>
      <c r="V304">
        <v>2.2400000000000002</v>
      </c>
      <c r="W304">
        <v>4.74</v>
      </c>
      <c r="X304">
        <v>0.1</v>
      </c>
      <c r="Y304">
        <v>0</v>
      </c>
      <c r="Z304">
        <v>0</v>
      </c>
      <c r="AA304" t="s">
        <v>9335</v>
      </c>
      <c r="AB304" t="s">
        <v>242</v>
      </c>
      <c r="AC304" t="s">
        <v>3213</v>
      </c>
    </row>
    <row r="305" spans="1:29" x14ac:dyDescent="0.25">
      <c r="A305" t="s">
        <v>1275</v>
      </c>
      <c r="B305" t="s">
        <v>254</v>
      </c>
      <c r="C305" t="s">
        <v>317</v>
      </c>
      <c r="D305" t="s">
        <v>3209</v>
      </c>
      <c r="E305" t="s">
        <v>3246</v>
      </c>
      <c r="F305">
        <v>19650831</v>
      </c>
      <c r="G305" t="s">
        <v>9332</v>
      </c>
      <c r="H305" t="s">
        <v>242</v>
      </c>
      <c r="I305" t="s">
        <v>242</v>
      </c>
      <c r="J305" t="s">
        <v>242</v>
      </c>
      <c r="K305" t="s">
        <v>241</v>
      </c>
      <c r="L305" t="s">
        <v>242</v>
      </c>
      <c r="M305">
        <v>39.247745260000002</v>
      </c>
      <c r="N305">
        <v>-123.20455440000001</v>
      </c>
      <c r="O305">
        <v>0</v>
      </c>
      <c r="P305">
        <v>0</v>
      </c>
      <c r="Q305">
        <v>0</v>
      </c>
      <c r="R305">
        <v>0.16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 t="s">
        <v>9335</v>
      </c>
      <c r="AB305" t="s">
        <v>242</v>
      </c>
      <c r="AC305" t="s">
        <v>3213</v>
      </c>
    </row>
    <row r="306" spans="1:29" x14ac:dyDescent="0.25">
      <c r="A306" t="s">
        <v>35</v>
      </c>
      <c r="B306" t="s">
        <v>254</v>
      </c>
      <c r="C306" t="s">
        <v>331</v>
      </c>
      <c r="D306" t="s">
        <v>3209</v>
      </c>
      <c r="E306" t="s">
        <v>3246</v>
      </c>
      <c r="F306">
        <v>19651006</v>
      </c>
      <c r="G306" t="s">
        <v>9332</v>
      </c>
      <c r="H306" t="s">
        <v>241</v>
      </c>
      <c r="I306" t="s">
        <v>242</v>
      </c>
      <c r="J306" t="s">
        <v>242</v>
      </c>
      <c r="K306" t="s">
        <v>241</v>
      </c>
      <c r="L306" t="s">
        <v>242</v>
      </c>
      <c r="M306">
        <v>39.17180544</v>
      </c>
      <c r="N306">
        <v>-123.1926794</v>
      </c>
      <c r="O306">
        <v>0</v>
      </c>
      <c r="P306">
        <v>0</v>
      </c>
      <c r="Q306">
        <v>0</v>
      </c>
      <c r="R306">
        <v>0</v>
      </c>
      <c r="S306">
        <v>0.89</v>
      </c>
      <c r="T306">
        <v>1.96</v>
      </c>
      <c r="U306">
        <v>2.1</v>
      </c>
      <c r="V306">
        <v>1.6</v>
      </c>
      <c r="W306">
        <v>1.23</v>
      </c>
      <c r="X306">
        <v>1.1499999999999999</v>
      </c>
      <c r="Y306">
        <v>0</v>
      </c>
      <c r="Z306">
        <v>0</v>
      </c>
      <c r="AA306" t="s">
        <v>9335</v>
      </c>
      <c r="AB306" t="s">
        <v>242</v>
      </c>
      <c r="AC306" t="s">
        <v>3213</v>
      </c>
    </row>
    <row r="307" spans="1:29" x14ac:dyDescent="0.25">
      <c r="A307" t="s">
        <v>1267</v>
      </c>
      <c r="B307" t="s">
        <v>254</v>
      </c>
      <c r="C307" t="s">
        <v>348</v>
      </c>
      <c r="D307" t="s">
        <v>3209</v>
      </c>
      <c r="E307" t="s">
        <v>3246</v>
      </c>
      <c r="F307">
        <v>19660201</v>
      </c>
      <c r="G307" t="s">
        <v>9332</v>
      </c>
      <c r="H307" t="s">
        <v>242</v>
      </c>
      <c r="I307" t="s">
        <v>242</v>
      </c>
      <c r="J307" t="s">
        <v>242</v>
      </c>
      <c r="K307" t="s">
        <v>241</v>
      </c>
      <c r="L307" t="s">
        <v>242</v>
      </c>
      <c r="M307">
        <v>39.342800779999997</v>
      </c>
      <c r="N307">
        <v>-123.1163561</v>
      </c>
      <c r="O307">
        <v>0</v>
      </c>
      <c r="P307">
        <v>0</v>
      </c>
      <c r="Q307">
        <v>0</v>
      </c>
      <c r="R307">
        <v>0</v>
      </c>
      <c r="S307">
        <v>0.55000000000000004</v>
      </c>
      <c r="T307">
        <v>6.9</v>
      </c>
      <c r="U307">
        <v>9.1</v>
      </c>
      <c r="V307">
        <v>3.58</v>
      </c>
      <c r="W307">
        <v>3.81</v>
      </c>
      <c r="X307">
        <v>7.26</v>
      </c>
      <c r="Y307">
        <v>0</v>
      </c>
      <c r="Z307">
        <v>0</v>
      </c>
      <c r="AA307" t="s">
        <v>9335</v>
      </c>
      <c r="AB307" t="s">
        <v>242</v>
      </c>
      <c r="AC307" t="s">
        <v>3213</v>
      </c>
    </row>
    <row r="308" spans="1:29" x14ac:dyDescent="0.25">
      <c r="A308" t="s">
        <v>1249</v>
      </c>
      <c r="B308" t="s">
        <v>254</v>
      </c>
      <c r="C308" t="s">
        <v>331</v>
      </c>
      <c r="D308" t="s">
        <v>3209</v>
      </c>
      <c r="E308" t="s">
        <v>3246</v>
      </c>
      <c r="F308">
        <v>19660317</v>
      </c>
      <c r="G308" t="s">
        <v>9332</v>
      </c>
      <c r="H308" t="s">
        <v>242</v>
      </c>
      <c r="I308" t="s">
        <v>242</v>
      </c>
      <c r="J308" t="s">
        <v>242</v>
      </c>
      <c r="K308" t="s">
        <v>241</v>
      </c>
      <c r="L308" t="s">
        <v>242</v>
      </c>
      <c r="M308">
        <v>39.168057320000003</v>
      </c>
      <c r="N308">
        <v>-123.0691533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 t="s">
        <v>9339</v>
      </c>
      <c r="AB308" t="s">
        <v>242</v>
      </c>
      <c r="AC308" t="s">
        <v>7051</v>
      </c>
    </row>
    <row r="309" spans="1:29" x14ac:dyDescent="0.25">
      <c r="A309" t="s">
        <v>1252</v>
      </c>
      <c r="B309" t="s">
        <v>254</v>
      </c>
      <c r="C309" t="s">
        <v>311</v>
      </c>
      <c r="D309" t="s">
        <v>3209</v>
      </c>
      <c r="E309" t="s">
        <v>3246</v>
      </c>
      <c r="F309">
        <v>19660329</v>
      </c>
      <c r="G309" t="s">
        <v>9332</v>
      </c>
      <c r="H309" t="s">
        <v>242</v>
      </c>
      <c r="I309" t="s">
        <v>242</v>
      </c>
      <c r="J309" t="s">
        <v>242</v>
      </c>
      <c r="K309" t="s">
        <v>241</v>
      </c>
      <c r="L309" t="s">
        <v>242</v>
      </c>
      <c r="M309">
        <v>38.581135099999997</v>
      </c>
      <c r="N309">
        <v>-122.7708701</v>
      </c>
      <c r="O309">
        <v>0.13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0.06</v>
      </c>
      <c r="Y309">
        <v>0.33</v>
      </c>
      <c r="Z309">
        <v>0</v>
      </c>
      <c r="AA309" t="s">
        <v>9335</v>
      </c>
      <c r="AB309" t="s">
        <v>242</v>
      </c>
      <c r="AC309" t="s">
        <v>3229</v>
      </c>
    </row>
    <row r="310" spans="1:29" x14ac:dyDescent="0.25">
      <c r="A310" t="s">
        <v>1268</v>
      </c>
      <c r="B310" t="s">
        <v>254</v>
      </c>
      <c r="C310" t="s">
        <v>348</v>
      </c>
      <c r="D310" t="s">
        <v>3209</v>
      </c>
      <c r="E310" t="s">
        <v>3246</v>
      </c>
      <c r="F310">
        <v>19660329</v>
      </c>
      <c r="G310" t="s">
        <v>9332</v>
      </c>
      <c r="H310" t="s">
        <v>242</v>
      </c>
      <c r="I310" t="s">
        <v>242</v>
      </c>
      <c r="J310" t="s">
        <v>242</v>
      </c>
      <c r="K310" t="s">
        <v>241</v>
      </c>
      <c r="L310" t="s">
        <v>242</v>
      </c>
      <c r="M310">
        <v>39.272913690000003</v>
      </c>
      <c r="N310">
        <v>-123.1025337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 t="s">
        <v>9335</v>
      </c>
      <c r="AB310" t="s">
        <v>242</v>
      </c>
      <c r="AC310" t="s">
        <v>3213</v>
      </c>
    </row>
    <row r="311" spans="1:29" x14ac:dyDescent="0.25">
      <c r="A311" t="s">
        <v>1253</v>
      </c>
      <c r="B311" t="s">
        <v>254</v>
      </c>
      <c r="C311" t="s">
        <v>311</v>
      </c>
      <c r="D311" t="s">
        <v>3209</v>
      </c>
      <c r="E311" t="s">
        <v>3246</v>
      </c>
      <c r="F311">
        <v>19660411</v>
      </c>
      <c r="G311" t="s">
        <v>9332</v>
      </c>
      <c r="H311" t="s">
        <v>242</v>
      </c>
      <c r="I311" t="s">
        <v>242</v>
      </c>
      <c r="J311" t="s">
        <v>242</v>
      </c>
      <c r="K311" t="s">
        <v>241</v>
      </c>
      <c r="L311" t="s">
        <v>242</v>
      </c>
      <c r="M311">
        <v>38.610546579999998</v>
      </c>
      <c r="N311">
        <v>-122.7664633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 t="s">
        <v>9335</v>
      </c>
      <c r="AB311" t="s">
        <v>242</v>
      </c>
      <c r="AC311" t="s">
        <v>3229</v>
      </c>
    </row>
    <row r="312" spans="1:29" x14ac:dyDescent="0.25">
      <c r="A312" t="s">
        <v>1260</v>
      </c>
      <c r="B312" t="s">
        <v>254</v>
      </c>
      <c r="C312" t="s">
        <v>409</v>
      </c>
      <c r="D312" t="s">
        <v>3209</v>
      </c>
      <c r="E312" t="s">
        <v>3246</v>
      </c>
      <c r="F312">
        <v>19661018</v>
      </c>
      <c r="G312" t="s">
        <v>9332</v>
      </c>
      <c r="H312" t="s">
        <v>242</v>
      </c>
      <c r="I312" t="s">
        <v>242</v>
      </c>
      <c r="J312" t="s">
        <v>242</v>
      </c>
      <c r="K312" t="s">
        <v>241</v>
      </c>
      <c r="L312" t="s">
        <v>242</v>
      </c>
      <c r="M312">
        <v>38.862779230000001</v>
      </c>
      <c r="N312">
        <v>-122.8622562</v>
      </c>
      <c r="O312">
        <v>0.09</v>
      </c>
      <c r="P312">
        <v>0.09</v>
      </c>
      <c r="Q312">
        <v>0.09</v>
      </c>
      <c r="R312">
        <v>0.09</v>
      </c>
      <c r="S312">
        <v>0.09</v>
      </c>
      <c r="T312">
        <v>0.09</v>
      </c>
      <c r="U312">
        <v>0.09</v>
      </c>
      <c r="V312">
        <v>0.09</v>
      </c>
      <c r="W312">
        <v>0.09</v>
      </c>
      <c r="X312">
        <v>0.09</v>
      </c>
      <c r="Y312">
        <v>0.09</v>
      </c>
      <c r="Z312">
        <v>0.09</v>
      </c>
      <c r="AA312" t="s">
        <v>9333</v>
      </c>
      <c r="AB312" t="s">
        <v>242</v>
      </c>
      <c r="AC312" t="s">
        <v>3213</v>
      </c>
    </row>
    <row r="313" spans="1:29" x14ac:dyDescent="0.25">
      <c r="A313" t="s">
        <v>1261</v>
      </c>
      <c r="B313" t="s">
        <v>254</v>
      </c>
      <c r="C313" t="s">
        <v>319</v>
      </c>
      <c r="D313" t="s">
        <v>3209</v>
      </c>
      <c r="E313" t="s">
        <v>3246</v>
      </c>
      <c r="F313">
        <v>19661018</v>
      </c>
      <c r="G313" t="s">
        <v>9332</v>
      </c>
      <c r="H313" t="s">
        <v>242</v>
      </c>
      <c r="I313" t="s">
        <v>242</v>
      </c>
      <c r="J313" t="s">
        <v>242</v>
      </c>
      <c r="K313" t="s">
        <v>241</v>
      </c>
      <c r="L313" t="s">
        <v>242</v>
      </c>
      <c r="M313">
        <v>38.871444570000001</v>
      </c>
      <c r="N313">
        <v>-122.8785196</v>
      </c>
      <c r="O313">
        <v>0.21</v>
      </c>
      <c r="P313">
        <v>0.21</v>
      </c>
      <c r="Q313">
        <v>0.21</v>
      </c>
      <c r="R313">
        <v>0.21</v>
      </c>
      <c r="S313">
        <v>0.21</v>
      </c>
      <c r="T313">
        <v>0.22</v>
      </c>
      <c r="U313">
        <v>0.21</v>
      </c>
      <c r="V313">
        <v>0.21</v>
      </c>
      <c r="W313">
        <v>0.21</v>
      </c>
      <c r="X313">
        <v>0.21</v>
      </c>
      <c r="Y313">
        <v>0.21</v>
      </c>
      <c r="Z313">
        <v>0.21</v>
      </c>
      <c r="AA313" t="s">
        <v>9333</v>
      </c>
      <c r="AB313" t="s">
        <v>242</v>
      </c>
      <c r="AC313" t="s">
        <v>3213</v>
      </c>
    </row>
    <row r="314" spans="1:29" x14ac:dyDescent="0.25">
      <c r="A314" t="s">
        <v>1263</v>
      </c>
      <c r="B314" t="s">
        <v>254</v>
      </c>
      <c r="C314" t="s">
        <v>409</v>
      </c>
      <c r="D314" t="s">
        <v>3209</v>
      </c>
      <c r="E314" t="s">
        <v>3246</v>
      </c>
      <c r="F314">
        <v>19661027</v>
      </c>
      <c r="G314" t="s">
        <v>9332</v>
      </c>
      <c r="H314" t="s">
        <v>242</v>
      </c>
      <c r="I314" t="s">
        <v>242</v>
      </c>
      <c r="J314" t="s">
        <v>242</v>
      </c>
      <c r="K314" t="s">
        <v>241</v>
      </c>
      <c r="L314" t="s">
        <v>242</v>
      </c>
      <c r="M314">
        <v>38.847853180000001</v>
      </c>
      <c r="N314">
        <v>-122.8754192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2.0466700000000001E-4</v>
      </c>
      <c r="U314">
        <v>6.1399999999999996E-4</v>
      </c>
      <c r="V314">
        <v>2.0466700000000001E-4</v>
      </c>
      <c r="W314">
        <v>2.0466700000000001E-4</v>
      </c>
      <c r="X314">
        <v>2.0466700000000001E-4</v>
      </c>
      <c r="Y314">
        <v>0</v>
      </c>
      <c r="Z314">
        <v>0</v>
      </c>
      <c r="AA314" t="s">
        <v>9341</v>
      </c>
      <c r="AB314" t="s">
        <v>242</v>
      </c>
      <c r="AC314" t="s">
        <v>3229</v>
      </c>
    </row>
    <row r="315" spans="1:29" x14ac:dyDescent="0.25">
      <c r="A315" t="s">
        <v>1264</v>
      </c>
      <c r="B315" t="s">
        <v>254</v>
      </c>
      <c r="C315" t="s">
        <v>319</v>
      </c>
      <c r="D315" t="s">
        <v>3209</v>
      </c>
      <c r="E315" t="s">
        <v>3246</v>
      </c>
      <c r="F315">
        <v>19661202</v>
      </c>
      <c r="G315" t="s">
        <v>9332</v>
      </c>
      <c r="H315" t="s">
        <v>242</v>
      </c>
      <c r="I315" t="s">
        <v>242</v>
      </c>
      <c r="J315" t="s">
        <v>242</v>
      </c>
      <c r="K315" t="s">
        <v>241</v>
      </c>
      <c r="L315" t="s">
        <v>242</v>
      </c>
      <c r="M315">
        <v>38.965500079999998</v>
      </c>
      <c r="N315">
        <v>-123.0889674</v>
      </c>
      <c r="O315">
        <v>0</v>
      </c>
      <c r="P315">
        <v>0.35</v>
      </c>
      <c r="Q315">
        <v>3.33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 t="s">
        <v>9335</v>
      </c>
      <c r="AB315" t="s">
        <v>242</v>
      </c>
      <c r="AC315" t="s">
        <v>3213</v>
      </c>
    </row>
    <row r="316" spans="1:29" x14ac:dyDescent="0.25">
      <c r="A316" t="s">
        <v>1238</v>
      </c>
      <c r="B316" t="s">
        <v>254</v>
      </c>
      <c r="C316" t="s">
        <v>333</v>
      </c>
      <c r="D316" t="s">
        <v>3209</v>
      </c>
      <c r="E316" t="s">
        <v>3246</v>
      </c>
      <c r="F316">
        <v>19670130</v>
      </c>
      <c r="G316" t="s">
        <v>9332</v>
      </c>
      <c r="H316" t="s">
        <v>241</v>
      </c>
      <c r="I316" t="s">
        <v>242</v>
      </c>
      <c r="J316" t="s">
        <v>242</v>
      </c>
      <c r="K316" t="s">
        <v>241</v>
      </c>
      <c r="L316" t="s">
        <v>242</v>
      </c>
      <c r="M316">
        <v>39.031275710000003</v>
      </c>
      <c r="N316">
        <v>-123.131169</v>
      </c>
      <c r="O316">
        <v>0</v>
      </c>
      <c r="P316">
        <v>0</v>
      </c>
      <c r="Q316">
        <v>0</v>
      </c>
      <c r="R316">
        <v>0.15</v>
      </c>
      <c r="S316">
        <v>0.2</v>
      </c>
      <c r="T316">
        <v>0.3</v>
      </c>
      <c r="U316">
        <v>0.35</v>
      </c>
      <c r="V316">
        <v>0.45</v>
      </c>
      <c r="W316">
        <v>0.35</v>
      </c>
      <c r="X316">
        <v>0.2</v>
      </c>
      <c r="Y316">
        <v>0</v>
      </c>
      <c r="Z316">
        <v>0</v>
      </c>
      <c r="AA316" t="s">
        <v>9335</v>
      </c>
      <c r="AB316" t="s">
        <v>242</v>
      </c>
      <c r="AC316" t="s">
        <v>3213</v>
      </c>
    </row>
    <row r="317" spans="1:29" x14ac:dyDescent="0.25">
      <c r="A317" t="s">
        <v>1239</v>
      </c>
      <c r="B317" t="s">
        <v>254</v>
      </c>
      <c r="C317" t="s">
        <v>319</v>
      </c>
      <c r="D317" t="s">
        <v>3209</v>
      </c>
      <c r="E317" t="s">
        <v>3246</v>
      </c>
      <c r="F317">
        <v>19670214</v>
      </c>
      <c r="G317" t="s">
        <v>9332</v>
      </c>
      <c r="H317" t="s">
        <v>241</v>
      </c>
      <c r="I317" t="s">
        <v>242</v>
      </c>
      <c r="J317" t="s">
        <v>242</v>
      </c>
      <c r="K317" t="s">
        <v>241</v>
      </c>
      <c r="L317" t="s">
        <v>242</v>
      </c>
      <c r="M317">
        <v>38.979631240000003</v>
      </c>
      <c r="N317">
        <v>-123.10466390000001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 t="s">
        <v>9335</v>
      </c>
      <c r="AB317" t="s">
        <v>242</v>
      </c>
      <c r="AC317" t="s">
        <v>3213</v>
      </c>
    </row>
    <row r="318" spans="1:29" x14ac:dyDescent="0.25">
      <c r="A318" t="s">
        <v>1242</v>
      </c>
      <c r="B318" t="s">
        <v>254</v>
      </c>
      <c r="C318" t="s">
        <v>333</v>
      </c>
      <c r="D318" t="s">
        <v>3209</v>
      </c>
      <c r="E318" t="s">
        <v>3246</v>
      </c>
      <c r="F318">
        <v>19670605</v>
      </c>
      <c r="G318" t="s">
        <v>9332</v>
      </c>
      <c r="H318" t="s">
        <v>241</v>
      </c>
      <c r="I318" t="s">
        <v>242</v>
      </c>
      <c r="J318" t="s">
        <v>242</v>
      </c>
      <c r="K318" t="s">
        <v>241</v>
      </c>
      <c r="L318" t="s">
        <v>242</v>
      </c>
      <c r="M318">
        <v>39.102828219999999</v>
      </c>
      <c r="N318">
        <v>-123.1785352</v>
      </c>
      <c r="O318">
        <v>0</v>
      </c>
      <c r="P318">
        <v>0</v>
      </c>
      <c r="Q318">
        <v>0</v>
      </c>
      <c r="R318">
        <v>0</v>
      </c>
      <c r="S318">
        <v>11.8</v>
      </c>
      <c r="T318">
        <v>23.53</v>
      </c>
      <c r="U318">
        <v>43.43</v>
      </c>
      <c r="V318">
        <v>53.73</v>
      </c>
      <c r="W318">
        <v>45.33</v>
      </c>
      <c r="X318">
        <v>19.03</v>
      </c>
      <c r="Y318">
        <v>0</v>
      </c>
      <c r="Z318">
        <v>0</v>
      </c>
      <c r="AA318" t="s">
        <v>9335</v>
      </c>
      <c r="AB318" t="s">
        <v>242</v>
      </c>
      <c r="AC318" t="s">
        <v>3213</v>
      </c>
    </row>
    <row r="319" spans="1:29" x14ac:dyDescent="0.25">
      <c r="A319" t="s">
        <v>103</v>
      </c>
      <c r="B319" t="s">
        <v>254</v>
      </c>
      <c r="C319" t="s">
        <v>331</v>
      </c>
      <c r="D319" t="s">
        <v>3209</v>
      </c>
      <c r="E319" t="s">
        <v>3246</v>
      </c>
      <c r="F319">
        <v>19670609</v>
      </c>
      <c r="G319" t="s">
        <v>9332</v>
      </c>
      <c r="H319" t="s">
        <v>241</v>
      </c>
      <c r="I319" t="s">
        <v>242</v>
      </c>
      <c r="J319" t="s">
        <v>242</v>
      </c>
      <c r="K319" t="s">
        <v>241</v>
      </c>
      <c r="L319" t="s">
        <v>242</v>
      </c>
      <c r="M319">
        <v>39.164802739999999</v>
      </c>
      <c r="N319">
        <v>-123.1927378</v>
      </c>
      <c r="O319">
        <v>0</v>
      </c>
      <c r="P319">
        <v>0</v>
      </c>
      <c r="Q319">
        <v>0</v>
      </c>
      <c r="R319">
        <v>0</v>
      </c>
      <c r="S319">
        <v>2.66</v>
      </c>
      <c r="T319">
        <v>3.6</v>
      </c>
      <c r="U319">
        <v>7.03</v>
      </c>
      <c r="V319">
        <v>7.5</v>
      </c>
      <c r="W319">
        <v>4.2300000000000004</v>
      </c>
      <c r="X319">
        <v>0</v>
      </c>
      <c r="Y319">
        <v>0</v>
      </c>
      <c r="Z319">
        <v>0</v>
      </c>
      <c r="AA319" t="s">
        <v>9335</v>
      </c>
      <c r="AB319" t="s">
        <v>242</v>
      </c>
      <c r="AC319" t="s">
        <v>3213</v>
      </c>
    </row>
    <row r="320" spans="1:29" x14ac:dyDescent="0.25">
      <c r="A320" t="s">
        <v>1244</v>
      </c>
      <c r="B320" t="s">
        <v>254</v>
      </c>
      <c r="C320" t="s">
        <v>331</v>
      </c>
      <c r="D320" t="s">
        <v>3209</v>
      </c>
      <c r="E320" t="s">
        <v>3246</v>
      </c>
      <c r="F320">
        <v>19670810</v>
      </c>
      <c r="G320" t="s">
        <v>9332</v>
      </c>
      <c r="H320" t="s">
        <v>241</v>
      </c>
      <c r="I320" t="s">
        <v>242</v>
      </c>
      <c r="J320" t="s">
        <v>242</v>
      </c>
      <c r="K320" t="s">
        <v>241</v>
      </c>
      <c r="L320" t="s">
        <v>242</v>
      </c>
      <c r="M320">
        <v>39.170360559999999</v>
      </c>
      <c r="N320">
        <v>-123.1997104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 t="s">
        <v>9335</v>
      </c>
      <c r="AB320" t="s">
        <v>242</v>
      </c>
      <c r="AC320" t="s">
        <v>3213</v>
      </c>
    </row>
    <row r="321" spans="1:29" x14ac:dyDescent="0.25">
      <c r="A321" t="s">
        <v>1222</v>
      </c>
      <c r="B321" t="s">
        <v>254</v>
      </c>
      <c r="C321" t="s">
        <v>354</v>
      </c>
      <c r="D321" t="s">
        <v>3209</v>
      </c>
      <c r="E321" t="s">
        <v>3246</v>
      </c>
      <c r="F321">
        <v>19680226</v>
      </c>
      <c r="G321" t="s">
        <v>9332</v>
      </c>
      <c r="H321" t="s">
        <v>242</v>
      </c>
      <c r="I321" t="s">
        <v>242</v>
      </c>
      <c r="J321" t="s">
        <v>242</v>
      </c>
      <c r="K321" t="s">
        <v>241</v>
      </c>
      <c r="L321" t="s">
        <v>242</v>
      </c>
      <c r="M321">
        <v>38.858724510000002</v>
      </c>
      <c r="N321">
        <v>-122.9921545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1.7366699999999999E-4</v>
      </c>
      <c r="U321">
        <v>1.7899999999999999E-4</v>
      </c>
      <c r="V321">
        <v>1.7899999999999999E-4</v>
      </c>
      <c r="W321">
        <v>1.7366699999999999E-4</v>
      </c>
      <c r="X321">
        <v>7.1299999999999998E-5</v>
      </c>
      <c r="Y321">
        <v>0</v>
      </c>
      <c r="Z321">
        <v>0</v>
      </c>
      <c r="AA321" t="s">
        <v>9335</v>
      </c>
      <c r="AB321" t="s">
        <v>242</v>
      </c>
      <c r="AC321" t="s">
        <v>3213</v>
      </c>
    </row>
    <row r="322" spans="1:29" x14ac:dyDescent="0.25">
      <c r="A322" t="s">
        <v>1225</v>
      </c>
      <c r="B322" t="s">
        <v>254</v>
      </c>
      <c r="C322" t="s">
        <v>331</v>
      </c>
      <c r="D322" t="s">
        <v>3209</v>
      </c>
      <c r="E322" t="s">
        <v>3246</v>
      </c>
      <c r="F322">
        <v>19680426</v>
      </c>
      <c r="G322" t="s">
        <v>9332</v>
      </c>
      <c r="H322" t="s">
        <v>241</v>
      </c>
      <c r="I322" t="s">
        <v>242</v>
      </c>
      <c r="J322" t="s">
        <v>242</v>
      </c>
      <c r="K322" t="s">
        <v>241</v>
      </c>
      <c r="L322" t="s">
        <v>242</v>
      </c>
      <c r="M322">
        <v>39.166677550000003</v>
      </c>
      <c r="N322">
        <v>-123.19629689999999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 t="s">
        <v>9335</v>
      </c>
      <c r="AB322" t="s">
        <v>242</v>
      </c>
      <c r="AC322" t="s">
        <v>3213</v>
      </c>
    </row>
    <row r="323" spans="1:29" x14ac:dyDescent="0.25">
      <c r="A323" t="s">
        <v>146</v>
      </c>
      <c r="B323" t="s">
        <v>254</v>
      </c>
      <c r="C323" t="s">
        <v>331</v>
      </c>
      <c r="D323" t="s">
        <v>3209</v>
      </c>
      <c r="E323" t="s">
        <v>3246</v>
      </c>
      <c r="F323">
        <v>19680502</v>
      </c>
      <c r="G323" t="s">
        <v>9332</v>
      </c>
      <c r="H323" t="s">
        <v>241</v>
      </c>
      <c r="I323" t="s">
        <v>242</v>
      </c>
      <c r="J323" t="s">
        <v>242</v>
      </c>
      <c r="K323" t="s">
        <v>241</v>
      </c>
      <c r="L323" t="s">
        <v>242</v>
      </c>
      <c r="M323">
        <v>39.139482530000002</v>
      </c>
      <c r="N323">
        <v>-123.1849067</v>
      </c>
      <c r="O323">
        <v>0</v>
      </c>
      <c r="P323">
        <v>0</v>
      </c>
      <c r="Q323">
        <v>0</v>
      </c>
      <c r="R323">
        <v>0</v>
      </c>
      <c r="S323">
        <v>5.2</v>
      </c>
      <c r="T323">
        <v>15.03</v>
      </c>
      <c r="U323">
        <v>17.18</v>
      </c>
      <c r="V323">
        <v>14.07</v>
      </c>
      <c r="W323">
        <v>9.15</v>
      </c>
      <c r="X323">
        <v>4.8899999999999997</v>
      </c>
      <c r="Y323">
        <v>0</v>
      </c>
      <c r="Z323">
        <v>0</v>
      </c>
      <c r="AA323" t="s">
        <v>9335</v>
      </c>
      <c r="AB323" t="s">
        <v>242</v>
      </c>
      <c r="AC323" t="s">
        <v>3213</v>
      </c>
    </row>
    <row r="324" spans="1:29" x14ac:dyDescent="0.25">
      <c r="A324" t="s">
        <v>155</v>
      </c>
      <c r="B324" t="s">
        <v>254</v>
      </c>
      <c r="C324" t="s">
        <v>331</v>
      </c>
      <c r="D324" t="s">
        <v>3209</v>
      </c>
      <c r="E324" t="s">
        <v>3246</v>
      </c>
      <c r="F324">
        <v>19680502</v>
      </c>
      <c r="G324" t="s">
        <v>9332</v>
      </c>
      <c r="H324" t="s">
        <v>241</v>
      </c>
      <c r="I324" t="s">
        <v>242</v>
      </c>
      <c r="J324" t="s">
        <v>242</v>
      </c>
      <c r="K324" t="s">
        <v>241</v>
      </c>
      <c r="L324" t="s">
        <v>242</v>
      </c>
      <c r="M324">
        <v>39.123804710000002</v>
      </c>
      <c r="N324">
        <v>-123.1874648</v>
      </c>
      <c r="O324">
        <v>0</v>
      </c>
      <c r="P324">
        <v>0</v>
      </c>
      <c r="Q324">
        <v>0</v>
      </c>
      <c r="R324">
        <v>0</v>
      </c>
      <c r="S324">
        <v>2.39</v>
      </c>
      <c r="T324">
        <v>12.21</v>
      </c>
      <c r="U324">
        <v>15.36</v>
      </c>
      <c r="V324">
        <v>14.25</v>
      </c>
      <c r="W324">
        <v>8.9</v>
      </c>
      <c r="X324">
        <v>3.96</v>
      </c>
      <c r="Y324">
        <v>0</v>
      </c>
      <c r="Z324">
        <v>0</v>
      </c>
      <c r="AA324" t="s">
        <v>9335</v>
      </c>
      <c r="AB324" t="s">
        <v>242</v>
      </c>
      <c r="AC324" t="s">
        <v>3213</v>
      </c>
    </row>
    <row r="325" spans="1:29" x14ac:dyDescent="0.25">
      <c r="A325" t="s">
        <v>1228</v>
      </c>
      <c r="B325" t="s">
        <v>254</v>
      </c>
      <c r="C325" t="s">
        <v>311</v>
      </c>
      <c r="D325" t="s">
        <v>3209</v>
      </c>
      <c r="E325" t="s">
        <v>3246</v>
      </c>
      <c r="F325">
        <v>19680716</v>
      </c>
      <c r="G325" t="s">
        <v>9332</v>
      </c>
      <c r="H325" t="s">
        <v>242</v>
      </c>
      <c r="I325" t="s">
        <v>242</v>
      </c>
      <c r="J325" t="s">
        <v>242</v>
      </c>
      <c r="K325" t="s">
        <v>241</v>
      </c>
      <c r="L325" t="s">
        <v>242</v>
      </c>
      <c r="M325">
        <v>38.585651140000003</v>
      </c>
      <c r="N325">
        <v>-122.7522014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0.2</v>
      </c>
      <c r="X325">
        <v>0</v>
      </c>
      <c r="Y325">
        <v>0.18</v>
      </c>
      <c r="Z325">
        <v>0</v>
      </c>
      <c r="AA325" t="s">
        <v>9341</v>
      </c>
      <c r="AB325" t="s">
        <v>242</v>
      </c>
      <c r="AC325" t="s">
        <v>3229</v>
      </c>
    </row>
    <row r="326" spans="1:29" x14ac:dyDescent="0.25">
      <c r="A326" t="s">
        <v>1230</v>
      </c>
      <c r="B326" t="s">
        <v>254</v>
      </c>
      <c r="C326" t="s">
        <v>311</v>
      </c>
      <c r="D326" t="s">
        <v>3209</v>
      </c>
      <c r="E326" t="s">
        <v>3246</v>
      </c>
      <c r="F326">
        <v>19680722</v>
      </c>
      <c r="G326" t="s">
        <v>9332</v>
      </c>
      <c r="H326" t="s">
        <v>242</v>
      </c>
      <c r="I326" t="s">
        <v>242</v>
      </c>
      <c r="J326" t="s">
        <v>242</v>
      </c>
      <c r="K326" t="s">
        <v>241</v>
      </c>
      <c r="L326" t="s">
        <v>242</v>
      </c>
      <c r="M326">
        <v>38.586731309999998</v>
      </c>
      <c r="N326">
        <v>-122.7550117</v>
      </c>
      <c r="O326">
        <v>7.1699999999999995E-5</v>
      </c>
      <c r="P326">
        <v>7.1699999999999995E-5</v>
      </c>
      <c r="Q326">
        <v>7.1699999999999995E-5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7.1699999999999995E-5</v>
      </c>
      <c r="Y326">
        <v>9.2E-5</v>
      </c>
      <c r="Z326">
        <v>9.2E-5</v>
      </c>
      <c r="AA326" t="s">
        <v>9333</v>
      </c>
      <c r="AB326" t="s">
        <v>242</v>
      </c>
      <c r="AC326" t="s">
        <v>3229</v>
      </c>
    </row>
    <row r="327" spans="1:29" x14ac:dyDescent="0.25">
      <c r="A327" t="s">
        <v>1231</v>
      </c>
      <c r="B327" t="s">
        <v>254</v>
      </c>
      <c r="C327" t="s">
        <v>308</v>
      </c>
      <c r="D327" t="s">
        <v>3209</v>
      </c>
      <c r="E327" t="s">
        <v>3246</v>
      </c>
      <c r="F327">
        <v>19680726</v>
      </c>
      <c r="G327" t="s">
        <v>9332</v>
      </c>
      <c r="H327" t="s">
        <v>242</v>
      </c>
      <c r="I327" t="s">
        <v>242</v>
      </c>
      <c r="J327" t="s">
        <v>242</v>
      </c>
      <c r="K327" t="s">
        <v>241</v>
      </c>
      <c r="L327" t="s">
        <v>242</v>
      </c>
      <c r="M327">
        <v>38.691918749999999</v>
      </c>
      <c r="N327">
        <v>-122.6622248</v>
      </c>
      <c r="O327">
        <v>3.0699999999999998E-4</v>
      </c>
      <c r="P327">
        <v>3.0699999999999998E-4</v>
      </c>
      <c r="Q327">
        <v>3.0699999999999998E-4</v>
      </c>
      <c r="R327">
        <v>3.0699999999999998E-4</v>
      </c>
      <c r="S327">
        <v>3.0699999999999998E-4</v>
      </c>
      <c r="T327">
        <v>3.0699999999999998E-4</v>
      </c>
      <c r="U327">
        <v>3.0699999999999998E-4</v>
      </c>
      <c r="V327">
        <v>3.0699999999999998E-4</v>
      </c>
      <c r="W327">
        <v>3.0699999999999998E-4</v>
      </c>
      <c r="X327">
        <v>3.0699999999999998E-4</v>
      </c>
      <c r="Y327">
        <v>3.0699999999999998E-4</v>
      </c>
      <c r="Z327">
        <v>3.0699999999999998E-4</v>
      </c>
      <c r="AA327" t="s">
        <v>9333</v>
      </c>
      <c r="AB327" t="s">
        <v>242</v>
      </c>
      <c r="AC327" t="s">
        <v>3229</v>
      </c>
    </row>
    <row r="328" spans="1:29" x14ac:dyDescent="0.25">
      <c r="A328" t="s">
        <v>128</v>
      </c>
      <c r="B328" t="s">
        <v>254</v>
      </c>
      <c r="C328" t="s">
        <v>331</v>
      </c>
      <c r="D328" t="s">
        <v>3209</v>
      </c>
      <c r="E328" t="s">
        <v>3246</v>
      </c>
      <c r="F328">
        <v>19681118</v>
      </c>
      <c r="G328" t="s">
        <v>9332</v>
      </c>
      <c r="H328" t="s">
        <v>241</v>
      </c>
      <c r="I328" t="s">
        <v>242</v>
      </c>
      <c r="J328" t="s">
        <v>242</v>
      </c>
      <c r="K328" t="s">
        <v>241</v>
      </c>
      <c r="L328" t="s">
        <v>242</v>
      </c>
      <c r="M328">
        <v>39.12053161</v>
      </c>
      <c r="N328">
        <v>-123.18529479999999</v>
      </c>
      <c r="O328">
        <v>0</v>
      </c>
      <c r="P328">
        <v>0</v>
      </c>
      <c r="Q328">
        <v>0</v>
      </c>
      <c r="R328">
        <v>1.2</v>
      </c>
      <c r="S328">
        <v>1.17</v>
      </c>
      <c r="T328">
        <v>4.75</v>
      </c>
      <c r="U328">
        <v>6.68</v>
      </c>
      <c r="V328">
        <v>6.57</v>
      </c>
      <c r="W328">
        <v>3.47</v>
      </c>
      <c r="X328">
        <v>0.72</v>
      </c>
      <c r="Y328">
        <v>0</v>
      </c>
      <c r="Z328">
        <v>0</v>
      </c>
      <c r="AA328" t="s">
        <v>9335</v>
      </c>
      <c r="AB328" t="s">
        <v>242</v>
      </c>
      <c r="AC328" t="s">
        <v>3213</v>
      </c>
    </row>
    <row r="329" spans="1:29" x14ac:dyDescent="0.25">
      <c r="A329" t="s">
        <v>122</v>
      </c>
      <c r="B329" t="s">
        <v>254</v>
      </c>
      <c r="C329" t="s">
        <v>311</v>
      </c>
      <c r="D329" t="s">
        <v>3209</v>
      </c>
      <c r="E329" t="s">
        <v>3246</v>
      </c>
      <c r="F329">
        <v>19690121</v>
      </c>
      <c r="G329" t="s">
        <v>9332</v>
      </c>
      <c r="H329" t="s">
        <v>241</v>
      </c>
      <c r="I329" t="s">
        <v>242</v>
      </c>
      <c r="J329" t="s">
        <v>242</v>
      </c>
      <c r="K329" t="s">
        <v>241</v>
      </c>
      <c r="L329" t="s">
        <v>242</v>
      </c>
      <c r="M329">
        <v>38.65040638</v>
      </c>
      <c r="N329">
        <v>-122.8008592</v>
      </c>
      <c r="O329">
        <v>0</v>
      </c>
      <c r="P329">
        <v>0</v>
      </c>
      <c r="Q329">
        <v>0</v>
      </c>
      <c r="R329">
        <v>2.73</v>
      </c>
      <c r="S329">
        <v>2.7</v>
      </c>
      <c r="T329">
        <v>1.73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 t="s">
        <v>9335</v>
      </c>
      <c r="AB329" t="s">
        <v>242</v>
      </c>
      <c r="AC329" t="s">
        <v>3229</v>
      </c>
    </row>
    <row r="330" spans="1:29" x14ac:dyDescent="0.25">
      <c r="A330" t="s">
        <v>162</v>
      </c>
      <c r="B330" t="s">
        <v>254</v>
      </c>
      <c r="C330" t="s">
        <v>311</v>
      </c>
      <c r="D330" t="s">
        <v>3209</v>
      </c>
      <c r="E330" t="s">
        <v>3246</v>
      </c>
      <c r="F330">
        <v>19690121</v>
      </c>
      <c r="G330" t="s">
        <v>9332</v>
      </c>
      <c r="H330" t="s">
        <v>241</v>
      </c>
      <c r="I330" t="s">
        <v>242</v>
      </c>
      <c r="J330" t="s">
        <v>242</v>
      </c>
      <c r="K330" t="s">
        <v>241</v>
      </c>
      <c r="L330" t="s">
        <v>242</v>
      </c>
      <c r="M330">
        <v>38.65040638</v>
      </c>
      <c r="N330">
        <v>-122.8008592</v>
      </c>
      <c r="O330">
        <v>0</v>
      </c>
      <c r="P330">
        <v>0</v>
      </c>
      <c r="Q330">
        <v>0</v>
      </c>
      <c r="R330">
        <v>0.28999999999999998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 t="s">
        <v>9335</v>
      </c>
      <c r="AB330" t="s">
        <v>242</v>
      </c>
      <c r="AC330" t="s">
        <v>3229</v>
      </c>
    </row>
    <row r="331" spans="1:29" x14ac:dyDescent="0.25">
      <c r="A331" t="s">
        <v>1207</v>
      </c>
      <c r="B331" t="s">
        <v>254</v>
      </c>
      <c r="C331" t="s">
        <v>348</v>
      </c>
      <c r="D331" t="s">
        <v>3209</v>
      </c>
      <c r="E331" t="s">
        <v>3246</v>
      </c>
      <c r="F331">
        <v>19690121</v>
      </c>
      <c r="G331" t="s">
        <v>9332</v>
      </c>
      <c r="H331" t="s">
        <v>242</v>
      </c>
      <c r="I331" t="s">
        <v>242</v>
      </c>
      <c r="J331" t="s">
        <v>242</v>
      </c>
      <c r="K331" t="s">
        <v>241</v>
      </c>
      <c r="L331" t="s">
        <v>242</v>
      </c>
      <c r="M331">
        <v>39.280878719999997</v>
      </c>
      <c r="N331">
        <v>-123.1023047</v>
      </c>
      <c r="O331">
        <v>0</v>
      </c>
      <c r="P331">
        <v>0</v>
      </c>
      <c r="Q331">
        <v>0</v>
      </c>
      <c r="R331">
        <v>0</v>
      </c>
      <c r="S331">
        <v>25</v>
      </c>
      <c r="T331">
        <v>60</v>
      </c>
      <c r="U331">
        <v>60</v>
      </c>
      <c r="V331">
        <v>60</v>
      </c>
      <c r="W331">
        <v>50</v>
      </c>
      <c r="X331">
        <v>30</v>
      </c>
      <c r="Y331">
        <v>0</v>
      </c>
      <c r="Z331">
        <v>0</v>
      </c>
      <c r="AA331" t="s">
        <v>9335</v>
      </c>
      <c r="AB331" t="s">
        <v>242</v>
      </c>
      <c r="AC331" t="s">
        <v>3213</v>
      </c>
    </row>
    <row r="332" spans="1:29" x14ac:dyDescent="0.25">
      <c r="A332" t="s">
        <v>1209</v>
      </c>
      <c r="B332" t="s">
        <v>254</v>
      </c>
      <c r="C332" t="s">
        <v>319</v>
      </c>
      <c r="D332" t="s">
        <v>3209</v>
      </c>
      <c r="E332" t="s">
        <v>3246</v>
      </c>
      <c r="F332">
        <v>19690321</v>
      </c>
      <c r="G332" t="s">
        <v>9332</v>
      </c>
      <c r="H332" t="s">
        <v>242</v>
      </c>
      <c r="I332" t="s">
        <v>242</v>
      </c>
      <c r="J332" t="s">
        <v>242</v>
      </c>
      <c r="K332" t="s">
        <v>241</v>
      </c>
      <c r="L332" t="s">
        <v>242</v>
      </c>
      <c r="M332">
        <v>38.97245985</v>
      </c>
      <c r="N332">
        <v>-123.1365642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 t="s">
        <v>9335</v>
      </c>
      <c r="AB332" t="s">
        <v>242</v>
      </c>
      <c r="AC332" t="s">
        <v>3213</v>
      </c>
    </row>
    <row r="333" spans="1:29" x14ac:dyDescent="0.25">
      <c r="A333" t="s">
        <v>1210</v>
      </c>
      <c r="B333" t="s">
        <v>254</v>
      </c>
      <c r="C333" t="s">
        <v>311</v>
      </c>
      <c r="D333" t="s">
        <v>3209</v>
      </c>
      <c r="E333" t="s">
        <v>3246</v>
      </c>
      <c r="F333">
        <v>19690409</v>
      </c>
      <c r="G333" t="s">
        <v>9332</v>
      </c>
      <c r="H333" t="s">
        <v>241</v>
      </c>
      <c r="I333" t="s">
        <v>242</v>
      </c>
      <c r="J333" t="s">
        <v>242</v>
      </c>
      <c r="K333" t="s">
        <v>241</v>
      </c>
      <c r="L333" t="s">
        <v>242</v>
      </c>
      <c r="M333">
        <v>38.635983680000002</v>
      </c>
      <c r="N333">
        <v>-122.8017476</v>
      </c>
      <c r="O333">
        <v>3.33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 t="s">
        <v>9342</v>
      </c>
      <c r="AB333" t="s">
        <v>242</v>
      </c>
      <c r="AC333" t="s">
        <v>3229</v>
      </c>
    </row>
    <row r="334" spans="1:29" x14ac:dyDescent="0.25">
      <c r="A334" t="s">
        <v>1211</v>
      </c>
      <c r="B334" t="s">
        <v>254</v>
      </c>
      <c r="C334" t="s">
        <v>317</v>
      </c>
      <c r="D334" t="s">
        <v>3209</v>
      </c>
      <c r="E334" t="s">
        <v>3246</v>
      </c>
      <c r="F334">
        <v>19690520</v>
      </c>
      <c r="G334" t="s">
        <v>9332</v>
      </c>
      <c r="H334" t="s">
        <v>242</v>
      </c>
      <c r="I334" t="s">
        <v>242</v>
      </c>
      <c r="J334" t="s">
        <v>242</v>
      </c>
      <c r="K334" t="s">
        <v>241</v>
      </c>
      <c r="L334" t="s">
        <v>242</v>
      </c>
      <c r="M334">
        <v>39.278284239999998</v>
      </c>
      <c r="N334">
        <v>-123.1987158</v>
      </c>
      <c r="O334">
        <v>0.33</v>
      </c>
      <c r="P334">
        <v>0.33</v>
      </c>
      <c r="Q334">
        <v>5</v>
      </c>
      <c r="R334">
        <v>5</v>
      </c>
      <c r="S334">
        <v>3.83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 t="s">
        <v>9335</v>
      </c>
      <c r="AB334" t="s">
        <v>242</v>
      </c>
      <c r="AC334" t="s">
        <v>3213</v>
      </c>
    </row>
    <row r="335" spans="1:29" x14ac:dyDescent="0.25">
      <c r="A335" t="s">
        <v>1212</v>
      </c>
      <c r="B335" t="s">
        <v>254</v>
      </c>
      <c r="C335" t="s">
        <v>311</v>
      </c>
      <c r="D335" t="s">
        <v>3209</v>
      </c>
      <c r="E335" t="s">
        <v>3246</v>
      </c>
      <c r="F335">
        <v>19690611</v>
      </c>
      <c r="G335" t="s">
        <v>9332</v>
      </c>
      <c r="H335" t="s">
        <v>242</v>
      </c>
      <c r="I335" t="s">
        <v>242</v>
      </c>
      <c r="J335" t="s">
        <v>242</v>
      </c>
      <c r="K335" t="s">
        <v>241</v>
      </c>
      <c r="L335" t="s">
        <v>242</v>
      </c>
      <c r="M335">
        <v>38.582543880000003</v>
      </c>
      <c r="N335">
        <v>-122.7654627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 t="s">
        <v>9342</v>
      </c>
      <c r="AB335" t="s">
        <v>242</v>
      </c>
      <c r="AC335" t="s">
        <v>3229</v>
      </c>
    </row>
    <row r="336" spans="1:29" x14ac:dyDescent="0.25">
      <c r="A336" t="s">
        <v>1213</v>
      </c>
      <c r="B336" t="s">
        <v>254</v>
      </c>
      <c r="C336" t="s">
        <v>311</v>
      </c>
      <c r="D336" t="s">
        <v>3209</v>
      </c>
      <c r="E336" t="s">
        <v>3246</v>
      </c>
      <c r="F336">
        <v>19690617</v>
      </c>
      <c r="G336" t="s">
        <v>9332</v>
      </c>
      <c r="H336" t="s">
        <v>241</v>
      </c>
      <c r="I336" t="s">
        <v>242</v>
      </c>
      <c r="J336" t="s">
        <v>242</v>
      </c>
      <c r="K336" t="s">
        <v>241</v>
      </c>
      <c r="L336" t="s">
        <v>242</v>
      </c>
      <c r="M336">
        <v>38.649124399999998</v>
      </c>
      <c r="N336">
        <v>-122.78753829999999</v>
      </c>
      <c r="O336">
        <v>0.09</v>
      </c>
      <c r="P336">
        <v>7.0000000000000007E-2</v>
      </c>
      <c r="Q336">
        <v>0.03</v>
      </c>
      <c r="R336">
        <v>0.02</v>
      </c>
      <c r="S336">
        <v>3.3333333333333301E-3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0.74</v>
      </c>
      <c r="Z336">
        <v>0.84</v>
      </c>
      <c r="AA336" t="s">
        <v>9335</v>
      </c>
      <c r="AB336" t="s">
        <v>242</v>
      </c>
      <c r="AC336" t="s">
        <v>3229</v>
      </c>
    </row>
    <row r="337" spans="1:29" x14ac:dyDescent="0.25">
      <c r="A337" t="s">
        <v>1214</v>
      </c>
      <c r="B337" t="s">
        <v>254</v>
      </c>
      <c r="C337" t="s">
        <v>333</v>
      </c>
      <c r="D337" t="s">
        <v>3209</v>
      </c>
      <c r="E337" t="s">
        <v>3246</v>
      </c>
      <c r="F337">
        <v>19690812</v>
      </c>
      <c r="G337" t="s">
        <v>9332</v>
      </c>
      <c r="H337" t="s">
        <v>242</v>
      </c>
      <c r="I337" t="s">
        <v>242</v>
      </c>
      <c r="J337" t="s">
        <v>242</v>
      </c>
      <c r="K337" t="s">
        <v>241</v>
      </c>
      <c r="L337" t="s">
        <v>242</v>
      </c>
      <c r="M337">
        <v>39.124409489999998</v>
      </c>
      <c r="N337">
        <v>-123.15451280000001</v>
      </c>
      <c r="O337">
        <v>4.66</v>
      </c>
      <c r="P337">
        <v>3.66</v>
      </c>
      <c r="Q337">
        <v>0.66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1</v>
      </c>
      <c r="AA337" t="s">
        <v>9335</v>
      </c>
      <c r="AB337" t="s">
        <v>242</v>
      </c>
      <c r="AC337" t="s">
        <v>3213</v>
      </c>
    </row>
    <row r="338" spans="1:29" x14ac:dyDescent="0.25">
      <c r="A338" t="s">
        <v>1216</v>
      </c>
      <c r="B338" t="s">
        <v>254</v>
      </c>
      <c r="C338" t="s">
        <v>317</v>
      </c>
      <c r="D338" t="s">
        <v>3209</v>
      </c>
      <c r="E338" t="s">
        <v>3246</v>
      </c>
      <c r="F338">
        <v>19690825</v>
      </c>
      <c r="G338" t="s">
        <v>9332</v>
      </c>
      <c r="H338" t="s">
        <v>242</v>
      </c>
      <c r="I338" t="s">
        <v>242</v>
      </c>
      <c r="J338" t="s">
        <v>242</v>
      </c>
      <c r="K338" t="s">
        <v>241</v>
      </c>
      <c r="L338" t="s">
        <v>242</v>
      </c>
      <c r="M338">
        <v>39.298556490000003</v>
      </c>
      <c r="N338">
        <v>-123.20330079999999</v>
      </c>
      <c r="O338">
        <v>8.2899999999999991</v>
      </c>
      <c r="P338">
        <v>6.23</v>
      </c>
      <c r="Q338">
        <v>4.13</v>
      </c>
      <c r="R338">
        <v>2.4</v>
      </c>
      <c r="S338">
        <v>1.42</v>
      </c>
      <c r="T338">
        <v>0</v>
      </c>
      <c r="U338">
        <v>0</v>
      </c>
      <c r="V338">
        <v>0.01</v>
      </c>
      <c r="W338">
        <v>0.01</v>
      </c>
      <c r="X338">
        <v>0</v>
      </c>
      <c r="Y338">
        <v>1.73</v>
      </c>
      <c r="Z338">
        <v>2.97</v>
      </c>
      <c r="AA338" t="s">
        <v>9335</v>
      </c>
      <c r="AB338" t="s">
        <v>242</v>
      </c>
      <c r="AC338" t="s">
        <v>3213</v>
      </c>
    </row>
    <row r="339" spans="1:29" x14ac:dyDescent="0.25">
      <c r="A339" t="s">
        <v>1208</v>
      </c>
      <c r="B339" t="s">
        <v>254</v>
      </c>
      <c r="C339" t="s">
        <v>348</v>
      </c>
      <c r="D339" t="s">
        <v>3209</v>
      </c>
      <c r="E339" t="s">
        <v>3246</v>
      </c>
      <c r="F339">
        <v>19690826</v>
      </c>
      <c r="G339" t="s">
        <v>9332</v>
      </c>
      <c r="H339" t="s">
        <v>242</v>
      </c>
      <c r="I339" t="s">
        <v>242</v>
      </c>
      <c r="J339" t="s">
        <v>242</v>
      </c>
      <c r="K339" t="s">
        <v>241</v>
      </c>
      <c r="L339" t="s">
        <v>242</v>
      </c>
      <c r="M339">
        <v>39.295985129999998</v>
      </c>
      <c r="N339">
        <v>-123.10183379999999</v>
      </c>
      <c r="O339">
        <v>0</v>
      </c>
      <c r="P339">
        <v>0</v>
      </c>
      <c r="Q339">
        <v>0</v>
      </c>
      <c r="R339">
        <v>8.93</v>
      </c>
      <c r="S339">
        <v>4.26</v>
      </c>
      <c r="T339">
        <v>4.4000000000000004</v>
      </c>
      <c r="U339">
        <v>9.8000000000000007</v>
      </c>
      <c r="V339">
        <v>3.26</v>
      </c>
      <c r="W339">
        <v>4.2</v>
      </c>
      <c r="X339">
        <v>0</v>
      </c>
      <c r="Y339">
        <v>0</v>
      </c>
      <c r="Z339">
        <v>0</v>
      </c>
      <c r="AA339" t="s">
        <v>9335</v>
      </c>
      <c r="AB339" t="s">
        <v>242</v>
      </c>
      <c r="AC339" t="s">
        <v>3213</v>
      </c>
    </row>
    <row r="340" spans="1:29" x14ac:dyDescent="0.25">
      <c r="A340" t="s">
        <v>1220</v>
      </c>
      <c r="B340" t="s">
        <v>254</v>
      </c>
      <c r="C340" t="s">
        <v>348</v>
      </c>
      <c r="D340" t="s">
        <v>3209</v>
      </c>
      <c r="E340" t="s">
        <v>3246</v>
      </c>
      <c r="F340">
        <v>19690826</v>
      </c>
      <c r="G340" t="s">
        <v>9332</v>
      </c>
      <c r="H340" t="s">
        <v>242</v>
      </c>
      <c r="I340" t="s">
        <v>242</v>
      </c>
      <c r="J340" t="s">
        <v>242</v>
      </c>
      <c r="K340" t="s">
        <v>241</v>
      </c>
      <c r="L340" t="s">
        <v>242</v>
      </c>
      <c r="M340">
        <v>39.28970717</v>
      </c>
      <c r="N340">
        <v>-123.0978489</v>
      </c>
      <c r="O340">
        <v>0</v>
      </c>
      <c r="P340">
        <v>0</v>
      </c>
      <c r="Q340">
        <v>0</v>
      </c>
      <c r="R340">
        <v>0</v>
      </c>
      <c r="S340">
        <v>0.05</v>
      </c>
      <c r="T340">
        <v>1.65</v>
      </c>
      <c r="U340">
        <v>1.65</v>
      </c>
      <c r="V340">
        <v>1.65</v>
      </c>
      <c r="W340">
        <v>1.65</v>
      </c>
      <c r="X340">
        <v>1.65</v>
      </c>
      <c r="Y340">
        <v>0</v>
      </c>
      <c r="Z340">
        <v>0</v>
      </c>
      <c r="AA340" t="s">
        <v>9335</v>
      </c>
      <c r="AB340" t="s">
        <v>242</v>
      </c>
      <c r="AC340" t="s">
        <v>3213</v>
      </c>
    </row>
    <row r="341" spans="1:29" x14ac:dyDescent="0.25">
      <c r="A341" t="s">
        <v>1217</v>
      </c>
      <c r="B341" t="s">
        <v>254</v>
      </c>
      <c r="C341" t="s">
        <v>319</v>
      </c>
      <c r="D341" t="s">
        <v>3209</v>
      </c>
      <c r="E341" t="s">
        <v>3246</v>
      </c>
      <c r="F341">
        <v>19691031</v>
      </c>
      <c r="G341" t="s">
        <v>9334</v>
      </c>
      <c r="H341" t="s">
        <v>241</v>
      </c>
      <c r="I341" t="s">
        <v>242</v>
      </c>
      <c r="J341" t="s">
        <v>242</v>
      </c>
      <c r="K341" t="s">
        <v>241</v>
      </c>
      <c r="L341" t="s">
        <v>242</v>
      </c>
      <c r="M341">
        <v>38.928158250000003</v>
      </c>
      <c r="N341">
        <v>-123.0588644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 t="s">
        <v>9335</v>
      </c>
      <c r="AB341" t="s">
        <v>242</v>
      </c>
      <c r="AC341" t="s">
        <v>3213</v>
      </c>
    </row>
    <row r="342" spans="1:29" x14ac:dyDescent="0.25">
      <c r="A342" t="s">
        <v>1218</v>
      </c>
      <c r="B342" t="s">
        <v>254</v>
      </c>
      <c r="C342" t="s">
        <v>317</v>
      </c>
      <c r="D342" t="s">
        <v>3209</v>
      </c>
      <c r="E342" t="s">
        <v>3246</v>
      </c>
      <c r="F342">
        <v>19691117</v>
      </c>
      <c r="G342" t="s">
        <v>9332</v>
      </c>
      <c r="H342" t="s">
        <v>242</v>
      </c>
      <c r="I342" t="s">
        <v>242</v>
      </c>
      <c r="J342" t="s">
        <v>242</v>
      </c>
      <c r="K342" t="s">
        <v>241</v>
      </c>
      <c r="L342" t="s">
        <v>242</v>
      </c>
      <c r="M342">
        <v>39.278305920000001</v>
      </c>
      <c r="N342">
        <v>-123.1965963</v>
      </c>
      <c r="O342">
        <v>6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 t="s">
        <v>9335</v>
      </c>
      <c r="AB342" t="s">
        <v>242</v>
      </c>
      <c r="AC342" t="s">
        <v>3213</v>
      </c>
    </row>
    <row r="343" spans="1:29" x14ac:dyDescent="0.25">
      <c r="A343" t="s">
        <v>1219</v>
      </c>
      <c r="B343" t="s">
        <v>254</v>
      </c>
      <c r="C343" t="s">
        <v>317</v>
      </c>
      <c r="D343" t="s">
        <v>3209</v>
      </c>
      <c r="E343" t="s">
        <v>3246</v>
      </c>
      <c r="F343">
        <v>19691209</v>
      </c>
      <c r="G343" t="s">
        <v>9332</v>
      </c>
      <c r="H343" t="s">
        <v>242</v>
      </c>
      <c r="I343" t="s">
        <v>242</v>
      </c>
      <c r="J343" t="s">
        <v>242</v>
      </c>
      <c r="K343" t="s">
        <v>241</v>
      </c>
      <c r="L343" t="s">
        <v>242</v>
      </c>
      <c r="M343">
        <v>39.293515810000002</v>
      </c>
      <c r="N343">
        <v>-123.22600799999999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2.93</v>
      </c>
      <c r="AA343" t="s">
        <v>9335</v>
      </c>
      <c r="AB343" t="s">
        <v>242</v>
      </c>
      <c r="AC343" t="s">
        <v>3213</v>
      </c>
    </row>
    <row r="344" spans="1:29" x14ac:dyDescent="0.25">
      <c r="A344" t="s">
        <v>1189</v>
      </c>
      <c r="B344" t="s">
        <v>254</v>
      </c>
      <c r="C344" t="s">
        <v>333</v>
      </c>
      <c r="D344" t="s">
        <v>3209</v>
      </c>
      <c r="E344" t="s">
        <v>3226</v>
      </c>
      <c r="F344">
        <v>19700206</v>
      </c>
      <c r="G344" t="s">
        <v>9332</v>
      </c>
      <c r="H344" t="s">
        <v>241</v>
      </c>
      <c r="I344" t="s">
        <v>242</v>
      </c>
      <c r="J344" t="s">
        <v>242</v>
      </c>
      <c r="K344" t="s">
        <v>241</v>
      </c>
      <c r="L344" t="s">
        <v>242</v>
      </c>
      <c r="M344">
        <v>39.039000680000001</v>
      </c>
      <c r="N344">
        <v>-123.1274189</v>
      </c>
      <c r="O344">
        <v>0</v>
      </c>
      <c r="P344">
        <v>0</v>
      </c>
      <c r="Q344">
        <v>2.1800000000000002</v>
      </c>
      <c r="R344">
        <v>1.84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 t="s">
        <v>9343</v>
      </c>
      <c r="AB344" t="s">
        <v>242</v>
      </c>
      <c r="AC344" t="s">
        <v>3213</v>
      </c>
    </row>
    <row r="345" spans="1:29" x14ac:dyDescent="0.25">
      <c r="A345" t="s">
        <v>1190</v>
      </c>
      <c r="B345" t="s">
        <v>254</v>
      </c>
      <c r="C345" t="s">
        <v>317</v>
      </c>
      <c r="D345" t="s">
        <v>3209</v>
      </c>
      <c r="E345" t="s">
        <v>3246</v>
      </c>
      <c r="F345">
        <v>19700218</v>
      </c>
      <c r="G345" t="s">
        <v>9332</v>
      </c>
      <c r="H345" t="s">
        <v>242</v>
      </c>
      <c r="I345" t="s">
        <v>242</v>
      </c>
      <c r="J345" t="s">
        <v>242</v>
      </c>
      <c r="K345" t="s">
        <v>241</v>
      </c>
      <c r="L345" t="s">
        <v>242</v>
      </c>
      <c r="M345">
        <v>39.270113010000003</v>
      </c>
      <c r="N345">
        <v>-123.19221829999999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 t="s">
        <v>9335</v>
      </c>
      <c r="AB345" t="s">
        <v>242</v>
      </c>
      <c r="AC345" t="s">
        <v>3213</v>
      </c>
    </row>
    <row r="346" spans="1:29" x14ac:dyDescent="0.25">
      <c r="A346" t="s">
        <v>1191</v>
      </c>
      <c r="B346" t="s">
        <v>254</v>
      </c>
      <c r="C346" t="s">
        <v>326</v>
      </c>
      <c r="D346" t="s">
        <v>3209</v>
      </c>
      <c r="E346" t="s">
        <v>3246</v>
      </c>
      <c r="F346">
        <v>19700406</v>
      </c>
      <c r="G346" t="s">
        <v>9332</v>
      </c>
      <c r="H346" t="s">
        <v>242</v>
      </c>
      <c r="I346" t="s">
        <v>242</v>
      </c>
      <c r="J346" t="s">
        <v>242</v>
      </c>
      <c r="K346" t="s">
        <v>241</v>
      </c>
      <c r="L346" t="s">
        <v>242</v>
      </c>
      <c r="M346">
        <v>39.234273430000002</v>
      </c>
      <c r="N346">
        <v>-123.1792561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 t="s">
        <v>9335</v>
      </c>
      <c r="AB346" t="s">
        <v>242</v>
      </c>
      <c r="AC346" t="s">
        <v>3213</v>
      </c>
    </row>
    <row r="347" spans="1:29" x14ac:dyDescent="0.25">
      <c r="A347" t="s">
        <v>1192</v>
      </c>
      <c r="B347" t="s">
        <v>254</v>
      </c>
      <c r="C347" t="s">
        <v>317</v>
      </c>
      <c r="D347" t="s">
        <v>3209</v>
      </c>
      <c r="E347" t="s">
        <v>3246</v>
      </c>
      <c r="F347">
        <v>19700427</v>
      </c>
      <c r="G347" t="s">
        <v>9332</v>
      </c>
      <c r="H347" t="s">
        <v>242</v>
      </c>
      <c r="I347" t="s">
        <v>242</v>
      </c>
      <c r="J347" t="s">
        <v>242</v>
      </c>
      <c r="K347" t="s">
        <v>241</v>
      </c>
      <c r="L347" t="s">
        <v>242</v>
      </c>
      <c r="M347">
        <v>39.237214260000002</v>
      </c>
      <c r="N347">
        <v>-123.2139088</v>
      </c>
      <c r="O347">
        <v>1.66</v>
      </c>
      <c r="P347">
        <v>0.56000000000000005</v>
      </c>
      <c r="Q347">
        <v>0.8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0.46</v>
      </c>
      <c r="Z347">
        <v>0.93</v>
      </c>
      <c r="AA347" t="s">
        <v>9335</v>
      </c>
      <c r="AB347" t="s">
        <v>242</v>
      </c>
      <c r="AC347" t="s">
        <v>3213</v>
      </c>
    </row>
    <row r="348" spans="1:29" x14ac:dyDescent="0.25">
      <c r="A348" t="s">
        <v>1193</v>
      </c>
      <c r="B348" t="s">
        <v>254</v>
      </c>
      <c r="C348" t="s">
        <v>317</v>
      </c>
      <c r="D348" t="s">
        <v>3209</v>
      </c>
      <c r="E348" t="s">
        <v>3246</v>
      </c>
      <c r="F348">
        <v>19700427</v>
      </c>
      <c r="G348" t="s">
        <v>9338</v>
      </c>
      <c r="H348" t="s">
        <v>242</v>
      </c>
      <c r="I348" t="s">
        <v>242</v>
      </c>
      <c r="J348" t="s">
        <v>242</v>
      </c>
      <c r="K348" t="s">
        <v>241</v>
      </c>
      <c r="L348" t="s">
        <v>242</v>
      </c>
      <c r="M348">
        <v>39.335888650000001</v>
      </c>
      <c r="N348">
        <v>-123.2308105</v>
      </c>
      <c r="O348">
        <v>0.25</v>
      </c>
      <c r="P348">
        <v>0.3</v>
      </c>
      <c r="Q348">
        <v>0.9</v>
      </c>
      <c r="R348">
        <v>0.62</v>
      </c>
      <c r="S348">
        <v>0.66</v>
      </c>
      <c r="T348">
        <v>0.66</v>
      </c>
      <c r="U348">
        <v>0.66</v>
      </c>
      <c r="V348">
        <v>0.5</v>
      </c>
      <c r="W348">
        <v>0.48</v>
      </c>
      <c r="X348">
        <v>0.45</v>
      </c>
      <c r="Y348">
        <v>0.35</v>
      </c>
      <c r="Z348">
        <v>0.35</v>
      </c>
      <c r="AA348" t="s">
        <v>9335</v>
      </c>
      <c r="AB348" t="s">
        <v>242</v>
      </c>
      <c r="AC348" t="s">
        <v>3213</v>
      </c>
    </row>
    <row r="349" spans="1:29" x14ac:dyDescent="0.25">
      <c r="A349" t="s">
        <v>1206</v>
      </c>
      <c r="B349" t="s">
        <v>254</v>
      </c>
      <c r="C349" t="s">
        <v>348</v>
      </c>
      <c r="D349" t="s">
        <v>3209</v>
      </c>
      <c r="E349" t="s">
        <v>3246</v>
      </c>
      <c r="F349">
        <v>19700618</v>
      </c>
      <c r="G349" t="s">
        <v>9332</v>
      </c>
      <c r="H349" t="s">
        <v>242</v>
      </c>
      <c r="I349" t="s">
        <v>242</v>
      </c>
      <c r="J349" t="s">
        <v>242</v>
      </c>
      <c r="K349" t="s">
        <v>241</v>
      </c>
      <c r="L349" t="s">
        <v>242</v>
      </c>
      <c r="M349">
        <v>39.33846862</v>
      </c>
      <c r="N349">
        <v>-123.1099227</v>
      </c>
      <c r="O349">
        <v>0</v>
      </c>
      <c r="P349">
        <v>0</v>
      </c>
      <c r="Q349">
        <v>1.9</v>
      </c>
      <c r="R349">
        <v>2.0099999999999998</v>
      </c>
      <c r="S349">
        <v>0.97</v>
      </c>
      <c r="T349">
        <v>0.43</v>
      </c>
      <c r="U349">
        <v>0.46</v>
      </c>
      <c r="V349">
        <v>0.45</v>
      </c>
      <c r="W349">
        <v>0.3</v>
      </c>
      <c r="X349">
        <v>0.14000000000000001</v>
      </c>
      <c r="Y349">
        <v>0</v>
      </c>
      <c r="Z349">
        <v>0</v>
      </c>
      <c r="AA349" t="s">
        <v>9335</v>
      </c>
      <c r="AB349" t="s">
        <v>242</v>
      </c>
      <c r="AC349" t="s">
        <v>3213</v>
      </c>
    </row>
    <row r="350" spans="1:29" x14ac:dyDescent="0.25">
      <c r="A350" t="s">
        <v>1187</v>
      </c>
      <c r="B350" t="s">
        <v>254</v>
      </c>
      <c r="C350" t="s">
        <v>348</v>
      </c>
      <c r="D350" t="s">
        <v>3209</v>
      </c>
      <c r="E350" t="s">
        <v>3246</v>
      </c>
      <c r="F350">
        <v>19700618</v>
      </c>
      <c r="G350" t="s">
        <v>9332</v>
      </c>
      <c r="H350" t="s">
        <v>242</v>
      </c>
      <c r="I350" t="s">
        <v>242</v>
      </c>
      <c r="J350" t="s">
        <v>242</v>
      </c>
      <c r="K350" t="s">
        <v>241</v>
      </c>
      <c r="L350" t="s">
        <v>242</v>
      </c>
      <c r="M350">
        <v>39.33846862</v>
      </c>
      <c r="N350">
        <v>-123.1099227</v>
      </c>
      <c r="O350">
        <v>0</v>
      </c>
      <c r="P350">
        <v>0</v>
      </c>
      <c r="Q350">
        <v>0</v>
      </c>
      <c r="R350">
        <v>18.329999999999998</v>
      </c>
      <c r="S350">
        <v>9</v>
      </c>
      <c r="T350">
        <v>6.66</v>
      </c>
      <c r="U350">
        <v>6.66</v>
      </c>
      <c r="V350">
        <v>6.66</v>
      </c>
      <c r="W350">
        <v>6.66</v>
      </c>
      <c r="X350">
        <v>6.33</v>
      </c>
      <c r="Y350">
        <v>0</v>
      </c>
      <c r="Z350">
        <v>0</v>
      </c>
      <c r="AA350" t="s">
        <v>9335</v>
      </c>
      <c r="AB350" t="s">
        <v>241</v>
      </c>
      <c r="AC350" t="s">
        <v>3213</v>
      </c>
    </row>
    <row r="351" spans="1:29" x14ac:dyDescent="0.25">
      <c r="A351" t="s">
        <v>1194</v>
      </c>
      <c r="B351" t="s">
        <v>254</v>
      </c>
      <c r="C351" t="s">
        <v>317</v>
      </c>
      <c r="D351" t="s">
        <v>3209</v>
      </c>
      <c r="E351" t="s">
        <v>3246</v>
      </c>
      <c r="F351">
        <v>19700624</v>
      </c>
      <c r="G351" t="s">
        <v>9332</v>
      </c>
      <c r="H351" t="s">
        <v>242</v>
      </c>
      <c r="I351" t="s">
        <v>242</v>
      </c>
      <c r="J351" t="s">
        <v>242</v>
      </c>
      <c r="K351" t="s">
        <v>241</v>
      </c>
      <c r="L351" t="s">
        <v>242</v>
      </c>
      <c r="M351">
        <v>39.273716890000003</v>
      </c>
      <c r="N351">
        <v>-123.2155958</v>
      </c>
      <c r="O351">
        <v>1.33</v>
      </c>
      <c r="P351">
        <v>1.66</v>
      </c>
      <c r="Q351">
        <v>2.66</v>
      </c>
      <c r="R351">
        <v>2</v>
      </c>
      <c r="S351">
        <v>1.33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 t="s">
        <v>9335</v>
      </c>
      <c r="AB351" t="s">
        <v>242</v>
      </c>
      <c r="AC351" t="s">
        <v>3213</v>
      </c>
    </row>
    <row r="352" spans="1:29" x14ac:dyDescent="0.25">
      <c r="A352" t="s">
        <v>1195</v>
      </c>
      <c r="B352" t="s">
        <v>254</v>
      </c>
      <c r="C352" t="s">
        <v>436</v>
      </c>
      <c r="D352" t="s">
        <v>3209</v>
      </c>
      <c r="E352" t="s">
        <v>3246</v>
      </c>
      <c r="F352">
        <v>19700629</v>
      </c>
      <c r="G352" t="s">
        <v>9332</v>
      </c>
      <c r="H352" t="s">
        <v>242</v>
      </c>
      <c r="I352" t="s">
        <v>242</v>
      </c>
      <c r="J352" t="s">
        <v>242</v>
      </c>
      <c r="K352" t="s">
        <v>241</v>
      </c>
      <c r="L352" t="s">
        <v>242</v>
      </c>
      <c r="M352">
        <v>38.673745680000003</v>
      </c>
      <c r="N352">
        <v>-122.8011216</v>
      </c>
      <c r="O352">
        <v>1.26</v>
      </c>
      <c r="P352">
        <v>1.1000000000000001</v>
      </c>
      <c r="Q352">
        <v>0.56000000000000005</v>
      </c>
      <c r="R352">
        <v>0.14000000000000001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 t="s">
        <v>9335</v>
      </c>
      <c r="AB352" t="s">
        <v>242</v>
      </c>
      <c r="AC352" t="s">
        <v>3229</v>
      </c>
    </row>
    <row r="353" spans="1:29" x14ac:dyDescent="0.25">
      <c r="A353" t="s">
        <v>1196</v>
      </c>
      <c r="B353" t="s">
        <v>254</v>
      </c>
      <c r="C353" t="s">
        <v>317</v>
      </c>
      <c r="D353" t="s">
        <v>3209</v>
      </c>
      <c r="E353" t="s">
        <v>3246</v>
      </c>
      <c r="F353">
        <v>19700714</v>
      </c>
      <c r="G353" t="s">
        <v>9332</v>
      </c>
      <c r="H353" t="s">
        <v>242</v>
      </c>
      <c r="I353" t="s">
        <v>242</v>
      </c>
      <c r="J353" t="s">
        <v>242</v>
      </c>
      <c r="K353" t="s">
        <v>241</v>
      </c>
      <c r="L353" t="s">
        <v>242</v>
      </c>
      <c r="M353">
        <v>39.291425799999999</v>
      </c>
      <c r="N353">
        <v>-123.2024725</v>
      </c>
      <c r="O353">
        <v>3</v>
      </c>
      <c r="P353">
        <v>3.16</v>
      </c>
      <c r="Q353">
        <v>2.83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1.33</v>
      </c>
      <c r="Z353">
        <v>0.66</v>
      </c>
      <c r="AA353" t="s">
        <v>9335</v>
      </c>
      <c r="AB353" t="s">
        <v>242</v>
      </c>
      <c r="AC353" t="s">
        <v>3213</v>
      </c>
    </row>
    <row r="354" spans="1:29" x14ac:dyDescent="0.25">
      <c r="A354" t="s">
        <v>1197</v>
      </c>
      <c r="B354" t="s">
        <v>254</v>
      </c>
      <c r="C354" t="s">
        <v>319</v>
      </c>
      <c r="D354" t="s">
        <v>3209</v>
      </c>
      <c r="E354" t="s">
        <v>3246</v>
      </c>
      <c r="F354">
        <v>19700721</v>
      </c>
      <c r="G354" t="s">
        <v>9332</v>
      </c>
      <c r="H354" t="s">
        <v>241</v>
      </c>
      <c r="I354" t="s">
        <v>242</v>
      </c>
      <c r="J354" t="s">
        <v>242</v>
      </c>
      <c r="K354" t="s">
        <v>241</v>
      </c>
      <c r="L354" t="s">
        <v>242</v>
      </c>
      <c r="M354">
        <v>38.96009463</v>
      </c>
      <c r="N354">
        <v>-123.1089324</v>
      </c>
      <c r="O354">
        <v>0</v>
      </c>
      <c r="P354">
        <v>0</v>
      </c>
      <c r="Q354">
        <v>0</v>
      </c>
      <c r="R354">
        <v>0.1</v>
      </c>
      <c r="S354">
        <v>0.73</v>
      </c>
      <c r="T354">
        <v>1.23</v>
      </c>
      <c r="U354">
        <v>1.63</v>
      </c>
      <c r="V354">
        <v>0</v>
      </c>
      <c r="W354">
        <v>0</v>
      </c>
      <c r="X354">
        <v>0</v>
      </c>
      <c r="Y354">
        <v>0</v>
      </c>
      <c r="Z354">
        <v>0</v>
      </c>
      <c r="AA354" t="s">
        <v>9335</v>
      </c>
      <c r="AB354" t="s">
        <v>242</v>
      </c>
      <c r="AC354" t="s">
        <v>3213</v>
      </c>
    </row>
    <row r="355" spans="1:29" x14ac:dyDescent="0.25">
      <c r="A355" t="s">
        <v>1198</v>
      </c>
      <c r="B355" t="s">
        <v>254</v>
      </c>
      <c r="C355" t="s">
        <v>317</v>
      </c>
      <c r="D355" t="s">
        <v>3209</v>
      </c>
      <c r="E355" t="s">
        <v>3246</v>
      </c>
      <c r="F355">
        <v>19700911</v>
      </c>
      <c r="G355" t="s">
        <v>9332</v>
      </c>
      <c r="H355" t="s">
        <v>242</v>
      </c>
      <c r="I355" t="s">
        <v>242</v>
      </c>
      <c r="J355" t="s">
        <v>242</v>
      </c>
      <c r="K355" t="s">
        <v>241</v>
      </c>
      <c r="L355" t="s">
        <v>242</v>
      </c>
      <c r="M355">
        <v>39.27584229</v>
      </c>
      <c r="N355">
        <v>-123.195848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 t="s">
        <v>9335</v>
      </c>
      <c r="AB355" t="s">
        <v>242</v>
      </c>
      <c r="AC355" t="s">
        <v>3213</v>
      </c>
    </row>
    <row r="356" spans="1:29" x14ac:dyDescent="0.25">
      <c r="A356" t="s">
        <v>1199</v>
      </c>
      <c r="B356" t="s">
        <v>254</v>
      </c>
      <c r="C356" t="s">
        <v>317</v>
      </c>
      <c r="D356" t="s">
        <v>3209</v>
      </c>
      <c r="E356" t="s">
        <v>3246</v>
      </c>
      <c r="F356">
        <v>19700922</v>
      </c>
      <c r="G356" t="s">
        <v>9332</v>
      </c>
      <c r="H356" t="s">
        <v>242</v>
      </c>
      <c r="I356" t="s">
        <v>242</v>
      </c>
      <c r="J356" t="s">
        <v>242</v>
      </c>
      <c r="K356" t="s">
        <v>241</v>
      </c>
      <c r="L356" t="s">
        <v>242</v>
      </c>
      <c r="M356">
        <v>39.248942919999998</v>
      </c>
      <c r="N356">
        <v>-123.194863</v>
      </c>
      <c r="O356">
        <v>4.93</v>
      </c>
      <c r="P356">
        <v>4.2300000000000004</v>
      </c>
      <c r="Q356">
        <v>1.03</v>
      </c>
      <c r="R356">
        <v>0.33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0.8</v>
      </c>
      <c r="Z356">
        <v>5</v>
      </c>
      <c r="AA356" t="s">
        <v>9335</v>
      </c>
      <c r="AB356" t="s">
        <v>242</v>
      </c>
      <c r="AC356" t="s">
        <v>3213</v>
      </c>
    </row>
    <row r="357" spans="1:29" x14ac:dyDescent="0.25">
      <c r="A357" t="s">
        <v>1188</v>
      </c>
      <c r="B357" t="s">
        <v>254</v>
      </c>
      <c r="C357" t="s">
        <v>348</v>
      </c>
      <c r="D357" t="s">
        <v>3209</v>
      </c>
      <c r="E357" t="s">
        <v>3246</v>
      </c>
      <c r="F357">
        <v>19701014</v>
      </c>
      <c r="G357" t="s">
        <v>9332</v>
      </c>
      <c r="H357" t="s">
        <v>242</v>
      </c>
      <c r="I357" t="s">
        <v>242</v>
      </c>
      <c r="J357" t="s">
        <v>242</v>
      </c>
      <c r="K357" t="s">
        <v>241</v>
      </c>
      <c r="L357" t="s">
        <v>242</v>
      </c>
      <c r="M357">
        <v>39.356412470000002</v>
      </c>
      <c r="N357">
        <v>-123.128597</v>
      </c>
      <c r="O357">
        <v>0</v>
      </c>
      <c r="P357">
        <v>0</v>
      </c>
      <c r="Q357">
        <v>8.16</v>
      </c>
      <c r="R357">
        <v>5</v>
      </c>
      <c r="S357">
        <v>5.4</v>
      </c>
      <c r="T357">
        <v>5.73</v>
      </c>
      <c r="U357">
        <v>7.16</v>
      </c>
      <c r="V357">
        <v>1.43</v>
      </c>
      <c r="W357">
        <v>2.63</v>
      </c>
      <c r="X357">
        <v>7.36</v>
      </c>
      <c r="Y357">
        <v>0</v>
      </c>
      <c r="Z357">
        <v>0</v>
      </c>
      <c r="AA357" t="s">
        <v>9335</v>
      </c>
      <c r="AB357" t="s">
        <v>242</v>
      </c>
      <c r="AC357" t="s">
        <v>3213</v>
      </c>
    </row>
    <row r="358" spans="1:29" x14ac:dyDescent="0.25">
      <c r="A358" t="s">
        <v>1201</v>
      </c>
      <c r="B358" t="s">
        <v>254</v>
      </c>
      <c r="C358" t="s">
        <v>317</v>
      </c>
      <c r="D358" t="s">
        <v>3209</v>
      </c>
      <c r="E358" t="s">
        <v>3246</v>
      </c>
      <c r="F358">
        <v>19701214</v>
      </c>
      <c r="G358" t="s">
        <v>9332</v>
      </c>
      <c r="H358" t="s">
        <v>242</v>
      </c>
      <c r="I358" t="s">
        <v>242</v>
      </c>
      <c r="J358" t="s">
        <v>242</v>
      </c>
      <c r="K358" t="s">
        <v>241</v>
      </c>
      <c r="L358" t="s">
        <v>242</v>
      </c>
      <c r="M358">
        <v>39.271814050000003</v>
      </c>
      <c r="N358">
        <v>-123.186948</v>
      </c>
      <c r="O358">
        <v>0</v>
      </c>
      <c r="P358">
        <v>0</v>
      </c>
      <c r="Q358">
        <v>0</v>
      </c>
      <c r="R358">
        <v>0.24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 t="s">
        <v>9335</v>
      </c>
      <c r="AB358" t="s">
        <v>242</v>
      </c>
      <c r="AC358" t="s">
        <v>3213</v>
      </c>
    </row>
    <row r="359" spans="1:29" x14ac:dyDescent="0.25">
      <c r="A359" t="s">
        <v>1202</v>
      </c>
      <c r="B359" t="s">
        <v>254</v>
      </c>
      <c r="C359" t="s">
        <v>317</v>
      </c>
      <c r="D359" t="s">
        <v>3209</v>
      </c>
      <c r="E359" t="s">
        <v>3246</v>
      </c>
      <c r="F359">
        <v>19701214</v>
      </c>
      <c r="G359" t="s">
        <v>9332</v>
      </c>
      <c r="H359" t="s">
        <v>242</v>
      </c>
      <c r="I359" t="s">
        <v>242</v>
      </c>
      <c r="J359" t="s">
        <v>242</v>
      </c>
      <c r="K359" t="s">
        <v>241</v>
      </c>
      <c r="L359" t="s">
        <v>242</v>
      </c>
      <c r="M359">
        <v>39.271831939999998</v>
      </c>
      <c r="N359">
        <v>-123.1851819</v>
      </c>
      <c r="O359">
        <v>3.66</v>
      </c>
      <c r="P359">
        <v>4</v>
      </c>
      <c r="Q359">
        <v>5.6</v>
      </c>
      <c r="R359">
        <v>5.66</v>
      </c>
      <c r="S359">
        <v>4.33</v>
      </c>
      <c r="T359">
        <v>5.33</v>
      </c>
      <c r="U359">
        <v>3.66</v>
      </c>
      <c r="V359">
        <v>2.66</v>
      </c>
      <c r="W359">
        <v>2.66</v>
      </c>
      <c r="X359">
        <v>2</v>
      </c>
      <c r="Y359">
        <v>0</v>
      </c>
      <c r="Z359">
        <v>0</v>
      </c>
      <c r="AA359" t="s">
        <v>9335</v>
      </c>
      <c r="AB359" t="s">
        <v>242</v>
      </c>
      <c r="AC359" t="s">
        <v>3213</v>
      </c>
    </row>
    <row r="360" spans="1:29" x14ac:dyDescent="0.25">
      <c r="A360" t="s">
        <v>1204</v>
      </c>
      <c r="B360" t="s">
        <v>254</v>
      </c>
      <c r="C360" t="s">
        <v>331</v>
      </c>
      <c r="D360" t="s">
        <v>3209</v>
      </c>
      <c r="E360" t="s">
        <v>3246</v>
      </c>
      <c r="F360">
        <v>19701221</v>
      </c>
      <c r="G360" t="s">
        <v>9338</v>
      </c>
      <c r="H360" t="s">
        <v>242</v>
      </c>
      <c r="I360" t="s">
        <v>242</v>
      </c>
      <c r="J360" t="s">
        <v>242</v>
      </c>
      <c r="K360" t="s">
        <v>241</v>
      </c>
      <c r="L360" t="s">
        <v>242</v>
      </c>
      <c r="M360">
        <v>39.142984349999999</v>
      </c>
      <c r="N360">
        <v>-123.1643365</v>
      </c>
      <c r="O360">
        <v>0</v>
      </c>
      <c r="P360">
        <v>0</v>
      </c>
      <c r="Q360">
        <v>0</v>
      </c>
      <c r="R360">
        <v>2.64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 t="s">
        <v>9335</v>
      </c>
      <c r="AB360" t="s">
        <v>242</v>
      </c>
      <c r="AC360" t="s">
        <v>3213</v>
      </c>
    </row>
    <row r="361" spans="1:29" x14ac:dyDescent="0.25">
      <c r="A361" t="s">
        <v>85</v>
      </c>
      <c r="B361" t="s">
        <v>254</v>
      </c>
      <c r="C361" t="s">
        <v>333</v>
      </c>
      <c r="D361" t="s">
        <v>3209</v>
      </c>
      <c r="E361" t="s">
        <v>3246</v>
      </c>
      <c r="F361">
        <v>19701222</v>
      </c>
      <c r="G361" t="s">
        <v>9334</v>
      </c>
      <c r="H361" t="s">
        <v>241</v>
      </c>
      <c r="I361" t="s">
        <v>242</v>
      </c>
      <c r="J361" t="s">
        <v>242</v>
      </c>
      <c r="K361" t="s">
        <v>241</v>
      </c>
      <c r="L361" t="s">
        <v>242</v>
      </c>
      <c r="M361">
        <v>39.047400000000003</v>
      </c>
      <c r="N361">
        <v>-123.1365</v>
      </c>
      <c r="O361">
        <v>1.31</v>
      </c>
      <c r="P361">
        <v>1.07</v>
      </c>
      <c r="Q361">
        <v>1.45</v>
      </c>
      <c r="R361">
        <v>1.59</v>
      </c>
      <c r="S361">
        <v>3.19</v>
      </c>
      <c r="T361">
        <v>4.28</v>
      </c>
      <c r="U361">
        <v>0</v>
      </c>
      <c r="V361">
        <v>0</v>
      </c>
      <c r="W361">
        <v>0</v>
      </c>
      <c r="X361">
        <v>0</v>
      </c>
      <c r="Y361">
        <v>2.23</v>
      </c>
      <c r="Z361">
        <v>1.53</v>
      </c>
      <c r="AA361" t="s">
        <v>9336</v>
      </c>
      <c r="AB361" t="s">
        <v>242</v>
      </c>
      <c r="AC361" t="s">
        <v>3213</v>
      </c>
    </row>
    <row r="362" spans="1:29" x14ac:dyDescent="0.25">
      <c r="A362" t="s">
        <v>1185</v>
      </c>
      <c r="B362" t="s">
        <v>254</v>
      </c>
      <c r="C362" t="s">
        <v>348</v>
      </c>
      <c r="D362" t="s">
        <v>3209</v>
      </c>
      <c r="E362" t="s">
        <v>3246</v>
      </c>
      <c r="F362">
        <v>19710112</v>
      </c>
      <c r="G362" t="s">
        <v>9332</v>
      </c>
      <c r="H362" t="s">
        <v>242</v>
      </c>
      <c r="I362" t="s">
        <v>242</v>
      </c>
      <c r="J362" t="s">
        <v>242</v>
      </c>
      <c r="K362" t="s">
        <v>241</v>
      </c>
      <c r="L362" t="s">
        <v>242</v>
      </c>
      <c r="M362">
        <v>39.288699999999999</v>
      </c>
      <c r="N362">
        <v>-123.0919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 t="s">
        <v>9335</v>
      </c>
      <c r="AB362" t="s">
        <v>242</v>
      </c>
      <c r="AC362" t="s">
        <v>3213</v>
      </c>
    </row>
    <row r="363" spans="1:29" x14ac:dyDescent="0.25">
      <c r="A363" t="s">
        <v>1158</v>
      </c>
      <c r="B363" t="s">
        <v>254</v>
      </c>
      <c r="C363" t="s">
        <v>333</v>
      </c>
      <c r="D363" t="s">
        <v>3209</v>
      </c>
      <c r="E363" t="s">
        <v>3246</v>
      </c>
      <c r="F363">
        <v>19710113</v>
      </c>
      <c r="G363" t="s">
        <v>9332</v>
      </c>
      <c r="H363" t="s">
        <v>241</v>
      </c>
      <c r="I363" t="s">
        <v>242</v>
      </c>
      <c r="J363" t="s">
        <v>242</v>
      </c>
      <c r="K363" t="s">
        <v>241</v>
      </c>
      <c r="L363" t="s">
        <v>242</v>
      </c>
      <c r="M363">
        <v>39.112646329999997</v>
      </c>
      <c r="N363">
        <v>-123.1775847</v>
      </c>
      <c r="O363">
        <v>0</v>
      </c>
      <c r="P363">
        <v>0</v>
      </c>
      <c r="Q363">
        <v>0</v>
      </c>
      <c r="R363">
        <v>0</v>
      </c>
      <c r="S363">
        <v>8.16</v>
      </c>
      <c r="T363">
        <v>68.66</v>
      </c>
      <c r="U363">
        <v>79.33</v>
      </c>
      <c r="V363">
        <v>20.5</v>
      </c>
      <c r="W363">
        <v>44.5</v>
      </c>
      <c r="X363">
        <v>0</v>
      </c>
      <c r="Y363">
        <v>0</v>
      </c>
      <c r="Z363">
        <v>0</v>
      </c>
      <c r="AA363" t="s">
        <v>9335</v>
      </c>
      <c r="AB363" t="s">
        <v>242</v>
      </c>
      <c r="AC363" t="s">
        <v>3213</v>
      </c>
    </row>
    <row r="364" spans="1:29" x14ac:dyDescent="0.25">
      <c r="A364" t="s">
        <v>1159</v>
      </c>
      <c r="B364" t="s">
        <v>254</v>
      </c>
      <c r="C364" t="s">
        <v>409</v>
      </c>
      <c r="D364" t="s">
        <v>3209</v>
      </c>
      <c r="E364" t="s">
        <v>3246</v>
      </c>
      <c r="F364">
        <v>19710122</v>
      </c>
      <c r="G364" t="s">
        <v>9332</v>
      </c>
      <c r="H364" t="s">
        <v>242</v>
      </c>
      <c r="I364" t="s">
        <v>242</v>
      </c>
      <c r="J364" t="s">
        <v>242</v>
      </c>
      <c r="K364" t="s">
        <v>241</v>
      </c>
      <c r="L364" t="s">
        <v>242</v>
      </c>
      <c r="M364">
        <v>38.860543120000003</v>
      </c>
      <c r="N364">
        <v>-122.90367259999999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 t="s">
        <v>9341</v>
      </c>
      <c r="AB364" t="s">
        <v>242</v>
      </c>
      <c r="AC364" t="s">
        <v>3213</v>
      </c>
    </row>
    <row r="365" spans="1:29" x14ac:dyDescent="0.25">
      <c r="A365" t="s">
        <v>1160</v>
      </c>
      <c r="B365" t="s">
        <v>254</v>
      </c>
      <c r="C365" t="s">
        <v>409</v>
      </c>
      <c r="D365" t="s">
        <v>3209</v>
      </c>
      <c r="E365" t="s">
        <v>3246</v>
      </c>
      <c r="F365">
        <v>19710122</v>
      </c>
      <c r="G365" t="s">
        <v>9332</v>
      </c>
      <c r="H365" t="s">
        <v>242</v>
      </c>
      <c r="I365" t="s">
        <v>242</v>
      </c>
      <c r="J365" t="s">
        <v>242</v>
      </c>
      <c r="K365" t="s">
        <v>241</v>
      </c>
      <c r="L365" t="s">
        <v>242</v>
      </c>
      <c r="M365">
        <v>38.853322249999998</v>
      </c>
      <c r="N365">
        <v>-122.9141164</v>
      </c>
      <c r="O365">
        <v>0.57999999999999996</v>
      </c>
      <c r="P365">
        <v>0.57999999999999996</v>
      </c>
      <c r="Q365">
        <v>0.57999999999999996</v>
      </c>
      <c r="R365">
        <v>0.57999999999999996</v>
      </c>
      <c r="S365">
        <v>0.57999999999999996</v>
      </c>
      <c r="T365">
        <v>0.57999999999999996</v>
      </c>
      <c r="U365">
        <v>0.57999999999999996</v>
      </c>
      <c r="V365">
        <v>0.57999999999999996</v>
      </c>
      <c r="W365">
        <v>0.57999999999999996</v>
      </c>
      <c r="X365">
        <v>0.57999999999999996</v>
      </c>
      <c r="Y365">
        <v>0.57999999999999996</v>
      </c>
      <c r="Z365">
        <v>0.57999999999999996</v>
      </c>
      <c r="AA365" t="s">
        <v>9341</v>
      </c>
      <c r="AB365" t="s">
        <v>242</v>
      </c>
      <c r="AC365" t="s">
        <v>3213</v>
      </c>
    </row>
    <row r="366" spans="1:29" x14ac:dyDescent="0.25">
      <c r="A366" t="s">
        <v>1161</v>
      </c>
      <c r="B366" t="s">
        <v>254</v>
      </c>
      <c r="C366" t="s">
        <v>319</v>
      </c>
      <c r="D366" t="s">
        <v>3209</v>
      </c>
      <c r="E366" t="s">
        <v>3246</v>
      </c>
      <c r="F366">
        <v>19710122</v>
      </c>
      <c r="G366" t="s">
        <v>9332</v>
      </c>
      <c r="H366" t="s">
        <v>242</v>
      </c>
      <c r="I366" t="s">
        <v>242</v>
      </c>
      <c r="J366" t="s">
        <v>242</v>
      </c>
      <c r="K366" t="s">
        <v>241</v>
      </c>
      <c r="L366" t="s">
        <v>242</v>
      </c>
      <c r="M366">
        <v>38.867388099999999</v>
      </c>
      <c r="N366">
        <v>-122.90621830000001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 t="s">
        <v>9341</v>
      </c>
      <c r="AB366" t="s">
        <v>242</v>
      </c>
      <c r="AC366" t="s">
        <v>3213</v>
      </c>
    </row>
    <row r="367" spans="1:29" x14ac:dyDescent="0.25">
      <c r="A367" t="s">
        <v>1162</v>
      </c>
      <c r="B367" t="s">
        <v>254</v>
      </c>
      <c r="C367" t="s">
        <v>409</v>
      </c>
      <c r="D367" t="s">
        <v>3209</v>
      </c>
      <c r="E367" t="s">
        <v>3246</v>
      </c>
      <c r="F367">
        <v>19710122</v>
      </c>
      <c r="G367" t="s">
        <v>9332</v>
      </c>
      <c r="H367" t="s">
        <v>242</v>
      </c>
      <c r="I367" t="s">
        <v>242</v>
      </c>
      <c r="J367" t="s">
        <v>242</v>
      </c>
      <c r="K367" t="s">
        <v>241</v>
      </c>
      <c r="L367" t="s">
        <v>242</v>
      </c>
      <c r="M367">
        <v>38.840660229999997</v>
      </c>
      <c r="N367">
        <v>-122.9522259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 t="s">
        <v>9341</v>
      </c>
      <c r="AB367" t="s">
        <v>242</v>
      </c>
      <c r="AC367" t="s">
        <v>3229</v>
      </c>
    </row>
    <row r="368" spans="1:29" x14ac:dyDescent="0.25">
      <c r="A368" t="s">
        <v>1186</v>
      </c>
      <c r="B368" t="s">
        <v>254</v>
      </c>
      <c r="C368" t="s">
        <v>348</v>
      </c>
      <c r="D368" t="s">
        <v>3209</v>
      </c>
      <c r="E368" t="s">
        <v>3246</v>
      </c>
      <c r="F368">
        <v>19710209</v>
      </c>
      <c r="G368" t="s">
        <v>9332</v>
      </c>
      <c r="H368" t="s">
        <v>242</v>
      </c>
      <c r="I368" t="s">
        <v>242</v>
      </c>
      <c r="J368" t="s">
        <v>242</v>
      </c>
      <c r="K368" t="s">
        <v>241</v>
      </c>
      <c r="L368" t="s">
        <v>242</v>
      </c>
      <c r="M368">
        <v>39.341180459999997</v>
      </c>
      <c r="N368">
        <v>-123.11350160000001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 t="s">
        <v>9335</v>
      </c>
      <c r="AB368" t="s">
        <v>242</v>
      </c>
      <c r="AC368" t="s">
        <v>3213</v>
      </c>
    </row>
    <row r="369" spans="1:29" x14ac:dyDescent="0.25">
      <c r="A369" t="s">
        <v>1163</v>
      </c>
      <c r="B369" t="s">
        <v>254</v>
      </c>
      <c r="C369" t="s">
        <v>317</v>
      </c>
      <c r="D369" t="s">
        <v>3209</v>
      </c>
      <c r="E369" t="s">
        <v>3246</v>
      </c>
      <c r="F369">
        <v>19710223</v>
      </c>
      <c r="G369" t="s">
        <v>9332</v>
      </c>
      <c r="H369" t="s">
        <v>242</v>
      </c>
      <c r="I369" t="s">
        <v>242</v>
      </c>
      <c r="J369" t="s">
        <v>242</v>
      </c>
      <c r="K369" t="s">
        <v>241</v>
      </c>
      <c r="L369" t="s">
        <v>242</v>
      </c>
      <c r="M369">
        <v>39.293520119999997</v>
      </c>
      <c r="N369">
        <v>-123.2124029</v>
      </c>
      <c r="O369">
        <v>0.66</v>
      </c>
      <c r="P369">
        <v>1.33</v>
      </c>
      <c r="Q369">
        <v>2</v>
      </c>
      <c r="R369">
        <v>0.66</v>
      </c>
      <c r="S369">
        <v>0.33</v>
      </c>
      <c r="T369">
        <v>0.33</v>
      </c>
      <c r="U369">
        <v>0.33</v>
      </c>
      <c r="V369">
        <v>0.33</v>
      </c>
      <c r="W369">
        <v>0</v>
      </c>
      <c r="X369">
        <v>0</v>
      </c>
      <c r="Y369">
        <v>0</v>
      </c>
      <c r="Z369">
        <v>0.66</v>
      </c>
      <c r="AA369" t="s">
        <v>9335</v>
      </c>
      <c r="AB369" t="s">
        <v>242</v>
      </c>
      <c r="AC369" t="s">
        <v>3213</v>
      </c>
    </row>
    <row r="370" spans="1:29" x14ac:dyDescent="0.25">
      <c r="A370" t="s">
        <v>1164</v>
      </c>
      <c r="B370" t="s">
        <v>254</v>
      </c>
      <c r="C370" t="s">
        <v>317</v>
      </c>
      <c r="D370" t="s">
        <v>3209</v>
      </c>
      <c r="E370" t="s">
        <v>3246</v>
      </c>
      <c r="F370">
        <v>19710324</v>
      </c>
      <c r="G370" t="s">
        <v>9332</v>
      </c>
      <c r="H370" t="s">
        <v>242</v>
      </c>
      <c r="I370" t="s">
        <v>242</v>
      </c>
      <c r="J370" t="s">
        <v>242</v>
      </c>
      <c r="K370" t="s">
        <v>241</v>
      </c>
      <c r="L370" t="s">
        <v>242</v>
      </c>
      <c r="M370">
        <v>39.268900000000002</v>
      </c>
      <c r="N370">
        <v>-123.2123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 t="s">
        <v>9335</v>
      </c>
      <c r="AB370" t="s">
        <v>242</v>
      </c>
      <c r="AC370" t="s">
        <v>3213</v>
      </c>
    </row>
    <row r="371" spans="1:29" x14ac:dyDescent="0.25">
      <c r="A371" t="s">
        <v>1165</v>
      </c>
      <c r="B371" t="s">
        <v>254</v>
      </c>
      <c r="C371" t="s">
        <v>317</v>
      </c>
      <c r="D371" t="s">
        <v>3209</v>
      </c>
      <c r="E371" t="s">
        <v>3246</v>
      </c>
      <c r="F371">
        <v>19710405</v>
      </c>
      <c r="G371" t="s">
        <v>9332</v>
      </c>
      <c r="H371" t="s">
        <v>242</v>
      </c>
      <c r="I371" t="s">
        <v>242</v>
      </c>
      <c r="J371" t="s">
        <v>242</v>
      </c>
      <c r="K371" t="s">
        <v>241</v>
      </c>
      <c r="L371" t="s">
        <v>242</v>
      </c>
      <c r="M371">
        <v>39.287367799999998</v>
      </c>
      <c r="N371">
        <v>-123.18979950000001</v>
      </c>
      <c r="O371">
        <v>10</v>
      </c>
      <c r="P371">
        <v>10.16</v>
      </c>
      <c r="Q371">
        <v>11.33</v>
      </c>
      <c r="R371">
        <v>5.46</v>
      </c>
      <c r="S371">
        <v>4.7300000000000004</v>
      </c>
      <c r="T371">
        <v>1.33</v>
      </c>
      <c r="U371">
        <v>0</v>
      </c>
      <c r="V371">
        <v>0</v>
      </c>
      <c r="W371">
        <v>0</v>
      </c>
      <c r="X371">
        <v>0</v>
      </c>
      <c r="Y371">
        <v>2.33</v>
      </c>
      <c r="Z371">
        <v>7</v>
      </c>
      <c r="AA371" t="s">
        <v>9335</v>
      </c>
      <c r="AB371" t="s">
        <v>242</v>
      </c>
      <c r="AC371" t="s">
        <v>3213</v>
      </c>
    </row>
    <row r="372" spans="1:29" x14ac:dyDescent="0.25">
      <c r="A372" t="s">
        <v>1166</v>
      </c>
      <c r="B372" t="s">
        <v>254</v>
      </c>
      <c r="C372" t="s">
        <v>317</v>
      </c>
      <c r="D372" t="s">
        <v>3209</v>
      </c>
      <c r="E372" t="s">
        <v>3246</v>
      </c>
      <c r="F372">
        <v>19710528</v>
      </c>
      <c r="G372" t="s">
        <v>9332</v>
      </c>
      <c r="H372" t="s">
        <v>242</v>
      </c>
      <c r="I372" t="s">
        <v>242</v>
      </c>
      <c r="J372" t="s">
        <v>242</v>
      </c>
      <c r="K372" t="s">
        <v>241</v>
      </c>
      <c r="L372" t="s">
        <v>242</v>
      </c>
      <c r="M372">
        <v>39.270255980000002</v>
      </c>
      <c r="N372">
        <v>-123.1780902</v>
      </c>
      <c r="O372">
        <v>0</v>
      </c>
      <c r="P372">
        <v>0</v>
      </c>
      <c r="Q372">
        <v>1</v>
      </c>
      <c r="R372">
        <v>1</v>
      </c>
      <c r="S372">
        <v>0.66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 t="s">
        <v>9335</v>
      </c>
      <c r="AB372" t="s">
        <v>242</v>
      </c>
      <c r="AC372" t="s">
        <v>3213</v>
      </c>
    </row>
    <row r="373" spans="1:29" x14ac:dyDescent="0.25">
      <c r="A373" t="s">
        <v>1167</v>
      </c>
      <c r="B373" t="s">
        <v>254</v>
      </c>
      <c r="C373" t="s">
        <v>319</v>
      </c>
      <c r="D373" t="s">
        <v>3209</v>
      </c>
      <c r="E373" t="s">
        <v>3246</v>
      </c>
      <c r="F373">
        <v>19710528</v>
      </c>
      <c r="G373" t="s">
        <v>9334</v>
      </c>
      <c r="H373" t="s">
        <v>242</v>
      </c>
      <c r="I373" t="s">
        <v>242</v>
      </c>
      <c r="J373" t="s">
        <v>242</v>
      </c>
      <c r="K373" t="s">
        <v>241</v>
      </c>
      <c r="L373" t="s">
        <v>242</v>
      </c>
      <c r="M373">
        <v>38.974899999999998</v>
      </c>
      <c r="N373">
        <v>-123.0586</v>
      </c>
      <c r="O373">
        <v>0.26</v>
      </c>
      <c r="P373">
        <v>3.66</v>
      </c>
      <c r="Q373">
        <v>5.0999999999999996</v>
      </c>
      <c r="R373">
        <v>6.03</v>
      </c>
      <c r="S373">
        <v>0.36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3.36</v>
      </c>
      <c r="AA373" t="s">
        <v>9335</v>
      </c>
      <c r="AB373" t="s">
        <v>242</v>
      </c>
      <c r="AC373" t="s">
        <v>3213</v>
      </c>
    </row>
    <row r="374" spans="1:29" x14ac:dyDescent="0.25">
      <c r="A374" t="s">
        <v>1168</v>
      </c>
      <c r="B374" t="s">
        <v>254</v>
      </c>
      <c r="C374" t="s">
        <v>333</v>
      </c>
      <c r="D374" t="s">
        <v>3209</v>
      </c>
      <c r="E374" t="s">
        <v>3246</v>
      </c>
      <c r="F374">
        <v>19710601</v>
      </c>
      <c r="G374" t="s">
        <v>9332</v>
      </c>
      <c r="H374" t="s">
        <v>242</v>
      </c>
      <c r="I374" t="s">
        <v>242</v>
      </c>
      <c r="J374" t="s">
        <v>242</v>
      </c>
      <c r="K374" t="s">
        <v>241</v>
      </c>
      <c r="L374" t="s">
        <v>242</v>
      </c>
      <c r="M374">
        <v>39.102956280000001</v>
      </c>
      <c r="N374">
        <v>-123.15804009999999</v>
      </c>
      <c r="O374">
        <v>2</v>
      </c>
      <c r="P374">
        <v>2</v>
      </c>
      <c r="Q374">
        <v>2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0.33</v>
      </c>
      <c r="Z374">
        <v>2</v>
      </c>
      <c r="AA374" t="s">
        <v>9335</v>
      </c>
      <c r="AB374" t="s">
        <v>242</v>
      </c>
      <c r="AC374" t="s">
        <v>3213</v>
      </c>
    </row>
    <row r="375" spans="1:29" x14ac:dyDescent="0.25">
      <c r="A375" t="s">
        <v>1169</v>
      </c>
      <c r="B375" t="s">
        <v>254</v>
      </c>
      <c r="C375" t="s">
        <v>317</v>
      </c>
      <c r="D375" t="s">
        <v>3209</v>
      </c>
      <c r="E375" t="s">
        <v>3246</v>
      </c>
      <c r="F375">
        <v>19710608</v>
      </c>
      <c r="G375" t="s">
        <v>9332</v>
      </c>
      <c r="H375" t="s">
        <v>242</v>
      </c>
      <c r="I375" t="s">
        <v>242</v>
      </c>
      <c r="J375" t="s">
        <v>242</v>
      </c>
      <c r="K375" t="s">
        <v>241</v>
      </c>
      <c r="L375" t="s">
        <v>242</v>
      </c>
      <c r="M375">
        <v>39.235790029999997</v>
      </c>
      <c r="N375">
        <v>-123.2055867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 t="s">
        <v>9335</v>
      </c>
      <c r="AB375" t="s">
        <v>242</v>
      </c>
      <c r="AC375" t="s">
        <v>3213</v>
      </c>
    </row>
    <row r="376" spans="1:29" x14ac:dyDescent="0.25">
      <c r="A376" t="s">
        <v>134</v>
      </c>
      <c r="B376" t="s">
        <v>254</v>
      </c>
      <c r="C376" t="s">
        <v>331</v>
      </c>
      <c r="D376" t="s">
        <v>3209</v>
      </c>
      <c r="E376" t="s">
        <v>3246</v>
      </c>
      <c r="F376">
        <v>19710629</v>
      </c>
      <c r="G376" t="s">
        <v>9332</v>
      </c>
      <c r="H376" t="s">
        <v>241</v>
      </c>
      <c r="I376" t="s">
        <v>242</v>
      </c>
      <c r="J376" t="s">
        <v>242</v>
      </c>
      <c r="K376" t="s">
        <v>241</v>
      </c>
      <c r="L376" t="s">
        <v>242</v>
      </c>
      <c r="M376">
        <v>39.187806780000003</v>
      </c>
      <c r="N376">
        <v>-123.1987711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 t="s">
        <v>9343</v>
      </c>
      <c r="AB376" t="s">
        <v>242</v>
      </c>
      <c r="AC376" t="s">
        <v>3213</v>
      </c>
    </row>
    <row r="377" spans="1:29" x14ac:dyDescent="0.25">
      <c r="A377" t="s">
        <v>1170</v>
      </c>
      <c r="B377" t="s">
        <v>254</v>
      </c>
      <c r="C377" t="s">
        <v>319</v>
      </c>
      <c r="D377" t="s">
        <v>3209</v>
      </c>
      <c r="E377" t="s">
        <v>3246</v>
      </c>
      <c r="F377">
        <v>19710803</v>
      </c>
      <c r="G377" t="s">
        <v>9332</v>
      </c>
      <c r="H377" t="s">
        <v>242</v>
      </c>
      <c r="I377" t="s">
        <v>242</v>
      </c>
      <c r="J377" t="s">
        <v>242</v>
      </c>
      <c r="K377" t="s">
        <v>241</v>
      </c>
      <c r="L377" t="s">
        <v>242</v>
      </c>
      <c r="M377">
        <v>38.945618719999999</v>
      </c>
      <c r="N377">
        <v>-123.1294535</v>
      </c>
      <c r="O377">
        <v>0.22</v>
      </c>
      <c r="P377">
        <v>0.22</v>
      </c>
      <c r="Q377">
        <v>0.22</v>
      </c>
      <c r="R377">
        <v>0.22</v>
      </c>
      <c r="S377">
        <v>0.22</v>
      </c>
      <c r="T377">
        <v>0.39</v>
      </c>
      <c r="U377">
        <v>0.39</v>
      </c>
      <c r="V377">
        <v>0.39</v>
      </c>
      <c r="W377">
        <v>0.39</v>
      </c>
      <c r="X377">
        <v>0.39</v>
      </c>
      <c r="Y377">
        <v>0.22</v>
      </c>
      <c r="Z377">
        <v>0.22</v>
      </c>
      <c r="AA377" t="s">
        <v>9335</v>
      </c>
      <c r="AB377" t="s">
        <v>242</v>
      </c>
      <c r="AC377" t="s">
        <v>3213</v>
      </c>
    </row>
    <row r="378" spans="1:29" x14ac:dyDescent="0.25">
      <c r="A378" t="s">
        <v>1171</v>
      </c>
      <c r="B378" t="s">
        <v>254</v>
      </c>
      <c r="C378" t="s">
        <v>317</v>
      </c>
      <c r="D378" t="s">
        <v>3209</v>
      </c>
      <c r="E378" t="s">
        <v>3246</v>
      </c>
      <c r="F378">
        <v>19710804</v>
      </c>
      <c r="G378" t="s">
        <v>9332</v>
      </c>
      <c r="H378" t="s">
        <v>242</v>
      </c>
      <c r="I378" t="s">
        <v>242</v>
      </c>
      <c r="J378" t="s">
        <v>242</v>
      </c>
      <c r="K378" t="s">
        <v>241</v>
      </c>
      <c r="L378" t="s">
        <v>242</v>
      </c>
      <c r="M378">
        <v>39.285096950000003</v>
      </c>
      <c r="N378">
        <v>-123.20377809999999</v>
      </c>
      <c r="O378">
        <v>3</v>
      </c>
      <c r="P378">
        <v>0.66</v>
      </c>
      <c r="Q378">
        <v>1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1</v>
      </c>
      <c r="Z378">
        <v>2.33</v>
      </c>
      <c r="AA378" t="s">
        <v>9335</v>
      </c>
      <c r="AB378" t="s">
        <v>242</v>
      </c>
      <c r="AC378" t="s">
        <v>3213</v>
      </c>
    </row>
    <row r="379" spans="1:29" x14ac:dyDescent="0.25">
      <c r="A379" t="s">
        <v>1172</v>
      </c>
      <c r="B379" t="s">
        <v>254</v>
      </c>
      <c r="C379" t="s">
        <v>333</v>
      </c>
      <c r="D379" t="s">
        <v>3209</v>
      </c>
      <c r="E379" t="s">
        <v>3246</v>
      </c>
      <c r="F379">
        <v>19710811</v>
      </c>
      <c r="G379" t="s">
        <v>9332</v>
      </c>
      <c r="H379" t="s">
        <v>242</v>
      </c>
      <c r="I379" t="s">
        <v>242</v>
      </c>
      <c r="J379" t="s">
        <v>242</v>
      </c>
      <c r="K379" t="s">
        <v>241</v>
      </c>
      <c r="L379" t="s">
        <v>242</v>
      </c>
      <c r="M379">
        <v>39.117503910000003</v>
      </c>
      <c r="N379">
        <v>-123.1586303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 t="s">
        <v>9335</v>
      </c>
      <c r="AB379" t="s">
        <v>242</v>
      </c>
      <c r="AC379" t="s">
        <v>3213</v>
      </c>
    </row>
    <row r="380" spans="1:29" x14ac:dyDescent="0.25">
      <c r="A380" t="s">
        <v>1173</v>
      </c>
      <c r="B380" t="s">
        <v>254</v>
      </c>
      <c r="C380" t="s">
        <v>333</v>
      </c>
      <c r="D380" t="s">
        <v>3209</v>
      </c>
      <c r="E380" t="s">
        <v>3246</v>
      </c>
      <c r="F380">
        <v>19710811</v>
      </c>
      <c r="G380" t="s">
        <v>9332</v>
      </c>
      <c r="H380" t="s">
        <v>242</v>
      </c>
      <c r="I380" t="s">
        <v>242</v>
      </c>
      <c r="J380" t="s">
        <v>242</v>
      </c>
      <c r="K380" t="s">
        <v>241</v>
      </c>
      <c r="L380" t="s">
        <v>242</v>
      </c>
      <c r="M380">
        <v>39.121519759999998</v>
      </c>
      <c r="N380">
        <v>-123.15517079999999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 t="s">
        <v>9335</v>
      </c>
      <c r="AB380" t="s">
        <v>242</v>
      </c>
      <c r="AC380" t="s">
        <v>3213</v>
      </c>
    </row>
    <row r="381" spans="1:29" x14ac:dyDescent="0.25">
      <c r="A381" t="s">
        <v>1174</v>
      </c>
      <c r="B381" t="s">
        <v>254</v>
      </c>
      <c r="C381" t="s">
        <v>317</v>
      </c>
      <c r="D381" t="s">
        <v>3209</v>
      </c>
      <c r="E381" t="s">
        <v>3246</v>
      </c>
      <c r="F381">
        <v>19710917</v>
      </c>
      <c r="G381" t="s">
        <v>9332</v>
      </c>
      <c r="H381" t="s">
        <v>242</v>
      </c>
      <c r="I381" t="s">
        <v>242</v>
      </c>
      <c r="J381" t="s">
        <v>242</v>
      </c>
      <c r="K381" t="s">
        <v>241</v>
      </c>
      <c r="L381" t="s">
        <v>242</v>
      </c>
      <c r="M381">
        <v>39.2288201</v>
      </c>
      <c r="N381">
        <v>-123.2024669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 t="s">
        <v>9335</v>
      </c>
      <c r="AB381" t="s">
        <v>242</v>
      </c>
      <c r="AC381" t="s">
        <v>3213</v>
      </c>
    </row>
    <row r="382" spans="1:29" x14ac:dyDescent="0.25">
      <c r="A382" t="s">
        <v>572</v>
      </c>
      <c r="B382" t="s">
        <v>254</v>
      </c>
      <c r="C382" t="s">
        <v>317</v>
      </c>
      <c r="D382" t="s">
        <v>3209</v>
      </c>
      <c r="E382" t="s">
        <v>3246</v>
      </c>
      <c r="F382">
        <v>20020221</v>
      </c>
      <c r="G382" t="s">
        <v>9334</v>
      </c>
      <c r="H382" t="s">
        <v>242</v>
      </c>
      <c r="I382" t="s">
        <v>242</v>
      </c>
      <c r="J382" t="s">
        <v>242</v>
      </c>
      <c r="K382" t="s">
        <v>241</v>
      </c>
      <c r="L382" t="s">
        <v>242</v>
      </c>
      <c r="M382">
        <v>39.302223079999997</v>
      </c>
      <c r="N382">
        <v>-123.2233636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 t="s">
        <v>9335</v>
      </c>
      <c r="AB382" t="s">
        <v>242</v>
      </c>
      <c r="AC382" t="s">
        <v>3213</v>
      </c>
    </row>
    <row r="383" spans="1:29" x14ac:dyDescent="0.25">
      <c r="A383" t="s">
        <v>1175</v>
      </c>
      <c r="B383" t="s">
        <v>254</v>
      </c>
      <c r="C383" t="s">
        <v>333</v>
      </c>
      <c r="D383" t="s">
        <v>3209</v>
      </c>
      <c r="E383" t="s">
        <v>3246</v>
      </c>
      <c r="F383">
        <v>19710930</v>
      </c>
      <c r="G383" t="s">
        <v>9332</v>
      </c>
      <c r="H383" t="s">
        <v>242</v>
      </c>
      <c r="I383" t="s">
        <v>242</v>
      </c>
      <c r="J383" t="s">
        <v>242</v>
      </c>
      <c r="K383" t="s">
        <v>241</v>
      </c>
      <c r="L383" t="s">
        <v>242</v>
      </c>
      <c r="M383">
        <v>39.054794999999999</v>
      </c>
      <c r="N383">
        <v>-123.22240909999999</v>
      </c>
      <c r="O383">
        <v>12</v>
      </c>
      <c r="P383">
        <v>20</v>
      </c>
      <c r="Q383">
        <v>10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7.9</v>
      </c>
      <c r="AA383" t="s">
        <v>9335</v>
      </c>
      <c r="AB383" t="s">
        <v>242</v>
      </c>
      <c r="AC383" t="s">
        <v>3213</v>
      </c>
    </row>
    <row r="384" spans="1:29" x14ac:dyDescent="0.25">
      <c r="A384" t="s">
        <v>1176</v>
      </c>
      <c r="B384" t="s">
        <v>254</v>
      </c>
      <c r="C384" t="s">
        <v>317</v>
      </c>
      <c r="D384" t="s">
        <v>3209</v>
      </c>
      <c r="E384" t="s">
        <v>3246</v>
      </c>
      <c r="F384">
        <v>19711013</v>
      </c>
      <c r="G384" t="s">
        <v>9332</v>
      </c>
      <c r="H384" t="s">
        <v>242</v>
      </c>
      <c r="I384" t="s">
        <v>242</v>
      </c>
      <c r="J384" t="s">
        <v>242</v>
      </c>
      <c r="K384" t="s">
        <v>241</v>
      </c>
      <c r="L384" t="s">
        <v>242</v>
      </c>
      <c r="M384">
        <v>39.259999749999999</v>
      </c>
      <c r="N384">
        <v>-123.2406146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 t="s">
        <v>9335</v>
      </c>
      <c r="AB384" t="s">
        <v>242</v>
      </c>
      <c r="AC384" t="s">
        <v>3213</v>
      </c>
    </row>
    <row r="385" spans="1:29" x14ac:dyDescent="0.25">
      <c r="A385" t="s">
        <v>1177</v>
      </c>
      <c r="B385" t="s">
        <v>254</v>
      </c>
      <c r="C385" t="s">
        <v>308</v>
      </c>
      <c r="D385" t="s">
        <v>3209</v>
      </c>
      <c r="E385" t="s">
        <v>3246</v>
      </c>
      <c r="F385">
        <v>19711021</v>
      </c>
      <c r="G385" t="s">
        <v>9338</v>
      </c>
      <c r="H385" t="s">
        <v>242</v>
      </c>
      <c r="I385" t="s">
        <v>242</v>
      </c>
      <c r="J385" t="s">
        <v>242</v>
      </c>
      <c r="K385" t="s">
        <v>241</v>
      </c>
      <c r="L385" t="s">
        <v>242</v>
      </c>
      <c r="M385">
        <v>38.641399999999997</v>
      </c>
      <c r="N385">
        <v>-122.7634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 t="s">
        <v>9335</v>
      </c>
      <c r="AB385" t="s">
        <v>242</v>
      </c>
      <c r="AC385" t="s">
        <v>3229</v>
      </c>
    </row>
    <row r="386" spans="1:29" x14ac:dyDescent="0.25">
      <c r="A386" t="s">
        <v>1184</v>
      </c>
      <c r="B386" t="s">
        <v>254</v>
      </c>
      <c r="C386" t="s">
        <v>348</v>
      </c>
      <c r="D386" t="s">
        <v>3209</v>
      </c>
      <c r="E386" t="s">
        <v>3246</v>
      </c>
      <c r="F386">
        <v>19711110</v>
      </c>
      <c r="G386" t="s">
        <v>9332</v>
      </c>
      <c r="H386" t="s">
        <v>242</v>
      </c>
      <c r="I386" t="s">
        <v>242</v>
      </c>
      <c r="J386" t="s">
        <v>242</v>
      </c>
      <c r="K386" t="s">
        <v>241</v>
      </c>
      <c r="L386" t="s">
        <v>242</v>
      </c>
      <c r="M386">
        <v>39.272913690000003</v>
      </c>
      <c r="N386">
        <v>-123.1025337</v>
      </c>
      <c r="O386">
        <v>0</v>
      </c>
      <c r="P386">
        <v>0</v>
      </c>
      <c r="Q386">
        <v>0</v>
      </c>
      <c r="R386">
        <v>0</v>
      </c>
      <c r="S386">
        <v>9.206667E-3</v>
      </c>
      <c r="T386">
        <v>0.03</v>
      </c>
      <c r="U386">
        <v>0.03</v>
      </c>
      <c r="V386">
        <v>0.03</v>
      </c>
      <c r="W386">
        <v>0.03</v>
      </c>
      <c r="X386">
        <v>0</v>
      </c>
      <c r="Y386">
        <v>0</v>
      </c>
      <c r="Z386">
        <v>0</v>
      </c>
      <c r="AA386" t="s">
        <v>9335</v>
      </c>
      <c r="AB386" t="s">
        <v>242</v>
      </c>
      <c r="AC386" t="s">
        <v>3213</v>
      </c>
    </row>
    <row r="387" spans="1:29" x14ac:dyDescent="0.25">
      <c r="A387" t="s">
        <v>1179</v>
      </c>
      <c r="B387" t="s">
        <v>254</v>
      </c>
      <c r="C387" t="s">
        <v>319</v>
      </c>
      <c r="D387" t="s">
        <v>3209</v>
      </c>
      <c r="E387" t="s">
        <v>3246</v>
      </c>
      <c r="F387">
        <v>19711122</v>
      </c>
      <c r="G387" t="s">
        <v>9334</v>
      </c>
      <c r="H387" t="s">
        <v>241</v>
      </c>
      <c r="I387" t="s">
        <v>242</v>
      </c>
      <c r="J387" t="s">
        <v>242</v>
      </c>
      <c r="K387" t="s">
        <v>241</v>
      </c>
      <c r="L387" t="s">
        <v>242</v>
      </c>
      <c r="M387">
        <v>38.986203809999999</v>
      </c>
      <c r="N387">
        <v>-123.1065253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0.04</v>
      </c>
      <c r="V387">
        <v>0</v>
      </c>
      <c r="W387">
        <v>0</v>
      </c>
      <c r="X387">
        <v>0</v>
      </c>
      <c r="Y387">
        <v>0</v>
      </c>
      <c r="Z387">
        <v>0</v>
      </c>
      <c r="AA387" t="s">
        <v>9335</v>
      </c>
      <c r="AB387" t="s">
        <v>242</v>
      </c>
      <c r="AC387" t="s">
        <v>3213</v>
      </c>
    </row>
    <row r="388" spans="1:29" x14ac:dyDescent="0.25">
      <c r="A388" t="s">
        <v>1180</v>
      </c>
      <c r="B388" t="s">
        <v>254</v>
      </c>
      <c r="C388" t="s">
        <v>319</v>
      </c>
      <c r="D388" t="s">
        <v>3209</v>
      </c>
      <c r="E388" t="s">
        <v>3246</v>
      </c>
      <c r="F388">
        <v>19711122</v>
      </c>
      <c r="G388" t="s">
        <v>9334</v>
      </c>
      <c r="H388" t="s">
        <v>241</v>
      </c>
      <c r="I388" t="s">
        <v>242</v>
      </c>
      <c r="J388" t="s">
        <v>242</v>
      </c>
      <c r="K388" t="s">
        <v>241</v>
      </c>
      <c r="L388" t="s">
        <v>242</v>
      </c>
      <c r="M388">
        <v>38.986699999999999</v>
      </c>
      <c r="N388">
        <v>-123.10680000000001</v>
      </c>
      <c r="O388">
        <v>0</v>
      </c>
      <c r="P388">
        <v>0</v>
      </c>
      <c r="Q388">
        <v>0.03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 t="s">
        <v>9335</v>
      </c>
      <c r="AB388" t="s">
        <v>242</v>
      </c>
      <c r="AC388" t="s">
        <v>3213</v>
      </c>
    </row>
    <row r="389" spans="1:29" x14ac:dyDescent="0.25">
      <c r="A389" t="s">
        <v>1181</v>
      </c>
      <c r="B389" t="s">
        <v>254</v>
      </c>
      <c r="C389" t="s">
        <v>317</v>
      </c>
      <c r="D389" t="s">
        <v>3209</v>
      </c>
      <c r="E389" t="s">
        <v>3246</v>
      </c>
      <c r="F389">
        <v>19711214</v>
      </c>
      <c r="G389" t="s">
        <v>9332</v>
      </c>
      <c r="H389" t="s">
        <v>242</v>
      </c>
      <c r="I389" t="s">
        <v>242</v>
      </c>
      <c r="J389" t="s">
        <v>242</v>
      </c>
      <c r="K389" t="s">
        <v>241</v>
      </c>
      <c r="L389" t="s">
        <v>242</v>
      </c>
      <c r="M389">
        <v>39.208928499999999</v>
      </c>
      <c r="N389">
        <v>-123.2008936</v>
      </c>
      <c r="O389">
        <v>2</v>
      </c>
      <c r="P389">
        <v>1.33</v>
      </c>
      <c r="Q389">
        <v>0</v>
      </c>
      <c r="R389">
        <v>3.2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 t="s">
        <v>9343</v>
      </c>
      <c r="AB389" t="s">
        <v>242</v>
      </c>
      <c r="AC389" t="s">
        <v>3213</v>
      </c>
    </row>
    <row r="390" spans="1:29" x14ac:dyDescent="0.25">
      <c r="A390" t="s">
        <v>1127</v>
      </c>
      <c r="B390" t="s">
        <v>254</v>
      </c>
      <c r="C390" t="s">
        <v>317</v>
      </c>
      <c r="D390" t="s">
        <v>3209</v>
      </c>
      <c r="E390" t="s">
        <v>3246</v>
      </c>
      <c r="F390">
        <v>19720331</v>
      </c>
      <c r="G390" t="s">
        <v>9332</v>
      </c>
      <c r="H390" t="s">
        <v>242</v>
      </c>
      <c r="I390" t="s">
        <v>242</v>
      </c>
      <c r="J390" t="s">
        <v>242</v>
      </c>
      <c r="K390" t="s">
        <v>241</v>
      </c>
      <c r="L390" t="s">
        <v>242</v>
      </c>
      <c r="M390">
        <v>39.272100000000002</v>
      </c>
      <c r="N390">
        <v>-123.17059999999999</v>
      </c>
      <c r="O390">
        <v>0</v>
      </c>
      <c r="P390">
        <v>0</v>
      </c>
      <c r="Q390">
        <v>0.01</v>
      </c>
      <c r="R390">
        <v>0.65</v>
      </c>
      <c r="S390">
        <v>0.13</v>
      </c>
      <c r="T390">
        <v>1.33</v>
      </c>
      <c r="U390">
        <v>2.2200000000000002</v>
      </c>
      <c r="V390">
        <v>1.85</v>
      </c>
      <c r="W390">
        <v>0</v>
      </c>
      <c r="X390">
        <v>0</v>
      </c>
      <c r="Y390">
        <v>0</v>
      </c>
      <c r="Z390">
        <v>0</v>
      </c>
      <c r="AA390" t="s">
        <v>9335</v>
      </c>
      <c r="AB390" t="s">
        <v>242</v>
      </c>
      <c r="AC390" t="s">
        <v>3213</v>
      </c>
    </row>
    <row r="391" spans="1:29" x14ac:dyDescent="0.25">
      <c r="A391" t="s">
        <v>1128</v>
      </c>
      <c r="B391" t="s">
        <v>254</v>
      </c>
      <c r="C391" t="s">
        <v>333</v>
      </c>
      <c r="D391" t="s">
        <v>3209</v>
      </c>
      <c r="E391" t="s">
        <v>3246</v>
      </c>
      <c r="F391">
        <v>19720331</v>
      </c>
      <c r="G391" t="s">
        <v>9334</v>
      </c>
      <c r="H391" t="s">
        <v>241</v>
      </c>
      <c r="I391" t="s">
        <v>242</v>
      </c>
      <c r="J391" t="s">
        <v>242</v>
      </c>
      <c r="K391" t="s">
        <v>241</v>
      </c>
      <c r="L391" t="s">
        <v>242</v>
      </c>
      <c r="M391">
        <v>39.076900000000002</v>
      </c>
      <c r="N391">
        <v>-123.1628</v>
      </c>
      <c r="O391">
        <v>0</v>
      </c>
      <c r="P391">
        <v>0</v>
      </c>
      <c r="Q391">
        <v>0</v>
      </c>
      <c r="R391">
        <v>0.52</v>
      </c>
      <c r="S391">
        <v>1.1599999999999999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 t="s">
        <v>9343</v>
      </c>
      <c r="AB391" t="s">
        <v>242</v>
      </c>
      <c r="AC391" t="s">
        <v>3213</v>
      </c>
    </row>
    <row r="392" spans="1:29" x14ac:dyDescent="0.25">
      <c r="A392" t="s">
        <v>1129</v>
      </c>
      <c r="B392" t="s">
        <v>254</v>
      </c>
      <c r="C392" t="s">
        <v>333</v>
      </c>
      <c r="D392" t="s">
        <v>3209</v>
      </c>
      <c r="E392" t="s">
        <v>3246</v>
      </c>
      <c r="F392">
        <v>19720403</v>
      </c>
      <c r="G392" t="s">
        <v>9332</v>
      </c>
      <c r="H392" t="s">
        <v>241</v>
      </c>
      <c r="I392" t="s">
        <v>242</v>
      </c>
      <c r="J392" t="s">
        <v>242</v>
      </c>
      <c r="K392" t="s">
        <v>241</v>
      </c>
      <c r="L392" t="s">
        <v>242</v>
      </c>
      <c r="M392">
        <v>39.102828219999999</v>
      </c>
      <c r="N392">
        <v>-123.1785352</v>
      </c>
      <c r="O392">
        <v>0</v>
      </c>
      <c r="P392">
        <v>0</v>
      </c>
      <c r="Q392">
        <v>0.45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 t="s">
        <v>9343</v>
      </c>
      <c r="AB392" t="s">
        <v>242</v>
      </c>
      <c r="AC392" t="s">
        <v>3213</v>
      </c>
    </row>
    <row r="393" spans="1:29" x14ac:dyDescent="0.25">
      <c r="A393" t="s">
        <v>1130</v>
      </c>
      <c r="B393" t="s">
        <v>254</v>
      </c>
      <c r="C393" t="s">
        <v>311</v>
      </c>
      <c r="D393" t="s">
        <v>3209</v>
      </c>
      <c r="E393" t="s">
        <v>3246</v>
      </c>
      <c r="F393">
        <v>19720404</v>
      </c>
      <c r="G393" t="s">
        <v>9332</v>
      </c>
      <c r="H393" t="s">
        <v>242</v>
      </c>
      <c r="I393" t="s">
        <v>242</v>
      </c>
      <c r="J393" t="s">
        <v>242</v>
      </c>
      <c r="K393" t="s">
        <v>241</v>
      </c>
      <c r="L393" t="s">
        <v>242</v>
      </c>
      <c r="M393">
        <v>38.590503099999999</v>
      </c>
      <c r="N393">
        <v>-122.6777281</v>
      </c>
      <c r="O393">
        <v>23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 t="s">
        <v>9335</v>
      </c>
      <c r="AB393" t="s">
        <v>242</v>
      </c>
      <c r="AC393" t="s">
        <v>3229</v>
      </c>
    </row>
    <row r="394" spans="1:29" x14ac:dyDescent="0.25">
      <c r="A394" t="s">
        <v>1131</v>
      </c>
      <c r="B394" t="s">
        <v>254</v>
      </c>
      <c r="C394" t="s">
        <v>317</v>
      </c>
      <c r="D394" t="s">
        <v>3209</v>
      </c>
      <c r="E394" t="s">
        <v>3246</v>
      </c>
      <c r="F394">
        <v>19720410</v>
      </c>
      <c r="G394" t="s">
        <v>9332</v>
      </c>
      <c r="H394" t="s">
        <v>242</v>
      </c>
      <c r="I394" t="s">
        <v>242</v>
      </c>
      <c r="J394" t="s">
        <v>242</v>
      </c>
      <c r="K394" t="s">
        <v>241</v>
      </c>
      <c r="L394" t="s">
        <v>242</v>
      </c>
      <c r="M394">
        <v>39.270055339999999</v>
      </c>
      <c r="N394">
        <v>-123.1978696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 t="s">
        <v>9335</v>
      </c>
      <c r="AB394" t="s">
        <v>242</v>
      </c>
      <c r="AC394" t="s">
        <v>3213</v>
      </c>
    </row>
    <row r="395" spans="1:29" x14ac:dyDescent="0.25">
      <c r="A395" t="s">
        <v>1132</v>
      </c>
      <c r="B395" t="s">
        <v>254</v>
      </c>
      <c r="C395" t="s">
        <v>317</v>
      </c>
      <c r="D395" t="s">
        <v>3209</v>
      </c>
      <c r="E395" t="s">
        <v>3246</v>
      </c>
      <c r="F395">
        <v>19720412</v>
      </c>
      <c r="G395" t="s">
        <v>9334</v>
      </c>
      <c r="H395" t="s">
        <v>242</v>
      </c>
      <c r="I395" t="s">
        <v>242</v>
      </c>
      <c r="J395" t="s">
        <v>242</v>
      </c>
      <c r="K395" t="s">
        <v>241</v>
      </c>
      <c r="L395" t="s">
        <v>242</v>
      </c>
      <c r="M395">
        <v>39.217100000000002</v>
      </c>
      <c r="N395">
        <v>-123.21599999999999</v>
      </c>
      <c r="O395">
        <v>22.33</v>
      </c>
      <c r="P395">
        <v>3.66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6</v>
      </c>
      <c r="AA395" t="s">
        <v>9335</v>
      </c>
      <c r="AB395" t="s">
        <v>242</v>
      </c>
      <c r="AC395" t="s">
        <v>3213</v>
      </c>
    </row>
    <row r="396" spans="1:29" x14ac:dyDescent="0.25">
      <c r="A396" t="s">
        <v>1133</v>
      </c>
      <c r="B396" t="s">
        <v>254</v>
      </c>
      <c r="C396" t="s">
        <v>317</v>
      </c>
      <c r="D396" t="s">
        <v>3209</v>
      </c>
      <c r="E396" t="s">
        <v>3246</v>
      </c>
      <c r="F396">
        <v>19720414</v>
      </c>
      <c r="G396" t="s">
        <v>9332</v>
      </c>
      <c r="H396" t="s">
        <v>242</v>
      </c>
      <c r="I396" t="s">
        <v>242</v>
      </c>
      <c r="J396" t="s">
        <v>242</v>
      </c>
      <c r="K396" t="s">
        <v>241</v>
      </c>
      <c r="L396" t="s">
        <v>242</v>
      </c>
      <c r="M396">
        <v>39.264105479999998</v>
      </c>
      <c r="N396">
        <v>-123.18893780000001</v>
      </c>
      <c r="O396">
        <v>3.65</v>
      </c>
      <c r="P396">
        <v>4.62</v>
      </c>
      <c r="Q396">
        <v>2.15</v>
      </c>
      <c r="R396">
        <v>1.46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0.49</v>
      </c>
      <c r="Z396">
        <v>0.46</v>
      </c>
      <c r="AA396" t="s">
        <v>9335</v>
      </c>
      <c r="AB396" t="s">
        <v>242</v>
      </c>
      <c r="AC396" t="s">
        <v>3213</v>
      </c>
    </row>
    <row r="397" spans="1:29" x14ac:dyDescent="0.25">
      <c r="A397" t="s">
        <v>1134</v>
      </c>
      <c r="B397" t="s">
        <v>254</v>
      </c>
      <c r="C397" t="s">
        <v>319</v>
      </c>
      <c r="D397" t="s">
        <v>3209</v>
      </c>
      <c r="E397" t="s">
        <v>3246</v>
      </c>
      <c r="F397">
        <v>19720419</v>
      </c>
      <c r="G397" t="s">
        <v>9334</v>
      </c>
      <c r="H397" t="s">
        <v>241</v>
      </c>
      <c r="I397" t="s">
        <v>242</v>
      </c>
      <c r="J397" t="s">
        <v>242</v>
      </c>
      <c r="K397" t="s">
        <v>241</v>
      </c>
      <c r="L397" t="s">
        <v>242</v>
      </c>
      <c r="M397">
        <v>39.021674830000002</v>
      </c>
      <c r="N397">
        <v>-123.1301359</v>
      </c>
      <c r="O397">
        <v>0</v>
      </c>
      <c r="P397">
        <v>0</v>
      </c>
      <c r="Q397">
        <v>0</v>
      </c>
      <c r="R397">
        <v>7.0000000000000007E-2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 t="s">
        <v>9343</v>
      </c>
      <c r="AB397" t="s">
        <v>242</v>
      </c>
      <c r="AC397" t="s">
        <v>3213</v>
      </c>
    </row>
    <row r="398" spans="1:29" x14ac:dyDescent="0.25">
      <c r="A398" t="s">
        <v>73</v>
      </c>
      <c r="B398" t="s">
        <v>254</v>
      </c>
      <c r="C398" t="s">
        <v>311</v>
      </c>
      <c r="D398" t="s">
        <v>3209</v>
      </c>
      <c r="E398" t="s">
        <v>3246</v>
      </c>
      <c r="F398">
        <v>19720424</v>
      </c>
      <c r="G398" t="s">
        <v>9332</v>
      </c>
      <c r="H398" t="s">
        <v>241</v>
      </c>
      <c r="I398" t="s">
        <v>242</v>
      </c>
      <c r="J398" t="s">
        <v>242</v>
      </c>
      <c r="K398" t="s">
        <v>241</v>
      </c>
      <c r="L398" t="s">
        <v>242</v>
      </c>
      <c r="M398">
        <v>38.606192669999999</v>
      </c>
      <c r="N398">
        <v>-122.78111490000001</v>
      </c>
      <c r="O398">
        <v>0</v>
      </c>
      <c r="P398">
        <v>0</v>
      </c>
      <c r="Q398">
        <v>0</v>
      </c>
      <c r="R398">
        <v>0</v>
      </c>
      <c r="S398">
        <v>3.89</v>
      </c>
      <c r="T398">
        <v>2.63</v>
      </c>
      <c r="U398">
        <v>13.81</v>
      </c>
      <c r="V398">
        <v>13.34</v>
      </c>
      <c r="W398">
        <v>7.01</v>
      </c>
      <c r="X398">
        <v>4.8499999999999996</v>
      </c>
      <c r="Y398">
        <v>11.24</v>
      </c>
      <c r="Z398">
        <v>0</v>
      </c>
      <c r="AA398" t="s">
        <v>9335</v>
      </c>
      <c r="AB398" t="s">
        <v>242</v>
      </c>
      <c r="AC398" t="s">
        <v>3229</v>
      </c>
    </row>
    <row r="399" spans="1:29" x14ac:dyDescent="0.25">
      <c r="A399" t="s">
        <v>1135</v>
      </c>
      <c r="B399" t="s">
        <v>254</v>
      </c>
      <c r="C399" t="s">
        <v>333</v>
      </c>
      <c r="D399" t="s">
        <v>3209</v>
      </c>
      <c r="E399" t="s">
        <v>3246</v>
      </c>
      <c r="F399">
        <v>19720427</v>
      </c>
      <c r="G399" t="s">
        <v>9332</v>
      </c>
      <c r="H399" t="s">
        <v>242</v>
      </c>
      <c r="I399" t="s">
        <v>242</v>
      </c>
      <c r="J399" t="s">
        <v>242</v>
      </c>
      <c r="K399" t="s">
        <v>241</v>
      </c>
      <c r="L399" t="s">
        <v>242</v>
      </c>
      <c r="M399">
        <v>39.122437050000002</v>
      </c>
      <c r="N399">
        <v>-123.1595923</v>
      </c>
      <c r="O399">
        <v>2.08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1.33</v>
      </c>
      <c r="Z399">
        <v>2.04</v>
      </c>
      <c r="AA399" t="s">
        <v>9335</v>
      </c>
      <c r="AB399" t="s">
        <v>242</v>
      </c>
      <c r="AC399" t="s">
        <v>3213</v>
      </c>
    </row>
    <row r="400" spans="1:29" x14ac:dyDescent="0.25">
      <c r="A400" t="s">
        <v>1136</v>
      </c>
      <c r="B400" t="s">
        <v>254</v>
      </c>
      <c r="C400" t="s">
        <v>317</v>
      </c>
      <c r="D400" t="s">
        <v>3209</v>
      </c>
      <c r="E400" t="s">
        <v>3246</v>
      </c>
      <c r="F400">
        <v>19720501</v>
      </c>
      <c r="G400" t="s">
        <v>9332</v>
      </c>
      <c r="H400" t="s">
        <v>242</v>
      </c>
      <c r="I400" t="s">
        <v>242</v>
      </c>
      <c r="J400" t="s">
        <v>242</v>
      </c>
      <c r="K400" t="s">
        <v>241</v>
      </c>
      <c r="L400" t="s">
        <v>242</v>
      </c>
      <c r="M400">
        <v>39.276773409999997</v>
      </c>
      <c r="N400">
        <v>-123.2121154</v>
      </c>
      <c r="O400">
        <v>10.33</v>
      </c>
      <c r="P400">
        <v>10.33</v>
      </c>
      <c r="Q400">
        <v>9</v>
      </c>
      <c r="R400">
        <v>6</v>
      </c>
      <c r="S400">
        <v>3.33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 t="s">
        <v>9335</v>
      </c>
      <c r="AB400" t="s">
        <v>242</v>
      </c>
      <c r="AC400" t="s">
        <v>3213</v>
      </c>
    </row>
    <row r="401" spans="1:29" x14ac:dyDescent="0.25">
      <c r="A401" t="s">
        <v>1137</v>
      </c>
      <c r="B401" t="s">
        <v>254</v>
      </c>
      <c r="C401" t="s">
        <v>311</v>
      </c>
      <c r="D401" t="s">
        <v>3209</v>
      </c>
      <c r="E401" t="s">
        <v>3246</v>
      </c>
      <c r="F401">
        <v>19720623</v>
      </c>
      <c r="G401" t="s">
        <v>9332</v>
      </c>
      <c r="H401" t="s">
        <v>241</v>
      </c>
      <c r="I401" t="s">
        <v>242</v>
      </c>
      <c r="J401" t="s">
        <v>242</v>
      </c>
      <c r="K401" t="s">
        <v>241</v>
      </c>
      <c r="L401" t="s">
        <v>242</v>
      </c>
      <c r="M401">
        <v>38.623763500000003</v>
      </c>
      <c r="N401">
        <v>-122.7816574</v>
      </c>
      <c r="O401">
        <v>0</v>
      </c>
      <c r="P401">
        <v>0.17</v>
      </c>
      <c r="Q401">
        <v>0.39</v>
      </c>
      <c r="R401">
        <v>0.24</v>
      </c>
      <c r="S401">
        <v>0.02</v>
      </c>
      <c r="T401">
        <v>0.05</v>
      </c>
      <c r="U401">
        <v>0.16</v>
      </c>
      <c r="V401">
        <v>0.24</v>
      </c>
      <c r="W401">
        <v>0.31</v>
      </c>
      <c r="X401">
        <v>0.09</v>
      </c>
      <c r="Y401">
        <v>0</v>
      </c>
      <c r="Z401">
        <v>0</v>
      </c>
      <c r="AA401" t="s">
        <v>9335</v>
      </c>
      <c r="AB401" t="s">
        <v>242</v>
      </c>
      <c r="AC401" t="s">
        <v>3229</v>
      </c>
    </row>
    <row r="402" spans="1:29" x14ac:dyDescent="0.25">
      <c r="A402" t="s">
        <v>1138</v>
      </c>
      <c r="B402" t="s">
        <v>254</v>
      </c>
      <c r="C402" t="s">
        <v>317</v>
      </c>
      <c r="D402" t="s">
        <v>3209</v>
      </c>
      <c r="E402" t="s">
        <v>3246</v>
      </c>
      <c r="F402">
        <v>19720630</v>
      </c>
      <c r="G402" t="s">
        <v>9332</v>
      </c>
      <c r="H402" t="s">
        <v>242</v>
      </c>
      <c r="I402" t="s">
        <v>242</v>
      </c>
      <c r="J402" t="s">
        <v>242</v>
      </c>
      <c r="K402" t="s">
        <v>241</v>
      </c>
      <c r="L402" t="s">
        <v>242</v>
      </c>
      <c r="M402">
        <v>39.279660999999997</v>
      </c>
      <c r="N402">
        <v>-123.22488420000001</v>
      </c>
      <c r="O402">
        <v>2</v>
      </c>
      <c r="P402">
        <v>2</v>
      </c>
      <c r="Q402">
        <v>1</v>
      </c>
      <c r="R402">
        <v>1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1</v>
      </c>
      <c r="AA402" t="s">
        <v>9335</v>
      </c>
      <c r="AB402" t="s">
        <v>242</v>
      </c>
      <c r="AC402" t="s">
        <v>3213</v>
      </c>
    </row>
    <row r="403" spans="1:29" x14ac:dyDescent="0.25">
      <c r="A403" t="s">
        <v>1139</v>
      </c>
      <c r="B403" t="s">
        <v>254</v>
      </c>
      <c r="C403" t="s">
        <v>317</v>
      </c>
      <c r="D403" t="s">
        <v>3209</v>
      </c>
      <c r="E403" t="s">
        <v>3246</v>
      </c>
      <c r="F403">
        <v>19720724</v>
      </c>
      <c r="G403" t="s">
        <v>9332</v>
      </c>
      <c r="H403" t="s">
        <v>242</v>
      </c>
      <c r="I403" t="s">
        <v>242</v>
      </c>
      <c r="J403" t="s">
        <v>242</v>
      </c>
      <c r="K403" t="s">
        <v>241</v>
      </c>
      <c r="L403" t="s">
        <v>242</v>
      </c>
      <c r="M403">
        <v>39.292021939999998</v>
      </c>
      <c r="N403">
        <v>-123.1978888</v>
      </c>
      <c r="O403">
        <v>4.33</v>
      </c>
      <c r="P403">
        <v>4</v>
      </c>
      <c r="Q403">
        <v>4.33</v>
      </c>
      <c r="R403">
        <v>3.33</v>
      </c>
      <c r="S403">
        <v>1.66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2.66</v>
      </c>
      <c r="AA403" t="s">
        <v>9335</v>
      </c>
      <c r="AB403" t="s">
        <v>242</v>
      </c>
      <c r="AC403" t="s">
        <v>3213</v>
      </c>
    </row>
    <row r="404" spans="1:29" x14ac:dyDescent="0.25">
      <c r="A404" t="s">
        <v>1140</v>
      </c>
      <c r="B404" t="s">
        <v>254</v>
      </c>
      <c r="C404" t="s">
        <v>317</v>
      </c>
      <c r="D404" t="s">
        <v>3209</v>
      </c>
      <c r="E404" t="s">
        <v>3246</v>
      </c>
      <c r="F404">
        <v>19720727</v>
      </c>
      <c r="G404" t="s">
        <v>9334</v>
      </c>
      <c r="H404" t="s">
        <v>242</v>
      </c>
      <c r="I404" t="s">
        <v>242</v>
      </c>
      <c r="J404" t="s">
        <v>242</v>
      </c>
      <c r="K404" t="s">
        <v>241</v>
      </c>
      <c r="L404" t="s">
        <v>242</v>
      </c>
      <c r="M404">
        <v>39.210299999999997</v>
      </c>
      <c r="N404">
        <v>-123.2131</v>
      </c>
      <c r="O404">
        <v>19.329999999999998</v>
      </c>
      <c r="P404">
        <v>9.66</v>
      </c>
      <c r="Q404">
        <v>4.33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3.33</v>
      </c>
      <c r="AA404" t="s">
        <v>9335</v>
      </c>
      <c r="AB404" t="s">
        <v>242</v>
      </c>
      <c r="AC404" t="s">
        <v>3213</v>
      </c>
    </row>
    <row r="405" spans="1:29" x14ac:dyDescent="0.25">
      <c r="A405" t="s">
        <v>1141</v>
      </c>
      <c r="B405" t="s">
        <v>254</v>
      </c>
      <c r="C405" t="s">
        <v>333</v>
      </c>
      <c r="D405" t="s">
        <v>3209</v>
      </c>
      <c r="E405" t="s">
        <v>3246</v>
      </c>
      <c r="F405">
        <v>19720808</v>
      </c>
      <c r="G405" t="s">
        <v>9332</v>
      </c>
      <c r="H405" t="s">
        <v>242</v>
      </c>
      <c r="I405" t="s">
        <v>242</v>
      </c>
      <c r="J405" t="s">
        <v>242</v>
      </c>
      <c r="K405" t="s">
        <v>241</v>
      </c>
      <c r="L405" t="s">
        <v>242</v>
      </c>
      <c r="M405">
        <v>39.044998040000003</v>
      </c>
      <c r="N405">
        <v>-123.1599111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 t="s">
        <v>9335</v>
      </c>
      <c r="AB405" t="s">
        <v>242</v>
      </c>
      <c r="AC405" t="s">
        <v>3213</v>
      </c>
    </row>
    <row r="406" spans="1:29" x14ac:dyDescent="0.25">
      <c r="A406" t="s">
        <v>75</v>
      </c>
      <c r="B406" t="s">
        <v>254</v>
      </c>
      <c r="C406" t="s">
        <v>333</v>
      </c>
      <c r="D406" t="s">
        <v>3209</v>
      </c>
      <c r="E406" t="s">
        <v>3226</v>
      </c>
      <c r="F406">
        <v>19720808</v>
      </c>
      <c r="G406" t="s">
        <v>9332</v>
      </c>
      <c r="H406" t="s">
        <v>241</v>
      </c>
      <c r="I406" t="s">
        <v>242</v>
      </c>
      <c r="J406" t="s">
        <v>242</v>
      </c>
      <c r="K406" t="s">
        <v>241</v>
      </c>
      <c r="L406" t="s">
        <v>242</v>
      </c>
      <c r="M406">
        <v>39.059235970000003</v>
      </c>
      <c r="N406">
        <v>-123.14483009999999</v>
      </c>
      <c r="O406">
        <v>0.83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29.3</v>
      </c>
      <c r="Z406">
        <v>7.3</v>
      </c>
      <c r="AA406" t="s">
        <v>9335</v>
      </c>
      <c r="AB406" t="s">
        <v>242</v>
      </c>
      <c r="AC406" t="s">
        <v>3213</v>
      </c>
    </row>
    <row r="407" spans="1:29" x14ac:dyDescent="0.25">
      <c r="A407" t="s">
        <v>1142</v>
      </c>
      <c r="B407" t="s">
        <v>254</v>
      </c>
      <c r="C407" t="s">
        <v>319</v>
      </c>
      <c r="D407" t="s">
        <v>3209</v>
      </c>
      <c r="E407" t="s">
        <v>3226</v>
      </c>
      <c r="F407">
        <v>19720808</v>
      </c>
      <c r="G407" t="s">
        <v>9334</v>
      </c>
      <c r="H407" t="s">
        <v>241</v>
      </c>
      <c r="I407" t="s">
        <v>242</v>
      </c>
      <c r="J407" t="s">
        <v>242</v>
      </c>
      <c r="K407" t="s">
        <v>241</v>
      </c>
      <c r="L407" t="s">
        <v>242</v>
      </c>
      <c r="M407">
        <v>38.955800000000004</v>
      </c>
      <c r="N407">
        <v>-123.10290000000001</v>
      </c>
      <c r="O407">
        <v>0</v>
      </c>
      <c r="P407">
        <v>0</v>
      </c>
      <c r="Q407">
        <v>0.64</v>
      </c>
      <c r="R407">
        <v>0.24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 t="s">
        <v>9343</v>
      </c>
      <c r="AB407" t="s">
        <v>242</v>
      </c>
      <c r="AC407" t="s">
        <v>3213</v>
      </c>
    </row>
    <row r="408" spans="1:29" x14ac:dyDescent="0.25">
      <c r="A408" t="s">
        <v>1156</v>
      </c>
      <c r="B408" t="s">
        <v>254</v>
      </c>
      <c r="C408" t="s">
        <v>348</v>
      </c>
      <c r="D408" t="s">
        <v>3209</v>
      </c>
      <c r="E408" t="s">
        <v>3246</v>
      </c>
      <c r="F408">
        <v>19720825</v>
      </c>
      <c r="G408" t="s">
        <v>9332</v>
      </c>
      <c r="H408" t="s">
        <v>242</v>
      </c>
      <c r="I408" t="s">
        <v>242</v>
      </c>
      <c r="J408" t="s">
        <v>242</v>
      </c>
      <c r="K408" t="s">
        <v>241</v>
      </c>
      <c r="L408" t="s">
        <v>242</v>
      </c>
      <c r="M408">
        <v>39.263780400000002</v>
      </c>
      <c r="N408">
        <v>-123.1101621</v>
      </c>
      <c r="O408">
        <v>0</v>
      </c>
      <c r="P408">
        <v>0</v>
      </c>
      <c r="Q408">
        <v>0</v>
      </c>
      <c r="R408">
        <v>0</v>
      </c>
      <c r="S408">
        <v>0.47</v>
      </c>
      <c r="T408">
        <v>0.75</v>
      </c>
      <c r="U408">
        <v>0.91</v>
      </c>
      <c r="V408">
        <v>0.74</v>
      </c>
      <c r="W408">
        <v>0.4</v>
      </c>
      <c r="X408">
        <v>0.19</v>
      </c>
      <c r="Y408">
        <v>0</v>
      </c>
      <c r="Z408">
        <v>0</v>
      </c>
      <c r="AA408" t="s">
        <v>9335</v>
      </c>
      <c r="AB408" t="s">
        <v>242</v>
      </c>
      <c r="AC408" t="s">
        <v>3213</v>
      </c>
    </row>
    <row r="409" spans="1:29" x14ac:dyDescent="0.25">
      <c r="A409" t="s">
        <v>1157</v>
      </c>
      <c r="B409" t="s">
        <v>254</v>
      </c>
      <c r="C409" t="s">
        <v>348</v>
      </c>
      <c r="D409" t="s">
        <v>3209</v>
      </c>
      <c r="E409" t="s">
        <v>3246</v>
      </c>
      <c r="F409">
        <v>19720908</v>
      </c>
      <c r="G409" t="s">
        <v>9332</v>
      </c>
      <c r="H409" t="s">
        <v>242</v>
      </c>
      <c r="I409" t="s">
        <v>242</v>
      </c>
      <c r="J409" t="s">
        <v>242</v>
      </c>
      <c r="K409" t="s">
        <v>241</v>
      </c>
      <c r="L409" t="s">
        <v>242</v>
      </c>
      <c r="M409">
        <v>39.231642090000001</v>
      </c>
      <c r="N409">
        <v>-123.11142289999999</v>
      </c>
      <c r="O409">
        <v>0.26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 t="s">
        <v>9341</v>
      </c>
      <c r="AB409" t="s">
        <v>242</v>
      </c>
      <c r="AC409" t="s">
        <v>3213</v>
      </c>
    </row>
    <row r="410" spans="1:29" x14ac:dyDescent="0.25">
      <c r="A410" t="s">
        <v>1143</v>
      </c>
      <c r="B410" t="s">
        <v>254</v>
      </c>
      <c r="C410" t="s">
        <v>354</v>
      </c>
      <c r="D410" t="s">
        <v>3209</v>
      </c>
      <c r="E410" t="s">
        <v>3246</v>
      </c>
      <c r="F410">
        <v>19721011</v>
      </c>
      <c r="G410" t="s">
        <v>9332</v>
      </c>
      <c r="H410" t="s">
        <v>242</v>
      </c>
      <c r="I410" t="s">
        <v>242</v>
      </c>
      <c r="J410" t="s">
        <v>242</v>
      </c>
      <c r="K410" t="s">
        <v>241</v>
      </c>
      <c r="L410" t="s">
        <v>242</v>
      </c>
      <c r="M410">
        <v>38.762519930000003</v>
      </c>
      <c r="N410">
        <v>-123.0034412</v>
      </c>
      <c r="O410">
        <v>0</v>
      </c>
      <c r="P410">
        <v>0</v>
      </c>
      <c r="Q410">
        <v>0</v>
      </c>
      <c r="R410">
        <v>1.2300000000000001E-4</v>
      </c>
      <c r="S410">
        <v>1.5300000000000001E-4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 t="s">
        <v>9335</v>
      </c>
      <c r="AB410" t="s">
        <v>242</v>
      </c>
      <c r="AC410" t="s">
        <v>3229</v>
      </c>
    </row>
    <row r="411" spans="1:29" x14ac:dyDescent="0.25">
      <c r="A411" t="s">
        <v>1125</v>
      </c>
      <c r="B411" t="s">
        <v>254</v>
      </c>
      <c r="C411" t="s">
        <v>348</v>
      </c>
      <c r="D411" t="s">
        <v>3209</v>
      </c>
      <c r="E411" t="s">
        <v>3226</v>
      </c>
      <c r="F411">
        <v>19721017</v>
      </c>
      <c r="G411" t="s">
        <v>9332</v>
      </c>
      <c r="H411" t="s">
        <v>242</v>
      </c>
      <c r="I411" t="s">
        <v>242</v>
      </c>
      <c r="J411" t="s">
        <v>242</v>
      </c>
      <c r="K411" t="s">
        <v>241</v>
      </c>
      <c r="L411" t="s">
        <v>242</v>
      </c>
      <c r="M411">
        <v>39.359154420000003</v>
      </c>
      <c r="N411">
        <v>-123.1289946</v>
      </c>
      <c r="O411">
        <v>0</v>
      </c>
      <c r="P411">
        <v>0</v>
      </c>
      <c r="Q411">
        <v>8.16</v>
      </c>
      <c r="R411">
        <v>5</v>
      </c>
      <c r="S411">
        <v>5.76</v>
      </c>
      <c r="T411">
        <v>8.83</v>
      </c>
      <c r="U411">
        <v>14.34</v>
      </c>
      <c r="V411">
        <v>3.64</v>
      </c>
      <c r="W411">
        <v>3.51</v>
      </c>
      <c r="X411">
        <v>13.46</v>
      </c>
      <c r="Y411">
        <v>0</v>
      </c>
      <c r="Z411">
        <v>0</v>
      </c>
      <c r="AA411" t="s">
        <v>9335</v>
      </c>
      <c r="AB411" t="s">
        <v>242</v>
      </c>
      <c r="AC411" t="s">
        <v>3213</v>
      </c>
    </row>
    <row r="412" spans="1:29" x14ac:dyDescent="0.25">
      <c r="A412" t="s">
        <v>1124</v>
      </c>
      <c r="B412" t="s">
        <v>254</v>
      </c>
      <c r="C412" t="s">
        <v>348</v>
      </c>
      <c r="D412" t="s">
        <v>3209</v>
      </c>
      <c r="E412" t="s">
        <v>3226</v>
      </c>
      <c r="F412">
        <v>19721017</v>
      </c>
      <c r="G412" t="s">
        <v>9332</v>
      </c>
      <c r="H412" t="s">
        <v>242</v>
      </c>
      <c r="I412" t="s">
        <v>242</v>
      </c>
      <c r="J412" t="s">
        <v>242</v>
      </c>
      <c r="K412" t="s">
        <v>241</v>
      </c>
      <c r="L412" t="s">
        <v>242</v>
      </c>
      <c r="M412">
        <v>39.359154420000003</v>
      </c>
      <c r="N412">
        <v>-123.1289946</v>
      </c>
      <c r="O412">
        <v>0</v>
      </c>
      <c r="P412">
        <v>0</v>
      </c>
      <c r="Q412">
        <v>4.16</v>
      </c>
      <c r="R412">
        <v>3.83</v>
      </c>
      <c r="S412">
        <v>6.6</v>
      </c>
      <c r="T412">
        <v>21.16</v>
      </c>
      <c r="U412">
        <v>22.51</v>
      </c>
      <c r="V412">
        <v>14.27</v>
      </c>
      <c r="W412">
        <v>10.81</v>
      </c>
      <c r="X412">
        <v>17.3</v>
      </c>
      <c r="Y412">
        <v>0</v>
      </c>
      <c r="Z412">
        <v>0</v>
      </c>
      <c r="AA412" t="s">
        <v>9343</v>
      </c>
      <c r="AB412" t="s">
        <v>242</v>
      </c>
      <c r="AC412" t="s">
        <v>3213</v>
      </c>
    </row>
    <row r="413" spans="1:29" x14ac:dyDescent="0.25">
      <c r="A413" t="s">
        <v>1145</v>
      </c>
      <c r="B413" t="s">
        <v>254</v>
      </c>
      <c r="C413" t="s">
        <v>354</v>
      </c>
      <c r="D413" t="s">
        <v>3209</v>
      </c>
      <c r="E413" t="s">
        <v>3246</v>
      </c>
      <c r="F413">
        <v>19721221</v>
      </c>
      <c r="G413" t="s">
        <v>9332</v>
      </c>
      <c r="H413" t="s">
        <v>241</v>
      </c>
      <c r="I413" t="s">
        <v>242</v>
      </c>
      <c r="J413" t="s">
        <v>242</v>
      </c>
      <c r="K413" t="s">
        <v>241</v>
      </c>
      <c r="L413" t="s">
        <v>242</v>
      </c>
      <c r="M413">
        <v>38.722099999999998</v>
      </c>
      <c r="N413">
        <v>-122.9051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2.15</v>
      </c>
      <c r="U413">
        <v>2.15</v>
      </c>
      <c r="V413">
        <v>2.16</v>
      </c>
      <c r="W413">
        <v>2.16</v>
      </c>
      <c r="X413">
        <v>0</v>
      </c>
      <c r="Y413">
        <v>0</v>
      </c>
      <c r="Z413">
        <v>0</v>
      </c>
      <c r="AA413" t="s">
        <v>9335</v>
      </c>
      <c r="AB413" t="s">
        <v>242</v>
      </c>
      <c r="AC413" t="s">
        <v>3229</v>
      </c>
    </row>
    <row r="414" spans="1:29" x14ac:dyDescent="0.25">
      <c r="A414" t="s">
        <v>1146</v>
      </c>
      <c r="B414" t="s">
        <v>254</v>
      </c>
      <c r="C414" t="s">
        <v>354</v>
      </c>
      <c r="D414" t="s">
        <v>3209</v>
      </c>
      <c r="E414" t="s">
        <v>3226</v>
      </c>
      <c r="F414">
        <v>19721221</v>
      </c>
      <c r="G414" t="s">
        <v>9332</v>
      </c>
      <c r="H414" t="s">
        <v>241</v>
      </c>
      <c r="I414" t="s">
        <v>242</v>
      </c>
      <c r="J414" t="s">
        <v>242</v>
      </c>
      <c r="K414" t="s">
        <v>241</v>
      </c>
      <c r="L414" t="s">
        <v>242</v>
      </c>
      <c r="M414">
        <v>38.722136800000001</v>
      </c>
      <c r="N414">
        <v>-122.905073</v>
      </c>
      <c r="O414">
        <v>0</v>
      </c>
      <c r="P414">
        <v>0</v>
      </c>
      <c r="Q414">
        <v>6.74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 t="s">
        <v>9343</v>
      </c>
      <c r="AB414" t="s">
        <v>242</v>
      </c>
      <c r="AC414" t="s">
        <v>3229</v>
      </c>
    </row>
    <row r="415" spans="1:29" x14ac:dyDescent="0.25">
      <c r="A415" t="s">
        <v>1149</v>
      </c>
      <c r="B415" t="s">
        <v>254</v>
      </c>
      <c r="C415" t="s">
        <v>311</v>
      </c>
      <c r="D415" t="s">
        <v>3209</v>
      </c>
      <c r="E415" t="s">
        <v>3246</v>
      </c>
      <c r="F415">
        <v>19721222</v>
      </c>
      <c r="G415" t="s">
        <v>9332</v>
      </c>
      <c r="H415" t="s">
        <v>241</v>
      </c>
      <c r="I415" t="s">
        <v>242</v>
      </c>
      <c r="J415" t="s">
        <v>242</v>
      </c>
      <c r="K415" t="s">
        <v>241</v>
      </c>
      <c r="L415" t="s">
        <v>242</v>
      </c>
      <c r="M415">
        <v>38.642526289999999</v>
      </c>
      <c r="N415">
        <v>-122.7987282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 t="s">
        <v>9335</v>
      </c>
      <c r="AB415" t="s">
        <v>242</v>
      </c>
      <c r="AC415" t="s">
        <v>3229</v>
      </c>
    </row>
    <row r="416" spans="1:29" x14ac:dyDescent="0.25">
      <c r="A416" t="s">
        <v>1150</v>
      </c>
      <c r="B416" t="s">
        <v>254</v>
      </c>
      <c r="C416" t="s">
        <v>311</v>
      </c>
      <c r="D416" t="s">
        <v>3209</v>
      </c>
      <c r="E416" t="s">
        <v>3226</v>
      </c>
      <c r="F416">
        <v>19721222</v>
      </c>
      <c r="G416" t="s">
        <v>9332</v>
      </c>
      <c r="H416" t="s">
        <v>241</v>
      </c>
      <c r="I416" t="s">
        <v>242</v>
      </c>
      <c r="J416" t="s">
        <v>242</v>
      </c>
      <c r="K416" t="s">
        <v>241</v>
      </c>
      <c r="L416" t="s">
        <v>242</v>
      </c>
      <c r="M416">
        <v>38.649275660000001</v>
      </c>
      <c r="N416">
        <v>-122.808373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 t="s">
        <v>9343</v>
      </c>
      <c r="AB416" t="s">
        <v>242</v>
      </c>
      <c r="AC416" t="s">
        <v>3229</v>
      </c>
    </row>
    <row r="417" spans="1:29" x14ac:dyDescent="0.25">
      <c r="A417" t="s">
        <v>1108</v>
      </c>
      <c r="B417" t="s">
        <v>254</v>
      </c>
      <c r="C417" t="s">
        <v>436</v>
      </c>
      <c r="D417" t="s">
        <v>3209</v>
      </c>
      <c r="E417" t="s">
        <v>3246</v>
      </c>
      <c r="F417">
        <v>19730228</v>
      </c>
      <c r="G417" t="s">
        <v>9332</v>
      </c>
      <c r="H417" t="s">
        <v>241</v>
      </c>
      <c r="I417" t="s">
        <v>242</v>
      </c>
      <c r="J417" t="s">
        <v>242</v>
      </c>
      <c r="K417" t="s">
        <v>241</v>
      </c>
      <c r="L417" t="s">
        <v>242</v>
      </c>
      <c r="M417">
        <v>38.674597339999998</v>
      </c>
      <c r="N417">
        <v>-122.8361609</v>
      </c>
      <c r="O417">
        <v>0</v>
      </c>
      <c r="P417">
        <v>0</v>
      </c>
      <c r="Q417">
        <v>0</v>
      </c>
      <c r="R417">
        <v>0</v>
      </c>
      <c r="S417">
        <v>1.06</v>
      </c>
      <c r="T417">
        <v>3.13</v>
      </c>
      <c r="U417">
        <v>4.2</v>
      </c>
      <c r="V417">
        <v>0</v>
      </c>
      <c r="W417">
        <v>0</v>
      </c>
      <c r="X417">
        <v>0</v>
      </c>
      <c r="Y417">
        <v>0</v>
      </c>
      <c r="Z417">
        <v>0</v>
      </c>
      <c r="AA417" t="s">
        <v>9335</v>
      </c>
      <c r="AB417" t="s">
        <v>242</v>
      </c>
      <c r="AC417" t="s">
        <v>3229</v>
      </c>
    </row>
    <row r="418" spans="1:29" x14ac:dyDescent="0.25">
      <c r="A418" t="s">
        <v>1109</v>
      </c>
      <c r="B418" t="s">
        <v>254</v>
      </c>
      <c r="C418" t="s">
        <v>436</v>
      </c>
      <c r="D418" t="s">
        <v>3209</v>
      </c>
      <c r="E418" t="s">
        <v>3246</v>
      </c>
      <c r="F418">
        <v>19730228</v>
      </c>
      <c r="G418" t="s">
        <v>9332</v>
      </c>
      <c r="H418" t="s">
        <v>241</v>
      </c>
      <c r="I418" t="s">
        <v>242</v>
      </c>
      <c r="J418" t="s">
        <v>242</v>
      </c>
      <c r="K418" t="s">
        <v>241</v>
      </c>
      <c r="L418" t="s">
        <v>242</v>
      </c>
      <c r="M418">
        <v>38.674597339999998</v>
      </c>
      <c r="N418">
        <v>-122.8361609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 t="s">
        <v>9343</v>
      </c>
      <c r="AB418" t="s">
        <v>242</v>
      </c>
      <c r="AC418" t="s">
        <v>3229</v>
      </c>
    </row>
    <row r="419" spans="1:29" x14ac:dyDescent="0.25">
      <c r="A419" t="s">
        <v>141</v>
      </c>
      <c r="B419" t="s">
        <v>254</v>
      </c>
      <c r="C419" t="s">
        <v>436</v>
      </c>
      <c r="D419" t="s">
        <v>3209</v>
      </c>
      <c r="E419" t="s">
        <v>3246</v>
      </c>
      <c r="F419">
        <v>19730208</v>
      </c>
      <c r="G419" t="s">
        <v>9332</v>
      </c>
      <c r="H419" t="s">
        <v>241</v>
      </c>
      <c r="I419" t="s">
        <v>242</v>
      </c>
      <c r="J419" t="s">
        <v>242</v>
      </c>
      <c r="K419" t="s">
        <v>241</v>
      </c>
      <c r="L419" t="s">
        <v>242</v>
      </c>
      <c r="M419">
        <v>38.682987109999999</v>
      </c>
      <c r="N419">
        <v>-122.85307570000001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0.26</v>
      </c>
      <c r="U419">
        <v>0.63</v>
      </c>
      <c r="V419">
        <v>0</v>
      </c>
      <c r="W419">
        <v>0</v>
      </c>
      <c r="X419">
        <v>0</v>
      </c>
      <c r="Y419">
        <v>0</v>
      </c>
      <c r="Z419">
        <v>0</v>
      </c>
      <c r="AA419" t="s">
        <v>9335</v>
      </c>
      <c r="AB419" t="s">
        <v>242</v>
      </c>
      <c r="AC419" t="s">
        <v>3229</v>
      </c>
    </row>
    <row r="420" spans="1:29" x14ac:dyDescent="0.25">
      <c r="A420" t="s">
        <v>1110</v>
      </c>
      <c r="B420" t="s">
        <v>254</v>
      </c>
      <c r="C420" t="s">
        <v>436</v>
      </c>
      <c r="D420" t="s">
        <v>3209</v>
      </c>
      <c r="E420" t="s">
        <v>3246</v>
      </c>
      <c r="F420">
        <v>19730228</v>
      </c>
      <c r="G420" t="s">
        <v>9332</v>
      </c>
      <c r="H420" t="s">
        <v>241</v>
      </c>
      <c r="I420" t="s">
        <v>242</v>
      </c>
      <c r="J420" t="s">
        <v>242</v>
      </c>
      <c r="K420" t="s">
        <v>241</v>
      </c>
      <c r="L420" t="s">
        <v>242</v>
      </c>
      <c r="M420">
        <v>38.682987109999999</v>
      </c>
      <c r="N420">
        <v>-122.85307570000001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 t="s">
        <v>9343</v>
      </c>
      <c r="AB420" t="s">
        <v>242</v>
      </c>
      <c r="AC420" t="s">
        <v>3229</v>
      </c>
    </row>
    <row r="421" spans="1:29" x14ac:dyDescent="0.25">
      <c r="A421" t="s">
        <v>1123</v>
      </c>
      <c r="B421" t="s">
        <v>254</v>
      </c>
      <c r="C421" t="s">
        <v>348</v>
      </c>
      <c r="D421" t="s">
        <v>3209</v>
      </c>
      <c r="E421" t="s">
        <v>3246</v>
      </c>
      <c r="F421">
        <v>19730309</v>
      </c>
      <c r="G421" t="s">
        <v>9332</v>
      </c>
      <c r="H421" t="s">
        <v>242</v>
      </c>
      <c r="I421" t="s">
        <v>242</v>
      </c>
      <c r="J421" t="s">
        <v>242</v>
      </c>
      <c r="K421" t="s">
        <v>241</v>
      </c>
      <c r="L421" t="s">
        <v>242</v>
      </c>
      <c r="M421">
        <v>39.318728620000002</v>
      </c>
      <c r="N421">
        <v>-123.1067843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 t="s">
        <v>9335</v>
      </c>
      <c r="AB421" t="s">
        <v>242</v>
      </c>
      <c r="AC421" t="s">
        <v>3213</v>
      </c>
    </row>
    <row r="422" spans="1:29" x14ac:dyDescent="0.25">
      <c r="A422" t="s">
        <v>1111</v>
      </c>
      <c r="B422" t="s">
        <v>254</v>
      </c>
      <c r="C422" t="s">
        <v>317</v>
      </c>
      <c r="D422" t="s">
        <v>3209</v>
      </c>
      <c r="E422" t="s">
        <v>3246</v>
      </c>
      <c r="F422">
        <v>19730405</v>
      </c>
      <c r="G422" t="s">
        <v>9332</v>
      </c>
      <c r="H422" t="s">
        <v>242</v>
      </c>
      <c r="I422" t="s">
        <v>242</v>
      </c>
      <c r="J422" t="s">
        <v>242</v>
      </c>
      <c r="K422" t="s">
        <v>241</v>
      </c>
      <c r="L422" t="s">
        <v>242</v>
      </c>
      <c r="M422">
        <v>39.2411095</v>
      </c>
      <c r="N422">
        <v>-123.19561349999999</v>
      </c>
      <c r="O422">
        <v>2</v>
      </c>
      <c r="P422">
        <v>0.5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0.5</v>
      </c>
      <c r="Z422">
        <v>1.5</v>
      </c>
      <c r="AA422" t="s">
        <v>9335</v>
      </c>
      <c r="AB422" t="s">
        <v>241</v>
      </c>
      <c r="AC422" t="s">
        <v>3213</v>
      </c>
    </row>
    <row r="423" spans="1:29" x14ac:dyDescent="0.25">
      <c r="A423" t="s">
        <v>1112</v>
      </c>
      <c r="B423" t="s">
        <v>254</v>
      </c>
      <c r="C423" t="s">
        <v>354</v>
      </c>
      <c r="D423" t="s">
        <v>3209</v>
      </c>
      <c r="E423" t="s">
        <v>3246</v>
      </c>
      <c r="F423">
        <v>19730524</v>
      </c>
      <c r="G423" t="s">
        <v>9332</v>
      </c>
      <c r="H423" t="s">
        <v>242</v>
      </c>
      <c r="I423" t="s">
        <v>242</v>
      </c>
      <c r="J423" t="s">
        <v>242</v>
      </c>
      <c r="K423" t="s">
        <v>241</v>
      </c>
      <c r="L423" t="s">
        <v>242</v>
      </c>
      <c r="M423">
        <v>38.749222230000001</v>
      </c>
      <c r="N423">
        <v>-122.9850191</v>
      </c>
      <c r="O423">
        <v>5</v>
      </c>
      <c r="P423">
        <v>1.5</v>
      </c>
      <c r="Q423">
        <v>1.5</v>
      </c>
      <c r="R423">
        <v>1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3</v>
      </c>
      <c r="Z423">
        <v>5</v>
      </c>
      <c r="AA423" t="s">
        <v>9335</v>
      </c>
      <c r="AB423" t="s">
        <v>242</v>
      </c>
      <c r="AC423" t="s">
        <v>3229</v>
      </c>
    </row>
    <row r="424" spans="1:29" x14ac:dyDescent="0.25">
      <c r="A424" t="s">
        <v>1113</v>
      </c>
      <c r="B424" t="s">
        <v>254</v>
      </c>
      <c r="C424" t="s">
        <v>311</v>
      </c>
      <c r="D424" t="s">
        <v>3209</v>
      </c>
      <c r="E424" t="s">
        <v>3246</v>
      </c>
      <c r="F424">
        <v>19730605</v>
      </c>
      <c r="G424" t="s">
        <v>9338</v>
      </c>
      <c r="H424" t="s">
        <v>242</v>
      </c>
      <c r="I424" t="s">
        <v>242</v>
      </c>
      <c r="J424" t="s">
        <v>242</v>
      </c>
      <c r="K424" t="s">
        <v>241</v>
      </c>
      <c r="L424" t="s">
        <v>242</v>
      </c>
      <c r="M424">
        <v>38.626944680000001</v>
      </c>
      <c r="N424">
        <v>-122.77819169999999</v>
      </c>
      <c r="O424">
        <v>0.5</v>
      </c>
      <c r="P424">
        <v>0.5</v>
      </c>
      <c r="Q424">
        <v>0.1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0.14000000000000001</v>
      </c>
      <c r="Z424">
        <v>0.2</v>
      </c>
      <c r="AA424" t="s">
        <v>9335</v>
      </c>
      <c r="AB424" t="s">
        <v>242</v>
      </c>
      <c r="AC424" t="s">
        <v>3229</v>
      </c>
    </row>
    <row r="425" spans="1:29" x14ac:dyDescent="0.25">
      <c r="A425" t="s">
        <v>1114</v>
      </c>
      <c r="B425" t="s">
        <v>254</v>
      </c>
      <c r="C425" t="s">
        <v>319</v>
      </c>
      <c r="D425" t="s">
        <v>3209</v>
      </c>
      <c r="E425" t="s">
        <v>3246</v>
      </c>
      <c r="F425">
        <v>19730626</v>
      </c>
      <c r="G425" t="s">
        <v>9334</v>
      </c>
      <c r="H425" t="s">
        <v>242</v>
      </c>
      <c r="I425" t="s">
        <v>242</v>
      </c>
      <c r="J425" t="s">
        <v>242</v>
      </c>
      <c r="K425" t="s">
        <v>241</v>
      </c>
      <c r="L425" t="s">
        <v>242</v>
      </c>
      <c r="M425">
        <v>38.974899999999998</v>
      </c>
      <c r="N425">
        <v>-123.0586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 t="s">
        <v>9335</v>
      </c>
      <c r="AB425" t="s">
        <v>242</v>
      </c>
      <c r="AC425" t="s">
        <v>3213</v>
      </c>
    </row>
    <row r="426" spans="1:29" x14ac:dyDescent="0.25">
      <c r="A426" t="s">
        <v>1115</v>
      </c>
      <c r="B426" t="s">
        <v>254</v>
      </c>
      <c r="C426" t="s">
        <v>317</v>
      </c>
      <c r="D426" t="s">
        <v>3209</v>
      </c>
      <c r="E426" t="s">
        <v>3246</v>
      </c>
      <c r="F426">
        <v>19730629</v>
      </c>
      <c r="G426" t="s">
        <v>9332</v>
      </c>
      <c r="H426" t="s">
        <v>242</v>
      </c>
      <c r="I426" t="s">
        <v>242</v>
      </c>
      <c r="J426" t="s">
        <v>242</v>
      </c>
      <c r="K426" t="s">
        <v>241</v>
      </c>
      <c r="L426" t="s">
        <v>242</v>
      </c>
      <c r="M426">
        <v>39.29255655</v>
      </c>
      <c r="N426">
        <v>-123.1993114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 t="s">
        <v>9335</v>
      </c>
      <c r="AB426" t="s">
        <v>242</v>
      </c>
      <c r="AC426" t="s">
        <v>3213</v>
      </c>
    </row>
    <row r="427" spans="1:29" x14ac:dyDescent="0.25">
      <c r="A427" t="s">
        <v>1116</v>
      </c>
      <c r="B427" t="s">
        <v>254</v>
      </c>
      <c r="C427" t="s">
        <v>333</v>
      </c>
      <c r="D427" t="s">
        <v>3209</v>
      </c>
      <c r="E427" t="s">
        <v>3226</v>
      </c>
      <c r="F427">
        <v>19730706</v>
      </c>
      <c r="G427" t="s">
        <v>9332</v>
      </c>
      <c r="H427" t="s">
        <v>242</v>
      </c>
      <c r="I427" t="s">
        <v>242</v>
      </c>
      <c r="J427" t="s">
        <v>242</v>
      </c>
      <c r="K427" t="s">
        <v>241</v>
      </c>
      <c r="L427" t="s">
        <v>242</v>
      </c>
      <c r="M427">
        <v>39.080474240000001</v>
      </c>
      <c r="N427">
        <v>-123.1819828</v>
      </c>
      <c r="O427">
        <v>0.54</v>
      </c>
      <c r="P427">
        <v>0.53</v>
      </c>
      <c r="Q427">
        <v>0.5</v>
      </c>
      <c r="R427">
        <v>0.56000000000000005</v>
      </c>
      <c r="S427">
        <v>0.66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 t="s">
        <v>9335</v>
      </c>
      <c r="AB427" t="s">
        <v>242</v>
      </c>
      <c r="AC427" t="s">
        <v>3213</v>
      </c>
    </row>
    <row r="428" spans="1:29" x14ac:dyDescent="0.25">
      <c r="A428" t="s">
        <v>1119</v>
      </c>
      <c r="B428" t="s">
        <v>254</v>
      </c>
      <c r="C428" t="s">
        <v>317</v>
      </c>
      <c r="D428" t="s">
        <v>3209</v>
      </c>
      <c r="E428" t="s">
        <v>3226</v>
      </c>
      <c r="F428">
        <v>19730731</v>
      </c>
      <c r="G428" t="s">
        <v>9332</v>
      </c>
      <c r="H428" t="s">
        <v>242</v>
      </c>
      <c r="I428" t="s">
        <v>242</v>
      </c>
      <c r="J428" t="s">
        <v>242</v>
      </c>
      <c r="K428" t="s">
        <v>241</v>
      </c>
      <c r="L428" t="s">
        <v>242</v>
      </c>
      <c r="M428">
        <v>39.262300000000003</v>
      </c>
      <c r="N428">
        <v>-123.1901</v>
      </c>
      <c r="O428">
        <v>18.73</v>
      </c>
      <c r="P428">
        <v>24.9</v>
      </c>
      <c r="Q428">
        <v>22.58</v>
      </c>
      <c r="R428">
        <v>27.7</v>
      </c>
      <c r="S428">
        <v>14.23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0.76</v>
      </c>
      <c r="Z428">
        <v>2.76</v>
      </c>
      <c r="AA428" t="s">
        <v>9335</v>
      </c>
      <c r="AB428" t="s">
        <v>242</v>
      </c>
      <c r="AC428" t="s">
        <v>3213</v>
      </c>
    </row>
    <row r="429" spans="1:29" x14ac:dyDescent="0.25">
      <c r="A429" t="s">
        <v>1120</v>
      </c>
      <c r="B429" t="s">
        <v>254</v>
      </c>
      <c r="C429" t="s">
        <v>331</v>
      </c>
      <c r="D429" t="s">
        <v>3209</v>
      </c>
      <c r="E429" t="s">
        <v>3246</v>
      </c>
      <c r="F429">
        <v>19730913</v>
      </c>
      <c r="G429" t="s">
        <v>9332</v>
      </c>
      <c r="H429" t="s">
        <v>242</v>
      </c>
      <c r="I429" t="s">
        <v>242</v>
      </c>
      <c r="J429" t="s">
        <v>242</v>
      </c>
      <c r="K429" t="s">
        <v>241</v>
      </c>
      <c r="L429" t="s">
        <v>242</v>
      </c>
      <c r="M429">
        <v>39.193962980000002</v>
      </c>
      <c r="N429">
        <v>-123.21422579999999</v>
      </c>
      <c r="O429">
        <v>3.66</v>
      </c>
      <c r="P429">
        <v>5.66</v>
      </c>
      <c r="Q429">
        <v>6.5</v>
      </c>
      <c r="R429">
        <v>0.66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 t="s">
        <v>9335</v>
      </c>
      <c r="AB429" t="s">
        <v>242</v>
      </c>
      <c r="AC429" t="s">
        <v>3213</v>
      </c>
    </row>
    <row r="430" spans="1:29" x14ac:dyDescent="0.25">
      <c r="A430" t="s">
        <v>1121</v>
      </c>
      <c r="B430" t="s">
        <v>254</v>
      </c>
      <c r="C430" t="s">
        <v>317</v>
      </c>
      <c r="D430" t="s">
        <v>3209</v>
      </c>
      <c r="E430" t="s">
        <v>3246</v>
      </c>
      <c r="F430">
        <v>19731010</v>
      </c>
      <c r="G430" t="s">
        <v>9332</v>
      </c>
      <c r="H430" t="s">
        <v>242</v>
      </c>
      <c r="I430" t="s">
        <v>242</v>
      </c>
      <c r="J430" t="s">
        <v>242</v>
      </c>
      <c r="K430" t="s">
        <v>241</v>
      </c>
      <c r="L430" t="s">
        <v>242</v>
      </c>
      <c r="M430">
        <v>39.298556490000003</v>
      </c>
      <c r="N430">
        <v>-123.20330079999999</v>
      </c>
      <c r="O430">
        <v>1.63</v>
      </c>
      <c r="P430">
        <v>0.04</v>
      </c>
      <c r="Q430">
        <v>0.61</v>
      </c>
      <c r="R430">
        <v>0.1</v>
      </c>
      <c r="S430">
        <v>7.0000000000000007E-2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0.43</v>
      </c>
      <c r="Z430">
        <v>0.1</v>
      </c>
      <c r="AA430" t="s">
        <v>9335</v>
      </c>
      <c r="AB430" t="s">
        <v>242</v>
      </c>
      <c r="AC430" t="s">
        <v>3213</v>
      </c>
    </row>
    <row r="431" spans="1:29" x14ac:dyDescent="0.25">
      <c r="A431" t="s">
        <v>1122</v>
      </c>
      <c r="B431" t="s">
        <v>254</v>
      </c>
      <c r="C431" t="s">
        <v>317</v>
      </c>
      <c r="D431" t="s">
        <v>3209</v>
      </c>
      <c r="E431" t="s">
        <v>3246</v>
      </c>
      <c r="F431">
        <v>19731116</v>
      </c>
      <c r="G431" t="s">
        <v>9332</v>
      </c>
      <c r="H431" t="s">
        <v>242</v>
      </c>
      <c r="I431" t="s">
        <v>242</v>
      </c>
      <c r="J431" t="s">
        <v>242</v>
      </c>
      <c r="K431" t="s">
        <v>241</v>
      </c>
      <c r="L431" t="s">
        <v>242</v>
      </c>
      <c r="M431">
        <v>39.23941791</v>
      </c>
      <c r="N431">
        <v>-123.2132404</v>
      </c>
      <c r="O431">
        <v>1.66</v>
      </c>
      <c r="P431">
        <v>1.33</v>
      </c>
      <c r="Q431">
        <v>0.4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 t="s">
        <v>9335</v>
      </c>
      <c r="AB431" t="s">
        <v>242</v>
      </c>
      <c r="AC431" t="s">
        <v>3213</v>
      </c>
    </row>
    <row r="432" spans="1:29" x14ac:dyDescent="0.25">
      <c r="A432" t="s">
        <v>1086</v>
      </c>
      <c r="B432" t="s">
        <v>254</v>
      </c>
      <c r="C432" t="s">
        <v>319</v>
      </c>
      <c r="D432" t="s">
        <v>3209</v>
      </c>
      <c r="E432" t="s">
        <v>3226</v>
      </c>
      <c r="F432">
        <v>19740111</v>
      </c>
      <c r="G432" t="s">
        <v>9332</v>
      </c>
      <c r="H432" t="s">
        <v>241</v>
      </c>
      <c r="I432" t="s">
        <v>242</v>
      </c>
      <c r="J432" t="s">
        <v>242</v>
      </c>
      <c r="K432" t="s">
        <v>241</v>
      </c>
      <c r="L432" t="s">
        <v>242</v>
      </c>
      <c r="M432">
        <v>38.981933730000002</v>
      </c>
      <c r="N432">
        <v>-123.09344129999999</v>
      </c>
      <c r="O432">
        <v>0</v>
      </c>
      <c r="P432">
        <v>0</v>
      </c>
      <c r="Q432">
        <v>0</v>
      </c>
      <c r="R432">
        <v>0</v>
      </c>
      <c r="S432">
        <v>0.64</v>
      </c>
      <c r="T432">
        <v>2.16</v>
      </c>
      <c r="U432">
        <v>5.2</v>
      </c>
      <c r="V432">
        <v>2.4</v>
      </c>
      <c r="W432">
        <v>0</v>
      </c>
      <c r="X432">
        <v>0</v>
      </c>
      <c r="Y432">
        <v>0</v>
      </c>
      <c r="Z432">
        <v>0</v>
      </c>
      <c r="AA432" t="s">
        <v>9335</v>
      </c>
      <c r="AB432" t="s">
        <v>242</v>
      </c>
      <c r="AC432" t="s">
        <v>3213</v>
      </c>
    </row>
    <row r="433" spans="1:29" x14ac:dyDescent="0.25">
      <c r="A433" t="s">
        <v>1182</v>
      </c>
      <c r="B433" t="s">
        <v>254</v>
      </c>
      <c r="C433" t="s">
        <v>319</v>
      </c>
      <c r="D433" t="s">
        <v>3209</v>
      </c>
      <c r="E433" t="s">
        <v>3226</v>
      </c>
      <c r="F433">
        <v>19710111</v>
      </c>
      <c r="G433" t="s">
        <v>9332</v>
      </c>
      <c r="H433" t="s">
        <v>241</v>
      </c>
      <c r="I433" t="s">
        <v>242</v>
      </c>
      <c r="J433" t="s">
        <v>242</v>
      </c>
      <c r="K433" t="s">
        <v>241</v>
      </c>
      <c r="L433" t="s">
        <v>242</v>
      </c>
      <c r="M433">
        <v>38.981933730000002</v>
      </c>
      <c r="N433">
        <v>-123.09344129999999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 t="s">
        <v>9343</v>
      </c>
      <c r="AB433" t="s">
        <v>242</v>
      </c>
      <c r="AC433" t="s">
        <v>3213</v>
      </c>
    </row>
    <row r="434" spans="1:29" x14ac:dyDescent="0.25">
      <c r="A434" t="s">
        <v>1085</v>
      </c>
      <c r="B434" t="s">
        <v>254</v>
      </c>
      <c r="C434" t="s">
        <v>348</v>
      </c>
      <c r="D434" t="s">
        <v>3209</v>
      </c>
      <c r="E434" t="s">
        <v>3226</v>
      </c>
      <c r="F434">
        <v>19740305</v>
      </c>
      <c r="G434" t="s">
        <v>9332</v>
      </c>
      <c r="H434" t="s">
        <v>242</v>
      </c>
      <c r="I434" t="s">
        <v>242</v>
      </c>
      <c r="J434" t="s">
        <v>242</v>
      </c>
      <c r="K434" t="s">
        <v>241</v>
      </c>
      <c r="L434" t="s">
        <v>242</v>
      </c>
      <c r="M434">
        <v>39.359154420000003</v>
      </c>
      <c r="N434">
        <v>-123.1289946</v>
      </c>
      <c r="O434">
        <v>0</v>
      </c>
      <c r="P434">
        <v>0</v>
      </c>
      <c r="Q434">
        <v>8.0299999999999994</v>
      </c>
      <c r="R434">
        <v>8.43</v>
      </c>
      <c r="S434">
        <v>5.53</v>
      </c>
      <c r="T434">
        <v>6.76</v>
      </c>
      <c r="U434">
        <v>7.73</v>
      </c>
      <c r="V434">
        <v>3.06</v>
      </c>
      <c r="W434">
        <v>5.4</v>
      </c>
      <c r="X434">
        <v>8.16</v>
      </c>
      <c r="Y434">
        <v>0</v>
      </c>
      <c r="Z434">
        <v>0</v>
      </c>
      <c r="AA434" t="s">
        <v>9335</v>
      </c>
      <c r="AB434" t="s">
        <v>242</v>
      </c>
      <c r="AC434" t="s">
        <v>3213</v>
      </c>
    </row>
    <row r="435" spans="1:29" x14ac:dyDescent="0.25">
      <c r="A435" t="s">
        <v>1084</v>
      </c>
      <c r="B435" t="s">
        <v>254</v>
      </c>
      <c r="C435" t="s">
        <v>348</v>
      </c>
      <c r="D435" t="s">
        <v>3209</v>
      </c>
      <c r="E435" t="s">
        <v>3226</v>
      </c>
      <c r="F435">
        <v>19740305</v>
      </c>
      <c r="G435" t="s">
        <v>9332</v>
      </c>
      <c r="H435" t="s">
        <v>242</v>
      </c>
      <c r="I435" t="s">
        <v>242</v>
      </c>
      <c r="J435" t="s">
        <v>242</v>
      </c>
      <c r="K435" t="s">
        <v>241</v>
      </c>
      <c r="L435" t="s">
        <v>242</v>
      </c>
      <c r="M435">
        <v>39.359190079999998</v>
      </c>
      <c r="N435">
        <v>-123.12900329999999</v>
      </c>
      <c r="O435">
        <v>0</v>
      </c>
      <c r="P435">
        <v>0</v>
      </c>
      <c r="Q435">
        <v>3.33</v>
      </c>
      <c r="R435">
        <v>1.66</v>
      </c>
      <c r="S435">
        <v>3.66</v>
      </c>
      <c r="T435">
        <v>14.33</v>
      </c>
      <c r="U435">
        <v>11</v>
      </c>
      <c r="V435">
        <v>10.83</v>
      </c>
      <c r="W435">
        <v>6.66</v>
      </c>
      <c r="X435">
        <v>6.66</v>
      </c>
      <c r="Y435">
        <v>0</v>
      </c>
      <c r="Z435">
        <v>0</v>
      </c>
      <c r="AA435" t="s">
        <v>9343</v>
      </c>
      <c r="AB435" t="s">
        <v>241</v>
      </c>
      <c r="AC435" t="s">
        <v>3213</v>
      </c>
    </row>
    <row r="436" spans="1:29" x14ac:dyDescent="0.25">
      <c r="A436" t="s">
        <v>1088</v>
      </c>
      <c r="B436" t="s">
        <v>254</v>
      </c>
      <c r="C436" t="s">
        <v>319</v>
      </c>
      <c r="D436" t="s">
        <v>3209</v>
      </c>
      <c r="E436" t="s">
        <v>3226</v>
      </c>
      <c r="F436">
        <v>19740412</v>
      </c>
      <c r="G436" t="s">
        <v>9334</v>
      </c>
      <c r="H436" t="s">
        <v>242</v>
      </c>
      <c r="I436" t="s">
        <v>242</v>
      </c>
      <c r="J436" t="s">
        <v>242</v>
      </c>
      <c r="K436" t="s">
        <v>241</v>
      </c>
      <c r="L436" t="s">
        <v>242</v>
      </c>
      <c r="M436">
        <v>38.962699999999998</v>
      </c>
      <c r="N436">
        <v>-123.0322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8.33</v>
      </c>
      <c r="Z436">
        <v>53.33</v>
      </c>
      <c r="AA436" t="s">
        <v>9335</v>
      </c>
      <c r="AB436" t="s">
        <v>242</v>
      </c>
      <c r="AC436" t="s">
        <v>3213</v>
      </c>
    </row>
    <row r="437" spans="1:29" x14ac:dyDescent="0.25">
      <c r="A437" t="s">
        <v>1089</v>
      </c>
      <c r="B437" t="s">
        <v>254</v>
      </c>
      <c r="C437" t="s">
        <v>319</v>
      </c>
      <c r="D437" t="s">
        <v>3209</v>
      </c>
      <c r="E437" t="s">
        <v>3226</v>
      </c>
      <c r="F437">
        <v>19740412</v>
      </c>
      <c r="G437" t="s">
        <v>9334</v>
      </c>
      <c r="H437" t="s">
        <v>242</v>
      </c>
      <c r="I437" t="s">
        <v>242</v>
      </c>
      <c r="J437" t="s">
        <v>242</v>
      </c>
      <c r="K437" t="s">
        <v>241</v>
      </c>
      <c r="L437" t="s">
        <v>242</v>
      </c>
      <c r="M437">
        <v>38.962699999999998</v>
      </c>
      <c r="N437">
        <v>-123.0322</v>
      </c>
      <c r="O437">
        <v>0</v>
      </c>
      <c r="P437">
        <v>0</v>
      </c>
      <c r="Q437">
        <v>10.029999999999999</v>
      </c>
      <c r="R437">
        <v>4.5999999999999996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 t="s">
        <v>9343</v>
      </c>
      <c r="AB437" t="s">
        <v>242</v>
      </c>
      <c r="AC437" t="s">
        <v>3213</v>
      </c>
    </row>
    <row r="438" spans="1:29" x14ac:dyDescent="0.25">
      <c r="A438" t="s">
        <v>1090</v>
      </c>
      <c r="B438" t="s">
        <v>254</v>
      </c>
      <c r="C438" t="s">
        <v>311</v>
      </c>
      <c r="D438" t="s">
        <v>3209</v>
      </c>
      <c r="E438" t="s">
        <v>3246</v>
      </c>
      <c r="F438">
        <v>19740507</v>
      </c>
      <c r="G438" t="s">
        <v>9332</v>
      </c>
      <c r="H438" t="s">
        <v>242</v>
      </c>
      <c r="I438" t="s">
        <v>242</v>
      </c>
      <c r="J438" t="s">
        <v>242</v>
      </c>
      <c r="K438" t="s">
        <v>241</v>
      </c>
      <c r="L438" t="s">
        <v>242</v>
      </c>
      <c r="M438">
        <v>38.649181040000002</v>
      </c>
      <c r="N438">
        <v>-122.77913479999999</v>
      </c>
      <c r="O438">
        <v>0</v>
      </c>
      <c r="P438">
        <v>0</v>
      </c>
      <c r="Q438">
        <v>0</v>
      </c>
      <c r="R438">
        <v>0</v>
      </c>
      <c r="S438">
        <v>0.91</v>
      </c>
      <c r="T438">
        <v>0.7</v>
      </c>
      <c r="U438">
        <v>2.13</v>
      </c>
      <c r="V438">
        <v>0.96</v>
      </c>
      <c r="W438">
        <v>0.2</v>
      </c>
      <c r="X438">
        <v>0.13</v>
      </c>
      <c r="Y438">
        <v>0</v>
      </c>
      <c r="Z438">
        <v>0</v>
      </c>
      <c r="AA438" t="s">
        <v>9335</v>
      </c>
      <c r="AB438" t="s">
        <v>242</v>
      </c>
      <c r="AC438" t="s">
        <v>3229</v>
      </c>
    </row>
    <row r="439" spans="1:29" x14ac:dyDescent="0.25">
      <c r="A439" t="s">
        <v>1091</v>
      </c>
      <c r="B439" t="s">
        <v>254</v>
      </c>
      <c r="C439" t="s">
        <v>333</v>
      </c>
      <c r="D439" t="s">
        <v>3209</v>
      </c>
      <c r="E439" t="s">
        <v>3246</v>
      </c>
      <c r="F439">
        <v>19740606</v>
      </c>
      <c r="G439" t="s">
        <v>9332</v>
      </c>
      <c r="H439" t="s">
        <v>241</v>
      </c>
      <c r="I439" t="s">
        <v>242</v>
      </c>
      <c r="J439" t="s">
        <v>242</v>
      </c>
      <c r="K439" t="s">
        <v>241</v>
      </c>
      <c r="L439" t="s">
        <v>242</v>
      </c>
      <c r="M439">
        <v>39.088535610000001</v>
      </c>
      <c r="N439">
        <v>-123.17225120000001</v>
      </c>
      <c r="O439">
        <v>0</v>
      </c>
      <c r="P439">
        <v>0</v>
      </c>
      <c r="Q439">
        <v>4.1500000000000004</v>
      </c>
      <c r="R439">
        <v>0.16</v>
      </c>
      <c r="S439">
        <v>0.08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 t="s">
        <v>9343</v>
      </c>
      <c r="AB439" t="s">
        <v>242</v>
      </c>
      <c r="AC439" t="s">
        <v>3213</v>
      </c>
    </row>
    <row r="440" spans="1:29" x14ac:dyDescent="0.25">
      <c r="A440" t="s">
        <v>1093</v>
      </c>
      <c r="B440" t="s">
        <v>254</v>
      </c>
      <c r="C440" t="s">
        <v>331</v>
      </c>
      <c r="D440" t="s">
        <v>3209</v>
      </c>
      <c r="E440" t="s">
        <v>3246</v>
      </c>
      <c r="F440">
        <v>19740717</v>
      </c>
      <c r="G440" t="s">
        <v>9332</v>
      </c>
      <c r="H440" t="s">
        <v>241</v>
      </c>
      <c r="I440" t="s">
        <v>242</v>
      </c>
      <c r="J440" t="s">
        <v>242</v>
      </c>
      <c r="K440" t="s">
        <v>241</v>
      </c>
      <c r="L440" t="s">
        <v>242</v>
      </c>
      <c r="M440">
        <v>39.17180544</v>
      </c>
      <c r="N440">
        <v>-123.1926794</v>
      </c>
      <c r="O440">
        <v>0.66</v>
      </c>
      <c r="P440">
        <v>0.66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0.33</v>
      </c>
      <c r="AA440" t="s">
        <v>9335</v>
      </c>
      <c r="AB440" t="s">
        <v>242</v>
      </c>
      <c r="AC440" t="s">
        <v>3213</v>
      </c>
    </row>
    <row r="441" spans="1:29" x14ac:dyDescent="0.25">
      <c r="A441" t="s">
        <v>1094</v>
      </c>
      <c r="B441" t="s">
        <v>254</v>
      </c>
      <c r="C441" t="s">
        <v>436</v>
      </c>
      <c r="D441" t="s">
        <v>3209</v>
      </c>
      <c r="E441" t="s">
        <v>3226</v>
      </c>
      <c r="F441">
        <v>19740826</v>
      </c>
      <c r="G441" t="s">
        <v>9332</v>
      </c>
      <c r="H441" t="s">
        <v>241</v>
      </c>
      <c r="I441" t="s">
        <v>242</v>
      </c>
      <c r="J441" t="s">
        <v>242</v>
      </c>
      <c r="K441" t="s">
        <v>241</v>
      </c>
      <c r="L441" t="s">
        <v>242</v>
      </c>
      <c r="M441">
        <v>38.693275450000002</v>
      </c>
      <c r="N441">
        <v>-122.8728208</v>
      </c>
      <c r="O441">
        <v>0</v>
      </c>
      <c r="P441">
        <v>0</v>
      </c>
      <c r="Q441">
        <v>0.9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 t="s">
        <v>9335</v>
      </c>
      <c r="AB441" t="s">
        <v>242</v>
      </c>
      <c r="AC441" t="s">
        <v>3229</v>
      </c>
    </row>
    <row r="442" spans="1:29" x14ac:dyDescent="0.25">
      <c r="A442" t="s">
        <v>1095</v>
      </c>
      <c r="B442" t="s">
        <v>254</v>
      </c>
      <c r="C442" t="s">
        <v>311</v>
      </c>
      <c r="D442" t="s">
        <v>3209</v>
      </c>
      <c r="E442" t="s">
        <v>3246</v>
      </c>
      <c r="F442">
        <v>19740829</v>
      </c>
      <c r="G442" t="s">
        <v>9332</v>
      </c>
      <c r="H442" t="s">
        <v>242</v>
      </c>
      <c r="I442" t="s">
        <v>242</v>
      </c>
      <c r="J442" t="s">
        <v>242</v>
      </c>
      <c r="K442" t="s">
        <v>241</v>
      </c>
      <c r="L442" t="s">
        <v>242</v>
      </c>
      <c r="M442">
        <v>38.584125419999999</v>
      </c>
      <c r="N442">
        <v>-122.6402339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1.66</v>
      </c>
      <c r="Y442">
        <v>1.66</v>
      </c>
      <c r="Z442">
        <v>1.66</v>
      </c>
      <c r="AA442" t="s">
        <v>9333</v>
      </c>
      <c r="AB442" t="s">
        <v>242</v>
      </c>
      <c r="AC442" t="s">
        <v>3229</v>
      </c>
    </row>
    <row r="443" spans="1:29" x14ac:dyDescent="0.25">
      <c r="A443" t="s">
        <v>1096</v>
      </c>
      <c r="B443" t="s">
        <v>254</v>
      </c>
      <c r="C443" t="s">
        <v>331</v>
      </c>
      <c r="D443" t="s">
        <v>3209</v>
      </c>
      <c r="E443" t="s">
        <v>3246</v>
      </c>
      <c r="F443">
        <v>19740919</v>
      </c>
      <c r="G443" t="s">
        <v>9332</v>
      </c>
      <c r="H443" t="s">
        <v>242</v>
      </c>
      <c r="I443" t="s">
        <v>242</v>
      </c>
      <c r="J443" t="s">
        <v>242</v>
      </c>
      <c r="K443" t="s">
        <v>241</v>
      </c>
      <c r="L443" t="s">
        <v>242</v>
      </c>
      <c r="M443">
        <v>39.18292099</v>
      </c>
      <c r="N443">
        <v>-123.2250835</v>
      </c>
      <c r="O443">
        <v>6.1</v>
      </c>
      <c r="P443">
        <v>7.33</v>
      </c>
      <c r="Q443">
        <v>6.5</v>
      </c>
      <c r="R443">
        <v>0.36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 t="s">
        <v>9335</v>
      </c>
      <c r="AB443" t="s">
        <v>242</v>
      </c>
      <c r="AC443" t="s">
        <v>3213</v>
      </c>
    </row>
    <row r="444" spans="1:29" x14ac:dyDescent="0.25">
      <c r="A444" t="s">
        <v>1098</v>
      </c>
      <c r="B444" t="s">
        <v>254</v>
      </c>
      <c r="C444" t="s">
        <v>331</v>
      </c>
      <c r="D444" t="s">
        <v>3209</v>
      </c>
      <c r="E444" t="s">
        <v>3226</v>
      </c>
      <c r="F444">
        <v>19740919</v>
      </c>
      <c r="G444" t="s">
        <v>9332</v>
      </c>
      <c r="H444" t="s">
        <v>242</v>
      </c>
      <c r="I444" t="s">
        <v>242</v>
      </c>
      <c r="J444" t="s">
        <v>242</v>
      </c>
      <c r="K444" t="s">
        <v>241</v>
      </c>
      <c r="L444" t="s">
        <v>242</v>
      </c>
      <c r="M444">
        <v>39.17180544</v>
      </c>
      <c r="N444">
        <v>-123.1926794</v>
      </c>
      <c r="O444">
        <v>0</v>
      </c>
      <c r="P444">
        <v>0</v>
      </c>
      <c r="Q444">
        <v>0.74</v>
      </c>
      <c r="R444">
        <v>1.86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 t="s">
        <v>9343</v>
      </c>
      <c r="AB444" t="s">
        <v>242</v>
      </c>
      <c r="AC444" t="s">
        <v>3213</v>
      </c>
    </row>
    <row r="445" spans="1:29" x14ac:dyDescent="0.25">
      <c r="A445" t="s">
        <v>1100</v>
      </c>
      <c r="B445" t="s">
        <v>254</v>
      </c>
      <c r="C445" t="s">
        <v>317</v>
      </c>
      <c r="D445" t="s">
        <v>3209</v>
      </c>
      <c r="E445" t="s">
        <v>3246</v>
      </c>
      <c r="F445">
        <v>19741217</v>
      </c>
      <c r="G445" t="s">
        <v>9332</v>
      </c>
      <c r="H445" t="s">
        <v>242</v>
      </c>
      <c r="I445" t="s">
        <v>242</v>
      </c>
      <c r="J445" t="s">
        <v>242</v>
      </c>
      <c r="K445" t="s">
        <v>241</v>
      </c>
      <c r="L445" t="s">
        <v>242</v>
      </c>
      <c r="M445">
        <v>39.293500000000002</v>
      </c>
      <c r="N445">
        <v>-123.2107</v>
      </c>
      <c r="O445">
        <v>3.33</v>
      </c>
      <c r="P445">
        <v>3.33</v>
      </c>
      <c r="Q445">
        <v>4</v>
      </c>
      <c r="R445">
        <v>4.33</v>
      </c>
      <c r="S445">
        <v>1</v>
      </c>
      <c r="T445">
        <v>0.66</v>
      </c>
      <c r="U445">
        <v>0.66</v>
      </c>
      <c r="V445">
        <v>0.66</v>
      </c>
      <c r="W445">
        <v>0.66</v>
      </c>
      <c r="X445">
        <v>0.66</v>
      </c>
      <c r="Y445">
        <v>0.33</v>
      </c>
      <c r="Z445">
        <v>0</v>
      </c>
      <c r="AA445" t="s">
        <v>9335</v>
      </c>
      <c r="AB445" t="s">
        <v>242</v>
      </c>
      <c r="AC445" t="s">
        <v>3213</v>
      </c>
    </row>
    <row r="446" spans="1:29" x14ac:dyDescent="0.25">
      <c r="A446" t="s">
        <v>1029</v>
      </c>
      <c r="B446" t="s">
        <v>254</v>
      </c>
      <c r="C446" t="s">
        <v>333</v>
      </c>
      <c r="D446" t="s">
        <v>3209</v>
      </c>
      <c r="E446" t="s">
        <v>3246</v>
      </c>
      <c r="F446">
        <v>19750121</v>
      </c>
      <c r="G446" t="s">
        <v>9332</v>
      </c>
      <c r="H446" t="s">
        <v>241</v>
      </c>
      <c r="I446" t="s">
        <v>242</v>
      </c>
      <c r="J446" t="s">
        <v>242</v>
      </c>
      <c r="K446" t="s">
        <v>241</v>
      </c>
      <c r="L446" t="s">
        <v>242</v>
      </c>
      <c r="M446">
        <v>39.047848270000003</v>
      </c>
      <c r="N446">
        <v>-123.12967949999999</v>
      </c>
      <c r="O446">
        <v>6</v>
      </c>
      <c r="P446">
        <v>6</v>
      </c>
      <c r="Q446">
        <v>2.1800000000000002</v>
      </c>
      <c r="R446">
        <v>0.46</v>
      </c>
      <c r="S446">
        <v>0.71</v>
      </c>
      <c r="T446">
        <v>1.42</v>
      </c>
      <c r="U446">
        <v>1.21</v>
      </c>
      <c r="V446">
        <v>0</v>
      </c>
      <c r="W446">
        <v>0</v>
      </c>
      <c r="X446">
        <v>0</v>
      </c>
      <c r="Y446">
        <v>0</v>
      </c>
      <c r="Z446">
        <v>0</v>
      </c>
      <c r="AA446" t="s">
        <v>9335</v>
      </c>
      <c r="AB446" t="s">
        <v>242</v>
      </c>
      <c r="AC446" t="s">
        <v>3213</v>
      </c>
    </row>
    <row r="447" spans="1:29" x14ac:dyDescent="0.25">
      <c r="A447" t="s">
        <v>1034</v>
      </c>
      <c r="B447" t="s">
        <v>254</v>
      </c>
      <c r="C447" t="s">
        <v>319</v>
      </c>
      <c r="D447" t="s">
        <v>3209</v>
      </c>
      <c r="E447" t="s">
        <v>3246</v>
      </c>
      <c r="F447">
        <v>19750228</v>
      </c>
      <c r="G447" t="s">
        <v>9332</v>
      </c>
      <c r="H447" t="s">
        <v>241</v>
      </c>
      <c r="I447" t="s">
        <v>242</v>
      </c>
      <c r="J447" t="s">
        <v>242</v>
      </c>
      <c r="K447" t="s">
        <v>241</v>
      </c>
      <c r="L447" t="s">
        <v>242</v>
      </c>
      <c r="M447">
        <v>38.994260189999999</v>
      </c>
      <c r="N447">
        <v>-123.1100711</v>
      </c>
      <c r="O447">
        <v>0</v>
      </c>
      <c r="P447">
        <v>0</v>
      </c>
      <c r="Q447">
        <v>28.66</v>
      </c>
      <c r="R447">
        <v>28.66</v>
      </c>
      <c r="S447">
        <v>28.66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 t="s">
        <v>9343</v>
      </c>
      <c r="AB447" t="s">
        <v>242</v>
      </c>
      <c r="AC447" t="s">
        <v>3213</v>
      </c>
    </row>
    <row r="448" spans="1:29" x14ac:dyDescent="0.25">
      <c r="A448" t="s">
        <v>1035</v>
      </c>
      <c r="B448" t="s">
        <v>254</v>
      </c>
      <c r="C448" t="s">
        <v>317</v>
      </c>
      <c r="D448" t="s">
        <v>3209</v>
      </c>
      <c r="E448" t="s">
        <v>3246</v>
      </c>
      <c r="F448">
        <v>19750311</v>
      </c>
      <c r="G448" t="s">
        <v>9332</v>
      </c>
      <c r="H448" t="s">
        <v>242</v>
      </c>
      <c r="I448" t="s">
        <v>242</v>
      </c>
      <c r="J448" t="s">
        <v>242</v>
      </c>
      <c r="K448" t="s">
        <v>241</v>
      </c>
      <c r="L448" t="s">
        <v>242</v>
      </c>
      <c r="M448">
        <v>39.245699999999999</v>
      </c>
      <c r="N448">
        <v>-123.221</v>
      </c>
      <c r="O448">
        <v>0.13</v>
      </c>
      <c r="P448">
        <v>0.13</v>
      </c>
      <c r="Q448">
        <v>0.13</v>
      </c>
      <c r="R448">
        <v>0.13</v>
      </c>
      <c r="S448">
        <v>0</v>
      </c>
      <c r="T448">
        <v>0.41</v>
      </c>
      <c r="U448">
        <v>0.41</v>
      </c>
      <c r="V448">
        <v>0.41</v>
      </c>
      <c r="W448">
        <v>0.41</v>
      </c>
      <c r="X448">
        <v>0.41</v>
      </c>
      <c r="Y448">
        <v>0.12</v>
      </c>
      <c r="Z448">
        <v>0.12</v>
      </c>
      <c r="AA448" t="s">
        <v>9335</v>
      </c>
      <c r="AB448" t="s">
        <v>241</v>
      </c>
      <c r="AC448" t="s">
        <v>3213</v>
      </c>
    </row>
    <row r="449" spans="1:29" x14ac:dyDescent="0.25">
      <c r="A449" t="s">
        <v>1038</v>
      </c>
      <c r="B449" t="s">
        <v>254</v>
      </c>
      <c r="C449" t="s">
        <v>333</v>
      </c>
      <c r="D449" t="s">
        <v>3209</v>
      </c>
      <c r="E449" t="s">
        <v>3246</v>
      </c>
      <c r="F449">
        <v>19750327</v>
      </c>
      <c r="G449" t="s">
        <v>9332</v>
      </c>
      <c r="H449" t="s">
        <v>241</v>
      </c>
      <c r="I449" t="s">
        <v>242</v>
      </c>
      <c r="J449" t="s">
        <v>242</v>
      </c>
      <c r="K449" t="s">
        <v>241</v>
      </c>
      <c r="L449" t="s">
        <v>242</v>
      </c>
      <c r="M449">
        <v>39.085533220000002</v>
      </c>
      <c r="N449">
        <v>-123.1704398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 t="s">
        <v>9335</v>
      </c>
      <c r="AB449" t="s">
        <v>242</v>
      </c>
      <c r="AC449" t="s">
        <v>3213</v>
      </c>
    </row>
    <row r="450" spans="1:29" x14ac:dyDescent="0.25">
      <c r="A450" t="s">
        <v>1039</v>
      </c>
      <c r="B450" t="s">
        <v>254</v>
      </c>
      <c r="C450" t="s">
        <v>333</v>
      </c>
      <c r="D450" t="s">
        <v>3209</v>
      </c>
      <c r="E450" t="s">
        <v>3226</v>
      </c>
      <c r="F450">
        <v>19750327</v>
      </c>
      <c r="G450" t="s">
        <v>9332</v>
      </c>
      <c r="H450" t="s">
        <v>241</v>
      </c>
      <c r="I450" t="s">
        <v>242</v>
      </c>
      <c r="J450" t="s">
        <v>242</v>
      </c>
      <c r="K450" t="s">
        <v>241</v>
      </c>
      <c r="L450" t="s">
        <v>242</v>
      </c>
      <c r="M450">
        <v>39.089599999999997</v>
      </c>
      <c r="N450">
        <v>-123.1729</v>
      </c>
      <c r="O450">
        <v>0</v>
      </c>
      <c r="P450">
        <v>0</v>
      </c>
      <c r="Q450">
        <v>1.1299999999999999</v>
      </c>
      <c r="R450">
        <v>0.06</v>
      </c>
      <c r="S450">
        <v>0.03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 t="s">
        <v>9343</v>
      </c>
      <c r="AB450" t="s">
        <v>242</v>
      </c>
      <c r="AC450" t="s">
        <v>3213</v>
      </c>
    </row>
    <row r="451" spans="1:29" x14ac:dyDescent="0.25">
      <c r="A451" t="s">
        <v>1040</v>
      </c>
      <c r="B451" t="s">
        <v>254</v>
      </c>
      <c r="C451" t="s">
        <v>354</v>
      </c>
      <c r="D451" t="s">
        <v>3209</v>
      </c>
      <c r="E451" t="s">
        <v>3226</v>
      </c>
      <c r="F451">
        <v>19750331</v>
      </c>
      <c r="G451" t="s">
        <v>9334</v>
      </c>
      <c r="H451" t="s">
        <v>242</v>
      </c>
      <c r="I451" t="s">
        <v>242</v>
      </c>
      <c r="J451" t="s">
        <v>242</v>
      </c>
      <c r="K451" t="s">
        <v>241</v>
      </c>
      <c r="L451" t="s">
        <v>242</v>
      </c>
      <c r="M451">
        <v>38.866318919999998</v>
      </c>
      <c r="N451">
        <v>-123.0498652</v>
      </c>
      <c r="O451">
        <v>5</v>
      </c>
      <c r="P451">
        <v>4</v>
      </c>
      <c r="Q451">
        <v>5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 t="s">
        <v>9335</v>
      </c>
      <c r="AB451" t="s">
        <v>242</v>
      </c>
      <c r="AC451" t="s">
        <v>3213</v>
      </c>
    </row>
    <row r="452" spans="1:29" x14ac:dyDescent="0.25">
      <c r="A452" t="s">
        <v>99</v>
      </c>
      <c r="B452" t="s">
        <v>254</v>
      </c>
      <c r="C452" t="s">
        <v>354</v>
      </c>
      <c r="D452" t="s">
        <v>3209</v>
      </c>
      <c r="E452" t="s">
        <v>3246</v>
      </c>
      <c r="F452">
        <v>19750331</v>
      </c>
      <c r="G452" t="s">
        <v>9332</v>
      </c>
      <c r="H452" t="s">
        <v>241</v>
      </c>
      <c r="I452" t="s">
        <v>242</v>
      </c>
      <c r="J452" t="s">
        <v>242</v>
      </c>
      <c r="K452" t="s">
        <v>241</v>
      </c>
      <c r="L452" t="s">
        <v>242</v>
      </c>
      <c r="M452">
        <v>38.725565789999997</v>
      </c>
      <c r="N452">
        <v>-122.9229947</v>
      </c>
      <c r="O452">
        <v>0</v>
      </c>
      <c r="P452">
        <v>0</v>
      </c>
      <c r="Q452">
        <v>0</v>
      </c>
      <c r="R452">
        <v>0</v>
      </c>
      <c r="S452">
        <v>8.3333333333333297E-3</v>
      </c>
      <c r="T452">
        <v>1.02</v>
      </c>
      <c r="U452">
        <v>2.76</v>
      </c>
      <c r="V452">
        <v>2.85</v>
      </c>
      <c r="W452">
        <v>2.2200000000000002</v>
      </c>
      <c r="X452">
        <v>0.45</v>
      </c>
      <c r="Y452">
        <v>0</v>
      </c>
      <c r="Z452">
        <v>0</v>
      </c>
      <c r="AA452" t="s">
        <v>9335</v>
      </c>
      <c r="AB452" t="s">
        <v>242</v>
      </c>
      <c r="AC452" t="s">
        <v>3229</v>
      </c>
    </row>
    <row r="453" spans="1:29" x14ac:dyDescent="0.25">
      <c r="A453" t="s">
        <v>1042</v>
      </c>
      <c r="B453" t="s">
        <v>254</v>
      </c>
      <c r="C453" t="s">
        <v>317</v>
      </c>
      <c r="D453" t="s">
        <v>3209</v>
      </c>
      <c r="E453" t="s">
        <v>3246</v>
      </c>
      <c r="F453">
        <v>19750506</v>
      </c>
      <c r="G453" t="s">
        <v>9332</v>
      </c>
      <c r="H453" t="s">
        <v>242</v>
      </c>
      <c r="I453" t="s">
        <v>242</v>
      </c>
      <c r="J453" t="s">
        <v>242</v>
      </c>
      <c r="K453" t="s">
        <v>241</v>
      </c>
      <c r="L453" t="s">
        <v>242</v>
      </c>
      <c r="M453">
        <v>39.2545</v>
      </c>
      <c r="N453">
        <v>-123.2269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 t="s">
        <v>9335</v>
      </c>
      <c r="AB453" t="s">
        <v>242</v>
      </c>
      <c r="AC453" t="s">
        <v>3213</v>
      </c>
    </row>
    <row r="454" spans="1:29" x14ac:dyDescent="0.25">
      <c r="A454" t="s">
        <v>1043</v>
      </c>
      <c r="B454" t="s">
        <v>254</v>
      </c>
      <c r="C454" t="s">
        <v>333</v>
      </c>
      <c r="D454" t="s">
        <v>3209</v>
      </c>
      <c r="E454" t="s">
        <v>3246</v>
      </c>
      <c r="F454">
        <v>19750507</v>
      </c>
      <c r="G454" t="s">
        <v>9332</v>
      </c>
      <c r="H454" t="s">
        <v>242</v>
      </c>
      <c r="I454" t="s">
        <v>242</v>
      </c>
      <c r="J454" t="s">
        <v>242</v>
      </c>
      <c r="K454" t="s">
        <v>241</v>
      </c>
      <c r="L454" t="s">
        <v>242</v>
      </c>
      <c r="M454">
        <v>39.09478283</v>
      </c>
      <c r="N454">
        <v>-123.23226080000001</v>
      </c>
      <c r="O454">
        <v>0</v>
      </c>
      <c r="P454">
        <v>0</v>
      </c>
      <c r="Q454">
        <v>0</v>
      </c>
      <c r="R454">
        <v>0</v>
      </c>
      <c r="S454">
        <v>0.1</v>
      </c>
      <c r="T454">
        <v>0.15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 t="s">
        <v>9335</v>
      </c>
      <c r="AB454" t="s">
        <v>242</v>
      </c>
      <c r="AC454" t="s">
        <v>3213</v>
      </c>
    </row>
    <row r="455" spans="1:29" x14ac:dyDescent="0.25">
      <c r="A455" t="s">
        <v>125</v>
      </c>
      <c r="B455" t="s">
        <v>254</v>
      </c>
      <c r="C455" t="s">
        <v>331</v>
      </c>
      <c r="D455" t="s">
        <v>3209</v>
      </c>
      <c r="E455" t="s">
        <v>3246</v>
      </c>
      <c r="F455">
        <v>19750612</v>
      </c>
      <c r="G455" t="s">
        <v>9332</v>
      </c>
      <c r="H455" t="s">
        <v>241</v>
      </c>
      <c r="I455" t="s">
        <v>242</v>
      </c>
      <c r="J455" t="s">
        <v>242</v>
      </c>
      <c r="K455" t="s">
        <v>241</v>
      </c>
      <c r="L455" t="s">
        <v>242</v>
      </c>
      <c r="M455">
        <v>39.164802739999999</v>
      </c>
      <c r="N455">
        <v>-123.1927378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2.9</v>
      </c>
      <c r="U455">
        <v>3.63</v>
      </c>
      <c r="V455">
        <v>3.8</v>
      </c>
      <c r="W455">
        <v>2.13</v>
      </c>
      <c r="X455">
        <v>0</v>
      </c>
      <c r="Y455">
        <v>0</v>
      </c>
      <c r="Z455">
        <v>0</v>
      </c>
      <c r="AA455" t="s">
        <v>9335</v>
      </c>
      <c r="AB455" t="s">
        <v>242</v>
      </c>
      <c r="AC455" t="s">
        <v>3213</v>
      </c>
    </row>
    <row r="456" spans="1:29" x14ac:dyDescent="0.25">
      <c r="A456" t="s">
        <v>1046</v>
      </c>
      <c r="B456" t="s">
        <v>254</v>
      </c>
      <c r="C456" t="s">
        <v>319</v>
      </c>
      <c r="D456" t="s">
        <v>3209</v>
      </c>
      <c r="E456" t="s">
        <v>3246</v>
      </c>
      <c r="F456">
        <v>19750808</v>
      </c>
      <c r="G456" t="s">
        <v>9332</v>
      </c>
      <c r="H456" t="s">
        <v>242</v>
      </c>
      <c r="I456" t="s">
        <v>242</v>
      </c>
      <c r="J456" t="s">
        <v>242</v>
      </c>
      <c r="K456" t="s">
        <v>241</v>
      </c>
      <c r="L456" t="s">
        <v>242</v>
      </c>
      <c r="M456">
        <v>38.873636810000001</v>
      </c>
      <c r="N456">
        <v>-123.10477400000001</v>
      </c>
      <c r="O456">
        <v>0.33</v>
      </c>
      <c r="P456">
        <v>0.33</v>
      </c>
      <c r="Q456">
        <v>0.33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0.33</v>
      </c>
      <c r="AA456" t="s">
        <v>9335</v>
      </c>
      <c r="AB456" t="s">
        <v>242</v>
      </c>
      <c r="AC456" t="s">
        <v>3213</v>
      </c>
    </row>
    <row r="457" spans="1:29" x14ac:dyDescent="0.25">
      <c r="A457" t="s">
        <v>1047</v>
      </c>
      <c r="B457" t="s">
        <v>254</v>
      </c>
      <c r="C457" t="s">
        <v>311</v>
      </c>
      <c r="D457" t="s">
        <v>3209</v>
      </c>
      <c r="E457" t="s">
        <v>3246</v>
      </c>
      <c r="F457">
        <v>19750825</v>
      </c>
      <c r="G457" t="s">
        <v>9332</v>
      </c>
      <c r="H457" t="s">
        <v>241</v>
      </c>
      <c r="I457" t="s">
        <v>242</v>
      </c>
      <c r="J457" t="s">
        <v>242</v>
      </c>
      <c r="K457" t="s">
        <v>241</v>
      </c>
      <c r="L457" t="s">
        <v>242</v>
      </c>
      <c r="M457">
        <v>38.651142569999998</v>
      </c>
      <c r="N457">
        <v>-122.81347409999999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 t="s">
        <v>9335</v>
      </c>
      <c r="AB457" t="s">
        <v>242</v>
      </c>
      <c r="AC457" t="s">
        <v>3229</v>
      </c>
    </row>
    <row r="458" spans="1:29" x14ac:dyDescent="0.25">
      <c r="A458" t="s">
        <v>1048</v>
      </c>
      <c r="B458" t="s">
        <v>254</v>
      </c>
      <c r="C458" t="s">
        <v>311</v>
      </c>
      <c r="D458" t="s">
        <v>3209</v>
      </c>
      <c r="E458" t="s">
        <v>3226</v>
      </c>
      <c r="F458">
        <v>19750825</v>
      </c>
      <c r="G458" t="s">
        <v>9332</v>
      </c>
      <c r="H458" t="s">
        <v>241</v>
      </c>
      <c r="I458" t="s">
        <v>242</v>
      </c>
      <c r="J458" t="s">
        <v>242</v>
      </c>
      <c r="K458" t="s">
        <v>241</v>
      </c>
      <c r="L458" t="s">
        <v>242</v>
      </c>
      <c r="M458">
        <v>38.652208940000001</v>
      </c>
      <c r="N458">
        <v>-122.8180387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 t="s">
        <v>9343</v>
      </c>
      <c r="AB458" t="s">
        <v>242</v>
      </c>
      <c r="AC458" t="s">
        <v>3229</v>
      </c>
    </row>
    <row r="459" spans="1:29" x14ac:dyDescent="0.25">
      <c r="A459" t="s">
        <v>1052</v>
      </c>
      <c r="B459" t="s">
        <v>254</v>
      </c>
      <c r="C459" t="s">
        <v>311</v>
      </c>
      <c r="D459" t="s">
        <v>3209</v>
      </c>
      <c r="E459" t="s">
        <v>3246</v>
      </c>
      <c r="F459">
        <v>19750910</v>
      </c>
      <c r="G459" t="s">
        <v>9332</v>
      </c>
      <c r="H459" t="s">
        <v>241</v>
      </c>
      <c r="I459" t="s">
        <v>242</v>
      </c>
      <c r="J459" t="s">
        <v>242</v>
      </c>
      <c r="K459" t="s">
        <v>241</v>
      </c>
      <c r="L459" t="s">
        <v>242</v>
      </c>
      <c r="M459">
        <v>38.652473649999997</v>
      </c>
      <c r="N459">
        <v>-122.81944249999999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 t="s">
        <v>9335</v>
      </c>
      <c r="AB459" t="s">
        <v>242</v>
      </c>
      <c r="AC459" t="s">
        <v>3229</v>
      </c>
    </row>
    <row r="460" spans="1:29" x14ac:dyDescent="0.25">
      <c r="A460" t="s">
        <v>1054</v>
      </c>
      <c r="B460" t="s">
        <v>254</v>
      </c>
      <c r="C460" t="s">
        <v>507</v>
      </c>
      <c r="D460" t="s">
        <v>3209</v>
      </c>
      <c r="E460" t="s">
        <v>3246</v>
      </c>
      <c r="F460">
        <v>19750929</v>
      </c>
      <c r="G460" t="s">
        <v>9332</v>
      </c>
      <c r="H460" t="s">
        <v>242</v>
      </c>
      <c r="I460" t="s">
        <v>242</v>
      </c>
      <c r="J460" t="s">
        <v>242</v>
      </c>
      <c r="K460" t="s">
        <v>241</v>
      </c>
      <c r="L460" t="s">
        <v>242</v>
      </c>
      <c r="M460">
        <v>38.611115169999998</v>
      </c>
      <c r="N460">
        <v>-122.84294149999999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 t="s">
        <v>9333</v>
      </c>
      <c r="AB460" t="s">
        <v>242</v>
      </c>
      <c r="AC460" t="s">
        <v>3229</v>
      </c>
    </row>
    <row r="461" spans="1:29" x14ac:dyDescent="0.25">
      <c r="A461" t="s">
        <v>34</v>
      </c>
      <c r="B461" t="s">
        <v>254</v>
      </c>
      <c r="C461" t="s">
        <v>354</v>
      </c>
      <c r="D461" t="s">
        <v>3209</v>
      </c>
      <c r="E461" t="s">
        <v>3226</v>
      </c>
      <c r="F461">
        <v>19750922</v>
      </c>
      <c r="G461" t="s">
        <v>9334</v>
      </c>
      <c r="H461" t="s">
        <v>241</v>
      </c>
      <c r="I461" t="s">
        <v>242</v>
      </c>
      <c r="J461" t="s">
        <v>242</v>
      </c>
      <c r="K461" t="s">
        <v>241</v>
      </c>
      <c r="L461" t="s">
        <v>242</v>
      </c>
      <c r="M461">
        <v>38.770428649999999</v>
      </c>
      <c r="N461">
        <v>-122.9775953</v>
      </c>
      <c r="O461">
        <v>0.93</v>
      </c>
      <c r="P461">
        <v>0.9</v>
      </c>
      <c r="Q461">
        <v>0.93</v>
      </c>
      <c r="R461">
        <v>1.2</v>
      </c>
      <c r="S461">
        <v>1.86</v>
      </c>
      <c r="T461">
        <v>2.1</v>
      </c>
      <c r="U461">
        <v>2.33</v>
      </c>
      <c r="V461">
        <v>2.2999999999999998</v>
      </c>
      <c r="W461">
        <v>2.36</v>
      </c>
      <c r="X461">
        <v>2.2599999999999998</v>
      </c>
      <c r="Y461">
        <v>1.43</v>
      </c>
      <c r="Z461">
        <v>1.23</v>
      </c>
      <c r="AA461" t="s">
        <v>9333</v>
      </c>
      <c r="AB461" t="s">
        <v>242</v>
      </c>
      <c r="AC461" t="s">
        <v>3229</v>
      </c>
    </row>
    <row r="462" spans="1:29" x14ac:dyDescent="0.25">
      <c r="A462" t="s">
        <v>1058</v>
      </c>
      <c r="B462" t="s">
        <v>254</v>
      </c>
      <c r="C462" t="s">
        <v>354</v>
      </c>
      <c r="D462" t="s">
        <v>3209</v>
      </c>
      <c r="E462" t="s">
        <v>3246</v>
      </c>
      <c r="F462">
        <v>19750930</v>
      </c>
      <c r="G462" t="s">
        <v>9332</v>
      </c>
      <c r="H462" t="s">
        <v>241</v>
      </c>
      <c r="I462" t="s">
        <v>242</v>
      </c>
      <c r="J462" t="s">
        <v>242</v>
      </c>
      <c r="K462" t="s">
        <v>241</v>
      </c>
      <c r="L462" t="s">
        <v>242</v>
      </c>
      <c r="M462">
        <v>38.799338349999999</v>
      </c>
      <c r="N462">
        <v>-123.0008018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6.9</v>
      </c>
      <c r="U462">
        <v>8.93</v>
      </c>
      <c r="V462">
        <v>8.36</v>
      </c>
      <c r="W462">
        <v>0</v>
      </c>
      <c r="X462">
        <v>0</v>
      </c>
      <c r="Y462">
        <v>0</v>
      </c>
      <c r="Z462">
        <v>0</v>
      </c>
      <c r="AA462" t="s">
        <v>9335</v>
      </c>
      <c r="AB462" t="s">
        <v>242</v>
      </c>
      <c r="AC462" t="s">
        <v>3229</v>
      </c>
    </row>
    <row r="463" spans="1:29" x14ac:dyDescent="0.25">
      <c r="A463" t="s">
        <v>1059</v>
      </c>
      <c r="B463" t="s">
        <v>254</v>
      </c>
      <c r="C463" t="s">
        <v>354</v>
      </c>
      <c r="D463" t="s">
        <v>3209</v>
      </c>
      <c r="E463" t="s">
        <v>3226</v>
      </c>
      <c r="F463">
        <v>19750930</v>
      </c>
      <c r="G463" t="s">
        <v>9332</v>
      </c>
      <c r="H463" t="s">
        <v>241</v>
      </c>
      <c r="I463" t="s">
        <v>242</v>
      </c>
      <c r="J463" t="s">
        <v>242</v>
      </c>
      <c r="K463" t="s">
        <v>241</v>
      </c>
      <c r="L463" t="s">
        <v>242</v>
      </c>
      <c r="M463">
        <v>38.799338349999999</v>
      </c>
      <c r="N463">
        <v>-123.0008018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 t="s">
        <v>9343</v>
      </c>
      <c r="AB463" t="s">
        <v>242</v>
      </c>
      <c r="AC463" t="s">
        <v>3229</v>
      </c>
    </row>
    <row r="464" spans="1:29" x14ac:dyDescent="0.25">
      <c r="A464" t="s">
        <v>1060</v>
      </c>
      <c r="B464" t="s">
        <v>254</v>
      </c>
      <c r="C464" t="s">
        <v>354</v>
      </c>
      <c r="D464" t="s">
        <v>3209</v>
      </c>
      <c r="E464" t="s">
        <v>3246</v>
      </c>
      <c r="F464">
        <v>19750930</v>
      </c>
      <c r="G464" t="s">
        <v>9332</v>
      </c>
      <c r="H464" t="s">
        <v>241</v>
      </c>
      <c r="I464" t="s">
        <v>242</v>
      </c>
      <c r="J464" t="s">
        <v>242</v>
      </c>
      <c r="K464" t="s">
        <v>241</v>
      </c>
      <c r="L464" t="s">
        <v>242</v>
      </c>
      <c r="M464">
        <v>38.728049830000003</v>
      </c>
      <c r="N464">
        <v>-122.9168885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10.06</v>
      </c>
      <c r="U464">
        <v>11.6</v>
      </c>
      <c r="V464">
        <v>13.63</v>
      </c>
      <c r="W464">
        <v>11.06</v>
      </c>
      <c r="X464">
        <v>3.06</v>
      </c>
      <c r="Y464">
        <v>0</v>
      </c>
      <c r="Z464">
        <v>0</v>
      </c>
      <c r="AA464" t="s">
        <v>9335</v>
      </c>
      <c r="AB464" t="s">
        <v>242</v>
      </c>
      <c r="AC464" t="s">
        <v>3229</v>
      </c>
    </row>
    <row r="465" spans="1:29" x14ac:dyDescent="0.25">
      <c r="A465" t="s">
        <v>1061</v>
      </c>
      <c r="B465" t="s">
        <v>254</v>
      </c>
      <c r="C465" t="s">
        <v>331</v>
      </c>
      <c r="D465" t="s">
        <v>3209</v>
      </c>
      <c r="E465" t="s">
        <v>3246</v>
      </c>
      <c r="F465">
        <v>19751010</v>
      </c>
      <c r="G465" t="s">
        <v>9338</v>
      </c>
      <c r="H465" t="s">
        <v>242</v>
      </c>
      <c r="I465" t="s">
        <v>242</v>
      </c>
      <c r="J465" t="s">
        <v>242</v>
      </c>
      <c r="K465" t="s">
        <v>241</v>
      </c>
      <c r="L465" t="s">
        <v>242</v>
      </c>
      <c r="M465">
        <v>39.142984349999999</v>
      </c>
      <c r="N465">
        <v>-123.1643365</v>
      </c>
      <c r="O465">
        <v>1.88</v>
      </c>
      <c r="P465">
        <v>0</v>
      </c>
      <c r="Q465">
        <v>0</v>
      </c>
      <c r="R465">
        <v>0.17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0.02</v>
      </c>
      <c r="Y465">
        <v>3.94</v>
      </c>
      <c r="Z465">
        <v>2</v>
      </c>
      <c r="AA465" t="s">
        <v>9335</v>
      </c>
      <c r="AB465" t="s">
        <v>242</v>
      </c>
      <c r="AC465" t="s">
        <v>3213</v>
      </c>
    </row>
    <row r="466" spans="1:29" x14ac:dyDescent="0.25">
      <c r="A466" t="s">
        <v>1063</v>
      </c>
      <c r="B466" t="s">
        <v>254</v>
      </c>
      <c r="C466" t="s">
        <v>354</v>
      </c>
      <c r="D466" t="s">
        <v>3209</v>
      </c>
      <c r="E466" t="s">
        <v>3246</v>
      </c>
      <c r="F466">
        <v>19751014</v>
      </c>
      <c r="G466" t="s">
        <v>9332</v>
      </c>
      <c r="H466" t="s">
        <v>241</v>
      </c>
      <c r="I466" t="s">
        <v>242</v>
      </c>
      <c r="J466" t="s">
        <v>242</v>
      </c>
      <c r="K466" t="s">
        <v>241</v>
      </c>
      <c r="L466" t="s">
        <v>242</v>
      </c>
      <c r="M466">
        <v>38.780080759999997</v>
      </c>
      <c r="N466">
        <v>-122.9889541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 t="s">
        <v>9335</v>
      </c>
      <c r="AB466" t="s">
        <v>242</v>
      </c>
      <c r="AC466" t="s">
        <v>3229</v>
      </c>
    </row>
    <row r="467" spans="1:29" x14ac:dyDescent="0.25">
      <c r="A467" t="s">
        <v>1065</v>
      </c>
      <c r="B467" t="s">
        <v>254</v>
      </c>
      <c r="C467" t="s">
        <v>354</v>
      </c>
      <c r="D467" t="s">
        <v>3209</v>
      </c>
      <c r="E467" t="s">
        <v>3246</v>
      </c>
      <c r="F467">
        <v>19751021</v>
      </c>
      <c r="G467" t="s">
        <v>9332</v>
      </c>
      <c r="H467" t="s">
        <v>241</v>
      </c>
      <c r="I467" t="s">
        <v>242</v>
      </c>
      <c r="J467" t="s">
        <v>242</v>
      </c>
      <c r="K467" t="s">
        <v>241</v>
      </c>
      <c r="L467" t="s">
        <v>242</v>
      </c>
      <c r="M467">
        <v>38.831932160000001</v>
      </c>
      <c r="N467">
        <v>-123.01038819999999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 t="s">
        <v>9333</v>
      </c>
      <c r="AB467" t="s">
        <v>242</v>
      </c>
      <c r="AC467" t="s">
        <v>3229</v>
      </c>
    </row>
    <row r="468" spans="1:29" x14ac:dyDescent="0.25">
      <c r="A468" t="s">
        <v>1066</v>
      </c>
      <c r="B468" t="s">
        <v>254</v>
      </c>
      <c r="C468" t="s">
        <v>354</v>
      </c>
      <c r="D468" t="s">
        <v>3209</v>
      </c>
      <c r="E468" t="s">
        <v>3226</v>
      </c>
      <c r="F468">
        <v>19751022</v>
      </c>
      <c r="G468" t="s">
        <v>9332</v>
      </c>
      <c r="H468" t="s">
        <v>241</v>
      </c>
      <c r="I468" t="s">
        <v>242</v>
      </c>
      <c r="J468" t="s">
        <v>242</v>
      </c>
      <c r="K468" t="s">
        <v>241</v>
      </c>
      <c r="L468" t="s">
        <v>242</v>
      </c>
      <c r="M468">
        <v>38.776045770000003</v>
      </c>
      <c r="N468">
        <v>-122.99521249999999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 t="s">
        <v>9333</v>
      </c>
      <c r="AB468" t="s">
        <v>242</v>
      </c>
      <c r="AC468" t="s">
        <v>3229</v>
      </c>
    </row>
    <row r="469" spans="1:29" x14ac:dyDescent="0.25">
      <c r="A469" t="s">
        <v>1067</v>
      </c>
      <c r="B469" t="s">
        <v>254</v>
      </c>
      <c r="C469" t="s">
        <v>354</v>
      </c>
      <c r="D469" t="s">
        <v>3209</v>
      </c>
      <c r="E469" t="s">
        <v>3246</v>
      </c>
      <c r="F469">
        <v>19751027</v>
      </c>
      <c r="G469" t="s">
        <v>9332</v>
      </c>
      <c r="H469" t="s">
        <v>241</v>
      </c>
      <c r="I469" t="s">
        <v>242</v>
      </c>
      <c r="J469" t="s">
        <v>242</v>
      </c>
      <c r="K469" t="s">
        <v>241</v>
      </c>
      <c r="L469" t="s">
        <v>242</v>
      </c>
      <c r="M469">
        <v>38.830568499999998</v>
      </c>
      <c r="N469">
        <v>-123.00931559999999</v>
      </c>
      <c r="O469">
        <v>0.05</v>
      </c>
      <c r="P469">
        <v>0.05</v>
      </c>
      <c r="Q469">
        <v>7.0000000000000007E-2</v>
      </c>
      <c r="R469">
        <v>7.0000000000000007E-2</v>
      </c>
      <c r="S469">
        <v>0.08</v>
      </c>
      <c r="T469">
        <v>0.08</v>
      </c>
      <c r="U469">
        <v>0.08</v>
      </c>
      <c r="V469">
        <v>0.08</v>
      </c>
      <c r="W469">
        <v>0.08</v>
      </c>
      <c r="X469">
        <v>0.08</v>
      </c>
      <c r="Y469">
        <v>0.06</v>
      </c>
      <c r="Z469">
        <v>0.06</v>
      </c>
      <c r="AA469" t="s">
        <v>9333</v>
      </c>
      <c r="AB469" t="s">
        <v>241</v>
      </c>
      <c r="AC469" t="s">
        <v>3229</v>
      </c>
    </row>
    <row r="470" spans="1:29" x14ac:dyDescent="0.25">
      <c r="A470" t="s">
        <v>1070</v>
      </c>
      <c r="B470" t="s">
        <v>254</v>
      </c>
      <c r="C470" t="s">
        <v>507</v>
      </c>
      <c r="D470" t="s">
        <v>3209</v>
      </c>
      <c r="E470" t="s">
        <v>3246</v>
      </c>
      <c r="F470">
        <v>19751117</v>
      </c>
      <c r="G470" t="s">
        <v>9332</v>
      </c>
      <c r="H470" t="s">
        <v>242</v>
      </c>
      <c r="I470" t="s">
        <v>242</v>
      </c>
      <c r="J470" t="s">
        <v>242</v>
      </c>
      <c r="K470" t="s">
        <v>241</v>
      </c>
      <c r="L470" t="s">
        <v>242</v>
      </c>
      <c r="M470">
        <v>38.596487089999997</v>
      </c>
      <c r="N470">
        <v>-122.85309119999999</v>
      </c>
      <c r="O470">
        <v>0.19</v>
      </c>
      <c r="P470">
        <v>0.16</v>
      </c>
      <c r="Q470">
        <v>0.18</v>
      </c>
      <c r="R470">
        <v>0.18</v>
      </c>
      <c r="S470">
        <v>0.18</v>
      </c>
      <c r="T470">
        <v>0.18</v>
      </c>
      <c r="U470">
        <v>0.18</v>
      </c>
      <c r="V470">
        <v>0.18</v>
      </c>
      <c r="W470">
        <v>0.18</v>
      </c>
      <c r="X470">
        <v>0.18</v>
      </c>
      <c r="Y470">
        <v>0.18</v>
      </c>
      <c r="Z470">
        <v>0.18</v>
      </c>
      <c r="AA470" t="s">
        <v>9333</v>
      </c>
      <c r="AB470" t="s">
        <v>242</v>
      </c>
      <c r="AC470" t="s">
        <v>3229</v>
      </c>
    </row>
    <row r="471" spans="1:29" x14ac:dyDescent="0.25">
      <c r="A471" t="s">
        <v>1071</v>
      </c>
      <c r="B471" t="s">
        <v>254</v>
      </c>
      <c r="C471" t="s">
        <v>507</v>
      </c>
      <c r="D471" t="s">
        <v>3209</v>
      </c>
      <c r="E471" t="s">
        <v>3246</v>
      </c>
      <c r="F471">
        <v>19751117</v>
      </c>
      <c r="G471" t="s">
        <v>9332</v>
      </c>
      <c r="H471" t="s">
        <v>241</v>
      </c>
      <c r="I471" t="s">
        <v>242</v>
      </c>
      <c r="J471" t="s">
        <v>242</v>
      </c>
      <c r="K471" t="s">
        <v>241</v>
      </c>
      <c r="L471" t="s">
        <v>242</v>
      </c>
      <c r="M471">
        <v>38.619192460000001</v>
      </c>
      <c r="N471">
        <v>-122.82711070000001</v>
      </c>
      <c r="O471">
        <v>0.01</v>
      </c>
      <c r="P471">
        <v>0.01</v>
      </c>
      <c r="Q471">
        <v>0.01</v>
      </c>
      <c r="R471">
        <v>0.01</v>
      </c>
      <c r="S471">
        <v>0.01</v>
      </c>
      <c r="T471">
        <v>0.01</v>
      </c>
      <c r="U471">
        <v>0.01</v>
      </c>
      <c r="V471">
        <v>0.01</v>
      </c>
      <c r="W471">
        <v>0.01</v>
      </c>
      <c r="X471">
        <v>0.01</v>
      </c>
      <c r="Y471">
        <v>0.01</v>
      </c>
      <c r="Z471">
        <v>0.01</v>
      </c>
      <c r="AA471" t="s">
        <v>9333</v>
      </c>
      <c r="AB471" t="s">
        <v>242</v>
      </c>
      <c r="AC471" t="s">
        <v>3229</v>
      </c>
    </row>
    <row r="472" spans="1:29" x14ac:dyDescent="0.25">
      <c r="A472" t="s">
        <v>1072</v>
      </c>
      <c r="B472" t="s">
        <v>254</v>
      </c>
      <c r="C472" t="s">
        <v>507</v>
      </c>
      <c r="D472" t="s">
        <v>3209</v>
      </c>
      <c r="E472" t="s">
        <v>3246</v>
      </c>
      <c r="F472">
        <v>19751118</v>
      </c>
      <c r="G472" t="s">
        <v>9332</v>
      </c>
      <c r="H472" t="s">
        <v>241</v>
      </c>
      <c r="I472" t="s">
        <v>242</v>
      </c>
      <c r="J472" t="s">
        <v>242</v>
      </c>
      <c r="K472" t="s">
        <v>241</v>
      </c>
      <c r="L472" t="s">
        <v>242</v>
      </c>
      <c r="M472">
        <v>38.614222550000001</v>
      </c>
      <c r="N472">
        <v>-122.8309031</v>
      </c>
      <c r="O472">
        <v>0.02</v>
      </c>
      <c r="P472">
        <v>0.02</v>
      </c>
      <c r="Q472">
        <v>0.02</v>
      </c>
      <c r="R472">
        <v>0.02</v>
      </c>
      <c r="S472">
        <v>0.02</v>
      </c>
      <c r="T472">
        <v>0.02</v>
      </c>
      <c r="U472">
        <v>0.02</v>
      </c>
      <c r="V472">
        <v>0.02</v>
      </c>
      <c r="W472">
        <v>0.02</v>
      </c>
      <c r="X472">
        <v>0.02</v>
      </c>
      <c r="Y472">
        <v>0.02</v>
      </c>
      <c r="Z472">
        <v>0.02</v>
      </c>
      <c r="AA472" t="s">
        <v>9333</v>
      </c>
      <c r="AB472" t="s">
        <v>242</v>
      </c>
      <c r="AC472" t="s">
        <v>3229</v>
      </c>
    </row>
    <row r="473" spans="1:29" x14ac:dyDescent="0.25">
      <c r="A473" t="s">
        <v>1082</v>
      </c>
      <c r="B473" t="s">
        <v>254</v>
      </c>
      <c r="C473" t="s">
        <v>348</v>
      </c>
      <c r="D473" t="s">
        <v>3209</v>
      </c>
      <c r="E473" t="s">
        <v>3246</v>
      </c>
      <c r="F473">
        <v>19751128</v>
      </c>
      <c r="G473" t="s">
        <v>9332</v>
      </c>
      <c r="H473" t="s">
        <v>242</v>
      </c>
      <c r="I473" t="s">
        <v>242</v>
      </c>
      <c r="J473" t="s">
        <v>242</v>
      </c>
      <c r="K473" t="s">
        <v>241</v>
      </c>
      <c r="L473" t="s">
        <v>242</v>
      </c>
      <c r="M473">
        <v>39.296909280000001</v>
      </c>
      <c r="N473">
        <v>-123.0612081</v>
      </c>
      <c r="O473">
        <v>0</v>
      </c>
      <c r="P473">
        <v>0</v>
      </c>
      <c r="Q473">
        <v>0</v>
      </c>
      <c r="R473">
        <v>0</v>
      </c>
      <c r="S473">
        <v>4.6035E-3</v>
      </c>
      <c r="T473">
        <v>4.6035E-3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 t="s">
        <v>9335</v>
      </c>
      <c r="AB473" t="s">
        <v>242</v>
      </c>
      <c r="AC473" t="s">
        <v>3213</v>
      </c>
    </row>
    <row r="474" spans="1:29" x14ac:dyDescent="0.25">
      <c r="A474" t="s">
        <v>1073</v>
      </c>
      <c r="B474" t="s">
        <v>254</v>
      </c>
      <c r="C474" t="s">
        <v>354</v>
      </c>
      <c r="D474" t="s">
        <v>3209</v>
      </c>
      <c r="E474" t="s">
        <v>3246</v>
      </c>
      <c r="F474">
        <v>19751205</v>
      </c>
      <c r="G474" t="s">
        <v>9332</v>
      </c>
      <c r="H474" t="s">
        <v>241</v>
      </c>
      <c r="I474" t="s">
        <v>242</v>
      </c>
      <c r="J474" t="s">
        <v>242</v>
      </c>
      <c r="K474" t="s">
        <v>241</v>
      </c>
      <c r="L474" t="s">
        <v>242</v>
      </c>
      <c r="M474">
        <v>38.764487850000002</v>
      </c>
      <c r="N474">
        <v>-122.9655884</v>
      </c>
      <c r="O474">
        <v>0.06</v>
      </c>
      <c r="P474">
        <v>0.05</v>
      </c>
      <c r="Q474">
        <v>0.03</v>
      </c>
      <c r="R474">
        <v>0.13</v>
      </c>
      <c r="S474">
        <v>0.17</v>
      </c>
      <c r="T474">
        <v>0.28000000000000003</v>
      </c>
      <c r="U474">
        <v>0.63</v>
      </c>
      <c r="V474">
        <v>0.39</v>
      </c>
      <c r="W474">
        <v>0.34</v>
      </c>
      <c r="X474">
        <v>0.27</v>
      </c>
      <c r="Y474">
        <v>0.12</v>
      </c>
      <c r="Z474">
        <v>0.12</v>
      </c>
      <c r="AA474" t="s">
        <v>9335</v>
      </c>
      <c r="AB474" t="s">
        <v>242</v>
      </c>
      <c r="AC474" t="s">
        <v>3229</v>
      </c>
    </row>
    <row r="475" spans="1:29" x14ac:dyDescent="0.25">
      <c r="A475" t="s">
        <v>84</v>
      </c>
      <c r="B475" t="s">
        <v>254</v>
      </c>
      <c r="C475" t="s">
        <v>326</v>
      </c>
      <c r="D475" t="s">
        <v>3209</v>
      </c>
      <c r="E475" t="s">
        <v>3226</v>
      </c>
      <c r="F475">
        <v>19751210</v>
      </c>
      <c r="G475" t="s">
        <v>9332</v>
      </c>
      <c r="H475" t="s">
        <v>241</v>
      </c>
      <c r="I475" t="s">
        <v>242</v>
      </c>
      <c r="J475" t="s">
        <v>242</v>
      </c>
      <c r="K475" t="s">
        <v>241</v>
      </c>
      <c r="L475" t="s">
        <v>242</v>
      </c>
      <c r="M475">
        <v>39.197400860000002</v>
      </c>
      <c r="N475">
        <v>-123.1869349</v>
      </c>
      <c r="O475">
        <v>0</v>
      </c>
      <c r="P475">
        <v>0</v>
      </c>
      <c r="Q475">
        <v>0</v>
      </c>
      <c r="R475">
        <v>18.510000000000002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 t="s">
        <v>9335</v>
      </c>
      <c r="AB475" t="s">
        <v>242</v>
      </c>
      <c r="AC475" t="s">
        <v>3213</v>
      </c>
    </row>
    <row r="476" spans="1:29" x14ac:dyDescent="0.25">
      <c r="A476" t="s">
        <v>1075</v>
      </c>
      <c r="B476" t="s">
        <v>254</v>
      </c>
      <c r="C476" t="s">
        <v>311</v>
      </c>
      <c r="D476" t="s">
        <v>3209</v>
      </c>
      <c r="E476" t="s">
        <v>3226</v>
      </c>
      <c r="F476">
        <v>19751216</v>
      </c>
      <c r="G476" t="s">
        <v>9332</v>
      </c>
      <c r="H476" t="s">
        <v>241</v>
      </c>
      <c r="I476" t="s">
        <v>242</v>
      </c>
      <c r="J476" t="s">
        <v>242</v>
      </c>
      <c r="K476" t="s">
        <v>241</v>
      </c>
      <c r="L476" t="s">
        <v>242</v>
      </c>
      <c r="M476">
        <v>38.640808120000003</v>
      </c>
      <c r="N476">
        <v>-122.7990008</v>
      </c>
      <c r="O476">
        <v>0</v>
      </c>
      <c r="P476">
        <v>0</v>
      </c>
      <c r="Q476">
        <v>0</v>
      </c>
      <c r="R476">
        <v>0</v>
      </c>
      <c r="S476">
        <v>0.03</v>
      </c>
      <c r="T476">
        <v>0.11</v>
      </c>
      <c r="U476">
        <v>0.22</v>
      </c>
      <c r="V476">
        <v>0.22</v>
      </c>
      <c r="W476">
        <v>0</v>
      </c>
      <c r="X476">
        <v>0</v>
      </c>
      <c r="Y476">
        <v>0</v>
      </c>
      <c r="Z476">
        <v>0</v>
      </c>
      <c r="AA476" t="s">
        <v>9335</v>
      </c>
      <c r="AB476" t="s">
        <v>242</v>
      </c>
      <c r="AC476" t="s">
        <v>3229</v>
      </c>
    </row>
    <row r="477" spans="1:29" x14ac:dyDescent="0.25">
      <c r="A477" t="s">
        <v>1076</v>
      </c>
      <c r="B477" t="s">
        <v>254</v>
      </c>
      <c r="C477" t="s">
        <v>311</v>
      </c>
      <c r="D477" t="s">
        <v>3209</v>
      </c>
      <c r="E477" t="s">
        <v>3226</v>
      </c>
      <c r="F477">
        <v>19751216</v>
      </c>
      <c r="G477" t="s">
        <v>9332</v>
      </c>
      <c r="H477" t="s">
        <v>241</v>
      </c>
      <c r="I477" t="s">
        <v>242</v>
      </c>
      <c r="J477" t="s">
        <v>242</v>
      </c>
      <c r="K477" t="s">
        <v>241</v>
      </c>
      <c r="L477" t="s">
        <v>242</v>
      </c>
      <c r="M477">
        <v>38.640808120000003</v>
      </c>
      <c r="N477">
        <v>-122.7990008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 t="s">
        <v>9343</v>
      </c>
      <c r="AB477" t="s">
        <v>242</v>
      </c>
      <c r="AC477" t="s">
        <v>3229</v>
      </c>
    </row>
    <row r="478" spans="1:29" x14ac:dyDescent="0.25">
      <c r="A478" t="s">
        <v>1077</v>
      </c>
      <c r="B478" t="s">
        <v>254</v>
      </c>
      <c r="C478" t="s">
        <v>317</v>
      </c>
      <c r="D478" t="s">
        <v>3209</v>
      </c>
      <c r="E478" t="s">
        <v>3246</v>
      </c>
      <c r="F478">
        <v>19751217</v>
      </c>
      <c r="G478" t="s">
        <v>9332</v>
      </c>
      <c r="H478" t="s">
        <v>242</v>
      </c>
      <c r="I478" t="s">
        <v>242</v>
      </c>
      <c r="J478" t="s">
        <v>242</v>
      </c>
      <c r="K478" t="s">
        <v>241</v>
      </c>
      <c r="L478" t="s">
        <v>242</v>
      </c>
      <c r="M478">
        <v>39.247727079999997</v>
      </c>
      <c r="N478">
        <v>-123.2063199</v>
      </c>
      <c r="O478">
        <v>0.76</v>
      </c>
      <c r="P478">
        <v>0.73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1.45</v>
      </c>
      <c r="AA478" t="s">
        <v>9335</v>
      </c>
      <c r="AB478" t="s">
        <v>242</v>
      </c>
      <c r="AC478" t="s">
        <v>3213</v>
      </c>
    </row>
    <row r="479" spans="1:29" x14ac:dyDescent="0.25">
      <c r="A479" t="s">
        <v>993</v>
      </c>
      <c r="B479" t="s">
        <v>254</v>
      </c>
      <c r="C479" t="s">
        <v>507</v>
      </c>
      <c r="D479" t="s">
        <v>3209</v>
      </c>
      <c r="E479" t="s">
        <v>3246</v>
      </c>
      <c r="F479">
        <v>19760106</v>
      </c>
      <c r="G479" t="s">
        <v>9332</v>
      </c>
      <c r="H479" t="s">
        <v>242</v>
      </c>
      <c r="I479" t="s">
        <v>242</v>
      </c>
      <c r="J479" t="s">
        <v>242</v>
      </c>
      <c r="K479" t="s">
        <v>241</v>
      </c>
      <c r="L479" t="s">
        <v>242</v>
      </c>
      <c r="M479">
        <v>38.587679960000003</v>
      </c>
      <c r="N479">
        <v>-122.8557849</v>
      </c>
      <c r="O479">
        <v>0.2</v>
      </c>
      <c r="P479">
        <v>0.13</v>
      </c>
      <c r="Q479">
        <v>0.1</v>
      </c>
      <c r="R479">
        <v>0.36</v>
      </c>
      <c r="S479">
        <v>0.66</v>
      </c>
      <c r="T479">
        <v>15.73</v>
      </c>
      <c r="U479">
        <v>5.33</v>
      </c>
      <c r="V479">
        <v>0.63</v>
      </c>
      <c r="W479">
        <v>0.73</v>
      </c>
      <c r="X479">
        <v>0.6</v>
      </c>
      <c r="Y479">
        <v>0.36</v>
      </c>
      <c r="Z479">
        <v>0.13</v>
      </c>
      <c r="AA479" t="s">
        <v>9335</v>
      </c>
      <c r="AB479" t="s">
        <v>242</v>
      </c>
      <c r="AC479" t="s">
        <v>3229</v>
      </c>
    </row>
    <row r="480" spans="1:29" x14ac:dyDescent="0.25">
      <c r="A480" t="s">
        <v>995</v>
      </c>
      <c r="B480" t="s">
        <v>254</v>
      </c>
      <c r="C480" t="s">
        <v>507</v>
      </c>
      <c r="D480" t="s">
        <v>3209</v>
      </c>
      <c r="E480" t="s">
        <v>3246</v>
      </c>
      <c r="F480">
        <v>19760106</v>
      </c>
      <c r="G480" t="s">
        <v>9332</v>
      </c>
      <c r="H480" t="s">
        <v>242</v>
      </c>
      <c r="I480" t="s">
        <v>242</v>
      </c>
      <c r="J480" t="s">
        <v>242</v>
      </c>
      <c r="K480" t="s">
        <v>241</v>
      </c>
      <c r="L480" t="s">
        <v>242</v>
      </c>
      <c r="M480">
        <v>38.587679960000003</v>
      </c>
      <c r="N480">
        <v>-122.8557849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10.1</v>
      </c>
      <c r="U480">
        <v>9.36</v>
      </c>
      <c r="V480">
        <v>0</v>
      </c>
      <c r="W480">
        <v>0</v>
      </c>
      <c r="X480">
        <v>0</v>
      </c>
      <c r="Y480">
        <v>0</v>
      </c>
      <c r="Z480">
        <v>0</v>
      </c>
      <c r="AA480" t="s">
        <v>9335</v>
      </c>
      <c r="AB480" t="s">
        <v>242</v>
      </c>
      <c r="AC480" t="s">
        <v>3229</v>
      </c>
    </row>
    <row r="481" spans="1:29" x14ac:dyDescent="0.25">
      <c r="A481" t="s">
        <v>996</v>
      </c>
      <c r="B481" t="s">
        <v>254</v>
      </c>
      <c r="C481" t="s">
        <v>507</v>
      </c>
      <c r="D481" t="s">
        <v>3209</v>
      </c>
      <c r="E481" t="s">
        <v>3226</v>
      </c>
      <c r="F481">
        <v>19760106</v>
      </c>
      <c r="G481" t="s">
        <v>9332</v>
      </c>
      <c r="H481" t="s">
        <v>242</v>
      </c>
      <c r="I481" t="s">
        <v>242</v>
      </c>
      <c r="J481" t="s">
        <v>242</v>
      </c>
      <c r="K481" t="s">
        <v>241</v>
      </c>
      <c r="L481" t="s">
        <v>242</v>
      </c>
      <c r="M481">
        <v>38.587679960000003</v>
      </c>
      <c r="N481">
        <v>-122.8557849</v>
      </c>
      <c r="O481">
        <v>0</v>
      </c>
      <c r="P481">
        <v>0</v>
      </c>
      <c r="Q481">
        <v>0.62</v>
      </c>
      <c r="R481">
        <v>0.01</v>
      </c>
      <c r="S481">
        <v>1.36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 t="s">
        <v>9335</v>
      </c>
      <c r="AB481" t="s">
        <v>242</v>
      </c>
      <c r="AC481" t="s">
        <v>3229</v>
      </c>
    </row>
    <row r="482" spans="1:29" x14ac:dyDescent="0.25">
      <c r="A482" t="s">
        <v>997</v>
      </c>
      <c r="B482" t="s">
        <v>254</v>
      </c>
      <c r="C482" t="s">
        <v>507</v>
      </c>
      <c r="D482" t="s">
        <v>3209</v>
      </c>
      <c r="E482" t="s">
        <v>3226</v>
      </c>
      <c r="F482">
        <v>19760106</v>
      </c>
      <c r="G482" t="s">
        <v>9332</v>
      </c>
      <c r="H482" t="s">
        <v>242</v>
      </c>
      <c r="I482" t="s">
        <v>242</v>
      </c>
      <c r="J482" t="s">
        <v>242</v>
      </c>
      <c r="K482" t="s">
        <v>241</v>
      </c>
      <c r="L482" t="s">
        <v>242</v>
      </c>
      <c r="M482">
        <v>38.587679960000003</v>
      </c>
      <c r="N482">
        <v>-122.8557849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 t="s">
        <v>9335</v>
      </c>
      <c r="AB482" t="s">
        <v>242</v>
      </c>
      <c r="AC482" t="s">
        <v>3229</v>
      </c>
    </row>
    <row r="483" spans="1:29" x14ac:dyDescent="0.25">
      <c r="A483" t="s">
        <v>998</v>
      </c>
      <c r="B483" t="s">
        <v>254</v>
      </c>
      <c r="C483" t="s">
        <v>354</v>
      </c>
      <c r="D483" t="s">
        <v>3209</v>
      </c>
      <c r="E483" t="s">
        <v>3246</v>
      </c>
      <c r="F483">
        <v>19760112</v>
      </c>
      <c r="G483" t="s">
        <v>9332</v>
      </c>
      <c r="H483" t="s">
        <v>241</v>
      </c>
      <c r="I483" t="s">
        <v>242</v>
      </c>
      <c r="J483" t="s">
        <v>242</v>
      </c>
      <c r="K483" t="s">
        <v>241</v>
      </c>
      <c r="L483" t="s">
        <v>242</v>
      </c>
      <c r="M483">
        <v>38.710999999999999</v>
      </c>
      <c r="N483">
        <v>-122.8998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0.04</v>
      </c>
      <c r="U483">
        <v>0.04</v>
      </c>
      <c r="V483">
        <v>0.04</v>
      </c>
      <c r="W483">
        <v>0.02</v>
      </c>
      <c r="X483">
        <v>0</v>
      </c>
      <c r="Y483">
        <v>0</v>
      </c>
      <c r="Z483">
        <v>0</v>
      </c>
      <c r="AA483" t="s">
        <v>9335</v>
      </c>
      <c r="AB483" t="s">
        <v>242</v>
      </c>
      <c r="AC483" t="s">
        <v>3229</v>
      </c>
    </row>
    <row r="484" spans="1:29" x14ac:dyDescent="0.25">
      <c r="A484" t="s">
        <v>36</v>
      </c>
      <c r="B484" t="s">
        <v>254</v>
      </c>
      <c r="C484" t="s">
        <v>354</v>
      </c>
      <c r="D484" t="s">
        <v>3209</v>
      </c>
      <c r="E484" t="s">
        <v>3246</v>
      </c>
      <c r="F484">
        <v>19760209</v>
      </c>
      <c r="G484" t="s">
        <v>9332</v>
      </c>
      <c r="H484" t="s">
        <v>241</v>
      </c>
      <c r="I484" t="s">
        <v>242</v>
      </c>
      <c r="J484" t="s">
        <v>242</v>
      </c>
      <c r="K484" t="s">
        <v>241</v>
      </c>
      <c r="L484" t="s">
        <v>242</v>
      </c>
      <c r="M484">
        <v>38.785362839999998</v>
      </c>
      <c r="N484">
        <v>-122.9974478</v>
      </c>
      <c r="O484">
        <v>0.01</v>
      </c>
      <c r="P484">
        <v>0.02</v>
      </c>
      <c r="Q484">
        <v>0.04</v>
      </c>
      <c r="R484">
        <v>0.09</v>
      </c>
      <c r="S484">
        <v>0.14000000000000001</v>
      </c>
      <c r="T484">
        <v>0.45</v>
      </c>
      <c r="U484">
        <v>0.59</v>
      </c>
      <c r="V484">
        <v>0.71</v>
      </c>
      <c r="W484">
        <v>0.56999999999999995</v>
      </c>
      <c r="X484">
        <v>0.37</v>
      </c>
      <c r="Y484">
        <v>0.04</v>
      </c>
      <c r="Z484">
        <v>0.01</v>
      </c>
      <c r="AA484" t="s">
        <v>9335</v>
      </c>
      <c r="AB484" t="s">
        <v>242</v>
      </c>
      <c r="AC484" t="s">
        <v>3229</v>
      </c>
    </row>
    <row r="485" spans="1:29" x14ac:dyDescent="0.25">
      <c r="A485" t="s">
        <v>1026</v>
      </c>
      <c r="B485" t="s">
        <v>254</v>
      </c>
      <c r="C485" t="s">
        <v>348</v>
      </c>
      <c r="D485" t="s">
        <v>3209</v>
      </c>
      <c r="E485" t="s">
        <v>3246</v>
      </c>
      <c r="F485">
        <v>19760218</v>
      </c>
      <c r="G485" t="s">
        <v>9332</v>
      </c>
      <c r="H485" t="s">
        <v>242</v>
      </c>
      <c r="I485" t="s">
        <v>242</v>
      </c>
      <c r="J485" t="s">
        <v>242</v>
      </c>
      <c r="K485" t="s">
        <v>241</v>
      </c>
      <c r="L485" t="s">
        <v>242</v>
      </c>
      <c r="M485">
        <v>39.292445960000002</v>
      </c>
      <c r="N485">
        <v>-123.0985982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 t="s">
        <v>9335</v>
      </c>
      <c r="AB485" t="s">
        <v>242</v>
      </c>
      <c r="AC485" t="s">
        <v>3213</v>
      </c>
    </row>
    <row r="486" spans="1:29" x14ac:dyDescent="0.25">
      <c r="A486" t="s">
        <v>999</v>
      </c>
      <c r="B486" t="s">
        <v>254</v>
      </c>
      <c r="C486" t="s">
        <v>317</v>
      </c>
      <c r="D486" t="s">
        <v>3209</v>
      </c>
      <c r="E486" t="s">
        <v>3246</v>
      </c>
      <c r="F486">
        <v>19760218</v>
      </c>
      <c r="G486" t="s">
        <v>9332</v>
      </c>
      <c r="H486" t="s">
        <v>242</v>
      </c>
      <c r="I486" t="s">
        <v>242</v>
      </c>
      <c r="J486" t="s">
        <v>242</v>
      </c>
      <c r="K486" t="s">
        <v>241</v>
      </c>
      <c r="L486" t="s">
        <v>242</v>
      </c>
      <c r="M486">
        <v>39.271136310000003</v>
      </c>
      <c r="N486">
        <v>-123.1724526</v>
      </c>
      <c r="O486">
        <v>0.9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 t="s">
        <v>9343</v>
      </c>
      <c r="AB486" t="s">
        <v>242</v>
      </c>
      <c r="AC486" t="s">
        <v>3213</v>
      </c>
    </row>
    <row r="487" spans="1:29" x14ac:dyDescent="0.25">
      <c r="A487" t="s">
        <v>1000</v>
      </c>
      <c r="B487" t="s">
        <v>254</v>
      </c>
      <c r="C487" t="s">
        <v>354</v>
      </c>
      <c r="D487" t="s">
        <v>3209</v>
      </c>
      <c r="E487" t="s">
        <v>3246</v>
      </c>
      <c r="F487">
        <v>19760225</v>
      </c>
      <c r="G487" t="s">
        <v>9332</v>
      </c>
      <c r="H487" t="s">
        <v>241</v>
      </c>
      <c r="I487" t="s">
        <v>242</v>
      </c>
      <c r="J487" t="s">
        <v>242</v>
      </c>
      <c r="K487" t="s">
        <v>241</v>
      </c>
      <c r="L487" t="s">
        <v>242</v>
      </c>
      <c r="M487">
        <v>38.830568499999998</v>
      </c>
      <c r="N487">
        <v>-123.00931559999999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 t="s">
        <v>9333</v>
      </c>
      <c r="AB487" t="s">
        <v>242</v>
      </c>
      <c r="AC487" t="s">
        <v>3229</v>
      </c>
    </row>
    <row r="488" spans="1:29" x14ac:dyDescent="0.25">
      <c r="A488" t="s">
        <v>1002</v>
      </c>
      <c r="B488" t="s">
        <v>254</v>
      </c>
      <c r="C488" t="s">
        <v>354</v>
      </c>
      <c r="D488" t="s">
        <v>3209</v>
      </c>
      <c r="E488" t="s">
        <v>3246</v>
      </c>
      <c r="F488">
        <v>19760302</v>
      </c>
      <c r="G488" t="s">
        <v>9332</v>
      </c>
      <c r="H488" t="s">
        <v>241</v>
      </c>
      <c r="I488" t="s">
        <v>242</v>
      </c>
      <c r="J488" t="s">
        <v>242</v>
      </c>
      <c r="K488" t="s">
        <v>241</v>
      </c>
      <c r="L488" t="s">
        <v>242</v>
      </c>
      <c r="M488">
        <v>38.830568499999998</v>
      </c>
      <c r="N488">
        <v>-123.00931559999999</v>
      </c>
      <c r="O488">
        <v>0.02</v>
      </c>
      <c r="P488">
        <v>0.03</v>
      </c>
      <c r="Q488">
        <v>0.02</v>
      </c>
      <c r="R488">
        <v>0.03</v>
      </c>
      <c r="S488">
        <v>0.08</v>
      </c>
      <c r="T488">
        <v>0.08</v>
      </c>
      <c r="U488">
        <v>0.1</v>
      </c>
      <c r="V488">
        <v>0.1</v>
      </c>
      <c r="W488">
        <v>0.1</v>
      </c>
      <c r="X488">
        <v>0.11</v>
      </c>
      <c r="Y488">
        <v>0.03</v>
      </c>
      <c r="Z488">
        <v>0.03</v>
      </c>
      <c r="AA488" t="s">
        <v>9333</v>
      </c>
      <c r="AB488" t="s">
        <v>242</v>
      </c>
      <c r="AC488" t="s">
        <v>3229</v>
      </c>
    </row>
    <row r="489" spans="1:29" x14ac:dyDescent="0.25">
      <c r="A489" t="s">
        <v>1027</v>
      </c>
      <c r="B489" t="s">
        <v>254</v>
      </c>
      <c r="C489" t="s">
        <v>348</v>
      </c>
      <c r="D489" t="s">
        <v>3209</v>
      </c>
      <c r="E489" t="s">
        <v>3246</v>
      </c>
      <c r="F489">
        <v>19760312</v>
      </c>
      <c r="G489" t="s">
        <v>9332</v>
      </c>
      <c r="H489" t="s">
        <v>242</v>
      </c>
      <c r="I489" t="s">
        <v>242</v>
      </c>
      <c r="J489" t="s">
        <v>242</v>
      </c>
      <c r="K489" t="s">
        <v>241</v>
      </c>
      <c r="L489" t="s">
        <v>242</v>
      </c>
      <c r="M489">
        <v>39.358559900000003</v>
      </c>
      <c r="N489">
        <v>-123.1049333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 t="s">
        <v>9335</v>
      </c>
      <c r="AB489" t="s">
        <v>242</v>
      </c>
      <c r="AC489" t="s">
        <v>3213</v>
      </c>
    </row>
    <row r="490" spans="1:29" x14ac:dyDescent="0.25">
      <c r="A490" t="s">
        <v>1004</v>
      </c>
      <c r="B490" t="s">
        <v>254</v>
      </c>
      <c r="C490" t="s">
        <v>436</v>
      </c>
      <c r="D490" t="s">
        <v>3209</v>
      </c>
      <c r="E490" t="s">
        <v>3246</v>
      </c>
      <c r="F490">
        <v>19760322</v>
      </c>
      <c r="G490" t="s">
        <v>9332</v>
      </c>
      <c r="H490" t="s">
        <v>241</v>
      </c>
      <c r="I490" t="s">
        <v>242</v>
      </c>
      <c r="J490" t="s">
        <v>242</v>
      </c>
      <c r="K490" t="s">
        <v>241</v>
      </c>
      <c r="L490" t="s">
        <v>242</v>
      </c>
      <c r="M490">
        <v>38.677706829999998</v>
      </c>
      <c r="N490">
        <v>-122.8615952</v>
      </c>
      <c r="O490">
        <v>0.49</v>
      </c>
      <c r="P490">
        <v>0.51</v>
      </c>
      <c r="Q490">
        <v>0.47</v>
      </c>
      <c r="R490">
        <v>0.53</v>
      </c>
      <c r="S490">
        <v>0.61</v>
      </c>
      <c r="T490">
        <v>0.85</v>
      </c>
      <c r="U490">
        <v>1.31</v>
      </c>
      <c r="V490">
        <v>1.64</v>
      </c>
      <c r="W490">
        <v>1.39</v>
      </c>
      <c r="X490">
        <v>0.81</v>
      </c>
      <c r="Y490">
        <v>0.49</v>
      </c>
      <c r="Z490">
        <v>0.45</v>
      </c>
      <c r="AA490" t="s">
        <v>9335</v>
      </c>
      <c r="AB490" t="s">
        <v>242</v>
      </c>
      <c r="AC490" t="s">
        <v>3229</v>
      </c>
    </row>
    <row r="491" spans="1:29" x14ac:dyDescent="0.25">
      <c r="A491" t="s">
        <v>1005</v>
      </c>
      <c r="B491" t="s">
        <v>254</v>
      </c>
      <c r="C491" t="s">
        <v>354</v>
      </c>
      <c r="D491" t="s">
        <v>3209</v>
      </c>
      <c r="E491" t="s">
        <v>3246</v>
      </c>
      <c r="F491">
        <v>19760324</v>
      </c>
      <c r="G491" t="s">
        <v>9332</v>
      </c>
      <c r="H491" t="s">
        <v>241</v>
      </c>
      <c r="I491" t="s">
        <v>242</v>
      </c>
      <c r="J491" t="s">
        <v>242</v>
      </c>
      <c r="K491" t="s">
        <v>241</v>
      </c>
      <c r="L491" t="s">
        <v>242</v>
      </c>
      <c r="M491">
        <v>38.830568499999998</v>
      </c>
      <c r="N491">
        <v>-123.00931559999999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 t="s">
        <v>9335</v>
      </c>
      <c r="AB491" t="s">
        <v>242</v>
      </c>
      <c r="AC491" t="s">
        <v>3229</v>
      </c>
    </row>
    <row r="492" spans="1:29" x14ac:dyDescent="0.25">
      <c r="A492" t="s">
        <v>1006</v>
      </c>
      <c r="B492" t="s">
        <v>254</v>
      </c>
      <c r="C492" t="s">
        <v>311</v>
      </c>
      <c r="D492" t="s">
        <v>3209</v>
      </c>
      <c r="E492" t="s">
        <v>3246</v>
      </c>
      <c r="F492">
        <v>19760331</v>
      </c>
      <c r="G492" t="s">
        <v>9332</v>
      </c>
      <c r="H492" t="s">
        <v>242</v>
      </c>
      <c r="I492" t="s">
        <v>242</v>
      </c>
      <c r="J492" t="s">
        <v>242</v>
      </c>
      <c r="K492" t="s">
        <v>241</v>
      </c>
      <c r="L492" t="s">
        <v>242</v>
      </c>
      <c r="M492">
        <v>38.614201999999999</v>
      </c>
      <c r="N492">
        <v>-122.6632534</v>
      </c>
      <c r="O492">
        <v>2.66</v>
      </c>
      <c r="P492">
        <v>2</v>
      </c>
      <c r="Q492">
        <v>2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1.33</v>
      </c>
      <c r="AA492" t="s">
        <v>9343</v>
      </c>
      <c r="AB492" t="s">
        <v>242</v>
      </c>
      <c r="AC492" t="s">
        <v>3229</v>
      </c>
    </row>
    <row r="493" spans="1:29" x14ac:dyDescent="0.25">
      <c r="A493" t="s">
        <v>1007</v>
      </c>
      <c r="B493" t="s">
        <v>254</v>
      </c>
      <c r="C493" t="s">
        <v>333</v>
      </c>
      <c r="D493" t="s">
        <v>3209</v>
      </c>
      <c r="E493" t="s">
        <v>3246</v>
      </c>
      <c r="F493">
        <v>19760420</v>
      </c>
      <c r="G493" t="s">
        <v>9332</v>
      </c>
      <c r="H493" t="s">
        <v>242</v>
      </c>
      <c r="I493" t="s">
        <v>242</v>
      </c>
      <c r="J493" t="s">
        <v>242</v>
      </c>
      <c r="K493" t="s">
        <v>241</v>
      </c>
      <c r="L493" t="s">
        <v>242</v>
      </c>
      <c r="M493">
        <v>39.08004983</v>
      </c>
      <c r="N493">
        <v>-123.2231968</v>
      </c>
      <c r="O493">
        <v>0</v>
      </c>
      <c r="P493">
        <v>0</v>
      </c>
      <c r="Q493">
        <v>0</v>
      </c>
      <c r="R493">
        <v>1.6899999999999999E-4</v>
      </c>
      <c r="S493">
        <v>1.6899999999999999E-4</v>
      </c>
      <c r="T493">
        <v>5.3700000000000004E-4</v>
      </c>
      <c r="U493">
        <v>5.3700000000000004E-4</v>
      </c>
      <c r="V493">
        <v>6.8999999999999997E-4</v>
      </c>
      <c r="W493">
        <v>6.8999999999999997E-4</v>
      </c>
      <c r="X493">
        <v>4.6000000000000001E-4</v>
      </c>
      <c r="Y493">
        <v>0</v>
      </c>
      <c r="Z493">
        <v>0</v>
      </c>
      <c r="AA493" t="s">
        <v>9341</v>
      </c>
      <c r="AB493" t="s">
        <v>242</v>
      </c>
      <c r="AC493" t="s">
        <v>3213</v>
      </c>
    </row>
    <row r="494" spans="1:29" x14ac:dyDescent="0.25">
      <c r="A494" t="s">
        <v>992</v>
      </c>
      <c r="B494" t="s">
        <v>254</v>
      </c>
      <c r="C494" t="s">
        <v>348</v>
      </c>
      <c r="D494" t="s">
        <v>3209</v>
      </c>
      <c r="E494" t="s">
        <v>3246</v>
      </c>
      <c r="F494">
        <v>19760521</v>
      </c>
      <c r="G494" t="s">
        <v>9332</v>
      </c>
      <c r="H494" t="s">
        <v>242</v>
      </c>
      <c r="I494" t="s">
        <v>242</v>
      </c>
      <c r="J494" t="s">
        <v>242</v>
      </c>
      <c r="K494" t="s">
        <v>241</v>
      </c>
      <c r="L494" t="s">
        <v>242</v>
      </c>
      <c r="M494">
        <v>39.329621359999997</v>
      </c>
      <c r="N494">
        <v>-123.1447859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1</v>
      </c>
      <c r="U494">
        <v>2</v>
      </c>
      <c r="V494">
        <v>2.66</v>
      </c>
      <c r="W494">
        <v>2</v>
      </c>
      <c r="X494">
        <v>0.66</v>
      </c>
      <c r="Y494">
        <v>0</v>
      </c>
      <c r="Z494">
        <v>0</v>
      </c>
      <c r="AA494" t="s">
        <v>9335</v>
      </c>
      <c r="AB494" t="s">
        <v>242</v>
      </c>
      <c r="AC494" t="s">
        <v>3213</v>
      </c>
    </row>
    <row r="495" spans="1:29" x14ac:dyDescent="0.25">
      <c r="A495" t="s">
        <v>1009</v>
      </c>
      <c r="B495" t="s">
        <v>254</v>
      </c>
      <c r="C495" t="s">
        <v>507</v>
      </c>
      <c r="D495" t="s">
        <v>3209</v>
      </c>
      <c r="E495" t="s">
        <v>3246</v>
      </c>
      <c r="F495">
        <v>19760614</v>
      </c>
      <c r="G495" t="s">
        <v>9332</v>
      </c>
      <c r="H495" t="s">
        <v>241</v>
      </c>
      <c r="I495" t="s">
        <v>242</v>
      </c>
      <c r="J495" t="s">
        <v>242</v>
      </c>
      <c r="K495" t="s">
        <v>241</v>
      </c>
      <c r="L495" t="s">
        <v>242</v>
      </c>
      <c r="M495">
        <v>38.614222550000001</v>
      </c>
      <c r="N495">
        <v>-122.8309031</v>
      </c>
      <c r="O495">
        <v>0.01</v>
      </c>
      <c r="P495">
        <v>0.01</v>
      </c>
      <c r="Q495">
        <v>0.01</v>
      </c>
      <c r="R495">
        <v>0.01</v>
      </c>
      <c r="S495">
        <v>0.01</v>
      </c>
      <c r="T495">
        <v>0.01</v>
      </c>
      <c r="U495">
        <v>3.6825E-3</v>
      </c>
      <c r="V495">
        <v>9.5134999999999994E-3</v>
      </c>
      <c r="W495">
        <v>6.1380000000000002E-3</v>
      </c>
      <c r="X495">
        <v>5.8310000000000002E-3</v>
      </c>
      <c r="Y495">
        <v>0.01</v>
      </c>
      <c r="Z495">
        <v>0.01</v>
      </c>
      <c r="AA495" t="s">
        <v>9333</v>
      </c>
      <c r="AB495" t="s">
        <v>242</v>
      </c>
      <c r="AC495" t="s">
        <v>3229</v>
      </c>
    </row>
    <row r="496" spans="1:29" x14ac:dyDescent="0.25">
      <c r="A496" t="s">
        <v>1010</v>
      </c>
      <c r="B496" t="s">
        <v>254</v>
      </c>
      <c r="C496" t="s">
        <v>354</v>
      </c>
      <c r="D496" t="s">
        <v>3209</v>
      </c>
      <c r="E496" t="s">
        <v>3246</v>
      </c>
      <c r="F496">
        <v>19760721</v>
      </c>
      <c r="G496" t="s">
        <v>9332</v>
      </c>
      <c r="H496" t="s">
        <v>241</v>
      </c>
      <c r="I496" t="s">
        <v>242</v>
      </c>
      <c r="J496" t="s">
        <v>242</v>
      </c>
      <c r="K496" t="s">
        <v>241</v>
      </c>
      <c r="L496" t="s">
        <v>242</v>
      </c>
      <c r="M496">
        <v>38.78954418</v>
      </c>
      <c r="N496">
        <v>-122.9901381</v>
      </c>
      <c r="O496">
        <v>0.01</v>
      </c>
      <c r="P496">
        <v>0.01</v>
      </c>
      <c r="Q496">
        <v>0.01</v>
      </c>
      <c r="R496">
        <v>0.01</v>
      </c>
      <c r="S496">
        <v>0.01</v>
      </c>
      <c r="T496">
        <v>0.02</v>
      </c>
      <c r="U496">
        <v>0.02</v>
      </c>
      <c r="V496">
        <v>0.02</v>
      </c>
      <c r="W496">
        <v>0.02</v>
      </c>
      <c r="X496">
        <v>0.02</v>
      </c>
      <c r="Y496">
        <v>0.01</v>
      </c>
      <c r="Z496">
        <v>0.01</v>
      </c>
      <c r="AA496" t="s">
        <v>9333</v>
      </c>
      <c r="AB496" t="s">
        <v>242</v>
      </c>
      <c r="AC496" t="s">
        <v>3229</v>
      </c>
    </row>
    <row r="497" spans="1:29" x14ac:dyDescent="0.25">
      <c r="A497" t="s">
        <v>1011</v>
      </c>
      <c r="B497" t="s">
        <v>254</v>
      </c>
      <c r="C497" t="s">
        <v>331</v>
      </c>
      <c r="D497" t="s">
        <v>3209</v>
      </c>
      <c r="E497" t="s">
        <v>3246</v>
      </c>
      <c r="F497">
        <v>19760804</v>
      </c>
      <c r="G497" t="s">
        <v>9332</v>
      </c>
      <c r="H497" t="s">
        <v>242</v>
      </c>
      <c r="I497" t="s">
        <v>242</v>
      </c>
      <c r="J497" t="s">
        <v>242</v>
      </c>
      <c r="K497" t="s">
        <v>241</v>
      </c>
      <c r="L497" t="s">
        <v>242</v>
      </c>
      <c r="M497">
        <v>39.127933259999999</v>
      </c>
      <c r="N497">
        <v>-123.15915339999999</v>
      </c>
      <c r="O497">
        <v>1.69</v>
      </c>
      <c r="P497">
        <v>1.58</v>
      </c>
      <c r="Q497">
        <v>1.1200000000000001</v>
      </c>
      <c r="R497">
        <v>0.04</v>
      </c>
      <c r="S497">
        <v>3.333333E-3</v>
      </c>
      <c r="T497">
        <v>3.333333E-3</v>
      </c>
      <c r="U497">
        <v>3.333333E-3</v>
      </c>
      <c r="V497">
        <v>0</v>
      </c>
      <c r="W497">
        <v>3.333333E-3</v>
      </c>
      <c r="X497">
        <v>0</v>
      </c>
      <c r="Y497">
        <v>0.1</v>
      </c>
      <c r="Z497">
        <v>3.333333E-3</v>
      </c>
      <c r="AA497" t="s">
        <v>9335</v>
      </c>
      <c r="AB497" t="s">
        <v>242</v>
      </c>
      <c r="AC497" t="s">
        <v>3213</v>
      </c>
    </row>
    <row r="498" spans="1:29" x14ac:dyDescent="0.25">
      <c r="A498" t="s">
        <v>1014</v>
      </c>
      <c r="B498" t="s">
        <v>254</v>
      </c>
      <c r="C498" t="s">
        <v>436</v>
      </c>
      <c r="D498" t="s">
        <v>3209</v>
      </c>
      <c r="E498" t="s">
        <v>3246</v>
      </c>
      <c r="F498">
        <v>19760921</v>
      </c>
      <c r="G498" t="s">
        <v>9332</v>
      </c>
      <c r="H498" t="s">
        <v>241</v>
      </c>
      <c r="I498" t="s">
        <v>242</v>
      </c>
      <c r="J498" t="s">
        <v>242</v>
      </c>
      <c r="K498" t="s">
        <v>241</v>
      </c>
      <c r="L498" t="s">
        <v>242</v>
      </c>
      <c r="M498">
        <v>38.679060270000001</v>
      </c>
      <c r="N498">
        <v>-122.8460025</v>
      </c>
      <c r="O498">
        <v>0</v>
      </c>
      <c r="P498">
        <v>0</v>
      </c>
      <c r="Q498">
        <v>0</v>
      </c>
      <c r="R498">
        <v>0</v>
      </c>
      <c r="S498">
        <v>0.78</v>
      </c>
      <c r="T498">
        <v>3.18</v>
      </c>
      <c r="U498">
        <v>7.05</v>
      </c>
      <c r="V498">
        <v>8.7799999999999994</v>
      </c>
      <c r="W498">
        <v>0</v>
      </c>
      <c r="X498">
        <v>0</v>
      </c>
      <c r="Y498">
        <v>0</v>
      </c>
      <c r="Z498">
        <v>0</v>
      </c>
      <c r="AA498" t="s">
        <v>9335</v>
      </c>
      <c r="AB498" t="s">
        <v>242</v>
      </c>
      <c r="AC498" t="s">
        <v>3229</v>
      </c>
    </row>
    <row r="499" spans="1:29" x14ac:dyDescent="0.25">
      <c r="A499" t="s">
        <v>1015</v>
      </c>
      <c r="B499" t="s">
        <v>254</v>
      </c>
      <c r="C499" t="s">
        <v>354</v>
      </c>
      <c r="D499" t="s">
        <v>3209</v>
      </c>
      <c r="E499" t="s">
        <v>3246</v>
      </c>
      <c r="F499">
        <v>19760921</v>
      </c>
      <c r="G499" t="s">
        <v>9332</v>
      </c>
      <c r="H499" t="s">
        <v>241</v>
      </c>
      <c r="I499" t="s">
        <v>242</v>
      </c>
      <c r="J499" t="s">
        <v>242</v>
      </c>
      <c r="K499" t="s">
        <v>241</v>
      </c>
      <c r="L499" t="s">
        <v>242</v>
      </c>
      <c r="M499">
        <v>38.830025470000002</v>
      </c>
      <c r="N499">
        <v>-123.0086057</v>
      </c>
      <c r="O499">
        <v>0.04</v>
      </c>
      <c r="P499">
        <v>0.04</v>
      </c>
      <c r="Q499">
        <v>0.04</v>
      </c>
      <c r="R499">
        <v>0.04</v>
      </c>
      <c r="S499">
        <v>0.05</v>
      </c>
      <c r="T499">
        <v>0.05</v>
      </c>
      <c r="U499">
        <v>0.05</v>
      </c>
      <c r="V499">
        <v>0.05</v>
      </c>
      <c r="W499">
        <v>0.05</v>
      </c>
      <c r="X499">
        <v>0.04</v>
      </c>
      <c r="Y499">
        <v>0.04</v>
      </c>
      <c r="Z499">
        <v>0.04</v>
      </c>
      <c r="AA499" t="s">
        <v>9333</v>
      </c>
      <c r="AB499" t="s">
        <v>242</v>
      </c>
      <c r="AC499" t="s">
        <v>3229</v>
      </c>
    </row>
    <row r="500" spans="1:29" x14ac:dyDescent="0.25">
      <c r="A500" t="s">
        <v>1025</v>
      </c>
      <c r="B500" t="s">
        <v>254</v>
      </c>
      <c r="C500" t="s">
        <v>348</v>
      </c>
      <c r="D500" t="s">
        <v>3209</v>
      </c>
      <c r="E500" t="s">
        <v>3246</v>
      </c>
      <c r="F500">
        <v>19761123</v>
      </c>
      <c r="G500" t="s">
        <v>9332</v>
      </c>
      <c r="H500" t="s">
        <v>242</v>
      </c>
      <c r="I500" t="s">
        <v>242</v>
      </c>
      <c r="J500" t="s">
        <v>242</v>
      </c>
      <c r="K500" t="s">
        <v>241</v>
      </c>
      <c r="L500" t="s">
        <v>242</v>
      </c>
      <c r="M500">
        <v>39.306572500000001</v>
      </c>
      <c r="N500">
        <v>-123.05534489999999</v>
      </c>
      <c r="O500">
        <v>0.21</v>
      </c>
      <c r="P500">
        <v>0.3</v>
      </c>
      <c r="Q500">
        <v>0.15</v>
      </c>
      <c r="R500">
        <v>0.03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 t="s">
        <v>9342</v>
      </c>
      <c r="AB500" t="s">
        <v>242</v>
      </c>
      <c r="AC500" t="s">
        <v>3213</v>
      </c>
    </row>
    <row r="501" spans="1:29" x14ac:dyDescent="0.25">
      <c r="A501" t="s">
        <v>1016</v>
      </c>
      <c r="B501" t="s">
        <v>254</v>
      </c>
      <c r="C501" t="s">
        <v>507</v>
      </c>
      <c r="D501" t="s">
        <v>3209</v>
      </c>
      <c r="E501" t="s">
        <v>3246</v>
      </c>
      <c r="F501">
        <v>19761207</v>
      </c>
      <c r="G501" t="s">
        <v>9332</v>
      </c>
      <c r="H501" t="s">
        <v>241</v>
      </c>
      <c r="I501" t="s">
        <v>242</v>
      </c>
      <c r="J501" t="s">
        <v>242</v>
      </c>
      <c r="K501" t="s">
        <v>241</v>
      </c>
      <c r="L501" t="s">
        <v>242</v>
      </c>
      <c r="M501">
        <v>38.620141009999998</v>
      </c>
      <c r="N501">
        <v>-122.8288719</v>
      </c>
      <c r="O501">
        <v>3.8E-3</v>
      </c>
      <c r="P501">
        <v>3.8E-3</v>
      </c>
      <c r="Q501">
        <v>3.8E-3</v>
      </c>
      <c r="R501">
        <v>5.3333333333333297E-3</v>
      </c>
      <c r="S501">
        <v>8.5566666666666708E-3</v>
      </c>
      <c r="T501">
        <v>0.01</v>
      </c>
      <c r="U501">
        <v>0.01</v>
      </c>
      <c r="V501">
        <v>9.4039999999999992E-3</v>
      </c>
      <c r="W501">
        <v>9.3299999999999998E-3</v>
      </c>
      <c r="X501">
        <v>8.3803333333333299E-3</v>
      </c>
      <c r="Y501">
        <v>8.3436666666666694E-3</v>
      </c>
      <c r="Z501">
        <v>5.5579999999999996E-3</v>
      </c>
      <c r="AA501" t="s">
        <v>9333</v>
      </c>
      <c r="AB501" t="s">
        <v>242</v>
      </c>
      <c r="AC501" t="s">
        <v>3229</v>
      </c>
    </row>
    <row r="502" spans="1:29" x14ac:dyDescent="0.25">
      <c r="A502" t="s">
        <v>977</v>
      </c>
      <c r="B502" t="s">
        <v>254</v>
      </c>
      <c r="C502" t="s">
        <v>333</v>
      </c>
      <c r="D502" t="s">
        <v>3209</v>
      </c>
      <c r="E502" t="s">
        <v>3246</v>
      </c>
      <c r="F502">
        <v>19770228</v>
      </c>
      <c r="G502" t="s">
        <v>9332</v>
      </c>
      <c r="H502" t="s">
        <v>241</v>
      </c>
      <c r="I502" t="s">
        <v>242</v>
      </c>
      <c r="J502" t="s">
        <v>242</v>
      </c>
      <c r="K502" t="s">
        <v>241</v>
      </c>
      <c r="L502" t="s">
        <v>242</v>
      </c>
      <c r="M502">
        <v>39.102828219999999</v>
      </c>
      <c r="N502">
        <v>-123.1785352</v>
      </c>
      <c r="O502">
        <v>0</v>
      </c>
      <c r="P502">
        <v>0</v>
      </c>
      <c r="Q502">
        <v>0.44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 t="s">
        <v>9343</v>
      </c>
      <c r="AB502" t="s">
        <v>242</v>
      </c>
      <c r="AC502" t="s">
        <v>3213</v>
      </c>
    </row>
    <row r="503" spans="1:29" x14ac:dyDescent="0.25">
      <c r="A503" t="s">
        <v>156</v>
      </c>
      <c r="B503" t="s">
        <v>254</v>
      </c>
      <c r="C503" t="s">
        <v>311</v>
      </c>
      <c r="D503" t="s">
        <v>3209</v>
      </c>
      <c r="E503" t="s">
        <v>3246</v>
      </c>
      <c r="F503">
        <v>19770307</v>
      </c>
      <c r="G503" t="s">
        <v>9332</v>
      </c>
      <c r="H503" t="s">
        <v>242</v>
      </c>
      <c r="I503" t="s">
        <v>242</v>
      </c>
      <c r="J503" t="s">
        <v>242</v>
      </c>
      <c r="K503" t="s">
        <v>241</v>
      </c>
      <c r="L503" t="s">
        <v>242</v>
      </c>
      <c r="M503">
        <v>38.665546759999998</v>
      </c>
      <c r="N503">
        <v>-122.79542530000001</v>
      </c>
      <c r="O503">
        <v>4.7300000000000004</v>
      </c>
      <c r="P503">
        <v>5.13</v>
      </c>
      <c r="Q503">
        <v>3.8</v>
      </c>
      <c r="R503">
        <v>1.26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0.7</v>
      </c>
      <c r="Z503">
        <v>1</v>
      </c>
      <c r="AA503" t="s">
        <v>9335</v>
      </c>
      <c r="AB503" t="s">
        <v>242</v>
      </c>
      <c r="AC503" t="s">
        <v>3229</v>
      </c>
    </row>
    <row r="504" spans="1:29" x14ac:dyDescent="0.25">
      <c r="A504" t="s">
        <v>980</v>
      </c>
      <c r="B504" t="s">
        <v>254</v>
      </c>
      <c r="C504" t="s">
        <v>317</v>
      </c>
      <c r="D504" t="s">
        <v>3209</v>
      </c>
      <c r="E504" t="s">
        <v>3246</v>
      </c>
      <c r="F504">
        <v>19770421</v>
      </c>
      <c r="G504" t="s">
        <v>9332</v>
      </c>
      <c r="H504" t="s">
        <v>242</v>
      </c>
      <c r="I504" t="s">
        <v>242</v>
      </c>
      <c r="J504" t="s">
        <v>242</v>
      </c>
      <c r="K504" t="s">
        <v>241</v>
      </c>
      <c r="L504" t="s">
        <v>242</v>
      </c>
      <c r="M504">
        <v>39.268169880000002</v>
      </c>
      <c r="N504">
        <v>-123.17637740000001</v>
      </c>
      <c r="O504">
        <v>8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 t="s">
        <v>9335</v>
      </c>
      <c r="AB504" t="s">
        <v>242</v>
      </c>
      <c r="AC504" t="s">
        <v>3213</v>
      </c>
    </row>
    <row r="505" spans="1:29" x14ac:dyDescent="0.25">
      <c r="A505" t="s">
        <v>102</v>
      </c>
      <c r="B505" t="s">
        <v>254</v>
      </c>
      <c r="C505" t="s">
        <v>311</v>
      </c>
      <c r="D505" t="s">
        <v>3209</v>
      </c>
      <c r="E505" t="s">
        <v>3246</v>
      </c>
      <c r="F505">
        <v>19770427</v>
      </c>
      <c r="G505" t="s">
        <v>9332</v>
      </c>
      <c r="H505" t="s">
        <v>241</v>
      </c>
      <c r="I505" t="s">
        <v>242</v>
      </c>
      <c r="J505" t="s">
        <v>242</v>
      </c>
      <c r="K505" t="s">
        <v>241</v>
      </c>
      <c r="L505" t="s">
        <v>242</v>
      </c>
      <c r="M505">
        <v>38.639175399999999</v>
      </c>
      <c r="N505">
        <v>-122.7968327</v>
      </c>
      <c r="O505">
        <v>1.06</v>
      </c>
      <c r="P505">
        <v>0.03</v>
      </c>
      <c r="Q505">
        <v>5.5</v>
      </c>
      <c r="R505">
        <v>1.5</v>
      </c>
      <c r="S505">
        <v>2.36</v>
      </c>
      <c r="T505">
        <v>2.6</v>
      </c>
      <c r="U505">
        <v>2.5299999999999998</v>
      </c>
      <c r="V505">
        <v>5.43</v>
      </c>
      <c r="W505">
        <v>7.5</v>
      </c>
      <c r="X505">
        <v>2.4300000000000002</v>
      </c>
      <c r="Y505">
        <v>0.03</v>
      </c>
      <c r="Z505">
        <v>0.03</v>
      </c>
      <c r="AA505" t="s">
        <v>9335</v>
      </c>
      <c r="AB505" t="s">
        <v>242</v>
      </c>
      <c r="AC505" t="s">
        <v>3229</v>
      </c>
    </row>
    <row r="506" spans="1:29" x14ac:dyDescent="0.25">
      <c r="A506" t="s">
        <v>985</v>
      </c>
      <c r="B506" t="s">
        <v>254</v>
      </c>
      <c r="C506" t="s">
        <v>507</v>
      </c>
      <c r="D506" t="s">
        <v>3209</v>
      </c>
      <c r="E506" t="s">
        <v>3246</v>
      </c>
      <c r="F506">
        <v>19770615</v>
      </c>
      <c r="G506" t="s">
        <v>9332</v>
      </c>
      <c r="H506" t="s">
        <v>242</v>
      </c>
      <c r="I506" t="s">
        <v>242</v>
      </c>
      <c r="J506" t="s">
        <v>242</v>
      </c>
      <c r="K506" t="s">
        <v>241</v>
      </c>
      <c r="L506" t="s">
        <v>242</v>
      </c>
      <c r="M506">
        <v>38.60827081</v>
      </c>
      <c r="N506">
        <v>-122.8563819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 t="s">
        <v>9340</v>
      </c>
      <c r="AB506" t="s">
        <v>242</v>
      </c>
      <c r="AC506" t="s">
        <v>3229</v>
      </c>
    </row>
    <row r="507" spans="1:29" x14ac:dyDescent="0.25">
      <c r="A507" t="s">
        <v>986</v>
      </c>
      <c r="B507" t="s">
        <v>254</v>
      </c>
      <c r="C507" t="s">
        <v>354</v>
      </c>
      <c r="D507" t="s">
        <v>3209</v>
      </c>
      <c r="E507" t="s">
        <v>3246</v>
      </c>
      <c r="F507">
        <v>19770624</v>
      </c>
      <c r="G507" t="s">
        <v>9332</v>
      </c>
      <c r="H507" t="s">
        <v>242</v>
      </c>
      <c r="I507" t="s">
        <v>242</v>
      </c>
      <c r="J507" t="s">
        <v>242</v>
      </c>
      <c r="K507" t="s">
        <v>241</v>
      </c>
      <c r="L507" t="s">
        <v>242</v>
      </c>
      <c r="M507">
        <v>38.778059919999997</v>
      </c>
      <c r="N507">
        <v>-122.9513891</v>
      </c>
      <c r="O507">
        <v>0.43</v>
      </c>
      <c r="P507">
        <v>0.53</v>
      </c>
      <c r="Q507">
        <v>0.5</v>
      </c>
      <c r="R507">
        <v>0.11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0.13</v>
      </c>
      <c r="Z507">
        <v>0.18</v>
      </c>
      <c r="AA507" t="s">
        <v>9342</v>
      </c>
      <c r="AB507" t="s">
        <v>242</v>
      </c>
      <c r="AC507" t="s">
        <v>3229</v>
      </c>
    </row>
    <row r="508" spans="1:29" x14ac:dyDescent="0.25">
      <c r="A508" t="s">
        <v>987</v>
      </c>
      <c r="B508" t="s">
        <v>254</v>
      </c>
      <c r="C508" t="s">
        <v>319</v>
      </c>
      <c r="D508" t="s">
        <v>3209</v>
      </c>
      <c r="E508" t="s">
        <v>3246</v>
      </c>
      <c r="F508">
        <v>19771208</v>
      </c>
      <c r="G508" t="s">
        <v>9334</v>
      </c>
      <c r="H508" t="s">
        <v>241</v>
      </c>
      <c r="I508" t="s">
        <v>242</v>
      </c>
      <c r="J508" t="s">
        <v>242</v>
      </c>
      <c r="K508" t="s">
        <v>241</v>
      </c>
      <c r="L508" t="s">
        <v>242</v>
      </c>
      <c r="M508">
        <v>38.983488280000003</v>
      </c>
      <c r="N508">
        <v>-123.10331650000001</v>
      </c>
      <c r="O508">
        <v>0</v>
      </c>
      <c r="P508">
        <v>0</v>
      </c>
      <c r="Q508">
        <v>0</v>
      </c>
      <c r="R508">
        <v>15.2</v>
      </c>
      <c r="S508">
        <v>19.8</v>
      </c>
      <c r="T508">
        <v>85.03</v>
      </c>
      <c r="U508">
        <v>117.66</v>
      </c>
      <c r="V508">
        <v>25.8</v>
      </c>
      <c r="W508">
        <v>0</v>
      </c>
      <c r="X508">
        <v>0</v>
      </c>
      <c r="Y508">
        <v>0</v>
      </c>
      <c r="Z508">
        <v>0</v>
      </c>
      <c r="AA508" t="s">
        <v>9335</v>
      </c>
      <c r="AB508" t="s">
        <v>242</v>
      </c>
      <c r="AC508" t="s">
        <v>3213</v>
      </c>
    </row>
    <row r="509" spans="1:29" x14ac:dyDescent="0.25">
      <c r="A509" t="s">
        <v>988</v>
      </c>
      <c r="B509" t="s">
        <v>254</v>
      </c>
      <c r="C509" t="s">
        <v>317</v>
      </c>
      <c r="D509" t="s">
        <v>3209</v>
      </c>
      <c r="E509" t="s">
        <v>3246</v>
      </c>
      <c r="F509">
        <v>19771128</v>
      </c>
      <c r="G509" t="s">
        <v>9334</v>
      </c>
      <c r="H509" t="s">
        <v>242</v>
      </c>
      <c r="I509" t="s">
        <v>242</v>
      </c>
      <c r="J509" t="s">
        <v>242</v>
      </c>
      <c r="K509" t="s">
        <v>241</v>
      </c>
      <c r="L509" t="s">
        <v>242</v>
      </c>
      <c r="M509">
        <v>39.214593469999997</v>
      </c>
      <c r="N509">
        <v>-123.22393390000001</v>
      </c>
      <c r="O509">
        <v>22.66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11.33</v>
      </c>
      <c r="AA509" t="s">
        <v>9335</v>
      </c>
      <c r="AB509" t="s">
        <v>242</v>
      </c>
      <c r="AC509" t="s">
        <v>3213</v>
      </c>
    </row>
    <row r="510" spans="1:29" x14ac:dyDescent="0.25">
      <c r="A510" t="s">
        <v>953</v>
      </c>
      <c r="B510" t="s">
        <v>254</v>
      </c>
      <c r="C510" t="s">
        <v>354</v>
      </c>
      <c r="D510" t="s">
        <v>3209</v>
      </c>
      <c r="E510" t="s">
        <v>3246</v>
      </c>
      <c r="F510">
        <v>19780223</v>
      </c>
      <c r="G510" t="s">
        <v>9332</v>
      </c>
      <c r="H510" t="s">
        <v>241</v>
      </c>
      <c r="I510" t="s">
        <v>242</v>
      </c>
      <c r="J510" t="s">
        <v>242</v>
      </c>
      <c r="K510" t="s">
        <v>241</v>
      </c>
      <c r="L510" t="s">
        <v>242</v>
      </c>
      <c r="M510">
        <v>38.790790659999999</v>
      </c>
      <c r="N510">
        <v>-123.0048922</v>
      </c>
      <c r="O510">
        <v>2.02</v>
      </c>
      <c r="P510">
        <v>2.02</v>
      </c>
      <c r="Q510">
        <v>2.02</v>
      </c>
      <c r="R510">
        <v>2.02</v>
      </c>
      <c r="S510">
        <v>2.02</v>
      </c>
      <c r="T510">
        <v>2.02</v>
      </c>
      <c r="U510">
        <v>2.02</v>
      </c>
      <c r="V510">
        <v>2.02</v>
      </c>
      <c r="W510">
        <v>2.02</v>
      </c>
      <c r="X510">
        <v>2.02</v>
      </c>
      <c r="Y510">
        <v>2.02</v>
      </c>
      <c r="Z510">
        <v>2.02</v>
      </c>
      <c r="AA510" t="s">
        <v>9333</v>
      </c>
      <c r="AB510" t="s">
        <v>241</v>
      </c>
      <c r="AC510" t="s">
        <v>3229</v>
      </c>
    </row>
    <row r="511" spans="1:29" x14ac:dyDescent="0.25">
      <c r="A511" t="s">
        <v>954</v>
      </c>
      <c r="B511" t="s">
        <v>254</v>
      </c>
      <c r="C511" t="s">
        <v>326</v>
      </c>
      <c r="D511" t="s">
        <v>3209</v>
      </c>
      <c r="E511" t="s">
        <v>3246</v>
      </c>
      <c r="F511">
        <v>19780307</v>
      </c>
      <c r="G511" t="s">
        <v>9332</v>
      </c>
      <c r="H511" t="s">
        <v>241</v>
      </c>
      <c r="I511" t="s">
        <v>242</v>
      </c>
      <c r="J511" t="s">
        <v>242</v>
      </c>
      <c r="K511" t="s">
        <v>241</v>
      </c>
      <c r="L511" t="s">
        <v>242</v>
      </c>
      <c r="M511">
        <v>39.197992820000003</v>
      </c>
      <c r="N511">
        <v>-123.18271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 t="s">
        <v>9344</v>
      </c>
      <c r="AB511" t="s">
        <v>241</v>
      </c>
      <c r="AC511" t="s">
        <v>3213</v>
      </c>
    </row>
    <row r="512" spans="1:29" x14ac:dyDescent="0.25">
      <c r="A512" t="s">
        <v>50</v>
      </c>
      <c r="B512" t="s">
        <v>254</v>
      </c>
      <c r="C512" t="s">
        <v>354</v>
      </c>
      <c r="D512" t="s">
        <v>3209</v>
      </c>
      <c r="E512" t="s">
        <v>3246</v>
      </c>
      <c r="F512">
        <v>19780313</v>
      </c>
      <c r="G512" t="s">
        <v>9332</v>
      </c>
      <c r="H512" t="s">
        <v>241</v>
      </c>
      <c r="I512" t="s">
        <v>242</v>
      </c>
      <c r="J512" t="s">
        <v>242</v>
      </c>
      <c r="K512" t="s">
        <v>241</v>
      </c>
      <c r="L512" t="s">
        <v>242</v>
      </c>
      <c r="M512">
        <v>38.773723400000002</v>
      </c>
      <c r="N512">
        <v>-122.97764050000001</v>
      </c>
      <c r="O512">
        <v>0.53</v>
      </c>
      <c r="P512">
        <v>0.33</v>
      </c>
      <c r="Q512">
        <v>1.2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3.333333E-3</v>
      </c>
      <c r="Y512">
        <v>1.6</v>
      </c>
      <c r="Z512">
        <v>5</v>
      </c>
      <c r="AA512" t="s">
        <v>9335</v>
      </c>
      <c r="AB512" t="s">
        <v>242</v>
      </c>
      <c r="AC512" t="s">
        <v>3229</v>
      </c>
    </row>
    <row r="513" spans="1:29" x14ac:dyDescent="0.25">
      <c r="A513" t="s">
        <v>955</v>
      </c>
      <c r="B513" t="s">
        <v>254</v>
      </c>
      <c r="C513" t="s">
        <v>317</v>
      </c>
      <c r="D513" t="s">
        <v>3209</v>
      </c>
      <c r="E513" t="s">
        <v>3246</v>
      </c>
      <c r="F513">
        <v>19780516</v>
      </c>
      <c r="G513" t="s">
        <v>9332</v>
      </c>
      <c r="H513" t="s">
        <v>242</v>
      </c>
      <c r="I513" t="s">
        <v>242</v>
      </c>
      <c r="J513" t="s">
        <v>242</v>
      </c>
      <c r="K513" t="s">
        <v>241</v>
      </c>
      <c r="L513" t="s">
        <v>242</v>
      </c>
      <c r="M513">
        <v>39.270255980000002</v>
      </c>
      <c r="N513">
        <v>-123.1780902</v>
      </c>
      <c r="O513">
        <v>8.6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 t="s">
        <v>9335</v>
      </c>
      <c r="AB513" t="s">
        <v>242</v>
      </c>
      <c r="AC513" t="s">
        <v>3213</v>
      </c>
    </row>
    <row r="514" spans="1:29" x14ac:dyDescent="0.25">
      <c r="A514" t="s">
        <v>956</v>
      </c>
      <c r="B514" t="s">
        <v>254</v>
      </c>
      <c r="C514" t="s">
        <v>319</v>
      </c>
      <c r="D514" t="s">
        <v>3209</v>
      </c>
      <c r="E514" t="s">
        <v>3246</v>
      </c>
      <c r="F514">
        <v>19780526</v>
      </c>
      <c r="G514" t="s">
        <v>9332</v>
      </c>
      <c r="H514" t="s">
        <v>242</v>
      </c>
      <c r="I514" t="s">
        <v>242</v>
      </c>
      <c r="J514" t="s">
        <v>242</v>
      </c>
      <c r="K514" t="s">
        <v>241</v>
      </c>
      <c r="L514" t="s">
        <v>242</v>
      </c>
      <c r="M514">
        <v>38.979863330000001</v>
      </c>
      <c r="N514">
        <v>-123.1516349</v>
      </c>
      <c r="O514">
        <v>0.33</v>
      </c>
      <c r="P514">
        <v>2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0.86</v>
      </c>
      <c r="Z514">
        <v>0.26</v>
      </c>
      <c r="AA514" t="s">
        <v>9335</v>
      </c>
      <c r="AB514" t="s">
        <v>242</v>
      </c>
      <c r="AC514" t="s">
        <v>3213</v>
      </c>
    </row>
    <row r="515" spans="1:29" x14ac:dyDescent="0.25">
      <c r="A515" t="s">
        <v>957</v>
      </c>
      <c r="B515" t="s">
        <v>254</v>
      </c>
      <c r="C515" t="s">
        <v>319</v>
      </c>
      <c r="D515" t="s">
        <v>3209</v>
      </c>
      <c r="E515" t="s">
        <v>3226</v>
      </c>
      <c r="F515">
        <v>19780526</v>
      </c>
      <c r="G515" t="s">
        <v>9332</v>
      </c>
      <c r="H515" t="s">
        <v>242</v>
      </c>
      <c r="I515" t="s">
        <v>242</v>
      </c>
      <c r="J515" t="s">
        <v>242</v>
      </c>
      <c r="K515" t="s">
        <v>241</v>
      </c>
      <c r="L515" t="s">
        <v>242</v>
      </c>
      <c r="M515">
        <v>38.979863330000001</v>
      </c>
      <c r="N515">
        <v>-123.1516349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 t="s">
        <v>9343</v>
      </c>
      <c r="AB515" t="s">
        <v>242</v>
      </c>
      <c r="AC515" t="s">
        <v>3213</v>
      </c>
    </row>
    <row r="516" spans="1:29" x14ac:dyDescent="0.25">
      <c r="A516" t="s">
        <v>958</v>
      </c>
      <c r="B516" t="s">
        <v>254</v>
      </c>
      <c r="C516" t="s">
        <v>354</v>
      </c>
      <c r="D516" t="s">
        <v>3209</v>
      </c>
      <c r="E516" t="s">
        <v>3246</v>
      </c>
      <c r="F516">
        <v>19780615</v>
      </c>
      <c r="G516" t="s">
        <v>9332</v>
      </c>
      <c r="H516" t="s">
        <v>242</v>
      </c>
      <c r="I516" t="s">
        <v>242</v>
      </c>
      <c r="J516" t="s">
        <v>242</v>
      </c>
      <c r="K516" t="s">
        <v>241</v>
      </c>
      <c r="L516" t="s">
        <v>242</v>
      </c>
      <c r="M516">
        <v>38.735450219999997</v>
      </c>
      <c r="N516">
        <v>-122.9571311</v>
      </c>
      <c r="O516">
        <v>1.33</v>
      </c>
      <c r="P516">
        <v>1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5.33</v>
      </c>
      <c r="Z516">
        <v>3.16</v>
      </c>
      <c r="AA516" t="s">
        <v>9335</v>
      </c>
      <c r="AB516" t="s">
        <v>241</v>
      </c>
      <c r="AC516" t="s">
        <v>3229</v>
      </c>
    </row>
    <row r="517" spans="1:29" x14ac:dyDescent="0.25">
      <c r="A517" t="s">
        <v>960</v>
      </c>
      <c r="B517" t="s">
        <v>254</v>
      </c>
      <c r="C517" t="s">
        <v>319</v>
      </c>
      <c r="D517" t="s">
        <v>3209</v>
      </c>
      <c r="E517" t="s">
        <v>3246</v>
      </c>
      <c r="F517">
        <v>19780912</v>
      </c>
      <c r="G517" t="s">
        <v>9334</v>
      </c>
      <c r="H517" t="s">
        <v>241</v>
      </c>
      <c r="I517" t="s">
        <v>242</v>
      </c>
      <c r="J517" t="s">
        <v>242</v>
      </c>
      <c r="K517" t="s">
        <v>241</v>
      </c>
      <c r="L517" t="s">
        <v>242</v>
      </c>
      <c r="M517">
        <v>39.023601829999997</v>
      </c>
      <c r="N517">
        <v>-123.1296385</v>
      </c>
      <c r="O517">
        <v>0</v>
      </c>
      <c r="P517">
        <v>0</v>
      </c>
      <c r="Q517">
        <v>0</v>
      </c>
      <c r="R517">
        <v>0</v>
      </c>
      <c r="S517">
        <v>1.25</v>
      </c>
      <c r="T517">
        <v>13</v>
      </c>
      <c r="U517">
        <v>10.76</v>
      </c>
      <c r="V517">
        <v>0</v>
      </c>
      <c r="W517">
        <v>0</v>
      </c>
      <c r="X517">
        <v>0</v>
      </c>
      <c r="Y517">
        <v>0</v>
      </c>
      <c r="Z517">
        <v>0</v>
      </c>
      <c r="AA517" t="s">
        <v>9335</v>
      </c>
      <c r="AB517" t="s">
        <v>242</v>
      </c>
      <c r="AC517" t="s">
        <v>3213</v>
      </c>
    </row>
    <row r="518" spans="1:29" x14ac:dyDescent="0.25">
      <c r="A518" t="s">
        <v>961</v>
      </c>
      <c r="B518" t="s">
        <v>254</v>
      </c>
      <c r="C518" t="s">
        <v>319</v>
      </c>
      <c r="D518" t="s">
        <v>3209</v>
      </c>
      <c r="E518" t="s">
        <v>3246</v>
      </c>
      <c r="F518">
        <v>19780912</v>
      </c>
      <c r="G518" t="s">
        <v>9334</v>
      </c>
      <c r="H518" t="s">
        <v>241</v>
      </c>
      <c r="I518" t="s">
        <v>242</v>
      </c>
      <c r="J518" t="s">
        <v>242</v>
      </c>
      <c r="K518" t="s">
        <v>241</v>
      </c>
      <c r="L518" t="s">
        <v>242</v>
      </c>
      <c r="M518">
        <v>39.023601829999997</v>
      </c>
      <c r="N518">
        <v>-123.1296385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 t="s">
        <v>9343</v>
      </c>
      <c r="AB518" t="s">
        <v>242</v>
      </c>
      <c r="AC518" t="s">
        <v>3213</v>
      </c>
    </row>
    <row r="519" spans="1:29" x14ac:dyDescent="0.25">
      <c r="A519" t="s">
        <v>962</v>
      </c>
      <c r="B519" t="s">
        <v>254</v>
      </c>
      <c r="C519" t="s">
        <v>317</v>
      </c>
      <c r="D519" t="s">
        <v>3209</v>
      </c>
      <c r="E519" t="s">
        <v>3246</v>
      </c>
      <c r="F519">
        <v>19780914</v>
      </c>
      <c r="G519" t="s">
        <v>9334</v>
      </c>
      <c r="H519" t="s">
        <v>242</v>
      </c>
      <c r="I519" t="s">
        <v>242</v>
      </c>
      <c r="J519" t="s">
        <v>242</v>
      </c>
      <c r="K519" t="s">
        <v>241</v>
      </c>
      <c r="L519" t="s">
        <v>242</v>
      </c>
      <c r="M519">
        <v>39.259599999999999</v>
      </c>
      <c r="N519">
        <v>-123.23990000000001</v>
      </c>
      <c r="O519">
        <v>0.66</v>
      </c>
      <c r="P519">
        <v>1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0.66</v>
      </c>
      <c r="AA519" t="s">
        <v>9335</v>
      </c>
      <c r="AB519" t="s">
        <v>242</v>
      </c>
      <c r="AC519" t="s">
        <v>3213</v>
      </c>
    </row>
    <row r="520" spans="1:29" x14ac:dyDescent="0.25">
      <c r="A520" t="s">
        <v>963</v>
      </c>
      <c r="B520" t="s">
        <v>254</v>
      </c>
      <c r="C520" t="s">
        <v>317</v>
      </c>
      <c r="D520" t="s">
        <v>3209</v>
      </c>
      <c r="E520" t="s">
        <v>3246</v>
      </c>
      <c r="F520">
        <v>19780914</v>
      </c>
      <c r="G520" t="s">
        <v>9332</v>
      </c>
      <c r="H520" t="s">
        <v>242</v>
      </c>
      <c r="I520" t="s">
        <v>242</v>
      </c>
      <c r="J520" t="s">
        <v>242</v>
      </c>
      <c r="K520" t="s">
        <v>241</v>
      </c>
      <c r="L520" t="s">
        <v>242</v>
      </c>
      <c r="M520">
        <v>39.261600000000001</v>
      </c>
      <c r="N520">
        <v>-123.2435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 t="s">
        <v>9335</v>
      </c>
      <c r="AB520" t="s">
        <v>242</v>
      </c>
      <c r="AC520" t="s">
        <v>3213</v>
      </c>
    </row>
    <row r="521" spans="1:29" x14ac:dyDescent="0.25">
      <c r="A521" t="s">
        <v>964</v>
      </c>
      <c r="B521" t="s">
        <v>254</v>
      </c>
      <c r="C521" t="s">
        <v>317</v>
      </c>
      <c r="D521" t="s">
        <v>3209</v>
      </c>
      <c r="E521" t="s">
        <v>3246</v>
      </c>
      <c r="F521">
        <v>19780914</v>
      </c>
      <c r="G521" t="s">
        <v>9334</v>
      </c>
      <c r="H521" t="s">
        <v>242</v>
      </c>
      <c r="I521" t="s">
        <v>242</v>
      </c>
      <c r="J521" t="s">
        <v>242</v>
      </c>
      <c r="K521" t="s">
        <v>241</v>
      </c>
      <c r="L521" t="s">
        <v>242</v>
      </c>
      <c r="M521">
        <v>39.255000000000003</v>
      </c>
      <c r="N521">
        <v>-123.23990000000001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 t="s">
        <v>9335</v>
      </c>
      <c r="AB521" t="s">
        <v>242</v>
      </c>
      <c r="AC521" t="s">
        <v>3213</v>
      </c>
    </row>
    <row r="522" spans="1:29" x14ac:dyDescent="0.25">
      <c r="A522" t="s">
        <v>965</v>
      </c>
      <c r="B522" t="s">
        <v>254</v>
      </c>
      <c r="C522" t="s">
        <v>317</v>
      </c>
      <c r="D522" t="s">
        <v>3209</v>
      </c>
      <c r="E522" t="s">
        <v>3226</v>
      </c>
      <c r="F522">
        <v>19780914</v>
      </c>
      <c r="G522" t="s">
        <v>9332</v>
      </c>
      <c r="H522" t="s">
        <v>242</v>
      </c>
      <c r="I522" t="s">
        <v>242</v>
      </c>
      <c r="J522" t="s">
        <v>242</v>
      </c>
      <c r="K522" t="s">
        <v>241</v>
      </c>
      <c r="L522" t="s">
        <v>242</v>
      </c>
      <c r="M522">
        <v>39.254794769999997</v>
      </c>
      <c r="N522">
        <v>-123.2394637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 t="s">
        <v>9343</v>
      </c>
      <c r="AB522" t="s">
        <v>242</v>
      </c>
      <c r="AC522" t="s">
        <v>3213</v>
      </c>
    </row>
    <row r="523" spans="1:29" x14ac:dyDescent="0.25">
      <c r="A523" t="s">
        <v>968</v>
      </c>
      <c r="B523" t="s">
        <v>254</v>
      </c>
      <c r="C523" t="s">
        <v>333</v>
      </c>
      <c r="D523" t="s">
        <v>3209</v>
      </c>
      <c r="E523" t="s">
        <v>3246</v>
      </c>
      <c r="F523">
        <v>19781012</v>
      </c>
      <c r="G523" t="s">
        <v>9332</v>
      </c>
      <c r="H523" t="s">
        <v>241</v>
      </c>
      <c r="I523" t="s">
        <v>242</v>
      </c>
      <c r="J523" t="s">
        <v>242</v>
      </c>
      <c r="K523" t="s">
        <v>241</v>
      </c>
      <c r="L523" t="s">
        <v>242</v>
      </c>
      <c r="M523">
        <v>39.044600000000003</v>
      </c>
      <c r="N523">
        <v>-123.1442</v>
      </c>
      <c r="O523">
        <v>0</v>
      </c>
      <c r="P523">
        <v>0</v>
      </c>
      <c r="Q523">
        <v>0</v>
      </c>
      <c r="R523">
        <v>0</v>
      </c>
      <c r="S523">
        <v>6.33</v>
      </c>
      <c r="T523">
        <v>7</v>
      </c>
      <c r="U523">
        <v>8</v>
      </c>
      <c r="V523">
        <v>8.66</v>
      </c>
      <c r="W523">
        <v>9.66</v>
      </c>
      <c r="X523">
        <v>1.66</v>
      </c>
      <c r="Y523">
        <v>0</v>
      </c>
      <c r="Z523">
        <v>0</v>
      </c>
      <c r="AA523" t="s">
        <v>9335</v>
      </c>
      <c r="AB523" t="s">
        <v>242</v>
      </c>
      <c r="AC523" t="s">
        <v>3213</v>
      </c>
    </row>
    <row r="524" spans="1:29" x14ac:dyDescent="0.25">
      <c r="A524" t="s">
        <v>970</v>
      </c>
      <c r="B524" t="s">
        <v>254</v>
      </c>
      <c r="C524" t="s">
        <v>319</v>
      </c>
      <c r="D524" t="s">
        <v>3209</v>
      </c>
      <c r="E524" t="s">
        <v>3246</v>
      </c>
      <c r="F524">
        <v>19781219</v>
      </c>
      <c r="G524" t="s">
        <v>9332</v>
      </c>
      <c r="H524" t="s">
        <v>242</v>
      </c>
      <c r="I524" t="s">
        <v>242</v>
      </c>
      <c r="J524" t="s">
        <v>242</v>
      </c>
      <c r="K524" t="s">
        <v>241</v>
      </c>
      <c r="L524" t="s">
        <v>242</v>
      </c>
      <c r="M524">
        <v>38.96476801</v>
      </c>
      <c r="N524">
        <v>-123.0590373</v>
      </c>
      <c r="O524">
        <v>31.16</v>
      </c>
      <c r="P524">
        <v>6.63</v>
      </c>
      <c r="Q524">
        <v>10.199999999999999</v>
      </c>
      <c r="R524">
        <v>3.6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0.93</v>
      </c>
      <c r="Z524">
        <v>4</v>
      </c>
      <c r="AA524" t="s">
        <v>9335</v>
      </c>
      <c r="AB524" t="s">
        <v>242</v>
      </c>
      <c r="AC524" t="s">
        <v>3213</v>
      </c>
    </row>
    <row r="525" spans="1:29" x14ac:dyDescent="0.25">
      <c r="A525" t="s">
        <v>971</v>
      </c>
      <c r="B525" t="s">
        <v>254</v>
      </c>
      <c r="C525" t="s">
        <v>319</v>
      </c>
      <c r="D525" t="s">
        <v>3209</v>
      </c>
      <c r="E525" t="s">
        <v>3246</v>
      </c>
      <c r="F525">
        <v>19781219</v>
      </c>
      <c r="G525" t="s">
        <v>9332</v>
      </c>
      <c r="H525" t="s">
        <v>242</v>
      </c>
      <c r="I525" t="s">
        <v>242</v>
      </c>
      <c r="J525" t="s">
        <v>242</v>
      </c>
      <c r="K525" t="s">
        <v>241</v>
      </c>
      <c r="L525" t="s">
        <v>242</v>
      </c>
      <c r="M525">
        <v>38.96476801</v>
      </c>
      <c r="N525">
        <v>-123.0590373</v>
      </c>
      <c r="O525">
        <v>0</v>
      </c>
      <c r="P525">
        <v>0</v>
      </c>
      <c r="Q525">
        <v>2.5</v>
      </c>
      <c r="R525">
        <v>6.23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 t="s">
        <v>9343</v>
      </c>
      <c r="AB525" t="s">
        <v>242</v>
      </c>
      <c r="AC525" t="s">
        <v>3213</v>
      </c>
    </row>
    <row r="526" spans="1:29" x14ac:dyDescent="0.25">
      <c r="A526" t="s">
        <v>972</v>
      </c>
      <c r="B526" t="s">
        <v>254</v>
      </c>
      <c r="C526" t="s">
        <v>319</v>
      </c>
      <c r="D526" t="s">
        <v>3209</v>
      </c>
      <c r="E526" t="s">
        <v>3226</v>
      </c>
      <c r="F526">
        <v>19781219</v>
      </c>
      <c r="G526" t="s">
        <v>9332</v>
      </c>
      <c r="H526" t="s">
        <v>242</v>
      </c>
      <c r="I526" t="s">
        <v>242</v>
      </c>
      <c r="J526" t="s">
        <v>242</v>
      </c>
      <c r="K526" t="s">
        <v>241</v>
      </c>
      <c r="L526" t="s">
        <v>242</v>
      </c>
      <c r="M526">
        <v>38.947998669999997</v>
      </c>
      <c r="N526">
        <v>-123.04494630000001</v>
      </c>
      <c r="O526">
        <v>0</v>
      </c>
      <c r="P526">
        <v>0</v>
      </c>
      <c r="Q526">
        <v>0.66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 t="s">
        <v>9335</v>
      </c>
      <c r="AB526" t="s">
        <v>242</v>
      </c>
      <c r="AC526" t="s">
        <v>3213</v>
      </c>
    </row>
    <row r="527" spans="1:29" x14ac:dyDescent="0.25">
      <c r="A527" t="s">
        <v>974</v>
      </c>
      <c r="B527" t="s">
        <v>254</v>
      </c>
      <c r="C527" t="s">
        <v>319</v>
      </c>
      <c r="D527" t="s">
        <v>3209</v>
      </c>
      <c r="E527" t="s">
        <v>3226</v>
      </c>
      <c r="F527">
        <v>19781219</v>
      </c>
      <c r="G527" t="s">
        <v>9332</v>
      </c>
      <c r="H527" t="s">
        <v>242</v>
      </c>
      <c r="I527" t="s">
        <v>242</v>
      </c>
      <c r="J527" t="s">
        <v>242</v>
      </c>
      <c r="K527" t="s">
        <v>241</v>
      </c>
      <c r="L527" t="s">
        <v>242</v>
      </c>
      <c r="M527">
        <v>38.947993580000002</v>
      </c>
      <c r="N527">
        <v>-123.04493359999999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 t="s">
        <v>9343</v>
      </c>
      <c r="AB527" t="s">
        <v>242</v>
      </c>
      <c r="AC527" t="s">
        <v>3213</v>
      </c>
    </row>
    <row r="528" spans="1:29" x14ac:dyDescent="0.25">
      <c r="A528" t="s">
        <v>951</v>
      </c>
      <c r="B528" t="s">
        <v>254</v>
      </c>
      <c r="C528" t="s">
        <v>348</v>
      </c>
      <c r="D528" t="s">
        <v>3209</v>
      </c>
      <c r="E528" t="s">
        <v>3246</v>
      </c>
      <c r="F528">
        <v>19790606</v>
      </c>
      <c r="G528" t="s">
        <v>9332</v>
      </c>
      <c r="H528" t="s">
        <v>242</v>
      </c>
      <c r="I528" t="s">
        <v>242</v>
      </c>
      <c r="J528" t="s">
        <v>242</v>
      </c>
      <c r="K528" t="s">
        <v>241</v>
      </c>
      <c r="L528" t="s">
        <v>242</v>
      </c>
      <c r="M528">
        <v>39.272913690000003</v>
      </c>
      <c r="N528">
        <v>-123.1025337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5.1146669999999998E-3</v>
      </c>
      <c r="X528">
        <v>5.1146669999999998E-3</v>
      </c>
      <c r="Y528">
        <v>0</v>
      </c>
      <c r="Z528">
        <v>0</v>
      </c>
      <c r="AA528" t="s">
        <v>9335</v>
      </c>
      <c r="AB528" t="s">
        <v>242</v>
      </c>
      <c r="AC528" t="s">
        <v>3213</v>
      </c>
    </row>
    <row r="529" spans="1:29" x14ac:dyDescent="0.25">
      <c r="A529" t="s">
        <v>942</v>
      </c>
      <c r="B529" t="s">
        <v>254</v>
      </c>
      <c r="C529" t="s">
        <v>317</v>
      </c>
      <c r="D529" t="s">
        <v>3209</v>
      </c>
      <c r="E529" t="s">
        <v>3226</v>
      </c>
      <c r="F529">
        <v>19790612</v>
      </c>
      <c r="G529" t="s">
        <v>9332</v>
      </c>
      <c r="H529" t="s">
        <v>242</v>
      </c>
      <c r="I529" t="s">
        <v>242</v>
      </c>
      <c r="J529" t="s">
        <v>242</v>
      </c>
      <c r="K529" t="s">
        <v>241</v>
      </c>
      <c r="L529" t="s">
        <v>242</v>
      </c>
      <c r="M529">
        <v>39.282332259999997</v>
      </c>
      <c r="N529">
        <v>-123.2319971</v>
      </c>
      <c r="O529">
        <v>20.16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 t="s">
        <v>9335</v>
      </c>
      <c r="AB529" t="s">
        <v>242</v>
      </c>
      <c r="AC529" t="s">
        <v>3213</v>
      </c>
    </row>
    <row r="530" spans="1:29" x14ac:dyDescent="0.25">
      <c r="A530" t="s">
        <v>943</v>
      </c>
      <c r="B530" t="s">
        <v>254</v>
      </c>
      <c r="C530" t="s">
        <v>317</v>
      </c>
      <c r="D530" t="s">
        <v>3209</v>
      </c>
      <c r="E530" t="s">
        <v>3226</v>
      </c>
      <c r="F530">
        <v>19790612</v>
      </c>
      <c r="G530" t="s">
        <v>9332</v>
      </c>
      <c r="H530" t="s">
        <v>242</v>
      </c>
      <c r="I530" t="s">
        <v>242</v>
      </c>
      <c r="J530" t="s">
        <v>242</v>
      </c>
      <c r="K530" t="s">
        <v>241</v>
      </c>
      <c r="L530" t="s">
        <v>242</v>
      </c>
      <c r="M530">
        <v>39.282332259999997</v>
      </c>
      <c r="N530">
        <v>-123.2319971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 t="s">
        <v>9343</v>
      </c>
      <c r="AB530" t="s">
        <v>242</v>
      </c>
      <c r="AC530" t="s">
        <v>3213</v>
      </c>
    </row>
    <row r="531" spans="1:29" x14ac:dyDescent="0.25">
      <c r="A531" t="s">
        <v>944</v>
      </c>
      <c r="B531" t="s">
        <v>254</v>
      </c>
      <c r="C531" t="s">
        <v>317</v>
      </c>
      <c r="D531" t="s">
        <v>3209</v>
      </c>
      <c r="E531" t="s">
        <v>3246</v>
      </c>
      <c r="F531">
        <v>19790726</v>
      </c>
      <c r="G531" t="s">
        <v>9332</v>
      </c>
      <c r="H531" t="s">
        <v>242</v>
      </c>
      <c r="I531" t="s">
        <v>242</v>
      </c>
      <c r="J531" t="s">
        <v>242</v>
      </c>
      <c r="K531" t="s">
        <v>241</v>
      </c>
      <c r="L531" t="s">
        <v>242</v>
      </c>
      <c r="M531">
        <v>39.31656375</v>
      </c>
      <c r="N531">
        <v>-123.2276456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 t="s">
        <v>9335</v>
      </c>
      <c r="AB531" t="s">
        <v>242</v>
      </c>
      <c r="AC531" t="s">
        <v>3213</v>
      </c>
    </row>
    <row r="532" spans="1:29" x14ac:dyDescent="0.25">
      <c r="A532" t="s">
        <v>945</v>
      </c>
      <c r="B532" t="s">
        <v>254</v>
      </c>
      <c r="C532" t="s">
        <v>317</v>
      </c>
      <c r="D532" t="s">
        <v>3209</v>
      </c>
      <c r="E532" t="s">
        <v>3226</v>
      </c>
      <c r="F532">
        <v>19790726</v>
      </c>
      <c r="G532" t="s">
        <v>9332</v>
      </c>
      <c r="H532" t="s">
        <v>242</v>
      </c>
      <c r="I532" t="s">
        <v>242</v>
      </c>
      <c r="J532" t="s">
        <v>242</v>
      </c>
      <c r="K532" t="s">
        <v>241</v>
      </c>
      <c r="L532" t="s">
        <v>242</v>
      </c>
      <c r="M532">
        <v>39.31656375</v>
      </c>
      <c r="N532">
        <v>-123.2276456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 t="s">
        <v>9343</v>
      </c>
      <c r="AB532" t="s">
        <v>242</v>
      </c>
      <c r="AC532" t="s">
        <v>3213</v>
      </c>
    </row>
    <row r="533" spans="1:29" x14ac:dyDescent="0.25">
      <c r="A533" t="s">
        <v>946</v>
      </c>
      <c r="B533" t="s">
        <v>254</v>
      </c>
      <c r="C533" t="s">
        <v>317</v>
      </c>
      <c r="D533" t="s">
        <v>3209</v>
      </c>
      <c r="E533" t="s">
        <v>3246</v>
      </c>
      <c r="F533">
        <v>19790830</v>
      </c>
      <c r="G533" t="s">
        <v>9332</v>
      </c>
      <c r="H533" t="s">
        <v>242</v>
      </c>
      <c r="I533" t="s">
        <v>242</v>
      </c>
      <c r="J533" t="s">
        <v>242</v>
      </c>
      <c r="K533" t="s">
        <v>241</v>
      </c>
      <c r="L533" t="s">
        <v>242</v>
      </c>
      <c r="M533">
        <v>39.246285069999999</v>
      </c>
      <c r="N533">
        <v>-123.2130051</v>
      </c>
      <c r="O533">
        <v>0.51</v>
      </c>
      <c r="P533">
        <v>0.51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0.17</v>
      </c>
      <c r="AA533" t="s">
        <v>9335</v>
      </c>
      <c r="AB533" t="s">
        <v>242</v>
      </c>
      <c r="AC533" t="s">
        <v>3213</v>
      </c>
    </row>
    <row r="534" spans="1:29" x14ac:dyDescent="0.25">
      <c r="A534" t="s">
        <v>947</v>
      </c>
      <c r="B534" t="s">
        <v>254</v>
      </c>
      <c r="C534" t="s">
        <v>317</v>
      </c>
      <c r="D534" t="s">
        <v>3209</v>
      </c>
      <c r="E534" t="s">
        <v>3246</v>
      </c>
      <c r="F534">
        <v>19791010</v>
      </c>
      <c r="G534" t="s">
        <v>9332</v>
      </c>
      <c r="H534" t="s">
        <v>242</v>
      </c>
      <c r="I534" t="s">
        <v>242</v>
      </c>
      <c r="J534" t="s">
        <v>242</v>
      </c>
      <c r="K534" t="s">
        <v>241</v>
      </c>
      <c r="L534" t="s">
        <v>242</v>
      </c>
      <c r="M534">
        <v>39.243654370000002</v>
      </c>
      <c r="N534">
        <v>-123.2018363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 t="s">
        <v>9335</v>
      </c>
      <c r="AB534" t="s">
        <v>242</v>
      </c>
      <c r="AC534" t="s">
        <v>3213</v>
      </c>
    </row>
    <row r="535" spans="1:29" x14ac:dyDescent="0.25">
      <c r="A535" t="s">
        <v>948</v>
      </c>
      <c r="B535" t="s">
        <v>254</v>
      </c>
      <c r="C535" t="s">
        <v>331</v>
      </c>
      <c r="D535" t="s">
        <v>3209</v>
      </c>
      <c r="E535" t="s">
        <v>3246</v>
      </c>
      <c r="F535">
        <v>19791010</v>
      </c>
      <c r="G535" t="s">
        <v>9334</v>
      </c>
      <c r="H535" t="s">
        <v>242</v>
      </c>
      <c r="I535" t="s">
        <v>242</v>
      </c>
      <c r="J535" t="s">
        <v>242</v>
      </c>
      <c r="K535" t="s">
        <v>241</v>
      </c>
      <c r="L535" t="s">
        <v>242</v>
      </c>
      <c r="M535">
        <v>39.201201159999997</v>
      </c>
      <c r="N535">
        <v>-123.2271257</v>
      </c>
      <c r="O535">
        <v>1.66</v>
      </c>
      <c r="P535">
        <v>3.66</v>
      </c>
      <c r="Q535">
        <v>1.33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 t="s">
        <v>9335</v>
      </c>
      <c r="AB535" t="s">
        <v>242</v>
      </c>
      <c r="AC535" t="s">
        <v>3213</v>
      </c>
    </row>
    <row r="536" spans="1:29" x14ac:dyDescent="0.25">
      <c r="A536" t="s">
        <v>950</v>
      </c>
      <c r="B536" t="s">
        <v>254</v>
      </c>
      <c r="C536" t="s">
        <v>317</v>
      </c>
      <c r="D536" t="s">
        <v>3209</v>
      </c>
      <c r="E536" t="s">
        <v>3246</v>
      </c>
      <c r="F536">
        <v>19791203</v>
      </c>
      <c r="G536" t="s">
        <v>9332</v>
      </c>
      <c r="H536" t="s">
        <v>242</v>
      </c>
      <c r="I536" t="s">
        <v>242</v>
      </c>
      <c r="J536" t="s">
        <v>242</v>
      </c>
      <c r="K536" t="s">
        <v>241</v>
      </c>
      <c r="L536" t="s">
        <v>242</v>
      </c>
      <c r="M536">
        <v>39.293448689999998</v>
      </c>
      <c r="N536">
        <v>-123.19261229999999</v>
      </c>
      <c r="O536">
        <v>2.73</v>
      </c>
      <c r="P536">
        <v>0.33</v>
      </c>
      <c r="Q536">
        <v>0.53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 t="s">
        <v>9335</v>
      </c>
      <c r="AB536" t="s">
        <v>242</v>
      </c>
      <c r="AC536" t="s">
        <v>3213</v>
      </c>
    </row>
    <row r="537" spans="1:29" x14ac:dyDescent="0.25">
      <c r="A537" t="s">
        <v>912</v>
      </c>
      <c r="B537" t="s">
        <v>254</v>
      </c>
      <c r="C537" t="s">
        <v>823</v>
      </c>
      <c r="D537" t="s">
        <v>3209</v>
      </c>
      <c r="E537" t="s">
        <v>3246</v>
      </c>
      <c r="F537">
        <v>19800122</v>
      </c>
      <c r="G537" t="s">
        <v>9332</v>
      </c>
      <c r="H537" t="s">
        <v>242</v>
      </c>
      <c r="I537" t="s">
        <v>242</v>
      </c>
      <c r="J537" t="s">
        <v>242</v>
      </c>
      <c r="K537" t="s">
        <v>241</v>
      </c>
      <c r="L537" t="s">
        <v>242</v>
      </c>
      <c r="M537">
        <v>38.805519920000002</v>
      </c>
      <c r="N537">
        <v>-122.7650541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0.43</v>
      </c>
      <c r="Z537">
        <v>0.45</v>
      </c>
      <c r="AA537" t="s">
        <v>9340</v>
      </c>
      <c r="AB537" t="s">
        <v>242</v>
      </c>
      <c r="AC537" t="s">
        <v>3229</v>
      </c>
    </row>
    <row r="538" spans="1:29" x14ac:dyDescent="0.25">
      <c r="A538" t="s">
        <v>913</v>
      </c>
      <c r="B538" t="s">
        <v>254</v>
      </c>
      <c r="C538" t="s">
        <v>823</v>
      </c>
      <c r="D538" t="s">
        <v>3209</v>
      </c>
      <c r="E538" t="s">
        <v>3246</v>
      </c>
      <c r="F538">
        <v>19800122</v>
      </c>
      <c r="G538" t="s">
        <v>9332</v>
      </c>
      <c r="H538" t="s">
        <v>242</v>
      </c>
      <c r="I538" t="s">
        <v>242</v>
      </c>
      <c r="J538" t="s">
        <v>242</v>
      </c>
      <c r="K538" t="s">
        <v>241</v>
      </c>
      <c r="L538" t="s">
        <v>242</v>
      </c>
      <c r="M538">
        <v>38.767490850000002</v>
      </c>
      <c r="N538">
        <v>-122.7436008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0.16</v>
      </c>
      <c r="Z538">
        <v>0.13</v>
      </c>
      <c r="AA538" t="s">
        <v>9340</v>
      </c>
      <c r="AB538" t="s">
        <v>242</v>
      </c>
      <c r="AC538" t="s">
        <v>3229</v>
      </c>
    </row>
    <row r="539" spans="1:29" x14ac:dyDescent="0.25">
      <c r="A539" t="s">
        <v>914</v>
      </c>
      <c r="B539" t="s">
        <v>254</v>
      </c>
      <c r="C539" t="s">
        <v>823</v>
      </c>
      <c r="D539" t="s">
        <v>3209</v>
      </c>
      <c r="E539" t="s">
        <v>3246</v>
      </c>
      <c r="F539">
        <v>19800122</v>
      </c>
      <c r="G539" t="s">
        <v>9332</v>
      </c>
      <c r="H539" t="s">
        <v>242</v>
      </c>
      <c r="I539" t="s">
        <v>242</v>
      </c>
      <c r="J539" t="s">
        <v>242</v>
      </c>
      <c r="K539" t="s">
        <v>241</v>
      </c>
      <c r="L539" t="s">
        <v>242</v>
      </c>
      <c r="M539">
        <v>38.777366469999997</v>
      </c>
      <c r="N539">
        <v>-122.745107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 t="s">
        <v>9340</v>
      </c>
      <c r="AB539" t="s">
        <v>242</v>
      </c>
      <c r="AC539" t="s">
        <v>3229</v>
      </c>
    </row>
    <row r="540" spans="1:29" x14ac:dyDescent="0.25">
      <c r="A540" t="s">
        <v>915</v>
      </c>
      <c r="B540" t="s">
        <v>254</v>
      </c>
      <c r="C540" t="s">
        <v>823</v>
      </c>
      <c r="D540" t="s">
        <v>3209</v>
      </c>
      <c r="E540" t="s">
        <v>3246</v>
      </c>
      <c r="F540">
        <v>19800122</v>
      </c>
      <c r="G540" t="s">
        <v>9332</v>
      </c>
      <c r="H540" t="s">
        <v>242</v>
      </c>
      <c r="I540" t="s">
        <v>242</v>
      </c>
      <c r="J540" t="s">
        <v>242</v>
      </c>
      <c r="K540" t="s">
        <v>241</v>
      </c>
      <c r="L540" t="s">
        <v>242</v>
      </c>
      <c r="M540">
        <v>38.767803299999997</v>
      </c>
      <c r="N540">
        <v>-122.7376412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0.4</v>
      </c>
      <c r="Z540">
        <v>0.32</v>
      </c>
      <c r="AA540" t="s">
        <v>9340</v>
      </c>
      <c r="AB540" t="s">
        <v>242</v>
      </c>
      <c r="AC540" t="s">
        <v>3229</v>
      </c>
    </row>
    <row r="541" spans="1:29" x14ac:dyDescent="0.25">
      <c r="A541" t="s">
        <v>916</v>
      </c>
      <c r="B541" t="s">
        <v>254</v>
      </c>
      <c r="C541" t="s">
        <v>317</v>
      </c>
      <c r="D541" t="s">
        <v>3209</v>
      </c>
      <c r="E541" t="s">
        <v>3246</v>
      </c>
      <c r="F541">
        <v>19800213</v>
      </c>
      <c r="G541" t="s">
        <v>9332</v>
      </c>
      <c r="H541" t="s">
        <v>242</v>
      </c>
      <c r="I541" t="s">
        <v>242</v>
      </c>
      <c r="J541" t="s">
        <v>242</v>
      </c>
      <c r="K541" t="s">
        <v>241</v>
      </c>
      <c r="L541" t="s">
        <v>242</v>
      </c>
      <c r="M541">
        <v>39.296517190000003</v>
      </c>
      <c r="N541">
        <v>-123.2278271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6.9050000000000003E-4</v>
      </c>
      <c r="AA541" t="s">
        <v>9343</v>
      </c>
      <c r="AB541" t="s">
        <v>242</v>
      </c>
      <c r="AC541" t="s">
        <v>3213</v>
      </c>
    </row>
    <row r="542" spans="1:29" x14ac:dyDescent="0.25">
      <c r="A542" t="s">
        <v>917</v>
      </c>
      <c r="B542" t="s">
        <v>254</v>
      </c>
      <c r="C542" t="s">
        <v>354</v>
      </c>
      <c r="D542" t="s">
        <v>3209</v>
      </c>
      <c r="E542" t="s">
        <v>3246</v>
      </c>
      <c r="F542">
        <v>19800220</v>
      </c>
      <c r="G542" t="s">
        <v>9332</v>
      </c>
      <c r="H542" t="s">
        <v>242</v>
      </c>
      <c r="I542" t="s">
        <v>242</v>
      </c>
      <c r="J542" t="s">
        <v>242</v>
      </c>
      <c r="K542" t="s">
        <v>241</v>
      </c>
      <c r="L542" t="s">
        <v>242</v>
      </c>
      <c r="M542">
        <v>38.752966180000001</v>
      </c>
      <c r="N542">
        <v>-122.9131799</v>
      </c>
      <c r="O542">
        <v>0</v>
      </c>
      <c r="P542">
        <v>0.66</v>
      </c>
      <c r="Q542">
        <v>2.72</v>
      </c>
      <c r="R542">
        <v>2.29</v>
      </c>
      <c r="S542">
        <v>1.98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 t="s">
        <v>9341</v>
      </c>
      <c r="AB542" t="s">
        <v>242</v>
      </c>
      <c r="AC542" t="s">
        <v>3229</v>
      </c>
    </row>
    <row r="543" spans="1:29" x14ac:dyDescent="0.25">
      <c r="A543" t="s">
        <v>922</v>
      </c>
      <c r="B543" t="s">
        <v>254</v>
      </c>
      <c r="C543" t="s">
        <v>317</v>
      </c>
      <c r="D543" t="s">
        <v>3209</v>
      </c>
      <c r="E543" t="s">
        <v>3246</v>
      </c>
      <c r="F543">
        <v>19800310</v>
      </c>
      <c r="G543" t="s">
        <v>9332</v>
      </c>
      <c r="H543" t="s">
        <v>242</v>
      </c>
      <c r="I543" t="s">
        <v>242</v>
      </c>
      <c r="J543" t="s">
        <v>242</v>
      </c>
      <c r="K543" t="s">
        <v>241</v>
      </c>
      <c r="L543" t="s">
        <v>242</v>
      </c>
      <c r="M543">
        <v>39.276773409999997</v>
      </c>
      <c r="N543">
        <v>-123.2121154</v>
      </c>
      <c r="O543">
        <v>1.83</v>
      </c>
      <c r="P543">
        <v>3</v>
      </c>
      <c r="Q543">
        <v>1.83</v>
      </c>
      <c r="R543">
        <v>0.66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 t="s">
        <v>9335</v>
      </c>
      <c r="AB543" t="s">
        <v>242</v>
      </c>
      <c r="AC543" t="s">
        <v>3213</v>
      </c>
    </row>
    <row r="544" spans="1:29" x14ac:dyDescent="0.25">
      <c r="A544" t="s">
        <v>925</v>
      </c>
      <c r="B544" t="s">
        <v>254</v>
      </c>
      <c r="C544" t="s">
        <v>308</v>
      </c>
      <c r="D544" t="s">
        <v>3209</v>
      </c>
      <c r="E544" t="s">
        <v>3226</v>
      </c>
      <c r="F544">
        <v>19800605</v>
      </c>
      <c r="G544" t="s">
        <v>9332</v>
      </c>
      <c r="H544" t="s">
        <v>242</v>
      </c>
      <c r="I544" t="s">
        <v>242</v>
      </c>
      <c r="J544" t="s">
        <v>242</v>
      </c>
      <c r="K544" t="s">
        <v>241</v>
      </c>
      <c r="L544" t="s">
        <v>242</v>
      </c>
      <c r="M544">
        <v>38.639866019999999</v>
      </c>
      <c r="N544">
        <v>-122.7115464</v>
      </c>
      <c r="O544">
        <v>20.329999999999998</v>
      </c>
      <c r="P544">
        <v>5.33</v>
      </c>
      <c r="Q544">
        <v>6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7</v>
      </c>
      <c r="AA544" t="s">
        <v>9335</v>
      </c>
      <c r="AB544" t="s">
        <v>242</v>
      </c>
      <c r="AC544" t="s">
        <v>3229</v>
      </c>
    </row>
    <row r="545" spans="1:29" x14ac:dyDescent="0.25">
      <c r="A545" t="s">
        <v>926</v>
      </c>
      <c r="B545" t="s">
        <v>254</v>
      </c>
      <c r="C545" t="s">
        <v>308</v>
      </c>
      <c r="D545" t="s">
        <v>3209</v>
      </c>
      <c r="E545" t="s">
        <v>3246</v>
      </c>
      <c r="F545">
        <v>19800611</v>
      </c>
      <c r="G545" t="s">
        <v>9332</v>
      </c>
      <c r="H545" t="s">
        <v>242</v>
      </c>
      <c r="I545" t="s">
        <v>242</v>
      </c>
      <c r="J545" t="s">
        <v>242</v>
      </c>
      <c r="K545" t="s">
        <v>241</v>
      </c>
      <c r="L545" t="s">
        <v>242</v>
      </c>
      <c r="M545">
        <v>38.647210979999997</v>
      </c>
      <c r="N545">
        <v>-122.7003271</v>
      </c>
      <c r="O545">
        <v>23.66</v>
      </c>
      <c r="P545">
        <v>16</v>
      </c>
      <c r="Q545">
        <v>1.66</v>
      </c>
      <c r="R545">
        <v>0</v>
      </c>
      <c r="S545">
        <v>2.33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7.33</v>
      </c>
      <c r="Z545">
        <v>19.66</v>
      </c>
      <c r="AA545" t="s">
        <v>9335</v>
      </c>
      <c r="AB545" t="s">
        <v>242</v>
      </c>
      <c r="AC545" t="s">
        <v>3229</v>
      </c>
    </row>
    <row r="546" spans="1:29" x14ac:dyDescent="0.25">
      <c r="A546" t="s">
        <v>927</v>
      </c>
      <c r="B546" t="s">
        <v>254</v>
      </c>
      <c r="C546" t="s">
        <v>308</v>
      </c>
      <c r="D546" t="s">
        <v>3209</v>
      </c>
      <c r="E546" t="s">
        <v>3246</v>
      </c>
      <c r="F546">
        <v>19800611</v>
      </c>
      <c r="G546" t="s">
        <v>9332</v>
      </c>
      <c r="H546" t="s">
        <v>242</v>
      </c>
      <c r="I546" t="s">
        <v>242</v>
      </c>
      <c r="J546" t="s">
        <v>242</v>
      </c>
      <c r="K546" t="s">
        <v>241</v>
      </c>
      <c r="L546" t="s">
        <v>242</v>
      </c>
      <c r="M546">
        <v>38.647210979999997</v>
      </c>
      <c r="N546">
        <v>-122.7003271</v>
      </c>
      <c r="O546">
        <v>0</v>
      </c>
      <c r="P546">
        <v>0</v>
      </c>
      <c r="Q546">
        <v>0.4</v>
      </c>
      <c r="R546">
        <v>0</v>
      </c>
      <c r="S546">
        <v>0.5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 t="s">
        <v>9335</v>
      </c>
      <c r="AB546" t="s">
        <v>242</v>
      </c>
      <c r="AC546" t="s">
        <v>3229</v>
      </c>
    </row>
    <row r="547" spans="1:29" x14ac:dyDescent="0.25">
      <c r="A547" t="s">
        <v>937</v>
      </c>
      <c r="B547" t="s">
        <v>254</v>
      </c>
      <c r="C547" t="s">
        <v>348</v>
      </c>
      <c r="D547" t="s">
        <v>3209</v>
      </c>
      <c r="E547" t="s">
        <v>3246</v>
      </c>
      <c r="F547">
        <v>19800725</v>
      </c>
      <c r="G547" t="s">
        <v>9334</v>
      </c>
      <c r="H547" t="s">
        <v>242</v>
      </c>
      <c r="I547" t="s">
        <v>242</v>
      </c>
      <c r="J547" t="s">
        <v>242</v>
      </c>
      <c r="K547" t="s">
        <v>241</v>
      </c>
      <c r="L547" t="s">
        <v>242</v>
      </c>
      <c r="M547">
        <v>39.359981429999998</v>
      </c>
      <c r="N547">
        <v>-123.12865410000001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 t="s">
        <v>9344</v>
      </c>
      <c r="AB547" t="s">
        <v>241</v>
      </c>
      <c r="AC547" t="s">
        <v>3213</v>
      </c>
    </row>
    <row r="548" spans="1:29" x14ac:dyDescent="0.25">
      <c r="A548" t="s">
        <v>930</v>
      </c>
      <c r="B548" t="s">
        <v>254</v>
      </c>
      <c r="C548" t="s">
        <v>311</v>
      </c>
      <c r="D548" t="s">
        <v>3209</v>
      </c>
      <c r="E548" t="s">
        <v>3246</v>
      </c>
      <c r="F548">
        <v>19801103</v>
      </c>
      <c r="G548" t="s">
        <v>9332</v>
      </c>
      <c r="H548" t="s">
        <v>242</v>
      </c>
      <c r="I548" t="s">
        <v>242</v>
      </c>
      <c r="J548" t="s">
        <v>242</v>
      </c>
      <c r="K548" t="s">
        <v>241</v>
      </c>
      <c r="L548" t="s">
        <v>242</v>
      </c>
      <c r="M548">
        <v>38.620975649999998</v>
      </c>
      <c r="N548">
        <v>-122.6790677</v>
      </c>
      <c r="O548">
        <v>0.46</v>
      </c>
      <c r="P548">
        <v>0.46</v>
      </c>
      <c r="Q548">
        <v>0.46</v>
      </c>
      <c r="R548">
        <v>0.46</v>
      </c>
      <c r="S548">
        <v>0.46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 t="s">
        <v>9335</v>
      </c>
      <c r="AB548" t="s">
        <v>242</v>
      </c>
      <c r="AC548" t="s">
        <v>3229</v>
      </c>
    </row>
    <row r="549" spans="1:29" x14ac:dyDescent="0.25">
      <c r="A549" t="s">
        <v>933</v>
      </c>
      <c r="B549" t="s">
        <v>254</v>
      </c>
      <c r="C549" t="s">
        <v>311</v>
      </c>
      <c r="D549" t="s">
        <v>3209</v>
      </c>
      <c r="E549" t="s">
        <v>3246</v>
      </c>
      <c r="F549">
        <v>19801223</v>
      </c>
      <c r="G549" t="s">
        <v>9332</v>
      </c>
      <c r="H549" t="s">
        <v>242</v>
      </c>
      <c r="I549" t="s">
        <v>242</v>
      </c>
      <c r="J549" t="s">
        <v>242</v>
      </c>
      <c r="K549" t="s">
        <v>241</v>
      </c>
      <c r="L549" t="s">
        <v>242</v>
      </c>
      <c r="M549">
        <v>38.631966239999997</v>
      </c>
      <c r="N549">
        <v>-122.7663435</v>
      </c>
      <c r="O549">
        <v>0</v>
      </c>
      <c r="P549">
        <v>0</v>
      </c>
      <c r="Q549">
        <v>0.28000000000000003</v>
      </c>
      <c r="R549">
        <v>0.24</v>
      </c>
      <c r="S549">
        <v>0.22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 t="s">
        <v>9335</v>
      </c>
      <c r="AB549" t="s">
        <v>242</v>
      </c>
      <c r="AC549" t="s">
        <v>3229</v>
      </c>
    </row>
    <row r="550" spans="1:29" x14ac:dyDescent="0.25">
      <c r="A550" t="s">
        <v>911</v>
      </c>
      <c r="B550" t="s">
        <v>254</v>
      </c>
      <c r="C550" t="s">
        <v>348</v>
      </c>
      <c r="D550" t="s">
        <v>3209</v>
      </c>
      <c r="E550" t="s">
        <v>3246</v>
      </c>
      <c r="F550">
        <v>19810331</v>
      </c>
      <c r="G550" t="s">
        <v>9332</v>
      </c>
      <c r="H550" t="s">
        <v>242</v>
      </c>
      <c r="I550" t="s">
        <v>242</v>
      </c>
      <c r="J550" t="s">
        <v>242</v>
      </c>
      <c r="K550" t="s">
        <v>241</v>
      </c>
      <c r="L550" t="s">
        <v>242</v>
      </c>
      <c r="M550">
        <v>39.306572500000001</v>
      </c>
      <c r="N550">
        <v>-123.05534489999999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 t="s">
        <v>9342</v>
      </c>
      <c r="AB550" t="s">
        <v>242</v>
      </c>
      <c r="AC550" t="s">
        <v>3213</v>
      </c>
    </row>
    <row r="551" spans="1:29" x14ac:dyDescent="0.25">
      <c r="A551" t="s">
        <v>898</v>
      </c>
      <c r="B551" t="s">
        <v>254</v>
      </c>
      <c r="C551" t="s">
        <v>317</v>
      </c>
      <c r="D551" t="s">
        <v>3209</v>
      </c>
      <c r="E551" t="s">
        <v>3246</v>
      </c>
      <c r="F551">
        <v>19810721</v>
      </c>
      <c r="G551" t="s">
        <v>9332</v>
      </c>
      <c r="H551" t="s">
        <v>242</v>
      </c>
      <c r="I551" t="s">
        <v>242</v>
      </c>
      <c r="J551" t="s">
        <v>242</v>
      </c>
      <c r="K551" t="s">
        <v>241</v>
      </c>
      <c r="L551" t="s">
        <v>242</v>
      </c>
      <c r="M551">
        <v>39.2270374</v>
      </c>
      <c r="N551">
        <v>-123.2022601</v>
      </c>
      <c r="O551">
        <v>0.5</v>
      </c>
      <c r="P551">
        <v>0.46</v>
      </c>
      <c r="Q551">
        <v>0.8</v>
      </c>
      <c r="R551">
        <v>0</v>
      </c>
      <c r="S551">
        <v>0.66</v>
      </c>
      <c r="T551">
        <v>0</v>
      </c>
      <c r="U551">
        <v>0</v>
      </c>
      <c r="V551">
        <v>0</v>
      </c>
      <c r="W551">
        <v>0</v>
      </c>
      <c r="X551">
        <v>0.08</v>
      </c>
      <c r="Y551">
        <v>1.83</v>
      </c>
      <c r="Z551">
        <v>2.33</v>
      </c>
      <c r="AA551" t="s">
        <v>9335</v>
      </c>
      <c r="AB551" t="s">
        <v>242</v>
      </c>
      <c r="AC551" t="s">
        <v>3213</v>
      </c>
    </row>
    <row r="552" spans="1:29" x14ac:dyDescent="0.25">
      <c r="A552" t="s">
        <v>910</v>
      </c>
      <c r="B552" t="s">
        <v>254</v>
      </c>
      <c r="C552" t="s">
        <v>348</v>
      </c>
      <c r="D552" t="s">
        <v>3209</v>
      </c>
      <c r="E552" t="s">
        <v>3246</v>
      </c>
      <c r="F552">
        <v>19810804</v>
      </c>
      <c r="G552" t="s">
        <v>9332</v>
      </c>
      <c r="H552" t="s">
        <v>242</v>
      </c>
      <c r="I552" t="s">
        <v>242</v>
      </c>
      <c r="J552" t="s">
        <v>242</v>
      </c>
      <c r="K552" t="s">
        <v>241</v>
      </c>
      <c r="L552" t="s">
        <v>242</v>
      </c>
      <c r="M552">
        <v>39.298262770000001</v>
      </c>
      <c r="N552">
        <v>-123.0633488</v>
      </c>
      <c r="O552">
        <v>0.66</v>
      </c>
      <c r="P552">
        <v>0.33</v>
      </c>
      <c r="Q552">
        <v>0.67</v>
      </c>
      <c r="R552">
        <v>0.34</v>
      </c>
      <c r="S552">
        <v>0.34</v>
      </c>
      <c r="T552">
        <v>0.67</v>
      </c>
      <c r="U552">
        <v>0.67</v>
      </c>
      <c r="V552">
        <v>2.0460000000000001E-3</v>
      </c>
      <c r="W552">
        <v>2.0462670000000001E-3</v>
      </c>
      <c r="X552">
        <v>0</v>
      </c>
      <c r="Y552">
        <v>0</v>
      </c>
      <c r="Z552">
        <v>0</v>
      </c>
      <c r="AA552" t="s">
        <v>9335</v>
      </c>
      <c r="AB552" t="s">
        <v>242</v>
      </c>
      <c r="AC552" t="s">
        <v>3213</v>
      </c>
    </row>
    <row r="553" spans="1:29" x14ac:dyDescent="0.25">
      <c r="A553" t="s">
        <v>902</v>
      </c>
      <c r="B553" t="s">
        <v>254</v>
      </c>
      <c r="C553" t="s">
        <v>317</v>
      </c>
      <c r="D553" t="s">
        <v>3209</v>
      </c>
      <c r="E553" t="s">
        <v>3246</v>
      </c>
      <c r="F553">
        <v>19811007</v>
      </c>
      <c r="G553" t="s">
        <v>9332</v>
      </c>
      <c r="H553" t="s">
        <v>242</v>
      </c>
      <c r="I553" t="s">
        <v>242</v>
      </c>
      <c r="J553" t="s">
        <v>242</v>
      </c>
      <c r="K553" t="s">
        <v>241</v>
      </c>
      <c r="L553" t="s">
        <v>242</v>
      </c>
      <c r="M553">
        <v>39.2545</v>
      </c>
      <c r="N553">
        <v>-123.2269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 t="s">
        <v>9335</v>
      </c>
      <c r="AB553" t="s">
        <v>242</v>
      </c>
      <c r="AC553" t="s">
        <v>3213</v>
      </c>
    </row>
    <row r="554" spans="1:29" x14ac:dyDescent="0.25">
      <c r="A554" t="s">
        <v>904</v>
      </c>
      <c r="B554" t="s">
        <v>254</v>
      </c>
      <c r="C554" t="s">
        <v>331</v>
      </c>
      <c r="D554" t="s">
        <v>3209</v>
      </c>
      <c r="E554" t="s">
        <v>3246</v>
      </c>
      <c r="F554">
        <v>19811102</v>
      </c>
      <c r="G554" t="s">
        <v>9332</v>
      </c>
      <c r="H554" t="s">
        <v>242</v>
      </c>
      <c r="I554" t="s">
        <v>242</v>
      </c>
      <c r="J554" t="s">
        <v>242</v>
      </c>
      <c r="K554" t="s">
        <v>241</v>
      </c>
      <c r="L554" t="s">
        <v>242</v>
      </c>
      <c r="M554">
        <v>39.128174549999997</v>
      </c>
      <c r="N554">
        <v>-123.1625066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 t="s">
        <v>9335</v>
      </c>
      <c r="AB554" t="s">
        <v>242</v>
      </c>
      <c r="AC554" t="s">
        <v>3213</v>
      </c>
    </row>
    <row r="555" spans="1:29" x14ac:dyDescent="0.25">
      <c r="A555" t="s">
        <v>879</v>
      </c>
      <c r="B555" t="s">
        <v>254</v>
      </c>
      <c r="C555" t="s">
        <v>823</v>
      </c>
      <c r="D555" t="s">
        <v>3209</v>
      </c>
      <c r="E555" t="s">
        <v>3226</v>
      </c>
      <c r="F555">
        <v>19820111</v>
      </c>
      <c r="G555" t="s">
        <v>9332</v>
      </c>
      <c r="H555" t="s">
        <v>242</v>
      </c>
      <c r="I555" t="s">
        <v>242</v>
      </c>
      <c r="J555" t="s">
        <v>242</v>
      </c>
      <c r="K555" t="s">
        <v>241</v>
      </c>
      <c r="L555" t="s">
        <v>242</v>
      </c>
      <c r="M555">
        <v>38.772912390000002</v>
      </c>
      <c r="N555">
        <v>-122.7545315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 t="s">
        <v>9340</v>
      </c>
      <c r="AB555" t="s">
        <v>242</v>
      </c>
      <c r="AC555" t="s">
        <v>3229</v>
      </c>
    </row>
    <row r="556" spans="1:29" x14ac:dyDescent="0.25">
      <c r="A556" t="s">
        <v>882</v>
      </c>
      <c r="B556" t="s">
        <v>254</v>
      </c>
      <c r="C556" t="s">
        <v>317</v>
      </c>
      <c r="D556" t="s">
        <v>3209</v>
      </c>
      <c r="E556" t="s">
        <v>3246</v>
      </c>
      <c r="F556">
        <v>19820419</v>
      </c>
      <c r="G556" t="s">
        <v>9334</v>
      </c>
      <c r="H556" t="s">
        <v>242</v>
      </c>
      <c r="I556" t="s">
        <v>242</v>
      </c>
      <c r="J556" t="s">
        <v>242</v>
      </c>
      <c r="K556" t="s">
        <v>241</v>
      </c>
      <c r="L556" t="s">
        <v>242</v>
      </c>
      <c r="M556">
        <v>39.2714</v>
      </c>
      <c r="N556">
        <v>-123.254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 t="s">
        <v>9335</v>
      </c>
      <c r="AB556" t="s">
        <v>242</v>
      </c>
      <c r="AC556" t="s">
        <v>3213</v>
      </c>
    </row>
    <row r="557" spans="1:29" x14ac:dyDescent="0.25">
      <c r="A557" t="s">
        <v>883</v>
      </c>
      <c r="B557" t="s">
        <v>254</v>
      </c>
      <c r="C557" t="s">
        <v>311</v>
      </c>
      <c r="D557" t="s">
        <v>3209</v>
      </c>
      <c r="E557" t="s">
        <v>3246</v>
      </c>
      <c r="F557">
        <v>19820505</v>
      </c>
      <c r="G557" t="s">
        <v>9332</v>
      </c>
      <c r="H557" t="s">
        <v>241</v>
      </c>
      <c r="I557" t="s">
        <v>242</v>
      </c>
      <c r="J557" t="s">
        <v>242</v>
      </c>
      <c r="K557" t="s">
        <v>241</v>
      </c>
      <c r="L557" t="s">
        <v>242</v>
      </c>
      <c r="M557">
        <v>38.652473649999997</v>
      </c>
      <c r="N557">
        <v>-122.81944249999999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1.5</v>
      </c>
      <c r="Z557">
        <v>0.5</v>
      </c>
      <c r="AA557" t="s">
        <v>9335</v>
      </c>
      <c r="AB557" t="s">
        <v>241</v>
      </c>
      <c r="AC557" t="s">
        <v>3229</v>
      </c>
    </row>
    <row r="558" spans="1:29" x14ac:dyDescent="0.25">
      <c r="A558" t="s">
        <v>886</v>
      </c>
      <c r="B558" t="s">
        <v>254</v>
      </c>
      <c r="C558" t="s">
        <v>311</v>
      </c>
      <c r="D558" t="s">
        <v>3209</v>
      </c>
      <c r="E558" t="s">
        <v>3246</v>
      </c>
      <c r="F558">
        <v>19820720</v>
      </c>
      <c r="G558" t="s">
        <v>9332</v>
      </c>
      <c r="H558" t="s">
        <v>242</v>
      </c>
      <c r="I558" t="s">
        <v>242</v>
      </c>
      <c r="J558" t="s">
        <v>242</v>
      </c>
      <c r="K558" t="s">
        <v>241</v>
      </c>
      <c r="L558" t="s">
        <v>242</v>
      </c>
      <c r="M558">
        <v>38.584125419999999</v>
      </c>
      <c r="N558">
        <v>-122.6402339</v>
      </c>
      <c r="O558">
        <v>1</v>
      </c>
      <c r="P558">
        <v>1</v>
      </c>
      <c r="Q558">
        <v>1</v>
      </c>
      <c r="R558">
        <v>1</v>
      </c>
      <c r="S558">
        <v>0.66</v>
      </c>
      <c r="T558">
        <v>0</v>
      </c>
      <c r="U558">
        <v>0</v>
      </c>
      <c r="V558">
        <v>0</v>
      </c>
      <c r="W558">
        <v>0</v>
      </c>
      <c r="X558">
        <v>1</v>
      </c>
      <c r="Y558">
        <v>1</v>
      </c>
      <c r="Z558">
        <v>1</v>
      </c>
      <c r="AA558" t="s">
        <v>9335</v>
      </c>
      <c r="AB558" t="s">
        <v>242</v>
      </c>
      <c r="AC558" t="s">
        <v>3229</v>
      </c>
    </row>
    <row r="559" spans="1:29" x14ac:dyDescent="0.25">
      <c r="A559" t="s">
        <v>887</v>
      </c>
      <c r="B559" t="s">
        <v>254</v>
      </c>
      <c r="C559" t="s">
        <v>317</v>
      </c>
      <c r="D559" t="s">
        <v>3209</v>
      </c>
      <c r="E559" t="s">
        <v>3246</v>
      </c>
      <c r="F559">
        <v>19820729</v>
      </c>
      <c r="G559" t="s">
        <v>9332</v>
      </c>
      <c r="H559" t="s">
        <v>242</v>
      </c>
      <c r="I559" t="s">
        <v>242</v>
      </c>
      <c r="J559" t="s">
        <v>242</v>
      </c>
      <c r="K559" t="s">
        <v>241</v>
      </c>
      <c r="L559" t="s">
        <v>242</v>
      </c>
      <c r="M559">
        <v>39.251952070000002</v>
      </c>
      <c r="N559">
        <v>-123.16877909999999</v>
      </c>
      <c r="O559">
        <v>0</v>
      </c>
      <c r="P559">
        <v>0</v>
      </c>
      <c r="Q559">
        <v>0</v>
      </c>
      <c r="R559">
        <v>0</v>
      </c>
      <c r="S559">
        <v>2.1483330000000001E-3</v>
      </c>
      <c r="T559">
        <v>2.1483330000000001E-3</v>
      </c>
      <c r="U559">
        <v>2.1483330000000001E-3</v>
      </c>
      <c r="V559">
        <v>2.1483330000000001E-3</v>
      </c>
      <c r="W559">
        <v>2.1483330000000001E-3</v>
      </c>
      <c r="X559">
        <v>2.1483330000000001E-3</v>
      </c>
      <c r="Y559">
        <v>0</v>
      </c>
      <c r="Z559">
        <v>0.16</v>
      </c>
      <c r="AA559" t="s">
        <v>9335</v>
      </c>
      <c r="AB559" t="s">
        <v>242</v>
      </c>
      <c r="AC559" t="s">
        <v>3213</v>
      </c>
    </row>
    <row r="560" spans="1:29" x14ac:dyDescent="0.25">
      <c r="A560" t="s">
        <v>890</v>
      </c>
      <c r="B560" t="s">
        <v>254</v>
      </c>
      <c r="C560" t="s">
        <v>354</v>
      </c>
      <c r="D560" t="s">
        <v>3209</v>
      </c>
      <c r="E560" t="s">
        <v>3246</v>
      </c>
      <c r="F560">
        <v>19820930</v>
      </c>
      <c r="G560" t="s">
        <v>9332</v>
      </c>
      <c r="H560" t="s">
        <v>242</v>
      </c>
      <c r="I560" t="s">
        <v>242</v>
      </c>
      <c r="J560" t="s">
        <v>242</v>
      </c>
      <c r="K560" t="s">
        <v>241</v>
      </c>
      <c r="L560" t="s">
        <v>242</v>
      </c>
      <c r="M560">
        <v>38.771987119999999</v>
      </c>
      <c r="N560">
        <v>-122.9572678</v>
      </c>
      <c r="O560">
        <v>1.7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 t="s">
        <v>9335</v>
      </c>
      <c r="AB560" t="s">
        <v>242</v>
      </c>
      <c r="AC560" t="s">
        <v>3229</v>
      </c>
    </row>
    <row r="561" spans="1:29" x14ac:dyDescent="0.25">
      <c r="A561" t="s">
        <v>891</v>
      </c>
      <c r="B561" t="s">
        <v>254</v>
      </c>
      <c r="C561" t="s">
        <v>436</v>
      </c>
      <c r="D561" t="s">
        <v>3209</v>
      </c>
      <c r="E561" t="s">
        <v>3246</v>
      </c>
      <c r="F561">
        <v>19821021</v>
      </c>
      <c r="G561" t="s">
        <v>9332</v>
      </c>
      <c r="H561" t="s">
        <v>242</v>
      </c>
      <c r="I561" t="s">
        <v>242</v>
      </c>
      <c r="J561" t="s">
        <v>242</v>
      </c>
      <c r="K561" t="s">
        <v>241</v>
      </c>
      <c r="L561" t="s">
        <v>242</v>
      </c>
      <c r="M561">
        <v>38.697057999999998</v>
      </c>
      <c r="N561">
        <v>-122.83595099999999</v>
      </c>
      <c r="O561">
        <v>4</v>
      </c>
      <c r="P561">
        <v>4</v>
      </c>
      <c r="Q561">
        <v>2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4</v>
      </c>
      <c r="AA561" t="s">
        <v>9335</v>
      </c>
      <c r="AB561" t="s">
        <v>242</v>
      </c>
      <c r="AC561" t="s">
        <v>3229</v>
      </c>
    </row>
    <row r="562" spans="1:29" x14ac:dyDescent="0.25">
      <c r="A562" t="s">
        <v>892</v>
      </c>
      <c r="B562" t="s">
        <v>254</v>
      </c>
      <c r="C562" t="s">
        <v>333</v>
      </c>
      <c r="D562" t="s">
        <v>3209</v>
      </c>
      <c r="E562" t="s">
        <v>3226</v>
      </c>
      <c r="F562">
        <v>19821112</v>
      </c>
      <c r="G562" t="s">
        <v>9332</v>
      </c>
      <c r="H562" t="s">
        <v>241</v>
      </c>
      <c r="I562" t="s">
        <v>242</v>
      </c>
      <c r="J562" t="s">
        <v>242</v>
      </c>
      <c r="K562" t="s">
        <v>241</v>
      </c>
      <c r="L562" t="s">
        <v>242</v>
      </c>
      <c r="M562">
        <v>39.043999999999997</v>
      </c>
      <c r="N562">
        <v>-123.1344</v>
      </c>
      <c r="O562">
        <v>0</v>
      </c>
      <c r="P562">
        <v>0</v>
      </c>
      <c r="Q562">
        <v>7.66</v>
      </c>
      <c r="R562">
        <v>10.33</v>
      </c>
      <c r="S562">
        <v>9.33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 t="s">
        <v>9343</v>
      </c>
      <c r="AB562" t="s">
        <v>242</v>
      </c>
      <c r="AC562" t="s">
        <v>3213</v>
      </c>
    </row>
    <row r="563" spans="1:29" x14ac:dyDescent="0.25">
      <c r="A563" t="s">
        <v>893</v>
      </c>
      <c r="B563" t="s">
        <v>254</v>
      </c>
      <c r="C563" t="s">
        <v>333</v>
      </c>
      <c r="D563" t="s">
        <v>3209</v>
      </c>
      <c r="E563" t="s">
        <v>3246</v>
      </c>
      <c r="F563">
        <v>19821112</v>
      </c>
      <c r="G563" t="s">
        <v>9332</v>
      </c>
      <c r="H563" t="s">
        <v>241</v>
      </c>
      <c r="I563" t="s">
        <v>242</v>
      </c>
      <c r="J563" t="s">
        <v>242</v>
      </c>
      <c r="K563" t="s">
        <v>241</v>
      </c>
      <c r="L563" t="s">
        <v>242</v>
      </c>
      <c r="M563">
        <v>39.043799999999997</v>
      </c>
      <c r="N563">
        <v>-123.1343</v>
      </c>
      <c r="O563">
        <v>7.33</v>
      </c>
      <c r="P563">
        <v>10.66</v>
      </c>
      <c r="Q563">
        <v>6</v>
      </c>
      <c r="R563">
        <v>6.66</v>
      </c>
      <c r="S563">
        <v>11.33</v>
      </c>
      <c r="T563">
        <v>18.329999999999998</v>
      </c>
      <c r="U563">
        <v>18.66</v>
      </c>
      <c r="V563">
        <v>13</v>
      </c>
      <c r="W563">
        <v>10.33</v>
      </c>
      <c r="X563">
        <v>9.33</v>
      </c>
      <c r="Y563">
        <v>0</v>
      </c>
      <c r="Z563">
        <v>0</v>
      </c>
      <c r="AA563" t="s">
        <v>9335</v>
      </c>
      <c r="AB563" t="s">
        <v>242</v>
      </c>
      <c r="AC563" t="s">
        <v>3213</v>
      </c>
    </row>
    <row r="564" spans="1:29" x14ac:dyDescent="0.25">
      <c r="A564" t="s">
        <v>894</v>
      </c>
      <c r="B564" t="s">
        <v>254</v>
      </c>
      <c r="C564" t="s">
        <v>333</v>
      </c>
      <c r="D564" t="s">
        <v>3209</v>
      </c>
      <c r="E564" t="s">
        <v>3226</v>
      </c>
      <c r="F564">
        <v>19821112</v>
      </c>
      <c r="G564" t="s">
        <v>9332</v>
      </c>
      <c r="H564" t="s">
        <v>241</v>
      </c>
      <c r="I564" t="s">
        <v>242</v>
      </c>
      <c r="J564" t="s">
        <v>242</v>
      </c>
      <c r="K564" t="s">
        <v>241</v>
      </c>
      <c r="L564" t="s">
        <v>242</v>
      </c>
      <c r="M564">
        <v>39.040500000000002</v>
      </c>
      <c r="N564">
        <v>-123.1301</v>
      </c>
      <c r="O564">
        <v>8.33</v>
      </c>
      <c r="P564">
        <v>6.33</v>
      </c>
      <c r="Q564">
        <v>5.33</v>
      </c>
      <c r="R564">
        <v>0</v>
      </c>
      <c r="S564">
        <v>4</v>
      </c>
      <c r="T564">
        <v>4.66</v>
      </c>
      <c r="U564">
        <v>4.66</v>
      </c>
      <c r="V564">
        <v>4.33</v>
      </c>
      <c r="W564">
        <v>2.33</v>
      </c>
      <c r="X564">
        <v>0</v>
      </c>
      <c r="Y564">
        <v>0</v>
      </c>
      <c r="Z564">
        <v>0</v>
      </c>
      <c r="AA564" t="s">
        <v>9335</v>
      </c>
      <c r="AB564" t="s">
        <v>242</v>
      </c>
      <c r="AC564" t="s">
        <v>3213</v>
      </c>
    </row>
    <row r="565" spans="1:29" x14ac:dyDescent="0.25">
      <c r="A565" t="s">
        <v>895</v>
      </c>
      <c r="B565" t="s">
        <v>254</v>
      </c>
      <c r="C565" t="s">
        <v>333</v>
      </c>
      <c r="D565" t="s">
        <v>3209</v>
      </c>
      <c r="E565" t="s">
        <v>3246</v>
      </c>
      <c r="F565">
        <v>19821112</v>
      </c>
      <c r="G565" t="s">
        <v>9332</v>
      </c>
      <c r="H565" t="s">
        <v>241</v>
      </c>
      <c r="I565" t="s">
        <v>242</v>
      </c>
      <c r="J565" t="s">
        <v>242</v>
      </c>
      <c r="K565" t="s">
        <v>241</v>
      </c>
      <c r="L565" t="s">
        <v>242</v>
      </c>
      <c r="M565">
        <v>39.043799999999997</v>
      </c>
      <c r="N565">
        <v>-123.1343</v>
      </c>
      <c r="O565">
        <v>0</v>
      </c>
      <c r="P565">
        <v>0</v>
      </c>
      <c r="Q565">
        <v>2.33</v>
      </c>
      <c r="R565">
        <v>4</v>
      </c>
      <c r="S565">
        <v>4.33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 t="s">
        <v>9343</v>
      </c>
      <c r="AB565" t="s">
        <v>242</v>
      </c>
      <c r="AC565" t="s">
        <v>3213</v>
      </c>
    </row>
    <row r="566" spans="1:29" x14ac:dyDescent="0.25">
      <c r="A566" t="s">
        <v>896</v>
      </c>
      <c r="B566" t="s">
        <v>254</v>
      </c>
      <c r="C566" t="s">
        <v>311</v>
      </c>
      <c r="D566" t="s">
        <v>3209</v>
      </c>
      <c r="E566" t="s">
        <v>3226</v>
      </c>
      <c r="F566">
        <v>19821123</v>
      </c>
      <c r="G566" t="s">
        <v>9338</v>
      </c>
      <c r="H566" t="s">
        <v>242</v>
      </c>
      <c r="I566" t="s">
        <v>242</v>
      </c>
      <c r="J566" t="s">
        <v>242</v>
      </c>
      <c r="K566" t="s">
        <v>241</v>
      </c>
      <c r="L566" t="s">
        <v>242</v>
      </c>
      <c r="M566">
        <v>38.631684730000003</v>
      </c>
      <c r="N566">
        <v>-122.76739070000001</v>
      </c>
      <c r="O566">
        <v>0</v>
      </c>
      <c r="P566">
        <v>0</v>
      </c>
      <c r="Q566">
        <v>2.2000000000000002</v>
      </c>
      <c r="R566">
        <v>0.66</v>
      </c>
      <c r="S566">
        <v>5.03</v>
      </c>
      <c r="T566">
        <v>3.26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 t="s">
        <v>9335</v>
      </c>
      <c r="AB566" t="s">
        <v>242</v>
      </c>
      <c r="AC566" t="s">
        <v>3229</v>
      </c>
    </row>
    <row r="567" spans="1:29" x14ac:dyDescent="0.25">
      <c r="A567" t="s">
        <v>876</v>
      </c>
      <c r="B567" t="s">
        <v>254</v>
      </c>
      <c r="C567" t="s">
        <v>317</v>
      </c>
      <c r="D567" t="s">
        <v>3209</v>
      </c>
      <c r="E567" t="s">
        <v>3246</v>
      </c>
      <c r="F567">
        <v>19830706</v>
      </c>
      <c r="G567" t="s">
        <v>9332</v>
      </c>
      <c r="H567" t="s">
        <v>242</v>
      </c>
      <c r="I567" t="s">
        <v>242</v>
      </c>
      <c r="J567" t="s">
        <v>242</v>
      </c>
      <c r="K567" t="s">
        <v>241</v>
      </c>
      <c r="L567" t="s">
        <v>242</v>
      </c>
      <c r="M567">
        <v>39.301001880000001</v>
      </c>
      <c r="N567">
        <v>-123.2058164</v>
      </c>
      <c r="O567">
        <v>8.6199999999999992</v>
      </c>
      <c r="P567">
        <v>7.56</v>
      </c>
      <c r="Q567">
        <v>4.46</v>
      </c>
      <c r="R567">
        <v>3.06</v>
      </c>
      <c r="S567">
        <v>1.42</v>
      </c>
      <c r="T567">
        <v>0</v>
      </c>
      <c r="U567">
        <v>0</v>
      </c>
      <c r="V567">
        <v>0.01</v>
      </c>
      <c r="W567">
        <v>0.01</v>
      </c>
      <c r="X567">
        <v>0</v>
      </c>
      <c r="Y567">
        <v>2.4</v>
      </c>
      <c r="Z567">
        <v>3.64</v>
      </c>
      <c r="AA567" t="s">
        <v>9335</v>
      </c>
      <c r="AB567" t="s">
        <v>242</v>
      </c>
      <c r="AC567" t="s">
        <v>3213</v>
      </c>
    </row>
    <row r="568" spans="1:29" x14ac:dyDescent="0.25">
      <c r="A568" t="s">
        <v>877</v>
      </c>
      <c r="B568" t="s">
        <v>254</v>
      </c>
      <c r="C568" t="s">
        <v>319</v>
      </c>
      <c r="D568" t="s">
        <v>3209</v>
      </c>
      <c r="E568" t="s">
        <v>3226</v>
      </c>
      <c r="F568">
        <v>19830928</v>
      </c>
      <c r="G568" t="s">
        <v>9332</v>
      </c>
      <c r="H568" t="s">
        <v>242</v>
      </c>
      <c r="I568" t="s">
        <v>242</v>
      </c>
      <c r="J568" t="s">
        <v>242</v>
      </c>
      <c r="K568" t="s">
        <v>241</v>
      </c>
      <c r="L568" t="s">
        <v>242</v>
      </c>
      <c r="M568">
        <v>38.927392769999997</v>
      </c>
      <c r="N568">
        <v>-123.0824071</v>
      </c>
      <c r="O568">
        <v>0.33</v>
      </c>
      <c r="P568">
        <v>2.33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0.33</v>
      </c>
      <c r="Y568">
        <v>9.33</v>
      </c>
      <c r="Z568">
        <v>30.66</v>
      </c>
      <c r="AA568" t="s">
        <v>9335</v>
      </c>
      <c r="AB568" t="s">
        <v>242</v>
      </c>
      <c r="AC568" t="s">
        <v>3213</v>
      </c>
    </row>
    <row r="569" spans="1:29" x14ac:dyDescent="0.25">
      <c r="A569" t="s">
        <v>163</v>
      </c>
      <c r="B569" t="s">
        <v>254</v>
      </c>
      <c r="C569" t="s">
        <v>311</v>
      </c>
      <c r="D569" t="s">
        <v>3209</v>
      </c>
      <c r="E569" t="s">
        <v>3226</v>
      </c>
      <c r="F569">
        <v>19840109</v>
      </c>
      <c r="G569" t="s">
        <v>9332</v>
      </c>
      <c r="H569" t="s">
        <v>241</v>
      </c>
      <c r="I569" t="s">
        <v>242</v>
      </c>
      <c r="J569" t="s">
        <v>242</v>
      </c>
      <c r="K569" t="s">
        <v>241</v>
      </c>
      <c r="L569" t="s">
        <v>242</v>
      </c>
      <c r="M569">
        <v>38.65040638</v>
      </c>
      <c r="N569">
        <v>-122.8008592</v>
      </c>
      <c r="O569">
        <v>6.2</v>
      </c>
      <c r="P569">
        <v>0</v>
      </c>
      <c r="Q569">
        <v>0</v>
      </c>
      <c r="R569">
        <v>0</v>
      </c>
      <c r="S569">
        <v>0</v>
      </c>
      <c r="T569">
        <v>1.7</v>
      </c>
      <c r="U569">
        <v>23.36</v>
      </c>
      <c r="V569">
        <v>29.76</v>
      </c>
      <c r="W569">
        <v>13.9</v>
      </c>
      <c r="X569">
        <v>12.13</v>
      </c>
      <c r="Y569">
        <v>2.36</v>
      </c>
      <c r="Z569">
        <v>0</v>
      </c>
      <c r="AA569" t="s">
        <v>9335</v>
      </c>
      <c r="AB569" t="s">
        <v>242</v>
      </c>
      <c r="AC569" t="s">
        <v>3229</v>
      </c>
    </row>
    <row r="570" spans="1:29" x14ac:dyDescent="0.25">
      <c r="A570" t="s">
        <v>165</v>
      </c>
      <c r="B570" t="s">
        <v>254</v>
      </c>
      <c r="C570" t="s">
        <v>311</v>
      </c>
      <c r="D570" t="s">
        <v>3209</v>
      </c>
      <c r="E570" t="s">
        <v>3226</v>
      </c>
      <c r="F570">
        <v>19840109</v>
      </c>
      <c r="G570" t="s">
        <v>9332</v>
      </c>
      <c r="H570" t="s">
        <v>242</v>
      </c>
      <c r="I570" t="s">
        <v>242</v>
      </c>
      <c r="J570" t="s">
        <v>242</v>
      </c>
      <c r="K570" t="s">
        <v>241</v>
      </c>
      <c r="L570" t="s">
        <v>242</v>
      </c>
      <c r="M570">
        <v>38.665417849999997</v>
      </c>
      <c r="N570">
        <v>-122.79419799999999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 t="s">
        <v>9335</v>
      </c>
      <c r="AB570" t="s">
        <v>242</v>
      </c>
      <c r="AC570" t="s">
        <v>3229</v>
      </c>
    </row>
    <row r="571" spans="1:29" x14ac:dyDescent="0.25">
      <c r="A571" t="s">
        <v>166</v>
      </c>
      <c r="B571" t="s">
        <v>254</v>
      </c>
      <c r="C571" t="s">
        <v>311</v>
      </c>
      <c r="D571" t="s">
        <v>3209</v>
      </c>
      <c r="E571" t="s">
        <v>3246</v>
      </c>
      <c r="F571">
        <v>19840109</v>
      </c>
      <c r="G571" t="s">
        <v>9332</v>
      </c>
      <c r="H571" t="s">
        <v>242</v>
      </c>
      <c r="I571" t="s">
        <v>242</v>
      </c>
      <c r="J571" t="s">
        <v>242</v>
      </c>
      <c r="K571" t="s">
        <v>241</v>
      </c>
      <c r="L571" t="s">
        <v>242</v>
      </c>
      <c r="M571">
        <v>38.665417849999997</v>
      </c>
      <c r="N571">
        <v>-122.79419799999999</v>
      </c>
      <c r="O571">
        <v>17.23</v>
      </c>
      <c r="P571">
        <v>0</v>
      </c>
      <c r="Q571">
        <v>0</v>
      </c>
      <c r="R571">
        <v>1.1599999999999999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1.23</v>
      </c>
      <c r="Y571">
        <v>10.029999999999999</v>
      </c>
      <c r="Z571">
        <v>0</v>
      </c>
      <c r="AA571" t="s">
        <v>9335</v>
      </c>
      <c r="AB571" t="s">
        <v>241</v>
      </c>
      <c r="AC571" t="s">
        <v>3229</v>
      </c>
    </row>
    <row r="572" spans="1:29" x14ac:dyDescent="0.25">
      <c r="A572" t="s">
        <v>866</v>
      </c>
      <c r="B572" t="s">
        <v>254</v>
      </c>
      <c r="C572" t="s">
        <v>354</v>
      </c>
      <c r="D572" t="s">
        <v>3209</v>
      </c>
      <c r="E572" t="s">
        <v>3246</v>
      </c>
      <c r="F572">
        <v>19840123</v>
      </c>
      <c r="G572" t="s">
        <v>9332</v>
      </c>
      <c r="H572" t="s">
        <v>241</v>
      </c>
      <c r="I572" t="s">
        <v>242</v>
      </c>
      <c r="J572" t="s">
        <v>242</v>
      </c>
      <c r="K572" t="s">
        <v>241</v>
      </c>
      <c r="L572" t="s">
        <v>242</v>
      </c>
      <c r="M572">
        <v>38.724378469999998</v>
      </c>
      <c r="N572">
        <v>-122.9091818</v>
      </c>
      <c r="O572">
        <v>0</v>
      </c>
      <c r="P572">
        <v>0</v>
      </c>
      <c r="Q572">
        <v>2.0299999999999998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 t="s">
        <v>9343</v>
      </c>
      <c r="AB572" t="s">
        <v>242</v>
      </c>
      <c r="AC572" t="s">
        <v>3229</v>
      </c>
    </row>
    <row r="573" spans="1:29" x14ac:dyDescent="0.25">
      <c r="A573" t="s">
        <v>867</v>
      </c>
      <c r="B573" t="s">
        <v>254</v>
      </c>
      <c r="C573" t="s">
        <v>333</v>
      </c>
      <c r="D573" t="s">
        <v>3209</v>
      </c>
      <c r="E573" t="s">
        <v>3246</v>
      </c>
      <c r="F573">
        <v>19840306</v>
      </c>
      <c r="G573" t="s">
        <v>9334</v>
      </c>
      <c r="H573" t="s">
        <v>241</v>
      </c>
      <c r="I573" t="s">
        <v>242</v>
      </c>
      <c r="J573" t="s">
        <v>242</v>
      </c>
      <c r="K573" t="s">
        <v>241</v>
      </c>
      <c r="L573" t="s">
        <v>242</v>
      </c>
      <c r="M573">
        <v>39.066702800000002</v>
      </c>
      <c r="N573">
        <v>-123.1484552</v>
      </c>
      <c r="O573">
        <v>1.4</v>
      </c>
      <c r="P573">
        <v>1.33</v>
      </c>
      <c r="Q573">
        <v>0</v>
      </c>
      <c r="R573">
        <v>0.5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0.63</v>
      </c>
      <c r="AA573" t="s">
        <v>9335</v>
      </c>
      <c r="AB573" t="s">
        <v>242</v>
      </c>
      <c r="AC573" t="s">
        <v>3213</v>
      </c>
    </row>
    <row r="574" spans="1:29" x14ac:dyDescent="0.25">
      <c r="A574" t="s">
        <v>864</v>
      </c>
      <c r="B574" t="s">
        <v>254</v>
      </c>
      <c r="C574" t="s">
        <v>348</v>
      </c>
      <c r="D574" t="s">
        <v>3209</v>
      </c>
      <c r="E574" t="s">
        <v>3246</v>
      </c>
      <c r="F574">
        <v>19840418</v>
      </c>
      <c r="G574" t="s">
        <v>9332</v>
      </c>
      <c r="H574" t="s">
        <v>242</v>
      </c>
      <c r="I574" t="s">
        <v>242</v>
      </c>
      <c r="J574" t="s">
        <v>242</v>
      </c>
      <c r="K574" t="s">
        <v>241</v>
      </c>
      <c r="L574" t="s">
        <v>242</v>
      </c>
      <c r="M574">
        <v>39.329621359999997</v>
      </c>
      <c r="N574">
        <v>-123.1447859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2.66</v>
      </c>
      <c r="U574">
        <v>3</v>
      </c>
      <c r="V574">
        <v>3</v>
      </c>
      <c r="W574">
        <v>2</v>
      </c>
      <c r="X574">
        <v>0</v>
      </c>
      <c r="Y574">
        <v>0</v>
      </c>
      <c r="Z574">
        <v>0</v>
      </c>
      <c r="AA574" t="s">
        <v>9335</v>
      </c>
      <c r="AB574" t="s">
        <v>242</v>
      </c>
      <c r="AC574" t="s">
        <v>3213</v>
      </c>
    </row>
    <row r="575" spans="1:29" x14ac:dyDescent="0.25">
      <c r="A575" t="s">
        <v>868</v>
      </c>
      <c r="B575" t="s">
        <v>254</v>
      </c>
      <c r="C575" t="s">
        <v>317</v>
      </c>
      <c r="D575" t="s">
        <v>3209</v>
      </c>
      <c r="E575" t="s">
        <v>3246</v>
      </c>
      <c r="F575">
        <v>19840430</v>
      </c>
      <c r="G575" t="s">
        <v>9332</v>
      </c>
      <c r="H575" t="s">
        <v>242</v>
      </c>
      <c r="I575" t="s">
        <v>242</v>
      </c>
      <c r="J575" t="s">
        <v>242</v>
      </c>
      <c r="K575" t="s">
        <v>241</v>
      </c>
      <c r="L575" t="s">
        <v>242</v>
      </c>
      <c r="M575">
        <v>39.323667919999998</v>
      </c>
      <c r="N575">
        <v>-123.319334</v>
      </c>
      <c r="O575">
        <v>16</v>
      </c>
      <c r="P575">
        <v>21.33</v>
      </c>
      <c r="Q575">
        <v>4.66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4.66</v>
      </c>
      <c r="Z575">
        <v>2.33</v>
      </c>
      <c r="AA575" t="s">
        <v>9335</v>
      </c>
      <c r="AB575" t="s">
        <v>242</v>
      </c>
      <c r="AC575" t="s">
        <v>3213</v>
      </c>
    </row>
    <row r="576" spans="1:29" x14ac:dyDescent="0.25">
      <c r="A576" t="s">
        <v>869</v>
      </c>
      <c r="B576" t="s">
        <v>254</v>
      </c>
      <c r="C576" t="s">
        <v>436</v>
      </c>
      <c r="D576" t="s">
        <v>3209</v>
      </c>
      <c r="E576" t="s">
        <v>3226</v>
      </c>
      <c r="F576">
        <v>19840620</v>
      </c>
      <c r="G576" t="s">
        <v>9334</v>
      </c>
      <c r="H576" t="s">
        <v>242</v>
      </c>
      <c r="I576" t="s">
        <v>242</v>
      </c>
      <c r="J576" t="s">
        <v>242</v>
      </c>
      <c r="K576" t="s">
        <v>241</v>
      </c>
      <c r="L576" t="s">
        <v>242</v>
      </c>
      <c r="M576">
        <v>38.653399999999998</v>
      </c>
      <c r="N576">
        <v>-122.8412</v>
      </c>
      <c r="O576">
        <v>2.66</v>
      </c>
      <c r="P576">
        <v>0.26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1.4</v>
      </c>
      <c r="Z576">
        <v>27.26</v>
      </c>
      <c r="AA576" t="s">
        <v>9335</v>
      </c>
      <c r="AB576" t="s">
        <v>242</v>
      </c>
      <c r="AC576" t="s">
        <v>3229</v>
      </c>
    </row>
    <row r="577" spans="1:29" x14ac:dyDescent="0.25">
      <c r="A577" t="s">
        <v>870</v>
      </c>
      <c r="B577" t="s">
        <v>254</v>
      </c>
      <c r="C577" t="s">
        <v>823</v>
      </c>
      <c r="D577" t="s">
        <v>3209</v>
      </c>
      <c r="E577" t="s">
        <v>3246</v>
      </c>
      <c r="F577">
        <v>19841109</v>
      </c>
      <c r="G577" t="s">
        <v>9332</v>
      </c>
      <c r="H577" t="s">
        <v>242</v>
      </c>
      <c r="I577" t="s">
        <v>242</v>
      </c>
      <c r="J577" t="s">
        <v>242</v>
      </c>
      <c r="K577" t="s">
        <v>241</v>
      </c>
      <c r="L577" t="s">
        <v>242</v>
      </c>
      <c r="M577">
        <v>38.786069679999997</v>
      </c>
      <c r="N577">
        <v>-122.7788791</v>
      </c>
      <c r="O577">
        <v>166.63</v>
      </c>
      <c r="P577">
        <v>180.16</v>
      </c>
      <c r="Q577">
        <v>216</v>
      </c>
      <c r="R577">
        <v>153.56</v>
      </c>
      <c r="S577">
        <v>5.7333330000000002E-3</v>
      </c>
      <c r="T577">
        <v>0.01</v>
      </c>
      <c r="U577">
        <v>0.01</v>
      </c>
      <c r="V577">
        <v>0.05</v>
      </c>
      <c r="W577">
        <v>0.04</v>
      </c>
      <c r="X577">
        <v>0.03</v>
      </c>
      <c r="Y577">
        <v>7.0000000000000007E-2</v>
      </c>
      <c r="Z577">
        <v>7.0000000000000007E-2</v>
      </c>
      <c r="AA577" t="s">
        <v>9340</v>
      </c>
      <c r="AB577" t="s">
        <v>242</v>
      </c>
      <c r="AC577" t="s">
        <v>3229</v>
      </c>
    </row>
    <row r="578" spans="1:29" x14ac:dyDescent="0.25">
      <c r="A578" t="s">
        <v>872</v>
      </c>
      <c r="B578" t="s">
        <v>254</v>
      </c>
      <c r="C578" t="s">
        <v>823</v>
      </c>
      <c r="D578" t="s">
        <v>3209</v>
      </c>
      <c r="E578" t="s">
        <v>3246</v>
      </c>
      <c r="F578">
        <v>19841109</v>
      </c>
      <c r="G578" t="s">
        <v>9332</v>
      </c>
      <c r="H578" t="s">
        <v>242</v>
      </c>
      <c r="I578" t="s">
        <v>242</v>
      </c>
      <c r="J578" t="s">
        <v>242</v>
      </c>
      <c r="K578" t="s">
        <v>241</v>
      </c>
      <c r="L578" t="s">
        <v>242</v>
      </c>
      <c r="M578">
        <v>38.797718949999997</v>
      </c>
      <c r="N578">
        <v>-122.802166</v>
      </c>
      <c r="O578">
        <v>100.53</v>
      </c>
      <c r="P578">
        <v>99.46</v>
      </c>
      <c r="Q578">
        <v>105.48</v>
      </c>
      <c r="R578">
        <v>79.73</v>
      </c>
      <c r="S578">
        <v>15.54</v>
      </c>
      <c r="T578">
        <v>0.02</v>
      </c>
      <c r="U578">
        <v>0.02</v>
      </c>
      <c r="V578">
        <v>0.01</v>
      </c>
      <c r="W578">
        <v>0.03</v>
      </c>
      <c r="X578">
        <v>0.02</v>
      </c>
      <c r="Y578">
        <v>0.01</v>
      </c>
      <c r="Z578">
        <v>0.03</v>
      </c>
      <c r="AA578" t="s">
        <v>9340</v>
      </c>
      <c r="AB578" t="s">
        <v>242</v>
      </c>
      <c r="AC578" t="s">
        <v>3229</v>
      </c>
    </row>
    <row r="579" spans="1:29" x14ac:dyDescent="0.25">
      <c r="A579" t="s">
        <v>845</v>
      </c>
      <c r="B579" t="s">
        <v>254</v>
      </c>
      <c r="C579" t="s">
        <v>317</v>
      </c>
      <c r="D579" t="s">
        <v>3209</v>
      </c>
      <c r="E579" t="s">
        <v>3246</v>
      </c>
      <c r="F579">
        <v>19851203</v>
      </c>
      <c r="G579" t="s">
        <v>9332</v>
      </c>
      <c r="H579" t="s">
        <v>242</v>
      </c>
      <c r="I579" t="s">
        <v>242</v>
      </c>
      <c r="J579" t="s">
        <v>242</v>
      </c>
      <c r="K579" t="s">
        <v>241</v>
      </c>
      <c r="L579" t="s">
        <v>242</v>
      </c>
      <c r="M579">
        <v>39.26214555</v>
      </c>
      <c r="N579">
        <v>-123.283569</v>
      </c>
      <c r="O579">
        <v>0.08</v>
      </c>
      <c r="P579">
        <v>0.08</v>
      </c>
      <c r="Q579">
        <v>0.08</v>
      </c>
      <c r="R579">
        <v>0.02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0.04</v>
      </c>
      <c r="Y579">
        <v>0.1</v>
      </c>
      <c r="Z579">
        <v>0.1</v>
      </c>
      <c r="AA579" t="s">
        <v>9335</v>
      </c>
      <c r="AB579" t="s">
        <v>242</v>
      </c>
      <c r="AC579" t="s">
        <v>3213</v>
      </c>
    </row>
    <row r="580" spans="1:29" x14ac:dyDescent="0.25">
      <c r="A580" t="s">
        <v>846</v>
      </c>
      <c r="B580" t="s">
        <v>254</v>
      </c>
      <c r="C580" t="s">
        <v>317</v>
      </c>
      <c r="D580" t="s">
        <v>3209</v>
      </c>
      <c r="E580" t="s">
        <v>3246</v>
      </c>
      <c r="F580">
        <v>19851203</v>
      </c>
      <c r="G580" t="s">
        <v>9332</v>
      </c>
      <c r="H580" t="s">
        <v>242</v>
      </c>
      <c r="I580" t="s">
        <v>242</v>
      </c>
      <c r="J580" t="s">
        <v>242</v>
      </c>
      <c r="K580" t="s">
        <v>241</v>
      </c>
      <c r="L580" t="s">
        <v>242</v>
      </c>
      <c r="M580">
        <v>39.262</v>
      </c>
      <c r="N580">
        <v>-123.2814</v>
      </c>
      <c r="O580">
        <v>0.08</v>
      </c>
      <c r="P580">
        <v>7.0000000000000007E-2</v>
      </c>
      <c r="Q580">
        <v>0.05</v>
      </c>
      <c r="R580">
        <v>0.05</v>
      </c>
      <c r="S580">
        <v>3.3333333333333301E-3</v>
      </c>
      <c r="T580">
        <v>0</v>
      </c>
      <c r="U580">
        <v>0</v>
      </c>
      <c r="V580">
        <v>0</v>
      </c>
      <c r="W580">
        <v>0</v>
      </c>
      <c r="X580">
        <v>0.01</v>
      </c>
      <c r="Y580">
        <v>7.0000000000000007E-2</v>
      </c>
      <c r="Z580">
        <v>0.1</v>
      </c>
      <c r="AA580" t="s">
        <v>9335</v>
      </c>
      <c r="AB580" t="s">
        <v>242</v>
      </c>
      <c r="AC580" t="s">
        <v>3213</v>
      </c>
    </row>
    <row r="581" spans="1:29" x14ac:dyDescent="0.25">
      <c r="A581" t="s">
        <v>847</v>
      </c>
      <c r="B581" t="s">
        <v>254</v>
      </c>
      <c r="C581" t="s">
        <v>317</v>
      </c>
      <c r="D581" t="s">
        <v>3209</v>
      </c>
      <c r="E581" t="s">
        <v>3246</v>
      </c>
      <c r="F581">
        <v>19851203</v>
      </c>
      <c r="G581" t="s">
        <v>9332</v>
      </c>
      <c r="H581" t="s">
        <v>242</v>
      </c>
      <c r="I581" t="s">
        <v>242</v>
      </c>
      <c r="J581" t="s">
        <v>242</v>
      </c>
      <c r="K581" t="s">
        <v>241</v>
      </c>
      <c r="L581" t="s">
        <v>242</v>
      </c>
      <c r="M581">
        <v>39.243699999999997</v>
      </c>
      <c r="N581">
        <v>-123.3211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 t="s">
        <v>9335</v>
      </c>
      <c r="AB581" t="s">
        <v>242</v>
      </c>
      <c r="AC581" t="s">
        <v>3213</v>
      </c>
    </row>
    <row r="582" spans="1:29" x14ac:dyDescent="0.25">
      <c r="A582" t="s">
        <v>848</v>
      </c>
      <c r="B582" t="s">
        <v>254</v>
      </c>
      <c r="C582" t="s">
        <v>317</v>
      </c>
      <c r="D582" t="s">
        <v>3209</v>
      </c>
      <c r="E582" t="s">
        <v>3246</v>
      </c>
      <c r="F582">
        <v>19851203</v>
      </c>
      <c r="G582" t="s">
        <v>9332</v>
      </c>
      <c r="H582" t="s">
        <v>242</v>
      </c>
      <c r="I582" t="s">
        <v>242</v>
      </c>
      <c r="J582" t="s">
        <v>242</v>
      </c>
      <c r="K582" t="s">
        <v>241</v>
      </c>
      <c r="L582" t="s">
        <v>242</v>
      </c>
      <c r="M582">
        <v>39.26462918</v>
      </c>
      <c r="N582">
        <v>-123.26983799999999</v>
      </c>
      <c r="O582">
        <v>0.26</v>
      </c>
      <c r="P582">
        <v>0.26</v>
      </c>
      <c r="Q582">
        <v>0.26</v>
      </c>
      <c r="R582">
        <v>0.13</v>
      </c>
      <c r="S582">
        <v>0.16</v>
      </c>
      <c r="T582">
        <v>0.03</v>
      </c>
      <c r="U582">
        <v>0.03</v>
      </c>
      <c r="V582">
        <v>0.03</v>
      </c>
      <c r="W582">
        <v>0.03</v>
      </c>
      <c r="X582">
        <v>0.26</v>
      </c>
      <c r="Y582">
        <v>0.33</v>
      </c>
      <c r="Z582">
        <v>0.83</v>
      </c>
      <c r="AA582" t="s">
        <v>9335</v>
      </c>
      <c r="AB582" t="s">
        <v>241</v>
      </c>
      <c r="AC582" t="s">
        <v>3213</v>
      </c>
    </row>
    <row r="583" spans="1:29" x14ac:dyDescent="0.25">
      <c r="A583" t="s">
        <v>849</v>
      </c>
      <c r="B583" t="s">
        <v>254</v>
      </c>
      <c r="C583" t="s">
        <v>317</v>
      </c>
      <c r="D583" t="s">
        <v>3209</v>
      </c>
      <c r="E583" t="s">
        <v>3246</v>
      </c>
      <c r="F583">
        <v>19851203</v>
      </c>
      <c r="G583" t="s">
        <v>9332</v>
      </c>
      <c r="H583" t="s">
        <v>242</v>
      </c>
      <c r="I583" t="s">
        <v>242</v>
      </c>
      <c r="J583" t="s">
        <v>242</v>
      </c>
      <c r="K583" t="s">
        <v>241</v>
      </c>
      <c r="L583" t="s">
        <v>242</v>
      </c>
      <c r="M583">
        <v>39.252918180000002</v>
      </c>
      <c r="N583">
        <v>-123.3109494</v>
      </c>
      <c r="O583">
        <v>0.46</v>
      </c>
      <c r="P583">
        <v>0.46</v>
      </c>
      <c r="Q583">
        <v>0.46</v>
      </c>
      <c r="R583">
        <v>0.46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0.46</v>
      </c>
      <c r="Z583">
        <v>0.46</v>
      </c>
      <c r="AA583" t="s">
        <v>9335</v>
      </c>
      <c r="AB583" t="s">
        <v>242</v>
      </c>
      <c r="AC583" t="s">
        <v>3213</v>
      </c>
    </row>
    <row r="584" spans="1:29" x14ac:dyDescent="0.25">
      <c r="A584" t="s">
        <v>851</v>
      </c>
      <c r="B584" t="s">
        <v>254</v>
      </c>
      <c r="C584" t="s">
        <v>317</v>
      </c>
      <c r="D584" t="s">
        <v>3209</v>
      </c>
      <c r="E584" t="s">
        <v>3226</v>
      </c>
      <c r="F584">
        <v>19851203</v>
      </c>
      <c r="G584" t="s">
        <v>9332</v>
      </c>
      <c r="H584" t="s">
        <v>242</v>
      </c>
      <c r="I584" t="s">
        <v>242</v>
      </c>
      <c r="J584" t="s">
        <v>242</v>
      </c>
      <c r="K584" t="s">
        <v>241</v>
      </c>
      <c r="L584" t="s">
        <v>242</v>
      </c>
      <c r="M584">
        <v>39.244182270000003</v>
      </c>
      <c r="N584">
        <v>-123.29401350000001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 t="s">
        <v>9335</v>
      </c>
      <c r="AB584" t="s">
        <v>242</v>
      </c>
      <c r="AC584" t="s">
        <v>3213</v>
      </c>
    </row>
    <row r="585" spans="1:29" x14ac:dyDescent="0.25">
      <c r="A585" t="s">
        <v>852</v>
      </c>
      <c r="B585" t="s">
        <v>254</v>
      </c>
      <c r="C585" t="s">
        <v>317</v>
      </c>
      <c r="D585" t="s">
        <v>3209</v>
      </c>
      <c r="E585" t="s">
        <v>3246</v>
      </c>
      <c r="F585">
        <v>19851203</v>
      </c>
      <c r="G585" t="s">
        <v>9332</v>
      </c>
      <c r="H585" t="s">
        <v>242</v>
      </c>
      <c r="I585" t="s">
        <v>242</v>
      </c>
      <c r="J585" t="s">
        <v>242</v>
      </c>
      <c r="K585" t="s">
        <v>241</v>
      </c>
      <c r="L585" t="s">
        <v>242</v>
      </c>
      <c r="M585">
        <v>39.256630649999998</v>
      </c>
      <c r="N585">
        <v>-123.2981265</v>
      </c>
      <c r="O585">
        <v>0.56000000000000005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 t="s">
        <v>9333</v>
      </c>
      <c r="AB585" t="s">
        <v>242</v>
      </c>
      <c r="AC585" t="s">
        <v>3213</v>
      </c>
    </row>
    <row r="586" spans="1:29" x14ac:dyDescent="0.25">
      <c r="A586" t="s">
        <v>853</v>
      </c>
      <c r="B586" t="s">
        <v>254</v>
      </c>
      <c r="C586" t="s">
        <v>317</v>
      </c>
      <c r="D586" t="s">
        <v>3209</v>
      </c>
      <c r="E586" t="s">
        <v>3226</v>
      </c>
      <c r="F586">
        <v>19851203</v>
      </c>
      <c r="G586" t="s">
        <v>9332</v>
      </c>
      <c r="H586" t="s">
        <v>242</v>
      </c>
      <c r="I586" t="s">
        <v>242</v>
      </c>
      <c r="J586" t="s">
        <v>242</v>
      </c>
      <c r="K586" t="s">
        <v>241</v>
      </c>
      <c r="L586" t="s">
        <v>242</v>
      </c>
      <c r="M586">
        <v>39.241300160000002</v>
      </c>
      <c r="N586">
        <v>-123.281425</v>
      </c>
      <c r="O586">
        <v>0.66</v>
      </c>
      <c r="P586">
        <v>0.66</v>
      </c>
      <c r="Q586">
        <v>0.33</v>
      </c>
      <c r="R586">
        <v>0.2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0.03</v>
      </c>
      <c r="Y586">
        <v>0.26</v>
      </c>
      <c r="Z586">
        <v>0.5</v>
      </c>
      <c r="AA586" t="s">
        <v>9335</v>
      </c>
      <c r="AB586" t="s">
        <v>242</v>
      </c>
      <c r="AC586" t="s">
        <v>3213</v>
      </c>
    </row>
    <row r="587" spans="1:29" x14ac:dyDescent="0.25">
      <c r="A587" t="s">
        <v>854</v>
      </c>
      <c r="B587" t="s">
        <v>254</v>
      </c>
      <c r="C587" t="s">
        <v>317</v>
      </c>
      <c r="D587" t="s">
        <v>3209</v>
      </c>
      <c r="E587" t="s">
        <v>3246</v>
      </c>
      <c r="F587">
        <v>19851203</v>
      </c>
      <c r="G587" t="s">
        <v>9332</v>
      </c>
      <c r="H587" t="s">
        <v>242</v>
      </c>
      <c r="I587" t="s">
        <v>242</v>
      </c>
      <c r="J587" t="s">
        <v>242</v>
      </c>
      <c r="K587" t="s">
        <v>241</v>
      </c>
      <c r="L587" t="s">
        <v>242</v>
      </c>
      <c r="M587">
        <v>39.24997509</v>
      </c>
      <c r="N587">
        <v>-123.27911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 t="s">
        <v>9335</v>
      </c>
      <c r="AB587" t="s">
        <v>242</v>
      </c>
      <c r="AC587" t="s">
        <v>3213</v>
      </c>
    </row>
    <row r="588" spans="1:29" x14ac:dyDescent="0.25">
      <c r="A588" t="s">
        <v>855</v>
      </c>
      <c r="B588" t="s">
        <v>254</v>
      </c>
      <c r="C588" t="s">
        <v>317</v>
      </c>
      <c r="D588" t="s">
        <v>3209</v>
      </c>
      <c r="E588" t="s">
        <v>3246</v>
      </c>
      <c r="F588">
        <v>19851203</v>
      </c>
      <c r="G588" t="s">
        <v>9332</v>
      </c>
      <c r="H588" t="s">
        <v>242</v>
      </c>
      <c r="I588" t="s">
        <v>242</v>
      </c>
      <c r="J588" t="s">
        <v>242</v>
      </c>
      <c r="K588" t="s">
        <v>241</v>
      </c>
      <c r="L588" t="s">
        <v>242</v>
      </c>
      <c r="M588">
        <v>39.236739880000002</v>
      </c>
      <c r="N588">
        <v>-123.31382739999999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2.3785E-3</v>
      </c>
      <c r="U588">
        <v>2.9615000000000002E-3</v>
      </c>
      <c r="V588">
        <v>2.9615000000000002E-3</v>
      </c>
      <c r="W588">
        <v>2.9155000000000001E-3</v>
      </c>
      <c r="X588">
        <v>2.7234999999999998E-3</v>
      </c>
      <c r="Y588">
        <v>0</v>
      </c>
      <c r="Z588">
        <v>0</v>
      </c>
      <c r="AA588" t="s">
        <v>9335</v>
      </c>
      <c r="AB588" t="s">
        <v>242</v>
      </c>
      <c r="AC588" t="s">
        <v>3213</v>
      </c>
    </row>
    <row r="589" spans="1:29" x14ac:dyDescent="0.25">
      <c r="A589" t="s">
        <v>856</v>
      </c>
      <c r="B589" t="s">
        <v>254</v>
      </c>
      <c r="C589" t="s">
        <v>317</v>
      </c>
      <c r="D589" t="s">
        <v>3209</v>
      </c>
      <c r="E589" t="s">
        <v>3246</v>
      </c>
      <c r="F589">
        <v>19851203</v>
      </c>
      <c r="G589" t="s">
        <v>9332</v>
      </c>
      <c r="H589" t="s">
        <v>242</v>
      </c>
      <c r="I589" t="s">
        <v>242</v>
      </c>
      <c r="J589" t="s">
        <v>242</v>
      </c>
      <c r="K589" t="s">
        <v>241</v>
      </c>
      <c r="L589" t="s">
        <v>242</v>
      </c>
      <c r="M589">
        <v>39.258375970000003</v>
      </c>
      <c r="N589">
        <v>-123.2640743</v>
      </c>
      <c r="O589">
        <v>7.0000000000000007E-2</v>
      </c>
      <c r="P589">
        <v>7.0000000000000007E-2</v>
      </c>
      <c r="Q589">
        <v>7.0000000000000007E-2</v>
      </c>
      <c r="R589">
        <v>7.0000000000000007E-2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0.01</v>
      </c>
      <c r="Z589">
        <v>7.0000000000000007E-2</v>
      </c>
      <c r="AA589" t="s">
        <v>9333</v>
      </c>
      <c r="AB589" t="s">
        <v>242</v>
      </c>
      <c r="AC589" t="s">
        <v>3213</v>
      </c>
    </row>
    <row r="590" spans="1:29" x14ac:dyDescent="0.25">
      <c r="A590" t="s">
        <v>857</v>
      </c>
      <c r="B590" t="s">
        <v>254</v>
      </c>
      <c r="C590" t="s">
        <v>317</v>
      </c>
      <c r="D590" t="s">
        <v>3209</v>
      </c>
      <c r="E590" t="s">
        <v>3246</v>
      </c>
      <c r="F590">
        <v>19851203</v>
      </c>
      <c r="G590" t="s">
        <v>9332</v>
      </c>
      <c r="H590" t="s">
        <v>242</v>
      </c>
      <c r="I590" t="s">
        <v>242</v>
      </c>
      <c r="J590" t="s">
        <v>242</v>
      </c>
      <c r="K590" t="s">
        <v>241</v>
      </c>
      <c r="L590" t="s">
        <v>242</v>
      </c>
      <c r="M590">
        <v>39.261358250000001</v>
      </c>
      <c r="N590">
        <v>-123.2927385</v>
      </c>
      <c r="O590">
        <v>0.7</v>
      </c>
      <c r="P590">
        <v>0.7</v>
      </c>
      <c r="Q590">
        <v>0.7</v>
      </c>
      <c r="R590">
        <v>0.7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0.7</v>
      </c>
      <c r="Z590">
        <v>0.7</v>
      </c>
      <c r="AA590" t="s">
        <v>9333</v>
      </c>
      <c r="AB590" t="s">
        <v>241</v>
      </c>
      <c r="AC590" t="s">
        <v>3213</v>
      </c>
    </row>
    <row r="591" spans="1:29" x14ac:dyDescent="0.25">
      <c r="A591" t="s">
        <v>858</v>
      </c>
      <c r="B591" t="s">
        <v>254</v>
      </c>
      <c r="C591" t="s">
        <v>317</v>
      </c>
      <c r="D591" t="s">
        <v>3209</v>
      </c>
      <c r="E591" t="s">
        <v>3226</v>
      </c>
      <c r="F591">
        <v>19851203</v>
      </c>
      <c r="G591" t="s">
        <v>9332</v>
      </c>
      <c r="H591" t="s">
        <v>242</v>
      </c>
      <c r="I591" t="s">
        <v>242</v>
      </c>
      <c r="J591" t="s">
        <v>242</v>
      </c>
      <c r="K591" t="s">
        <v>241</v>
      </c>
      <c r="L591" t="s">
        <v>242</v>
      </c>
      <c r="M591">
        <v>39.239586150000001</v>
      </c>
      <c r="N591">
        <v>-123.2874851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 t="s">
        <v>9335</v>
      </c>
      <c r="AB591" t="s">
        <v>242</v>
      </c>
      <c r="AC591" t="s">
        <v>3213</v>
      </c>
    </row>
    <row r="592" spans="1:29" x14ac:dyDescent="0.25">
      <c r="A592" t="s">
        <v>859</v>
      </c>
      <c r="B592" t="s">
        <v>254</v>
      </c>
      <c r="C592" t="s">
        <v>317</v>
      </c>
      <c r="D592" t="s">
        <v>3209</v>
      </c>
      <c r="E592" t="s">
        <v>3246</v>
      </c>
      <c r="F592">
        <v>19851204</v>
      </c>
      <c r="G592" t="s">
        <v>9332</v>
      </c>
      <c r="H592" t="s">
        <v>242</v>
      </c>
      <c r="I592" t="s">
        <v>242</v>
      </c>
      <c r="J592" t="s">
        <v>242</v>
      </c>
      <c r="K592" t="s">
        <v>241</v>
      </c>
      <c r="L592" t="s">
        <v>242</v>
      </c>
      <c r="M592">
        <v>39.260616249999998</v>
      </c>
      <c r="N592">
        <v>-123.2853073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 t="s">
        <v>9333</v>
      </c>
      <c r="AB592" t="s">
        <v>242</v>
      </c>
      <c r="AC592" t="s">
        <v>3213</v>
      </c>
    </row>
    <row r="593" spans="1:29" x14ac:dyDescent="0.25">
      <c r="A593" t="s">
        <v>863</v>
      </c>
      <c r="B593" t="s">
        <v>254</v>
      </c>
      <c r="C593" t="s">
        <v>348</v>
      </c>
      <c r="D593" t="s">
        <v>3209</v>
      </c>
      <c r="E593" t="s">
        <v>3246</v>
      </c>
      <c r="F593">
        <v>19851218</v>
      </c>
      <c r="G593" t="s">
        <v>9332</v>
      </c>
      <c r="H593" t="s">
        <v>242</v>
      </c>
      <c r="I593" t="s">
        <v>242</v>
      </c>
      <c r="J593" t="s">
        <v>242</v>
      </c>
      <c r="K593" t="s">
        <v>241</v>
      </c>
      <c r="L593" t="s">
        <v>242</v>
      </c>
      <c r="M593">
        <v>39.354463039999999</v>
      </c>
      <c r="N593">
        <v>-123.1278549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 t="s">
        <v>9344</v>
      </c>
      <c r="AB593" t="s">
        <v>241</v>
      </c>
      <c r="AC593" t="s">
        <v>3213</v>
      </c>
    </row>
    <row r="594" spans="1:29" x14ac:dyDescent="0.25">
      <c r="A594" t="s">
        <v>860</v>
      </c>
      <c r="B594" t="s">
        <v>254</v>
      </c>
      <c r="C594" t="s">
        <v>317</v>
      </c>
      <c r="D594" t="s">
        <v>3209</v>
      </c>
      <c r="E594" t="s">
        <v>3246</v>
      </c>
      <c r="F594">
        <v>19851223</v>
      </c>
      <c r="G594" t="s">
        <v>9332</v>
      </c>
      <c r="H594" t="s">
        <v>242</v>
      </c>
      <c r="I594" t="s">
        <v>242</v>
      </c>
      <c r="J594" t="s">
        <v>242</v>
      </c>
      <c r="K594" t="s">
        <v>241</v>
      </c>
      <c r="L594" t="s">
        <v>242</v>
      </c>
      <c r="M594">
        <v>39.246289900000001</v>
      </c>
      <c r="N594">
        <v>-123.3204497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 t="s">
        <v>9335</v>
      </c>
      <c r="AB594" t="s">
        <v>242</v>
      </c>
      <c r="AC594" t="s">
        <v>3213</v>
      </c>
    </row>
    <row r="595" spans="1:29" x14ac:dyDescent="0.25">
      <c r="A595" t="s">
        <v>830</v>
      </c>
      <c r="B595" t="s">
        <v>254</v>
      </c>
      <c r="C595" t="s">
        <v>317</v>
      </c>
      <c r="D595" t="s">
        <v>3209</v>
      </c>
      <c r="E595" t="s">
        <v>3246</v>
      </c>
      <c r="F595">
        <v>19860114</v>
      </c>
      <c r="G595" t="s">
        <v>9332</v>
      </c>
      <c r="H595" t="s">
        <v>242</v>
      </c>
      <c r="I595" t="s">
        <v>242</v>
      </c>
      <c r="J595" t="s">
        <v>242</v>
      </c>
      <c r="K595" t="s">
        <v>241</v>
      </c>
      <c r="L595" t="s">
        <v>242</v>
      </c>
      <c r="M595">
        <v>39.237116749999998</v>
      </c>
      <c r="N595">
        <v>-123.3242508</v>
      </c>
      <c r="O595">
        <v>0.24</v>
      </c>
      <c r="P595">
        <v>0.24</v>
      </c>
      <c r="Q595">
        <v>0.24</v>
      </c>
      <c r="R595">
        <v>0.1</v>
      </c>
      <c r="S595">
        <v>7.0000000000000007E-2</v>
      </c>
      <c r="T595">
        <v>7.0000000000000007E-2</v>
      </c>
      <c r="U595">
        <v>7.0000000000000007E-2</v>
      </c>
      <c r="V595">
        <v>7.0000000000000007E-2</v>
      </c>
      <c r="W595">
        <v>0.31</v>
      </c>
      <c r="X595">
        <v>0.24</v>
      </c>
      <c r="Y595">
        <v>0.24</v>
      </c>
      <c r="Z595">
        <v>0.24</v>
      </c>
      <c r="AA595" t="s">
        <v>9333</v>
      </c>
      <c r="AB595" t="s">
        <v>242</v>
      </c>
      <c r="AC595" t="s">
        <v>3213</v>
      </c>
    </row>
    <row r="596" spans="1:29" x14ac:dyDescent="0.25">
      <c r="A596" t="s">
        <v>831</v>
      </c>
      <c r="B596" t="s">
        <v>254</v>
      </c>
      <c r="C596" t="s">
        <v>317</v>
      </c>
      <c r="D596" t="s">
        <v>3209</v>
      </c>
      <c r="E596" t="s">
        <v>3246</v>
      </c>
      <c r="F596">
        <v>19860117</v>
      </c>
      <c r="G596" t="s">
        <v>9332</v>
      </c>
      <c r="H596" t="s">
        <v>242</v>
      </c>
      <c r="I596" t="s">
        <v>242</v>
      </c>
      <c r="J596" t="s">
        <v>242</v>
      </c>
      <c r="K596" t="s">
        <v>241</v>
      </c>
      <c r="L596" t="s">
        <v>242</v>
      </c>
      <c r="M596">
        <v>39.233702090000001</v>
      </c>
      <c r="N596">
        <v>-123.3347794</v>
      </c>
      <c r="O596">
        <v>0.23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0.55000000000000004</v>
      </c>
      <c r="Z596">
        <v>0.3</v>
      </c>
      <c r="AA596" t="s">
        <v>9335</v>
      </c>
      <c r="AB596" t="s">
        <v>242</v>
      </c>
      <c r="AC596" t="s">
        <v>3213</v>
      </c>
    </row>
    <row r="597" spans="1:29" x14ac:dyDescent="0.25">
      <c r="A597" t="s">
        <v>832</v>
      </c>
      <c r="B597" t="s">
        <v>254</v>
      </c>
      <c r="C597" t="s">
        <v>317</v>
      </c>
      <c r="D597" t="s">
        <v>3209</v>
      </c>
      <c r="E597" t="s">
        <v>3226</v>
      </c>
      <c r="F597">
        <v>19860128</v>
      </c>
      <c r="G597" t="s">
        <v>9334</v>
      </c>
      <c r="H597" t="s">
        <v>242</v>
      </c>
      <c r="I597" t="s">
        <v>242</v>
      </c>
      <c r="J597" t="s">
        <v>242</v>
      </c>
      <c r="K597" t="s">
        <v>241</v>
      </c>
      <c r="L597" t="s">
        <v>242</v>
      </c>
      <c r="M597">
        <v>39.246953300000001</v>
      </c>
      <c r="N597">
        <v>-123.30412889999999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 t="s">
        <v>9333</v>
      </c>
      <c r="AB597" t="s">
        <v>242</v>
      </c>
      <c r="AC597" t="s">
        <v>3213</v>
      </c>
    </row>
    <row r="598" spans="1:29" x14ac:dyDescent="0.25">
      <c r="A598" t="s">
        <v>834</v>
      </c>
      <c r="B598" t="s">
        <v>254</v>
      </c>
      <c r="C598" t="s">
        <v>317</v>
      </c>
      <c r="D598" t="s">
        <v>3209</v>
      </c>
      <c r="E598" t="s">
        <v>3246</v>
      </c>
      <c r="F598">
        <v>19860128</v>
      </c>
      <c r="G598" t="s">
        <v>9332</v>
      </c>
      <c r="H598" t="s">
        <v>242</v>
      </c>
      <c r="I598" t="s">
        <v>242</v>
      </c>
      <c r="J598" t="s">
        <v>242</v>
      </c>
      <c r="K598" t="s">
        <v>241</v>
      </c>
      <c r="L598" t="s">
        <v>242</v>
      </c>
      <c r="M598">
        <v>39.246678760000002</v>
      </c>
      <c r="N598">
        <v>-123.3041238</v>
      </c>
      <c r="O598">
        <v>0</v>
      </c>
      <c r="P598">
        <v>0</v>
      </c>
      <c r="Q598">
        <v>0</v>
      </c>
      <c r="R598">
        <v>0</v>
      </c>
      <c r="S598">
        <v>6.76</v>
      </c>
      <c r="T598">
        <v>1.1000000000000001</v>
      </c>
      <c r="U598">
        <v>0.43</v>
      </c>
      <c r="V598">
        <v>0</v>
      </c>
      <c r="W598">
        <v>0</v>
      </c>
      <c r="X598">
        <v>0</v>
      </c>
      <c r="Y598">
        <v>0</v>
      </c>
      <c r="Z598">
        <v>0</v>
      </c>
      <c r="AA598" t="s">
        <v>9341</v>
      </c>
      <c r="AB598" t="s">
        <v>242</v>
      </c>
      <c r="AC598" t="s">
        <v>3213</v>
      </c>
    </row>
    <row r="599" spans="1:29" x14ac:dyDescent="0.25">
      <c r="A599" t="s">
        <v>835</v>
      </c>
      <c r="B599" t="s">
        <v>254</v>
      </c>
      <c r="C599" t="s">
        <v>311</v>
      </c>
      <c r="D599" t="s">
        <v>3209</v>
      </c>
      <c r="E599" t="s">
        <v>3246</v>
      </c>
      <c r="F599">
        <v>19860130</v>
      </c>
      <c r="G599" t="s">
        <v>9332</v>
      </c>
      <c r="H599" t="s">
        <v>242</v>
      </c>
      <c r="I599" t="s">
        <v>242</v>
      </c>
      <c r="J599" t="s">
        <v>242</v>
      </c>
      <c r="K599" t="s">
        <v>241</v>
      </c>
      <c r="L599" t="s">
        <v>242</v>
      </c>
      <c r="M599">
        <v>38.645446389999996</v>
      </c>
      <c r="N599">
        <v>-122.77503919999999</v>
      </c>
      <c r="O599">
        <v>0.96</v>
      </c>
      <c r="P599">
        <v>0.96</v>
      </c>
      <c r="Q599">
        <v>0.66</v>
      </c>
      <c r="R599">
        <v>0.26</v>
      </c>
      <c r="S599">
        <v>0.26</v>
      </c>
      <c r="T599">
        <v>0</v>
      </c>
      <c r="U599">
        <v>0</v>
      </c>
      <c r="V599">
        <v>0</v>
      </c>
      <c r="W599">
        <v>0</v>
      </c>
      <c r="X599">
        <v>0.03</v>
      </c>
      <c r="Y599">
        <v>0.63</v>
      </c>
      <c r="Z599">
        <v>0.76</v>
      </c>
      <c r="AA599" t="s">
        <v>9335</v>
      </c>
      <c r="AB599" t="s">
        <v>242</v>
      </c>
      <c r="AC599" t="s">
        <v>3229</v>
      </c>
    </row>
    <row r="600" spans="1:29" x14ac:dyDescent="0.25">
      <c r="A600" t="s">
        <v>829</v>
      </c>
      <c r="B600" t="s">
        <v>254</v>
      </c>
      <c r="C600" t="s">
        <v>348</v>
      </c>
      <c r="D600" t="s">
        <v>3209</v>
      </c>
      <c r="E600" t="s">
        <v>3246</v>
      </c>
      <c r="F600">
        <v>19860408</v>
      </c>
      <c r="G600" t="s">
        <v>9332</v>
      </c>
      <c r="H600" t="s">
        <v>242</v>
      </c>
      <c r="I600" t="s">
        <v>242</v>
      </c>
      <c r="J600" t="s">
        <v>242</v>
      </c>
      <c r="K600" t="s">
        <v>241</v>
      </c>
      <c r="L600" t="s">
        <v>242</v>
      </c>
      <c r="M600">
        <v>39.326104059999999</v>
      </c>
      <c r="N600">
        <v>-123.1394257</v>
      </c>
      <c r="O600">
        <v>1.33</v>
      </c>
      <c r="P600">
        <v>1</v>
      </c>
      <c r="Q600">
        <v>1.66</v>
      </c>
      <c r="R600">
        <v>1.33</v>
      </c>
      <c r="S600">
        <v>1.33</v>
      </c>
      <c r="T600">
        <v>2.33</v>
      </c>
      <c r="U600">
        <v>3.33</v>
      </c>
      <c r="V600">
        <v>3</v>
      </c>
      <c r="W600">
        <v>1</v>
      </c>
      <c r="X600">
        <v>0</v>
      </c>
      <c r="Y600">
        <v>0.66</v>
      </c>
      <c r="Z600">
        <v>1</v>
      </c>
      <c r="AA600" t="s">
        <v>9335</v>
      </c>
      <c r="AB600" t="s">
        <v>242</v>
      </c>
      <c r="AC600" t="s">
        <v>3213</v>
      </c>
    </row>
    <row r="601" spans="1:29" x14ac:dyDescent="0.25">
      <c r="A601" t="s">
        <v>837</v>
      </c>
      <c r="B601" t="s">
        <v>254</v>
      </c>
      <c r="C601" t="s">
        <v>333</v>
      </c>
      <c r="D601" t="s">
        <v>3209</v>
      </c>
      <c r="E601" t="s">
        <v>3226</v>
      </c>
      <c r="F601">
        <v>19860609</v>
      </c>
      <c r="G601" t="s">
        <v>9332</v>
      </c>
      <c r="H601" t="s">
        <v>241</v>
      </c>
      <c r="I601" t="s">
        <v>242</v>
      </c>
      <c r="J601" t="s">
        <v>242</v>
      </c>
      <c r="K601" t="s">
        <v>241</v>
      </c>
      <c r="L601" t="s">
        <v>242</v>
      </c>
      <c r="M601">
        <v>39.102213470000002</v>
      </c>
      <c r="N601">
        <v>-123.1774114</v>
      </c>
      <c r="O601">
        <v>0</v>
      </c>
      <c r="P601">
        <v>0</v>
      </c>
      <c r="Q601">
        <v>2.58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 t="s">
        <v>9343</v>
      </c>
      <c r="AB601" t="s">
        <v>242</v>
      </c>
      <c r="AC601" t="s">
        <v>3213</v>
      </c>
    </row>
    <row r="602" spans="1:29" x14ac:dyDescent="0.25">
      <c r="A602" t="s">
        <v>838</v>
      </c>
      <c r="B602" t="s">
        <v>254</v>
      </c>
      <c r="C602" t="s">
        <v>311</v>
      </c>
      <c r="D602" t="s">
        <v>3209</v>
      </c>
      <c r="E602" t="s">
        <v>3246</v>
      </c>
      <c r="F602">
        <v>19860609</v>
      </c>
      <c r="G602" t="s">
        <v>9332</v>
      </c>
      <c r="H602" t="s">
        <v>241</v>
      </c>
      <c r="I602" t="s">
        <v>242</v>
      </c>
      <c r="J602" t="s">
        <v>242</v>
      </c>
      <c r="K602" t="s">
        <v>241</v>
      </c>
      <c r="L602" t="s">
        <v>242</v>
      </c>
      <c r="M602">
        <v>38.635983680000002</v>
      </c>
      <c r="N602">
        <v>-122.8017476</v>
      </c>
      <c r="O602">
        <v>8.66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 t="s">
        <v>9335</v>
      </c>
      <c r="AB602" t="s">
        <v>242</v>
      </c>
      <c r="AC602" t="s">
        <v>3229</v>
      </c>
    </row>
    <row r="603" spans="1:29" x14ac:dyDescent="0.25">
      <c r="A603" t="s">
        <v>840</v>
      </c>
      <c r="B603" t="s">
        <v>254</v>
      </c>
      <c r="C603" t="s">
        <v>333</v>
      </c>
      <c r="D603" t="s">
        <v>3209</v>
      </c>
      <c r="E603" t="s">
        <v>3246</v>
      </c>
      <c r="F603">
        <v>19860908</v>
      </c>
      <c r="G603" t="s">
        <v>9332</v>
      </c>
      <c r="H603" t="s">
        <v>241</v>
      </c>
      <c r="I603" t="s">
        <v>242</v>
      </c>
      <c r="J603" t="s">
        <v>242</v>
      </c>
      <c r="K603" t="s">
        <v>241</v>
      </c>
      <c r="L603" t="s">
        <v>242</v>
      </c>
      <c r="M603">
        <v>39.044600000000003</v>
      </c>
      <c r="N603">
        <v>-123.1442</v>
      </c>
      <c r="O603">
        <v>4.66</v>
      </c>
      <c r="P603">
        <v>1.33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 t="s">
        <v>9343</v>
      </c>
      <c r="AB603" t="s">
        <v>242</v>
      </c>
      <c r="AC603" t="s">
        <v>3213</v>
      </c>
    </row>
    <row r="604" spans="1:29" x14ac:dyDescent="0.25">
      <c r="A604" t="s">
        <v>841</v>
      </c>
      <c r="B604" t="s">
        <v>254</v>
      </c>
      <c r="C604" t="s">
        <v>317</v>
      </c>
      <c r="D604" t="s">
        <v>3209</v>
      </c>
      <c r="E604" t="s">
        <v>3246</v>
      </c>
      <c r="F604">
        <v>19861022</v>
      </c>
      <c r="G604" t="s">
        <v>9332</v>
      </c>
      <c r="H604" t="s">
        <v>242</v>
      </c>
      <c r="I604" t="s">
        <v>242</v>
      </c>
      <c r="J604" t="s">
        <v>242</v>
      </c>
      <c r="K604" t="s">
        <v>241</v>
      </c>
      <c r="L604" t="s">
        <v>242</v>
      </c>
      <c r="M604">
        <v>39.25327377</v>
      </c>
      <c r="N604">
        <v>-123.2469421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 t="s">
        <v>9335</v>
      </c>
      <c r="AB604" t="s">
        <v>242</v>
      </c>
      <c r="AC604" t="s">
        <v>3213</v>
      </c>
    </row>
    <row r="605" spans="1:29" x14ac:dyDescent="0.25">
      <c r="A605" t="s">
        <v>842</v>
      </c>
      <c r="B605" t="s">
        <v>254</v>
      </c>
      <c r="C605" t="s">
        <v>317</v>
      </c>
      <c r="D605" t="s">
        <v>3209</v>
      </c>
      <c r="E605" t="s">
        <v>3246</v>
      </c>
      <c r="F605">
        <v>19861022</v>
      </c>
      <c r="G605" t="s">
        <v>9332</v>
      </c>
      <c r="H605" t="s">
        <v>242</v>
      </c>
      <c r="I605" t="s">
        <v>242</v>
      </c>
      <c r="J605" t="s">
        <v>242</v>
      </c>
      <c r="K605" t="s">
        <v>241</v>
      </c>
      <c r="L605" t="s">
        <v>242</v>
      </c>
      <c r="M605">
        <v>39.313824740000001</v>
      </c>
      <c r="N605">
        <v>-123.2138121</v>
      </c>
      <c r="O605">
        <v>3.84</v>
      </c>
      <c r="P605">
        <v>0</v>
      </c>
      <c r="Q605">
        <v>1.3</v>
      </c>
      <c r="R605">
        <v>0.06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 t="s">
        <v>9335</v>
      </c>
      <c r="AB605" t="s">
        <v>242</v>
      </c>
      <c r="AC605" t="s">
        <v>3213</v>
      </c>
    </row>
    <row r="606" spans="1:29" x14ac:dyDescent="0.25">
      <c r="A606" t="s">
        <v>843</v>
      </c>
      <c r="B606" t="s">
        <v>254</v>
      </c>
      <c r="C606" t="s">
        <v>317</v>
      </c>
      <c r="D606" t="s">
        <v>3209</v>
      </c>
      <c r="E606" t="s">
        <v>3246</v>
      </c>
      <c r="F606">
        <v>19861022</v>
      </c>
      <c r="G606" t="s">
        <v>9332</v>
      </c>
      <c r="H606" t="s">
        <v>242</v>
      </c>
      <c r="I606" t="s">
        <v>242</v>
      </c>
      <c r="J606" t="s">
        <v>242</v>
      </c>
      <c r="K606" t="s">
        <v>241</v>
      </c>
      <c r="L606" t="s">
        <v>242</v>
      </c>
      <c r="M606">
        <v>39.31931909</v>
      </c>
      <c r="N606">
        <v>-123.213553</v>
      </c>
      <c r="O606">
        <v>0.11</v>
      </c>
      <c r="P606">
        <v>0</v>
      </c>
      <c r="Q606">
        <v>1.33</v>
      </c>
      <c r="R606">
        <v>0.54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2.76</v>
      </c>
      <c r="Z606">
        <v>6.3</v>
      </c>
      <c r="AA606" t="s">
        <v>9335</v>
      </c>
      <c r="AB606" t="s">
        <v>242</v>
      </c>
      <c r="AC606" t="s">
        <v>3213</v>
      </c>
    </row>
    <row r="607" spans="1:29" x14ac:dyDescent="0.25">
      <c r="A607" t="s">
        <v>822</v>
      </c>
      <c r="B607" t="s">
        <v>254</v>
      </c>
      <c r="C607" t="s">
        <v>823</v>
      </c>
      <c r="D607" t="s">
        <v>3209</v>
      </c>
      <c r="E607" t="s">
        <v>3246</v>
      </c>
      <c r="F607">
        <v>19870810</v>
      </c>
      <c r="G607" t="s">
        <v>9332</v>
      </c>
      <c r="H607" t="s">
        <v>242</v>
      </c>
      <c r="I607" t="s">
        <v>242</v>
      </c>
      <c r="J607" t="s">
        <v>242</v>
      </c>
      <c r="K607" t="s">
        <v>241</v>
      </c>
      <c r="L607" t="s">
        <v>242</v>
      </c>
      <c r="M607">
        <v>38.777366469999997</v>
      </c>
      <c r="N607">
        <v>-122.745107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 t="s">
        <v>9340</v>
      </c>
      <c r="AB607" t="s">
        <v>242</v>
      </c>
      <c r="AC607" t="s">
        <v>3229</v>
      </c>
    </row>
    <row r="608" spans="1:29" x14ac:dyDescent="0.25">
      <c r="A608" t="s">
        <v>824</v>
      </c>
      <c r="B608" t="s">
        <v>254</v>
      </c>
      <c r="C608" t="s">
        <v>823</v>
      </c>
      <c r="D608" t="s">
        <v>3209</v>
      </c>
      <c r="E608" t="s">
        <v>3246</v>
      </c>
      <c r="F608">
        <v>19870810</v>
      </c>
      <c r="G608" t="s">
        <v>9332</v>
      </c>
      <c r="H608" t="s">
        <v>242</v>
      </c>
      <c r="I608" t="s">
        <v>242</v>
      </c>
      <c r="J608" t="s">
        <v>242</v>
      </c>
      <c r="K608" t="s">
        <v>241</v>
      </c>
      <c r="L608" t="s">
        <v>242</v>
      </c>
      <c r="M608">
        <v>38.805382639999998</v>
      </c>
      <c r="N608">
        <v>-122.7650526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0.6</v>
      </c>
      <c r="Z608">
        <v>0.63</v>
      </c>
      <c r="AA608" t="s">
        <v>9340</v>
      </c>
      <c r="AB608" t="s">
        <v>242</v>
      </c>
      <c r="AC608" t="s">
        <v>3229</v>
      </c>
    </row>
    <row r="609" spans="1:29" x14ac:dyDescent="0.25">
      <c r="A609" t="s">
        <v>825</v>
      </c>
      <c r="B609" t="s">
        <v>254</v>
      </c>
      <c r="C609" t="s">
        <v>311</v>
      </c>
      <c r="D609" t="s">
        <v>3209</v>
      </c>
      <c r="E609" t="s">
        <v>3246</v>
      </c>
      <c r="F609">
        <v>19870911</v>
      </c>
      <c r="G609" t="s">
        <v>9332</v>
      </c>
      <c r="H609" t="s">
        <v>242</v>
      </c>
      <c r="I609" t="s">
        <v>242</v>
      </c>
      <c r="J609" t="s">
        <v>242</v>
      </c>
      <c r="K609" t="s">
        <v>241</v>
      </c>
      <c r="L609" t="s">
        <v>242</v>
      </c>
      <c r="M609">
        <v>38.613254499999996</v>
      </c>
      <c r="N609">
        <v>-122.6845941</v>
      </c>
      <c r="O609">
        <v>2.13</v>
      </c>
      <c r="P609">
        <v>0.8</v>
      </c>
      <c r="Q609">
        <v>1.38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0.4</v>
      </c>
      <c r="AA609" t="s">
        <v>9335</v>
      </c>
      <c r="AB609" t="s">
        <v>242</v>
      </c>
      <c r="AC609" t="s">
        <v>3229</v>
      </c>
    </row>
    <row r="610" spans="1:29" x14ac:dyDescent="0.25">
      <c r="A610" t="s">
        <v>827</v>
      </c>
      <c r="B610" t="s">
        <v>254</v>
      </c>
      <c r="C610" t="s">
        <v>436</v>
      </c>
      <c r="D610" t="s">
        <v>3209</v>
      </c>
      <c r="E610" t="s">
        <v>3246</v>
      </c>
      <c r="F610">
        <v>19871006</v>
      </c>
      <c r="G610" t="s">
        <v>9332</v>
      </c>
      <c r="H610" t="s">
        <v>242</v>
      </c>
      <c r="I610" t="s">
        <v>242</v>
      </c>
      <c r="J610" t="s">
        <v>242</v>
      </c>
      <c r="K610" t="s">
        <v>241</v>
      </c>
      <c r="L610" t="s">
        <v>242</v>
      </c>
      <c r="M610">
        <v>38.715204700000001</v>
      </c>
      <c r="N610">
        <v>-122.87799649999999</v>
      </c>
      <c r="O610">
        <v>0.96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0.6</v>
      </c>
      <c r="Z610">
        <v>0.23</v>
      </c>
      <c r="AA610" t="s">
        <v>9335</v>
      </c>
      <c r="AB610" t="s">
        <v>242</v>
      </c>
      <c r="AC610" t="s">
        <v>3229</v>
      </c>
    </row>
    <row r="611" spans="1:29" x14ac:dyDescent="0.25">
      <c r="A611" t="s">
        <v>805</v>
      </c>
      <c r="B611" t="s">
        <v>254</v>
      </c>
      <c r="C611" t="s">
        <v>317</v>
      </c>
      <c r="D611" t="s">
        <v>3209</v>
      </c>
      <c r="E611" t="s">
        <v>3226</v>
      </c>
      <c r="F611">
        <v>19880310</v>
      </c>
      <c r="G611" t="s">
        <v>9332</v>
      </c>
      <c r="H611" t="s">
        <v>242</v>
      </c>
      <c r="I611" t="s">
        <v>242</v>
      </c>
      <c r="J611" t="s">
        <v>242</v>
      </c>
      <c r="K611" t="s">
        <v>241</v>
      </c>
      <c r="L611" t="s">
        <v>242</v>
      </c>
      <c r="M611">
        <v>39.28925959</v>
      </c>
      <c r="N611">
        <v>-123.2260225</v>
      </c>
      <c r="O611">
        <v>46.56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 t="s">
        <v>9335</v>
      </c>
      <c r="AB611" t="s">
        <v>242</v>
      </c>
      <c r="AC611" t="s">
        <v>3213</v>
      </c>
    </row>
    <row r="612" spans="1:29" x14ac:dyDescent="0.25">
      <c r="A612" t="s">
        <v>806</v>
      </c>
      <c r="B612" t="s">
        <v>254</v>
      </c>
      <c r="C612" t="s">
        <v>317</v>
      </c>
      <c r="D612" t="s">
        <v>3209</v>
      </c>
      <c r="E612" t="s">
        <v>3226</v>
      </c>
      <c r="F612">
        <v>19880310</v>
      </c>
      <c r="G612" t="s">
        <v>9332</v>
      </c>
      <c r="H612" t="s">
        <v>242</v>
      </c>
      <c r="I612" t="s">
        <v>242</v>
      </c>
      <c r="J612" t="s">
        <v>242</v>
      </c>
      <c r="K612" t="s">
        <v>241</v>
      </c>
      <c r="L612" t="s">
        <v>242</v>
      </c>
      <c r="M612">
        <v>39.28925959</v>
      </c>
      <c r="N612">
        <v>-123.2260225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 t="s">
        <v>9343</v>
      </c>
      <c r="AB612" t="s">
        <v>242</v>
      </c>
      <c r="AC612" t="s">
        <v>3213</v>
      </c>
    </row>
    <row r="613" spans="1:29" x14ac:dyDescent="0.25">
      <c r="A613" t="s">
        <v>807</v>
      </c>
      <c r="B613" t="s">
        <v>254</v>
      </c>
      <c r="C613" t="s">
        <v>308</v>
      </c>
      <c r="D613" t="s">
        <v>3209</v>
      </c>
      <c r="E613" t="s">
        <v>3226</v>
      </c>
      <c r="F613">
        <v>19880615</v>
      </c>
      <c r="G613" t="s">
        <v>9332</v>
      </c>
      <c r="H613" t="s">
        <v>242</v>
      </c>
      <c r="I613" t="s">
        <v>242</v>
      </c>
      <c r="J613" t="s">
        <v>242</v>
      </c>
      <c r="K613" t="s">
        <v>241</v>
      </c>
      <c r="L613" t="s">
        <v>242</v>
      </c>
      <c r="M613">
        <v>38.639866019999999</v>
      </c>
      <c r="N613">
        <v>-122.7115464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 t="s">
        <v>9335</v>
      </c>
      <c r="AB613" t="s">
        <v>242</v>
      </c>
      <c r="AC613" t="s">
        <v>3229</v>
      </c>
    </row>
    <row r="614" spans="1:29" x14ac:dyDescent="0.25">
      <c r="A614" t="s">
        <v>812</v>
      </c>
      <c r="B614" t="s">
        <v>254</v>
      </c>
      <c r="C614" t="s">
        <v>354</v>
      </c>
      <c r="D614" t="s">
        <v>3209</v>
      </c>
      <c r="E614" t="s">
        <v>3226</v>
      </c>
      <c r="F614">
        <v>19880822</v>
      </c>
      <c r="G614" t="s">
        <v>9332</v>
      </c>
      <c r="H614" t="s">
        <v>242</v>
      </c>
      <c r="I614" t="s">
        <v>242</v>
      </c>
      <c r="J614" t="s">
        <v>242</v>
      </c>
      <c r="K614" t="s">
        <v>241</v>
      </c>
      <c r="L614" t="s">
        <v>242</v>
      </c>
      <c r="M614">
        <v>38.771018410000003</v>
      </c>
      <c r="N614">
        <v>-123.0076475</v>
      </c>
      <c r="O614">
        <v>1.74</v>
      </c>
      <c r="P614">
        <v>0.52</v>
      </c>
      <c r="Q614">
        <v>0.28000000000000003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0.01</v>
      </c>
      <c r="Y614">
        <v>0.45</v>
      </c>
      <c r="Z614">
        <v>0.46</v>
      </c>
      <c r="AA614" t="s">
        <v>9335</v>
      </c>
      <c r="AB614" t="s">
        <v>242</v>
      </c>
      <c r="AC614" t="s">
        <v>3229</v>
      </c>
    </row>
    <row r="615" spans="1:29" x14ac:dyDescent="0.25">
      <c r="A615" t="s">
        <v>815</v>
      </c>
      <c r="B615" t="s">
        <v>254</v>
      </c>
      <c r="C615" t="s">
        <v>331</v>
      </c>
      <c r="D615" t="s">
        <v>3209</v>
      </c>
      <c r="E615" t="s">
        <v>3246</v>
      </c>
      <c r="F615">
        <v>19880928</v>
      </c>
      <c r="G615" t="s">
        <v>9334</v>
      </c>
      <c r="H615" t="s">
        <v>242</v>
      </c>
      <c r="I615" t="s">
        <v>242</v>
      </c>
      <c r="J615" t="s">
        <v>242</v>
      </c>
      <c r="K615" t="s">
        <v>241</v>
      </c>
      <c r="L615" t="s">
        <v>242</v>
      </c>
      <c r="M615">
        <v>39.2012</v>
      </c>
      <c r="N615">
        <v>-123.2272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 t="s">
        <v>9335</v>
      </c>
      <c r="AB615" t="s">
        <v>242</v>
      </c>
      <c r="AC615" t="s">
        <v>3213</v>
      </c>
    </row>
    <row r="616" spans="1:29" x14ac:dyDescent="0.25">
      <c r="A616" t="s">
        <v>816</v>
      </c>
      <c r="B616" t="s">
        <v>254</v>
      </c>
      <c r="C616" t="s">
        <v>354</v>
      </c>
      <c r="D616" t="s">
        <v>3209</v>
      </c>
      <c r="E616" t="s">
        <v>3246</v>
      </c>
      <c r="F616">
        <v>19881118</v>
      </c>
      <c r="G616" t="s">
        <v>9332</v>
      </c>
      <c r="H616" t="s">
        <v>242</v>
      </c>
      <c r="I616" t="s">
        <v>242</v>
      </c>
      <c r="J616" t="s">
        <v>242</v>
      </c>
      <c r="K616" t="s">
        <v>241</v>
      </c>
      <c r="L616" t="s">
        <v>242</v>
      </c>
      <c r="M616">
        <v>38.761106429999998</v>
      </c>
      <c r="N616">
        <v>-123.004954</v>
      </c>
      <c r="O616">
        <v>0.61</v>
      </c>
      <c r="P616">
        <v>0.51</v>
      </c>
      <c r="Q616">
        <v>0.46</v>
      </c>
      <c r="R616">
        <v>0</v>
      </c>
      <c r="S616">
        <v>0.05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0.08</v>
      </c>
      <c r="Z616">
        <v>0.25</v>
      </c>
      <c r="AA616" t="s">
        <v>9335</v>
      </c>
      <c r="AB616" t="s">
        <v>242</v>
      </c>
      <c r="AC616" t="s">
        <v>3229</v>
      </c>
    </row>
    <row r="617" spans="1:29" x14ac:dyDescent="0.25">
      <c r="A617" t="s">
        <v>778</v>
      </c>
      <c r="B617" t="s">
        <v>254</v>
      </c>
      <c r="C617" t="s">
        <v>317</v>
      </c>
      <c r="D617" t="s">
        <v>3209</v>
      </c>
      <c r="E617" t="s">
        <v>3246</v>
      </c>
      <c r="F617">
        <v>19890119</v>
      </c>
      <c r="G617" t="s">
        <v>9332</v>
      </c>
      <c r="H617" t="s">
        <v>242</v>
      </c>
      <c r="I617" t="s">
        <v>242</v>
      </c>
      <c r="J617" t="s">
        <v>242</v>
      </c>
      <c r="K617" t="s">
        <v>241</v>
      </c>
      <c r="L617" t="s">
        <v>242</v>
      </c>
      <c r="M617">
        <v>39.268169880000002</v>
      </c>
      <c r="N617">
        <v>-123.17637740000001</v>
      </c>
      <c r="O617">
        <v>6.66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 t="s">
        <v>9335</v>
      </c>
      <c r="AB617" t="s">
        <v>242</v>
      </c>
      <c r="AC617" t="s">
        <v>3213</v>
      </c>
    </row>
    <row r="618" spans="1:29" x14ac:dyDescent="0.25">
      <c r="A618" t="s">
        <v>780</v>
      </c>
      <c r="B618" t="s">
        <v>254</v>
      </c>
      <c r="C618" t="s">
        <v>331</v>
      </c>
      <c r="D618" t="s">
        <v>3209</v>
      </c>
      <c r="E618" t="s">
        <v>3246</v>
      </c>
      <c r="F618">
        <v>19890201</v>
      </c>
      <c r="G618" t="s">
        <v>9332</v>
      </c>
      <c r="H618" t="s">
        <v>241</v>
      </c>
      <c r="I618" t="s">
        <v>242</v>
      </c>
      <c r="J618" t="s">
        <v>242</v>
      </c>
      <c r="K618" t="s">
        <v>241</v>
      </c>
      <c r="L618" t="s">
        <v>242</v>
      </c>
      <c r="M618">
        <v>39.171797920000003</v>
      </c>
      <c r="N618">
        <v>-123.19260869999999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1.03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 t="s">
        <v>9335</v>
      </c>
      <c r="AB618" t="s">
        <v>242</v>
      </c>
      <c r="AC618" t="s">
        <v>3213</v>
      </c>
    </row>
    <row r="619" spans="1:29" x14ac:dyDescent="0.25">
      <c r="A619" t="s">
        <v>781</v>
      </c>
      <c r="B619" t="s">
        <v>254</v>
      </c>
      <c r="C619" t="s">
        <v>311</v>
      </c>
      <c r="D619" t="s">
        <v>3209</v>
      </c>
      <c r="E619" t="s">
        <v>3226</v>
      </c>
      <c r="F619">
        <v>19890214</v>
      </c>
      <c r="G619" t="s">
        <v>9332</v>
      </c>
      <c r="H619" t="s">
        <v>241</v>
      </c>
      <c r="I619" t="s">
        <v>242</v>
      </c>
      <c r="J619" t="s">
        <v>242</v>
      </c>
      <c r="K619" t="s">
        <v>241</v>
      </c>
      <c r="L619" t="s">
        <v>242</v>
      </c>
      <c r="M619">
        <v>38.640808120000003</v>
      </c>
      <c r="N619">
        <v>-122.7990008</v>
      </c>
      <c r="O619">
        <v>0</v>
      </c>
      <c r="P619">
        <v>0</v>
      </c>
      <c r="Q619">
        <v>0</v>
      </c>
      <c r="R619">
        <v>0</v>
      </c>
      <c r="S619">
        <v>0.02</v>
      </c>
      <c r="T619">
        <v>0.02</v>
      </c>
      <c r="U619">
        <v>0.2</v>
      </c>
      <c r="V619">
        <v>0.16</v>
      </c>
      <c r="W619">
        <v>0.1</v>
      </c>
      <c r="X619">
        <v>0.11</v>
      </c>
      <c r="Y619">
        <v>0</v>
      </c>
      <c r="Z619">
        <v>0</v>
      </c>
      <c r="AA619" t="s">
        <v>9335</v>
      </c>
      <c r="AB619" t="s">
        <v>242</v>
      </c>
      <c r="AC619" t="s">
        <v>3229</v>
      </c>
    </row>
    <row r="620" spans="1:29" x14ac:dyDescent="0.25">
      <c r="A620" t="s">
        <v>782</v>
      </c>
      <c r="B620" t="s">
        <v>254</v>
      </c>
      <c r="C620" t="s">
        <v>311</v>
      </c>
      <c r="D620" t="s">
        <v>3209</v>
      </c>
      <c r="E620" t="s">
        <v>3226</v>
      </c>
      <c r="F620">
        <v>19890214</v>
      </c>
      <c r="G620" t="s">
        <v>9332</v>
      </c>
      <c r="H620" t="s">
        <v>241</v>
      </c>
      <c r="I620" t="s">
        <v>242</v>
      </c>
      <c r="J620" t="s">
        <v>242</v>
      </c>
      <c r="K620" t="s">
        <v>241</v>
      </c>
      <c r="L620" t="s">
        <v>242</v>
      </c>
      <c r="M620">
        <v>38.642490909999999</v>
      </c>
      <c r="N620">
        <v>-122.7987402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0.19</v>
      </c>
      <c r="X620">
        <v>0.34</v>
      </c>
      <c r="Y620">
        <v>0</v>
      </c>
      <c r="Z620">
        <v>0</v>
      </c>
      <c r="AA620" t="s">
        <v>9335</v>
      </c>
      <c r="AB620" t="s">
        <v>242</v>
      </c>
      <c r="AC620" t="s">
        <v>3229</v>
      </c>
    </row>
    <row r="621" spans="1:29" x14ac:dyDescent="0.25">
      <c r="A621" t="s">
        <v>63</v>
      </c>
      <c r="B621" t="s">
        <v>254</v>
      </c>
      <c r="C621" t="s">
        <v>354</v>
      </c>
      <c r="D621" t="s">
        <v>3209</v>
      </c>
      <c r="E621" t="s">
        <v>3226</v>
      </c>
      <c r="F621">
        <v>19890228</v>
      </c>
      <c r="G621" t="s">
        <v>9332</v>
      </c>
      <c r="H621" t="s">
        <v>241</v>
      </c>
      <c r="I621" t="s">
        <v>242</v>
      </c>
      <c r="J621" t="s">
        <v>242</v>
      </c>
      <c r="K621" t="s">
        <v>241</v>
      </c>
      <c r="L621" t="s">
        <v>242</v>
      </c>
      <c r="M621">
        <v>38.785362839999998</v>
      </c>
      <c r="N621">
        <v>-122.9974478</v>
      </c>
      <c r="O621">
        <v>8.6999999999999993</v>
      </c>
      <c r="P621">
        <v>6.93</v>
      </c>
      <c r="Q621">
        <v>6.03</v>
      </c>
      <c r="R621">
        <v>7.26</v>
      </c>
      <c r="S621">
        <v>9.73</v>
      </c>
      <c r="T621">
        <v>11.5</v>
      </c>
      <c r="U621">
        <v>12.13</v>
      </c>
      <c r="V621">
        <v>18.73</v>
      </c>
      <c r="W621">
        <v>24.56</v>
      </c>
      <c r="X621">
        <v>22.36</v>
      </c>
      <c r="Y621">
        <v>17.059999999999999</v>
      </c>
      <c r="Z621">
        <v>8.9</v>
      </c>
      <c r="AA621" t="s">
        <v>9335</v>
      </c>
      <c r="AB621" t="s">
        <v>242</v>
      </c>
      <c r="AC621" t="s">
        <v>3229</v>
      </c>
    </row>
    <row r="622" spans="1:29" x14ac:dyDescent="0.25">
      <c r="A622" t="s">
        <v>64</v>
      </c>
      <c r="B622" t="s">
        <v>254</v>
      </c>
      <c r="C622" t="s">
        <v>354</v>
      </c>
      <c r="D622" t="s">
        <v>3209</v>
      </c>
      <c r="E622" t="s">
        <v>3226</v>
      </c>
      <c r="F622">
        <v>19890228</v>
      </c>
      <c r="G622" t="s">
        <v>9332</v>
      </c>
      <c r="H622" t="s">
        <v>241</v>
      </c>
      <c r="I622" t="s">
        <v>242</v>
      </c>
      <c r="J622" t="s">
        <v>242</v>
      </c>
      <c r="K622" t="s">
        <v>241</v>
      </c>
      <c r="L622" t="s">
        <v>242</v>
      </c>
      <c r="M622">
        <v>38.765829320000002</v>
      </c>
      <c r="N622">
        <v>-122.9693772</v>
      </c>
      <c r="O622">
        <v>0.06</v>
      </c>
      <c r="P622">
        <v>0.03</v>
      </c>
      <c r="Q622">
        <v>0.03</v>
      </c>
      <c r="R622">
        <v>0.06</v>
      </c>
      <c r="S622">
        <v>2.36</v>
      </c>
      <c r="T622">
        <v>9.4</v>
      </c>
      <c r="U622">
        <v>8.26</v>
      </c>
      <c r="V622">
        <v>0</v>
      </c>
      <c r="W622">
        <v>0</v>
      </c>
      <c r="X622">
        <v>0</v>
      </c>
      <c r="Y622">
        <v>0.03</v>
      </c>
      <c r="Z622">
        <v>0</v>
      </c>
      <c r="AA622" t="s">
        <v>9335</v>
      </c>
      <c r="AB622" t="s">
        <v>242</v>
      </c>
      <c r="AC622" t="s">
        <v>3229</v>
      </c>
    </row>
    <row r="623" spans="1:29" x14ac:dyDescent="0.25">
      <c r="A623" t="s">
        <v>783</v>
      </c>
      <c r="B623" t="s">
        <v>254</v>
      </c>
      <c r="C623" t="s">
        <v>354</v>
      </c>
      <c r="D623" t="s">
        <v>3209</v>
      </c>
      <c r="E623" t="s">
        <v>3226</v>
      </c>
      <c r="F623">
        <v>19890314</v>
      </c>
      <c r="G623" t="s">
        <v>9332</v>
      </c>
      <c r="H623" t="s">
        <v>241</v>
      </c>
      <c r="I623" t="s">
        <v>242</v>
      </c>
      <c r="J623" t="s">
        <v>242</v>
      </c>
      <c r="K623" t="s">
        <v>241</v>
      </c>
      <c r="L623" t="s">
        <v>242</v>
      </c>
      <c r="M623">
        <v>38.765829320000002</v>
      </c>
      <c r="N623">
        <v>-122.9693772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 t="s">
        <v>9335</v>
      </c>
      <c r="AB623" t="s">
        <v>242</v>
      </c>
      <c r="AC623" t="s">
        <v>3229</v>
      </c>
    </row>
    <row r="624" spans="1:29" x14ac:dyDescent="0.25">
      <c r="A624" t="s">
        <v>785</v>
      </c>
      <c r="B624" t="s">
        <v>254</v>
      </c>
      <c r="C624" t="s">
        <v>308</v>
      </c>
      <c r="D624" t="s">
        <v>3209</v>
      </c>
      <c r="E624" t="s">
        <v>3246</v>
      </c>
      <c r="F624">
        <v>19890418</v>
      </c>
      <c r="G624" t="s">
        <v>9332</v>
      </c>
      <c r="H624" t="s">
        <v>242</v>
      </c>
      <c r="I624" t="s">
        <v>242</v>
      </c>
      <c r="J624" t="s">
        <v>242</v>
      </c>
      <c r="K624" t="s">
        <v>241</v>
      </c>
      <c r="L624" t="s">
        <v>242</v>
      </c>
      <c r="M624">
        <v>38.654687490000001</v>
      </c>
      <c r="N624">
        <v>-122.7144574</v>
      </c>
      <c r="O624">
        <v>0.21</v>
      </c>
      <c r="P624">
        <v>0.21</v>
      </c>
      <c r="Q624">
        <v>0.21</v>
      </c>
      <c r="R624">
        <v>0.21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0.21</v>
      </c>
      <c r="Z624">
        <v>0.21</v>
      </c>
      <c r="AA624" t="s">
        <v>9342</v>
      </c>
      <c r="AB624" t="s">
        <v>242</v>
      </c>
      <c r="AC624" t="s">
        <v>3229</v>
      </c>
    </row>
    <row r="625" spans="1:29" x14ac:dyDescent="0.25">
      <c r="A625" t="s">
        <v>786</v>
      </c>
      <c r="B625" t="s">
        <v>254</v>
      </c>
      <c r="C625" t="s">
        <v>333</v>
      </c>
      <c r="D625" t="s">
        <v>3209</v>
      </c>
      <c r="E625" t="s">
        <v>3246</v>
      </c>
      <c r="F625">
        <v>19890403</v>
      </c>
      <c r="G625" t="s">
        <v>9334</v>
      </c>
      <c r="H625" t="s">
        <v>242</v>
      </c>
      <c r="I625" t="s">
        <v>242</v>
      </c>
      <c r="J625" t="s">
        <v>242</v>
      </c>
      <c r="K625" t="s">
        <v>241</v>
      </c>
      <c r="L625" t="s">
        <v>242</v>
      </c>
      <c r="M625">
        <v>39.127099999999999</v>
      </c>
      <c r="N625">
        <v>-123.1508</v>
      </c>
      <c r="O625">
        <v>3.1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 t="s">
        <v>9335</v>
      </c>
      <c r="AB625" t="s">
        <v>242</v>
      </c>
      <c r="AC625" t="s">
        <v>3213</v>
      </c>
    </row>
    <row r="626" spans="1:29" x14ac:dyDescent="0.25">
      <c r="A626" t="s">
        <v>787</v>
      </c>
      <c r="B626" t="s">
        <v>254</v>
      </c>
      <c r="C626" t="s">
        <v>317</v>
      </c>
      <c r="D626" t="s">
        <v>3209</v>
      </c>
      <c r="E626" t="s">
        <v>3246</v>
      </c>
      <c r="F626">
        <v>19890428</v>
      </c>
      <c r="G626" t="s">
        <v>9332</v>
      </c>
      <c r="H626" t="s">
        <v>242</v>
      </c>
      <c r="I626" t="s">
        <v>242</v>
      </c>
      <c r="J626" t="s">
        <v>242</v>
      </c>
      <c r="K626" t="s">
        <v>241</v>
      </c>
      <c r="L626" t="s">
        <v>242</v>
      </c>
      <c r="M626">
        <v>39.282800000000002</v>
      </c>
      <c r="N626">
        <v>-123.2227</v>
      </c>
      <c r="O626">
        <v>2.2999999999999998</v>
      </c>
      <c r="P626">
        <v>3.77</v>
      </c>
      <c r="Q626">
        <v>0</v>
      </c>
      <c r="R626">
        <v>0.7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 t="s">
        <v>9335</v>
      </c>
      <c r="AB626" t="s">
        <v>242</v>
      </c>
      <c r="AC626" t="s">
        <v>3213</v>
      </c>
    </row>
    <row r="627" spans="1:29" x14ac:dyDescent="0.25">
      <c r="A627" t="s">
        <v>789</v>
      </c>
      <c r="B627" t="s">
        <v>254</v>
      </c>
      <c r="C627" t="s">
        <v>333</v>
      </c>
      <c r="D627" t="s">
        <v>3209</v>
      </c>
      <c r="E627" t="s">
        <v>3226</v>
      </c>
      <c r="F627">
        <v>19890322</v>
      </c>
      <c r="G627" t="s">
        <v>9334</v>
      </c>
      <c r="H627" t="s">
        <v>242</v>
      </c>
      <c r="I627" t="s">
        <v>242</v>
      </c>
      <c r="J627" t="s">
        <v>242</v>
      </c>
      <c r="K627" t="s">
        <v>241</v>
      </c>
      <c r="L627" t="s">
        <v>242</v>
      </c>
      <c r="M627">
        <v>39.099289089999999</v>
      </c>
      <c r="N627">
        <v>-123.1949834</v>
      </c>
      <c r="O627">
        <v>3.24</v>
      </c>
      <c r="P627">
        <v>0</v>
      </c>
      <c r="Q627">
        <v>3.15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 t="s">
        <v>9335</v>
      </c>
      <c r="AB627" t="s">
        <v>242</v>
      </c>
      <c r="AC627" t="s">
        <v>3213</v>
      </c>
    </row>
    <row r="628" spans="1:29" x14ac:dyDescent="0.25">
      <c r="A628" t="s">
        <v>791</v>
      </c>
      <c r="B628" t="s">
        <v>254</v>
      </c>
      <c r="C628" t="s">
        <v>311</v>
      </c>
      <c r="D628" t="s">
        <v>3209</v>
      </c>
      <c r="E628" t="s">
        <v>3226</v>
      </c>
      <c r="F628">
        <v>19890706</v>
      </c>
      <c r="G628" t="s">
        <v>9332</v>
      </c>
      <c r="H628" t="s">
        <v>241</v>
      </c>
      <c r="I628" t="s">
        <v>242</v>
      </c>
      <c r="J628" t="s">
        <v>242</v>
      </c>
      <c r="K628" t="s">
        <v>241</v>
      </c>
      <c r="L628" t="s">
        <v>242</v>
      </c>
      <c r="M628">
        <v>38.642490909999999</v>
      </c>
      <c r="N628">
        <v>-122.7987402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 t="s">
        <v>9343</v>
      </c>
      <c r="AB628" t="s">
        <v>242</v>
      </c>
      <c r="AC628" t="s">
        <v>3229</v>
      </c>
    </row>
    <row r="629" spans="1:29" x14ac:dyDescent="0.25">
      <c r="A629" t="s">
        <v>44</v>
      </c>
      <c r="B629" t="s">
        <v>254</v>
      </c>
      <c r="C629" t="s">
        <v>311</v>
      </c>
      <c r="D629" t="s">
        <v>3209</v>
      </c>
      <c r="E629" t="s">
        <v>3246</v>
      </c>
      <c r="F629">
        <v>19890822</v>
      </c>
      <c r="G629" t="s">
        <v>9332</v>
      </c>
      <c r="H629" t="s">
        <v>241</v>
      </c>
      <c r="I629" t="s">
        <v>242</v>
      </c>
      <c r="J629" t="s">
        <v>242</v>
      </c>
      <c r="K629" t="s">
        <v>241</v>
      </c>
      <c r="L629" t="s">
        <v>242</v>
      </c>
      <c r="M629">
        <v>38.638366179999998</v>
      </c>
      <c r="N629">
        <v>-122.7967081</v>
      </c>
      <c r="O629">
        <v>10.06</v>
      </c>
      <c r="P629">
        <v>0</v>
      </c>
      <c r="Q629">
        <v>0.26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 t="s">
        <v>9335</v>
      </c>
      <c r="AB629" t="s">
        <v>242</v>
      </c>
      <c r="AC629" t="s">
        <v>3229</v>
      </c>
    </row>
    <row r="630" spans="1:29" x14ac:dyDescent="0.25">
      <c r="A630" t="s">
        <v>817</v>
      </c>
      <c r="B630" t="s">
        <v>254</v>
      </c>
      <c r="C630" t="s">
        <v>331</v>
      </c>
      <c r="D630" t="s">
        <v>3209</v>
      </c>
      <c r="E630" t="s">
        <v>3226</v>
      </c>
      <c r="F630">
        <v>19881102</v>
      </c>
      <c r="G630" t="s">
        <v>9334</v>
      </c>
      <c r="H630" t="s">
        <v>241</v>
      </c>
      <c r="I630" t="s">
        <v>242</v>
      </c>
      <c r="J630" t="s">
        <v>242</v>
      </c>
      <c r="K630" t="s">
        <v>241</v>
      </c>
      <c r="L630" t="s">
        <v>242</v>
      </c>
      <c r="M630">
        <v>39.142487150000001</v>
      </c>
      <c r="N630">
        <v>-123.18593370000001</v>
      </c>
      <c r="O630">
        <v>0</v>
      </c>
      <c r="P630">
        <v>0</v>
      </c>
      <c r="Q630">
        <v>0.5</v>
      </c>
      <c r="R630">
        <v>1.33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 t="s">
        <v>9343</v>
      </c>
      <c r="AB630" t="s">
        <v>242</v>
      </c>
      <c r="AC630" t="s">
        <v>3213</v>
      </c>
    </row>
    <row r="631" spans="1:29" x14ac:dyDescent="0.25">
      <c r="A631" t="s">
        <v>818</v>
      </c>
      <c r="B631" t="s">
        <v>254</v>
      </c>
      <c r="C631" t="s">
        <v>331</v>
      </c>
      <c r="D631" t="s">
        <v>3209</v>
      </c>
      <c r="E631" t="s">
        <v>3226</v>
      </c>
      <c r="F631">
        <v>19881102</v>
      </c>
      <c r="G631" t="s">
        <v>9334</v>
      </c>
      <c r="H631" t="s">
        <v>241</v>
      </c>
      <c r="I631" t="s">
        <v>242</v>
      </c>
      <c r="J631" t="s">
        <v>242</v>
      </c>
      <c r="K631" t="s">
        <v>241</v>
      </c>
      <c r="L631" t="s">
        <v>242</v>
      </c>
      <c r="M631">
        <v>39.142487150000001</v>
      </c>
      <c r="N631">
        <v>-123.18593370000001</v>
      </c>
      <c r="O631">
        <v>0</v>
      </c>
      <c r="P631">
        <v>0</v>
      </c>
      <c r="Q631">
        <v>0</v>
      </c>
      <c r="R631">
        <v>0.66</v>
      </c>
      <c r="S631">
        <v>28.33</v>
      </c>
      <c r="T631">
        <v>31.66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 t="s">
        <v>9335</v>
      </c>
      <c r="AB631" t="s">
        <v>242</v>
      </c>
      <c r="AC631" t="s">
        <v>3213</v>
      </c>
    </row>
    <row r="632" spans="1:29" x14ac:dyDescent="0.25">
      <c r="A632" t="s">
        <v>795</v>
      </c>
      <c r="B632" t="s">
        <v>254</v>
      </c>
      <c r="C632" t="s">
        <v>317</v>
      </c>
      <c r="D632" t="s">
        <v>3209</v>
      </c>
      <c r="E632" t="s">
        <v>3246</v>
      </c>
      <c r="F632">
        <v>19891026</v>
      </c>
      <c r="G632" t="s">
        <v>9332</v>
      </c>
      <c r="H632" t="s">
        <v>242</v>
      </c>
      <c r="I632" t="s">
        <v>242</v>
      </c>
      <c r="J632" t="s">
        <v>242</v>
      </c>
      <c r="K632" t="s">
        <v>241</v>
      </c>
      <c r="L632" t="s">
        <v>242</v>
      </c>
      <c r="M632">
        <v>39.322602510000003</v>
      </c>
      <c r="N632">
        <v>-123.21467010000001</v>
      </c>
      <c r="O632">
        <v>3.58</v>
      </c>
      <c r="P632">
        <v>0</v>
      </c>
      <c r="Q632">
        <v>0.25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1.06</v>
      </c>
      <c r="AA632" t="s">
        <v>9345</v>
      </c>
      <c r="AB632" t="s">
        <v>242</v>
      </c>
      <c r="AC632" t="s">
        <v>3213</v>
      </c>
    </row>
    <row r="633" spans="1:29" x14ac:dyDescent="0.25">
      <c r="A633" t="s">
        <v>797</v>
      </c>
      <c r="B633" t="s">
        <v>254</v>
      </c>
      <c r="C633" t="s">
        <v>354</v>
      </c>
      <c r="D633" t="s">
        <v>3209</v>
      </c>
      <c r="E633" t="s">
        <v>3226</v>
      </c>
      <c r="F633">
        <v>19891101</v>
      </c>
      <c r="G633" t="s">
        <v>9334</v>
      </c>
      <c r="H633" t="s">
        <v>242</v>
      </c>
      <c r="I633" t="s">
        <v>242</v>
      </c>
      <c r="J633" t="s">
        <v>242</v>
      </c>
      <c r="K633" t="s">
        <v>241</v>
      </c>
      <c r="L633" t="s">
        <v>242</v>
      </c>
      <c r="M633">
        <v>38.758354509999997</v>
      </c>
      <c r="N633">
        <v>-122.9928611</v>
      </c>
      <c r="O633">
        <v>68.36</v>
      </c>
      <c r="P633">
        <v>43.56</v>
      </c>
      <c r="Q633">
        <v>10.5</v>
      </c>
      <c r="R633">
        <v>2.2599999999999998</v>
      </c>
      <c r="S633">
        <v>6.56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2.73</v>
      </c>
      <c r="AA633" t="s">
        <v>9335</v>
      </c>
      <c r="AB633" t="s">
        <v>242</v>
      </c>
      <c r="AC633" t="s">
        <v>3229</v>
      </c>
    </row>
    <row r="634" spans="1:29" x14ac:dyDescent="0.25">
      <c r="A634" t="s">
        <v>799</v>
      </c>
      <c r="B634" t="s">
        <v>254</v>
      </c>
      <c r="C634" t="s">
        <v>319</v>
      </c>
      <c r="D634" t="s">
        <v>3209</v>
      </c>
      <c r="E634" t="s">
        <v>3226</v>
      </c>
      <c r="F634">
        <v>19891227</v>
      </c>
      <c r="G634" t="s">
        <v>9332</v>
      </c>
      <c r="H634" t="s">
        <v>242</v>
      </c>
      <c r="I634" t="s">
        <v>242</v>
      </c>
      <c r="J634" t="s">
        <v>242</v>
      </c>
      <c r="K634" t="s">
        <v>241</v>
      </c>
      <c r="L634" t="s">
        <v>242</v>
      </c>
      <c r="M634">
        <v>38.927392769999997</v>
      </c>
      <c r="N634">
        <v>-123.0824071</v>
      </c>
      <c r="O634">
        <v>30.33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4</v>
      </c>
      <c r="Z634">
        <v>0.12</v>
      </c>
      <c r="AA634" t="s">
        <v>9335</v>
      </c>
      <c r="AB634" t="s">
        <v>242</v>
      </c>
      <c r="AC634" t="s">
        <v>3213</v>
      </c>
    </row>
    <row r="635" spans="1:29" x14ac:dyDescent="0.25">
      <c r="A635" t="s">
        <v>758</v>
      </c>
      <c r="B635" t="s">
        <v>254</v>
      </c>
      <c r="C635" t="s">
        <v>354</v>
      </c>
      <c r="D635" t="s">
        <v>3209</v>
      </c>
      <c r="E635" t="s">
        <v>3226</v>
      </c>
      <c r="F635">
        <v>19900220</v>
      </c>
      <c r="G635" t="s">
        <v>9338</v>
      </c>
      <c r="H635" t="s">
        <v>241</v>
      </c>
      <c r="I635" t="s">
        <v>242</v>
      </c>
      <c r="J635" t="s">
        <v>242</v>
      </c>
      <c r="K635" t="s">
        <v>241</v>
      </c>
      <c r="L635" t="s">
        <v>242</v>
      </c>
      <c r="M635">
        <v>38.751807479999997</v>
      </c>
      <c r="N635">
        <v>-122.95489619999999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 t="s">
        <v>9335</v>
      </c>
      <c r="AB635" t="s">
        <v>242</v>
      </c>
      <c r="AC635" t="s">
        <v>3229</v>
      </c>
    </row>
    <row r="636" spans="1:29" x14ac:dyDescent="0.25">
      <c r="A636" t="s">
        <v>760</v>
      </c>
      <c r="B636" t="s">
        <v>254</v>
      </c>
      <c r="C636" t="s">
        <v>354</v>
      </c>
      <c r="D636" t="s">
        <v>3209</v>
      </c>
      <c r="E636" t="s">
        <v>3226</v>
      </c>
      <c r="F636">
        <v>19900201</v>
      </c>
      <c r="G636" t="s">
        <v>9334</v>
      </c>
      <c r="H636" t="s">
        <v>242</v>
      </c>
      <c r="I636" t="s">
        <v>242</v>
      </c>
      <c r="J636" t="s">
        <v>242</v>
      </c>
      <c r="K636" t="s">
        <v>241</v>
      </c>
      <c r="L636" t="s">
        <v>242</v>
      </c>
      <c r="M636">
        <v>38.748362049999997</v>
      </c>
      <c r="N636">
        <v>-122.9744999</v>
      </c>
      <c r="O636">
        <v>36.5</v>
      </c>
      <c r="P636">
        <v>8.73</v>
      </c>
      <c r="Q636">
        <v>19.93</v>
      </c>
      <c r="R636">
        <v>4.66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2.0299999999999998</v>
      </c>
      <c r="Z636">
        <v>31.7</v>
      </c>
      <c r="AA636" t="s">
        <v>9335</v>
      </c>
      <c r="AB636" t="s">
        <v>242</v>
      </c>
      <c r="AC636" t="s">
        <v>3229</v>
      </c>
    </row>
    <row r="637" spans="1:29" x14ac:dyDescent="0.25">
      <c r="A637" t="s">
        <v>761</v>
      </c>
      <c r="B637" t="s">
        <v>254</v>
      </c>
      <c r="C637" t="s">
        <v>317</v>
      </c>
      <c r="D637" t="s">
        <v>3209</v>
      </c>
      <c r="E637" t="s">
        <v>3226</v>
      </c>
      <c r="F637">
        <v>19900411</v>
      </c>
      <c r="G637" t="s">
        <v>9332</v>
      </c>
      <c r="H637" t="s">
        <v>242</v>
      </c>
      <c r="I637" t="s">
        <v>242</v>
      </c>
      <c r="J637" t="s">
        <v>242</v>
      </c>
      <c r="K637" t="s">
        <v>241</v>
      </c>
      <c r="L637" t="s">
        <v>242</v>
      </c>
      <c r="M637">
        <v>39.268500000000003</v>
      </c>
      <c r="N637">
        <v>-123.1739</v>
      </c>
      <c r="O637">
        <v>17.329999999999998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 t="s">
        <v>9335</v>
      </c>
      <c r="AB637" t="s">
        <v>242</v>
      </c>
      <c r="AC637" t="s">
        <v>3213</v>
      </c>
    </row>
    <row r="638" spans="1:29" x14ac:dyDescent="0.25">
      <c r="A638" t="s">
        <v>762</v>
      </c>
      <c r="B638" t="s">
        <v>254</v>
      </c>
      <c r="C638" t="s">
        <v>331</v>
      </c>
      <c r="D638" t="s">
        <v>3209</v>
      </c>
      <c r="E638" t="s">
        <v>3246</v>
      </c>
      <c r="F638">
        <v>19900423</v>
      </c>
      <c r="G638" t="s">
        <v>9332</v>
      </c>
      <c r="H638" t="s">
        <v>241</v>
      </c>
      <c r="I638" t="s">
        <v>242</v>
      </c>
      <c r="J638" t="s">
        <v>242</v>
      </c>
      <c r="K638" t="s">
        <v>241</v>
      </c>
      <c r="L638" t="s">
        <v>242</v>
      </c>
      <c r="M638">
        <v>39.171797920000003</v>
      </c>
      <c r="N638">
        <v>-123.19260869999999</v>
      </c>
      <c r="O638">
        <v>0</v>
      </c>
      <c r="P638">
        <v>0</v>
      </c>
      <c r="Q638">
        <v>1</v>
      </c>
      <c r="R638">
        <v>5.25</v>
      </c>
      <c r="S638">
        <v>0.56000000000000005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 t="s">
        <v>9343</v>
      </c>
      <c r="AB638" t="s">
        <v>241</v>
      </c>
      <c r="AC638" t="s">
        <v>3213</v>
      </c>
    </row>
    <row r="639" spans="1:29" x14ac:dyDescent="0.25">
      <c r="A639" t="s">
        <v>764</v>
      </c>
      <c r="B639" t="s">
        <v>254</v>
      </c>
      <c r="C639" t="s">
        <v>354</v>
      </c>
      <c r="D639" t="s">
        <v>3209</v>
      </c>
      <c r="E639" t="s">
        <v>3246</v>
      </c>
      <c r="F639">
        <v>19900530</v>
      </c>
      <c r="G639" t="s">
        <v>9332</v>
      </c>
      <c r="H639" t="s">
        <v>242</v>
      </c>
      <c r="I639" t="s">
        <v>242</v>
      </c>
      <c r="J639" t="s">
        <v>242</v>
      </c>
      <c r="K639" t="s">
        <v>241</v>
      </c>
      <c r="L639" t="s">
        <v>242</v>
      </c>
      <c r="M639">
        <v>38.742664150000003</v>
      </c>
      <c r="N639">
        <v>-122.9647667</v>
      </c>
      <c r="O639">
        <v>16.46</v>
      </c>
      <c r="P639">
        <v>0</v>
      </c>
      <c r="Q639">
        <v>2.7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0.5</v>
      </c>
      <c r="Z639">
        <v>4.9000000000000004</v>
      </c>
      <c r="AA639" t="s">
        <v>9335</v>
      </c>
      <c r="AB639" t="s">
        <v>241</v>
      </c>
      <c r="AC639" t="s">
        <v>3229</v>
      </c>
    </row>
    <row r="640" spans="1:29" x14ac:dyDescent="0.25">
      <c r="A640" t="s">
        <v>770</v>
      </c>
      <c r="B640" t="s">
        <v>254</v>
      </c>
      <c r="C640" t="s">
        <v>354</v>
      </c>
      <c r="D640" t="s">
        <v>3209</v>
      </c>
      <c r="E640" t="s">
        <v>3226</v>
      </c>
      <c r="F640">
        <v>19900803</v>
      </c>
      <c r="G640" t="s">
        <v>9332</v>
      </c>
      <c r="H640" t="s">
        <v>241</v>
      </c>
      <c r="I640" t="s">
        <v>242</v>
      </c>
      <c r="J640" t="s">
        <v>242</v>
      </c>
      <c r="K640" t="s">
        <v>241</v>
      </c>
      <c r="L640" t="s">
        <v>242</v>
      </c>
      <c r="M640">
        <v>38.784819730000002</v>
      </c>
      <c r="N640">
        <v>-122.99673850000001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 t="s">
        <v>9340</v>
      </c>
      <c r="AB640" t="s">
        <v>242</v>
      </c>
      <c r="AC640" t="s">
        <v>3229</v>
      </c>
    </row>
    <row r="641" spans="1:29" x14ac:dyDescent="0.25">
      <c r="A641" t="s">
        <v>750</v>
      </c>
      <c r="B641" t="s">
        <v>254</v>
      </c>
      <c r="C641" t="s">
        <v>354</v>
      </c>
      <c r="D641" t="s">
        <v>3209</v>
      </c>
      <c r="E641" t="s">
        <v>3246</v>
      </c>
      <c r="F641">
        <v>19910307</v>
      </c>
      <c r="G641" t="s">
        <v>9332</v>
      </c>
      <c r="H641" t="s">
        <v>242</v>
      </c>
      <c r="I641" t="s">
        <v>242</v>
      </c>
      <c r="J641" t="s">
        <v>242</v>
      </c>
      <c r="K641" t="s">
        <v>241</v>
      </c>
      <c r="L641" t="s">
        <v>242</v>
      </c>
      <c r="M641">
        <v>38.742699999999999</v>
      </c>
      <c r="N641">
        <v>-122.9002</v>
      </c>
      <c r="O641">
        <v>10.88</v>
      </c>
      <c r="P641">
        <v>10.130000000000001</v>
      </c>
      <c r="Q641">
        <v>11.58</v>
      </c>
      <c r="R641">
        <v>1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1.72</v>
      </c>
      <c r="AA641" t="s">
        <v>9335</v>
      </c>
      <c r="AB641" t="s">
        <v>241</v>
      </c>
      <c r="AC641" t="s">
        <v>3229</v>
      </c>
    </row>
    <row r="642" spans="1:29" x14ac:dyDescent="0.25">
      <c r="A642" t="s">
        <v>756</v>
      </c>
      <c r="B642" t="s">
        <v>254</v>
      </c>
      <c r="C642" t="s">
        <v>348</v>
      </c>
      <c r="D642" t="s">
        <v>3209</v>
      </c>
      <c r="E642" t="s">
        <v>3246</v>
      </c>
      <c r="F642">
        <v>19910826</v>
      </c>
      <c r="G642" t="s">
        <v>9332</v>
      </c>
      <c r="H642" t="s">
        <v>242</v>
      </c>
      <c r="I642" t="s">
        <v>242</v>
      </c>
      <c r="J642" t="s">
        <v>242</v>
      </c>
      <c r="K642" t="s">
        <v>241</v>
      </c>
      <c r="L642" t="s">
        <v>242</v>
      </c>
      <c r="M642">
        <v>39.279863599999999</v>
      </c>
      <c r="N642">
        <v>-123.06360170000001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 t="s">
        <v>9335</v>
      </c>
      <c r="AB642" t="s">
        <v>242</v>
      </c>
      <c r="AC642" t="s">
        <v>3213</v>
      </c>
    </row>
    <row r="643" spans="1:29" x14ac:dyDescent="0.25">
      <c r="A643" t="s">
        <v>752</v>
      </c>
      <c r="B643" t="s">
        <v>254</v>
      </c>
      <c r="C643" t="s">
        <v>331</v>
      </c>
      <c r="D643" t="s">
        <v>3209</v>
      </c>
      <c r="E643" t="s">
        <v>3226</v>
      </c>
      <c r="F643">
        <v>19911008</v>
      </c>
      <c r="G643" t="s">
        <v>9334</v>
      </c>
      <c r="H643" t="s">
        <v>241</v>
      </c>
      <c r="I643" t="s">
        <v>242</v>
      </c>
      <c r="J643" t="s">
        <v>242</v>
      </c>
      <c r="K643" t="s">
        <v>241</v>
      </c>
      <c r="L643" t="s">
        <v>242</v>
      </c>
      <c r="M643">
        <v>39.142487150000001</v>
      </c>
      <c r="N643">
        <v>-123.18593370000001</v>
      </c>
      <c r="O643">
        <v>0</v>
      </c>
      <c r="P643">
        <v>0.16</v>
      </c>
      <c r="Q643">
        <v>2.66</v>
      </c>
      <c r="R643">
        <v>3.73</v>
      </c>
      <c r="S643">
        <v>0.83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 t="s">
        <v>9343</v>
      </c>
      <c r="AB643" t="s">
        <v>242</v>
      </c>
      <c r="AC643" t="s">
        <v>3213</v>
      </c>
    </row>
    <row r="644" spans="1:29" x14ac:dyDescent="0.25">
      <c r="A644" t="s">
        <v>733</v>
      </c>
      <c r="B644" t="s">
        <v>254</v>
      </c>
      <c r="C644" t="s">
        <v>311</v>
      </c>
      <c r="D644" t="s">
        <v>3209</v>
      </c>
      <c r="E644" t="s">
        <v>3226</v>
      </c>
      <c r="F644">
        <v>19920511</v>
      </c>
      <c r="G644" t="s">
        <v>9334</v>
      </c>
      <c r="H644" t="s">
        <v>242</v>
      </c>
      <c r="I644" t="s">
        <v>242</v>
      </c>
      <c r="J644" t="s">
        <v>242</v>
      </c>
      <c r="K644" t="s">
        <v>241</v>
      </c>
      <c r="L644" t="s">
        <v>242</v>
      </c>
      <c r="M644">
        <v>38.649557870000002</v>
      </c>
      <c r="N644">
        <v>-122.7637313</v>
      </c>
      <c r="O644">
        <v>3.56</v>
      </c>
      <c r="P644">
        <v>1.99</v>
      </c>
      <c r="Q644">
        <v>1</v>
      </c>
      <c r="R644">
        <v>0.33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1</v>
      </c>
      <c r="Z644">
        <v>2</v>
      </c>
      <c r="AA644" t="s">
        <v>9335</v>
      </c>
      <c r="AB644" t="s">
        <v>242</v>
      </c>
      <c r="AC644" t="s">
        <v>3229</v>
      </c>
    </row>
    <row r="645" spans="1:29" x14ac:dyDescent="0.25">
      <c r="A645" t="s">
        <v>722</v>
      </c>
      <c r="B645" t="s">
        <v>254</v>
      </c>
      <c r="C645" t="s">
        <v>436</v>
      </c>
      <c r="D645" t="s">
        <v>3209</v>
      </c>
      <c r="E645" t="s">
        <v>3246</v>
      </c>
      <c r="F645">
        <v>19930810</v>
      </c>
      <c r="G645" t="s">
        <v>9334</v>
      </c>
      <c r="H645" t="s">
        <v>241</v>
      </c>
      <c r="I645" t="s">
        <v>242</v>
      </c>
      <c r="J645" t="s">
        <v>242</v>
      </c>
      <c r="K645" t="s">
        <v>241</v>
      </c>
      <c r="L645" t="s">
        <v>242</v>
      </c>
      <c r="M645">
        <v>38.672767780000001</v>
      </c>
      <c r="N645">
        <v>-122.82317879999999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 t="s">
        <v>9335</v>
      </c>
      <c r="AB645" t="s">
        <v>242</v>
      </c>
      <c r="AC645" t="s">
        <v>3229</v>
      </c>
    </row>
    <row r="646" spans="1:29" x14ac:dyDescent="0.25">
      <c r="A646" t="s">
        <v>711</v>
      </c>
      <c r="B646" t="s">
        <v>254</v>
      </c>
      <c r="C646" t="s">
        <v>317</v>
      </c>
      <c r="D646" t="s">
        <v>3209</v>
      </c>
      <c r="E646" t="s">
        <v>3226</v>
      </c>
      <c r="F646">
        <v>19940222</v>
      </c>
      <c r="G646" t="s">
        <v>9334</v>
      </c>
      <c r="H646" t="s">
        <v>242</v>
      </c>
      <c r="I646" t="s">
        <v>242</v>
      </c>
      <c r="J646" t="s">
        <v>242</v>
      </c>
      <c r="K646" t="s">
        <v>241</v>
      </c>
      <c r="L646" t="s">
        <v>242</v>
      </c>
      <c r="M646">
        <v>39.314512000000001</v>
      </c>
      <c r="N646">
        <v>-123.2137355</v>
      </c>
      <c r="O646">
        <v>3.84</v>
      </c>
      <c r="P646">
        <v>0</v>
      </c>
      <c r="Q646">
        <v>1.3</v>
      </c>
      <c r="R646">
        <v>0.06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 t="s">
        <v>9335</v>
      </c>
      <c r="AB646" t="s">
        <v>242</v>
      </c>
      <c r="AC646" t="s">
        <v>3213</v>
      </c>
    </row>
    <row r="647" spans="1:29" x14ac:dyDescent="0.25">
      <c r="A647" t="s">
        <v>712</v>
      </c>
      <c r="B647" t="s">
        <v>254</v>
      </c>
      <c r="C647" t="s">
        <v>317</v>
      </c>
      <c r="D647" t="s">
        <v>3209</v>
      </c>
      <c r="E647" t="s">
        <v>3226</v>
      </c>
      <c r="F647">
        <v>19940510</v>
      </c>
      <c r="G647" t="s">
        <v>9332</v>
      </c>
      <c r="H647" t="s">
        <v>242</v>
      </c>
      <c r="I647" t="s">
        <v>242</v>
      </c>
      <c r="J647" t="s">
        <v>242</v>
      </c>
      <c r="K647" t="s">
        <v>241</v>
      </c>
      <c r="L647" t="s">
        <v>242</v>
      </c>
      <c r="M647">
        <v>39.267681150000001</v>
      </c>
      <c r="N647">
        <v>-123.2412794</v>
      </c>
      <c r="O647">
        <v>0</v>
      </c>
      <c r="P647">
        <v>3.01</v>
      </c>
      <c r="Q647">
        <v>5.76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 t="s">
        <v>9335</v>
      </c>
      <c r="AB647" t="s">
        <v>242</v>
      </c>
      <c r="AC647" t="s">
        <v>3213</v>
      </c>
    </row>
    <row r="648" spans="1:29" x14ac:dyDescent="0.25">
      <c r="A648" t="s">
        <v>714</v>
      </c>
      <c r="B648" t="s">
        <v>254</v>
      </c>
      <c r="C648" t="s">
        <v>354</v>
      </c>
      <c r="D648" t="s">
        <v>3209</v>
      </c>
      <c r="E648" t="s">
        <v>3226</v>
      </c>
      <c r="F648">
        <v>19940207</v>
      </c>
      <c r="G648" t="s">
        <v>9334</v>
      </c>
      <c r="H648" t="s">
        <v>241</v>
      </c>
      <c r="I648" t="s">
        <v>242</v>
      </c>
      <c r="J648" t="s">
        <v>242</v>
      </c>
      <c r="K648" t="s">
        <v>241</v>
      </c>
      <c r="L648" t="s">
        <v>242</v>
      </c>
      <c r="M648">
        <v>38.739916059999999</v>
      </c>
      <c r="N648">
        <v>-122.94832030000001</v>
      </c>
      <c r="O648">
        <v>6.48</v>
      </c>
      <c r="P648">
        <v>3.91</v>
      </c>
      <c r="Q648">
        <v>2.3199999999999998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 t="s">
        <v>9335</v>
      </c>
      <c r="AB648" t="s">
        <v>242</v>
      </c>
      <c r="AC648" t="s">
        <v>3229</v>
      </c>
    </row>
    <row r="649" spans="1:29" x14ac:dyDescent="0.25">
      <c r="A649" t="s">
        <v>715</v>
      </c>
      <c r="B649" t="s">
        <v>254</v>
      </c>
      <c r="C649" t="s">
        <v>354</v>
      </c>
      <c r="D649" t="s">
        <v>3209</v>
      </c>
      <c r="E649" t="s">
        <v>3226</v>
      </c>
      <c r="F649">
        <v>19940222</v>
      </c>
      <c r="G649" t="s">
        <v>9334</v>
      </c>
      <c r="H649" t="s">
        <v>241</v>
      </c>
      <c r="I649" t="s">
        <v>242</v>
      </c>
      <c r="J649" t="s">
        <v>242</v>
      </c>
      <c r="K649" t="s">
        <v>241</v>
      </c>
      <c r="L649" t="s">
        <v>242</v>
      </c>
      <c r="M649">
        <v>38.740246689999999</v>
      </c>
      <c r="N649">
        <v>-122.9481845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 t="s">
        <v>9343</v>
      </c>
      <c r="AB649" t="s">
        <v>241</v>
      </c>
      <c r="AC649" t="s">
        <v>3229</v>
      </c>
    </row>
    <row r="650" spans="1:29" x14ac:dyDescent="0.25">
      <c r="A650" t="s">
        <v>717</v>
      </c>
      <c r="B650" t="s">
        <v>254</v>
      </c>
      <c r="C650" t="s">
        <v>311</v>
      </c>
      <c r="D650" t="s">
        <v>3209</v>
      </c>
      <c r="E650" t="s">
        <v>3226</v>
      </c>
      <c r="F650">
        <v>19940818</v>
      </c>
      <c r="G650" t="s">
        <v>9334</v>
      </c>
      <c r="H650" t="s">
        <v>241</v>
      </c>
      <c r="I650" t="s">
        <v>242</v>
      </c>
      <c r="J650" t="s">
        <v>242</v>
      </c>
      <c r="K650" t="s">
        <v>241</v>
      </c>
      <c r="L650" t="s">
        <v>242</v>
      </c>
      <c r="M650">
        <v>38.640808120000003</v>
      </c>
      <c r="N650">
        <v>-122.7990008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 t="s">
        <v>9335</v>
      </c>
      <c r="AB650" t="s">
        <v>242</v>
      </c>
      <c r="AC650" t="s">
        <v>3229</v>
      </c>
    </row>
    <row r="651" spans="1:29" x14ac:dyDescent="0.25">
      <c r="A651" t="s">
        <v>104</v>
      </c>
      <c r="B651" t="s">
        <v>254</v>
      </c>
      <c r="C651" t="s">
        <v>311</v>
      </c>
      <c r="D651" t="s">
        <v>3209</v>
      </c>
      <c r="E651" t="s">
        <v>3226</v>
      </c>
      <c r="F651">
        <v>19940927</v>
      </c>
      <c r="G651" t="s">
        <v>9334</v>
      </c>
      <c r="H651" t="s">
        <v>241</v>
      </c>
      <c r="I651" t="s">
        <v>242</v>
      </c>
      <c r="J651" t="s">
        <v>242</v>
      </c>
      <c r="K651" t="s">
        <v>241</v>
      </c>
      <c r="L651" t="s">
        <v>242</v>
      </c>
      <c r="M651">
        <v>38.64412471</v>
      </c>
      <c r="N651">
        <v>-122.7958866</v>
      </c>
      <c r="O651">
        <v>0.02</v>
      </c>
      <c r="P651">
        <v>3.3333333333333301E-3</v>
      </c>
      <c r="Q651">
        <v>0.01</v>
      </c>
      <c r="R651">
        <v>0.01</v>
      </c>
      <c r="S651">
        <v>0.5</v>
      </c>
      <c r="T651">
        <v>0.99</v>
      </c>
      <c r="U651">
        <v>1.68</v>
      </c>
      <c r="V651">
        <v>1.7</v>
      </c>
      <c r="W651">
        <v>1.23</v>
      </c>
      <c r="X651">
        <v>7.0000000000000007E-2</v>
      </c>
      <c r="Y651">
        <v>0.06</v>
      </c>
      <c r="Z651">
        <v>3.3333333333333301E-3</v>
      </c>
      <c r="AA651" t="s">
        <v>9335</v>
      </c>
      <c r="AB651" t="s">
        <v>242</v>
      </c>
      <c r="AC651" t="s">
        <v>3229</v>
      </c>
    </row>
    <row r="652" spans="1:29" x14ac:dyDescent="0.25">
      <c r="A652" t="s">
        <v>706</v>
      </c>
      <c r="B652" t="s">
        <v>254</v>
      </c>
      <c r="C652" t="s">
        <v>348</v>
      </c>
      <c r="D652" t="s">
        <v>3209</v>
      </c>
      <c r="E652" t="s">
        <v>3246</v>
      </c>
      <c r="F652">
        <v>19960528</v>
      </c>
      <c r="G652" t="s">
        <v>9334</v>
      </c>
      <c r="H652" t="s">
        <v>242</v>
      </c>
      <c r="I652" t="s">
        <v>242</v>
      </c>
      <c r="J652" t="s">
        <v>242</v>
      </c>
      <c r="K652" t="s">
        <v>241</v>
      </c>
      <c r="L652" t="s">
        <v>242</v>
      </c>
      <c r="M652">
        <v>39.280299999999997</v>
      </c>
      <c r="N652">
        <v>-123.0697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 t="s">
        <v>9335</v>
      </c>
      <c r="AB652" t="s">
        <v>242</v>
      </c>
      <c r="AC652" t="s">
        <v>3213</v>
      </c>
    </row>
    <row r="653" spans="1:29" x14ac:dyDescent="0.25">
      <c r="A653" t="s">
        <v>707</v>
      </c>
      <c r="B653" t="s">
        <v>254</v>
      </c>
      <c r="C653" t="s">
        <v>348</v>
      </c>
      <c r="D653" t="s">
        <v>3209</v>
      </c>
      <c r="E653" t="s">
        <v>3246</v>
      </c>
      <c r="F653">
        <v>19960819</v>
      </c>
      <c r="G653" t="s">
        <v>9334</v>
      </c>
      <c r="H653" t="s">
        <v>242</v>
      </c>
      <c r="I653" t="s">
        <v>242</v>
      </c>
      <c r="J653" t="s">
        <v>242</v>
      </c>
      <c r="K653" t="s">
        <v>241</v>
      </c>
      <c r="L653" t="s">
        <v>242</v>
      </c>
      <c r="M653">
        <v>39.280299999999997</v>
      </c>
      <c r="N653">
        <v>-123.0697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 t="s">
        <v>9343</v>
      </c>
      <c r="AB653" t="s">
        <v>242</v>
      </c>
      <c r="AC653" t="s">
        <v>3213</v>
      </c>
    </row>
    <row r="654" spans="1:29" x14ac:dyDescent="0.25">
      <c r="A654" t="s">
        <v>650</v>
      </c>
      <c r="B654" t="s">
        <v>254</v>
      </c>
      <c r="C654" t="s">
        <v>308</v>
      </c>
      <c r="D654" t="s">
        <v>3209</v>
      </c>
      <c r="E654" t="s">
        <v>3226</v>
      </c>
      <c r="F654">
        <v>19980323</v>
      </c>
      <c r="G654" t="s">
        <v>9334</v>
      </c>
      <c r="H654" t="s">
        <v>242</v>
      </c>
      <c r="I654" t="s">
        <v>242</v>
      </c>
      <c r="J654" t="s">
        <v>242</v>
      </c>
      <c r="K654" t="s">
        <v>241</v>
      </c>
      <c r="L654" t="s">
        <v>242</v>
      </c>
      <c r="M654">
        <v>38.661099999999998</v>
      </c>
      <c r="N654">
        <v>-122.66540000000001</v>
      </c>
      <c r="O654">
        <v>5.23</v>
      </c>
      <c r="P654">
        <v>0.8</v>
      </c>
      <c r="Q654">
        <v>2.13</v>
      </c>
      <c r="R654">
        <v>0.23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1.73</v>
      </c>
      <c r="AA654" t="s">
        <v>9335</v>
      </c>
      <c r="AB654" t="s">
        <v>242</v>
      </c>
      <c r="AC654" t="s">
        <v>3229</v>
      </c>
    </row>
    <row r="655" spans="1:29" x14ac:dyDescent="0.25">
      <c r="A655" t="s">
        <v>662</v>
      </c>
      <c r="B655" t="s">
        <v>254</v>
      </c>
      <c r="C655" t="s">
        <v>311</v>
      </c>
      <c r="D655" t="s">
        <v>3209</v>
      </c>
      <c r="E655" t="s">
        <v>3226</v>
      </c>
      <c r="F655">
        <v>19980309</v>
      </c>
      <c r="G655" t="s">
        <v>9334</v>
      </c>
      <c r="H655" t="s">
        <v>242</v>
      </c>
      <c r="I655" t="s">
        <v>242</v>
      </c>
      <c r="J655" t="s">
        <v>242</v>
      </c>
      <c r="K655" t="s">
        <v>241</v>
      </c>
      <c r="L655" t="s">
        <v>242</v>
      </c>
      <c r="M655">
        <v>38.649523240000001</v>
      </c>
      <c r="N655">
        <v>-122.7689835</v>
      </c>
      <c r="O655">
        <v>2.66</v>
      </c>
      <c r="P655">
        <v>3.33</v>
      </c>
      <c r="Q655">
        <v>1.33</v>
      </c>
      <c r="R655">
        <v>0.66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1.33</v>
      </c>
      <c r="AA655" t="s">
        <v>9335</v>
      </c>
      <c r="AB655" t="s">
        <v>242</v>
      </c>
      <c r="AC655" t="s">
        <v>3229</v>
      </c>
    </row>
    <row r="656" spans="1:29" x14ac:dyDescent="0.25">
      <c r="A656" t="s">
        <v>626</v>
      </c>
      <c r="B656" t="s">
        <v>254</v>
      </c>
      <c r="C656" t="s">
        <v>311</v>
      </c>
      <c r="D656" t="s">
        <v>3209</v>
      </c>
      <c r="E656" t="s">
        <v>3226</v>
      </c>
      <c r="F656">
        <v>19990629</v>
      </c>
      <c r="G656" t="s">
        <v>9338</v>
      </c>
      <c r="H656" t="s">
        <v>242</v>
      </c>
      <c r="I656" t="s">
        <v>242</v>
      </c>
      <c r="J656" t="s">
        <v>242</v>
      </c>
      <c r="K656" t="s">
        <v>241</v>
      </c>
      <c r="L656" t="s">
        <v>242</v>
      </c>
      <c r="M656">
        <v>38.626199999999997</v>
      </c>
      <c r="N656">
        <v>-122.7512</v>
      </c>
      <c r="O656">
        <v>0.46</v>
      </c>
      <c r="P656">
        <v>0</v>
      </c>
      <c r="Q656">
        <v>0.03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1.06</v>
      </c>
      <c r="AA656" t="s">
        <v>9335</v>
      </c>
      <c r="AB656" t="s">
        <v>242</v>
      </c>
      <c r="AC656" t="s">
        <v>3229</v>
      </c>
    </row>
    <row r="657" spans="1:29" x14ac:dyDescent="0.25">
      <c r="A657" t="s">
        <v>119</v>
      </c>
      <c r="B657" t="s">
        <v>254</v>
      </c>
      <c r="C657" t="s">
        <v>311</v>
      </c>
      <c r="D657" t="s">
        <v>3209</v>
      </c>
      <c r="E657" t="s">
        <v>3226</v>
      </c>
      <c r="F657">
        <v>20000320</v>
      </c>
      <c r="G657" t="s">
        <v>9334</v>
      </c>
      <c r="H657" t="s">
        <v>242</v>
      </c>
      <c r="I657" t="s">
        <v>242</v>
      </c>
      <c r="J657" t="s">
        <v>242</v>
      </c>
      <c r="K657" t="s">
        <v>241</v>
      </c>
      <c r="L657" t="s">
        <v>242</v>
      </c>
      <c r="M657">
        <v>38.615000000000002</v>
      </c>
      <c r="N657">
        <v>-122.77249999999999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 t="s">
        <v>9335</v>
      </c>
      <c r="AB657" t="s">
        <v>242</v>
      </c>
      <c r="AC657" t="s">
        <v>3229</v>
      </c>
    </row>
    <row r="658" spans="1:29" x14ac:dyDescent="0.25">
      <c r="A658" t="s">
        <v>631</v>
      </c>
      <c r="B658" t="s">
        <v>254</v>
      </c>
      <c r="C658" t="s">
        <v>317</v>
      </c>
      <c r="D658" t="s">
        <v>3209</v>
      </c>
      <c r="E658" t="s">
        <v>3226</v>
      </c>
      <c r="F658">
        <v>19990901</v>
      </c>
      <c r="G658" t="s">
        <v>9338</v>
      </c>
      <c r="H658" t="s">
        <v>242</v>
      </c>
      <c r="I658" t="s">
        <v>242</v>
      </c>
      <c r="J658" t="s">
        <v>242</v>
      </c>
      <c r="K658" t="s">
        <v>241</v>
      </c>
      <c r="L658" t="s">
        <v>242</v>
      </c>
      <c r="M658">
        <v>39.286341800000002</v>
      </c>
      <c r="N658">
        <v>-123.3129177</v>
      </c>
      <c r="O658">
        <v>0</v>
      </c>
      <c r="P658">
        <v>0</v>
      </c>
      <c r="Q658">
        <v>0</v>
      </c>
      <c r="R658">
        <v>0.26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 t="s">
        <v>9343</v>
      </c>
      <c r="AB658" t="s">
        <v>242</v>
      </c>
      <c r="AC658" t="s">
        <v>3213</v>
      </c>
    </row>
    <row r="659" spans="1:29" x14ac:dyDescent="0.25">
      <c r="A659" t="s">
        <v>632</v>
      </c>
      <c r="B659" t="s">
        <v>254</v>
      </c>
      <c r="C659" t="s">
        <v>317</v>
      </c>
      <c r="D659" t="s">
        <v>3209</v>
      </c>
      <c r="E659" t="s">
        <v>3226</v>
      </c>
      <c r="F659">
        <v>19990901</v>
      </c>
      <c r="G659" t="s">
        <v>9338</v>
      </c>
      <c r="H659" t="s">
        <v>242</v>
      </c>
      <c r="I659" t="s">
        <v>242</v>
      </c>
      <c r="J659" t="s">
        <v>242</v>
      </c>
      <c r="K659" t="s">
        <v>241</v>
      </c>
      <c r="L659" t="s">
        <v>242</v>
      </c>
      <c r="M659">
        <v>39.2863428</v>
      </c>
      <c r="N659">
        <v>-123.3128809</v>
      </c>
      <c r="O659">
        <v>2.93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5.7</v>
      </c>
      <c r="AA659" t="s">
        <v>9335</v>
      </c>
      <c r="AB659" t="s">
        <v>241</v>
      </c>
      <c r="AC659" t="s">
        <v>3213</v>
      </c>
    </row>
    <row r="660" spans="1:29" x14ac:dyDescent="0.25">
      <c r="A660" t="s">
        <v>743</v>
      </c>
      <c r="B660" t="s">
        <v>254</v>
      </c>
      <c r="C660" t="s">
        <v>333</v>
      </c>
      <c r="D660" t="s">
        <v>3209</v>
      </c>
      <c r="E660" t="s">
        <v>3226</v>
      </c>
      <c r="F660">
        <v>19921215</v>
      </c>
      <c r="G660" t="s">
        <v>9334</v>
      </c>
      <c r="H660" t="s">
        <v>241</v>
      </c>
      <c r="I660" t="s">
        <v>242</v>
      </c>
      <c r="J660" t="s">
        <v>242</v>
      </c>
      <c r="K660" t="s">
        <v>241</v>
      </c>
      <c r="L660" t="s">
        <v>242</v>
      </c>
      <c r="M660">
        <v>39.092336799999998</v>
      </c>
      <c r="N660">
        <v>-123.1765426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 t="s">
        <v>9335</v>
      </c>
      <c r="AB660" t="s">
        <v>242</v>
      </c>
      <c r="AC660" t="s">
        <v>3213</v>
      </c>
    </row>
    <row r="661" spans="1:29" x14ac:dyDescent="0.25">
      <c r="A661" t="s">
        <v>614</v>
      </c>
      <c r="B661" t="s">
        <v>254</v>
      </c>
      <c r="C661" t="s">
        <v>409</v>
      </c>
      <c r="D661" t="s">
        <v>3209</v>
      </c>
      <c r="E661" t="s">
        <v>3226</v>
      </c>
      <c r="F661">
        <v>20000803</v>
      </c>
      <c r="G661" t="s">
        <v>9334</v>
      </c>
      <c r="H661" t="s">
        <v>242</v>
      </c>
      <c r="I661" t="s">
        <v>242</v>
      </c>
      <c r="J661" t="s">
        <v>242</v>
      </c>
      <c r="K661" t="s">
        <v>241</v>
      </c>
      <c r="L661" t="s">
        <v>242</v>
      </c>
      <c r="M661">
        <v>38.847000000000001</v>
      </c>
      <c r="N661">
        <v>-122.9539</v>
      </c>
      <c r="O661">
        <v>7.43</v>
      </c>
      <c r="P661">
        <v>0.71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2.02</v>
      </c>
      <c r="AA661" t="s">
        <v>9335</v>
      </c>
      <c r="AB661" t="s">
        <v>242</v>
      </c>
      <c r="AC661" t="s">
        <v>3229</v>
      </c>
    </row>
    <row r="662" spans="1:29" x14ac:dyDescent="0.25">
      <c r="A662" t="s">
        <v>615</v>
      </c>
      <c r="B662" t="s">
        <v>254</v>
      </c>
      <c r="C662" t="s">
        <v>331</v>
      </c>
      <c r="D662" t="s">
        <v>3209</v>
      </c>
      <c r="E662" t="s">
        <v>3226</v>
      </c>
      <c r="F662">
        <v>20001227</v>
      </c>
      <c r="G662" t="s">
        <v>9334</v>
      </c>
      <c r="H662" t="s">
        <v>242</v>
      </c>
      <c r="I662" t="s">
        <v>242</v>
      </c>
      <c r="J662" t="s">
        <v>242</v>
      </c>
      <c r="K662" t="s">
        <v>241</v>
      </c>
      <c r="L662" t="s">
        <v>242</v>
      </c>
      <c r="M662">
        <v>39.189736869999997</v>
      </c>
      <c r="N662">
        <v>-123.18451279999999</v>
      </c>
      <c r="O662">
        <v>4.0599999999999996</v>
      </c>
      <c r="P662">
        <v>1.63</v>
      </c>
      <c r="Q662">
        <v>0.53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2.2000000000000002</v>
      </c>
      <c r="AA662" t="s">
        <v>9335</v>
      </c>
      <c r="AB662" t="s">
        <v>242</v>
      </c>
      <c r="AC662" t="s">
        <v>3213</v>
      </c>
    </row>
    <row r="663" spans="1:29" x14ac:dyDescent="0.25">
      <c r="A663" t="s">
        <v>593</v>
      </c>
      <c r="B663" t="s">
        <v>254</v>
      </c>
      <c r="C663" t="s">
        <v>331</v>
      </c>
      <c r="D663" t="s">
        <v>3209</v>
      </c>
      <c r="E663" t="s">
        <v>3226</v>
      </c>
      <c r="F663">
        <v>20010227</v>
      </c>
      <c r="G663" t="s">
        <v>9334</v>
      </c>
      <c r="H663" t="s">
        <v>242</v>
      </c>
      <c r="I663" t="s">
        <v>242</v>
      </c>
      <c r="J663" t="s">
        <v>242</v>
      </c>
      <c r="K663" t="s">
        <v>241</v>
      </c>
      <c r="L663" t="s">
        <v>242</v>
      </c>
      <c r="M663">
        <v>39.154459000000003</v>
      </c>
      <c r="N663">
        <v>-123.1701681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 t="s">
        <v>9335</v>
      </c>
      <c r="AB663" t="s">
        <v>242</v>
      </c>
      <c r="AC663" t="s">
        <v>3213</v>
      </c>
    </row>
    <row r="664" spans="1:29" x14ac:dyDescent="0.25">
      <c r="A664" t="s">
        <v>594</v>
      </c>
      <c r="B664" t="s">
        <v>254</v>
      </c>
      <c r="C664" t="s">
        <v>333</v>
      </c>
      <c r="D664" t="s">
        <v>3209</v>
      </c>
      <c r="E664" t="s">
        <v>3226</v>
      </c>
      <c r="F664">
        <v>20010404</v>
      </c>
      <c r="G664" t="s">
        <v>9334</v>
      </c>
      <c r="H664" t="s">
        <v>241</v>
      </c>
      <c r="I664" t="s">
        <v>242</v>
      </c>
      <c r="J664" t="s">
        <v>242</v>
      </c>
      <c r="K664" t="s">
        <v>241</v>
      </c>
      <c r="L664" t="s">
        <v>242</v>
      </c>
      <c r="M664">
        <v>39.0931</v>
      </c>
      <c r="N664">
        <v>-123.1932</v>
      </c>
      <c r="O664">
        <v>3.4</v>
      </c>
      <c r="P664">
        <v>2.4300000000000002</v>
      </c>
      <c r="Q664">
        <v>1.1599999999999999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9.23</v>
      </c>
      <c r="AA664" t="s">
        <v>9335</v>
      </c>
      <c r="AB664" t="s">
        <v>242</v>
      </c>
      <c r="AC664" t="s">
        <v>3213</v>
      </c>
    </row>
    <row r="665" spans="1:29" x14ac:dyDescent="0.25">
      <c r="A665" t="s">
        <v>597</v>
      </c>
      <c r="B665" t="s">
        <v>254</v>
      </c>
      <c r="C665" t="s">
        <v>317</v>
      </c>
      <c r="D665" t="s">
        <v>3209</v>
      </c>
      <c r="E665" t="s">
        <v>3226</v>
      </c>
      <c r="F665">
        <v>20010404</v>
      </c>
      <c r="G665" t="s">
        <v>9338</v>
      </c>
      <c r="H665" t="s">
        <v>242</v>
      </c>
      <c r="I665" t="s">
        <v>242</v>
      </c>
      <c r="J665" t="s">
        <v>242</v>
      </c>
      <c r="K665" t="s">
        <v>241</v>
      </c>
      <c r="L665" t="s">
        <v>242</v>
      </c>
      <c r="M665">
        <v>39.3247</v>
      </c>
      <c r="N665">
        <v>-123.23260000000001</v>
      </c>
      <c r="O665">
        <v>6.65</v>
      </c>
      <c r="P665">
        <v>1.45</v>
      </c>
      <c r="Q665">
        <v>4.2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1</v>
      </c>
      <c r="Z665">
        <v>4.3499999999999996</v>
      </c>
      <c r="AA665" t="s">
        <v>9335</v>
      </c>
      <c r="AB665" t="s">
        <v>242</v>
      </c>
      <c r="AC665" t="s">
        <v>3213</v>
      </c>
    </row>
    <row r="666" spans="1:29" x14ac:dyDescent="0.25">
      <c r="A666" t="s">
        <v>545</v>
      </c>
      <c r="B666" t="s">
        <v>254</v>
      </c>
      <c r="C666" t="s">
        <v>333</v>
      </c>
      <c r="D666" t="s">
        <v>3209</v>
      </c>
      <c r="E666" t="s">
        <v>3226</v>
      </c>
      <c r="F666">
        <v>20030115</v>
      </c>
      <c r="G666" t="s">
        <v>9338</v>
      </c>
      <c r="H666" t="s">
        <v>242</v>
      </c>
      <c r="I666" t="s">
        <v>242</v>
      </c>
      <c r="J666" t="s">
        <v>242</v>
      </c>
      <c r="K666" t="s">
        <v>241</v>
      </c>
      <c r="L666" t="s">
        <v>242</v>
      </c>
      <c r="M666">
        <v>39.087010030000002</v>
      </c>
      <c r="N666">
        <v>-123.1549706</v>
      </c>
      <c r="O666">
        <v>4.3499999999999996</v>
      </c>
      <c r="P666">
        <v>0.9</v>
      </c>
      <c r="Q666">
        <v>2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1.7</v>
      </c>
      <c r="Z666">
        <v>2.4</v>
      </c>
      <c r="AA666" t="s">
        <v>9335</v>
      </c>
      <c r="AB666" t="s">
        <v>242</v>
      </c>
      <c r="AC666" t="s">
        <v>3213</v>
      </c>
    </row>
    <row r="667" spans="1:29" x14ac:dyDescent="0.25">
      <c r="A667" t="s">
        <v>550</v>
      </c>
      <c r="B667" t="s">
        <v>254</v>
      </c>
      <c r="C667" t="s">
        <v>317</v>
      </c>
      <c r="D667" t="s">
        <v>3209</v>
      </c>
      <c r="E667" t="s">
        <v>3226</v>
      </c>
      <c r="F667">
        <v>20030603</v>
      </c>
      <c r="G667" t="s">
        <v>9334</v>
      </c>
      <c r="H667" t="s">
        <v>242</v>
      </c>
      <c r="I667" t="s">
        <v>242</v>
      </c>
      <c r="J667" t="s">
        <v>242</v>
      </c>
      <c r="K667" t="s">
        <v>241</v>
      </c>
      <c r="L667" t="s">
        <v>242</v>
      </c>
      <c r="M667">
        <v>39.224597250000002</v>
      </c>
      <c r="N667">
        <v>-123.1938517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 t="s">
        <v>9335</v>
      </c>
      <c r="AB667" t="s">
        <v>242</v>
      </c>
      <c r="AC667" t="s">
        <v>3213</v>
      </c>
    </row>
    <row r="668" spans="1:29" x14ac:dyDescent="0.25">
      <c r="A668" t="s">
        <v>3172</v>
      </c>
      <c r="B668" t="s">
        <v>254</v>
      </c>
      <c r="C668" t="e">
        <v>#N/A</v>
      </c>
      <c r="D668" t="s">
        <v>3209</v>
      </c>
      <c r="E668" t="s">
        <v>3226</v>
      </c>
      <c r="I668" t="s">
        <v>242</v>
      </c>
      <c r="L668" t="s">
        <v>242</v>
      </c>
    </row>
    <row r="669" spans="1:29" x14ac:dyDescent="0.25">
      <c r="A669" t="s">
        <v>544</v>
      </c>
      <c r="B669" t="s">
        <v>254</v>
      </c>
      <c r="C669" t="s">
        <v>348</v>
      </c>
      <c r="D669" t="s">
        <v>3209</v>
      </c>
      <c r="E669" t="s">
        <v>3226</v>
      </c>
      <c r="F669">
        <v>20030930</v>
      </c>
      <c r="G669" t="s">
        <v>9334</v>
      </c>
      <c r="H669" t="s">
        <v>242</v>
      </c>
      <c r="I669" t="s">
        <v>242</v>
      </c>
      <c r="J669" t="s">
        <v>242</v>
      </c>
      <c r="K669" t="s">
        <v>241</v>
      </c>
      <c r="L669" t="s">
        <v>242</v>
      </c>
      <c r="M669">
        <v>39.358479109999998</v>
      </c>
      <c r="N669">
        <v>-123.1391259</v>
      </c>
      <c r="O669">
        <v>1.1000000000000001</v>
      </c>
      <c r="P669">
        <v>1.1000000000000001</v>
      </c>
      <c r="Q669">
        <v>1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0.15</v>
      </c>
      <c r="AA669" t="s">
        <v>9335</v>
      </c>
      <c r="AB669" t="s">
        <v>242</v>
      </c>
      <c r="AC669" t="s">
        <v>3213</v>
      </c>
    </row>
    <row r="670" spans="1:29" x14ac:dyDescent="0.25">
      <c r="A670" t="s">
        <v>480</v>
      </c>
      <c r="B670" t="s">
        <v>254</v>
      </c>
      <c r="C670" t="s">
        <v>436</v>
      </c>
      <c r="D670" t="s">
        <v>3209</v>
      </c>
      <c r="E670" t="s">
        <v>3226</v>
      </c>
      <c r="F670">
        <v>20100629</v>
      </c>
      <c r="G670" t="s">
        <v>9338</v>
      </c>
      <c r="H670" t="s">
        <v>242</v>
      </c>
      <c r="I670" t="s">
        <v>242</v>
      </c>
      <c r="J670" t="s">
        <v>242</v>
      </c>
      <c r="K670" t="s">
        <v>241</v>
      </c>
      <c r="L670" t="s">
        <v>242</v>
      </c>
      <c r="M670">
        <v>38.725000000000001</v>
      </c>
      <c r="N670">
        <v>-122.88339999999999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0.22</v>
      </c>
      <c r="V670">
        <v>1.8</v>
      </c>
      <c r="W670">
        <v>0.94</v>
      </c>
      <c r="X670">
        <v>0</v>
      </c>
      <c r="Y670">
        <v>0</v>
      </c>
      <c r="Z670">
        <v>0</v>
      </c>
      <c r="AA670" t="s">
        <v>9335</v>
      </c>
      <c r="AB670" t="s">
        <v>242</v>
      </c>
      <c r="AC670" t="s">
        <v>3229</v>
      </c>
    </row>
    <row r="671" spans="1:29" x14ac:dyDescent="0.25">
      <c r="A671" t="s">
        <v>473</v>
      </c>
      <c r="B671" t="s">
        <v>254</v>
      </c>
      <c r="C671" t="s">
        <v>319</v>
      </c>
      <c r="D671" t="s">
        <v>3209</v>
      </c>
      <c r="E671" t="s">
        <v>3226</v>
      </c>
      <c r="F671">
        <v>20110117</v>
      </c>
      <c r="G671" t="s">
        <v>9334</v>
      </c>
      <c r="H671" t="s">
        <v>241</v>
      </c>
      <c r="I671" t="s">
        <v>242</v>
      </c>
      <c r="J671" t="s">
        <v>242</v>
      </c>
      <c r="K671" t="s">
        <v>241</v>
      </c>
      <c r="L671" t="s">
        <v>242</v>
      </c>
      <c r="M671">
        <v>38.986499999999999</v>
      </c>
      <c r="N671">
        <v>-123.10850000000001</v>
      </c>
      <c r="O671">
        <v>44.53</v>
      </c>
      <c r="P671">
        <v>0.19</v>
      </c>
      <c r="Q671">
        <v>0.13</v>
      </c>
      <c r="R671">
        <v>0.04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 t="s">
        <v>9335</v>
      </c>
      <c r="AB671" t="s">
        <v>242</v>
      </c>
      <c r="AC671" t="s">
        <v>3213</v>
      </c>
    </row>
    <row r="672" spans="1:29" x14ac:dyDescent="0.25">
      <c r="A672" t="s">
        <v>474</v>
      </c>
      <c r="B672" t="s">
        <v>254</v>
      </c>
      <c r="C672" t="s">
        <v>319</v>
      </c>
      <c r="D672" t="s">
        <v>3209</v>
      </c>
      <c r="E672" t="s">
        <v>3226</v>
      </c>
      <c r="F672">
        <v>20110222</v>
      </c>
      <c r="G672" t="s">
        <v>9338</v>
      </c>
      <c r="H672" t="s">
        <v>241</v>
      </c>
      <c r="I672" t="s">
        <v>242</v>
      </c>
      <c r="J672" t="s">
        <v>242</v>
      </c>
      <c r="K672" t="s">
        <v>241</v>
      </c>
      <c r="L672" t="s">
        <v>242</v>
      </c>
      <c r="M672">
        <v>38.979500000000002</v>
      </c>
      <c r="N672">
        <v>-123.1049</v>
      </c>
      <c r="O672">
        <v>4.2</v>
      </c>
      <c r="P672">
        <v>10.86</v>
      </c>
      <c r="Q672">
        <v>0.7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3.66</v>
      </c>
      <c r="AA672" t="s">
        <v>9335</v>
      </c>
      <c r="AB672" t="s">
        <v>242</v>
      </c>
      <c r="AC672" t="s">
        <v>3213</v>
      </c>
    </row>
    <row r="673" spans="1:29" x14ac:dyDescent="0.25">
      <c r="A673" t="s">
        <v>435</v>
      </c>
      <c r="B673" t="s">
        <v>254</v>
      </c>
      <c r="C673" t="s">
        <v>436</v>
      </c>
      <c r="D673" t="s">
        <v>3209</v>
      </c>
      <c r="E673" t="s">
        <v>3226</v>
      </c>
      <c r="F673">
        <v>20130521</v>
      </c>
      <c r="G673" t="s">
        <v>9338</v>
      </c>
      <c r="H673" t="s">
        <v>242</v>
      </c>
      <c r="I673" t="s">
        <v>242</v>
      </c>
      <c r="J673" t="s">
        <v>242</v>
      </c>
      <c r="K673" t="s">
        <v>241</v>
      </c>
      <c r="L673" t="s">
        <v>242</v>
      </c>
      <c r="M673">
        <v>38.725000000000001</v>
      </c>
      <c r="N673">
        <v>-122.88339999999999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0.44</v>
      </c>
      <c r="U673">
        <v>0.86</v>
      </c>
      <c r="V673">
        <v>0</v>
      </c>
      <c r="W673">
        <v>0</v>
      </c>
      <c r="X673">
        <v>0</v>
      </c>
      <c r="Y673">
        <v>0</v>
      </c>
      <c r="Z673">
        <v>0</v>
      </c>
      <c r="AA673" t="s">
        <v>9335</v>
      </c>
      <c r="AB673" t="s">
        <v>242</v>
      </c>
      <c r="AC673" t="s">
        <v>3229</v>
      </c>
    </row>
    <row r="674" spans="1:29" x14ac:dyDescent="0.25">
      <c r="A674" t="s">
        <v>1017</v>
      </c>
      <c r="B674" t="s">
        <v>254</v>
      </c>
      <c r="C674" t="s">
        <v>333</v>
      </c>
      <c r="D674" t="s">
        <v>3752</v>
      </c>
      <c r="E674" t="s">
        <v>3723</v>
      </c>
      <c r="F674">
        <v>19760322</v>
      </c>
      <c r="G674" t="s">
        <v>9332</v>
      </c>
      <c r="H674" t="s">
        <v>242</v>
      </c>
      <c r="I674" t="s">
        <v>242</v>
      </c>
      <c r="J674" t="s">
        <v>242</v>
      </c>
      <c r="K674" t="s">
        <v>241</v>
      </c>
      <c r="L674" t="s">
        <v>242</v>
      </c>
      <c r="M674">
        <v>39.086334579999999</v>
      </c>
      <c r="N674">
        <v>-123.239161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 t="s">
        <v>9342</v>
      </c>
      <c r="AB674" t="s">
        <v>242</v>
      </c>
      <c r="AC674" t="s">
        <v>3213</v>
      </c>
    </row>
    <row r="675" spans="1:29" x14ac:dyDescent="0.25">
      <c r="A675" t="s">
        <v>1018</v>
      </c>
      <c r="B675" t="s">
        <v>254</v>
      </c>
      <c r="C675" t="s">
        <v>333</v>
      </c>
      <c r="D675" t="s">
        <v>3752</v>
      </c>
      <c r="E675" t="s">
        <v>3723</v>
      </c>
      <c r="F675">
        <v>19760322</v>
      </c>
      <c r="G675" t="s">
        <v>9332</v>
      </c>
      <c r="H675" t="s">
        <v>242</v>
      </c>
      <c r="I675" t="s">
        <v>242</v>
      </c>
      <c r="J675" t="s">
        <v>242</v>
      </c>
      <c r="K675" t="s">
        <v>241</v>
      </c>
      <c r="L675" t="s">
        <v>242</v>
      </c>
      <c r="M675">
        <v>39.067665589999997</v>
      </c>
      <c r="N675">
        <v>-123.22580120000001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 t="s">
        <v>9342</v>
      </c>
      <c r="AB675" t="s">
        <v>242</v>
      </c>
      <c r="AC675" t="s">
        <v>3213</v>
      </c>
    </row>
    <row r="676" spans="1:29" x14ac:dyDescent="0.25">
      <c r="A676" t="s">
        <v>975</v>
      </c>
      <c r="B676" t="s">
        <v>254</v>
      </c>
      <c r="C676" t="s">
        <v>354</v>
      </c>
      <c r="D676" t="s">
        <v>3752</v>
      </c>
      <c r="E676" t="s">
        <v>3723</v>
      </c>
      <c r="F676">
        <v>19780103</v>
      </c>
      <c r="G676" t="s">
        <v>9332</v>
      </c>
      <c r="H676" t="s">
        <v>242</v>
      </c>
      <c r="I676" t="s">
        <v>242</v>
      </c>
      <c r="J676" t="s">
        <v>242</v>
      </c>
      <c r="K676" t="s">
        <v>241</v>
      </c>
      <c r="L676" t="s">
        <v>242</v>
      </c>
      <c r="M676">
        <v>38.847479989999997</v>
      </c>
      <c r="N676">
        <v>-123.0530988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 t="s">
        <v>9342</v>
      </c>
      <c r="AB676" t="s">
        <v>242</v>
      </c>
      <c r="AC676" t="s">
        <v>3229</v>
      </c>
    </row>
    <row r="677" spans="1:29" x14ac:dyDescent="0.25">
      <c r="A677" t="s">
        <v>976</v>
      </c>
      <c r="B677" t="s">
        <v>254</v>
      </c>
      <c r="C677" t="s">
        <v>354</v>
      </c>
      <c r="D677" t="s">
        <v>3752</v>
      </c>
      <c r="E677" t="s">
        <v>3723</v>
      </c>
      <c r="F677">
        <v>19780103</v>
      </c>
      <c r="G677" t="s">
        <v>9332</v>
      </c>
      <c r="H677" t="s">
        <v>242</v>
      </c>
      <c r="I677" t="s">
        <v>242</v>
      </c>
      <c r="J677" t="s">
        <v>242</v>
      </c>
      <c r="K677" t="s">
        <v>241</v>
      </c>
      <c r="L677" t="s">
        <v>242</v>
      </c>
      <c r="M677">
        <v>38.845551729999997</v>
      </c>
      <c r="N677">
        <v>-123.05377249999999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 t="s">
        <v>9342</v>
      </c>
      <c r="AB677" t="s">
        <v>242</v>
      </c>
      <c r="AC677" t="s">
        <v>3229</v>
      </c>
    </row>
    <row r="678" spans="1:29" x14ac:dyDescent="0.25">
      <c r="A678" t="s">
        <v>686</v>
      </c>
      <c r="B678" t="s">
        <v>254</v>
      </c>
      <c r="C678" t="s">
        <v>319</v>
      </c>
      <c r="D678" t="s">
        <v>3752</v>
      </c>
      <c r="E678" t="s">
        <v>3723</v>
      </c>
      <c r="F678">
        <v>19971222</v>
      </c>
      <c r="G678" t="s">
        <v>9334</v>
      </c>
      <c r="H678" t="s">
        <v>242</v>
      </c>
      <c r="I678" t="s">
        <v>242</v>
      </c>
      <c r="J678" t="s">
        <v>242</v>
      </c>
      <c r="K678" t="s">
        <v>241</v>
      </c>
      <c r="L678" t="s">
        <v>242</v>
      </c>
      <c r="M678">
        <v>38.96107121</v>
      </c>
      <c r="N678">
        <v>-123.0630481</v>
      </c>
      <c r="O678">
        <v>0.03</v>
      </c>
      <c r="P678">
        <v>0.03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0.06</v>
      </c>
      <c r="Z678">
        <v>0.1</v>
      </c>
      <c r="AA678" t="s">
        <v>9342</v>
      </c>
      <c r="AB678" t="s">
        <v>242</v>
      </c>
      <c r="AC678" t="s">
        <v>3213</v>
      </c>
    </row>
    <row r="679" spans="1:29" x14ac:dyDescent="0.25">
      <c r="A679" t="s">
        <v>687</v>
      </c>
      <c r="B679" t="s">
        <v>254</v>
      </c>
      <c r="C679" t="s">
        <v>319</v>
      </c>
      <c r="D679" t="s">
        <v>3752</v>
      </c>
      <c r="E679" t="s">
        <v>3723</v>
      </c>
      <c r="F679">
        <v>19971222</v>
      </c>
      <c r="G679" t="s">
        <v>9334</v>
      </c>
      <c r="H679" t="s">
        <v>242</v>
      </c>
      <c r="I679" t="s">
        <v>242</v>
      </c>
      <c r="J679" t="s">
        <v>242</v>
      </c>
      <c r="K679" t="s">
        <v>241</v>
      </c>
      <c r="L679" t="s">
        <v>242</v>
      </c>
      <c r="M679">
        <v>38.949764969999997</v>
      </c>
      <c r="N679">
        <v>-123.0532082</v>
      </c>
      <c r="O679">
        <v>0.3</v>
      </c>
      <c r="P679">
        <v>0.36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0.06</v>
      </c>
      <c r="Y679">
        <v>0.33</v>
      </c>
      <c r="Z679">
        <v>0.63</v>
      </c>
      <c r="AA679" t="s">
        <v>9342</v>
      </c>
      <c r="AB679" t="s">
        <v>242</v>
      </c>
      <c r="AC679" t="s">
        <v>3213</v>
      </c>
    </row>
    <row r="680" spans="1:29" x14ac:dyDescent="0.25">
      <c r="A680" t="s">
        <v>688</v>
      </c>
      <c r="B680" t="s">
        <v>254</v>
      </c>
      <c r="C680" t="s">
        <v>319</v>
      </c>
      <c r="D680" t="s">
        <v>3752</v>
      </c>
      <c r="E680" t="s">
        <v>3723</v>
      </c>
      <c r="F680">
        <v>19971222</v>
      </c>
      <c r="G680" t="s">
        <v>9334</v>
      </c>
      <c r="H680" t="s">
        <v>242</v>
      </c>
      <c r="I680" t="s">
        <v>242</v>
      </c>
      <c r="J680" t="s">
        <v>242</v>
      </c>
      <c r="K680" t="s">
        <v>241</v>
      </c>
      <c r="L680" t="s">
        <v>242</v>
      </c>
      <c r="M680">
        <v>38.938244769999997</v>
      </c>
      <c r="N680">
        <v>-123.05180679999999</v>
      </c>
      <c r="O680">
        <v>0.3</v>
      </c>
      <c r="P680">
        <v>0.4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0.06</v>
      </c>
      <c r="Y680">
        <v>0.33</v>
      </c>
      <c r="Z680">
        <v>0.66</v>
      </c>
      <c r="AA680" t="s">
        <v>9342</v>
      </c>
      <c r="AB680" t="s">
        <v>242</v>
      </c>
      <c r="AC680" t="s">
        <v>3213</v>
      </c>
    </row>
    <row r="681" spans="1:29" x14ac:dyDescent="0.25">
      <c r="A681" t="s">
        <v>689</v>
      </c>
      <c r="B681" t="s">
        <v>254</v>
      </c>
      <c r="C681" t="s">
        <v>319</v>
      </c>
      <c r="D681" t="s">
        <v>3752</v>
      </c>
      <c r="E681" t="s">
        <v>3723</v>
      </c>
      <c r="F681">
        <v>19971222</v>
      </c>
      <c r="G681" t="s">
        <v>9334</v>
      </c>
      <c r="H681" t="s">
        <v>242</v>
      </c>
      <c r="I681" t="s">
        <v>242</v>
      </c>
      <c r="J681" t="s">
        <v>242</v>
      </c>
      <c r="K681" t="s">
        <v>241</v>
      </c>
      <c r="L681" t="s">
        <v>242</v>
      </c>
      <c r="M681">
        <v>38.93320507</v>
      </c>
      <c r="N681">
        <v>-123.0473375</v>
      </c>
      <c r="O681">
        <v>0.13</v>
      </c>
      <c r="P681">
        <v>0.16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0.03</v>
      </c>
      <c r="Y681">
        <v>0.13</v>
      </c>
      <c r="Z681">
        <v>0.26</v>
      </c>
      <c r="AA681" t="s">
        <v>9342</v>
      </c>
      <c r="AB681" t="s">
        <v>242</v>
      </c>
      <c r="AC681" t="s">
        <v>3213</v>
      </c>
    </row>
    <row r="682" spans="1:29" x14ac:dyDescent="0.25">
      <c r="A682" t="s">
        <v>690</v>
      </c>
      <c r="B682" t="s">
        <v>254</v>
      </c>
      <c r="C682" t="s">
        <v>319</v>
      </c>
      <c r="D682" t="s">
        <v>3752</v>
      </c>
      <c r="E682" t="s">
        <v>3723</v>
      </c>
      <c r="F682">
        <v>19971222</v>
      </c>
      <c r="G682" t="s">
        <v>9334</v>
      </c>
      <c r="H682" t="s">
        <v>242</v>
      </c>
      <c r="I682" t="s">
        <v>242</v>
      </c>
      <c r="J682" t="s">
        <v>242</v>
      </c>
      <c r="K682" t="s">
        <v>241</v>
      </c>
      <c r="L682" t="s">
        <v>242</v>
      </c>
      <c r="M682">
        <v>38.945122990000002</v>
      </c>
      <c r="N682">
        <v>-123.0654468</v>
      </c>
      <c r="O682">
        <v>0.1</v>
      </c>
      <c r="P682">
        <v>0.1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0.06</v>
      </c>
      <c r="Y682">
        <v>0.1</v>
      </c>
      <c r="Z682">
        <v>0.36</v>
      </c>
      <c r="AA682" t="s">
        <v>9342</v>
      </c>
      <c r="AB682" t="s">
        <v>242</v>
      </c>
      <c r="AC682" t="s">
        <v>3213</v>
      </c>
    </row>
    <row r="683" spans="1:29" x14ac:dyDescent="0.25">
      <c r="A683" t="s">
        <v>691</v>
      </c>
      <c r="B683" t="s">
        <v>254</v>
      </c>
      <c r="C683" t="s">
        <v>319</v>
      </c>
      <c r="D683" t="s">
        <v>3752</v>
      </c>
      <c r="E683" t="s">
        <v>3723</v>
      </c>
      <c r="F683">
        <v>19971222</v>
      </c>
      <c r="G683" t="s">
        <v>9334</v>
      </c>
      <c r="H683" t="s">
        <v>241</v>
      </c>
      <c r="I683" t="s">
        <v>242</v>
      </c>
      <c r="J683" t="s">
        <v>242</v>
      </c>
      <c r="K683" t="s">
        <v>241</v>
      </c>
      <c r="L683" t="s">
        <v>242</v>
      </c>
      <c r="M683">
        <v>38.944037539999997</v>
      </c>
      <c r="N683">
        <v>-123.0789685</v>
      </c>
      <c r="O683">
        <v>0.13</v>
      </c>
      <c r="P683">
        <v>0.2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0.03</v>
      </c>
      <c r="Y683">
        <v>0.13</v>
      </c>
      <c r="Z683">
        <v>0.33</v>
      </c>
      <c r="AA683" t="s">
        <v>9342</v>
      </c>
      <c r="AB683" t="s">
        <v>242</v>
      </c>
      <c r="AC683" t="s">
        <v>3213</v>
      </c>
    </row>
    <row r="684" spans="1:29" x14ac:dyDescent="0.25">
      <c r="A684" t="s">
        <v>692</v>
      </c>
      <c r="B684" t="s">
        <v>254</v>
      </c>
      <c r="C684" t="s">
        <v>319</v>
      </c>
      <c r="D684" t="s">
        <v>3752</v>
      </c>
      <c r="E684" t="s">
        <v>3723</v>
      </c>
      <c r="F684">
        <v>19971222</v>
      </c>
      <c r="G684" t="s">
        <v>9334</v>
      </c>
      <c r="H684" t="s">
        <v>242</v>
      </c>
      <c r="I684" t="s">
        <v>242</v>
      </c>
      <c r="J684" t="s">
        <v>242</v>
      </c>
      <c r="K684" t="s">
        <v>241</v>
      </c>
      <c r="L684" t="s">
        <v>242</v>
      </c>
      <c r="M684">
        <v>38.924122539999999</v>
      </c>
      <c r="N684">
        <v>-123.0187293</v>
      </c>
      <c r="O684">
        <v>0.1</v>
      </c>
      <c r="P684">
        <v>0.1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0.03</v>
      </c>
      <c r="Y684">
        <v>0.1</v>
      </c>
      <c r="Z684">
        <v>0.16</v>
      </c>
      <c r="AA684" t="s">
        <v>9342</v>
      </c>
      <c r="AB684" t="s">
        <v>242</v>
      </c>
      <c r="AC684" t="s">
        <v>3213</v>
      </c>
    </row>
    <row r="685" spans="1:29" x14ac:dyDescent="0.25">
      <c r="A685" t="s">
        <v>693</v>
      </c>
      <c r="B685" t="s">
        <v>254</v>
      </c>
      <c r="C685" t="s">
        <v>354</v>
      </c>
      <c r="D685" t="s">
        <v>3752</v>
      </c>
      <c r="E685" t="s">
        <v>3723</v>
      </c>
      <c r="F685">
        <v>19971229</v>
      </c>
      <c r="G685" t="s">
        <v>9334</v>
      </c>
      <c r="H685" t="s">
        <v>242</v>
      </c>
      <c r="I685" t="s">
        <v>242</v>
      </c>
      <c r="J685" t="s">
        <v>242</v>
      </c>
      <c r="K685" t="s">
        <v>241</v>
      </c>
      <c r="L685" t="s">
        <v>242</v>
      </c>
      <c r="M685">
        <v>38.87129041</v>
      </c>
      <c r="N685">
        <v>-123.0118746</v>
      </c>
      <c r="O685">
        <v>0.09</v>
      </c>
      <c r="P685">
        <v>0.03</v>
      </c>
      <c r="Q685">
        <v>7.0000000000000007E-2</v>
      </c>
      <c r="R685">
        <v>0.05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0.01</v>
      </c>
      <c r="Y685">
        <v>0.03</v>
      </c>
      <c r="Z685">
        <v>0.04</v>
      </c>
      <c r="AA685" t="s">
        <v>9342</v>
      </c>
      <c r="AB685" t="s">
        <v>242</v>
      </c>
      <c r="AC685" t="s">
        <v>3213</v>
      </c>
    </row>
    <row r="686" spans="1:29" x14ac:dyDescent="0.25">
      <c r="A686" t="s">
        <v>695</v>
      </c>
      <c r="B686" t="s">
        <v>254</v>
      </c>
      <c r="C686" t="s">
        <v>354</v>
      </c>
      <c r="D686" t="s">
        <v>3752</v>
      </c>
      <c r="E686" t="s">
        <v>3723</v>
      </c>
      <c r="F686">
        <v>19971229</v>
      </c>
      <c r="G686" t="s">
        <v>9334</v>
      </c>
      <c r="H686" t="s">
        <v>242</v>
      </c>
      <c r="I686" t="s">
        <v>242</v>
      </c>
      <c r="J686" t="s">
        <v>242</v>
      </c>
      <c r="K686" t="s">
        <v>241</v>
      </c>
      <c r="L686" t="s">
        <v>242</v>
      </c>
      <c r="M686">
        <v>38.863389179999999</v>
      </c>
      <c r="N686">
        <v>-123.02737449999999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 t="s">
        <v>9342</v>
      </c>
      <c r="AB686" t="s">
        <v>242</v>
      </c>
      <c r="AC686" t="s">
        <v>3213</v>
      </c>
    </row>
    <row r="687" spans="1:29" x14ac:dyDescent="0.25">
      <c r="A687" t="s">
        <v>696</v>
      </c>
      <c r="B687" t="s">
        <v>254</v>
      </c>
      <c r="C687" t="s">
        <v>319</v>
      </c>
      <c r="D687" t="s">
        <v>3752</v>
      </c>
      <c r="E687" t="s">
        <v>3723</v>
      </c>
      <c r="F687">
        <v>19971222</v>
      </c>
      <c r="G687" t="s">
        <v>9334</v>
      </c>
      <c r="H687" t="s">
        <v>242</v>
      </c>
      <c r="I687" t="s">
        <v>242</v>
      </c>
      <c r="J687" t="s">
        <v>242</v>
      </c>
      <c r="K687" t="s">
        <v>241</v>
      </c>
      <c r="L687" t="s">
        <v>242</v>
      </c>
      <c r="M687">
        <v>38.934885749999999</v>
      </c>
      <c r="N687">
        <v>-123.0506742</v>
      </c>
      <c r="O687">
        <v>1.9</v>
      </c>
      <c r="P687">
        <v>0.63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0.26</v>
      </c>
      <c r="Y687">
        <v>1.1599999999999999</v>
      </c>
      <c r="Z687">
        <v>2.36</v>
      </c>
      <c r="AA687" t="s">
        <v>9342</v>
      </c>
      <c r="AB687" t="s">
        <v>242</v>
      </c>
      <c r="AC687" t="s">
        <v>3213</v>
      </c>
    </row>
    <row r="688" spans="1:29" x14ac:dyDescent="0.25">
      <c r="A688" t="s">
        <v>702</v>
      </c>
      <c r="B688" t="s">
        <v>254</v>
      </c>
      <c r="C688" t="s">
        <v>348</v>
      </c>
      <c r="D688" t="s">
        <v>3752</v>
      </c>
      <c r="E688" t="s">
        <v>3723</v>
      </c>
      <c r="F688">
        <v>19971223</v>
      </c>
      <c r="G688" t="s">
        <v>9334</v>
      </c>
      <c r="H688" t="s">
        <v>242</v>
      </c>
      <c r="I688" t="s">
        <v>242</v>
      </c>
      <c r="J688" t="s">
        <v>242</v>
      </c>
      <c r="K688" t="s">
        <v>241</v>
      </c>
      <c r="L688" t="s">
        <v>242</v>
      </c>
      <c r="M688">
        <v>39.296557010000001</v>
      </c>
      <c r="N688">
        <v>-123.0348965</v>
      </c>
      <c r="O688">
        <v>0.66</v>
      </c>
      <c r="P688">
        <v>0.66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 t="s">
        <v>9342</v>
      </c>
      <c r="AB688" t="s">
        <v>242</v>
      </c>
      <c r="AC688" t="s">
        <v>3213</v>
      </c>
    </row>
    <row r="689" spans="1:29" x14ac:dyDescent="0.25">
      <c r="A689" t="s">
        <v>698</v>
      </c>
      <c r="B689" t="s">
        <v>254</v>
      </c>
      <c r="C689" t="s">
        <v>354</v>
      </c>
      <c r="D689" t="s">
        <v>3752</v>
      </c>
      <c r="E689" t="s">
        <v>3723</v>
      </c>
      <c r="F689">
        <v>19971229</v>
      </c>
      <c r="G689" t="s">
        <v>9334</v>
      </c>
      <c r="H689" t="s">
        <v>242</v>
      </c>
      <c r="I689" t="s">
        <v>242</v>
      </c>
      <c r="J689" t="s">
        <v>242</v>
      </c>
      <c r="K689" t="s">
        <v>241</v>
      </c>
      <c r="L689" t="s">
        <v>242</v>
      </c>
      <c r="M689">
        <v>38.864889390000002</v>
      </c>
      <c r="N689">
        <v>-123.0368727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 t="s">
        <v>9342</v>
      </c>
      <c r="AB689" t="s">
        <v>242</v>
      </c>
      <c r="AC689" t="s">
        <v>3213</v>
      </c>
    </row>
    <row r="690" spans="1:29" x14ac:dyDescent="0.25">
      <c r="A690" t="s">
        <v>803</v>
      </c>
      <c r="B690" t="s">
        <v>254</v>
      </c>
      <c r="C690" t="s">
        <v>317</v>
      </c>
      <c r="D690" t="s">
        <v>3718</v>
      </c>
      <c r="E690" t="s">
        <v>3727</v>
      </c>
      <c r="F690">
        <v>19890327</v>
      </c>
      <c r="G690" t="s">
        <v>9338</v>
      </c>
      <c r="H690" t="s">
        <v>242</v>
      </c>
      <c r="I690" t="s">
        <v>242</v>
      </c>
      <c r="J690" t="s">
        <v>242</v>
      </c>
      <c r="K690" t="s">
        <v>241</v>
      </c>
      <c r="L690" t="s">
        <v>242</v>
      </c>
      <c r="M690">
        <v>39.238500000000002</v>
      </c>
      <c r="N690">
        <v>-123.2878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 t="s">
        <v>9333</v>
      </c>
      <c r="AB690" t="s">
        <v>242</v>
      </c>
      <c r="AC690" t="s">
        <v>3213</v>
      </c>
    </row>
    <row r="691" spans="1:29" x14ac:dyDescent="0.25">
      <c r="A691" t="s">
        <v>804</v>
      </c>
      <c r="B691" t="s">
        <v>254</v>
      </c>
      <c r="C691" t="s">
        <v>317</v>
      </c>
      <c r="D691" t="s">
        <v>3718</v>
      </c>
      <c r="E691" t="s">
        <v>3727</v>
      </c>
      <c r="F691">
        <v>19890920</v>
      </c>
      <c r="G691" t="s">
        <v>9332</v>
      </c>
      <c r="H691" t="s">
        <v>242</v>
      </c>
      <c r="I691" t="s">
        <v>242</v>
      </c>
      <c r="J691" t="s">
        <v>242</v>
      </c>
      <c r="K691" t="s">
        <v>241</v>
      </c>
      <c r="L691" t="s">
        <v>242</v>
      </c>
      <c r="M691">
        <v>39.300516450000003</v>
      </c>
      <c r="N691">
        <v>-123.22612959999999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 t="s">
        <v>9333</v>
      </c>
      <c r="AB691" t="s">
        <v>242</v>
      </c>
      <c r="AC691" t="s">
        <v>3213</v>
      </c>
    </row>
    <row r="692" spans="1:29" x14ac:dyDescent="0.25">
      <c r="A692" t="s">
        <v>776</v>
      </c>
      <c r="B692" t="s">
        <v>254</v>
      </c>
      <c r="C692" t="s">
        <v>354</v>
      </c>
      <c r="D692" t="s">
        <v>3718</v>
      </c>
      <c r="E692" t="s">
        <v>3727</v>
      </c>
      <c r="F692">
        <v>19900131</v>
      </c>
      <c r="G692" t="s">
        <v>9338</v>
      </c>
      <c r="H692" t="s">
        <v>242</v>
      </c>
      <c r="I692" t="s">
        <v>242</v>
      </c>
      <c r="J692" t="s">
        <v>242</v>
      </c>
      <c r="K692" t="s">
        <v>241</v>
      </c>
      <c r="L692" t="s">
        <v>242</v>
      </c>
      <c r="M692">
        <v>38.757223660000001</v>
      </c>
      <c r="N692">
        <v>-122.8953485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 t="s">
        <v>9333</v>
      </c>
      <c r="AB692" t="s">
        <v>242</v>
      </c>
      <c r="AC692" t="s">
        <v>3229</v>
      </c>
    </row>
    <row r="693" spans="1:29" x14ac:dyDescent="0.25">
      <c r="A693" t="s">
        <v>748</v>
      </c>
      <c r="B693" t="s">
        <v>254</v>
      </c>
      <c r="C693" t="s">
        <v>507</v>
      </c>
      <c r="D693" t="s">
        <v>3718</v>
      </c>
      <c r="E693" t="s">
        <v>3727</v>
      </c>
      <c r="F693">
        <v>19921215</v>
      </c>
      <c r="G693" t="s">
        <v>9334</v>
      </c>
      <c r="H693" t="s">
        <v>241</v>
      </c>
      <c r="I693" t="s">
        <v>242</v>
      </c>
      <c r="J693" t="s">
        <v>242</v>
      </c>
      <c r="K693" t="s">
        <v>241</v>
      </c>
      <c r="L693" t="s">
        <v>242</v>
      </c>
      <c r="M693">
        <v>38.6149165</v>
      </c>
      <c r="N693">
        <v>-122.8298612</v>
      </c>
      <c r="O693">
        <v>0.04</v>
      </c>
      <c r="P693">
        <v>0.04</v>
      </c>
      <c r="Q693">
        <v>0.04</v>
      </c>
      <c r="R693">
        <v>0.04</v>
      </c>
      <c r="S693">
        <v>0.04</v>
      </c>
      <c r="T693">
        <v>0.04</v>
      </c>
      <c r="U693">
        <v>0.04</v>
      </c>
      <c r="V693">
        <v>0.04</v>
      </c>
      <c r="W693">
        <v>0.04</v>
      </c>
      <c r="X693">
        <v>0.04</v>
      </c>
      <c r="Y693">
        <v>0.04</v>
      </c>
      <c r="Z693">
        <v>0.04</v>
      </c>
      <c r="AA693" t="s">
        <v>9333</v>
      </c>
      <c r="AB693" t="s">
        <v>242</v>
      </c>
      <c r="AC693" t="s">
        <v>3229</v>
      </c>
    </row>
    <row r="694" spans="1:29" x14ac:dyDescent="0.25">
      <c r="A694" t="s">
        <v>727</v>
      </c>
      <c r="B694" t="s">
        <v>254</v>
      </c>
      <c r="C694" t="s">
        <v>507</v>
      </c>
      <c r="D694" t="s">
        <v>3718</v>
      </c>
      <c r="E694" t="s">
        <v>3727</v>
      </c>
      <c r="F694">
        <v>19930204</v>
      </c>
      <c r="G694" t="s">
        <v>9332</v>
      </c>
      <c r="H694" t="s">
        <v>241</v>
      </c>
      <c r="I694" t="s">
        <v>242</v>
      </c>
      <c r="J694" t="s">
        <v>242</v>
      </c>
      <c r="K694" t="s">
        <v>241</v>
      </c>
      <c r="L694" t="s">
        <v>242</v>
      </c>
      <c r="M694">
        <v>38.6149165</v>
      </c>
      <c r="N694">
        <v>-122.8298612</v>
      </c>
      <c r="O694">
        <v>0.08</v>
      </c>
      <c r="P694">
        <v>0.08</v>
      </c>
      <c r="Q694">
        <v>0.08</v>
      </c>
      <c r="R694">
        <v>0.08</v>
      </c>
      <c r="S694">
        <v>0.08</v>
      </c>
      <c r="T694">
        <v>0.08</v>
      </c>
      <c r="U694">
        <v>0.08</v>
      </c>
      <c r="V694">
        <v>0.08</v>
      </c>
      <c r="W694">
        <v>0.08</v>
      </c>
      <c r="X694">
        <v>0.08</v>
      </c>
      <c r="Y694">
        <v>0.08</v>
      </c>
      <c r="Z694">
        <v>0.08</v>
      </c>
      <c r="AA694" t="s">
        <v>9333</v>
      </c>
      <c r="AB694" t="s">
        <v>242</v>
      </c>
      <c r="AC694" t="s">
        <v>3229</v>
      </c>
    </row>
    <row r="695" spans="1:29" x14ac:dyDescent="0.25">
      <c r="A695" t="s">
        <v>729</v>
      </c>
      <c r="B695" t="s">
        <v>254</v>
      </c>
      <c r="C695" t="s">
        <v>354</v>
      </c>
      <c r="D695" t="s">
        <v>3718</v>
      </c>
      <c r="E695" t="s">
        <v>3727</v>
      </c>
      <c r="F695">
        <v>19930928</v>
      </c>
      <c r="G695" t="s">
        <v>9334</v>
      </c>
      <c r="H695" t="s">
        <v>241</v>
      </c>
      <c r="I695" t="s">
        <v>242</v>
      </c>
      <c r="J695" t="s">
        <v>242</v>
      </c>
      <c r="K695" t="s">
        <v>241</v>
      </c>
      <c r="L695" t="s">
        <v>242</v>
      </c>
      <c r="M695">
        <v>38.748801610000001</v>
      </c>
      <c r="N695">
        <v>-122.9531025</v>
      </c>
      <c r="O695">
        <v>0.05</v>
      </c>
      <c r="P695">
        <v>0.05</v>
      </c>
      <c r="Q695">
        <v>0.03</v>
      </c>
      <c r="R695">
        <v>0.01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0.03</v>
      </c>
      <c r="Y695">
        <v>0.05</v>
      </c>
      <c r="Z695">
        <v>0.05</v>
      </c>
      <c r="AA695" t="s">
        <v>9333</v>
      </c>
      <c r="AB695" t="s">
        <v>242</v>
      </c>
      <c r="AC695" t="s">
        <v>3229</v>
      </c>
    </row>
    <row r="696" spans="1:29" x14ac:dyDescent="0.25">
      <c r="A696" t="s">
        <v>719</v>
      </c>
      <c r="B696" t="s">
        <v>254</v>
      </c>
      <c r="C696" t="s">
        <v>317</v>
      </c>
      <c r="D696" t="s">
        <v>3718</v>
      </c>
      <c r="E696" t="s">
        <v>3727</v>
      </c>
      <c r="F696">
        <v>19940407</v>
      </c>
      <c r="G696" t="s">
        <v>9338</v>
      </c>
      <c r="H696" t="s">
        <v>242</v>
      </c>
      <c r="I696" t="s">
        <v>242</v>
      </c>
      <c r="J696" t="s">
        <v>242</v>
      </c>
      <c r="K696" t="s">
        <v>241</v>
      </c>
      <c r="L696" t="s">
        <v>242</v>
      </c>
      <c r="M696">
        <v>39.2515869</v>
      </c>
      <c r="N696">
        <v>-123.32397880000001</v>
      </c>
      <c r="O696">
        <v>0.1</v>
      </c>
      <c r="P696">
        <v>0.1</v>
      </c>
      <c r="Q696">
        <v>0.1</v>
      </c>
      <c r="R696">
        <v>0.1</v>
      </c>
      <c r="S696">
        <v>0.03</v>
      </c>
      <c r="T696">
        <v>0.03</v>
      </c>
      <c r="U696">
        <v>0.03</v>
      </c>
      <c r="V696">
        <v>0.03</v>
      </c>
      <c r="W696">
        <v>0.03</v>
      </c>
      <c r="X696">
        <v>0.03</v>
      </c>
      <c r="Y696">
        <v>0.1</v>
      </c>
      <c r="Z696">
        <v>0.1</v>
      </c>
      <c r="AA696" t="s">
        <v>9333</v>
      </c>
      <c r="AB696" t="s">
        <v>242</v>
      </c>
      <c r="AC696" t="s">
        <v>3213</v>
      </c>
    </row>
    <row r="697" spans="1:29" x14ac:dyDescent="0.25">
      <c r="A697" t="s">
        <v>709</v>
      </c>
      <c r="B697" t="s">
        <v>254</v>
      </c>
      <c r="C697" t="s">
        <v>317</v>
      </c>
      <c r="D697" t="s">
        <v>3718</v>
      </c>
      <c r="E697" t="s">
        <v>3727</v>
      </c>
      <c r="F697">
        <v>19950126</v>
      </c>
      <c r="G697" t="s">
        <v>9338</v>
      </c>
      <c r="H697" t="s">
        <v>242</v>
      </c>
      <c r="I697" t="s">
        <v>242</v>
      </c>
      <c r="J697" t="s">
        <v>242</v>
      </c>
      <c r="K697" t="s">
        <v>241</v>
      </c>
      <c r="L697" t="s">
        <v>242</v>
      </c>
      <c r="M697">
        <v>39.246482409999999</v>
      </c>
      <c r="N697">
        <v>-123.3094174</v>
      </c>
      <c r="O697">
        <v>0.09</v>
      </c>
      <c r="P697">
        <v>0.09</v>
      </c>
      <c r="Q697">
        <v>0.09</v>
      </c>
      <c r="R697">
        <v>0.09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0.09</v>
      </c>
      <c r="AA697" t="s">
        <v>9333</v>
      </c>
      <c r="AB697" t="s">
        <v>242</v>
      </c>
      <c r="AC697" t="s">
        <v>3213</v>
      </c>
    </row>
    <row r="698" spans="1:29" x14ac:dyDescent="0.25">
      <c r="A698" t="s">
        <v>672</v>
      </c>
      <c r="B698" t="s">
        <v>254</v>
      </c>
      <c r="C698" t="s">
        <v>308</v>
      </c>
      <c r="D698" t="s">
        <v>3718</v>
      </c>
      <c r="E698" t="s">
        <v>3727</v>
      </c>
      <c r="F698">
        <v>19980522</v>
      </c>
      <c r="G698" t="s">
        <v>9334</v>
      </c>
      <c r="H698" t="s">
        <v>242</v>
      </c>
      <c r="I698" t="s">
        <v>242</v>
      </c>
      <c r="J698" t="s">
        <v>242</v>
      </c>
      <c r="K698" t="s">
        <v>241</v>
      </c>
      <c r="L698" t="s">
        <v>242</v>
      </c>
      <c r="M698">
        <v>38.67859455</v>
      </c>
      <c r="N698">
        <v>-122.6633271</v>
      </c>
      <c r="O698">
        <v>1.5345000000000001E-3</v>
      </c>
      <c r="P698">
        <v>1.5345000000000001E-3</v>
      </c>
      <c r="Q698">
        <v>1.5345000000000001E-3</v>
      </c>
      <c r="R698">
        <v>1.5345000000000001E-3</v>
      </c>
      <c r="S698">
        <v>1.5345000000000001E-3</v>
      </c>
      <c r="T698">
        <v>1.5345000000000001E-3</v>
      </c>
      <c r="U698">
        <v>1.5345000000000001E-3</v>
      </c>
      <c r="V698">
        <v>1.5345000000000001E-3</v>
      </c>
      <c r="W698">
        <v>1.5345000000000001E-3</v>
      </c>
      <c r="X698">
        <v>1.5345000000000001E-3</v>
      </c>
      <c r="Y698">
        <v>1.5345000000000001E-3</v>
      </c>
      <c r="Z698">
        <v>1.5345000000000001E-3</v>
      </c>
      <c r="AA698" t="s">
        <v>9333</v>
      </c>
      <c r="AB698" t="s">
        <v>242</v>
      </c>
      <c r="AC698" t="s">
        <v>3229</v>
      </c>
    </row>
    <row r="699" spans="1:29" x14ac:dyDescent="0.25">
      <c r="A699" t="s">
        <v>673</v>
      </c>
      <c r="B699" t="s">
        <v>254</v>
      </c>
      <c r="C699" t="s">
        <v>311</v>
      </c>
      <c r="D699" t="s">
        <v>3718</v>
      </c>
      <c r="E699" t="s">
        <v>3727</v>
      </c>
      <c r="F699">
        <v>19980225</v>
      </c>
      <c r="G699" t="s">
        <v>9334</v>
      </c>
      <c r="H699" t="s">
        <v>242</v>
      </c>
      <c r="I699" t="s">
        <v>242</v>
      </c>
      <c r="J699" t="s">
        <v>242</v>
      </c>
      <c r="K699" t="s">
        <v>241</v>
      </c>
      <c r="L699" t="s">
        <v>242</v>
      </c>
      <c r="M699">
        <v>38.619399710000003</v>
      </c>
      <c r="N699">
        <v>-122.7564077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 t="s">
        <v>9333</v>
      </c>
      <c r="AB699" t="s">
        <v>242</v>
      </c>
      <c r="AC699" t="s">
        <v>3229</v>
      </c>
    </row>
    <row r="700" spans="1:29" x14ac:dyDescent="0.25">
      <c r="A700" t="s">
        <v>357</v>
      </c>
      <c r="B700" t="s">
        <v>254</v>
      </c>
      <c r="C700" t="s">
        <v>308</v>
      </c>
      <c r="D700" t="s">
        <v>3718</v>
      </c>
      <c r="E700" t="s">
        <v>3727</v>
      </c>
      <c r="F700">
        <v>20181029</v>
      </c>
      <c r="G700" t="s">
        <v>9338</v>
      </c>
      <c r="H700" t="s">
        <v>242</v>
      </c>
      <c r="I700" t="s">
        <v>242</v>
      </c>
      <c r="J700" t="s">
        <v>242</v>
      </c>
      <c r="K700" t="s">
        <v>241</v>
      </c>
      <c r="L700" t="s">
        <v>242</v>
      </c>
      <c r="M700">
        <v>38.6419</v>
      </c>
      <c r="N700">
        <v>-122.6421</v>
      </c>
      <c r="O700">
        <v>0.31</v>
      </c>
      <c r="P700">
        <v>0.2</v>
      </c>
      <c r="Q700">
        <v>0.43</v>
      </c>
      <c r="R700">
        <v>0.4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5.13</v>
      </c>
      <c r="Z700">
        <v>0.4</v>
      </c>
      <c r="AA700" t="s">
        <v>9333</v>
      </c>
      <c r="AB700" t="s">
        <v>242</v>
      </c>
      <c r="AC700" t="s">
        <v>3229</v>
      </c>
    </row>
    <row r="701" spans="1:29" x14ac:dyDescent="0.25">
      <c r="A701" t="s">
        <v>674</v>
      </c>
      <c r="B701" t="s">
        <v>254</v>
      </c>
      <c r="C701" t="s">
        <v>311</v>
      </c>
      <c r="D701" t="s">
        <v>3718</v>
      </c>
      <c r="E701" t="s">
        <v>3727</v>
      </c>
      <c r="F701">
        <v>19980225</v>
      </c>
      <c r="G701" t="s">
        <v>9334</v>
      </c>
      <c r="H701" t="s">
        <v>242</v>
      </c>
      <c r="I701" t="s">
        <v>242</v>
      </c>
      <c r="J701" t="s">
        <v>242</v>
      </c>
      <c r="K701" t="s">
        <v>241</v>
      </c>
      <c r="L701" t="s">
        <v>242</v>
      </c>
      <c r="M701">
        <v>38.60715914</v>
      </c>
      <c r="N701">
        <v>-122.75960259999999</v>
      </c>
      <c r="O701">
        <v>0.03</v>
      </c>
      <c r="P701">
        <v>0.93</v>
      </c>
      <c r="Q701">
        <v>0.1</v>
      </c>
      <c r="R701">
        <v>0.36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0.56000000000000005</v>
      </c>
      <c r="Z701">
        <v>0.46</v>
      </c>
      <c r="AA701" t="s">
        <v>9333</v>
      </c>
      <c r="AB701" t="s">
        <v>242</v>
      </c>
      <c r="AC701" t="s">
        <v>3229</v>
      </c>
    </row>
    <row r="702" spans="1:29" x14ac:dyDescent="0.25">
      <c r="A702" t="s">
        <v>675</v>
      </c>
      <c r="B702" t="s">
        <v>254</v>
      </c>
      <c r="C702" t="s">
        <v>311</v>
      </c>
      <c r="D702" t="s">
        <v>3718</v>
      </c>
      <c r="E702" t="s">
        <v>3727</v>
      </c>
      <c r="F702">
        <v>19980223</v>
      </c>
      <c r="G702" t="s">
        <v>9334</v>
      </c>
      <c r="H702" t="s">
        <v>242</v>
      </c>
      <c r="I702" t="s">
        <v>242</v>
      </c>
      <c r="J702" t="s">
        <v>242</v>
      </c>
      <c r="K702" t="s">
        <v>241</v>
      </c>
      <c r="L702" t="s">
        <v>242</v>
      </c>
      <c r="M702">
        <v>38.619</v>
      </c>
      <c r="N702">
        <v>-122.6537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 t="s">
        <v>9333</v>
      </c>
      <c r="AB702" t="s">
        <v>242</v>
      </c>
      <c r="AC702" t="s">
        <v>3229</v>
      </c>
    </row>
    <row r="703" spans="1:29" x14ac:dyDescent="0.25">
      <c r="A703" t="s">
        <v>676</v>
      </c>
      <c r="B703" t="s">
        <v>254</v>
      </c>
      <c r="C703" t="s">
        <v>308</v>
      </c>
      <c r="D703" t="s">
        <v>3718</v>
      </c>
      <c r="E703" t="s">
        <v>3727</v>
      </c>
      <c r="F703">
        <v>19980904</v>
      </c>
      <c r="G703" t="s">
        <v>9338</v>
      </c>
      <c r="H703" t="s">
        <v>242</v>
      </c>
      <c r="I703" t="s">
        <v>242</v>
      </c>
      <c r="J703" t="s">
        <v>242</v>
      </c>
      <c r="K703" t="s">
        <v>241</v>
      </c>
      <c r="L703" t="s">
        <v>242</v>
      </c>
      <c r="M703">
        <v>38.690364469999999</v>
      </c>
      <c r="N703">
        <v>-122.66991849999999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 t="s">
        <v>9333</v>
      </c>
      <c r="AB703" t="s">
        <v>242</v>
      </c>
      <c r="AC703" t="s">
        <v>3229</v>
      </c>
    </row>
    <row r="704" spans="1:29" x14ac:dyDescent="0.25">
      <c r="A704" t="s">
        <v>677</v>
      </c>
      <c r="B704" t="s">
        <v>254</v>
      </c>
      <c r="C704" t="s">
        <v>311</v>
      </c>
      <c r="D704" t="s">
        <v>3718</v>
      </c>
      <c r="E704" t="s">
        <v>3727</v>
      </c>
      <c r="F704">
        <v>19980825</v>
      </c>
      <c r="G704" t="s">
        <v>9338</v>
      </c>
      <c r="H704" t="s">
        <v>242</v>
      </c>
      <c r="I704" t="s">
        <v>242</v>
      </c>
      <c r="J704" t="s">
        <v>242</v>
      </c>
      <c r="K704" t="s">
        <v>241</v>
      </c>
      <c r="L704" t="s">
        <v>242</v>
      </c>
      <c r="M704">
        <v>38.577893889999999</v>
      </c>
      <c r="N704">
        <v>-122.6497979</v>
      </c>
      <c r="O704">
        <v>0.13</v>
      </c>
      <c r="P704">
        <v>0.1</v>
      </c>
      <c r="Q704">
        <v>0.13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0.1</v>
      </c>
      <c r="Z704">
        <v>0.2</v>
      </c>
      <c r="AA704" t="s">
        <v>9333</v>
      </c>
      <c r="AB704" t="s">
        <v>242</v>
      </c>
      <c r="AC704" t="s">
        <v>3229</v>
      </c>
    </row>
    <row r="705" spans="1:29" x14ac:dyDescent="0.25">
      <c r="A705" t="s">
        <v>678</v>
      </c>
      <c r="B705" t="s">
        <v>254</v>
      </c>
      <c r="C705" t="s">
        <v>311</v>
      </c>
      <c r="D705" t="s">
        <v>3718</v>
      </c>
      <c r="E705" t="s">
        <v>3727</v>
      </c>
      <c r="F705">
        <v>19980326</v>
      </c>
      <c r="G705" t="s">
        <v>9338</v>
      </c>
      <c r="H705" t="s">
        <v>242</v>
      </c>
      <c r="I705" t="s">
        <v>242</v>
      </c>
      <c r="J705" t="s">
        <v>242</v>
      </c>
      <c r="K705" t="s">
        <v>241</v>
      </c>
      <c r="L705" t="s">
        <v>242</v>
      </c>
      <c r="M705">
        <v>38.605400000000003</v>
      </c>
      <c r="N705">
        <v>-122.7683</v>
      </c>
      <c r="O705">
        <v>1.25</v>
      </c>
      <c r="P705">
        <v>1.25</v>
      </c>
      <c r="Q705">
        <v>1.25</v>
      </c>
      <c r="R705">
        <v>1.25</v>
      </c>
      <c r="S705">
        <v>1.25</v>
      </c>
      <c r="T705">
        <v>0</v>
      </c>
      <c r="U705">
        <v>0</v>
      </c>
      <c r="V705">
        <v>0</v>
      </c>
      <c r="W705">
        <v>0</v>
      </c>
      <c r="X705">
        <v>1.25</v>
      </c>
      <c r="Y705">
        <v>1.25</v>
      </c>
      <c r="Z705">
        <v>1.25</v>
      </c>
      <c r="AA705" t="s">
        <v>9333</v>
      </c>
      <c r="AB705" t="s">
        <v>242</v>
      </c>
      <c r="AC705" t="s">
        <v>3229</v>
      </c>
    </row>
    <row r="706" spans="1:29" x14ac:dyDescent="0.25">
      <c r="A706" t="s">
        <v>641</v>
      </c>
      <c r="B706" t="s">
        <v>254</v>
      </c>
      <c r="C706" t="s">
        <v>319</v>
      </c>
      <c r="D706" t="s">
        <v>3718</v>
      </c>
      <c r="E706" t="s">
        <v>3727</v>
      </c>
      <c r="F706">
        <v>19990112</v>
      </c>
      <c r="G706" t="s">
        <v>9334</v>
      </c>
      <c r="H706" t="s">
        <v>242</v>
      </c>
      <c r="I706" t="s">
        <v>242</v>
      </c>
      <c r="J706" t="s">
        <v>242</v>
      </c>
      <c r="K706" t="s">
        <v>241</v>
      </c>
      <c r="L706" t="s">
        <v>242</v>
      </c>
      <c r="M706">
        <v>38.940561170000002</v>
      </c>
      <c r="N706">
        <v>-123.11284689999999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 t="s">
        <v>9333</v>
      </c>
      <c r="AB706" t="s">
        <v>242</v>
      </c>
      <c r="AC706" t="s">
        <v>3213</v>
      </c>
    </row>
    <row r="707" spans="1:29" x14ac:dyDescent="0.25">
      <c r="A707" t="s">
        <v>679</v>
      </c>
      <c r="B707" t="s">
        <v>254</v>
      </c>
      <c r="C707" t="s">
        <v>311</v>
      </c>
      <c r="D707" t="s">
        <v>3718</v>
      </c>
      <c r="E707" t="s">
        <v>3727</v>
      </c>
      <c r="F707">
        <v>19980316</v>
      </c>
      <c r="G707" t="s">
        <v>9334</v>
      </c>
      <c r="H707" t="s">
        <v>242</v>
      </c>
      <c r="I707" t="s">
        <v>242</v>
      </c>
      <c r="J707" t="s">
        <v>242</v>
      </c>
      <c r="K707" t="s">
        <v>241</v>
      </c>
      <c r="L707" t="s">
        <v>242</v>
      </c>
      <c r="M707">
        <v>38.5687</v>
      </c>
      <c r="N707">
        <v>-122.64490000000001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 t="s">
        <v>9333</v>
      </c>
      <c r="AB707" t="s">
        <v>242</v>
      </c>
      <c r="AC707" t="s">
        <v>3229</v>
      </c>
    </row>
    <row r="708" spans="1:29" x14ac:dyDescent="0.25">
      <c r="A708" t="s">
        <v>642</v>
      </c>
      <c r="B708" t="s">
        <v>254</v>
      </c>
      <c r="C708" t="s">
        <v>311</v>
      </c>
      <c r="D708" t="s">
        <v>3718</v>
      </c>
      <c r="E708" t="s">
        <v>3727</v>
      </c>
      <c r="F708">
        <v>19990407</v>
      </c>
      <c r="G708" t="s">
        <v>9334</v>
      </c>
      <c r="H708" t="s">
        <v>242</v>
      </c>
      <c r="I708" t="s">
        <v>242</v>
      </c>
      <c r="J708" t="s">
        <v>242</v>
      </c>
      <c r="K708" t="s">
        <v>241</v>
      </c>
      <c r="L708" t="s">
        <v>242</v>
      </c>
      <c r="M708">
        <v>38.567399999999999</v>
      </c>
      <c r="N708">
        <v>-122.64790000000001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 t="s">
        <v>9333</v>
      </c>
      <c r="AB708" t="s">
        <v>242</v>
      </c>
      <c r="AC708" t="s">
        <v>3229</v>
      </c>
    </row>
    <row r="709" spans="1:29" x14ac:dyDescent="0.25">
      <c r="A709" t="s">
        <v>680</v>
      </c>
      <c r="B709" t="s">
        <v>254</v>
      </c>
      <c r="C709" t="s">
        <v>311</v>
      </c>
      <c r="D709" t="s">
        <v>3718</v>
      </c>
      <c r="E709" t="s">
        <v>3727</v>
      </c>
      <c r="F709">
        <v>19980818</v>
      </c>
      <c r="G709" t="s">
        <v>9334</v>
      </c>
      <c r="H709" t="s">
        <v>242</v>
      </c>
      <c r="I709" t="s">
        <v>242</v>
      </c>
      <c r="J709" t="s">
        <v>242</v>
      </c>
      <c r="K709" t="s">
        <v>241</v>
      </c>
      <c r="L709" t="s">
        <v>242</v>
      </c>
      <c r="M709">
        <v>38.605146949999998</v>
      </c>
      <c r="N709">
        <v>-122.76993280000001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 t="s">
        <v>9333</v>
      </c>
      <c r="AB709" t="s">
        <v>242</v>
      </c>
      <c r="AC709" t="s">
        <v>3229</v>
      </c>
    </row>
    <row r="710" spans="1:29" x14ac:dyDescent="0.25">
      <c r="A710" t="s">
        <v>681</v>
      </c>
      <c r="B710" t="s">
        <v>254</v>
      </c>
      <c r="C710" t="s">
        <v>308</v>
      </c>
      <c r="D710" t="s">
        <v>3718</v>
      </c>
      <c r="E710" t="s">
        <v>3727</v>
      </c>
      <c r="F710">
        <v>19980917</v>
      </c>
      <c r="G710" t="s">
        <v>9334</v>
      </c>
      <c r="H710" t="s">
        <v>242</v>
      </c>
      <c r="I710" t="s">
        <v>242</v>
      </c>
      <c r="J710" t="s">
        <v>242</v>
      </c>
      <c r="K710" t="s">
        <v>241</v>
      </c>
      <c r="L710" t="s">
        <v>242</v>
      </c>
      <c r="M710">
        <v>38.656095759999999</v>
      </c>
      <c r="N710">
        <v>-122.7291311</v>
      </c>
      <c r="O710">
        <v>6.3666670000000003E-3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6.4000000000000003E-3</v>
      </c>
      <c r="Z710">
        <v>0.14000000000000001</v>
      </c>
      <c r="AA710" t="s">
        <v>9333</v>
      </c>
      <c r="AB710" t="s">
        <v>242</v>
      </c>
      <c r="AC710" t="s">
        <v>3229</v>
      </c>
    </row>
    <row r="711" spans="1:29" x14ac:dyDescent="0.25">
      <c r="A711" t="s">
        <v>643</v>
      </c>
      <c r="B711" t="s">
        <v>254</v>
      </c>
      <c r="C711" t="s">
        <v>311</v>
      </c>
      <c r="D711" t="s">
        <v>3718</v>
      </c>
      <c r="E711" t="s">
        <v>3727</v>
      </c>
      <c r="F711">
        <v>19990414</v>
      </c>
      <c r="G711" t="s">
        <v>9334</v>
      </c>
      <c r="H711" t="s">
        <v>242</v>
      </c>
      <c r="I711" t="s">
        <v>242</v>
      </c>
      <c r="J711" t="s">
        <v>242</v>
      </c>
      <c r="K711" t="s">
        <v>241</v>
      </c>
      <c r="L711" t="s">
        <v>242</v>
      </c>
      <c r="M711">
        <v>38.582447870000003</v>
      </c>
      <c r="N711">
        <v>-122.697428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 t="s">
        <v>9333</v>
      </c>
      <c r="AB711" t="s">
        <v>242</v>
      </c>
      <c r="AC711" t="s">
        <v>3229</v>
      </c>
    </row>
    <row r="712" spans="1:29" x14ac:dyDescent="0.25">
      <c r="A712" t="s">
        <v>644</v>
      </c>
      <c r="B712" t="s">
        <v>254</v>
      </c>
      <c r="C712" t="s">
        <v>317</v>
      </c>
      <c r="D712" t="s">
        <v>3718</v>
      </c>
      <c r="E712" t="s">
        <v>3727</v>
      </c>
      <c r="F712">
        <v>19990806</v>
      </c>
      <c r="G712" t="s">
        <v>9334</v>
      </c>
      <c r="H712" t="s">
        <v>242</v>
      </c>
      <c r="I712" t="s">
        <v>242</v>
      </c>
      <c r="J712" t="s">
        <v>242</v>
      </c>
      <c r="K712" t="s">
        <v>241</v>
      </c>
      <c r="L712" t="s">
        <v>242</v>
      </c>
      <c r="M712">
        <v>39.244117240000001</v>
      </c>
      <c r="N712">
        <v>-123.3121987</v>
      </c>
      <c r="O712">
        <v>0.18</v>
      </c>
      <c r="P712">
        <v>0.17</v>
      </c>
      <c r="Q712">
        <v>0.13</v>
      </c>
      <c r="R712">
        <v>0.01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7.0000000000000007E-2</v>
      </c>
      <c r="Y712">
        <v>0.17</v>
      </c>
      <c r="Z712">
        <v>0.2</v>
      </c>
      <c r="AA712" t="s">
        <v>9333</v>
      </c>
      <c r="AB712" t="s">
        <v>241</v>
      </c>
      <c r="AC712" t="s">
        <v>3213</v>
      </c>
    </row>
    <row r="713" spans="1:29" x14ac:dyDescent="0.25">
      <c r="A713" t="s">
        <v>645</v>
      </c>
      <c r="B713" t="s">
        <v>254</v>
      </c>
      <c r="C713" t="s">
        <v>317</v>
      </c>
      <c r="D713" t="s">
        <v>3718</v>
      </c>
      <c r="E713" t="s">
        <v>3727</v>
      </c>
      <c r="F713">
        <v>19991122</v>
      </c>
      <c r="G713" t="s">
        <v>9338</v>
      </c>
      <c r="H713" t="s">
        <v>242</v>
      </c>
      <c r="I713" t="s">
        <v>242</v>
      </c>
      <c r="J713" t="s">
        <v>242</v>
      </c>
      <c r="K713" t="s">
        <v>241</v>
      </c>
      <c r="L713" t="s">
        <v>242</v>
      </c>
      <c r="M713">
        <v>39.278562999999998</v>
      </c>
      <c r="N713">
        <v>-123.1711627</v>
      </c>
      <c r="O713">
        <v>0</v>
      </c>
      <c r="P713">
        <v>0</v>
      </c>
      <c r="Q713">
        <v>0</v>
      </c>
      <c r="R713">
        <v>0.33</v>
      </c>
      <c r="S713">
        <v>0.33</v>
      </c>
      <c r="T713">
        <v>0.33</v>
      </c>
      <c r="U713">
        <v>0.33</v>
      </c>
      <c r="V713">
        <v>0.33</v>
      </c>
      <c r="W713">
        <v>0.33</v>
      </c>
      <c r="X713">
        <v>0.33</v>
      </c>
      <c r="Y713">
        <v>0</v>
      </c>
      <c r="Z713">
        <v>0</v>
      </c>
      <c r="AA713" t="s">
        <v>9333</v>
      </c>
      <c r="AB713" t="s">
        <v>242</v>
      </c>
      <c r="AC713" t="s">
        <v>3213</v>
      </c>
    </row>
    <row r="714" spans="1:29" x14ac:dyDescent="0.25">
      <c r="A714" t="s">
        <v>646</v>
      </c>
      <c r="B714" t="s">
        <v>254</v>
      </c>
      <c r="C714" t="s">
        <v>308</v>
      </c>
      <c r="D714" t="s">
        <v>3718</v>
      </c>
      <c r="E714" t="s">
        <v>3727</v>
      </c>
      <c r="F714">
        <v>19990617</v>
      </c>
      <c r="G714" t="s">
        <v>9334</v>
      </c>
      <c r="H714" t="s">
        <v>242</v>
      </c>
      <c r="I714" t="s">
        <v>242</v>
      </c>
      <c r="J714" t="s">
        <v>242</v>
      </c>
      <c r="K714" t="s">
        <v>241</v>
      </c>
      <c r="L714" t="s">
        <v>242</v>
      </c>
      <c r="M714">
        <v>38.684100000000001</v>
      </c>
      <c r="N714">
        <v>-122.6571</v>
      </c>
      <c r="O714">
        <v>0.4</v>
      </c>
      <c r="P714">
        <v>0.38</v>
      </c>
      <c r="Q714">
        <v>0.26</v>
      </c>
      <c r="R714">
        <v>0.47</v>
      </c>
      <c r="S714">
        <v>0.25</v>
      </c>
      <c r="T714">
        <v>0.27</v>
      </c>
      <c r="U714">
        <v>0.33</v>
      </c>
      <c r="V714">
        <v>0.39</v>
      </c>
      <c r="W714">
        <v>0.37</v>
      </c>
      <c r="X714">
        <v>0.28000000000000003</v>
      </c>
      <c r="Y714">
        <v>0.23</v>
      </c>
      <c r="Z714">
        <v>0.23</v>
      </c>
      <c r="AA714" t="s">
        <v>9333</v>
      </c>
      <c r="AB714" t="s">
        <v>242</v>
      </c>
      <c r="AC714" t="s">
        <v>3229</v>
      </c>
    </row>
    <row r="715" spans="1:29" x14ac:dyDescent="0.25">
      <c r="A715" t="s">
        <v>622</v>
      </c>
      <c r="B715" t="s">
        <v>254</v>
      </c>
      <c r="C715" t="s">
        <v>333</v>
      </c>
      <c r="D715" t="s">
        <v>3718</v>
      </c>
      <c r="E715" t="s">
        <v>3727</v>
      </c>
      <c r="F715">
        <v>20000830</v>
      </c>
      <c r="G715" t="s">
        <v>9338</v>
      </c>
      <c r="H715" t="s">
        <v>242</v>
      </c>
      <c r="I715" t="s">
        <v>242</v>
      </c>
      <c r="J715" t="s">
        <v>242</v>
      </c>
      <c r="K715" t="s">
        <v>241</v>
      </c>
      <c r="L715" t="s">
        <v>242</v>
      </c>
      <c r="M715">
        <v>39.032463380000003</v>
      </c>
      <c r="N715">
        <v>-123.1776622</v>
      </c>
      <c r="O715">
        <v>0.6</v>
      </c>
      <c r="P715">
        <v>0.6</v>
      </c>
      <c r="Q715">
        <v>0.3</v>
      </c>
      <c r="R715">
        <v>0.13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0.06</v>
      </c>
      <c r="Z715">
        <v>0.4</v>
      </c>
      <c r="AA715" t="s">
        <v>9333</v>
      </c>
      <c r="AB715" t="s">
        <v>242</v>
      </c>
      <c r="AC715" t="s">
        <v>3213</v>
      </c>
    </row>
    <row r="716" spans="1:29" x14ac:dyDescent="0.25">
      <c r="A716" t="s">
        <v>606</v>
      </c>
      <c r="B716" t="s">
        <v>254</v>
      </c>
      <c r="C716" t="s">
        <v>436</v>
      </c>
      <c r="D716" t="s">
        <v>3718</v>
      </c>
      <c r="E716" t="s">
        <v>3727</v>
      </c>
      <c r="F716">
        <v>20010201</v>
      </c>
      <c r="G716" t="s">
        <v>9338</v>
      </c>
      <c r="H716" t="s">
        <v>241</v>
      </c>
      <c r="I716" t="s">
        <v>242</v>
      </c>
      <c r="J716" t="s">
        <v>242</v>
      </c>
      <c r="K716" t="s">
        <v>241</v>
      </c>
      <c r="L716" t="s">
        <v>242</v>
      </c>
      <c r="M716">
        <v>38.684798309999998</v>
      </c>
      <c r="N716">
        <v>-122.87357179999999</v>
      </c>
      <c r="O716">
        <v>4.16</v>
      </c>
      <c r="P716">
        <v>0.93</v>
      </c>
      <c r="Q716">
        <v>0.13</v>
      </c>
      <c r="R716">
        <v>0.73</v>
      </c>
      <c r="S716">
        <v>0.5</v>
      </c>
      <c r="T716">
        <v>0</v>
      </c>
      <c r="U716">
        <v>0</v>
      </c>
      <c r="V716">
        <v>0</v>
      </c>
      <c r="W716">
        <v>0</v>
      </c>
      <c r="X716">
        <v>0.16</v>
      </c>
      <c r="Y716">
        <v>1.3</v>
      </c>
      <c r="Z716">
        <v>1.5</v>
      </c>
      <c r="AA716" t="s">
        <v>9333</v>
      </c>
      <c r="AB716" t="s">
        <v>242</v>
      </c>
      <c r="AC716" t="s">
        <v>3229</v>
      </c>
    </row>
    <row r="717" spans="1:29" x14ac:dyDescent="0.25">
      <c r="A717" t="s">
        <v>583</v>
      </c>
      <c r="B717" t="s">
        <v>254</v>
      </c>
      <c r="C717" t="s">
        <v>308</v>
      </c>
      <c r="D717" t="s">
        <v>3718</v>
      </c>
      <c r="E717" t="s">
        <v>3727</v>
      </c>
      <c r="F717">
        <v>20020502</v>
      </c>
      <c r="G717" t="s">
        <v>9338</v>
      </c>
      <c r="H717" t="s">
        <v>242</v>
      </c>
      <c r="I717" t="s">
        <v>242</v>
      </c>
      <c r="J717" t="s">
        <v>242</v>
      </c>
      <c r="K717" t="s">
        <v>241</v>
      </c>
      <c r="L717" t="s">
        <v>242</v>
      </c>
      <c r="M717">
        <v>38.653412400000001</v>
      </c>
      <c r="N717">
        <v>-122.7248208</v>
      </c>
      <c r="O717">
        <v>0.45</v>
      </c>
      <c r="P717">
        <v>0</v>
      </c>
      <c r="Q717">
        <v>0</v>
      </c>
      <c r="R717">
        <v>6.6666670000000003E-3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0.18</v>
      </c>
      <c r="Z717">
        <v>0.4</v>
      </c>
      <c r="AA717" t="s">
        <v>9333</v>
      </c>
      <c r="AB717" t="s">
        <v>242</v>
      </c>
      <c r="AC717" t="s">
        <v>3229</v>
      </c>
    </row>
    <row r="718" spans="1:29" x14ac:dyDescent="0.25">
      <c r="A718" t="s">
        <v>574</v>
      </c>
      <c r="B718" t="s">
        <v>254</v>
      </c>
      <c r="C718" t="s">
        <v>348</v>
      </c>
      <c r="D718" t="s">
        <v>3718</v>
      </c>
      <c r="E718" t="s">
        <v>3727</v>
      </c>
      <c r="F718">
        <v>20021216</v>
      </c>
      <c r="G718" t="s">
        <v>9338</v>
      </c>
      <c r="H718" t="s">
        <v>242</v>
      </c>
      <c r="I718" t="s">
        <v>242</v>
      </c>
      <c r="J718" t="s">
        <v>242</v>
      </c>
      <c r="K718" t="s">
        <v>241</v>
      </c>
      <c r="L718" t="s">
        <v>242</v>
      </c>
      <c r="M718">
        <v>39.30156968</v>
      </c>
      <c r="N718">
        <v>-123.0874768</v>
      </c>
      <c r="O718">
        <v>2.66</v>
      </c>
      <c r="P718">
        <v>2.33</v>
      </c>
      <c r="Q718">
        <v>1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0.33</v>
      </c>
      <c r="Z718">
        <v>1.66</v>
      </c>
      <c r="AA718" t="s">
        <v>9333</v>
      </c>
      <c r="AB718" t="s">
        <v>242</v>
      </c>
      <c r="AC718" t="s">
        <v>3213</v>
      </c>
    </row>
    <row r="719" spans="1:29" x14ac:dyDescent="0.25">
      <c r="A719" t="s">
        <v>586</v>
      </c>
      <c r="B719" t="s">
        <v>254</v>
      </c>
      <c r="C719" t="s">
        <v>319</v>
      </c>
      <c r="D719" t="s">
        <v>3718</v>
      </c>
      <c r="E719" t="s">
        <v>3727</v>
      </c>
      <c r="F719">
        <v>20021226</v>
      </c>
      <c r="G719" t="s">
        <v>9338</v>
      </c>
      <c r="H719" t="s">
        <v>241</v>
      </c>
      <c r="I719" t="s">
        <v>242</v>
      </c>
      <c r="J719" t="s">
        <v>242</v>
      </c>
      <c r="K719" t="s">
        <v>241</v>
      </c>
      <c r="L719" t="s">
        <v>242</v>
      </c>
      <c r="M719">
        <v>38.960983249999998</v>
      </c>
      <c r="N719">
        <v>-123.102675</v>
      </c>
      <c r="O719">
        <v>0.04</v>
      </c>
      <c r="P719">
        <v>0.04</v>
      </c>
      <c r="Q719">
        <v>0.04</v>
      </c>
      <c r="R719">
        <v>0.04</v>
      </c>
      <c r="S719">
        <v>0.04</v>
      </c>
      <c r="T719">
        <v>0.04</v>
      </c>
      <c r="U719">
        <v>0.04</v>
      </c>
      <c r="V719">
        <v>0.04</v>
      </c>
      <c r="W719">
        <v>0.04</v>
      </c>
      <c r="X719">
        <v>0.04</v>
      </c>
      <c r="Y719">
        <v>0.04</v>
      </c>
      <c r="Z719">
        <v>0.04</v>
      </c>
      <c r="AA719" t="s">
        <v>9333</v>
      </c>
      <c r="AB719" t="s">
        <v>242</v>
      </c>
      <c r="AC719" t="s">
        <v>3213</v>
      </c>
    </row>
    <row r="720" spans="1:29" x14ac:dyDescent="0.25">
      <c r="A720" t="s">
        <v>587</v>
      </c>
      <c r="B720" t="s">
        <v>254</v>
      </c>
      <c r="C720" t="s">
        <v>311</v>
      </c>
      <c r="D720" t="s">
        <v>3718</v>
      </c>
      <c r="E720" t="s">
        <v>3727</v>
      </c>
      <c r="F720">
        <v>20021016</v>
      </c>
      <c r="G720" t="s">
        <v>9334</v>
      </c>
      <c r="H720" t="s">
        <v>242</v>
      </c>
      <c r="I720" t="s">
        <v>242</v>
      </c>
      <c r="J720" t="s">
        <v>242</v>
      </c>
      <c r="K720" t="s">
        <v>241</v>
      </c>
      <c r="L720" t="s">
        <v>242</v>
      </c>
      <c r="M720">
        <v>38.595300000000002</v>
      </c>
      <c r="N720">
        <v>-122.7906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2.5299999999999998</v>
      </c>
      <c r="Z720">
        <v>0</v>
      </c>
      <c r="AA720" t="s">
        <v>9333</v>
      </c>
      <c r="AB720" t="s">
        <v>242</v>
      </c>
      <c r="AC720" t="s">
        <v>3229</v>
      </c>
    </row>
    <row r="721" spans="1:29" x14ac:dyDescent="0.25">
      <c r="A721" t="s">
        <v>588</v>
      </c>
      <c r="B721" t="s">
        <v>254</v>
      </c>
      <c r="C721" t="s">
        <v>331</v>
      </c>
      <c r="D721" t="s">
        <v>3718</v>
      </c>
      <c r="E721" t="s">
        <v>3727</v>
      </c>
      <c r="F721">
        <v>20021223</v>
      </c>
      <c r="G721" t="s">
        <v>9334</v>
      </c>
      <c r="H721" t="s">
        <v>242</v>
      </c>
      <c r="I721" t="s">
        <v>242</v>
      </c>
      <c r="J721" t="s">
        <v>242</v>
      </c>
      <c r="K721" t="s">
        <v>241</v>
      </c>
      <c r="L721" t="s">
        <v>242</v>
      </c>
      <c r="M721">
        <v>39.204275359999997</v>
      </c>
      <c r="N721">
        <v>-123.29527779999999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 t="s">
        <v>9333</v>
      </c>
      <c r="AB721" t="s">
        <v>242</v>
      </c>
      <c r="AC721" t="s">
        <v>3213</v>
      </c>
    </row>
    <row r="722" spans="1:29" x14ac:dyDescent="0.25">
      <c r="A722" t="s">
        <v>557</v>
      </c>
      <c r="B722" t="s">
        <v>254</v>
      </c>
      <c r="C722" t="s">
        <v>317</v>
      </c>
      <c r="D722" t="s">
        <v>3718</v>
      </c>
      <c r="E722" t="s">
        <v>3727</v>
      </c>
      <c r="F722">
        <v>20030213</v>
      </c>
      <c r="G722" t="s">
        <v>9334</v>
      </c>
      <c r="H722" t="s">
        <v>242</v>
      </c>
      <c r="I722" t="s">
        <v>242</v>
      </c>
      <c r="J722" t="s">
        <v>242</v>
      </c>
      <c r="K722" t="s">
        <v>241</v>
      </c>
      <c r="L722" t="s">
        <v>242</v>
      </c>
      <c r="M722">
        <v>39.258070920000002</v>
      </c>
      <c r="N722">
        <v>-123.17607510000001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7.4</v>
      </c>
      <c r="Z722">
        <v>0.66</v>
      </c>
      <c r="AA722" t="s">
        <v>9333</v>
      </c>
      <c r="AB722" t="s">
        <v>242</v>
      </c>
      <c r="AC722" t="s">
        <v>3213</v>
      </c>
    </row>
    <row r="723" spans="1:29" x14ac:dyDescent="0.25">
      <c r="A723" t="s">
        <v>558</v>
      </c>
      <c r="B723" t="s">
        <v>254</v>
      </c>
      <c r="C723" t="s">
        <v>308</v>
      </c>
      <c r="D723" t="s">
        <v>3718</v>
      </c>
      <c r="E723" t="s">
        <v>3727</v>
      </c>
      <c r="F723">
        <v>20030403</v>
      </c>
      <c r="G723" t="s">
        <v>9334</v>
      </c>
      <c r="H723" t="s">
        <v>242</v>
      </c>
      <c r="I723" t="s">
        <v>242</v>
      </c>
      <c r="J723" t="s">
        <v>242</v>
      </c>
      <c r="K723" t="s">
        <v>241</v>
      </c>
      <c r="L723" t="s">
        <v>242</v>
      </c>
      <c r="M723">
        <v>38.660299999999999</v>
      </c>
      <c r="N723">
        <v>-122.7289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1.1000000000000001</v>
      </c>
      <c r="Z723">
        <v>0</v>
      </c>
      <c r="AA723" t="s">
        <v>9333</v>
      </c>
      <c r="AB723" t="s">
        <v>242</v>
      </c>
      <c r="AC723" t="s">
        <v>3229</v>
      </c>
    </row>
    <row r="724" spans="1:29" x14ac:dyDescent="0.25">
      <c r="A724" t="s">
        <v>559</v>
      </c>
      <c r="B724" t="s">
        <v>254</v>
      </c>
      <c r="C724" t="s">
        <v>311</v>
      </c>
      <c r="D724" t="s">
        <v>3718</v>
      </c>
      <c r="E724" t="s">
        <v>3727</v>
      </c>
      <c r="F724">
        <v>20030529</v>
      </c>
      <c r="G724" t="s">
        <v>9334</v>
      </c>
      <c r="H724" t="s">
        <v>241</v>
      </c>
      <c r="I724" t="s">
        <v>242</v>
      </c>
      <c r="J724" t="s">
        <v>242</v>
      </c>
      <c r="K724" t="s">
        <v>241</v>
      </c>
      <c r="L724" t="s">
        <v>242</v>
      </c>
      <c r="M724">
        <v>38.610096859999999</v>
      </c>
      <c r="N724">
        <v>-122.8013656</v>
      </c>
      <c r="O724">
        <v>0.06</v>
      </c>
      <c r="P724">
        <v>0.06</v>
      </c>
      <c r="Q724">
        <v>0.09</v>
      </c>
      <c r="R724">
        <v>0.21</v>
      </c>
      <c r="S724">
        <v>0.24</v>
      </c>
      <c r="T724">
        <v>0.27</v>
      </c>
      <c r="U724">
        <v>0.27</v>
      </c>
      <c r="V724">
        <v>0.3</v>
      </c>
      <c r="W724">
        <v>0.27</v>
      </c>
      <c r="X724">
        <v>0.18</v>
      </c>
      <c r="Y724">
        <v>0.04</v>
      </c>
      <c r="Z724">
        <v>0.04</v>
      </c>
      <c r="AA724" t="s">
        <v>9333</v>
      </c>
      <c r="AB724" t="s">
        <v>242</v>
      </c>
      <c r="AC724" t="s">
        <v>3229</v>
      </c>
    </row>
    <row r="725" spans="1:29" x14ac:dyDescent="0.25">
      <c r="A725" t="s">
        <v>560</v>
      </c>
      <c r="B725" t="s">
        <v>254</v>
      </c>
      <c r="C725" t="s">
        <v>317</v>
      </c>
      <c r="D725" t="s">
        <v>3718</v>
      </c>
      <c r="E725" t="s">
        <v>3727</v>
      </c>
      <c r="F725">
        <v>20030418</v>
      </c>
      <c r="G725" t="s">
        <v>9334</v>
      </c>
      <c r="H725" t="s">
        <v>242</v>
      </c>
      <c r="I725" t="s">
        <v>242</v>
      </c>
      <c r="J725" t="s">
        <v>242</v>
      </c>
      <c r="K725" t="s">
        <v>241</v>
      </c>
      <c r="L725" t="s">
        <v>242</v>
      </c>
      <c r="M725">
        <v>39.248688530000003</v>
      </c>
      <c r="N725">
        <v>-123.2308172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 t="s">
        <v>9333</v>
      </c>
      <c r="AB725" t="s">
        <v>242</v>
      </c>
      <c r="AC725" t="s">
        <v>3213</v>
      </c>
    </row>
    <row r="726" spans="1:29" x14ac:dyDescent="0.25">
      <c r="A726" t="s">
        <v>561</v>
      </c>
      <c r="B726" t="s">
        <v>254</v>
      </c>
      <c r="C726" t="s">
        <v>317</v>
      </c>
      <c r="D726" t="s">
        <v>3718</v>
      </c>
      <c r="E726" t="s">
        <v>3727</v>
      </c>
      <c r="F726">
        <v>20031217</v>
      </c>
      <c r="G726" t="s">
        <v>9338</v>
      </c>
      <c r="H726" t="s">
        <v>242</v>
      </c>
      <c r="I726" t="s">
        <v>242</v>
      </c>
      <c r="J726" t="s">
        <v>242</v>
      </c>
      <c r="K726" t="s">
        <v>241</v>
      </c>
      <c r="L726" t="s">
        <v>242</v>
      </c>
      <c r="M726">
        <v>39.243058120000001</v>
      </c>
      <c r="N726">
        <v>-123.22308460000001</v>
      </c>
      <c r="O726">
        <v>0.33</v>
      </c>
      <c r="P726">
        <v>0.16</v>
      </c>
      <c r="Q726">
        <v>0.16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 t="s">
        <v>9333</v>
      </c>
      <c r="AB726" t="s">
        <v>242</v>
      </c>
      <c r="AC726" t="s">
        <v>3213</v>
      </c>
    </row>
    <row r="727" spans="1:29" x14ac:dyDescent="0.25">
      <c r="A727" t="s">
        <v>562</v>
      </c>
      <c r="B727" t="s">
        <v>254</v>
      </c>
      <c r="C727" t="s">
        <v>317</v>
      </c>
      <c r="D727" t="s">
        <v>3718</v>
      </c>
      <c r="E727" t="s">
        <v>3727</v>
      </c>
      <c r="F727">
        <v>20030502</v>
      </c>
      <c r="G727" t="s">
        <v>9334</v>
      </c>
      <c r="H727" t="s">
        <v>242</v>
      </c>
      <c r="I727" t="s">
        <v>242</v>
      </c>
      <c r="J727" t="s">
        <v>242</v>
      </c>
      <c r="K727" t="s">
        <v>241</v>
      </c>
      <c r="L727" t="s">
        <v>242</v>
      </c>
      <c r="M727">
        <v>39.24786391</v>
      </c>
      <c r="N727">
        <v>-123.2308982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 t="s">
        <v>9333</v>
      </c>
      <c r="AB727" t="s">
        <v>242</v>
      </c>
      <c r="AC727" t="s">
        <v>3213</v>
      </c>
    </row>
    <row r="728" spans="1:29" x14ac:dyDescent="0.25">
      <c r="A728" t="s">
        <v>563</v>
      </c>
      <c r="B728" t="s">
        <v>254</v>
      </c>
      <c r="C728" t="s">
        <v>317</v>
      </c>
      <c r="D728" t="s">
        <v>3718</v>
      </c>
      <c r="E728" t="s">
        <v>3727</v>
      </c>
      <c r="F728">
        <v>20030424</v>
      </c>
      <c r="G728" t="s">
        <v>9334</v>
      </c>
      <c r="H728" t="s">
        <v>242</v>
      </c>
      <c r="I728" t="s">
        <v>242</v>
      </c>
      <c r="J728" t="s">
        <v>242</v>
      </c>
      <c r="K728" t="s">
        <v>241</v>
      </c>
      <c r="L728" t="s">
        <v>242</v>
      </c>
      <c r="M728">
        <v>39.317767979999999</v>
      </c>
      <c r="N728">
        <v>-123.27077970000001</v>
      </c>
      <c r="O728">
        <v>0.02</v>
      </c>
      <c r="P728">
        <v>0.02</v>
      </c>
      <c r="Q728">
        <v>0.01</v>
      </c>
      <c r="R728">
        <v>0.01</v>
      </c>
      <c r="S728">
        <v>0.01</v>
      </c>
      <c r="T728">
        <v>0.01</v>
      </c>
      <c r="U728">
        <v>9.2069999999999999E-3</v>
      </c>
      <c r="V728">
        <v>8.6953329999999995E-3</v>
      </c>
      <c r="W728">
        <v>9.2069999999999999E-3</v>
      </c>
      <c r="X728">
        <v>0.01</v>
      </c>
      <c r="Y728">
        <v>0.01</v>
      </c>
      <c r="Z728">
        <v>0.02</v>
      </c>
      <c r="AA728" t="s">
        <v>9333</v>
      </c>
      <c r="AB728" t="s">
        <v>242</v>
      </c>
      <c r="AC728" t="s">
        <v>3213</v>
      </c>
    </row>
    <row r="729" spans="1:29" x14ac:dyDescent="0.25">
      <c r="A729" t="s">
        <v>538</v>
      </c>
      <c r="B729" t="s">
        <v>254</v>
      </c>
      <c r="C729" t="s">
        <v>317</v>
      </c>
      <c r="D729" t="s">
        <v>3718</v>
      </c>
      <c r="E729" t="s">
        <v>3727</v>
      </c>
      <c r="F729">
        <v>20040910</v>
      </c>
      <c r="G729" t="s">
        <v>9334</v>
      </c>
      <c r="H729" t="s">
        <v>242</v>
      </c>
      <c r="I729" t="s">
        <v>242</v>
      </c>
      <c r="J729" t="s">
        <v>242</v>
      </c>
      <c r="K729" t="s">
        <v>241</v>
      </c>
      <c r="L729" t="s">
        <v>242</v>
      </c>
      <c r="M729">
        <v>39.281270749999997</v>
      </c>
      <c r="N729">
        <v>-123.18477849999999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0.5</v>
      </c>
      <c r="Z729">
        <v>0</v>
      </c>
      <c r="AA729" t="s">
        <v>9333</v>
      </c>
      <c r="AB729" t="s">
        <v>242</v>
      </c>
      <c r="AC729" t="s">
        <v>3213</v>
      </c>
    </row>
    <row r="730" spans="1:29" x14ac:dyDescent="0.25">
      <c r="A730" t="s">
        <v>530</v>
      </c>
      <c r="B730" t="s">
        <v>254</v>
      </c>
      <c r="C730" t="s">
        <v>317</v>
      </c>
      <c r="D730" t="s">
        <v>3718</v>
      </c>
      <c r="E730" t="s">
        <v>3727</v>
      </c>
      <c r="F730">
        <v>20050204</v>
      </c>
      <c r="G730" t="s">
        <v>9338</v>
      </c>
      <c r="H730" t="s">
        <v>242</v>
      </c>
      <c r="I730" t="s">
        <v>242</v>
      </c>
      <c r="J730" t="s">
        <v>242</v>
      </c>
      <c r="K730" t="s">
        <v>241</v>
      </c>
      <c r="L730" t="s">
        <v>242</v>
      </c>
      <c r="M730">
        <v>39.342051920000003</v>
      </c>
      <c r="N730">
        <v>-123.2639465</v>
      </c>
      <c r="O730">
        <v>0.01</v>
      </c>
      <c r="P730">
        <v>0.01</v>
      </c>
      <c r="Q730">
        <v>0.01</v>
      </c>
      <c r="R730">
        <v>6.8919999999999997E-3</v>
      </c>
      <c r="S730">
        <v>3.5479999999999999E-3</v>
      </c>
      <c r="T730">
        <v>3.3623329999999999E-3</v>
      </c>
      <c r="U730">
        <v>3.333333E-3</v>
      </c>
      <c r="V730">
        <v>3.333333E-3</v>
      </c>
      <c r="W730">
        <v>3.333333E-3</v>
      </c>
      <c r="X730">
        <v>3.333333E-3</v>
      </c>
      <c r="Y730">
        <v>0.01</v>
      </c>
      <c r="Z730">
        <v>6.8713330000000003E-3</v>
      </c>
      <c r="AA730" t="s">
        <v>9333</v>
      </c>
      <c r="AB730" t="s">
        <v>242</v>
      </c>
      <c r="AC730" t="s">
        <v>3213</v>
      </c>
    </row>
    <row r="731" spans="1:29" x14ac:dyDescent="0.25">
      <c r="A731" t="s">
        <v>531</v>
      </c>
      <c r="B731" t="s">
        <v>254</v>
      </c>
      <c r="C731" t="s">
        <v>317</v>
      </c>
      <c r="D731" t="s">
        <v>3718</v>
      </c>
      <c r="E731" t="s">
        <v>3727</v>
      </c>
      <c r="F731">
        <v>20050815</v>
      </c>
      <c r="G731" t="s">
        <v>9338</v>
      </c>
      <c r="H731" t="s">
        <v>242</v>
      </c>
      <c r="I731" t="s">
        <v>242</v>
      </c>
      <c r="J731" t="s">
        <v>242</v>
      </c>
      <c r="K731" t="s">
        <v>241</v>
      </c>
      <c r="L731" t="s">
        <v>242</v>
      </c>
      <c r="M731">
        <v>39.305260060000002</v>
      </c>
      <c r="N731">
        <v>-123.26040380000001</v>
      </c>
      <c r="O731">
        <v>1.1299999999999999</v>
      </c>
      <c r="P731">
        <v>1.1299999999999999</v>
      </c>
      <c r="Q731">
        <v>1.1299999999999999</v>
      </c>
      <c r="R731">
        <v>1.1299999999999999</v>
      </c>
      <c r="S731">
        <v>1.1299999999999999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1.1299999999999999</v>
      </c>
      <c r="AA731" t="s">
        <v>9333</v>
      </c>
      <c r="AB731" t="s">
        <v>241</v>
      </c>
      <c r="AC731" t="s">
        <v>3213</v>
      </c>
    </row>
    <row r="732" spans="1:29" x14ac:dyDescent="0.25">
      <c r="A732" t="s">
        <v>525</v>
      </c>
      <c r="B732" t="s">
        <v>254</v>
      </c>
      <c r="C732" t="s">
        <v>348</v>
      </c>
      <c r="D732" t="s">
        <v>3718</v>
      </c>
      <c r="E732" t="s">
        <v>3727</v>
      </c>
      <c r="F732">
        <v>20050914</v>
      </c>
      <c r="G732" t="s">
        <v>9338</v>
      </c>
      <c r="H732" t="s">
        <v>242</v>
      </c>
      <c r="I732" t="s">
        <v>242</v>
      </c>
      <c r="J732" t="s">
        <v>242</v>
      </c>
      <c r="K732" t="s">
        <v>241</v>
      </c>
      <c r="L732" t="s">
        <v>242</v>
      </c>
      <c r="M732">
        <v>39.303551880000001</v>
      </c>
      <c r="N732">
        <v>-123.0253718</v>
      </c>
      <c r="O732">
        <v>5</v>
      </c>
      <c r="P732">
        <v>0.66</v>
      </c>
      <c r="Q732">
        <v>1.33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1</v>
      </c>
      <c r="AA732" t="s">
        <v>9333</v>
      </c>
      <c r="AB732" t="s">
        <v>242</v>
      </c>
      <c r="AC732" t="s">
        <v>3213</v>
      </c>
    </row>
    <row r="733" spans="1:29" x14ac:dyDescent="0.25">
      <c r="A733" t="s">
        <v>533</v>
      </c>
      <c r="B733" t="s">
        <v>254</v>
      </c>
      <c r="C733" t="s">
        <v>409</v>
      </c>
      <c r="D733" t="s">
        <v>3718</v>
      </c>
      <c r="E733" t="s">
        <v>3727</v>
      </c>
      <c r="F733">
        <v>20051206</v>
      </c>
      <c r="G733" t="s">
        <v>9338</v>
      </c>
      <c r="H733" t="s">
        <v>242</v>
      </c>
      <c r="I733" t="s">
        <v>242</v>
      </c>
      <c r="J733" t="s">
        <v>242</v>
      </c>
      <c r="K733" t="s">
        <v>241</v>
      </c>
      <c r="L733" t="s">
        <v>242</v>
      </c>
      <c r="M733">
        <v>38.844391340000001</v>
      </c>
      <c r="N733">
        <v>-122.98367469999999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 t="s">
        <v>9333</v>
      </c>
      <c r="AB733" t="s">
        <v>242</v>
      </c>
      <c r="AC733" t="s">
        <v>3229</v>
      </c>
    </row>
    <row r="734" spans="1:29" x14ac:dyDescent="0.25">
      <c r="A734" t="s">
        <v>519</v>
      </c>
      <c r="B734" t="s">
        <v>254</v>
      </c>
      <c r="C734" t="s">
        <v>317</v>
      </c>
      <c r="D734" t="s">
        <v>3718</v>
      </c>
      <c r="E734" t="s">
        <v>3727</v>
      </c>
      <c r="F734">
        <v>20060126</v>
      </c>
      <c r="G734" t="s">
        <v>9338</v>
      </c>
      <c r="H734" t="s">
        <v>242</v>
      </c>
      <c r="I734" t="s">
        <v>242</v>
      </c>
      <c r="J734" t="s">
        <v>242</v>
      </c>
      <c r="K734" t="s">
        <v>241</v>
      </c>
      <c r="L734" t="s">
        <v>242</v>
      </c>
      <c r="M734">
        <v>39.214873050000001</v>
      </c>
      <c r="N734">
        <v>-123.307777</v>
      </c>
      <c r="O734">
        <v>0.08</v>
      </c>
      <c r="P734">
        <v>0.08</v>
      </c>
      <c r="Q734">
        <v>0.08</v>
      </c>
      <c r="R734">
        <v>0.08</v>
      </c>
      <c r="S734">
        <v>0.08</v>
      </c>
      <c r="T734">
        <v>0.03</v>
      </c>
      <c r="U734">
        <v>0.03</v>
      </c>
      <c r="V734">
        <v>0.03</v>
      </c>
      <c r="W734">
        <v>0.03</v>
      </c>
      <c r="X734">
        <v>0.03</v>
      </c>
      <c r="Y734">
        <v>0.08</v>
      </c>
      <c r="Z734">
        <v>0.08</v>
      </c>
      <c r="AA734" t="s">
        <v>9333</v>
      </c>
      <c r="AB734" t="s">
        <v>241</v>
      </c>
      <c r="AC734" t="s">
        <v>3213</v>
      </c>
    </row>
    <row r="735" spans="1:29" x14ac:dyDescent="0.25">
      <c r="A735" t="s">
        <v>520</v>
      </c>
      <c r="B735" t="s">
        <v>254</v>
      </c>
      <c r="C735" t="s">
        <v>436</v>
      </c>
      <c r="D735" t="s">
        <v>3718</v>
      </c>
      <c r="E735" t="s">
        <v>3727</v>
      </c>
      <c r="F735">
        <v>20060712</v>
      </c>
      <c r="G735" t="s">
        <v>9338</v>
      </c>
      <c r="H735" t="s">
        <v>242</v>
      </c>
      <c r="I735" t="s">
        <v>242</v>
      </c>
      <c r="J735" t="s">
        <v>242</v>
      </c>
      <c r="K735" t="s">
        <v>241</v>
      </c>
      <c r="L735" t="s">
        <v>242</v>
      </c>
      <c r="M735">
        <v>38.702938410000002</v>
      </c>
      <c r="N735">
        <v>-122.77561230000001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 t="s">
        <v>9333</v>
      </c>
      <c r="AB735" t="s">
        <v>242</v>
      </c>
      <c r="AC735" t="s">
        <v>3229</v>
      </c>
    </row>
    <row r="736" spans="1:29" x14ac:dyDescent="0.25">
      <c r="A736" t="s">
        <v>521</v>
      </c>
      <c r="B736" t="s">
        <v>254</v>
      </c>
      <c r="C736" t="s">
        <v>354</v>
      </c>
      <c r="D736" t="s">
        <v>3718</v>
      </c>
      <c r="E736" t="s">
        <v>3727</v>
      </c>
      <c r="F736">
        <v>20060810</v>
      </c>
      <c r="G736" t="s">
        <v>9338</v>
      </c>
      <c r="H736" t="s">
        <v>242</v>
      </c>
      <c r="I736" t="s">
        <v>242</v>
      </c>
      <c r="J736" t="s">
        <v>242</v>
      </c>
      <c r="K736" t="s">
        <v>241</v>
      </c>
      <c r="L736" t="s">
        <v>242</v>
      </c>
      <c r="M736">
        <v>38.81049256</v>
      </c>
      <c r="N736">
        <v>-123.0572758</v>
      </c>
      <c r="O736">
        <v>1.95</v>
      </c>
      <c r="P736">
        <v>1.95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1.95</v>
      </c>
      <c r="AA736" t="s">
        <v>9333</v>
      </c>
      <c r="AB736" t="s">
        <v>242</v>
      </c>
      <c r="AC736" t="s">
        <v>3229</v>
      </c>
    </row>
    <row r="737" spans="1:29" x14ac:dyDescent="0.25">
      <c r="A737" t="s">
        <v>505</v>
      </c>
      <c r="B737" t="s">
        <v>254</v>
      </c>
      <c r="C737" t="s">
        <v>354</v>
      </c>
      <c r="D737" t="s">
        <v>3718</v>
      </c>
      <c r="E737" t="s">
        <v>3727</v>
      </c>
      <c r="F737">
        <v>20070427</v>
      </c>
      <c r="G737" t="s">
        <v>9334</v>
      </c>
      <c r="H737" t="s">
        <v>242</v>
      </c>
      <c r="I737" t="s">
        <v>242</v>
      </c>
      <c r="J737" t="s">
        <v>242</v>
      </c>
      <c r="K737" t="s">
        <v>241</v>
      </c>
      <c r="L737" t="s">
        <v>242</v>
      </c>
      <c r="M737">
        <v>38.778695239999998</v>
      </c>
      <c r="N737">
        <v>-122.96857350000001</v>
      </c>
      <c r="O737">
        <v>1.83</v>
      </c>
      <c r="P737">
        <v>0.5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0.16</v>
      </c>
      <c r="Z737">
        <v>2</v>
      </c>
      <c r="AA737" t="s">
        <v>9333</v>
      </c>
      <c r="AB737" t="s">
        <v>242</v>
      </c>
      <c r="AC737" t="s">
        <v>3229</v>
      </c>
    </row>
    <row r="738" spans="1:29" x14ac:dyDescent="0.25">
      <c r="A738" t="s">
        <v>506</v>
      </c>
      <c r="B738" t="s">
        <v>254</v>
      </c>
      <c r="C738" t="s">
        <v>507</v>
      </c>
      <c r="D738" t="s">
        <v>3718</v>
      </c>
      <c r="E738" t="s">
        <v>3727</v>
      </c>
      <c r="F738">
        <v>20070817</v>
      </c>
      <c r="G738" t="s">
        <v>9338</v>
      </c>
      <c r="H738" t="s">
        <v>241</v>
      </c>
      <c r="I738" t="s">
        <v>242</v>
      </c>
      <c r="J738" t="s">
        <v>242</v>
      </c>
      <c r="K738" t="s">
        <v>241</v>
      </c>
      <c r="L738" t="s">
        <v>242</v>
      </c>
      <c r="M738">
        <v>38.615542240000003</v>
      </c>
      <c r="N738">
        <v>-122.829785</v>
      </c>
      <c r="O738">
        <v>0.02</v>
      </c>
      <c r="P738">
        <v>0.02</v>
      </c>
      <c r="Q738">
        <v>0.02</v>
      </c>
      <c r="R738">
        <v>0.3</v>
      </c>
      <c r="S738">
        <v>0.3</v>
      </c>
      <c r="T738">
        <v>0.3</v>
      </c>
      <c r="U738">
        <v>0.3</v>
      </c>
      <c r="V738">
        <v>0.3</v>
      </c>
      <c r="W738">
        <v>0.3</v>
      </c>
      <c r="X738">
        <v>0.3</v>
      </c>
      <c r="Y738">
        <v>0.02</v>
      </c>
      <c r="Z738">
        <v>0.02</v>
      </c>
      <c r="AA738" t="s">
        <v>9333</v>
      </c>
      <c r="AB738" t="s">
        <v>242</v>
      </c>
      <c r="AC738" t="s">
        <v>3229</v>
      </c>
    </row>
    <row r="739" spans="1:29" x14ac:dyDescent="0.25">
      <c r="A739" t="s">
        <v>501</v>
      </c>
      <c r="B739" t="s">
        <v>254</v>
      </c>
      <c r="C739" t="s">
        <v>311</v>
      </c>
      <c r="D739" t="s">
        <v>3718</v>
      </c>
      <c r="E739" t="s">
        <v>3727</v>
      </c>
      <c r="F739">
        <v>20081112</v>
      </c>
      <c r="G739" t="s">
        <v>9334</v>
      </c>
      <c r="H739" t="s">
        <v>242</v>
      </c>
      <c r="I739" t="s">
        <v>242</v>
      </c>
      <c r="J739" t="s">
        <v>242</v>
      </c>
      <c r="K739" t="s">
        <v>241</v>
      </c>
      <c r="L739" t="s">
        <v>242</v>
      </c>
      <c r="M739">
        <v>38.563600000000001</v>
      </c>
      <c r="N739">
        <v>-122.6341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 t="s">
        <v>9333</v>
      </c>
      <c r="AB739" t="s">
        <v>242</v>
      </c>
      <c r="AC739" t="s">
        <v>3229</v>
      </c>
    </row>
    <row r="740" spans="1:29" x14ac:dyDescent="0.25">
      <c r="A740" t="s">
        <v>490</v>
      </c>
      <c r="B740" t="s">
        <v>254</v>
      </c>
      <c r="C740" t="s">
        <v>311</v>
      </c>
      <c r="D740" t="s">
        <v>3718</v>
      </c>
      <c r="E740" t="s">
        <v>3727</v>
      </c>
      <c r="F740">
        <v>20091006</v>
      </c>
      <c r="G740" t="s">
        <v>9334</v>
      </c>
      <c r="H740" t="s">
        <v>241</v>
      </c>
      <c r="I740" t="s">
        <v>242</v>
      </c>
      <c r="J740" t="s">
        <v>242</v>
      </c>
      <c r="K740" t="s">
        <v>241</v>
      </c>
      <c r="L740" t="s">
        <v>242</v>
      </c>
      <c r="M740">
        <v>38.660400000000003</v>
      </c>
      <c r="N740">
        <v>-122.8216</v>
      </c>
      <c r="O740">
        <v>1.33</v>
      </c>
      <c r="P740">
        <v>1.33</v>
      </c>
      <c r="Q740">
        <v>0.53</v>
      </c>
      <c r="R740">
        <v>0.06</v>
      </c>
      <c r="S740">
        <v>0.03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0.36</v>
      </c>
      <c r="Z740">
        <v>0.56000000000000005</v>
      </c>
      <c r="AA740" t="s">
        <v>9333</v>
      </c>
      <c r="AB740" t="s">
        <v>242</v>
      </c>
      <c r="AC740" t="s">
        <v>3229</v>
      </c>
    </row>
    <row r="741" spans="1:29" x14ac:dyDescent="0.25">
      <c r="A741" t="s">
        <v>472</v>
      </c>
      <c r="B741" t="s">
        <v>254</v>
      </c>
      <c r="C741" t="s">
        <v>319</v>
      </c>
      <c r="D741" t="s">
        <v>3718</v>
      </c>
      <c r="E741" t="s">
        <v>3727</v>
      </c>
      <c r="F741">
        <v>20120716</v>
      </c>
      <c r="G741" t="s">
        <v>9338</v>
      </c>
      <c r="H741" t="s">
        <v>242</v>
      </c>
      <c r="I741" t="s">
        <v>242</v>
      </c>
      <c r="J741" t="s">
        <v>242</v>
      </c>
      <c r="K741" t="s">
        <v>241</v>
      </c>
      <c r="L741" t="s">
        <v>242</v>
      </c>
      <c r="M741">
        <v>38.99060532</v>
      </c>
      <c r="N741">
        <v>-123.17564280000001</v>
      </c>
      <c r="O741">
        <v>2</v>
      </c>
      <c r="P741">
        <v>2</v>
      </c>
      <c r="Q741">
        <v>1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 t="s">
        <v>9333</v>
      </c>
      <c r="AB741" t="s">
        <v>242</v>
      </c>
      <c r="AC741" t="s">
        <v>3213</v>
      </c>
    </row>
    <row r="742" spans="1:29" x14ac:dyDescent="0.25">
      <c r="A742" t="s">
        <v>441</v>
      </c>
      <c r="B742" t="s">
        <v>254</v>
      </c>
      <c r="C742" t="s">
        <v>311</v>
      </c>
      <c r="D742" t="s">
        <v>3718</v>
      </c>
      <c r="E742" t="s">
        <v>3727</v>
      </c>
      <c r="F742">
        <v>20130314</v>
      </c>
      <c r="G742" t="s">
        <v>9334</v>
      </c>
      <c r="H742" t="s">
        <v>241</v>
      </c>
      <c r="I742" t="s">
        <v>242</v>
      </c>
      <c r="J742" t="s">
        <v>242</v>
      </c>
      <c r="K742" t="s">
        <v>241</v>
      </c>
      <c r="L742" t="s">
        <v>242</v>
      </c>
      <c r="M742">
        <v>38.606699999999996</v>
      </c>
      <c r="N742">
        <v>-122.7826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 t="s">
        <v>9346</v>
      </c>
      <c r="AB742" t="s">
        <v>242</v>
      </c>
      <c r="AC742" t="s">
        <v>3229</v>
      </c>
    </row>
    <row r="743" spans="1:29" x14ac:dyDescent="0.25">
      <c r="A743" t="s">
        <v>442</v>
      </c>
      <c r="B743" t="s">
        <v>254</v>
      </c>
      <c r="C743" t="s">
        <v>317</v>
      </c>
      <c r="D743" t="s">
        <v>3718</v>
      </c>
      <c r="E743" t="s">
        <v>3727</v>
      </c>
      <c r="F743">
        <v>20130416</v>
      </c>
      <c r="G743" t="s">
        <v>9338</v>
      </c>
      <c r="H743" t="s">
        <v>242</v>
      </c>
      <c r="I743" t="s">
        <v>242</v>
      </c>
      <c r="J743" t="s">
        <v>242</v>
      </c>
      <c r="K743" t="s">
        <v>241</v>
      </c>
      <c r="L743" t="s">
        <v>242</v>
      </c>
      <c r="M743">
        <v>39.276800000000001</v>
      </c>
      <c r="N743">
        <v>-123.1795</v>
      </c>
      <c r="O743">
        <v>0.4</v>
      </c>
      <c r="P743">
        <v>0.4</v>
      </c>
      <c r="Q743">
        <v>0.4</v>
      </c>
      <c r="R743">
        <v>0.4</v>
      </c>
      <c r="S743">
        <v>0.4</v>
      </c>
      <c r="T743">
        <v>0.4</v>
      </c>
      <c r="U743">
        <v>0</v>
      </c>
      <c r="V743">
        <v>0</v>
      </c>
      <c r="W743">
        <v>0</v>
      </c>
      <c r="X743">
        <v>0</v>
      </c>
      <c r="Y743">
        <v>0.4</v>
      </c>
      <c r="Z743">
        <v>0.4</v>
      </c>
      <c r="AA743" t="s">
        <v>9333</v>
      </c>
      <c r="AB743" t="s">
        <v>241</v>
      </c>
      <c r="AC743" t="s">
        <v>3213</v>
      </c>
    </row>
    <row r="744" spans="1:29" x14ac:dyDescent="0.25">
      <c r="A744" t="s">
        <v>443</v>
      </c>
      <c r="B744" t="s">
        <v>254</v>
      </c>
      <c r="C744" t="s">
        <v>333</v>
      </c>
      <c r="D744" t="s">
        <v>3718</v>
      </c>
      <c r="E744" t="s">
        <v>3727</v>
      </c>
      <c r="F744">
        <v>20131112</v>
      </c>
      <c r="G744" t="s">
        <v>9338</v>
      </c>
      <c r="H744" t="s">
        <v>242</v>
      </c>
      <c r="I744" t="s">
        <v>242</v>
      </c>
      <c r="J744" t="s">
        <v>242</v>
      </c>
      <c r="K744" t="s">
        <v>241</v>
      </c>
      <c r="L744" t="s">
        <v>242</v>
      </c>
      <c r="M744">
        <v>39.080800000000004</v>
      </c>
      <c r="N744">
        <v>-123.2129</v>
      </c>
      <c r="O744">
        <v>0.33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0.5</v>
      </c>
      <c r="Z744">
        <v>1.1599999999999999</v>
      </c>
      <c r="AA744" t="s">
        <v>9341</v>
      </c>
      <c r="AB744" t="s">
        <v>242</v>
      </c>
      <c r="AC744" t="s">
        <v>3213</v>
      </c>
    </row>
    <row r="745" spans="1:29" x14ac:dyDescent="0.25">
      <c r="A745" t="s">
        <v>445</v>
      </c>
      <c r="B745" t="s">
        <v>254</v>
      </c>
      <c r="C745" t="s">
        <v>319</v>
      </c>
      <c r="D745" t="s">
        <v>3718</v>
      </c>
      <c r="E745" t="s">
        <v>3727</v>
      </c>
      <c r="F745">
        <v>20130509</v>
      </c>
      <c r="G745" t="s">
        <v>9334</v>
      </c>
      <c r="H745" t="s">
        <v>242</v>
      </c>
      <c r="I745" t="s">
        <v>242</v>
      </c>
      <c r="J745" t="s">
        <v>242</v>
      </c>
      <c r="K745" t="s">
        <v>241</v>
      </c>
      <c r="L745" t="s">
        <v>242</v>
      </c>
      <c r="M745">
        <v>38.947099999999999</v>
      </c>
      <c r="N745">
        <v>-123.1605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 t="s">
        <v>9341</v>
      </c>
      <c r="AB745" t="s">
        <v>242</v>
      </c>
      <c r="AC745" t="s">
        <v>3213</v>
      </c>
    </row>
    <row r="746" spans="1:29" x14ac:dyDescent="0.25">
      <c r="A746" t="s">
        <v>447</v>
      </c>
      <c r="B746" t="s">
        <v>254</v>
      </c>
      <c r="C746" t="s">
        <v>311</v>
      </c>
      <c r="D746" t="s">
        <v>3718</v>
      </c>
      <c r="E746" t="s">
        <v>3727</v>
      </c>
      <c r="F746">
        <v>20130521</v>
      </c>
      <c r="G746" t="s">
        <v>9334</v>
      </c>
      <c r="H746" t="s">
        <v>242</v>
      </c>
      <c r="I746" t="s">
        <v>242</v>
      </c>
      <c r="J746" t="s">
        <v>242</v>
      </c>
      <c r="K746" t="s">
        <v>241</v>
      </c>
      <c r="L746" t="s">
        <v>242</v>
      </c>
      <c r="M746">
        <v>38.573</v>
      </c>
      <c r="N746">
        <v>-122.6493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 t="s">
        <v>9341</v>
      </c>
      <c r="AB746" t="s">
        <v>242</v>
      </c>
      <c r="AC746" t="s">
        <v>3229</v>
      </c>
    </row>
    <row r="747" spans="1:29" x14ac:dyDescent="0.25">
      <c r="A747" t="s">
        <v>449</v>
      </c>
      <c r="B747" t="s">
        <v>254</v>
      </c>
      <c r="C747" t="s">
        <v>319</v>
      </c>
      <c r="D747" t="s">
        <v>3718</v>
      </c>
      <c r="E747" t="s">
        <v>3727</v>
      </c>
      <c r="F747">
        <v>20130626</v>
      </c>
      <c r="G747" t="s">
        <v>9334</v>
      </c>
      <c r="H747" t="s">
        <v>242</v>
      </c>
      <c r="I747" t="s">
        <v>242</v>
      </c>
      <c r="J747" t="s">
        <v>242</v>
      </c>
      <c r="K747" t="s">
        <v>241</v>
      </c>
      <c r="L747" t="s">
        <v>242</v>
      </c>
      <c r="M747">
        <v>38.895200000000003</v>
      </c>
      <c r="N747">
        <v>-122.9855</v>
      </c>
      <c r="O747">
        <v>0.04</v>
      </c>
      <c r="P747">
        <v>3.29</v>
      </c>
      <c r="Q747">
        <v>3.29</v>
      </c>
      <c r="R747">
        <v>0.04</v>
      </c>
      <c r="S747">
        <v>0.04</v>
      </c>
      <c r="T747">
        <v>0.04</v>
      </c>
      <c r="U747">
        <v>0.04</v>
      </c>
      <c r="V747">
        <v>0.04</v>
      </c>
      <c r="W747">
        <v>0.04</v>
      </c>
      <c r="X747">
        <v>0.04</v>
      </c>
      <c r="Y747">
        <v>0.04</v>
      </c>
      <c r="Z747">
        <v>0.04</v>
      </c>
      <c r="AA747" t="s">
        <v>9333</v>
      </c>
      <c r="AB747" t="s">
        <v>242</v>
      </c>
      <c r="AC747" t="s">
        <v>3213</v>
      </c>
    </row>
    <row r="748" spans="1:29" x14ac:dyDescent="0.25">
      <c r="A748" t="s">
        <v>407</v>
      </c>
      <c r="B748" t="s">
        <v>254</v>
      </c>
      <c r="C748" t="s">
        <v>319</v>
      </c>
      <c r="D748" t="s">
        <v>3718</v>
      </c>
      <c r="E748" t="s">
        <v>3727</v>
      </c>
      <c r="F748">
        <v>20150923</v>
      </c>
      <c r="G748" t="s">
        <v>9338</v>
      </c>
      <c r="H748" t="s">
        <v>242</v>
      </c>
      <c r="I748" t="s">
        <v>242</v>
      </c>
      <c r="J748" t="s">
        <v>242</v>
      </c>
      <c r="K748" t="s">
        <v>241</v>
      </c>
      <c r="L748" t="s">
        <v>242</v>
      </c>
      <c r="M748">
        <v>38.994500000000002</v>
      </c>
      <c r="N748">
        <v>-123.2004</v>
      </c>
      <c r="O748">
        <v>8.5929999999999999E-3</v>
      </c>
      <c r="P748">
        <v>8.5929999999999999E-3</v>
      </c>
      <c r="Q748">
        <v>8.5929999999999999E-3</v>
      </c>
      <c r="R748">
        <v>8.5929999999999999E-3</v>
      </c>
      <c r="S748">
        <v>8.6029999999999995E-3</v>
      </c>
      <c r="T748">
        <v>9.5069999999999998E-3</v>
      </c>
      <c r="U748">
        <v>9.8720000000000006E-3</v>
      </c>
      <c r="V748">
        <v>9.972E-3</v>
      </c>
      <c r="W748">
        <v>9.2759999999999995E-3</v>
      </c>
      <c r="X748">
        <v>8.5929999999999999E-3</v>
      </c>
      <c r="Y748">
        <v>8.5929999999999999E-3</v>
      </c>
      <c r="Z748">
        <v>8.5929999999999999E-3</v>
      </c>
      <c r="AA748" t="s">
        <v>9333</v>
      </c>
      <c r="AB748" t="s">
        <v>242</v>
      </c>
      <c r="AC748" t="s">
        <v>3213</v>
      </c>
    </row>
    <row r="749" spans="1:29" x14ac:dyDescent="0.25">
      <c r="A749" t="s">
        <v>450</v>
      </c>
      <c r="B749" t="s">
        <v>254</v>
      </c>
      <c r="C749" t="s">
        <v>331</v>
      </c>
      <c r="D749" t="s">
        <v>3718</v>
      </c>
      <c r="E749" t="s">
        <v>3727</v>
      </c>
      <c r="F749">
        <v>20130703</v>
      </c>
      <c r="G749" t="s">
        <v>9334</v>
      </c>
      <c r="H749" t="s">
        <v>242</v>
      </c>
      <c r="I749" t="s">
        <v>242</v>
      </c>
      <c r="J749" t="s">
        <v>242</v>
      </c>
      <c r="K749" t="s">
        <v>241</v>
      </c>
      <c r="L749" t="s">
        <v>242</v>
      </c>
      <c r="M749">
        <v>39.189500000000002</v>
      </c>
      <c r="N749">
        <v>-123.1549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 t="s">
        <v>9347</v>
      </c>
      <c r="AB749" t="s">
        <v>242</v>
      </c>
      <c r="AC749" t="s">
        <v>3213</v>
      </c>
    </row>
    <row r="750" spans="1:29" x14ac:dyDescent="0.25">
      <c r="A750" t="s">
        <v>397</v>
      </c>
      <c r="B750" t="s">
        <v>254</v>
      </c>
      <c r="C750" t="s">
        <v>333</v>
      </c>
      <c r="D750" t="s">
        <v>3718</v>
      </c>
      <c r="E750" t="s">
        <v>3727</v>
      </c>
      <c r="F750">
        <v>20160308</v>
      </c>
      <c r="G750" t="s">
        <v>9338</v>
      </c>
      <c r="H750" t="s">
        <v>242</v>
      </c>
      <c r="I750" t="s">
        <v>242</v>
      </c>
      <c r="J750" t="s">
        <v>242</v>
      </c>
      <c r="K750" t="s">
        <v>241</v>
      </c>
      <c r="L750" t="s">
        <v>242</v>
      </c>
      <c r="M750">
        <v>39.077599999999997</v>
      </c>
      <c r="N750">
        <v>-123.2334</v>
      </c>
      <c r="O750">
        <v>3.8</v>
      </c>
      <c r="P750">
        <v>0.1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0.46</v>
      </c>
      <c r="Z750">
        <v>1.26</v>
      </c>
      <c r="AA750" t="s">
        <v>9339</v>
      </c>
      <c r="AB750" t="s">
        <v>242</v>
      </c>
      <c r="AC750" t="s">
        <v>3213</v>
      </c>
    </row>
    <row r="751" spans="1:29" x14ac:dyDescent="0.25">
      <c r="A751" t="s">
        <v>454</v>
      </c>
      <c r="B751" t="s">
        <v>254</v>
      </c>
      <c r="C751" t="s">
        <v>311</v>
      </c>
      <c r="D751" t="s">
        <v>3718</v>
      </c>
      <c r="E751" t="s">
        <v>3727</v>
      </c>
      <c r="F751">
        <v>20131011</v>
      </c>
      <c r="G751" t="s">
        <v>9338</v>
      </c>
      <c r="H751" t="s">
        <v>241</v>
      </c>
      <c r="I751" t="s">
        <v>242</v>
      </c>
      <c r="J751" t="s">
        <v>242</v>
      </c>
      <c r="K751" t="s">
        <v>241</v>
      </c>
      <c r="L751" t="s">
        <v>242</v>
      </c>
      <c r="M751">
        <v>38.649799999999999</v>
      </c>
      <c r="N751">
        <v>-122.8194</v>
      </c>
      <c r="O751">
        <v>1</v>
      </c>
      <c r="P751">
        <v>1</v>
      </c>
      <c r="Q751">
        <v>1</v>
      </c>
      <c r="R751">
        <v>0.5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0.5</v>
      </c>
      <c r="Z751">
        <v>0.5</v>
      </c>
      <c r="AA751" t="s">
        <v>9341</v>
      </c>
      <c r="AB751" t="s">
        <v>242</v>
      </c>
      <c r="AC751" t="s">
        <v>3229</v>
      </c>
    </row>
    <row r="752" spans="1:29" x14ac:dyDescent="0.25">
      <c r="A752" t="s">
        <v>422</v>
      </c>
      <c r="B752" t="s">
        <v>254</v>
      </c>
      <c r="C752" t="s">
        <v>319</v>
      </c>
      <c r="D752" t="s">
        <v>3718</v>
      </c>
      <c r="E752" t="s">
        <v>3727</v>
      </c>
      <c r="F752">
        <v>20140131</v>
      </c>
      <c r="G752" t="s">
        <v>9338</v>
      </c>
      <c r="H752" t="s">
        <v>242</v>
      </c>
      <c r="I752" t="s">
        <v>242</v>
      </c>
      <c r="J752" t="s">
        <v>242</v>
      </c>
      <c r="K752" t="s">
        <v>241</v>
      </c>
      <c r="L752" t="s">
        <v>242</v>
      </c>
      <c r="M752">
        <v>38.943398080000001</v>
      </c>
      <c r="N752">
        <v>-123.1288115</v>
      </c>
      <c r="O752">
        <v>0.25</v>
      </c>
      <c r="P752">
        <v>0.25</v>
      </c>
      <c r="Q752">
        <v>0.25</v>
      </c>
      <c r="R752">
        <v>0.25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0.25</v>
      </c>
      <c r="Z752">
        <v>0.25</v>
      </c>
      <c r="AA752" t="s">
        <v>9339</v>
      </c>
      <c r="AB752" t="s">
        <v>242</v>
      </c>
      <c r="AC752" t="s">
        <v>3213</v>
      </c>
    </row>
    <row r="753" spans="1:29" x14ac:dyDescent="0.25">
      <c r="A753" t="s">
        <v>399</v>
      </c>
      <c r="B753" t="s">
        <v>254</v>
      </c>
      <c r="C753" t="s">
        <v>354</v>
      </c>
      <c r="D753" t="s">
        <v>3718</v>
      </c>
      <c r="E753" t="s">
        <v>3727</v>
      </c>
      <c r="F753">
        <v>20160510</v>
      </c>
      <c r="G753" t="s">
        <v>9338</v>
      </c>
      <c r="H753" t="s">
        <v>242</v>
      </c>
      <c r="I753" t="s">
        <v>242</v>
      </c>
      <c r="J753" t="s">
        <v>242</v>
      </c>
      <c r="K753" t="s">
        <v>241</v>
      </c>
      <c r="L753" t="s">
        <v>242</v>
      </c>
      <c r="M753">
        <v>38.792099999999998</v>
      </c>
      <c r="N753">
        <v>-123.0265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0.66</v>
      </c>
      <c r="Z753">
        <v>1.5</v>
      </c>
      <c r="AA753" t="s">
        <v>9333</v>
      </c>
      <c r="AB753" t="s">
        <v>242</v>
      </c>
      <c r="AC753" t="s">
        <v>3229</v>
      </c>
    </row>
    <row r="754" spans="1:29" x14ac:dyDescent="0.25">
      <c r="A754" t="s">
        <v>423</v>
      </c>
      <c r="B754" t="s">
        <v>254</v>
      </c>
      <c r="C754" t="s">
        <v>409</v>
      </c>
      <c r="D754" t="s">
        <v>3718</v>
      </c>
      <c r="E754" t="s">
        <v>3727</v>
      </c>
      <c r="F754">
        <v>20140508</v>
      </c>
      <c r="G754" t="s">
        <v>9338</v>
      </c>
      <c r="H754" t="s">
        <v>242</v>
      </c>
      <c r="I754" t="s">
        <v>242</v>
      </c>
      <c r="J754" t="s">
        <v>242</v>
      </c>
      <c r="K754" t="s">
        <v>241</v>
      </c>
      <c r="L754" t="s">
        <v>242</v>
      </c>
      <c r="M754">
        <v>38.852272800000001</v>
      </c>
      <c r="N754">
        <v>-122.9531404</v>
      </c>
      <c r="O754">
        <v>1.1200000000000001</v>
      </c>
      <c r="P754">
        <v>0.5</v>
      </c>
      <c r="Q754">
        <v>0.4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 t="s">
        <v>9333</v>
      </c>
      <c r="AB754" t="s">
        <v>242</v>
      </c>
      <c r="AC754" t="s">
        <v>3213</v>
      </c>
    </row>
    <row r="755" spans="1:29" x14ac:dyDescent="0.25">
      <c r="A755" t="s">
        <v>425</v>
      </c>
      <c r="B755" t="s">
        <v>254</v>
      </c>
      <c r="C755" t="s">
        <v>319</v>
      </c>
      <c r="D755" t="s">
        <v>3718</v>
      </c>
      <c r="E755" t="s">
        <v>3727</v>
      </c>
      <c r="F755">
        <v>20141031</v>
      </c>
      <c r="G755" t="s">
        <v>9338</v>
      </c>
      <c r="H755" t="s">
        <v>241</v>
      </c>
      <c r="I755" t="s">
        <v>242</v>
      </c>
      <c r="J755" t="s">
        <v>242</v>
      </c>
      <c r="K755" t="s">
        <v>241</v>
      </c>
      <c r="L755" t="s">
        <v>242</v>
      </c>
      <c r="M755">
        <v>39.016199999999998</v>
      </c>
      <c r="N755">
        <v>-123.1194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 t="s">
        <v>9339</v>
      </c>
      <c r="AB755" t="s">
        <v>242</v>
      </c>
      <c r="AC755" t="s">
        <v>3213</v>
      </c>
    </row>
    <row r="756" spans="1:29" x14ac:dyDescent="0.25">
      <c r="A756" t="s">
        <v>426</v>
      </c>
      <c r="B756" t="s">
        <v>254</v>
      </c>
      <c r="C756" t="s">
        <v>319</v>
      </c>
      <c r="D756" t="s">
        <v>3718</v>
      </c>
      <c r="E756" t="s">
        <v>3727</v>
      </c>
      <c r="F756">
        <v>20141031</v>
      </c>
      <c r="G756" t="s">
        <v>9338</v>
      </c>
      <c r="H756" t="s">
        <v>241</v>
      </c>
      <c r="I756" t="s">
        <v>242</v>
      </c>
      <c r="J756" t="s">
        <v>242</v>
      </c>
      <c r="K756" t="s">
        <v>241</v>
      </c>
      <c r="L756" t="s">
        <v>242</v>
      </c>
      <c r="M756">
        <v>39.023899999999998</v>
      </c>
      <c r="N756">
        <v>-123.125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1</v>
      </c>
      <c r="Z756">
        <v>0</v>
      </c>
      <c r="AA756" t="s">
        <v>9339</v>
      </c>
      <c r="AB756" t="s">
        <v>242</v>
      </c>
      <c r="AC756" t="s">
        <v>3213</v>
      </c>
    </row>
    <row r="757" spans="1:29" x14ac:dyDescent="0.25">
      <c r="A757" t="s">
        <v>408</v>
      </c>
      <c r="B757" t="s">
        <v>254</v>
      </c>
      <c r="C757" t="s">
        <v>409</v>
      </c>
      <c r="D757" t="s">
        <v>3718</v>
      </c>
      <c r="E757" t="s">
        <v>3727</v>
      </c>
      <c r="F757">
        <v>20150211</v>
      </c>
      <c r="G757" t="s">
        <v>9338</v>
      </c>
      <c r="H757" t="s">
        <v>242</v>
      </c>
      <c r="I757" t="s">
        <v>242</v>
      </c>
      <c r="J757" t="s">
        <v>242</v>
      </c>
      <c r="K757" t="s">
        <v>241</v>
      </c>
      <c r="L757" t="s">
        <v>242</v>
      </c>
      <c r="M757">
        <v>38.773273979999999</v>
      </c>
      <c r="N757">
        <v>-122.9165694</v>
      </c>
      <c r="O757">
        <v>0.15</v>
      </c>
      <c r="P757">
        <v>0</v>
      </c>
      <c r="Q757">
        <v>0</v>
      </c>
      <c r="R757">
        <v>0.33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0.18</v>
      </c>
      <c r="Z757">
        <v>0.33</v>
      </c>
      <c r="AA757" t="s">
        <v>9339</v>
      </c>
      <c r="AB757" t="s">
        <v>242</v>
      </c>
      <c r="AC757" t="s">
        <v>3229</v>
      </c>
    </row>
    <row r="758" spans="1:29" x14ac:dyDescent="0.25">
      <c r="A758" t="s">
        <v>388</v>
      </c>
      <c r="B758" t="s">
        <v>254</v>
      </c>
      <c r="C758" t="s">
        <v>317</v>
      </c>
      <c r="D758" t="s">
        <v>3718</v>
      </c>
      <c r="E758" t="s">
        <v>3727</v>
      </c>
      <c r="F758">
        <v>20170104</v>
      </c>
      <c r="G758" t="s">
        <v>9338</v>
      </c>
      <c r="H758" t="s">
        <v>242</v>
      </c>
      <c r="I758" t="s">
        <v>242</v>
      </c>
      <c r="J758" t="s">
        <v>242</v>
      </c>
      <c r="K758" t="s">
        <v>241</v>
      </c>
      <c r="L758" t="s">
        <v>242</v>
      </c>
      <c r="M758">
        <v>39.340159999999997</v>
      </c>
      <c r="N758">
        <v>-123.22928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0.31</v>
      </c>
      <c r="U758">
        <v>0.31</v>
      </c>
      <c r="V758">
        <v>0.31</v>
      </c>
      <c r="W758">
        <v>0.31</v>
      </c>
      <c r="X758">
        <v>1</v>
      </c>
      <c r="Y758">
        <v>0</v>
      </c>
      <c r="Z758">
        <v>0</v>
      </c>
      <c r="AA758" t="s">
        <v>9333</v>
      </c>
      <c r="AB758" t="s">
        <v>242</v>
      </c>
      <c r="AC758" t="s">
        <v>3213</v>
      </c>
    </row>
    <row r="759" spans="1:29" x14ac:dyDescent="0.25">
      <c r="A759" t="s">
        <v>392</v>
      </c>
      <c r="B759" t="s">
        <v>254</v>
      </c>
      <c r="C759" t="s">
        <v>317</v>
      </c>
      <c r="D759" t="s">
        <v>3718</v>
      </c>
      <c r="E759" t="s">
        <v>3727</v>
      </c>
      <c r="F759">
        <v>20170906</v>
      </c>
      <c r="G759" t="s">
        <v>9338</v>
      </c>
      <c r="H759" t="s">
        <v>242</v>
      </c>
      <c r="I759" t="s">
        <v>242</v>
      </c>
      <c r="J759" t="s">
        <v>242</v>
      </c>
      <c r="K759" t="s">
        <v>241</v>
      </c>
      <c r="L759" t="s">
        <v>242</v>
      </c>
      <c r="M759">
        <v>39.3446</v>
      </c>
      <c r="N759">
        <v>-123.2283</v>
      </c>
      <c r="O759">
        <v>0.04</v>
      </c>
      <c r="P759">
        <v>0.04</v>
      </c>
      <c r="Q759">
        <v>0.04</v>
      </c>
      <c r="R759">
        <v>0.02</v>
      </c>
      <c r="S759">
        <v>0.02</v>
      </c>
      <c r="T759">
        <v>0.02</v>
      </c>
      <c r="U759">
        <v>0</v>
      </c>
      <c r="V759">
        <v>0</v>
      </c>
      <c r="W759">
        <v>0</v>
      </c>
      <c r="X759">
        <v>0</v>
      </c>
      <c r="Y759">
        <v>0.02</v>
      </c>
      <c r="Z759">
        <v>0.04</v>
      </c>
      <c r="AA759" t="s">
        <v>9333</v>
      </c>
      <c r="AB759" t="s">
        <v>242</v>
      </c>
      <c r="AC759" t="s">
        <v>3213</v>
      </c>
    </row>
    <row r="760" spans="1:29" x14ac:dyDescent="0.25">
      <c r="A760" t="s">
        <v>347</v>
      </c>
      <c r="B760" t="s">
        <v>254</v>
      </c>
      <c r="C760" t="s">
        <v>348</v>
      </c>
      <c r="D760" t="s">
        <v>3718</v>
      </c>
      <c r="E760" t="s">
        <v>3727</v>
      </c>
      <c r="F760">
        <v>20190301</v>
      </c>
      <c r="G760" t="s">
        <v>9338</v>
      </c>
      <c r="H760" t="s">
        <v>242</v>
      </c>
      <c r="I760" t="s">
        <v>242</v>
      </c>
      <c r="J760" t="s">
        <v>242</v>
      </c>
      <c r="K760" t="s">
        <v>241</v>
      </c>
      <c r="L760" t="s">
        <v>242</v>
      </c>
      <c r="M760">
        <v>39.219659999999998</v>
      </c>
      <c r="N760">
        <v>-123.0791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 t="s">
        <v>9333</v>
      </c>
      <c r="AB760" t="s">
        <v>242</v>
      </c>
      <c r="AC760" t="s">
        <v>3213</v>
      </c>
    </row>
    <row r="761" spans="1:29" x14ac:dyDescent="0.25">
      <c r="A761" t="s">
        <v>325</v>
      </c>
      <c r="B761" t="s">
        <v>254</v>
      </c>
      <c r="C761" t="s">
        <v>326</v>
      </c>
      <c r="D761" t="s">
        <v>3718</v>
      </c>
      <c r="E761" t="s">
        <v>3210</v>
      </c>
      <c r="F761">
        <v>20191018</v>
      </c>
      <c r="G761" t="s">
        <v>9338</v>
      </c>
      <c r="H761" t="s">
        <v>242</v>
      </c>
      <c r="I761" t="s">
        <v>242</v>
      </c>
      <c r="J761" t="s">
        <v>242</v>
      </c>
      <c r="K761" t="s">
        <v>241</v>
      </c>
      <c r="L761" t="s">
        <v>242</v>
      </c>
      <c r="M761">
        <v>39.2532</v>
      </c>
      <c r="N761">
        <v>-123.14579999999999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 t="s">
        <v>9333</v>
      </c>
      <c r="AB761" t="s">
        <v>242</v>
      </c>
      <c r="AC761" t="s">
        <v>3213</v>
      </c>
    </row>
    <row r="762" spans="1:29" x14ac:dyDescent="0.25">
      <c r="A762" t="s">
        <v>3173</v>
      </c>
      <c r="B762" t="s">
        <v>254</v>
      </c>
      <c r="C762" t="e">
        <v>#N/A</v>
      </c>
      <c r="D762" t="s">
        <v>4005</v>
      </c>
      <c r="E762" t="s">
        <v>3727</v>
      </c>
      <c r="I762" t="s">
        <v>242</v>
      </c>
      <c r="L762" t="s">
        <v>242</v>
      </c>
    </row>
    <row r="763" spans="1:29" x14ac:dyDescent="0.25">
      <c r="A763" t="s">
        <v>455</v>
      </c>
      <c r="B763" t="s">
        <v>254</v>
      </c>
      <c r="C763" t="s">
        <v>317</v>
      </c>
      <c r="D763" t="s">
        <v>4005</v>
      </c>
      <c r="E763" t="s">
        <v>3727</v>
      </c>
      <c r="F763">
        <v>20130222</v>
      </c>
      <c r="G763" t="s">
        <v>9338</v>
      </c>
      <c r="H763" t="s">
        <v>242</v>
      </c>
      <c r="I763" t="s">
        <v>242</v>
      </c>
      <c r="J763" t="s">
        <v>242</v>
      </c>
      <c r="K763" t="s">
        <v>241</v>
      </c>
      <c r="L763" t="s">
        <v>242</v>
      </c>
      <c r="M763">
        <v>39.208100000000002</v>
      </c>
      <c r="N763">
        <v>-123.2003</v>
      </c>
      <c r="O763">
        <v>2</v>
      </c>
      <c r="P763">
        <v>1.33</v>
      </c>
      <c r="Q763">
        <v>0</v>
      </c>
      <c r="R763">
        <v>3.2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 t="s">
        <v>9335</v>
      </c>
      <c r="AB763" t="s">
        <v>242</v>
      </c>
      <c r="AC763" t="s">
        <v>3213</v>
      </c>
    </row>
    <row r="764" spans="1:29" x14ac:dyDescent="0.25">
      <c r="A764" t="s">
        <v>3174</v>
      </c>
      <c r="B764" t="s">
        <v>254</v>
      </c>
      <c r="C764" t="e">
        <v>#N/A</v>
      </c>
      <c r="D764" t="s">
        <v>4005</v>
      </c>
      <c r="E764" t="s">
        <v>3727</v>
      </c>
      <c r="I764" t="s">
        <v>242</v>
      </c>
      <c r="L764" t="s">
        <v>242</v>
      </c>
    </row>
    <row r="765" spans="1:29" x14ac:dyDescent="0.25">
      <c r="A765" t="s">
        <v>412</v>
      </c>
      <c r="B765" t="s">
        <v>254</v>
      </c>
      <c r="C765" t="s">
        <v>317</v>
      </c>
      <c r="D765" t="s">
        <v>4005</v>
      </c>
      <c r="E765" t="s">
        <v>3727</v>
      </c>
      <c r="F765">
        <v>20150128</v>
      </c>
      <c r="G765" t="s">
        <v>9334</v>
      </c>
      <c r="H765" t="s">
        <v>242</v>
      </c>
      <c r="I765" t="s">
        <v>242</v>
      </c>
      <c r="J765" t="s">
        <v>242</v>
      </c>
      <c r="K765" t="s">
        <v>241</v>
      </c>
      <c r="L765" t="s">
        <v>242</v>
      </c>
      <c r="M765">
        <v>39.250999999999998</v>
      </c>
      <c r="N765">
        <v>-123.2033</v>
      </c>
      <c r="O765">
        <v>3.31</v>
      </c>
      <c r="P765">
        <v>3.68</v>
      </c>
      <c r="Q765">
        <v>2.85</v>
      </c>
      <c r="R765">
        <v>2.2000000000000002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 t="s">
        <v>9335</v>
      </c>
      <c r="AB765" t="s">
        <v>242</v>
      </c>
      <c r="AC765" t="s">
        <v>3213</v>
      </c>
    </row>
    <row r="766" spans="1:29" x14ac:dyDescent="0.25">
      <c r="A766" t="s">
        <v>415</v>
      </c>
      <c r="B766" t="s">
        <v>254</v>
      </c>
      <c r="C766" t="s">
        <v>333</v>
      </c>
      <c r="D766" t="s">
        <v>4005</v>
      </c>
      <c r="E766" t="s">
        <v>3727</v>
      </c>
      <c r="F766">
        <v>20150216</v>
      </c>
      <c r="G766" t="s">
        <v>9338</v>
      </c>
      <c r="H766" t="s">
        <v>242</v>
      </c>
      <c r="I766" t="s">
        <v>242</v>
      </c>
      <c r="J766" t="s">
        <v>242</v>
      </c>
      <c r="K766" t="s">
        <v>241</v>
      </c>
      <c r="L766" t="s">
        <v>242</v>
      </c>
      <c r="M766">
        <v>39.11</v>
      </c>
      <c r="N766">
        <v>-123.20440000000001</v>
      </c>
      <c r="O766">
        <v>1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 t="s">
        <v>9343</v>
      </c>
      <c r="AB766" t="s">
        <v>242</v>
      </c>
      <c r="AC766" t="s">
        <v>3213</v>
      </c>
    </row>
    <row r="767" spans="1:29" x14ac:dyDescent="0.25">
      <c r="A767" t="s">
        <v>360</v>
      </c>
      <c r="B767" t="s">
        <v>254</v>
      </c>
      <c r="C767" t="s">
        <v>354</v>
      </c>
      <c r="D767" t="s">
        <v>4005</v>
      </c>
      <c r="E767" t="s">
        <v>3210</v>
      </c>
      <c r="F767">
        <v>20180403</v>
      </c>
      <c r="G767" t="s">
        <v>9334</v>
      </c>
      <c r="H767" t="s">
        <v>242</v>
      </c>
      <c r="I767" t="s">
        <v>242</v>
      </c>
      <c r="J767" t="s">
        <v>242</v>
      </c>
      <c r="K767" t="s">
        <v>241</v>
      </c>
      <c r="L767" t="s">
        <v>242</v>
      </c>
      <c r="M767">
        <v>38.857508000000003</v>
      </c>
      <c r="N767">
        <v>-122.972279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 t="s">
        <v>9335</v>
      </c>
      <c r="AB767" t="s">
        <v>242</v>
      </c>
      <c r="AC767" t="s">
        <v>3213</v>
      </c>
    </row>
    <row r="768" spans="1:29" x14ac:dyDescent="0.25">
      <c r="A768" t="s">
        <v>327</v>
      </c>
      <c r="B768" t="s">
        <v>254</v>
      </c>
      <c r="C768" t="s">
        <v>311</v>
      </c>
      <c r="D768" t="s">
        <v>4005</v>
      </c>
      <c r="E768" t="s">
        <v>3727</v>
      </c>
      <c r="F768">
        <v>20190917</v>
      </c>
      <c r="G768" t="s">
        <v>9338</v>
      </c>
      <c r="H768" t="s">
        <v>242</v>
      </c>
      <c r="I768" t="s">
        <v>242</v>
      </c>
      <c r="J768" t="s">
        <v>242</v>
      </c>
      <c r="K768" t="s">
        <v>241</v>
      </c>
      <c r="L768" t="s">
        <v>242</v>
      </c>
      <c r="M768">
        <v>38.66852128</v>
      </c>
      <c r="N768">
        <v>-122.8017641</v>
      </c>
      <c r="O768">
        <v>1.83</v>
      </c>
      <c r="P768">
        <v>1.83</v>
      </c>
      <c r="Q768">
        <v>1.83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1.83</v>
      </c>
      <c r="Y768">
        <v>1.83</v>
      </c>
      <c r="Z768">
        <v>1.83</v>
      </c>
      <c r="AA768" t="s">
        <v>9335</v>
      </c>
      <c r="AB768" t="s">
        <v>241</v>
      </c>
      <c r="AC768" t="s">
        <v>3229</v>
      </c>
    </row>
    <row r="769" spans="1:29" x14ac:dyDescent="0.25">
      <c r="A769" t="s">
        <v>361</v>
      </c>
      <c r="B769" t="s">
        <v>254</v>
      </c>
      <c r="C769" t="s">
        <v>319</v>
      </c>
      <c r="D769" t="s">
        <v>4157</v>
      </c>
      <c r="E769" t="s">
        <v>3727</v>
      </c>
      <c r="F769">
        <v>20180206</v>
      </c>
      <c r="G769" t="s">
        <v>9338</v>
      </c>
      <c r="H769" t="s">
        <v>242</v>
      </c>
      <c r="I769" t="s">
        <v>242</v>
      </c>
      <c r="J769" t="s">
        <v>242</v>
      </c>
      <c r="K769" t="s">
        <v>241</v>
      </c>
      <c r="L769" t="s">
        <v>242</v>
      </c>
      <c r="M769">
        <v>38.992699999999999</v>
      </c>
      <c r="N769">
        <v>-123.215</v>
      </c>
      <c r="O769">
        <v>0.02</v>
      </c>
      <c r="P769">
        <v>0.02</v>
      </c>
      <c r="Q769">
        <v>0.03</v>
      </c>
      <c r="R769">
        <v>0.03</v>
      </c>
      <c r="S769">
        <v>0.05</v>
      </c>
      <c r="T769">
        <v>0.05</v>
      </c>
      <c r="U769">
        <v>0</v>
      </c>
      <c r="V769">
        <v>0</v>
      </c>
      <c r="W769">
        <v>0</v>
      </c>
      <c r="X769">
        <v>0</v>
      </c>
      <c r="Y769">
        <v>0.02</v>
      </c>
      <c r="Z769">
        <v>0</v>
      </c>
      <c r="AA769" t="s">
        <v>9335</v>
      </c>
      <c r="AB769" t="s">
        <v>242</v>
      </c>
      <c r="AC769" t="s">
        <v>3213</v>
      </c>
    </row>
    <row r="770" spans="1:29" x14ac:dyDescent="0.25">
      <c r="A770" t="s">
        <v>363</v>
      </c>
      <c r="B770" t="s">
        <v>254</v>
      </c>
      <c r="C770" t="s">
        <v>317</v>
      </c>
      <c r="D770" t="s">
        <v>4157</v>
      </c>
      <c r="E770" t="s">
        <v>3727</v>
      </c>
      <c r="F770">
        <v>20180330</v>
      </c>
      <c r="G770" t="s">
        <v>9338</v>
      </c>
      <c r="H770" t="s">
        <v>242</v>
      </c>
      <c r="I770" t="s">
        <v>242</v>
      </c>
      <c r="J770" t="s">
        <v>242</v>
      </c>
      <c r="K770" t="s">
        <v>241</v>
      </c>
      <c r="L770" t="s">
        <v>242</v>
      </c>
      <c r="M770">
        <v>39.260199999999998</v>
      </c>
      <c r="N770">
        <v>-123.17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 t="s">
        <v>9335</v>
      </c>
      <c r="AB770" t="s">
        <v>242</v>
      </c>
      <c r="AC770" t="s">
        <v>3213</v>
      </c>
    </row>
    <row r="771" spans="1:29" x14ac:dyDescent="0.25">
      <c r="A771" t="s">
        <v>364</v>
      </c>
      <c r="B771" t="s">
        <v>254</v>
      </c>
      <c r="C771" t="s">
        <v>317</v>
      </c>
      <c r="D771" t="s">
        <v>4157</v>
      </c>
      <c r="E771" t="s">
        <v>3727</v>
      </c>
      <c r="F771">
        <v>20180321</v>
      </c>
      <c r="G771" t="s">
        <v>9338</v>
      </c>
      <c r="H771" t="s">
        <v>242</v>
      </c>
      <c r="I771" t="s">
        <v>242</v>
      </c>
      <c r="J771" t="s">
        <v>242</v>
      </c>
      <c r="K771" t="s">
        <v>241</v>
      </c>
      <c r="L771" t="s">
        <v>242</v>
      </c>
      <c r="M771">
        <v>39.220402780000001</v>
      </c>
      <c r="N771">
        <v>-123.2947917</v>
      </c>
      <c r="O771">
        <v>0.27</v>
      </c>
      <c r="P771">
        <v>0.27</v>
      </c>
      <c r="Q771">
        <v>0.27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0.27</v>
      </c>
      <c r="Z771">
        <v>0.27</v>
      </c>
      <c r="AA771" t="s">
        <v>9335</v>
      </c>
      <c r="AB771" t="s">
        <v>242</v>
      </c>
      <c r="AC771" t="s">
        <v>3213</v>
      </c>
    </row>
    <row r="772" spans="1:29" x14ac:dyDescent="0.25">
      <c r="A772" t="s">
        <v>365</v>
      </c>
      <c r="B772" t="s">
        <v>254</v>
      </c>
      <c r="C772" t="s">
        <v>319</v>
      </c>
      <c r="D772" t="s">
        <v>4157</v>
      </c>
      <c r="E772" t="s">
        <v>3727</v>
      </c>
      <c r="F772">
        <v>20180927</v>
      </c>
      <c r="G772" t="s">
        <v>9338</v>
      </c>
      <c r="H772" t="s">
        <v>242</v>
      </c>
      <c r="I772" t="s">
        <v>242</v>
      </c>
      <c r="J772" t="s">
        <v>242</v>
      </c>
      <c r="K772" t="s">
        <v>241</v>
      </c>
      <c r="L772" t="s">
        <v>242</v>
      </c>
      <c r="M772">
        <v>39.012</v>
      </c>
      <c r="N772">
        <v>-123.1863</v>
      </c>
      <c r="O772">
        <v>0.61</v>
      </c>
      <c r="P772">
        <v>0.61</v>
      </c>
      <c r="Q772">
        <v>0.61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0.61</v>
      </c>
      <c r="Z772">
        <v>0.61</v>
      </c>
      <c r="AA772" t="s">
        <v>9335</v>
      </c>
      <c r="AB772" t="s">
        <v>241</v>
      </c>
      <c r="AC772" t="s">
        <v>3213</v>
      </c>
    </row>
    <row r="773" spans="1:29" x14ac:dyDescent="0.25">
      <c r="A773" t="s">
        <v>368</v>
      </c>
      <c r="B773" t="s">
        <v>254</v>
      </c>
      <c r="C773" t="s">
        <v>317</v>
      </c>
      <c r="D773" t="s">
        <v>4157</v>
      </c>
      <c r="E773" t="s">
        <v>3727</v>
      </c>
      <c r="F773">
        <v>20181009</v>
      </c>
      <c r="G773" t="s">
        <v>9338</v>
      </c>
      <c r="H773" t="s">
        <v>242</v>
      </c>
      <c r="I773" t="s">
        <v>242</v>
      </c>
      <c r="J773" t="s">
        <v>242</v>
      </c>
      <c r="K773" t="s">
        <v>241</v>
      </c>
      <c r="L773" t="s">
        <v>242</v>
      </c>
      <c r="M773">
        <v>39.326000000000001</v>
      </c>
      <c r="N773">
        <v>-123.3767</v>
      </c>
      <c r="O773">
        <v>0.03</v>
      </c>
      <c r="P773">
        <v>0.02</v>
      </c>
      <c r="Q773">
        <v>0.02</v>
      </c>
      <c r="R773">
        <v>0.02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 t="s">
        <v>9335</v>
      </c>
      <c r="AB773" t="s">
        <v>242</v>
      </c>
      <c r="AC773" t="s">
        <v>3213</v>
      </c>
    </row>
    <row r="774" spans="1:29" x14ac:dyDescent="0.25">
      <c r="A774" t="s">
        <v>382</v>
      </c>
      <c r="B774" t="s">
        <v>254</v>
      </c>
      <c r="C774" t="s">
        <v>348</v>
      </c>
      <c r="D774" t="s">
        <v>4157</v>
      </c>
      <c r="E774" t="s">
        <v>3727</v>
      </c>
      <c r="F774">
        <v>20180426</v>
      </c>
      <c r="G774" t="s">
        <v>9338</v>
      </c>
      <c r="H774" t="s">
        <v>242</v>
      </c>
      <c r="I774" t="s">
        <v>242</v>
      </c>
      <c r="J774" t="s">
        <v>242</v>
      </c>
      <c r="K774" t="s">
        <v>241</v>
      </c>
      <c r="L774" t="s">
        <v>242</v>
      </c>
      <c r="M774">
        <v>39.317399999999999</v>
      </c>
      <c r="N774">
        <v>-123.0275</v>
      </c>
      <c r="O774">
        <v>0.04</v>
      </c>
      <c r="P774">
        <v>0.04</v>
      </c>
      <c r="Q774">
        <v>0.04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 t="s">
        <v>9335</v>
      </c>
      <c r="AB774" t="s">
        <v>242</v>
      </c>
      <c r="AC774" t="s">
        <v>3213</v>
      </c>
    </row>
    <row r="775" spans="1:29" x14ac:dyDescent="0.25">
      <c r="A775" t="s">
        <v>370</v>
      </c>
      <c r="B775" t="s">
        <v>254</v>
      </c>
      <c r="C775" t="s">
        <v>319</v>
      </c>
      <c r="D775" t="s">
        <v>4157</v>
      </c>
      <c r="E775" t="s">
        <v>3727</v>
      </c>
      <c r="F775">
        <v>20180423</v>
      </c>
      <c r="G775" t="s">
        <v>9338</v>
      </c>
      <c r="H775" t="s">
        <v>242</v>
      </c>
      <c r="I775" t="s">
        <v>242</v>
      </c>
      <c r="J775" t="s">
        <v>242</v>
      </c>
      <c r="K775" t="s">
        <v>241</v>
      </c>
      <c r="L775" t="s">
        <v>242</v>
      </c>
      <c r="M775">
        <v>38.976700000000001</v>
      </c>
      <c r="N775">
        <v>-123.1955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0.03</v>
      </c>
      <c r="U775">
        <v>0.03</v>
      </c>
      <c r="V775">
        <v>0.03</v>
      </c>
      <c r="W775">
        <v>0</v>
      </c>
      <c r="X775">
        <v>0</v>
      </c>
      <c r="Y775">
        <v>0</v>
      </c>
      <c r="Z775">
        <v>0</v>
      </c>
      <c r="AA775" t="s">
        <v>9335</v>
      </c>
      <c r="AB775" t="s">
        <v>242</v>
      </c>
      <c r="AC775" t="s">
        <v>3213</v>
      </c>
    </row>
    <row r="776" spans="1:29" x14ac:dyDescent="0.25">
      <c r="A776" t="s">
        <v>371</v>
      </c>
      <c r="B776" t="s">
        <v>254</v>
      </c>
      <c r="C776" t="s">
        <v>319</v>
      </c>
      <c r="D776" t="s">
        <v>4157</v>
      </c>
      <c r="E776" t="s">
        <v>3727</v>
      </c>
      <c r="F776">
        <v>20180612</v>
      </c>
      <c r="G776" t="s">
        <v>9338</v>
      </c>
      <c r="H776" t="s">
        <v>242</v>
      </c>
      <c r="I776" t="s">
        <v>242</v>
      </c>
      <c r="J776" t="s">
        <v>242</v>
      </c>
      <c r="K776" t="s">
        <v>241</v>
      </c>
      <c r="L776" t="s">
        <v>242</v>
      </c>
      <c r="M776">
        <v>39.004399999999997</v>
      </c>
      <c r="N776">
        <v>-123.1915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 t="s">
        <v>9335</v>
      </c>
      <c r="AB776" t="s">
        <v>242</v>
      </c>
      <c r="AC776" t="s">
        <v>3213</v>
      </c>
    </row>
    <row r="777" spans="1:29" x14ac:dyDescent="0.25">
      <c r="A777" t="s">
        <v>383</v>
      </c>
      <c r="B777" t="s">
        <v>254</v>
      </c>
      <c r="C777" t="s">
        <v>348</v>
      </c>
      <c r="D777" t="s">
        <v>4157</v>
      </c>
      <c r="E777" t="s">
        <v>3727</v>
      </c>
      <c r="F777">
        <v>20180612</v>
      </c>
      <c r="G777" t="s">
        <v>9338</v>
      </c>
      <c r="H777" t="s">
        <v>242</v>
      </c>
      <c r="I777" t="s">
        <v>242</v>
      </c>
      <c r="J777" t="s">
        <v>242</v>
      </c>
      <c r="K777" t="s">
        <v>241</v>
      </c>
      <c r="L777" t="s">
        <v>242</v>
      </c>
      <c r="M777">
        <v>39.29296909</v>
      </c>
      <c r="N777">
        <v>-123.03758190000001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 t="s">
        <v>9335</v>
      </c>
      <c r="AB777" t="s">
        <v>242</v>
      </c>
      <c r="AC777" t="s">
        <v>3213</v>
      </c>
    </row>
    <row r="778" spans="1:29" x14ac:dyDescent="0.25">
      <c r="A778" t="s">
        <v>373</v>
      </c>
      <c r="B778" t="s">
        <v>254</v>
      </c>
      <c r="C778" t="s">
        <v>319</v>
      </c>
      <c r="D778" t="s">
        <v>4157</v>
      </c>
      <c r="E778" t="s">
        <v>3727</v>
      </c>
      <c r="F778">
        <v>20180718</v>
      </c>
      <c r="G778" t="s">
        <v>9338</v>
      </c>
      <c r="H778" t="s">
        <v>242</v>
      </c>
      <c r="I778" t="s">
        <v>242</v>
      </c>
      <c r="J778" t="s">
        <v>242</v>
      </c>
      <c r="K778" t="s">
        <v>241</v>
      </c>
      <c r="L778" t="s">
        <v>242</v>
      </c>
      <c r="M778">
        <v>38.974400000000003</v>
      </c>
      <c r="N778">
        <v>-123.1919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 t="s">
        <v>9335</v>
      </c>
      <c r="AB778" t="s">
        <v>242</v>
      </c>
      <c r="AC778" t="s">
        <v>3213</v>
      </c>
    </row>
    <row r="779" spans="1:29" x14ac:dyDescent="0.25">
      <c r="A779" t="s">
        <v>376</v>
      </c>
      <c r="B779" t="s">
        <v>254</v>
      </c>
      <c r="C779" t="s">
        <v>331</v>
      </c>
      <c r="D779" t="s">
        <v>4157</v>
      </c>
      <c r="E779" t="s">
        <v>3727</v>
      </c>
      <c r="F779">
        <v>20180712</v>
      </c>
      <c r="G779" t="s">
        <v>9338</v>
      </c>
      <c r="H779" t="s">
        <v>242</v>
      </c>
      <c r="I779" t="s">
        <v>242</v>
      </c>
      <c r="J779" t="s">
        <v>242</v>
      </c>
      <c r="K779" t="s">
        <v>241</v>
      </c>
      <c r="L779" t="s">
        <v>242</v>
      </c>
      <c r="M779">
        <v>39.213799999999999</v>
      </c>
      <c r="N779">
        <v>-123.28919999999999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 t="s">
        <v>9335</v>
      </c>
      <c r="AB779" t="s">
        <v>242</v>
      </c>
      <c r="AC779" t="s">
        <v>3213</v>
      </c>
    </row>
    <row r="780" spans="1:29" x14ac:dyDescent="0.25">
      <c r="A780" t="s">
        <v>379</v>
      </c>
      <c r="B780" t="s">
        <v>254</v>
      </c>
      <c r="C780" t="s">
        <v>319</v>
      </c>
      <c r="D780" t="s">
        <v>4157</v>
      </c>
      <c r="E780" t="s">
        <v>3727</v>
      </c>
      <c r="F780">
        <v>20181002</v>
      </c>
      <c r="G780" t="s">
        <v>9338</v>
      </c>
      <c r="H780" t="s">
        <v>242</v>
      </c>
      <c r="I780" t="s">
        <v>242</v>
      </c>
      <c r="J780" t="s">
        <v>242</v>
      </c>
      <c r="K780" t="s">
        <v>241</v>
      </c>
      <c r="L780" t="s">
        <v>242</v>
      </c>
      <c r="M780">
        <v>38.987299999999998</v>
      </c>
      <c r="N780">
        <v>-123.1915</v>
      </c>
      <c r="O780">
        <v>0.01</v>
      </c>
      <c r="P780">
        <v>0.01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0.01</v>
      </c>
      <c r="Z780">
        <v>0.01</v>
      </c>
      <c r="AA780" t="s">
        <v>9335</v>
      </c>
      <c r="AB780" t="s">
        <v>242</v>
      </c>
      <c r="AC780" t="s">
        <v>3213</v>
      </c>
    </row>
    <row r="781" spans="1:29" x14ac:dyDescent="0.25">
      <c r="A781" t="s">
        <v>380</v>
      </c>
      <c r="B781" t="s">
        <v>254</v>
      </c>
      <c r="C781" t="s">
        <v>319</v>
      </c>
      <c r="D781" t="s">
        <v>4157</v>
      </c>
      <c r="E781" t="s">
        <v>3727</v>
      </c>
      <c r="F781">
        <v>20181102</v>
      </c>
      <c r="G781" t="s">
        <v>9338</v>
      </c>
      <c r="H781" t="s">
        <v>242</v>
      </c>
      <c r="I781" t="s">
        <v>242</v>
      </c>
      <c r="J781" t="s">
        <v>242</v>
      </c>
      <c r="K781" t="s">
        <v>241</v>
      </c>
      <c r="L781" t="s">
        <v>242</v>
      </c>
      <c r="M781">
        <v>38.981000000000002</v>
      </c>
      <c r="N781">
        <v>-122.9939</v>
      </c>
      <c r="O781">
        <v>0.02</v>
      </c>
      <c r="P781">
        <v>0.02</v>
      </c>
      <c r="Q781">
        <v>0.02</v>
      </c>
      <c r="R781">
        <v>0.02</v>
      </c>
      <c r="S781">
        <v>0.02</v>
      </c>
      <c r="T781">
        <v>0.02</v>
      </c>
      <c r="U781">
        <v>0.03</v>
      </c>
      <c r="V781">
        <v>0.03</v>
      </c>
      <c r="W781">
        <v>0.03</v>
      </c>
      <c r="X781">
        <v>0.02</v>
      </c>
      <c r="Y781">
        <v>0.01</v>
      </c>
      <c r="Z781">
        <v>8.9999999999999993E-3</v>
      </c>
      <c r="AA781" t="s">
        <v>9335</v>
      </c>
      <c r="AB781" t="s">
        <v>242</v>
      </c>
      <c r="AC781" t="s">
        <v>3213</v>
      </c>
    </row>
    <row r="782" spans="1:29" x14ac:dyDescent="0.25">
      <c r="A782" t="s">
        <v>330</v>
      </c>
      <c r="B782" t="s">
        <v>254</v>
      </c>
      <c r="C782" t="s">
        <v>331</v>
      </c>
      <c r="D782" t="s">
        <v>4157</v>
      </c>
      <c r="E782" t="s">
        <v>3727</v>
      </c>
      <c r="F782">
        <v>20190405</v>
      </c>
      <c r="G782" t="s">
        <v>9338</v>
      </c>
      <c r="H782" t="s">
        <v>242</v>
      </c>
      <c r="I782" t="s">
        <v>242</v>
      </c>
      <c r="J782" t="s">
        <v>242</v>
      </c>
      <c r="K782" t="s">
        <v>241</v>
      </c>
      <c r="L782" t="s">
        <v>242</v>
      </c>
      <c r="M782">
        <v>39.174968</v>
      </c>
      <c r="N782">
        <v>-123.27254000000001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 t="s">
        <v>9335</v>
      </c>
      <c r="AB782" t="s">
        <v>242</v>
      </c>
      <c r="AC782" t="s">
        <v>3213</v>
      </c>
    </row>
    <row r="783" spans="1:29" x14ac:dyDescent="0.25">
      <c r="A783" t="s">
        <v>332</v>
      </c>
      <c r="B783" t="s">
        <v>254</v>
      </c>
      <c r="C783" t="s">
        <v>333</v>
      </c>
      <c r="D783" t="s">
        <v>4157</v>
      </c>
      <c r="E783" t="s">
        <v>3727</v>
      </c>
      <c r="F783">
        <v>20190514</v>
      </c>
      <c r="G783" t="s">
        <v>9338</v>
      </c>
      <c r="H783" t="s">
        <v>242</v>
      </c>
      <c r="I783" t="s">
        <v>242</v>
      </c>
      <c r="J783" t="s">
        <v>242</v>
      </c>
      <c r="K783" t="s">
        <v>241</v>
      </c>
      <c r="L783" t="s">
        <v>242</v>
      </c>
      <c r="M783">
        <v>39.125711000000003</v>
      </c>
      <c r="N783">
        <v>-123.27431900000001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 t="s">
        <v>9335</v>
      </c>
      <c r="AB783" t="s">
        <v>242</v>
      </c>
      <c r="AC783" t="s">
        <v>3213</v>
      </c>
    </row>
    <row r="784" spans="1:29" x14ac:dyDescent="0.25">
      <c r="A784" t="s">
        <v>334</v>
      </c>
      <c r="B784" t="s">
        <v>254</v>
      </c>
      <c r="C784" t="s">
        <v>317</v>
      </c>
      <c r="D784" t="s">
        <v>4157</v>
      </c>
      <c r="E784" t="s">
        <v>3727</v>
      </c>
      <c r="F784">
        <v>20190412</v>
      </c>
      <c r="G784" t="s">
        <v>9338</v>
      </c>
      <c r="H784" t="s">
        <v>242</v>
      </c>
      <c r="I784" t="s">
        <v>242</v>
      </c>
      <c r="J784" t="s">
        <v>242</v>
      </c>
      <c r="K784" t="s">
        <v>241</v>
      </c>
      <c r="L784" t="s">
        <v>242</v>
      </c>
      <c r="M784">
        <v>39.347493999999998</v>
      </c>
      <c r="N784">
        <v>-123.379389</v>
      </c>
      <c r="O784">
        <v>0.04</v>
      </c>
      <c r="P784">
        <v>0.04</v>
      </c>
      <c r="Q784">
        <v>0.03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0.04</v>
      </c>
      <c r="Z784">
        <v>0.04</v>
      </c>
      <c r="AA784" t="s">
        <v>9335</v>
      </c>
      <c r="AB784" t="s">
        <v>242</v>
      </c>
      <c r="AC784" t="s">
        <v>3213</v>
      </c>
    </row>
    <row r="785" spans="1:29" x14ac:dyDescent="0.25">
      <c r="A785" t="s">
        <v>335</v>
      </c>
      <c r="B785" t="s">
        <v>254</v>
      </c>
      <c r="C785" t="s">
        <v>331</v>
      </c>
      <c r="D785" t="s">
        <v>4157</v>
      </c>
      <c r="E785" t="s">
        <v>3727</v>
      </c>
      <c r="F785">
        <v>20191018</v>
      </c>
      <c r="G785" t="s">
        <v>9338</v>
      </c>
      <c r="H785" t="s">
        <v>241</v>
      </c>
      <c r="I785" t="s">
        <v>242</v>
      </c>
      <c r="J785" t="s">
        <v>242</v>
      </c>
      <c r="K785" t="s">
        <v>241</v>
      </c>
      <c r="L785" t="s">
        <v>242</v>
      </c>
      <c r="M785">
        <v>39.189916459999999</v>
      </c>
      <c r="N785">
        <v>-123.1967461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 t="s">
        <v>9335</v>
      </c>
      <c r="AB785" t="s">
        <v>242</v>
      </c>
      <c r="AC785" t="s">
        <v>3213</v>
      </c>
    </row>
    <row r="786" spans="1:29" x14ac:dyDescent="0.25">
      <c r="A786" t="s">
        <v>337</v>
      </c>
      <c r="B786" t="s">
        <v>254</v>
      </c>
      <c r="C786" t="s">
        <v>319</v>
      </c>
      <c r="D786" t="s">
        <v>4157</v>
      </c>
      <c r="E786" t="s">
        <v>3727</v>
      </c>
      <c r="F786">
        <v>20190606</v>
      </c>
      <c r="G786" t="s">
        <v>9338</v>
      </c>
      <c r="H786" t="s">
        <v>242</v>
      </c>
      <c r="I786" t="s">
        <v>242</v>
      </c>
      <c r="J786" t="s">
        <v>242</v>
      </c>
      <c r="K786" t="s">
        <v>241</v>
      </c>
      <c r="L786" t="s">
        <v>242</v>
      </c>
      <c r="M786">
        <v>38.97987303</v>
      </c>
      <c r="N786">
        <v>-123.2035187</v>
      </c>
      <c r="O786">
        <v>0.04</v>
      </c>
      <c r="P786">
        <v>0.04</v>
      </c>
      <c r="Q786">
        <v>0.04</v>
      </c>
      <c r="R786">
        <v>0.03</v>
      </c>
      <c r="S786">
        <v>0.03</v>
      </c>
      <c r="T786">
        <v>0.03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 t="s">
        <v>9335</v>
      </c>
      <c r="AB786" t="s">
        <v>242</v>
      </c>
      <c r="AC786" t="s">
        <v>3213</v>
      </c>
    </row>
    <row r="787" spans="1:29" x14ac:dyDescent="0.25">
      <c r="A787" t="s">
        <v>339</v>
      </c>
      <c r="B787" t="s">
        <v>254</v>
      </c>
      <c r="C787" t="s">
        <v>319</v>
      </c>
      <c r="D787" t="s">
        <v>4157</v>
      </c>
      <c r="E787" t="s">
        <v>3727</v>
      </c>
      <c r="F787">
        <v>20190708</v>
      </c>
      <c r="G787" t="s">
        <v>9338</v>
      </c>
      <c r="H787" t="s">
        <v>242</v>
      </c>
      <c r="I787" t="s">
        <v>242</v>
      </c>
      <c r="J787" t="s">
        <v>242</v>
      </c>
      <c r="K787" t="s">
        <v>241</v>
      </c>
      <c r="L787" t="s">
        <v>242</v>
      </c>
      <c r="M787">
        <v>39.003914999999999</v>
      </c>
      <c r="N787">
        <v>-123.17153999999999</v>
      </c>
      <c r="O787">
        <v>0.65</v>
      </c>
      <c r="P787">
        <v>1.28</v>
      </c>
      <c r="Q787">
        <v>0.43</v>
      </c>
      <c r="R787">
        <v>0.04</v>
      </c>
      <c r="S787">
        <v>0.3</v>
      </c>
      <c r="T787">
        <v>0.02</v>
      </c>
      <c r="U787">
        <v>0</v>
      </c>
      <c r="V787">
        <v>0</v>
      </c>
      <c r="W787">
        <v>0</v>
      </c>
      <c r="X787">
        <v>0.08</v>
      </c>
      <c r="Y787">
        <v>0.28999999999999998</v>
      </c>
      <c r="Z787">
        <v>0.67</v>
      </c>
      <c r="AA787" t="s">
        <v>9335</v>
      </c>
      <c r="AB787" t="s">
        <v>242</v>
      </c>
      <c r="AC787" t="s">
        <v>3213</v>
      </c>
    </row>
    <row r="788" spans="1:29" x14ac:dyDescent="0.25">
      <c r="A788" t="s">
        <v>340</v>
      </c>
      <c r="B788" t="s">
        <v>254</v>
      </c>
      <c r="C788" t="s">
        <v>319</v>
      </c>
      <c r="D788" t="s">
        <v>4157</v>
      </c>
      <c r="E788" t="s">
        <v>3727</v>
      </c>
      <c r="F788">
        <v>20190717</v>
      </c>
      <c r="G788" t="s">
        <v>9338</v>
      </c>
      <c r="H788" t="s">
        <v>242</v>
      </c>
      <c r="I788" t="s">
        <v>242</v>
      </c>
      <c r="J788" t="s">
        <v>242</v>
      </c>
      <c r="K788" t="s">
        <v>241</v>
      </c>
      <c r="L788" t="s">
        <v>242</v>
      </c>
      <c r="M788">
        <v>38.996706000000003</v>
      </c>
      <c r="N788">
        <v>-123.155591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 t="s">
        <v>9335</v>
      </c>
      <c r="AB788" t="s">
        <v>242</v>
      </c>
      <c r="AC788" t="s">
        <v>3213</v>
      </c>
    </row>
    <row r="789" spans="1:29" x14ac:dyDescent="0.25">
      <c r="A789" t="s">
        <v>342</v>
      </c>
      <c r="B789" t="s">
        <v>254</v>
      </c>
      <c r="C789" t="s">
        <v>319</v>
      </c>
      <c r="D789" t="s">
        <v>4157</v>
      </c>
      <c r="E789" t="s">
        <v>3727</v>
      </c>
      <c r="F789">
        <v>20190725</v>
      </c>
      <c r="G789" t="s">
        <v>9338</v>
      </c>
      <c r="H789" t="s">
        <v>242</v>
      </c>
      <c r="I789" t="s">
        <v>242</v>
      </c>
      <c r="J789" t="s">
        <v>242</v>
      </c>
      <c r="K789" t="s">
        <v>241</v>
      </c>
      <c r="L789" t="s">
        <v>242</v>
      </c>
      <c r="M789">
        <v>38.971871999999998</v>
      </c>
      <c r="N789">
        <v>-123.18401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 t="s">
        <v>9335</v>
      </c>
      <c r="AB789" t="s">
        <v>242</v>
      </c>
      <c r="AC789" t="s">
        <v>3213</v>
      </c>
    </row>
    <row r="790" spans="1:29" x14ac:dyDescent="0.25">
      <c r="A790" t="s">
        <v>343</v>
      </c>
      <c r="B790" t="s">
        <v>254</v>
      </c>
      <c r="C790" t="s">
        <v>319</v>
      </c>
      <c r="D790" t="s">
        <v>4157</v>
      </c>
      <c r="E790" t="s">
        <v>3727</v>
      </c>
      <c r="F790">
        <v>20190808</v>
      </c>
      <c r="G790" t="s">
        <v>9338</v>
      </c>
      <c r="H790" t="s">
        <v>242</v>
      </c>
      <c r="I790" t="s">
        <v>242</v>
      </c>
      <c r="J790" t="s">
        <v>242</v>
      </c>
      <c r="K790" t="s">
        <v>241</v>
      </c>
      <c r="L790" t="s">
        <v>242</v>
      </c>
      <c r="M790">
        <v>39.000889000000001</v>
      </c>
      <c r="N790">
        <v>-123.196552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 t="s">
        <v>9335</v>
      </c>
      <c r="AB790" t="s">
        <v>242</v>
      </c>
      <c r="AC790" t="s">
        <v>3213</v>
      </c>
    </row>
    <row r="791" spans="1:29" x14ac:dyDescent="0.25">
      <c r="A791" t="s">
        <v>344</v>
      </c>
      <c r="B791" t="s">
        <v>254</v>
      </c>
      <c r="C791" t="s">
        <v>317</v>
      </c>
      <c r="D791" t="s">
        <v>4157</v>
      </c>
      <c r="E791" t="s">
        <v>3727</v>
      </c>
      <c r="F791">
        <v>20190927</v>
      </c>
      <c r="G791" t="s">
        <v>9338</v>
      </c>
      <c r="H791" t="s">
        <v>242</v>
      </c>
      <c r="I791" t="s">
        <v>242</v>
      </c>
      <c r="J791" t="s">
        <v>242</v>
      </c>
      <c r="K791" t="s">
        <v>241</v>
      </c>
      <c r="L791" t="s">
        <v>242</v>
      </c>
      <c r="M791">
        <v>39.34239754</v>
      </c>
      <c r="N791">
        <v>-123.3694131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 t="s">
        <v>9335</v>
      </c>
      <c r="AB791" t="s">
        <v>242</v>
      </c>
      <c r="AC791" t="s">
        <v>3213</v>
      </c>
    </row>
    <row r="792" spans="1:29" x14ac:dyDescent="0.25">
      <c r="A792" t="s">
        <v>316</v>
      </c>
      <c r="B792" t="s">
        <v>254</v>
      </c>
      <c r="C792" t="s">
        <v>317</v>
      </c>
      <c r="D792" t="s">
        <v>4157</v>
      </c>
      <c r="E792" t="s">
        <v>3727</v>
      </c>
      <c r="F792">
        <v>20200914</v>
      </c>
      <c r="G792" t="s">
        <v>9338</v>
      </c>
      <c r="H792" t="s">
        <v>242</v>
      </c>
      <c r="I792" t="s">
        <v>242</v>
      </c>
      <c r="J792" t="s">
        <v>242</v>
      </c>
      <c r="K792" t="s">
        <v>241</v>
      </c>
      <c r="L792" t="s">
        <v>242</v>
      </c>
      <c r="M792">
        <v>39.217272999999999</v>
      </c>
      <c r="N792">
        <v>-123.31689900000001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 t="s">
        <v>9335</v>
      </c>
      <c r="AB792" t="s">
        <v>242</v>
      </c>
      <c r="AC792" t="s">
        <v>3213</v>
      </c>
    </row>
    <row r="793" spans="1:29" x14ac:dyDescent="0.25">
      <c r="A793" t="s">
        <v>3175</v>
      </c>
      <c r="B793" t="s">
        <v>254</v>
      </c>
      <c r="C793" t="e">
        <v>#N/A</v>
      </c>
      <c r="D793" t="s">
        <v>4157</v>
      </c>
      <c r="E793" t="s">
        <v>3727</v>
      </c>
      <c r="I793" t="s">
        <v>242</v>
      </c>
      <c r="L793" t="s">
        <v>242</v>
      </c>
    </row>
    <row r="794" spans="1:29" x14ac:dyDescent="0.25">
      <c r="A794" t="s">
        <v>589</v>
      </c>
      <c r="B794" t="s">
        <v>254</v>
      </c>
      <c r="C794" t="s">
        <v>308</v>
      </c>
      <c r="D794" t="s">
        <v>3741</v>
      </c>
      <c r="E794" t="s">
        <v>3727</v>
      </c>
      <c r="F794">
        <v>20020509</v>
      </c>
      <c r="G794" t="s">
        <v>9338</v>
      </c>
      <c r="H794" t="s">
        <v>242</v>
      </c>
      <c r="I794" t="s">
        <v>242</v>
      </c>
      <c r="J794" t="s">
        <v>242</v>
      </c>
      <c r="K794" t="s">
        <v>241</v>
      </c>
      <c r="L794" t="s">
        <v>242</v>
      </c>
      <c r="M794">
        <v>38.659096650000002</v>
      </c>
      <c r="N794">
        <v>-122.7123653</v>
      </c>
      <c r="O794">
        <v>0.88</v>
      </c>
      <c r="P794">
        <v>0</v>
      </c>
      <c r="Q794">
        <v>0</v>
      </c>
      <c r="R794">
        <v>0.01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0.14000000000000001</v>
      </c>
      <c r="Z794">
        <v>0.44</v>
      </c>
      <c r="AA794" t="s">
        <v>9342</v>
      </c>
      <c r="AB794" t="s">
        <v>242</v>
      </c>
      <c r="AC794" t="s">
        <v>3229</v>
      </c>
    </row>
    <row r="795" spans="1:29" x14ac:dyDescent="0.25">
      <c r="A795" t="s">
        <v>590</v>
      </c>
      <c r="B795" t="s">
        <v>254</v>
      </c>
      <c r="C795" t="s">
        <v>319</v>
      </c>
      <c r="D795" t="s">
        <v>3741</v>
      </c>
      <c r="E795" t="s">
        <v>3727</v>
      </c>
      <c r="F795">
        <v>20020904</v>
      </c>
      <c r="G795" t="s">
        <v>9338</v>
      </c>
      <c r="H795" t="s">
        <v>242</v>
      </c>
      <c r="I795" t="s">
        <v>242</v>
      </c>
      <c r="J795" t="s">
        <v>242</v>
      </c>
      <c r="K795" t="s">
        <v>241</v>
      </c>
      <c r="L795" t="s">
        <v>242</v>
      </c>
      <c r="M795">
        <v>38.955583300000001</v>
      </c>
      <c r="N795">
        <v>-123.0902749</v>
      </c>
      <c r="O795">
        <v>0</v>
      </c>
      <c r="P795">
        <v>0.23</v>
      </c>
      <c r="Q795">
        <v>0</v>
      </c>
      <c r="R795">
        <v>0</v>
      </c>
      <c r="S795">
        <v>0.01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0.05</v>
      </c>
      <c r="Z795">
        <v>0.43</v>
      </c>
      <c r="AA795" t="s">
        <v>9342</v>
      </c>
      <c r="AB795" t="s">
        <v>242</v>
      </c>
      <c r="AC795" t="s">
        <v>3213</v>
      </c>
    </row>
    <row r="796" spans="1:29" x14ac:dyDescent="0.25">
      <c r="A796" t="s">
        <v>591</v>
      </c>
      <c r="B796" t="s">
        <v>254</v>
      </c>
      <c r="C796" t="s">
        <v>317</v>
      </c>
      <c r="D796" t="s">
        <v>3741</v>
      </c>
      <c r="E796" t="s">
        <v>3727</v>
      </c>
      <c r="F796">
        <v>20021217</v>
      </c>
      <c r="G796" t="s">
        <v>9338</v>
      </c>
      <c r="H796" t="s">
        <v>242</v>
      </c>
      <c r="I796" t="s">
        <v>242</v>
      </c>
      <c r="J796" t="s">
        <v>242</v>
      </c>
      <c r="K796" t="s">
        <v>241</v>
      </c>
      <c r="L796" t="s">
        <v>242</v>
      </c>
      <c r="M796">
        <v>39.320368770000002</v>
      </c>
      <c r="N796">
        <v>-123.225877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 t="s">
        <v>9342</v>
      </c>
      <c r="AB796" t="s">
        <v>242</v>
      </c>
      <c r="AC796" t="s">
        <v>3213</v>
      </c>
    </row>
    <row r="797" spans="1:29" x14ac:dyDescent="0.25">
      <c r="A797" t="s">
        <v>564</v>
      </c>
      <c r="B797" t="s">
        <v>254</v>
      </c>
      <c r="C797" t="s">
        <v>308</v>
      </c>
      <c r="D797" t="s">
        <v>3741</v>
      </c>
      <c r="E797" t="s">
        <v>3727</v>
      </c>
      <c r="F797">
        <v>20030128</v>
      </c>
      <c r="G797" t="s">
        <v>9338</v>
      </c>
      <c r="H797" t="s">
        <v>242</v>
      </c>
      <c r="I797" t="s">
        <v>242</v>
      </c>
      <c r="J797" t="s">
        <v>242</v>
      </c>
      <c r="K797" t="s">
        <v>241</v>
      </c>
      <c r="L797" t="s">
        <v>242</v>
      </c>
      <c r="M797">
        <v>38.675940730000001</v>
      </c>
      <c r="N797">
        <v>-122.7172487</v>
      </c>
      <c r="O797">
        <v>0</v>
      </c>
      <c r="P797">
        <v>0</v>
      </c>
      <c r="Q797">
        <v>0.1</v>
      </c>
      <c r="R797">
        <v>0</v>
      </c>
      <c r="S797">
        <v>0.16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1.33</v>
      </c>
      <c r="Z797">
        <v>1.1599999999999999</v>
      </c>
      <c r="AA797" t="s">
        <v>9342</v>
      </c>
      <c r="AB797" t="s">
        <v>242</v>
      </c>
      <c r="AC797" t="s">
        <v>3229</v>
      </c>
    </row>
    <row r="798" spans="1:29" x14ac:dyDescent="0.25">
      <c r="A798" t="s">
        <v>565</v>
      </c>
      <c r="B798" t="s">
        <v>254</v>
      </c>
      <c r="C798" t="s">
        <v>308</v>
      </c>
      <c r="D798" t="s">
        <v>3741</v>
      </c>
      <c r="E798" t="s">
        <v>3727</v>
      </c>
      <c r="F798">
        <v>20030129</v>
      </c>
      <c r="G798" t="s">
        <v>9338</v>
      </c>
      <c r="H798" t="s">
        <v>242</v>
      </c>
      <c r="I798" t="s">
        <v>242</v>
      </c>
      <c r="J798" t="s">
        <v>242</v>
      </c>
      <c r="K798" t="s">
        <v>241</v>
      </c>
      <c r="L798" t="s">
        <v>242</v>
      </c>
      <c r="M798">
        <v>38.683291420000003</v>
      </c>
      <c r="N798">
        <v>-122.72730919999999</v>
      </c>
      <c r="O798">
        <v>0</v>
      </c>
      <c r="P798">
        <v>0</v>
      </c>
      <c r="Q798">
        <v>0.06</v>
      </c>
      <c r="R798">
        <v>0</v>
      </c>
      <c r="S798">
        <v>0.06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0.56000000000000005</v>
      </c>
      <c r="Z798">
        <v>0.5</v>
      </c>
      <c r="AA798" t="s">
        <v>9342</v>
      </c>
      <c r="AB798" t="s">
        <v>242</v>
      </c>
      <c r="AC798" t="s">
        <v>3229</v>
      </c>
    </row>
    <row r="799" spans="1:29" x14ac:dyDescent="0.25">
      <c r="A799" t="s">
        <v>566</v>
      </c>
      <c r="B799" t="s">
        <v>254</v>
      </c>
      <c r="C799" t="s">
        <v>308</v>
      </c>
      <c r="D799" t="s">
        <v>3741</v>
      </c>
      <c r="E799" t="s">
        <v>3727</v>
      </c>
      <c r="F799">
        <v>20030128</v>
      </c>
      <c r="G799" t="s">
        <v>9338</v>
      </c>
      <c r="H799" t="s">
        <v>242</v>
      </c>
      <c r="I799" t="s">
        <v>242</v>
      </c>
      <c r="J799" t="s">
        <v>242</v>
      </c>
      <c r="K799" t="s">
        <v>241</v>
      </c>
      <c r="L799" t="s">
        <v>242</v>
      </c>
      <c r="M799">
        <v>38.692712899999997</v>
      </c>
      <c r="N799">
        <v>-122.7571863</v>
      </c>
      <c r="O799">
        <v>0</v>
      </c>
      <c r="P799">
        <v>0</v>
      </c>
      <c r="Q799">
        <v>0.1</v>
      </c>
      <c r="R799">
        <v>0</v>
      </c>
      <c r="S799">
        <v>0.13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1.1299999999999999</v>
      </c>
      <c r="Z799">
        <v>0.96</v>
      </c>
      <c r="AA799" t="s">
        <v>9342</v>
      </c>
      <c r="AB799" t="s">
        <v>242</v>
      </c>
      <c r="AC799" t="s">
        <v>3229</v>
      </c>
    </row>
    <row r="800" spans="1:29" x14ac:dyDescent="0.25">
      <c r="A800" t="s">
        <v>567</v>
      </c>
      <c r="B800" t="s">
        <v>254</v>
      </c>
      <c r="C800" t="s">
        <v>317</v>
      </c>
      <c r="D800" t="s">
        <v>3741</v>
      </c>
      <c r="E800" t="s">
        <v>3727</v>
      </c>
      <c r="F800">
        <v>20030417</v>
      </c>
      <c r="G800" t="s">
        <v>9338</v>
      </c>
      <c r="H800" t="s">
        <v>242</v>
      </c>
      <c r="I800" t="s">
        <v>242</v>
      </c>
      <c r="J800" t="s">
        <v>242</v>
      </c>
      <c r="K800" t="s">
        <v>241</v>
      </c>
      <c r="L800" t="s">
        <v>242</v>
      </c>
      <c r="M800">
        <v>39.311570279999998</v>
      </c>
      <c r="N800">
        <v>-123.2087788</v>
      </c>
      <c r="O800">
        <v>1.06</v>
      </c>
      <c r="P800">
        <v>1.06</v>
      </c>
      <c r="Q800">
        <v>1.06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1.06</v>
      </c>
      <c r="AA800" t="s">
        <v>9342</v>
      </c>
      <c r="AB800" t="s">
        <v>242</v>
      </c>
      <c r="AC800" t="s">
        <v>3213</v>
      </c>
    </row>
    <row r="801" spans="1:29" x14ac:dyDescent="0.25">
      <c r="A801" t="s">
        <v>416</v>
      </c>
      <c r="B801" t="s">
        <v>254</v>
      </c>
      <c r="C801" t="s">
        <v>317</v>
      </c>
      <c r="D801" t="s">
        <v>3741</v>
      </c>
      <c r="E801" t="s">
        <v>3727</v>
      </c>
      <c r="F801">
        <v>20150324</v>
      </c>
      <c r="G801" t="s">
        <v>9334</v>
      </c>
      <c r="H801" t="s">
        <v>242</v>
      </c>
      <c r="I801" t="s">
        <v>242</v>
      </c>
      <c r="J801" t="s">
        <v>242</v>
      </c>
      <c r="K801" t="s">
        <v>241</v>
      </c>
      <c r="L801" t="s">
        <v>242</v>
      </c>
      <c r="M801">
        <v>39.307600000000001</v>
      </c>
      <c r="N801">
        <v>-123.20650000000001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 t="s">
        <v>9342</v>
      </c>
      <c r="AB801" t="s">
        <v>242</v>
      </c>
      <c r="AC801" t="s">
        <v>3213</v>
      </c>
    </row>
    <row r="802" spans="1:29" x14ac:dyDescent="0.25">
      <c r="A802" t="s">
        <v>568</v>
      </c>
      <c r="B802" t="s">
        <v>254</v>
      </c>
      <c r="C802" t="s">
        <v>317</v>
      </c>
      <c r="D802" t="s">
        <v>3741</v>
      </c>
      <c r="E802" t="s">
        <v>3727</v>
      </c>
      <c r="F802">
        <v>20030417</v>
      </c>
      <c r="G802" t="s">
        <v>9338</v>
      </c>
      <c r="H802" t="s">
        <v>242</v>
      </c>
      <c r="I802" t="s">
        <v>242</v>
      </c>
      <c r="J802" t="s">
        <v>242</v>
      </c>
      <c r="K802" t="s">
        <v>241</v>
      </c>
      <c r="L802" t="s">
        <v>242</v>
      </c>
      <c r="M802">
        <v>39.312450120000001</v>
      </c>
      <c r="N802">
        <v>-123.2158944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 t="s">
        <v>9342</v>
      </c>
      <c r="AB802" t="s">
        <v>242</v>
      </c>
      <c r="AC802" t="s">
        <v>3213</v>
      </c>
    </row>
    <row r="803" spans="1:29" x14ac:dyDescent="0.25">
      <c r="A803" t="s">
        <v>429</v>
      </c>
      <c r="B803" t="s">
        <v>254</v>
      </c>
      <c r="C803" t="s">
        <v>331</v>
      </c>
      <c r="D803" t="s">
        <v>3741</v>
      </c>
      <c r="E803" t="s">
        <v>3727</v>
      </c>
      <c r="F803">
        <v>20140306</v>
      </c>
      <c r="G803" t="s">
        <v>9338</v>
      </c>
      <c r="H803" t="s">
        <v>242</v>
      </c>
      <c r="I803" t="s">
        <v>242</v>
      </c>
      <c r="J803" t="s">
        <v>242</v>
      </c>
      <c r="K803" t="s">
        <v>241</v>
      </c>
      <c r="L803" t="s">
        <v>242</v>
      </c>
      <c r="M803">
        <v>39.198975910000001</v>
      </c>
      <c r="N803">
        <v>-123.31837760000001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 t="s">
        <v>9342</v>
      </c>
      <c r="AB803" t="s">
        <v>242</v>
      </c>
      <c r="AC803" t="s">
        <v>3213</v>
      </c>
    </row>
    <row r="804" spans="1:29" x14ac:dyDescent="0.25">
      <c r="A804" t="s">
        <v>569</v>
      </c>
      <c r="B804" t="s">
        <v>254</v>
      </c>
      <c r="C804" t="s">
        <v>331</v>
      </c>
      <c r="D804" t="s">
        <v>3741</v>
      </c>
      <c r="E804" t="s">
        <v>3727</v>
      </c>
      <c r="F804">
        <v>20030502</v>
      </c>
      <c r="G804" t="s">
        <v>9338</v>
      </c>
      <c r="H804" t="s">
        <v>242</v>
      </c>
      <c r="I804" t="s">
        <v>242</v>
      </c>
      <c r="J804" t="s">
        <v>242</v>
      </c>
      <c r="K804" t="s">
        <v>241</v>
      </c>
      <c r="L804" t="s">
        <v>242</v>
      </c>
      <c r="M804">
        <v>39.19617556</v>
      </c>
      <c r="N804">
        <v>-123.3270773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 t="s">
        <v>9342</v>
      </c>
      <c r="AB804" t="s">
        <v>242</v>
      </c>
      <c r="AC804" t="s">
        <v>3213</v>
      </c>
    </row>
    <row r="805" spans="1:29" x14ac:dyDescent="0.25">
      <c r="A805" t="s">
        <v>522</v>
      </c>
      <c r="B805" t="s">
        <v>254</v>
      </c>
      <c r="C805" t="s">
        <v>331</v>
      </c>
      <c r="D805" t="s">
        <v>3741</v>
      </c>
      <c r="E805" t="s">
        <v>3727</v>
      </c>
      <c r="F805">
        <v>20060329</v>
      </c>
      <c r="G805" t="s">
        <v>9338</v>
      </c>
      <c r="H805" t="s">
        <v>242</v>
      </c>
      <c r="I805" t="s">
        <v>242</v>
      </c>
      <c r="J805" t="s">
        <v>242</v>
      </c>
      <c r="K805" t="s">
        <v>241</v>
      </c>
      <c r="L805" t="s">
        <v>242</v>
      </c>
      <c r="M805">
        <v>39.190476429999997</v>
      </c>
      <c r="N805">
        <v>-123.3382798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 t="s">
        <v>9342</v>
      </c>
      <c r="AB805" t="s">
        <v>242</v>
      </c>
      <c r="AC805" t="s">
        <v>3213</v>
      </c>
    </row>
    <row r="806" spans="1:29" x14ac:dyDescent="0.25">
      <c r="A806" t="s">
        <v>571</v>
      </c>
      <c r="B806" t="s">
        <v>254</v>
      </c>
      <c r="C806" t="s">
        <v>348</v>
      </c>
      <c r="D806" t="s">
        <v>3741</v>
      </c>
      <c r="E806" t="s">
        <v>3727</v>
      </c>
      <c r="F806">
        <v>20031014</v>
      </c>
      <c r="G806" t="s">
        <v>9338</v>
      </c>
      <c r="H806" t="s">
        <v>242</v>
      </c>
      <c r="I806" t="s">
        <v>242</v>
      </c>
      <c r="J806" t="s">
        <v>242</v>
      </c>
      <c r="K806" t="s">
        <v>241</v>
      </c>
      <c r="L806" t="s">
        <v>242</v>
      </c>
      <c r="M806">
        <v>39.333594560000002</v>
      </c>
      <c r="N806">
        <v>-123.082055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 t="s">
        <v>9342</v>
      </c>
      <c r="AB806" t="s">
        <v>242</v>
      </c>
      <c r="AC806" t="s">
        <v>3213</v>
      </c>
    </row>
    <row r="807" spans="1:29" x14ac:dyDescent="0.25">
      <c r="A807" t="s">
        <v>540</v>
      </c>
      <c r="B807" t="s">
        <v>254</v>
      </c>
      <c r="C807" t="s">
        <v>317</v>
      </c>
      <c r="D807" t="s">
        <v>3741</v>
      </c>
      <c r="E807" t="s">
        <v>3727</v>
      </c>
      <c r="F807">
        <v>20040812</v>
      </c>
      <c r="G807" t="s">
        <v>9338</v>
      </c>
      <c r="H807" t="s">
        <v>242</v>
      </c>
      <c r="I807" t="s">
        <v>242</v>
      </c>
      <c r="J807" t="s">
        <v>242</v>
      </c>
      <c r="K807" t="s">
        <v>241</v>
      </c>
      <c r="L807" t="s">
        <v>242</v>
      </c>
      <c r="M807">
        <v>39.230600000000003</v>
      </c>
      <c r="N807">
        <v>-123.2199</v>
      </c>
      <c r="O807">
        <v>1</v>
      </c>
      <c r="P807">
        <v>2</v>
      </c>
      <c r="Q807">
        <v>2</v>
      </c>
      <c r="R807">
        <v>1.7</v>
      </c>
      <c r="S807">
        <v>1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 t="s">
        <v>9342</v>
      </c>
      <c r="AB807" t="s">
        <v>242</v>
      </c>
      <c r="AC807" t="s">
        <v>3213</v>
      </c>
    </row>
    <row r="808" spans="1:29" x14ac:dyDescent="0.25">
      <c r="A808" t="s">
        <v>534</v>
      </c>
      <c r="B808" t="s">
        <v>254</v>
      </c>
      <c r="C808" t="s">
        <v>317</v>
      </c>
      <c r="D808" t="s">
        <v>3741</v>
      </c>
      <c r="E808" t="s">
        <v>3727</v>
      </c>
      <c r="F808">
        <v>20050603</v>
      </c>
      <c r="G808" t="s">
        <v>9334</v>
      </c>
      <c r="H808" t="s">
        <v>242</v>
      </c>
      <c r="I808" t="s">
        <v>242</v>
      </c>
      <c r="J808" t="s">
        <v>242</v>
      </c>
      <c r="K808" t="s">
        <v>241</v>
      </c>
      <c r="L808" t="s">
        <v>242</v>
      </c>
      <c r="M808">
        <v>39.328649570000003</v>
      </c>
      <c r="N808">
        <v>-123.214067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 t="s">
        <v>9342</v>
      </c>
      <c r="AB808" t="s">
        <v>242</v>
      </c>
      <c r="AC808" t="s">
        <v>3213</v>
      </c>
    </row>
    <row r="809" spans="1:29" x14ac:dyDescent="0.25">
      <c r="A809" t="s">
        <v>526</v>
      </c>
      <c r="B809" t="s">
        <v>254</v>
      </c>
      <c r="C809" t="s">
        <v>348</v>
      </c>
      <c r="D809" t="s">
        <v>3741</v>
      </c>
      <c r="E809" t="s">
        <v>3727</v>
      </c>
      <c r="F809">
        <v>20050805</v>
      </c>
      <c r="G809" t="s">
        <v>9338</v>
      </c>
      <c r="H809" t="s">
        <v>242</v>
      </c>
      <c r="I809" t="s">
        <v>242</v>
      </c>
      <c r="J809" t="s">
        <v>242</v>
      </c>
      <c r="K809" t="s">
        <v>241</v>
      </c>
      <c r="L809" t="s">
        <v>242</v>
      </c>
      <c r="M809">
        <v>39.355394240000003</v>
      </c>
      <c r="N809">
        <v>-123.1441324</v>
      </c>
      <c r="O809">
        <v>1.27</v>
      </c>
      <c r="P809">
        <v>1.23</v>
      </c>
      <c r="Q809">
        <v>0.7</v>
      </c>
      <c r="R809">
        <v>0.53</v>
      </c>
      <c r="S809">
        <v>0.33</v>
      </c>
      <c r="T809">
        <v>0</v>
      </c>
      <c r="U809">
        <v>0</v>
      </c>
      <c r="V809">
        <v>0</v>
      </c>
      <c r="W809">
        <v>0</v>
      </c>
      <c r="X809">
        <v>0.06</v>
      </c>
      <c r="Y809">
        <v>0.7</v>
      </c>
      <c r="Z809">
        <v>0.66</v>
      </c>
      <c r="AA809" t="s">
        <v>9342</v>
      </c>
      <c r="AB809" t="s">
        <v>242</v>
      </c>
      <c r="AC809" t="s">
        <v>3213</v>
      </c>
    </row>
    <row r="810" spans="1:29" x14ac:dyDescent="0.25">
      <c r="A810" t="s">
        <v>523</v>
      </c>
      <c r="B810" t="s">
        <v>254</v>
      </c>
      <c r="C810" t="s">
        <v>317</v>
      </c>
      <c r="D810" t="s">
        <v>3741</v>
      </c>
      <c r="E810" t="s">
        <v>3727</v>
      </c>
      <c r="F810">
        <v>20060126</v>
      </c>
      <c r="G810" t="s">
        <v>9338</v>
      </c>
      <c r="H810" t="s">
        <v>242</v>
      </c>
      <c r="I810" t="s">
        <v>242</v>
      </c>
      <c r="J810" t="s">
        <v>242</v>
      </c>
      <c r="K810" t="s">
        <v>241</v>
      </c>
      <c r="L810" t="s">
        <v>242</v>
      </c>
      <c r="M810">
        <v>39.21397451</v>
      </c>
      <c r="N810">
        <v>-123.3080781</v>
      </c>
      <c r="O810">
        <v>0.08</v>
      </c>
      <c r="P810">
        <v>0.08</v>
      </c>
      <c r="Q810">
        <v>0.08</v>
      </c>
      <c r="R810">
        <v>0.08</v>
      </c>
      <c r="S810">
        <v>0.08</v>
      </c>
      <c r="T810">
        <v>0.03</v>
      </c>
      <c r="U810">
        <v>0.03</v>
      </c>
      <c r="V810">
        <v>0.03</v>
      </c>
      <c r="W810">
        <v>0.03</v>
      </c>
      <c r="X810">
        <v>0.03</v>
      </c>
      <c r="Y810">
        <v>0.08</v>
      </c>
      <c r="Z810">
        <v>0.08</v>
      </c>
      <c r="AA810" t="s">
        <v>9342</v>
      </c>
      <c r="AB810" t="s">
        <v>241</v>
      </c>
      <c r="AC810" t="s">
        <v>3213</v>
      </c>
    </row>
    <row r="811" spans="1:29" x14ac:dyDescent="0.25">
      <c r="A811" t="s">
        <v>524</v>
      </c>
      <c r="B811" t="s">
        <v>254</v>
      </c>
      <c r="C811" t="s">
        <v>331</v>
      </c>
      <c r="D811" t="s">
        <v>3741</v>
      </c>
      <c r="E811" t="s">
        <v>3727</v>
      </c>
      <c r="F811">
        <v>20060126</v>
      </c>
      <c r="G811" t="s">
        <v>9338</v>
      </c>
      <c r="H811" t="s">
        <v>242</v>
      </c>
      <c r="I811" t="s">
        <v>242</v>
      </c>
      <c r="J811" t="s">
        <v>242</v>
      </c>
      <c r="K811" t="s">
        <v>241</v>
      </c>
      <c r="L811" t="s">
        <v>242</v>
      </c>
      <c r="M811">
        <v>39.211799999999997</v>
      </c>
      <c r="N811">
        <v>-123.30329999999999</v>
      </c>
      <c r="O811">
        <v>0.08</v>
      </c>
      <c r="P811">
        <v>0.08</v>
      </c>
      <c r="Q811">
        <v>0.08</v>
      </c>
      <c r="R811">
        <v>0.08</v>
      </c>
      <c r="S811">
        <v>0.08</v>
      </c>
      <c r="T811">
        <v>0.03</v>
      </c>
      <c r="U811">
        <v>0.03</v>
      </c>
      <c r="V811">
        <v>0.03</v>
      </c>
      <c r="W811">
        <v>0.03</v>
      </c>
      <c r="X811">
        <v>0.03</v>
      </c>
      <c r="Y811">
        <v>0.08</v>
      </c>
      <c r="Z811">
        <v>0.08</v>
      </c>
      <c r="AA811" t="s">
        <v>9342</v>
      </c>
      <c r="AB811" t="s">
        <v>241</v>
      </c>
      <c r="AC811" t="s">
        <v>3213</v>
      </c>
    </row>
    <row r="812" spans="1:29" x14ac:dyDescent="0.25">
      <c r="A812" t="s">
        <v>510</v>
      </c>
      <c r="B812" t="s">
        <v>254</v>
      </c>
      <c r="C812" t="s">
        <v>333</v>
      </c>
      <c r="D812" t="s">
        <v>3741</v>
      </c>
      <c r="E812" t="s">
        <v>3727</v>
      </c>
      <c r="F812">
        <v>20070821</v>
      </c>
      <c r="G812" t="s">
        <v>9338</v>
      </c>
      <c r="H812" t="s">
        <v>242</v>
      </c>
      <c r="I812" t="s">
        <v>242</v>
      </c>
      <c r="J812" t="s">
        <v>242</v>
      </c>
      <c r="K812" t="s">
        <v>241</v>
      </c>
      <c r="L812" t="s">
        <v>242</v>
      </c>
      <c r="M812">
        <v>39.097862059999997</v>
      </c>
      <c r="N812">
        <v>-123.1971958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 t="s">
        <v>9342</v>
      </c>
      <c r="AB812" t="s">
        <v>242</v>
      </c>
      <c r="AC812" t="s">
        <v>3213</v>
      </c>
    </row>
    <row r="813" spans="1:29" x14ac:dyDescent="0.25">
      <c r="A813" t="s">
        <v>491</v>
      </c>
      <c r="B813" t="s">
        <v>254</v>
      </c>
      <c r="C813" t="s">
        <v>319</v>
      </c>
      <c r="D813" t="s">
        <v>3741</v>
      </c>
      <c r="E813" t="s">
        <v>3727</v>
      </c>
      <c r="F813">
        <v>20090428</v>
      </c>
      <c r="G813" t="s">
        <v>9334</v>
      </c>
      <c r="H813" t="s">
        <v>242</v>
      </c>
      <c r="I813" t="s">
        <v>242</v>
      </c>
      <c r="J813" t="s">
        <v>242</v>
      </c>
      <c r="K813" t="s">
        <v>241</v>
      </c>
      <c r="L813" t="s">
        <v>242</v>
      </c>
      <c r="M813">
        <v>38.956000000000003</v>
      </c>
      <c r="N813">
        <v>-123.07259999999999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1.5</v>
      </c>
      <c r="Z813">
        <v>0</v>
      </c>
      <c r="AA813" t="s">
        <v>9342</v>
      </c>
      <c r="AB813" t="s">
        <v>242</v>
      </c>
      <c r="AC813" t="s">
        <v>3213</v>
      </c>
    </row>
    <row r="814" spans="1:29" x14ac:dyDescent="0.25">
      <c r="A814" t="s">
        <v>478</v>
      </c>
      <c r="B814" t="s">
        <v>254</v>
      </c>
      <c r="C814" t="s">
        <v>319</v>
      </c>
      <c r="D814" t="s">
        <v>3741</v>
      </c>
      <c r="E814" t="s">
        <v>3727</v>
      </c>
      <c r="F814">
        <v>20110426</v>
      </c>
      <c r="G814" t="s">
        <v>9338</v>
      </c>
      <c r="H814" t="s">
        <v>242</v>
      </c>
      <c r="I814" t="s">
        <v>242</v>
      </c>
      <c r="J814" t="s">
        <v>242</v>
      </c>
      <c r="K814" t="s">
        <v>241</v>
      </c>
      <c r="L814" t="s">
        <v>242</v>
      </c>
      <c r="M814">
        <v>39.042900000000003</v>
      </c>
      <c r="N814">
        <v>-123.26349999999999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6.6666670000000003E-3</v>
      </c>
      <c r="V814">
        <v>0.01</v>
      </c>
      <c r="W814">
        <v>6.6666670000000003E-3</v>
      </c>
      <c r="X814">
        <v>6.6666670000000003E-3</v>
      </c>
      <c r="Y814">
        <v>5.0000000000000001E-3</v>
      </c>
      <c r="Z814">
        <v>8.4480000000000006E-3</v>
      </c>
      <c r="AA814" t="s">
        <v>9342</v>
      </c>
      <c r="AB814" t="s">
        <v>242</v>
      </c>
      <c r="AC814" t="s">
        <v>3213</v>
      </c>
    </row>
    <row r="815" spans="1:29" x14ac:dyDescent="0.25">
      <c r="A815" t="s">
        <v>479</v>
      </c>
      <c r="B815" t="s">
        <v>254</v>
      </c>
      <c r="C815" t="s">
        <v>331</v>
      </c>
      <c r="D815" t="s">
        <v>3741</v>
      </c>
      <c r="E815" t="s">
        <v>3727</v>
      </c>
      <c r="F815">
        <v>20111024</v>
      </c>
      <c r="G815" t="s">
        <v>9338</v>
      </c>
      <c r="H815" t="s">
        <v>242</v>
      </c>
      <c r="I815" t="s">
        <v>242</v>
      </c>
      <c r="J815" t="s">
        <v>242</v>
      </c>
      <c r="K815" t="s">
        <v>241</v>
      </c>
      <c r="L815" t="s">
        <v>242</v>
      </c>
      <c r="M815">
        <v>39.183999999999997</v>
      </c>
      <c r="N815">
        <v>-123.23650000000001</v>
      </c>
      <c r="O815">
        <v>0.5</v>
      </c>
      <c r="P815">
        <v>0.34</v>
      </c>
      <c r="Q815">
        <v>0.26</v>
      </c>
      <c r="R815">
        <v>0.23</v>
      </c>
      <c r="S815">
        <v>0.06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0.3</v>
      </c>
      <c r="Z815">
        <v>0.21</v>
      </c>
      <c r="AA815" t="s">
        <v>9342</v>
      </c>
      <c r="AB815" t="s">
        <v>242</v>
      </c>
      <c r="AC815" t="s">
        <v>3213</v>
      </c>
    </row>
    <row r="816" spans="1:29" x14ac:dyDescent="0.25">
      <c r="A816" t="s">
        <v>457</v>
      </c>
      <c r="B816" t="s">
        <v>254</v>
      </c>
      <c r="C816" t="s">
        <v>319</v>
      </c>
      <c r="D816" t="s">
        <v>3741</v>
      </c>
      <c r="E816" t="s">
        <v>3727</v>
      </c>
      <c r="F816">
        <v>20130211</v>
      </c>
      <c r="G816" t="s">
        <v>9338</v>
      </c>
      <c r="H816" t="s">
        <v>242</v>
      </c>
      <c r="I816" t="s">
        <v>242</v>
      </c>
      <c r="J816" t="s">
        <v>242</v>
      </c>
      <c r="K816" t="s">
        <v>241</v>
      </c>
      <c r="L816" t="s">
        <v>242</v>
      </c>
      <c r="M816">
        <v>38.909100000000002</v>
      </c>
      <c r="N816">
        <v>-123.0744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0.93</v>
      </c>
      <c r="Z816">
        <v>0.33</v>
      </c>
      <c r="AA816" t="s">
        <v>9342</v>
      </c>
      <c r="AB816" t="s">
        <v>242</v>
      </c>
      <c r="AC816" t="s">
        <v>3213</v>
      </c>
    </row>
    <row r="817" spans="1:29" x14ac:dyDescent="0.25">
      <c r="A817" t="s">
        <v>458</v>
      </c>
      <c r="B817" t="s">
        <v>254</v>
      </c>
      <c r="C817" t="s">
        <v>319</v>
      </c>
      <c r="D817" t="s">
        <v>3741</v>
      </c>
      <c r="E817" t="s">
        <v>3727</v>
      </c>
      <c r="F817">
        <v>20130422</v>
      </c>
      <c r="G817" t="s">
        <v>9338</v>
      </c>
      <c r="H817" t="s">
        <v>242</v>
      </c>
      <c r="I817" t="s">
        <v>242</v>
      </c>
      <c r="J817" t="s">
        <v>242</v>
      </c>
      <c r="K817" t="s">
        <v>241</v>
      </c>
      <c r="L817" t="s">
        <v>242</v>
      </c>
      <c r="M817">
        <v>38.9315</v>
      </c>
      <c r="N817">
        <v>-123.0307</v>
      </c>
      <c r="O817">
        <v>0.2</v>
      </c>
      <c r="P817">
        <v>0.3</v>
      </c>
      <c r="Q817">
        <v>0.3</v>
      </c>
      <c r="R817">
        <v>0.2</v>
      </c>
      <c r="S817">
        <v>0.1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0.1</v>
      </c>
      <c r="AA817" t="s">
        <v>9342</v>
      </c>
      <c r="AB817" t="s">
        <v>242</v>
      </c>
      <c r="AC817" t="s">
        <v>3213</v>
      </c>
    </row>
    <row r="818" spans="1:29" x14ac:dyDescent="0.25">
      <c r="A818" t="s">
        <v>459</v>
      </c>
      <c r="B818" t="s">
        <v>254</v>
      </c>
      <c r="C818" t="s">
        <v>311</v>
      </c>
      <c r="D818" t="s">
        <v>3741</v>
      </c>
      <c r="E818" t="s">
        <v>3727</v>
      </c>
      <c r="F818">
        <v>20130424</v>
      </c>
      <c r="G818" t="s">
        <v>9338</v>
      </c>
      <c r="H818" t="s">
        <v>242</v>
      </c>
      <c r="I818" t="s">
        <v>242</v>
      </c>
      <c r="J818" t="s">
        <v>242</v>
      </c>
      <c r="K818" t="s">
        <v>241</v>
      </c>
      <c r="L818" t="s">
        <v>242</v>
      </c>
      <c r="M818">
        <v>38.622999999999998</v>
      </c>
      <c r="N818">
        <v>-122.70489999999999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 t="s">
        <v>9342</v>
      </c>
      <c r="AB818" t="s">
        <v>242</v>
      </c>
      <c r="AC818" t="s">
        <v>3229</v>
      </c>
    </row>
    <row r="819" spans="1:29" x14ac:dyDescent="0.25">
      <c r="A819" t="s">
        <v>460</v>
      </c>
      <c r="B819" t="s">
        <v>254</v>
      </c>
      <c r="C819" t="s">
        <v>319</v>
      </c>
      <c r="D819" t="s">
        <v>3741</v>
      </c>
      <c r="E819" t="s">
        <v>3727</v>
      </c>
      <c r="F819">
        <v>20130617</v>
      </c>
      <c r="G819" t="s">
        <v>9338</v>
      </c>
      <c r="H819" t="s">
        <v>242</v>
      </c>
      <c r="I819" t="s">
        <v>242</v>
      </c>
      <c r="J819" t="s">
        <v>242</v>
      </c>
      <c r="K819" t="s">
        <v>241</v>
      </c>
      <c r="L819" t="s">
        <v>242</v>
      </c>
      <c r="M819">
        <v>38.935099999999998</v>
      </c>
      <c r="N819">
        <v>-123.04040000000001</v>
      </c>
      <c r="O819">
        <v>0.5</v>
      </c>
      <c r="P819">
        <v>0.4</v>
      </c>
      <c r="Q819">
        <v>0.4</v>
      </c>
      <c r="R819">
        <v>0.3</v>
      </c>
      <c r="S819">
        <v>0.2</v>
      </c>
      <c r="T819">
        <v>0.1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0.2</v>
      </c>
      <c r="AA819" t="s">
        <v>9342</v>
      </c>
      <c r="AB819" t="s">
        <v>242</v>
      </c>
      <c r="AC819" t="s">
        <v>3213</v>
      </c>
    </row>
    <row r="820" spans="1:29" x14ac:dyDescent="0.25">
      <c r="A820" t="s">
        <v>461</v>
      </c>
      <c r="B820" t="s">
        <v>254</v>
      </c>
      <c r="C820" t="s">
        <v>436</v>
      </c>
      <c r="D820" t="s">
        <v>3741</v>
      </c>
      <c r="E820" t="s">
        <v>3727</v>
      </c>
      <c r="F820">
        <v>20130705</v>
      </c>
      <c r="G820" t="s">
        <v>9338</v>
      </c>
      <c r="H820" t="s">
        <v>242</v>
      </c>
      <c r="I820" t="s">
        <v>242</v>
      </c>
      <c r="J820" t="s">
        <v>242</v>
      </c>
      <c r="K820" t="s">
        <v>241</v>
      </c>
      <c r="L820" t="s">
        <v>242</v>
      </c>
      <c r="M820">
        <v>38.729700000000001</v>
      </c>
      <c r="N820">
        <v>-122.8468</v>
      </c>
      <c r="O820">
        <v>0.33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 t="s">
        <v>9342</v>
      </c>
      <c r="AB820" t="s">
        <v>242</v>
      </c>
      <c r="AC820" t="s">
        <v>3229</v>
      </c>
    </row>
    <row r="821" spans="1:29" x14ac:dyDescent="0.25">
      <c r="A821" t="s">
        <v>462</v>
      </c>
      <c r="B821" t="s">
        <v>254</v>
      </c>
      <c r="C821" t="s">
        <v>409</v>
      </c>
      <c r="D821" t="s">
        <v>3741</v>
      </c>
      <c r="E821" t="s">
        <v>3727</v>
      </c>
      <c r="F821">
        <v>20130705</v>
      </c>
      <c r="G821" t="s">
        <v>9338</v>
      </c>
      <c r="H821" t="s">
        <v>242</v>
      </c>
      <c r="I821" t="s">
        <v>242</v>
      </c>
      <c r="J821" t="s">
        <v>242</v>
      </c>
      <c r="K821" t="s">
        <v>241</v>
      </c>
      <c r="L821" t="s">
        <v>242</v>
      </c>
      <c r="M821">
        <v>38.737000000000002</v>
      </c>
      <c r="N821">
        <v>-122.8372</v>
      </c>
      <c r="O821">
        <v>1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 t="s">
        <v>9342</v>
      </c>
      <c r="AB821" t="s">
        <v>242</v>
      </c>
      <c r="AC821" t="s">
        <v>3229</v>
      </c>
    </row>
    <row r="822" spans="1:29" x14ac:dyDescent="0.25">
      <c r="A822" t="s">
        <v>463</v>
      </c>
      <c r="B822" t="s">
        <v>254</v>
      </c>
      <c r="C822" t="s">
        <v>436</v>
      </c>
      <c r="D822" t="s">
        <v>3741</v>
      </c>
      <c r="E822" t="s">
        <v>3727</v>
      </c>
      <c r="F822">
        <v>20130705</v>
      </c>
      <c r="G822" t="s">
        <v>9338</v>
      </c>
      <c r="H822" t="s">
        <v>242</v>
      </c>
      <c r="I822" t="s">
        <v>242</v>
      </c>
      <c r="J822" t="s">
        <v>242</v>
      </c>
      <c r="K822" t="s">
        <v>241</v>
      </c>
      <c r="L822" t="s">
        <v>242</v>
      </c>
      <c r="M822">
        <v>38.737000000000002</v>
      </c>
      <c r="N822">
        <v>-122.84310000000001</v>
      </c>
      <c r="O822">
        <v>0.33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 t="s">
        <v>9342</v>
      </c>
      <c r="AB822" t="s">
        <v>242</v>
      </c>
      <c r="AC822" t="s">
        <v>3229</v>
      </c>
    </row>
    <row r="823" spans="1:29" x14ac:dyDescent="0.25">
      <c r="A823" t="s">
        <v>432</v>
      </c>
      <c r="B823" t="s">
        <v>254</v>
      </c>
      <c r="C823" t="s">
        <v>348</v>
      </c>
      <c r="D823" t="s">
        <v>3741</v>
      </c>
      <c r="E823" t="s">
        <v>3727</v>
      </c>
      <c r="F823">
        <v>20140611</v>
      </c>
      <c r="G823" t="s">
        <v>9338</v>
      </c>
      <c r="H823" t="s">
        <v>242</v>
      </c>
      <c r="I823" t="s">
        <v>242</v>
      </c>
      <c r="J823" t="s">
        <v>242</v>
      </c>
      <c r="K823" t="s">
        <v>241</v>
      </c>
      <c r="L823" t="s">
        <v>242</v>
      </c>
      <c r="M823">
        <v>39.349281060000003</v>
      </c>
      <c r="N823">
        <v>-123.1226085</v>
      </c>
      <c r="O823">
        <v>0</v>
      </c>
      <c r="P823">
        <v>0</v>
      </c>
      <c r="Q823">
        <v>0</v>
      </c>
      <c r="R823">
        <v>0</v>
      </c>
      <c r="S823">
        <v>2.6499999999999999E-4</v>
      </c>
      <c r="T823">
        <v>5.2299999999999997E-5</v>
      </c>
      <c r="U823">
        <v>4.7833329999999999E-3</v>
      </c>
      <c r="V823">
        <v>0.02</v>
      </c>
      <c r="W823">
        <v>0.03</v>
      </c>
      <c r="X823">
        <v>0.02</v>
      </c>
      <c r="Y823">
        <v>3.571E-3</v>
      </c>
      <c r="Z823">
        <v>0</v>
      </c>
      <c r="AA823" t="s">
        <v>9342</v>
      </c>
      <c r="AB823" t="s">
        <v>242</v>
      </c>
      <c r="AC823" t="s">
        <v>3213</v>
      </c>
    </row>
    <row r="824" spans="1:29" x14ac:dyDescent="0.25">
      <c r="A824" t="s">
        <v>431</v>
      </c>
      <c r="B824" t="s">
        <v>254</v>
      </c>
      <c r="C824" t="s">
        <v>317</v>
      </c>
      <c r="D824" t="s">
        <v>3741</v>
      </c>
      <c r="E824" t="s">
        <v>3727</v>
      </c>
      <c r="F824">
        <v>20140710</v>
      </c>
      <c r="G824" t="s">
        <v>9338</v>
      </c>
      <c r="H824" t="s">
        <v>242</v>
      </c>
      <c r="I824" t="s">
        <v>242</v>
      </c>
      <c r="J824" t="s">
        <v>242</v>
      </c>
      <c r="K824" t="s">
        <v>241</v>
      </c>
      <c r="L824" t="s">
        <v>242</v>
      </c>
      <c r="M824">
        <v>39.254258210000003</v>
      </c>
      <c r="N824">
        <v>-123.2560898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 t="s">
        <v>9342</v>
      </c>
      <c r="AB824" t="s">
        <v>242</v>
      </c>
      <c r="AC824" t="s">
        <v>3213</v>
      </c>
    </row>
    <row r="825" spans="1:29" x14ac:dyDescent="0.25">
      <c r="A825" t="s">
        <v>1759</v>
      </c>
      <c r="B825" t="s">
        <v>254</v>
      </c>
      <c r="C825" t="s">
        <v>354</v>
      </c>
      <c r="D825" t="s">
        <v>3713</v>
      </c>
      <c r="E825" t="s">
        <v>3761</v>
      </c>
      <c r="F825">
        <v>19140101</v>
      </c>
      <c r="G825" t="s">
        <v>9348</v>
      </c>
      <c r="H825" t="s">
        <v>242</v>
      </c>
      <c r="I825" t="s">
        <v>241</v>
      </c>
      <c r="J825" t="s">
        <v>242</v>
      </c>
      <c r="K825" t="s">
        <v>242</v>
      </c>
      <c r="L825" t="s">
        <v>242</v>
      </c>
      <c r="M825">
        <v>38.786253379999998</v>
      </c>
      <c r="N825">
        <v>-123.05219339999999</v>
      </c>
      <c r="O825">
        <v>0.22</v>
      </c>
      <c r="P825">
        <v>0.16</v>
      </c>
      <c r="Q825">
        <v>0.22</v>
      </c>
      <c r="R825">
        <v>0.22</v>
      </c>
      <c r="S825">
        <v>0.13</v>
      </c>
      <c r="T825">
        <v>0.08</v>
      </c>
      <c r="U825">
        <v>0.09</v>
      </c>
      <c r="V825">
        <v>0.09</v>
      </c>
      <c r="W825">
        <v>0.08</v>
      </c>
      <c r="X825">
        <v>0.11</v>
      </c>
      <c r="Y825">
        <v>0.17</v>
      </c>
      <c r="Z825">
        <v>0.18</v>
      </c>
      <c r="AA825" t="s">
        <v>9335</v>
      </c>
      <c r="AB825" t="s">
        <v>242</v>
      </c>
      <c r="AC825" t="s">
        <v>3229</v>
      </c>
    </row>
    <row r="826" spans="1:29" x14ac:dyDescent="0.25">
      <c r="A826" t="s">
        <v>1760</v>
      </c>
      <c r="B826" t="s">
        <v>254</v>
      </c>
      <c r="C826" t="s">
        <v>354</v>
      </c>
      <c r="D826" t="s">
        <v>3713</v>
      </c>
      <c r="E826" t="s">
        <v>3761</v>
      </c>
      <c r="F826">
        <v>19140101</v>
      </c>
      <c r="G826" t="s">
        <v>9348</v>
      </c>
      <c r="H826" t="s">
        <v>242</v>
      </c>
      <c r="I826" t="s">
        <v>241</v>
      </c>
      <c r="J826" t="s">
        <v>242</v>
      </c>
      <c r="K826" t="s">
        <v>242</v>
      </c>
      <c r="L826" t="s">
        <v>242</v>
      </c>
      <c r="M826">
        <v>38.786253379999998</v>
      </c>
      <c r="N826">
        <v>-123.05219339999999</v>
      </c>
      <c r="O826">
        <v>0.11</v>
      </c>
      <c r="P826">
        <v>0.08</v>
      </c>
      <c r="Q826">
        <v>0.11</v>
      </c>
      <c r="R826">
        <v>0.11</v>
      </c>
      <c r="S826">
        <v>0.09</v>
      </c>
      <c r="T826">
        <v>0.05</v>
      </c>
      <c r="U826">
        <v>0.05</v>
      </c>
      <c r="V826">
        <v>0.05</v>
      </c>
      <c r="W826">
        <v>0.05</v>
      </c>
      <c r="X826">
        <v>0.05</v>
      </c>
      <c r="Y826">
        <v>0.08</v>
      </c>
      <c r="Z826">
        <v>0.09</v>
      </c>
      <c r="AA826" t="s">
        <v>9335</v>
      </c>
      <c r="AB826" t="s">
        <v>242</v>
      </c>
      <c r="AC826" t="s">
        <v>3229</v>
      </c>
    </row>
    <row r="827" spans="1:29" x14ac:dyDescent="0.25">
      <c r="A827" t="s">
        <v>1900</v>
      </c>
      <c r="B827" t="s">
        <v>254</v>
      </c>
      <c r="C827" t="s">
        <v>319</v>
      </c>
      <c r="D827" t="s">
        <v>3713</v>
      </c>
      <c r="E827" t="s">
        <v>3761</v>
      </c>
      <c r="F827">
        <v>10000000</v>
      </c>
      <c r="G827" t="s">
        <v>9349</v>
      </c>
      <c r="H827" t="s">
        <v>242</v>
      </c>
      <c r="I827" t="s">
        <v>242</v>
      </c>
      <c r="J827" t="s">
        <v>242</v>
      </c>
      <c r="K827" t="s">
        <v>242</v>
      </c>
      <c r="L827" t="s">
        <v>241</v>
      </c>
      <c r="M827">
        <v>38.989169080000003</v>
      </c>
      <c r="N827">
        <v>-123.16849929999999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 t="s">
        <v>9335</v>
      </c>
      <c r="AB827" t="s">
        <v>242</v>
      </c>
      <c r="AC827" t="s">
        <v>3213</v>
      </c>
    </row>
    <row r="828" spans="1:29" x14ac:dyDescent="0.25">
      <c r="A828" t="s">
        <v>1901</v>
      </c>
      <c r="B828" t="s">
        <v>254</v>
      </c>
      <c r="C828" t="s">
        <v>333</v>
      </c>
      <c r="D828" t="s">
        <v>3713</v>
      </c>
      <c r="E828" t="s">
        <v>3761</v>
      </c>
      <c r="F828">
        <v>10000000</v>
      </c>
      <c r="G828" t="s">
        <v>9349</v>
      </c>
      <c r="H828" t="s">
        <v>242</v>
      </c>
      <c r="I828" t="s">
        <v>242</v>
      </c>
      <c r="J828" t="s">
        <v>242</v>
      </c>
      <c r="K828" t="s">
        <v>242</v>
      </c>
      <c r="L828" t="s">
        <v>241</v>
      </c>
      <c r="M828">
        <v>39.10922867</v>
      </c>
      <c r="N828">
        <v>-123.1761181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 t="s">
        <v>9335</v>
      </c>
      <c r="AB828" t="s">
        <v>242</v>
      </c>
      <c r="AC828" t="s">
        <v>3213</v>
      </c>
    </row>
    <row r="829" spans="1:29" x14ac:dyDescent="0.25">
      <c r="A829" t="s">
        <v>1904</v>
      </c>
      <c r="B829" t="s">
        <v>254</v>
      </c>
      <c r="C829" t="s">
        <v>311</v>
      </c>
      <c r="D829" t="s">
        <v>3713</v>
      </c>
      <c r="E829" t="s">
        <v>3761</v>
      </c>
      <c r="F829">
        <v>10000000</v>
      </c>
      <c r="G829" t="s">
        <v>9349</v>
      </c>
      <c r="H829" t="s">
        <v>241</v>
      </c>
      <c r="I829" t="s">
        <v>242</v>
      </c>
      <c r="J829" t="s">
        <v>242</v>
      </c>
      <c r="K829" t="s">
        <v>242</v>
      </c>
      <c r="L829" t="s">
        <v>241</v>
      </c>
      <c r="M829">
        <v>38.601256489999997</v>
      </c>
      <c r="N829">
        <v>-122.80030739999999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 t="s">
        <v>9342</v>
      </c>
      <c r="AB829" t="s">
        <v>242</v>
      </c>
      <c r="AC829" t="s">
        <v>3229</v>
      </c>
    </row>
    <row r="830" spans="1:29" x14ac:dyDescent="0.25">
      <c r="A830" t="s">
        <v>1908</v>
      </c>
      <c r="B830" t="s">
        <v>254</v>
      </c>
      <c r="C830" t="s">
        <v>331</v>
      </c>
      <c r="D830" t="s">
        <v>3713</v>
      </c>
      <c r="E830" t="s">
        <v>3761</v>
      </c>
      <c r="F830">
        <v>10000000</v>
      </c>
      <c r="G830" t="s">
        <v>9349</v>
      </c>
      <c r="H830" t="s">
        <v>242</v>
      </c>
      <c r="I830" t="s">
        <v>242</v>
      </c>
      <c r="J830" t="s">
        <v>242</v>
      </c>
      <c r="K830" t="s">
        <v>242</v>
      </c>
      <c r="L830" t="s">
        <v>241</v>
      </c>
      <c r="M830">
        <v>39.169168409999997</v>
      </c>
      <c r="N830">
        <v>-123.0677591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 t="s">
        <v>9341</v>
      </c>
      <c r="AB830" t="s">
        <v>242</v>
      </c>
      <c r="AC830" t="s">
        <v>7051</v>
      </c>
    </row>
    <row r="831" spans="1:29" x14ac:dyDescent="0.25">
      <c r="A831" t="s">
        <v>116</v>
      </c>
      <c r="B831" t="s">
        <v>254</v>
      </c>
      <c r="C831" t="s">
        <v>311</v>
      </c>
      <c r="D831" t="s">
        <v>3713</v>
      </c>
      <c r="E831" t="s">
        <v>3761</v>
      </c>
      <c r="F831">
        <v>10000000</v>
      </c>
      <c r="G831" t="s">
        <v>9349</v>
      </c>
      <c r="H831" t="s">
        <v>242</v>
      </c>
      <c r="I831" t="s">
        <v>242</v>
      </c>
      <c r="J831" t="s">
        <v>242</v>
      </c>
      <c r="K831" t="s">
        <v>242</v>
      </c>
      <c r="L831" t="s">
        <v>241</v>
      </c>
      <c r="M831">
        <v>38.617552240000002</v>
      </c>
      <c r="N831">
        <v>-122.7448376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 t="s">
        <v>9335</v>
      </c>
      <c r="AB831" t="s">
        <v>242</v>
      </c>
      <c r="AC831" t="s">
        <v>3229</v>
      </c>
    </row>
    <row r="832" spans="1:29" x14ac:dyDescent="0.25">
      <c r="A832" t="s">
        <v>1916</v>
      </c>
      <c r="B832" t="s">
        <v>254</v>
      </c>
      <c r="C832" t="s">
        <v>354</v>
      </c>
      <c r="D832" t="s">
        <v>3713</v>
      </c>
      <c r="E832" t="s">
        <v>3761</v>
      </c>
      <c r="F832">
        <v>10000000</v>
      </c>
      <c r="G832" t="s">
        <v>9349</v>
      </c>
      <c r="H832" t="s">
        <v>242</v>
      </c>
      <c r="I832" t="s">
        <v>242</v>
      </c>
      <c r="J832" t="s">
        <v>242</v>
      </c>
      <c r="K832" t="s">
        <v>242</v>
      </c>
      <c r="L832" t="s">
        <v>241</v>
      </c>
      <c r="M832">
        <v>38.771559250000003</v>
      </c>
      <c r="N832">
        <v>-123.006024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 t="s">
        <v>9335</v>
      </c>
      <c r="AB832" t="s">
        <v>242</v>
      </c>
      <c r="AC832" t="s">
        <v>3229</v>
      </c>
    </row>
    <row r="833" spans="1:29" x14ac:dyDescent="0.25">
      <c r="A833" t="s">
        <v>1918</v>
      </c>
      <c r="B833" t="s">
        <v>254</v>
      </c>
      <c r="C833" t="s">
        <v>354</v>
      </c>
      <c r="D833" t="s">
        <v>3713</v>
      </c>
      <c r="E833" t="s">
        <v>3761</v>
      </c>
      <c r="F833">
        <v>10000000</v>
      </c>
      <c r="G833" t="s">
        <v>9349</v>
      </c>
      <c r="H833" t="s">
        <v>242</v>
      </c>
      <c r="I833" t="s">
        <v>242</v>
      </c>
      <c r="J833" t="s">
        <v>242</v>
      </c>
      <c r="K833" t="s">
        <v>242</v>
      </c>
      <c r="L833" t="s">
        <v>241</v>
      </c>
      <c r="M833">
        <v>38.766815510000001</v>
      </c>
      <c r="N833">
        <v>-123.014726</v>
      </c>
      <c r="O833">
        <v>6.6666670000000003E-3</v>
      </c>
      <c r="P833">
        <v>6.6666670000000003E-3</v>
      </c>
      <c r="Q833">
        <v>6.6666670000000003E-3</v>
      </c>
      <c r="R833">
        <v>6.6666670000000003E-3</v>
      </c>
      <c r="S833">
        <v>0.33</v>
      </c>
      <c r="T833">
        <v>0.33</v>
      </c>
      <c r="U833">
        <v>0.33</v>
      </c>
      <c r="V833">
        <v>0.33</v>
      </c>
      <c r="W833">
        <v>0.33</v>
      </c>
      <c r="X833">
        <v>6.6666670000000003E-3</v>
      </c>
      <c r="Y833">
        <v>6.6666670000000003E-3</v>
      </c>
      <c r="Z833">
        <v>6.6666670000000003E-3</v>
      </c>
      <c r="AA833" t="s">
        <v>9335</v>
      </c>
      <c r="AB833" t="s">
        <v>242</v>
      </c>
      <c r="AC833" t="s">
        <v>3229</v>
      </c>
    </row>
    <row r="834" spans="1:29" x14ac:dyDescent="0.25">
      <c r="A834" t="s">
        <v>1853</v>
      </c>
      <c r="B834" t="s">
        <v>254</v>
      </c>
      <c r="C834" t="s">
        <v>348</v>
      </c>
      <c r="D834" t="s">
        <v>3713</v>
      </c>
      <c r="E834" t="s">
        <v>3761</v>
      </c>
      <c r="F834">
        <v>10000000</v>
      </c>
      <c r="G834" t="s">
        <v>9349</v>
      </c>
      <c r="H834" t="s">
        <v>242</v>
      </c>
      <c r="I834" t="s">
        <v>242</v>
      </c>
      <c r="J834" t="s">
        <v>242</v>
      </c>
      <c r="K834" t="s">
        <v>242</v>
      </c>
      <c r="L834" t="s">
        <v>241</v>
      </c>
      <c r="M834">
        <v>39.304777059999999</v>
      </c>
      <c r="N834">
        <v>-123.10126409999999</v>
      </c>
      <c r="O834">
        <v>0</v>
      </c>
      <c r="P834">
        <v>0</v>
      </c>
      <c r="Q834">
        <v>0</v>
      </c>
      <c r="R834">
        <v>0</v>
      </c>
      <c r="S834">
        <v>0.63</v>
      </c>
      <c r="T834">
        <v>18.36</v>
      </c>
      <c r="U834">
        <v>29.06</v>
      </c>
      <c r="V834">
        <v>28.53</v>
      </c>
      <c r="W834">
        <v>13.46</v>
      </c>
      <c r="X834">
        <v>8.9</v>
      </c>
      <c r="Y834">
        <v>4.5</v>
      </c>
      <c r="Z834">
        <v>0</v>
      </c>
      <c r="AA834" t="s">
        <v>9335</v>
      </c>
      <c r="AB834" t="s">
        <v>242</v>
      </c>
      <c r="AC834" t="s">
        <v>3213</v>
      </c>
    </row>
    <row r="835" spans="1:29" x14ac:dyDescent="0.25">
      <c r="A835" t="s">
        <v>1920</v>
      </c>
      <c r="B835" t="s">
        <v>254</v>
      </c>
      <c r="C835" t="s">
        <v>319</v>
      </c>
      <c r="D835" t="s">
        <v>3713</v>
      </c>
      <c r="E835" t="s">
        <v>3761</v>
      </c>
      <c r="F835">
        <v>10000000</v>
      </c>
      <c r="G835" t="s">
        <v>9349</v>
      </c>
      <c r="H835" t="s">
        <v>241</v>
      </c>
      <c r="I835" t="s">
        <v>242</v>
      </c>
      <c r="J835" t="s">
        <v>242</v>
      </c>
      <c r="K835" t="s">
        <v>242</v>
      </c>
      <c r="L835" t="s">
        <v>241</v>
      </c>
      <c r="M835">
        <v>39.020713890000003</v>
      </c>
      <c r="N835">
        <v>-123.1301206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 t="s">
        <v>9335</v>
      </c>
      <c r="AB835" t="s">
        <v>242</v>
      </c>
      <c r="AC835" t="s">
        <v>3213</v>
      </c>
    </row>
    <row r="836" spans="1:29" x14ac:dyDescent="0.25">
      <c r="A836" t="s">
        <v>1921</v>
      </c>
      <c r="B836" t="s">
        <v>254</v>
      </c>
      <c r="C836" t="s">
        <v>333</v>
      </c>
      <c r="D836" t="s">
        <v>3713</v>
      </c>
      <c r="E836" t="s">
        <v>3761</v>
      </c>
      <c r="F836">
        <v>10000000</v>
      </c>
      <c r="G836" t="s">
        <v>9349</v>
      </c>
      <c r="H836" t="s">
        <v>241</v>
      </c>
      <c r="I836" t="s">
        <v>242</v>
      </c>
      <c r="J836" t="s">
        <v>242</v>
      </c>
      <c r="K836" t="s">
        <v>242</v>
      </c>
      <c r="L836" t="s">
        <v>241</v>
      </c>
      <c r="M836">
        <v>39.102800000000002</v>
      </c>
      <c r="N836">
        <v>-123.1785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 t="s">
        <v>9335</v>
      </c>
      <c r="AB836" t="s">
        <v>242</v>
      </c>
      <c r="AC836" t="s">
        <v>3213</v>
      </c>
    </row>
    <row r="837" spans="1:29" x14ac:dyDescent="0.25">
      <c r="A837" t="s">
        <v>1922</v>
      </c>
      <c r="B837" t="s">
        <v>254</v>
      </c>
      <c r="C837" t="s">
        <v>317</v>
      </c>
      <c r="D837" t="s">
        <v>3713</v>
      </c>
      <c r="E837" t="s">
        <v>3761</v>
      </c>
      <c r="F837">
        <v>10000000</v>
      </c>
      <c r="G837" t="s">
        <v>9349</v>
      </c>
      <c r="H837" t="s">
        <v>242</v>
      </c>
      <c r="I837" t="s">
        <v>242</v>
      </c>
      <c r="J837" t="s">
        <v>242</v>
      </c>
      <c r="K837" t="s">
        <v>242</v>
      </c>
      <c r="L837" t="s">
        <v>241</v>
      </c>
      <c r="M837">
        <v>39.269353590000001</v>
      </c>
      <c r="N837">
        <v>-123.21269460000001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 t="s">
        <v>9335</v>
      </c>
      <c r="AB837" t="s">
        <v>242</v>
      </c>
      <c r="AC837" t="s">
        <v>3213</v>
      </c>
    </row>
    <row r="838" spans="1:29" x14ac:dyDescent="0.25">
      <c r="A838" t="s">
        <v>1923</v>
      </c>
      <c r="B838" t="s">
        <v>254</v>
      </c>
      <c r="C838" t="s">
        <v>333</v>
      </c>
      <c r="D838" t="s">
        <v>3713</v>
      </c>
      <c r="E838" t="s">
        <v>3761</v>
      </c>
      <c r="F838">
        <v>10000000</v>
      </c>
      <c r="G838" t="s">
        <v>9349</v>
      </c>
      <c r="H838" t="s">
        <v>242</v>
      </c>
      <c r="I838" t="s">
        <v>242</v>
      </c>
      <c r="J838" t="s">
        <v>242</v>
      </c>
      <c r="K838" t="s">
        <v>242</v>
      </c>
      <c r="L838" t="s">
        <v>241</v>
      </c>
      <c r="M838">
        <v>39.044998040000003</v>
      </c>
      <c r="N838">
        <v>-123.1599111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 t="s">
        <v>9335</v>
      </c>
      <c r="AB838" t="s">
        <v>242</v>
      </c>
      <c r="AC838" t="s">
        <v>3213</v>
      </c>
    </row>
    <row r="839" spans="1:29" x14ac:dyDescent="0.25">
      <c r="A839" t="s">
        <v>1925</v>
      </c>
      <c r="B839" t="s">
        <v>254</v>
      </c>
      <c r="C839" t="s">
        <v>333</v>
      </c>
      <c r="D839" t="s">
        <v>3713</v>
      </c>
      <c r="E839" t="s">
        <v>3761</v>
      </c>
      <c r="F839">
        <v>10000000</v>
      </c>
      <c r="G839" t="s">
        <v>9349</v>
      </c>
      <c r="H839" t="s">
        <v>241</v>
      </c>
      <c r="I839" t="s">
        <v>242</v>
      </c>
      <c r="J839" t="s">
        <v>242</v>
      </c>
      <c r="K839" t="s">
        <v>242</v>
      </c>
      <c r="L839" t="s">
        <v>241</v>
      </c>
      <c r="M839">
        <v>39.058878579999998</v>
      </c>
      <c r="N839">
        <v>-123.1446409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 t="s">
        <v>9335</v>
      </c>
      <c r="AB839" t="s">
        <v>242</v>
      </c>
      <c r="AC839" t="s">
        <v>3213</v>
      </c>
    </row>
    <row r="840" spans="1:29" x14ac:dyDescent="0.25">
      <c r="A840" t="s">
        <v>1926</v>
      </c>
      <c r="B840" t="s">
        <v>254</v>
      </c>
      <c r="C840" t="s">
        <v>354</v>
      </c>
      <c r="D840" t="s">
        <v>3713</v>
      </c>
      <c r="E840" t="s">
        <v>3761</v>
      </c>
      <c r="F840">
        <v>10000000</v>
      </c>
      <c r="G840" t="s">
        <v>9349</v>
      </c>
      <c r="H840" t="s">
        <v>242</v>
      </c>
      <c r="I840" t="s">
        <v>242</v>
      </c>
      <c r="J840" t="s">
        <v>242</v>
      </c>
      <c r="K840" t="s">
        <v>242</v>
      </c>
      <c r="L840" t="s">
        <v>241</v>
      </c>
      <c r="M840">
        <v>38.763349669999997</v>
      </c>
      <c r="N840">
        <v>-123.00275139999999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 t="s">
        <v>9333</v>
      </c>
      <c r="AB840" t="s">
        <v>242</v>
      </c>
      <c r="AC840" t="s">
        <v>3229</v>
      </c>
    </row>
    <row r="841" spans="1:29" x14ac:dyDescent="0.25">
      <c r="A841" t="s">
        <v>1928</v>
      </c>
      <c r="B841" t="s">
        <v>254</v>
      </c>
      <c r="C841" t="s">
        <v>354</v>
      </c>
      <c r="D841" t="s">
        <v>3713</v>
      </c>
      <c r="E841" t="s">
        <v>3761</v>
      </c>
      <c r="F841">
        <v>10000000</v>
      </c>
      <c r="G841" t="s">
        <v>9349</v>
      </c>
      <c r="H841" t="s">
        <v>242</v>
      </c>
      <c r="I841" t="s">
        <v>242</v>
      </c>
      <c r="J841" t="s">
        <v>242</v>
      </c>
      <c r="K841" t="s">
        <v>242</v>
      </c>
      <c r="L841" t="s">
        <v>241</v>
      </c>
      <c r="M841">
        <v>38.749210339999998</v>
      </c>
      <c r="N841">
        <v>-122.9864216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 t="s">
        <v>9335</v>
      </c>
      <c r="AB841" t="s">
        <v>242</v>
      </c>
      <c r="AC841" t="s">
        <v>3229</v>
      </c>
    </row>
    <row r="842" spans="1:29" x14ac:dyDescent="0.25">
      <c r="A842" t="s">
        <v>1929</v>
      </c>
      <c r="B842" t="s">
        <v>254</v>
      </c>
      <c r="C842" t="s">
        <v>354</v>
      </c>
      <c r="D842" t="s">
        <v>3713</v>
      </c>
      <c r="E842" t="s">
        <v>3761</v>
      </c>
      <c r="F842">
        <v>10000000</v>
      </c>
      <c r="G842" t="s">
        <v>9349</v>
      </c>
      <c r="H842" t="s">
        <v>242</v>
      </c>
      <c r="I842" t="s">
        <v>242</v>
      </c>
      <c r="J842" t="s">
        <v>242</v>
      </c>
      <c r="K842" t="s">
        <v>242</v>
      </c>
      <c r="L842" t="s">
        <v>241</v>
      </c>
      <c r="M842">
        <v>38.749222230000001</v>
      </c>
      <c r="N842">
        <v>-122.9850191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 t="s">
        <v>9335</v>
      </c>
      <c r="AB842" t="s">
        <v>242</v>
      </c>
      <c r="AC842" t="s">
        <v>3229</v>
      </c>
    </row>
    <row r="843" spans="1:29" x14ac:dyDescent="0.25">
      <c r="A843" t="s">
        <v>111</v>
      </c>
      <c r="B843" t="s">
        <v>254</v>
      </c>
      <c r="C843" t="s">
        <v>311</v>
      </c>
      <c r="D843" t="s">
        <v>3713</v>
      </c>
      <c r="E843" t="s">
        <v>3761</v>
      </c>
      <c r="F843">
        <v>10000000</v>
      </c>
      <c r="G843" t="s">
        <v>9349</v>
      </c>
      <c r="H843" t="s">
        <v>241</v>
      </c>
      <c r="I843" t="s">
        <v>242</v>
      </c>
      <c r="J843" t="s">
        <v>242</v>
      </c>
      <c r="K843" t="s">
        <v>242</v>
      </c>
      <c r="L843" t="s">
        <v>241</v>
      </c>
      <c r="M843">
        <v>38.609099999999998</v>
      </c>
      <c r="N843">
        <v>-122.7839</v>
      </c>
      <c r="O843">
        <v>0</v>
      </c>
      <c r="P843">
        <v>0</v>
      </c>
      <c r="Q843">
        <v>0</v>
      </c>
      <c r="R843">
        <v>0</v>
      </c>
      <c r="S843">
        <v>3.89</v>
      </c>
      <c r="T843">
        <v>2.63</v>
      </c>
      <c r="U843">
        <v>13.81</v>
      </c>
      <c r="V843">
        <v>13.34</v>
      </c>
      <c r="W843">
        <v>7.01</v>
      </c>
      <c r="X843">
        <v>4.8499999999999996</v>
      </c>
      <c r="Y843">
        <v>11.24</v>
      </c>
      <c r="Z843">
        <v>0</v>
      </c>
      <c r="AA843" t="s">
        <v>9335</v>
      </c>
      <c r="AB843" t="s">
        <v>242</v>
      </c>
      <c r="AC843" t="s">
        <v>3229</v>
      </c>
    </row>
    <row r="844" spans="1:29" x14ac:dyDescent="0.25">
      <c r="A844" t="s">
        <v>1871</v>
      </c>
      <c r="B844" t="s">
        <v>254</v>
      </c>
      <c r="C844" t="s">
        <v>348</v>
      </c>
      <c r="D844" t="s">
        <v>3713</v>
      </c>
      <c r="E844" t="s">
        <v>3761</v>
      </c>
      <c r="F844">
        <v>10000000</v>
      </c>
      <c r="G844" t="s">
        <v>9349</v>
      </c>
      <c r="H844" t="s">
        <v>242</v>
      </c>
      <c r="I844" t="s">
        <v>242</v>
      </c>
      <c r="J844" t="s">
        <v>242</v>
      </c>
      <c r="K844" t="s">
        <v>242</v>
      </c>
      <c r="L844" t="s">
        <v>241</v>
      </c>
      <c r="M844">
        <v>39.318182880000002</v>
      </c>
      <c r="N844">
        <v>-123.10642230000001</v>
      </c>
      <c r="O844">
        <v>0</v>
      </c>
      <c r="P844">
        <v>0</v>
      </c>
      <c r="Q844">
        <v>0</v>
      </c>
      <c r="R844">
        <v>0.76</v>
      </c>
      <c r="S844">
        <v>0</v>
      </c>
      <c r="T844">
        <v>0.76</v>
      </c>
      <c r="U844">
        <v>0.56000000000000005</v>
      </c>
      <c r="V844">
        <v>0</v>
      </c>
      <c r="W844">
        <v>0</v>
      </c>
      <c r="X844">
        <v>0.7</v>
      </c>
      <c r="Y844">
        <v>0</v>
      </c>
      <c r="Z844">
        <v>0</v>
      </c>
      <c r="AA844" t="s">
        <v>9335</v>
      </c>
      <c r="AB844" t="s">
        <v>242</v>
      </c>
      <c r="AC844" t="s">
        <v>3213</v>
      </c>
    </row>
    <row r="845" spans="1:29" x14ac:dyDescent="0.25">
      <c r="A845" t="s">
        <v>1930</v>
      </c>
      <c r="B845" t="s">
        <v>254</v>
      </c>
      <c r="C845" t="s">
        <v>319</v>
      </c>
      <c r="D845" t="s">
        <v>3713</v>
      </c>
      <c r="E845" t="s">
        <v>3761</v>
      </c>
      <c r="F845">
        <v>10000000</v>
      </c>
      <c r="G845" t="s">
        <v>9349</v>
      </c>
      <c r="H845" t="s">
        <v>242</v>
      </c>
      <c r="I845" t="s">
        <v>242</v>
      </c>
      <c r="J845" t="s">
        <v>242</v>
      </c>
      <c r="K845" t="s">
        <v>242</v>
      </c>
      <c r="L845" t="s">
        <v>241</v>
      </c>
      <c r="M845">
        <v>38.972416320000001</v>
      </c>
      <c r="N845">
        <v>-123.083445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 t="s">
        <v>9335</v>
      </c>
      <c r="AB845" t="s">
        <v>242</v>
      </c>
      <c r="AC845" t="s">
        <v>3213</v>
      </c>
    </row>
    <row r="846" spans="1:29" x14ac:dyDescent="0.25">
      <c r="A846" t="s">
        <v>1777</v>
      </c>
      <c r="B846" t="s">
        <v>254</v>
      </c>
      <c r="C846" t="s">
        <v>333</v>
      </c>
      <c r="D846" t="s">
        <v>3713</v>
      </c>
      <c r="E846" t="s">
        <v>3761</v>
      </c>
      <c r="F846">
        <v>19100101</v>
      </c>
      <c r="G846" t="s">
        <v>9348</v>
      </c>
      <c r="H846" t="s">
        <v>242</v>
      </c>
      <c r="I846" t="s">
        <v>241</v>
      </c>
      <c r="J846" t="s">
        <v>242</v>
      </c>
      <c r="K846" t="s">
        <v>242</v>
      </c>
      <c r="L846" t="s">
        <v>242</v>
      </c>
      <c r="M846">
        <v>39.092079099999999</v>
      </c>
      <c r="N846">
        <v>-123.2151235</v>
      </c>
      <c r="O846">
        <v>0</v>
      </c>
      <c r="P846">
        <v>0</v>
      </c>
      <c r="Q846">
        <v>0</v>
      </c>
      <c r="R846">
        <v>0</v>
      </c>
      <c r="S846">
        <v>0.4</v>
      </c>
      <c r="T846">
        <v>0.48</v>
      </c>
      <c r="U846">
        <v>0.47</v>
      </c>
      <c r="V846">
        <v>0.49</v>
      </c>
      <c r="W846">
        <v>0.48</v>
      </c>
      <c r="X846">
        <v>0.38</v>
      </c>
      <c r="Y846">
        <v>0</v>
      </c>
      <c r="Z846">
        <v>0</v>
      </c>
      <c r="AA846" t="s">
        <v>9335</v>
      </c>
      <c r="AB846" t="s">
        <v>241</v>
      </c>
      <c r="AC846" t="s">
        <v>3213</v>
      </c>
    </row>
    <row r="847" spans="1:29" x14ac:dyDescent="0.25">
      <c r="A847" t="s">
        <v>1931</v>
      </c>
      <c r="B847" t="s">
        <v>254</v>
      </c>
      <c r="C847" t="s">
        <v>333</v>
      </c>
      <c r="D847" t="s">
        <v>3713</v>
      </c>
      <c r="E847" t="s">
        <v>3761</v>
      </c>
      <c r="F847">
        <v>10000000</v>
      </c>
      <c r="G847" t="s">
        <v>9349</v>
      </c>
      <c r="H847" t="s">
        <v>242</v>
      </c>
      <c r="I847" t="s">
        <v>242</v>
      </c>
      <c r="J847" t="s">
        <v>242</v>
      </c>
      <c r="K847" t="s">
        <v>242</v>
      </c>
      <c r="L847" t="s">
        <v>241</v>
      </c>
      <c r="M847">
        <v>39.091634249999998</v>
      </c>
      <c r="N847">
        <v>-123.21828720000001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 t="s">
        <v>9335</v>
      </c>
      <c r="AB847" t="s">
        <v>242</v>
      </c>
      <c r="AC847" t="s">
        <v>3213</v>
      </c>
    </row>
    <row r="848" spans="1:29" x14ac:dyDescent="0.25">
      <c r="A848" t="s">
        <v>1932</v>
      </c>
      <c r="B848" t="s">
        <v>254</v>
      </c>
      <c r="C848" t="s">
        <v>331</v>
      </c>
      <c r="D848" t="s">
        <v>3713</v>
      </c>
      <c r="E848" t="s">
        <v>3761</v>
      </c>
      <c r="F848">
        <v>10000000</v>
      </c>
      <c r="G848" t="s">
        <v>9349</v>
      </c>
      <c r="H848" t="s">
        <v>242</v>
      </c>
      <c r="I848" t="s">
        <v>242</v>
      </c>
      <c r="J848" t="s">
        <v>242</v>
      </c>
      <c r="K848" t="s">
        <v>242</v>
      </c>
      <c r="L848" t="s">
        <v>241</v>
      </c>
      <c r="M848">
        <v>39.182724409999999</v>
      </c>
      <c r="N848">
        <v>-123.2255</v>
      </c>
      <c r="O848">
        <v>0</v>
      </c>
      <c r="P848">
        <v>0</v>
      </c>
      <c r="Q848">
        <v>1.1100000000000001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 t="s">
        <v>9335</v>
      </c>
      <c r="AB848" t="s">
        <v>242</v>
      </c>
      <c r="AC848" t="s">
        <v>3213</v>
      </c>
    </row>
    <row r="849" spans="1:29" x14ac:dyDescent="0.25">
      <c r="A849" t="s">
        <v>52</v>
      </c>
      <c r="B849" t="s">
        <v>254</v>
      </c>
      <c r="C849" t="s">
        <v>354</v>
      </c>
      <c r="D849" t="s">
        <v>3713</v>
      </c>
      <c r="E849" t="s">
        <v>3761</v>
      </c>
      <c r="F849">
        <v>18810101</v>
      </c>
      <c r="G849" t="s">
        <v>9348</v>
      </c>
      <c r="H849" t="s">
        <v>241</v>
      </c>
      <c r="I849" t="s">
        <v>241</v>
      </c>
      <c r="J849" t="s">
        <v>242</v>
      </c>
      <c r="K849" t="s">
        <v>242</v>
      </c>
      <c r="L849" t="s">
        <v>242</v>
      </c>
      <c r="M849">
        <v>38.766327879999999</v>
      </c>
      <c r="N849">
        <v>-122.97543450000001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 t="s">
        <v>9335</v>
      </c>
      <c r="AB849" t="s">
        <v>242</v>
      </c>
      <c r="AC849" t="s">
        <v>3229</v>
      </c>
    </row>
    <row r="850" spans="1:29" x14ac:dyDescent="0.25">
      <c r="A850" t="s">
        <v>2098</v>
      </c>
      <c r="B850" t="s">
        <v>254</v>
      </c>
      <c r="C850" t="s">
        <v>348</v>
      </c>
      <c r="D850" t="s">
        <v>3713</v>
      </c>
      <c r="E850" t="s">
        <v>3761</v>
      </c>
      <c r="F850">
        <v>10000000</v>
      </c>
      <c r="G850" t="s">
        <v>9349</v>
      </c>
      <c r="H850" t="s">
        <v>242</v>
      </c>
      <c r="I850" t="s">
        <v>242</v>
      </c>
      <c r="J850" t="s">
        <v>242</v>
      </c>
      <c r="K850" t="s">
        <v>242</v>
      </c>
      <c r="L850" t="s">
        <v>241</v>
      </c>
      <c r="M850">
        <v>39.339442179999999</v>
      </c>
      <c r="N850">
        <v>-123.12302149999999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 t="s">
        <v>9335</v>
      </c>
      <c r="AB850" t="s">
        <v>242</v>
      </c>
      <c r="AC850" t="s">
        <v>3213</v>
      </c>
    </row>
    <row r="851" spans="1:29" x14ac:dyDescent="0.25">
      <c r="A851" t="s">
        <v>1919</v>
      </c>
      <c r="B851" t="s">
        <v>254</v>
      </c>
      <c r="C851" t="s">
        <v>348</v>
      </c>
      <c r="D851" t="s">
        <v>3713</v>
      </c>
      <c r="E851" t="s">
        <v>3761</v>
      </c>
      <c r="F851">
        <v>10000000</v>
      </c>
      <c r="G851" t="s">
        <v>9349</v>
      </c>
      <c r="H851" t="s">
        <v>242</v>
      </c>
      <c r="I851" t="s">
        <v>242</v>
      </c>
      <c r="J851" t="s">
        <v>242</v>
      </c>
      <c r="K851" t="s">
        <v>242</v>
      </c>
      <c r="L851" t="s">
        <v>241</v>
      </c>
      <c r="M851">
        <v>39.33840146</v>
      </c>
      <c r="N851">
        <v>-123.11699369999999</v>
      </c>
      <c r="O851">
        <v>0</v>
      </c>
      <c r="P851">
        <v>0</v>
      </c>
      <c r="Q851">
        <v>1.06</v>
      </c>
      <c r="R851">
        <v>2.13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 t="s">
        <v>9335</v>
      </c>
      <c r="AB851" t="s">
        <v>242</v>
      </c>
      <c r="AC851" t="s">
        <v>3213</v>
      </c>
    </row>
    <row r="852" spans="1:29" x14ac:dyDescent="0.25">
      <c r="A852" t="s">
        <v>1945</v>
      </c>
      <c r="B852" t="s">
        <v>254</v>
      </c>
      <c r="C852" t="s">
        <v>331</v>
      </c>
      <c r="D852" t="s">
        <v>3713</v>
      </c>
      <c r="E852" t="s">
        <v>3761</v>
      </c>
      <c r="F852">
        <v>10000000</v>
      </c>
      <c r="G852" t="s">
        <v>9349</v>
      </c>
      <c r="H852" t="s">
        <v>241</v>
      </c>
      <c r="I852" t="s">
        <v>242</v>
      </c>
      <c r="J852" t="s">
        <v>242</v>
      </c>
      <c r="K852" t="s">
        <v>242</v>
      </c>
      <c r="L852" t="s">
        <v>241</v>
      </c>
      <c r="M852">
        <v>39.139029540000003</v>
      </c>
      <c r="N852">
        <v>-123.1889541</v>
      </c>
      <c r="O852">
        <v>0</v>
      </c>
      <c r="P852">
        <v>0</v>
      </c>
      <c r="Q852">
        <v>1.17</v>
      </c>
      <c r="R852">
        <v>0.2</v>
      </c>
      <c r="S852">
        <v>0</v>
      </c>
      <c r="T852">
        <v>0.84</v>
      </c>
      <c r="U852">
        <v>3.22</v>
      </c>
      <c r="V852">
        <v>0</v>
      </c>
      <c r="W852">
        <v>0</v>
      </c>
      <c r="X852">
        <v>0</v>
      </c>
      <c r="Y852">
        <v>0</v>
      </c>
      <c r="Z852">
        <v>0</v>
      </c>
      <c r="AA852" t="s">
        <v>9333</v>
      </c>
      <c r="AB852" t="s">
        <v>242</v>
      </c>
      <c r="AC852" t="s">
        <v>3213</v>
      </c>
    </row>
    <row r="853" spans="1:29" x14ac:dyDescent="0.25">
      <c r="A853" t="s">
        <v>1840</v>
      </c>
      <c r="B853" t="s">
        <v>254</v>
      </c>
      <c r="C853" t="s">
        <v>311</v>
      </c>
      <c r="D853" t="s">
        <v>3713</v>
      </c>
      <c r="E853" t="s">
        <v>3761</v>
      </c>
      <c r="F853">
        <v>18690101</v>
      </c>
      <c r="G853" t="s">
        <v>9348</v>
      </c>
      <c r="H853" t="s">
        <v>241</v>
      </c>
      <c r="I853" t="s">
        <v>241</v>
      </c>
      <c r="J853" t="s">
        <v>242</v>
      </c>
      <c r="K853" t="s">
        <v>242</v>
      </c>
      <c r="L853" t="s">
        <v>242</v>
      </c>
      <c r="M853">
        <v>38.645728859999998</v>
      </c>
      <c r="N853">
        <v>-122.80220730000001</v>
      </c>
      <c r="O853">
        <v>0.63</v>
      </c>
      <c r="P853">
        <v>1.1499999999999999</v>
      </c>
      <c r="Q853">
        <v>0.8</v>
      </c>
      <c r="R853">
        <v>1.58</v>
      </c>
      <c r="S853">
        <v>3.43</v>
      </c>
      <c r="T853">
        <v>3.69</v>
      </c>
      <c r="U853">
        <v>4.4000000000000004</v>
      </c>
      <c r="V853">
        <v>4.32</v>
      </c>
      <c r="W853">
        <v>3.95</v>
      </c>
      <c r="X853">
        <v>2.83</v>
      </c>
      <c r="Y853">
        <v>1.92</v>
      </c>
      <c r="Z853">
        <v>0.84</v>
      </c>
      <c r="AA853" t="s">
        <v>9333</v>
      </c>
      <c r="AB853" t="s">
        <v>242</v>
      </c>
      <c r="AC853" t="s">
        <v>3229</v>
      </c>
    </row>
    <row r="854" spans="1:29" x14ac:dyDescent="0.25">
      <c r="A854" t="s">
        <v>1946</v>
      </c>
      <c r="B854" t="s">
        <v>254</v>
      </c>
      <c r="C854" t="s">
        <v>317</v>
      </c>
      <c r="D854" t="s">
        <v>3713</v>
      </c>
      <c r="E854" t="s">
        <v>3761</v>
      </c>
      <c r="F854">
        <v>10000000</v>
      </c>
      <c r="G854" t="s">
        <v>9349</v>
      </c>
      <c r="H854" t="s">
        <v>242</v>
      </c>
      <c r="I854" t="s">
        <v>242</v>
      </c>
      <c r="J854" t="s">
        <v>242</v>
      </c>
      <c r="K854" t="s">
        <v>242</v>
      </c>
      <c r="L854" t="s">
        <v>241</v>
      </c>
      <c r="M854">
        <v>39.246654360000001</v>
      </c>
      <c r="N854">
        <v>-123.20382960000001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 t="s">
        <v>9335</v>
      </c>
      <c r="AB854" t="s">
        <v>242</v>
      </c>
      <c r="AC854" t="s">
        <v>3213</v>
      </c>
    </row>
    <row r="855" spans="1:29" x14ac:dyDescent="0.25">
      <c r="A855" t="s">
        <v>1950</v>
      </c>
      <c r="B855" t="s">
        <v>254</v>
      </c>
      <c r="C855" t="s">
        <v>311</v>
      </c>
      <c r="D855" t="s">
        <v>3713</v>
      </c>
      <c r="E855" t="s">
        <v>3761</v>
      </c>
      <c r="F855">
        <v>10000000</v>
      </c>
      <c r="G855" t="s">
        <v>9349</v>
      </c>
      <c r="H855" t="s">
        <v>242</v>
      </c>
      <c r="I855" t="s">
        <v>242</v>
      </c>
      <c r="J855" t="s">
        <v>242</v>
      </c>
      <c r="K855" t="s">
        <v>242</v>
      </c>
      <c r="L855" t="s">
        <v>241</v>
      </c>
      <c r="M855">
        <v>38.64943916</v>
      </c>
      <c r="N855">
        <v>-122.78158879999999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 t="s">
        <v>9342</v>
      </c>
      <c r="AB855" t="s">
        <v>242</v>
      </c>
      <c r="AC855" t="s">
        <v>3229</v>
      </c>
    </row>
    <row r="856" spans="1:29" x14ac:dyDescent="0.25">
      <c r="A856" t="s">
        <v>1816</v>
      </c>
      <c r="B856" t="s">
        <v>254</v>
      </c>
      <c r="C856" t="s">
        <v>348</v>
      </c>
      <c r="D856" t="s">
        <v>3713</v>
      </c>
      <c r="E856" t="s">
        <v>3761</v>
      </c>
      <c r="F856">
        <v>19000101</v>
      </c>
      <c r="G856" t="s">
        <v>9348</v>
      </c>
      <c r="H856" t="s">
        <v>242</v>
      </c>
      <c r="I856" t="s">
        <v>241</v>
      </c>
      <c r="J856" t="s">
        <v>242</v>
      </c>
      <c r="K856" t="s">
        <v>242</v>
      </c>
      <c r="L856" t="s">
        <v>242</v>
      </c>
      <c r="M856">
        <v>39.272913690000003</v>
      </c>
      <c r="N856">
        <v>-123.1025337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 t="s">
        <v>9333</v>
      </c>
      <c r="AB856" t="s">
        <v>242</v>
      </c>
      <c r="AC856" t="s">
        <v>3213</v>
      </c>
    </row>
    <row r="857" spans="1:29" x14ac:dyDescent="0.25">
      <c r="A857" t="s">
        <v>1951</v>
      </c>
      <c r="B857" t="s">
        <v>254</v>
      </c>
      <c r="C857" t="s">
        <v>333</v>
      </c>
      <c r="D857" t="s">
        <v>3713</v>
      </c>
      <c r="E857" t="s">
        <v>3761</v>
      </c>
      <c r="F857">
        <v>10000000</v>
      </c>
      <c r="G857" t="s">
        <v>9349</v>
      </c>
      <c r="H857" t="s">
        <v>242</v>
      </c>
      <c r="I857" t="s">
        <v>242</v>
      </c>
      <c r="J857" t="s">
        <v>242</v>
      </c>
      <c r="K857" t="s">
        <v>242</v>
      </c>
      <c r="L857" t="s">
        <v>241</v>
      </c>
      <c r="M857">
        <v>39.098700000000001</v>
      </c>
      <c r="N857">
        <v>-123.2139</v>
      </c>
      <c r="O857">
        <v>0</v>
      </c>
      <c r="P857">
        <v>0</v>
      </c>
      <c r="Q857">
        <v>0</v>
      </c>
      <c r="R857">
        <v>0</v>
      </c>
      <c r="S857">
        <v>1.55</v>
      </c>
      <c r="T857">
        <v>1.98</v>
      </c>
      <c r="U857">
        <v>2.33</v>
      </c>
      <c r="V857">
        <v>7.99</v>
      </c>
      <c r="W857">
        <v>1.79</v>
      </c>
      <c r="X857">
        <v>1.5</v>
      </c>
      <c r="Y857">
        <v>1.1000000000000001</v>
      </c>
      <c r="Z857">
        <v>0</v>
      </c>
      <c r="AA857" t="s">
        <v>9335</v>
      </c>
      <c r="AB857" t="s">
        <v>242</v>
      </c>
      <c r="AC857" t="s">
        <v>3213</v>
      </c>
    </row>
    <row r="858" spans="1:29" x14ac:dyDescent="0.25">
      <c r="A858" t="s">
        <v>1952</v>
      </c>
      <c r="B858" t="s">
        <v>254</v>
      </c>
      <c r="C858" t="s">
        <v>333</v>
      </c>
      <c r="D858" t="s">
        <v>3713</v>
      </c>
      <c r="E858" t="s">
        <v>3761</v>
      </c>
      <c r="F858">
        <v>10000000</v>
      </c>
      <c r="G858" t="s">
        <v>9349</v>
      </c>
      <c r="H858" t="s">
        <v>242</v>
      </c>
      <c r="I858" t="s">
        <v>242</v>
      </c>
      <c r="J858" t="s">
        <v>242</v>
      </c>
      <c r="K858" t="s">
        <v>242</v>
      </c>
      <c r="L858" t="s">
        <v>241</v>
      </c>
      <c r="M858">
        <v>39.098599999999998</v>
      </c>
      <c r="N858">
        <v>-123.21380000000001</v>
      </c>
      <c r="O858">
        <v>0</v>
      </c>
      <c r="P858">
        <v>0</v>
      </c>
      <c r="Q858">
        <v>0</v>
      </c>
      <c r="R858">
        <v>0</v>
      </c>
      <c r="S858">
        <v>1.1499999999999999</v>
      </c>
      <c r="T858">
        <v>2.02</v>
      </c>
      <c r="U858">
        <v>4.79</v>
      </c>
      <c r="V858">
        <v>1.84</v>
      </c>
      <c r="W858">
        <v>1.23</v>
      </c>
      <c r="X858">
        <v>0.73</v>
      </c>
      <c r="Y858">
        <v>0</v>
      </c>
      <c r="Z858">
        <v>0</v>
      </c>
      <c r="AA858" t="s">
        <v>9335</v>
      </c>
      <c r="AB858" t="s">
        <v>241</v>
      </c>
      <c r="AC858" t="s">
        <v>3213</v>
      </c>
    </row>
    <row r="859" spans="1:29" x14ac:dyDescent="0.25">
      <c r="A859" t="s">
        <v>1953</v>
      </c>
      <c r="B859" t="s">
        <v>254</v>
      </c>
      <c r="C859" t="s">
        <v>317</v>
      </c>
      <c r="D859" t="s">
        <v>3713</v>
      </c>
      <c r="E859" t="s">
        <v>3761</v>
      </c>
      <c r="F859">
        <v>10000000</v>
      </c>
      <c r="G859" t="s">
        <v>9349</v>
      </c>
      <c r="H859" t="s">
        <v>242</v>
      </c>
      <c r="I859" t="s">
        <v>242</v>
      </c>
      <c r="J859" t="s">
        <v>242</v>
      </c>
      <c r="K859" t="s">
        <v>242</v>
      </c>
      <c r="L859" t="s">
        <v>241</v>
      </c>
      <c r="M859">
        <v>39.251010639999997</v>
      </c>
      <c r="N859">
        <v>-123.20743539999999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 t="s">
        <v>9335</v>
      </c>
      <c r="AB859" t="s">
        <v>242</v>
      </c>
      <c r="AC859" t="s">
        <v>3213</v>
      </c>
    </row>
    <row r="860" spans="1:29" x14ac:dyDescent="0.25">
      <c r="A860" t="s">
        <v>1954</v>
      </c>
      <c r="B860" t="s">
        <v>254</v>
      </c>
      <c r="C860" t="s">
        <v>331</v>
      </c>
      <c r="D860" t="s">
        <v>3713</v>
      </c>
      <c r="E860" t="s">
        <v>3761</v>
      </c>
      <c r="F860">
        <v>10000000</v>
      </c>
      <c r="G860" t="s">
        <v>9349</v>
      </c>
      <c r="H860" t="s">
        <v>242</v>
      </c>
      <c r="I860" t="s">
        <v>242</v>
      </c>
      <c r="J860" t="s">
        <v>242</v>
      </c>
      <c r="K860" t="s">
        <v>242</v>
      </c>
      <c r="L860" t="s">
        <v>241</v>
      </c>
      <c r="M860">
        <v>39.142984349999999</v>
      </c>
      <c r="N860">
        <v>-123.1643365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1.5343329999999999E-3</v>
      </c>
      <c r="U860">
        <v>0.01</v>
      </c>
      <c r="V860">
        <v>0.01</v>
      </c>
      <c r="W860">
        <v>0.01</v>
      </c>
      <c r="X860">
        <v>0</v>
      </c>
      <c r="Y860">
        <v>0</v>
      </c>
      <c r="Z860">
        <v>0</v>
      </c>
      <c r="AA860" t="s">
        <v>9335</v>
      </c>
      <c r="AB860" t="s">
        <v>242</v>
      </c>
      <c r="AC860" t="s">
        <v>3213</v>
      </c>
    </row>
    <row r="861" spans="1:29" x14ac:dyDescent="0.25">
      <c r="A861" t="s">
        <v>1958</v>
      </c>
      <c r="B861" t="s">
        <v>254</v>
      </c>
      <c r="C861" t="s">
        <v>333</v>
      </c>
      <c r="D861" t="s">
        <v>3713</v>
      </c>
      <c r="E861" t="s">
        <v>3761</v>
      </c>
      <c r="F861">
        <v>10000000</v>
      </c>
      <c r="G861" t="s">
        <v>9349</v>
      </c>
      <c r="H861" t="s">
        <v>242</v>
      </c>
      <c r="I861" t="s">
        <v>242</v>
      </c>
      <c r="J861" t="s">
        <v>242</v>
      </c>
      <c r="K861" t="s">
        <v>242</v>
      </c>
      <c r="L861" t="s">
        <v>241</v>
      </c>
      <c r="M861">
        <v>39.094359849999996</v>
      </c>
      <c r="N861">
        <v>-123.2333106</v>
      </c>
      <c r="O861">
        <v>0</v>
      </c>
      <c r="P861">
        <v>0</v>
      </c>
      <c r="Q861">
        <v>0</v>
      </c>
      <c r="R861">
        <v>0</v>
      </c>
      <c r="S861">
        <v>0.1</v>
      </c>
      <c r="T861">
        <v>0.28999999999999998</v>
      </c>
      <c r="U861">
        <v>0.42</v>
      </c>
      <c r="V861">
        <v>0.43</v>
      </c>
      <c r="W861">
        <v>0.38</v>
      </c>
      <c r="X861">
        <v>0.25</v>
      </c>
      <c r="Y861">
        <v>7.0000000000000007E-2</v>
      </c>
      <c r="Z861">
        <v>0</v>
      </c>
      <c r="AA861" t="s">
        <v>9333</v>
      </c>
      <c r="AB861" t="s">
        <v>242</v>
      </c>
      <c r="AC861" t="s">
        <v>3213</v>
      </c>
    </row>
    <row r="862" spans="1:29" x14ac:dyDescent="0.25">
      <c r="A862" t="s">
        <v>1769</v>
      </c>
      <c r="B862" t="s">
        <v>254</v>
      </c>
      <c r="C862" t="s">
        <v>317</v>
      </c>
      <c r="D862" t="s">
        <v>3713</v>
      </c>
      <c r="E862" t="s">
        <v>3761</v>
      </c>
      <c r="F862">
        <v>19110101</v>
      </c>
      <c r="G862" t="s">
        <v>9348</v>
      </c>
      <c r="H862" t="s">
        <v>242</v>
      </c>
      <c r="I862" t="s">
        <v>241</v>
      </c>
      <c r="J862" t="s">
        <v>242</v>
      </c>
      <c r="K862" t="s">
        <v>242</v>
      </c>
      <c r="L862" t="s">
        <v>242</v>
      </c>
      <c r="M862">
        <v>39.211842519999998</v>
      </c>
      <c r="N862">
        <v>-123.2244158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 t="s">
        <v>9335</v>
      </c>
      <c r="AB862" t="s">
        <v>242</v>
      </c>
      <c r="AC862" t="s">
        <v>3213</v>
      </c>
    </row>
    <row r="863" spans="1:29" x14ac:dyDescent="0.25">
      <c r="A863" t="s">
        <v>1960</v>
      </c>
      <c r="B863" t="s">
        <v>254</v>
      </c>
      <c r="C863" t="s">
        <v>317</v>
      </c>
      <c r="D863" t="s">
        <v>3713</v>
      </c>
      <c r="E863" t="s">
        <v>3761</v>
      </c>
      <c r="F863">
        <v>10000000</v>
      </c>
      <c r="G863" t="s">
        <v>9349</v>
      </c>
      <c r="H863" t="s">
        <v>242</v>
      </c>
      <c r="I863" t="s">
        <v>242</v>
      </c>
      <c r="J863" t="s">
        <v>242</v>
      </c>
      <c r="K863" t="s">
        <v>242</v>
      </c>
      <c r="L863" t="s">
        <v>241</v>
      </c>
      <c r="M863">
        <v>39.227268350000003</v>
      </c>
      <c r="N863">
        <v>-123.20650070000001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 t="s">
        <v>9335</v>
      </c>
      <c r="AB863" t="s">
        <v>242</v>
      </c>
      <c r="AC863" t="s">
        <v>3213</v>
      </c>
    </row>
    <row r="864" spans="1:29" x14ac:dyDescent="0.25">
      <c r="A864" t="s">
        <v>1961</v>
      </c>
      <c r="B864" t="s">
        <v>254</v>
      </c>
      <c r="C864" t="s">
        <v>317</v>
      </c>
      <c r="D864" t="s">
        <v>3713</v>
      </c>
      <c r="E864" t="s">
        <v>3761</v>
      </c>
      <c r="F864">
        <v>10000000</v>
      </c>
      <c r="G864" t="s">
        <v>9349</v>
      </c>
      <c r="H864" t="s">
        <v>242</v>
      </c>
      <c r="I864" t="s">
        <v>242</v>
      </c>
      <c r="J864" t="s">
        <v>242</v>
      </c>
      <c r="K864" t="s">
        <v>242</v>
      </c>
      <c r="L864" t="s">
        <v>241</v>
      </c>
      <c r="M864">
        <v>39.279840749999998</v>
      </c>
      <c r="N864">
        <v>-123.20757500000001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 t="s">
        <v>9335</v>
      </c>
      <c r="AB864" t="s">
        <v>242</v>
      </c>
      <c r="AC864" t="s">
        <v>3213</v>
      </c>
    </row>
    <row r="865" spans="1:29" x14ac:dyDescent="0.25">
      <c r="A865" t="s">
        <v>1962</v>
      </c>
      <c r="B865" t="s">
        <v>254</v>
      </c>
      <c r="C865" t="s">
        <v>331</v>
      </c>
      <c r="D865" t="s">
        <v>3713</v>
      </c>
      <c r="E865" t="s">
        <v>3761</v>
      </c>
      <c r="F865">
        <v>10000000</v>
      </c>
      <c r="G865" t="s">
        <v>9349</v>
      </c>
      <c r="H865" t="s">
        <v>242</v>
      </c>
      <c r="I865" t="s">
        <v>242</v>
      </c>
      <c r="J865" t="s">
        <v>242</v>
      </c>
      <c r="K865" t="s">
        <v>242</v>
      </c>
      <c r="L865" t="s">
        <v>241</v>
      </c>
      <c r="M865">
        <v>39.138264249999999</v>
      </c>
      <c r="N865">
        <v>-123.16954800000001</v>
      </c>
      <c r="O865">
        <v>0.16</v>
      </c>
      <c r="P865">
        <v>0.66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 t="s">
        <v>9335</v>
      </c>
      <c r="AB865" t="s">
        <v>242</v>
      </c>
      <c r="AC865" t="s">
        <v>3213</v>
      </c>
    </row>
    <row r="866" spans="1:29" x14ac:dyDescent="0.25">
      <c r="A866" t="s">
        <v>1963</v>
      </c>
      <c r="B866" t="s">
        <v>254</v>
      </c>
      <c r="C866" t="s">
        <v>331</v>
      </c>
      <c r="D866" t="s">
        <v>3713</v>
      </c>
      <c r="E866" t="s">
        <v>3761</v>
      </c>
      <c r="F866">
        <v>10000000</v>
      </c>
      <c r="G866" t="s">
        <v>9349</v>
      </c>
      <c r="H866" t="s">
        <v>242</v>
      </c>
      <c r="I866" t="s">
        <v>242</v>
      </c>
      <c r="J866" t="s">
        <v>242</v>
      </c>
      <c r="K866" t="s">
        <v>242</v>
      </c>
      <c r="L866" t="s">
        <v>241</v>
      </c>
      <c r="M866">
        <v>39.12912893</v>
      </c>
      <c r="N866">
        <v>-123.1493013</v>
      </c>
      <c r="O866">
        <v>0.36</v>
      </c>
      <c r="P866">
        <v>0.25</v>
      </c>
      <c r="Q866">
        <v>0.06</v>
      </c>
      <c r="R866">
        <v>0.04</v>
      </c>
      <c r="S866">
        <v>3.333333E-3</v>
      </c>
      <c r="T866">
        <v>3.333333E-3</v>
      </c>
      <c r="U866">
        <v>3.333333E-3</v>
      </c>
      <c r="V866">
        <v>0</v>
      </c>
      <c r="W866">
        <v>3.333333E-3</v>
      </c>
      <c r="X866">
        <v>0</v>
      </c>
      <c r="Y866">
        <v>0.1</v>
      </c>
      <c r="Z866">
        <v>3.333333E-3</v>
      </c>
      <c r="AA866" t="s">
        <v>9335</v>
      </c>
      <c r="AB866" t="s">
        <v>242</v>
      </c>
      <c r="AC866" t="s">
        <v>3213</v>
      </c>
    </row>
    <row r="867" spans="1:29" x14ac:dyDescent="0.25">
      <c r="A867" t="s">
        <v>1964</v>
      </c>
      <c r="B867" t="s">
        <v>254</v>
      </c>
      <c r="C867" t="s">
        <v>333</v>
      </c>
      <c r="D867" t="s">
        <v>3713</v>
      </c>
      <c r="E867" t="s">
        <v>3761</v>
      </c>
      <c r="F867">
        <v>10000000</v>
      </c>
      <c r="G867" t="s">
        <v>9349</v>
      </c>
      <c r="H867" t="s">
        <v>242</v>
      </c>
      <c r="I867" t="s">
        <v>242</v>
      </c>
      <c r="J867" t="s">
        <v>242</v>
      </c>
      <c r="K867" t="s">
        <v>242</v>
      </c>
      <c r="L867" t="s">
        <v>241</v>
      </c>
      <c r="M867">
        <v>39.121900189999998</v>
      </c>
      <c r="N867">
        <v>-123.1583497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 t="s">
        <v>9335</v>
      </c>
      <c r="AB867" t="s">
        <v>242</v>
      </c>
      <c r="AC867" t="s">
        <v>3213</v>
      </c>
    </row>
    <row r="868" spans="1:29" x14ac:dyDescent="0.25">
      <c r="A868" t="s">
        <v>1965</v>
      </c>
      <c r="B868" t="s">
        <v>254</v>
      </c>
      <c r="C868" t="s">
        <v>311</v>
      </c>
      <c r="D868" t="s">
        <v>3713</v>
      </c>
      <c r="E868" t="s">
        <v>3761</v>
      </c>
      <c r="F868">
        <v>10000000</v>
      </c>
      <c r="G868" t="s">
        <v>9349</v>
      </c>
      <c r="H868" t="s">
        <v>242</v>
      </c>
      <c r="I868" t="s">
        <v>242</v>
      </c>
      <c r="J868" t="s">
        <v>242</v>
      </c>
      <c r="K868" t="s">
        <v>242</v>
      </c>
      <c r="L868" t="s">
        <v>241</v>
      </c>
      <c r="M868">
        <v>38.633055319999997</v>
      </c>
      <c r="N868">
        <v>-122.7677556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1.5</v>
      </c>
      <c r="V868">
        <v>0</v>
      </c>
      <c r="W868">
        <v>0</v>
      </c>
      <c r="X868">
        <v>0</v>
      </c>
      <c r="Y868">
        <v>0</v>
      </c>
      <c r="Z868">
        <v>0</v>
      </c>
      <c r="AA868" t="s">
        <v>9335</v>
      </c>
      <c r="AB868" t="s">
        <v>242</v>
      </c>
      <c r="AC868" t="s">
        <v>3229</v>
      </c>
    </row>
    <row r="869" spans="1:29" x14ac:dyDescent="0.25">
      <c r="A869" t="s">
        <v>1966</v>
      </c>
      <c r="B869" t="s">
        <v>254</v>
      </c>
      <c r="C869" t="s">
        <v>317</v>
      </c>
      <c r="D869" t="s">
        <v>3713</v>
      </c>
      <c r="E869" t="s">
        <v>3761</v>
      </c>
      <c r="F869">
        <v>10000000</v>
      </c>
      <c r="G869" t="s">
        <v>9349</v>
      </c>
      <c r="H869" t="s">
        <v>242</v>
      </c>
      <c r="I869" t="s">
        <v>242</v>
      </c>
      <c r="J869" t="s">
        <v>242</v>
      </c>
      <c r="K869" t="s">
        <v>242</v>
      </c>
      <c r="L869" t="s">
        <v>241</v>
      </c>
      <c r="M869">
        <v>39.303938479999999</v>
      </c>
      <c r="N869">
        <v>-123.2401497</v>
      </c>
      <c r="O869">
        <v>0.46</v>
      </c>
      <c r="P869">
        <v>0.46</v>
      </c>
      <c r="Q869">
        <v>0.46</v>
      </c>
      <c r="R869">
        <v>0.43</v>
      </c>
      <c r="S869">
        <v>0.15</v>
      </c>
      <c r="T869">
        <v>0.26</v>
      </c>
      <c r="U869">
        <v>0.26</v>
      </c>
      <c r="V869">
        <v>0.26</v>
      </c>
      <c r="W869">
        <v>0.26</v>
      </c>
      <c r="X869">
        <v>0.26</v>
      </c>
      <c r="Y869">
        <v>0.39</v>
      </c>
      <c r="Z869">
        <v>0.62</v>
      </c>
      <c r="AA869" t="s">
        <v>9335</v>
      </c>
      <c r="AB869" t="s">
        <v>242</v>
      </c>
      <c r="AC869" t="s">
        <v>3213</v>
      </c>
    </row>
    <row r="870" spans="1:29" x14ac:dyDescent="0.25">
      <c r="A870" t="s">
        <v>1967</v>
      </c>
      <c r="B870" t="s">
        <v>254</v>
      </c>
      <c r="C870" t="s">
        <v>311</v>
      </c>
      <c r="D870" t="s">
        <v>3713</v>
      </c>
      <c r="E870" t="s">
        <v>3761</v>
      </c>
      <c r="F870">
        <v>10000000</v>
      </c>
      <c r="G870" t="s">
        <v>9349</v>
      </c>
      <c r="H870" t="s">
        <v>241</v>
      </c>
      <c r="I870" t="s">
        <v>242</v>
      </c>
      <c r="J870" t="s">
        <v>242</v>
      </c>
      <c r="K870" t="s">
        <v>242</v>
      </c>
      <c r="L870" t="s">
        <v>241</v>
      </c>
      <c r="M870">
        <v>38.622229709999999</v>
      </c>
      <c r="N870">
        <v>-122.785141</v>
      </c>
      <c r="O870">
        <v>0.01</v>
      </c>
      <c r="P870">
        <v>0.09</v>
      </c>
      <c r="Q870">
        <v>0.39</v>
      </c>
      <c r="R870">
        <v>0.55000000000000004</v>
      </c>
      <c r="S870">
        <v>0.66</v>
      </c>
      <c r="T870">
        <v>1.1399999999999999</v>
      </c>
      <c r="U870">
        <v>1.76</v>
      </c>
      <c r="V870">
        <v>2.56</v>
      </c>
      <c r="W870">
        <v>2.75</v>
      </c>
      <c r="X870">
        <v>0.93</v>
      </c>
      <c r="Y870">
        <v>0.54</v>
      </c>
      <c r="Z870">
        <v>0.01</v>
      </c>
      <c r="AA870" t="s">
        <v>9335</v>
      </c>
      <c r="AB870" t="s">
        <v>242</v>
      </c>
      <c r="AC870" t="s">
        <v>3229</v>
      </c>
    </row>
    <row r="871" spans="1:29" x14ac:dyDescent="0.25">
      <c r="A871" t="s">
        <v>1968</v>
      </c>
      <c r="B871" t="s">
        <v>254</v>
      </c>
      <c r="C871" t="s">
        <v>311</v>
      </c>
      <c r="D871" t="s">
        <v>3713</v>
      </c>
      <c r="E871" t="s">
        <v>3761</v>
      </c>
      <c r="F871">
        <v>10000000</v>
      </c>
      <c r="G871" t="s">
        <v>9349</v>
      </c>
      <c r="H871" t="s">
        <v>241</v>
      </c>
      <c r="I871" t="s">
        <v>242</v>
      </c>
      <c r="J871" t="s">
        <v>242</v>
      </c>
      <c r="K871" t="s">
        <v>242</v>
      </c>
      <c r="L871" t="s">
        <v>241</v>
      </c>
      <c r="M871">
        <v>38.622229709999999</v>
      </c>
      <c r="N871">
        <v>-122.785141</v>
      </c>
      <c r="O871">
        <v>0.01</v>
      </c>
      <c r="P871">
        <v>0.18</v>
      </c>
      <c r="Q871">
        <v>0.2</v>
      </c>
      <c r="R871">
        <v>0.31</v>
      </c>
      <c r="S871">
        <v>0.36</v>
      </c>
      <c r="T871">
        <v>0.97</v>
      </c>
      <c r="U871">
        <v>2.19</v>
      </c>
      <c r="V871">
        <v>2.83</v>
      </c>
      <c r="W871">
        <v>3.79</v>
      </c>
      <c r="X871">
        <v>1.83</v>
      </c>
      <c r="Y871">
        <v>0.43</v>
      </c>
      <c r="Z871">
        <v>8.3333333333333297E-3</v>
      </c>
      <c r="AA871" t="s">
        <v>9335</v>
      </c>
      <c r="AB871" t="s">
        <v>242</v>
      </c>
      <c r="AC871" t="s">
        <v>3229</v>
      </c>
    </row>
    <row r="872" spans="1:29" x14ac:dyDescent="0.25">
      <c r="A872" t="s">
        <v>1969</v>
      </c>
      <c r="B872" t="s">
        <v>254</v>
      </c>
      <c r="C872" t="s">
        <v>311</v>
      </c>
      <c r="D872" t="s">
        <v>3713</v>
      </c>
      <c r="E872" t="s">
        <v>3761</v>
      </c>
      <c r="F872">
        <v>10000000</v>
      </c>
      <c r="G872" t="s">
        <v>9349</v>
      </c>
      <c r="H872" t="s">
        <v>242</v>
      </c>
      <c r="I872" t="s">
        <v>242</v>
      </c>
      <c r="J872" t="s">
        <v>242</v>
      </c>
      <c r="K872" t="s">
        <v>242</v>
      </c>
      <c r="L872" t="s">
        <v>241</v>
      </c>
      <c r="M872">
        <v>38.66980994</v>
      </c>
      <c r="N872">
        <v>-122.79442210000001</v>
      </c>
      <c r="O872">
        <v>0</v>
      </c>
      <c r="P872">
        <v>0.02</v>
      </c>
      <c r="Q872">
        <v>0.68</v>
      </c>
      <c r="R872">
        <v>0.68</v>
      </c>
      <c r="S872">
        <v>0.02</v>
      </c>
      <c r="T872">
        <v>0.02</v>
      </c>
      <c r="U872">
        <v>0.02</v>
      </c>
      <c r="V872">
        <v>0.02</v>
      </c>
      <c r="W872">
        <v>0.02</v>
      </c>
      <c r="X872">
        <v>0.02</v>
      </c>
      <c r="Y872">
        <v>0.02</v>
      </c>
      <c r="Z872">
        <v>0</v>
      </c>
      <c r="AA872" t="s">
        <v>9335</v>
      </c>
      <c r="AB872" t="s">
        <v>242</v>
      </c>
      <c r="AC872" t="s">
        <v>3229</v>
      </c>
    </row>
    <row r="873" spans="1:29" x14ac:dyDescent="0.25">
      <c r="A873" t="s">
        <v>1970</v>
      </c>
      <c r="B873" t="s">
        <v>254</v>
      </c>
      <c r="C873" t="s">
        <v>331</v>
      </c>
      <c r="D873" t="s">
        <v>3713</v>
      </c>
      <c r="E873" t="s">
        <v>3761</v>
      </c>
      <c r="F873">
        <v>10000000</v>
      </c>
      <c r="G873" t="s">
        <v>9349</v>
      </c>
      <c r="H873" t="s">
        <v>242</v>
      </c>
      <c r="I873" t="s">
        <v>242</v>
      </c>
      <c r="J873" t="s">
        <v>242</v>
      </c>
      <c r="K873" t="s">
        <v>242</v>
      </c>
      <c r="L873" t="s">
        <v>241</v>
      </c>
      <c r="M873">
        <v>39.169474100000002</v>
      </c>
      <c r="N873">
        <v>-123.1086834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 t="s">
        <v>9341</v>
      </c>
      <c r="AB873" t="s">
        <v>242</v>
      </c>
      <c r="AC873" t="s">
        <v>3213</v>
      </c>
    </row>
    <row r="874" spans="1:29" x14ac:dyDescent="0.25">
      <c r="A874" t="s">
        <v>1971</v>
      </c>
      <c r="B874" t="s">
        <v>254</v>
      </c>
      <c r="C874" t="s">
        <v>331</v>
      </c>
      <c r="D874" t="s">
        <v>3713</v>
      </c>
      <c r="E874" t="s">
        <v>3761</v>
      </c>
      <c r="F874">
        <v>10000000</v>
      </c>
      <c r="G874" t="s">
        <v>9349</v>
      </c>
      <c r="H874" t="s">
        <v>242</v>
      </c>
      <c r="I874" t="s">
        <v>242</v>
      </c>
      <c r="J874" t="s">
        <v>242</v>
      </c>
      <c r="K874" t="s">
        <v>242</v>
      </c>
      <c r="L874" t="s">
        <v>241</v>
      </c>
      <c r="M874">
        <v>39.169949379999998</v>
      </c>
      <c r="N874">
        <v>-123.1164516</v>
      </c>
      <c r="O874">
        <v>0.75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 t="s">
        <v>9341</v>
      </c>
      <c r="AB874" t="s">
        <v>242</v>
      </c>
      <c r="AC874" t="s">
        <v>3213</v>
      </c>
    </row>
    <row r="875" spans="1:29" x14ac:dyDescent="0.25">
      <c r="A875" t="s">
        <v>1972</v>
      </c>
      <c r="B875" t="s">
        <v>254</v>
      </c>
      <c r="C875" t="s">
        <v>331</v>
      </c>
      <c r="D875" t="s">
        <v>3713</v>
      </c>
      <c r="E875" t="s">
        <v>3761</v>
      </c>
      <c r="F875">
        <v>10000000</v>
      </c>
      <c r="G875" t="s">
        <v>9349</v>
      </c>
      <c r="H875" t="s">
        <v>242</v>
      </c>
      <c r="I875" t="s">
        <v>242</v>
      </c>
      <c r="J875" t="s">
        <v>242</v>
      </c>
      <c r="K875" t="s">
        <v>242</v>
      </c>
      <c r="L875" t="s">
        <v>241</v>
      </c>
      <c r="M875">
        <v>39.131613029999997</v>
      </c>
      <c r="N875">
        <v>-123.10527039999999</v>
      </c>
      <c r="O875">
        <v>0.5</v>
      </c>
      <c r="P875">
        <v>0.5</v>
      </c>
      <c r="Q875">
        <v>0.5</v>
      </c>
      <c r="R875">
        <v>0.5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 t="s">
        <v>9341</v>
      </c>
      <c r="AB875" t="s">
        <v>242</v>
      </c>
      <c r="AC875" t="s">
        <v>3213</v>
      </c>
    </row>
    <row r="876" spans="1:29" x14ac:dyDescent="0.25">
      <c r="A876" t="s">
        <v>1974</v>
      </c>
      <c r="B876" t="s">
        <v>254</v>
      </c>
      <c r="C876" t="s">
        <v>331</v>
      </c>
      <c r="D876" t="s">
        <v>3713</v>
      </c>
      <c r="E876" t="s">
        <v>3761</v>
      </c>
      <c r="F876">
        <v>10000000</v>
      </c>
      <c r="G876" t="s">
        <v>9349</v>
      </c>
      <c r="H876" t="s">
        <v>242</v>
      </c>
      <c r="I876" t="s">
        <v>242</v>
      </c>
      <c r="J876" t="s">
        <v>242</v>
      </c>
      <c r="K876" t="s">
        <v>242</v>
      </c>
      <c r="L876" t="s">
        <v>241</v>
      </c>
      <c r="M876">
        <v>39.137957739999997</v>
      </c>
      <c r="N876">
        <v>-123.11665259999999</v>
      </c>
      <c r="O876">
        <v>0.5</v>
      </c>
      <c r="P876">
        <v>0.5</v>
      </c>
      <c r="Q876">
        <v>0.5</v>
      </c>
      <c r="R876">
        <v>0.5</v>
      </c>
      <c r="S876">
        <v>0.5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 t="s">
        <v>9339</v>
      </c>
      <c r="AB876" t="s">
        <v>242</v>
      </c>
      <c r="AC876" t="s">
        <v>3213</v>
      </c>
    </row>
    <row r="877" spans="1:29" x14ac:dyDescent="0.25">
      <c r="A877" t="s">
        <v>1975</v>
      </c>
      <c r="B877" t="s">
        <v>254</v>
      </c>
      <c r="C877" t="s">
        <v>331</v>
      </c>
      <c r="D877" t="s">
        <v>3713</v>
      </c>
      <c r="E877" t="s">
        <v>3761</v>
      </c>
      <c r="F877">
        <v>10000000</v>
      </c>
      <c r="G877" t="s">
        <v>9349</v>
      </c>
      <c r="H877" t="s">
        <v>242</v>
      </c>
      <c r="I877" t="s">
        <v>242</v>
      </c>
      <c r="J877" t="s">
        <v>242</v>
      </c>
      <c r="K877" t="s">
        <v>242</v>
      </c>
      <c r="L877" t="s">
        <v>241</v>
      </c>
      <c r="M877">
        <v>39.169578450000003</v>
      </c>
      <c r="N877">
        <v>-123.12649930000001</v>
      </c>
      <c r="O877">
        <v>0.75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 t="s">
        <v>9341</v>
      </c>
      <c r="AB877" t="s">
        <v>242</v>
      </c>
      <c r="AC877" t="s">
        <v>3213</v>
      </c>
    </row>
    <row r="878" spans="1:29" x14ac:dyDescent="0.25">
      <c r="A878" t="s">
        <v>1976</v>
      </c>
      <c r="B878" t="s">
        <v>254</v>
      </c>
      <c r="C878" t="s">
        <v>311</v>
      </c>
      <c r="D878" t="s">
        <v>3713</v>
      </c>
      <c r="E878" t="s">
        <v>3761</v>
      </c>
      <c r="F878">
        <v>10000000</v>
      </c>
      <c r="G878" t="s">
        <v>9349</v>
      </c>
      <c r="H878" t="s">
        <v>242</v>
      </c>
      <c r="I878" t="s">
        <v>242</v>
      </c>
      <c r="J878" t="s">
        <v>242</v>
      </c>
      <c r="K878" t="s">
        <v>242</v>
      </c>
      <c r="L878" t="s">
        <v>241</v>
      </c>
      <c r="M878">
        <v>38.634730490000003</v>
      </c>
      <c r="N878">
        <v>-122.7635724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 t="s">
        <v>9335</v>
      </c>
      <c r="AB878" t="s">
        <v>242</v>
      </c>
      <c r="AC878" t="s">
        <v>3229</v>
      </c>
    </row>
    <row r="879" spans="1:29" x14ac:dyDescent="0.25">
      <c r="A879" t="s">
        <v>1977</v>
      </c>
      <c r="B879" t="s">
        <v>254</v>
      </c>
      <c r="C879" t="s">
        <v>823</v>
      </c>
      <c r="D879" t="s">
        <v>3713</v>
      </c>
      <c r="E879" t="s">
        <v>3761</v>
      </c>
      <c r="F879">
        <v>10000000</v>
      </c>
      <c r="G879" t="s">
        <v>9349</v>
      </c>
      <c r="H879" t="s">
        <v>242</v>
      </c>
      <c r="I879" t="s">
        <v>242</v>
      </c>
      <c r="J879" t="s">
        <v>242</v>
      </c>
      <c r="K879" t="s">
        <v>242</v>
      </c>
      <c r="L879" t="s">
        <v>241</v>
      </c>
      <c r="M879">
        <v>38.744493239999997</v>
      </c>
      <c r="N879">
        <v>-122.73284169999999</v>
      </c>
      <c r="O879">
        <v>2.6085000000000001E-3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 t="s">
        <v>9333</v>
      </c>
      <c r="AB879" t="s">
        <v>242</v>
      </c>
      <c r="AC879" t="s">
        <v>3229</v>
      </c>
    </row>
    <row r="880" spans="1:29" x14ac:dyDescent="0.25">
      <c r="A880" t="s">
        <v>1979</v>
      </c>
      <c r="B880" t="s">
        <v>254</v>
      </c>
      <c r="C880" t="s">
        <v>333</v>
      </c>
      <c r="D880" t="s">
        <v>3713</v>
      </c>
      <c r="E880" t="s">
        <v>3761</v>
      </c>
      <c r="F880">
        <v>10000000</v>
      </c>
      <c r="G880" t="s">
        <v>9349</v>
      </c>
      <c r="H880" t="s">
        <v>242</v>
      </c>
      <c r="I880" t="s">
        <v>242</v>
      </c>
      <c r="J880" t="s">
        <v>242</v>
      </c>
      <c r="K880" t="s">
        <v>242</v>
      </c>
      <c r="L880" t="s">
        <v>241</v>
      </c>
      <c r="M880">
        <v>39.043775459999999</v>
      </c>
      <c r="N880">
        <v>-123.0723862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 t="s">
        <v>9345</v>
      </c>
      <c r="AB880" t="s">
        <v>242</v>
      </c>
      <c r="AC880" t="s">
        <v>3213</v>
      </c>
    </row>
    <row r="881" spans="1:29" x14ac:dyDescent="0.25">
      <c r="A881" t="s">
        <v>1980</v>
      </c>
      <c r="B881" t="s">
        <v>254</v>
      </c>
      <c r="C881" t="s">
        <v>333</v>
      </c>
      <c r="D881" t="s">
        <v>3713</v>
      </c>
      <c r="E881" t="s">
        <v>3761</v>
      </c>
      <c r="F881">
        <v>10000000</v>
      </c>
      <c r="G881" t="s">
        <v>9349</v>
      </c>
      <c r="H881" t="s">
        <v>242</v>
      </c>
      <c r="I881" t="s">
        <v>242</v>
      </c>
      <c r="J881" t="s">
        <v>242</v>
      </c>
      <c r="K881" t="s">
        <v>242</v>
      </c>
      <c r="L881" t="s">
        <v>241</v>
      </c>
      <c r="M881">
        <v>39.044411590000003</v>
      </c>
      <c r="N881">
        <v>-123.07785389999999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 t="s">
        <v>9345</v>
      </c>
      <c r="AB881" t="s">
        <v>242</v>
      </c>
      <c r="AC881" t="s">
        <v>3213</v>
      </c>
    </row>
    <row r="882" spans="1:29" x14ac:dyDescent="0.25">
      <c r="A882" t="s">
        <v>1981</v>
      </c>
      <c r="B882" t="s">
        <v>254</v>
      </c>
      <c r="C882" t="s">
        <v>319</v>
      </c>
      <c r="D882" t="s">
        <v>3713</v>
      </c>
      <c r="E882" t="s">
        <v>3761</v>
      </c>
      <c r="F882">
        <v>10000000</v>
      </c>
      <c r="G882" t="s">
        <v>9349</v>
      </c>
      <c r="H882" t="s">
        <v>242</v>
      </c>
      <c r="I882" t="s">
        <v>242</v>
      </c>
      <c r="J882" t="s">
        <v>242</v>
      </c>
      <c r="K882" t="s">
        <v>242</v>
      </c>
      <c r="L882" t="s">
        <v>241</v>
      </c>
      <c r="M882">
        <v>38.94340751</v>
      </c>
      <c r="N882">
        <v>-122.9792715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 t="s">
        <v>9345</v>
      </c>
      <c r="AB882" t="s">
        <v>242</v>
      </c>
      <c r="AC882" t="s">
        <v>3213</v>
      </c>
    </row>
    <row r="883" spans="1:29" x14ac:dyDescent="0.25">
      <c r="A883" t="s">
        <v>1982</v>
      </c>
      <c r="B883" t="s">
        <v>254</v>
      </c>
      <c r="C883" t="s">
        <v>333</v>
      </c>
      <c r="D883" t="s">
        <v>3713</v>
      </c>
      <c r="E883" t="s">
        <v>3761</v>
      </c>
      <c r="F883">
        <v>10000000</v>
      </c>
      <c r="G883" t="s">
        <v>9349</v>
      </c>
      <c r="H883" t="s">
        <v>242</v>
      </c>
      <c r="I883" t="s">
        <v>242</v>
      </c>
      <c r="J883" t="s">
        <v>242</v>
      </c>
      <c r="K883" t="s">
        <v>242</v>
      </c>
      <c r="L883" t="s">
        <v>241</v>
      </c>
      <c r="M883">
        <v>39.044269419999999</v>
      </c>
      <c r="N883">
        <v>-123.06341430000001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 t="s">
        <v>9345</v>
      </c>
      <c r="AB883" t="s">
        <v>242</v>
      </c>
      <c r="AC883" t="s">
        <v>3213</v>
      </c>
    </row>
    <row r="884" spans="1:29" x14ac:dyDescent="0.25">
      <c r="A884" t="s">
        <v>1983</v>
      </c>
      <c r="B884" t="s">
        <v>254</v>
      </c>
      <c r="C884" t="s">
        <v>333</v>
      </c>
      <c r="D884" t="s">
        <v>3713</v>
      </c>
      <c r="E884" t="s">
        <v>3761</v>
      </c>
      <c r="F884">
        <v>10000000</v>
      </c>
      <c r="G884" t="s">
        <v>9349</v>
      </c>
      <c r="H884" t="s">
        <v>242</v>
      </c>
      <c r="I884" t="s">
        <v>242</v>
      </c>
      <c r="J884" t="s">
        <v>242</v>
      </c>
      <c r="K884" t="s">
        <v>242</v>
      </c>
      <c r="L884" t="s">
        <v>241</v>
      </c>
      <c r="M884">
        <v>39.121500330000003</v>
      </c>
      <c r="N884">
        <v>-123.1431848</v>
      </c>
      <c r="O884">
        <v>0.26</v>
      </c>
      <c r="P884">
        <v>0.26</v>
      </c>
      <c r="Q884">
        <v>0.26</v>
      </c>
      <c r="R884">
        <v>0.26</v>
      </c>
      <c r="S884">
        <v>0.26</v>
      </c>
      <c r="T884">
        <v>0.25</v>
      </c>
      <c r="U884">
        <v>0.25</v>
      </c>
      <c r="V884">
        <v>0.25</v>
      </c>
      <c r="W884">
        <v>0.25</v>
      </c>
      <c r="X884">
        <v>0.25</v>
      </c>
      <c r="Y884">
        <v>0.25</v>
      </c>
      <c r="Z884">
        <v>0.25</v>
      </c>
      <c r="AA884" t="s">
        <v>9335</v>
      </c>
      <c r="AB884" t="s">
        <v>242</v>
      </c>
      <c r="AC884" t="s">
        <v>3213</v>
      </c>
    </row>
    <row r="885" spans="1:29" x14ac:dyDescent="0.25">
      <c r="A885" t="s">
        <v>1984</v>
      </c>
      <c r="B885" t="s">
        <v>254</v>
      </c>
      <c r="C885" t="s">
        <v>331</v>
      </c>
      <c r="D885" t="s">
        <v>3713</v>
      </c>
      <c r="E885" t="s">
        <v>3761</v>
      </c>
      <c r="F885">
        <v>10000000</v>
      </c>
      <c r="G885" t="s">
        <v>9349</v>
      </c>
      <c r="H885" t="s">
        <v>242</v>
      </c>
      <c r="I885" t="s">
        <v>242</v>
      </c>
      <c r="J885" t="s">
        <v>242</v>
      </c>
      <c r="K885" t="s">
        <v>242</v>
      </c>
      <c r="L885" t="s">
        <v>241</v>
      </c>
      <c r="M885">
        <v>39.148875820000001</v>
      </c>
      <c r="N885">
        <v>-123.2324965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 t="s">
        <v>9333</v>
      </c>
      <c r="AB885" t="s">
        <v>242</v>
      </c>
      <c r="AC885" t="s">
        <v>3213</v>
      </c>
    </row>
    <row r="886" spans="1:29" x14ac:dyDescent="0.25">
      <c r="A886" t="s">
        <v>1986</v>
      </c>
      <c r="B886" t="s">
        <v>254</v>
      </c>
      <c r="C886" t="s">
        <v>331</v>
      </c>
      <c r="D886" t="s">
        <v>3713</v>
      </c>
      <c r="E886" t="s">
        <v>3761</v>
      </c>
      <c r="F886">
        <v>10000000</v>
      </c>
      <c r="G886" t="s">
        <v>9349</v>
      </c>
      <c r="H886" t="s">
        <v>241</v>
      </c>
      <c r="I886" t="s">
        <v>242</v>
      </c>
      <c r="J886" t="s">
        <v>242</v>
      </c>
      <c r="K886" t="s">
        <v>242</v>
      </c>
      <c r="L886" t="s">
        <v>241</v>
      </c>
      <c r="M886">
        <v>39.155554219999999</v>
      </c>
      <c r="N886">
        <v>-123.1841175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 t="s">
        <v>9350</v>
      </c>
      <c r="AB886" t="s">
        <v>242</v>
      </c>
      <c r="AC886" t="s">
        <v>3213</v>
      </c>
    </row>
    <row r="887" spans="1:29" x14ac:dyDescent="0.25">
      <c r="A887" t="s">
        <v>1987</v>
      </c>
      <c r="B887" t="s">
        <v>254</v>
      </c>
      <c r="C887" t="s">
        <v>331</v>
      </c>
      <c r="D887" t="s">
        <v>3713</v>
      </c>
      <c r="E887" t="s">
        <v>3761</v>
      </c>
      <c r="F887">
        <v>10000000</v>
      </c>
      <c r="G887" t="s">
        <v>9349</v>
      </c>
      <c r="H887" t="s">
        <v>242</v>
      </c>
      <c r="I887" t="s">
        <v>242</v>
      </c>
      <c r="J887" t="s">
        <v>242</v>
      </c>
      <c r="K887" t="s">
        <v>242</v>
      </c>
      <c r="L887" t="s">
        <v>241</v>
      </c>
      <c r="M887">
        <v>39.200716190000001</v>
      </c>
      <c r="N887">
        <v>-123.22492920000001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 t="s">
        <v>9335</v>
      </c>
      <c r="AB887" t="s">
        <v>242</v>
      </c>
      <c r="AC887" t="s">
        <v>3213</v>
      </c>
    </row>
    <row r="888" spans="1:29" x14ac:dyDescent="0.25">
      <c r="A888" t="s">
        <v>1988</v>
      </c>
      <c r="B888" t="s">
        <v>254</v>
      </c>
      <c r="C888" t="s">
        <v>354</v>
      </c>
      <c r="D888" t="s">
        <v>3713</v>
      </c>
      <c r="E888" t="s">
        <v>3761</v>
      </c>
      <c r="F888">
        <v>10000000</v>
      </c>
      <c r="G888" t="s">
        <v>9349</v>
      </c>
      <c r="H888" t="s">
        <v>242</v>
      </c>
      <c r="I888" t="s">
        <v>242</v>
      </c>
      <c r="J888" t="s">
        <v>242</v>
      </c>
      <c r="K888" t="s">
        <v>242</v>
      </c>
      <c r="L888" t="s">
        <v>241</v>
      </c>
      <c r="M888">
        <v>38.754069940000001</v>
      </c>
      <c r="N888">
        <v>-122.9124927</v>
      </c>
      <c r="O888">
        <v>0</v>
      </c>
      <c r="P888">
        <v>0</v>
      </c>
      <c r="Q888">
        <v>0</v>
      </c>
      <c r="R888">
        <v>0</v>
      </c>
      <c r="S888">
        <v>1.42</v>
      </c>
      <c r="T888">
        <v>2.02</v>
      </c>
      <c r="U888">
        <v>2.02</v>
      </c>
      <c r="V888">
        <v>2.02</v>
      </c>
      <c r="W888">
        <v>1.42</v>
      </c>
      <c r="X888">
        <v>1.42</v>
      </c>
      <c r="Y888">
        <v>0</v>
      </c>
      <c r="Z888">
        <v>0</v>
      </c>
      <c r="AA888" t="s">
        <v>9335</v>
      </c>
      <c r="AB888" t="s">
        <v>242</v>
      </c>
      <c r="AC888" t="s">
        <v>3229</v>
      </c>
    </row>
    <row r="889" spans="1:29" x14ac:dyDescent="0.25">
      <c r="A889" t="s">
        <v>1805</v>
      </c>
      <c r="B889" t="s">
        <v>254</v>
      </c>
      <c r="C889" t="s">
        <v>354</v>
      </c>
      <c r="D889" t="s">
        <v>3713</v>
      </c>
      <c r="E889" t="s">
        <v>3761</v>
      </c>
      <c r="F889">
        <v>19000101</v>
      </c>
      <c r="G889" t="s">
        <v>9348</v>
      </c>
      <c r="H889" t="s">
        <v>242</v>
      </c>
      <c r="I889" t="s">
        <v>241</v>
      </c>
      <c r="J889" t="s">
        <v>242</v>
      </c>
      <c r="K889" t="s">
        <v>242</v>
      </c>
      <c r="L889" t="s">
        <v>242</v>
      </c>
      <c r="M889">
        <v>38.760149759999997</v>
      </c>
      <c r="N889">
        <v>-123.0076165</v>
      </c>
      <c r="O889">
        <v>0.03</v>
      </c>
      <c r="P889">
        <v>0.03</v>
      </c>
      <c r="Q889">
        <v>0.03</v>
      </c>
      <c r="R889">
        <v>0.03</v>
      </c>
      <c r="S889">
        <v>0.03</v>
      </c>
      <c r="T889">
        <v>0.04</v>
      </c>
      <c r="U889">
        <v>0.04</v>
      </c>
      <c r="V889">
        <v>0.04</v>
      </c>
      <c r="W889">
        <v>0.03</v>
      </c>
      <c r="X889">
        <v>0.03</v>
      </c>
      <c r="Y889">
        <v>0.03</v>
      </c>
      <c r="Z889">
        <v>0.03</v>
      </c>
      <c r="AA889" t="s">
        <v>9333</v>
      </c>
      <c r="AB889" t="s">
        <v>242</v>
      </c>
      <c r="AC889" t="s">
        <v>3229</v>
      </c>
    </row>
    <row r="890" spans="1:29" x14ac:dyDescent="0.25">
      <c r="A890" t="s">
        <v>1990</v>
      </c>
      <c r="B890" t="s">
        <v>254</v>
      </c>
      <c r="C890" t="s">
        <v>354</v>
      </c>
      <c r="D890" t="s">
        <v>3713</v>
      </c>
      <c r="E890" t="s">
        <v>3761</v>
      </c>
      <c r="F890">
        <v>10000000</v>
      </c>
      <c r="G890" t="s">
        <v>9349</v>
      </c>
      <c r="H890" t="s">
        <v>241</v>
      </c>
      <c r="I890" t="s">
        <v>242</v>
      </c>
      <c r="J890" t="s">
        <v>242</v>
      </c>
      <c r="K890" t="s">
        <v>242</v>
      </c>
      <c r="L890" t="s">
        <v>241</v>
      </c>
      <c r="M890">
        <v>38.858847419999996</v>
      </c>
      <c r="N890">
        <v>-123.0409746</v>
      </c>
      <c r="O890">
        <v>0</v>
      </c>
      <c r="P890">
        <v>0</v>
      </c>
      <c r="Q890">
        <v>0</v>
      </c>
      <c r="R890">
        <v>0</v>
      </c>
      <c r="S890">
        <v>7.4</v>
      </c>
      <c r="T890">
        <v>8.1999999999999993</v>
      </c>
      <c r="U890">
        <v>8.1999999999999993</v>
      </c>
      <c r="V890">
        <v>8.1999999999999993</v>
      </c>
      <c r="W890">
        <v>5.2</v>
      </c>
      <c r="X890">
        <v>5</v>
      </c>
      <c r="Y890">
        <v>0</v>
      </c>
      <c r="Z890">
        <v>0</v>
      </c>
      <c r="AA890" t="s">
        <v>9335</v>
      </c>
      <c r="AB890" t="s">
        <v>241</v>
      </c>
      <c r="AC890" t="s">
        <v>3213</v>
      </c>
    </row>
    <row r="891" spans="1:29" x14ac:dyDescent="0.25">
      <c r="A891" t="s">
        <v>1992</v>
      </c>
      <c r="B891" t="s">
        <v>254</v>
      </c>
      <c r="C891" t="s">
        <v>436</v>
      </c>
      <c r="D891" t="s">
        <v>3713</v>
      </c>
      <c r="E891" t="s">
        <v>3761</v>
      </c>
      <c r="F891">
        <v>10000000</v>
      </c>
      <c r="G891" t="s">
        <v>9349</v>
      </c>
      <c r="H891" t="s">
        <v>242</v>
      </c>
      <c r="I891" t="s">
        <v>242</v>
      </c>
      <c r="J891" t="s">
        <v>242</v>
      </c>
      <c r="K891" t="s">
        <v>242</v>
      </c>
      <c r="L891" t="s">
        <v>241</v>
      </c>
      <c r="M891">
        <v>38.680318669999998</v>
      </c>
      <c r="N891">
        <v>-122.8036477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 t="s">
        <v>9335</v>
      </c>
      <c r="AB891" t="s">
        <v>242</v>
      </c>
      <c r="AC891" t="s">
        <v>3229</v>
      </c>
    </row>
    <row r="892" spans="1:29" x14ac:dyDescent="0.25">
      <c r="A892" t="s">
        <v>1824</v>
      </c>
      <c r="B892" t="s">
        <v>254</v>
      </c>
      <c r="C892" t="s">
        <v>507</v>
      </c>
      <c r="D892" t="s">
        <v>3713</v>
      </c>
      <c r="E892" t="s">
        <v>3761</v>
      </c>
      <c r="F892">
        <v>18910101</v>
      </c>
      <c r="G892" t="s">
        <v>9348</v>
      </c>
      <c r="H892" t="s">
        <v>241</v>
      </c>
      <c r="I892" t="s">
        <v>241</v>
      </c>
      <c r="J892" t="s">
        <v>242</v>
      </c>
      <c r="K892" t="s">
        <v>242</v>
      </c>
      <c r="L892" t="s">
        <v>242</v>
      </c>
      <c r="M892">
        <v>38.614222550000001</v>
      </c>
      <c r="N892">
        <v>-122.8309031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 t="s">
        <v>9333</v>
      </c>
      <c r="AB892" t="s">
        <v>242</v>
      </c>
      <c r="AC892" t="s">
        <v>3229</v>
      </c>
    </row>
    <row r="893" spans="1:29" x14ac:dyDescent="0.25">
      <c r="A893" t="s">
        <v>1995</v>
      </c>
      <c r="B893" t="s">
        <v>254</v>
      </c>
      <c r="C893" t="s">
        <v>409</v>
      </c>
      <c r="D893" t="s">
        <v>3713</v>
      </c>
      <c r="E893" t="s">
        <v>3761</v>
      </c>
      <c r="F893">
        <v>10000000</v>
      </c>
      <c r="G893" t="s">
        <v>9349</v>
      </c>
      <c r="H893" t="s">
        <v>242</v>
      </c>
      <c r="I893" t="s">
        <v>242</v>
      </c>
      <c r="J893" t="s">
        <v>242</v>
      </c>
      <c r="K893" t="s">
        <v>242</v>
      </c>
      <c r="L893" t="s">
        <v>241</v>
      </c>
      <c r="M893">
        <v>38.750091210000001</v>
      </c>
      <c r="N893">
        <v>-122.8391517</v>
      </c>
      <c r="O893">
        <v>0.03</v>
      </c>
      <c r="P893">
        <v>0.03</v>
      </c>
      <c r="Q893">
        <v>0.03</v>
      </c>
      <c r="R893">
        <v>0.03</v>
      </c>
      <c r="S893">
        <v>0.03</v>
      </c>
      <c r="T893">
        <v>0.03</v>
      </c>
      <c r="U893">
        <v>0.03</v>
      </c>
      <c r="V893">
        <v>0.03</v>
      </c>
      <c r="W893">
        <v>0.03</v>
      </c>
      <c r="X893">
        <v>0.03</v>
      </c>
      <c r="Y893">
        <v>0.03</v>
      </c>
      <c r="Z893">
        <v>0.03</v>
      </c>
      <c r="AA893" t="s">
        <v>9333</v>
      </c>
      <c r="AB893" t="s">
        <v>242</v>
      </c>
      <c r="AC893" t="s">
        <v>3229</v>
      </c>
    </row>
    <row r="894" spans="1:29" x14ac:dyDescent="0.25">
      <c r="A894" t="s">
        <v>1996</v>
      </c>
      <c r="B894" t="s">
        <v>254</v>
      </c>
      <c r="C894" t="s">
        <v>409</v>
      </c>
      <c r="D894" t="s">
        <v>3713</v>
      </c>
      <c r="E894" t="s">
        <v>3761</v>
      </c>
      <c r="F894">
        <v>10000000</v>
      </c>
      <c r="G894" t="s">
        <v>9349</v>
      </c>
      <c r="H894" t="s">
        <v>242</v>
      </c>
      <c r="I894" t="s">
        <v>242</v>
      </c>
      <c r="J894" t="s">
        <v>242</v>
      </c>
      <c r="K894" t="s">
        <v>242</v>
      </c>
      <c r="L894" t="s">
        <v>241</v>
      </c>
      <c r="M894">
        <v>38.750300000000003</v>
      </c>
      <c r="N894">
        <v>-122.8394</v>
      </c>
      <c r="O894">
        <v>0.01</v>
      </c>
      <c r="P894">
        <v>0.01</v>
      </c>
      <c r="Q894">
        <v>0.01</v>
      </c>
      <c r="R894">
        <v>0.01</v>
      </c>
      <c r="S894">
        <v>0.01</v>
      </c>
      <c r="T894">
        <v>0.01</v>
      </c>
      <c r="U894">
        <v>0.01</v>
      </c>
      <c r="V894">
        <v>0.01</v>
      </c>
      <c r="W894">
        <v>0.01</v>
      </c>
      <c r="X894">
        <v>0.01</v>
      </c>
      <c r="Y894">
        <v>0.01</v>
      </c>
      <c r="Z894">
        <v>0.01</v>
      </c>
      <c r="AA894" t="s">
        <v>9333</v>
      </c>
      <c r="AB894" t="s">
        <v>242</v>
      </c>
      <c r="AC894" t="s">
        <v>3229</v>
      </c>
    </row>
    <row r="895" spans="1:29" x14ac:dyDescent="0.25">
      <c r="A895" t="s">
        <v>1855</v>
      </c>
      <c r="B895" t="s">
        <v>254</v>
      </c>
      <c r="C895" t="s">
        <v>348</v>
      </c>
      <c r="D895" t="s">
        <v>3713</v>
      </c>
      <c r="E895" t="s">
        <v>3761</v>
      </c>
      <c r="F895">
        <v>10000000</v>
      </c>
      <c r="G895" t="s">
        <v>9349</v>
      </c>
      <c r="H895" t="s">
        <v>242</v>
      </c>
      <c r="I895" t="s">
        <v>242</v>
      </c>
      <c r="J895" t="s">
        <v>242</v>
      </c>
      <c r="K895" t="s">
        <v>242</v>
      </c>
      <c r="L895" t="s">
        <v>241</v>
      </c>
      <c r="M895">
        <v>39.296634730000001</v>
      </c>
      <c r="N895">
        <v>-123.0612039</v>
      </c>
      <c r="O895">
        <v>0</v>
      </c>
      <c r="P895">
        <v>0</v>
      </c>
      <c r="Q895">
        <v>0</v>
      </c>
      <c r="R895">
        <v>4</v>
      </c>
      <c r="S895">
        <v>4</v>
      </c>
      <c r="T895">
        <v>4</v>
      </c>
      <c r="U895">
        <v>4</v>
      </c>
      <c r="V895">
        <v>4</v>
      </c>
      <c r="W895">
        <v>4</v>
      </c>
      <c r="X895">
        <v>0</v>
      </c>
      <c r="Y895">
        <v>0</v>
      </c>
      <c r="Z895">
        <v>0</v>
      </c>
      <c r="AA895" t="s">
        <v>9335</v>
      </c>
      <c r="AB895" t="s">
        <v>241</v>
      </c>
      <c r="AC895" t="s">
        <v>3213</v>
      </c>
    </row>
    <row r="896" spans="1:29" x14ac:dyDescent="0.25">
      <c r="A896" t="s">
        <v>2000</v>
      </c>
      <c r="B896" t="s">
        <v>254</v>
      </c>
      <c r="C896" t="s">
        <v>331</v>
      </c>
      <c r="D896" t="s">
        <v>3713</v>
      </c>
      <c r="E896" t="s">
        <v>3761</v>
      </c>
      <c r="F896">
        <v>10000000</v>
      </c>
      <c r="G896" t="s">
        <v>9349</v>
      </c>
      <c r="H896" t="s">
        <v>242</v>
      </c>
      <c r="I896" t="s">
        <v>242</v>
      </c>
      <c r="J896" t="s">
        <v>242</v>
      </c>
      <c r="K896" t="s">
        <v>242</v>
      </c>
      <c r="L896" t="s">
        <v>241</v>
      </c>
      <c r="M896">
        <v>39.179055179999999</v>
      </c>
      <c r="N896">
        <v>-123.20867800000001</v>
      </c>
      <c r="O896">
        <v>0</v>
      </c>
      <c r="P896">
        <v>0</v>
      </c>
      <c r="Q896">
        <v>0</v>
      </c>
      <c r="R896">
        <v>0</v>
      </c>
      <c r="S896">
        <v>0.1</v>
      </c>
      <c r="T896">
        <v>0.36</v>
      </c>
      <c r="U896">
        <v>0.4</v>
      </c>
      <c r="V896">
        <v>0.93</v>
      </c>
      <c r="W896">
        <v>0.73</v>
      </c>
      <c r="X896">
        <v>0</v>
      </c>
      <c r="Y896">
        <v>0</v>
      </c>
      <c r="Z896">
        <v>0</v>
      </c>
      <c r="AA896" t="s">
        <v>9343</v>
      </c>
      <c r="AB896" t="s">
        <v>242</v>
      </c>
      <c r="AC896" t="s">
        <v>3213</v>
      </c>
    </row>
    <row r="897" spans="1:29" x14ac:dyDescent="0.25">
      <c r="A897" t="s">
        <v>2001</v>
      </c>
      <c r="B897" t="s">
        <v>254</v>
      </c>
      <c r="C897" t="s">
        <v>354</v>
      </c>
      <c r="D897" t="s">
        <v>3713</v>
      </c>
      <c r="E897" t="s">
        <v>3761</v>
      </c>
      <c r="F897">
        <v>10000000</v>
      </c>
      <c r="G897" t="s">
        <v>9349</v>
      </c>
      <c r="H897" t="s">
        <v>241</v>
      </c>
      <c r="I897" t="s">
        <v>242</v>
      </c>
      <c r="J897" t="s">
        <v>242</v>
      </c>
      <c r="K897" t="s">
        <v>242</v>
      </c>
      <c r="L897" t="s">
        <v>241</v>
      </c>
      <c r="M897">
        <v>38.768894950000004</v>
      </c>
      <c r="N897">
        <v>-122.9803804</v>
      </c>
      <c r="O897">
        <v>0</v>
      </c>
      <c r="P897">
        <v>0</v>
      </c>
      <c r="Q897">
        <v>0</v>
      </c>
      <c r="R897">
        <v>34.86</v>
      </c>
      <c r="S897">
        <v>9.16</v>
      </c>
      <c r="T897">
        <v>0</v>
      </c>
      <c r="U897">
        <v>11.53</v>
      </c>
      <c r="V897">
        <v>34.700000000000003</v>
      </c>
      <c r="W897">
        <v>19.87</v>
      </c>
      <c r="X897">
        <v>1.86</v>
      </c>
      <c r="Y897">
        <v>0</v>
      </c>
      <c r="Z897">
        <v>0</v>
      </c>
      <c r="AA897" t="s">
        <v>9335</v>
      </c>
      <c r="AB897" t="s">
        <v>242</v>
      </c>
      <c r="AC897" t="s">
        <v>3229</v>
      </c>
    </row>
    <row r="898" spans="1:29" x14ac:dyDescent="0.25">
      <c r="A898" t="s">
        <v>2002</v>
      </c>
      <c r="B898" t="s">
        <v>254</v>
      </c>
      <c r="C898" t="s">
        <v>317</v>
      </c>
      <c r="D898" t="s">
        <v>3713</v>
      </c>
      <c r="E898" t="s">
        <v>3761</v>
      </c>
      <c r="F898">
        <v>10000000</v>
      </c>
      <c r="G898" t="s">
        <v>9349</v>
      </c>
      <c r="H898" t="s">
        <v>242</v>
      </c>
      <c r="I898" t="s">
        <v>242</v>
      </c>
      <c r="J898" t="s">
        <v>242</v>
      </c>
      <c r="K898" t="s">
        <v>242</v>
      </c>
      <c r="L898" t="s">
        <v>241</v>
      </c>
      <c r="M898">
        <v>39.292716609999999</v>
      </c>
      <c r="N898">
        <v>-123.21044550000001</v>
      </c>
      <c r="O898">
        <v>0</v>
      </c>
      <c r="P898">
        <v>2.83</v>
      </c>
      <c r="Q898">
        <v>4.16</v>
      </c>
      <c r="R898">
        <v>2.5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 t="s">
        <v>9335</v>
      </c>
      <c r="AB898" t="s">
        <v>242</v>
      </c>
      <c r="AC898" t="s">
        <v>3213</v>
      </c>
    </row>
    <row r="899" spans="1:29" x14ac:dyDescent="0.25">
      <c r="A899" t="s">
        <v>2003</v>
      </c>
      <c r="B899" t="s">
        <v>254</v>
      </c>
      <c r="C899" t="s">
        <v>436</v>
      </c>
      <c r="D899" t="s">
        <v>3713</v>
      </c>
      <c r="E899" t="s">
        <v>3761</v>
      </c>
      <c r="F899">
        <v>10000000</v>
      </c>
      <c r="G899" t="s">
        <v>9349</v>
      </c>
      <c r="H899" t="s">
        <v>241</v>
      </c>
      <c r="I899" t="s">
        <v>242</v>
      </c>
      <c r="J899" t="s">
        <v>242</v>
      </c>
      <c r="K899" t="s">
        <v>242</v>
      </c>
      <c r="L899" t="s">
        <v>241</v>
      </c>
      <c r="M899">
        <v>38.699239089999999</v>
      </c>
      <c r="N899">
        <v>-122.8648342</v>
      </c>
      <c r="O899">
        <v>0</v>
      </c>
      <c r="P899">
        <v>0</v>
      </c>
      <c r="Q899">
        <v>0</v>
      </c>
      <c r="R899">
        <v>0.4</v>
      </c>
      <c r="S899">
        <v>0.2</v>
      </c>
      <c r="T899">
        <v>2.33</v>
      </c>
      <c r="U899">
        <v>2.73</v>
      </c>
      <c r="V899">
        <v>3.36</v>
      </c>
      <c r="W899">
        <v>1.46</v>
      </c>
      <c r="X899">
        <v>1.63</v>
      </c>
      <c r="Y899">
        <v>0.06</v>
      </c>
      <c r="Z899">
        <v>0</v>
      </c>
      <c r="AA899" t="s">
        <v>9335</v>
      </c>
      <c r="AB899" t="s">
        <v>242</v>
      </c>
      <c r="AC899" t="s">
        <v>3229</v>
      </c>
    </row>
    <row r="900" spans="1:29" x14ac:dyDescent="0.25">
      <c r="A900" t="s">
        <v>2006</v>
      </c>
      <c r="B900" t="s">
        <v>254</v>
      </c>
      <c r="C900" t="s">
        <v>507</v>
      </c>
      <c r="D900" t="s">
        <v>3713</v>
      </c>
      <c r="E900" t="s">
        <v>3761</v>
      </c>
      <c r="F900">
        <v>10000000</v>
      </c>
      <c r="G900" t="s">
        <v>9349</v>
      </c>
      <c r="H900" t="s">
        <v>242</v>
      </c>
      <c r="I900" t="s">
        <v>242</v>
      </c>
      <c r="J900" t="s">
        <v>242</v>
      </c>
      <c r="K900" t="s">
        <v>242</v>
      </c>
      <c r="L900" t="s">
        <v>241</v>
      </c>
      <c r="M900">
        <v>38.595324179999999</v>
      </c>
      <c r="N900">
        <v>-122.8618251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 t="s">
        <v>9335</v>
      </c>
      <c r="AB900" t="s">
        <v>242</v>
      </c>
      <c r="AC900" t="s">
        <v>3229</v>
      </c>
    </row>
    <row r="901" spans="1:29" x14ac:dyDescent="0.25">
      <c r="A901" t="s">
        <v>2007</v>
      </c>
      <c r="B901" t="s">
        <v>254</v>
      </c>
      <c r="C901" t="s">
        <v>507</v>
      </c>
      <c r="D901" t="s">
        <v>3713</v>
      </c>
      <c r="E901" t="s">
        <v>3761</v>
      </c>
      <c r="F901">
        <v>10000000</v>
      </c>
      <c r="G901" t="s">
        <v>9349</v>
      </c>
      <c r="H901" t="s">
        <v>242</v>
      </c>
      <c r="I901" t="s">
        <v>242</v>
      </c>
      <c r="J901" t="s">
        <v>242</v>
      </c>
      <c r="K901" t="s">
        <v>242</v>
      </c>
      <c r="L901" t="s">
        <v>241</v>
      </c>
      <c r="M901">
        <v>38.595324179999999</v>
      </c>
      <c r="N901">
        <v>-122.8618251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2.46</v>
      </c>
      <c r="U901">
        <v>2.63</v>
      </c>
      <c r="V901">
        <v>1.1299999999999999</v>
      </c>
      <c r="W901">
        <v>2.46</v>
      </c>
      <c r="X901">
        <v>0.46</v>
      </c>
      <c r="Y901">
        <v>0</v>
      </c>
      <c r="Z901">
        <v>0</v>
      </c>
      <c r="AA901" t="s">
        <v>9335</v>
      </c>
      <c r="AB901" t="s">
        <v>242</v>
      </c>
      <c r="AC901" t="s">
        <v>3229</v>
      </c>
    </row>
    <row r="902" spans="1:29" x14ac:dyDescent="0.25">
      <c r="A902" t="s">
        <v>2008</v>
      </c>
      <c r="B902" t="s">
        <v>254</v>
      </c>
      <c r="C902" t="s">
        <v>436</v>
      </c>
      <c r="D902" t="s">
        <v>3713</v>
      </c>
      <c r="E902" t="s">
        <v>3761</v>
      </c>
      <c r="F902">
        <v>10000000</v>
      </c>
      <c r="G902" t="s">
        <v>9349</v>
      </c>
      <c r="H902" t="s">
        <v>241</v>
      </c>
      <c r="I902" t="s">
        <v>242</v>
      </c>
      <c r="J902" t="s">
        <v>242</v>
      </c>
      <c r="K902" t="s">
        <v>242</v>
      </c>
      <c r="L902" t="s">
        <v>241</v>
      </c>
      <c r="M902">
        <v>38.713305200000001</v>
      </c>
      <c r="N902">
        <v>-122.8930441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 t="s">
        <v>9335</v>
      </c>
      <c r="AB902" t="s">
        <v>242</v>
      </c>
      <c r="AC902" t="s">
        <v>3229</v>
      </c>
    </row>
    <row r="903" spans="1:29" x14ac:dyDescent="0.25">
      <c r="A903" t="s">
        <v>2009</v>
      </c>
      <c r="B903" t="s">
        <v>254</v>
      </c>
      <c r="C903" t="s">
        <v>436</v>
      </c>
      <c r="D903" t="s">
        <v>3713</v>
      </c>
      <c r="E903" t="s">
        <v>3761</v>
      </c>
      <c r="F903">
        <v>10000000</v>
      </c>
      <c r="G903" t="s">
        <v>9349</v>
      </c>
      <c r="H903" t="s">
        <v>241</v>
      </c>
      <c r="I903" t="s">
        <v>242</v>
      </c>
      <c r="J903" t="s">
        <v>242</v>
      </c>
      <c r="K903" t="s">
        <v>242</v>
      </c>
      <c r="L903" t="s">
        <v>241</v>
      </c>
      <c r="M903">
        <v>38.71167655</v>
      </c>
      <c r="N903">
        <v>-122.89057029999999</v>
      </c>
      <c r="O903">
        <v>0</v>
      </c>
      <c r="P903">
        <v>0</v>
      </c>
      <c r="Q903">
        <v>8.3333300000000001E-4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4.0000000000000002E-4</v>
      </c>
      <c r="AA903" t="s">
        <v>9335</v>
      </c>
      <c r="AB903" t="s">
        <v>242</v>
      </c>
      <c r="AC903" t="s">
        <v>3229</v>
      </c>
    </row>
    <row r="904" spans="1:29" x14ac:dyDescent="0.25">
      <c r="A904" t="s">
        <v>2010</v>
      </c>
      <c r="B904" t="s">
        <v>254</v>
      </c>
      <c r="C904" t="s">
        <v>436</v>
      </c>
      <c r="D904" t="s">
        <v>3713</v>
      </c>
      <c r="E904" t="s">
        <v>3761</v>
      </c>
      <c r="F904">
        <v>10000000</v>
      </c>
      <c r="G904" t="s">
        <v>9349</v>
      </c>
      <c r="H904" t="s">
        <v>241</v>
      </c>
      <c r="I904" t="s">
        <v>242</v>
      </c>
      <c r="J904" t="s">
        <v>242</v>
      </c>
      <c r="K904" t="s">
        <v>242</v>
      </c>
      <c r="L904" t="s">
        <v>241</v>
      </c>
      <c r="M904">
        <v>38.710446320000003</v>
      </c>
      <c r="N904">
        <v>-122.889854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 t="s">
        <v>9335</v>
      </c>
      <c r="AB904" t="s">
        <v>242</v>
      </c>
      <c r="AC904" t="s">
        <v>3229</v>
      </c>
    </row>
    <row r="905" spans="1:29" x14ac:dyDescent="0.25">
      <c r="A905" t="s">
        <v>2011</v>
      </c>
      <c r="B905" t="s">
        <v>254</v>
      </c>
      <c r="C905" t="s">
        <v>436</v>
      </c>
      <c r="D905" t="s">
        <v>3713</v>
      </c>
      <c r="E905" t="s">
        <v>3761</v>
      </c>
      <c r="F905">
        <v>10000000</v>
      </c>
      <c r="G905" t="s">
        <v>9349</v>
      </c>
      <c r="H905" t="s">
        <v>241</v>
      </c>
      <c r="I905" t="s">
        <v>242</v>
      </c>
      <c r="J905" t="s">
        <v>242</v>
      </c>
      <c r="K905" t="s">
        <v>242</v>
      </c>
      <c r="L905" t="s">
        <v>241</v>
      </c>
      <c r="M905">
        <v>38.709357390000001</v>
      </c>
      <c r="N905">
        <v>-122.8886138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 t="s">
        <v>9335</v>
      </c>
      <c r="AB905" t="s">
        <v>242</v>
      </c>
      <c r="AC905" t="s">
        <v>3229</v>
      </c>
    </row>
    <row r="906" spans="1:29" x14ac:dyDescent="0.25">
      <c r="A906" t="s">
        <v>2012</v>
      </c>
      <c r="B906" t="s">
        <v>254</v>
      </c>
      <c r="C906" t="s">
        <v>436</v>
      </c>
      <c r="D906" t="s">
        <v>3713</v>
      </c>
      <c r="E906" t="s">
        <v>3761</v>
      </c>
      <c r="F906">
        <v>10000000</v>
      </c>
      <c r="G906" t="s">
        <v>9349</v>
      </c>
      <c r="H906" t="s">
        <v>241</v>
      </c>
      <c r="I906" t="s">
        <v>242</v>
      </c>
      <c r="J906" t="s">
        <v>242</v>
      </c>
      <c r="K906" t="s">
        <v>242</v>
      </c>
      <c r="L906" t="s">
        <v>241</v>
      </c>
      <c r="M906">
        <v>38.712926889999999</v>
      </c>
      <c r="N906">
        <v>-122.8886583</v>
      </c>
      <c r="O906">
        <v>0.02</v>
      </c>
      <c r="P906">
        <v>0.01</v>
      </c>
      <c r="Q906">
        <v>0.02</v>
      </c>
      <c r="R906">
        <v>0.02</v>
      </c>
      <c r="S906">
        <v>0.02</v>
      </c>
      <c r="T906">
        <v>0.02</v>
      </c>
      <c r="U906">
        <v>0.02</v>
      </c>
      <c r="V906">
        <v>0.02</v>
      </c>
      <c r="W906">
        <v>0.02</v>
      </c>
      <c r="X906">
        <v>0.02</v>
      </c>
      <c r="Y906">
        <v>0.02</v>
      </c>
      <c r="Z906">
        <v>0.02</v>
      </c>
      <c r="AA906" t="s">
        <v>9335</v>
      </c>
      <c r="AB906" t="s">
        <v>242</v>
      </c>
      <c r="AC906" t="s">
        <v>3229</v>
      </c>
    </row>
    <row r="907" spans="1:29" x14ac:dyDescent="0.25">
      <c r="A907" t="s">
        <v>2015</v>
      </c>
      <c r="B907" t="s">
        <v>254</v>
      </c>
      <c r="C907" t="s">
        <v>354</v>
      </c>
      <c r="D907" t="s">
        <v>3713</v>
      </c>
      <c r="E907" t="s">
        <v>3761</v>
      </c>
      <c r="F907">
        <v>10000000</v>
      </c>
      <c r="G907" t="s">
        <v>9349</v>
      </c>
      <c r="H907" t="s">
        <v>241</v>
      </c>
      <c r="I907" t="s">
        <v>242</v>
      </c>
      <c r="J907" t="s">
        <v>242</v>
      </c>
      <c r="K907" t="s">
        <v>242</v>
      </c>
      <c r="L907" t="s">
        <v>241</v>
      </c>
      <c r="M907">
        <v>38.716367980000001</v>
      </c>
      <c r="N907">
        <v>-122.9053502</v>
      </c>
      <c r="O907">
        <v>0.1</v>
      </c>
      <c r="P907">
        <v>0.46</v>
      </c>
      <c r="Q907">
        <v>0.06</v>
      </c>
      <c r="R907">
        <v>0</v>
      </c>
      <c r="S907">
        <v>0.33</v>
      </c>
      <c r="T907">
        <v>1.03</v>
      </c>
      <c r="U907">
        <v>0.1</v>
      </c>
      <c r="V907">
        <v>0.16</v>
      </c>
      <c r="W907">
        <v>3.7</v>
      </c>
      <c r="X907">
        <v>1.53</v>
      </c>
      <c r="Y907">
        <v>0.76</v>
      </c>
      <c r="Z907">
        <v>0</v>
      </c>
      <c r="AA907" t="s">
        <v>9335</v>
      </c>
      <c r="AB907" t="s">
        <v>242</v>
      </c>
      <c r="AC907" t="s">
        <v>3229</v>
      </c>
    </row>
    <row r="908" spans="1:29" x14ac:dyDescent="0.25">
      <c r="A908" t="s">
        <v>2016</v>
      </c>
      <c r="B908" t="s">
        <v>254</v>
      </c>
      <c r="C908" t="s">
        <v>354</v>
      </c>
      <c r="D908" t="s">
        <v>3713</v>
      </c>
      <c r="E908" t="s">
        <v>3761</v>
      </c>
      <c r="F908">
        <v>10000000</v>
      </c>
      <c r="G908" t="s">
        <v>9349</v>
      </c>
      <c r="H908" t="s">
        <v>241</v>
      </c>
      <c r="I908" t="s">
        <v>242</v>
      </c>
      <c r="J908" t="s">
        <v>242</v>
      </c>
      <c r="K908" t="s">
        <v>242</v>
      </c>
      <c r="L908" t="s">
        <v>241</v>
      </c>
      <c r="M908">
        <v>38.715404229999997</v>
      </c>
      <c r="N908">
        <v>-122.9056885</v>
      </c>
      <c r="O908">
        <v>0</v>
      </c>
      <c r="P908">
        <v>0.16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0.56000000000000005</v>
      </c>
      <c r="Z908">
        <v>0.8</v>
      </c>
      <c r="AA908" t="s">
        <v>9335</v>
      </c>
      <c r="AB908" t="s">
        <v>242</v>
      </c>
      <c r="AC908" t="s">
        <v>3229</v>
      </c>
    </row>
    <row r="909" spans="1:29" x14ac:dyDescent="0.25">
      <c r="A909" t="s">
        <v>2017</v>
      </c>
      <c r="B909" t="s">
        <v>254</v>
      </c>
      <c r="C909" t="s">
        <v>354</v>
      </c>
      <c r="D909" t="s">
        <v>3713</v>
      </c>
      <c r="E909" t="s">
        <v>3761</v>
      </c>
      <c r="F909">
        <v>10000000</v>
      </c>
      <c r="G909" t="s">
        <v>9349</v>
      </c>
      <c r="H909" t="s">
        <v>241</v>
      </c>
      <c r="I909" t="s">
        <v>242</v>
      </c>
      <c r="J909" t="s">
        <v>242</v>
      </c>
      <c r="K909" t="s">
        <v>242</v>
      </c>
      <c r="L909" t="s">
        <v>241</v>
      </c>
      <c r="M909">
        <v>38.715173190000002</v>
      </c>
      <c r="N909">
        <v>-122.90007749999999</v>
      </c>
      <c r="O909">
        <v>0</v>
      </c>
      <c r="P909">
        <v>0.46</v>
      </c>
      <c r="Q909">
        <v>0</v>
      </c>
      <c r="R909">
        <v>0.03</v>
      </c>
      <c r="S909">
        <v>0.73</v>
      </c>
      <c r="T909">
        <v>1.1299999999999999</v>
      </c>
      <c r="U909">
        <v>2.8</v>
      </c>
      <c r="V909">
        <v>2.2000000000000002</v>
      </c>
      <c r="W909">
        <v>2.1</v>
      </c>
      <c r="X909">
        <v>1.1000000000000001</v>
      </c>
      <c r="Y909">
        <v>1.3</v>
      </c>
      <c r="Z909">
        <v>0</v>
      </c>
      <c r="AA909" t="s">
        <v>9335</v>
      </c>
      <c r="AB909" t="s">
        <v>242</v>
      </c>
      <c r="AC909" t="s">
        <v>3229</v>
      </c>
    </row>
    <row r="910" spans="1:29" x14ac:dyDescent="0.25">
      <c r="A910" t="s">
        <v>2018</v>
      </c>
      <c r="B910" t="s">
        <v>254</v>
      </c>
      <c r="C910" t="s">
        <v>354</v>
      </c>
      <c r="D910" t="s">
        <v>3713</v>
      </c>
      <c r="E910" t="s">
        <v>3761</v>
      </c>
      <c r="F910">
        <v>10000000</v>
      </c>
      <c r="G910" t="s">
        <v>9349</v>
      </c>
      <c r="H910" t="s">
        <v>241</v>
      </c>
      <c r="I910" t="s">
        <v>242</v>
      </c>
      <c r="J910" t="s">
        <v>242</v>
      </c>
      <c r="K910" t="s">
        <v>242</v>
      </c>
      <c r="L910" t="s">
        <v>241</v>
      </c>
      <c r="M910">
        <v>38.79283925</v>
      </c>
      <c r="N910">
        <v>-123.0061492</v>
      </c>
      <c r="O910">
        <v>0</v>
      </c>
      <c r="P910">
        <v>0.17</v>
      </c>
      <c r="Q910">
        <v>0.06</v>
      </c>
      <c r="R910">
        <v>3.3333333333333301E-3</v>
      </c>
      <c r="S910">
        <v>7.0000000000000007E-2</v>
      </c>
      <c r="T910">
        <v>0.53</v>
      </c>
      <c r="U910">
        <v>0.86</v>
      </c>
      <c r="V910">
        <v>0.86</v>
      </c>
      <c r="W910">
        <v>0.8</v>
      </c>
      <c r="X910">
        <v>0.95</v>
      </c>
      <c r="Y910">
        <v>0.36</v>
      </c>
      <c r="Z910">
        <v>0</v>
      </c>
      <c r="AA910" t="s">
        <v>9335</v>
      </c>
      <c r="AB910" t="s">
        <v>242</v>
      </c>
      <c r="AC910" t="s">
        <v>3229</v>
      </c>
    </row>
    <row r="911" spans="1:29" x14ac:dyDescent="0.25">
      <c r="A911" t="s">
        <v>2022</v>
      </c>
      <c r="B911" t="s">
        <v>254</v>
      </c>
      <c r="C911" t="s">
        <v>354</v>
      </c>
      <c r="D911" t="s">
        <v>3713</v>
      </c>
      <c r="E911" t="s">
        <v>3761</v>
      </c>
      <c r="F911">
        <v>10000000</v>
      </c>
      <c r="G911" t="s">
        <v>9349</v>
      </c>
      <c r="H911" t="s">
        <v>241</v>
      </c>
      <c r="I911" t="s">
        <v>242</v>
      </c>
      <c r="J911" t="s">
        <v>242</v>
      </c>
      <c r="K911" t="s">
        <v>242</v>
      </c>
      <c r="L911" t="s">
        <v>241</v>
      </c>
      <c r="M911">
        <v>38.809457760000001</v>
      </c>
      <c r="N911">
        <v>-123.0055066</v>
      </c>
      <c r="O911">
        <v>0</v>
      </c>
      <c r="P911">
        <v>0.03</v>
      </c>
      <c r="Q911">
        <v>0.9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1.63</v>
      </c>
      <c r="Y911">
        <v>0.73</v>
      </c>
      <c r="Z911">
        <v>0</v>
      </c>
      <c r="AA911" t="s">
        <v>9335</v>
      </c>
      <c r="AB911" t="s">
        <v>242</v>
      </c>
      <c r="AC911" t="s">
        <v>3229</v>
      </c>
    </row>
    <row r="912" spans="1:29" x14ac:dyDescent="0.25">
      <c r="A912" t="s">
        <v>131</v>
      </c>
      <c r="B912" t="s">
        <v>254</v>
      </c>
      <c r="C912" t="s">
        <v>354</v>
      </c>
      <c r="D912" t="s">
        <v>3713</v>
      </c>
      <c r="E912" t="s">
        <v>3761</v>
      </c>
      <c r="F912">
        <v>10000000</v>
      </c>
      <c r="G912" t="s">
        <v>9349</v>
      </c>
      <c r="H912" t="s">
        <v>241</v>
      </c>
      <c r="I912" t="s">
        <v>242</v>
      </c>
      <c r="J912" t="s">
        <v>242</v>
      </c>
      <c r="K912" t="s">
        <v>242</v>
      </c>
      <c r="L912" t="s">
        <v>241</v>
      </c>
      <c r="M912">
        <v>38.813046739999997</v>
      </c>
      <c r="N912">
        <v>-123.00327590000001</v>
      </c>
      <c r="O912">
        <v>0</v>
      </c>
      <c r="P912">
        <v>0.33</v>
      </c>
      <c r="Q912">
        <v>1.26</v>
      </c>
      <c r="R912">
        <v>0.4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0.2</v>
      </c>
      <c r="Y912">
        <v>0.5</v>
      </c>
      <c r="Z912">
        <v>0</v>
      </c>
      <c r="AA912" t="s">
        <v>9335</v>
      </c>
      <c r="AB912" t="s">
        <v>242</v>
      </c>
      <c r="AC912" t="s">
        <v>3229</v>
      </c>
    </row>
    <row r="913" spans="1:29" x14ac:dyDescent="0.25">
      <c r="A913" t="s">
        <v>132</v>
      </c>
      <c r="B913" t="s">
        <v>254</v>
      </c>
      <c r="C913" t="s">
        <v>354</v>
      </c>
      <c r="D913" t="s">
        <v>3713</v>
      </c>
      <c r="E913" t="s">
        <v>3761</v>
      </c>
      <c r="F913">
        <v>10000000</v>
      </c>
      <c r="G913" t="s">
        <v>9349</v>
      </c>
      <c r="H913" t="s">
        <v>241</v>
      </c>
      <c r="I913" t="s">
        <v>242</v>
      </c>
      <c r="J913" t="s">
        <v>242</v>
      </c>
      <c r="K913" t="s">
        <v>242</v>
      </c>
      <c r="L913" t="s">
        <v>241</v>
      </c>
      <c r="M913">
        <v>38.813046739999997</v>
      </c>
      <c r="N913">
        <v>-123.00327590000001</v>
      </c>
      <c r="O913">
        <v>0</v>
      </c>
      <c r="P913">
        <v>0.33</v>
      </c>
      <c r="Q913">
        <v>1.26</v>
      </c>
      <c r="R913">
        <v>0.73</v>
      </c>
      <c r="S913">
        <v>0</v>
      </c>
      <c r="T913">
        <v>3.03</v>
      </c>
      <c r="U913">
        <v>3.8</v>
      </c>
      <c r="V913">
        <v>6.2</v>
      </c>
      <c r="W913">
        <v>3.33</v>
      </c>
      <c r="X913">
        <v>0.36</v>
      </c>
      <c r="Y913">
        <v>0</v>
      </c>
      <c r="Z913">
        <v>0</v>
      </c>
      <c r="AA913" t="s">
        <v>9335</v>
      </c>
      <c r="AB913" t="s">
        <v>242</v>
      </c>
      <c r="AC913" t="s">
        <v>3229</v>
      </c>
    </row>
    <row r="914" spans="1:29" x14ac:dyDescent="0.25">
      <c r="A914" t="s">
        <v>2029</v>
      </c>
      <c r="B914" t="s">
        <v>254</v>
      </c>
      <c r="C914" t="s">
        <v>436</v>
      </c>
      <c r="D914" t="s">
        <v>3713</v>
      </c>
      <c r="E914" t="s">
        <v>3761</v>
      </c>
      <c r="F914">
        <v>10000000</v>
      </c>
      <c r="G914" t="s">
        <v>9349</v>
      </c>
      <c r="H914" t="s">
        <v>241</v>
      </c>
      <c r="I914" t="s">
        <v>242</v>
      </c>
      <c r="J914" t="s">
        <v>242</v>
      </c>
      <c r="K914" t="s">
        <v>242</v>
      </c>
      <c r="L914" t="s">
        <v>241</v>
      </c>
      <c r="M914">
        <v>38.678505850000001</v>
      </c>
      <c r="N914">
        <v>-122.8649329</v>
      </c>
      <c r="O914">
        <v>0.03</v>
      </c>
      <c r="P914">
        <v>1.56</v>
      </c>
      <c r="Q914">
        <v>4.9000000000000004</v>
      </c>
      <c r="R914">
        <v>1.03</v>
      </c>
      <c r="S914">
        <v>4.13</v>
      </c>
      <c r="T914">
        <v>15.23</v>
      </c>
      <c r="U914">
        <v>21.26</v>
      </c>
      <c r="V914">
        <v>23.43</v>
      </c>
      <c r="W914">
        <v>15.86</v>
      </c>
      <c r="X914">
        <v>3.9</v>
      </c>
      <c r="Y914">
        <v>2.8</v>
      </c>
      <c r="Z914">
        <v>0.23</v>
      </c>
      <c r="AA914" t="s">
        <v>9335</v>
      </c>
      <c r="AB914" t="s">
        <v>242</v>
      </c>
      <c r="AC914" t="s">
        <v>3229</v>
      </c>
    </row>
    <row r="915" spans="1:29" x14ac:dyDescent="0.25">
      <c r="A915" t="s">
        <v>2030</v>
      </c>
      <c r="B915" t="s">
        <v>254</v>
      </c>
      <c r="C915" t="s">
        <v>436</v>
      </c>
      <c r="D915" t="s">
        <v>3713</v>
      </c>
      <c r="E915" t="s">
        <v>3761</v>
      </c>
      <c r="F915">
        <v>10000000</v>
      </c>
      <c r="G915" t="s">
        <v>9349</v>
      </c>
      <c r="H915" t="s">
        <v>241</v>
      </c>
      <c r="I915" t="s">
        <v>242</v>
      </c>
      <c r="J915" t="s">
        <v>242</v>
      </c>
      <c r="K915" t="s">
        <v>242</v>
      </c>
      <c r="L915" t="s">
        <v>241</v>
      </c>
      <c r="M915">
        <v>38.679352999999999</v>
      </c>
      <c r="N915">
        <v>-122.8617903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 t="s">
        <v>9335</v>
      </c>
      <c r="AB915" t="s">
        <v>242</v>
      </c>
      <c r="AC915" t="s">
        <v>3229</v>
      </c>
    </row>
    <row r="916" spans="1:29" x14ac:dyDescent="0.25">
      <c r="A916" t="s">
        <v>2031</v>
      </c>
      <c r="B916" t="s">
        <v>254</v>
      </c>
      <c r="C916" t="s">
        <v>436</v>
      </c>
      <c r="D916" t="s">
        <v>3713</v>
      </c>
      <c r="E916" t="s">
        <v>3761</v>
      </c>
      <c r="F916">
        <v>10000000</v>
      </c>
      <c r="G916" t="s">
        <v>9349</v>
      </c>
      <c r="H916" t="s">
        <v>241</v>
      </c>
      <c r="I916" t="s">
        <v>242</v>
      </c>
      <c r="J916" t="s">
        <v>242</v>
      </c>
      <c r="K916" t="s">
        <v>242</v>
      </c>
      <c r="L916" t="s">
        <v>241</v>
      </c>
      <c r="M916">
        <v>38.662538499999997</v>
      </c>
      <c r="N916">
        <v>-122.8328673</v>
      </c>
      <c r="O916">
        <v>0</v>
      </c>
      <c r="P916">
        <v>3.06</v>
      </c>
      <c r="Q916">
        <v>0.2</v>
      </c>
      <c r="R916">
        <v>1.9</v>
      </c>
      <c r="S916">
        <v>2.23</v>
      </c>
      <c r="T916">
        <v>0.73</v>
      </c>
      <c r="U916">
        <v>0.5</v>
      </c>
      <c r="V916">
        <v>0.8</v>
      </c>
      <c r="W916">
        <v>2.56</v>
      </c>
      <c r="X916">
        <v>0.73</v>
      </c>
      <c r="Y916">
        <v>1.96</v>
      </c>
      <c r="Z916">
        <v>0</v>
      </c>
      <c r="AA916" t="s">
        <v>9335</v>
      </c>
      <c r="AB916" t="s">
        <v>242</v>
      </c>
      <c r="AC916" t="s">
        <v>3229</v>
      </c>
    </row>
    <row r="917" spans="1:29" x14ac:dyDescent="0.25">
      <c r="A917" t="s">
        <v>2032</v>
      </c>
      <c r="B917" t="s">
        <v>254</v>
      </c>
      <c r="C917" t="s">
        <v>436</v>
      </c>
      <c r="D917" t="s">
        <v>3713</v>
      </c>
      <c r="E917" t="s">
        <v>3761</v>
      </c>
      <c r="F917">
        <v>10000000</v>
      </c>
      <c r="G917" t="s">
        <v>9349</v>
      </c>
      <c r="H917" t="s">
        <v>241</v>
      </c>
      <c r="I917" t="s">
        <v>242</v>
      </c>
      <c r="J917" t="s">
        <v>242</v>
      </c>
      <c r="K917" t="s">
        <v>242</v>
      </c>
      <c r="L917" t="s">
        <v>241</v>
      </c>
      <c r="M917">
        <v>38.681917009999999</v>
      </c>
      <c r="N917">
        <v>-122.8492092</v>
      </c>
      <c r="O917">
        <v>0</v>
      </c>
      <c r="P917">
        <v>0.23</v>
      </c>
      <c r="Q917">
        <v>0.93</v>
      </c>
      <c r="R917">
        <v>0.4</v>
      </c>
      <c r="S917">
        <v>0.6</v>
      </c>
      <c r="T917">
        <v>3.5</v>
      </c>
      <c r="U917">
        <v>6.73</v>
      </c>
      <c r="V917">
        <v>6.16</v>
      </c>
      <c r="W917">
        <v>3.16</v>
      </c>
      <c r="X917">
        <v>1.1000000000000001</v>
      </c>
      <c r="Y917">
        <v>0.9</v>
      </c>
      <c r="Z917">
        <v>0</v>
      </c>
      <c r="AA917" t="s">
        <v>9335</v>
      </c>
      <c r="AB917" t="s">
        <v>242</v>
      </c>
      <c r="AC917" t="s">
        <v>3229</v>
      </c>
    </row>
    <row r="918" spans="1:29" x14ac:dyDescent="0.25">
      <c r="A918" t="s">
        <v>2035</v>
      </c>
      <c r="B918" t="s">
        <v>254</v>
      </c>
      <c r="C918" t="s">
        <v>436</v>
      </c>
      <c r="D918" t="s">
        <v>3713</v>
      </c>
      <c r="E918" t="s">
        <v>3761</v>
      </c>
      <c r="F918">
        <v>10000000</v>
      </c>
      <c r="G918" t="s">
        <v>9349</v>
      </c>
      <c r="H918" t="s">
        <v>241</v>
      </c>
      <c r="I918" t="s">
        <v>242</v>
      </c>
      <c r="J918" t="s">
        <v>242</v>
      </c>
      <c r="K918" t="s">
        <v>242</v>
      </c>
      <c r="L918" t="s">
        <v>241</v>
      </c>
      <c r="M918">
        <v>38.685079020000003</v>
      </c>
      <c r="N918">
        <v>-122.8296273</v>
      </c>
      <c r="O918">
        <v>0</v>
      </c>
      <c r="P918">
        <v>0.16</v>
      </c>
      <c r="Q918">
        <v>1.86</v>
      </c>
      <c r="R918">
        <v>1.1299999999999999</v>
      </c>
      <c r="S918">
        <v>1.63</v>
      </c>
      <c r="T918">
        <v>5.0999999999999996</v>
      </c>
      <c r="U918">
        <v>7.53</v>
      </c>
      <c r="V918">
        <v>9.66</v>
      </c>
      <c r="W918">
        <v>5.13</v>
      </c>
      <c r="X918">
        <v>0.76</v>
      </c>
      <c r="Y918">
        <v>0</v>
      </c>
      <c r="Z918">
        <v>0</v>
      </c>
      <c r="AA918" t="s">
        <v>9335</v>
      </c>
      <c r="AB918" t="s">
        <v>242</v>
      </c>
      <c r="AC918" t="s">
        <v>3229</v>
      </c>
    </row>
    <row r="919" spans="1:29" x14ac:dyDescent="0.25">
      <c r="A919" t="s">
        <v>2036</v>
      </c>
      <c r="B919" t="s">
        <v>254</v>
      </c>
      <c r="C919" t="s">
        <v>436</v>
      </c>
      <c r="D919" t="s">
        <v>3713</v>
      </c>
      <c r="E919" t="s">
        <v>3761</v>
      </c>
      <c r="F919">
        <v>10000000</v>
      </c>
      <c r="G919" t="s">
        <v>9349</v>
      </c>
      <c r="H919" t="s">
        <v>241</v>
      </c>
      <c r="I919" t="s">
        <v>242</v>
      </c>
      <c r="J919" t="s">
        <v>242</v>
      </c>
      <c r="K919" t="s">
        <v>242</v>
      </c>
      <c r="L919" t="s">
        <v>241</v>
      </c>
      <c r="M919">
        <v>38.663429610000001</v>
      </c>
      <c r="N919">
        <v>-122.8234211</v>
      </c>
      <c r="O919">
        <v>0</v>
      </c>
      <c r="P919">
        <v>0.06</v>
      </c>
      <c r="Q919">
        <v>0.6</v>
      </c>
      <c r="R919">
        <v>0.23</v>
      </c>
      <c r="S919">
        <v>1.5</v>
      </c>
      <c r="T919">
        <v>1.7</v>
      </c>
      <c r="U919">
        <v>5.23</v>
      </c>
      <c r="V919">
        <v>10.6</v>
      </c>
      <c r="W919">
        <v>4.2300000000000004</v>
      </c>
      <c r="X919">
        <v>1.36</v>
      </c>
      <c r="Y919">
        <v>0.46</v>
      </c>
      <c r="Z919">
        <v>0</v>
      </c>
      <c r="AA919" t="s">
        <v>9335</v>
      </c>
      <c r="AB919" t="s">
        <v>242</v>
      </c>
      <c r="AC919" t="s">
        <v>3229</v>
      </c>
    </row>
    <row r="920" spans="1:29" x14ac:dyDescent="0.25">
      <c r="A920" t="s">
        <v>1778</v>
      </c>
      <c r="B920" t="s">
        <v>254</v>
      </c>
      <c r="C920" t="s">
        <v>319</v>
      </c>
      <c r="D920" t="s">
        <v>3713</v>
      </c>
      <c r="E920" t="s">
        <v>3761</v>
      </c>
      <c r="F920">
        <v>19100101</v>
      </c>
      <c r="G920" t="s">
        <v>9348</v>
      </c>
      <c r="H920" t="s">
        <v>242</v>
      </c>
      <c r="I920" t="s">
        <v>241</v>
      </c>
      <c r="J920" t="s">
        <v>242</v>
      </c>
      <c r="K920" t="s">
        <v>242</v>
      </c>
      <c r="L920" t="s">
        <v>242</v>
      </c>
      <c r="M920">
        <v>38.974231420000002</v>
      </c>
      <c r="N920">
        <v>-123.0949057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 t="s">
        <v>9335</v>
      </c>
      <c r="AB920" t="s">
        <v>242</v>
      </c>
      <c r="AC920" t="s">
        <v>3213</v>
      </c>
    </row>
    <row r="921" spans="1:29" x14ac:dyDescent="0.25">
      <c r="A921" t="s">
        <v>2040</v>
      </c>
      <c r="B921" t="s">
        <v>254</v>
      </c>
      <c r="C921" t="s">
        <v>354</v>
      </c>
      <c r="D921" t="s">
        <v>3713</v>
      </c>
      <c r="E921" t="s">
        <v>3761</v>
      </c>
      <c r="F921">
        <v>10000000</v>
      </c>
      <c r="G921" t="s">
        <v>9349</v>
      </c>
      <c r="H921" t="s">
        <v>241</v>
      </c>
      <c r="I921" t="s">
        <v>242</v>
      </c>
      <c r="J921" t="s">
        <v>242</v>
      </c>
      <c r="K921" t="s">
        <v>242</v>
      </c>
      <c r="L921" t="s">
        <v>241</v>
      </c>
      <c r="M921">
        <v>38.740246689999999</v>
      </c>
      <c r="N921">
        <v>-122.9481845</v>
      </c>
      <c r="O921">
        <v>6.48</v>
      </c>
      <c r="P921">
        <v>3.91</v>
      </c>
      <c r="Q921">
        <v>2.3199999999999998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 t="s">
        <v>9335</v>
      </c>
      <c r="AB921" t="s">
        <v>242</v>
      </c>
      <c r="AC921" t="s">
        <v>3229</v>
      </c>
    </row>
    <row r="922" spans="1:29" x14ac:dyDescent="0.25">
      <c r="A922" t="s">
        <v>2041</v>
      </c>
      <c r="B922" t="s">
        <v>254</v>
      </c>
      <c r="C922" t="s">
        <v>507</v>
      </c>
      <c r="D922" t="s">
        <v>3713</v>
      </c>
      <c r="E922" t="s">
        <v>3761</v>
      </c>
      <c r="F922">
        <v>10000000</v>
      </c>
      <c r="G922" t="s">
        <v>9349</v>
      </c>
      <c r="H922" t="s">
        <v>241</v>
      </c>
      <c r="I922" t="s">
        <v>242</v>
      </c>
      <c r="J922" t="s">
        <v>242</v>
      </c>
      <c r="K922" t="s">
        <v>242</v>
      </c>
      <c r="L922" t="s">
        <v>241</v>
      </c>
      <c r="M922">
        <v>38.612985690000002</v>
      </c>
      <c r="N922">
        <v>-122.8310637</v>
      </c>
      <c r="O922">
        <v>7.67E-4</v>
      </c>
      <c r="P922">
        <v>7.67E-4</v>
      </c>
      <c r="Q922">
        <v>7.67E-4</v>
      </c>
      <c r="R922">
        <v>7.67E-4</v>
      </c>
      <c r="S922">
        <v>1.0740000000000001E-3</v>
      </c>
      <c r="T922">
        <v>1.0740000000000001E-3</v>
      </c>
      <c r="U922">
        <v>1.0740000000000001E-3</v>
      </c>
      <c r="V922">
        <v>1.0740000000000001E-3</v>
      </c>
      <c r="W922">
        <v>1.0740000000000001E-3</v>
      </c>
      <c r="X922">
        <v>1.0740000000000001E-3</v>
      </c>
      <c r="Y922">
        <v>7.67E-4</v>
      </c>
      <c r="Z922">
        <v>7.67E-4</v>
      </c>
      <c r="AA922" t="s">
        <v>9333</v>
      </c>
      <c r="AB922" t="s">
        <v>242</v>
      </c>
      <c r="AC922" t="s">
        <v>3229</v>
      </c>
    </row>
    <row r="923" spans="1:29" x14ac:dyDescent="0.25">
      <c r="A923" t="s">
        <v>2042</v>
      </c>
      <c r="B923" t="s">
        <v>254</v>
      </c>
      <c r="C923" t="s">
        <v>436</v>
      </c>
      <c r="D923" t="s">
        <v>3713</v>
      </c>
      <c r="E923" t="s">
        <v>3761</v>
      </c>
      <c r="F923">
        <v>10000000</v>
      </c>
      <c r="G923" t="s">
        <v>9349</v>
      </c>
      <c r="H923" t="s">
        <v>242</v>
      </c>
      <c r="I923" t="s">
        <v>242</v>
      </c>
      <c r="J923" t="s">
        <v>242</v>
      </c>
      <c r="K923" t="s">
        <v>242</v>
      </c>
      <c r="L923" t="s">
        <v>241</v>
      </c>
      <c r="M923">
        <v>38.701046939999998</v>
      </c>
      <c r="N923">
        <v>-122.82385600000001</v>
      </c>
      <c r="O923">
        <v>0</v>
      </c>
      <c r="P923">
        <v>0</v>
      </c>
      <c r="Q923">
        <v>0</v>
      </c>
      <c r="R923">
        <v>3.34</v>
      </c>
      <c r="S923">
        <v>3.34</v>
      </c>
      <c r="T923">
        <v>3.34</v>
      </c>
      <c r="U923">
        <v>3.34</v>
      </c>
      <c r="V923">
        <v>3.34</v>
      </c>
      <c r="W923">
        <v>3.34</v>
      </c>
      <c r="X923">
        <v>3.34</v>
      </c>
      <c r="Y923">
        <v>0</v>
      </c>
      <c r="Z923">
        <v>0</v>
      </c>
      <c r="AA923" t="s">
        <v>9333</v>
      </c>
      <c r="AB923" t="s">
        <v>242</v>
      </c>
      <c r="AC923" t="s">
        <v>3229</v>
      </c>
    </row>
    <row r="924" spans="1:29" x14ac:dyDescent="0.25">
      <c r="A924" t="s">
        <v>2043</v>
      </c>
      <c r="B924" t="s">
        <v>254</v>
      </c>
      <c r="C924" t="s">
        <v>436</v>
      </c>
      <c r="D924" t="s">
        <v>3713</v>
      </c>
      <c r="E924" t="s">
        <v>3761</v>
      </c>
      <c r="F924">
        <v>10000000</v>
      </c>
      <c r="G924" t="s">
        <v>9349</v>
      </c>
      <c r="H924" t="s">
        <v>242</v>
      </c>
      <c r="I924" t="s">
        <v>242</v>
      </c>
      <c r="J924" t="s">
        <v>242</v>
      </c>
      <c r="K924" t="s">
        <v>242</v>
      </c>
      <c r="L924" t="s">
        <v>241</v>
      </c>
      <c r="M924">
        <v>38.699791449999999</v>
      </c>
      <c r="N924">
        <v>-122.8266448</v>
      </c>
      <c r="O924">
        <v>0</v>
      </c>
      <c r="P924">
        <v>0</v>
      </c>
      <c r="Q924">
        <v>0</v>
      </c>
      <c r="R924">
        <v>4</v>
      </c>
      <c r="S924">
        <v>4</v>
      </c>
      <c r="T924">
        <v>4</v>
      </c>
      <c r="U924">
        <v>4</v>
      </c>
      <c r="V924">
        <v>4</v>
      </c>
      <c r="W924">
        <v>4</v>
      </c>
      <c r="X924">
        <v>4</v>
      </c>
      <c r="Y924">
        <v>0</v>
      </c>
      <c r="Z924">
        <v>0</v>
      </c>
      <c r="AA924" t="s">
        <v>9341</v>
      </c>
      <c r="AB924" t="s">
        <v>241</v>
      </c>
      <c r="AC924" t="s">
        <v>3229</v>
      </c>
    </row>
    <row r="925" spans="1:29" x14ac:dyDescent="0.25">
      <c r="A925" t="s">
        <v>47</v>
      </c>
      <c r="B925" t="s">
        <v>254</v>
      </c>
      <c r="C925" t="s">
        <v>354</v>
      </c>
      <c r="D925" t="s">
        <v>3713</v>
      </c>
      <c r="E925" t="s">
        <v>3761</v>
      </c>
      <c r="F925">
        <v>18860101</v>
      </c>
      <c r="G925" t="s">
        <v>9348</v>
      </c>
      <c r="H925" t="s">
        <v>241</v>
      </c>
      <c r="I925" t="s">
        <v>241</v>
      </c>
      <c r="J925" t="s">
        <v>242</v>
      </c>
      <c r="K925" t="s">
        <v>242</v>
      </c>
      <c r="L925" t="s">
        <v>242</v>
      </c>
      <c r="M925">
        <v>38.811331010000004</v>
      </c>
      <c r="N925">
        <v>-123.01114870000001</v>
      </c>
      <c r="O925">
        <v>65.44</v>
      </c>
      <c r="P925">
        <v>58.77</v>
      </c>
      <c r="Q925">
        <v>62.69</v>
      </c>
      <c r="R925">
        <v>70.23</v>
      </c>
      <c r="S925">
        <v>110.77</v>
      </c>
      <c r="T925">
        <v>134</v>
      </c>
      <c r="U925">
        <v>151.94999999999999</v>
      </c>
      <c r="V925">
        <v>150.22999999999999</v>
      </c>
      <c r="W925">
        <v>134.58000000000001</v>
      </c>
      <c r="X925">
        <v>113.34</v>
      </c>
      <c r="Y925">
        <v>87.58</v>
      </c>
      <c r="Z925">
        <v>68.08</v>
      </c>
      <c r="AA925" t="s">
        <v>9336</v>
      </c>
      <c r="AB925" t="s">
        <v>242</v>
      </c>
      <c r="AC925" t="s">
        <v>3229</v>
      </c>
    </row>
    <row r="926" spans="1:29" x14ac:dyDescent="0.25">
      <c r="A926" t="s">
        <v>2044</v>
      </c>
      <c r="B926" t="s">
        <v>254</v>
      </c>
      <c r="C926" t="s">
        <v>317</v>
      </c>
      <c r="D926" t="s">
        <v>3713</v>
      </c>
      <c r="E926" t="s">
        <v>3761</v>
      </c>
      <c r="F926">
        <v>10000000</v>
      </c>
      <c r="G926" t="s">
        <v>9349</v>
      </c>
      <c r="H926" t="s">
        <v>242</v>
      </c>
      <c r="I926" t="s">
        <v>242</v>
      </c>
      <c r="J926" t="s">
        <v>242</v>
      </c>
      <c r="K926" t="s">
        <v>242</v>
      </c>
      <c r="L926" t="s">
        <v>241</v>
      </c>
      <c r="M926">
        <v>39.253326020000003</v>
      </c>
      <c r="N926">
        <v>-123.3113101</v>
      </c>
      <c r="O926">
        <v>0.03</v>
      </c>
      <c r="P926">
        <v>0.03</v>
      </c>
      <c r="Q926">
        <v>0.06</v>
      </c>
      <c r="R926">
        <v>0.13</v>
      </c>
      <c r="S926">
        <v>0.13</v>
      </c>
      <c r="T926">
        <v>0.13</v>
      </c>
      <c r="U926">
        <v>0.13</v>
      </c>
      <c r="V926">
        <v>0.13</v>
      </c>
      <c r="W926">
        <v>0.13</v>
      </c>
      <c r="X926">
        <v>0.06</v>
      </c>
      <c r="Y926">
        <v>0.03</v>
      </c>
      <c r="Z926">
        <v>0.03</v>
      </c>
      <c r="AA926" t="s">
        <v>9335</v>
      </c>
      <c r="AB926" t="s">
        <v>242</v>
      </c>
      <c r="AC926" t="s">
        <v>3213</v>
      </c>
    </row>
    <row r="927" spans="1:29" x14ac:dyDescent="0.25">
      <c r="A927" t="s">
        <v>2045</v>
      </c>
      <c r="B927" t="s">
        <v>254</v>
      </c>
      <c r="C927" t="s">
        <v>317</v>
      </c>
      <c r="D927" t="s">
        <v>3713</v>
      </c>
      <c r="E927" t="s">
        <v>3761</v>
      </c>
      <c r="F927">
        <v>10000000</v>
      </c>
      <c r="G927" t="s">
        <v>9349</v>
      </c>
      <c r="H927" t="s">
        <v>242</v>
      </c>
      <c r="I927" t="s">
        <v>242</v>
      </c>
      <c r="J927" t="s">
        <v>242</v>
      </c>
      <c r="K927" t="s">
        <v>242</v>
      </c>
      <c r="L927" t="s">
        <v>241</v>
      </c>
      <c r="M927">
        <v>39.253326020000003</v>
      </c>
      <c r="N927">
        <v>-123.3113101</v>
      </c>
      <c r="O927">
        <v>0.06</v>
      </c>
      <c r="P927">
        <v>0.06</v>
      </c>
      <c r="Q927">
        <v>0.06</v>
      </c>
      <c r="R927">
        <v>7.0000000000000007E-2</v>
      </c>
      <c r="S927">
        <v>7.0000000000000007E-2</v>
      </c>
      <c r="T927">
        <v>7.0000000000000007E-2</v>
      </c>
      <c r="U927">
        <v>0.04</v>
      </c>
      <c r="V927">
        <v>0.04</v>
      </c>
      <c r="W927">
        <v>0.04</v>
      </c>
      <c r="X927">
        <v>0.04</v>
      </c>
      <c r="Y927">
        <v>0.04</v>
      </c>
      <c r="Z927">
        <v>0.06</v>
      </c>
      <c r="AA927" t="s">
        <v>9333</v>
      </c>
      <c r="AB927" t="s">
        <v>242</v>
      </c>
      <c r="AC927" t="s">
        <v>3213</v>
      </c>
    </row>
    <row r="928" spans="1:29" x14ac:dyDescent="0.25">
      <c r="A928" t="s">
        <v>2905</v>
      </c>
      <c r="B928" t="s">
        <v>254</v>
      </c>
      <c r="C928" t="s">
        <v>348</v>
      </c>
      <c r="D928" t="s">
        <v>3713</v>
      </c>
      <c r="E928" t="s">
        <v>3761</v>
      </c>
      <c r="F928">
        <v>10000000</v>
      </c>
      <c r="G928" t="s">
        <v>9349</v>
      </c>
      <c r="H928" t="s">
        <v>242</v>
      </c>
      <c r="I928" t="s">
        <v>242</v>
      </c>
      <c r="J928" t="s">
        <v>242</v>
      </c>
      <c r="K928" t="s">
        <v>242</v>
      </c>
      <c r="L928" t="s">
        <v>241</v>
      </c>
      <c r="M928">
        <v>39.361086380000003</v>
      </c>
      <c r="N928">
        <v>-123.1279644</v>
      </c>
      <c r="O928">
        <v>0</v>
      </c>
      <c r="P928">
        <v>0</v>
      </c>
      <c r="Q928">
        <v>0</v>
      </c>
      <c r="R928">
        <v>128.66</v>
      </c>
      <c r="S928">
        <v>458.33</v>
      </c>
      <c r="T928">
        <v>1147.33</v>
      </c>
      <c r="U928">
        <v>1500.33</v>
      </c>
      <c r="V928">
        <v>1444.33</v>
      </c>
      <c r="W928">
        <v>1239.6600000000001</v>
      </c>
      <c r="X928">
        <v>451.66</v>
      </c>
      <c r="Y928">
        <v>58</v>
      </c>
      <c r="Z928">
        <v>0</v>
      </c>
      <c r="AA928" t="s">
        <v>9335</v>
      </c>
      <c r="AB928" t="s">
        <v>241</v>
      </c>
      <c r="AC928" t="s">
        <v>3213</v>
      </c>
    </row>
    <row r="929" spans="1:29" x14ac:dyDescent="0.25">
      <c r="A929" t="s">
        <v>2046</v>
      </c>
      <c r="B929" t="s">
        <v>254</v>
      </c>
      <c r="C929" t="s">
        <v>331</v>
      </c>
      <c r="D929" t="s">
        <v>3713</v>
      </c>
      <c r="E929" t="s">
        <v>3761</v>
      </c>
      <c r="F929">
        <v>10000000</v>
      </c>
      <c r="G929" t="s">
        <v>9349</v>
      </c>
      <c r="H929" t="s">
        <v>241</v>
      </c>
      <c r="I929" t="s">
        <v>242</v>
      </c>
      <c r="J929" t="s">
        <v>242</v>
      </c>
      <c r="K929" t="s">
        <v>242</v>
      </c>
      <c r="L929" t="s">
        <v>241</v>
      </c>
      <c r="M929">
        <v>39.179444029999999</v>
      </c>
      <c r="N929">
        <v>-123.197571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 t="s">
        <v>9343</v>
      </c>
      <c r="AB929" t="s">
        <v>242</v>
      </c>
      <c r="AC929" t="s">
        <v>3213</v>
      </c>
    </row>
    <row r="930" spans="1:29" x14ac:dyDescent="0.25">
      <c r="A930" t="s">
        <v>1858</v>
      </c>
      <c r="B930" t="s">
        <v>254</v>
      </c>
      <c r="C930" t="s">
        <v>348</v>
      </c>
      <c r="D930" t="s">
        <v>3713</v>
      </c>
      <c r="E930" t="s">
        <v>3761</v>
      </c>
      <c r="F930">
        <v>10000000</v>
      </c>
      <c r="G930" t="s">
        <v>9349</v>
      </c>
      <c r="H930" t="s">
        <v>242</v>
      </c>
      <c r="I930" t="s">
        <v>242</v>
      </c>
      <c r="J930" t="s">
        <v>242</v>
      </c>
      <c r="K930" t="s">
        <v>242</v>
      </c>
      <c r="L930" t="s">
        <v>241</v>
      </c>
      <c r="M930">
        <v>39.295985129999998</v>
      </c>
      <c r="N930">
        <v>-123.10183379999999</v>
      </c>
      <c r="O930">
        <v>0</v>
      </c>
      <c r="P930">
        <v>0</v>
      </c>
      <c r="Q930">
        <v>0</v>
      </c>
      <c r="R930">
        <v>3.66</v>
      </c>
      <c r="S930">
        <v>1.33</v>
      </c>
      <c r="T930">
        <v>4.53</v>
      </c>
      <c r="U930">
        <v>1.33</v>
      </c>
      <c r="V930">
        <v>3.06</v>
      </c>
      <c r="W930">
        <v>3.4</v>
      </c>
      <c r="X930">
        <v>0</v>
      </c>
      <c r="Y930">
        <v>0</v>
      </c>
      <c r="Z930">
        <v>0</v>
      </c>
      <c r="AA930" t="s">
        <v>9343</v>
      </c>
      <c r="AB930" t="s">
        <v>242</v>
      </c>
      <c r="AC930" t="s">
        <v>3213</v>
      </c>
    </row>
    <row r="931" spans="1:29" x14ac:dyDescent="0.25">
      <c r="A931" t="s">
        <v>1933</v>
      </c>
      <c r="B931" t="s">
        <v>254</v>
      </c>
      <c r="C931" t="s">
        <v>348</v>
      </c>
      <c r="D931" t="s">
        <v>3713</v>
      </c>
      <c r="E931" t="s">
        <v>3761</v>
      </c>
      <c r="F931">
        <v>10000000</v>
      </c>
      <c r="G931" t="s">
        <v>9349</v>
      </c>
      <c r="H931" t="s">
        <v>242</v>
      </c>
      <c r="I931" t="s">
        <v>242</v>
      </c>
      <c r="J931" t="s">
        <v>242</v>
      </c>
      <c r="K931" t="s">
        <v>242</v>
      </c>
      <c r="L931" t="s">
        <v>241</v>
      </c>
      <c r="M931">
        <v>39.286412679999998</v>
      </c>
      <c r="N931">
        <v>-123.09779760000001</v>
      </c>
      <c r="O931">
        <v>0</v>
      </c>
      <c r="P931">
        <v>0</v>
      </c>
      <c r="Q931">
        <v>0</v>
      </c>
      <c r="R931">
        <v>1.95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0.05</v>
      </c>
      <c r="Z931">
        <v>0</v>
      </c>
      <c r="AA931" t="s">
        <v>9343</v>
      </c>
      <c r="AB931" t="s">
        <v>242</v>
      </c>
      <c r="AC931" t="s">
        <v>3213</v>
      </c>
    </row>
    <row r="932" spans="1:29" x14ac:dyDescent="0.25">
      <c r="A932" t="s">
        <v>2049</v>
      </c>
      <c r="B932" t="s">
        <v>254</v>
      </c>
      <c r="C932" t="s">
        <v>436</v>
      </c>
      <c r="D932" t="s">
        <v>3713</v>
      </c>
      <c r="E932" t="s">
        <v>3761</v>
      </c>
      <c r="F932">
        <v>10000000</v>
      </c>
      <c r="G932" t="s">
        <v>9349</v>
      </c>
      <c r="H932" t="s">
        <v>241</v>
      </c>
      <c r="I932" t="s">
        <v>242</v>
      </c>
      <c r="J932" t="s">
        <v>242</v>
      </c>
      <c r="K932" t="s">
        <v>242</v>
      </c>
      <c r="L932" t="s">
        <v>241</v>
      </c>
      <c r="M932">
        <v>38.702439509999998</v>
      </c>
      <c r="N932">
        <v>-122.8774887</v>
      </c>
      <c r="O932">
        <v>0</v>
      </c>
      <c r="P932">
        <v>0</v>
      </c>
      <c r="Q932">
        <v>8.07</v>
      </c>
      <c r="R932">
        <v>0</v>
      </c>
      <c r="S932">
        <v>0</v>
      </c>
      <c r="T932">
        <v>9.35</v>
      </c>
      <c r="U932">
        <v>9.35</v>
      </c>
      <c r="V932">
        <v>9.35</v>
      </c>
      <c r="W932">
        <v>9.35</v>
      </c>
      <c r="X932">
        <v>17.68</v>
      </c>
      <c r="Y932">
        <v>0</v>
      </c>
      <c r="Z932">
        <v>0</v>
      </c>
      <c r="AA932" t="s">
        <v>9335</v>
      </c>
      <c r="AB932" t="s">
        <v>242</v>
      </c>
      <c r="AC932" t="s">
        <v>3229</v>
      </c>
    </row>
    <row r="933" spans="1:29" x14ac:dyDescent="0.25">
      <c r="A933" t="s">
        <v>2050</v>
      </c>
      <c r="B933" t="s">
        <v>254</v>
      </c>
      <c r="C933" t="s">
        <v>436</v>
      </c>
      <c r="D933" t="s">
        <v>3713</v>
      </c>
      <c r="E933" t="s">
        <v>3761</v>
      </c>
      <c r="F933">
        <v>10000000</v>
      </c>
      <c r="G933" t="s">
        <v>9349</v>
      </c>
      <c r="H933" t="s">
        <v>241</v>
      </c>
      <c r="I933" t="s">
        <v>242</v>
      </c>
      <c r="J933" t="s">
        <v>242</v>
      </c>
      <c r="K933" t="s">
        <v>242</v>
      </c>
      <c r="L933" t="s">
        <v>241</v>
      </c>
      <c r="M933">
        <v>38.691207730000002</v>
      </c>
      <c r="N933">
        <v>-122.85545159999999</v>
      </c>
      <c r="O933">
        <v>0</v>
      </c>
      <c r="P933">
        <v>2</v>
      </c>
      <c r="Q933">
        <v>0</v>
      </c>
      <c r="R933">
        <v>0</v>
      </c>
      <c r="S933">
        <v>0</v>
      </c>
      <c r="T933">
        <v>6.11</v>
      </c>
      <c r="U933">
        <v>6.11</v>
      </c>
      <c r="V933">
        <v>6.11</v>
      </c>
      <c r="W933">
        <v>6.11</v>
      </c>
      <c r="X933">
        <v>2</v>
      </c>
      <c r="Y933">
        <v>0</v>
      </c>
      <c r="Z933">
        <v>0</v>
      </c>
      <c r="AA933" t="s">
        <v>9335</v>
      </c>
      <c r="AB933" t="s">
        <v>242</v>
      </c>
      <c r="AC933" t="s">
        <v>3229</v>
      </c>
    </row>
    <row r="934" spans="1:29" x14ac:dyDescent="0.25">
      <c r="A934" t="s">
        <v>2052</v>
      </c>
      <c r="B934" t="s">
        <v>254</v>
      </c>
      <c r="C934" t="s">
        <v>319</v>
      </c>
      <c r="D934" t="s">
        <v>3713</v>
      </c>
      <c r="E934" t="s">
        <v>3761</v>
      </c>
      <c r="F934">
        <v>10000000</v>
      </c>
      <c r="G934" t="s">
        <v>9349</v>
      </c>
      <c r="H934" t="s">
        <v>242</v>
      </c>
      <c r="I934" t="s">
        <v>242</v>
      </c>
      <c r="J934" t="s">
        <v>242</v>
      </c>
      <c r="K934" t="s">
        <v>242</v>
      </c>
      <c r="L934" t="s">
        <v>241</v>
      </c>
      <c r="M934">
        <v>38.994282419999998</v>
      </c>
      <c r="N934">
        <v>-123.192336</v>
      </c>
      <c r="O934">
        <v>6.8999999999999997E-4</v>
      </c>
      <c r="P934">
        <v>6.8999999999999997E-4</v>
      </c>
      <c r="Q934">
        <v>6.8999999999999997E-4</v>
      </c>
      <c r="R934">
        <v>6.8999999999999997E-4</v>
      </c>
      <c r="S934">
        <v>1.6100000000000001E-3</v>
      </c>
      <c r="T934">
        <v>3.8344999999999998E-3</v>
      </c>
      <c r="U934">
        <v>3.8344999999999998E-3</v>
      </c>
      <c r="V934">
        <v>3.8344999999999998E-3</v>
      </c>
      <c r="W934">
        <v>3.8344999999999998E-3</v>
      </c>
      <c r="X934">
        <v>1.9599999999999999E-3</v>
      </c>
      <c r="Y934">
        <v>6.8999999999999997E-4</v>
      </c>
      <c r="Z934">
        <v>6.8999999999999997E-4</v>
      </c>
      <c r="AA934" t="s">
        <v>9335</v>
      </c>
      <c r="AB934" t="s">
        <v>242</v>
      </c>
      <c r="AC934" t="s">
        <v>3213</v>
      </c>
    </row>
    <row r="935" spans="1:29" x14ac:dyDescent="0.25">
      <c r="A935" t="s">
        <v>2053</v>
      </c>
      <c r="B935" t="s">
        <v>254</v>
      </c>
      <c r="C935" t="s">
        <v>331</v>
      </c>
      <c r="D935" t="s">
        <v>3713</v>
      </c>
      <c r="E935" t="s">
        <v>3761</v>
      </c>
      <c r="F935">
        <v>10000000</v>
      </c>
      <c r="G935" t="s">
        <v>9349</v>
      </c>
      <c r="H935" t="s">
        <v>242</v>
      </c>
      <c r="I935" t="s">
        <v>242</v>
      </c>
      <c r="J935" t="s">
        <v>242</v>
      </c>
      <c r="K935" t="s">
        <v>242</v>
      </c>
      <c r="L935" t="s">
        <v>241</v>
      </c>
      <c r="M935">
        <v>39.148793750000003</v>
      </c>
      <c r="N935">
        <v>-123.1460938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 t="s">
        <v>9335</v>
      </c>
      <c r="AB935" t="s">
        <v>242</v>
      </c>
      <c r="AC935" t="s">
        <v>3213</v>
      </c>
    </row>
    <row r="936" spans="1:29" x14ac:dyDescent="0.25">
      <c r="A936" t="s">
        <v>2054</v>
      </c>
      <c r="B936" t="s">
        <v>254</v>
      </c>
      <c r="C936" t="s">
        <v>331</v>
      </c>
      <c r="D936" t="s">
        <v>3713</v>
      </c>
      <c r="E936" t="s">
        <v>3761</v>
      </c>
      <c r="F936">
        <v>10000000</v>
      </c>
      <c r="G936" t="s">
        <v>9349</v>
      </c>
      <c r="H936" t="s">
        <v>242</v>
      </c>
      <c r="I936" t="s">
        <v>242</v>
      </c>
      <c r="J936" t="s">
        <v>242</v>
      </c>
      <c r="K936" t="s">
        <v>242</v>
      </c>
      <c r="L936" t="s">
        <v>241</v>
      </c>
      <c r="M936">
        <v>39.145198270000002</v>
      </c>
      <c r="N936">
        <v>-123.1626097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 t="s">
        <v>9335</v>
      </c>
      <c r="AB936" t="s">
        <v>242</v>
      </c>
      <c r="AC936" t="s">
        <v>3213</v>
      </c>
    </row>
    <row r="937" spans="1:29" x14ac:dyDescent="0.25">
      <c r="A937" t="s">
        <v>68</v>
      </c>
      <c r="B937" t="s">
        <v>254</v>
      </c>
      <c r="C937" t="s">
        <v>311</v>
      </c>
      <c r="D937" t="s">
        <v>3713</v>
      </c>
      <c r="E937" t="s">
        <v>3761</v>
      </c>
      <c r="F937">
        <v>10000000</v>
      </c>
      <c r="G937" t="s">
        <v>9349</v>
      </c>
      <c r="H937" t="s">
        <v>241</v>
      </c>
      <c r="I937" t="s">
        <v>242</v>
      </c>
      <c r="J937" t="s">
        <v>242</v>
      </c>
      <c r="K937" t="s">
        <v>242</v>
      </c>
      <c r="L937" t="s">
        <v>241</v>
      </c>
      <c r="M937">
        <v>38.627837280000001</v>
      </c>
      <c r="N937">
        <v>-122.78835340000001</v>
      </c>
      <c r="O937">
        <v>0</v>
      </c>
      <c r="P937">
        <v>0.06</v>
      </c>
      <c r="Q937">
        <v>1.03</v>
      </c>
      <c r="R937">
        <v>0.63</v>
      </c>
      <c r="S937">
        <v>3.3</v>
      </c>
      <c r="T937">
        <v>7.56</v>
      </c>
      <c r="U937">
        <v>14</v>
      </c>
      <c r="V937">
        <v>16.46</v>
      </c>
      <c r="W937">
        <v>12.7</v>
      </c>
      <c r="X937">
        <v>6.83</v>
      </c>
      <c r="Y937">
        <v>4.4000000000000004</v>
      </c>
      <c r="Z937">
        <v>0.23</v>
      </c>
      <c r="AA937" t="s">
        <v>9335</v>
      </c>
      <c r="AB937" t="s">
        <v>242</v>
      </c>
      <c r="AC937" t="s">
        <v>3229</v>
      </c>
    </row>
    <row r="938" spans="1:29" x14ac:dyDescent="0.25">
      <c r="A938" t="s">
        <v>1767</v>
      </c>
      <c r="B938" t="s">
        <v>254</v>
      </c>
      <c r="C938" t="s">
        <v>311</v>
      </c>
      <c r="D938" t="s">
        <v>3713</v>
      </c>
      <c r="E938" t="s">
        <v>3761</v>
      </c>
      <c r="F938">
        <v>19120101</v>
      </c>
      <c r="G938" t="s">
        <v>9348</v>
      </c>
      <c r="H938" t="s">
        <v>241</v>
      </c>
      <c r="I938" t="s">
        <v>241</v>
      </c>
      <c r="J938" t="s">
        <v>242</v>
      </c>
      <c r="K938" t="s">
        <v>242</v>
      </c>
      <c r="L938" t="s">
        <v>242</v>
      </c>
      <c r="M938">
        <v>38.612233449999998</v>
      </c>
      <c r="N938">
        <v>-122.781181</v>
      </c>
      <c r="O938">
        <v>0.18</v>
      </c>
      <c r="P938">
        <v>0.18</v>
      </c>
      <c r="Q938">
        <v>0.18</v>
      </c>
      <c r="R938">
        <v>0.16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0.02</v>
      </c>
      <c r="Z938">
        <v>0.02</v>
      </c>
      <c r="AA938" t="s">
        <v>9339</v>
      </c>
      <c r="AB938" t="s">
        <v>241</v>
      </c>
      <c r="AC938" t="s">
        <v>3229</v>
      </c>
    </row>
    <row r="939" spans="1:29" x14ac:dyDescent="0.25">
      <c r="A939" t="s">
        <v>2055</v>
      </c>
      <c r="B939" t="s">
        <v>254</v>
      </c>
      <c r="C939" t="s">
        <v>317</v>
      </c>
      <c r="D939" t="s">
        <v>3713</v>
      </c>
      <c r="E939" t="s">
        <v>3761</v>
      </c>
      <c r="F939">
        <v>10000000</v>
      </c>
      <c r="G939" t="s">
        <v>9349</v>
      </c>
      <c r="H939" t="s">
        <v>242</v>
      </c>
      <c r="I939" t="s">
        <v>242</v>
      </c>
      <c r="J939" t="s">
        <v>242</v>
      </c>
      <c r="K939" t="s">
        <v>242</v>
      </c>
      <c r="L939" t="s">
        <v>241</v>
      </c>
      <c r="M939">
        <v>39.339399999999998</v>
      </c>
      <c r="N939">
        <v>-123.2349</v>
      </c>
      <c r="O939">
        <v>0.66</v>
      </c>
      <c r="P939">
        <v>0.66</v>
      </c>
      <c r="Q939">
        <v>0.66</v>
      </c>
      <c r="R939">
        <v>0.66</v>
      </c>
      <c r="S939">
        <v>0.66</v>
      </c>
      <c r="T939">
        <v>0.66</v>
      </c>
      <c r="U939">
        <v>0.53</v>
      </c>
      <c r="V939">
        <v>0.53</v>
      </c>
      <c r="W939">
        <v>0.53</v>
      </c>
      <c r="X939">
        <v>0.53</v>
      </c>
      <c r="Y939">
        <v>0.53</v>
      </c>
      <c r="Z939">
        <v>0.53</v>
      </c>
      <c r="AA939" t="s">
        <v>9333</v>
      </c>
      <c r="AB939" t="s">
        <v>242</v>
      </c>
      <c r="AC939" t="s">
        <v>3213</v>
      </c>
    </row>
    <row r="940" spans="1:29" x14ac:dyDescent="0.25">
      <c r="A940" t="s">
        <v>2057</v>
      </c>
      <c r="B940" t="s">
        <v>254</v>
      </c>
      <c r="C940" t="s">
        <v>317</v>
      </c>
      <c r="D940" t="s">
        <v>3713</v>
      </c>
      <c r="E940" t="s">
        <v>3761</v>
      </c>
      <c r="F940">
        <v>10000000</v>
      </c>
      <c r="G940" t="s">
        <v>9349</v>
      </c>
      <c r="H940" t="s">
        <v>242</v>
      </c>
      <c r="I940" t="s">
        <v>242</v>
      </c>
      <c r="J940" t="s">
        <v>242</v>
      </c>
      <c r="K940" t="s">
        <v>242</v>
      </c>
      <c r="L940" t="s">
        <v>241</v>
      </c>
      <c r="M940">
        <v>39.338585610000003</v>
      </c>
      <c r="N940">
        <v>-123.2354545</v>
      </c>
      <c r="O940">
        <v>0.26</v>
      </c>
      <c r="P940">
        <v>0.26</v>
      </c>
      <c r="Q940">
        <v>0.26</v>
      </c>
      <c r="R940">
        <v>0.26</v>
      </c>
      <c r="S940">
        <v>0.26</v>
      </c>
      <c r="T940">
        <v>0.26</v>
      </c>
      <c r="U940">
        <v>0.26</v>
      </c>
      <c r="V940">
        <v>0.13</v>
      </c>
      <c r="W940">
        <v>0.13</v>
      </c>
      <c r="X940">
        <v>0.13</v>
      </c>
      <c r="Y940">
        <v>0.26</v>
      </c>
      <c r="Z940">
        <v>0.26</v>
      </c>
      <c r="AA940" t="s">
        <v>9333</v>
      </c>
      <c r="AB940" t="s">
        <v>242</v>
      </c>
      <c r="AC940" t="s">
        <v>3213</v>
      </c>
    </row>
    <row r="941" spans="1:29" x14ac:dyDescent="0.25">
      <c r="A941" t="s">
        <v>2059</v>
      </c>
      <c r="B941" t="s">
        <v>254</v>
      </c>
      <c r="C941" t="s">
        <v>317</v>
      </c>
      <c r="D941" t="s">
        <v>3713</v>
      </c>
      <c r="E941" t="s">
        <v>3761</v>
      </c>
      <c r="F941">
        <v>10000000</v>
      </c>
      <c r="G941" t="s">
        <v>9349</v>
      </c>
      <c r="H941" t="s">
        <v>242</v>
      </c>
      <c r="I941" t="s">
        <v>242</v>
      </c>
      <c r="J941" t="s">
        <v>242</v>
      </c>
      <c r="K941" t="s">
        <v>242</v>
      </c>
      <c r="L941" t="s">
        <v>241</v>
      </c>
      <c r="M941">
        <v>39.338036549999998</v>
      </c>
      <c r="N941">
        <v>-123.2354448</v>
      </c>
      <c r="O941">
        <v>0.26</v>
      </c>
      <c r="P941">
        <v>0.26</v>
      </c>
      <c r="Q941">
        <v>0.26</v>
      </c>
      <c r="R941">
        <v>0.26</v>
      </c>
      <c r="S941">
        <v>0.26</v>
      </c>
      <c r="T941">
        <v>0.13</v>
      </c>
      <c r="U941">
        <v>0.13</v>
      </c>
      <c r="V941">
        <v>0.13</v>
      </c>
      <c r="W941">
        <v>0.13</v>
      </c>
      <c r="X941">
        <v>0.13</v>
      </c>
      <c r="Y941">
        <v>0.13</v>
      </c>
      <c r="Z941">
        <v>0.17</v>
      </c>
      <c r="AA941" t="s">
        <v>9333</v>
      </c>
      <c r="AB941" t="s">
        <v>242</v>
      </c>
      <c r="AC941" t="s">
        <v>3213</v>
      </c>
    </row>
    <row r="942" spans="1:29" x14ac:dyDescent="0.25">
      <c r="A942" t="s">
        <v>2061</v>
      </c>
      <c r="B942" t="s">
        <v>254</v>
      </c>
      <c r="C942" t="s">
        <v>317</v>
      </c>
      <c r="D942" t="s">
        <v>3713</v>
      </c>
      <c r="E942" t="s">
        <v>3761</v>
      </c>
      <c r="F942">
        <v>10000000</v>
      </c>
      <c r="G942" t="s">
        <v>9349</v>
      </c>
      <c r="H942" t="s">
        <v>242</v>
      </c>
      <c r="I942" t="s">
        <v>242</v>
      </c>
      <c r="J942" t="s">
        <v>242</v>
      </c>
      <c r="K942" t="s">
        <v>242</v>
      </c>
      <c r="L942" t="s">
        <v>241</v>
      </c>
      <c r="M942">
        <v>39.327986289999998</v>
      </c>
      <c r="N942">
        <v>-123.2380974</v>
      </c>
      <c r="O942">
        <v>0.66</v>
      </c>
      <c r="P942">
        <v>0.66</v>
      </c>
      <c r="Q942">
        <v>0.66</v>
      </c>
      <c r="R942">
        <v>0.66</v>
      </c>
      <c r="S942">
        <v>0.53</v>
      </c>
      <c r="T942">
        <v>0.53</v>
      </c>
      <c r="U942">
        <v>0.53</v>
      </c>
      <c r="V942">
        <v>0.53</v>
      </c>
      <c r="W942">
        <v>0.53</v>
      </c>
      <c r="X942">
        <v>0.53</v>
      </c>
      <c r="Y942">
        <v>0.53</v>
      </c>
      <c r="Z942">
        <v>0.53</v>
      </c>
      <c r="AA942" t="s">
        <v>9333</v>
      </c>
      <c r="AB942" t="s">
        <v>242</v>
      </c>
      <c r="AC942" t="s">
        <v>3213</v>
      </c>
    </row>
    <row r="943" spans="1:29" x14ac:dyDescent="0.25">
      <c r="A943" t="s">
        <v>2063</v>
      </c>
      <c r="B943" t="s">
        <v>254</v>
      </c>
      <c r="C943" t="s">
        <v>317</v>
      </c>
      <c r="D943" t="s">
        <v>3713</v>
      </c>
      <c r="E943" t="s">
        <v>3761</v>
      </c>
      <c r="F943">
        <v>10000000</v>
      </c>
      <c r="G943" t="s">
        <v>9349</v>
      </c>
      <c r="H943" t="s">
        <v>242</v>
      </c>
      <c r="I943" t="s">
        <v>242</v>
      </c>
      <c r="J943" t="s">
        <v>242</v>
      </c>
      <c r="K943" t="s">
        <v>242</v>
      </c>
      <c r="L943" t="s">
        <v>241</v>
      </c>
      <c r="M943">
        <v>39.33616198</v>
      </c>
      <c r="N943">
        <v>-123.2568046</v>
      </c>
      <c r="O943">
        <v>0.66</v>
      </c>
      <c r="P943">
        <v>0.66</v>
      </c>
      <c r="Q943">
        <v>0.66</v>
      </c>
      <c r="R943">
        <v>0.66</v>
      </c>
      <c r="S943">
        <v>0.53</v>
      </c>
      <c r="T943">
        <v>0.53</v>
      </c>
      <c r="U943">
        <v>0.53</v>
      </c>
      <c r="V943">
        <v>0.53</v>
      </c>
      <c r="W943">
        <v>0.53</v>
      </c>
      <c r="X943">
        <v>0.53</v>
      </c>
      <c r="Y943">
        <v>0.53</v>
      </c>
      <c r="Z943">
        <v>0.53</v>
      </c>
      <c r="AA943" t="s">
        <v>9333</v>
      </c>
      <c r="AB943" t="s">
        <v>242</v>
      </c>
      <c r="AC943" t="s">
        <v>3213</v>
      </c>
    </row>
    <row r="944" spans="1:29" x14ac:dyDescent="0.25">
      <c r="A944" t="s">
        <v>2065</v>
      </c>
      <c r="B944" t="s">
        <v>254</v>
      </c>
      <c r="C944" t="s">
        <v>317</v>
      </c>
      <c r="D944" t="s">
        <v>3713</v>
      </c>
      <c r="E944" t="s">
        <v>3761</v>
      </c>
      <c r="F944">
        <v>10000000</v>
      </c>
      <c r="G944" t="s">
        <v>9349</v>
      </c>
      <c r="H944" t="s">
        <v>242</v>
      </c>
      <c r="I944" t="s">
        <v>242</v>
      </c>
      <c r="J944" t="s">
        <v>242</v>
      </c>
      <c r="K944" t="s">
        <v>242</v>
      </c>
      <c r="L944" t="s">
        <v>241</v>
      </c>
      <c r="M944">
        <v>39.336233790000001</v>
      </c>
      <c r="N944">
        <v>-123.2500876</v>
      </c>
      <c r="O944">
        <v>0.26</v>
      </c>
      <c r="P944">
        <v>0.26</v>
      </c>
      <c r="Q944">
        <v>0.26</v>
      </c>
      <c r="R944">
        <v>0.26</v>
      </c>
      <c r="S944">
        <v>0.13</v>
      </c>
      <c r="T944">
        <v>0.13</v>
      </c>
      <c r="U944">
        <v>0.13</v>
      </c>
      <c r="V944">
        <v>0.13</v>
      </c>
      <c r="W944">
        <v>0.13</v>
      </c>
      <c r="X944">
        <v>0.13</v>
      </c>
      <c r="Y944">
        <v>0.13</v>
      </c>
      <c r="Z944">
        <v>0.13</v>
      </c>
      <c r="AA944" t="s">
        <v>9333</v>
      </c>
      <c r="AB944" t="s">
        <v>242</v>
      </c>
      <c r="AC944" t="s">
        <v>3213</v>
      </c>
    </row>
    <row r="945" spans="1:29" x14ac:dyDescent="0.25">
      <c r="A945" t="s">
        <v>2067</v>
      </c>
      <c r="B945" t="s">
        <v>254</v>
      </c>
      <c r="C945" t="s">
        <v>507</v>
      </c>
      <c r="D945" t="s">
        <v>3713</v>
      </c>
      <c r="E945" t="s">
        <v>3761</v>
      </c>
      <c r="F945">
        <v>10000000</v>
      </c>
      <c r="G945" t="s">
        <v>9349</v>
      </c>
      <c r="H945" t="s">
        <v>242</v>
      </c>
      <c r="I945" t="s">
        <v>242</v>
      </c>
      <c r="J945" t="s">
        <v>242</v>
      </c>
      <c r="K945" t="s">
        <v>242</v>
      </c>
      <c r="L945" t="s">
        <v>241</v>
      </c>
      <c r="M945">
        <v>38.589563210000001</v>
      </c>
      <c r="N945">
        <v>-122.86105569999999</v>
      </c>
      <c r="O945">
        <v>0</v>
      </c>
      <c r="P945">
        <v>0</v>
      </c>
      <c r="Q945">
        <v>0</v>
      </c>
      <c r="R945">
        <v>0</v>
      </c>
      <c r="S945">
        <v>2.5</v>
      </c>
      <c r="T945">
        <v>4.3</v>
      </c>
      <c r="U945">
        <v>6.8</v>
      </c>
      <c r="V945">
        <v>10.3</v>
      </c>
      <c r="W945">
        <v>11.1</v>
      </c>
      <c r="X945">
        <v>7.9</v>
      </c>
      <c r="Y945">
        <v>0</v>
      </c>
      <c r="Z945">
        <v>0</v>
      </c>
      <c r="AA945" t="s">
        <v>9335</v>
      </c>
      <c r="AB945" t="s">
        <v>242</v>
      </c>
      <c r="AC945" t="s">
        <v>3229</v>
      </c>
    </row>
    <row r="946" spans="1:29" x14ac:dyDescent="0.25">
      <c r="A946" t="s">
        <v>2068</v>
      </c>
      <c r="B946" t="s">
        <v>254</v>
      </c>
      <c r="C946" t="s">
        <v>436</v>
      </c>
      <c r="D946" t="s">
        <v>3713</v>
      </c>
      <c r="E946" t="s">
        <v>3761</v>
      </c>
      <c r="F946">
        <v>10000000</v>
      </c>
      <c r="G946" t="s">
        <v>9349</v>
      </c>
      <c r="H946" t="s">
        <v>241</v>
      </c>
      <c r="I946" t="s">
        <v>242</v>
      </c>
      <c r="J946" t="s">
        <v>242</v>
      </c>
      <c r="K946" t="s">
        <v>242</v>
      </c>
      <c r="L946" t="s">
        <v>241</v>
      </c>
      <c r="M946">
        <v>38.697160179999997</v>
      </c>
      <c r="N946">
        <v>-122.867437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 t="s">
        <v>9335</v>
      </c>
      <c r="AB946" t="s">
        <v>242</v>
      </c>
      <c r="AC946" t="s">
        <v>3229</v>
      </c>
    </row>
    <row r="947" spans="1:29" x14ac:dyDescent="0.25">
      <c r="A947" t="s">
        <v>2077</v>
      </c>
      <c r="B947" t="s">
        <v>254</v>
      </c>
      <c r="C947" t="s">
        <v>311</v>
      </c>
      <c r="D947" t="s">
        <v>3713</v>
      </c>
      <c r="E947" t="s">
        <v>3761</v>
      </c>
      <c r="F947">
        <v>10000000</v>
      </c>
      <c r="G947" t="s">
        <v>9349</v>
      </c>
      <c r="H947" t="s">
        <v>241</v>
      </c>
      <c r="I947" t="s">
        <v>242</v>
      </c>
      <c r="J947" t="s">
        <v>242</v>
      </c>
      <c r="K947" t="s">
        <v>242</v>
      </c>
      <c r="L947" t="s">
        <v>241</v>
      </c>
      <c r="M947">
        <v>38.63372888</v>
      </c>
      <c r="N947">
        <v>-122.79016900000001</v>
      </c>
      <c r="O947">
        <v>0.82</v>
      </c>
      <c r="P947">
        <v>0.82</v>
      </c>
      <c r="Q947">
        <v>0.82</v>
      </c>
      <c r="R947">
        <v>1.1599999999999999</v>
      </c>
      <c r="S947">
        <v>4</v>
      </c>
      <c r="T947">
        <v>8.08</v>
      </c>
      <c r="U947">
        <v>9.76</v>
      </c>
      <c r="V947">
        <v>11.64</v>
      </c>
      <c r="W947">
        <v>9.84</v>
      </c>
      <c r="X947">
        <v>8.99</v>
      </c>
      <c r="Y947">
        <v>2.58</v>
      </c>
      <c r="Z947">
        <v>1.8</v>
      </c>
      <c r="AA947" t="s">
        <v>9335</v>
      </c>
      <c r="AB947" t="s">
        <v>242</v>
      </c>
      <c r="AC947" t="s">
        <v>3229</v>
      </c>
    </row>
    <row r="948" spans="1:29" x14ac:dyDescent="0.25">
      <c r="A948" t="s">
        <v>2078</v>
      </c>
      <c r="B948" t="s">
        <v>254</v>
      </c>
      <c r="C948" t="s">
        <v>308</v>
      </c>
      <c r="D948" t="s">
        <v>3713</v>
      </c>
      <c r="E948" t="s">
        <v>3761</v>
      </c>
      <c r="F948">
        <v>10000000</v>
      </c>
      <c r="G948" t="s">
        <v>9349</v>
      </c>
      <c r="H948" t="s">
        <v>242</v>
      </c>
      <c r="I948" t="s">
        <v>242</v>
      </c>
      <c r="J948" t="s">
        <v>242</v>
      </c>
      <c r="K948" t="s">
        <v>242</v>
      </c>
      <c r="L948" t="s">
        <v>241</v>
      </c>
      <c r="M948">
        <v>38.707323209999998</v>
      </c>
      <c r="N948">
        <v>-122.7044226</v>
      </c>
      <c r="O948">
        <v>0.02</v>
      </c>
      <c r="P948">
        <v>0.01</v>
      </c>
      <c r="Q948">
        <v>0.01</v>
      </c>
      <c r="R948">
        <v>0.03</v>
      </c>
      <c r="S948">
        <v>0.03</v>
      </c>
      <c r="T948">
        <v>0.02</v>
      </c>
      <c r="U948">
        <v>0.02</v>
      </c>
      <c r="V948">
        <v>0.02</v>
      </c>
      <c r="W948">
        <v>0.02</v>
      </c>
      <c r="X948">
        <v>0.01</v>
      </c>
      <c r="Y948">
        <v>8.6666669999999994E-3</v>
      </c>
      <c r="Z948">
        <v>0.01</v>
      </c>
      <c r="AA948" t="s">
        <v>9335</v>
      </c>
      <c r="AB948" t="s">
        <v>242</v>
      </c>
      <c r="AC948" t="s">
        <v>3229</v>
      </c>
    </row>
    <row r="949" spans="1:29" x14ac:dyDescent="0.25">
      <c r="A949" t="s">
        <v>2080</v>
      </c>
      <c r="B949" t="s">
        <v>254</v>
      </c>
      <c r="C949" t="s">
        <v>308</v>
      </c>
      <c r="D949" t="s">
        <v>3713</v>
      </c>
      <c r="E949" t="s">
        <v>3761</v>
      </c>
      <c r="F949">
        <v>10000000</v>
      </c>
      <c r="G949" t="s">
        <v>9349</v>
      </c>
      <c r="H949" t="s">
        <v>242</v>
      </c>
      <c r="I949" t="s">
        <v>242</v>
      </c>
      <c r="J949" t="s">
        <v>242</v>
      </c>
      <c r="K949" t="s">
        <v>242</v>
      </c>
      <c r="L949" t="s">
        <v>241</v>
      </c>
      <c r="M949">
        <v>38.707321090000001</v>
      </c>
      <c r="N949">
        <v>-122.7047731</v>
      </c>
      <c r="O949">
        <v>0.02</v>
      </c>
      <c r="P949">
        <v>0.01</v>
      </c>
      <c r="Q949">
        <v>0.01</v>
      </c>
      <c r="R949">
        <v>0.03</v>
      </c>
      <c r="S949">
        <v>0.03</v>
      </c>
      <c r="T949">
        <v>0.02</v>
      </c>
      <c r="U949">
        <v>0.02</v>
      </c>
      <c r="V949">
        <v>0.02</v>
      </c>
      <c r="W949">
        <v>0.02</v>
      </c>
      <c r="X949">
        <v>0.01</v>
      </c>
      <c r="Y949">
        <v>8.6666669999999994E-3</v>
      </c>
      <c r="Z949">
        <v>0.01</v>
      </c>
      <c r="AA949" t="s">
        <v>9335</v>
      </c>
      <c r="AB949" t="s">
        <v>242</v>
      </c>
      <c r="AC949" t="s">
        <v>3229</v>
      </c>
    </row>
    <row r="950" spans="1:29" x14ac:dyDescent="0.25">
      <c r="A950" t="s">
        <v>2081</v>
      </c>
      <c r="B950" t="s">
        <v>254</v>
      </c>
      <c r="C950" t="s">
        <v>308</v>
      </c>
      <c r="D950" t="s">
        <v>3713</v>
      </c>
      <c r="E950" t="s">
        <v>3761</v>
      </c>
      <c r="F950">
        <v>10000000</v>
      </c>
      <c r="G950" t="s">
        <v>9349</v>
      </c>
      <c r="H950" t="s">
        <v>242</v>
      </c>
      <c r="I950" t="s">
        <v>242</v>
      </c>
      <c r="J950" t="s">
        <v>242</v>
      </c>
      <c r="K950" t="s">
        <v>242</v>
      </c>
      <c r="L950" t="s">
        <v>241</v>
      </c>
      <c r="M950">
        <v>38.707318970000003</v>
      </c>
      <c r="N950">
        <v>-122.7051235</v>
      </c>
      <c r="O950">
        <v>0.02</v>
      </c>
      <c r="P950">
        <v>0.01</v>
      </c>
      <c r="Q950">
        <v>0.01</v>
      </c>
      <c r="R950">
        <v>0.03</v>
      </c>
      <c r="S950">
        <v>0.03</v>
      </c>
      <c r="T950">
        <v>0.02</v>
      </c>
      <c r="U950">
        <v>0.02</v>
      </c>
      <c r="V950">
        <v>0.02</v>
      </c>
      <c r="W950">
        <v>0.02</v>
      </c>
      <c r="X950">
        <v>0.01</v>
      </c>
      <c r="Y950">
        <v>8.6666669999999994E-3</v>
      </c>
      <c r="Z950">
        <v>0.01</v>
      </c>
      <c r="AA950" t="s">
        <v>9335</v>
      </c>
      <c r="AB950" t="s">
        <v>242</v>
      </c>
      <c r="AC950" t="s">
        <v>3229</v>
      </c>
    </row>
    <row r="951" spans="1:29" x14ac:dyDescent="0.25">
      <c r="A951" t="s">
        <v>2082</v>
      </c>
      <c r="B951" t="s">
        <v>254</v>
      </c>
      <c r="C951" t="s">
        <v>308</v>
      </c>
      <c r="D951" t="s">
        <v>3713</v>
      </c>
      <c r="E951" t="s">
        <v>3761</v>
      </c>
      <c r="F951">
        <v>10000000</v>
      </c>
      <c r="G951" t="s">
        <v>9349</v>
      </c>
      <c r="H951" t="s">
        <v>242</v>
      </c>
      <c r="I951" t="s">
        <v>242</v>
      </c>
      <c r="J951" t="s">
        <v>242</v>
      </c>
      <c r="K951" t="s">
        <v>242</v>
      </c>
      <c r="L951" t="s">
        <v>241</v>
      </c>
      <c r="M951">
        <v>38.707316849999998</v>
      </c>
      <c r="N951">
        <v>-122.7054739</v>
      </c>
      <c r="O951">
        <v>0.02</v>
      </c>
      <c r="P951">
        <v>0.01</v>
      </c>
      <c r="Q951">
        <v>0.01</v>
      </c>
      <c r="R951">
        <v>0.03</v>
      </c>
      <c r="S951">
        <v>0.03</v>
      </c>
      <c r="T951">
        <v>0.02</v>
      </c>
      <c r="U951">
        <v>0.02</v>
      </c>
      <c r="V951">
        <v>0.02</v>
      </c>
      <c r="W951">
        <v>0.02</v>
      </c>
      <c r="X951">
        <v>0.01</v>
      </c>
      <c r="Y951">
        <v>8.6666669999999994E-3</v>
      </c>
      <c r="Z951">
        <v>0.01</v>
      </c>
      <c r="AA951" t="s">
        <v>9335</v>
      </c>
      <c r="AB951" t="s">
        <v>242</v>
      </c>
      <c r="AC951" t="s">
        <v>3229</v>
      </c>
    </row>
    <row r="952" spans="1:29" x14ac:dyDescent="0.25">
      <c r="A952" t="s">
        <v>2083</v>
      </c>
      <c r="B952" t="s">
        <v>254</v>
      </c>
      <c r="C952" t="s">
        <v>308</v>
      </c>
      <c r="D952" t="s">
        <v>3713</v>
      </c>
      <c r="E952" t="s">
        <v>3761</v>
      </c>
      <c r="F952">
        <v>10000000</v>
      </c>
      <c r="G952" t="s">
        <v>9349</v>
      </c>
      <c r="H952" t="s">
        <v>242</v>
      </c>
      <c r="I952" t="s">
        <v>242</v>
      </c>
      <c r="J952" t="s">
        <v>242</v>
      </c>
      <c r="K952" t="s">
        <v>242</v>
      </c>
      <c r="L952" t="s">
        <v>241</v>
      </c>
      <c r="M952">
        <v>38.70731473</v>
      </c>
      <c r="N952">
        <v>-122.7058244</v>
      </c>
      <c r="O952">
        <v>0.02</v>
      </c>
      <c r="P952">
        <v>0.01</v>
      </c>
      <c r="Q952">
        <v>0.01</v>
      </c>
      <c r="R952">
        <v>0.03</v>
      </c>
      <c r="S952">
        <v>0.03</v>
      </c>
      <c r="T952">
        <v>0.02</v>
      </c>
      <c r="U952">
        <v>0.02</v>
      </c>
      <c r="V952">
        <v>0.02</v>
      </c>
      <c r="W952">
        <v>0.02</v>
      </c>
      <c r="X952">
        <v>0.01</v>
      </c>
      <c r="Y952">
        <v>8.6666669999999994E-3</v>
      </c>
      <c r="Z952">
        <v>0.01</v>
      </c>
      <c r="AA952" t="s">
        <v>9335</v>
      </c>
      <c r="AB952" t="s">
        <v>242</v>
      </c>
      <c r="AC952" t="s">
        <v>3229</v>
      </c>
    </row>
    <row r="953" spans="1:29" x14ac:dyDescent="0.25">
      <c r="A953" t="s">
        <v>2084</v>
      </c>
      <c r="B953" t="s">
        <v>254</v>
      </c>
      <c r="C953" t="s">
        <v>308</v>
      </c>
      <c r="D953" t="s">
        <v>3713</v>
      </c>
      <c r="E953" t="s">
        <v>3761</v>
      </c>
      <c r="F953">
        <v>10000000</v>
      </c>
      <c r="G953" t="s">
        <v>9349</v>
      </c>
      <c r="H953" t="s">
        <v>242</v>
      </c>
      <c r="I953" t="s">
        <v>242</v>
      </c>
      <c r="J953" t="s">
        <v>242</v>
      </c>
      <c r="K953" t="s">
        <v>242</v>
      </c>
      <c r="L953" t="s">
        <v>241</v>
      </c>
      <c r="M953">
        <v>38.695472559999999</v>
      </c>
      <c r="N953">
        <v>-122.7114886</v>
      </c>
      <c r="O953">
        <v>8.6E-3</v>
      </c>
      <c r="P953">
        <v>7.9333330000000007E-3</v>
      </c>
      <c r="Q953">
        <v>5.333333E-3</v>
      </c>
      <c r="R953">
        <v>0.01</v>
      </c>
      <c r="S953">
        <v>0.01</v>
      </c>
      <c r="T953">
        <v>6.7333330000000002E-3</v>
      </c>
      <c r="U953">
        <v>6.0000000000000001E-3</v>
      </c>
      <c r="V953">
        <v>4.8666669999999999E-3</v>
      </c>
      <c r="W953">
        <v>4.4666669999999997E-3</v>
      </c>
      <c r="X953">
        <v>3.4666670000000001E-3</v>
      </c>
      <c r="Y953">
        <v>3.9333329999999998E-3</v>
      </c>
      <c r="Z953">
        <v>6.5333329999999997E-3</v>
      </c>
      <c r="AA953" t="s">
        <v>9335</v>
      </c>
      <c r="AB953" t="s">
        <v>242</v>
      </c>
      <c r="AC953" t="s">
        <v>3229</v>
      </c>
    </row>
    <row r="954" spans="1:29" x14ac:dyDescent="0.25">
      <c r="A954" t="s">
        <v>2086</v>
      </c>
      <c r="B954" t="s">
        <v>254</v>
      </c>
      <c r="C954" t="s">
        <v>308</v>
      </c>
      <c r="D954" t="s">
        <v>3713</v>
      </c>
      <c r="E954" t="s">
        <v>3761</v>
      </c>
      <c r="F954">
        <v>10000000</v>
      </c>
      <c r="G954" t="s">
        <v>9349</v>
      </c>
      <c r="H954" t="s">
        <v>242</v>
      </c>
      <c r="I954" t="s">
        <v>242</v>
      </c>
      <c r="J954" t="s">
        <v>242</v>
      </c>
      <c r="K954" t="s">
        <v>242</v>
      </c>
      <c r="L954" t="s">
        <v>241</v>
      </c>
      <c r="M954">
        <v>38.704895200000003</v>
      </c>
      <c r="N954">
        <v>-122.6972145</v>
      </c>
      <c r="O954">
        <v>8.6E-3</v>
      </c>
      <c r="P954">
        <v>7.9333330000000007E-3</v>
      </c>
      <c r="Q954">
        <v>5.333333E-3</v>
      </c>
      <c r="R954">
        <v>0.01</v>
      </c>
      <c r="S954">
        <v>0.01</v>
      </c>
      <c r="T954">
        <v>6.7333330000000002E-3</v>
      </c>
      <c r="U954">
        <v>6.0000000000000001E-3</v>
      </c>
      <c r="V954">
        <v>4.8666669999999999E-3</v>
      </c>
      <c r="W954">
        <v>4.4666669999999997E-3</v>
      </c>
      <c r="X954">
        <v>3.4666670000000001E-3</v>
      </c>
      <c r="Y954">
        <v>3.9333329999999998E-3</v>
      </c>
      <c r="Z954">
        <v>6.5333329999999997E-3</v>
      </c>
      <c r="AA954" t="s">
        <v>9335</v>
      </c>
      <c r="AB954" t="s">
        <v>242</v>
      </c>
      <c r="AC954" t="s">
        <v>3229</v>
      </c>
    </row>
    <row r="955" spans="1:29" x14ac:dyDescent="0.25">
      <c r="A955" t="s">
        <v>2088</v>
      </c>
      <c r="B955" t="s">
        <v>254</v>
      </c>
      <c r="C955" t="s">
        <v>308</v>
      </c>
      <c r="D955" t="s">
        <v>3713</v>
      </c>
      <c r="E955" t="s">
        <v>3761</v>
      </c>
      <c r="F955">
        <v>10000000</v>
      </c>
      <c r="G955" t="s">
        <v>9349</v>
      </c>
      <c r="H955" t="s">
        <v>242</v>
      </c>
      <c r="I955" t="s">
        <v>242</v>
      </c>
      <c r="J955" t="s">
        <v>242</v>
      </c>
      <c r="K955" t="s">
        <v>242</v>
      </c>
      <c r="L955" t="s">
        <v>241</v>
      </c>
      <c r="M955">
        <v>38.704875229999999</v>
      </c>
      <c r="N955">
        <v>-122.70054349999999</v>
      </c>
      <c r="O955">
        <v>8.6E-3</v>
      </c>
      <c r="P955">
        <v>7.9333330000000007E-3</v>
      </c>
      <c r="Q955">
        <v>5.333333E-3</v>
      </c>
      <c r="R955">
        <v>0.01</v>
      </c>
      <c r="S955">
        <v>0.01</v>
      </c>
      <c r="T955">
        <v>6.7333330000000002E-3</v>
      </c>
      <c r="U955">
        <v>6.0000000000000001E-3</v>
      </c>
      <c r="V955">
        <v>4.8666669999999999E-3</v>
      </c>
      <c r="W955">
        <v>4.4666669999999997E-3</v>
      </c>
      <c r="X955">
        <v>3.4666670000000001E-3</v>
      </c>
      <c r="Y955">
        <v>3.9333329999999998E-3</v>
      </c>
      <c r="Z955">
        <v>6.5333329999999997E-3</v>
      </c>
      <c r="AA955" t="s">
        <v>9335</v>
      </c>
      <c r="AB955" t="s">
        <v>242</v>
      </c>
      <c r="AC955" t="s">
        <v>3229</v>
      </c>
    </row>
    <row r="956" spans="1:29" x14ac:dyDescent="0.25">
      <c r="A956" t="s">
        <v>2089</v>
      </c>
      <c r="B956" t="s">
        <v>254</v>
      </c>
      <c r="C956" t="s">
        <v>317</v>
      </c>
      <c r="D956" t="s">
        <v>3713</v>
      </c>
      <c r="E956" t="s">
        <v>3761</v>
      </c>
      <c r="F956">
        <v>10000000</v>
      </c>
      <c r="G956" t="s">
        <v>9349</v>
      </c>
      <c r="H956" t="s">
        <v>242</v>
      </c>
      <c r="I956" t="s">
        <v>242</v>
      </c>
      <c r="J956" t="s">
        <v>242</v>
      </c>
      <c r="K956" t="s">
        <v>242</v>
      </c>
      <c r="L956" t="s">
        <v>241</v>
      </c>
      <c r="M956">
        <v>39.24938341</v>
      </c>
      <c r="N956">
        <v>-123.20546520000001</v>
      </c>
      <c r="O956">
        <v>3.31</v>
      </c>
      <c r="P956">
        <v>0</v>
      </c>
      <c r="Q956">
        <v>0</v>
      </c>
      <c r="R956">
        <v>8.83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 t="s">
        <v>9335</v>
      </c>
      <c r="AB956" t="s">
        <v>242</v>
      </c>
      <c r="AC956" t="s">
        <v>3213</v>
      </c>
    </row>
    <row r="957" spans="1:29" x14ac:dyDescent="0.25">
      <c r="A957" t="s">
        <v>1786</v>
      </c>
      <c r="B957" t="s">
        <v>254</v>
      </c>
      <c r="C957" t="s">
        <v>354</v>
      </c>
      <c r="D957" t="s">
        <v>3713</v>
      </c>
      <c r="E957" t="s">
        <v>3761</v>
      </c>
      <c r="F957">
        <v>19050101</v>
      </c>
      <c r="G957" t="s">
        <v>9348</v>
      </c>
      <c r="H957" t="s">
        <v>241</v>
      </c>
      <c r="I957" t="s">
        <v>241</v>
      </c>
      <c r="J957" t="s">
        <v>242</v>
      </c>
      <c r="K957" t="s">
        <v>242</v>
      </c>
      <c r="L957" t="s">
        <v>242</v>
      </c>
      <c r="M957">
        <v>38.721480460000002</v>
      </c>
      <c r="N957">
        <v>-122.9187354</v>
      </c>
      <c r="O957">
        <v>0.56000000000000005</v>
      </c>
      <c r="P957">
        <v>0.56000000000000005</v>
      </c>
      <c r="Q957">
        <v>0.56000000000000005</v>
      </c>
      <c r="R957">
        <v>1</v>
      </c>
      <c r="S957">
        <v>1</v>
      </c>
      <c r="T957">
        <v>2.5</v>
      </c>
      <c r="U957">
        <v>3.06</v>
      </c>
      <c r="V957">
        <v>3.06</v>
      </c>
      <c r="W957">
        <v>3.06</v>
      </c>
      <c r="X957">
        <v>3.06</v>
      </c>
      <c r="Y957">
        <v>2.06</v>
      </c>
      <c r="Z957">
        <v>0.6</v>
      </c>
      <c r="AA957" t="s">
        <v>9335</v>
      </c>
      <c r="AB957" t="s">
        <v>242</v>
      </c>
      <c r="AC957" t="s">
        <v>3229</v>
      </c>
    </row>
    <row r="958" spans="1:29" x14ac:dyDescent="0.25">
      <c r="A958" t="s">
        <v>1859</v>
      </c>
      <c r="B958" t="s">
        <v>254</v>
      </c>
      <c r="C958" t="s">
        <v>348</v>
      </c>
      <c r="D958" t="s">
        <v>3713</v>
      </c>
      <c r="E958" t="s">
        <v>3761</v>
      </c>
      <c r="F958">
        <v>10000000</v>
      </c>
      <c r="G958" t="s">
        <v>9349</v>
      </c>
      <c r="H958" t="s">
        <v>242</v>
      </c>
      <c r="I958" t="s">
        <v>242</v>
      </c>
      <c r="J958" t="s">
        <v>242</v>
      </c>
      <c r="K958" t="s">
        <v>242</v>
      </c>
      <c r="L958" t="s">
        <v>241</v>
      </c>
      <c r="M958">
        <v>39.258299999999998</v>
      </c>
      <c r="N958">
        <v>-123.11620000000001</v>
      </c>
      <c r="O958">
        <v>0.08</v>
      </c>
      <c r="P958">
        <v>0.31</v>
      </c>
      <c r="Q958">
        <v>0.2</v>
      </c>
      <c r="R958">
        <v>0.45</v>
      </c>
      <c r="S958">
        <v>1.02</v>
      </c>
      <c r="T958">
        <v>1.49</v>
      </c>
      <c r="U958">
        <v>1.51</v>
      </c>
      <c r="V958">
        <v>1.75</v>
      </c>
      <c r="W958">
        <v>1.98</v>
      </c>
      <c r="X958">
        <v>1.49</v>
      </c>
      <c r="Y958">
        <v>1.42</v>
      </c>
      <c r="Z958">
        <v>0.22</v>
      </c>
      <c r="AA958" t="s">
        <v>9335</v>
      </c>
      <c r="AB958" t="s">
        <v>242</v>
      </c>
      <c r="AC958" t="s">
        <v>3213</v>
      </c>
    </row>
    <row r="959" spans="1:29" x14ac:dyDescent="0.25">
      <c r="A959" t="s">
        <v>2093</v>
      </c>
      <c r="B959" t="s">
        <v>254</v>
      </c>
      <c r="C959" t="s">
        <v>436</v>
      </c>
      <c r="D959" t="s">
        <v>3713</v>
      </c>
      <c r="E959" t="s">
        <v>3761</v>
      </c>
      <c r="F959">
        <v>10000000</v>
      </c>
      <c r="G959" t="s">
        <v>9349</v>
      </c>
      <c r="H959" t="s">
        <v>241</v>
      </c>
      <c r="I959" t="s">
        <v>242</v>
      </c>
      <c r="J959" t="s">
        <v>242</v>
      </c>
      <c r="K959" t="s">
        <v>242</v>
      </c>
      <c r="L959" t="s">
        <v>241</v>
      </c>
      <c r="M959">
        <v>38.695027240000002</v>
      </c>
      <c r="N959">
        <v>-122.87722220000001</v>
      </c>
      <c r="O959">
        <v>0.1</v>
      </c>
      <c r="P959">
        <v>0.53</v>
      </c>
      <c r="Q959">
        <v>0.13</v>
      </c>
      <c r="R959">
        <v>2.13</v>
      </c>
      <c r="S959">
        <v>3.5</v>
      </c>
      <c r="T959">
        <v>8.76</v>
      </c>
      <c r="U959">
        <v>17.2</v>
      </c>
      <c r="V959">
        <v>20.76</v>
      </c>
      <c r="W959">
        <v>13.76</v>
      </c>
      <c r="X959">
        <v>5.96</v>
      </c>
      <c r="Y959">
        <v>3.06</v>
      </c>
      <c r="Z959">
        <v>0.13</v>
      </c>
      <c r="AA959" t="s">
        <v>9335</v>
      </c>
      <c r="AB959" t="s">
        <v>242</v>
      </c>
      <c r="AC959" t="s">
        <v>3229</v>
      </c>
    </row>
    <row r="960" spans="1:29" x14ac:dyDescent="0.25">
      <c r="A960" t="s">
        <v>2094</v>
      </c>
      <c r="B960" t="s">
        <v>254</v>
      </c>
      <c r="C960" t="s">
        <v>436</v>
      </c>
      <c r="D960" t="s">
        <v>3713</v>
      </c>
      <c r="E960" t="s">
        <v>3761</v>
      </c>
      <c r="F960">
        <v>10000000</v>
      </c>
      <c r="G960" t="s">
        <v>9349</v>
      </c>
      <c r="H960" t="s">
        <v>241</v>
      </c>
      <c r="I960" t="s">
        <v>242</v>
      </c>
      <c r="J960" t="s">
        <v>242</v>
      </c>
      <c r="K960" t="s">
        <v>242</v>
      </c>
      <c r="L960" t="s">
        <v>241</v>
      </c>
      <c r="M960">
        <v>38.693349310000002</v>
      </c>
      <c r="N960">
        <v>-122.88123109999999</v>
      </c>
      <c r="O960">
        <v>0.1</v>
      </c>
      <c r="P960">
        <v>0.1</v>
      </c>
      <c r="Q960">
        <v>0.1</v>
      </c>
      <c r="R960">
        <v>0.1</v>
      </c>
      <c r="S960">
        <v>0.1</v>
      </c>
      <c r="T960">
        <v>0.1</v>
      </c>
      <c r="U960">
        <v>0.1</v>
      </c>
      <c r="V960">
        <v>0.1</v>
      </c>
      <c r="W960">
        <v>0.1</v>
      </c>
      <c r="X960">
        <v>0.1</v>
      </c>
      <c r="Y960">
        <v>0.1</v>
      </c>
      <c r="Z960">
        <v>0.1</v>
      </c>
      <c r="AA960" t="s">
        <v>9335</v>
      </c>
      <c r="AB960" t="s">
        <v>242</v>
      </c>
      <c r="AC960" t="s">
        <v>3229</v>
      </c>
    </row>
    <row r="961" spans="1:29" x14ac:dyDescent="0.25">
      <c r="A961" t="s">
        <v>2095</v>
      </c>
      <c r="B961" t="s">
        <v>254</v>
      </c>
      <c r="C961" t="s">
        <v>436</v>
      </c>
      <c r="D961" t="s">
        <v>3713</v>
      </c>
      <c r="E961" t="s">
        <v>3761</v>
      </c>
      <c r="F961">
        <v>10000000</v>
      </c>
      <c r="G961" t="s">
        <v>9349</v>
      </c>
      <c r="H961" t="s">
        <v>241</v>
      </c>
      <c r="I961" t="s">
        <v>242</v>
      </c>
      <c r="J961" t="s">
        <v>242</v>
      </c>
      <c r="K961" t="s">
        <v>242</v>
      </c>
      <c r="L961" t="s">
        <v>241</v>
      </c>
      <c r="M961">
        <v>38.699080809999998</v>
      </c>
      <c r="N961">
        <v>-122.88585740000001</v>
      </c>
      <c r="O961">
        <v>0</v>
      </c>
      <c r="P961">
        <v>0.13</v>
      </c>
      <c r="Q961">
        <v>0.03</v>
      </c>
      <c r="R961">
        <v>0.1</v>
      </c>
      <c r="S961">
        <v>0.13</v>
      </c>
      <c r="T961">
        <v>0.26</v>
      </c>
      <c r="U961">
        <v>1.86</v>
      </c>
      <c r="V961">
        <v>1.8</v>
      </c>
      <c r="W961">
        <v>0.96</v>
      </c>
      <c r="X961">
        <v>0.16</v>
      </c>
      <c r="Y961">
        <v>0.46</v>
      </c>
      <c r="Z961">
        <v>0</v>
      </c>
      <c r="AA961" t="s">
        <v>9335</v>
      </c>
      <c r="AB961" t="s">
        <v>242</v>
      </c>
      <c r="AC961" t="s">
        <v>3229</v>
      </c>
    </row>
    <row r="962" spans="1:29" x14ac:dyDescent="0.25">
      <c r="A962" t="s">
        <v>2096</v>
      </c>
      <c r="B962" t="s">
        <v>254</v>
      </c>
      <c r="C962" t="s">
        <v>436</v>
      </c>
      <c r="D962" t="s">
        <v>3713</v>
      </c>
      <c r="E962" t="s">
        <v>3761</v>
      </c>
      <c r="F962">
        <v>10000000</v>
      </c>
      <c r="G962" t="s">
        <v>9349</v>
      </c>
      <c r="H962" t="s">
        <v>241</v>
      </c>
      <c r="I962" t="s">
        <v>242</v>
      </c>
      <c r="J962" t="s">
        <v>242</v>
      </c>
      <c r="K962" t="s">
        <v>242</v>
      </c>
      <c r="L962" t="s">
        <v>241</v>
      </c>
      <c r="M962">
        <v>38.699114530000003</v>
      </c>
      <c r="N962">
        <v>-122.8832297</v>
      </c>
      <c r="O962">
        <v>0</v>
      </c>
      <c r="P962">
        <v>0.8</v>
      </c>
      <c r="Q962">
        <v>0.06</v>
      </c>
      <c r="R962">
        <v>0.63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1.53</v>
      </c>
      <c r="Z962">
        <v>0</v>
      </c>
      <c r="AA962" t="s">
        <v>9343</v>
      </c>
      <c r="AB962" t="s">
        <v>242</v>
      </c>
      <c r="AC962" t="s">
        <v>3229</v>
      </c>
    </row>
    <row r="963" spans="1:29" x14ac:dyDescent="0.25">
      <c r="A963" t="s">
        <v>118</v>
      </c>
      <c r="B963" t="s">
        <v>254</v>
      </c>
      <c r="C963" t="s">
        <v>319</v>
      </c>
      <c r="D963" t="s">
        <v>3713</v>
      </c>
      <c r="E963" t="s">
        <v>3761</v>
      </c>
      <c r="F963">
        <v>10000000</v>
      </c>
      <c r="G963" t="s">
        <v>9349</v>
      </c>
      <c r="H963" t="s">
        <v>241</v>
      </c>
      <c r="I963" t="s">
        <v>242</v>
      </c>
      <c r="J963" t="s">
        <v>242</v>
      </c>
      <c r="K963" t="s">
        <v>242</v>
      </c>
      <c r="L963" t="s">
        <v>241</v>
      </c>
      <c r="M963">
        <v>38.962053230000002</v>
      </c>
      <c r="N963">
        <v>-123.1050939</v>
      </c>
      <c r="O963">
        <v>0</v>
      </c>
      <c r="P963">
        <v>0</v>
      </c>
      <c r="Q963">
        <v>0.18</v>
      </c>
      <c r="R963">
        <v>0.05</v>
      </c>
      <c r="S963">
        <v>0.49</v>
      </c>
      <c r="T963">
        <v>4.3600000000000003</v>
      </c>
      <c r="U963">
        <v>9.57</v>
      </c>
      <c r="V963">
        <v>4.1100000000000003</v>
      </c>
      <c r="W963">
        <v>5.92</v>
      </c>
      <c r="X963">
        <v>0</v>
      </c>
      <c r="Y963">
        <v>2.4900000000000002</v>
      </c>
      <c r="Z963">
        <v>0</v>
      </c>
      <c r="AA963" t="s">
        <v>9335</v>
      </c>
      <c r="AB963" t="s">
        <v>242</v>
      </c>
      <c r="AC963" t="s">
        <v>3213</v>
      </c>
    </row>
    <row r="964" spans="1:29" x14ac:dyDescent="0.25">
      <c r="A964" t="s">
        <v>97</v>
      </c>
      <c r="B964" t="s">
        <v>254</v>
      </c>
      <c r="C964" t="s">
        <v>319</v>
      </c>
      <c r="D964" t="s">
        <v>3713</v>
      </c>
      <c r="E964" t="s">
        <v>3761</v>
      </c>
      <c r="F964">
        <v>10000000</v>
      </c>
      <c r="G964" t="s">
        <v>9349</v>
      </c>
      <c r="H964" t="s">
        <v>241</v>
      </c>
      <c r="I964" t="s">
        <v>242</v>
      </c>
      <c r="J964" t="s">
        <v>242</v>
      </c>
      <c r="K964" t="s">
        <v>242</v>
      </c>
      <c r="L964" t="s">
        <v>241</v>
      </c>
      <c r="M964">
        <v>38.962084849999997</v>
      </c>
      <c r="N964">
        <v>-123.101753</v>
      </c>
      <c r="O964">
        <v>0</v>
      </c>
      <c r="P964">
        <v>0</v>
      </c>
      <c r="Q964">
        <v>0</v>
      </c>
      <c r="R964">
        <v>0.06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 t="s">
        <v>9335</v>
      </c>
      <c r="AB964" t="s">
        <v>242</v>
      </c>
      <c r="AC964" t="s">
        <v>3213</v>
      </c>
    </row>
    <row r="965" spans="1:29" x14ac:dyDescent="0.25">
      <c r="A965" t="s">
        <v>167</v>
      </c>
      <c r="B965" t="s">
        <v>254</v>
      </c>
      <c r="C965" t="s">
        <v>319</v>
      </c>
      <c r="D965" t="s">
        <v>3713</v>
      </c>
      <c r="E965" t="s">
        <v>3761</v>
      </c>
      <c r="F965">
        <v>10000000</v>
      </c>
      <c r="G965" t="s">
        <v>9349</v>
      </c>
      <c r="H965" t="s">
        <v>241</v>
      </c>
      <c r="I965" t="s">
        <v>242</v>
      </c>
      <c r="J965" t="s">
        <v>242</v>
      </c>
      <c r="K965" t="s">
        <v>242</v>
      </c>
      <c r="L965" t="s">
        <v>241</v>
      </c>
      <c r="M965">
        <v>38.96212027</v>
      </c>
      <c r="N965">
        <v>-123.1124812</v>
      </c>
      <c r="O965">
        <v>0</v>
      </c>
      <c r="P965">
        <v>0</v>
      </c>
      <c r="Q965">
        <v>0.03</v>
      </c>
      <c r="R965">
        <v>0.08</v>
      </c>
      <c r="S965">
        <v>0.28000000000000003</v>
      </c>
      <c r="T965">
        <v>0.51</v>
      </c>
      <c r="U965">
        <v>1.3</v>
      </c>
      <c r="V965">
        <v>1.25</v>
      </c>
      <c r="W965">
        <v>1.06</v>
      </c>
      <c r="X965">
        <v>0.45</v>
      </c>
      <c r="Y965">
        <v>0.35</v>
      </c>
      <c r="Z965">
        <v>0</v>
      </c>
      <c r="AA965" t="s">
        <v>9335</v>
      </c>
      <c r="AB965" t="s">
        <v>242</v>
      </c>
      <c r="AC965" t="s">
        <v>3213</v>
      </c>
    </row>
    <row r="966" spans="1:29" x14ac:dyDescent="0.25">
      <c r="A966" t="s">
        <v>32</v>
      </c>
      <c r="B966" t="s">
        <v>254</v>
      </c>
      <c r="C966" t="s">
        <v>311</v>
      </c>
      <c r="D966" t="s">
        <v>3713</v>
      </c>
      <c r="E966" t="s">
        <v>3761</v>
      </c>
      <c r="F966">
        <v>10000000</v>
      </c>
      <c r="G966" t="s">
        <v>9349</v>
      </c>
      <c r="H966" t="s">
        <v>241</v>
      </c>
      <c r="I966" t="s">
        <v>242</v>
      </c>
      <c r="J966" t="s">
        <v>242</v>
      </c>
      <c r="K966" t="s">
        <v>242</v>
      </c>
      <c r="L966" t="s">
        <v>241</v>
      </c>
      <c r="M966">
        <v>38.631630000000001</v>
      </c>
      <c r="N966">
        <v>-122.85648999999999</v>
      </c>
      <c r="O966">
        <v>0.54</v>
      </c>
      <c r="P966">
        <v>0.91</v>
      </c>
      <c r="Q966">
        <v>2.5299999999999998</v>
      </c>
      <c r="R966">
        <v>2.1800000000000002</v>
      </c>
      <c r="S966">
        <v>3.96</v>
      </c>
      <c r="T966">
        <v>5.3</v>
      </c>
      <c r="U966">
        <v>6.56</v>
      </c>
      <c r="V966">
        <v>7.02</v>
      </c>
      <c r="W966">
        <v>4.42</v>
      </c>
      <c r="X966">
        <v>3.29</v>
      </c>
      <c r="Y966">
        <v>0.83</v>
      </c>
      <c r="Z966">
        <v>0</v>
      </c>
      <c r="AA966" t="s">
        <v>9335</v>
      </c>
      <c r="AB966" t="s">
        <v>242</v>
      </c>
      <c r="AC966" t="s">
        <v>3229</v>
      </c>
    </row>
    <row r="967" spans="1:29" x14ac:dyDescent="0.25">
      <c r="A967" t="s">
        <v>40</v>
      </c>
      <c r="B967" t="s">
        <v>254</v>
      </c>
      <c r="C967" t="s">
        <v>436</v>
      </c>
      <c r="D967" t="s">
        <v>3713</v>
      </c>
      <c r="E967" t="s">
        <v>3761</v>
      </c>
      <c r="F967">
        <v>10000000</v>
      </c>
      <c r="G967" t="s">
        <v>9349</v>
      </c>
      <c r="H967" t="s">
        <v>241</v>
      </c>
      <c r="I967" t="s">
        <v>242</v>
      </c>
      <c r="J967" t="s">
        <v>242</v>
      </c>
      <c r="K967" t="s">
        <v>242</v>
      </c>
      <c r="L967" t="s">
        <v>241</v>
      </c>
      <c r="M967">
        <v>38.7070662</v>
      </c>
      <c r="N967">
        <v>-122.88297780000001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0.02</v>
      </c>
      <c r="U967">
        <v>0.02</v>
      </c>
      <c r="V967">
        <v>0.08</v>
      </c>
      <c r="W967">
        <v>0.2</v>
      </c>
      <c r="X967">
        <v>0.11</v>
      </c>
      <c r="Y967">
        <v>0.03</v>
      </c>
      <c r="Z967">
        <v>0</v>
      </c>
      <c r="AA967" t="s">
        <v>9335</v>
      </c>
      <c r="AB967" t="s">
        <v>242</v>
      </c>
      <c r="AC967" t="s">
        <v>3229</v>
      </c>
    </row>
    <row r="968" spans="1:29" x14ac:dyDescent="0.25">
      <c r="A968" t="s">
        <v>41</v>
      </c>
      <c r="B968" t="s">
        <v>254</v>
      </c>
      <c r="C968" t="s">
        <v>436</v>
      </c>
      <c r="D968" t="s">
        <v>3713</v>
      </c>
      <c r="E968" t="s">
        <v>3761</v>
      </c>
      <c r="F968">
        <v>10000000</v>
      </c>
      <c r="G968" t="s">
        <v>9349</v>
      </c>
      <c r="H968" t="s">
        <v>241</v>
      </c>
      <c r="I968" t="s">
        <v>242</v>
      </c>
      <c r="J968" t="s">
        <v>242</v>
      </c>
      <c r="K968" t="s">
        <v>242</v>
      </c>
      <c r="L968" t="s">
        <v>241</v>
      </c>
      <c r="M968">
        <v>38.70762732</v>
      </c>
      <c r="N968">
        <v>-122.8814077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 t="s">
        <v>9335</v>
      </c>
      <c r="AB968" t="s">
        <v>242</v>
      </c>
      <c r="AC968" t="s">
        <v>3229</v>
      </c>
    </row>
    <row r="969" spans="1:29" x14ac:dyDescent="0.25">
      <c r="A969" t="s">
        <v>2097</v>
      </c>
      <c r="B969" t="s">
        <v>254</v>
      </c>
      <c r="C969" t="s">
        <v>436</v>
      </c>
      <c r="D969" t="s">
        <v>3713</v>
      </c>
      <c r="E969" t="s">
        <v>3761</v>
      </c>
      <c r="F969">
        <v>10000000</v>
      </c>
      <c r="G969" t="s">
        <v>9349</v>
      </c>
      <c r="H969" t="s">
        <v>241</v>
      </c>
      <c r="I969" t="s">
        <v>242</v>
      </c>
      <c r="J969" t="s">
        <v>242</v>
      </c>
      <c r="K969" t="s">
        <v>242</v>
      </c>
      <c r="L969" t="s">
        <v>241</v>
      </c>
      <c r="M969">
        <v>38.705199999999998</v>
      </c>
      <c r="N969">
        <v>-122.87990000000001</v>
      </c>
      <c r="O969">
        <v>0</v>
      </c>
      <c r="P969">
        <v>0</v>
      </c>
      <c r="Q969">
        <v>0</v>
      </c>
      <c r="R969">
        <v>1.5</v>
      </c>
      <c r="S969">
        <v>1.5</v>
      </c>
      <c r="T969">
        <v>2</v>
      </c>
      <c r="U969">
        <v>2</v>
      </c>
      <c r="V969">
        <v>2</v>
      </c>
      <c r="W969">
        <v>1</v>
      </c>
      <c r="X969">
        <v>1</v>
      </c>
      <c r="Y969">
        <v>0</v>
      </c>
      <c r="Z969">
        <v>0</v>
      </c>
      <c r="AA969" t="s">
        <v>9335</v>
      </c>
      <c r="AB969" t="s">
        <v>242</v>
      </c>
      <c r="AC969" t="s">
        <v>3229</v>
      </c>
    </row>
    <row r="970" spans="1:29" x14ac:dyDescent="0.25">
      <c r="A970" t="s">
        <v>1876</v>
      </c>
      <c r="B970" t="s">
        <v>254</v>
      </c>
      <c r="C970" t="s">
        <v>348</v>
      </c>
      <c r="D970" t="s">
        <v>3713</v>
      </c>
      <c r="E970" t="s">
        <v>3761</v>
      </c>
      <c r="F970">
        <v>10000000</v>
      </c>
      <c r="G970" t="s">
        <v>9349</v>
      </c>
      <c r="H970" t="s">
        <v>242</v>
      </c>
      <c r="I970" t="s">
        <v>242</v>
      </c>
      <c r="J970" t="s">
        <v>242</v>
      </c>
      <c r="K970" t="s">
        <v>242</v>
      </c>
      <c r="L970" t="s">
        <v>241</v>
      </c>
      <c r="M970">
        <v>39.25079289</v>
      </c>
      <c r="N970">
        <v>-123.11878710000001</v>
      </c>
      <c r="O970">
        <v>4.7569999999999999E-3</v>
      </c>
      <c r="P970">
        <v>6.4450000000000002E-3</v>
      </c>
      <c r="Q970">
        <v>6.4450000000000002E-3</v>
      </c>
      <c r="R970">
        <v>0.01</v>
      </c>
      <c r="S970">
        <v>0.03</v>
      </c>
      <c r="T970">
        <v>0.03</v>
      </c>
      <c r="U970">
        <v>0.03</v>
      </c>
      <c r="V970">
        <v>0.03</v>
      </c>
      <c r="W970">
        <v>0.03</v>
      </c>
      <c r="X970">
        <v>0.01</v>
      </c>
      <c r="Y970">
        <v>0.01</v>
      </c>
      <c r="Z970">
        <v>9.5139999999999999E-3</v>
      </c>
      <c r="AA970" t="s">
        <v>9333</v>
      </c>
      <c r="AB970" t="s">
        <v>242</v>
      </c>
      <c r="AC970" t="s">
        <v>3213</v>
      </c>
    </row>
    <row r="971" spans="1:29" x14ac:dyDescent="0.25">
      <c r="A971" t="s">
        <v>2099</v>
      </c>
      <c r="B971" t="s">
        <v>254</v>
      </c>
      <c r="C971" t="s">
        <v>319</v>
      </c>
      <c r="D971" t="s">
        <v>3713</v>
      </c>
      <c r="E971" t="s">
        <v>3761</v>
      </c>
      <c r="F971">
        <v>10000000</v>
      </c>
      <c r="G971" t="s">
        <v>9349</v>
      </c>
      <c r="H971" t="s">
        <v>241</v>
      </c>
      <c r="I971" t="s">
        <v>242</v>
      </c>
      <c r="J971" t="s">
        <v>242</v>
      </c>
      <c r="K971" t="s">
        <v>242</v>
      </c>
      <c r="L971" t="s">
        <v>241</v>
      </c>
      <c r="M971">
        <v>38.960133030000001</v>
      </c>
      <c r="N971">
        <v>-123.1048882</v>
      </c>
      <c r="O971">
        <v>0</v>
      </c>
      <c r="P971">
        <v>0</v>
      </c>
      <c r="Q971">
        <v>0</v>
      </c>
      <c r="R971">
        <v>1.1000000000000001</v>
      </c>
      <c r="S971">
        <v>10.96</v>
      </c>
      <c r="T971">
        <v>12.3</v>
      </c>
      <c r="U971">
        <v>23.43</v>
      </c>
      <c r="V971">
        <v>0</v>
      </c>
      <c r="W971">
        <v>0</v>
      </c>
      <c r="X971">
        <v>0</v>
      </c>
      <c r="Y971">
        <v>0</v>
      </c>
      <c r="Z971">
        <v>0</v>
      </c>
      <c r="AA971" t="s">
        <v>9335</v>
      </c>
      <c r="AB971" t="s">
        <v>242</v>
      </c>
      <c r="AC971" t="s">
        <v>3213</v>
      </c>
    </row>
    <row r="972" spans="1:29" x14ac:dyDescent="0.25">
      <c r="A972" t="s">
        <v>1831</v>
      </c>
      <c r="B972" t="s">
        <v>254</v>
      </c>
      <c r="C972" t="s">
        <v>308</v>
      </c>
      <c r="D972" t="s">
        <v>3713</v>
      </c>
      <c r="E972" t="s">
        <v>3761</v>
      </c>
      <c r="F972">
        <v>18750101</v>
      </c>
      <c r="G972" t="s">
        <v>9348</v>
      </c>
      <c r="H972" t="s">
        <v>242</v>
      </c>
      <c r="I972" t="s">
        <v>241</v>
      </c>
      <c r="J972" t="s">
        <v>242</v>
      </c>
      <c r="K972" t="s">
        <v>242</v>
      </c>
      <c r="L972" t="s">
        <v>242</v>
      </c>
      <c r="M972">
        <v>38.634523110000003</v>
      </c>
      <c r="N972">
        <v>-122.6630923</v>
      </c>
      <c r="O972">
        <v>0.04</v>
      </c>
      <c r="P972">
        <v>0.03</v>
      </c>
      <c r="Q972">
        <v>0.04</v>
      </c>
      <c r="R972">
        <v>0.04</v>
      </c>
      <c r="S972">
        <v>0.06</v>
      </c>
      <c r="T972">
        <v>0.14000000000000001</v>
      </c>
      <c r="U972">
        <v>0.18</v>
      </c>
      <c r="V972">
        <v>0.31</v>
      </c>
      <c r="W972">
        <v>0.33</v>
      </c>
      <c r="X972">
        <v>0.21</v>
      </c>
      <c r="Y972">
        <v>0.05</v>
      </c>
      <c r="Z972">
        <v>9.8206669999999999E-3</v>
      </c>
      <c r="AA972" t="s">
        <v>9335</v>
      </c>
      <c r="AB972" t="s">
        <v>241</v>
      </c>
      <c r="AC972" t="s">
        <v>3229</v>
      </c>
    </row>
    <row r="973" spans="1:29" x14ac:dyDescent="0.25">
      <c r="A973" t="s">
        <v>1792</v>
      </c>
      <c r="B973" t="s">
        <v>254</v>
      </c>
      <c r="C973" t="s">
        <v>308</v>
      </c>
      <c r="D973" t="s">
        <v>3713</v>
      </c>
      <c r="E973" t="s">
        <v>3761</v>
      </c>
      <c r="F973">
        <v>19030101</v>
      </c>
      <c r="G973" t="s">
        <v>9348</v>
      </c>
      <c r="H973" t="s">
        <v>242</v>
      </c>
      <c r="I973" t="s">
        <v>241</v>
      </c>
      <c r="J973" t="s">
        <v>242</v>
      </c>
      <c r="K973" t="s">
        <v>242</v>
      </c>
      <c r="L973" t="s">
        <v>242</v>
      </c>
      <c r="M973">
        <v>38.634523110000003</v>
      </c>
      <c r="N973">
        <v>-122.6630923</v>
      </c>
      <c r="O973">
        <v>1.0200000000000001E-5</v>
      </c>
      <c r="P973">
        <v>0</v>
      </c>
      <c r="Q973">
        <v>0.4</v>
      </c>
      <c r="R973">
        <v>0.12</v>
      </c>
      <c r="S973">
        <v>0.08</v>
      </c>
      <c r="T973">
        <v>0.09</v>
      </c>
      <c r="U973">
        <v>0.02</v>
      </c>
      <c r="V973">
        <v>0.13</v>
      </c>
      <c r="W973">
        <v>0.09</v>
      </c>
      <c r="X973">
        <v>0.05</v>
      </c>
      <c r="Y973">
        <v>4.4805699999999997E-3</v>
      </c>
      <c r="Z973">
        <v>0.04</v>
      </c>
      <c r="AA973" t="s">
        <v>9333</v>
      </c>
      <c r="AB973" t="s">
        <v>242</v>
      </c>
      <c r="AC973" t="s">
        <v>3229</v>
      </c>
    </row>
    <row r="974" spans="1:29" x14ac:dyDescent="0.25">
      <c r="A974" t="s">
        <v>1793</v>
      </c>
      <c r="B974" t="s">
        <v>254</v>
      </c>
      <c r="C974" t="s">
        <v>308</v>
      </c>
      <c r="D974" t="s">
        <v>3713</v>
      </c>
      <c r="E974" t="s">
        <v>3761</v>
      </c>
      <c r="F974">
        <v>19030101</v>
      </c>
      <c r="G974" t="s">
        <v>9348</v>
      </c>
      <c r="H974" t="s">
        <v>242</v>
      </c>
      <c r="I974" t="s">
        <v>241</v>
      </c>
      <c r="J974" t="s">
        <v>242</v>
      </c>
      <c r="K974" t="s">
        <v>242</v>
      </c>
      <c r="L974" t="s">
        <v>242</v>
      </c>
      <c r="M974">
        <v>38.634523110000003</v>
      </c>
      <c r="N974">
        <v>-122.6630923</v>
      </c>
      <c r="O974">
        <v>0.05</v>
      </c>
      <c r="P974">
        <v>0.05</v>
      </c>
      <c r="Q974">
        <v>0.05</v>
      </c>
      <c r="R974">
        <v>0.05</v>
      </c>
      <c r="S974">
        <v>0.05</v>
      </c>
      <c r="T974">
        <v>0.05</v>
      </c>
      <c r="U974">
        <v>0.06</v>
      </c>
      <c r="V974">
        <v>0.06</v>
      </c>
      <c r="W974">
        <v>0.05</v>
      </c>
      <c r="X974">
        <v>0.05</v>
      </c>
      <c r="Y974">
        <v>0.05</v>
      </c>
      <c r="Z974">
        <v>0.05</v>
      </c>
      <c r="AA974" t="s">
        <v>9333</v>
      </c>
      <c r="AB974" t="s">
        <v>242</v>
      </c>
      <c r="AC974" t="s">
        <v>3229</v>
      </c>
    </row>
    <row r="975" spans="1:29" x14ac:dyDescent="0.25">
      <c r="A975" t="s">
        <v>2100</v>
      </c>
      <c r="B975" t="s">
        <v>254</v>
      </c>
      <c r="C975" t="s">
        <v>319</v>
      </c>
      <c r="D975" t="s">
        <v>3713</v>
      </c>
      <c r="E975" t="s">
        <v>3761</v>
      </c>
      <c r="F975">
        <v>10000000</v>
      </c>
      <c r="G975" t="s">
        <v>9349</v>
      </c>
      <c r="H975" t="s">
        <v>241</v>
      </c>
      <c r="I975" t="s">
        <v>242</v>
      </c>
      <c r="J975" t="s">
        <v>242</v>
      </c>
      <c r="K975" t="s">
        <v>242</v>
      </c>
      <c r="L975" t="s">
        <v>241</v>
      </c>
      <c r="M975">
        <v>38.981699999999996</v>
      </c>
      <c r="N975">
        <v>-123.1069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 t="s">
        <v>9343</v>
      </c>
      <c r="AB975" t="s">
        <v>242</v>
      </c>
      <c r="AC975" t="s">
        <v>3213</v>
      </c>
    </row>
    <row r="976" spans="1:29" x14ac:dyDescent="0.25">
      <c r="A976" t="s">
        <v>2101</v>
      </c>
      <c r="B976" t="s">
        <v>254</v>
      </c>
      <c r="C976" t="s">
        <v>319</v>
      </c>
      <c r="D976" t="s">
        <v>3713</v>
      </c>
      <c r="E976" t="s">
        <v>3761</v>
      </c>
      <c r="F976">
        <v>10000000</v>
      </c>
      <c r="G976" t="s">
        <v>9349</v>
      </c>
      <c r="H976" t="s">
        <v>241</v>
      </c>
      <c r="I976" t="s">
        <v>242</v>
      </c>
      <c r="J976" t="s">
        <v>242</v>
      </c>
      <c r="K976" t="s">
        <v>242</v>
      </c>
      <c r="L976" t="s">
        <v>241</v>
      </c>
      <c r="M976">
        <v>38.986699999999999</v>
      </c>
      <c r="N976">
        <v>-123.10680000000001</v>
      </c>
      <c r="O976">
        <v>0</v>
      </c>
      <c r="P976">
        <v>0</v>
      </c>
      <c r="Q976">
        <v>0</v>
      </c>
      <c r="R976">
        <v>0.04</v>
      </c>
      <c r="S976">
        <v>6.6666666666666697E-3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 t="s">
        <v>9343</v>
      </c>
      <c r="AB976" t="s">
        <v>242</v>
      </c>
      <c r="AC976" t="s">
        <v>3213</v>
      </c>
    </row>
    <row r="977" spans="1:29" x14ac:dyDescent="0.25">
      <c r="A977" t="s">
        <v>2102</v>
      </c>
      <c r="B977" t="s">
        <v>254</v>
      </c>
      <c r="C977" t="s">
        <v>319</v>
      </c>
      <c r="D977" t="s">
        <v>3713</v>
      </c>
      <c r="E977" t="s">
        <v>3761</v>
      </c>
      <c r="F977">
        <v>10000000</v>
      </c>
      <c r="G977" t="s">
        <v>9349</v>
      </c>
      <c r="H977" t="s">
        <v>241</v>
      </c>
      <c r="I977" t="s">
        <v>242</v>
      </c>
      <c r="J977" t="s">
        <v>242</v>
      </c>
      <c r="K977" t="s">
        <v>242</v>
      </c>
      <c r="L977" t="s">
        <v>241</v>
      </c>
      <c r="M977">
        <v>38.9758</v>
      </c>
      <c r="N977">
        <v>-123.1083</v>
      </c>
      <c r="O977">
        <v>0</v>
      </c>
      <c r="P977">
        <v>0</v>
      </c>
      <c r="Q977">
        <v>0</v>
      </c>
      <c r="R977">
        <v>0</v>
      </c>
      <c r="S977">
        <v>0.11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 t="s">
        <v>9343</v>
      </c>
      <c r="AB977" t="s">
        <v>242</v>
      </c>
      <c r="AC977" t="s">
        <v>3213</v>
      </c>
    </row>
    <row r="978" spans="1:29" x14ac:dyDescent="0.25">
      <c r="A978" t="s">
        <v>2103</v>
      </c>
      <c r="B978" t="s">
        <v>254</v>
      </c>
      <c r="C978" t="s">
        <v>319</v>
      </c>
      <c r="D978" t="s">
        <v>3713</v>
      </c>
      <c r="E978" t="s">
        <v>3761</v>
      </c>
      <c r="F978">
        <v>10000000</v>
      </c>
      <c r="G978" t="s">
        <v>9349</v>
      </c>
      <c r="H978" t="s">
        <v>241</v>
      </c>
      <c r="I978" t="s">
        <v>242</v>
      </c>
      <c r="J978" t="s">
        <v>242</v>
      </c>
      <c r="K978" t="s">
        <v>242</v>
      </c>
      <c r="L978" t="s">
        <v>241</v>
      </c>
      <c r="M978">
        <v>38.973700000000001</v>
      </c>
      <c r="N978">
        <v>-123.10939999999999</v>
      </c>
      <c r="O978">
        <v>0</v>
      </c>
      <c r="P978">
        <v>0</v>
      </c>
      <c r="Q978">
        <v>0</v>
      </c>
      <c r="R978">
        <v>6.6666666666666697E-3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 t="s">
        <v>9343</v>
      </c>
      <c r="AB978" t="s">
        <v>242</v>
      </c>
      <c r="AC978" t="s">
        <v>3213</v>
      </c>
    </row>
    <row r="979" spans="1:29" x14ac:dyDescent="0.25">
      <c r="A979" t="s">
        <v>2104</v>
      </c>
      <c r="B979" t="s">
        <v>254</v>
      </c>
      <c r="C979" t="s">
        <v>331</v>
      </c>
      <c r="D979" t="s">
        <v>3713</v>
      </c>
      <c r="E979" t="s">
        <v>3761</v>
      </c>
      <c r="F979">
        <v>10000000</v>
      </c>
      <c r="G979" t="s">
        <v>9349</v>
      </c>
      <c r="H979" t="s">
        <v>241</v>
      </c>
      <c r="I979" t="s">
        <v>242</v>
      </c>
      <c r="J979" t="s">
        <v>242</v>
      </c>
      <c r="K979" t="s">
        <v>242</v>
      </c>
      <c r="L979" t="s">
        <v>241</v>
      </c>
      <c r="M979">
        <v>39.148316180000002</v>
      </c>
      <c r="N979">
        <v>-123.1802936</v>
      </c>
      <c r="O979">
        <v>4.8499999999999996</v>
      </c>
      <c r="P979">
        <v>4.76</v>
      </c>
      <c r="Q979">
        <v>4.0599999999999996</v>
      </c>
      <c r="R979">
        <v>5.07</v>
      </c>
      <c r="S979">
        <v>30.69</v>
      </c>
      <c r="T979">
        <v>51.95</v>
      </c>
      <c r="U979">
        <v>61.9</v>
      </c>
      <c r="V979">
        <v>69.92</v>
      </c>
      <c r="W979">
        <v>53.42</v>
      </c>
      <c r="X979">
        <v>21.84</v>
      </c>
      <c r="Y979">
        <v>36.479999999999997</v>
      </c>
      <c r="Z979">
        <v>21.43</v>
      </c>
      <c r="AA979" t="s">
        <v>9335</v>
      </c>
      <c r="AB979" t="s">
        <v>242</v>
      </c>
      <c r="AC979" t="s">
        <v>3213</v>
      </c>
    </row>
    <row r="980" spans="1:29" x14ac:dyDescent="0.25">
      <c r="A980" t="s">
        <v>2105</v>
      </c>
      <c r="B980" t="s">
        <v>254</v>
      </c>
      <c r="C980" t="s">
        <v>333</v>
      </c>
      <c r="D980" t="s">
        <v>3713</v>
      </c>
      <c r="E980" t="s">
        <v>3761</v>
      </c>
      <c r="F980">
        <v>10000000</v>
      </c>
      <c r="G980" t="s">
        <v>9349</v>
      </c>
      <c r="H980" t="s">
        <v>241</v>
      </c>
      <c r="I980" t="s">
        <v>242</v>
      </c>
      <c r="J980" t="s">
        <v>242</v>
      </c>
      <c r="K980" t="s">
        <v>242</v>
      </c>
      <c r="L980" t="s">
        <v>241</v>
      </c>
      <c r="M980">
        <v>39.108899999999998</v>
      </c>
      <c r="N980">
        <v>-123.1649</v>
      </c>
      <c r="O980">
        <v>0</v>
      </c>
      <c r="P980">
        <v>1.33</v>
      </c>
      <c r="Q980">
        <v>1.66</v>
      </c>
      <c r="R980">
        <v>1.66</v>
      </c>
      <c r="S980">
        <v>1.33</v>
      </c>
      <c r="T980">
        <v>1.66</v>
      </c>
      <c r="U980">
        <v>1.66</v>
      </c>
      <c r="V980">
        <v>1.33</v>
      </c>
      <c r="W980">
        <v>1.33</v>
      </c>
      <c r="X980">
        <v>0.66</v>
      </c>
      <c r="Y980">
        <v>0</v>
      </c>
      <c r="Z980">
        <v>0</v>
      </c>
      <c r="AA980" t="s">
        <v>9343</v>
      </c>
      <c r="AB980" t="s">
        <v>242</v>
      </c>
      <c r="AC980" t="s">
        <v>3213</v>
      </c>
    </row>
    <row r="981" spans="1:29" x14ac:dyDescent="0.25">
      <c r="A981" t="s">
        <v>2106</v>
      </c>
      <c r="B981" t="s">
        <v>254</v>
      </c>
      <c r="C981" t="s">
        <v>436</v>
      </c>
      <c r="D981" t="s">
        <v>3713</v>
      </c>
      <c r="E981" t="s">
        <v>3761</v>
      </c>
      <c r="F981">
        <v>10000000</v>
      </c>
      <c r="G981" t="s">
        <v>9349</v>
      </c>
      <c r="H981" t="s">
        <v>241</v>
      </c>
      <c r="I981" t="s">
        <v>242</v>
      </c>
      <c r="J981" t="s">
        <v>242</v>
      </c>
      <c r="K981" t="s">
        <v>242</v>
      </c>
      <c r="L981" t="s">
        <v>241</v>
      </c>
      <c r="M981">
        <v>38.663373999999997</v>
      </c>
      <c r="N981">
        <v>-122.8502141</v>
      </c>
      <c r="O981">
        <v>0</v>
      </c>
      <c r="P981">
        <v>0</v>
      </c>
      <c r="Q981">
        <v>0</v>
      </c>
      <c r="R981">
        <v>0</v>
      </c>
      <c r="S981">
        <v>0.13</v>
      </c>
      <c r="T981">
        <v>0.76</v>
      </c>
      <c r="U981">
        <v>0.66</v>
      </c>
      <c r="V981">
        <v>1.06</v>
      </c>
      <c r="W981">
        <v>1.33</v>
      </c>
      <c r="X981">
        <v>0.2</v>
      </c>
      <c r="Y981">
        <v>0</v>
      </c>
      <c r="Z981">
        <v>0</v>
      </c>
      <c r="AA981" t="s">
        <v>9343</v>
      </c>
      <c r="AB981" t="s">
        <v>242</v>
      </c>
      <c r="AC981" t="s">
        <v>3229</v>
      </c>
    </row>
    <row r="982" spans="1:29" x14ac:dyDescent="0.25">
      <c r="A982" t="s">
        <v>2109</v>
      </c>
      <c r="B982" t="s">
        <v>254</v>
      </c>
      <c r="C982" t="s">
        <v>317</v>
      </c>
      <c r="D982" t="s">
        <v>3713</v>
      </c>
      <c r="E982" t="s">
        <v>3761</v>
      </c>
      <c r="F982">
        <v>10000000</v>
      </c>
      <c r="G982" t="s">
        <v>9349</v>
      </c>
      <c r="H982" t="s">
        <v>242</v>
      </c>
      <c r="I982" t="s">
        <v>242</v>
      </c>
      <c r="J982" t="s">
        <v>242</v>
      </c>
      <c r="K982" t="s">
        <v>242</v>
      </c>
      <c r="L982" t="s">
        <v>241</v>
      </c>
      <c r="M982">
        <v>39.249704530000002</v>
      </c>
      <c r="N982">
        <v>-123.17386279999999</v>
      </c>
      <c r="O982">
        <v>0</v>
      </c>
      <c r="P982">
        <v>0</v>
      </c>
      <c r="Q982">
        <v>0</v>
      </c>
      <c r="R982">
        <v>0.01</v>
      </c>
      <c r="S982">
        <v>0.03</v>
      </c>
      <c r="T982">
        <v>0.01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 t="s">
        <v>9333</v>
      </c>
      <c r="AB982" t="s">
        <v>242</v>
      </c>
      <c r="AC982" t="s">
        <v>3213</v>
      </c>
    </row>
    <row r="983" spans="1:29" x14ac:dyDescent="0.25">
      <c r="A983" t="s">
        <v>2110</v>
      </c>
      <c r="B983" t="s">
        <v>254</v>
      </c>
      <c r="C983" t="s">
        <v>319</v>
      </c>
      <c r="D983" t="s">
        <v>3713</v>
      </c>
      <c r="E983" t="s">
        <v>3761</v>
      </c>
      <c r="F983">
        <v>10000000</v>
      </c>
      <c r="G983" t="s">
        <v>9349</v>
      </c>
      <c r="H983" t="s">
        <v>241</v>
      </c>
      <c r="I983" t="s">
        <v>242</v>
      </c>
      <c r="J983" t="s">
        <v>242</v>
      </c>
      <c r="K983" t="s">
        <v>242</v>
      </c>
      <c r="L983" t="s">
        <v>241</v>
      </c>
      <c r="M983">
        <v>38.990322079999999</v>
      </c>
      <c r="N983">
        <v>-123.1065895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 t="s">
        <v>9343</v>
      </c>
      <c r="AB983" t="s">
        <v>242</v>
      </c>
      <c r="AC983" t="s">
        <v>3213</v>
      </c>
    </row>
    <row r="984" spans="1:29" x14ac:dyDescent="0.25">
      <c r="A984" t="s">
        <v>2111</v>
      </c>
      <c r="B984" t="s">
        <v>254</v>
      </c>
      <c r="C984" t="s">
        <v>319</v>
      </c>
      <c r="D984" t="s">
        <v>3713</v>
      </c>
      <c r="E984" t="s">
        <v>3761</v>
      </c>
      <c r="F984">
        <v>10000000</v>
      </c>
      <c r="G984" t="s">
        <v>9349</v>
      </c>
      <c r="H984" t="s">
        <v>241</v>
      </c>
      <c r="I984" t="s">
        <v>242</v>
      </c>
      <c r="J984" t="s">
        <v>242</v>
      </c>
      <c r="K984" t="s">
        <v>242</v>
      </c>
      <c r="L984" t="s">
        <v>241</v>
      </c>
      <c r="M984">
        <v>38.984037389999997</v>
      </c>
      <c r="N984">
        <v>-123.10332510000001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4.0999999999999996</v>
      </c>
      <c r="V984">
        <v>0</v>
      </c>
      <c r="W984">
        <v>0</v>
      </c>
      <c r="X984">
        <v>0</v>
      </c>
      <c r="Y984">
        <v>0</v>
      </c>
      <c r="Z984">
        <v>0</v>
      </c>
      <c r="AA984" t="s">
        <v>9335</v>
      </c>
      <c r="AB984" t="s">
        <v>242</v>
      </c>
      <c r="AC984" t="s">
        <v>3213</v>
      </c>
    </row>
    <row r="985" spans="1:29" x14ac:dyDescent="0.25">
      <c r="A985" t="s">
        <v>2112</v>
      </c>
      <c r="B985" t="s">
        <v>254</v>
      </c>
      <c r="C985" t="s">
        <v>319</v>
      </c>
      <c r="D985" t="s">
        <v>3713</v>
      </c>
      <c r="E985" t="s">
        <v>3761</v>
      </c>
      <c r="F985">
        <v>10000000</v>
      </c>
      <c r="G985" t="s">
        <v>9349</v>
      </c>
      <c r="H985" t="s">
        <v>241</v>
      </c>
      <c r="I985" t="s">
        <v>242</v>
      </c>
      <c r="J985" t="s">
        <v>242</v>
      </c>
      <c r="K985" t="s">
        <v>242</v>
      </c>
      <c r="L985" t="s">
        <v>241</v>
      </c>
      <c r="M985">
        <v>38.983200410000002</v>
      </c>
      <c r="N985">
        <v>-123.10471939999999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 t="s">
        <v>9343</v>
      </c>
      <c r="AB985" t="s">
        <v>242</v>
      </c>
      <c r="AC985" t="s">
        <v>3213</v>
      </c>
    </row>
    <row r="986" spans="1:29" x14ac:dyDescent="0.25">
      <c r="A986" t="s">
        <v>2113</v>
      </c>
      <c r="B986" t="s">
        <v>254</v>
      </c>
      <c r="C986" t="s">
        <v>319</v>
      </c>
      <c r="D986" t="s">
        <v>3713</v>
      </c>
      <c r="E986" t="s">
        <v>3761</v>
      </c>
      <c r="F986">
        <v>10000000</v>
      </c>
      <c r="G986" t="s">
        <v>9349</v>
      </c>
      <c r="H986" t="s">
        <v>241</v>
      </c>
      <c r="I986" t="s">
        <v>242</v>
      </c>
      <c r="J986" t="s">
        <v>242</v>
      </c>
      <c r="K986" t="s">
        <v>242</v>
      </c>
      <c r="L986" t="s">
        <v>241</v>
      </c>
      <c r="M986">
        <v>38.979761850000003</v>
      </c>
      <c r="N986">
        <v>-123.10536949999999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 t="s">
        <v>9343</v>
      </c>
      <c r="AB986" t="s">
        <v>242</v>
      </c>
      <c r="AC986" t="s">
        <v>3213</v>
      </c>
    </row>
    <row r="987" spans="1:29" x14ac:dyDescent="0.25">
      <c r="A987" t="s">
        <v>2114</v>
      </c>
      <c r="B987" t="s">
        <v>254</v>
      </c>
      <c r="C987" t="s">
        <v>319</v>
      </c>
      <c r="D987" t="s">
        <v>3713</v>
      </c>
      <c r="E987" t="s">
        <v>3761</v>
      </c>
      <c r="F987">
        <v>10000000</v>
      </c>
      <c r="G987" t="s">
        <v>9349</v>
      </c>
      <c r="H987" t="s">
        <v>241</v>
      </c>
      <c r="I987" t="s">
        <v>242</v>
      </c>
      <c r="J987" t="s">
        <v>242</v>
      </c>
      <c r="K987" t="s">
        <v>242</v>
      </c>
      <c r="L987" t="s">
        <v>241</v>
      </c>
      <c r="M987">
        <v>38.97688239</v>
      </c>
      <c r="N987">
        <v>-123.10497290000001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 t="s">
        <v>9343</v>
      </c>
      <c r="AB987" t="s">
        <v>242</v>
      </c>
      <c r="AC987" t="s">
        <v>3213</v>
      </c>
    </row>
    <row r="988" spans="1:29" x14ac:dyDescent="0.25">
      <c r="A988" t="s">
        <v>2115</v>
      </c>
      <c r="B988" t="s">
        <v>254</v>
      </c>
      <c r="C988" t="s">
        <v>319</v>
      </c>
      <c r="D988" t="s">
        <v>3713</v>
      </c>
      <c r="E988" t="s">
        <v>3761</v>
      </c>
      <c r="F988">
        <v>10000000</v>
      </c>
      <c r="G988" t="s">
        <v>9349</v>
      </c>
      <c r="H988" t="s">
        <v>241</v>
      </c>
      <c r="I988" t="s">
        <v>242</v>
      </c>
      <c r="J988" t="s">
        <v>242</v>
      </c>
      <c r="K988" t="s">
        <v>242</v>
      </c>
      <c r="L988" t="s">
        <v>241</v>
      </c>
      <c r="M988">
        <v>38.973500000000001</v>
      </c>
      <c r="N988">
        <v>-123.1087</v>
      </c>
      <c r="O988">
        <v>0</v>
      </c>
      <c r="P988">
        <v>0</v>
      </c>
      <c r="Q988">
        <v>0.2</v>
      </c>
      <c r="R988">
        <v>0</v>
      </c>
      <c r="S988">
        <v>0.16</v>
      </c>
      <c r="T988">
        <v>0.13</v>
      </c>
      <c r="U988">
        <v>3.93</v>
      </c>
      <c r="V988">
        <v>15.3</v>
      </c>
      <c r="W988">
        <v>1.6</v>
      </c>
      <c r="X988">
        <v>0</v>
      </c>
      <c r="Y988">
        <v>0</v>
      </c>
      <c r="Z988">
        <v>0</v>
      </c>
      <c r="AA988" t="s">
        <v>9343</v>
      </c>
      <c r="AB988" t="s">
        <v>242</v>
      </c>
      <c r="AC988" t="s">
        <v>3213</v>
      </c>
    </row>
    <row r="989" spans="1:29" x14ac:dyDescent="0.25">
      <c r="A989" t="s">
        <v>3177</v>
      </c>
      <c r="B989" t="s">
        <v>254</v>
      </c>
      <c r="C989" t="e">
        <v>#N/A</v>
      </c>
      <c r="D989" t="s">
        <v>3713</v>
      </c>
      <c r="E989" t="s">
        <v>3761</v>
      </c>
      <c r="F989">
        <v>10000000</v>
      </c>
      <c r="G989" t="s">
        <v>9349</v>
      </c>
      <c r="I989" t="s">
        <v>242</v>
      </c>
      <c r="L989" t="s">
        <v>241</v>
      </c>
    </row>
    <row r="990" spans="1:29" x14ac:dyDescent="0.25">
      <c r="A990" t="s">
        <v>2118</v>
      </c>
      <c r="B990" t="s">
        <v>254</v>
      </c>
      <c r="C990" t="s">
        <v>436</v>
      </c>
      <c r="D990" t="s">
        <v>3713</v>
      </c>
      <c r="E990" t="s">
        <v>3761</v>
      </c>
      <c r="F990">
        <v>10000000</v>
      </c>
      <c r="G990" t="s">
        <v>9349</v>
      </c>
      <c r="H990" t="s">
        <v>241</v>
      </c>
      <c r="I990" t="s">
        <v>242</v>
      </c>
      <c r="J990" t="s">
        <v>242</v>
      </c>
      <c r="K990" t="s">
        <v>242</v>
      </c>
      <c r="L990" t="s">
        <v>241</v>
      </c>
      <c r="M990">
        <v>38.699630069999998</v>
      </c>
      <c r="N990">
        <v>-122.8676423</v>
      </c>
      <c r="O990">
        <v>8.3333333333333297E-3</v>
      </c>
      <c r="P990">
        <v>1.1200000000000001</v>
      </c>
      <c r="Q990">
        <v>0.56999999999999995</v>
      </c>
      <c r="R990">
        <v>0.2</v>
      </c>
      <c r="S990">
        <v>0.24</v>
      </c>
      <c r="T990">
        <v>1.31</v>
      </c>
      <c r="U990">
        <v>3.19</v>
      </c>
      <c r="V990">
        <v>4.8600000000000003</v>
      </c>
      <c r="W990">
        <v>3.37</v>
      </c>
      <c r="X990">
        <v>2.0699999999999998</v>
      </c>
      <c r="Y990">
        <v>0.48</v>
      </c>
      <c r="Z990">
        <v>0</v>
      </c>
      <c r="AA990" t="s">
        <v>9335</v>
      </c>
      <c r="AB990" t="s">
        <v>242</v>
      </c>
      <c r="AC990" t="s">
        <v>3229</v>
      </c>
    </row>
    <row r="991" spans="1:29" x14ac:dyDescent="0.25">
      <c r="A991" t="s">
        <v>2119</v>
      </c>
      <c r="B991" t="s">
        <v>254</v>
      </c>
      <c r="C991" t="s">
        <v>436</v>
      </c>
      <c r="D991" t="s">
        <v>3713</v>
      </c>
      <c r="E991" t="s">
        <v>3761</v>
      </c>
      <c r="F991">
        <v>10000000</v>
      </c>
      <c r="G991" t="s">
        <v>9349</v>
      </c>
      <c r="H991" t="s">
        <v>241</v>
      </c>
      <c r="I991" t="s">
        <v>242</v>
      </c>
      <c r="J991" t="s">
        <v>242</v>
      </c>
      <c r="K991" t="s">
        <v>242</v>
      </c>
      <c r="L991" t="s">
        <v>241</v>
      </c>
      <c r="M991">
        <v>38.697298770000003</v>
      </c>
      <c r="N991">
        <v>-122.86726350000001</v>
      </c>
      <c r="O991">
        <v>8.3333333333333297E-3</v>
      </c>
      <c r="P991">
        <v>1.17</v>
      </c>
      <c r="Q991">
        <v>0.56999999999999995</v>
      </c>
      <c r="R991">
        <v>0.2</v>
      </c>
      <c r="S991">
        <v>0.24</v>
      </c>
      <c r="T991">
        <v>1.31</v>
      </c>
      <c r="U991">
        <v>3.17</v>
      </c>
      <c r="V991">
        <v>4.8600000000000003</v>
      </c>
      <c r="W991">
        <v>3.37</v>
      </c>
      <c r="X991">
        <v>2.0699999999999998</v>
      </c>
      <c r="Y991">
        <v>0.48</v>
      </c>
      <c r="Z991">
        <v>0</v>
      </c>
      <c r="AA991" t="s">
        <v>9335</v>
      </c>
      <c r="AB991" t="s">
        <v>242</v>
      </c>
      <c r="AC991" t="s">
        <v>3229</v>
      </c>
    </row>
    <row r="992" spans="1:29" x14ac:dyDescent="0.25">
      <c r="A992" t="s">
        <v>2120</v>
      </c>
      <c r="B992" t="s">
        <v>254</v>
      </c>
      <c r="C992" t="s">
        <v>436</v>
      </c>
      <c r="D992" t="s">
        <v>3713</v>
      </c>
      <c r="E992" t="s">
        <v>3761</v>
      </c>
      <c r="F992">
        <v>10000000</v>
      </c>
      <c r="G992" t="s">
        <v>9349</v>
      </c>
      <c r="H992" t="s">
        <v>241</v>
      </c>
      <c r="I992" t="s">
        <v>242</v>
      </c>
      <c r="J992" t="s">
        <v>242</v>
      </c>
      <c r="K992" t="s">
        <v>242</v>
      </c>
      <c r="L992" t="s">
        <v>241</v>
      </c>
      <c r="M992">
        <v>38.701010799999999</v>
      </c>
      <c r="N992">
        <v>-122.8666078</v>
      </c>
      <c r="O992">
        <v>0.12</v>
      </c>
      <c r="P992">
        <v>0.12</v>
      </c>
      <c r="Q992">
        <v>0.12</v>
      </c>
      <c r="R992">
        <v>0.12</v>
      </c>
      <c r="S992">
        <v>0.12</v>
      </c>
      <c r="T992">
        <v>0.12</v>
      </c>
      <c r="U992">
        <v>0.12</v>
      </c>
      <c r="V992">
        <v>0.12</v>
      </c>
      <c r="W992">
        <v>0.12</v>
      </c>
      <c r="X992">
        <v>0.12</v>
      </c>
      <c r="Y992">
        <v>0.12</v>
      </c>
      <c r="Z992">
        <v>0.12</v>
      </c>
      <c r="AA992" t="s">
        <v>9333</v>
      </c>
      <c r="AB992" t="s">
        <v>242</v>
      </c>
      <c r="AC992" t="s">
        <v>3229</v>
      </c>
    </row>
    <row r="993" spans="1:29" x14ac:dyDescent="0.25">
      <c r="A993" t="s">
        <v>2121</v>
      </c>
      <c r="B993" t="s">
        <v>254</v>
      </c>
      <c r="C993" t="s">
        <v>319</v>
      </c>
      <c r="D993" t="s">
        <v>3713</v>
      </c>
      <c r="E993" t="s">
        <v>3761</v>
      </c>
      <c r="F993">
        <v>10000000</v>
      </c>
      <c r="G993" t="s">
        <v>9349</v>
      </c>
      <c r="H993" t="s">
        <v>241</v>
      </c>
      <c r="I993" t="s">
        <v>242</v>
      </c>
      <c r="J993" t="s">
        <v>242</v>
      </c>
      <c r="K993" t="s">
        <v>242</v>
      </c>
      <c r="L993" t="s">
        <v>241</v>
      </c>
      <c r="M993">
        <v>39.011355340000001</v>
      </c>
      <c r="N993">
        <v>-123.11818049999999</v>
      </c>
      <c r="O993">
        <v>0</v>
      </c>
      <c r="P993">
        <v>0</v>
      </c>
      <c r="Q993">
        <v>0</v>
      </c>
      <c r="R993">
        <v>0.66</v>
      </c>
      <c r="S993">
        <v>0</v>
      </c>
      <c r="T993">
        <v>0</v>
      </c>
      <c r="U993">
        <v>1.03</v>
      </c>
      <c r="V993">
        <v>0.9</v>
      </c>
      <c r="W993">
        <v>0</v>
      </c>
      <c r="X993">
        <v>0</v>
      </c>
      <c r="Y993">
        <v>0</v>
      </c>
      <c r="Z993">
        <v>0</v>
      </c>
      <c r="AA993" t="s">
        <v>9335</v>
      </c>
      <c r="AB993" t="s">
        <v>242</v>
      </c>
      <c r="AC993" t="s">
        <v>3213</v>
      </c>
    </row>
    <row r="994" spans="1:29" x14ac:dyDescent="0.25">
      <c r="A994" t="s">
        <v>3178</v>
      </c>
      <c r="B994" t="s">
        <v>254</v>
      </c>
      <c r="C994" t="e">
        <v>#N/A</v>
      </c>
      <c r="D994" t="s">
        <v>3713</v>
      </c>
      <c r="E994" t="s">
        <v>3761</v>
      </c>
      <c r="F994">
        <v>10000000</v>
      </c>
      <c r="G994" t="s">
        <v>9349</v>
      </c>
      <c r="I994" t="s">
        <v>242</v>
      </c>
      <c r="L994" t="s">
        <v>241</v>
      </c>
    </row>
    <row r="995" spans="1:29" x14ac:dyDescent="0.25">
      <c r="A995" t="s">
        <v>1850</v>
      </c>
      <c r="B995" t="s">
        <v>254</v>
      </c>
      <c r="C995" t="s">
        <v>308</v>
      </c>
      <c r="D995" t="s">
        <v>3713</v>
      </c>
      <c r="E995" t="s">
        <v>3761</v>
      </c>
      <c r="F995">
        <v>18500101</v>
      </c>
      <c r="G995" t="s">
        <v>9348</v>
      </c>
      <c r="H995" t="s">
        <v>242</v>
      </c>
      <c r="I995" t="s">
        <v>241</v>
      </c>
      <c r="J995" t="s">
        <v>242</v>
      </c>
      <c r="K995" t="s">
        <v>242</v>
      </c>
      <c r="L995" t="s">
        <v>242</v>
      </c>
      <c r="M995">
        <v>38.6342</v>
      </c>
      <c r="N995">
        <v>-122.6634</v>
      </c>
      <c r="O995">
        <v>15.8</v>
      </c>
      <c r="P995">
        <v>21.86</v>
      </c>
      <c r="Q995">
        <v>7.63</v>
      </c>
      <c r="R995">
        <v>2.16</v>
      </c>
      <c r="S995">
        <v>8.6999999999999993</v>
      </c>
      <c r="T995">
        <v>13.73</v>
      </c>
      <c r="U995">
        <v>27.4</v>
      </c>
      <c r="V995">
        <v>31.06</v>
      </c>
      <c r="W995">
        <v>17.93</v>
      </c>
      <c r="X995">
        <v>12.56</v>
      </c>
      <c r="Y995">
        <v>13.9</v>
      </c>
      <c r="Z995">
        <v>28.7</v>
      </c>
      <c r="AA995" t="s">
        <v>9335</v>
      </c>
      <c r="AB995" t="s">
        <v>242</v>
      </c>
      <c r="AC995" t="s">
        <v>3229</v>
      </c>
    </row>
    <row r="996" spans="1:29" x14ac:dyDescent="0.25">
      <c r="A996" t="s">
        <v>2122</v>
      </c>
      <c r="B996" t="s">
        <v>254</v>
      </c>
      <c r="C996" t="s">
        <v>331</v>
      </c>
      <c r="D996" t="s">
        <v>3713</v>
      </c>
      <c r="E996" t="s">
        <v>3761</v>
      </c>
      <c r="F996">
        <v>10000000</v>
      </c>
      <c r="G996" t="s">
        <v>9349</v>
      </c>
      <c r="H996" t="s">
        <v>241</v>
      </c>
      <c r="I996" t="s">
        <v>242</v>
      </c>
      <c r="J996" t="s">
        <v>242</v>
      </c>
      <c r="K996" t="s">
        <v>242</v>
      </c>
      <c r="L996" t="s">
        <v>241</v>
      </c>
      <c r="M996">
        <v>39.119497180000003</v>
      </c>
      <c r="N996">
        <v>-123.192504</v>
      </c>
      <c r="O996">
        <v>6.6666666666666697E-3</v>
      </c>
      <c r="P996">
        <v>0.14000000000000001</v>
      </c>
      <c r="Q996">
        <v>1.0900000000000001</v>
      </c>
      <c r="R996">
        <v>0.06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 t="s">
        <v>9343</v>
      </c>
      <c r="AB996" t="s">
        <v>242</v>
      </c>
      <c r="AC996" t="s">
        <v>3213</v>
      </c>
    </row>
    <row r="997" spans="1:29" x14ac:dyDescent="0.25">
      <c r="A997" t="s">
        <v>1839</v>
      </c>
      <c r="B997" t="s">
        <v>254</v>
      </c>
      <c r="C997" t="s">
        <v>331</v>
      </c>
      <c r="D997" t="s">
        <v>3713</v>
      </c>
      <c r="E997" t="s">
        <v>3761</v>
      </c>
      <c r="F997">
        <v>18700101</v>
      </c>
      <c r="G997" t="s">
        <v>9348</v>
      </c>
      <c r="H997" t="s">
        <v>241</v>
      </c>
      <c r="I997" t="s">
        <v>241</v>
      </c>
      <c r="J997" t="s">
        <v>242</v>
      </c>
      <c r="K997" t="s">
        <v>242</v>
      </c>
      <c r="L997" t="s">
        <v>242</v>
      </c>
      <c r="M997">
        <v>39.115325919999997</v>
      </c>
      <c r="N997">
        <v>-123.1841503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 t="s">
        <v>9335</v>
      </c>
      <c r="AB997" t="s">
        <v>242</v>
      </c>
      <c r="AC997" t="s">
        <v>3213</v>
      </c>
    </row>
    <row r="998" spans="1:29" x14ac:dyDescent="0.25">
      <c r="A998" t="s">
        <v>2127</v>
      </c>
      <c r="B998" t="s">
        <v>254</v>
      </c>
      <c r="C998" t="s">
        <v>333</v>
      </c>
      <c r="D998" t="s">
        <v>3713</v>
      </c>
      <c r="E998" t="s">
        <v>3761</v>
      </c>
      <c r="F998">
        <v>10000000</v>
      </c>
      <c r="G998" t="s">
        <v>9349</v>
      </c>
      <c r="H998" t="s">
        <v>242</v>
      </c>
      <c r="I998" t="s">
        <v>242</v>
      </c>
      <c r="J998" t="s">
        <v>242</v>
      </c>
      <c r="K998" t="s">
        <v>242</v>
      </c>
      <c r="L998" t="s">
        <v>241</v>
      </c>
      <c r="M998">
        <v>39.039203180000001</v>
      </c>
      <c r="N998">
        <v>-123.1938588</v>
      </c>
      <c r="O998">
        <v>0</v>
      </c>
      <c r="P998">
        <v>1.5</v>
      </c>
      <c r="Q998">
        <v>0.75</v>
      </c>
      <c r="R998">
        <v>0.53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0.2</v>
      </c>
      <c r="Y998">
        <v>1.96</v>
      </c>
      <c r="Z998">
        <v>0</v>
      </c>
      <c r="AA998" t="s">
        <v>9335</v>
      </c>
      <c r="AB998" t="s">
        <v>242</v>
      </c>
      <c r="AC998" t="s">
        <v>3213</v>
      </c>
    </row>
    <row r="999" spans="1:29" x14ac:dyDescent="0.25">
      <c r="A999" t="s">
        <v>2128</v>
      </c>
      <c r="B999" t="s">
        <v>254</v>
      </c>
      <c r="C999" t="s">
        <v>333</v>
      </c>
      <c r="D999" t="s">
        <v>3713</v>
      </c>
      <c r="E999" t="s">
        <v>3761</v>
      </c>
      <c r="F999">
        <v>10000000</v>
      </c>
      <c r="G999" t="s">
        <v>9349</v>
      </c>
      <c r="H999" t="s">
        <v>242</v>
      </c>
      <c r="I999" t="s">
        <v>242</v>
      </c>
      <c r="J999" t="s">
        <v>242</v>
      </c>
      <c r="K999" t="s">
        <v>242</v>
      </c>
      <c r="L999" t="s">
        <v>241</v>
      </c>
      <c r="M999">
        <v>39.036476800000003</v>
      </c>
      <c r="N999">
        <v>-123.184319</v>
      </c>
      <c r="O999">
        <v>20.66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2.66</v>
      </c>
      <c r="W999">
        <v>0</v>
      </c>
      <c r="X999">
        <v>0.03</v>
      </c>
      <c r="Y999">
        <v>3.73</v>
      </c>
      <c r="Z999">
        <v>0.73</v>
      </c>
      <c r="AA999" t="s">
        <v>9335</v>
      </c>
      <c r="AB999" t="s">
        <v>242</v>
      </c>
      <c r="AC999" t="s">
        <v>3213</v>
      </c>
    </row>
    <row r="1000" spans="1:29" x14ac:dyDescent="0.25">
      <c r="A1000" t="s">
        <v>2129</v>
      </c>
      <c r="B1000" t="s">
        <v>254</v>
      </c>
      <c r="C1000" t="s">
        <v>331</v>
      </c>
      <c r="D1000" t="s">
        <v>3713</v>
      </c>
      <c r="E1000" t="s">
        <v>3761</v>
      </c>
      <c r="F1000">
        <v>10000000</v>
      </c>
      <c r="G1000" t="s">
        <v>9349</v>
      </c>
      <c r="H1000" t="s">
        <v>242</v>
      </c>
      <c r="I1000" t="s">
        <v>242</v>
      </c>
      <c r="J1000" t="s">
        <v>242</v>
      </c>
      <c r="K1000" t="s">
        <v>242</v>
      </c>
      <c r="L1000" t="s">
        <v>241</v>
      </c>
      <c r="M1000">
        <v>39.13079355</v>
      </c>
      <c r="N1000">
        <v>-123.1475655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 t="s">
        <v>9335</v>
      </c>
      <c r="AB1000" t="s">
        <v>242</v>
      </c>
      <c r="AC1000" t="s">
        <v>3213</v>
      </c>
    </row>
    <row r="1001" spans="1:29" x14ac:dyDescent="0.25">
      <c r="A1001" t="s">
        <v>1827</v>
      </c>
      <c r="B1001" t="s">
        <v>254</v>
      </c>
      <c r="C1001" t="s">
        <v>308</v>
      </c>
      <c r="D1001" t="s">
        <v>3713</v>
      </c>
      <c r="E1001" t="s">
        <v>3761</v>
      </c>
      <c r="F1001">
        <v>18780101</v>
      </c>
      <c r="G1001" t="s">
        <v>9348</v>
      </c>
      <c r="H1001" t="s">
        <v>242</v>
      </c>
      <c r="I1001" t="s">
        <v>241</v>
      </c>
      <c r="J1001" t="s">
        <v>242</v>
      </c>
      <c r="K1001" t="s">
        <v>242</v>
      </c>
      <c r="L1001" t="s">
        <v>242</v>
      </c>
      <c r="M1001">
        <v>38.634523110000003</v>
      </c>
      <c r="N1001">
        <v>-122.6630923</v>
      </c>
      <c r="O1001">
        <v>0.06</v>
      </c>
      <c r="P1001">
        <v>0.06</v>
      </c>
      <c r="Q1001">
        <v>0.06</v>
      </c>
      <c r="R1001">
        <v>1.73</v>
      </c>
      <c r="S1001">
        <v>2.0499999999999998</v>
      </c>
      <c r="T1001">
        <v>2.0499999999999998</v>
      </c>
      <c r="U1001">
        <v>5.33</v>
      </c>
      <c r="V1001">
        <v>3.71</v>
      </c>
      <c r="W1001">
        <v>3.71</v>
      </c>
      <c r="X1001">
        <v>0.38</v>
      </c>
      <c r="Y1001">
        <v>0.06</v>
      </c>
      <c r="Z1001">
        <v>0.06</v>
      </c>
      <c r="AA1001" t="s">
        <v>9333</v>
      </c>
      <c r="AB1001" t="s">
        <v>242</v>
      </c>
      <c r="AC1001" t="s">
        <v>3229</v>
      </c>
    </row>
    <row r="1002" spans="1:29" x14ac:dyDescent="0.25">
      <c r="A1002" t="s">
        <v>2136</v>
      </c>
      <c r="B1002" t="s">
        <v>254</v>
      </c>
      <c r="C1002" t="s">
        <v>436</v>
      </c>
      <c r="D1002" t="s">
        <v>3713</v>
      </c>
      <c r="E1002" t="s">
        <v>3761</v>
      </c>
      <c r="F1002">
        <v>10000000</v>
      </c>
      <c r="G1002" t="s">
        <v>9349</v>
      </c>
      <c r="H1002" t="s">
        <v>241</v>
      </c>
      <c r="I1002" t="s">
        <v>242</v>
      </c>
      <c r="J1002" t="s">
        <v>242</v>
      </c>
      <c r="K1002" t="s">
        <v>242</v>
      </c>
      <c r="L1002" t="s">
        <v>241</v>
      </c>
      <c r="M1002">
        <v>38.66861583</v>
      </c>
      <c r="N1002">
        <v>-122.8655134</v>
      </c>
      <c r="O1002">
        <v>0</v>
      </c>
      <c r="P1002">
        <v>6.46</v>
      </c>
      <c r="Q1002">
        <v>1.3</v>
      </c>
      <c r="R1002">
        <v>0</v>
      </c>
      <c r="S1002">
        <v>1.35</v>
      </c>
      <c r="T1002">
        <v>3.07</v>
      </c>
      <c r="U1002">
        <v>3.94</v>
      </c>
      <c r="V1002">
        <v>6.9</v>
      </c>
      <c r="W1002">
        <v>8.15</v>
      </c>
      <c r="X1002">
        <v>2.15</v>
      </c>
      <c r="Y1002">
        <v>0</v>
      </c>
      <c r="Z1002">
        <v>0</v>
      </c>
      <c r="AA1002" t="s">
        <v>9335</v>
      </c>
      <c r="AB1002" t="s">
        <v>242</v>
      </c>
      <c r="AC1002" t="s">
        <v>3229</v>
      </c>
    </row>
    <row r="1003" spans="1:29" x14ac:dyDescent="0.25">
      <c r="A1003" t="s">
        <v>2139</v>
      </c>
      <c r="B1003" t="s">
        <v>254</v>
      </c>
      <c r="C1003" t="s">
        <v>319</v>
      </c>
      <c r="D1003" t="s">
        <v>3713</v>
      </c>
      <c r="E1003" t="s">
        <v>3761</v>
      </c>
      <c r="F1003">
        <v>10000000</v>
      </c>
      <c r="G1003" t="s">
        <v>9349</v>
      </c>
      <c r="H1003" t="s">
        <v>241</v>
      </c>
      <c r="I1003" t="s">
        <v>242</v>
      </c>
      <c r="J1003" t="s">
        <v>242</v>
      </c>
      <c r="K1003" t="s">
        <v>242</v>
      </c>
      <c r="L1003" t="s">
        <v>241</v>
      </c>
      <c r="M1003">
        <v>39.018099999999997</v>
      </c>
      <c r="N1003">
        <v>-123.12779999999999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 t="s">
        <v>9335</v>
      </c>
      <c r="AB1003" t="s">
        <v>242</v>
      </c>
      <c r="AC1003" t="s">
        <v>3213</v>
      </c>
    </row>
    <row r="1004" spans="1:29" x14ac:dyDescent="0.25">
      <c r="A1004" t="s">
        <v>2140</v>
      </c>
      <c r="B1004" t="s">
        <v>254</v>
      </c>
      <c r="C1004" t="s">
        <v>319</v>
      </c>
      <c r="D1004" t="s">
        <v>3713</v>
      </c>
      <c r="E1004" t="s">
        <v>3761</v>
      </c>
      <c r="F1004">
        <v>10000000</v>
      </c>
      <c r="G1004" t="s">
        <v>9349</v>
      </c>
      <c r="H1004" t="s">
        <v>241</v>
      </c>
      <c r="I1004" t="s">
        <v>242</v>
      </c>
      <c r="J1004" t="s">
        <v>242</v>
      </c>
      <c r="K1004" t="s">
        <v>242</v>
      </c>
      <c r="L1004" t="s">
        <v>241</v>
      </c>
      <c r="M1004">
        <v>38.986199999999997</v>
      </c>
      <c r="N1004">
        <v>-123.1065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 t="s">
        <v>9347</v>
      </c>
      <c r="AB1004" t="s">
        <v>242</v>
      </c>
      <c r="AC1004" t="s">
        <v>3213</v>
      </c>
    </row>
    <row r="1005" spans="1:29" x14ac:dyDescent="0.25">
      <c r="A1005" t="s">
        <v>2141</v>
      </c>
      <c r="B1005" t="s">
        <v>254</v>
      </c>
      <c r="C1005" t="s">
        <v>319</v>
      </c>
      <c r="D1005" t="s">
        <v>3713</v>
      </c>
      <c r="E1005" t="s">
        <v>3761</v>
      </c>
      <c r="F1005">
        <v>10000000</v>
      </c>
      <c r="G1005" t="s">
        <v>9349</v>
      </c>
      <c r="H1005" t="s">
        <v>241</v>
      </c>
      <c r="I1005" t="s">
        <v>242</v>
      </c>
      <c r="J1005" t="s">
        <v>242</v>
      </c>
      <c r="K1005" t="s">
        <v>242</v>
      </c>
      <c r="L1005" t="s">
        <v>241</v>
      </c>
      <c r="M1005">
        <v>38.986199999999997</v>
      </c>
      <c r="N1005">
        <v>-123.1066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 t="s">
        <v>9343</v>
      </c>
      <c r="AB1005" t="s">
        <v>242</v>
      </c>
      <c r="AC1005" t="s">
        <v>3213</v>
      </c>
    </row>
    <row r="1006" spans="1:29" x14ac:dyDescent="0.25">
      <c r="A1006" t="s">
        <v>2142</v>
      </c>
      <c r="B1006" t="s">
        <v>254</v>
      </c>
      <c r="C1006" t="s">
        <v>319</v>
      </c>
      <c r="D1006" t="s">
        <v>3713</v>
      </c>
      <c r="E1006" t="s">
        <v>3761</v>
      </c>
      <c r="F1006">
        <v>10000000</v>
      </c>
      <c r="G1006" t="s">
        <v>9349</v>
      </c>
      <c r="H1006" t="s">
        <v>241</v>
      </c>
      <c r="I1006" t="s">
        <v>242</v>
      </c>
      <c r="J1006" t="s">
        <v>242</v>
      </c>
      <c r="K1006" t="s">
        <v>242</v>
      </c>
      <c r="L1006" t="s">
        <v>241</v>
      </c>
      <c r="M1006">
        <v>39.021700000000003</v>
      </c>
      <c r="N1006">
        <v>-123.1301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 t="s">
        <v>9343</v>
      </c>
      <c r="AB1006" t="s">
        <v>242</v>
      </c>
      <c r="AC1006" t="s">
        <v>3213</v>
      </c>
    </row>
    <row r="1007" spans="1:29" x14ac:dyDescent="0.25">
      <c r="A1007" t="s">
        <v>1762</v>
      </c>
      <c r="B1007" t="s">
        <v>254</v>
      </c>
      <c r="C1007" t="s">
        <v>319</v>
      </c>
      <c r="D1007" t="s">
        <v>3713</v>
      </c>
      <c r="E1007" t="s">
        <v>3761</v>
      </c>
      <c r="F1007">
        <v>19140101</v>
      </c>
      <c r="G1007" t="s">
        <v>9348</v>
      </c>
      <c r="H1007" t="s">
        <v>241</v>
      </c>
      <c r="I1007" t="s">
        <v>241</v>
      </c>
      <c r="J1007" t="s">
        <v>242</v>
      </c>
      <c r="K1007" t="s">
        <v>242</v>
      </c>
      <c r="L1007" t="s">
        <v>242</v>
      </c>
      <c r="M1007">
        <v>38.928618200000003</v>
      </c>
      <c r="N1007">
        <v>-123.05871310000001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 t="s">
        <v>9335</v>
      </c>
      <c r="AB1007" t="s">
        <v>242</v>
      </c>
      <c r="AC1007" t="s">
        <v>3213</v>
      </c>
    </row>
    <row r="1008" spans="1:29" x14ac:dyDescent="0.25">
      <c r="A1008" t="s">
        <v>1771</v>
      </c>
      <c r="B1008" t="s">
        <v>254</v>
      </c>
      <c r="C1008" t="s">
        <v>317</v>
      </c>
      <c r="D1008" t="s">
        <v>3713</v>
      </c>
      <c r="E1008" t="s">
        <v>3761</v>
      </c>
      <c r="F1008">
        <v>19110101</v>
      </c>
      <c r="G1008" t="s">
        <v>9348</v>
      </c>
      <c r="H1008" t="s">
        <v>242</v>
      </c>
      <c r="I1008" t="s">
        <v>241</v>
      </c>
      <c r="J1008" t="s">
        <v>242</v>
      </c>
      <c r="K1008" t="s">
        <v>242</v>
      </c>
      <c r="L1008" t="s">
        <v>242</v>
      </c>
      <c r="M1008">
        <v>39.204740780000002</v>
      </c>
      <c r="N1008">
        <v>-123.21024250000001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 t="s">
        <v>9343</v>
      </c>
      <c r="AB1008" t="s">
        <v>242</v>
      </c>
      <c r="AC1008" t="s">
        <v>3213</v>
      </c>
    </row>
    <row r="1009" spans="1:29" x14ac:dyDescent="0.25">
      <c r="A1009" t="s">
        <v>1763</v>
      </c>
      <c r="B1009" t="s">
        <v>254</v>
      </c>
      <c r="C1009" t="s">
        <v>319</v>
      </c>
      <c r="D1009" t="s">
        <v>3713</v>
      </c>
      <c r="E1009" t="s">
        <v>3761</v>
      </c>
      <c r="F1009">
        <v>19140101</v>
      </c>
      <c r="G1009" t="s">
        <v>9348</v>
      </c>
      <c r="H1009" t="s">
        <v>241</v>
      </c>
      <c r="I1009" t="s">
        <v>241</v>
      </c>
      <c r="J1009" t="s">
        <v>242</v>
      </c>
      <c r="K1009" t="s">
        <v>242</v>
      </c>
      <c r="L1009" t="s">
        <v>242</v>
      </c>
      <c r="M1009">
        <v>38.929325730000002</v>
      </c>
      <c r="N1009">
        <v>-123.06062559999999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 t="s">
        <v>9335</v>
      </c>
      <c r="AB1009" t="s">
        <v>242</v>
      </c>
      <c r="AC1009" t="s">
        <v>3213</v>
      </c>
    </row>
    <row r="1010" spans="1:29" x14ac:dyDescent="0.25">
      <c r="A1010" t="s">
        <v>2144</v>
      </c>
      <c r="B1010" t="s">
        <v>254</v>
      </c>
      <c r="C1010" t="s">
        <v>436</v>
      </c>
      <c r="D1010" t="s">
        <v>3713</v>
      </c>
      <c r="E1010" t="s">
        <v>3761</v>
      </c>
      <c r="F1010">
        <v>10000000</v>
      </c>
      <c r="G1010" t="s">
        <v>9349</v>
      </c>
      <c r="H1010" t="s">
        <v>241</v>
      </c>
      <c r="I1010" t="s">
        <v>242</v>
      </c>
      <c r="J1010" t="s">
        <v>242</v>
      </c>
      <c r="K1010" t="s">
        <v>242</v>
      </c>
      <c r="L1010" t="s">
        <v>241</v>
      </c>
      <c r="M1010">
        <v>38.671619649999997</v>
      </c>
      <c r="N1010">
        <v>-122.8301712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 t="s">
        <v>9335</v>
      </c>
      <c r="AB1010" t="s">
        <v>242</v>
      </c>
      <c r="AC1010" t="s">
        <v>3229</v>
      </c>
    </row>
    <row r="1011" spans="1:29" x14ac:dyDescent="0.25">
      <c r="A1011" t="s">
        <v>2146</v>
      </c>
      <c r="B1011" t="s">
        <v>254</v>
      </c>
      <c r="C1011" t="s">
        <v>331</v>
      </c>
      <c r="D1011" t="s">
        <v>3713</v>
      </c>
      <c r="E1011" t="s">
        <v>3761</v>
      </c>
      <c r="F1011">
        <v>10000000</v>
      </c>
      <c r="G1011" t="s">
        <v>9349</v>
      </c>
      <c r="H1011" t="s">
        <v>241</v>
      </c>
      <c r="I1011" t="s">
        <v>242</v>
      </c>
      <c r="J1011" t="s">
        <v>242</v>
      </c>
      <c r="K1011" t="s">
        <v>242</v>
      </c>
      <c r="L1011" t="s">
        <v>241</v>
      </c>
      <c r="M1011">
        <v>39.157991150000001</v>
      </c>
      <c r="N1011">
        <v>-123.1875089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 t="s">
        <v>9343</v>
      </c>
      <c r="AB1011" t="s">
        <v>242</v>
      </c>
      <c r="AC1011" t="s">
        <v>3213</v>
      </c>
    </row>
    <row r="1012" spans="1:29" x14ac:dyDescent="0.25">
      <c r="A1012" t="s">
        <v>2147</v>
      </c>
      <c r="B1012" t="s">
        <v>254</v>
      </c>
      <c r="C1012" t="s">
        <v>409</v>
      </c>
      <c r="D1012" t="s">
        <v>3713</v>
      </c>
      <c r="E1012" t="s">
        <v>3761</v>
      </c>
      <c r="F1012">
        <v>10000000</v>
      </c>
      <c r="G1012" t="s">
        <v>9349</v>
      </c>
      <c r="H1012" t="s">
        <v>242</v>
      </c>
      <c r="I1012" t="s">
        <v>242</v>
      </c>
      <c r="J1012" t="s">
        <v>242</v>
      </c>
      <c r="K1012" t="s">
        <v>242</v>
      </c>
      <c r="L1012" t="s">
        <v>241</v>
      </c>
      <c r="M1012">
        <v>38.817999999999998</v>
      </c>
      <c r="N1012">
        <v>-122.9512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 t="s">
        <v>9335</v>
      </c>
      <c r="AB1012" t="s">
        <v>242</v>
      </c>
      <c r="AC1012" t="s">
        <v>3229</v>
      </c>
    </row>
    <row r="1013" spans="1:29" x14ac:dyDescent="0.25">
      <c r="A1013" t="s">
        <v>2148</v>
      </c>
      <c r="B1013" t="s">
        <v>254</v>
      </c>
      <c r="C1013" t="s">
        <v>331</v>
      </c>
      <c r="D1013" t="s">
        <v>3713</v>
      </c>
      <c r="E1013" t="s">
        <v>3761</v>
      </c>
      <c r="F1013">
        <v>10000000</v>
      </c>
      <c r="G1013" t="s">
        <v>9349</v>
      </c>
      <c r="H1013" t="s">
        <v>242</v>
      </c>
      <c r="I1013" t="s">
        <v>242</v>
      </c>
      <c r="J1013" t="s">
        <v>242</v>
      </c>
      <c r="K1013" t="s">
        <v>242</v>
      </c>
      <c r="L1013" t="s">
        <v>241</v>
      </c>
      <c r="M1013">
        <v>39.13079355</v>
      </c>
      <c r="N1013">
        <v>-123.1475655</v>
      </c>
      <c r="O1013">
        <v>0</v>
      </c>
      <c r="P1013">
        <v>0.92</v>
      </c>
      <c r="Q1013">
        <v>0</v>
      </c>
      <c r="R1013">
        <v>0.01</v>
      </c>
      <c r="S1013">
        <v>0.18</v>
      </c>
      <c r="T1013">
        <v>0.71</v>
      </c>
      <c r="U1013">
        <v>1.1499999999999999</v>
      </c>
      <c r="V1013">
        <v>1.47</v>
      </c>
      <c r="W1013">
        <v>0.61</v>
      </c>
      <c r="X1013">
        <v>0.13</v>
      </c>
      <c r="Y1013">
        <v>0.03</v>
      </c>
      <c r="Z1013">
        <v>0</v>
      </c>
      <c r="AA1013" t="s">
        <v>9335</v>
      </c>
      <c r="AB1013" t="s">
        <v>242</v>
      </c>
      <c r="AC1013" t="s">
        <v>3213</v>
      </c>
    </row>
    <row r="1014" spans="1:29" x14ac:dyDescent="0.25">
      <c r="A1014" t="s">
        <v>3179</v>
      </c>
      <c r="B1014" t="s">
        <v>254</v>
      </c>
      <c r="C1014" t="e">
        <v>#N/A</v>
      </c>
      <c r="D1014" t="s">
        <v>3713</v>
      </c>
      <c r="E1014" t="s">
        <v>3761</v>
      </c>
      <c r="F1014">
        <v>10000000</v>
      </c>
      <c r="G1014" t="s">
        <v>9349</v>
      </c>
      <c r="I1014" t="s">
        <v>242</v>
      </c>
      <c r="L1014" t="s">
        <v>241</v>
      </c>
    </row>
    <row r="1015" spans="1:29" x14ac:dyDescent="0.25">
      <c r="A1015" t="s">
        <v>59</v>
      </c>
      <c r="B1015" t="s">
        <v>254</v>
      </c>
      <c r="C1015" t="s">
        <v>333</v>
      </c>
      <c r="D1015" t="s">
        <v>3713</v>
      </c>
      <c r="E1015" t="s">
        <v>3761</v>
      </c>
      <c r="F1015">
        <v>10000000</v>
      </c>
      <c r="G1015" t="s">
        <v>9349</v>
      </c>
      <c r="H1015" t="s">
        <v>241</v>
      </c>
      <c r="I1015" t="s">
        <v>242</v>
      </c>
      <c r="J1015" t="s">
        <v>242</v>
      </c>
      <c r="K1015" t="s">
        <v>242</v>
      </c>
      <c r="L1015" t="s">
        <v>241</v>
      </c>
      <c r="M1015">
        <v>39.081696579999999</v>
      </c>
      <c r="N1015">
        <v>-123.1696719</v>
      </c>
      <c r="O1015">
        <v>0</v>
      </c>
      <c r="P1015">
        <v>0</v>
      </c>
      <c r="Q1015">
        <v>0.03</v>
      </c>
      <c r="R1015">
        <v>0</v>
      </c>
      <c r="S1015">
        <v>0</v>
      </c>
      <c r="T1015">
        <v>3</v>
      </c>
      <c r="U1015">
        <v>3.13</v>
      </c>
      <c r="V1015">
        <v>3.06</v>
      </c>
      <c r="W1015">
        <v>0.66</v>
      </c>
      <c r="X1015">
        <v>0.5</v>
      </c>
      <c r="Y1015">
        <v>0</v>
      </c>
      <c r="Z1015">
        <v>0</v>
      </c>
      <c r="AA1015" t="s">
        <v>9335</v>
      </c>
      <c r="AB1015" t="s">
        <v>242</v>
      </c>
      <c r="AC1015" t="s">
        <v>3213</v>
      </c>
    </row>
    <row r="1016" spans="1:29" x14ac:dyDescent="0.25">
      <c r="A1016" t="s">
        <v>2150</v>
      </c>
      <c r="B1016" t="s">
        <v>254</v>
      </c>
      <c r="C1016" t="s">
        <v>333</v>
      </c>
      <c r="D1016" t="s">
        <v>3713</v>
      </c>
      <c r="E1016" t="s">
        <v>3761</v>
      </c>
      <c r="F1016">
        <v>10000000</v>
      </c>
      <c r="G1016" t="s">
        <v>9349</v>
      </c>
      <c r="H1016" t="s">
        <v>242</v>
      </c>
      <c r="I1016" t="s">
        <v>242</v>
      </c>
      <c r="J1016" t="s">
        <v>242</v>
      </c>
      <c r="K1016" t="s">
        <v>242</v>
      </c>
      <c r="L1016" t="s">
        <v>241</v>
      </c>
      <c r="M1016">
        <v>39.101853970000001</v>
      </c>
      <c r="N1016">
        <v>-123.19925569999999</v>
      </c>
      <c r="O1016">
        <v>0</v>
      </c>
      <c r="P1016">
        <v>0</v>
      </c>
      <c r="Q1016">
        <v>0</v>
      </c>
      <c r="R1016">
        <v>0</v>
      </c>
      <c r="S1016">
        <v>5.0000000000000001E-4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 t="s">
        <v>9351</v>
      </c>
      <c r="AB1016" t="s">
        <v>242</v>
      </c>
      <c r="AC1016" t="s">
        <v>3213</v>
      </c>
    </row>
    <row r="1017" spans="1:29" x14ac:dyDescent="0.25">
      <c r="A1017" t="s">
        <v>2151</v>
      </c>
      <c r="B1017" t="s">
        <v>254</v>
      </c>
      <c r="C1017" t="s">
        <v>333</v>
      </c>
      <c r="D1017" t="s">
        <v>3713</v>
      </c>
      <c r="E1017" t="s">
        <v>3761</v>
      </c>
      <c r="F1017">
        <v>10000000</v>
      </c>
      <c r="G1017" t="s">
        <v>9349</v>
      </c>
      <c r="H1017" t="s">
        <v>241</v>
      </c>
      <c r="I1017" t="s">
        <v>242</v>
      </c>
      <c r="J1017" t="s">
        <v>242</v>
      </c>
      <c r="K1017" t="s">
        <v>242</v>
      </c>
      <c r="L1017" t="s">
        <v>241</v>
      </c>
      <c r="M1017">
        <v>39.092064020000002</v>
      </c>
      <c r="N1017">
        <v>-123.1763618</v>
      </c>
      <c r="O1017">
        <v>0.03</v>
      </c>
      <c r="P1017">
        <v>4.33333333333333E-5</v>
      </c>
      <c r="Q1017">
        <v>0.08</v>
      </c>
      <c r="R1017">
        <v>0.09</v>
      </c>
      <c r="S1017">
        <v>0.19</v>
      </c>
      <c r="T1017">
        <v>2.63333333333333E-3</v>
      </c>
      <c r="U1017">
        <v>0.01</v>
      </c>
      <c r="V1017">
        <v>0</v>
      </c>
      <c r="W1017">
        <v>3.1666666666666701E-3</v>
      </c>
      <c r="X1017">
        <v>0</v>
      </c>
      <c r="Y1017">
        <v>0</v>
      </c>
      <c r="Z1017">
        <v>0</v>
      </c>
      <c r="AA1017" t="s">
        <v>9335</v>
      </c>
      <c r="AB1017" t="s">
        <v>242</v>
      </c>
      <c r="AC1017" t="s">
        <v>3213</v>
      </c>
    </row>
    <row r="1018" spans="1:29" x14ac:dyDescent="0.25">
      <c r="A1018" t="s">
        <v>2152</v>
      </c>
      <c r="B1018" t="s">
        <v>254</v>
      </c>
      <c r="C1018" t="s">
        <v>333</v>
      </c>
      <c r="D1018" t="s">
        <v>3713</v>
      </c>
      <c r="E1018" t="s">
        <v>3761</v>
      </c>
      <c r="F1018">
        <v>10000000</v>
      </c>
      <c r="G1018" t="s">
        <v>9349</v>
      </c>
      <c r="H1018" t="s">
        <v>241</v>
      </c>
      <c r="I1018" t="s">
        <v>242</v>
      </c>
      <c r="J1018" t="s">
        <v>242</v>
      </c>
      <c r="K1018" t="s">
        <v>242</v>
      </c>
      <c r="L1018" t="s">
        <v>241</v>
      </c>
      <c r="M1018">
        <v>39.092206619999999</v>
      </c>
      <c r="N1018">
        <v>-123.17583569999999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0.97</v>
      </c>
      <c r="Y1018">
        <v>0</v>
      </c>
      <c r="Z1018">
        <v>0</v>
      </c>
      <c r="AA1018" t="s">
        <v>9335</v>
      </c>
      <c r="AB1018" t="s">
        <v>242</v>
      </c>
      <c r="AC1018" t="s">
        <v>3213</v>
      </c>
    </row>
    <row r="1019" spans="1:29" x14ac:dyDescent="0.25">
      <c r="A1019" t="s">
        <v>2153</v>
      </c>
      <c r="B1019" t="s">
        <v>254</v>
      </c>
      <c r="C1019" t="s">
        <v>308</v>
      </c>
      <c r="D1019" t="s">
        <v>3713</v>
      </c>
      <c r="E1019" t="s">
        <v>3761</v>
      </c>
      <c r="F1019">
        <v>10000000</v>
      </c>
      <c r="G1019" t="s">
        <v>9349</v>
      </c>
      <c r="H1019" t="s">
        <v>242</v>
      </c>
      <c r="I1019" t="s">
        <v>242</v>
      </c>
      <c r="J1019" t="s">
        <v>242</v>
      </c>
      <c r="K1019" t="s">
        <v>242</v>
      </c>
      <c r="L1019" t="s">
        <v>241</v>
      </c>
      <c r="M1019">
        <v>38.657547000000001</v>
      </c>
      <c r="N1019">
        <v>-122.7165383</v>
      </c>
      <c r="O1019">
        <v>0</v>
      </c>
      <c r="P1019">
        <v>0</v>
      </c>
      <c r="Q1019">
        <v>0.16</v>
      </c>
      <c r="R1019">
        <v>0.35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 t="s">
        <v>9343</v>
      </c>
      <c r="AB1019" t="s">
        <v>242</v>
      </c>
      <c r="AC1019" t="s">
        <v>3229</v>
      </c>
    </row>
    <row r="1020" spans="1:29" x14ac:dyDescent="0.25">
      <c r="A1020" t="s">
        <v>2154</v>
      </c>
      <c r="B1020" t="s">
        <v>254</v>
      </c>
      <c r="C1020" t="s">
        <v>308</v>
      </c>
      <c r="D1020" t="s">
        <v>3713</v>
      </c>
      <c r="E1020" t="s">
        <v>3761</v>
      </c>
      <c r="F1020">
        <v>10000000</v>
      </c>
      <c r="G1020" t="s">
        <v>9349</v>
      </c>
      <c r="H1020" t="s">
        <v>242</v>
      </c>
      <c r="I1020" t="s">
        <v>242</v>
      </c>
      <c r="J1020" t="s">
        <v>242</v>
      </c>
      <c r="K1020" t="s">
        <v>242</v>
      </c>
      <c r="L1020" t="s">
        <v>241</v>
      </c>
      <c r="M1020">
        <v>38.65889937</v>
      </c>
      <c r="N1020">
        <v>-122.71987900000001</v>
      </c>
      <c r="O1020">
        <v>0</v>
      </c>
      <c r="P1020">
        <v>0</v>
      </c>
      <c r="Q1020">
        <v>0.76</v>
      </c>
      <c r="R1020">
        <v>1.77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 t="s">
        <v>9343</v>
      </c>
      <c r="AB1020" t="s">
        <v>242</v>
      </c>
      <c r="AC1020" t="s">
        <v>3229</v>
      </c>
    </row>
    <row r="1021" spans="1:29" x14ac:dyDescent="0.25">
      <c r="A1021" t="s">
        <v>2155</v>
      </c>
      <c r="B1021" t="s">
        <v>254</v>
      </c>
      <c r="C1021" t="s">
        <v>308</v>
      </c>
      <c r="D1021" t="s">
        <v>3713</v>
      </c>
      <c r="E1021" t="s">
        <v>3761</v>
      </c>
      <c r="F1021">
        <v>10000000</v>
      </c>
      <c r="G1021" t="s">
        <v>9349</v>
      </c>
      <c r="H1021" t="s">
        <v>242</v>
      </c>
      <c r="I1021" t="s">
        <v>242</v>
      </c>
      <c r="J1021" t="s">
        <v>242</v>
      </c>
      <c r="K1021" t="s">
        <v>242</v>
      </c>
      <c r="L1021" t="s">
        <v>241</v>
      </c>
      <c r="M1021">
        <v>38.653412400000001</v>
      </c>
      <c r="N1021">
        <v>-122.7248208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 t="s">
        <v>9343</v>
      </c>
      <c r="AB1021" t="s">
        <v>242</v>
      </c>
      <c r="AC1021" t="s">
        <v>3229</v>
      </c>
    </row>
    <row r="1022" spans="1:29" x14ac:dyDescent="0.25">
      <c r="A1022" t="s">
        <v>2156</v>
      </c>
      <c r="B1022" t="s">
        <v>254</v>
      </c>
      <c r="C1022" t="s">
        <v>333</v>
      </c>
      <c r="D1022" t="s">
        <v>3713</v>
      </c>
      <c r="E1022" t="s">
        <v>3761</v>
      </c>
      <c r="F1022">
        <v>10000000</v>
      </c>
      <c r="G1022" t="s">
        <v>9349</v>
      </c>
      <c r="H1022" t="s">
        <v>242</v>
      </c>
      <c r="I1022" t="s">
        <v>242</v>
      </c>
      <c r="J1022" t="s">
        <v>242</v>
      </c>
      <c r="K1022" t="s">
        <v>242</v>
      </c>
      <c r="L1022" t="s">
        <v>241</v>
      </c>
      <c r="M1022">
        <v>39.127327020000003</v>
      </c>
      <c r="N1022">
        <v>-123.1510349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0.16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 t="s">
        <v>9335</v>
      </c>
      <c r="AB1022" t="s">
        <v>242</v>
      </c>
      <c r="AC1022" t="s">
        <v>3213</v>
      </c>
    </row>
    <row r="1023" spans="1:29" x14ac:dyDescent="0.25">
      <c r="A1023" t="s">
        <v>2157</v>
      </c>
      <c r="B1023" t="s">
        <v>254</v>
      </c>
      <c r="C1023" t="s">
        <v>317</v>
      </c>
      <c r="D1023" t="s">
        <v>3713</v>
      </c>
      <c r="E1023" t="s">
        <v>3761</v>
      </c>
      <c r="F1023">
        <v>10000000</v>
      </c>
      <c r="G1023" t="s">
        <v>9349</v>
      </c>
      <c r="H1023" t="s">
        <v>242</v>
      </c>
      <c r="I1023" t="s">
        <v>242</v>
      </c>
      <c r="J1023" t="s">
        <v>242</v>
      </c>
      <c r="K1023" t="s">
        <v>242</v>
      </c>
      <c r="L1023" t="s">
        <v>241</v>
      </c>
      <c r="M1023">
        <v>39.278577630000001</v>
      </c>
      <c r="N1023">
        <v>-123.2234522</v>
      </c>
      <c r="O1023">
        <v>0</v>
      </c>
      <c r="P1023">
        <v>0</v>
      </c>
      <c r="Q1023">
        <v>0.16</v>
      </c>
      <c r="R1023">
        <v>1.08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 t="s">
        <v>9343</v>
      </c>
      <c r="AB1023" t="s">
        <v>242</v>
      </c>
      <c r="AC1023" t="s">
        <v>3213</v>
      </c>
    </row>
    <row r="1024" spans="1:29" x14ac:dyDescent="0.25">
      <c r="A1024" t="s">
        <v>2158</v>
      </c>
      <c r="B1024" t="s">
        <v>254</v>
      </c>
      <c r="C1024" t="s">
        <v>436</v>
      </c>
      <c r="D1024" t="s">
        <v>3713</v>
      </c>
      <c r="E1024" t="s">
        <v>3761</v>
      </c>
      <c r="F1024">
        <v>10000000</v>
      </c>
      <c r="G1024" t="s">
        <v>9349</v>
      </c>
      <c r="H1024" t="s">
        <v>241</v>
      </c>
      <c r="I1024" t="s">
        <v>242</v>
      </c>
      <c r="J1024" t="s">
        <v>242</v>
      </c>
      <c r="K1024" t="s">
        <v>242</v>
      </c>
      <c r="L1024" t="s">
        <v>241</v>
      </c>
      <c r="M1024">
        <v>38.682288069999998</v>
      </c>
      <c r="N1024">
        <v>-122.8359008</v>
      </c>
      <c r="O1024">
        <v>0.02</v>
      </c>
      <c r="P1024">
        <v>0.02</v>
      </c>
      <c r="Q1024">
        <v>0.05</v>
      </c>
      <c r="R1024">
        <v>0.05</v>
      </c>
      <c r="S1024">
        <v>0.02</v>
      </c>
      <c r="T1024">
        <v>0.09</v>
      </c>
      <c r="U1024">
        <v>7.0000000000000007E-2</v>
      </c>
      <c r="V1024">
        <v>0.08</v>
      </c>
      <c r="W1024">
        <v>0.21</v>
      </c>
      <c r="X1024">
        <v>0.27</v>
      </c>
      <c r="Y1024">
        <v>0.19</v>
      </c>
      <c r="Z1024">
        <v>0.17</v>
      </c>
      <c r="AA1024" t="s">
        <v>9335</v>
      </c>
      <c r="AB1024" t="s">
        <v>242</v>
      </c>
      <c r="AC1024" t="s">
        <v>3229</v>
      </c>
    </row>
    <row r="1025" spans="1:29" x14ac:dyDescent="0.25">
      <c r="A1025" t="s">
        <v>2159</v>
      </c>
      <c r="B1025" t="s">
        <v>254</v>
      </c>
      <c r="C1025" t="s">
        <v>436</v>
      </c>
      <c r="D1025" t="s">
        <v>3713</v>
      </c>
      <c r="E1025" t="s">
        <v>3761</v>
      </c>
      <c r="F1025">
        <v>10000000</v>
      </c>
      <c r="G1025" t="s">
        <v>9349</v>
      </c>
      <c r="H1025" t="s">
        <v>241</v>
      </c>
      <c r="I1025" t="s">
        <v>242</v>
      </c>
      <c r="J1025" t="s">
        <v>242</v>
      </c>
      <c r="K1025" t="s">
        <v>242</v>
      </c>
      <c r="L1025" t="s">
        <v>241</v>
      </c>
      <c r="M1025">
        <v>38.678567389999998</v>
      </c>
      <c r="N1025">
        <v>-122.83778390000001</v>
      </c>
      <c r="O1025">
        <v>0.06</v>
      </c>
      <c r="P1025">
        <v>0.06</v>
      </c>
      <c r="Q1025">
        <v>0.06</v>
      </c>
      <c r="R1025">
        <v>0.12</v>
      </c>
      <c r="S1025">
        <v>0.48</v>
      </c>
      <c r="T1025">
        <v>1.29</v>
      </c>
      <c r="U1025">
        <v>2.2999999999999998</v>
      </c>
      <c r="V1025">
        <v>2.87</v>
      </c>
      <c r="W1025">
        <v>2.91</v>
      </c>
      <c r="X1025">
        <v>2.8</v>
      </c>
      <c r="Y1025">
        <v>0.31</v>
      </c>
      <c r="Z1025">
        <v>0.14000000000000001</v>
      </c>
      <c r="AA1025" t="s">
        <v>9335</v>
      </c>
      <c r="AB1025" t="s">
        <v>242</v>
      </c>
      <c r="AC1025" t="s">
        <v>3229</v>
      </c>
    </row>
    <row r="1026" spans="1:29" x14ac:dyDescent="0.25">
      <c r="A1026" t="s">
        <v>2160</v>
      </c>
      <c r="B1026" t="s">
        <v>254</v>
      </c>
      <c r="C1026" t="s">
        <v>436</v>
      </c>
      <c r="D1026" t="s">
        <v>3713</v>
      </c>
      <c r="E1026" t="s">
        <v>3761</v>
      </c>
      <c r="F1026">
        <v>10000000</v>
      </c>
      <c r="G1026" t="s">
        <v>9349</v>
      </c>
      <c r="H1026" t="s">
        <v>241</v>
      </c>
      <c r="I1026" t="s">
        <v>242</v>
      </c>
      <c r="J1026" t="s">
        <v>242</v>
      </c>
      <c r="K1026" t="s">
        <v>242</v>
      </c>
      <c r="L1026" t="s">
        <v>241</v>
      </c>
      <c r="M1026">
        <v>38.678567389999998</v>
      </c>
      <c r="N1026">
        <v>-122.83778390000001</v>
      </c>
      <c r="O1026">
        <v>0</v>
      </c>
      <c r="P1026">
        <v>0</v>
      </c>
      <c r="Q1026">
        <v>0.13</v>
      </c>
      <c r="R1026">
        <v>6.6666666666666697E-4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0.09</v>
      </c>
      <c r="Z1026">
        <v>0</v>
      </c>
      <c r="AA1026" t="s">
        <v>9335</v>
      </c>
      <c r="AB1026" t="s">
        <v>242</v>
      </c>
      <c r="AC1026" t="s">
        <v>3229</v>
      </c>
    </row>
    <row r="1027" spans="1:29" x14ac:dyDescent="0.25">
      <c r="A1027" t="s">
        <v>2161</v>
      </c>
      <c r="B1027" t="s">
        <v>254</v>
      </c>
      <c r="C1027" t="s">
        <v>308</v>
      </c>
      <c r="D1027" t="s">
        <v>3713</v>
      </c>
      <c r="E1027" t="s">
        <v>3761</v>
      </c>
      <c r="F1027">
        <v>10000000</v>
      </c>
      <c r="G1027" t="s">
        <v>9349</v>
      </c>
      <c r="H1027" t="s">
        <v>242</v>
      </c>
      <c r="I1027" t="s">
        <v>242</v>
      </c>
      <c r="J1027" t="s">
        <v>242</v>
      </c>
      <c r="K1027" t="s">
        <v>242</v>
      </c>
      <c r="L1027" t="s">
        <v>241</v>
      </c>
      <c r="M1027">
        <v>38.691607130000001</v>
      </c>
      <c r="N1027">
        <v>-122.6687039</v>
      </c>
      <c r="O1027">
        <v>0.68</v>
      </c>
      <c r="P1027">
        <v>0.62</v>
      </c>
      <c r="Q1027">
        <v>0.68</v>
      </c>
      <c r="R1027">
        <v>0.66</v>
      </c>
      <c r="S1027">
        <v>0.69</v>
      </c>
      <c r="T1027">
        <v>0.68</v>
      </c>
      <c r="U1027">
        <v>0.71</v>
      </c>
      <c r="V1027">
        <v>0.71</v>
      </c>
      <c r="W1027">
        <v>0.69</v>
      </c>
      <c r="X1027">
        <v>0.7</v>
      </c>
      <c r="Y1027">
        <v>0.66</v>
      </c>
      <c r="Z1027">
        <v>0.68</v>
      </c>
      <c r="AA1027" t="s">
        <v>9333</v>
      </c>
      <c r="AB1027" t="s">
        <v>242</v>
      </c>
      <c r="AC1027" t="s">
        <v>3229</v>
      </c>
    </row>
    <row r="1028" spans="1:29" x14ac:dyDescent="0.25">
      <c r="A1028" t="s">
        <v>2162</v>
      </c>
      <c r="B1028" t="s">
        <v>254</v>
      </c>
      <c r="C1028" t="s">
        <v>308</v>
      </c>
      <c r="D1028" t="s">
        <v>3713</v>
      </c>
      <c r="E1028" t="s">
        <v>3761</v>
      </c>
      <c r="F1028">
        <v>10000000</v>
      </c>
      <c r="G1028" t="s">
        <v>9349</v>
      </c>
      <c r="H1028" t="s">
        <v>242</v>
      </c>
      <c r="I1028" t="s">
        <v>242</v>
      </c>
      <c r="J1028" t="s">
        <v>242</v>
      </c>
      <c r="K1028" t="s">
        <v>242</v>
      </c>
      <c r="L1028" t="s">
        <v>241</v>
      </c>
      <c r="M1028">
        <v>38.690625930000003</v>
      </c>
      <c r="N1028">
        <v>-122.6721984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1E-3</v>
      </c>
      <c r="U1028">
        <v>1E-3</v>
      </c>
      <c r="V1028">
        <v>1E-3</v>
      </c>
      <c r="W1028">
        <v>0</v>
      </c>
      <c r="X1028">
        <v>0</v>
      </c>
      <c r="Y1028">
        <v>0</v>
      </c>
      <c r="Z1028">
        <v>0</v>
      </c>
      <c r="AA1028" t="s">
        <v>9341</v>
      </c>
      <c r="AB1028" t="s">
        <v>242</v>
      </c>
      <c r="AC1028" t="s">
        <v>3229</v>
      </c>
    </row>
    <row r="1029" spans="1:29" x14ac:dyDescent="0.25">
      <c r="A1029" t="s">
        <v>2163</v>
      </c>
      <c r="B1029" t="s">
        <v>254</v>
      </c>
      <c r="C1029" t="s">
        <v>319</v>
      </c>
      <c r="D1029" t="s">
        <v>3713</v>
      </c>
      <c r="E1029" t="s">
        <v>3761</v>
      </c>
      <c r="F1029">
        <v>10000000</v>
      </c>
      <c r="G1029" t="s">
        <v>9349</v>
      </c>
      <c r="H1029" t="s">
        <v>242</v>
      </c>
      <c r="I1029" t="s">
        <v>242</v>
      </c>
      <c r="J1029" t="s">
        <v>242</v>
      </c>
      <c r="K1029" t="s">
        <v>242</v>
      </c>
      <c r="L1029" t="s">
        <v>241</v>
      </c>
      <c r="M1029">
        <v>38.945618719999999</v>
      </c>
      <c r="N1029">
        <v>-123.1294535</v>
      </c>
      <c r="O1029">
        <v>0</v>
      </c>
      <c r="P1029">
        <v>0</v>
      </c>
      <c r="Q1029">
        <v>0</v>
      </c>
      <c r="R1029">
        <v>0.4</v>
      </c>
      <c r="S1029">
        <v>0.5</v>
      </c>
      <c r="T1029">
        <v>0.53</v>
      </c>
      <c r="U1029">
        <v>0.56999999999999995</v>
      </c>
      <c r="V1029">
        <v>0.56999999999999995</v>
      </c>
      <c r="W1029">
        <v>0.52</v>
      </c>
      <c r="X1029">
        <v>0.5</v>
      </c>
      <c r="Y1029">
        <v>0</v>
      </c>
      <c r="Z1029">
        <v>0</v>
      </c>
      <c r="AA1029" t="s">
        <v>9335</v>
      </c>
      <c r="AB1029" t="s">
        <v>241</v>
      </c>
      <c r="AC1029" t="s">
        <v>3213</v>
      </c>
    </row>
    <row r="1030" spans="1:29" x14ac:dyDescent="0.25">
      <c r="A1030" t="s">
        <v>2164</v>
      </c>
      <c r="B1030" t="s">
        <v>254</v>
      </c>
      <c r="C1030" t="s">
        <v>331</v>
      </c>
      <c r="D1030" t="s">
        <v>3713</v>
      </c>
      <c r="E1030" t="s">
        <v>3761</v>
      </c>
      <c r="F1030">
        <v>10000000</v>
      </c>
      <c r="G1030" t="s">
        <v>9349</v>
      </c>
      <c r="H1030" t="s">
        <v>241</v>
      </c>
      <c r="I1030" t="s">
        <v>242</v>
      </c>
      <c r="J1030" t="s">
        <v>242</v>
      </c>
      <c r="K1030" t="s">
        <v>242</v>
      </c>
      <c r="L1030" t="s">
        <v>241</v>
      </c>
      <c r="M1030">
        <v>39.17159917</v>
      </c>
      <c r="N1030">
        <v>-123.19271120000001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 t="s">
        <v>9343</v>
      </c>
      <c r="AB1030" t="s">
        <v>242</v>
      </c>
      <c r="AC1030" t="s">
        <v>3213</v>
      </c>
    </row>
    <row r="1031" spans="1:29" x14ac:dyDescent="0.25">
      <c r="A1031" t="s">
        <v>2165</v>
      </c>
      <c r="B1031" t="s">
        <v>254</v>
      </c>
      <c r="C1031" t="s">
        <v>333</v>
      </c>
      <c r="D1031" t="s">
        <v>3713</v>
      </c>
      <c r="E1031" t="s">
        <v>3761</v>
      </c>
      <c r="F1031">
        <v>10000000</v>
      </c>
      <c r="G1031" t="s">
        <v>9349</v>
      </c>
      <c r="H1031" t="s">
        <v>241</v>
      </c>
      <c r="I1031" t="s">
        <v>242</v>
      </c>
      <c r="J1031" t="s">
        <v>242</v>
      </c>
      <c r="K1031" t="s">
        <v>242</v>
      </c>
      <c r="L1031" t="s">
        <v>241</v>
      </c>
      <c r="M1031">
        <v>39.04892624</v>
      </c>
      <c r="N1031">
        <v>-123.1374371</v>
      </c>
      <c r="O1031">
        <v>1.66</v>
      </c>
      <c r="P1031">
        <v>1.66</v>
      </c>
      <c r="Q1031">
        <v>2</v>
      </c>
      <c r="R1031">
        <v>2.33</v>
      </c>
      <c r="S1031">
        <v>2.83</v>
      </c>
      <c r="T1031">
        <v>3</v>
      </c>
      <c r="U1031">
        <v>3</v>
      </c>
      <c r="V1031">
        <v>3</v>
      </c>
      <c r="W1031">
        <v>3</v>
      </c>
      <c r="X1031">
        <v>3</v>
      </c>
      <c r="Y1031">
        <v>2</v>
      </c>
      <c r="Z1031">
        <v>1.66</v>
      </c>
      <c r="AA1031" t="s">
        <v>9335</v>
      </c>
      <c r="AB1031" t="s">
        <v>241</v>
      </c>
      <c r="AC1031" t="s">
        <v>3213</v>
      </c>
    </row>
    <row r="1032" spans="1:29" x14ac:dyDescent="0.25">
      <c r="A1032" t="s">
        <v>2166</v>
      </c>
      <c r="B1032" t="s">
        <v>254</v>
      </c>
      <c r="C1032" t="s">
        <v>333</v>
      </c>
      <c r="D1032" t="s">
        <v>3713</v>
      </c>
      <c r="E1032" t="s">
        <v>3761</v>
      </c>
      <c r="F1032">
        <v>10000000</v>
      </c>
      <c r="G1032" t="s">
        <v>9349</v>
      </c>
      <c r="H1032" t="s">
        <v>241</v>
      </c>
      <c r="I1032" t="s">
        <v>242</v>
      </c>
      <c r="J1032" t="s">
        <v>242</v>
      </c>
      <c r="K1032" t="s">
        <v>242</v>
      </c>
      <c r="L1032" t="s">
        <v>241</v>
      </c>
      <c r="M1032">
        <v>39.043821870000002</v>
      </c>
      <c r="N1032">
        <v>-123.1342952</v>
      </c>
      <c r="O1032">
        <v>1.33</v>
      </c>
      <c r="P1032">
        <v>1.66</v>
      </c>
      <c r="Q1032">
        <v>1.66</v>
      </c>
      <c r="R1032">
        <v>2.16</v>
      </c>
      <c r="S1032">
        <v>2.33</v>
      </c>
      <c r="T1032">
        <v>2.33</v>
      </c>
      <c r="U1032">
        <v>2.66</v>
      </c>
      <c r="V1032">
        <v>2.33</v>
      </c>
      <c r="W1032">
        <v>2.33</v>
      </c>
      <c r="X1032">
        <v>2</v>
      </c>
      <c r="Y1032">
        <v>1.66</v>
      </c>
      <c r="Z1032">
        <v>1.66</v>
      </c>
      <c r="AA1032" t="s">
        <v>9335</v>
      </c>
      <c r="AB1032" t="s">
        <v>241</v>
      </c>
      <c r="AC1032" t="s">
        <v>3213</v>
      </c>
    </row>
    <row r="1033" spans="1:29" x14ac:dyDescent="0.25">
      <c r="A1033" t="s">
        <v>2167</v>
      </c>
      <c r="B1033" t="s">
        <v>254</v>
      </c>
      <c r="C1033" t="s">
        <v>311</v>
      </c>
      <c r="D1033" t="s">
        <v>3713</v>
      </c>
      <c r="E1033" t="s">
        <v>3761</v>
      </c>
      <c r="F1033">
        <v>10000000</v>
      </c>
      <c r="G1033" t="s">
        <v>9349</v>
      </c>
      <c r="H1033" t="s">
        <v>242</v>
      </c>
      <c r="I1033" t="s">
        <v>242</v>
      </c>
      <c r="J1033" t="s">
        <v>242</v>
      </c>
      <c r="K1033" t="s">
        <v>242</v>
      </c>
      <c r="L1033" t="s">
        <v>241</v>
      </c>
      <c r="M1033">
        <v>38.631966239999997</v>
      </c>
      <c r="N1033">
        <v>-122.7663435</v>
      </c>
      <c r="O1033">
        <v>0</v>
      </c>
      <c r="P1033">
        <v>0</v>
      </c>
      <c r="Q1033">
        <v>0</v>
      </c>
      <c r="R1033">
        <v>0</v>
      </c>
      <c r="S1033">
        <v>50</v>
      </c>
      <c r="T1033">
        <v>50</v>
      </c>
      <c r="U1033">
        <v>50</v>
      </c>
      <c r="V1033">
        <v>50</v>
      </c>
      <c r="W1033">
        <v>50</v>
      </c>
      <c r="X1033">
        <v>0</v>
      </c>
      <c r="Y1033">
        <v>0</v>
      </c>
      <c r="Z1033">
        <v>0</v>
      </c>
      <c r="AA1033" t="s">
        <v>9335</v>
      </c>
      <c r="AB1033" t="s">
        <v>242</v>
      </c>
      <c r="AC1033" t="s">
        <v>3229</v>
      </c>
    </row>
    <row r="1034" spans="1:29" x14ac:dyDescent="0.25">
      <c r="A1034" t="s">
        <v>2168</v>
      </c>
      <c r="B1034" t="s">
        <v>254</v>
      </c>
      <c r="C1034" t="s">
        <v>354</v>
      </c>
      <c r="D1034" t="s">
        <v>3713</v>
      </c>
      <c r="E1034" t="s">
        <v>3761</v>
      </c>
      <c r="F1034">
        <v>10000000</v>
      </c>
      <c r="G1034" t="s">
        <v>9349</v>
      </c>
      <c r="H1034" t="s">
        <v>241</v>
      </c>
      <c r="I1034" t="s">
        <v>242</v>
      </c>
      <c r="J1034" t="s">
        <v>242</v>
      </c>
      <c r="K1034" t="s">
        <v>242</v>
      </c>
      <c r="L1034" t="s">
        <v>241</v>
      </c>
      <c r="M1034">
        <v>38.790369720000001</v>
      </c>
      <c r="N1034">
        <v>-123.0059389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1.1000000000000001</v>
      </c>
      <c r="U1034">
        <v>1.1000000000000001</v>
      </c>
      <c r="V1034">
        <v>1.1000000000000001</v>
      </c>
      <c r="W1034">
        <v>0.36</v>
      </c>
      <c r="X1034">
        <v>0</v>
      </c>
      <c r="Y1034">
        <v>0</v>
      </c>
      <c r="Z1034">
        <v>0</v>
      </c>
      <c r="AA1034" t="s">
        <v>9335</v>
      </c>
      <c r="AB1034" t="s">
        <v>242</v>
      </c>
      <c r="AC1034" t="s">
        <v>3229</v>
      </c>
    </row>
    <row r="1035" spans="1:29" x14ac:dyDescent="0.25">
      <c r="A1035" t="s">
        <v>2172</v>
      </c>
      <c r="B1035" t="s">
        <v>254</v>
      </c>
      <c r="C1035" t="s">
        <v>319</v>
      </c>
      <c r="D1035" t="s">
        <v>3713</v>
      </c>
      <c r="E1035" t="s">
        <v>3761</v>
      </c>
      <c r="F1035">
        <v>10000000</v>
      </c>
      <c r="G1035" t="s">
        <v>9349</v>
      </c>
      <c r="H1035" t="s">
        <v>242</v>
      </c>
      <c r="I1035" t="s">
        <v>242</v>
      </c>
      <c r="J1035" t="s">
        <v>242</v>
      </c>
      <c r="K1035" t="s">
        <v>242</v>
      </c>
      <c r="L1035" t="s">
        <v>241</v>
      </c>
      <c r="M1035">
        <v>38.960589200000001</v>
      </c>
      <c r="N1035">
        <v>-123.0556548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 t="s">
        <v>9335</v>
      </c>
      <c r="AB1035" t="s">
        <v>242</v>
      </c>
      <c r="AC1035" t="s">
        <v>3213</v>
      </c>
    </row>
    <row r="1036" spans="1:29" x14ac:dyDescent="0.25">
      <c r="A1036" t="s">
        <v>2173</v>
      </c>
      <c r="B1036" t="s">
        <v>254</v>
      </c>
      <c r="C1036" t="s">
        <v>319</v>
      </c>
      <c r="D1036" t="s">
        <v>3713</v>
      </c>
      <c r="E1036" t="s">
        <v>3761</v>
      </c>
      <c r="F1036">
        <v>10000000</v>
      </c>
      <c r="G1036" t="s">
        <v>9349</v>
      </c>
      <c r="H1036" t="s">
        <v>242</v>
      </c>
      <c r="I1036" t="s">
        <v>242</v>
      </c>
      <c r="J1036" t="s">
        <v>242</v>
      </c>
      <c r="K1036" t="s">
        <v>242</v>
      </c>
      <c r="L1036" t="s">
        <v>241</v>
      </c>
      <c r="M1036">
        <v>38.966051579999998</v>
      </c>
      <c r="N1036">
        <v>-123.05890170000001</v>
      </c>
      <c r="O1036">
        <v>0</v>
      </c>
      <c r="P1036">
        <v>0</v>
      </c>
      <c r="Q1036">
        <v>0</v>
      </c>
      <c r="R1036">
        <v>0.73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 t="s">
        <v>9335</v>
      </c>
      <c r="AB1036" t="s">
        <v>242</v>
      </c>
      <c r="AC1036" t="s">
        <v>3213</v>
      </c>
    </row>
    <row r="1037" spans="1:29" x14ac:dyDescent="0.25">
      <c r="A1037" t="s">
        <v>2174</v>
      </c>
      <c r="B1037" t="s">
        <v>254</v>
      </c>
      <c r="C1037" t="s">
        <v>311</v>
      </c>
      <c r="D1037" t="s">
        <v>3713</v>
      </c>
      <c r="E1037" t="s">
        <v>3761</v>
      </c>
      <c r="F1037">
        <v>10000000</v>
      </c>
      <c r="G1037" t="s">
        <v>9349</v>
      </c>
      <c r="H1037" t="s">
        <v>242</v>
      </c>
      <c r="I1037" t="s">
        <v>242</v>
      </c>
      <c r="J1037" t="s">
        <v>242</v>
      </c>
      <c r="K1037" t="s">
        <v>242</v>
      </c>
      <c r="L1037" t="s">
        <v>241</v>
      </c>
      <c r="M1037">
        <v>38.611114180000001</v>
      </c>
      <c r="N1037">
        <v>-122.76366950000001</v>
      </c>
      <c r="O1037">
        <v>0</v>
      </c>
      <c r="P1037">
        <v>0</v>
      </c>
      <c r="Q1037">
        <v>0</v>
      </c>
      <c r="R1037">
        <v>0</v>
      </c>
      <c r="S1037">
        <v>1.2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 t="s">
        <v>9343</v>
      </c>
      <c r="AB1037" t="s">
        <v>241</v>
      </c>
      <c r="AC1037" t="s">
        <v>3229</v>
      </c>
    </row>
    <row r="1038" spans="1:29" x14ac:dyDescent="0.25">
      <c r="A1038" t="s">
        <v>2175</v>
      </c>
      <c r="B1038" t="s">
        <v>254</v>
      </c>
      <c r="C1038" t="s">
        <v>311</v>
      </c>
      <c r="D1038" t="s">
        <v>3713</v>
      </c>
      <c r="E1038" t="s">
        <v>3761</v>
      </c>
      <c r="F1038">
        <v>10000000</v>
      </c>
      <c r="G1038" t="s">
        <v>9349</v>
      </c>
      <c r="H1038" t="s">
        <v>242</v>
      </c>
      <c r="I1038" t="s">
        <v>242</v>
      </c>
      <c r="J1038" t="s">
        <v>242</v>
      </c>
      <c r="K1038" t="s">
        <v>242</v>
      </c>
      <c r="L1038" t="s">
        <v>241</v>
      </c>
      <c r="M1038">
        <v>38.620975649999998</v>
      </c>
      <c r="N1038">
        <v>-122.6790677</v>
      </c>
      <c r="O1038">
        <v>0</v>
      </c>
      <c r="P1038">
        <v>0.92</v>
      </c>
      <c r="Q1038">
        <v>0.92</v>
      </c>
      <c r="R1038">
        <v>0.92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 t="s">
        <v>9335</v>
      </c>
      <c r="AB1038" t="s">
        <v>242</v>
      </c>
      <c r="AC1038" t="s">
        <v>3229</v>
      </c>
    </row>
    <row r="1039" spans="1:29" x14ac:dyDescent="0.25">
      <c r="A1039" t="s">
        <v>123</v>
      </c>
      <c r="B1039" t="s">
        <v>254</v>
      </c>
      <c r="C1039" t="s">
        <v>311</v>
      </c>
      <c r="D1039" t="s">
        <v>3713</v>
      </c>
      <c r="E1039" t="s">
        <v>3761</v>
      </c>
      <c r="F1039">
        <v>10000000</v>
      </c>
      <c r="G1039" t="s">
        <v>9349</v>
      </c>
      <c r="H1039" t="s">
        <v>242</v>
      </c>
      <c r="I1039" t="s">
        <v>242</v>
      </c>
      <c r="J1039" t="s">
        <v>242</v>
      </c>
      <c r="K1039" t="s">
        <v>242</v>
      </c>
      <c r="L1039" t="s">
        <v>241</v>
      </c>
      <c r="M1039">
        <v>38.665546759999998</v>
      </c>
      <c r="N1039">
        <v>-122.79542530000001</v>
      </c>
      <c r="O1039">
        <v>4.7300000000000004</v>
      </c>
      <c r="P1039">
        <v>5.13</v>
      </c>
      <c r="Q1039">
        <v>3.8</v>
      </c>
      <c r="R1039">
        <v>1.26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0.7</v>
      </c>
      <c r="Z1039">
        <v>1</v>
      </c>
      <c r="AA1039" t="s">
        <v>9335</v>
      </c>
      <c r="AB1039" t="s">
        <v>242</v>
      </c>
      <c r="AC1039" t="s">
        <v>3229</v>
      </c>
    </row>
    <row r="1040" spans="1:29" x14ac:dyDescent="0.25">
      <c r="A1040" t="s">
        <v>2177</v>
      </c>
      <c r="B1040" t="s">
        <v>254</v>
      </c>
      <c r="C1040" t="s">
        <v>311</v>
      </c>
      <c r="D1040" t="s">
        <v>3713</v>
      </c>
      <c r="E1040" t="s">
        <v>3761</v>
      </c>
      <c r="F1040">
        <v>10000000</v>
      </c>
      <c r="G1040" t="s">
        <v>9349</v>
      </c>
      <c r="H1040" t="s">
        <v>242</v>
      </c>
      <c r="I1040" t="s">
        <v>242</v>
      </c>
      <c r="J1040" t="s">
        <v>242</v>
      </c>
      <c r="K1040" t="s">
        <v>242</v>
      </c>
      <c r="L1040" t="s">
        <v>241</v>
      </c>
      <c r="M1040">
        <v>38.614201999999999</v>
      </c>
      <c r="N1040">
        <v>-122.6632534</v>
      </c>
      <c r="O1040">
        <v>1.33</v>
      </c>
      <c r="P1040">
        <v>1.33</v>
      </c>
      <c r="Q1040">
        <v>0.83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0.16</v>
      </c>
      <c r="Z1040">
        <v>0.83</v>
      </c>
      <c r="AA1040" t="s">
        <v>9335</v>
      </c>
      <c r="AB1040" t="s">
        <v>242</v>
      </c>
      <c r="AC1040" t="s">
        <v>3229</v>
      </c>
    </row>
    <row r="1041" spans="1:29" x14ac:dyDescent="0.25">
      <c r="A1041" t="s">
        <v>2179</v>
      </c>
      <c r="B1041" t="s">
        <v>254</v>
      </c>
      <c r="C1041" t="s">
        <v>409</v>
      </c>
      <c r="D1041" t="s">
        <v>3713</v>
      </c>
      <c r="E1041" t="s">
        <v>3761</v>
      </c>
      <c r="F1041">
        <v>10000000</v>
      </c>
      <c r="G1041" t="s">
        <v>9349</v>
      </c>
      <c r="H1041" t="s">
        <v>242</v>
      </c>
      <c r="I1041" t="s">
        <v>242</v>
      </c>
      <c r="J1041" t="s">
        <v>242</v>
      </c>
      <c r="K1041" t="s">
        <v>242</v>
      </c>
      <c r="L1041" t="s">
        <v>241</v>
      </c>
      <c r="M1041">
        <v>38.785407450000001</v>
      </c>
      <c r="N1041">
        <v>-122.9081577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 t="s">
        <v>9335</v>
      </c>
      <c r="AB1041" t="s">
        <v>242</v>
      </c>
      <c r="AC1041" t="s">
        <v>3229</v>
      </c>
    </row>
    <row r="1042" spans="1:29" x14ac:dyDescent="0.25">
      <c r="A1042" t="s">
        <v>129</v>
      </c>
      <c r="B1042" t="s">
        <v>254</v>
      </c>
      <c r="C1042" t="s">
        <v>354</v>
      </c>
      <c r="D1042" t="s">
        <v>3713</v>
      </c>
      <c r="E1042" t="s">
        <v>3761</v>
      </c>
      <c r="F1042">
        <v>10000000</v>
      </c>
      <c r="G1042" t="s">
        <v>9349</v>
      </c>
      <c r="H1042" t="s">
        <v>241</v>
      </c>
      <c r="I1042" t="s">
        <v>242</v>
      </c>
      <c r="J1042" t="s">
        <v>242</v>
      </c>
      <c r="K1042" t="s">
        <v>242</v>
      </c>
      <c r="L1042" t="s">
        <v>241</v>
      </c>
      <c r="M1042">
        <v>38.773723400000002</v>
      </c>
      <c r="N1042">
        <v>-122.97764050000001</v>
      </c>
      <c r="O1042">
        <v>0</v>
      </c>
      <c r="P1042">
        <v>0.56000000000000005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 t="s">
        <v>9335</v>
      </c>
      <c r="AB1042" t="s">
        <v>242</v>
      </c>
      <c r="AC1042" t="s">
        <v>3229</v>
      </c>
    </row>
    <row r="1043" spans="1:29" x14ac:dyDescent="0.25">
      <c r="A1043" t="s">
        <v>37</v>
      </c>
      <c r="B1043" t="s">
        <v>254</v>
      </c>
      <c r="C1043" t="s">
        <v>354</v>
      </c>
      <c r="D1043" t="s">
        <v>3713</v>
      </c>
      <c r="E1043" t="s">
        <v>3761</v>
      </c>
      <c r="F1043">
        <v>10000000</v>
      </c>
      <c r="G1043" t="s">
        <v>9349</v>
      </c>
      <c r="H1043" t="s">
        <v>241</v>
      </c>
      <c r="I1043" t="s">
        <v>242</v>
      </c>
      <c r="J1043" t="s">
        <v>242</v>
      </c>
      <c r="K1043" t="s">
        <v>242</v>
      </c>
      <c r="L1043" t="s">
        <v>241</v>
      </c>
      <c r="M1043">
        <v>38.765825659999997</v>
      </c>
      <c r="N1043">
        <v>-122.9698156</v>
      </c>
      <c r="O1043">
        <v>0</v>
      </c>
      <c r="P1043">
        <v>0</v>
      </c>
      <c r="Q1043">
        <v>0</v>
      </c>
      <c r="R1043">
        <v>0</v>
      </c>
      <c r="S1043">
        <v>0.1</v>
      </c>
      <c r="T1043">
        <v>0.11</v>
      </c>
      <c r="U1043">
        <v>0.2</v>
      </c>
      <c r="V1043">
        <v>0.19</v>
      </c>
      <c r="W1043">
        <v>0.16</v>
      </c>
      <c r="X1043">
        <v>0.13</v>
      </c>
      <c r="Y1043">
        <v>0</v>
      </c>
      <c r="Z1043">
        <v>0</v>
      </c>
      <c r="AA1043" t="s">
        <v>9335</v>
      </c>
      <c r="AB1043" t="s">
        <v>242</v>
      </c>
      <c r="AC1043" t="s">
        <v>3229</v>
      </c>
    </row>
    <row r="1044" spans="1:29" x14ac:dyDescent="0.25">
      <c r="A1044" t="s">
        <v>2186</v>
      </c>
      <c r="B1044" t="s">
        <v>254</v>
      </c>
      <c r="C1044" t="s">
        <v>354</v>
      </c>
      <c r="D1044" t="s">
        <v>3713</v>
      </c>
      <c r="E1044" t="s">
        <v>3761</v>
      </c>
      <c r="F1044">
        <v>10000000</v>
      </c>
      <c r="G1044" t="s">
        <v>9349</v>
      </c>
      <c r="H1044" t="s">
        <v>242</v>
      </c>
      <c r="I1044" t="s">
        <v>242</v>
      </c>
      <c r="J1044" t="s">
        <v>242</v>
      </c>
      <c r="K1044" t="s">
        <v>242</v>
      </c>
      <c r="L1044" t="s">
        <v>241</v>
      </c>
      <c r="M1044">
        <v>38.771275580000001</v>
      </c>
      <c r="N1044">
        <v>-123.0070724</v>
      </c>
      <c r="O1044">
        <v>1.74</v>
      </c>
      <c r="P1044">
        <v>0.52</v>
      </c>
      <c r="Q1044">
        <v>0.28000000000000003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0.01</v>
      </c>
      <c r="Y1044">
        <v>0.45</v>
      </c>
      <c r="Z1044">
        <v>0.46</v>
      </c>
      <c r="AA1044" t="s">
        <v>9335</v>
      </c>
      <c r="AB1044" t="s">
        <v>242</v>
      </c>
      <c r="AC1044" t="s">
        <v>3229</v>
      </c>
    </row>
    <row r="1045" spans="1:29" x14ac:dyDescent="0.25">
      <c r="A1045" t="s">
        <v>3180</v>
      </c>
      <c r="B1045" t="s">
        <v>254</v>
      </c>
      <c r="C1045" t="e">
        <v>#N/A</v>
      </c>
      <c r="D1045" t="s">
        <v>3713</v>
      </c>
      <c r="E1045" t="s">
        <v>3761</v>
      </c>
      <c r="F1045">
        <v>18960101</v>
      </c>
      <c r="G1045" t="s">
        <v>9348</v>
      </c>
      <c r="I1045" t="s">
        <v>241</v>
      </c>
      <c r="L1045" t="s">
        <v>242</v>
      </c>
    </row>
    <row r="1046" spans="1:29" x14ac:dyDescent="0.25">
      <c r="A1046" t="s">
        <v>2190</v>
      </c>
      <c r="B1046" t="s">
        <v>254</v>
      </c>
      <c r="C1046" t="s">
        <v>311</v>
      </c>
      <c r="D1046" t="s">
        <v>3713</v>
      </c>
      <c r="E1046" t="s">
        <v>3761</v>
      </c>
      <c r="F1046">
        <v>10000000</v>
      </c>
      <c r="G1046" t="s">
        <v>9349</v>
      </c>
      <c r="H1046" t="s">
        <v>242</v>
      </c>
      <c r="I1046" t="s">
        <v>242</v>
      </c>
      <c r="J1046" t="s">
        <v>242</v>
      </c>
      <c r="K1046" t="s">
        <v>242</v>
      </c>
      <c r="L1046" t="s">
        <v>241</v>
      </c>
      <c r="M1046">
        <v>38.584125419999999</v>
      </c>
      <c r="N1046">
        <v>-122.6402339</v>
      </c>
      <c r="O1046">
        <v>0.5</v>
      </c>
      <c r="P1046">
        <v>0.5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0.5</v>
      </c>
      <c r="AA1046" t="s">
        <v>9335</v>
      </c>
      <c r="AB1046" t="s">
        <v>242</v>
      </c>
      <c r="AC1046" t="s">
        <v>3229</v>
      </c>
    </row>
    <row r="1047" spans="1:29" x14ac:dyDescent="0.25">
      <c r="A1047" t="s">
        <v>2193</v>
      </c>
      <c r="B1047" t="s">
        <v>254</v>
      </c>
      <c r="C1047" t="s">
        <v>319</v>
      </c>
      <c r="D1047" t="s">
        <v>3713</v>
      </c>
      <c r="E1047" t="s">
        <v>3761</v>
      </c>
      <c r="F1047">
        <v>10000000</v>
      </c>
      <c r="G1047" t="s">
        <v>9349</v>
      </c>
      <c r="H1047" t="s">
        <v>241</v>
      </c>
      <c r="I1047" t="s">
        <v>242</v>
      </c>
      <c r="J1047" t="s">
        <v>242</v>
      </c>
      <c r="K1047" t="s">
        <v>242</v>
      </c>
      <c r="L1047" t="s">
        <v>241</v>
      </c>
      <c r="M1047">
        <v>39.012989169999997</v>
      </c>
      <c r="N1047">
        <v>-123.1196142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4.0199999999999996</v>
      </c>
      <c r="U1047">
        <v>7.41</v>
      </c>
      <c r="V1047">
        <v>2.96</v>
      </c>
      <c r="W1047">
        <v>0</v>
      </c>
      <c r="X1047">
        <v>0</v>
      </c>
      <c r="Y1047">
        <v>0</v>
      </c>
      <c r="Z1047">
        <v>0</v>
      </c>
      <c r="AA1047" t="s">
        <v>9335</v>
      </c>
      <c r="AB1047" t="s">
        <v>242</v>
      </c>
      <c r="AC1047" t="s">
        <v>3213</v>
      </c>
    </row>
    <row r="1048" spans="1:29" x14ac:dyDescent="0.25">
      <c r="A1048" t="s">
        <v>1807</v>
      </c>
      <c r="B1048" t="s">
        <v>254</v>
      </c>
      <c r="C1048" t="s">
        <v>354</v>
      </c>
      <c r="D1048" t="s">
        <v>3713</v>
      </c>
      <c r="E1048" t="s">
        <v>3761</v>
      </c>
      <c r="F1048">
        <v>19000101</v>
      </c>
      <c r="G1048" t="s">
        <v>9348</v>
      </c>
      <c r="H1048" t="s">
        <v>241</v>
      </c>
      <c r="I1048" t="s">
        <v>241</v>
      </c>
      <c r="J1048" t="s">
        <v>242</v>
      </c>
      <c r="K1048" t="s">
        <v>242</v>
      </c>
      <c r="L1048" t="s">
        <v>242</v>
      </c>
      <c r="M1048">
        <v>38.729953430000002</v>
      </c>
      <c r="N1048">
        <v>-122.92375269999999</v>
      </c>
      <c r="O1048">
        <v>0</v>
      </c>
      <c r="P1048">
        <v>0</v>
      </c>
      <c r="Q1048">
        <v>0</v>
      </c>
      <c r="R1048">
        <v>0.61</v>
      </c>
      <c r="S1048">
        <v>1.84</v>
      </c>
      <c r="T1048">
        <v>2.4500000000000002</v>
      </c>
      <c r="U1048">
        <v>2.4500000000000002</v>
      </c>
      <c r="V1048">
        <v>2.2400000000000002</v>
      </c>
      <c r="W1048">
        <v>1.84</v>
      </c>
      <c r="X1048">
        <v>0</v>
      </c>
      <c r="Y1048">
        <v>0</v>
      </c>
      <c r="Z1048">
        <v>0</v>
      </c>
      <c r="AA1048" t="s">
        <v>9335</v>
      </c>
      <c r="AB1048" t="s">
        <v>242</v>
      </c>
      <c r="AC1048" t="s">
        <v>3229</v>
      </c>
    </row>
    <row r="1049" spans="1:29" x14ac:dyDescent="0.25">
      <c r="A1049" t="s">
        <v>98</v>
      </c>
      <c r="B1049" t="s">
        <v>254</v>
      </c>
      <c r="C1049" t="e">
        <v>#N/A</v>
      </c>
      <c r="D1049" t="s">
        <v>3713</v>
      </c>
      <c r="E1049" t="s">
        <v>3761</v>
      </c>
      <c r="F1049">
        <v>10000000</v>
      </c>
      <c r="G1049" t="s">
        <v>9349</v>
      </c>
      <c r="I1049" t="s">
        <v>242</v>
      </c>
      <c r="L1049" t="s">
        <v>241</v>
      </c>
    </row>
    <row r="1050" spans="1:29" x14ac:dyDescent="0.25">
      <c r="A1050" t="s">
        <v>2194</v>
      </c>
      <c r="B1050" t="s">
        <v>254</v>
      </c>
      <c r="C1050" t="s">
        <v>436</v>
      </c>
      <c r="D1050" t="s">
        <v>3713</v>
      </c>
      <c r="E1050" t="s">
        <v>3761</v>
      </c>
      <c r="F1050">
        <v>10000000</v>
      </c>
      <c r="G1050" t="s">
        <v>9349</v>
      </c>
      <c r="H1050" t="s">
        <v>241</v>
      </c>
      <c r="I1050" t="s">
        <v>242</v>
      </c>
      <c r="J1050" t="s">
        <v>242</v>
      </c>
      <c r="K1050" t="s">
        <v>242</v>
      </c>
      <c r="L1050" t="s">
        <v>241</v>
      </c>
      <c r="M1050">
        <v>38.67906687</v>
      </c>
      <c r="N1050">
        <v>-122.84600519999999</v>
      </c>
      <c r="O1050">
        <v>0</v>
      </c>
      <c r="P1050">
        <v>0.48</v>
      </c>
      <c r="Q1050">
        <v>1.3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8.24</v>
      </c>
      <c r="X1050">
        <v>3.35</v>
      </c>
      <c r="Y1050">
        <v>0.57999999999999996</v>
      </c>
      <c r="Z1050">
        <v>0</v>
      </c>
      <c r="AA1050" t="s">
        <v>9335</v>
      </c>
      <c r="AB1050" t="s">
        <v>242</v>
      </c>
      <c r="AC1050" t="s">
        <v>3229</v>
      </c>
    </row>
    <row r="1051" spans="1:29" x14ac:dyDescent="0.25">
      <c r="A1051" t="s">
        <v>2196</v>
      </c>
      <c r="B1051" t="s">
        <v>254</v>
      </c>
      <c r="C1051" t="s">
        <v>436</v>
      </c>
      <c r="D1051" t="s">
        <v>3713</v>
      </c>
      <c r="E1051" t="s">
        <v>3761</v>
      </c>
      <c r="F1051">
        <v>10000000</v>
      </c>
      <c r="G1051" t="s">
        <v>9349</v>
      </c>
      <c r="H1051" t="s">
        <v>241</v>
      </c>
      <c r="I1051" t="s">
        <v>242</v>
      </c>
      <c r="J1051" t="s">
        <v>242</v>
      </c>
      <c r="K1051" t="s">
        <v>242</v>
      </c>
      <c r="L1051" t="s">
        <v>241</v>
      </c>
      <c r="M1051">
        <v>38.677199999999999</v>
      </c>
      <c r="N1051">
        <v>-122.8567</v>
      </c>
      <c r="O1051">
        <v>0</v>
      </c>
      <c r="P1051">
        <v>3.43</v>
      </c>
      <c r="Q1051">
        <v>5.83</v>
      </c>
      <c r="R1051">
        <v>3.03</v>
      </c>
      <c r="S1051">
        <v>0.03</v>
      </c>
      <c r="T1051">
        <v>0.2</v>
      </c>
      <c r="U1051">
        <v>0.4</v>
      </c>
      <c r="V1051">
        <v>0.56000000000000005</v>
      </c>
      <c r="W1051">
        <v>2.6</v>
      </c>
      <c r="X1051">
        <v>1.43</v>
      </c>
      <c r="Y1051">
        <v>0</v>
      </c>
      <c r="Z1051">
        <v>0</v>
      </c>
      <c r="AA1051" t="s">
        <v>9335</v>
      </c>
      <c r="AB1051" t="s">
        <v>242</v>
      </c>
      <c r="AC1051" t="s">
        <v>3229</v>
      </c>
    </row>
    <row r="1052" spans="1:29" x14ac:dyDescent="0.25">
      <c r="A1052" t="s">
        <v>2198</v>
      </c>
      <c r="B1052" t="s">
        <v>254</v>
      </c>
      <c r="C1052" t="s">
        <v>354</v>
      </c>
      <c r="D1052" t="s">
        <v>3713</v>
      </c>
      <c r="E1052" t="s">
        <v>3761</v>
      </c>
      <c r="F1052">
        <v>10000000</v>
      </c>
      <c r="G1052" t="s">
        <v>9349</v>
      </c>
      <c r="H1052" t="s">
        <v>242</v>
      </c>
      <c r="I1052" t="s">
        <v>242</v>
      </c>
      <c r="J1052" t="s">
        <v>242</v>
      </c>
      <c r="K1052" t="s">
        <v>242</v>
      </c>
      <c r="L1052" t="s">
        <v>241</v>
      </c>
      <c r="M1052">
        <v>38.765853929999999</v>
      </c>
      <c r="N1052">
        <v>-122.9989284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 t="s">
        <v>9335</v>
      </c>
      <c r="AB1052" t="s">
        <v>242</v>
      </c>
      <c r="AC1052" t="s">
        <v>3229</v>
      </c>
    </row>
    <row r="1053" spans="1:29" x14ac:dyDescent="0.25">
      <c r="A1053" t="s">
        <v>2200</v>
      </c>
      <c r="B1053" t="s">
        <v>254</v>
      </c>
      <c r="C1053" t="s">
        <v>436</v>
      </c>
      <c r="D1053" t="s">
        <v>3713</v>
      </c>
      <c r="E1053" t="s">
        <v>3761</v>
      </c>
      <c r="F1053">
        <v>10000000</v>
      </c>
      <c r="G1053" t="s">
        <v>9349</v>
      </c>
      <c r="H1053" t="s">
        <v>241</v>
      </c>
      <c r="I1053" t="s">
        <v>242</v>
      </c>
      <c r="J1053" t="s">
        <v>242</v>
      </c>
      <c r="K1053" t="s">
        <v>242</v>
      </c>
      <c r="L1053" t="s">
        <v>241</v>
      </c>
      <c r="M1053">
        <v>38.667000000000002</v>
      </c>
      <c r="N1053">
        <v>-122.8266</v>
      </c>
      <c r="O1053">
        <v>0</v>
      </c>
      <c r="P1053">
        <v>0.5</v>
      </c>
      <c r="Q1053">
        <v>2.56</v>
      </c>
      <c r="R1053">
        <v>0</v>
      </c>
      <c r="S1053">
        <v>0</v>
      </c>
      <c r="T1053">
        <v>0</v>
      </c>
      <c r="U1053">
        <v>0</v>
      </c>
      <c r="V1053">
        <v>3.96</v>
      </c>
      <c r="W1053">
        <v>1.23</v>
      </c>
      <c r="X1053">
        <v>0.56000000000000005</v>
      </c>
      <c r="Y1053">
        <v>1.2</v>
      </c>
      <c r="Z1053">
        <v>0</v>
      </c>
      <c r="AA1053" t="s">
        <v>9335</v>
      </c>
      <c r="AB1053" t="s">
        <v>242</v>
      </c>
      <c r="AC1053" t="s">
        <v>3229</v>
      </c>
    </row>
    <row r="1054" spans="1:29" x14ac:dyDescent="0.25">
      <c r="A1054" t="s">
        <v>2201</v>
      </c>
      <c r="B1054" t="s">
        <v>254</v>
      </c>
      <c r="C1054" t="s">
        <v>507</v>
      </c>
      <c r="D1054" t="s">
        <v>3713</v>
      </c>
      <c r="E1054" t="s">
        <v>3761</v>
      </c>
      <c r="F1054">
        <v>10000000</v>
      </c>
      <c r="G1054" t="s">
        <v>9349</v>
      </c>
      <c r="H1054" t="s">
        <v>241</v>
      </c>
      <c r="I1054" t="s">
        <v>242</v>
      </c>
      <c r="J1054" t="s">
        <v>242</v>
      </c>
      <c r="K1054" t="s">
        <v>242</v>
      </c>
      <c r="L1054" t="s">
        <v>241</v>
      </c>
      <c r="M1054">
        <v>38.614199999999997</v>
      </c>
      <c r="N1054">
        <v>-122.8309</v>
      </c>
      <c r="O1054">
        <v>0.01</v>
      </c>
      <c r="P1054">
        <v>0.01</v>
      </c>
      <c r="Q1054">
        <v>0.01</v>
      </c>
      <c r="R1054">
        <v>0.01</v>
      </c>
      <c r="S1054">
        <v>0.01</v>
      </c>
      <c r="T1054">
        <v>0.01</v>
      </c>
      <c r="U1054">
        <v>3.6825E-3</v>
      </c>
      <c r="V1054">
        <v>9.5134999999999994E-3</v>
      </c>
      <c r="W1054">
        <v>6.1380000000000002E-3</v>
      </c>
      <c r="X1054">
        <v>5.8310000000000002E-3</v>
      </c>
      <c r="Y1054">
        <v>0.01</v>
      </c>
      <c r="Z1054">
        <v>0.01</v>
      </c>
      <c r="AA1054" t="s">
        <v>9333</v>
      </c>
      <c r="AB1054" t="s">
        <v>242</v>
      </c>
      <c r="AC1054" t="s">
        <v>3229</v>
      </c>
    </row>
    <row r="1055" spans="1:29" x14ac:dyDescent="0.25">
      <c r="A1055" t="s">
        <v>2202</v>
      </c>
      <c r="B1055" t="s">
        <v>254</v>
      </c>
      <c r="C1055" t="s">
        <v>311</v>
      </c>
      <c r="D1055" t="s">
        <v>3713</v>
      </c>
      <c r="E1055" t="s">
        <v>3761</v>
      </c>
      <c r="F1055">
        <v>10000000</v>
      </c>
      <c r="G1055" t="s">
        <v>9349</v>
      </c>
      <c r="H1055" t="s">
        <v>242</v>
      </c>
      <c r="I1055" t="s">
        <v>242</v>
      </c>
      <c r="J1055" t="s">
        <v>242</v>
      </c>
      <c r="K1055" t="s">
        <v>242</v>
      </c>
      <c r="L1055" t="s">
        <v>241</v>
      </c>
      <c r="M1055">
        <v>38.617400000000004</v>
      </c>
      <c r="N1055">
        <v>-122.7743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 t="s">
        <v>9335</v>
      </c>
      <c r="AB1055" t="s">
        <v>242</v>
      </c>
      <c r="AC1055" t="s">
        <v>3229</v>
      </c>
    </row>
    <row r="1056" spans="1:29" x14ac:dyDescent="0.25">
      <c r="A1056" t="s">
        <v>2204</v>
      </c>
      <c r="B1056" t="s">
        <v>254</v>
      </c>
      <c r="C1056" t="s">
        <v>436</v>
      </c>
      <c r="D1056" t="s">
        <v>3713</v>
      </c>
      <c r="E1056" t="s">
        <v>3761</v>
      </c>
      <c r="F1056">
        <v>10000000</v>
      </c>
      <c r="G1056" t="s">
        <v>9349</v>
      </c>
      <c r="H1056" t="s">
        <v>241</v>
      </c>
      <c r="I1056" t="s">
        <v>242</v>
      </c>
      <c r="J1056" t="s">
        <v>242</v>
      </c>
      <c r="K1056" t="s">
        <v>242</v>
      </c>
      <c r="L1056" t="s">
        <v>241</v>
      </c>
      <c r="M1056">
        <v>38.671858980000003</v>
      </c>
      <c r="N1056">
        <v>-122.85399339999999</v>
      </c>
      <c r="O1056">
        <v>0</v>
      </c>
      <c r="P1056">
        <v>0</v>
      </c>
      <c r="Q1056">
        <v>0.1</v>
      </c>
      <c r="R1056">
        <v>0</v>
      </c>
      <c r="S1056">
        <v>0.93</v>
      </c>
      <c r="T1056">
        <v>1.96</v>
      </c>
      <c r="U1056">
        <v>2.56</v>
      </c>
      <c r="V1056">
        <v>4.9000000000000004</v>
      </c>
      <c r="W1056">
        <v>5.93</v>
      </c>
      <c r="X1056">
        <v>1.36</v>
      </c>
      <c r="Y1056">
        <v>0</v>
      </c>
      <c r="Z1056">
        <v>0</v>
      </c>
      <c r="AA1056" t="s">
        <v>9335</v>
      </c>
      <c r="AB1056" t="s">
        <v>242</v>
      </c>
      <c r="AC1056" t="s">
        <v>3229</v>
      </c>
    </row>
    <row r="1057" spans="1:29" x14ac:dyDescent="0.25">
      <c r="A1057" t="s">
        <v>2205</v>
      </c>
      <c r="B1057" t="s">
        <v>254</v>
      </c>
      <c r="C1057" t="s">
        <v>436</v>
      </c>
      <c r="D1057" t="s">
        <v>3713</v>
      </c>
      <c r="E1057" t="s">
        <v>3761</v>
      </c>
      <c r="F1057">
        <v>10000000</v>
      </c>
      <c r="G1057" t="s">
        <v>9349</v>
      </c>
      <c r="H1057" t="s">
        <v>241</v>
      </c>
      <c r="I1057" t="s">
        <v>242</v>
      </c>
      <c r="J1057" t="s">
        <v>242</v>
      </c>
      <c r="K1057" t="s">
        <v>242</v>
      </c>
      <c r="L1057" t="s">
        <v>241</v>
      </c>
      <c r="M1057">
        <v>38.671190520000003</v>
      </c>
      <c r="N1057">
        <v>-122.85153339999999</v>
      </c>
      <c r="O1057">
        <v>0</v>
      </c>
      <c r="P1057">
        <v>0</v>
      </c>
      <c r="Q1057">
        <v>0.1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0.56000000000000005</v>
      </c>
      <c r="X1057">
        <v>0.43</v>
      </c>
      <c r="Y1057">
        <v>0</v>
      </c>
      <c r="Z1057">
        <v>0</v>
      </c>
      <c r="AA1057" t="s">
        <v>9335</v>
      </c>
      <c r="AB1057" t="s">
        <v>242</v>
      </c>
      <c r="AC1057" t="s">
        <v>3229</v>
      </c>
    </row>
    <row r="1058" spans="1:29" x14ac:dyDescent="0.25">
      <c r="A1058" t="s">
        <v>2206</v>
      </c>
      <c r="B1058" t="s">
        <v>254</v>
      </c>
      <c r="C1058" t="s">
        <v>436</v>
      </c>
      <c r="D1058" t="s">
        <v>3713</v>
      </c>
      <c r="E1058" t="s">
        <v>3761</v>
      </c>
      <c r="F1058">
        <v>10000000</v>
      </c>
      <c r="G1058" t="s">
        <v>9349</v>
      </c>
      <c r="H1058" t="s">
        <v>241</v>
      </c>
      <c r="I1058" t="s">
        <v>242</v>
      </c>
      <c r="J1058" t="s">
        <v>242</v>
      </c>
      <c r="K1058" t="s">
        <v>242</v>
      </c>
      <c r="L1058" t="s">
        <v>241</v>
      </c>
      <c r="M1058">
        <v>38.671401770000003</v>
      </c>
      <c r="N1058">
        <v>-122.8413777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 t="s">
        <v>9335</v>
      </c>
      <c r="AB1058" t="s">
        <v>241</v>
      </c>
      <c r="AC1058" t="s">
        <v>3229</v>
      </c>
    </row>
    <row r="1059" spans="1:29" x14ac:dyDescent="0.25">
      <c r="A1059" t="s">
        <v>2207</v>
      </c>
      <c r="B1059" t="s">
        <v>254</v>
      </c>
      <c r="C1059" t="s">
        <v>436</v>
      </c>
      <c r="D1059" t="s">
        <v>3713</v>
      </c>
      <c r="E1059" t="s">
        <v>3761</v>
      </c>
      <c r="F1059">
        <v>10000000</v>
      </c>
      <c r="G1059" t="s">
        <v>9349</v>
      </c>
      <c r="H1059" t="s">
        <v>242</v>
      </c>
      <c r="I1059" t="s">
        <v>242</v>
      </c>
      <c r="J1059" t="s">
        <v>242</v>
      </c>
      <c r="K1059" t="s">
        <v>242</v>
      </c>
      <c r="L1059" t="s">
        <v>241</v>
      </c>
      <c r="M1059">
        <v>38.671335200000001</v>
      </c>
      <c r="N1059">
        <v>-122.8121283</v>
      </c>
      <c r="O1059">
        <v>0</v>
      </c>
      <c r="P1059">
        <v>0</v>
      </c>
      <c r="Q1059">
        <v>0.15</v>
      </c>
      <c r="R1059">
        <v>0</v>
      </c>
      <c r="S1059">
        <v>1.4</v>
      </c>
      <c r="T1059">
        <v>2.95</v>
      </c>
      <c r="U1059">
        <v>3.85</v>
      </c>
      <c r="V1059">
        <v>7.35</v>
      </c>
      <c r="W1059">
        <v>8.0500000000000007</v>
      </c>
      <c r="X1059">
        <v>1.4</v>
      </c>
      <c r="Y1059">
        <v>0</v>
      </c>
      <c r="Z1059">
        <v>0</v>
      </c>
      <c r="AA1059" t="s">
        <v>9335</v>
      </c>
      <c r="AB1059" t="s">
        <v>241</v>
      </c>
      <c r="AC1059" t="s">
        <v>3229</v>
      </c>
    </row>
    <row r="1060" spans="1:29" x14ac:dyDescent="0.25">
      <c r="A1060" t="s">
        <v>2209</v>
      </c>
      <c r="B1060" t="s">
        <v>254</v>
      </c>
      <c r="C1060" t="s">
        <v>308</v>
      </c>
      <c r="D1060" t="s">
        <v>3713</v>
      </c>
      <c r="E1060" t="s">
        <v>3761</v>
      </c>
      <c r="F1060">
        <v>10000000</v>
      </c>
      <c r="G1060" t="s">
        <v>9349</v>
      </c>
      <c r="H1060" t="s">
        <v>242</v>
      </c>
      <c r="I1060" t="s">
        <v>242</v>
      </c>
      <c r="J1060" t="s">
        <v>242</v>
      </c>
      <c r="K1060" t="s">
        <v>242</v>
      </c>
      <c r="L1060" t="s">
        <v>241</v>
      </c>
      <c r="M1060">
        <v>38.645215129999997</v>
      </c>
      <c r="N1060">
        <v>-122.68034900000001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 t="s">
        <v>9335</v>
      </c>
      <c r="AB1060" t="s">
        <v>242</v>
      </c>
      <c r="AC1060" t="s">
        <v>3229</v>
      </c>
    </row>
    <row r="1061" spans="1:29" x14ac:dyDescent="0.25">
      <c r="A1061" t="s">
        <v>2210</v>
      </c>
      <c r="B1061" t="s">
        <v>254</v>
      </c>
      <c r="C1061" t="s">
        <v>354</v>
      </c>
      <c r="D1061" t="s">
        <v>3713</v>
      </c>
      <c r="E1061" t="s">
        <v>3761</v>
      </c>
      <c r="F1061">
        <v>10000000</v>
      </c>
      <c r="G1061" t="s">
        <v>9349</v>
      </c>
      <c r="H1061" t="s">
        <v>241</v>
      </c>
      <c r="I1061" t="s">
        <v>242</v>
      </c>
      <c r="J1061" t="s">
        <v>242</v>
      </c>
      <c r="K1061" t="s">
        <v>242</v>
      </c>
      <c r="L1061" t="s">
        <v>241</v>
      </c>
      <c r="M1061">
        <v>38.789983630000002</v>
      </c>
      <c r="N1061">
        <v>-123.002951</v>
      </c>
      <c r="O1061">
        <v>1.45</v>
      </c>
      <c r="P1061">
        <v>1.45</v>
      </c>
      <c r="Q1061">
        <v>1.53</v>
      </c>
      <c r="R1061">
        <v>1.95</v>
      </c>
      <c r="S1061">
        <v>2.19</v>
      </c>
      <c r="T1061">
        <v>2.0099999999999998</v>
      </c>
      <c r="U1061">
        <v>2.2200000000000002</v>
      </c>
      <c r="V1061">
        <v>1.42</v>
      </c>
      <c r="W1061">
        <v>1.45</v>
      </c>
      <c r="X1061">
        <v>1.85</v>
      </c>
      <c r="Y1061">
        <v>1.73</v>
      </c>
      <c r="Z1061">
        <v>0.92</v>
      </c>
      <c r="AA1061" t="s">
        <v>9335</v>
      </c>
      <c r="AB1061" t="s">
        <v>242</v>
      </c>
      <c r="AC1061" t="s">
        <v>3229</v>
      </c>
    </row>
    <row r="1062" spans="1:29" x14ac:dyDescent="0.25">
      <c r="A1062" t="s">
        <v>2229</v>
      </c>
      <c r="B1062" t="s">
        <v>254</v>
      </c>
      <c r="C1062" t="s">
        <v>436</v>
      </c>
      <c r="D1062" t="s">
        <v>3713</v>
      </c>
      <c r="E1062" t="s">
        <v>3761</v>
      </c>
      <c r="F1062">
        <v>10000000</v>
      </c>
      <c r="G1062" t="s">
        <v>9349</v>
      </c>
      <c r="H1062" t="s">
        <v>241</v>
      </c>
      <c r="I1062" t="s">
        <v>242</v>
      </c>
      <c r="J1062" t="s">
        <v>242</v>
      </c>
      <c r="K1062" t="s">
        <v>242</v>
      </c>
      <c r="L1062" t="s">
        <v>241</v>
      </c>
      <c r="M1062">
        <v>38.701897989999999</v>
      </c>
      <c r="N1062">
        <v>-122.8930694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 t="s">
        <v>9335</v>
      </c>
      <c r="AB1062" t="s">
        <v>242</v>
      </c>
      <c r="AC1062" t="s">
        <v>3229</v>
      </c>
    </row>
    <row r="1063" spans="1:29" x14ac:dyDescent="0.25">
      <c r="A1063" t="s">
        <v>2230</v>
      </c>
      <c r="B1063" t="s">
        <v>254</v>
      </c>
      <c r="C1063" t="s">
        <v>436</v>
      </c>
      <c r="D1063" t="s">
        <v>3713</v>
      </c>
      <c r="E1063" t="s">
        <v>3761</v>
      </c>
      <c r="F1063">
        <v>10000000</v>
      </c>
      <c r="G1063" t="s">
        <v>9349</v>
      </c>
      <c r="H1063" t="s">
        <v>241</v>
      </c>
      <c r="I1063" t="s">
        <v>242</v>
      </c>
      <c r="J1063" t="s">
        <v>242</v>
      </c>
      <c r="K1063" t="s">
        <v>242</v>
      </c>
      <c r="L1063" t="s">
        <v>241</v>
      </c>
      <c r="M1063">
        <v>38.701396619999997</v>
      </c>
      <c r="N1063">
        <v>-122.8907713</v>
      </c>
      <c r="O1063">
        <v>0.04</v>
      </c>
      <c r="P1063">
        <v>0.04</v>
      </c>
      <c r="Q1063">
        <v>0.02</v>
      </c>
      <c r="R1063">
        <v>0.03</v>
      </c>
      <c r="S1063">
        <v>0.09</v>
      </c>
      <c r="T1063">
        <v>0.12</v>
      </c>
      <c r="U1063">
        <v>0.17</v>
      </c>
      <c r="V1063">
        <v>0.24</v>
      </c>
      <c r="W1063">
        <v>0.23</v>
      </c>
      <c r="X1063">
        <v>0.17</v>
      </c>
      <c r="Y1063">
        <v>0.08</v>
      </c>
      <c r="Z1063">
        <v>0.03</v>
      </c>
      <c r="AA1063" t="s">
        <v>9335</v>
      </c>
      <c r="AB1063" t="s">
        <v>242</v>
      </c>
      <c r="AC1063" t="s">
        <v>3229</v>
      </c>
    </row>
    <row r="1064" spans="1:29" x14ac:dyDescent="0.25">
      <c r="A1064" t="s">
        <v>2231</v>
      </c>
      <c r="B1064" t="s">
        <v>254</v>
      </c>
      <c r="C1064" t="s">
        <v>436</v>
      </c>
      <c r="D1064" t="s">
        <v>3713</v>
      </c>
      <c r="E1064" t="s">
        <v>3761</v>
      </c>
      <c r="F1064">
        <v>10000000</v>
      </c>
      <c r="G1064" t="s">
        <v>9349</v>
      </c>
      <c r="H1064" t="s">
        <v>241</v>
      </c>
      <c r="I1064" t="s">
        <v>242</v>
      </c>
      <c r="J1064" t="s">
        <v>242</v>
      </c>
      <c r="K1064" t="s">
        <v>242</v>
      </c>
      <c r="L1064" t="s">
        <v>241</v>
      </c>
      <c r="M1064">
        <v>38.700897169999998</v>
      </c>
      <c r="N1064">
        <v>-122.89036900000001</v>
      </c>
      <c r="O1064">
        <v>0</v>
      </c>
      <c r="P1064">
        <v>0.04</v>
      </c>
      <c r="Q1064">
        <v>0.46</v>
      </c>
      <c r="R1064">
        <v>0</v>
      </c>
      <c r="S1064">
        <v>0.28999999999999998</v>
      </c>
      <c r="T1064">
        <v>1.56</v>
      </c>
      <c r="U1064">
        <v>2.72</v>
      </c>
      <c r="V1064">
        <v>5.4</v>
      </c>
      <c r="W1064">
        <v>2.06</v>
      </c>
      <c r="X1064">
        <v>0.96</v>
      </c>
      <c r="Y1064">
        <v>0.03</v>
      </c>
      <c r="Z1064">
        <v>0</v>
      </c>
      <c r="AA1064" t="s">
        <v>9343</v>
      </c>
      <c r="AB1064" t="s">
        <v>242</v>
      </c>
      <c r="AC1064" t="s">
        <v>3229</v>
      </c>
    </row>
    <row r="1065" spans="1:29" x14ac:dyDescent="0.25">
      <c r="A1065" t="s">
        <v>2232</v>
      </c>
      <c r="B1065" t="s">
        <v>254</v>
      </c>
      <c r="C1065" t="s">
        <v>436</v>
      </c>
      <c r="D1065" t="s">
        <v>3713</v>
      </c>
      <c r="E1065" t="s">
        <v>3761</v>
      </c>
      <c r="F1065">
        <v>10000000</v>
      </c>
      <c r="G1065" t="s">
        <v>9349</v>
      </c>
      <c r="H1065" t="s">
        <v>241</v>
      </c>
      <c r="I1065" t="s">
        <v>242</v>
      </c>
      <c r="J1065" t="s">
        <v>242</v>
      </c>
      <c r="K1065" t="s">
        <v>242</v>
      </c>
      <c r="L1065" t="s">
        <v>241</v>
      </c>
      <c r="M1065">
        <v>38.702973319999998</v>
      </c>
      <c r="N1065">
        <v>-122.89142529999999</v>
      </c>
      <c r="O1065">
        <v>0</v>
      </c>
      <c r="P1065">
        <v>0.03</v>
      </c>
      <c r="Q1065">
        <v>0.46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0.63</v>
      </c>
      <c r="Z1065">
        <v>0</v>
      </c>
      <c r="AA1065" t="s">
        <v>9343</v>
      </c>
      <c r="AB1065" t="s">
        <v>242</v>
      </c>
      <c r="AC1065" t="s">
        <v>3229</v>
      </c>
    </row>
    <row r="1066" spans="1:29" x14ac:dyDescent="0.25">
      <c r="A1066" t="s">
        <v>2237</v>
      </c>
      <c r="B1066" t="s">
        <v>254</v>
      </c>
      <c r="C1066" t="s">
        <v>354</v>
      </c>
      <c r="D1066" t="s">
        <v>3713</v>
      </c>
      <c r="E1066" t="s">
        <v>3761</v>
      </c>
      <c r="F1066">
        <v>10000000</v>
      </c>
      <c r="G1066" t="s">
        <v>9349</v>
      </c>
      <c r="H1066" t="s">
        <v>242</v>
      </c>
      <c r="I1066" t="s">
        <v>242</v>
      </c>
      <c r="J1066" t="s">
        <v>242</v>
      </c>
      <c r="K1066" t="s">
        <v>242</v>
      </c>
      <c r="L1066" t="s">
        <v>241</v>
      </c>
      <c r="M1066">
        <v>38.717799999999997</v>
      </c>
      <c r="N1066">
        <v>-122.9075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 t="s">
        <v>9335</v>
      </c>
      <c r="AB1066" t="s">
        <v>242</v>
      </c>
      <c r="AC1066" t="s">
        <v>3229</v>
      </c>
    </row>
    <row r="1067" spans="1:29" x14ac:dyDescent="0.25">
      <c r="A1067" t="s">
        <v>2239</v>
      </c>
      <c r="B1067" t="s">
        <v>254</v>
      </c>
      <c r="C1067" t="s">
        <v>354</v>
      </c>
      <c r="D1067" t="s">
        <v>3713</v>
      </c>
      <c r="E1067" t="s">
        <v>3761</v>
      </c>
      <c r="F1067">
        <v>10000000</v>
      </c>
      <c r="G1067" t="s">
        <v>9349</v>
      </c>
      <c r="H1067" t="s">
        <v>241</v>
      </c>
      <c r="I1067" t="s">
        <v>242</v>
      </c>
      <c r="J1067" t="s">
        <v>242</v>
      </c>
      <c r="K1067" t="s">
        <v>242</v>
      </c>
      <c r="L1067" t="s">
        <v>241</v>
      </c>
      <c r="M1067">
        <v>38.725999999999999</v>
      </c>
      <c r="N1067">
        <v>-122.9307</v>
      </c>
      <c r="O1067">
        <v>0</v>
      </c>
      <c r="P1067">
        <v>4.0000000000000001E-3</v>
      </c>
      <c r="Q1067">
        <v>2E-3</v>
      </c>
      <c r="R1067">
        <v>8.1836666666666707E-3</v>
      </c>
      <c r="S1067">
        <v>0.24</v>
      </c>
      <c r="T1067">
        <v>0.31</v>
      </c>
      <c r="U1067">
        <v>1.17</v>
      </c>
      <c r="V1067">
        <v>1.53</v>
      </c>
      <c r="W1067">
        <v>0.79</v>
      </c>
      <c r="X1067">
        <v>0.38</v>
      </c>
      <c r="Y1067">
        <v>0.02</v>
      </c>
      <c r="Z1067">
        <v>0</v>
      </c>
      <c r="AA1067" t="s">
        <v>9335</v>
      </c>
      <c r="AB1067" t="s">
        <v>242</v>
      </c>
      <c r="AC1067" t="s">
        <v>3229</v>
      </c>
    </row>
    <row r="1068" spans="1:29" x14ac:dyDescent="0.25">
      <c r="A1068" t="s">
        <v>2260</v>
      </c>
      <c r="B1068" t="s">
        <v>254</v>
      </c>
      <c r="C1068" t="s">
        <v>436</v>
      </c>
      <c r="D1068" t="s">
        <v>3713</v>
      </c>
      <c r="E1068" t="s">
        <v>3761</v>
      </c>
      <c r="F1068">
        <v>10000000</v>
      </c>
      <c r="G1068" t="s">
        <v>9349</v>
      </c>
      <c r="H1068" t="s">
        <v>241</v>
      </c>
      <c r="I1068" t="s">
        <v>242</v>
      </c>
      <c r="J1068" t="s">
        <v>242</v>
      </c>
      <c r="K1068" t="s">
        <v>242</v>
      </c>
      <c r="L1068" t="s">
        <v>241</v>
      </c>
      <c r="M1068">
        <v>38.708399999999997</v>
      </c>
      <c r="N1068">
        <v>-122.8843</v>
      </c>
      <c r="O1068">
        <v>0</v>
      </c>
      <c r="P1068">
        <v>0</v>
      </c>
      <c r="Q1068">
        <v>0</v>
      </c>
      <c r="R1068">
        <v>0.13</v>
      </c>
      <c r="S1068">
        <v>0.33</v>
      </c>
      <c r="T1068">
        <v>0.9</v>
      </c>
      <c r="U1068">
        <v>2.33</v>
      </c>
      <c r="V1068">
        <v>3.9</v>
      </c>
      <c r="W1068">
        <v>2.86</v>
      </c>
      <c r="X1068">
        <v>0.9</v>
      </c>
      <c r="Y1068">
        <v>0.06</v>
      </c>
      <c r="Z1068">
        <v>0</v>
      </c>
      <c r="AA1068" t="s">
        <v>9335</v>
      </c>
      <c r="AB1068" t="s">
        <v>242</v>
      </c>
      <c r="AC1068" t="s">
        <v>3229</v>
      </c>
    </row>
    <row r="1069" spans="1:29" x14ac:dyDescent="0.25">
      <c r="A1069" t="s">
        <v>2261</v>
      </c>
      <c r="B1069" t="s">
        <v>254</v>
      </c>
      <c r="C1069" t="s">
        <v>436</v>
      </c>
      <c r="D1069" t="s">
        <v>3713</v>
      </c>
      <c r="E1069" t="s">
        <v>3761</v>
      </c>
      <c r="F1069">
        <v>10000000</v>
      </c>
      <c r="G1069" t="s">
        <v>9349</v>
      </c>
      <c r="H1069" t="s">
        <v>241</v>
      </c>
      <c r="I1069" t="s">
        <v>242</v>
      </c>
      <c r="J1069" t="s">
        <v>242</v>
      </c>
      <c r="K1069" t="s">
        <v>242</v>
      </c>
      <c r="L1069" t="s">
        <v>241</v>
      </c>
      <c r="M1069">
        <v>38.708799999999997</v>
      </c>
      <c r="N1069">
        <v>-122.88460000000001</v>
      </c>
      <c r="O1069">
        <v>0.01</v>
      </c>
      <c r="P1069">
        <v>0.16</v>
      </c>
      <c r="Q1069">
        <v>0.56999999999999995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 t="s">
        <v>9343</v>
      </c>
      <c r="AB1069" t="s">
        <v>242</v>
      </c>
      <c r="AC1069" t="s">
        <v>3229</v>
      </c>
    </row>
    <row r="1070" spans="1:29" x14ac:dyDescent="0.25">
      <c r="A1070" t="s">
        <v>1889</v>
      </c>
      <c r="B1070" t="s">
        <v>254</v>
      </c>
      <c r="C1070" t="s">
        <v>348</v>
      </c>
      <c r="D1070" t="s">
        <v>3713</v>
      </c>
      <c r="E1070" t="s">
        <v>3761</v>
      </c>
      <c r="F1070">
        <v>10000000</v>
      </c>
      <c r="G1070" t="s">
        <v>9349</v>
      </c>
      <c r="H1070" t="s">
        <v>242</v>
      </c>
      <c r="I1070" t="s">
        <v>242</v>
      </c>
      <c r="J1070" t="s">
        <v>242</v>
      </c>
      <c r="K1070" t="s">
        <v>242</v>
      </c>
      <c r="L1070" t="s">
        <v>241</v>
      </c>
      <c r="M1070">
        <v>39.289200000000001</v>
      </c>
      <c r="N1070">
        <v>-123.0979</v>
      </c>
      <c r="O1070">
        <v>0</v>
      </c>
      <c r="P1070">
        <v>0</v>
      </c>
      <c r="Q1070">
        <v>0</v>
      </c>
      <c r="R1070">
        <v>2.2400000000000002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1.34</v>
      </c>
      <c r="Z1070">
        <v>0.37</v>
      </c>
      <c r="AA1070" t="s">
        <v>9335</v>
      </c>
      <c r="AB1070" t="s">
        <v>242</v>
      </c>
      <c r="AC1070" t="s">
        <v>3213</v>
      </c>
    </row>
    <row r="1071" spans="1:29" x14ac:dyDescent="0.25">
      <c r="A1071" t="s">
        <v>2268</v>
      </c>
      <c r="B1071" t="s">
        <v>254</v>
      </c>
      <c r="C1071" t="s">
        <v>436</v>
      </c>
      <c r="D1071" t="s">
        <v>3713</v>
      </c>
      <c r="E1071" t="s">
        <v>3761</v>
      </c>
      <c r="F1071">
        <v>10000000</v>
      </c>
      <c r="G1071" t="s">
        <v>9349</v>
      </c>
      <c r="H1071" t="s">
        <v>241</v>
      </c>
      <c r="I1071" t="s">
        <v>242</v>
      </c>
      <c r="J1071" t="s">
        <v>242</v>
      </c>
      <c r="K1071" t="s">
        <v>242</v>
      </c>
      <c r="L1071" t="s">
        <v>241</v>
      </c>
      <c r="M1071">
        <v>38.683326659999999</v>
      </c>
      <c r="N1071">
        <v>-122.8403769</v>
      </c>
      <c r="O1071">
        <v>0</v>
      </c>
      <c r="P1071">
        <v>0</v>
      </c>
      <c r="Q1071">
        <v>0</v>
      </c>
      <c r="R1071">
        <v>0</v>
      </c>
      <c r="S1071">
        <v>0.15</v>
      </c>
      <c r="T1071">
        <v>0.56000000000000005</v>
      </c>
      <c r="U1071">
        <v>1.44</v>
      </c>
      <c r="V1071">
        <v>1.43</v>
      </c>
      <c r="W1071">
        <v>1.26</v>
      </c>
      <c r="X1071">
        <v>0.56999999999999995</v>
      </c>
      <c r="Y1071">
        <v>0.47</v>
      </c>
      <c r="Z1071">
        <v>0</v>
      </c>
      <c r="AA1071" t="s">
        <v>9335</v>
      </c>
      <c r="AB1071" t="s">
        <v>242</v>
      </c>
      <c r="AC1071" t="s">
        <v>3229</v>
      </c>
    </row>
    <row r="1072" spans="1:29" x14ac:dyDescent="0.25">
      <c r="A1072" t="s">
        <v>142</v>
      </c>
      <c r="B1072" t="s">
        <v>254</v>
      </c>
      <c r="C1072" t="s">
        <v>436</v>
      </c>
      <c r="D1072" t="s">
        <v>3713</v>
      </c>
      <c r="E1072" t="s">
        <v>3761</v>
      </c>
      <c r="F1072">
        <v>10000000</v>
      </c>
      <c r="G1072" t="s">
        <v>9349</v>
      </c>
      <c r="H1072" t="s">
        <v>241</v>
      </c>
      <c r="I1072" t="s">
        <v>242</v>
      </c>
      <c r="J1072" t="s">
        <v>242</v>
      </c>
      <c r="K1072" t="s">
        <v>242</v>
      </c>
      <c r="L1072" t="s">
        <v>241</v>
      </c>
      <c r="M1072">
        <v>38.6845</v>
      </c>
      <c r="N1072">
        <v>-122.8511</v>
      </c>
      <c r="O1072">
        <v>0</v>
      </c>
      <c r="P1072">
        <v>0</v>
      </c>
      <c r="Q1072">
        <v>0</v>
      </c>
      <c r="R1072">
        <v>0</v>
      </c>
      <c r="S1072">
        <v>0.16</v>
      </c>
      <c r="T1072">
        <v>0.43</v>
      </c>
      <c r="U1072">
        <v>0.56000000000000005</v>
      </c>
      <c r="V1072">
        <v>1.46</v>
      </c>
      <c r="W1072">
        <v>1.1299999999999999</v>
      </c>
      <c r="X1072">
        <v>0.2</v>
      </c>
      <c r="Y1072">
        <v>0</v>
      </c>
      <c r="Z1072">
        <v>0</v>
      </c>
      <c r="AA1072" t="s">
        <v>9335</v>
      </c>
      <c r="AB1072" t="s">
        <v>242</v>
      </c>
      <c r="AC1072" t="s">
        <v>3229</v>
      </c>
    </row>
    <row r="1073" spans="1:29" x14ac:dyDescent="0.25">
      <c r="A1073" t="s">
        <v>143</v>
      </c>
      <c r="B1073" t="s">
        <v>254</v>
      </c>
      <c r="C1073" t="s">
        <v>436</v>
      </c>
      <c r="D1073" t="s">
        <v>3713</v>
      </c>
      <c r="E1073" t="s">
        <v>3761</v>
      </c>
      <c r="F1073">
        <v>10000000</v>
      </c>
      <c r="G1073" t="s">
        <v>9349</v>
      </c>
      <c r="H1073" t="s">
        <v>241</v>
      </c>
      <c r="I1073" t="s">
        <v>242</v>
      </c>
      <c r="J1073" t="s">
        <v>242</v>
      </c>
      <c r="K1073" t="s">
        <v>242</v>
      </c>
      <c r="L1073" t="s">
        <v>241</v>
      </c>
      <c r="M1073">
        <v>38.6858</v>
      </c>
      <c r="N1073">
        <v>-122.8421</v>
      </c>
      <c r="O1073">
        <v>0.06</v>
      </c>
      <c r="P1073">
        <v>0.06</v>
      </c>
      <c r="Q1073">
        <v>0.06</v>
      </c>
      <c r="R1073">
        <v>0.1</v>
      </c>
      <c r="S1073">
        <v>0.1</v>
      </c>
      <c r="T1073">
        <v>0.1</v>
      </c>
      <c r="U1073">
        <v>0.1</v>
      </c>
      <c r="V1073">
        <v>0.1</v>
      </c>
      <c r="W1073">
        <v>0.1</v>
      </c>
      <c r="X1073">
        <v>0.1</v>
      </c>
      <c r="Y1073">
        <v>0.06</v>
      </c>
      <c r="Z1073">
        <v>0.06</v>
      </c>
      <c r="AA1073" t="s">
        <v>9333</v>
      </c>
      <c r="AB1073" t="s">
        <v>242</v>
      </c>
      <c r="AC1073" t="s">
        <v>3229</v>
      </c>
    </row>
    <row r="1074" spans="1:29" x14ac:dyDescent="0.25">
      <c r="A1074" t="s">
        <v>2272</v>
      </c>
      <c r="B1074" t="s">
        <v>254</v>
      </c>
      <c r="C1074" t="s">
        <v>436</v>
      </c>
      <c r="D1074" t="s">
        <v>3713</v>
      </c>
      <c r="E1074" t="s">
        <v>3761</v>
      </c>
      <c r="F1074">
        <v>10000000</v>
      </c>
      <c r="G1074" t="s">
        <v>9349</v>
      </c>
      <c r="H1074" t="s">
        <v>241</v>
      </c>
      <c r="I1074" t="s">
        <v>242</v>
      </c>
      <c r="J1074" t="s">
        <v>242</v>
      </c>
      <c r="K1074" t="s">
        <v>242</v>
      </c>
      <c r="L1074" t="s">
        <v>241</v>
      </c>
      <c r="M1074">
        <v>38.674700000000001</v>
      </c>
      <c r="N1074">
        <v>-122.8353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6.53</v>
      </c>
      <c r="W1074">
        <v>6.8</v>
      </c>
      <c r="X1074">
        <v>0.73</v>
      </c>
      <c r="Y1074">
        <v>0</v>
      </c>
      <c r="Z1074">
        <v>0</v>
      </c>
      <c r="AA1074" t="s">
        <v>9335</v>
      </c>
      <c r="AB1074" t="s">
        <v>242</v>
      </c>
      <c r="AC1074" t="s">
        <v>3229</v>
      </c>
    </row>
    <row r="1075" spans="1:29" x14ac:dyDescent="0.25">
      <c r="A1075" t="s">
        <v>2274</v>
      </c>
      <c r="B1075" t="s">
        <v>254</v>
      </c>
      <c r="C1075" t="s">
        <v>436</v>
      </c>
      <c r="D1075" t="s">
        <v>3713</v>
      </c>
      <c r="E1075" t="s">
        <v>3761</v>
      </c>
      <c r="F1075">
        <v>10000000</v>
      </c>
      <c r="G1075" t="s">
        <v>9349</v>
      </c>
      <c r="H1075" t="s">
        <v>241</v>
      </c>
      <c r="I1075" t="s">
        <v>242</v>
      </c>
      <c r="J1075" t="s">
        <v>242</v>
      </c>
      <c r="K1075" t="s">
        <v>242</v>
      </c>
      <c r="L1075" t="s">
        <v>241</v>
      </c>
      <c r="M1075">
        <v>38.674999999999997</v>
      </c>
      <c r="N1075">
        <v>-122.8342</v>
      </c>
      <c r="O1075">
        <v>0.06</v>
      </c>
      <c r="P1075">
        <v>0.06</v>
      </c>
      <c r="Q1075">
        <v>0.06</v>
      </c>
      <c r="R1075">
        <v>0.1</v>
      </c>
      <c r="S1075">
        <v>0.1</v>
      </c>
      <c r="T1075">
        <v>0.1</v>
      </c>
      <c r="U1075">
        <v>0.1</v>
      </c>
      <c r="V1075">
        <v>0.1</v>
      </c>
      <c r="W1075">
        <v>0.1</v>
      </c>
      <c r="X1075">
        <v>0.1</v>
      </c>
      <c r="Y1075">
        <v>0.06</v>
      </c>
      <c r="Z1075">
        <v>0.06</v>
      </c>
      <c r="AA1075" t="s">
        <v>9333</v>
      </c>
      <c r="AB1075" t="s">
        <v>242</v>
      </c>
      <c r="AC1075" t="s">
        <v>3229</v>
      </c>
    </row>
    <row r="1076" spans="1:29" x14ac:dyDescent="0.25">
      <c r="A1076" t="s">
        <v>33</v>
      </c>
      <c r="B1076" t="s">
        <v>254</v>
      </c>
      <c r="C1076" t="s">
        <v>436</v>
      </c>
      <c r="D1076" t="s">
        <v>3713</v>
      </c>
      <c r="E1076" t="s">
        <v>3761</v>
      </c>
      <c r="F1076">
        <v>10000000</v>
      </c>
      <c r="G1076" t="s">
        <v>9349</v>
      </c>
      <c r="H1076" t="s">
        <v>242</v>
      </c>
      <c r="I1076" t="s">
        <v>242</v>
      </c>
      <c r="J1076" t="s">
        <v>242</v>
      </c>
      <c r="K1076" t="s">
        <v>242</v>
      </c>
      <c r="L1076" t="s">
        <v>241</v>
      </c>
      <c r="M1076">
        <v>38.714100000000002</v>
      </c>
      <c r="N1076">
        <v>-122.8165</v>
      </c>
      <c r="O1076">
        <v>0.73</v>
      </c>
      <c r="P1076">
        <v>1.88</v>
      </c>
      <c r="Q1076">
        <v>2.76</v>
      </c>
      <c r="R1076">
        <v>2.4300000000000002</v>
      </c>
      <c r="S1076">
        <v>4.22</v>
      </c>
      <c r="T1076">
        <v>5.61</v>
      </c>
      <c r="U1076">
        <v>6.32</v>
      </c>
      <c r="V1076">
        <v>4.82</v>
      </c>
      <c r="W1076">
        <v>3.59</v>
      </c>
      <c r="X1076">
        <v>1.19</v>
      </c>
      <c r="Y1076">
        <v>0.68</v>
      </c>
      <c r="Z1076">
        <v>0.56999999999999995</v>
      </c>
      <c r="AA1076" t="s">
        <v>9335</v>
      </c>
      <c r="AB1076" t="s">
        <v>242</v>
      </c>
      <c r="AC1076" t="s">
        <v>3229</v>
      </c>
    </row>
    <row r="1077" spans="1:29" x14ac:dyDescent="0.25">
      <c r="A1077" t="s">
        <v>60</v>
      </c>
      <c r="B1077" t="s">
        <v>254</v>
      </c>
      <c r="C1077" t="s">
        <v>333</v>
      </c>
      <c r="D1077" t="s">
        <v>3713</v>
      </c>
      <c r="E1077" t="s">
        <v>3761</v>
      </c>
      <c r="F1077">
        <v>10000000</v>
      </c>
      <c r="G1077" t="s">
        <v>9349</v>
      </c>
      <c r="H1077" t="s">
        <v>241</v>
      </c>
      <c r="I1077" t="s">
        <v>242</v>
      </c>
      <c r="J1077" t="s">
        <v>242</v>
      </c>
      <c r="K1077" t="s">
        <v>242</v>
      </c>
      <c r="L1077" t="s">
        <v>241</v>
      </c>
      <c r="M1077">
        <v>39.087200000000003</v>
      </c>
      <c r="N1077">
        <v>-123.1683</v>
      </c>
      <c r="O1077">
        <v>0</v>
      </c>
      <c r="P1077">
        <v>0</v>
      </c>
      <c r="Q1077">
        <v>0.73</v>
      </c>
      <c r="R1077">
        <v>0.9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 t="s">
        <v>9335</v>
      </c>
      <c r="AB1077" t="s">
        <v>242</v>
      </c>
      <c r="AC1077" t="s">
        <v>3213</v>
      </c>
    </row>
    <row r="1078" spans="1:29" x14ac:dyDescent="0.25">
      <c r="A1078" t="s">
        <v>2277</v>
      </c>
      <c r="B1078" t="s">
        <v>254</v>
      </c>
      <c r="C1078" t="s">
        <v>333</v>
      </c>
      <c r="D1078" t="s">
        <v>3713</v>
      </c>
      <c r="E1078" t="s">
        <v>3761</v>
      </c>
      <c r="F1078">
        <v>10000000</v>
      </c>
      <c r="G1078" t="s">
        <v>9349</v>
      </c>
      <c r="H1078" t="s">
        <v>241</v>
      </c>
      <c r="I1078" t="s">
        <v>242</v>
      </c>
      <c r="J1078" t="s">
        <v>242</v>
      </c>
      <c r="K1078" t="s">
        <v>242</v>
      </c>
      <c r="L1078" t="s">
        <v>241</v>
      </c>
      <c r="M1078">
        <v>39.059399999999997</v>
      </c>
      <c r="N1078">
        <v>-123.1446</v>
      </c>
      <c r="O1078">
        <v>0</v>
      </c>
      <c r="P1078">
        <v>0</v>
      </c>
      <c r="Q1078">
        <v>0.08</v>
      </c>
      <c r="R1078">
        <v>0.24</v>
      </c>
      <c r="S1078">
        <v>0.02</v>
      </c>
      <c r="T1078">
        <v>1.27</v>
      </c>
      <c r="U1078">
        <v>1.51</v>
      </c>
      <c r="V1078">
        <v>1.93</v>
      </c>
      <c r="W1078">
        <v>1.1299999999999999</v>
      </c>
      <c r="X1078">
        <v>2.56</v>
      </c>
      <c r="Y1078">
        <v>1.66</v>
      </c>
      <c r="Z1078">
        <v>0</v>
      </c>
      <c r="AA1078" t="s">
        <v>9335</v>
      </c>
      <c r="AB1078" t="s">
        <v>242</v>
      </c>
      <c r="AC1078" t="s">
        <v>3213</v>
      </c>
    </row>
    <row r="1079" spans="1:29" x14ac:dyDescent="0.25">
      <c r="A1079" t="s">
        <v>2279</v>
      </c>
      <c r="B1079" t="s">
        <v>254</v>
      </c>
      <c r="C1079" t="s">
        <v>333</v>
      </c>
      <c r="D1079" t="s">
        <v>3713</v>
      </c>
      <c r="E1079" t="s">
        <v>3761</v>
      </c>
      <c r="F1079">
        <v>10000000</v>
      </c>
      <c r="G1079" t="s">
        <v>9349</v>
      </c>
      <c r="H1079" t="s">
        <v>242</v>
      </c>
      <c r="I1079" t="s">
        <v>242</v>
      </c>
      <c r="J1079" t="s">
        <v>242</v>
      </c>
      <c r="K1079" t="s">
        <v>242</v>
      </c>
      <c r="L1079" t="s">
        <v>241</v>
      </c>
      <c r="M1079">
        <v>39.1004</v>
      </c>
      <c r="N1079">
        <v>-123.1998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 t="s">
        <v>9335</v>
      </c>
      <c r="AB1079" t="s">
        <v>242</v>
      </c>
      <c r="AC1079" t="s">
        <v>3213</v>
      </c>
    </row>
    <row r="1080" spans="1:29" x14ac:dyDescent="0.25">
      <c r="A1080" t="s">
        <v>2280</v>
      </c>
      <c r="B1080" t="s">
        <v>254</v>
      </c>
      <c r="C1080" t="s">
        <v>333</v>
      </c>
      <c r="D1080" t="s">
        <v>3713</v>
      </c>
      <c r="E1080" t="s">
        <v>3761</v>
      </c>
      <c r="F1080">
        <v>10000000</v>
      </c>
      <c r="G1080" t="s">
        <v>9349</v>
      </c>
      <c r="H1080" t="s">
        <v>242</v>
      </c>
      <c r="I1080" t="s">
        <v>242</v>
      </c>
      <c r="J1080" t="s">
        <v>242</v>
      </c>
      <c r="K1080" t="s">
        <v>242</v>
      </c>
      <c r="L1080" t="s">
        <v>241</v>
      </c>
      <c r="M1080">
        <v>39.100200000000001</v>
      </c>
      <c r="N1080">
        <v>-123.2003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 t="s">
        <v>9335</v>
      </c>
      <c r="AB1080" t="s">
        <v>242</v>
      </c>
      <c r="AC1080" t="s">
        <v>3213</v>
      </c>
    </row>
    <row r="1081" spans="1:29" x14ac:dyDescent="0.25">
      <c r="A1081" t="s">
        <v>2281</v>
      </c>
      <c r="B1081" t="s">
        <v>254</v>
      </c>
      <c r="C1081" t="s">
        <v>331</v>
      </c>
      <c r="D1081" t="s">
        <v>3713</v>
      </c>
      <c r="E1081" t="s">
        <v>3761</v>
      </c>
      <c r="F1081">
        <v>10000000</v>
      </c>
      <c r="G1081" t="s">
        <v>9349</v>
      </c>
      <c r="H1081" t="s">
        <v>241</v>
      </c>
      <c r="I1081" t="s">
        <v>242</v>
      </c>
      <c r="J1081" t="s">
        <v>242</v>
      </c>
      <c r="K1081" t="s">
        <v>242</v>
      </c>
      <c r="L1081" t="s">
        <v>241</v>
      </c>
      <c r="M1081">
        <v>39.124200000000002</v>
      </c>
      <c r="N1081">
        <v>-123.1831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 t="s">
        <v>9335</v>
      </c>
      <c r="AB1081" t="s">
        <v>242</v>
      </c>
      <c r="AC1081" t="s">
        <v>3213</v>
      </c>
    </row>
    <row r="1082" spans="1:29" x14ac:dyDescent="0.25">
      <c r="A1082" t="s">
        <v>2282</v>
      </c>
      <c r="B1082" t="s">
        <v>254</v>
      </c>
      <c r="C1082" t="s">
        <v>331</v>
      </c>
      <c r="D1082" t="s">
        <v>3713</v>
      </c>
      <c r="E1082" t="s">
        <v>3761</v>
      </c>
      <c r="F1082">
        <v>10000000</v>
      </c>
      <c r="G1082" t="s">
        <v>9349</v>
      </c>
      <c r="H1082" t="s">
        <v>241</v>
      </c>
      <c r="I1082" t="s">
        <v>242</v>
      </c>
      <c r="J1082" t="s">
        <v>242</v>
      </c>
      <c r="K1082" t="s">
        <v>242</v>
      </c>
      <c r="L1082" t="s">
        <v>241</v>
      </c>
      <c r="M1082">
        <v>39.133699999999997</v>
      </c>
      <c r="N1082">
        <v>-123.1874</v>
      </c>
      <c r="O1082">
        <v>0</v>
      </c>
      <c r="P1082">
        <v>0</v>
      </c>
      <c r="Q1082">
        <v>0</v>
      </c>
      <c r="R1082">
        <v>0</v>
      </c>
      <c r="S1082">
        <v>1.88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 t="s">
        <v>9335</v>
      </c>
      <c r="AB1082" t="s">
        <v>242</v>
      </c>
      <c r="AC1082" t="s">
        <v>3213</v>
      </c>
    </row>
    <row r="1083" spans="1:29" x14ac:dyDescent="0.25">
      <c r="A1083" t="s">
        <v>2283</v>
      </c>
      <c r="B1083" t="s">
        <v>254</v>
      </c>
      <c r="C1083" t="s">
        <v>331</v>
      </c>
      <c r="D1083" t="s">
        <v>3713</v>
      </c>
      <c r="E1083" t="s">
        <v>3761</v>
      </c>
      <c r="F1083">
        <v>10000000</v>
      </c>
      <c r="G1083" t="s">
        <v>9349</v>
      </c>
      <c r="H1083" t="s">
        <v>241</v>
      </c>
      <c r="I1083" t="s">
        <v>242</v>
      </c>
      <c r="J1083" t="s">
        <v>242</v>
      </c>
      <c r="K1083" t="s">
        <v>242</v>
      </c>
      <c r="L1083" t="s">
        <v>241</v>
      </c>
      <c r="M1083">
        <v>39.130299999999998</v>
      </c>
      <c r="N1083">
        <v>-123.1901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 t="s">
        <v>9335</v>
      </c>
      <c r="AB1083" t="s">
        <v>242</v>
      </c>
      <c r="AC1083" t="s">
        <v>3213</v>
      </c>
    </row>
    <row r="1084" spans="1:29" x14ac:dyDescent="0.25">
      <c r="A1084" t="s">
        <v>2284</v>
      </c>
      <c r="B1084" t="s">
        <v>254</v>
      </c>
      <c r="C1084" t="s">
        <v>331</v>
      </c>
      <c r="D1084" t="s">
        <v>3713</v>
      </c>
      <c r="E1084" t="s">
        <v>3761</v>
      </c>
      <c r="F1084">
        <v>10000000</v>
      </c>
      <c r="G1084" t="s">
        <v>9349</v>
      </c>
      <c r="H1084" t="s">
        <v>241</v>
      </c>
      <c r="I1084" t="s">
        <v>242</v>
      </c>
      <c r="J1084" t="s">
        <v>242</v>
      </c>
      <c r="K1084" t="s">
        <v>242</v>
      </c>
      <c r="L1084" t="s">
        <v>241</v>
      </c>
      <c r="M1084">
        <v>39.139299999999999</v>
      </c>
      <c r="N1084">
        <v>-123.1858</v>
      </c>
      <c r="O1084">
        <v>0</v>
      </c>
      <c r="P1084">
        <v>0</v>
      </c>
      <c r="Q1084">
        <v>0.09</v>
      </c>
      <c r="R1084">
        <v>0.03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 t="s">
        <v>9343</v>
      </c>
      <c r="AB1084" t="s">
        <v>242</v>
      </c>
      <c r="AC1084" t="s">
        <v>3213</v>
      </c>
    </row>
    <row r="1085" spans="1:29" x14ac:dyDescent="0.25">
      <c r="A1085" t="s">
        <v>2285</v>
      </c>
      <c r="B1085" t="s">
        <v>254</v>
      </c>
      <c r="C1085" t="s">
        <v>331</v>
      </c>
      <c r="D1085" t="s">
        <v>3713</v>
      </c>
      <c r="E1085" t="s">
        <v>3761</v>
      </c>
      <c r="F1085">
        <v>10000000</v>
      </c>
      <c r="G1085" t="s">
        <v>9349</v>
      </c>
      <c r="H1085" t="s">
        <v>241</v>
      </c>
      <c r="I1085" t="s">
        <v>242</v>
      </c>
      <c r="J1085" t="s">
        <v>242</v>
      </c>
      <c r="K1085" t="s">
        <v>242</v>
      </c>
      <c r="L1085" t="s">
        <v>241</v>
      </c>
      <c r="M1085">
        <v>39.120600000000003</v>
      </c>
      <c r="N1085">
        <v>-123.19240000000001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 t="s">
        <v>9335</v>
      </c>
      <c r="AB1085" t="s">
        <v>242</v>
      </c>
      <c r="AC1085" t="s">
        <v>3213</v>
      </c>
    </row>
    <row r="1086" spans="1:29" x14ac:dyDescent="0.25">
      <c r="A1086" t="s">
        <v>2286</v>
      </c>
      <c r="B1086" t="s">
        <v>254</v>
      </c>
      <c r="C1086" t="s">
        <v>311</v>
      </c>
      <c r="D1086" t="s">
        <v>3713</v>
      </c>
      <c r="E1086" t="s">
        <v>3761</v>
      </c>
      <c r="F1086">
        <v>10000000</v>
      </c>
      <c r="G1086" t="s">
        <v>9349</v>
      </c>
      <c r="H1086" t="s">
        <v>242</v>
      </c>
      <c r="I1086" t="s">
        <v>242</v>
      </c>
      <c r="J1086" t="s">
        <v>242</v>
      </c>
      <c r="K1086" t="s">
        <v>242</v>
      </c>
      <c r="L1086" t="s">
        <v>241</v>
      </c>
      <c r="M1086">
        <v>38.6004</v>
      </c>
      <c r="N1086">
        <v>-122.7552</v>
      </c>
      <c r="O1086">
        <v>5.33</v>
      </c>
      <c r="P1086">
        <v>2.66</v>
      </c>
      <c r="Q1086">
        <v>2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0.66</v>
      </c>
      <c r="AA1086" t="s">
        <v>9341</v>
      </c>
      <c r="AB1086" t="s">
        <v>242</v>
      </c>
      <c r="AC1086" t="s">
        <v>3229</v>
      </c>
    </row>
    <row r="1087" spans="1:29" x14ac:dyDescent="0.25">
      <c r="A1087" t="s">
        <v>81</v>
      </c>
      <c r="B1087" t="s">
        <v>254</v>
      </c>
      <c r="C1087" t="s">
        <v>311</v>
      </c>
      <c r="D1087" t="s">
        <v>3713</v>
      </c>
      <c r="E1087" t="s">
        <v>3761</v>
      </c>
      <c r="F1087">
        <v>10000000</v>
      </c>
      <c r="G1087" t="s">
        <v>9349</v>
      </c>
      <c r="H1087" t="s">
        <v>241</v>
      </c>
      <c r="I1087" t="s">
        <v>242</v>
      </c>
      <c r="J1087" t="s">
        <v>242</v>
      </c>
      <c r="K1087" t="s">
        <v>242</v>
      </c>
      <c r="L1087" t="s">
        <v>241</v>
      </c>
      <c r="M1087">
        <v>38.639699999999998</v>
      </c>
      <c r="N1087">
        <v>-122.7984</v>
      </c>
      <c r="O1087">
        <v>0</v>
      </c>
      <c r="P1087">
        <v>0</v>
      </c>
      <c r="Q1087">
        <v>0</v>
      </c>
      <c r="R1087">
        <v>0.01</v>
      </c>
      <c r="S1087">
        <v>0.67</v>
      </c>
      <c r="T1087">
        <v>0.49</v>
      </c>
      <c r="U1087">
        <v>0.68</v>
      </c>
      <c r="V1087">
        <v>0.87</v>
      </c>
      <c r="W1087">
        <v>0.38</v>
      </c>
      <c r="X1087">
        <v>0.3</v>
      </c>
      <c r="Y1087">
        <v>0.06</v>
      </c>
      <c r="Z1087">
        <v>0</v>
      </c>
      <c r="AA1087" t="s">
        <v>9335</v>
      </c>
      <c r="AB1087" t="s">
        <v>242</v>
      </c>
      <c r="AC1087" t="s">
        <v>3229</v>
      </c>
    </row>
    <row r="1088" spans="1:29" x14ac:dyDescent="0.25">
      <c r="A1088" t="s">
        <v>80</v>
      </c>
      <c r="B1088" t="s">
        <v>254</v>
      </c>
      <c r="C1088" t="s">
        <v>311</v>
      </c>
      <c r="D1088" t="s">
        <v>3713</v>
      </c>
      <c r="E1088" t="s">
        <v>3761</v>
      </c>
      <c r="F1088">
        <v>10000000</v>
      </c>
      <c r="G1088" t="s">
        <v>9349</v>
      </c>
      <c r="H1088" t="s">
        <v>241</v>
      </c>
      <c r="I1088" t="s">
        <v>242</v>
      </c>
      <c r="J1088" t="s">
        <v>242</v>
      </c>
      <c r="K1088" t="s">
        <v>242</v>
      </c>
      <c r="L1088" t="s">
        <v>241</v>
      </c>
      <c r="M1088">
        <v>38.625599999999999</v>
      </c>
      <c r="N1088">
        <v>-122.8171</v>
      </c>
      <c r="O1088">
        <v>0</v>
      </c>
      <c r="P1088">
        <v>0.06</v>
      </c>
      <c r="Q1088">
        <v>0.1</v>
      </c>
      <c r="R1088">
        <v>0.03</v>
      </c>
      <c r="S1088">
        <v>0.06</v>
      </c>
      <c r="T1088">
        <v>0.74</v>
      </c>
      <c r="U1088">
        <v>1.5</v>
      </c>
      <c r="V1088">
        <v>2.74</v>
      </c>
      <c r="W1088">
        <v>2.5299999999999998</v>
      </c>
      <c r="X1088">
        <v>1.83</v>
      </c>
      <c r="Y1088">
        <v>0</v>
      </c>
      <c r="Z1088">
        <v>0</v>
      </c>
      <c r="AA1088" t="s">
        <v>9335</v>
      </c>
      <c r="AB1088" t="s">
        <v>242</v>
      </c>
      <c r="AC1088" t="s">
        <v>3229</v>
      </c>
    </row>
    <row r="1089" spans="1:29" x14ac:dyDescent="0.25">
      <c r="A1089" t="s">
        <v>2288</v>
      </c>
      <c r="B1089" t="s">
        <v>254</v>
      </c>
      <c r="C1089" t="s">
        <v>319</v>
      </c>
      <c r="D1089" t="s">
        <v>3713</v>
      </c>
      <c r="E1089" t="s">
        <v>3761</v>
      </c>
      <c r="F1089">
        <v>10000000</v>
      </c>
      <c r="G1089" t="s">
        <v>9349</v>
      </c>
      <c r="H1089" t="s">
        <v>242</v>
      </c>
      <c r="I1089" t="s">
        <v>242</v>
      </c>
      <c r="J1089" t="s">
        <v>242</v>
      </c>
      <c r="K1089" t="s">
        <v>242</v>
      </c>
      <c r="L1089" t="s">
        <v>241</v>
      </c>
      <c r="M1089">
        <v>38.969499999999996</v>
      </c>
      <c r="N1089">
        <v>-123.1294</v>
      </c>
      <c r="O1089">
        <v>0</v>
      </c>
      <c r="P1089">
        <v>12</v>
      </c>
      <c r="Q1089">
        <v>0.1</v>
      </c>
      <c r="R1089">
        <v>0</v>
      </c>
      <c r="S1089">
        <v>2.1</v>
      </c>
      <c r="T1089">
        <v>0.9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 t="s">
        <v>9335</v>
      </c>
      <c r="AB1089" t="s">
        <v>242</v>
      </c>
      <c r="AC1089" t="s">
        <v>3213</v>
      </c>
    </row>
    <row r="1090" spans="1:29" x14ac:dyDescent="0.25">
      <c r="A1090" t="s">
        <v>2290</v>
      </c>
      <c r="B1090" t="s">
        <v>254</v>
      </c>
      <c r="C1090" t="s">
        <v>333</v>
      </c>
      <c r="D1090" t="s">
        <v>3713</v>
      </c>
      <c r="E1090" t="s">
        <v>3761</v>
      </c>
      <c r="F1090">
        <v>10000000</v>
      </c>
      <c r="G1090" t="s">
        <v>9349</v>
      </c>
      <c r="H1090" t="s">
        <v>241</v>
      </c>
      <c r="I1090" t="s">
        <v>242</v>
      </c>
      <c r="J1090" t="s">
        <v>242</v>
      </c>
      <c r="K1090" t="s">
        <v>242</v>
      </c>
      <c r="L1090" t="s">
        <v>241</v>
      </c>
      <c r="M1090">
        <v>39.059600000000003</v>
      </c>
      <c r="N1090">
        <v>-123.1447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10.33</v>
      </c>
      <c r="Z1090">
        <v>0</v>
      </c>
      <c r="AA1090" t="s">
        <v>9335</v>
      </c>
      <c r="AB1090" t="s">
        <v>242</v>
      </c>
      <c r="AC1090" t="s">
        <v>3213</v>
      </c>
    </row>
    <row r="1091" spans="1:29" x14ac:dyDescent="0.25">
      <c r="A1091" t="s">
        <v>2300</v>
      </c>
      <c r="B1091" t="s">
        <v>254</v>
      </c>
      <c r="C1091" t="s">
        <v>409</v>
      </c>
      <c r="D1091" t="s">
        <v>3713</v>
      </c>
      <c r="E1091" t="s">
        <v>3761</v>
      </c>
      <c r="F1091">
        <v>10000000</v>
      </c>
      <c r="G1091" t="s">
        <v>9349</v>
      </c>
      <c r="H1091" t="s">
        <v>242</v>
      </c>
      <c r="I1091" t="s">
        <v>242</v>
      </c>
      <c r="J1091" t="s">
        <v>242</v>
      </c>
      <c r="K1091" t="s">
        <v>242</v>
      </c>
      <c r="L1091" t="s">
        <v>241</v>
      </c>
      <c r="M1091">
        <v>38.8279</v>
      </c>
      <c r="N1091">
        <v>-122.9931</v>
      </c>
      <c r="O1091">
        <v>5.8690000000000001E-3</v>
      </c>
      <c r="P1091">
        <v>4.98933333333333E-3</v>
      </c>
      <c r="Q1091">
        <v>4.87166666666667E-3</v>
      </c>
      <c r="R1091">
        <v>6.45333333333333E-3</v>
      </c>
      <c r="S1091">
        <v>6.0906666666666696E-3</v>
      </c>
      <c r="T1091">
        <v>5.744E-3</v>
      </c>
      <c r="U1091">
        <v>5.9659999999999999E-3</v>
      </c>
      <c r="V1091">
        <v>5.1026666666666703E-3</v>
      </c>
      <c r="W1091">
        <v>4.9266666666666703E-3</v>
      </c>
      <c r="X1091">
        <v>3.7759999999999998E-3</v>
      </c>
      <c r="Y1091">
        <v>4.9523333333333303E-3</v>
      </c>
      <c r="Z1091">
        <v>5.8593333333333301E-3</v>
      </c>
      <c r="AA1091" t="s">
        <v>9335</v>
      </c>
      <c r="AB1091" t="s">
        <v>241</v>
      </c>
      <c r="AC1091" t="s">
        <v>3229</v>
      </c>
    </row>
    <row r="1092" spans="1:29" x14ac:dyDescent="0.25">
      <c r="A1092" t="s">
        <v>2787</v>
      </c>
      <c r="B1092" t="s">
        <v>254</v>
      </c>
      <c r="C1092" t="s">
        <v>348</v>
      </c>
      <c r="D1092" t="s">
        <v>3713</v>
      </c>
      <c r="E1092" t="s">
        <v>3761</v>
      </c>
      <c r="F1092">
        <v>10000000</v>
      </c>
      <c r="G1092" t="s">
        <v>9349</v>
      </c>
      <c r="H1092" t="s">
        <v>242</v>
      </c>
      <c r="I1092" t="s">
        <v>242</v>
      </c>
      <c r="J1092" t="s">
        <v>242</v>
      </c>
      <c r="K1092" t="s">
        <v>242</v>
      </c>
      <c r="L1092" t="s">
        <v>241</v>
      </c>
      <c r="M1092">
        <v>39.280299999999997</v>
      </c>
      <c r="N1092">
        <v>-123.06950000000001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 t="s">
        <v>9335</v>
      </c>
      <c r="AB1092" t="s">
        <v>242</v>
      </c>
      <c r="AC1092" t="s">
        <v>3213</v>
      </c>
    </row>
    <row r="1093" spans="1:29" x14ac:dyDescent="0.25">
      <c r="A1093" t="s">
        <v>1885</v>
      </c>
      <c r="B1093" t="s">
        <v>254</v>
      </c>
      <c r="C1093" t="s">
        <v>348</v>
      </c>
      <c r="D1093" t="s">
        <v>3713</v>
      </c>
      <c r="E1093" t="s">
        <v>3761</v>
      </c>
      <c r="F1093">
        <v>10000000</v>
      </c>
      <c r="G1093" t="s">
        <v>9349</v>
      </c>
      <c r="H1093" t="s">
        <v>242</v>
      </c>
      <c r="I1093" t="s">
        <v>242</v>
      </c>
      <c r="J1093" t="s">
        <v>242</v>
      </c>
      <c r="K1093" t="s">
        <v>242</v>
      </c>
      <c r="L1093" t="s">
        <v>241</v>
      </c>
      <c r="M1093">
        <v>39.287700000000001</v>
      </c>
      <c r="N1093">
        <v>-123.1112</v>
      </c>
      <c r="O1093">
        <v>2</v>
      </c>
      <c r="P1093">
        <v>4.3499999999999996</v>
      </c>
      <c r="Q1093">
        <v>3.26</v>
      </c>
      <c r="R1093">
        <v>1.41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0.73</v>
      </c>
      <c r="Z1093">
        <v>1.2</v>
      </c>
      <c r="AA1093" t="s">
        <v>9335</v>
      </c>
      <c r="AB1093" t="s">
        <v>242</v>
      </c>
      <c r="AC1093" t="s">
        <v>3213</v>
      </c>
    </row>
    <row r="1094" spans="1:29" x14ac:dyDescent="0.25">
      <c r="A1094" t="s">
        <v>1892</v>
      </c>
      <c r="B1094" t="s">
        <v>254</v>
      </c>
      <c r="C1094" t="s">
        <v>348</v>
      </c>
      <c r="D1094" t="s">
        <v>3713</v>
      </c>
      <c r="E1094" t="s">
        <v>3761</v>
      </c>
      <c r="F1094">
        <v>10000000</v>
      </c>
      <c r="G1094" t="s">
        <v>9349</v>
      </c>
      <c r="H1094" t="s">
        <v>242</v>
      </c>
      <c r="I1094" t="s">
        <v>242</v>
      </c>
      <c r="J1094" t="s">
        <v>242</v>
      </c>
      <c r="K1094" t="s">
        <v>242</v>
      </c>
      <c r="L1094" t="s">
        <v>241</v>
      </c>
      <c r="M1094">
        <v>39.3583</v>
      </c>
      <c r="N1094">
        <v>-123.1395</v>
      </c>
      <c r="O1094">
        <v>1.1000000000000001</v>
      </c>
      <c r="P1094">
        <v>1.1000000000000001</v>
      </c>
      <c r="Q1094">
        <v>1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 t="s">
        <v>9335</v>
      </c>
      <c r="AB1094" t="s">
        <v>242</v>
      </c>
      <c r="AC1094" t="s">
        <v>3213</v>
      </c>
    </row>
    <row r="1095" spans="1:29" x14ac:dyDescent="0.25">
      <c r="A1095" t="s">
        <v>2306</v>
      </c>
      <c r="B1095" t="s">
        <v>254</v>
      </c>
      <c r="C1095" t="s">
        <v>311</v>
      </c>
      <c r="D1095" t="s">
        <v>3713</v>
      </c>
      <c r="E1095" t="s">
        <v>3761</v>
      </c>
      <c r="F1095">
        <v>10000000</v>
      </c>
      <c r="G1095" t="s">
        <v>9349</v>
      </c>
      <c r="H1095" t="s">
        <v>242</v>
      </c>
      <c r="I1095" t="s">
        <v>242</v>
      </c>
      <c r="J1095" t="s">
        <v>242</v>
      </c>
      <c r="K1095" t="s">
        <v>242</v>
      </c>
      <c r="L1095" t="s">
        <v>241</v>
      </c>
      <c r="M1095">
        <v>38.6248</v>
      </c>
      <c r="N1095">
        <v>-122.66070000000001</v>
      </c>
      <c r="O1095">
        <v>22.93</v>
      </c>
      <c r="P1095">
        <v>7.03</v>
      </c>
      <c r="Q1095">
        <v>7.43</v>
      </c>
      <c r="R1095">
        <v>2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1.86</v>
      </c>
      <c r="Z1095">
        <v>61.06</v>
      </c>
      <c r="AA1095" t="s">
        <v>9335</v>
      </c>
      <c r="AB1095" t="s">
        <v>242</v>
      </c>
      <c r="AC1095" t="s">
        <v>3229</v>
      </c>
    </row>
    <row r="1096" spans="1:29" x14ac:dyDescent="0.25">
      <c r="A1096" t="s">
        <v>2307</v>
      </c>
      <c r="B1096" t="s">
        <v>254</v>
      </c>
      <c r="C1096" t="s">
        <v>311</v>
      </c>
      <c r="D1096" t="s">
        <v>3713</v>
      </c>
      <c r="E1096" t="s">
        <v>3761</v>
      </c>
      <c r="F1096">
        <v>10000000</v>
      </c>
      <c r="G1096" t="s">
        <v>9349</v>
      </c>
      <c r="H1096" t="s">
        <v>242</v>
      </c>
      <c r="I1096" t="s">
        <v>242</v>
      </c>
      <c r="J1096" t="s">
        <v>242</v>
      </c>
      <c r="K1096" t="s">
        <v>242</v>
      </c>
      <c r="L1096" t="s">
        <v>241</v>
      </c>
      <c r="M1096">
        <v>38.636000000000003</v>
      </c>
      <c r="N1096">
        <v>-122.65260000000001</v>
      </c>
      <c r="O1096">
        <v>0.5</v>
      </c>
      <c r="P1096">
        <v>0</v>
      </c>
      <c r="Q1096">
        <v>0</v>
      </c>
      <c r="R1096">
        <v>0</v>
      </c>
      <c r="S1096">
        <v>0</v>
      </c>
      <c r="T1096">
        <v>0.86</v>
      </c>
      <c r="U1096">
        <v>0</v>
      </c>
      <c r="V1096">
        <v>0</v>
      </c>
      <c r="W1096">
        <v>0</v>
      </c>
      <c r="X1096">
        <v>0</v>
      </c>
      <c r="Y1096">
        <v>2.23</v>
      </c>
      <c r="Z1096">
        <v>2.2599999999999998</v>
      </c>
      <c r="AA1096" t="s">
        <v>9335</v>
      </c>
      <c r="AB1096" t="s">
        <v>242</v>
      </c>
      <c r="AC1096" t="s">
        <v>3229</v>
      </c>
    </row>
    <row r="1097" spans="1:29" x14ac:dyDescent="0.25">
      <c r="A1097" t="s">
        <v>2308</v>
      </c>
      <c r="B1097" t="s">
        <v>254</v>
      </c>
      <c r="C1097" t="s">
        <v>311</v>
      </c>
      <c r="D1097" t="s">
        <v>3713</v>
      </c>
      <c r="E1097" t="s">
        <v>3761</v>
      </c>
      <c r="F1097">
        <v>10000000</v>
      </c>
      <c r="G1097" t="s">
        <v>9349</v>
      </c>
      <c r="H1097" t="s">
        <v>242</v>
      </c>
      <c r="I1097" t="s">
        <v>242</v>
      </c>
      <c r="J1097" t="s">
        <v>242</v>
      </c>
      <c r="K1097" t="s">
        <v>242</v>
      </c>
      <c r="L1097" t="s">
        <v>241</v>
      </c>
      <c r="M1097">
        <v>38.634300000000003</v>
      </c>
      <c r="N1097">
        <v>-122.6592</v>
      </c>
      <c r="O1097">
        <v>0</v>
      </c>
      <c r="P1097">
        <v>0.13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0.1</v>
      </c>
      <c r="Z1097">
        <v>0.66</v>
      </c>
      <c r="AA1097" t="s">
        <v>9335</v>
      </c>
      <c r="AB1097" t="s">
        <v>242</v>
      </c>
      <c r="AC1097" t="s">
        <v>3229</v>
      </c>
    </row>
    <row r="1098" spans="1:29" x14ac:dyDescent="0.25">
      <c r="A1098" t="s">
        <v>2309</v>
      </c>
      <c r="B1098" t="s">
        <v>254</v>
      </c>
      <c r="C1098" t="s">
        <v>311</v>
      </c>
      <c r="D1098" t="s">
        <v>3713</v>
      </c>
      <c r="E1098" t="s">
        <v>3761</v>
      </c>
      <c r="F1098">
        <v>10000000</v>
      </c>
      <c r="G1098" t="s">
        <v>9349</v>
      </c>
      <c r="H1098" t="s">
        <v>242</v>
      </c>
      <c r="I1098" t="s">
        <v>242</v>
      </c>
      <c r="J1098" t="s">
        <v>242</v>
      </c>
      <c r="K1098" t="s">
        <v>242</v>
      </c>
      <c r="L1098" t="s">
        <v>241</v>
      </c>
      <c r="M1098">
        <v>38.632300000000001</v>
      </c>
      <c r="N1098">
        <v>-122.6613</v>
      </c>
      <c r="O1098">
        <v>8.9600000000000009</v>
      </c>
      <c r="P1098">
        <v>1.06</v>
      </c>
      <c r="Q1098">
        <v>1</v>
      </c>
      <c r="R1098">
        <v>0.16</v>
      </c>
      <c r="S1098">
        <v>0.73</v>
      </c>
      <c r="T1098">
        <v>0</v>
      </c>
      <c r="U1098">
        <v>0</v>
      </c>
      <c r="V1098">
        <v>0</v>
      </c>
      <c r="W1098">
        <v>0.5</v>
      </c>
      <c r="X1098">
        <v>0</v>
      </c>
      <c r="Y1098">
        <v>1.33</v>
      </c>
      <c r="Z1098">
        <v>8.9</v>
      </c>
      <c r="AA1098" t="s">
        <v>9335</v>
      </c>
      <c r="AB1098" t="s">
        <v>242</v>
      </c>
      <c r="AC1098" t="s">
        <v>3229</v>
      </c>
    </row>
    <row r="1099" spans="1:29" x14ac:dyDescent="0.25">
      <c r="A1099" t="s">
        <v>2310</v>
      </c>
      <c r="B1099" t="s">
        <v>254</v>
      </c>
      <c r="C1099" t="s">
        <v>311</v>
      </c>
      <c r="D1099" t="s">
        <v>3713</v>
      </c>
      <c r="E1099" t="s">
        <v>3761</v>
      </c>
      <c r="F1099">
        <v>10000000</v>
      </c>
      <c r="G1099" t="s">
        <v>9349</v>
      </c>
      <c r="H1099" t="s">
        <v>242</v>
      </c>
      <c r="I1099" t="s">
        <v>242</v>
      </c>
      <c r="J1099" t="s">
        <v>242</v>
      </c>
      <c r="K1099" t="s">
        <v>242</v>
      </c>
      <c r="L1099" t="s">
        <v>241</v>
      </c>
      <c r="M1099">
        <v>38.632899999999999</v>
      </c>
      <c r="N1099">
        <v>-122.6627</v>
      </c>
      <c r="O1099">
        <v>0.9</v>
      </c>
      <c r="P1099">
        <v>0.9</v>
      </c>
      <c r="Q1099">
        <v>0.86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0.33</v>
      </c>
      <c r="X1099">
        <v>0</v>
      </c>
      <c r="Y1099">
        <v>0.6</v>
      </c>
      <c r="Z1099">
        <v>6.2</v>
      </c>
      <c r="AA1099" t="s">
        <v>9335</v>
      </c>
      <c r="AB1099" t="s">
        <v>242</v>
      </c>
      <c r="AC1099" t="s">
        <v>3229</v>
      </c>
    </row>
    <row r="1100" spans="1:29" x14ac:dyDescent="0.25">
      <c r="A1100" t="s">
        <v>2313</v>
      </c>
      <c r="B1100" t="s">
        <v>254</v>
      </c>
      <c r="C1100" t="s">
        <v>333</v>
      </c>
      <c r="D1100" t="s">
        <v>3713</v>
      </c>
      <c r="E1100" t="s">
        <v>3761</v>
      </c>
      <c r="F1100">
        <v>10000000</v>
      </c>
      <c r="G1100" t="s">
        <v>9349</v>
      </c>
      <c r="H1100" t="s">
        <v>242</v>
      </c>
      <c r="I1100" t="s">
        <v>242</v>
      </c>
      <c r="J1100" t="s">
        <v>242</v>
      </c>
      <c r="K1100" t="s">
        <v>242</v>
      </c>
      <c r="L1100" t="s">
        <v>241</v>
      </c>
      <c r="M1100">
        <v>39.067799999999998</v>
      </c>
      <c r="N1100">
        <v>-123.1962</v>
      </c>
      <c r="O1100">
        <v>3.46</v>
      </c>
      <c r="P1100">
        <v>0.8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0.16</v>
      </c>
      <c r="Y1100">
        <v>0.46</v>
      </c>
      <c r="Z1100">
        <v>2.5</v>
      </c>
      <c r="AA1100" t="s">
        <v>9335</v>
      </c>
      <c r="AB1100" t="s">
        <v>242</v>
      </c>
      <c r="AC1100" t="s">
        <v>3213</v>
      </c>
    </row>
    <row r="1101" spans="1:29" x14ac:dyDescent="0.25">
      <c r="A1101" t="s">
        <v>2315</v>
      </c>
      <c r="B1101" t="s">
        <v>254</v>
      </c>
      <c r="C1101" t="s">
        <v>333</v>
      </c>
      <c r="D1101" t="s">
        <v>3713</v>
      </c>
      <c r="E1101" t="s">
        <v>3761</v>
      </c>
      <c r="F1101">
        <v>10000000</v>
      </c>
      <c r="G1101" t="s">
        <v>9349</v>
      </c>
      <c r="H1101" t="s">
        <v>242</v>
      </c>
      <c r="I1101" t="s">
        <v>242</v>
      </c>
      <c r="J1101" t="s">
        <v>242</v>
      </c>
      <c r="K1101" t="s">
        <v>242</v>
      </c>
      <c r="L1101" t="s">
        <v>241</v>
      </c>
      <c r="M1101">
        <v>39.066699999999997</v>
      </c>
      <c r="N1101">
        <v>-123.1981</v>
      </c>
      <c r="O1101">
        <v>0.03</v>
      </c>
      <c r="P1101">
        <v>0.03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0.8</v>
      </c>
      <c r="Z1101">
        <v>3.6</v>
      </c>
      <c r="AA1101" t="s">
        <v>9335</v>
      </c>
      <c r="AB1101" t="s">
        <v>242</v>
      </c>
      <c r="AC1101" t="s">
        <v>3213</v>
      </c>
    </row>
    <row r="1102" spans="1:29" x14ac:dyDescent="0.25">
      <c r="A1102" t="s">
        <v>2317</v>
      </c>
      <c r="B1102" t="s">
        <v>254</v>
      </c>
      <c r="C1102" t="s">
        <v>333</v>
      </c>
      <c r="D1102" t="s">
        <v>3713</v>
      </c>
      <c r="E1102" t="s">
        <v>3761</v>
      </c>
      <c r="F1102">
        <v>10000000</v>
      </c>
      <c r="G1102" t="s">
        <v>9349</v>
      </c>
      <c r="H1102" t="s">
        <v>242</v>
      </c>
      <c r="I1102" t="s">
        <v>242</v>
      </c>
      <c r="J1102" t="s">
        <v>242</v>
      </c>
      <c r="K1102" t="s">
        <v>242</v>
      </c>
      <c r="L1102" t="s">
        <v>241</v>
      </c>
      <c r="M1102">
        <v>39.0625</v>
      </c>
      <c r="N1102">
        <v>-123.20099999999999</v>
      </c>
      <c r="O1102">
        <v>1.56</v>
      </c>
      <c r="P1102">
        <v>0.86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0.83</v>
      </c>
      <c r="Z1102">
        <v>2.46</v>
      </c>
      <c r="AA1102" t="s">
        <v>9335</v>
      </c>
      <c r="AB1102" t="s">
        <v>242</v>
      </c>
      <c r="AC1102" t="s">
        <v>3213</v>
      </c>
    </row>
    <row r="1103" spans="1:29" x14ac:dyDescent="0.25">
      <c r="A1103" t="s">
        <v>2319</v>
      </c>
      <c r="B1103" t="s">
        <v>254</v>
      </c>
      <c r="C1103" t="s">
        <v>311</v>
      </c>
      <c r="D1103" t="s">
        <v>3713</v>
      </c>
      <c r="E1103" t="s">
        <v>3761</v>
      </c>
      <c r="F1103">
        <v>10000000</v>
      </c>
      <c r="G1103" t="s">
        <v>9349</v>
      </c>
      <c r="H1103" t="s">
        <v>242</v>
      </c>
      <c r="I1103" t="s">
        <v>242</v>
      </c>
      <c r="J1103" t="s">
        <v>242</v>
      </c>
      <c r="K1103" t="s">
        <v>242</v>
      </c>
      <c r="L1103" t="s">
        <v>241</v>
      </c>
      <c r="M1103">
        <v>38.629800000000003</v>
      </c>
      <c r="N1103">
        <v>-122.6662</v>
      </c>
      <c r="O1103">
        <v>0</v>
      </c>
      <c r="P1103">
        <v>1</v>
      </c>
      <c r="Q1103">
        <v>0</v>
      </c>
      <c r="R1103">
        <v>0.2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0.6</v>
      </c>
      <c r="Z1103">
        <v>0.36</v>
      </c>
      <c r="AA1103" t="s">
        <v>9335</v>
      </c>
      <c r="AB1103" t="s">
        <v>242</v>
      </c>
      <c r="AC1103" t="s">
        <v>3229</v>
      </c>
    </row>
    <row r="1104" spans="1:29" x14ac:dyDescent="0.25">
      <c r="A1104" t="s">
        <v>1860</v>
      </c>
      <c r="B1104" t="s">
        <v>254</v>
      </c>
      <c r="C1104" t="s">
        <v>348</v>
      </c>
      <c r="D1104" t="s">
        <v>3713</v>
      </c>
      <c r="E1104" t="s">
        <v>3761</v>
      </c>
      <c r="F1104">
        <v>10000000</v>
      </c>
      <c r="G1104" t="s">
        <v>9349</v>
      </c>
      <c r="H1104" t="s">
        <v>242</v>
      </c>
      <c r="I1104" t="s">
        <v>242</v>
      </c>
      <c r="J1104" t="s">
        <v>242</v>
      </c>
      <c r="K1104" t="s">
        <v>242</v>
      </c>
      <c r="L1104" t="s">
        <v>241</v>
      </c>
      <c r="M1104">
        <v>39.306199999999997</v>
      </c>
      <c r="N1104">
        <v>-123.1018</v>
      </c>
      <c r="O1104">
        <v>0</v>
      </c>
      <c r="P1104">
        <v>0</v>
      </c>
      <c r="Q1104">
        <v>0.66</v>
      </c>
      <c r="R1104">
        <v>3.56</v>
      </c>
      <c r="S1104">
        <v>3.7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 t="s">
        <v>9335</v>
      </c>
      <c r="AB1104" t="s">
        <v>242</v>
      </c>
      <c r="AC1104" t="s">
        <v>3213</v>
      </c>
    </row>
    <row r="1105" spans="1:29" x14ac:dyDescent="0.25">
      <c r="A1105" t="s">
        <v>2320</v>
      </c>
      <c r="B1105" t="s">
        <v>254</v>
      </c>
      <c r="C1105" t="s">
        <v>319</v>
      </c>
      <c r="D1105" t="s">
        <v>3713</v>
      </c>
      <c r="E1105" t="s">
        <v>3761</v>
      </c>
      <c r="F1105">
        <v>10000000</v>
      </c>
      <c r="G1105" t="s">
        <v>9349</v>
      </c>
      <c r="H1105" t="s">
        <v>242</v>
      </c>
      <c r="I1105" t="s">
        <v>242</v>
      </c>
      <c r="J1105" t="s">
        <v>242</v>
      </c>
      <c r="K1105" t="s">
        <v>242</v>
      </c>
      <c r="L1105" t="s">
        <v>241</v>
      </c>
      <c r="M1105">
        <v>38.961500000000001</v>
      </c>
      <c r="N1105">
        <v>-123.0842</v>
      </c>
      <c r="O1105">
        <v>5.93</v>
      </c>
      <c r="P1105">
        <v>0</v>
      </c>
      <c r="Q1105">
        <v>0</v>
      </c>
      <c r="R1105">
        <v>0</v>
      </c>
      <c r="S1105">
        <v>0.13</v>
      </c>
      <c r="T1105">
        <v>0</v>
      </c>
      <c r="U1105">
        <v>0</v>
      </c>
      <c r="V1105">
        <v>0</v>
      </c>
      <c r="W1105">
        <v>0</v>
      </c>
      <c r="X1105">
        <v>0.16</v>
      </c>
      <c r="Y1105">
        <v>0.36</v>
      </c>
      <c r="Z1105">
        <v>5.53</v>
      </c>
      <c r="AA1105" t="s">
        <v>9335</v>
      </c>
      <c r="AB1105" t="s">
        <v>242</v>
      </c>
      <c r="AC1105" t="s">
        <v>3213</v>
      </c>
    </row>
    <row r="1106" spans="1:29" x14ac:dyDescent="0.25">
      <c r="A1106" t="s">
        <v>2321</v>
      </c>
      <c r="B1106" t="s">
        <v>254</v>
      </c>
      <c r="C1106" t="s">
        <v>319</v>
      </c>
      <c r="D1106" t="s">
        <v>3713</v>
      </c>
      <c r="E1106" t="s">
        <v>3761</v>
      </c>
      <c r="F1106">
        <v>10000000</v>
      </c>
      <c r="G1106" t="s">
        <v>9349</v>
      </c>
      <c r="H1106" t="s">
        <v>242</v>
      </c>
      <c r="I1106" t="s">
        <v>242</v>
      </c>
      <c r="J1106" t="s">
        <v>242</v>
      </c>
      <c r="K1106" t="s">
        <v>242</v>
      </c>
      <c r="L1106" t="s">
        <v>241</v>
      </c>
      <c r="M1106">
        <v>38.965800000000002</v>
      </c>
      <c r="N1106">
        <v>-123.1339</v>
      </c>
      <c r="O1106">
        <v>19.100000000000001</v>
      </c>
      <c r="P1106">
        <v>0.36</v>
      </c>
      <c r="Q1106">
        <v>8.4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3.63</v>
      </c>
      <c r="Z1106">
        <v>14.76</v>
      </c>
      <c r="AA1106" t="s">
        <v>9335</v>
      </c>
      <c r="AB1106" t="s">
        <v>242</v>
      </c>
      <c r="AC1106" t="s">
        <v>3213</v>
      </c>
    </row>
    <row r="1107" spans="1:29" x14ac:dyDescent="0.25">
      <c r="A1107" t="s">
        <v>2322</v>
      </c>
      <c r="B1107" t="s">
        <v>254</v>
      </c>
      <c r="C1107" t="s">
        <v>319</v>
      </c>
      <c r="D1107" t="s">
        <v>3713</v>
      </c>
      <c r="E1107" t="s">
        <v>3761</v>
      </c>
      <c r="F1107">
        <v>10000000</v>
      </c>
      <c r="G1107" t="s">
        <v>9349</v>
      </c>
      <c r="H1107" t="s">
        <v>242</v>
      </c>
      <c r="I1107" t="s">
        <v>242</v>
      </c>
      <c r="J1107" t="s">
        <v>242</v>
      </c>
      <c r="K1107" t="s">
        <v>242</v>
      </c>
      <c r="L1107" t="s">
        <v>241</v>
      </c>
      <c r="M1107">
        <v>38.982199999999999</v>
      </c>
      <c r="N1107">
        <v>-123.1447</v>
      </c>
      <c r="O1107">
        <v>6.73</v>
      </c>
      <c r="P1107">
        <v>5.36</v>
      </c>
      <c r="Q1107">
        <v>0.7</v>
      </c>
      <c r="R1107">
        <v>0.1</v>
      </c>
      <c r="S1107">
        <v>5.6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0.6</v>
      </c>
      <c r="Z1107">
        <v>2.2999999999999998</v>
      </c>
      <c r="AA1107" t="s">
        <v>9335</v>
      </c>
      <c r="AB1107" t="s">
        <v>242</v>
      </c>
      <c r="AC1107" t="s">
        <v>3213</v>
      </c>
    </row>
    <row r="1108" spans="1:29" x14ac:dyDescent="0.25">
      <c r="A1108" t="s">
        <v>2324</v>
      </c>
      <c r="B1108" t="s">
        <v>254</v>
      </c>
      <c r="C1108" t="s">
        <v>319</v>
      </c>
      <c r="D1108" t="s">
        <v>3713</v>
      </c>
      <c r="E1108" t="s">
        <v>3761</v>
      </c>
      <c r="F1108">
        <v>10000000</v>
      </c>
      <c r="G1108" t="s">
        <v>9349</v>
      </c>
      <c r="H1108" t="s">
        <v>242</v>
      </c>
      <c r="I1108" t="s">
        <v>242</v>
      </c>
      <c r="J1108" t="s">
        <v>242</v>
      </c>
      <c r="K1108" t="s">
        <v>242</v>
      </c>
      <c r="L1108" t="s">
        <v>241</v>
      </c>
      <c r="M1108">
        <v>38.9816</v>
      </c>
      <c r="N1108">
        <v>-123.1427</v>
      </c>
      <c r="O1108">
        <v>3.83</v>
      </c>
      <c r="P1108">
        <v>1.7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0.56000000000000005</v>
      </c>
      <c r="Z1108">
        <v>1.03</v>
      </c>
      <c r="AA1108" t="s">
        <v>9335</v>
      </c>
      <c r="AB1108" t="s">
        <v>242</v>
      </c>
      <c r="AC1108" t="s">
        <v>3213</v>
      </c>
    </row>
    <row r="1109" spans="1:29" x14ac:dyDescent="0.25">
      <c r="A1109" t="s">
        <v>2325</v>
      </c>
      <c r="B1109" t="s">
        <v>254</v>
      </c>
      <c r="C1109" t="s">
        <v>319</v>
      </c>
      <c r="D1109" t="s">
        <v>3713</v>
      </c>
      <c r="E1109" t="s">
        <v>3761</v>
      </c>
      <c r="F1109">
        <v>10000000</v>
      </c>
      <c r="G1109" t="s">
        <v>9349</v>
      </c>
      <c r="H1109" t="s">
        <v>242</v>
      </c>
      <c r="I1109" t="s">
        <v>242</v>
      </c>
      <c r="J1109" t="s">
        <v>242</v>
      </c>
      <c r="K1109" t="s">
        <v>242</v>
      </c>
      <c r="L1109" t="s">
        <v>241</v>
      </c>
      <c r="M1109">
        <v>38.982100000000003</v>
      </c>
      <c r="N1109">
        <v>-123.139</v>
      </c>
      <c r="O1109">
        <v>25.13</v>
      </c>
      <c r="P1109">
        <v>13.53</v>
      </c>
      <c r="Q1109">
        <v>7.13</v>
      </c>
      <c r="R1109">
        <v>8.23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0.53</v>
      </c>
      <c r="Z1109">
        <v>1.56</v>
      </c>
      <c r="AA1109" t="s">
        <v>9335</v>
      </c>
      <c r="AB1109" t="s">
        <v>242</v>
      </c>
      <c r="AC1109" t="s">
        <v>3213</v>
      </c>
    </row>
    <row r="1110" spans="1:29" x14ac:dyDescent="0.25">
      <c r="A1110" t="s">
        <v>2326</v>
      </c>
      <c r="B1110" t="s">
        <v>254</v>
      </c>
      <c r="C1110" t="s">
        <v>319</v>
      </c>
      <c r="D1110" t="s">
        <v>3713</v>
      </c>
      <c r="E1110" t="s">
        <v>3761</v>
      </c>
      <c r="F1110">
        <v>10000000</v>
      </c>
      <c r="G1110" t="s">
        <v>9349</v>
      </c>
      <c r="H1110" t="s">
        <v>242</v>
      </c>
      <c r="I1110" t="s">
        <v>242</v>
      </c>
      <c r="J1110" t="s">
        <v>242</v>
      </c>
      <c r="K1110" t="s">
        <v>242</v>
      </c>
      <c r="L1110" t="s">
        <v>241</v>
      </c>
      <c r="M1110">
        <v>38.975999999999999</v>
      </c>
      <c r="N1110">
        <v>-123.13939999999999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 t="s">
        <v>9335</v>
      </c>
      <c r="AB1110" t="s">
        <v>242</v>
      </c>
      <c r="AC1110" t="s">
        <v>3213</v>
      </c>
    </row>
    <row r="1111" spans="1:29" x14ac:dyDescent="0.25">
      <c r="A1111" t="s">
        <v>2328</v>
      </c>
      <c r="B1111" t="s">
        <v>254</v>
      </c>
      <c r="C1111" t="s">
        <v>319</v>
      </c>
      <c r="D1111" t="s">
        <v>3713</v>
      </c>
      <c r="E1111" t="s">
        <v>3761</v>
      </c>
      <c r="F1111">
        <v>10000000</v>
      </c>
      <c r="G1111" t="s">
        <v>9349</v>
      </c>
      <c r="H1111" t="s">
        <v>242</v>
      </c>
      <c r="I1111" t="s">
        <v>242</v>
      </c>
      <c r="J1111" t="s">
        <v>242</v>
      </c>
      <c r="K1111" t="s">
        <v>242</v>
      </c>
      <c r="L1111" t="s">
        <v>241</v>
      </c>
      <c r="M1111">
        <v>38.978099999999998</v>
      </c>
      <c r="N1111">
        <v>-123.1485</v>
      </c>
      <c r="O1111">
        <v>0</v>
      </c>
      <c r="P1111">
        <v>0</v>
      </c>
      <c r="Q1111">
        <v>2.7</v>
      </c>
      <c r="R1111">
        <v>7.6</v>
      </c>
      <c r="S1111">
        <v>10.199999999999999</v>
      </c>
      <c r="T1111">
        <v>0</v>
      </c>
      <c r="U1111">
        <v>5.66</v>
      </c>
      <c r="V1111">
        <v>0</v>
      </c>
      <c r="W1111">
        <v>0</v>
      </c>
      <c r="X1111">
        <v>0</v>
      </c>
      <c r="Y1111">
        <v>0</v>
      </c>
      <c r="Z1111">
        <v>0</v>
      </c>
      <c r="AA1111" t="s">
        <v>9335</v>
      </c>
      <c r="AB1111" t="s">
        <v>242</v>
      </c>
      <c r="AC1111" t="s">
        <v>3213</v>
      </c>
    </row>
    <row r="1112" spans="1:29" x14ac:dyDescent="0.25">
      <c r="A1112" t="s">
        <v>2330</v>
      </c>
      <c r="B1112" t="s">
        <v>254</v>
      </c>
      <c r="C1112" t="s">
        <v>319</v>
      </c>
      <c r="D1112" t="s">
        <v>3713</v>
      </c>
      <c r="E1112" t="s">
        <v>3761</v>
      </c>
      <c r="F1112">
        <v>10000000</v>
      </c>
      <c r="G1112" t="s">
        <v>9349</v>
      </c>
      <c r="H1112" t="s">
        <v>242</v>
      </c>
      <c r="I1112" t="s">
        <v>242</v>
      </c>
      <c r="J1112" t="s">
        <v>242</v>
      </c>
      <c r="K1112" t="s">
        <v>242</v>
      </c>
      <c r="L1112" t="s">
        <v>241</v>
      </c>
      <c r="M1112">
        <v>38.9726</v>
      </c>
      <c r="N1112">
        <v>-123.1421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 t="s">
        <v>9335</v>
      </c>
      <c r="AB1112" t="s">
        <v>242</v>
      </c>
      <c r="AC1112" t="s">
        <v>3213</v>
      </c>
    </row>
    <row r="1113" spans="1:29" x14ac:dyDescent="0.25">
      <c r="A1113" t="s">
        <v>2333</v>
      </c>
      <c r="B1113" t="s">
        <v>254</v>
      </c>
      <c r="C1113" t="s">
        <v>319</v>
      </c>
      <c r="D1113" t="s">
        <v>3713</v>
      </c>
      <c r="E1113" t="s">
        <v>3761</v>
      </c>
      <c r="F1113">
        <v>10000000</v>
      </c>
      <c r="G1113" t="s">
        <v>9349</v>
      </c>
      <c r="H1113" t="s">
        <v>242</v>
      </c>
      <c r="I1113" t="s">
        <v>242</v>
      </c>
      <c r="J1113" t="s">
        <v>242</v>
      </c>
      <c r="K1113" t="s">
        <v>242</v>
      </c>
      <c r="L1113" t="s">
        <v>241</v>
      </c>
      <c r="M1113">
        <v>38.955246250000002</v>
      </c>
      <c r="N1113">
        <v>-123.0509516</v>
      </c>
      <c r="O1113">
        <v>0</v>
      </c>
      <c r="P1113">
        <v>1.03</v>
      </c>
      <c r="Q1113">
        <v>0.93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0.56000000000000005</v>
      </c>
      <c r="AA1113" t="s">
        <v>9335</v>
      </c>
      <c r="AB1113" t="s">
        <v>242</v>
      </c>
      <c r="AC1113" t="s">
        <v>3213</v>
      </c>
    </row>
    <row r="1114" spans="1:29" x14ac:dyDescent="0.25">
      <c r="A1114" t="s">
        <v>2334</v>
      </c>
      <c r="B1114" t="s">
        <v>254</v>
      </c>
      <c r="C1114" t="s">
        <v>319</v>
      </c>
      <c r="D1114" t="s">
        <v>3713</v>
      </c>
      <c r="E1114" t="s">
        <v>3761</v>
      </c>
      <c r="F1114">
        <v>10000000</v>
      </c>
      <c r="G1114" t="s">
        <v>9349</v>
      </c>
      <c r="H1114" t="s">
        <v>242</v>
      </c>
      <c r="I1114" t="s">
        <v>242</v>
      </c>
      <c r="J1114" t="s">
        <v>242</v>
      </c>
      <c r="K1114" t="s">
        <v>242</v>
      </c>
      <c r="L1114" t="s">
        <v>241</v>
      </c>
      <c r="M1114">
        <v>38.960500000000003</v>
      </c>
      <c r="N1114">
        <v>-123.0474</v>
      </c>
      <c r="O1114">
        <v>0</v>
      </c>
      <c r="P1114">
        <v>0.1</v>
      </c>
      <c r="Q1114">
        <v>0.5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0.06</v>
      </c>
      <c r="Y1114">
        <v>0.26</v>
      </c>
      <c r="Z1114">
        <v>1.66</v>
      </c>
      <c r="AA1114" t="s">
        <v>9335</v>
      </c>
      <c r="AB1114" t="s">
        <v>242</v>
      </c>
      <c r="AC1114" t="s">
        <v>3213</v>
      </c>
    </row>
    <row r="1115" spans="1:29" x14ac:dyDescent="0.25">
      <c r="A1115" t="s">
        <v>2335</v>
      </c>
      <c r="B1115" t="s">
        <v>254</v>
      </c>
      <c r="C1115" t="s">
        <v>319</v>
      </c>
      <c r="D1115" t="s">
        <v>3713</v>
      </c>
      <c r="E1115" t="s">
        <v>3761</v>
      </c>
      <c r="F1115">
        <v>10000000</v>
      </c>
      <c r="G1115" t="s">
        <v>9349</v>
      </c>
      <c r="H1115" t="s">
        <v>242</v>
      </c>
      <c r="I1115" t="s">
        <v>242</v>
      </c>
      <c r="J1115" t="s">
        <v>242</v>
      </c>
      <c r="K1115" t="s">
        <v>242</v>
      </c>
      <c r="L1115" t="s">
        <v>241</v>
      </c>
      <c r="M1115">
        <v>38.963500000000003</v>
      </c>
      <c r="N1115">
        <v>-123.0568</v>
      </c>
      <c r="O1115">
        <v>1.03</v>
      </c>
      <c r="P1115">
        <v>0.86</v>
      </c>
      <c r="Q1115">
        <v>2.83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0.16</v>
      </c>
      <c r="Z1115">
        <v>1.8</v>
      </c>
      <c r="AA1115" t="s">
        <v>9335</v>
      </c>
      <c r="AB1115" t="s">
        <v>242</v>
      </c>
      <c r="AC1115" t="s">
        <v>3213</v>
      </c>
    </row>
    <row r="1116" spans="1:29" x14ac:dyDescent="0.25">
      <c r="A1116" t="s">
        <v>2337</v>
      </c>
      <c r="B1116" t="s">
        <v>254</v>
      </c>
      <c r="C1116" t="s">
        <v>317</v>
      </c>
      <c r="D1116" t="s">
        <v>3713</v>
      </c>
      <c r="E1116" t="s">
        <v>3761</v>
      </c>
      <c r="F1116">
        <v>10000000</v>
      </c>
      <c r="G1116" t="s">
        <v>9349</v>
      </c>
      <c r="H1116" t="s">
        <v>242</v>
      </c>
      <c r="I1116" t="s">
        <v>242</v>
      </c>
      <c r="J1116" t="s">
        <v>242</v>
      </c>
      <c r="K1116" t="s">
        <v>242</v>
      </c>
      <c r="L1116" t="s">
        <v>241</v>
      </c>
      <c r="M1116">
        <v>39.324100000000001</v>
      </c>
      <c r="N1116">
        <v>-123.22880000000001</v>
      </c>
      <c r="O1116">
        <v>0.06</v>
      </c>
      <c r="P1116">
        <v>0</v>
      </c>
      <c r="Q1116">
        <v>0</v>
      </c>
      <c r="R1116">
        <v>0.13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0.23</v>
      </c>
      <c r="Z1116">
        <v>0.46</v>
      </c>
      <c r="AA1116" t="s">
        <v>9335</v>
      </c>
      <c r="AB1116" t="s">
        <v>242</v>
      </c>
      <c r="AC1116" t="s">
        <v>3213</v>
      </c>
    </row>
    <row r="1117" spans="1:29" x14ac:dyDescent="0.25">
      <c r="A1117" t="s">
        <v>2338</v>
      </c>
      <c r="B1117" t="s">
        <v>254</v>
      </c>
      <c r="C1117" t="s">
        <v>317</v>
      </c>
      <c r="D1117" t="s">
        <v>3713</v>
      </c>
      <c r="E1117" t="s">
        <v>3761</v>
      </c>
      <c r="F1117">
        <v>10000000</v>
      </c>
      <c r="G1117" t="s">
        <v>9349</v>
      </c>
      <c r="H1117" t="s">
        <v>242</v>
      </c>
      <c r="I1117" t="s">
        <v>242</v>
      </c>
      <c r="J1117" t="s">
        <v>242</v>
      </c>
      <c r="K1117" t="s">
        <v>242</v>
      </c>
      <c r="L1117" t="s">
        <v>241</v>
      </c>
      <c r="M1117">
        <v>39.3247</v>
      </c>
      <c r="N1117">
        <v>-123.23260000000001</v>
      </c>
      <c r="O1117">
        <v>0.46</v>
      </c>
      <c r="P1117">
        <v>0</v>
      </c>
      <c r="Q1117">
        <v>0.06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 t="s">
        <v>9335</v>
      </c>
      <c r="AB1117" t="s">
        <v>242</v>
      </c>
      <c r="AC1117" t="s">
        <v>3213</v>
      </c>
    </row>
    <row r="1118" spans="1:29" x14ac:dyDescent="0.25">
      <c r="A1118" t="s">
        <v>1768</v>
      </c>
      <c r="B1118" t="s">
        <v>254</v>
      </c>
      <c r="C1118" t="s">
        <v>311</v>
      </c>
      <c r="D1118" t="s">
        <v>3713</v>
      </c>
      <c r="E1118" t="s">
        <v>3761</v>
      </c>
      <c r="F1118">
        <v>19120101</v>
      </c>
      <c r="G1118" t="s">
        <v>9348</v>
      </c>
      <c r="H1118" t="s">
        <v>242</v>
      </c>
      <c r="I1118" t="s">
        <v>241</v>
      </c>
      <c r="J1118" t="s">
        <v>242</v>
      </c>
      <c r="K1118" t="s">
        <v>242</v>
      </c>
      <c r="L1118" t="s">
        <v>242</v>
      </c>
      <c r="M1118">
        <v>38.581099999999999</v>
      </c>
      <c r="N1118">
        <v>-122.673</v>
      </c>
      <c r="O1118">
        <v>0</v>
      </c>
      <c r="P1118">
        <v>0</v>
      </c>
      <c r="Q1118">
        <v>0.42</v>
      </c>
      <c r="R1118">
        <v>1.1299999999999999</v>
      </c>
      <c r="S1118">
        <v>0.39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 t="s">
        <v>9335</v>
      </c>
      <c r="AB1118" t="s">
        <v>242</v>
      </c>
      <c r="AC1118" t="s">
        <v>3229</v>
      </c>
    </row>
    <row r="1119" spans="1:29" x14ac:dyDescent="0.25">
      <c r="A1119" t="s">
        <v>2339</v>
      </c>
      <c r="B1119" t="s">
        <v>254</v>
      </c>
      <c r="C1119" t="s">
        <v>311</v>
      </c>
      <c r="D1119" t="s">
        <v>3713</v>
      </c>
      <c r="E1119" t="s">
        <v>3761</v>
      </c>
      <c r="F1119">
        <v>10000000</v>
      </c>
      <c r="G1119" t="s">
        <v>9349</v>
      </c>
      <c r="H1119" t="s">
        <v>242</v>
      </c>
      <c r="I1119" t="s">
        <v>242</v>
      </c>
      <c r="J1119" t="s">
        <v>242</v>
      </c>
      <c r="K1119" t="s">
        <v>242</v>
      </c>
      <c r="L1119" t="s">
        <v>241</v>
      </c>
      <c r="M1119">
        <v>38.622999999999998</v>
      </c>
      <c r="N1119">
        <v>-122.70489999999999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 t="s">
        <v>9342</v>
      </c>
      <c r="AB1119" t="s">
        <v>242</v>
      </c>
      <c r="AC1119" t="s">
        <v>3229</v>
      </c>
    </row>
    <row r="1120" spans="1:29" x14ac:dyDescent="0.25">
      <c r="A1120" t="s">
        <v>1861</v>
      </c>
      <c r="B1120" t="s">
        <v>254</v>
      </c>
      <c r="C1120" t="s">
        <v>348</v>
      </c>
      <c r="D1120" t="s">
        <v>3713</v>
      </c>
      <c r="E1120" t="s">
        <v>3761</v>
      </c>
      <c r="F1120">
        <v>10000000</v>
      </c>
      <c r="G1120" t="s">
        <v>9349</v>
      </c>
      <c r="H1120" t="s">
        <v>242</v>
      </c>
      <c r="I1120" t="s">
        <v>242</v>
      </c>
      <c r="J1120" t="s">
        <v>242</v>
      </c>
      <c r="K1120" t="s">
        <v>242</v>
      </c>
      <c r="L1120" t="s">
        <v>241</v>
      </c>
      <c r="M1120">
        <v>39.337499999999999</v>
      </c>
      <c r="N1120">
        <v>-123.1117</v>
      </c>
      <c r="O1120">
        <v>0</v>
      </c>
      <c r="P1120">
        <v>0</v>
      </c>
      <c r="Q1120">
        <v>3.0688830000000001E-3</v>
      </c>
      <c r="R1120">
        <v>0.39</v>
      </c>
      <c r="S1120">
        <v>0</v>
      </c>
      <c r="T1120">
        <v>0.7</v>
      </c>
      <c r="U1120">
        <v>0.89</v>
      </c>
      <c r="V1120">
        <v>0.52</v>
      </c>
      <c r="W1120">
        <v>0.49</v>
      </c>
      <c r="X1120">
        <v>0.14000000000000001</v>
      </c>
      <c r="Y1120">
        <v>0</v>
      </c>
      <c r="Z1120">
        <v>0</v>
      </c>
      <c r="AA1120" t="s">
        <v>9343</v>
      </c>
      <c r="AB1120" t="s">
        <v>241</v>
      </c>
      <c r="AC1120" t="s">
        <v>3213</v>
      </c>
    </row>
    <row r="1121" spans="1:29" x14ac:dyDescent="0.25">
      <c r="A1121" t="s">
        <v>1808</v>
      </c>
      <c r="B1121" t="s">
        <v>254</v>
      </c>
      <c r="C1121" t="s">
        <v>317</v>
      </c>
      <c r="D1121" t="s">
        <v>3713</v>
      </c>
      <c r="E1121" t="s">
        <v>3761</v>
      </c>
      <c r="F1121">
        <v>19000101</v>
      </c>
      <c r="G1121" t="s">
        <v>9348</v>
      </c>
      <c r="H1121" t="s">
        <v>242</v>
      </c>
      <c r="I1121" t="s">
        <v>241</v>
      </c>
      <c r="J1121" t="s">
        <v>242</v>
      </c>
      <c r="K1121" t="s">
        <v>242</v>
      </c>
      <c r="L1121" t="s">
        <v>242</v>
      </c>
      <c r="M1121">
        <v>39.33</v>
      </c>
      <c r="N1121">
        <v>-123.2375</v>
      </c>
      <c r="O1121">
        <v>0</v>
      </c>
      <c r="P1121">
        <v>0</v>
      </c>
      <c r="Q1121">
        <v>0</v>
      </c>
      <c r="R1121">
        <v>0</v>
      </c>
      <c r="S1121">
        <v>0.22</v>
      </c>
      <c r="T1121">
        <v>0.56999999999999995</v>
      </c>
      <c r="U1121">
        <v>0.52</v>
      </c>
      <c r="V1121">
        <v>0.47</v>
      </c>
      <c r="W1121">
        <v>0.39</v>
      </c>
      <c r="X1121">
        <v>0.01</v>
      </c>
      <c r="Y1121">
        <v>0</v>
      </c>
      <c r="Z1121">
        <v>0</v>
      </c>
      <c r="AA1121" t="s">
        <v>9335</v>
      </c>
      <c r="AB1121" t="s">
        <v>242</v>
      </c>
      <c r="AC1121" t="s">
        <v>3213</v>
      </c>
    </row>
    <row r="1122" spans="1:29" x14ac:dyDescent="0.25">
      <c r="A1122" t="s">
        <v>2346</v>
      </c>
      <c r="B1122" t="s">
        <v>254</v>
      </c>
      <c r="C1122" t="s">
        <v>436</v>
      </c>
      <c r="D1122" t="s">
        <v>3713</v>
      </c>
      <c r="E1122" t="s">
        <v>3761</v>
      </c>
      <c r="F1122">
        <v>10000000</v>
      </c>
      <c r="G1122" t="s">
        <v>9349</v>
      </c>
      <c r="H1122" t="s">
        <v>241</v>
      </c>
      <c r="I1122" t="s">
        <v>242</v>
      </c>
      <c r="J1122" t="s">
        <v>242</v>
      </c>
      <c r="K1122" t="s">
        <v>242</v>
      </c>
      <c r="L1122" t="s">
        <v>241</v>
      </c>
      <c r="M1122">
        <v>38.712000000000003</v>
      </c>
      <c r="N1122">
        <v>-122.896</v>
      </c>
      <c r="O1122">
        <v>0</v>
      </c>
      <c r="P1122">
        <v>7.0000000000000007E-2</v>
      </c>
      <c r="Q1122">
        <v>0</v>
      </c>
      <c r="R1122">
        <v>7.0000000000000007E-2</v>
      </c>
      <c r="S1122">
        <v>0.37</v>
      </c>
      <c r="T1122">
        <v>1.28</v>
      </c>
      <c r="U1122">
        <v>1.51</v>
      </c>
      <c r="V1122">
        <v>1.43</v>
      </c>
      <c r="W1122">
        <v>1.28</v>
      </c>
      <c r="X1122">
        <v>0.64</v>
      </c>
      <c r="Y1122">
        <v>0</v>
      </c>
      <c r="Z1122">
        <v>0</v>
      </c>
      <c r="AA1122" t="s">
        <v>9335</v>
      </c>
      <c r="AB1122" t="s">
        <v>242</v>
      </c>
      <c r="AC1122" t="s">
        <v>3229</v>
      </c>
    </row>
    <row r="1123" spans="1:29" x14ac:dyDescent="0.25">
      <c r="A1123" t="s">
        <v>2347</v>
      </c>
      <c r="B1123" t="s">
        <v>254</v>
      </c>
      <c r="C1123" t="s">
        <v>507</v>
      </c>
      <c r="D1123" t="s">
        <v>3713</v>
      </c>
      <c r="E1123" t="s">
        <v>3761</v>
      </c>
      <c r="F1123">
        <v>10000000</v>
      </c>
      <c r="G1123" t="s">
        <v>9349</v>
      </c>
      <c r="H1123" t="s">
        <v>242</v>
      </c>
      <c r="I1123" t="s">
        <v>242</v>
      </c>
      <c r="J1123" t="s">
        <v>242</v>
      </c>
      <c r="K1123" t="s">
        <v>242</v>
      </c>
      <c r="L1123" t="s">
        <v>241</v>
      </c>
      <c r="M1123">
        <v>38.605899999999998</v>
      </c>
      <c r="N1123">
        <v>-122.85769999999999</v>
      </c>
      <c r="O1123">
        <v>0</v>
      </c>
      <c r="P1123">
        <v>0</v>
      </c>
      <c r="Q1123">
        <v>0.12</v>
      </c>
      <c r="R1123">
        <v>0.57999999999999996</v>
      </c>
      <c r="S1123">
        <v>0.36</v>
      </c>
      <c r="T1123">
        <v>0.41</v>
      </c>
      <c r="U1123">
        <v>0.37</v>
      </c>
      <c r="V1123">
        <v>0.28999999999999998</v>
      </c>
      <c r="W1123">
        <v>0.36</v>
      </c>
      <c r="X1123">
        <v>0.33</v>
      </c>
      <c r="Y1123">
        <v>0.33</v>
      </c>
      <c r="Z1123">
        <v>0</v>
      </c>
      <c r="AA1123" t="s">
        <v>9340</v>
      </c>
      <c r="AB1123" t="s">
        <v>242</v>
      </c>
      <c r="AC1123" t="s">
        <v>3229</v>
      </c>
    </row>
    <row r="1124" spans="1:29" x14ac:dyDescent="0.25">
      <c r="A1124" t="s">
        <v>2348</v>
      </c>
      <c r="B1124" t="s">
        <v>254</v>
      </c>
      <c r="C1124" t="s">
        <v>507</v>
      </c>
      <c r="D1124" t="s">
        <v>3713</v>
      </c>
      <c r="E1124" t="s">
        <v>3761</v>
      </c>
      <c r="F1124">
        <v>10000000</v>
      </c>
      <c r="G1124" t="s">
        <v>9349</v>
      </c>
      <c r="H1124" t="s">
        <v>242</v>
      </c>
      <c r="I1124" t="s">
        <v>242</v>
      </c>
      <c r="J1124" t="s">
        <v>242</v>
      </c>
      <c r="K1124" t="s">
        <v>242</v>
      </c>
      <c r="L1124" t="s">
        <v>241</v>
      </c>
      <c r="M1124">
        <v>38.6021</v>
      </c>
      <c r="N1124">
        <v>-122.8584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 t="s">
        <v>9340</v>
      </c>
      <c r="AB1124" t="s">
        <v>242</v>
      </c>
      <c r="AC1124" t="s">
        <v>3229</v>
      </c>
    </row>
    <row r="1125" spans="1:29" x14ac:dyDescent="0.25">
      <c r="A1125" t="s">
        <v>2349</v>
      </c>
      <c r="B1125" t="s">
        <v>254</v>
      </c>
      <c r="C1125" t="s">
        <v>319</v>
      </c>
      <c r="D1125" t="s">
        <v>3713</v>
      </c>
      <c r="E1125" t="s">
        <v>3761</v>
      </c>
      <c r="F1125">
        <v>10000000</v>
      </c>
      <c r="G1125" t="s">
        <v>9349</v>
      </c>
      <c r="H1125" t="s">
        <v>242</v>
      </c>
      <c r="I1125" t="s">
        <v>242</v>
      </c>
      <c r="J1125" t="s">
        <v>242</v>
      </c>
      <c r="K1125" t="s">
        <v>242</v>
      </c>
      <c r="L1125" t="s">
        <v>241</v>
      </c>
      <c r="M1125">
        <v>38.959200000000003</v>
      </c>
      <c r="N1125">
        <v>-123.0782</v>
      </c>
      <c r="O1125">
        <v>11.06</v>
      </c>
      <c r="P1125">
        <v>0</v>
      </c>
      <c r="Q1125">
        <v>0</v>
      </c>
      <c r="R1125">
        <v>0</v>
      </c>
      <c r="S1125">
        <v>0.53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3.6</v>
      </c>
      <c r="Z1125">
        <v>14.83</v>
      </c>
      <c r="AA1125" t="s">
        <v>9342</v>
      </c>
      <c r="AB1125" t="s">
        <v>242</v>
      </c>
      <c r="AC1125" t="s">
        <v>3213</v>
      </c>
    </row>
    <row r="1126" spans="1:29" x14ac:dyDescent="0.25">
      <c r="A1126" t="s">
        <v>2350</v>
      </c>
      <c r="B1126" t="s">
        <v>254</v>
      </c>
      <c r="C1126" t="s">
        <v>319</v>
      </c>
      <c r="D1126" t="s">
        <v>3713</v>
      </c>
      <c r="E1126" t="s">
        <v>3761</v>
      </c>
      <c r="F1126">
        <v>10000000</v>
      </c>
      <c r="G1126" t="s">
        <v>9349</v>
      </c>
      <c r="H1126" t="s">
        <v>242</v>
      </c>
      <c r="I1126" t="s">
        <v>242</v>
      </c>
      <c r="J1126" t="s">
        <v>242</v>
      </c>
      <c r="K1126" t="s">
        <v>242</v>
      </c>
      <c r="L1126" t="s">
        <v>241</v>
      </c>
      <c r="M1126">
        <v>38.978499999999997</v>
      </c>
      <c r="N1126">
        <v>-123.0802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 t="s">
        <v>9335</v>
      </c>
      <c r="AB1126" t="s">
        <v>242</v>
      </c>
      <c r="AC1126" t="s">
        <v>3213</v>
      </c>
    </row>
    <row r="1127" spans="1:29" x14ac:dyDescent="0.25">
      <c r="A1127" t="s">
        <v>2351</v>
      </c>
      <c r="B1127" t="s">
        <v>254</v>
      </c>
      <c r="C1127" t="s">
        <v>319</v>
      </c>
      <c r="D1127" t="s">
        <v>3713</v>
      </c>
      <c r="E1127" t="s">
        <v>3761</v>
      </c>
      <c r="F1127">
        <v>10000000</v>
      </c>
      <c r="G1127" t="s">
        <v>9349</v>
      </c>
      <c r="H1127" t="s">
        <v>242</v>
      </c>
      <c r="I1127" t="s">
        <v>242</v>
      </c>
      <c r="J1127" t="s">
        <v>242</v>
      </c>
      <c r="K1127" t="s">
        <v>242</v>
      </c>
      <c r="L1127" t="s">
        <v>241</v>
      </c>
      <c r="M1127">
        <v>38.982300000000002</v>
      </c>
      <c r="N1127">
        <v>-123.0808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 t="s">
        <v>9335</v>
      </c>
      <c r="AB1127" t="s">
        <v>242</v>
      </c>
      <c r="AC1127" t="s">
        <v>3213</v>
      </c>
    </row>
    <row r="1128" spans="1:29" x14ac:dyDescent="0.25">
      <c r="A1128" t="s">
        <v>1765</v>
      </c>
      <c r="B1128" t="s">
        <v>254</v>
      </c>
      <c r="C1128" t="s">
        <v>331</v>
      </c>
      <c r="D1128" t="s">
        <v>3713</v>
      </c>
      <c r="E1128" t="s">
        <v>3761</v>
      </c>
      <c r="F1128">
        <v>19130101</v>
      </c>
      <c r="G1128" t="s">
        <v>9348</v>
      </c>
      <c r="H1128" t="s">
        <v>242</v>
      </c>
      <c r="I1128" t="s">
        <v>241</v>
      </c>
      <c r="J1128" t="s">
        <v>242</v>
      </c>
      <c r="K1128" t="s">
        <v>242</v>
      </c>
      <c r="L1128" t="s">
        <v>242</v>
      </c>
      <c r="M1128">
        <v>39.127600000000001</v>
      </c>
      <c r="N1128">
        <v>-123.1301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 t="s">
        <v>9341</v>
      </c>
      <c r="AB1128" t="s">
        <v>242</v>
      </c>
      <c r="AC1128" t="s">
        <v>3213</v>
      </c>
    </row>
    <row r="1129" spans="1:29" x14ac:dyDescent="0.25">
      <c r="A1129" t="s">
        <v>1782</v>
      </c>
      <c r="B1129" t="s">
        <v>254</v>
      </c>
      <c r="C1129" t="s">
        <v>331</v>
      </c>
      <c r="D1129" t="s">
        <v>3713</v>
      </c>
      <c r="E1129" t="s">
        <v>3761</v>
      </c>
      <c r="F1129">
        <v>19080101</v>
      </c>
      <c r="G1129" t="s">
        <v>9348</v>
      </c>
      <c r="H1129" t="s">
        <v>242</v>
      </c>
      <c r="I1129" t="s">
        <v>241</v>
      </c>
      <c r="J1129" t="s">
        <v>242</v>
      </c>
      <c r="K1129" t="s">
        <v>242</v>
      </c>
      <c r="L1129" t="s">
        <v>242</v>
      </c>
      <c r="M1129">
        <v>39.131500000000003</v>
      </c>
      <c r="N1129">
        <v>-123.1348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15</v>
      </c>
      <c r="AA1129" t="s">
        <v>9341</v>
      </c>
      <c r="AB1129" t="s">
        <v>242</v>
      </c>
      <c r="AC1129" t="s">
        <v>3213</v>
      </c>
    </row>
    <row r="1130" spans="1:29" x14ac:dyDescent="0.25">
      <c r="A1130" t="s">
        <v>2352</v>
      </c>
      <c r="B1130" t="s">
        <v>254</v>
      </c>
      <c r="C1130" t="s">
        <v>317</v>
      </c>
      <c r="D1130" t="s">
        <v>3713</v>
      </c>
      <c r="E1130" t="s">
        <v>3761</v>
      </c>
      <c r="F1130">
        <v>10000000</v>
      </c>
      <c r="G1130" t="s">
        <v>9349</v>
      </c>
      <c r="H1130" t="s">
        <v>242</v>
      </c>
      <c r="I1130" t="s">
        <v>242</v>
      </c>
      <c r="J1130" t="s">
        <v>242</v>
      </c>
      <c r="K1130" t="s">
        <v>242</v>
      </c>
      <c r="L1130" t="s">
        <v>241</v>
      </c>
      <c r="M1130">
        <v>39.228400000000001</v>
      </c>
      <c r="N1130">
        <v>-123.2029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 t="s">
        <v>9343</v>
      </c>
      <c r="AB1130" t="s">
        <v>242</v>
      </c>
      <c r="AC1130" t="s">
        <v>3213</v>
      </c>
    </row>
    <row r="1131" spans="1:29" x14ac:dyDescent="0.25">
      <c r="A1131" t="s">
        <v>1833</v>
      </c>
      <c r="B1131" t="s">
        <v>254</v>
      </c>
      <c r="C1131" t="s">
        <v>308</v>
      </c>
      <c r="D1131" t="s">
        <v>3713</v>
      </c>
      <c r="E1131" t="s">
        <v>3761</v>
      </c>
      <c r="F1131">
        <v>18720101</v>
      </c>
      <c r="G1131" t="s">
        <v>9348</v>
      </c>
      <c r="H1131" t="s">
        <v>242</v>
      </c>
      <c r="I1131" t="s">
        <v>241</v>
      </c>
      <c r="J1131" t="s">
        <v>242</v>
      </c>
      <c r="K1131" t="s">
        <v>242</v>
      </c>
      <c r="L1131" t="s">
        <v>242</v>
      </c>
      <c r="M1131">
        <v>38.6342</v>
      </c>
      <c r="N1131">
        <v>-122.6734</v>
      </c>
      <c r="O1131">
        <v>0.08</v>
      </c>
      <c r="P1131">
        <v>0.09</v>
      </c>
      <c r="Q1131">
        <v>0.05</v>
      </c>
      <c r="R1131">
        <v>0.3</v>
      </c>
      <c r="S1131">
        <v>0.76</v>
      </c>
      <c r="T1131">
        <v>1.95</v>
      </c>
      <c r="U1131">
        <v>2.14</v>
      </c>
      <c r="V1131">
        <v>2.12</v>
      </c>
      <c r="W1131">
        <v>1.71</v>
      </c>
      <c r="X1131">
        <v>1.43</v>
      </c>
      <c r="Y1131">
        <v>0.24</v>
      </c>
      <c r="Z1131">
        <v>0.1</v>
      </c>
      <c r="AA1131" t="s">
        <v>9335</v>
      </c>
      <c r="AB1131" t="s">
        <v>242</v>
      </c>
      <c r="AC1131" t="s">
        <v>3229</v>
      </c>
    </row>
    <row r="1132" spans="1:29" x14ac:dyDescent="0.25">
      <c r="A1132" t="s">
        <v>1835</v>
      </c>
      <c r="B1132" t="s">
        <v>254</v>
      </c>
      <c r="C1132" t="s">
        <v>308</v>
      </c>
      <c r="D1132" t="s">
        <v>3713</v>
      </c>
      <c r="E1132" t="s">
        <v>3761</v>
      </c>
      <c r="F1132">
        <v>18720101</v>
      </c>
      <c r="G1132" t="s">
        <v>9348</v>
      </c>
      <c r="H1132" t="s">
        <v>242</v>
      </c>
      <c r="I1132" t="s">
        <v>241</v>
      </c>
      <c r="J1132" t="s">
        <v>242</v>
      </c>
      <c r="K1132" t="s">
        <v>242</v>
      </c>
      <c r="L1132" t="s">
        <v>242</v>
      </c>
      <c r="M1132">
        <v>38.643700000000003</v>
      </c>
      <c r="N1132">
        <v>-122.6601</v>
      </c>
      <c r="O1132">
        <v>4.5523330000000004E-3</v>
      </c>
      <c r="P1132">
        <v>5.9433330000000003E-3</v>
      </c>
      <c r="Q1132">
        <v>5.9946670000000004E-3</v>
      </c>
      <c r="R1132">
        <v>0.01</v>
      </c>
      <c r="S1132">
        <v>0.06</v>
      </c>
      <c r="T1132">
        <v>0.06</v>
      </c>
      <c r="U1132">
        <v>0.08</v>
      </c>
      <c r="V1132">
        <v>0.09</v>
      </c>
      <c r="W1132">
        <v>0.08</v>
      </c>
      <c r="X1132">
        <v>0.03</v>
      </c>
      <c r="Y1132">
        <v>0.03</v>
      </c>
      <c r="Z1132">
        <v>0.02</v>
      </c>
      <c r="AA1132" t="s">
        <v>9333</v>
      </c>
      <c r="AB1132" t="s">
        <v>242</v>
      </c>
      <c r="AC1132" t="s">
        <v>3229</v>
      </c>
    </row>
    <row r="1133" spans="1:29" x14ac:dyDescent="0.25">
      <c r="A1133" t="s">
        <v>2353</v>
      </c>
      <c r="B1133" t="s">
        <v>254</v>
      </c>
      <c r="C1133" t="s">
        <v>319</v>
      </c>
      <c r="D1133" t="s">
        <v>3713</v>
      </c>
      <c r="E1133" t="s">
        <v>3761</v>
      </c>
      <c r="F1133">
        <v>10000000</v>
      </c>
      <c r="G1133" t="s">
        <v>9349</v>
      </c>
      <c r="H1133" t="s">
        <v>242</v>
      </c>
      <c r="I1133" t="s">
        <v>242</v>
      </c>
      <c r="J1133" t="s">
        <v>242</v>
      </c>
      <c r="K1133" t="s">
        <v>242</v>
      </c>
      <c r="L1133" t="s">
        <v>241</v>
      </c>
      <c r="M1133">
        <v>38.993600000000001</v>
      </c>
      <c r="N1133">
        <v>-123.15349999999999</v>
      </c>
      <c r="O1133">
        <v>1.96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1.96</v>
      </c>
      <c r="AA1133" t="s">
        <v>9335</v>
      </c>
      <c r="AB1133" t="s">
        <v>242</v>
      </c>
      <c r="AC1133" t="s">
        <v>3213</v>
      </c>
    </row>
    <row r="1134" spans="1:29" x14ac:dyDescent="0.25">
      <c r="A1134" t="s">
        <v>2354</v>
      </c>
      <c r="B1134" t="s">
        <v>254</v>
      </c>
      <c r="C1134" t="s">
        <v>319</v>
      </c>
      <c r="D1134" t="s">
        <v>3713</v>
      </c>
      <c r="E1134" t="s">
        <v>3761</v>
      </c>
      <c r="F1134">
        <v>10000000</v>
      </c>
      <c r="G1134" t="s">
        <v>9349</v>
      </c>
      <c r="H1134" t="s">
        <v>242</v>
      </c>
      <c r="I1134" t="s">
        <v>242</v>
      </c>
      <c r="J1134" t="s">
        <v>242</v>
      </c>
      <c r="K1134" t="s">
        <v>242</v>
      </c>
      <c r="L1134" t="s">
        <v>241</v>
      </c>
      <c r="M1134">
        <v>38.991900000000001</v>
      </c>
      <c r="N1134">
        <v>-123.1512</v>
      </c>
      <c r="O1134">
        <v>14.26</v>
      </c>
      <c r="P1134">
        <v>4</v>
      </c>
      <c r="Q1134">
        <v>1.66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12.66</v>
      </c>
      <c r="AA1134" t="s">
        <v>9335</v>
      </c>
      <c r="AB1134" t="s">
        <v>242</v>
      </c>
      <c r="AC1134" t="s">
        <v>3213</v>
      </c>
    </row>
    <row r="1135" spans="1:29" x14ac:dyDescent="0.25">
      <c r="A1135" t="s">
        <v>1857</v>
      </c>
      <c r="B1135" t="s">
        <v>254</v>
      </c>
      <c r="C1135" t="s">
        <v>348</v>
      </c>
      <c r="D1135" t="s">
        <v>3713</v>
      </c>
      <c r="E1135" t="s">
        <v>3761</v>
      </c>
      <c r="F1135">
        <v>10000000</v>
      </c>
      <c r="G1135" t="s">
        <v>9349</v>
      </c>
      <c r="H1135" t="s">
        <v>242</v>
      </c>
      <c r="I1135" t="s">
        <v>242</v>
      </c>
      <c r="J1135" t="s">
        <v>242</v>
      </c>
      <c r="K1135" t="s">
        <v>242</v>
      </c>
      <c r="L1135" t="s">
        <v>241</v>
      </c>
      <c r="M1135">
        <v>39.294600000000003</v>
      </c>
      <c r="N1135">
        <v>-123.1015</v>
      </c>
      <c r="O1135">
        <v>0</v>
      </c>
      <c r="P1135">
        <v>0</v>
      </c>
      <c r="Q1135">
        <v>2</v>
      </c>
      <c r="R1135">
        <v>4</v>
      </c>
      <c r="S1135">
        <v>3.33</v>
      </c>
      <c r="T1135">
        <v>2.66</v>
      </c>
      <c r="U1135">
        <v>5.33</v>
      </c>
      <c r="V1135">
        <v>3.33</v>
      </c>
      <c r="W1135">
        <v>2.66</v>
      </c>
      <c r="X1135">
        <v>2.66</v>
      </c>
      <c r="Y1135">
        <v>0</v>
      </c>
      <c r="Z1135">
        <v>0</v>
      </c>
      <c r="AA1135" t="s">
        <v>9335</v>
      </c>
      <c r="AB1135" t="s">
        <v>242</v>
      </c>
      <c r="AC1135" t="s">
        <v>3213</v>
      </c>
    </row>
    <row r="1136" spans="1:29" x14ac:dyDescent="0.25">
      <c r="A1136" t="s">
        <v>1884</v>
      </c>
      <c r="B1136" t="s">
        <v>254</v>
      </c>
      <c r="C1136" t="s">
        <v>348</v>
      </c>
      <c r="D1136" t="s">
        <v>3713</v>
      </c>
      <c r="E1136" t="s">
        <v>3761</v>
      </c>
      <c r="F1136">
        <v>10000000</v>
      </c>
      <c r="G1136" t="s">
        <v>9349</v>
      </c>
      <c r="H1136" t="s">
        <v>242</v>
      </c>
      <c r="I1136" t="s">
        <v>242</v>
      </c>
      <c r="J1136" t="s">
        <v>242</v>
      </c>
      <c r="K1136" t="s">
        <v>242</v>
      </c>
      <c r="L1136" t="s">
        <v>241</v>
      </c>
      <c r="M1136">
        <v>39.341799999999999</v>
      </c>
      <c r="N1136">
        <v>-123.13120000000001</v>
      </c>
      <c r="O1136">
        <v>0</v>
      </c>
      <c r="P1136">
        <v>0</v>
      </c>
      <c r="Q1136">
        <v>4.7300000000000004</v>
      </c>
      <c r="R1136">
        <v>9.4700000000000006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 t="s">
        <v>9335</v>
      </c>
      <c r="AB1136" t="s">
        <v>242</v>
      </c>
      <c r="AC1136" t="s">
        <v>3213</v>
      </c>
    </row>
    <row r="1137" spans="1:29" x14ac:dyDescent="0.25">
      <c r="A1137" t="s">
        <v>2357</v>
      </c>
      <c r="B1137" t="s">
        <v>254</v>
      </c>
      <c r="C1137" t="s">
        <v>331</v>
      </c>
      <c r="D1137" t="s">
        <v>3713</v>
      </c>
      <c r="E1137" t="s">
        <v>3761</v>
      </c>
      <c r="F1137">
        <v>10000000</v>
      </c>
      <c r="G1137" t="s">
        <v>9349</v>
      </c>
      <c r="H1137" t="s">
        <v>242</v>
      </c>
      <c r="I1137" t="s">
        <v>242</v>
      </c>
      <c r="J1137" t="s">
        <v>242</v>
      </c>
      <c r="K1137" t="s">
        <v>242</v>
      </c>
      <c r="L1137" t="s">
        <v>241</v>
      </c>
      <c r="M1137">
        <v>39.129600000000003</v>
      </c>
      <c r="N1137">
        <v>-123.2188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4.5999999999999999E-3</v>
      </c>
      <c r="U1137">
        <v>4.5999999999999999E-3</v>
      </c>
      <c r="V1137">
        <v>4.5999999999999999E-3</v>
      </c>
      <c r="W1137">
        <v>0</v>
      </c>
      <c r="X1137">
        <v>0</v>
      </c>
      <c r="Y1137">
        <v>0</v>
      </c>
      <c r="Z1137">
        <v>0</v>
      </c>
      <c r="AA1137" t="s">
        <v>9333</v>
      </c>
      <c r="AB1137" t="s">
        <v>242</v>
      </c>
      <c r="AC1137" t="s">
        <v>3213</v>
      </c>
    </row>
    <row r="1138" spans="1:29" x14ac:dyDescent="0.25">
      <c r="A1138" t="s">
        <v>2359</v>
      </c>
      <c r="B1138" t="s">
        <v>254</v>
      </c>
      <c r="C1138" t="s">
        <v>317</v>
      </c>
      <c r="D1138" t="s">
        <v>3713</v>
      </c>
      <c r="E1138" t="s">
        <v>3761</v>
      </c>
      <c r="F1138">
        <v>10000000</v>
      </c>
      <c r="G1138" t="s">
        <v>9349</v>
      </c>
      <c r="H1138" t="s">
        <v>242</v>
      </c>
      <c r="I1138" t="s">
        <v>242</v>
      </c>
      <c r="J1138" t="s">
        <v>242</v>
      </c>
      <c r="K1138" t="s">
        <v>242</v>
      </c>
      <c r="L1138" t="s">
        <v>241</v>
      </c>
      <c r="M1138">
        <v>39.317900000000002</v>
      </c>
      <c r="N1138">
        <v>-123.193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 t="s">
        <v>9333</v>
      </c>
      <c r="AB1138" t="s">
        <v>242</v>
      </c>
      <c r="AC1138" t="s">
        <v>3213</v>
      </c>
    </row>
    <row r="1139" spans="1:29" x14ac:dyDescent="0.25">
      <c r="A1139" t="s">
        <v>2360</v>
      </c>
      <c r="B1139" t="s">
        <v>254</v>
      </c>
      <c r="C1139" t="s">
        <v>317</v>
      </c>
      <c r="D1139" t="s">
        <v>3713</v>
      </c>
      <c r="E1139" t="s">
        <v>3761</v>
      </c>
      <c r="F1139">
        <v>10000000</v>
      </c>
      <c r="G1139" t="s">
        <v>9349</v>
      </c>
      <c r="H1139" t="s">
        <v>242</v>
      </c>
      <c r="I1139" t="s">
        <v>242</v>
      </c>
      <c r="J1139" t="s">
        <v>242</v>
      </c>
      <c r="K1139" t="s">
        <v>242</v>
      </c>
      <c r="L1139" t="s">
        <v>241</v>
      </c>
      <c r="M1139">
        <v>39.320099999999996</v>
      </c>
      <c r="N1139">
        <v>-123.2034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 t="s">
        <v>9333</v>
      </c>
      <c r="AB1139" t="s">
        <v>242</v>
      </c>
      <c r="AC1139" t="s">
        <v>3213</v>
      </c>
    </row>
    <row r="1140" spans="1:29" x14ac:dyDescent="0.25">
      <c r="A1140" t="s">
        <v>2361</v>
      </c>
      <c r="B1140" t="s">
        <v>254</v>
      </c>
      <c r="C1140" t="s">
        <v>317</v>
      </c>
      <c r="D1140" t="s">
        <v>3713</v>
      </c>
      <c r="E1140" t="s">
        <v>3761</v>
      </c>
      <c r="F1140">
        <v>10000000</v>
      </c>
      <c r="G1140" t="s">
        <v>9349</v>
      </c>
      <c r="H1140" t="s">
        <v>242</v>
      </c>
      <c r="I1140" t="s">
        <v>242</v>
      </c>
      <c r="J1140" t="s">
        <v>242</v>
      </c>
      <c r="K1140" t="s">
        <v>242</v>
      </c>
      <c r="L1140" t="s">
        <v>241</v>
      </c>
      <c r="M1140">
        <v>39.320900000000002</v>
      </c>
      <c r="N1140">
        <v>-123.19929999999999</v>
      </c>
      <c r="O1140">
        <v>0.21</v>
      </c>
      <c r="P1140">
        <v>0.16</v>
      </c>
      <c r="Q1140">
        <v>0.1</v>
      </c>
      <c r="R1140">
        <v>0.28999999999999998</v>
      </c>
      <c r="S1140">
        <v>0.08</v>
      </c>
      <c r="T1140">
        <v>0.01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 t="s">
        <v>9333</v>
      </c>
      <c r="AB1140" t="s">
        <v>242</v>
      </c>
      <c r="AC1140" t="s">
        <v>3213</v>
      </c>
    </row>
    <row r="1141" spans="1:29" x14ac:dyDescent="0.25">
      <c r="A1141" t="s">
        <v>2362</v>
      </c>
      <c r="B1141" t="s">
        <v>254</v>
      </c>
      <c r="C1141" t="s">
        <v>317</v>
      </c>
      <c r="D1141" t="s">
        <v>3713</v>
      </c>
      <c r="E1141" t="s">
        <v>3761</v>
      </c>
      <c r="F1141">
        <v>10000000</v>
      </c>
      <c r="G1141" t="s">
        <v>9349</v>
      </c>
      <c r="H1141" t="s">
        <v>242</v>
      </c>
      <c r="I1141" t="s">
        <v>242</v>
      </c>
      <c r="J1141" t="s">
        <v>242</v>
      </c>
      <c r="K1141" t="s">
        <v>242</v>
      </c>
      <c r="L1141" t="s">
        <v>241</v>
      </c>
      <c r="M1141">
        <v>39.313600000000001</v>
      </c>
      <c r="N1141">
        <v>-123.1951</v>
      </c>
      <c r="O1141">
        <v>0.35</v>
      </c>
      <c r="P1141">
        <v>0.4</v>
      </c>
      <c r="Q1141">
        <v>0.55000000000000004</v>
      </c>
      <c r="R1141">
        <v>0.99</v>
      </c>
      <c r="S1141">
        <v>0.51</v>
      </c>
      <c r="T1141">
        <v>0.45</v>
      </c>
      <c r="U1141">
        <v>1.5E-3</v>
      </c>
      <c r="V1141">
        <v>0.65</v>
      </c>
      <c r="W1141">
        <v>0.48</v>
      </c>
      <c r="X1141">
        <v>0.55000000000000004</v>
      </c>
      <c r="Y1141">
        <v>0.47</v>
      </c>
      <c r="Z1141">
        <v>0.5</v>
      </c>
      <c r="AA1141" t="s">
        <v>9333</v>
      </c>
      <c r="AB1141" t="s">
        <v>241</v>
      </c>
      <c r="AC1141" t="s">
        <v>3213</v>
      </c>
    </row>
    <row r="1142" spans="1:29" x14ac:dyDescent="0.25">
      <c r="A1142" t="s">
        <v>2363</v>
      </c>
      <c r="B1142" t="s">
        <v>254</v>
      </c>
      <c r="C1142" t="s">
        <v>333</v>
      </c>
      <c r="D1142" t="s">
        <v>3713</v>
      </c>
      <c r="E1142" t="s">
        <v>3761</v>
      </c>
      <c r="F1142">
        <v>10000000</v>
      </c>
      <c r="G1142" t="s">
        <v>9349</v>
      </c>
      <c r="H1142" t="s">
        <v>241</v>
      </c>
      <c r="I1142" t="s">
        <v>242</v>
      </c>
      <c r="J1142" t="s">
        <v>242</v>
      </c>
      <c r="K1142" t="s">
        <v>242</v>
      </c>
      <c r="L1142" t="s">
        <v>241</v>
      </c>
      <c r="M1142">
        <v>39.035699999999999</v>
      </c>
      <c r="N1142">
        <v>-123.129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 t="s">
        <v>9335</v>
      </c>
      <c r="AB1142" t="s">
        <v>242</v>
      </c>
      <c r="AC1142" t="s">
        <v>3213</v>
      </c>
    </row>
    <row r="1143" spans="1:29" x14ac:dyDescent="0.25">
      <c r="A1143" t="s">
        <v>2364</v>
      </c>
      <c r="B1143" t="s">
        <v>254</v>
      </c>
      <c r="C1143" t="s">
        <v>436</v>
      </c>
      <c r="D1143" t="s">
        <v>3713</v>
      </c>
      <c r="E1143" t="s">
        <v>3761</v>
      </c>
      <c r="F1143">
        <v>10000000</v>
      </c>
      <c r="G1143" t="s">
        <v>9349</v>
      </c>
      <c r="H1143" t="s">
        <v>242</v>
      </c>
      <c r="I1143" t="s">
        <v>242</v>
      </c>
      <c r="J1143" t="s">
        <v>242</v>
      </c>
      <c r="K1143" t="s">
        <v>242</v>
      </c>
      <c r="L1143" t="s">
        <v>241</v>
      </c>
      <c r="M1143">
        <v>38.6858</v>
      </c>
      <c r="N1143">
        <v>-122.809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 t="s">
        <v>9335</v>
      </c>
      <c r="AB1143" t="s">
        <v>242</v>
      </c>
      <c r="AC1143" t="s">
        <v>3229</v>
      </c>
    </row>
    <row r="1144" spans="1:29" x14ac:dyDescent="0.25">
      <c r="A1144" t="s">
        <v>2365</v>
      </c>
      <c r="B1144" t="s">
        <v>254</v>
      </c>
      <c r="C1144" t="s">
        <v>354</v>
      </c>
      <c r="D1144" t="s">
        <v>3713</v>
      </c>
      <c r="E1144" t="s">
        <v>3761</v>
      </c>
      <c r="F1144">
        <v>10000000</v>
      </c>
      <c r="G1144" t="s">
        <v>9349</v>
      </c>
      <c r="H1144" t="s">
        <v>241</v>
      </c>
      <c r="I1144" t="s">
        <v>242</v>
      </c>
      <c r="J1144" t="s">
        <v>242</v>
      </c>
      <c r="K1144" t="s">
        <v>242</v>
      </c>
      <c r="L1144" t="s">
        <v>241</v>
      </c>
      <c r="M1144">
        <v>38.717500000000001</v>
      </c>
      <c r="N1144">
        <v>-122.91119999999999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 t="s">
        <v>9343</v>
      </c>
      <c r="AB1144" t="s">
        <v>242</v>
      </c>
      <c r="AC1144" t="s">
        <v>3229</v>
      </c>
    </row>
    <row r="1145" spans="1:29" x14ac:dyDescent="0.25">
      <c r="A1145" t="s">
        <v>2366</v>
      </c>
      <c r="B1145" t="s">
        <v>254</v>
      </c>
      <c r="C1145" t="s">
        <v>354</v>
      </c>
      <c r="D1145" t="s">
        <v>3713</v>
      </c>
      <c r="E1145" t="s">
        <v>3761</v>
      </c>
      <c r="F1145">
        <v>10000000</v>
      </c>
      <c r="G1145" t="s">
        <v>9349</v>
      </c>
      <c r="H1145" t="s">
        <v>241</v>
      </c>
      <c r="I1145" t="s">
        <v>242</v>
      </c>
      <c r="J1145" t="s">
        <v>242</v>
      </c>
      <c r="K1145" t="s">
        <v>242</v>
      </c>
      <c r="L1145" t="s">
        <v>241</v>
      </c>
      <c r="M1145">
        <v>38.718200000000003</v>
      </c>
      <c r="N1145">
        <v>-122.91030000000001</v>
      </c>
      <c r="O1145">
        <v>0</v>
      </c>
      <c r="P1145">
        <v>0.2</v>
      </c>
      <c r="Q1145">
        <v>0</v>
      </c>
      <c r="R1145">
        <v>0.1</v>
      </c>
      <c r="S1145">
        <v>0.16</v>
      </c>
      <c r="T1145">
        <v>0.34</v>
      </c>
      <c r="U1145">
        <v>0.5</v>
      </c>
      <c r="V1145">
        <v>0.76</v>
      </c>
      <c r="W1145">
        <v>0.68</v>
      </c>
      <c r="X1145">
        <v>0.37</v>
      </c>
      <c r="Y1145">
        <v>0</v>
      </c>
      <c r="Z1145">
        <v>0</v>
      </c>
      <c r="AA1145" t="s">
        <v>9343</v>
      </c>
      <c r="AB1145" t="s">
        <v>242</v>
      </c>
      <c r="AC1145" t="s">
        <v>3229</v>
      </c>
    </row>
    <row r="1146" spans="1:29" x14ac:dyDescent="0.25">
      <c r="A1146" t="s">
        <v>2367</v>
      </c>
      <c r="B1146" t="s">
        <v>254</v>
      </c>
      <c r="C1146" t="s">
        <v>436</v>
      </c>
      <c r="D1146" t="s">
        <v>3713</v>
      </c>
      <c r="E1146" t="s">
        <v>3761</v>
      </c>
      <c r="F1146">
        <v>10000000</v>
      </c>
      <c r="G1146" t="s">
        <v>9349</v>
      </c>
      <c r="H1146" t="s">
        <v>241</v>
      </c>
      <c r="I1146" t="s">
        <v>242</v>
      </c>
      <c r="J1146" t="s">
        <v>242</v>
      </c>
      <c r="K1146" t="s">
        <v>242</v>
      </c>
      <c r="L1146" t="s">
        <v>241</v>
      </c>
      <c r="M1146">
        <v>38.663499999999999</v>
      </c>
      <c r="N1146">
        <v>-122.8386</v>
      </c>
      <c r="O1146">
        <v>0</v>
      </c>
      <c r="P1146">
        <v>0.7</v>
      </c>
      <c r="Q1146">
        <v>1.5</v>
      </c>
      <c r="R1146">
        <v>1.56</v>
      </c>
      <c r="S1146">
        <v>0.73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 t="s">
        <v>9335</v>
      </c>
      <c r="AB1146" t="s">
        <v>242</v>
      </c>
      <c r="AC1146" t="s">
        <v>3229</v>
      </c>
    </row>
    <row r="1147" spans="1:29" x14ac:dyDescent="0.25">
      <c r="A1147" t="s">
        <v>2368</v>
      </c>
      <c r="B1147" t="s">
        <v>254</v>
      </c>
      <c r="C1147" t="s">
        <v>354</v>
      </c>
      <c r="D1147" t="s">
        <v>3713</v>
      </c>
      <c r="E1147" t="s">
        <v>3761</v>
      </c>
      <c r="F1147">
        <v>10000000</v>
      </c>
      <c r="G1147" t="s">
        <v>9349</v>
      </c>
      <c r="H1147" t="s">
        <v>241</v>
      </c>
      <c r="I1147" t="s">
        <v>242</v>
      </c>
      <c r="J1147" t="s">
        <v>242</v>
      </c>
      <c r="K1147" t="s">
        <v>242</v>
      </c>
      <c r="L1147" t="s">
        <v>241</v>
      </c>
      <c r="M1147">
        <v>38.718600000000002</v>
      </c>
      <c r="N1147">
        <v>-122.91370000000001</v>
      </c>
      <c r="O1147">
        <v>0.05</v>
      </c>
      <c r="P1147">
        <v>0.05</v>
      </c>
      <c r="Q1147">
        <v>0.05</v>
      </c>
      <c r="R1147">
        <v>0.05</v>
      </c>
      <c r="S1147">
        <v>0.05</v>
      </c>
      <c r="T1147">
        <v>0.17</v>
      </c>
      <c r="U1147">
        <v>0.17</v>
      </c>
      <c r="V1147">
        <v>0.17</v>
      </c>
      <c r="W1147">
        <v>0.17</v>
      </c>
      <c r="X1147">
        <v>0.17</v>
      </c>
      <c r="Y1147">
        <v>0.05</v>
      </c>
      <c r="Z1147">
        <v>0.05</v>
      </c>
      <c r="AA1147" t="s">
        <v>9333</v>
      </c>
      <c r="AB1147" t="s">
        <v>242</v>
      </c>
      <c r="AC1147" t="s">
        <v>3229</v>
      </c>
    </row>
    <row r="1148" spans="1:29" x14ac:dyDescent="0.25">
      <c r="A1148" t="s">
        <v>2369</v>
      </c>
      <c r="B1148" t="s">
        <v>254</v>
      </c>
      <c r="C1148" t="s">
        <v>354</v>
      </c>
      <c r="D1148" t="s">
        <v>3713</v>
      </c>
      <c r="E1148" t="s">
        <v>3761</v>
      </c>
      <c r="F1148">
        <v>10000000</v>
      </c>
      <c r="G1148" t="s">
        <v>9349</v>
      </c>
      <c r="H1148" t="s">
        <v>241</v>
      </c>
      <c r="I1148" t="s">
        <v>242</v>
      </c>
      <c r="J1148" t="s">
        <v>242</v>
      </c>
      <c r="K1148" t="s">
        <v>242</v>
      </c>
      <c r="L1148" t="s">
        <v>241</v>
      </c>
      <c r="M1148">
        <v>38.716799999999999</v>
      </c>
      <c r="N1148">
        <v>-122.9139</v>
      </c>
      <c r="O1148">
        <v>0</v>
      </c>
      <c r="P1148">
        <v>2.4</v>
      </c>
      <c r="Q1148">
        <v>0</v>
      </c>
      <c r="R1148">
        <v>1.26</v>
      </c>
      <c r="S1148">
        <v>2.33</v>
      </c>
      <c r="T1148">
        <v>4.22</v>
      </c>
      <c r="U1148">
        <v>6.11</v>
      </c>
      <c r="V1148">
        <v>9.2799999999999994</v>
      </c>
      <c r="W1148">
        <v>8.5399999999999991</v>
      </c>
      <c r="X1148">
        <v>4.3499999999999996</v>
      </c>
      <c r="Y1148">
        <v>0.1</v>
      </c>
      <c r="Z1148">
        <v>0</v>
      </c>
      <c r="AA1148" t="s">
        <v>9335</v>
      </c>
      <c r="AB1148" t="s">
        <v>242</v>
      </c>
      <c r="AC1148" t="s">
        <v>3229</v>
      </c>
    </row>
    <row r="1149" spans="1:29" x14ac:dyDescent="0.25">
      <c r="A1149" t="s">
        <v>2370</v>
      </c>
      <c r="B1149" t="s">
        <v>254</v>
      </c>
      <c r="C1149" t="s">
        <v>319</v>
      </c>
      <c r="D1149" t="s">
        <v>3713</v>
      </c>
      <c r="E1149" t="s">
        <v>3761</v>
      </c>
      <c r="F1149">
        <v>10000000</v>
      </c>
      <c r="G1149" t="s">
        <v>9349</v>
      </c>
      <c r="H1149" t="s">
        <v>242</v>
      </c>
      <c r="I1149" t="s">
        <v>242</v>
      </c>
      <c r="J1149" t="s">
        <v>242</v>
      </c>
      <c r="K1149" t="s">
        <v>242</v>
      </c>
      <c r="L1149" t="s">
        <v>241</v>
      </c>
      <c r="M1149">
        <v>38.957599999999999</v>
      </c>
      <c r="N1149">
        <v>-123.09739999999999</v>
      </c>
      <c r="O1149">
        <v>0</v>
      </c>
      <c r="P1149">
        <v>0.06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0.06</v>
      </c>
      <c r="Z1149">
        <v>0</v>
      </c>
      <c r="AA1149" t="s">
        <v>9335</v>
      </c>
      <c r="AB1149" t="s">
        <v>242</v>
      </c>
      <c r="AC1149" t="s">
        <v>3213</v>
      </c>
    </row>
    <row r="1150" spans="1:29" x14ac:dyDescent="0.25">
      <c r="A1150" t="s">
        <v>2372</v>
      </c>
      <c r="B1150" t="s">
        <v>254</v>
      </c>
      <c r="C1150" t="s">
        <v>319</v>
      </c>
      <c r="D1150" t="s">
        <v>3713</v>
      </c>
      <c r="E1150" t="s">
        <v>3761</v>
      </c>
      <c r="F1150">
        <v>10000000</v>
      </c>
      <c r="G1150" t="s">
        <v>9349</v>
      </c>
      <c r="H1150" t="s">
        <v>242</v>
      </c>
      <c r="I1150" t="s">
        <v>242</v>
      </c>
      <c r="J1150" t="s">
        <v>242</v>
      </c>
      <c r="K1150" t="s">
        <v>242</v>
      </c>
      <c r="L1150" t="s">
        <v>241</v>
      </c>
      <c r="M1150">
        <v>38.996600000000001</v>
      </c>
      <c r="N1150">
        <v>-123.1031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0.73</v>
      </c>
      <c r="Z1150">
        <v>0</v>
      </c>
      <c r="AA1150" t="s">
        <v>9335</v>
      </c>
      <c r="AB1150" t="s">
        <v>242</v>
      </c>
      <c r="AC1150" t="s">
        <v>3213</v>
      </c>
    </row>
    <row r="1151" spans="1:29" x14ac:dyDescent="0.25">
      <c r="A1151" t="s">
        <v>2374</v>
      </c>
      <c r="B1151" t="s">
        <v>254</v>
      </c>
      <c r="C1151" t="s">
        <v>319</v>
      </c>
      <c r="D1151" t="s">
        <v>3713</v>
      </c>
      <c r="E1151" t="s">
        <v>3761</v>
      </c>
      <c r="F1151">
        <v>10000000</v>
      </c>
      <c r="G1151" t="s">
        <v>9349</v>
      </c>
      <c r="H1151" t="s">
        <v>241</v>
      </c>
      <c r="I1151" t="s">
        <v>242</v>
      </c>
      <c r="J1151" t="s">
        <v>242</v>
      </c>
      <c r="K1151" t="s">
        <v>242</v>
      </c>
      <c r="L1151" t="s">
        <v>241</v>
      </c>
      <c r="M1151">
        <v>38.968299999999999</v>
      </c>
      <c r="N1151">
        <v>-123.0996</v>
      </c>
      <c r="O1151">
        <v>0</v>
      </c>
      <c r="P1151">
        <v>6.6666666666666697E-3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 t="s">
        <v>9335</v>
      </c>
      <c r="AB1151" t="s">
        <v>242</v>
      </c>
      <c r="AC1151" t="s">
        <v>3213</v>
      </c>
    </row>
    <row r="1152" spans="1:29" x14ac:dyDescent="0.25">
      <c r="A1152" t="s">
        <v>2377</v>
      </c>
      <c r="B1152" t="s">
        <v>254</v>
      </c>
      <c r="C1152" t="s">
        <v>319</v>
      </c>
      <c r="D1152" t="s">
        <v>3713</v>
      </c>
      <c r="E1152" t="s">
        <v>3761</v>
      </c>
      <c r="F1152">
        <v>10000000</v>
      </c>
      <c r="G1152" t="s">
        <v>9349</v>
      </c>
      <c r="H1152" t="s">
        <v>241</v>
      </c>
      <c r="I1152" t="s">
        <v>242</v>
      </c>
      <c r="J1152" t="s">
        <v>242</v>
      </c>
      <c r="K1152" t="s">
        <v>242</v>
      </c>
      <c r="L1152" t="s">
        <v>241</v>
      </c>
      <c r="M1152">
        <v>39.002099999999999</v>
      </c>
      <c r="N1152">
        <v>-123.1084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 t="s">
        <v>9343</v>
      </c>
      <c r="AB1152" t="s">
        <v>242</v>
      </c>
      <c r="AC1152" t="s">
        <v>3213</v>
      </c>
    </row>
    <row r="1153" spans="1:29" x14ac:dyDescent="0.25">
      <c r="A1153" t="s">
        <v>2381</v>
      </c>
      <c r="B1153" t="s">
        <v>254</v>
      </c>
      <c r="C1153" t="s">
        <v>319</v>
      </c>
      <c r="D1153" t="s">
        <v>3713</v>
      </c>
      <c r="E1153" t="s">
        <v>3761</v>
      </c>
      <c r="F1153">
        <v>10000000</v>
      </c>
      <c r="G1153" t="s">
        <v>9349</v>
      </c>
      <c r="H1153" t="s">
        <v>242</v>
      </c>
      <c r="I1153" t="s">
        <v>242</v>
      </c>
      <c r="J1153" t="s">
        <v>242</v>
      </c>
      <c r="K1153" t="s">
        <v>242</v>
      </c>
      <c r="L1153" t="s">
        <v>241</v>
      </c>
      <c r="M1153">
        <v>38.998699999999999</v>
      </c>
      <c r="N1153">
        <v>-123.1022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 t="s">
        <v>9335</v>
      </c>
      <c r="AB1153" t="s">
        <v>242</v>
      </c>
      <c r="AC1153" t="s">
        <v>3213</v>
      </c>
    </row>
    <row r="1154" spans="1:29" x14ac:dyDescent="0.25">
      <c r="A1154" t="s">
        <v>2384</v>
      </c>
      <c r="B1154" t="s">
        <v>254</v>
      </c>
      <c r="C1154" t="s">
        <v>319</v>
      </c>
      <c r="D1154" t="s">
        <v>3713</v>
      </c>
      <c r="E1154" t="s">
        <v>3761</v>
      </c>
      <c r="F1154">
        <v>10000000</v>
      </c>
      <c r="G1154" t="s">
        <v>9349</v>
      </c>
      <c r="H1154" t="s">
        <v>242</v>
      </c>
      <c r="I1154" t="s">
        <v>242</v>
      </c>
      <c r="J1154" t="s">
        <v>242</v>
      </c>
      <c r="K1154" t="s">
        <v>242</v>
      </c>
      <c r="L1154" t="s">
        <v>241</v>
      </c>
      <c r="M1154">
        <v>38.968899999999998</v>
      </c>
      <c r="N1154">
        <v>-123.0921</v>
      </c>
      <c r="O1154">
        <v>2.8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3.96</v>
      </c>
      <c r="AA1154" t="s">
        <v>9335</v>
      </c>
      <c r="AB1154" t="s">
        <v>242</v>
      </c>
      <c r="AC1154" t="s">
        <v>3213</v>
      </c>
    </row>
    <row r="1155" spans="1:29" x14ac:dyDescent="0.25">
      <c r="A1155" t="s">
        <v>2388</v>
      </c>
      <c r="B1155" t="s">
        <v>254</v>
      </c>
      <c r="C1155" t="s">
        <v>319</v>
      </c>
      <c r="D1155" t="s">
        <v>3713</v>
      </c>
      <c r="E1155" t="s">
        <v>3761</v>
      </c>
      <c r="F1155">
        <v>10000000</v>
      </c>
      <c r="G1155" t="s">
        <v>9349</v>
      </c>
      <c r="H1155" t="s">
        <v>242</v>
      </c>
      <c r="I1155" t="s">
        <v>242</v>
      </c>
      <c r="J1155" t="s">
        <v>242</v>
      </c>
      <c r="K1155" t="s">
        <v>242</v>
      </c>
      <c r="L1155" t="s">
        <v>241</v>
      </c>
      <c r="M1155">
        <v>38.960599999999999</v>
      </c>
      <c r="N1155">
        <v>-123.02719999999999</v>
      </c>
      <c r="O1155">
        <v>7.0000000000000007E-2</v>
      </c>
      <c r="P1155">
        <v>7.0000000000000007E-2</v>
      </c>
      <c r="Q1155">
        <v>7.0000000000000007E-2</v>
      </c>
      <c r="R1155">
        <v>7.0000000000000007E-2</v>
      </c>
      <c r="S1155">
        <v>7.0000000000000007E-2</v>
      </c>
      <c r="T1155">
        <v>7.0000000000000007E-2</v>
      </c>
      <c r="U1155">
        <v>7.0000000000000007E-2</v>
      </c>
      <c r="V1155">
        <v>7.0000000000000007E-2</v>
      </c>
      <c r="W1155">
        <v>7.0000000000000007E-2</v>
      </c>
      <c r="X1155">
        <v>7.0000000000000007E-2</v>
      </c>
      <c r="Y1155">
        <v>7.0000000000000007E-2</v>
      </c>
      <c r="Z1155">
        <v>7.0000000000000007E-2</v>
      </c>
      <c r="AA1155" t="s">
        <v>9333</v>
      </c>
      <c r="AB1155" t="s">
        <v>242</v>
      </c>
      <c r="AC1155" t="s">
        <v>3213</v>
      </c>
    </row>
    <row r="1156" spans="1:29" x14ac:dyDescent="0.25">
      <c r="A1156" t="s">
        <v>2391</v>
      </c>
      <c r="B1156" t="s">
        <v>254</v>
      </c>
      <c r="C1156" t="s">
        <v>319</v>
      </c>
      <c r="D1156" t="s">
        <v>3713</v>
      </c>
      <c r="E1156" t="s">
        <v>3761</v>
      </c>
      <c r="F1156">
        <v>10000000</v>
      </c>
      <c r="G1156" t="s">
        <v>9349</v>
      </c>
      <c r="H1156" t="s">
        <v>242</v>
      </c>
      <c r="I1156" t="s">
        <v>242</v>
      </c>
      <c r="J1156" t="s">
        <v>242</v>
      </c>
      <c r="K1156" t="s">
        <v>242</v>
      </c>
      <c r="L1156" t="s">
        <v>241</v>
      </c>
      <c r="M1156">
        <v>38.96170214</v>
      </c>
      <c r="N1156">
        <v>-123.0706371</v>
      </c>
      <c r="O1156">
        <v>3.43</v>
      </c>
      <c r="P1156">
        <v>0.06</v>
      </c>
      <c r="Q1156">
        <v>1.8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0.03</v>
      </c>
      <c r="Z1156">
        <v>1.1000000000000001</v>
      </c>
      <c r="AA1156" t="s">
        <v>9335</v>
      </c>
      <c r="AB1156" t="s">
        <v>242</v>
      </c>
      <c r="AC1156" t="s">
        <v>3213</v>
      </c>
    </row>
    <row r="1157" spans="1:29" x14ac:dyDescent="0.25">
      <c r="A1157" t="s">
        <v>2393</v>
      </c>
      <c r="B1157" t="s">
        <v>254</v>
      </c>
      <c r="C1157" t="s">
        <v>319</v>
      </c>
      <c r="D1157" t="s">
        <v>3713</v>
      </c>
      <c r="E1157" t="s">
        <v>3761</v>
      </c>
      <c r="F1157">
        <v>10000000</v>
      </c>
      <c r="G1157" t="s">
        <v>9349</v>
      </c>
      <c r="H1157" t="s">
        <v>242</v>
      </c>
      <c r="I1157" t="s">
        <v>242</v>
      </c>
      <c r="J1157" t="s">
        <v>242</v>
      </c>
      <c r="K1157" t="s">
        <v>242</v>
      </c>
      <c r="L1157" t="s">
        <v>241</v>
      </c>
      <c r="M1157">
        <v>38.96334658</v>
      </c>
      <c r="N1157">
        <v>-123.0707276</v>
      </c>
      <c r="O1157">
        <v>13.66</v>
      </c>
      <c r="P1157">
        <v>8.66</v>
      </c>
      <c r="Q1157">
        <v>1</v>
      </c>
      <c r="R1157">
        <v>1.4</v>
      </c>
      <c r="S1157">
        <v>6.63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0.33</v>
      </c>
      <c r="AA1157" t="s">
        <v>9335</v>
      </c>
      <c r="AB1157" t="s">
        <v>242</v>
      </c>
      <c r="AC1157" t="s">
        <v>3213</v>
      </c>
    </row>
    <row r="1158" spans="1:29" x14ac:dyDescent="0.25">
      <c r="A1158" t="s">
        <v>2394</v>
      </c>
      <c r="B1158" t="s">
        <v>254</v>
      </c>
      <c r="C1158" t="s">
        <v>436</v>
      </c>
      <c r="D1158" t="s">
        <v>3713</v>
      </c>
      <c r="E1158" t="s">
        <v>3761</v>
      </c>
      <c r="F1158">
        <v>10000000</v>
      </c>
      <c r="G1158" t="s">
        <v>9349</v>
      </c>
      <c r="H1158" t="s">
        <v>242</v>
      </c>
      <c r="I1158" t="s">
        <v>242</v>
      </c>
      <c r="J1158" t="s">
        <v>242</v>
      </c>
      <c r="K1158" t="s">
        <v>242</v>
      </c>
      <c r="L1158" t="s">
        <v>241</v>
      </c>
      <c r="M1158">
        <v>38.705399999999997</v>
      </c>
      <c r="N1158">
        <v>-122.82299999999999</v>
      </c>
      <c r="O1158">
        <v>0</v>
      </c>
      <c r="P1158">
        <v>0</v>
      </c>
      <c r="Q1158">
        <v>0</v>
      </c>
      <c r="R1158">
        <v>0.4</v>
      </c>
      <c r="S1158">
        <v>0.66</v>
      </c>
      <c r="T1158">
        <v>0</v>
      </c>
      <c r="U1158">
        <v>1.06</v>
      </c>
      <c r="V1158">
        <v>1.1000000000000001</v>
      </c>
      <c r="W1158">
        <v>3.36</v>
      </c>
      <c r="X1158">
        <v>1.23</v>
      </c>
      <c r="Y1158">
        <v>2.4300000000000002</v>
      </c>
      <c r="Z1158">
        <v>3.33</v>
      </c>
      <c r="AA1158" t="s">
        <v>9335</v>
      </c>
      <c r="AB1158" t="s">
        <v>242</v>
      </c>
      <c r="AC1158" t="s">
        <v>3229</v>
      </c>
    </row>
    <row r="1159" spans="1:29" x14ac:dyDescent="0.25">
      <c r="A1159" t="s">
        <v>2396</v>
      </c>
      <c r="B1159" t="s">
        <v>254</v>
      </c>
      <c r="C1159" t="s">
        <v>319</v>
      </c>
      <c r="D1159" t="s">
        <v>3713</v>
      </c>
      <c r="E1159" t="s">
        <v>3761</v>
      </c>
      <c r="F1159">
        <v>10000000</v>
      </c>
      <c r="G1159" t="s">
        <v>9349</v>
      </c>
      <c r="H1159" t="s">
        <v>242</v>
      </c>
      <c r="I1159" t="s">
        <v>242</v>
      </c>
      <c r="J1159" t="s">
        <v>242</v>
      </c>
      <c r="K1159" t="s">
        <v>242</v>
      </c>
      <c r="L1159" t="s">
        <v>241</v>
      </c>
      <c r="M1159">
        <v>38.958199999999998</v>
      </c>
      <c r="N1159">
        <v>-123.02549999999999</v>
      </c>
      <c r="O1159">
        <v>1.78</v>
      </c>
      <c r="P1159">
        <v>0.48</v>
      </c>
      <c r="Q1159">
        <v>0.63</v>
      </c>
      <c r="R1159">
        <v>0.56000000000000005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0.2</v>
      </c>
      <c r="Z1159">
        <v>0.89</v>
      </c>
      <c r="AA1159" t="s">
        <v>9335</v>
      </c>
      <c r="AB1159" t="s">
        <v>242</v>
      </c>
      <c r="AC1159" t="s">
        <v>3213</v>
      </c>
    </row>
    <row r="1160" spans="1:29" x14ac:dyDescent="0.25">
      <c r="A1160" t="s">
        <v>2398</v>
      </c>
      <c r="B1160" t="s">
        <v>254</v>
      </c>
      <c r="C1160" t="s">
        <v>319</v>
      </c>
      <c r="D1160" t="s">
        <v>3713</v>
      </c>
      <c r="E1160" t="s">
        <v>3761</v>
      </c>
      <c r="F1160">
        <v>10000000</v>
      </c>
      <c r="G1160" t="s">
        <v>9349</v>
      </c>
      <c r="H1160" t="s">
        <v>242</v>
      </c>
      <c r="I1160" t="s">
        <v>242</v>
      </c>
      <c r="J1160" t="s">
        <v>242</v>
      </c>
      <c r="K1160" t="s">
        <v>242</v>
      </c>
      <c r="L1160" t="s">
        <v>241</v>
      </c>
      <c r="M1160">
        <v>38.9619</v>
      </c>
      <c r="N1160">
        <v>-123.02670000000001</v>
      </c>
      <c r="O1160">
        <v>3.02</v>
      </c>
      <c r="P1160">
        <v>0.83</v>
      </c>
      <c r="Q1160">
        <v>1.07</v>
      </c>
      <c r="R1160">
        <v>0.95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0.6</v>
      </c>
      <c r="Z1160">
        <v>1.78</v>
      </c>
      <c r="AA1160" t="s">
        <v>9335</v>
      </c>
      <c r="AB1160" t="s">
        <v>242</v>
      </c>
      <c r="AC1160" t="s">
        <v>3213</v>
      </c>
    </row>
    <row r="1161" spans="1:29" x14ac:dyDescent="0.25">
      <c r="A1161" t="s">
        <v>2399</v>
      </c>
      <c r="B1161" t="s">
        <v>254</v>
      </c>
      <c r="C1161" t="s">
        <v>319</v>
      </c>
      <c r="D1161" t="s">
        <v>3713</v>
      </c>
      <c r="E1161" t="s">
        <v>3761</v>
      </c>
      <c r="F1161">
        <v>10000000</v>
      </c>
      <c r="G1161" t="s">
        <v>9349</v>
      </c>
      <c r="H1161" t="s">
        <v>242</v>
      </c>
      <c r="I1161" t="s">
        <v>242</v>
      </c>
      <c r="J1161" t="s">
        <v>242</v>
      </c>
      <c r="K1161" t="s">
        <v>242</v>
      </c>
      <c r="L1161" t="s">
        <v>241</v>
      </c>
      <c r="M1161">
        <v>38.965000000000003</v>
      </c>
      <c r="N1161">
        <v>-123.02679999999999</v>
      </c>
      <c r="O1161">
        <v>0.01</v>
      </c>
      <c r="P1161">
        <v>0.04</v>
      </c>
      <c r="Q1161">
        <v>0.04</v>
      </c>
      <c r="R1161">
        <v>3.333333E-3</v>
      </c>
      <c r="S1161">
        <v>3.333333E-3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 t="s">
        <v>9335</v>
      </c>
      <c r="AB1161" t="s">
        <v>242</v>
      </c>
      <c r="AC1161" t="s">
        <v>3213</v>
      </c>
    </row>
    <row r="1162" spans="1:29" x14ac:dyDescent="0.25">
      <c r="A1162" t="s">
        <v>2402</v>
      </c>
      <c r="B1162" t="s">
        <v>254</v>
      </c>
      <c r="C1162" t="s">
        <v>319</v>
      </c>
      <c r="D1162" t="s">
        <v>3713</v>
      </c>
      <c r="E1162" t="s">
        <v>3761</v>
      </c>
      <c r="F1162">
        <v>10000000</v>
      </c>
      <c r="G1162" t="s">
        <v>9349</v>
      </c>
      <c r="H1162" t="s">
        <v>242</v>
      </c>
      <c r="I1162" t="s">
        <v>242</v>
      </c>
      <c r="J1162" t="s">
        <v>242</v>
      </c>
      <c r="K1162" t="s">
        <v>242</v>
      </c>
      <c r="L1162" t="s">
        <v>241</v>
      </c>
      <c r="M1162">
        <v>38.962299999999999</v>
      </c>
      <c r="N1162">
        <v>-123.0227</v>
      </c>
      <c r="O1162">
        <v>0.01</v>
      </c>
      <c r="P1162">
        <v>0.1</v>
      </c>
      <c r="Q1162">
        <v>0.15</v>
      </c>
      <c r="R1162">
        <v>0.11</v>
      </c>
      <c r="S1162">
        <v>0.2</v>
      </c>
      <c r="T1162">
        <v>0.05</v>
      </c>
      <c r="U1162">
        <v>0.03</v>
      </c>
      <c r="V1162">
        <v>0.03</v>
      </c>
      <c r="W1162">
        <v>0.01</v>
      </c>
      <c r="X1162">
        <v>0.01</v>
      </c>
      <c r="Y1162">
        <v>0.12</v>
      </c>
      <c r="Z1162">
        <v>0.12</v>
      </c>
      <c r="AA1162" t="s">
        <v>9335</v>
      </c>
      <c r="AB1162" t="s">
        <v>242</v>
      </c>
      <c r="AC1162" t="s">
        <v>3213</v>
      </c>
    </row>
    <row r="1163" spans="1:29" x14ac:dyDescent="0.25">
      <c r="A1163" t="s">
        <v>1888</v>
      </c>
      <c r="B1163" t="s">
        <v>254</v>
      </c>
      <c r="C1163" t="s">
        <v>348</v>
      </c>
      <c r="D1163" t="s">
        <v>3713</v>
      </c>
      <c r="E1163" t="s">
        <v>3761</v>
      </c>
      <c r="F1163">
        <v>10000000</v>
      </c>
      <c r="G1163" t="s">
        <v>9349</v>
      </c>
      <c r="H1163" t="s">
        <v>242</v>
      </c>
      <c r="I1163" t="s">
        <v>242</v>
      </c>
      <c r="J1163" t="s">
        <v>242</v>
      </c>
      <c r="K1163" t="s">
        <v>242</v>
      </c>
      <c r="L1163" t="s">
        <v>241</v>
      </c>
      <c r="M1163">
        <v>39.304600000000001</v>
      </c>
      <c r="N1163">
        <v>-123.1015</v>
      </c>
      <c r="O1163">
        <v>3</v>
      </c>
      <c r="P1163">
        <v>2.5</v>
      </c>
      <c r="Q1163">
        <v>0.5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 t="s">
        <v>9335</v>
      </c>
      <c r="AB1163" t="s">
        <v>242</v>
      </c>
      <c r="AC1163" t="s">
        <v>3213</v>
      </c>
    </row>
    <row r="1164" spans="1:29" x14ac:dyDescent="0.25">
      <c r="A1164" t="s">
        <v>1890</v>
      </c>
      <c r="B1164" t="s">
        <v>254</v>
      </c>
      <c r="C1164" t="s">
        <v>348</v>
      </c>
      <c r="D1164" t="s">
        <v>3713</v>
      </c>
      <c r="E1164" t="s">
        <v>3761</v>
      </c>
      <c r="F1164">
        <v>10000000</v>
      </c>
      <c r="G1164" t="s">
        <v>9349</v>
      </c>
      <c r="H1164" t="s">
        <v>242</v>
      </c>
      <c r="I1164" t="s">
        <v>242</v>
      </c>
      <c r="J1164" t="s">
        <v>242</v>
      </c>
      <c r="K1164" t="s">
        <v>242</v>
      </c>
      <c r="L1164" t="s">
        <v>241</v>
      </c>
      <c r="M1164">
        <v>39.334699999999998</v>
      </c>
      <c r="N1164">
        <v>-123.11020000000001</v>
      </c>
      <c r="O1164">
        <v>0</v>
      </c>
      <c r="P1164">
        <v>0</v>
      </c>
      <c r="Q1164">
        <v>0</v>
      </c>
      <c r="R1164">
        <v>3.68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 t="s">
        <v>9335</v>
      </c>
      <c r="AB1164" t="s">
        <v>242</v>
      </c>
      <c r="AC1164" t="s">
        <v>3213</v>
      </c>
    </row>
    <row r="1165" spans="1:29" x14ac:dyDescent="0.25">
      <c r="A1165" t="s">
        <v>1787</v>
      </c>
      <c r="B1165" t="s">
        <v>254</v>
      </c>
      <c r="C1165" t="s">
        <v>317</v>
      </c>
      <c r="D1165" t="s">
        <v>3713</v>
      </c>
      <c r="E1165" t="s">
        <v>3761</v>
      </c>
      <c r="F1165">
        <v>19050101</v>
      </c>
      <c r="G1165" t="s">
        <v>9348</v>
      </c>
      <c r="H1165" t="s">
        <v>242</v>
      </c>
      <c r="I1165" t="s">
        <v>241</v>
      </c>
      <c r="J1165" t="s">
        <v>242</v>
      </c>
      <c r="K1165" t="s">
        <v>242</v>
      </c>
      <c r="L1165" t="s">
        <v>242</v>
      </c>
      <c r="M1165">
        <v>39.289499999999997</v>
      </c>
      <c r="N1165">
        <v>-123.3283</v>
      </c>
      <c r="O1165">
        <v>0.5</v>
      </c>
      <c r="P1165">
        <v>0.5</v>
      </c>
      <c r="Q1165">
        <v>0.25</v>
      </c>
      <c r="R1165">
        <v>0.25</v>
      </c>
      <c r="S1165">
        <v>0.05</v>
      </c>
      <c r="T1165">
        <v>0.08</v>
      </c>
      <c r="U1165">
        <v>0.11</v>
      </c>
      <c r="V1165">
        <v>0.1</v>
      </c>
      <c r="W1165">
        <v>0.06</v>
      </c>
      <c r="X1165">
        <v>0</v>
      </c>
      <c r="Y1165">
        <v>0</v>
      </c>
      <c r="Z1165">
        <v>0.08</v>
      </c>
      <c r="AA1165" t="s">
        <v>9335</v>
      </c>
      <c r="AB1165" t="s">
        <v>242</v>
      </c>
      <c r="AC1165" t="s">
        <v>3213</v>
      </c>
    </row>
    <row r="1166" spans="1:29" x14ac:dyDescent="0.25">
      <c r="A1166" t="s">
        <v>1789</v>
      </c>
      <c r="B1166" t="s">
        <v>254</v>
      </c>
      <c r="C1166" t="s">
        <v>317</v>
      </c>
      <c r="D1166" t="s">
        <v>3713</v>
      </c>
      <c r="E1166" t="s">
        <v>3761</v>
      </c>
      <c r="F1166">
        <v>19050101</v>
      </c>
      <c r="G1166" t="s">
        <v>9348</v>
      </c>
      <c r="H1166" t="s">
        <v>242</v>
      </c>
      <c r="I1166" t="s">
        <v>241</v>
      </c>
      <c r="J1166" t="s">
        <v>242</v>
      </c>
      <c r="K1166" t="s">
        <v>242</v>
      </c>
      <c r="L1166" t="s">
        <v>242</v>
      </c>
      <c r="M1166">
        <v>39.291400000000003</v>
      </c>
      <c r="N1166">
        <v>-123.33669999999999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 t="s">
        <v>9335</v>
      </c>
      <c r="AB1166" t="s">
        <v>242</v>
      </c>
      <c r="AC1166" t="s">
        <v>3213</v>
      </c>
    </row>
    <row r="1167" spans="1:29" x14ac:dyDescent="0.25">
      <c r="A1167" t="s">
        <v>2405</v>
      </c>
      <c r="B1167" t="s">
        <v>254</v>
      </c>
      <c r="C1167" t="s">
        <v>436</v>
      </c>
      <c r="D1167" t="s">
        <v>3713</v>
      </c>
      <c r="E1167" t="s">
        <v>3761</v>
      </c>
      <c r="F1167">
        <v>10000000</v>
      </c>
      <c r="G1167" t="s">
        <v>9349</v>
      </c>
      <c r="H1167" t="s">
        <v>241</v>
      </c>
      <c r="I1167" t="s">
        <v>242</v>
      </c>
      <c r="J1167" t="s">
        <v>242</v>
      </c>
      <c r="K1167" t="s">
        <v>242</v>
      </c>
      <c r="L1167" t="s">
        <v>241</v>
      </c>
      <c r="M1167">
        <v>38.686</v>
      </c>
      <c r="N1167">
        <v>-122.8545</v>
      </c>
      <c r="O1167">
        <v>0</v>
      </c>
      <c r="P1167">
        <v>7.0000000000000007E-2</v>
      </c>
      <c r="Q1167">
        <v>0.57999999999999996</v>
      </c>
      <c r="R1167">
        <v>0</v>
      </c>
      <c r="S1167">
        <v>0</v>
      </c>
      <c r="T1167">
        <v>0.13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 t="s">
        <v>9335</v>
      </c>
      <c r="AB1167" t="s">
        <v>242</v>
      </c>
      <c r="AC1167" t="s">
        <v>3229</v>
      </c>
    </row>
    <row r="1168" spans="1:29" x14ac:dyDescent="0.25">
      <c r="A1168" t="s">
        <v>2406</v>
      </c>
      <c r="B1168" t="s">
        <v>254</v>
      </c>
      <c r="C1168" t="s">
        <v>436</v>
      </c>
      <c r="D1168" t="s">
        <v>3713</v>
      </c>
      <c r="E1168" t="s">
        <v>3761</v>
      </c>
      <c r="F1168">
        <v>10000000</v>
      </c>
      <c r="G1168" t="s">
        <v>9349</v>
      </c>
      <c r="H1168" t="s">
        <v>241</v>
      </c>
      <c r="I1168" t="s">
        <v>242</v>
      </c>
      <c r="J1168" t="s">
        <v>242</v>
      </c>
      <c r="K1168" t="s">
        <v>242</v>
      </c>
      <c r="L1168" t="s">
        <v>241</v>
      </c>
      <c r="M1168">
        <v>38.6877</v>
      </c>
      <c r="N1168">
        <v>-122.8535</v>
      </c>
      <c r="O1168">
        <v>0.09</v>
      </c>
      <c r="P1168">
        <v>0.24</v>
      </c>
      <c r="Q1168">
        <v>0.28000000000000003</v>
      </c>
      <c r="R1168">
        <v>0.12</v>
      </c>
      <c r="S1168">
        <v>7.0000000000000007E-2</v>
      </c>
      <c r="T1168">
        <v>0.28000000000000003</v>
      </c>
      <c r="U1168">
        <v>0.45</v>
      </c>
      <c r="V1168">
        <v>0.37</v>
      </c>
      <c r="W1168">
        <v>0.26</v>
      </c>
      <c r="X1168">
        <v>0.2</v>
      </c>
      <c r="Y1168">
        <v>0.09</v>
      </c>
      <c r="Z1168">
        <v>0.06</v>
      </c>
      <c r="AA1168" t="s">
        <v>9335</v>
      </c>
      <c r="AB1168" t="s">
        <v>242</v>
      </c>
      <c r="AC1168" t="s">
        <v>3229</v>
      </c>
    </row>
    <row r="1169" spans="1:29" x14ac:dyDescent="0.25">
      <c r="A1169" t="s">
        <v>2407</v>
      </c>
      <c r="B1169" t="s">
        <v>254</v>
      </c>
      <c r="C1169" t="s">
        <v>436</v>
      </c>
      <c r="D1169" t="s">
        <v>3713</v>
      </c>
      <c r="E1169" t="s">
        <v>3761</v>
      </c>
      <c r="F1169">
        <v>10000000</v>
      </c>
      <c r="G1169" t="s">
        <v>9349</v>
      </c>
      <c r="H1169" t="s">
        <v>241</v>
      </c>
      <c r="I1169" t="s">
        <v>242</v>
      </c>
      <c r="J1169" t="s">
        <v>242</v>
      </c>
      <c r="K1169" t="s">
        <v>242</v>
      </c>
      <c r="L1169" t="s">
        <v>241</v>
      </c>
      <c r="M1169">
        <v>38.6967</v>
      </c>
      <c r="N1169">
        <v>-122.86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 t="s">
        <v>9335</v>
      </c>
      <c r="AB1169" t="s">
        <v>242</v>
      </c>
      <c r="AC1169" t="s">
        <v>3229</v>
      </c>
    </row>
    <row r="1170" spans="1:29" x14ac:dyDescent="0.25">
      <c r="A1170" t="s">
        <v>2408</v>
      </c>
      <c r="B1170" t="s">
        <v>254</v>
      </c>
      <c r="C1170" t="s">
        <v>319</v>
      </c>
      <c r="D1170" t="s">
        <v>3713</v>
      </c>
      <c r="E1170" t="s">
        <v>3761</v>
      </c>
      <c r="F1170">
        <v>10000000</v>
      </c>
      <c r="G1170" t="s">
        <v>9349</v>
      </c>
      <c r="H1170" t="s">
        <v>242</v>
      </c>
      <c r="I1170" t="s">
        <v>242</v>
      </c>
      <c r="J1170" t="s">
        <v>242</v>
      </c>
      <c r="K1170" t="s">
        <v>242</v>
      </c>
      <c r="L1170" t="s">
        <v>241</v>
      </c>
      <c r="M1170">
        <v>38.949469229999998</v>
      </c>
      <c r="N1170">
        <v>-123.059349</v>
      </c>
      <c r="O1170">
        <v>2.2999999999999998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0.26</v>
      </c>
      <c r="Z1170">
        <v>4.9000000000000004</v>
      </c>
      <c r="AA1170" t="s">
        <v>9335</v>
      </c>
      <c r="AB1170" t="s">
        <v>242</v>
      </c>
      <c r="AC1170" t="s">
        <v>3213</v>
      </c>
    </row>
    <row r="1171" spans="1:29" x14ac:dyDescent="0.25">
      <c r="A1171" t="s">
        <v>2409</v>
      </c>
      <c r="B1171" t="s">
        <v>254</v>
      </c>
      <c r="C1171" t="s">
        <v>319</v>
      </c>
      <c r="D1171" t="s">
        <v>3713</v>
      </c>
      <c r="E1171" t="s">
        <v>3761</v>
      </c>
      <c r="F1171">
        <v>10000000</v>
      </c>
      <c r="G1171" t="s">
        <v>9349</v>
      </c>
      <c r="H1171" t="s">
        <v>242</v>
      </c>
      <c r="I1171" t="s">
        <v>242</v>
      </c>
      <c r="J1171" t="s">
        <v>242</v>
      </c>
      <c r="K1171" t="s">
        <v>242</v>
      </c>
      <c r="L1171" t="s">
        <v>241</v>
      </c>
      <c r="M1171">
        <v>38.951167400000003</v>
      </c>
      <c r="N1171">
        <v>-123.0624104</v>
      </c>
      <c r="O1171">
        <v>0.6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0.33</v>
      </c>
      <c r="Z1171">
        <v>2.93</v>
      </c>
      <c r="AA1171" t="s">
        <v>9335</v>
      </c>
      <c r="AB1171" t="s">
        <v>242</v>
      </c>
      <c r="AC1171" t="s">
        <v>3213</v>
      </c>
    </row>
    <row r="1172" spans="1:29" x14ac:dyDescent="0.25">
      <c r="A1172" t="s">
        <v>2410</v>
      </c>
      <c r="B1172" t="s">
        <v>254</v>
      </c>
      <c r="C1172" t="s">
        <v>317</v>
      </c>
      <c r="D1172" t="s">
        <v>3713</v>
      </c>
      <c r="E1172" t="s">
        <v>3761</v>
      </c>
      <c r="F1172">
        <v>10000000</v>
      </c>
      <c r="G1172" t="s">
        <v>9349</v>
      </c>
      <c r="H1172" t="s">
        <v>242</v>
      </c>
      <c r="I1172" t="s">
        <v>242</v>
      </c>
      <c r="J1172" t="s">
        <v>242</v>
      </c>
      <c r="K1172" t="s">
        <v>242</v>
      </c>
      <c r="L1172" t="s">
        <v>241</v>
      </c>
      <c r="M1172">
        <v>39.321100000000001</v>
      </c>
      <c r="N1172">
        <v>-123.34</v>
      </c>
      <c r="O1172">
        <v>2.62</v>
      </c>
      <c r="P1172">
        <v>6.16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1.06</v>
      </c>
      <c r="Y1172">
        <v>10.23</v>
      </c>
      <c r="Z1172">
        <v>19.329999999999998</v>
      </c>
      <c r="AA1172" t="s">
        <v>9341</v>
      </c>
      <c r="AB1172" t="s">
        <v>242</v>
      </c>
      <c r="AC1172" t="s">
        <v>3213</v>
      </c>
    </row>
    <row r="1173" spans="1:29" x14ac:dyDescent="0.25">
      <c r="A1173" t="s">
        <v>2411</v>
      </c>
      <c r="B1173" t="s">
        <v>254</v>
      </c>
      <c r="C1173" t="s">
        <v>319</v>
      </c>
      <c r="D1173" t="s">
        <v>3713</v>
      </c>
      <c r="E1173" t="s">
        <v>3761</v>
      </c>
      <c r="F1173">
        <v>10000000</v>
      </c>
      <c r="G1173" t="s">
        <v>9349</v>
      </c>
      <c r="H1173" t="s">
        <v>242</v>
      </c>
      <c r="I1173" t="s">
        <v>242</v>
      </c>
      <c r="J1173" t="s">
        <v>242</v>
      </c>
      <c r="K1173" t="s">
        <v>242</v>
      </c>
      <c r="L1173" t="s">
        <v>241</v>
      </c>
      <c r="M1173">
        <v>38.956024499999998</v>
      </c>
      <c r="N1173">
        <v>-123.06439210000001</v>
      </c>
      <c r="O1173">
        <v>18.93</v>
      </c>
      <c r="P1173">
        <v>0</v>
      </c>
      <c r="Q1173">
        <v>2.4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0.4</v>
      </c>
      <c r="Z1173">
        <v>1.7</v>
      </c>
      <c r="AA1173" t="s">
        <v>9335</v>
      </c>
      <c r="AB1173" t="s">
        <v>242</v>
      </c>
      <c r="AC1173" t="s">
        <v>3213</v>
      </c>
    </row>
    <row r="1174" spans="1:29" x14ac:dyDescent="0.25">
      <c r="A1174" t="s">
        <v>2412</v>
      </c>
      <c r="B1174" t="s">
        <v>254</v>
      </c>
      <c r="C1174" t="s">
        <v>409</v>
      </c>
      <c r="D1174" t="s">
        <v>3713</v>
      </c>
      <c r="E1174" t="s">
        <v>3761</v>
      </c>
      <c r="F1174">
        <v>10000000</v>
      </c>
      <c r="G1174" t="s">
        <v>9349</v>
      </c>
      <c r="H1174" t="s">
        <v>242</v>
      </c>
      <c r="I1174" t="s">
        <v>242</v>
      </c>
      <c r="J1174" t="s">
        <v>242</v>
      </c>
      <c r="K1174" t="s">
        <v>242</v>
      </c>
      <c r="L1174" t="s">
        <v>241</v>
      </c>
      <c r="M1174">
        <v>38.844200000000001</v>
      </c>
      <c r="N1174">
        <v>-122.9572</v>
      </c>
      <c r="O1174">
        <v>5</v>
      </c>
      <c r="P1174">
        <v>5</v>
      </c>
      <c r="Q1174">
        <v>5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 t="s">
        <v>9335</v>
      </c>
      <c r="AB1174" t="s">
        <v>241</v>
      </c>
      <c r="AC1174" t="s">
        <v>3229</v>
      </c>
    </row>
    <row r="1175" spans="1:29" x14ac:dyDescent="0.25">
      <c r="A1175" t="s">
        <v>2413</v>
      </c>
      <c r="B1175" t="s">
        <v>254</v>
      </c>
      <c r="C1175" t="s">
        <v>409</v>
      </c>
      <c r="D1175" t="s">
        <v>3713</v>
      </c>
      <c r="E1175" t="s">
        <v>3761</v>
      </c>
      <c r="F1175">
        <v>10000000</v>
      </c>
      <c r="G1175" t="s">
        <v>9349</v>
      </c>
      <c r="H1175" t="s">
        <v>242</v>
      </c>
      <c r="I1175" t="s">
        <v>242</v>
      </c>
      <c r="J1175" t="s">
        <v>242</v>
      </c>
      <c r="K1175" t="s">
        <v>242</v>
      </c>
      <c r="L1175" t="s">
        <v>241</v>
      </c>
      <c r="M1175">
        <v>38.838099999999997</v>
      </c>
      <c r="N1175">
        <v>-122.9727</v>
      </c>
      <c r="O1175">
        <v>2.12</v>
      </c>
      <c r="P1175">
        <v>2.12</v>
      </c>
      <c r="Q1175">
        <v>2.12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 t="s">
        <v>9335</v>
      </c>
      <c r="AB1175" t="s">
        <v>241</v>
      </c>
      <c r="AC1175" t="s">
        <v>3229</v>
      </c>
    </row>
    <row r="1176" spans="1:29" x14ac:dyDescent="0.25">
      <c r="A1176" t="s">
        <v>2415</v>
      </c>
      <c r="B1176" t="s">
        <v>254</v>
      </c>
      <c r="C1176" t="s">
        <v>436</v>
      </c>
      <c r="D1176" t="s">
        <v>3713</v>
      </c>
      <c r="E1176" t="s">
        <v>3761</v>
      </c>
      <c r="F1176">
        <v>10000000</v>
      </c>
      <c r="G1176" t="s">
        <v>9349</v>
      </c>
      <c r="H1176" t="s">
        <v>241</v>
      </c>
      <c r="I1176" t="s">
        <v>242</v>
      </c>
      <c r="J1176" t="s">
        <v>242</v>
      </c>
      <c r="K1176" t="s">
        <v>242</v>
      </c>
      <c r="L1176" t="s">
        <v>241</v>
      </c>
      <c r="M1176">
        <v>38.686999999999998</v>
      </c>
      <c r="N1176">
        <v>-122.85420000000001</v>
      </c>
      <c r="O1176">
        <v>0.01</v>
      </c>
      <c r="P1176">
        <v>0.2</v>
      </c>
      <c r="Q1176">
        <v>0.72</v>
      </c>
      <c r="R1176">
        <v>0</v>
      </c>
      <c r="S1176">
        <v>0</v>
      </c>
      <c r="T1176">
        <v>0.15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 t="s">
        <v>9335</v>
      </c>
      <c r="AB1176" t="s">
        <v>242</v>
      </c>
      <c r="AC1176" t="s">
        <v>3229</v>
      </c>
    </row>
    <row r="1177" spans="1:29" x14ac:dyDescent="0.25">
      <c r="A1177" t="s">
        <v>2416</v>
      </c>
      <c r="B1177" t="s">
        <v>254</v>
      </c>
      <c r="C1177" t="s">
        <v>317</v>
      </c>
      <c r="D1177" t="s">
        <v>3713</v>
      </c>
      <c r="E1177" t="s">
        <v>3761</v>
      </c>
      <c r="F1177">
        <v>10000000</v>
      </c>
      <c r="G1177" t="s">
        <v>9349</v>
      </c>
      <c r="H1177" t="s">
        <v>242</v>
      </c>
      <c r="I1177" t="s">
        <v>242</v>
      </c>
      <c r="J1177" t="s">
        <v>242</v>
      </c>
      <c r="K1177" t="s">
        <v>242</v>
      </c>
      <c r="L1177" t="s">
        <v>241</v>
      </c>
      <c r="M1177">
        <v>39.291400000000003</v>
      </c>
      <c r="N1177">
        <v>-123.3366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 t="s">
        <v>9344</v>
      </c>
      <c r="AB1177" t="s">
        <v>242</v>
      </c>
      <c r="AC1177" t="s">
        <v>3213</v>
      </c>
    </row>
    <row r="1178" spans="1:29" x14ac:dyDescent="0.25">
      <c r="A1178" t="s">
        <v>1790</v>
      </c>
      <c r="B1178" t="s">
        <v>254</v>
      </c>
      <c r="C1178" t="s">
        <v>317</v>
      </c>
      <c r="D1178" t="s">
        <v>3713</v>
      </c>
      <c r="E1178" t="s">
        <v>3761</v>
      </c>
      <c r="F1178">
        <v>19050101</v>
      </c>
      <c r="G1178" t="s">
        <v>9348</v>
      </c>
      <c r="H1178" t="s">
        <v>242</v>
      </c>
      <c r="I1178" t="s">
        <v>241</v>
      </c>
      <c r="J1178" t="s">
        <v>242</v>
      </c>
      <c r="K1178" t="s">
        <v>242</v>
      </c>
      <c r="L1178" t="s">
        <v>242</v>
      </c>
      <c r="M1178">
        <v>39.289299999999997</v>
      </c>
      <c r="N1178">
        <v>-123.32689999999999</v>
      </c>
      <c r="O1178">
        <v>0.02</v>
      </c>
      <c r="P1178">
        <v>0.02</v>
      </c>
      <c r="Q1178">
        <v>0.03</v>
      </c>
      <c r="R1178">
        <v>0.03</v>
      </c>
      <c r="S1178">
        <v>0.04</v>
      </c>
      <c r="T1178">
        <v>0.05</v>
      </c>
      <c r="U1178">
        <v>0.06</v>
      </c>
      <c r="V1178">
        <v>7.0000000000000007E-2</v>
      </c>
      <c r="W1178">
        <v>0.05</v>
      </c>
      <c r="X1178">
        <v>0.04</v>
      </c>
      <c r="Y1178">
        <v>0.03</v>
      </c>
      <c r="Z1178">
        <v>0.02</v>
      </c>
      <c r="AA1178" t="s">
        <v>9335</v>
      </c>
      <c r="AB1178" t="s">
        <v>242</v>
      </c>
      <c r="AC1178" t="s">
        <v>3213</v>
      </c>
    </row>
    <row r="1179" spans="1:29" x14ac:dyDescent="0.25">
      <c r="A1179" t="s">
        <v>2422</v>
      </c>
      <c r="B1179" t="s">
        <v>254</v>
      </c>
      <c r="C1179" t="s">
        <v>354</v>
      </c>
      <c r="D1179" t="s">
        <v>3713</v>
      </c>
      <c r="E1179" t="s">
        <v>3761</v>
      </c>
      <c r="F1179">
        <v>10000000</v>
      </c>
      <c r="G1179" t="s">
        <v>9349</v>
      </c>
      <c r="H1179" t="s">
        <v>241</v>
      </c>
      <c r="I1179" t="s">
        <v>242</v>
      </c>
      <c r="J1179" t="s">
        <v>242</v>
      </c>
      <c r="K1179" t="s">
        <v>242</v>
      </c>
      <c r="L1179" t="s">
        <v>241</v>
      </c>
      <c r="M1179">
        <v>38.793799999999997</v>
      </c>
      <c r="N1179">
        <v>-122.9961</v>
      </c>
      <c r="O1179">
        <v>0</v>
      </c>
      <c r="P1179">
        <v>0</v>
      </c>
      <c r="Q1179">
        <v>0.2</v>
      </c>
      <c r="R1179">
        <v>0.2</v>
      </c>
      <c r="S1179">
        <v>0.1</v>
      </c>
      <c r="T1179">
        <v>1</v>
      </c>
      <c r="U1179">
        <v>2.4300000000000002</v>
      </c>
      <c r="V1179">
        <v>4.2300000000000004</v>
      </c>
      <c r="W1179">
        <v>3.93</v>
      </c>
      <c r="X1179">
        <v>0.96</v>
      </c>
      <c r="Y1179">
        <v>0.23</v>
      </c>
      <c r="Z1179">
        <v>0</v>
      </c>
      <c r="AA1179" t="s">
        <v>9335</v>
      </c>
      <c r="AB1179" t="s">
        <v>242</v>
      </c>
      <c r="AC1179" t="s">
        <v>3229</v>
      </c>
    </row>
    <row r="1180" spans="1:29" x14ac:dyDescent="0.25">
      <c r="A1180" t="s">
        <v>2423</v>
      </c>
      <c r="B1180" t="s">
        <v>254</v>
      </c>
      <c r="C1180" t="s">
        <v>436</v>
      </c>
      <c r="D1180" t="s">
        <v>3713</v>
      </c>
      <c r="E1180" t="s">
        <v>3761</v>
      </c>
      <c r="F1180">
        <v>10000000</v>
      </c>
      <c r="G1180" t="s">
        <v>9349</v>
      </c>
      <c r="H1180" t="s">
        <v>242</v>
      </c>
      <c r="I1180" t="s">
        <v>242</v>
      </c>
      <c r="J1180" t="s">
        <v>242</v>
      </c>
      <c r="K1180" t="s">
        <v>242</v>
      </c>
      <c r="L1180" t="s">
        <v>241</v>
      </c>
      <c r="M1180">
        <v>38.692399999999999</v>
      </c>
      <c r="N1180">
        <v>-122.8374</v>
      </c>
      <c r="O1180">
        <v>4.03</v>
      </c>
      <c r="P1180">
        <v>1.46</v>
      </c>
      <c r="Q1180">
        <v>2.4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1.43</v>
      </c>
      <c r="AA1180" t="s">
        <v>9335</v>
      </c>
      <c r="AB1180" t="s">
        <v>242</v>
      </c>
      <c r="AC1180" t="s">
        <v>3229</v>
      </c>
    </row>
    <row r="1181" spans="1:29" x14ac:dyDescent="0.25">
      <c r="A1181" t="s">
        <v>2424</v>
      </c>
      <c r="B1181" t="s">
        <v>254</v>
      </c>
      <c r="C1181" t="s">
        <v>436</v>
      </c>
      <c r="D1181" t="s">
        <v>3713</v>
      </c>
      <c r="E1181" t="s">
        <v>3761</v>
      </c>
      <c r="F1181">
        <v>10000000</v>
      </c>
      <c r="G1181" t="s">
        <v>9349</v>
      </c>
      <c r="H1181" t="s">
        <v>241</v>
      </c>
      <c r="I1181" t="s">
        <v>242</v>
      </c>
      <c r="J1181" t="s">
        <v>242</v>
      </c>
      <c r="K1181" t="s">
        <v>242</v>
      </c>
      <c r="L1181" t="s">
        <v>241</v>
      </c>
      <c r="M1181">
        <v>38.6753</v>
      </c>
      <c r="N1181">
        <v>-122.8387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0.51</v>
      </c>
      <c r="V1181">
        <v>0.51</v>
      </c>
      <c r="W1181">
        <v>0.21</v>
      </c>
      <c r="X1181">
        <v>0</v>
      </c>
      <c r="Y1181">
        <v>0</v>
      </c>
      <c r="Z1181">
        <v>0</v>
      </c>
      <c r="AA1181" t="s">
        <v>9335</v>
      </c>
      <c r="AB1181" t="s">
        <v>242</v>
      </c>
      <c r="AC1181" t="s">
        <v>3229</v>
      </c>
    </row>
    <row r="1182" spans="1:29" x14ac:dyDescent="0.25">
      <c r="A1182" t="s">
        <v>2427</v>
      </c>
      <c r="B1182" t="s">
        <v>254</v>
      </c>
      <c r="C1182" t="s">
        <v>317</v>
      </c>
      <c r="D1182" t="s">
        <v>3713</v>
      </c>
      <c r="E1182" t="s">
        <v>3761</v>
      </c>
      <c r="F1182">
        <v>10000000</v>
      </c>
      <c r="G1182" t="s">
        <v>9349</v>
      </c>
      <c r="H1182" t="s">
        <v>242</v>
      </c>
      <c r="I1182" t="s">
        <v>242</v>
      </c>
      <c r="J1182" t="s">
        <v>242</v>
      </c>
      <c r="K1182" t="s">
        <v>242</v>
      </c>
      <c r="L1182" t="s">
        <v>241</v>
      </c>
      <c r="M1182">
        <v>39.278799999999997</v>
      </c>
      <c r="N1182">
        <v>-123.19459999999999</v>
      </c>
      <c r="O1182">
        <v>0</v>
      </c>
      <c r="P1182">
        <v>2.66</v>
      </c>
      <c r="Q1182">
        <v>0.96</v>
      </c>
      <c r="R1182">
        <v>1.93</v>
      </c>
      <c r="S1182">
        <v>1.28</v>
      </c>
      <c r="T1182">
        <v>2.84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2.81</v>
      </c>
      <c r="AA1182" t="s">
        <v>9343</v>
      </c>
      <c r="AB1182" t="s">
        <v>242</v>
      </c>
      <c r="AC1182" t="s">
        <v>3213</v>
      </c>
    </row>
    <row r="1183" spans="1:29" x14ac:dyDescent="0.25">
      <c r="A1183" t="s">
        <v>2431</v>
      </c>
      <c r="B1183" t="s">
        <v>254</v>
      </c>
      <c r="C1183" t="s">
        <v>319</v>
      </c>
      <c r="D1183" t="s">
        <v>3713</v>
      </c>
      <c r="E1183" t="s">
        <v>3761</v>
      </c>
      <c r="F1183">
        <v>10000000</v>
      </c>
      <c r="G1183" t="s">
        <v>9349</v>
      </c>
      <c r="H1183" t="s">
        <v>241</v>
      </c>
      <c r="I1183" t="s">
        <v>242</v>
      </c>
      <c r="J1183" t="s">
        <v>242</v>
      </c>
      <c r="K1183" t="s">
        <v>242</v>
      </c>
      <c r="L1183" t="s">
        <v>241</v>
      </c>
      <c r="M1183">
        <v>39.008899999999997</v>
      </c>
      <c r="N1183">
        <v>-123.113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0.96</v>
      </c>
      <c r="Z1183">
        <v>0.46</v>
      </c>
      <c r="AA1183" t="s">
        <v>9335</v>
      </c>
      <c r="AB1183" t="s">
        <v>242</v>
      </c>
      <c r="AC1183" t="s">
        <v>3213</v>
      </c>
    </row>
    <row r="1184" spans="1:29" x14ac:dyDescent="0.25">
      <c r="A1184" t="s">
        <v>2432</v>
      </c>
      <c r="B1184" t="s">
        <v>254</v>
      </c>
      <c r="C1184" t="s">
        <v>436</v>
      </c>
      <c r="D1184" t="s">
        <v>3713</v>
      </c>
      <c r="E1184" t="s">
        <v>3761</v>
      </c>
      <c r="F1184">
        <v>10000000</v>
      </c>
      <c r="G1184" t="s">
        <v>9349</v>
      </c>
      <c r="H1184" t="s">
        <v>242</v>
      </c>
      <c r="I1184" t="s">
        <v>242</v>
      </c>
      <c r="J1184" t="s">
        <v>242</v>
      </c>
      <c r="K1184" t="s">
        <v>242</v>
      </c>
      <c r="L1184" t="s">
        <v>241</v>
      </c>
      <c r="M1184">
        <v>38.707599999999999</v>
      </c>
      <c r="N1184">
        <v>-122.83969999999999</v>
      </c>
      <c r="O1184">
        <v>12.92</v>
      </c>
      <c r="P1184">
        <v>0.23</v>
      </c>
      <c r="Q1184">
        <v>3.03</v>
      </c>
      <c r="R1184">
        <v>1.82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0.04</v>
      </c>
      <c r="Y1184">
        <v>1.05</v>
      </c>
      <c r="Z1184">
        <v>7.33</v>
      </c>
      <c r="AA1184" t="s">
        <v>9335</v>
      </c>
      <c r="AB1184" t="s">
        <v>242</v>
      </c>
      <c r="AC1184" t="s">
        <v>3229</v>
      </c>
    </row>
    <row r="1185" spans="1:29" x14ac:dyDescent="0.25">
      <c r="A1185" t="s">
        <v>2434</v>
      </c>
      <c r="B1185" t="s">
        <v>254</v>
      </c>
      <c r="C1185" t="s">
        <v>436</v>
      </c>
      <c r="D1185" t="s">
        <v>3713</v>
      </c>
      <c r="E1185" t="s">
        <v>3761</v>
      </c>
      <c r="F1185">
        <v>10000000</v>
      </c>
      <c r="G1185" t="s">
        <v>9349</v>
      </c>
      <c r="H1185" t="s">
        <v>242</v>
      </c>
      <c r="I1185" t="s">
        <v>242</v>
      </c>
      <c r="J1185" t="s">
        <v>242</v>
      </c>
      <c r="K1185" t="s">
        <v>242</v>
      </c>
      <c r="L1185" t="s">
        <v>241</v>
      </c>
      <c r="M1185">
        <v>38.7117</v>
      </c>
      <c r="N1185">
        <v>-122.84399999999999</v>
      </c>
      <c r="O1185">
        <v>2.5099999999999998</v>
      </c>
      <c r="P1185">
        <v>0</v>
      </c>
      <c r="Q1185">
        <v>0.47</v>
      </c>
      <c r="R1185">
        <v>0.31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0.43</v>
      </c>
      <c r="Z1185">
        <v>0.83</v>
      </c>
      <c r="AA1185" t="s">
        <v>9335</v>
      </c>
      <c r="AB1185" t="s">
        <v>242</v>
      </c>
      <c r="AC1185" t="s">
        <v>3229</v>
      </c>
    </row>
    <row r="1186" spans="1:29" x14ac:dyDescent="0.25">
      <c r="A1186" t="s">
        <v>2435</v>
      </c>
      <c r="B1186" t="s">
        <v>254</v>
      </c>
      <c r="C1186" t="s">
        <v>319</v>
      </c>
      <c r="D1186" t="s">
        <v>3713</v>
      </c>
      <c r="E1186" t="s">
        <v>3761</v>
      </c>
      <c r="F1186">
        <v>10000000</v>
      </c>
      <c r="G1186" t="s">
        <v>9349</v>
      </c>
      <c r="H1186" t="s">
        <v>242</v>
      </c>
      <c r="I1186" t="s">
        <v>242</v>
      </c>
      <c r="J1186" t="s">
        <v>242</v>
      </c>
      <c r="K1186" t="s">
        <v>242</v>
      </c>
      <c r="L1186" t="s">
        <v>241</v>
      </c>
      <c r="M1186">
        <v>38.872599999999998</v>
      </c>
      <c r="N1186">
        <v>-123.0642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0.73</v>
      </c>
      <c r="Z1186">
        <v>0.33</v>
      </c>
      <c r="AA1186" t="s">
        <v>9341</v>
      </c>
      <c r="AB1186" t="s">
        <v>242</v>
      </c>
      <c r="AC1186" t="s">
        <v>3213</v>
      </c>
    </row>
    <row r="1187" spans="1:29" x14ac:dyDescent="0.25">
      <c r="A1187" t="s">
        <v>2437</v>
      </c>
      <c r="B1187" t="s">
        <v>254</v>
      </c>
      <c r="C1187" t="s">
        <v>354</v>
      </c>
      <c r="D1187" t="s">
        <v>3713</v>
      </c>
      <c r="E1187" t="s">
        <v>3761</v>
      </c>
      <c r="F1187">
        <v>10000000</v>
      </c>
      <c r="G1187" t="s">
        <v>9349</v>
      </c>
      <c r="H1187" t="s">
        <v>242</v>
      </c>
      <c r="I1187" t="s">
        <v>242</v>
      </c>
      <c r="J1187" t="s">
        <v>242</v>
      </c>
      <c r="K1187" t="s">
        <v>242</v>
      </c>
      <c r="L1187" t="s">
        <v>241</v>
      </c>
      <c r="M1187">
        <v>38.869999999999997</v>
      </c>
      <c r="N1187">
        <v>-123.05419999999999</v>
      </c>
      <c r="O1187">
        <v>0</v>
      </c>
      <c r="P1187">
        <v>0</v>
      </c>
      <c r="Q1187">
        <v>0.03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6.7</v>
      </c>
      <c r="Z1187">
        <v>5.4</v>
      </c>
      <c r="AA1187" t="s">
        <v>9335</v>
      </c>
      <c r="AB1187" t="s">
        <v>242</v>
      </c>
      <c r="AC1187" t="s">
        <v>3213</v>
      </c>
    </row>
    <row r="1188" spans="1:29" x14ac:dyDescent="0.25">
      <c r="A1188" t="s">
        <v>2091</v>
      </c>
      <c r="B1188" t="s">
        <v>254</v>
      </c>
      <c r="C1188" t="s">
        <v>348</v>
      </c>
      <c r="D1188" t="s">
        <v>3713</v>
      </c>
      <c r="E1188" t="s">
        <v>3761</v>
      </c>
      <c r="F1188">
        <v>10000000</v>
      </c>
      <c r="G1188" t="s">
        <v>9349</v>
      </c>
      <c r="H1188" t="s">
        <v>242</v>
      </c>
      <c r="I1188" t="s">
        <v>242</v>
      </c>
      <c r="J1188" t="s">
        <v>242</v>
      </c>
      <c r="K1188" t="s">
        <v>242</v>
      </c>
      <c r="L1188" t="s">
        <v>241</v>
      </c>
      <c r="M1188">
        <v>39.3401</v>
      </c>
      <c r="N1188">
        <v>-123.1232</v>
      </c>
      <c r="O1188">
        <v>0</v>
      </c>
      <c r="P1188">
        <v>0</v>
      </c>
      <c r="Q1188">
        <v>0</v>
      </c>
      <c r="R1188">
        <v>0.03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 t="s">
        <v>9335</v>
      </c>
      <c r="AB1188" t="s">
        <v>242</v>
      </c>
      <c r="AC1188" t="s">
        <v>3213</v>
      </c>
    </row>
    <row r="1189" spans="1:29" x14ac:dyDescent="0.25">
      <c r="A1189" t="s">
        <v>83</v>
      </c>
      <c r="B1189" t="s">
        <v>254</v>
      </c>
      <c r="C1189" t="s">
        <v>333</v>
      </c>
      <c r="D1189" t="s">
        <v>3713</v>
      </c>
      <c r="E1189" t="s">
        <v>3761</v>
      </c>
      <c r="F1189">
        <v>10000000</v>
      </c>
      <c r="G1189" t="s">
        <v>9349</v>
      </c>
      <c r="H1189" t="s">
        <v>241</v>
      </c>
      <c r="I1189" t="s">
        <v>242</v>
      </c>
      <c r="J1189" t="s">
        <v>242</v>
      </c>
      <c r="K1189" t="s">
        <v>242</v>
      </c>
      <c r="L1189" t="s">
        <v>241</v>
      </c>
      <c r="M1189">
        <v>39.035299999999999</v>
      </c>
      <c r="N1189">
        <v>-123.1294</v>
      </c>
      <c r="O1189">
        <v>1.51</v>
      </c>
      <c r="P1189">
        <v>1.38</v>
      </c>
      <c r="Q1189">
        <v>2.29</v>
      </c>
      <c r="R1189">
        <v>1.79</v>
      </c>
      <c r="S1189">
        <v>4.25</v>
      </c>
      <c r="T1189">
        <v>8.73</v>
      </c>
      <c r="U1189">
        <v>7.63</v>
      </c>
      <c r="V1189">
        <v>9.02</v>
      </c>
      <c r="W1189">
        <v>3.95</v>
      </c>
      <c r="X1189">
        <v>1.63</v>
      </c>
      <c r="Y1189">
        <v>1.57</v>
      </c>
      <c r="Z1189">
        <v>1.1299999999999999</v>
      </c>
      <c r="AA1189" t="s">
        <v>9335</v>
      </c>
      <c r="AB1189" t="s">
        <v>242</v>
      </c>
      <c r="AC1189" t="s">
        <v>3213</v>
      </c>
    </row>
    <row r="1190" spans="1:29" x14ac:dyDescent="0.25">
      <c r="A1190" t="s">
        <v>2440</v>
      </c>
      <c r="B1190" t="s">
        <v>254</v>
      </c>
      <c r="C1190" t="s">
        <v>317</v>
      </c>
      <c r="D1190" t="s">
        <v>3713</v>
      </c>
      <c r="E1190" t="s">
        <v>3761</v>
      </c>
      <c r="F1190">
        <v>10000000</v>
      </c>
      <c r="G1190" t="s">
        <v>9349</v>
      </c>
      <c r="H1190" t="s">
        <v>242</v>
      </c>
      <c r="I1190" t="s">
        <v>242</v>
      </c>
      <c r="J1190" t="s">
        <v>242</v>
      </c>
      <c r="K1190" t="s">
        <v>242</v>
      </c>
      <c r="L1190" t="s">
        <v>241</v>
      </c>
      <c r="M1190">
        <v>39.213700000000003</v>
      </c>
      <c r="N1190">
        <v>-123.2103</v>
      </c>
      <c r="O1190">
        <v>10</v>
      </c>
      <c r="P1190">
        <v>3.66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 t="s">
        <v>9335</v>
      </c>
      <c r="AB1190" t="s">
        <v>242</v>
      </c>
      <c r="AC1190" t="s">
        <v>3213</v>
      </c>
    </row>
    <row r="1191" spans="1:29" x14ac:dyDescent="0.25">
      <c r="A1191" t="s">
        <v>1772</v>
      </c>
      <c r="B1191" t="s">
        <v>254</v>
      </c>
      <c r="C1191" t="s">
        <v>317</v>
      </c>
      <c r="D1191" t="s">
        <v>3713</v>
      </c>
      <c r="E1191" t="s">
        <v>3761</v>
      </c>
      <c r="F1191">
        <v>19110101</v>
      </c>
      <c r="G1191" t="s">
        <v>9348</v>
      </c>
      <c r="H1191" t="s">
        <v>242</v>
      </c>
      <c r="I1191" t="s">
        <v>241</v>
      </c>
      <c r="J1191" t="s">
        <v>242</v>
      </c>
      <c r="K1191" t="s">
        <v>242</v>
      </c>
      <c r="L1191" t="s">
        <v>242</v>
      </c>
      <c r="M1191">
        <v>39.219499999999996</v>
      </c>
      <c r="N1191">
        <v>-123.21769999999999</v>
      </c>
      <c r="O1191">
        <v>0</v>
      </c>
      <c r="P1191">
        <v>2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 t="s">
        <v>9335</v>
      </c>
      <c r="AB1191" t="s">
        <v>242</v>
      </c>
      <c r="AC1191" t="s">
        <v>3213</v>
      </c>
    </row>
    <row r="1192" spans="1:29" x14ac:dyDescent="0.25">
      <c r="A1192" t="s">
        <v>1773</v>
      </c>
      <c r="B1192" t="s">
        <v>254</v>
      </c>
      <c r="C1192" t="s">
        <v>317</v>
      </c>
      <c r="D1192" t="s">
        <v>3713</v>
      </c>
      <c r="E1192" t="s">
        <v>3761</v>
      </c>
      <c r="F1192">
        <v>19110101</v>
      </c>
      <c r="G1192" t="s">
        <v>9348</v>
      </c>
      <c r="H1192" t="s">
        <v>242</v>
      </c>
      <c r="I1192" t="s">
        <v>241</v>
      </c>
      <c r="J1192" t="s">
        <v>242</v>
      </c>
      <c r="K1192" t="s">
        <v>242</v>
      </c>
      <c r="L1192" t="s">
        <v>242</v>
      </c>
      <c r="M1192">
        <v>39.204700000000003</v>
      </c>
      <c r="N1192">
        <v>-123.2102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 t="s">
        <v>9335</v>
      </c>
      <c r="AB1192" t="s">
        <v>242</v>
      </c>
      <c r="AC1192" t="s">
        <v>3213</v>
      </c>
    </row>
    <row r="1193" spans="1:29" x14ac:dyDescent="0.25">
      <c r="A1193" t="s">
        <v>2441</v>
      </c>
      <c r="B1193" t="s">
        <v>254</v>
      </c>
      <c r="C1193" t="s">
        <v>317</v>
      </c>
      <c r="D1193" t="s">
        <v>3713</v>
      </c>
      <c r="E1193" t="s">
        <v>3761</v>
      </c>
      <c r="F1193">
        <v>10000000</v>
      </c>
      <c r="G1193" t="s">
        <v>9349</v>
      </c>
      <c r="H1193" t="s">
        <v>242</v>
      </c>
      <c r="I1193" t="s">
        <v>242</v>
      </c>
      <c r="J1193" t="s">
        <v>242</v>
      </c>
      <c r="K1193" t="s">
        <v>242</v>
      </c>
      <c r="L1193" t="s">
        <v>241</v>
      </c>
      <c r="M1193">
        <v>39.225099999999998</v>
      </c>
      <c r="N1193">
        <v>-123.2195</v>
      </c>
      <c r="O1193">
        <v>4</v>
      </c>
      <c r="P1193">
        <v>4</v>
      </c>
      <c r="Q1193">
        <v>4</v>
      </c>
      <c r="R1193">
        <v>4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 t="s">
        <v>9333</v>
      </c>
      <c r="AB1193" t="s">
        <v>242</v>
      </c>
      <c r="AC1193" t="s">
        <v>3213</v>
      </c>
    </row>
    <row r="1194" spans="1:29" x14ac:dyDescent="0.25">
      <c r="A1194" t="s">
        <v>1774</v>
      </c>
      <c r="B1194" t="s">
        <v>254</v>
      </c>
      <c r="C1194" t="s">
        <v>317</v>
      </c>
      <c r="D1194" t="s">
        <v>3713</v>
      </c>
      <c r="E1194" t="s">
        <v>3761</v>
      </c>
      <c r="F1194">
        <v>19110101</v>
      </c>
      <c r="G1194" t="s">
        <v>9348</v>
      </c>
      <c r="H1194" t="s">
        <v>242</v>
      </c>
      <c r="I1194" t="s">
        <v>241</v>
      </c>
      <c r="J1194" t="s">
        <v>242</v>
      </c>
      <c r="K1194" t="s">
        <v>242</v>
      </c>
      <c r="L1194" t="s">
        <v>242</v>
      </c>
      <c r="M1194">
        <v>39.2119</v>
      </c>
      <c r="N1194">
        <v>-123.2244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 t="s">
        <v>9335</v>
      </c>
      <c r="AB1194" t="s">
        <v>242</v>
      </c>
      <c r="AC1194" t="s">
        <v>3213</v>
      </c>
    </row>
    <row r="1195" spans="1:29" x14ac:dyDescent="0.25">
      <c r="A1195" t="s">
        <v>2453</v>
      </c>
      <c r="B1195" t="s">
        <v>254</v>
      </c>
      <c r="C1195" t="s">
        <v>317</v>
      </c>
      <c r="D1195" t="s">
        <v>3713</v>
      </c>
      <c r="E1195" t="s">
        <v>3761</v>
      </c>
      <c r="F1195">
        <v>10000000</v>
      </c>
      <c r="G1195" t="s">
        <v>9349</v>
      </c>
      <c r="H1195" t="s">
        <v>242</v>
      </c>
      <c r="I1195" t="s">
        <v>242</v>
      </c>
      <c r="J1195" t="s">
        <v>242</v>
      </c>
      <c r="K1195" t="s">
        <v>242</v>
      </c>
      <c r="L1195" t="s">
        <v>241</v>
      </c>
      <c r="M1195">
        <v>39.359699999999997</v>
      </c>
      <c r="N1195">
        <v>-123.2343</v>
      </c>
      <c r="O1195">
        <v>0.73</v>
      </c>
      <c r="P1195">
        <v>0.09</v>
      </c>
      <c r="Q1195">
        <v>7.0000000000000007E-2</v>
      </c>
      <c r="R1195">
        <v>0.11</v>
      </c>
      <c r="S1195">
        <v>0.11</v>
      </c>
      <c r="T1195">
        <v>0.11</v>
      </c>
      <c r="U1195">
        <v>0.16</v>
      </c>
      <c r="V1195">
        <v>0.16</v>
      </c>
      <c r="W1195">
        <v>0.17</v>
      </c>
      <c r="X1195">
        <v>0.17</v>
      </c>
      <c r="Y1195">
        <v>0.17</v>
      </c>
      <c r="Z1195">
        <v>0.14000000000000001</v>
      </c>
      <c r="AA1195" t="s">
        <v>9333</v>
      </c>
      <c r="AB1195" t="s">
        <v>241</v>
      </c>
      <c r="AC1195" t="s">
        <v>3213</v>
      </c>
    </row>
    <row r="1196" spans="1:29" x14ac:dyDescent="0.25">
      <c r="A1196" t="s">
        <v>2454</v>
      </c>
      <c r="B1196" t="s">
        <v>254</v>
      </c>
      <c r="C1196" t="s">
        <v>331</v>
      </c>
      <c r="D1196" t="s">
        <v>3713</v>
      </c>
      <c r="E1196" t="s">
        <v>3761</v>
      </c>
      <c r="F1196">
        <v>10000000</v>
      </c>
      <c r="G1196" t="s">
        <v>9349</v>
      </c>
      <c r="H1196" t="s">
        <v>242</v>
      </c>
      <c r="I1196" t="s">
        <v>242</v>
      </c>
      <c r="J1196" t="s">
        <v>242</v>
      </c>
      <c r="K1196" t="s">
        <v>242</v>
      </c>
      <c r="L1196" t="s">
        <v>241</v>
      </c>
      <c r="M1196">
        <v>39.184199999999997</v>
      </c>
      <c r="N1196">
        <v>-123.2196</v>
      </c>
      <c r="O1196">
        <v>0</v>
      </c>
      <c r="P1196">
        <v>0.4</v>
      </c>
      <c r="Q1196">
        <v>0.21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 t="s">
        <v>9335</v>
      </c>
      <c r="AB1196" t="s">
        <v>242</v>
      </c>
      <c r="AC1196" t="s">
        <v>3213</v>
      </c>
    </row>
    <row r="1197" spans="1:29" x14ac:dyDescent="0.25">
      <c r="A1197" t="s">
        <v>2456</v>
      </c>
      <c r="B1197" t="s">
        <v>254</v>
      </c>
      <c r="C1197" t="s">
        <v>311</v>
      </c>
      <c r="D1197" t="s">
        <v>3713</v>
      </c>
      <c r="E1197" t="s">
        <v>3761</v>
      </c>
      <c r="F1197">
        <v>10000000</v>
      </c>
      <c r="G1197" t="s">
        <v>9349</v>
      </c>
      <c r="H1197" t="s">
        <v>242</v>
      </c>
      <c r="I1197" t="s">
        <v>242</v>
      </c>
      <c r="J1197" t="s">
        <v>242</v>
      </c>
      <c r="K1197" t="s">
        <v>242</v>
      </c>
      <c r="L1197" t="s">
        <v>241</v>
      </c>
      <c r="M1197">
        <v>38.615900000000003</v>
      </c>
      <c r="N1197">
        <v>-122.68859999999999</v>
      </c>
      <c r="O1197">
        <v>0</v>
      </c>
      <c r="P1197">
        <v>0.4</v>
      </c>
      <c r="Q1197">
        <v>1.1599999999999999</v>
      </c>
      <c r="R1197">
        <v>3.7</v>
      </c>
      <c r="S1197">
        <v>0.76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 t="s">
        <v>9335</v>
      </c>
      <c r="AB1197" t="s">
        <v>242</v>
      </c>
      <c r="AC1197" t="s">
        <v>3229</v>
      </c>
    </row>
    <row r="1198" spans="1:29" x14ac:dyDescent="0.25">
      <c r="A1198" t="s">
        <v>90</v>
      </c>
      <c r="B1198" t="s">
        <v>254</v>
      </c>
      <c r="C1198" t="s">
        <v>331</v>
      </c>
      <c r="D1198" t="s">
        <v>3713</v>
      </c>
      <c r="E1198" t="s">
        <v>3761</v>
      </c>
      <c r="F1198">
        <v>19140101</v>
      </c>
      <c r="G1198" t="s">
        <v>9348</v>
      </c>
      <c r="H1198" t="s">
        <v>241</v>
      </c>
      <c r="I1198" t="s">
        <v>241</v>
      </c>
      <c r="J1198" t="s">
        <v>242</v>
      </c>
      <c r="K1198" t="s">
        <v>242</v>
      </c>
      <c r="L1198" t="s">
        <v>242</v>
      </c>
      <c r="M1198">
        <v>39.1526</v>
      </c>
      <c r="N1198">
        <v>-123.1895</v>
      </c>
      <c r="O1198">
        <v>17.73</v>
      </c>
      <c r="P1198">
        <v>12.93</v>
      </c>
      <c r="Q1198">
        <v>13.8</v>
      </c>
      <c r="R1198">
        <v>24.66</v>
      </c>
      <c r="S1198">
        <v>34.229999999999997</v>
      </c>
      <c r="T1198">
        <v>10.5</v>
      </c>
      <c r="U1198">
        <v>8.16</v>
      </c>
      <c r="V1198">
        <v>0</v>
      </c>
      <c r="W1198">
        <v>0</v>
      </c>
      <c r="X1198">
        <v>13.06</v>
      </c>
      <c r="Y1198">
        <v>22.66</v>
      </c>
      <c r="Z1198">
        <v>25.73</v>
      </c>
      <c r="AA1198" t="s">
        <v>9337</v>
      </c>
      <c r="AB1198" t="s">
        <v>242</v>
      </c>
      <c r="AC1198" t="s">
        <v>3213</v>
      </c>
    </row>
    <row r="1199" spans="1:29" x14ac:dyDescent="0.25">
      <c r="A1199" t="s">
        <v>91</v>
      </c>
      <c r="B1199" t="s">
        <v>254</v>
      </c>
      <c r="C1199" t="s">
        <v>331</v>
      </c>
      <c r="D1199" t="s">
        <v>3713</v>
      </c>
      <c r="E1199" t="s">
        <v>3761</v>
      </c>
      <c r="F1199">
        <v>19140101</v>
      </c>
      <c r="G1199" t="s">
        <v>9348</v>
      </c>
      <c r="H1199" t="s">
        <v>241</v>
      </c>
      <c r="I1199" t="s">
        <v>241</v>
      </c>
      <c r="J1199" t="s">
        <v>242</v>
      </c>
      <c r="K1199" t="s">
        <v>242</v>
      </c>
      <c r="L1199" t="s">
        <v>242</v>
      </c>
      <c r="M1199">
        <v>39.160400000000003</v>
      </c>
      <c r="N1199">
        <v>-123.19280000000001</v>
      </c>
      <c r="O1199">
        <v>2.2599999999999998</v>
      </c>
      <c r="P1199">
        <v>0</v>
      </c>
      <c r="Q1199">
        <v>0</v>
      </c>
      <c r="R1199">
        <v>2.16</v>
      </c>
      <c r="S1199">
        <v>71.2</v>
      </c>
      <c r="T1199">
        <v>116.33</v>
      </c>
      <c r="U1199">
        <v>164.03</v>
      </c>
      <c r="V1199">
        <v>172.2</v>
      </c>
      <c r="W1199">
        <v>166.6</v>
      </c>
      <c r="X1199">
        <v>159.1</v>
      </c>
      <c r="Y1199">
        <v>119.46</v>
      </c>
      <c r="Z1199">
        <v>23.5</v>
      </c>
      <c r="AA1199" t="s">
        <v>9337</v>
      </c>
      <c r="AB1199" t="s">
        <v>242</v>
      </c>
      <c r="AC1199" t="s">
        <v>3213</v>
      </c>
    </row>
    <row r="1200" spans="1:29" x14ac:dyDescent="0.25">
      <c r="A1200" t="s">
        <v>2460</v>
      </c>
      <c r="B1200" t="s">
        <v>254</v>
      </c>
      <c r="C1200" t="s">
        <v>354</v>
      </c>
      <c r="D1200" t="s">
        <v>3713</v>
      </c>
      <c r="E1200" t="s">
        <v>3761</v>
      </c>
      <c r="F1200">
        <v>10000000</v>
      </c>
      <c r="G1200" t="s">
        <v>9349</v>
      </c>
      <c r="H1200" t="s">
        <v>242</v>
      </c>
      <c r="I1200" t="s">
        <v>242</v>
      </c>
      <c r="J1200" t="s">
        <v>242</v>
      </c>
      <c r="K1200" t="s">
        <v>242</v>
      </c>
      <c r="L1200" t="s">
        <v>241</v>
      </c>
      <c r="M1200">
        <v>38.8508</v>
      </c>
      <c r="N1200">
        <v>-122.99420000000001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 t="s">
        <v>9335</v>
      </c>
      <c r="AB1200" t="s">
        <v>242</v>
      </c>
      <c r="AC1200" t="s">
        <v>3229</v>
      </c>
    </row>
    <row r="1201" spans="1:29" x14ac:dyDescent="0.25">
      <c r="A1201" t="s">
        <v>2461</v>
      </c>
      <c r="B1201" t="s">
        <v>254</v>
      </c>
      <c r="C1201" t="s">
        <v>311</v>
      </c>
      <c r="D1201" t="s">
        <v>3713</v>
      </c>
      <c r="E1201" t="s">
        <v>3761</v>
      </c>
      <c r="F1201">
        <v>10000000</v>
      </c>
      <c r="G1201" t="s">
        <v>9349</v>
      </c>
      <c r="H1201" t="s">
        <v>242</v>
      </c>
      <c r="I1201" t="s">
        <v>242</v>
      </c>
      <c r="J1201" t="s">
        <v>242</v>
      </c>
      <c r="K1201" t="s">
        <v>242</v>
      </c>
      <c r="L1201" t="s">
        <v>241</v>
      </c>
      <c r="M1201">
        <v>38.586799999999997</v>
      </c>
      <c r="N1201">
        <v>-122.75660000000001</v>
      </c>
      <c r="O1201">
        <v>0.01</v>
      </c>
      <c r="P1201">
        <v>0.01</v>
      </c>
      <c r="Q1201">
        <v>0.01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0.01</v>
      </c>
      <c r="Y1201">
        <v>0.03</v>
      </c>
      <c r="Z1201">
        <v>0.03</v>
      </c>
      <c r="AA1201" t="s">
        <v>9335</v>
      </c>
      <c r="AB1201" t="s">
        <v>241</v>
      </c>
      <c r="AC1201" t="s">
        <v>3229</v>
      </c>
    </row>
    <row r="1202" spans="1:29" x14ac:dyDescent="0.25">
      <c r="A1202" t="s">
        <v>2462</v>
      </c>
      <c r="B1202" t="s">
        <v>254</v>
      </c>
      <c r="C1202" t="s">
        <v>311</v>
      </c>
      <c r="D1202" t="s">
        <v>3713</v>
      </c>
      <c r="E1202" t="s">
        <v>3761</v>
      </c>
      <c r="F1202">
        <v>10000000</v>
      </c>
      <c r="G1202" t="s">
        <v>9349</v>
      </c>
      <c r="H1202" t="s">
        <v>242</v>
      </c>
      <c r="I1202" t="s">
        <v>242</v>
      </c>
      <c r="J1202" t="s">
        <v>242</v>
      </c>
      <c r="K1202" t="s">
        <v>242</v>
      </c>
      <c r="L1202" t="s">
        <v>241</v>
      </c>
      <c r="M1202">
        <v>38.606299999999997</v>
      </c>
      <c r="N1202">
        <v>-122.758</v>
      </c>
      <c r="O1202">
        <v>0.2</v>
      </c>
      <c r="P1202">
        <v>0.2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0.6</v>
      </c>
      <c r="AA1202" t="s">
        <v>9335</v>
      </c>
      <c r="AB1202" t="s">
        <v>242</v>
      </c>
      <c r="AC1202" t="s">
        <v>3229</v>
      </c>
    </row>
    <row r="1203" spans="1:29" x14ac:dyDescent="0.25">
      <c r="A1203" t="s">
        <v>2463</v>
      </c>
      <c r="B1203" t="s">
        <v>254</v>
      </c>
      <c r="C1203" t="s">
        <v>311</v>
      </c>
      <c r="D1203" t="s">
        <v>3713</v>
      </c>
      <c r="E1203" t="s">
        <v>3761</v>
      </c>
      <c r="F1203">
        <v>10000000</v>
      </c>
      <c r="G1203" t="s">
        <v>9349</v>
      </c>
      <c r="H1203" t="s">
        <v>242</v>
      </c>
      <c r="I1203" t="s">
        <v>242</v>
      </c>
      <c r="J1203" t="s">
        <v>242</v>
      </c>
      <c r="K1203" t="s">
        <v>242</v>
      </c>
      <c r="L1203" t="s">
        <v>241</v>
      </c>
      <c r="M1203">
        <v>38.607100000000003</v>
      </c>
      <c r="N1203">
        <v>-122.7573</v>
      </c>
      <c r="O1203">
        <v>0</v>
      </c>
      <c r="P1203">
        <v>0.6</v>
      </c>
      <c r="Q1203">
        <v>0</v>
      </c>
      <c r="R1203">
        <v>0.06</v>
      </c>
      <c r="S1203">
        <v>0</v>
      </c>
      <c r="T1203">
        <v>0</v>
      </c>
      <c r="U1203">
        <v>0.3</v>
      </c>
      <c r="V1203">
        <v>0</v>
      </c>
      <c r="W1203">
        <v>0</v>
      </c>
      <c r="X1203">
        <v>0</v>
      </c>
      <c r="Y1203">
        <v>0.3</v>
      </c>
      <c r="Z1203">
        <v>1.03</v>
      </c>
      <c r="AA1203" t="s">
        <v>9335</v>
      </c>
      <c r="AB1203" t="s">
        <v>242</v>
      </c>
      <c r="AC1203" t="s">
        <v>3229</v>
      </c>
    </row>
    <row r="1204" spans="1:29" x14ac:dyDescent="0.25">
      <c r="A1204" t="s">
        <v>2464</v>
      </c>
      <c r="B1204" t="s">
        <v>254</v>
      </c>
      <c r="C1204" t="s">
        <v>311</v>
      </c>
      <c r="D1204" t="s">
        <v>3713</v>
      </c>
      <c r="E1204" t="s">
        <v>3761</v>
      </c>
      <c r="F1204">
        <v>10000000</v>
      </c>
      <c r="G1204" t="s">
        <v>9349</v>
      </c>
      <c r="H1204" t="s">
        <v>242</v>
      </c>
      <c r="I1204" t="s">
        <v>242</v>
      </c>
      <c r="J1204" t="s">
        <v>242</v>
      </c>
      <c r="K1204" t="s">
        <v>242</v>
      </c>
      <c r="L1204" t="s">
        <v>241</v>
      </c>
      <c r="M1204">
        <v>38.600999999999999</v>
      </c>
      <c r="N1204">
        <v>-122.7535</v>
      </c>
      <c r="O1204">
        <v>1.73</v>
      </c>
      <c r="P1204">
        <v>1.73</v>
      </c>
      <c r="Q1204">
        <v>4.66</v>
      </c>
      <c r="R1204">
        <v>0.33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0.1</v>
      </c>
      <c r="Z1204">
        <v>0.7</v>
      </c>
      <c r="AA1204" t="s">
        <v>9335</v>
      </c>
      <c r="AB1204" t="s">
        <v>242</v>
      </c>
      <c r="AC1204" t="s">
        <v>3229</v>
      </c>
    </row>
    <row r="1205" spans="1:29" x14ac:dyDescent="0.25">
      <c r="A1205" t="s">
        <v>2465</v>
      </c>
      <c r="B1205" t="s">
        <v>254</v>
      </c>
      <c r="C1205" t="s">
        <v>317</v>
      </c>
      <c r="D1205" t="s">
        <v>3713</v>
      </c>
      <c r="E1205" t="s">
        <v>3761</v>
      </c>
      <c r="F1205">
        <v>10000000</v>
      </c>
      <c r="G1205" t="s">
        <v>9349</v>
      </c>
      <c r="H1205" t="s">
        <v>242</v>
      </c>
      <c r="I1205" t="s">
        <v>242</v>
      </c>
      <c r="J1205" t="s">
        <v>242</v>
      </c>
      <c r="K1205" t="s">
        <v>242</v>
      </c>
      <c r="L1205" t="s">
        <v>241</v>
      </c>
      <c r="M1205">
        <v>39.284399999999998</v>
      </c>
      <c r="N1205">
        <v>-123.3507</v>
      </c>
      <c r="O1205">
        <v>0</v>
      </c>
      <c r="P1205">
        <v>0</v>
      </c>
      <c r="Q1205">
        <v>0</v>
      </c>
      <c r="R1205">
        <v>6.6666700000000002E-4</v>
      </c>
      <c r="S1205">
        <v>2E-3</v>
      </c>
      <c r="T1205">
        <v>0.33</v>
      </c>
      <c r="U1205">
        <v>1.5E-3</v>
      </c>
      <c r="V1205">
        <v>0.33</v>
      </c>
      <c r="W1205">
        <v>0</v>
      </c>
      <c r="X1205">
        <v>3.33333E-4</v>
      </c>
      <c r="Y1205">
        <v>0</v>
      </c>
      <c r="Z1205">
        <v>0</v>
      </c>
      <c r="AA1205" t="s">
        <v>9333</v>
      </c>
      <c r="AB1205" t="s">
        <v>242</v>
      </c>
      <c r="AC1205" t="s">
        <v>3213</v>
      </c>
    </row>
    <row r="1206" spans="1:29" x14ac:dyDescent="0.25">
      <c r="A1206" t="s">
        <v>2467</v>
      </c>
      <c r="B1206" t="s">
        <v>254</v>
      </c>
      <c r="C1206" t="s">
        <v>319</v>
      </c>
      <c r="D1206" t="s">
        <v>3713</v>
      </c>
      <c r="E1206" t="s">
        <v>3761</v>
      </c>
      <c r="F1206">
        <v>10000000</v>
      </c>
      <c r="G1206" t="s">
        <v>9349</v>
      </c>
      <c r="H1206" t="s">
        <v>241</v>
      </c>
      <c r="I1206" t="s">
        <v>242</v>
      </c>
      <c r="J1206" t="s">
        <v>242</v>
      </c>
      <c r="K1206" t="s">
        <v>242</v>
      </c>
      <c r="L1206" t="s">
        <v>241</v>
      </c>
      <c r="M1206">
        <v>38.976199999999999</v>
      </c>
      <c r="N1206">
        <v>-123.10509999999999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 t="s">
        <v>9335</v>
      </c>
      <c r="AB1206" t="s">
        <v>242</v>
      </c>
      <c r="AC1206" t="s">
        <v>3213</v>
      </c>
    </row>
    <row r="1207" spans="1:29" x14ac:dyDescent="0.25">
      <c r="A1207" t="s">
        <v>2468</v>
      </c>
      <c r="B1207" t="s">
        <v>254</v>
      </c>
      <c r="C1207" t="s">
        <v>317</v>
      </c>
      <c r="D1207" t="s">
        <v>3713</v>
      </c>
      <c r="E1207" t="s">
        <v>3761</v>
      </c>
      <c r="F1207">
        <v>10000000</v>
      </c>
      <c r="G1207" t="s">
        <v>9349</v>
      </c>
      <c r="H1207" t="s">
        <v>242</v>
      </c>
      <c r="I1207" t="s">
        <v>242</v>
      </c>
      <c r="J1207" t="s">
        <v>242</v>
      </c>
      <c r="K1207" t="s">
        <v>242</v>
      </c>
      <c r="L1207" t="s">
        <v>241</v>
      </c>
      <c r="M1207">
        <v>39.224400000000003</v>
      </c>
      <c r="N1207">
        <v>-123.19159999999999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 t="s">
        <v>9335</v>
      </c>
      <c r="AB1207" t="s">
        <v>242</v>
      </c>
      <c r="AC1207" t="s">
        <v>3213</v>
      </c>
    </row>
    <row r="1208" spans="1:29" x14ac:dyDescent="0.25">
      <c r="A1208" t="s">
        <v>2470</v>
      </c>
      <c r="B1208" t="s">
        <v>254</v>
      </c>
      <c r="C1208" t="s">
        <v>333</v>
      </c>
      <c r="D1208" t="s">
        <v>3713</v>
      </c>
      <c r="E1208" t="s">
        <v>3761</v>
      </c>
      <c r="F1208">
        <v>10000000</v>
      </c>
      <c r="G1208" t="s">
        <v>9349</v>
      </c>
      <c r="H1208" t="s">
        <v>242</v>
      </c>
      <c r="I1208" t="s">
        <v>242</v>
      </c>
      <c r="J1208" t="s">
        <v>242</v>
      </c>
      <c r="K1208" t="s">
        <v>242</v>
      </c>
      <c r="L1208" t="s">
        <v>241</v>
      </c>
      <c r="M1208">
        <v>39.122999999999998</v>
      </c>
      <c r="N1208">
        <v>-123.14919999999999</v>
      </c>
      <c r="O1208">
        <v>0.08</v>
      </c>
      <c r="P1208">
        <v>0.1</v>
      </c>
      <c r="Q1208">
        <v>0.08</v>
      </c>
      <c r="R1208">
        <v>0.09</v>
      </c>
      <c r="S1208">
        <v>0.05</v>
      </c>
      <c r="T1208">
        <v>0.18</v>
      </c>
      <c r="U1208">
        <v>0.01</v>
      </c>
      <c r="V1208">
        <v>0</v>
      </c>
      <c r="W1208">
        <v>0.09</v>
      </c>
      <c r="X1208">
        <v>0</v>
      </c>
      <c r="Y1208">
        <v>0.15</v>
      </c>
      <c r="Z1208">
        <v>0.1</v>
      </c>
      <c r="AA1208" t="s">
        <v>9335</v>
      </c>
      <c r="AB1208" t="s">
        <v>242</v>
      </c>
      <c r="AC1208" t="s">
        <v>3213</v>
      </c>
    </row>
    <row r="1209" spans="1:29" x14ac:dyDescent="0.25">
      <c r="A1209" t="s">
        <v>159</v>
      </c>
      <c r="B1209" t="s">
        <v>254</v>
      </c>
      <c r="C1209" t="s">
        <v>436</v>
      </c>
      <c r="D1209" t="s">
        <v>3713</v>
      </c>
      <c r="E1209" t="s">
        <v>3761</v>
      </c>
      <c r="F1209">
        <v>10000000</v>
      </c>
      <c r="G1209" t="s">
        <v>9349</v>
      </c>
      <c r="H1209" t="s">
        <v>241</v>
      </c>
      <c r="I1209" t="s">
        <v>242</v>
      </c>
      <c r="J1209" t="s">
        <v>242</v>
      </c>
      <c r="K1209" t="s">
        <v>242</v>
      </c>
      <c r="L1209" t="s">
        <v>241</v>
      </c>
      <c r="M1209">
        <v>38.686999999999998</v>
      </c>
      <c r="N1209">
        <v>-122.85420000000001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 t="s">
        <v>9335</v>
      </c>
      <c r="AB1209" t="s">
        <v>242</v>
      </c>
      <c r="AC1209" t="s">
        <v>3229</v>
      </c>
    </row>
    <row r="1210" spans="1:29" x14ac:dyDescent="0.25">
      <c r="A1210" t="s">
        <v>88</v>
      </c>
      <c r="B1210" t="s">
        <v>254</v>
      </c>
      <c r="C1210" t="s">
        <v>436</v>
      </c>
      <c r="D1210" t="s">
        <v>3713</v>
      </c>
      <c r="E1210" t="s">
        <v>3761</v>
      </c>
      <c r="F1210">
        <v>10000000</v>
      </c>
      <c r="G1210" t="s">
        <v>9349</v>
      </c>
      <c r="H1210" t="s">
        <v>241</v>
      </c>
      <c r="I1210" t="s">
        <v>242</v>
      </c>
      <c r="J1210" t="s">
        <v>242</v>
      </c>
      <c r="K1210" t="s">
        <v>242</v>
      </c>
      <c r="L1210" t="s">
        <v>241</v>
      </c>
      <c r="M1210">
        <v>38.686999999999998</v>
      </c>
      <c r="N1210">
        <v>-122.8541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 t="s">
        <v>9335</v>
      </c>
      <c r="AB1210" t="s">
        <v>242</v>
      </c>
      <c r="AC1210" t="s">
        <v>3229</v>
      </c>
    </row>
    <row r="1211" spans="1:29" x14ac:dyDescent="0.25">
      <c r="A1211" t="s">
        <v>136</v>
      </c>
      <c r="B1211" t="s">
        <v>254</v>
      </c>
      <c r="C1211" t="s">
        <v>436</v>
      </c>
      <c r="D1211" t="s">
        <v>3713</v>
      </c>
      <c r="E1211" t="s">
        <v>3761</v>
      </c>
      <c r="F1211">
        <v>10000000</v>
      </c>
      <c r="G1211" t="s">
        <v>9349</v>
      </c>
      <c r="H1211" t="s">
        <v>241</v>
      </c>
      <c r="I1211" t="s">
        <v>242</v>
      </c>
      <c r="J1211" t="s">
        <v>242</v>
      </c>
      <c r="K1211" t="s">
        <v>242</v>
      </c>
      <c r="L1211" t="s">
        <v>241</v>
      </c>
      <c r="M1211">
        <v>38.703499999999998</v>
      </c>
      <c r="N1211">
        <v>-122.8745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 t="s">
        <v>9335</v>
      </c>
      <c r="AB1211" t="s">
        <v>242</v>
      </c>
      <c r="AC1211" t="s">
        <v>3229</v>
      </c>
    </row>
    <row r="1212" spans="1:29" x14ac:dyDescent="0.25">
      <c r="A1212" t="s">
        <v>137</v>
      </c>
      <c r="B1212" t="s">
        <v>254</v>
      </c>
      <c r="C1212" t="s">
        <v>436</v>
      </c>
      <c r="D1212" t="s">
        <v>3713</v>
      </c>
      <c r="E1212" t="s">
        <v>3761</v>
      </c>
      <c r="F1212">
        <v>10000000</v>
      </c>
      <c r="G1212" t="s">
        <v>9349</v>
      </c>
      <c r="H1212" t="s">
        <v>241</v>
      </c>
      <c r="I1212" t="s">
        <v>242</v>
      </c>
      <c r="J1212" t="s">
        <v>242</v>
      </c>
      <c r="K1212" t="s">
        <v>242</v>
      </c>
      <c r="L1212" t="s">
        <v>241</v>
      </c>
      <c r="M1212">
        <v>38.703200000000002</v>
      </c>
      <c r="N1212">
        <v>-122.8764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 t="s">
        <v>9335</v>
      </c>
      <c r="AB1212" t="s">
        <v>242</v>
      </c>
      <c r="AC1212" t="s">
        <v>3229</v>
      </c>
    </row>
    <row r="1213" spans="1:29" x14ac:dyDescent="0.25">
      <c r="A1213" t="s">
        <v>138</v>
      </c>
      <c r="B1213" t="s">
        <v>254</v>
      </c>
      <c r="C1213" t="s">
        <v>436</v>
      </c>
      <c r="D1213" t="s">
        <v>3713</v>
      </c>
      <c r="E1213" t="s">
        <v>3761</v>
      </c>
      <c r="F1213">
        <v>10000000</v>
      </c>
      <c r="G1213" t="s">
        <v>9349</v>
      </c>
      <c r="H1213" t="s">
        <v>241</v>
      </c>
      <c r="I1213" t="s">
        <v>242</v>
      </c>
      <c r="J1213" t="s">
        <v>242</v>
      </c>
      <c r="K1213" t="s">
        <v>242</v>
      </c>
      <c r="L1213" t="s">
        <v>241</v>
      </c>
      <c r="M1213">
        <v>38.705800000000004</v>
      </c>
      <c r="N1213">
        <v>-122.8823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 t="s">
        <v>9335</v>
      </c>
      <c r="AB1213" t="s">
        <v>242</v>
      </c>
      <c r="AC1213" t="s">
        <v>3229</v>
      </c>
    </row>
    <row r="1214" spans="1:29" x14ac:dyDescent="0.25">
      <c r="A1214" t="s">
        <v>1810</v>
      </c>
      <c r="B1214" t="s">
        <v>254</v>
      </c>
      <c r="C1214" t="s">
        <v>317</v>
      </c>
      <c r="D1214" t="s">
        <v>3713</v>
      </c>
      <c r="E1214" t="s">
        <v>3761</v>
      </c>
      <c r="F1214">
        <v>19000101</v>
      </c>
      <c r="G1214" t="s">
        <v>9348</v>
      </c>
      <c r="H1214" t="s">
        <v>242</v>
      </c>
      <c r="I1214" t="s">
        <v>241</v>
      </c>
      <c r="J1214" t="s">
        <v>242</v>
      </c>
      <c r="K1214" t="s">
        <v>242</v>
      </c>
      <c r="L1214" t="s">
        <v>242</v>
      </c>
      <c r="M1214">
        <v>39.333199999999998</v>
      </c>
      <c r="N1214">
        <v>-123.2406</v>
      </c>
      <c r="O1214">
        <v>0.41</v>
      </c>
      <c r="P1214">
        <v>0.37</v>
      </c>
      <c r="Q1214">
        <v>0.41</v>
      </c>
      <c r="R1214">
        <v>0.4</v>
      </c>
      <c r="S1214">
        <v>0.41</v>
      </c>
      <c r="T1214">
        <v>0.4</v>
      </c>
      <c r="U1214">
        <v>0.41</v>
      </c>
      <c r="V1214">
        <v>0.41</v>
      </c>
      <c r="W1214">
        <v>0.4</v>
      </c>
      <c r="X1214">
        <v>0.27</v>
      </c>
      <c r="Y1214">
        <v>0.26</v>
      </c>
      <c r="Z1214">
        <v>0.27</v>
      </c>
      <c r="AA1214" t="s">
        <v>9333</v>
      </c>
      <c r="AB1214" t="s">
        <v>242</v>
      </c>
      <c r="AC1214" t="s">
        <v>3213</v>
      </c>
    </row>
    <row r="1215" spans="1:29" x14ac:dyDescent="0.25">
      <c r="A1215" t="s">
        <v>139</v>
      </c>
      <c r="B1215" t="s">
        <v>254</v>
      </c>
      <c r="C1215" t="s">
        <v>436</v>
      </c>
      <c r="D1215" t="s">
        <v>3713</v>
      </c>
      <c r="E1215" t="s">
        <v>3761</v>
      </c>
      <c r="F1215">
        <v>10000000</v>
      </c>
      <c r="G1215" t="s">
        <v>9349</v>
      </c>
      <c r="H1215" t="s">
        <v>241</v>
      </c>
      <c r="I1215" t="s">
        <v>242</v>
      </c>
      <c r="J1215" t="s">
        <v>242</v>
      </c>
      <c r="K1215" t="s">
        <v>242</v>
      </c>
      <c r="L1215" t="s">
        <v>241</v>
      </c>
      <c r="M1215">
        <v>38.7057</v>
      </c>
      <c r="N1215">
        <v>-122.8775</v>
      </c>
      <c r="O1215">
        <v>0</v>
      </c>
      <c r="P1215">
        <v>0</v>
      </c>
      <c r="Q1215">
        <v>0</v>
      </c>
      <c r="R1215">
        <v>0.08</v>
      </c>
      <c r="S1215">
        <v>1.66</v>
      </c>
      <c r="T1215">
        <v>3.66</v>
      </c>
      <c r="U1215">
        <v>4.33</v>
      </c>
      <c r="V1215">
        <v>4</v>
      </c>
      <c r="W1215">
        <v>3.33</v>
      </c>
      <c r="X1215">
        <v>2.66</v>
      </c>
      <c r="Y1215">
        <v>0</v>
      </c>
      <c r="Z1215">
        <v>0</v>
      </c>
      <c r="AA1215" t="s">
        <v>9335</v>
      </c>
      <c r="AB1215" t="s">
        <v>242</v>
      </c>
      <c r="AC1215" t="s">
        <v>3229</v>
      </c>
    </row>
    <row r="1216" spans="1:29" x14ac:dyDescent="0.25">
      <c r="A1216" t="s">
        <v>140</v>
      </c>
      <c r="B1216" t="s">
        <v>254</v>
      </c>
      <c r="C1216" t="s">
        <v>436</v>
      </c>
      <c r="D1216" t="s">
        <v>3713</v>
      </c>
      <c r="E1216" t="s">
        <v>3761</v>
      </c>
      <c r="F1216">
        <v>10000000</v>
      </c>
      <c r="G1216" t="s">
        <v>9349</v>
      </c>
      <c r="H1216" t="s">
        <v>241</v>
      </c>
      <c r="I1216" t="s">
        <v>242</v>
      </c>
      <c r="J1216" t="s">
        <v>242</v>
      </c>
      <c r="K1216" t="s">
        <v>242</v>
      </c>
      <c r="L1216" t="s">
        <v>241</v>
      </c>
      <c r="M1216">
        <v>38.705199999999998</v>
      </c>
      <c r="N1216">
        <v>-122.8832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 t="s">
        <v>9335</v>
      </c>
      <c r="AB1216" t="s">
        <v>242</v>
      </c>
      <c r="AC1216" t="s">
        <v>3229</v>
      </c>
    </row>
    <row r="1217" spans="1:29" x14ac:dyDescent="0.25">
      <c r="A1217" t="s">
        <v>2473</v>
      </c>
      <c r="B1217" t="s">
        <v>254</v>
      </c>
      <c r="C1217" t="s">
        <v>317</v>
      </c>
      <c r="D1217" t="s">
        <v>3713</v>
      </c>
      <c r="E1217" t="s">
        <v>3761</v>
      </c>
      <c r="F1217">
        <v>10000000</v>
      </c>
      <c r="G1217" t="s">
        <v>9349</v>
      </c>
      <c r="H1217" t="s">
        <v>242</v>
      </c>
      <c r="I1217" t="s">
        <v>242</v>
      </c>
      <c r="J1217" t="s">
        <v>242</v>
      </c>
      <c r="K1217" t="s">
        <v>242</v>
      </c>
      <c r="L1217" t="s">
        <v>241</v>
      </c>
      <c r="M1217">
        <v>39.271299999999997</v>
      </c>
      <c r="N1217">
        <v>-123.2538</v>
      </c>
      <c r="O1217">
        <v>1.34</v>
      </c>
      <c r="P1217">
        <v>1.36</v>
      </c>
      <c r="Q1217">
        <v>1.37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 t="s">
        <v>9335</v>
      </c>
      <c r="AB1217" t="s">
        <v>242</v>
      </c>
      <c r="AC1217" t="s">
        <v>3213</v>
      </c>
    </row>
    <row r="1218" spans="1:29" x14ac:dyDescent="0.25">
      <c r="A1218" t="s">
        <v>2474</v>
      </c>
      <c r="B1218" t="s">
        <v>254</v>
      </c>
      <c r="C1218" t="s">
        <v>317</v>
      </c>
      <c r="D1218" t="s">
        <v>3713</v>
      </c>
      <c r="E1218" t="s">
        <v>3761</v>
      </c>
      <c r="F1218">
        <v>10000000</v>
      </c>
      <c r="G1218" t="s">
        <v>9349</v>
      </c>
      <c r="H1218" t="s">
        <v>242</v>
      </c>
      <c r="I1218" t="s">
        <v>242</v>
      </c>
      <c r="J1218" t="s">
        <v>242</v>
      </c>
      <c r="K1218" t="s">
        <v>242</v>
      </c>
      <c r="L1218" t="s">
        <v>241</v>
      </c>
      <c r="M1218">
        <v>39.273400000000002</v>
      </c>
      <c r="N1218">
        <v>-123.2574</v>
      </c>
      <c r="O1218">
        <v>3.41</v>
      </c>
      <c r="P1218">
        <v>2.04</v>
      </c>
      <c r="Q1218">
        <v>2.0099999999999998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 t="s">
        <v>9335</v>
      </c>
      <c r="AB1218" t="s">
        <v>242</v>
      </c>
      <c r="AC1218" t="s">
        <v>3213</v>
      </c>
    </row>
    <row r="1219" spans="1:29" x14ac:dyDescent="0.25">
      <c r="A1219" t="s">
        <v>2475</v>
      </c>
      <c r="B1219" t="s">
        <v>254</v>
      </c>
      <c r="C1219" t="s">
        <v>354</v>
      </c>
      <c r="D1219" t="s">
        <v>3713</v>
      </c>
      <c r="E1219" t="s">
        <v>3761</v>
      </c>
      <c r="F1219">
        <v>10000000</v>
      </c>
      <c r="G1219" t="s">
        <v>9349</v>
      </c>
      <c r="H1219" t="s">
        <v>242</v>
      </c>
      <c r="I1219" t="s">
        <v>242</v>
      </c>
      <c r="J1219" t="s">
        <v>242</v>
      </c>
      <c r="K1219" t="s">
        <v>242</v>
      </c>
      <c r="L1219" t="s">
        <v>241</v>
      </c>
      <c r="M1219">
        <v>38.758600000000001</v>
      </c>
      <c r="N1219">
        <v>-123.00839999999999</v>
      </c>
      <c r="O1219">
        <v>0.21</v>
      </c>
      <c r="P1219">
        <v>0.2</v>
      </c>
      <c r="Q1219">
        <v>0.24</v>
      </c>
      <c r="R1219">
        <v>0.25</v>
      </c>
      <c r="S1219">
        <v>0.35</v>
      </c>
      <c r="T1219">
        <v>1.2</v>
      </c>
      <c r="U1219">
        <v>1.21</v>
      </c>
      <c r="V1219">
        <v>1.25</v>
      </c>
      <c r="W1219">
        <v>0.98</v>
      </c>
      <c r="X1219">
        <v>0.51</v>
      </c>
      <c r="Y1219">
        <v>0.26</v>
      </c>
      <c r="Z1219">
        <v>0.21</v>
      </c>
      <c r="AA1219" t="s">
        <v>9335</v>
      </c>
      <c r="AB1219" t="s">
        <v>242</v>
      </c>
      <c r="AC1219" t="s">
        <v>3229</v>
      </c>
    </row>
    <row r="1220" spans="1:29" x14ac:dyDescent="0.25">
      <c r="A1220" t="s">
        <v>2477</v>
      </c>
      <c r="B1220" t="s">
        <v>254</v>
      </c>
      <c r="C1220" t="s">
        <v>354</v>
      </c>
      <c r="D1220" t="s">
        <v>3713</v>
      </c>
      <c r="E1220" t="s">
        <v>3761</v>
      </c>
      <c r="F1220">
        <v>10000000</v>
      </c>
      <c r="G1220" t="s">
        <v>9349</v>
      </c>
      <c r="H1220" t="s">
        <v>242</v>
      </c>
      <c r="I1220" t="s">
        <v>242</v>
      </c>
      <c r="J1220" t="s">
        <v>242</v>
      </c>
      <c r="K1220" t="s">
        <v>242</v>
      </c>
      <c r="L1220" t="s">
        <v>241</v>
      </c>
      <c r="M1220">
        <v>38.759500000000003</v>
      </c>
      <c r="N1220">
        <v>-123</v>
      </c>
      <c r="O1220">
        <v>2.33</v>
      </c>
      <c r="P1220">
        <v>0.33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0.33</v>
      </c>
      <c r="AA1220" t="s">
        <v>9335</v>
      </c>
      <c r="AB1220" t="s">
        <v>242</v>
      </c>
      <c r="AC1220" t="s">
        <v>3229</v>
      </c>
    </row>
    <row r="1221" spans="1:29" x14ac:dyDescent="0.25">
      <c r="A1221" t="s">
        <v>2478</v>
      </c>
      <c r="B1221" t="s">
        <v>254</v>
      </c>
      <c r="C1221" t="s">
        <v>436</v>
      </c>
      <c r="D1221" t="s">
        <v>3713</v>
      </c>
      <c r="E1221" t="s">
        <v>3761</v>
      </c>
      <c r="F1221">
        <v>10000000</v>
      </c>
      <c r="G1221" t="s">
        <v>9349</v>
      </c>
      <c r="H1221" t="s">
        <v>242</v>
      </c>
      <c r="I1221" t="s">
        <v>242</v>
      </c>
      <c r="J1221" t="s">
        <v>242</v>
      </c>
      <c r="K1221" t="s">
        <v>242</v>
      </c>
      <c r="L1221" t="s">
        <v>241</v>
      </c>
      <c r="M1221">
        <v>38.688800000000001</v>
      </c>
      <c r="N1221">
        <v>-122.8129</v>
      </c>
      <c r="O1221">
        <v>0</v>
      </c>
      <c r="P1221">
        <v>13.73</v>
      </c>
      <c r="Q1221">
        <v>12.66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 t="s">
        <v>9335</v>
      </c>
      <c r="AB1221" t="s">
        <v>242</v>
      </c>
      <c r="AC1221" t="s">
        <v>3229</v>
      </c>
    </row>
    <row r="1222" spans="1:29" x14ac:dyDescent="0.25">
      <c r="A1222" t="s">
        <v>2479</v>
      </c>
      <c r="B1222" t="s">
        <v>254</v>
      </c>
      <c r="C1222" t="s">
        <v>436</v>
      </c>
      <c r="D1222" t="s">
        <v>3713</v>
      </c>
      <c r="E1222" t="s">
        <v>3761</v>
      </c>
      <c r="F1222">
        <v>10000000</v>
      </c>
      <c r="G1222" t="s">
        <v>9349</v>
      </c>
      <c r="H1222" t="s">
        <v>242</v>
      </c>
      <c r="I1222" t="s">
        <v>242</v>
      </c>
      <c r="J1222" t="s">
        <v>242</v>
      </c>
      <c r="K1222" t="s">
        <v>242</v>
      </c>
      <c r="L1222" t="s">
        <v>241</v>
      </c>
      <c r="M1222">
        <v>38.691600000000001</v>
      </c>
      <c r="N1222">
        <v>-122.81740000000001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 t="s">
        <v>9335</v>
      </c>
      <c r="AB1222" t="s">
        <v>242</v>
      </c>
      <c r="AC1222" t="s">
        <v>3229</v>
      </c>
    </row>
    <row r="1223" spans="1:29" x14ac:dyDescent="0.25">
      <c r="A1223" t="s">
        <v>2480</v>
      </c>
      <c r="B1223" t="s">
        <v>254</v>
      </c>
      <c r="C1223" t="s">
        <v>436</v>
      </c>
      <c r="D1223" t="s">
        <v>3713</v>
      </c>
      <c r="E1223" t="s">
        <v>3761</v>
      </c>
      <c r="F1223">
        <v>10000000</v>
      </c>
      <c r="G1223" t="s">
        <v>9349</v>
      </c>
      <c r="H1223" t="s">
        <v>242</v>
      </c>
      <c r="I1223" t="s">
        <v>242</v>
      </c>
      <c r="J1223" t="s">
        <v>242</v>
      </c>
      <c r="K1223" t="s">
        <v>242</v>
      </c>
      <c r="L1223" t="s">
        <v>241</v>
      </c>
      <c r="M1223">
        <v>38.694400000000002</v>
      </c>
      <c r="N1223">
        <v>-122.8257</v>
      </c>
      <c r="O1223">
        <v>0</v>
      </c>
      <c r="P1223">
        <v>0</v>
      </c>
      <c r="Q1223">
        <v>0</v>
      </c>
      <c r="R1223">
        <v>0</v>
      </c>
      <c r="S1223">
        <v>0.08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0.1</v>
      </c>
      <c r="Z1223">
        <v>0</v>
      </c>
      <c r="AA1223" t="s">
        <v>9335</v>
      </c>
      <c r="AB1223" t="s">
        <v>242</v>
      </c>
      <c r="AC1223" t="s">
        <v>3229</v>
      </c>
    </row>
    <row r="1224" spans="1:29" x14ac:dyDescent="0.25">
      <c r="A1224" t="s">
        <v>2481</v>
      </c>
      <c r="B1224" t="s">
        <v>254</v>
      </c>
      <c r="C1224" t="s">
        <v>436</v>
      </c>
      <c r="D1224" t="s">
        <v>3713</v>
      </c>
      <c r="E1224" t="s">
        <v>3761</v>
      </c>
      <c r="F1224">
        <v>10000000</v>
      </c>
      <c r="G1224" t="s">
        <v>9349</v>
      </c>
      <c r="H1224" t="s">
        <v>242</v>
      </c>
      <c r="I1224" t="s">
        <v>242</v>
      </c>
      <c r="J1224" t="s">
        <v>242</v>
      </c>
      <c r="K1224" t="s">
        <v>242</v>
      </c>
      <c r="L1224" t="s">
        <v>241</v>
      </c>
      <c r="M1224">
        <v>38.695399999999999</v>
      </c>
      <c r="N1224">
        <v>-122.8228</v>
      </c>
      <c r="O1224">
        <v>18.190000000000001</v>
      </c>
      <c r="P1224">
        <v>3.66</v>
      </c>
      <c r="Q1224">
        <v>3.77</v>
      </c>
      <c r="R1224">
        <v>3.18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1.41</v>
      </c>
      <c r="Y1224">
        <v>0</v>
      </c>
      <c r="Z1224">
        <v>1.87</v>
      </c>
      <c r="AA1224" t="s">
        <v>9335</v>
      </c>
      <c r="AB1224" t="s">
        <v>242</v>
      </c>
      <c r="AC1224" t="s">
        <v>3229</v>
      </c>
    </row>
    <row r="1225" spans="1:29" x14ac:dyDescent="0.25">
      <c r="A1225" t="s">
        <v>2482</v>
      </c>
      <c r="B1225" t="s">
        <v>254</v>
      </c>
      <c r="C1225" t="s">
        <v>436</v>
      </c>
      <c r="D1225" t="s">
        <v>3713</v>
      </c>
      <c r="E1225" t="s">
        <v>3761</v>
      </c>
      <c r="F1225">
        <v>10000000</v>
      </c>
      <c r="G1225" t="s">
        <v>9349</v>
      </c>
      <c r="H1225" t="s">
        <v>242</v>
      </c>
      <c r="I1225" t="s">
        <v>242</v>
      </c>
      <c r="J1225" t="s">
        <v>242</v>
      </c>
      <c r="K1225" t="s">
        <v>242</v>
      </c>
      <c r="L1225" t="s">
        <v>241</v>
      </c>
      <c r="M1225">
        <v>38.696899999999999</v>
      </c>
      <c r="N1225">
        <v>-122.8252</v>
      </c>
      <c r="O1225">
        <v>5.74</v>
      </c>
      <c r="P1225">
        <v>1.1499999999999999</v>
      </c>
      <c r="Q1225">
        <v>1.19</v>
      </c>
      <c r="R1225">
        <v>1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0.44</v>
      </c>
      <c r="Y1225">
        <v>0</v>
      </c>
      <c r="Z1225">
        <v>0.59</v>
      </c>
      <c r="AA1225" t="s">
        <v>9335</v>
      </c>
      <c r="AB1225" t="s">
        <v>242</v>
      </c>
      <c r="AC1225" t="s">
        <v>3229</v>
      </c>
    </row>
    <row r="1226" spans="1:29" x14ac:dyDescent="0.25">
      <c r="A1226" t="s">
        <v>2483</v>
      </c>
      <c r="B1226" t="s">
        <v>254</v>
      </c>
      <c r="C1226" t="s">
        <v>436</v>
      </c>
      <c r="D1226" t="s">
        <v>3713</v>
      </c>
      <c r="E1226" t="s">
        <v>3761</v>
      </c>
      <c r="F1226">
        <v>10000000</v>
      </c>
      <c r="G1226" t="s">
        <v>9349</v>
      </c>
      <c r="H1226" t="s">
        <v>241</v>
      </c>
      <c r="I1226" t="s">
        <v>242</v>
      </c>
      <c r="J1226" t="s">
        <v>242</v>
      </c>
      <c r="K1226" t="s">
        <v>242</v>
      </c>
      <c r="L1226" t="s">
        <v>241</v>
      </c>
      <c r="M1226">
        <v>38.668199999999999</v>
      </c>
      <c r="N1226">
        <v>-122.8552</v>
      </c>
      <c r="O1226">
        <v>0</v>
      </c>
      <c r="P1226">
        <v>0</v>
      </c>
      <c r="Q1226">
        <v>0</v>
      </c>
      <c r="R1226">
        <v>0</v>
      </c>
      <c r="S1226">
        <v>0.06</v>
      </c>
      <c r="T1226">
        <v>1.1599999999999999</v>
      </c>
      <c r="U1226">
        <v>3.73</v>
      </c>
      <c r="V1226">
        <v>0.66</v>
      </c>
      <c r="W1226">
        <v>0.4</v>
      </c>
      <c r="X1226">
        <v>0.53</v>
      </c>
      <c r="Y1226">
        <v>0.03</v>
      </c>
      <c r="Z1226">
        <v>0</v>
      </c>
      <c r="AA1226" t="s">
        <v>9335</v>
      </c>
      <c r="AB1226" t="s">
        <v>242</v>
      </c>
      <c r="AC1226" t="s">
        <v>3229</v>
      </c>
    </row>
    <row r="1227" spans="1:29" x14ac:dyDescent="0.25">
      <c r="A1227" t="s">
        <v>2492</v>
      </c>
      <c r="B1227" t="s">
        <v>254</v>
      </c>
      <c r="C1227" t="s">
        <v>308</v>
      </c>
      <c r="D1227" t="s">
        <v>3713</v>
      </c>
      <c r="E1227" t="s">
        <v>3761</v>
      </c>
      <c r="F1227">
        <v>10000000</v>
      </c>
      <c r="G1227" t="s">
        <v>9349</v>
      </c>
      <c r="H1227" t="s">
        <v>242</v>
      </c>
      <c r="I1227" t="s">
        <v>242</v>
      </c>
      <c r="J1227" t="s">
        <v>242</v>
      </c>
      <c r="K1227" t="s">
        <v>242</v>
      </c>
      <c r="L1227" t="s">
        <v>241</v>
      </c>
      <c r="M1227">
        <v>38.6389</v>
      </c>
      <c r="N1227">
        <v>-122.6478</v>
      </c>
      <c r="O1227">
        <v>0.26</v>
      </c>
      <c r="P1227">
        <v>0.16</v>
      </c>
      <c r="Q1227">
        <v>0.33</v>
      </c>
      <c r="R1227">
        <v>0.4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2.5299999999999998</v>
      </c>
      <c r="Z1227">
        <v>0.63</v>
      </c>
      <c r="AA1227" t="s">
        <v>9342</v>
      </c>
      <c r="AB1227" t="s">
        <v>242</v>
      </c>
      <c r="AC1227" t="s">
        <v>3229</v>
      </c>
    </row>
    <row r="1228" spans="1:29" x14ac:dyDescent="0.25">
      <c r="A1228" t="s">
        <v>2493</v>
      </c>
      <c r="B1228" t="s">
        <v>254</v>
      </c>
      <c r="C1228" t="s">
        <v>317</v>
      </c>
      <c r="D1228" t="s">
        <v>3713</v>
      </c>
      <c r="E1228" t="s">
        <v>3761</v>
      </c>
      <c r="F1228">
        <v>10000000</v>
      </c>
      <c r="G1228" t="s">
        <v>9349</v>
      </c>
      <c r="H1228" t="s">
        <v>242</v>
      </c>
      <c r="I1228" t="s">
        <v>242</v>
      </c>
      <c r="J1228" t="s">
        <v>242</v>
      </c>
      <c r="K1228" t="s">
        <v>242</v>
      </c>
      <c r="L1228" t="s">
        <v>241</v>
      </c>
      <c r="M1228">
        <v>39.300600000000003</v>
      </c>
      <c r="N1228">
        <v>-123.21259999999999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7.6666670000000003E-3</v>
      </c>
      <c r="U1228">
        <v>7.6666670000000003E-3</v>
      </c>
      <c r="V1228">
        <v>0.01</v>
      </c>
      <c r="W1228">
        <v>7.6666670000000003E-3</v>
      </c>
      <c r="X1228">
        <v>7.6666670000000003E-3</v>
      </c>
      <c r="Y1228">
        <v>5.0000000000000001E-3</v>
      </c>
      <c r="Z1228">
        <v>0</v>
      </c>
      <c r="AA1228" t="s">
        <v>9335</v>
      </c>
      <c r="AB1228" t="s">
        <v>242</v>
      </c>
      <c r="AC1228" t="s">
        <v>3213</v>
      </c>
    </row>
    <row r="1229" spans="1:29" x14ac:dyDescent="0.25">
      <c r="A1229" t="s">
        <v>2494</v>
      </c>
      <c r="B1229" t="s">
        <v>254</v>
      </c>
      <c r="C1229" t="s">
        <v>317</v>
      </c>
      <c r="D1229" t="s">
        <v>3713</v>
      </c>
      <c r="E1229" t="s">
        <v>3761</v>
      </c>
      <c r="F1229">
        <v>10000000</v>
      </c>
      <c r="G1229" t="s">
        <v>9349</v>
      </c>
      <c r="H1229" t="s">
        <v>242</v>
      </c>
      <c r="I1229" t="s">
        <v>242</v>
      </c>
      <c r="J1229" t="s">
        <v>242</v>
      </c>
      <c r="K1229" t="s">
        <v>242</v>
      </c>
      <c r="L1229" t="s">
        <v>241</v>
      </c>
      <c r="M1229">
        <v>39.300600000000003</v>
      </c>
      <c r="N1229">
        <v>-123.21250000000001</v>
      </c>
      <c r="O1229">
        <v>0.01</v>
      </c>
      <c r="P1229">
        <v>0.01</v>
      </c>
      <c r="Q1229">
        <v>0.01</v>
      </c>
      <c r="R1229">
        <v>0.01</v>
      </c>
      <c r="S1229">
        <v>0.01</v>
      </c>
      <c r="T1229">
        <v>0.01</v>
      </c>
      <c r="U1229">
        <v>0.01</v>
      </c>
      <c r="V1229">
        <v>0.01</v>
      </c>
      <c r="W1229">
        <v>0.01</v>
      </c>
      <c r="X1229">
        <v>0.01</v>
      </c>
      <c r="Y1229">
        <v>0.01</v>
      </c>
      <c r="Z1229">
        <v>0.01</v>
      </c>
      <c r="AA1229" t="s">
        <v>9335</v>
      </c>
      <c r="AB1229" t="s">
        <v>242</v>
      </c>
      <c r="AC1229" t="s">
        <v>3213</v>
      </c>
    </row>
    <row r="1230" spans="1:29" x14ac:dyDescent="0.25">
      <c r="A1230" t="s">
        <v>2496</v>
      </c>
      <c r="B1230" t="s">
        <v>254</v>
      </c>
      <c r="C1230" t="s">
        <v>317</v>
      </c>
      <c r="D1230" t="s">
        <v>3713</v>
      </c>
      <c r="E1230" t="s">
        <v>3761</v>
      </c>
      <c r="F1230">
        <v>10000000</v>
      </c>
      <c r="G1230" t="s">
        <v>9349</v>
      </c>
      <c r="H1230" t="s">
        <v>242</v>
      </c>
      <c r="I1230" t="s">
        <v>242</v>
      </c>
      <c r="J1230" t="s">
        <v>242</v>
      </c>
      <c r="K1230" t="s">
        <v>242</v>
      </c>
      <c r="L1230" t="s">
        <v>241</v>
      </c>
      <c r="M1230">
        <v>39.272100000000002</v>
      </c>
      <c r="N1230">
        <v>-123.2636</v>
      </c>
      <c r="O1230">
        <v>4.8</v>
      </c>
      <c r="P1230">
        <v>5.4</v>
      </c>
      <c r="Q1230">
        <v>4.4000000000000004</v>
      </c>
      <c r="R1230">
        <v>3.33</v>
      </c>
      <c r="S1230">
        <v>3.33</v>
      </c>
      <c r="T1230">
        <v>3.33</v>
      </c>
      <c r="U1230">
        <v>3.76</v>
      </c>
      <c r="V1230">
        <v>2.73</v>
      </c>
      <c r="W1230">
        <v>1.9</v>
      </c>
      <c r="X1230">
        <v>1.83</v>
      </c>
      <c r="Y1230">
        <v>1.83</v>
      </c>
      <c r="Z1230">
        <v>1.96</v>
      </c>
      <c r="AA1230" t="s">
        <v>9335</v>
      </c>
      <c r="AB1230" t="s">
        <v>242</v>
      </c>
      <c r="AC1230" t="s">
        <v>3213</v>
      </c>
    </row>
    <row r="1231" spans="1:29" x14ac:dyDescent="0.25">
      <c r="A1231" t="s">
        <v>135</v>
      </c>
      <c r="B1231" t="s">
        <v>254</v>
      </c>
      <c r="C1231" t="s">
        <v>331</v>
      </c>
      <c r="D1231" t="s">
        <v>3713</v>
      </c>
      <c r="E1231" t="s">
        <v>3761</v>
      </c>
      <c r="F1231">
        <v>10000000</v>
      </c>
      <c r="G1231" t="s">
        <v>9349</v>
      </c>
      <c r="H1231" t="s">
        <v>241</v>
      </c>
      <c r="I1231" t="s">
        <v>242</v>
      </c>
      <c r="J1231" t="s">
        <v>242</v>
      </c>
      <c r="K1231" t="s">
        <v>242</v>
      </c>
      <c r="L1231" t="s">
        <v>241</v>
      </c>
      <c r="M1231">
        <v>39.188000000000002</v>
      </c>
      <c r="N1231">
        <v>-123.2002</v>
      </c>
      <c r="O1231">
        <v>7.06</v>
      </c>
      <c r="P1231">
        <v>4.84</v>
      </c>
      <c r="Q1231">
        <v>6.43</v>
      </c>
      <c r="R1231">
        <v>23.74</v>
      </c>
      <c r="S1231">
        <v>33.67</v>
      </c>
      <c r="T1231">
        <v>44.32</v>
      </c>
      <c r="U1231">
        <v>19.21</v>
      </c>
      <c r="V1231">
        <v>10.119999999999999</v>
      </c>
      <c r="W1231">
        <v>10.119999999999999</v>
      </c>
      <c r="X1231">
        <v>0</v>
      </c>
      <c r="Y1231">
        <v>1.1000000000000001</v>
      </c>
      <c r="Z1231">
        <v>9.09</v>
      </c>
      <c r="AA1231" t="s">
        <v>9337</v>
      </c>
      <c r="AB1231" t="s">
        <v>242</v>
      </c>
      <c r="AC1231" t="s">
        <v>3213</v>
      </c>
    </row>
    <row r="1232" spans="1:29" x14ac:dyDescent="0.25">
      <c r="A1232" t="s">
        <v>2497</v>
      </c>
      <c r="B1232" t="s">
        <v>254</v>
      </c>
      <c r="C1232" t="s">
        <v>319</v>
      </c>
      <c r="D1232" t="s">
        <v>3713</v>
      </c>
      <c r="E1232" t="s">
        <v>3761</v>
      </c>
      <c r="F1232">
        <v>10000000</v>
      </c>
      <c r="G1232" t="s">
        <v>9349</v>
      </c>
      <c r="H1232" t="s">
        <v>241</v>
      </c>
      <c r="I1232" t="s">
        <v>242</v>
      </c>
      <c r="J1232" t="s">
        <v>242</v>
      </c>
      <c r="K1232" t="s">
        <v>242</v>
      </c>
      <c r="L1232" t="s">
        <v>241</v>
      </c>
      <c r="M1232">
        <v>39.0199</v>
      </c>
      <c r="N1232">
        <v>-123.12739999999999</v>
      </c>
      <c r="O1232">
        <v>0</v>
      </c>
      <c r="P1232">
        <v>0</v>
      </c>
      <c r="Q1232">
        <v>2.71</v>
      </c>
      <c r="R1232">
        <v>0.13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 t="s">
        <v>9335</v>
      </c>
      <c r="AB1232" t="s">
        <v>242</v>
      </c>
      <c r="AC1232" t="s">
        <v>3213</v>
      </c>
    </row>
    <row r="1233" spans="1:29" x14ac:dyDescent="0.25">
      <c r="A1233" t="s">
        <v>2499</v>
      </c>
      <c r="B1233" t="s">
        <v>254</v>
      </c>
      <c r="C1233" t="s">
        <v>308</v>
      </c>
      <c r="D1233" t="s">
        <v>3713</v>
      </c>
      <c r="E1233" t="s">
        <v>3761</v>
      </c>
      <c r="F1233">
        <v>10000000</v>
      </c>
      <c r="G1233" t="s">
        <v>9349</v>
      </c>
      <c r="H1233" t="s">
        <v>242</v>
      </c>
      <c r="I1233" t="s">
        <v>242</v>
      </c>
      <c r="J1233" t="s">
        <v>242</v>
      </c>
      <c r="K1233" t="s">
        <v>242</v>
      </c>
      <c r="L1233" t="s">
        <v>241</v>
      </c>
      <c r="M1233">
        <v>38.644300000000001</v>
      </c>
      <c r="N1233">
        <v>-122.724</v>
      </c>
      <c r="O1233">
        <v>0.1</v>
      </c>
      <c r="P1233">
        <v>0.1</v>
      </c>
      <c r="Q1233">
        <v>0.1</v>
      </c>
      <c r="R1233">
        <v>0.1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1.25</v>
      </c>
      <c r="Y1233">
        <v>1.35</v>
      </c>
      <c r="Z1233">
        <v>0.1</v>
      </c>
      <c r="AA1233" t="s">
        <v>9335</v>
      </c>
      <c r="AB1233" t="s">
        <v>242</v>
      </c>
      <c r="AC1233" t="s">
        <v>3229</v>
      </c>
    </row>
    <row r="1234" spans="1:29" x14ac:dyDescent="0.25">
      <c r="A1234" t="s">
        <v>2500</v>
      </c>
      <c r="B1234" t="s">
        <v>254</v>
      </c>
      <c r="C1234" t="s">
        <v>319</v>
      </c>
      <c r="D1234" t="s">
        <v>3713</v>
      </c>
      <c r="E1234" t="s">
        <v>3761</v>
      </c>
      <c r="F1234">
        <v>10000000</v>
      </c>
      <c r="G1234" t="s">
        <v>9349</v>
      </c>
      <c r="H1234" t="s">
        <v>242</v>
      </c>
      <c r="I1234" t="s">
        <v>242</v>
      </c>
      <c r="J1234" t="s">
        <v>242</v>
      </c>
      <c r="K1234" t="s">
        <v>242</v>
      </c>
      <c r="L1234" t="s">
        <v>241</v>
      </c>
      <c r="M1234">
        <v>38.983899999999998</v>
      </c>
      <c r="N1234">
        <v>-123.12350000000001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 t="s">
        <v>9335</v>
      </c>
      <c r="AB1234" t="s">
        <v>242</v>
      </c>
      <c r="AC1234" t="s">
        <v>3213</v>
      </c>
    </row>
    <row r="1235" spans="1:29" x14ac:dyDescent="0.25">
      <c r="A1235" t="s">
        <v>2501</v>
      </c>
      <c r="B1235" t="s">
        <v>254</v>
      </c>
      <c r="C1235" t="s">
        <v>311</v>
      </c>
      <c r="D1235" t="s">
        <v>3713</v>
      </c>
      <c r="E1235" t="s">
        <v>3761</v>
      </c>
      <c r="F1235">
        <v>10000000</v>
      </c>
      <c r="G1235" t="s">
        <v>9349</v>
      </c>
      <c r="H1235" t="s">
        <v>242</v>
      </c>
      <c r="I1235" t="s">
        <v>242</v>
      </c>
      <c r="J1235" t="s">
        <v>242</v>
      </c>
      <c r="K1235" t="s">
        <v>242</v>
      </c>
      <c r="L1235" t="s">
        <v>241</v>
      </c>
      <c r="M1235">
        <v>38.610500000000002</v>
      </c>
      <c r="N1235">
        <v>-122.75230000000001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 t="s">
        <v>9341</v>
      </c>
      <c r="AB1235" t="s">
        <v>242</v>
      </c>
      <c r="AC1235" t="s">
        <v>3229</v>
      </c>
    </row>
    <row r="1236" spans="1:29" x14ac:dyDescent="0.25">
      <c r="A1236" t="s">
        <v>2502</v>
      </c>
      <c r="B1236" t="s">
        <v>254</v>
      </c>
      <c r="C1236" t="s">
        <v>311</v>
      </c>
      <c r="D1236" t="s">
        <v>3713</v>
      </c>
      <c r="E1236" t="s">
        <v>3761</v>
      </c>
      <c r="F1236">
        <v>10000000</v>
      </c>
      <c r="G1236" t="s">
        <v>9349</v>
      </c>
      <c r="H1236" t="s">
        <v>242</v>
      </c>
      <c r="I1236" t="s">
        <v>242</v>
      </c>
      <c r="J1236" t="s">
        <v>242</v>
      </c>
      <c r="K1236" t="s">
        <v>242</v>
      </c>
      <c r="L1236" t="s">
        <v>241</v>
      </c>
      <c r="M1236">
        <v>38.610399999999998</v>
      </c>
      <c r="N1236">
        <v>-122.75579999999999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 t="s">
        <v>9341</v>
      </c>
      <c r="AB1236" t="s">
        <v>242</v>
      </c>
      <c r="AC1236" t="s">
        <v>3229</v>
      </c>
    </row>
    <row r="1237" spans="1:29" x14ac:dyDescent="0.25">
      <c r="A1237" t="s">
        <v>57</v>
      </c>
      <c r="B1237" t="s">
        <v>254</v>
      </c>
      <c r="C1237" t="s">
        <v>333</v>
      </c>
      <c r="D1237" t="s">
        <v>3713</v>
      </c>
      <c r="E1237" t="s">
        <v>3761</v>
      </c>
      <c r="F1237">
        <v>10000000</v>
      </c>
      <c r="G1237" t="s">
        <v>9349</v>
      </c>
      <c r="H1237" t="s">
        <v>241</v>
      </c>
      <c r="I1237" t="s">
        <v>242</v>
      </c>
      <c r="J1237" t="s">
        <v>242</v>
      </c>
      <c r="K1237" t="s">
        <v>242</v>
      </c>
      <c r="L1237" t="s">
        <v>241</v>
      </c>
      <c r="M1237">
        <v>39.081699999999998</v>
      </c>
      <c r="N1237">
        <v>-123.16930000000001</v>
      </c>
      <c r="O1237">
        <v>0</v>
      </c>
      <c r="P1237">
        <v>0</v>
      </c>
      <c r="Q1237">
        <v>0.33</v>
      </c>
      <c r="R1237">
        <v>0.86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 t="s">
        <v>9335</v>
      </c>
      <c r="AB1237" t="s">
        <v>242</v>
      </c>
      <c r="AC1237" t="s">
        <v>3213</v>
      </c>
    </row>
    <row r="1238" spans="1:29" x14ac:dyDescent="0.25">
      <c r="A1238" t="s">
        <v>2503</v>
      </c>
      <c r="B1238" t="s">
        <v>254</v>
      </c>
      <c r="C1238" t="s">
        <v>317</v>
      </c>
      <c r="D1238" t="s">
        <v>3713</v>
      </c>
      <c r="E1238" t="s">
        <v>3761</v>
      </c>
      <c r="F1238">
        <v>10000000</v>
      </c>
      <c r="G1238" t="s">
        <v>9349</v>
      </c>
      <c r="H1238" t="s">
        <v>242</v>
      </c>
      <c r="I1238" t="s">
        <v>242</v>
      </c>
      <c r="J1238" t="s">
        <v>242</v>
      </c>
      <c r="K1238" t="s">
        <v>242</v>
      </c>
      <c r="L1238" t="s">
        <v>241</v>
      </c>
      <c r="M1238">
        <v>39.197299999999998</v>
      </c>
      <c r="N1238">
        <v>-123.19589999999999</v>
      </c>
      <c r="O1238">
        <v>0</v>
      </c>
      <c r="P1238">
        <v>0</v>
      </c>
      <c r="Q1238">
        <v>7.0000000000000007E-2</v>
      </c>
      <c r="R1238">
        <v>0.39</v>
      </c>
      <c r="S1238">
        <v>0.15</v>
      </c>
      <c r="T1238">
        <v>0.57999999999999996</v>
      </c>
      <c r="U1238">
        <v>1.01</v>
      </c>
      <c r="V1238">
        <v>0.59</v>
      </c>
      <c r="W1238">
        <v>0.23</v>
      </c>
      <c r="X1238">
        <v>0</v>
      </c>
      <c r="Y1238">
        <v>0</v>
      </c>
      <c r="Z1238">
        <v>0</v>
      </c>
      <c r="AA1238" t="s">
        <v>9335</v>
      </c>
      <c r="AB1238" t="s">
        <v>242</v>
      </c>
      <c r="AC1238" t="s">
        <v>3213</v>
      </c>
    </row>
    <row r="1239" spans="1:29" x14ac:dyDescent="0.25">
      <c r="A1239" t="s">
        <v>2504</v>
      </c>
      <c r="B1239" t="s">
        <v>254</v>
      </c>
      <c r="C1239" t="s">
        <v>333</v>
      </c>
      <c r="D1239" t="s">
        <v>3713</v>
      </c>
      <c r="E1239" t="s">
        <v>3761</v>
      </c>
      <c r="F1239">
        <v>10000000</v>
      </c>
      <c r="G1239" t="s">
        <v>9349</v>
      </c>
      <c r="H1239" t="s">
        <v>242</v>
      </c>
      <c r="I1239" t="s">
        <v>242</v>
      </c>
      <c r="J1239" t="s">
        <v>242</v>
      </c>
      <c r="K1239" t="s">
        <v>242</v>
      </c>
      <c r="L1239" t="s">
        <v>241</v>
      </c>
      <c r="M1239">
        <v>39.082500000000003</v>
      </c>
      <c r="N1239">
        <v>-123.1895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 t="s">
        <v>9343</v>
      </c>
      <c r="AB1239" t="s">
        <v>242</v>
      </c>
      <c r="AC1239" t="s">
        <v>3213</v>
      </c>
    </row>
    <row r="1240" spans="1:29" x14ac:dyDescent="0.25">
      <c r="A1240" t="s">
        <v>2506</v>
      </c>
      <c r="B1240" t="s">
        <v>254</v>
      </c>
      <c r="C1240" t="s">
        <v>317</v>
      </c>
      <c r="D1240" t="s">
        <v>3713</v>
      </c>
      <c r="E1240" t="s">
        <v>3761</v>
      </c>
      <c r="F1240">
        <v>10000000</v>
      </c>
      <c r="G1240" t="s">
        <v>9349</v>
      </c>
      <c r="H1240" t="s">
        <v>242</v>
      </c>
      <c r="I1240" t="s">
        <v>242</v>
      </c>
      <c r="J1240" t="s">
        <v>242</v>
      </c>
      <c r="K1240" t="s">
        <v>242</v>
      </c>
      <c r="L1240" t="s">
        <v>241</v>
      </c>
      <c r="M1240">
        <v>39.230899999999998</v>
      </c>
      <c r="N1240">
        <v>-123.2075</v>
      </c>
      <c r="O1240">
        <v>0.16</v>
      </c>
      <c r="P1240">
        <v>0.08</v>
      </c>
      <c r="Q1240">
        <v>0.08</v>
      </c>
      <c r="R1240">
        <v>0.08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 t="s">
        <v>9343</v>
      </c>
      <c r="AB1240" t="s">
        <v>242</v>
      </c>
      <c r="AC1240" t="s">
        <v>3213</v>
      </c>
    </row>
    <row r="1241" spans="1:29" x14ac:dyDescent="0.25">
      <c r="A1241" t="s">
        <v>1848</v>
      </c>
      <c r="B1241" t="s">
        <v>254</v>
      </c>
      <c r="C1241" t="s">
        <v>317</v>
      </c>
      <c r="D1241" t="s">
        <v>3713</v>
      </c>
      <c r="E1241" t="s">
        <v>3761</v>
      </c>
      <c r="F1241">
        <v>18560101</v>
      </c>
      <c r="G1241" t="s">
        <v>9348</v>
      </c>
      <c r="H1241" t="s">
        <v>242</v>
      </c>
      <c r="I1241" t="s">
        <v>241</v>
      </c>
      <c r="J1241" t="s">
        <v>242</v>
      </c>
      <c r="K1241" t="s">
        <v>242</v>
      </c>
      <c r="L1241" t="s">
        <v>242</v>
      </c>
      <c r="M1241">
        <v>39.2042</v>
      </c>
      <c r="N1241">
        <v>-123.2122</v>
      </c>
      <c r="O1241">
        <v>0</v>
      </c>
      <c r="P1241">
        <v>0</v>
      </c>
      <c r="Q1241">
        <v>0</v>
      </c>
      <c r="R1241">
        <v>0</v>
      </c>
      <c r="S1241">
        <v>1.5343329999999999E-3</v>
      </c>
      <c r="T1241">
        <v>1.5343329999999999E-3</v>
      </c>
      <c r="U1241">
        <v>0.03</v>
      </c>
      <c r="V1241">
        <v>0.03</v>
      </c>
      <c r="W1241">
        <v>1.5343329999999999E-3</v>
      </c>
      <c r="X1241">
        <v>0</v>
      </c>
      <c r="Y1241">
        <v>0</v>
      </c>
      <c r="Z1241">
        <v>0</v>
      </c>
      <c r="AA1241" t="s">
        <v>9335</v>
      </c>
      <c r="AB1241" t="s">
        <v>242</v>
      </c>
      <c r="AC1241" t="s">
        <v>3213</v>
      </c>
    </row>
    <row r="1242" spans="1:29" x14ac:dyDescent="0.25">
      <c r="A1242" t="s">
        <v>2509</v>
      </c>
      <c r="B1242" t="s">
        <v>254</v>
      </c>
      <c r="C1242" t="s">
        <v>331</v>
      </c>
      <c r="D1242" t="s">
        <v>3713</v>
      </c>
      <c r="E1242" t="s">
        <v>3761</v>
      </c>
      <c r="F1242">
        <v>10000000</v>
      </c>
      <c r="G1242" t="s">
        <v>9349</v>
      </c>
      <c r="H1242" t="s">
        <v>241</v>
      </c>
      <c r="I1242" t="s">
        <v>242</v>
      </c>
      <c r="J1242" t="s">
        <v>242</v>
      </c>
      <c r="K1242" t="s">
        <v>242</v>
      </c>
      <c r="L1242" t="s">
        <v>241</v>
      </c>
      <c r="M1242">
        <v>39.142200000000003</v>
      </c>
      <c r="N1242">
        <v>-123.18380000000001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20.66</v>
      </c>
      <c r="V1242">
        <v>17</v>
      </c>
      <c r="W1242">
        <v>4.33</v>
      </c>
      <c r="X1242">
        <v>0</v>
      </c>
      <c r="Y1242">
        <v>0</v>
      </c>
      <c r="Z1242">
        <v>0</v>
      </c>
      <c r="AA1242" t="s">
        <v>9335</v>
      </c>
      <c r="AB1242" t="s">
        <v>242</v>
      </c>
      <c r="AC1242" t="s">
        <v>3213</v>
      </c>
    </row>
    <row r="1243" spans="1:29" x14ac:dyDescent="0.25">
      <c r="A1243" t="s">
        <v>1779</v>
      </c>
      <c r="B1243" t="s">
        <v>254</v>
      </c>
      <c r="C1243" t="s">
        <v>317</v>
      </c>
      <c r="D1243" t="s">
        <v>3713</v>
      </c>
      <c r="E1243" t="s">
        <v>3761</v>
      </c>
      <c r="F1243">
        <v>19090101</v>
      </c>
      <c r="G1243" t="s">
        <v>9348</v>
      </c>
      <c r="H1243" t="s">
        <v>242</v>
      </c>
      <c r="I1243" t="s">
        <v>241</v>
      </c>
      <c r="J1243" t="s">
        <v>242</v>
      </c>
      <c r="K1243" t="s">
        <v>242</v>
      </c>
      <c r="L1243" t="s">
        <v>242</v>
      </c>
      <c r="M1243">
        <v>39.280500000000004</v>
      </c>
      <c r="N1243">
        <v>-123.2093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 t="s">
        <v>9335</v>
      </c>
      <c r="AB1243" t="s">
        <v>242</v>
      </c>
      <c r="AC1243" t="s">
        <v>3213</v>
      </c>
    </row>
    <row r="1244" spans="1:29" x14ac:dyDescent="0.25">
      <c r="A1244" t="s">
        <v>2511</v>
      </c>
      <c r="B1244" t="s">
        <v>254</v>
      </c>
      <c r="C1244" t="s">
        <v>331</v>
      </c>
      <c r="D1244" t="s">
        <v>3713</v>
      </c>
      <c r="E1244" t="s">
        <v>3761</v>
      </c>
      <c r="F1244">
        <v>10000000</v>
      </c>
      <c r="G1244" t="s">
        <v>9349</v>
      </c>
      <c r="H1244" t="s">
        <v>241</v>
      </c>
      <c r="I1244" t="s">
        <v>242</v>
      </c>
      <c r="J1244" t="s">
        <v>242</v>
      </c>
      <c r="K1244" t="s">
        <v>242</v>
      </c>
      <c r="L1244" t="s">
        <v>241</v>
      </c>
      <c r="M1244">
        <v>39.142200000000003</v>
      </c>
      <c r="N1244">
        <v>-123.18380000000001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5.66</v>
      </c>
      <c r="V1244">
        <v>4.33</v>
      </c>
      <c r="W1244">
        <v>1.33</v>
      </c>
      <c r="X1244">
        <v>0</v>
      </c>
      <c r="Y1244">
        <v>0</v>
      </c>
      <c r="Z1244">
        <v>0</v>
      </c>
      <c r="AA1244" t="s">
        <v>9335</v>
      </c>
      <c r="AB1244" t="s">
        <v>242</v>
      </c>
      <c r="AC1244" t="s">
        <v>3213</v>
      </c>
    </row>
    <row r="1245" spans="1:29" x14ac:dyDescent="0.25">
      <c r="A1245" t="s">
        <v>2512</v>
      </c>
      <c r="B1245" t="s">
        <v>254</v>
      </c>
      <c r="C1245" t="s">
        <v>331</v>
      </c>
      <c r="D1245" t="s">
        <v>3713</v>
      </c>
      <c r="E1245" t="s">
        <v>3761</v>
      </c>
      <c r="F1245">
        <v>10000000</v>
      </c>
      <c r="G1245" t="s">
        <v>9349</v>
      </c>
      <c r="H1245" t="s">
        <v>241</v>
      </c>
      <c r="I1245" t="s">
        <v>242</v>
      </c>
      <c r="J1245" t="s">
        <v>242</v>
      </c>
      <c r="K1245" t="s">
        <v>242</v>
      </c>
      <c r="L1245" t="s">
        <v>241</v>
      </c>
      <c r="M1245">
        <v>39.142299999999999</v>
      </c>
      <c r="N1245">
        <v>-123.1807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 t="s">
        <v>9335</v>
      </c>
      <c r="AB1245" t="s">
        <v>242</v>
      </c>
      <c r="AC1245" t="s">
        <v>3213</v>
      </c>
    </row>
    <row r="1246" spans="1:29" x14ac:dyDescent="0.25">
      <c r="A1246" t="s">
        <v>2513</v>
      </c>
      <c r="B1246" t="s">
        <v>254</v>
      </c>
      <c r="C1246" t="s">
        <v>317</v>
      </c>
      <c r="D1246" t="s">
        <v>3713</v>
      </c>
      <c r="E1246" t="s">
        <v>3761</v>
      </c>
      <c r="F1246">
        <v>10000000</v>
      </c>
      <c r="G1246" t="s">
        <v>9349</v>
      </c>
      <c r="H1246" t="s">
        <v>242</v>
      </c>
      <c r="I1246" t="s">
        <v>242</v>
      </c>
      <c r="J1246" t="s">
        <v>242</v>
      </c>
      <c r="K1246" t="s">
        <v>242</v>
      </c>
      <c r="L1246" t="s">
        <v>241</v>
      </c>
      <c r="M1246">
        <v>39.278799999999997</v>
      </c>
      <c r="N1246">
        <v>-123.2246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 t="s">
        <v>9335</v>
      </c>
      <c r="AB1246" t="s">
        <v>242</v>
      </c>
      <c r="AC1246" t="s">
        <v>3213</v>
      </c>
    </row>
    <row r="1247" spans="1:29" x14ac:dyDescent="0.25">
      <c r="A1247" t="s">
        <v>1874</v>
      </c>
      <c r="B1247" t="s">
        <v>254</v>
      </c>
      <c r="C1247" t="s">
        <v>348</v>
      </c>
      <c r="D1247" t="s">
        <v>3713</v>
      </c>
      <c r="E1247" t="s">
        <v>3761</v>
      </c>
      <c r="F1247">
        <v>10000000</v>
      </c>
      <c r="G1247" t="s">
        <v>9349</v>
      </c>
      <c r="H1247" t="s">
        <v>242</v>
      </c>
      <c r="I1247" t="s">
        <v>242</v>
      </c>
      <c r="J1247" t="s">
        <v>242</v>
      </c>
      <c r="K1247" t="s">
        <v>242</v>
      </c>
      <c r="L1247" t="s">
        <v>241</v>
      </c>
      <c r="M1247">
        <v>39.267200000000003</v>
      </c>
      <c r="N1247">
        <v>-123.09480000000001</v>
      </c>
      <c r="O1247">
        <v>0</v>
      </c>
      <c r="P1247">
        <v>0</v>
      </c>
      <c r="Q1247">
        <v>0</v>
      </c>
      <c r="R1247">
        <v>1E-3</v>
      </c>
      <c r="S1247">
        <v>0.01</v>
      </c>
      <c r="T1247">
        <v>0.02</v>
      </c>
      <c r="U1247">
        <v>0.06</v>
      </c>
      <c r="V1247">
        <v>7.0000000000000007E-2</v>
      </c>
      <c r="W1247">
        <v>0.06</v>
      </c>
      <c r="X1247">
        <v>0.04</v>
      </c>
      <c r="Y1247">
        <v>0</v>
      </c>
      <c r="Z1247">
        <v>0</v>
      </c>
      <c r="AA1247" t="s">
        <v>9335</v>
      </c>
      <c r="AB1247" t="s">
        <v>242</v>
      </c>
      <c r="AC1247" t="s">
        <v>3213</v>
      </c>
    </row>
    <row r="1248" spans="1:29" x14ac:dyDescent="0.25">
      <c r="A1248" t="s">
        <v>1872</v>
      </c>
      <c r="B1248" t="s">
        <v>254</v>
      </c>
      <c r="C1248" t="s">
        <v>348</v>
      </c>
      <c r="D1248" t="s">
        <v>3713</v>
      </c>
      <c r="E1248" t="s">
        <v>3761</v>
      </c>
      <c r="F1248">
        <v>10000000</v>
      </c>
      <c r="G1248" t="s">
        <v>9349</v>
      </c>
      <c r="H1248" t="s">
        <v>242</v>
      </c>
      <c r="I1248" t="s">
        <v>242</v>
      </c>
      <c r="J1248" t="s">
        <v>242</v>
      </c>
      <c r="K1248" t="s">
        <v>242</v>
      </c>
      <c r="L1248" t="s">
        <v>241</v>
      </c>
      <c r="M1248">
        <v>39.270000000000003</v>
      </c>
      <c r="N1248">
        <v>-123.101</v>
      </c>
      <c r="O1248">
        <v>3.33333E-4</v>
      </c>
      <c r="P1248">
        <v>6.6666700000000002E-4</v>
      </c>
      <c r="Q1248">
        <v>3.333333E-3</v>
      </c>
      <c r="R1248">
        <v>6.6666670000000003E-3</v>
      </c>
      <c r="S1248">
        <v>0.1</v>
      </c>
      <c r="T1248">
        <v>7.0000000000000007E-2</v>
      </c>
      <c r="U1248">
        <v>0.17</v>
      </c>
      <c r="V1248">
        <v>0.17</v>
      </c>
      <c r="W1248">
        <v>0.27</v>
      </c>
      <c r="X1248">
        <v>0.11</v>
      </c>
      <c r="Y1248">
        <v>0.03</v>
      </c>
      <c r="Z1248">
        <v>0.03</v>
      </c>
      <c r="AA1248" t="s">
        <v>9335</v>
      </c>
      <c r="AB1248" t="s">
        <v>242</v>
      </c>
      <c r="AC1248" t="s">
        <v>3213</v>
      </c>
    </row>
    <row r="1249" spans="1:29" x14ac:dyDescent="0.25">
      <c r="A1249" t="s">
        <v>2514</v>
      </c>
      <c r="B1249" t="s">
        <v>254</v>
      </c>
      <c r="C1249" t="s">
        <v>319</v>
      </c>
      <c r="D1249" t="s">
        <v>3713</v>
      </c>
      <c r="E1249" t="s">
        <v>3761</v>
      </c>
      <c r="F1249">
        <v>10000000</v>
      </c>
      <c r="G1249" t="s">
        <v>9349</v>
      </c>
      <c r="H1249" t="s">
        <v>242</v>
      </c>
      <c r="I1249" t="s">
        <v>242</v>
      </c>
      <c r="J1249" t="s">
        <v>242</v>
      </c>
      <c r="K1249" t="s">
        <v>242</v>
      </c>
      <c r="L1249" t="s">
        <v>241</v>
      </c>
      <c r="M1249">
        <v>39.017600000000002</v>
      </c>
      <c r="N1249">
        <v>-123.1399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 t="s">
        <v>9335</v>
      </c>
      <c r="AB1249" t="s">
        <v>242</v>
      </c>
      <c r="AC1249" t="s">
        <v>3213</v>
      </c>
    </row>
    <row r="1250" spans="1:29" x14ac:dyDescent="0.25">
      <c r="A1250" t="s">
        <v>2516</v>
      </c>
      <c r="B1250" t="s">
        <v>254</v>
      </c>
      <c r="C1250" t="s">
        <v>319</v>
      </c>
      <c r="D1250" t="s">
        <v>3713</v>
      </c>
      <c r="E1250" t="s">
        <v>3761</v>
      </c>
      <c r="F1250">
        <v>10000000</v>
      </c>
      <c r="G1250" t="s">
        <v>9349</v>
      </c>
      <c r="H1250" t="s">
        <v>242</v>
      </c>
      <c r="I1250" t="s">
        <v>242</v>
      </c>
      <c r="J1250" t="s">
        <v>242</v>
      </c>
      <c r="K1250" t="s">
        <v>242</v>
      </c>
      <c r="L1250" t="s">
        <v>241</v>
      </c>
      <c r="M1250">
        <v>39.011853189999997</v>
      </c>
      <c r="N1250">
        <v>-123.1415341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 t="s">
        <v>9335</v>
      </c>
      <c r="AB1250" t="s">
        <v>242</v>
      </c>
      <c r="AC1250" t="s">
        <v>3213</v>
      </c>
    </row>
    <row r="1251" spans="1:29" x14ac:dyDescent="0.25">
      <c r="A1251" t="s">
        <v>2517</v>
      </c>
      <c r="B1251" t="s">
        <v>254</v>
      </c>
      <c r="C1251" t="s">
        <v>319</v>
      </c>
      <c r="D1251" t="s">
        <v>3713</v>
      </c>
      <c r="E1251" t="s">
        <v>3761</v>
      </c>
      <c r="F1251">
        <v>10000000</v>
      </c>
      <c r="G1251" t="s">
        <v>9349</v>
      </c>
      <c r="H1251" t="s">
        <v>242</v>
      </c>
      <c r="I1251" t="s">
        <v>242</v>
      </c>
      <c r="J1251" t="s">
        <v>242</v>
      </c>
      <c r="K1251" t="s">
        <v>242</v>
      </c>
      <c r="L1251" t="s">
        <v>241</v>
      </c>
      <c r="M1251">
        <v>38.984699999999997</v>
      </c>
      <c r="N1251">
        <v>-123.1272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 t="s">
        <v>9335</v>
      </c>
      <c r="AB1251" t="s">
        <v>242</v>
      </c>
      <c r="AC1251" t="s">
        <v>3213</v>
      </c>
    </row>
    <row r="1252" spans="1:29" x14ac:dyDescent="0.25">
      <c r="A1252" t="s">
        <v>2518</v>
      </c>
      <c r="B1252" t="s">
        <v>254</v>
      </c>
      <c r="C1252" t="s">
        <v>319</v>
      </c>
      <c r="D1252" t="s">
        <v>3713</v>
      </c>
      <c r="E1252" t="s">
        <v>3761</v>
      </c>
      <c r="F1252">
        <v>10000000</v>
      </c>
      <c r="G1252" t="s">
        <v>9349</v>
      </c>
      <c r="H1252" t="s">
        <v>242</v>
      </c>
      <c r="I1252" t="s">
        <v>242</v>
      </c>
      <c r="J1252" t="s">
        <v>242</v>
      </c>
      <c r="K1252" t="s">
        <v>242</v>
      </c>
      <c r="L1252" t="s">
        <v>241</v>
      </c>
      <c r="M1252">
        <v>38.984000000000002</v>
      </c>
      <c r="N1252">
        <v>-123.12439999999999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 t="s">
        <v>9335</v>
      </c>
      <c r="AB1252" t="s">
        <v>242</v>
      </c>
      <c r="AC1252" t="s">
        <v>3213</v>
      </c>
    </row>
    <row r="1253" spans="1:29" x14ac:dyDescent="0.25">
      <c r="A1253" t="s">
        <v>2519</v>
      </c>
      <c r="B1253" t="s">
        <v>254</v>
      </c>
      <c r="C1253" t="s">
        <v>333</v>
      </c>
      <c r="D1253" t="s">
        <v>3713</v>
      </c>
      <c r="E1253" t="s">
        <v>3761</v>
      </c>
      <c r="F1253">
        <v>10000000</v>
      </c>
      <c r="G1253" t="s">
        <v>9349</v>
      </c>
      <c r="H1253" t="s">
        <v>242</v>
      </c>
      <c r="I1253" t="s">
        <v>242</v>
      </c>
      <c r="J1253" t="s">
        <v>242</v>
      </c>
      <c r="K1253" t="s">
        <v>242</v>
      </c>
      <c r="L1253" t="s">
        <v>241</v>
      </c>
      <c r="M1253">
        <v>39.1006</v>
      </c>
      <c r="N1253">
        <v>-123.18940000000001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 t="s">
        <v>9343</v>
      </c>
      <c r="AB1253" t="s">
        <v>242</v>
      </c>
      <c r="AC1253" t="s">
        <v>3213</v>
      </c>
    </row>
    <row r="1254" spans="1:29" x14ac:dyDescent="0.25">
      <c r="A1254" t="s">
        <v>2520</v>
      </c>
      <c r="B1254" t="s">
        <v>254</v>
      </c>
      <c r="C1254" t="s">
        <v>319</v>
      </c>
      <c r="D1254" t="s">
        <v>3713</v>
      </c>
      <c r="E1254" t="s">
        <v>3761</v>
      </c>
      <c r="F1254">
        <v>10000000</v>
      </c>
      <c r="G1254" t="s">
        <v>9349</v>
      </c>
      <c r="H1254" t="s">
        <v>242</v>
      </c>
      <c r="I1254" t="s">
        <v>242</v>
      </c>
      <c r="J1254" t="s">
        <v>242</v>
      </c>
      <c r="K1254" t="s">
        <v>242</v>
      </c>
      <c r="L1254" t="s">
        <v>241</v>
      </c>
      <c r="M1254">
        <v>38.979999999999997</v>
      </c>
      <c r="N1254">
        <v>-123.11360000000001</v>
      </c>
      <c r="O1254">
        <v>0</v>
      </c>
      <c r="P1254">
        <v>0</v>
      </c>
      <c r="Q1254">
        <v>0.04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 t="s">
        <v>9335</v>
      </c>
      <c r="AB1254" t="s">
        <v>242</v>
      </c>
      <c r="AC1254" t="s">
        <v>3213</v>
      </c>
    </row>
    <row r="1255" spans="1:29" x14ac:dyDescent="0.25">
      <c r="A1255" t="s">
        <v>2522</v>
      </c>
      <c r="B1255" t="s">
        <v>254</v>
      </c>
      <c r="C1255" t="s">
        <v>333</v>
      </c>
      <c r="D1255" t="s">
        <v>3713</v>
      </c>
      <c r="E1255" t="s">
        <v>3761</v>
      </c>
      <c r="F1255">
        <v>10000000</v>
      </c>
      <c r="G1255" t="s">
        <v>9349</v>
      </c>
      <c r="H1255" t="s">
        <v>242</v>
      </c>
      <c r="I1255" t="s">
        <v>242</v>
      </c>
      <c r="J1255" t="s">
        <v>242</v>
      </c>
      <c r="K1255" t="s">
        <v>242</v>
      </c>
      <c r="L1255" t="s">
        <v>241</v>
      </c>
      <c r="M1255">
        <v>39.093699999999998</v>
      </c>
      <c r="N1255">
        <v>-123.2443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4.4999999999999999E-4</v>
      </c>
      <c r="U1255">
        <v>0</v>
      </c>
      <c r="V1255">
        <v>3.5400000000000002E-3</v>
      </c>
      <c r="W1255">
        <v>0</v>
      </c>
      <c r="X1255">
        <v>0</v>
      </c>
      <c r="Y1255">
        <v>0</v>
      </c>
      <c r="Z1255">
        <v>0</v>
      </c>
      <c r="AA1255" t="s">
        <v>9335</v>
      </c>
      <c r="AB1255" t="s">
        <v>241</v>
      </c>
      <c r="AC1255" t="s">
        <v>3213</v>
      </c>
    </row>
    <row r="1256" spans="1:29" x14ac:dyDescent="0.25">
      <c r="A1256" t="s">
        <v>2523</v>
      </c>
      <c r="B1256" t="s">
        <v>254</v>
      </c>
      <c r="C1256" t="s">
        <v>436</v>
      </c>
      <c r="D1256" t="s">
        <v>3713</v>
      </c>
      <c r="E1256" t="s">
        <v>3761</v>
      </c>
      <c r="F1256">
        <v>10000000</v>
      </c>
      <c r="G1256" t="s">
        <v>9349</v>
      </c>
      <c r="H1256" t="s">
        <v>241</v>
      </c>
      <c r="I1256" t="s">
        <v>242</v>
      </c>
      <c r="J1256" t="s">
        <v>242</v>
      </c>
      <c r="K1256" t="s">
        <v>242</v>
      </c>
      <c r="L1256" t="s">
        <v>241</v>
      </c>
      <c r="M1256">
        <v>38.687600000000003</v>
      </c>
      <c r="N1256">
        <v>-122.86150000000001</v>
      </c>
      <c r="O1256">
        <v>0</v>
      </c>
      <c r="P1256">
        <v>1.2</v>
      </c>
      <c r="Q1256">
        <v>1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0.06</v>
      </c>
      <c r="Y1256">
        <v>1.36</v>
      </c>
      <c r="Z1256">
        <v>0</v>
      </c>
      <c r="AA1256" t="s">
        <v>9335</v>
      </c>
      <c r="AB1256" t="s">
        <v>242</v>
      </c>
      <c r="AC1256" t="s">
        <v>3229</v>
      </c>
    </row>
    <row r="1257" spans="1:29" x14ac:dyDescent="0.25">
      <c r="A1257" t="s">
        <v>2524</v>
      </c>
      <c r="B1257" t="s">
        <v>254</v>
      </c>
      <c r="C1257" t="s">
        <v>436</v>
      </c>
      <c r="D1257" t="s">
        <v>3713</v>
      </c>
      <c r="E1257" t="s">
        <v>3761</v>
      </c>
      <c r="F1257">
        <v>10000000</v>
      </c>
      <c r="G1257" t="s">
        <v>9349</v>
      </c>
      <c r="H1257" t="s">
        <v>241</v>
      </c>
      <c r="I1257" t="s">
        <v>242</v>
      </c>
      <c r="J1257" t="s">
        <v>242</v>
      </c>
      <c r="K1257" t="s">
        <v>242</v>
      </c>
      <c r="L1257" t="s">
        <v>241</v>
      </c>
      <c r="M1257">
        <v>38.695099999999996</v>
      </c>
      <c r="N1257">
        <v>-122.86279999999999</v>
      </c>
      <c r="O1257">
        <v>0</v>
      </c>
      <c r="P1257">
        <v>0.5</v>
      </c>
      <c r="Q1257">
        <v>1.5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0.06</v>
      </c>
      <c r="Y1257">
        <v>4.26</v>
      </c>
      <c r="Z1257">
        <v>0</v>
      </c>
      <c r="AA1257" t="s">
        <v>9335</v>
      </c>
      <c r="AB1257" t="s">
        <v>242</v>
      </c>
      <c r="AC1257" t="s">
        <v>3229</v>
      </c>
    </row>
    <row r="1258" spans="1:29" x14ac:dyDescent="0.25">
      <c r="A1258" t="s">
        <v>2525</v>
      </c>
      <c r="B1258" t="s">
        <v>254</v>
      </c>
      <c r="C1258" t="s">
        <v>436</v>
      </c>
      <c r="D1258" t="s">
        <v>3713</v>
      </c>
      <c r="E1258" t="s">
        <v>3761</v>
      </c>
      <c r="F1258">
        <v>10000000</v>
      </c>
      <c r="G1258" t="s">
        <v>9349</v>
      </c>
      <c r="H1258" t="s">
        <v>241</v>
      </c>
      <c r="I1258" t="s">
        <v>242</v>
      </c>
      <c r="J1258" t="s">
        <v>242</v>
      </c>
      <c r="K1258" t="s">
        <v>242</v>
      </c>
      <c r="L1258" t="s">
        <v>241</v>
      </c>
      <c r="M1258">
        <v>38.694299999999998</v>
      </c>
      <c r="N1258">
        <v>-122.8599</v>
      </c>
      <c r="O1258">
        <v>0</v>
      </c>
      <c r="P1258">
        <v>0.46</v>
      </c>
      <c r="Q1258">
        <v>1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0.16</v>
      </c>
      <c r="Y1258">
        <v>0.8</v>
      </c>
      <c r="Z1258">
        <v>0</v>
      </c>
      <c r="AA1258" t="s">
        <v>9335</v>
      </c>
      <c r="AB1258" t="s">
        <v>242</v>
      </c>
      <c r="AC1258" t="s">
        <v>3229</v>
      </c>
    </row>
    <row r="1259" spans="1:29" x14ac:dyDescent="0.25">
      <c r="A1259" t="s">
        <v>2526</v>
      </c>
      <c r="B1259" t="s">
        <v>254</v>
      </c>
      <c r="C1259" t="s">
        <v>436</v>
      </c>
      <c r="D1259" t="s">
        <v>3713</v>
      </c>
      <c r="E1259" t="s">
        <v>3761</v>
      </c>
      <c r="F1259">
        <v>10000000</v>
      </c>
      <c r="G1259" t="s">
        <v>9349</v>
      </c>
      <c r="H1259" t="s">
        <v>241</v>
      </c>
      <c r="I1259" t="s">
        <v>242</v>
      </c>
      <c r="J1259" t="s">
        <v>242</v>
      </c>
      <c r="K1259" t="s">
        <v>242</v>
      </c>
      <c r="L1259" t="s">
        <v>241</v>
      </c>
      <c r="M1259">
        <v>38.692900000000002</v>
      </c>
      <c r="N1259">
        <v>-122.86020000000001</v>
      </c>
      <c r="O1259">
        <v>0</v>
      </c>
      <c r="P1259">
        <v>0.33</v>
      </c>
      <c r="Q1259">
        <v>1.43</v>
      </c>
      <c r="R1259">
        <v>0</v>
      </c>
      <c r="S1259">
        <v>1.33</v>
      </c>
      <c r="T1259">
        <v>1.36</v>
      </c>
      <c r="U1259">
        <v>0.96</v>
      </c>
      <c r="V1259">
        <v>0.93</v>
      </c>
      <c r="W1259">
        <v>1.46</v>
      </c>
      <c r="X1259">
        <v>0.2</v>
      </c>
      <c r="Y1259">
        <v>0.16</v>
      </c>
      <c r="Z1259">
        <v>0</v>
      </c>
      <c r="AA1259" t="s">
        <v>9335</v>
      </c>
      <c r="AB1259" t="s">
        <v>242</v>
      </c>
      <c r="AC1259" t="s">
        <v>3229</v>
      </c>
    </row>
    <row r="1260" spans="1:29" x14ac:dyDescent="0.25">
      <c r="A1260" t="s">
        <v>2527</v>
      </c>
      <c r="B1260" t="s">
        <v>254</v>
      </c>
      <c r="C1260" t="s">
        <v>331</v>
      </c>
      <c r="D1260" t="s">
        <v>3713</v>
      </c>
      <c r="E1260" t="s">
        <v>3761</v>
      </c>
      <c r="F1260">
        <v>10000000</v>
      </c>
      <c r="G1260" t="s">
        <v>9349</v>
      </c>
      <c r="H1260" t="s">
        <v>241</v>
      </c>
      <c r="I1260" t="s">
        <v>242</v>
      </c>
      <c r="J1260" t="s">
        <v>242</v>
      </c>
      <c r="K1260" t="s">
        <v>242</v>
      </c>
      <c r="L1260" t="s">
        <v>241</v>
      </c>
      <c r="M1260">
        <v>39.148499999999999</v>
      </c>
      <c r="N1260">
        <v>-123.1799</v>
      </c>
      <c r="O1260">
        <v>19.45</v>
      </c>
      <c r="P1260">
        <v>16.329999999999998</v>
      </c>
      <c r="Q1260">
        <v>17.09</v>
      </c>
      <c r="R1260">
        <v>18.87</v>
      </c>
      <c r="S1260">
        <v>13.51</v>
      </c>
      <c r="T1260">
        <v>25.84</v>
      </c>
      <c r="U1260">
        <v>29.39</v>
      </c>
      <c r="V1260">
        <v>32.19</v>
      </c>
      <c r="W1260">
        <v>32.6</v>
      </c>
      <c r="X1260">
        <v>14.48</v>
      </c>
      <c r="Y1260">
        <v>8.1199999999999992</v>
      </c>
      <c r="Z1260">
        <v>5.83</v>
      </c>
      <c r="AA1260" t="s">
        <v>9333</v>
      </c>
      <c r="AB1260" t="s">
        <v>242</v>
      </c>
      <c r="AC1260" t="s">
        <v>3213</v>
      </c>
    </row>
    <row r="1261" spans="1:29" x14ac:dyDescent="0.25">
      <c r="A1261" t="s">
        <v>2528</v>
      </c>
      <c r="B1261" t="s">
        <v>254</v>
      </c>
      <c r="C1261" t="s">
        <v>354</v>
      </c>
      <c r="D1261" t="s">
        <v>3713</v>
      </c>
      <c r="E1261" t="s">
        <v>3761</v>
      </c>
      <c r="F1261">
        <v>10000000</v>
      </c>
      <c r="G1261" t="s">
        <v>9349</v>
      </c>
      <c r="H1261" t="s">
        <v>241</v>
      </c>
      <c r="I1261" t="s">
        <v>242</v>
      </c>
      <c r="J1261" t="s">
        <v>242</v>
      </c>
      <c r="K1261" t="s">
        <v>242</v>
      </c>
      <c r="L1261" t="s">
        <v>241</v>
      </c>
      <c r="M1261">
        <v>38.721600000000002</v>
      </c>
      <c r="N1261">
        <v>-122.8989</v>
      </c>
      <c r="O1261">
        <v>0</v>
      </c>
      <c r="P1261">
        <v>0</v>
      </c>
      <c r="Q1261">
        <v>0</v>
      </c>
      <c r="R1261">
        <v>0</v>
      </c>
      <c r="S1261">
        <v>0.4</v>
      </c>
      <c r="T1261">
        <v>3.35</v>
      </c>
      <c r="U1261">
        <v>6.24</v>
      </c>
      <c r="V1261">
        <v>4.45</v>
      </c>
      <c r="W1261">
        <v>3.19</v>
      </c>
      <c r="X1261">
        <v>0</v>
      </c>
      <c r="Y1261">
        <v>0</v>
      </c>
      <c r="Z1261">
        <v>0</v>
      </c>
      <c r="AA1261" t="s">
        <v>9335</v>
      </c>
      <c r="AB1261" t="s">
        <v>242</v>
      </c>
      <c r="AC1261" t="s">
        <v>3229</v>
      </c>
    </row>
    <row r="1262" spans="1:29" x14ac:dyDescent="0.25">
      <c r="A1262" t="s">
        <v>2529</v>
      </c>
      <c r="B1262" t="s">
        <v>254</v>
      </c>
      <c r="C1262" t="s">
        <v>317</v>
      </c>
      <c r="D1262" t="s">
        <v>3713</v>
      </c>
      <c r="E1262" t="s">
        <v>3761</v>
      </c>
      <c r="F1262">
        <v>10000000</v>
      </c>
      <c r="G1262" t="s">
        <v>9349</v>
      </c>
      <c r="H1262" t="s">
        <v>242</v>
      </c>
      <c r="I1262" t="s">
        <v>242</v>
      </c>
      <c r="J1262" t="s">
        <v>242</v>
      </c>
      <c r="K1262" t="s">
        <v>242</v>
      </c>
      <c r="L1262" t="s">
        <v>241</v>
      </c>
      <c r="M1262">
        <v>39.271799999999999</v>
      </c>
      <c r="N1262">
        <v>-123.2105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 t="s">
        <v>9335</v>
      </c>
      <c r="AB1262" t="s">
        <v>242</v>
      </c>
      <c r="AC1262" t="s">
        <v>3213</v>
      </c>
    </row>
    <row r="1263" spans="1:29" x14ac:dyDescent="0.25">
      <c r="A1263" t="s">
        <v>2530</v>
      </c>
      <c r="B1263" t="s">
        <v>254</v>
      </c>
      <c r="C1263" t="s">
        <v>317</v>
      </c>
      <c r="D1263" t="s">
        <v>3713</v>
      </c>
      <c r="E1263" t="s">
        <v>3761</v>
      </c>
      <c r="F1263">
        <v>10000000</v>
      </c>
      <c r="G1263" t="s">
        <v>9349</v>
      </c>
      <c r="H1263" t="s">
        <v>242</v>
      </c>
      <c r="I1263" t="s">
        <v>242</v>
      </c>
      <c r="J1263" t="s">
        <v>242</v>
      </c>
      <c r="K1263" t="s">
        <v>242</v>
      </c>
      <c r="L1263" t="s">
        <v>241</v>
      </c>
      <c r="M1263">
        <v>39.271900000000002</v>
      </c>
      <c r="N1263">
        <v>-123.2094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 t="s">
        <v>9335</v>
      </c>
      <c r="AB1263" t="s">
        <v>242</v>
      </c>
      <c r="AC1263" t="s">
        <v>3213</v>
      </c>
    </row>
    <row r="1264" spans="1:29" x14ac:dyDescent="0.25">
      <c r="A1264" t="s">
        <v>2531</v>
      </c>
      <c r="B1264" t="s">
        <v>254</v>
      </c>
      <c r="C1264" t="s">
        <v>317</v>
      </c>
      <c r="D1264" t="s">
        <v>3713</v>
      </c>
      <c r="E1264" t="s">
        <v>3761</v>
      </c>
      <c r="F1264">
        <v>10000000</v>
      </c>
      <c r="G1264" t="s">
        <v>9349</v>
      </c>
      <c r="H1264" t="s">
        <v>242</v>
      </c>
      <c r="I1264" t="s">
        <v>242</v>
      </c>
      <c r="J1264" t="s">
        <v>242</v>
      </c>
      <c r="K1264" t="s">
        <v>242</v>
      </c>
      <c r="L1264" t="s">
        <v>241</v>
      </c>
      <c r="M1264">
        <v>39.273899999999998</v>
      </c>
      <c r="N1264">
        <v>-123.208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 t="s">
        <v>9335</v>
      </c>
      <c r="AB1264" t="s">
        <v>242</v>
      </c>
      <c r="AC1264" t="s">
        <v>3213</v>
      </c>
    </row>
    <row r="1265" spans="1:29" x14ac:dyDescent="0.25">
      <c r="A1265" t="s">
        <v>2533</v>
      </c>
      <c r="B1265" t="s">
        <v>254</v>
      </c>
      <c r="C1265" t="s">
        <v>317</v>
      </c>
      <c r="D1265" t="s">
        <v>3713</v>
      </c>
      <c r="E1265" t="s">
        <v>3761</v>
      </c>
      <c r="F1265">
        <v>10000000</v>
      </c>
      <c r="G1265" t="s">
        <v>9349</v>
      </c>
      <c r="H1265" t="s">
        <v>242</v>
      </c>
      <c r="I1265" t="s">
        <v>242</v>
      </c>
      <c r="J1265" t="s">
        <v>242</v>
      </c>
      <c r="K1265" t="s">
        <v>242</v>
      </c>
      <c r="L1265" t="s">
        <v>241</v>
      </c>
      <c r="M1265">
        <v>39.253300000000003</v>
      </c>
      <c r="N1265">
        <v>-123.1931</v>
      </c>
      <c r="O1265">
        <v>4</v>
      </c>
      <c r="P1265">
        <v>4.16</v>
      </c>
      <c r="Q1265">
        <v>0.5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1.33</v>
      </c>
      <c r="AA1265" t="s">
        <v>9335</v>
      </c>
      <c r="AB1265" t="s">
        <v>242</v>
      </c>
      <c r="AC1265" t="s">
        <v>3213</v>
      </c>
    </row>
    <row r="1266" spans="1:29" x14ac:dyDescent="0.25">
      <c r="A1266" t="s">
        <v>2537</v>
      </c>
      <c r="B1266" t="s">
        <v>254</v>
      </c>
      <c r="C1266" t="s">
        <v>333</v>
      </c>
      <c r="D1266" t="s">
        <v>3713</v>
      </c>
      <c r="E1266" t="s">
        <v>3761</v>
      </c>
      <c r="F1266">
        <v>10000000</v>
      </c>
      <c r="G1266" t="s">
        <v>9349</v>
      </c>
      <c r="H1266" t="s">
        <v>242</v>
      </c>
      <c r="I1266" t="s">
        <v>242</v>
      </c>
      <c r="J1266" t="s">
        <v>242</v>
      </c>
      <c r="K1266" t="s">
        <v>242</v>
      </c>
      <c r="L1266" t="s">
        <v>241</v>
      </c>
      <c r="M1266">
        <v>39.041400000000003</v>
      </c>
      <c r="N1266">
        <v>-123.1529</v>
      </c>
      <c r="O1266">
        <v>0</v>
      </c>
      <c r="P1266">
        <v>0</v>
      </c>
      <c r="Q1266">
        <v>3.33333E-4</v>
      </c>
      <c r="R1266">
        <v>1.4E-3</v>
      </c>
      <c r="S1266">
        <v>2.8E-3</v>
      </c>
      <c r="T1266">
        <v>3.6666670000000002E-3</v>
      </c>
      <c r="U1266">
        <v>3.6666670000000002E-3</v>
      </c>
      <c r="V1266">
        <v>3.6666670000000002E-3</v>
      </c>
      <c r="W1266">
        <v>3.1333329999999999E-3</v>
      </c>
      <c r="X1266">
        <v>2.5999999999999999E-3</v>
      </c>
      <c r="Y1266">
        <v>1.7333330000000001E-3</v>
      </c>
      <c r="Z1266">
        <v>0</v>
      </c>
      <c r="AA1266" t="s">
        <v>9343</v>
      </c>
      <c r="AB1266" t="s">
        <v>242</v>
      </c>
      <c r="AC1266" t="s">
        <v>3213</v>
      </c>
    </row>
    <row r="1267" spans="1:29" x14ac:dyDescent="0.25">
      <c r="A1267" t="s">
        <v>2539</v>
      </c>
      <c r="B1267" t="s">
        <v>254</v>
      </c>
      <c r="C1267" t="s">
        <v>333</v>
      </c>
      <c r="D1267" t="s">
        <v>3713</v>
      </c>
      <c r="E1267" t="s">
        <v>3761</v>
      </c>
      <c r="F1267">
        <v>10000000</v>
      </c>
      <c r="G1267" t="s">
        <v>9349</v>
      </c>
      <c r="H1267" t="s">
        <v>242</v>
      </c>
      <c r="I1267" t="s">
        <v>242</v>
      </c>
      <c r="J1267" t="s">
        <v>242</v>
      </c>
      <c r="K1267" t="s">
        <v>242</v>
      </c>
      <c r="L1267" t="s">
        <v>241</v>
      </c>
      <c r="M1267">
        <v>39.041400000000003</v>
      </c>
      <c r="N1267">
        <v>-123.15300000000001</v>
      </c>
      <c r="O1267">
        <v>0</v>
      </c>
      <c r="P1267">
        <v>0</v>
      </c>
      <c r="Q1267">
        <v>0</v>
      </c>
      <c r="R1267">
        <v>0.14000000000000001</v>
      </c>
      <c r="S1267">
        <v>0.6</v>
      </c>
      <c r="T1267">
        <v>1.18</v>
      </c>
      <c r="U1267">
        <v>1</v>
      </c>
      <c r="V1267">
        <v>0.89</v>
      </c>
      <c r="W1267">
        <v>0.34</v>
      </c>
      <c r="X1267">
        <v>0.67</v>
      </c>
      <c r="Y1267">
        <v>0.67</v>
      </c>
      <c r="Z1267">
        <v>0.01</v>
      </c>
      <c r="AA1267" t="s">
        <v>9335</v>
      </c>
      <c r="AB1267" t="s">
        <v>242</v>
      </c>
      <c r="AC1267" t="s">
        <v>3213</v>
      </c>
    </row>
    <row r="1268" spans="1:29" x14ac:dyDescent="0.25">
      <c r="A1268" t="s">
        <v>2542</v>
      </c>
      <c r="B1268" t="s">
        <v>254</v>
      </c>
      <c r="C1268" t="s">
        <v>409</v>
      </c>
      <c r="D1268" t="s">
        <v>3713</v>
      </c>
      <c r="E1268" t="s">
        <v>3761</v>
      </c>
      <c r="F1268">
        <v>10000000</v>
      </c>
      <c r="G1268" t="s">
        <v>9349</v>
      </c>
      <c r="H1268" t="s">
        <v>242</v>
      </c>
      <c r="I1268" t="s">
        <v>242</v>
      </c>
      <c r="J1268" t="s">
        <v>242</v>
      </c>
      <c r="K1268" t="s">
        <v>242</v>
      </c>
      <c r="L1268" t="s">
        <v>241</v>
      </c>
      <c r="M1268">
        <v>38.804299999999998</v>
      </c>
      <c r="N1268">
        <v>-122.80500000000001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 t="s">
        <v>9340</v>
      </c>
      <c r="AB1268" t="s">
        <v>242</v>
      </c>
      <c r="AC1268" t="s">
        <v>3229</v>
      </c>
    </row>
    <row r="1269" spans="1:29" x14ac:dyDescent="0.25">
      <c r="A1269" t="s">
        <v>2543</v>
      </c>
      <c r="B1269" t="s">
        <v>254</v>
      </c>
      <c r="C1269" t="s">
        <v>823</v>
      </c>
      <c r="D1269" t="s">
        <v>3713</v>
      </c>
      <c r="E1269" t="s">
        <v>3761</v>
      </c>
      <c r="F1269">
        <v>10000000</v>
      </c>
      <c r="G1269" t="s">
        <v>9349</v>
      </c>
      <c r="H1269" t="s">
        <v>242</v>
      </c>
      <c r="I1269" t="s">
        <v>242</v>
      </c>
      <c r="J1269" t="s">
        <v>242</v>
      </c>
      <c r="K1269" t="s">
        <v>242</v>
      </c>
      <c r="L1269" t="s">
        <v>241</v>
      </c>
      <c r="M1269">
        <v>38.78</v>
      </c>
      <c r="N1269">
        <v>-122.76009999999999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 t="s">
        <v>9340</v>
      </c>
      <c r="AB1269" t="s">
        <v>242</v>
      </c>
      <c r="AC1269" t="s">
        <v>3229</v>
      </c>
    </row>
    <row r="1270" spans="1:29" x14ac:dyDescent="0.25">
      <c r="A1270" t="s">
        <v>2544</v>
      </c>
      <c r="B1270" t="s">
        <v>254</v>
      </c>
      <c r="C1270" t="s">
        <v>409</v>
      </c>
      <c r="D1270" t="s">
        <v>3713</v>
      </c>
      <c r="E1270" t="s">
        <v>3761</v>
      </c>
      <c r="F1270">
        <v>10000000</v>
      </c>
      <c r="G1270" t="s">
        <v>9349</v>
      </c>
      <c r="H1270" t="s">
        <v>242</v>
      </c>
      <c r="I1270" t="s">
        <v>242</v>
      </c>
      <c r="J1270" t="s">
        <v>242</v>
      </c>
      <c r="K1270" t="s">
        <v>242</v>
      </c>
      <c r="L1270" t="s">
        <v>241</v>
      </c>
      <c r="M1270">
        <v>38.8127</v>
      </c>
      <c r="N1270">
        <v>-122.80589999999999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 t="s">
        <v>9340</v>
      </c>
      <c r="AB1270" t="s">
        <v>242</v>
      </c>
      <c r="AC1270" t="s">
        <v>3229</v>
      </c>
    </row>
    <row r="1271" spans="1:29" x14ac:dyDescent="0.25">
      <c r="A1271" t="s">
        <v>2546</v>
      </c>
      <c r="B1271" t="s">
        <v>254</v>
      </c>
      <c r="C1271" t="s">
        <v>409</v>
      </c>
      <c r="D1271" t="s">
        <v>3713</v>
      </c>
      <c r="E1271" t="s">
        <v>3761</v>
      </c>
      <c r="F1271">
        <v>10000000</v>
      </c>
      <c r="G1271" t="s">
        <v>9349</v>
      </c>
      <c r="H1271" t="s">
        <v>242</v>
      </c>
      <c r="I1271" t="s">
        <v>242</v>
      </c>
      <c r="J1271" t="s">
        <v>242</v>
      </c>
      <c r="K1271" t="s">
        <v>242</v>
      </c>
      <c r="L1271" t="s">
        <v>241</v>
      </c>
      <c r="M1271">
        <v>38.807699999999997</v>
      </c>
      <c r="N1271">
        <v>-122.8158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 t="s">
        <v>9340</v>
      </c>
      <c r="AB1271" t="s">
        <v>242</v>
      </c>
      <c r="AC1271" t="s">
        <v>3229</v>
      </c>
    </row>
    <row r="1272" spans="1:29" x14ac:dyDescent="0.25">
      <c r="A1272" t="s">
        <v>2547</v>
      </c>
      <c r="B1272" t="s">
        <v>254</v>
      </c>
      <c r="C1272" t="s">
        <v>823</v>
      </c>
      <c r="D1272" t="s">
        <v>3713</v>
      </c>
      <c r="E1272" t="s">
        <v>3761</v>
      </c>
      <c r="F1272">
        <v>10000000</v>
      </c>
      <c r="G1272" t="s">
        <v>9349</v>
      </c>
      <c r="H1272" t="s">
        <v>242</v>
      </c>
      <c r="I1272" t="s">
        <v>242</v>
      </c>
      <c r="J1272" t="s">
        <v>242</v>
      </c>
      <c r="K1272" t="s">
        <v>242</v>
      </c>
      <c r="L1272" t="s">
        <v>241</v>
      </c>
      <c r="M1272">
        <v>38.794899999999998</v>
      </c>
      <c r="N1272">
        <v>-122.7572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 t="s">
        <v>9340</v>
      </c>
      <c r="AB1272" t="s">
        <v>242</v>
      </c>
      <c r="AC1272" t="s">
        <v>3229</v>
      </c>
    </row>
    <row r="1273" spans="1:29" x14ac:dyDescent="0.25">
      <c r="A1273" t="s">
        <v>2548</v>
      </c>
      <c r="B1273" t="s">
        <v>254</v>
      </c>
      <c r="C1273" t="s">
        <v>823</v>
      </c>
      <c r="D1273" t="s">
        <v>3713</v>
      </c>
      <c r="E1273" t="s">
        <v>3761</v>
      </c>
      <c r="F1273">
        <v>10000000</v>
      </c>
      <c r="G1273" t="s">
        <v>9349</v>
      </c>
      <c r="H1273" t="s">
        <v>242</v>
      </c>
      <c r="I1273" t="s">
        <v>242</v>
      </c>
      <c r="J1273" t="s">
        <v>242</v>
      </c>
      <c r="K1273" t="s">
        <v>242</v>
      </c>
      <c r="L1273" t="s">
        <v>241</v>
      </c>
      <c r="M1273">
        <v>38.784799999999997</v>
      </c>
      <c r="N1273">
        <v>-122.7835</v>
      </c>
      <c r="O1273">
        <v>0</v>
      </c>
      <c r="P1273">
        <v>7.77</v>
      </c>
      <c r="Q1273">
        <v>9.34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 t="s">
        <v>9340</v>
      </c>
      <c r="AB1273" t="s">
        <v>242</v>
      </c>
      <c r="AC1273" t="s">
        <v>3229</v>
      </c>
    </row>
    <row r="1274" spans="1:29" x14ac:dyDescent="0.25">
      <c r="A1274" t="s">
        <v>2549</v>
      </c>
      <c r="B1274" t="s">
        <v>254</v>
      </c>
      <c r="C1274" t="s">
        <v>823</v>
      </c>
      <c r="D1274" t="s">
        <v>3713</v>
      </c>
      <c r="E1274" t="s">
        <v>3761</v>
      </c>
      <c r="F1274">
        <v>10000000</v>
      </c>
      <c r="G1274" t="s">
        <v>9349</v>
      </c>
      <c r="H1274" t="s">
        <v>242</v>
      </c>
      <c r="I1274" t="s">
        <v>242</v>
      </c>
      <c r="J1274" t="s">
        <v>242</v>
      </c>
      <c r="K1274" t="s">
        <v>242</v>
      </c>
      <c r="L1274" t="s">
        <v>241</v>
      </c>
      <c r="M1274">
        <v>38.784100000000002</v>
      </c>
      <c r="N1274">
        <v>-122.7683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 t="s">
        <v>9340</v>
      </c>
      <c r="AB1274" t="s">
        <v>242</v>
      </c>
      <c r="AC1274" t="s">
        <v>3229</v>
      </c>
    </row>
    <row r="1275" spans="1:29" x14ac:dyDescent="0.25">
      <c r="A1275" t="s">
        <v>2550</v>
      </c>
      <c r="B1275" t="s">
        <v>254</v>
      </c>
      <c r="C1275" t="s">
        <v>409</v>
      </c>
      <c r="D1275" t="s">
        <v>3713</v>
      </c>
      <c r="E1275" t="s">
        <v>3761</v>
      </c>
      <c r="F1275">
        <v>10000000</v>
      </c>
      <c r="G1275" t="s">
        <v>9349</v>
      </c>
      <c r="H1275" t="s">
        <v>242</v>
      </c>
      <c r="I1275" t="s">
        <v>242</v>
      </c>
      <c r="J1275" t="s">
        <v>242</v>
      </c>
      <c r="K1275" t="s">
        <v>242</v>
      </c>
      <c r="L1275" t="s">
        <v>241</v>
      </c>
      <c r="M1275">
        <v>38.808999999999997</v>
      </c>
      <c r="N1275">
        <v>-122.81019999999999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 t="s">
        <v>9340</v>
      </c>
      <c r="AB1275" t="s">
        <v>242</v>
      </c>
      <c r="AC1275" t="s">
        <v>3229</v>
      </c>
    </row>
    <row r="1276" spans="1:29" x14ac:dyDescent="0.25">
      <c r="A1276" t="s">
        <v>2551</v>
      </c>
      <c r="B1276" t="s">
        <v>254</v>
      </c>
      <c r="C1276" t="s">
        <v>823</v>
      </c>
      <c r="D1276" t="s">
        <v>3713</v>
      </c>
      <c r="E1276" t="s">
        <v>3761</v>
      </c>
      <c r="F1276">
        <v>10000000</v>
      </c>
      <c r="G1276" t="s">
        <v>9349</v>
      </c>
      <c r="H1276" t="s">
        <v>242</v>
      </c>
      <c r="I1276" t="s">
        <v>242</v>
      </c>
      <c r="J1276" t="s">
        <v>242</v>
      </c>
      <c r="K1276" t="s">
        <v>242</v>
      </c>
      <c r="L1276" t="s">
        <v>241</v>
      </c>
      <c r="M1276">
        <v>38.807099999999998</v>
      </c>
      <c r="N1276">
        <v>-122.7847</v>
      </c>
      <c r="O1276">
        <v>1.61</v>
      </c>
      <c r="P1276">
        <v>6.23</v>
      </c>
      <c r="Q1276">
        <v>7.13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 t="s">
        <v>9340</v>
      </c>
      <c r="AB1276" t="s">
        <v>242</v>
      </c>
      <c r="AC1276" t="s">
        <v>3229</v>
      </c>
    </row>
    <row r="1277" spans="1:29" x14ac:dyDescent="0.25">
      <c r="A1277" t="s">
        <v>2553</v>
      </c>
      <c r="B1277" t="s">
        <v>254</v>
      </c>
      <c r="C1277" t="s">
        <v>409</v>
      </c>
      <c r="D1277" t="s">
        <v>3713</v>
      </c>
      <c r="E1277" t="s">
        <v>3761</v>
      </c>
      <c r="F1277">
        <v>10000000</v>
      </c>
      <c r="G1277" t="s">
        <v>9349</v>
      </c>
      <c r="H1277" t="s">
        <v>242</v>
      </c>
      <c r="I1277" t="s">
        <v>242</v>
      </c>
      <c r="J1277" t="s">
        <v>242</v>
      </c>
      <c r="K1277" t="s">
        <v>242</v>
      </c>
      <c r="L1277" t="s">
        <v>241</v>
      </c>
      <c r="M1277">
        <v>38.8232</v>
      </c>
      <c r="N1277">
        <v>-122.8015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 t="s">
        <v>9340</v>
      </c>
      <c r="AB1277" t="s">
        <v>242</v>
      </c>
      <c r="AC1277" t="s">
        <v>3229</v>
      </c>
    </row>
    <row r="1278" spans="1:29" x14ac:dyDescent="0.25">
      <c r="A1278" t="s">
        <v>2555</v>
      </c>
      <c r="B1278" t="s">
        <v>254</v>
      </c>
      <c r="C1278" t="s">
        <v>409</v>
      </c>
      <c r="D1278" t="s">
        <v>3713</v>
      </c>
      <c r="E1278" t="s">
        <v>3761</v>
      </c>
      <c r="F1278">
        <v>10000000</v>
      </c>
      <c r="G1278" t="s">
        <v>9349</v>
      </c>
      <c r="H1278" t="s">
        <v>242</v>
      </c>
      <c r="I1278" t="s">
        <v>242</v>
      </c>
      <c r="J1278" t="s">
        <v>242</v>
      </c>
      <c r="K1278" t="s">
        <v>242</v>
      </c>
      <c r="L1278" t="s">
        <v>241</v>
      </c>
      <c r="M1278">
        <v>38.804499999999997</v>
      </c>
      <c r="N1278">
        <v>-122.807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 t="s">
        <v>9340</v>
      </c>
      <c r="AB1278" t="s">
        <v>242</v>
      </c>
      <c r="AC1278" t="s">
        <v>3229</v>
      </c>
    </row>
    <row r="1279" spans="1:29" x14ac:dyDescent="0.25">
      <c r="A1279" t="s">
        <v>2556</v>
      </c>
      <c r="B1279" t="s">
        <v>254</v>
      </c>
      <c r="C1279" t="s">
        <v>409</v>
      </c>
      <c r="D1279" t="s">
        <v>3713</v>
      </c>
      <c r="E1279" t="s">
        <v>3761</v>
      </c>
      <c r="F1279">
        <v>10000000</v>
      </c>
      <c r="G1279" t="s">
        <v>9349</v>
      </c>
      <c r="H1279" t="s">
        <v>242</v>
      </c>
      <c r="I1279" t="s">
        <v>242</v>
      </c>
      <c r="J1279" t="s">
        <v>242</v>
      </c>
      <c r="K1279" t="s">
        <v>242</v>
      </c>
      <c r="L1279" t="s">
        <v>241</v>
      </c>
      <c r="M1279">
        <v>38.811399999999999</v>
      </c>
      <c r="N1279">
        <v>-122.82089999999999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 t="s">
        <v>9340</v>
      </c>
      <c r="AB1279" t="s">
        <v>242</v>
      </c>
      <c r="AC1279" t="s">
        <v>3229</v>
      </c>
    </row>
    <row r="1280" spans="1:29" x14ac:dyDescent="0.25">
      <c r="A1280" t="s">
        <v>2557</v>
      </c>
      <c r="B1280" t="s">
        <v>254</v>
      </c>
      <c r="C1280" t="s">
        <v>311</v>
      </c>
      <c r="D1280" t="s">
        <v>3713</v>
      </c>
      <c r="E1280" t="s">
        <v>3761</v>
      </c>
      <c r="F1280">
        <v>10000000</v>
      </c>
      <c r="G1280" t="s">
        <v>9349</v>
      </c>
      <c r="H1280" t="s">
        <v>242</v>
      </c>
      <c r="I1280" t="s">
        <v>242</v>
      </c>
      <c r="J1280" t="s">
        <v>242</v>
      </c>
      <c r="K1280" t="s">
        <v>242</v>
      </c>
      <c r="L1280" t="s">
        <v>241</v>
      </c>
      <c r="M1280">
        <v>38.623600000000003</v>
      </c>
      <c r="N1280">
        <v>-122.669</v>
      </c>
      <c r="O1280">
        <v>0</v>
      </c>
      <c r="P1280">
        <v>1</v>
      </c>
      <c r="Q1280">
        <v>2</v>
      </c>
      <c r="R1280">
        <v>1.33</v>
      </c>
      <c r="S1280">
        <v>2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 t="s">
        <v>9343</v>
      </c>
      <c r="AB1280" t="s">
        <v>242</v>
      </c>
      <c r="AC1280" t="s">
        <v>3229</v>
      </c>
    </row>
    <row r="1281" spans="1:29" x14ac:dyDescent="0.25">
      <c r="A1281" t="s">
        <v>2558</v>
      </c>
      <c r="B1281" t="s">
        <v>254</v>
      </c>
      <c r="C1281" t="s">
        <v>319</v>
      </c>
      <c r="D1281" t="s">
        <v>3713</v>
      </c>
      <c r="E1281" t="s">
        <v>3761</v>
      </c>
      <c r="F1281">
        <v>10000000</v>
      </c>
      <c r="G1281" t="s">
        <v>9349</v>
      </c>
      <c r="H1281" t="s">
        <v>241</v>
      </c>
      <c r="I1281" t="s">
        <v>242</v>
      </c>
      <c r="J1281" t="s">
        <v>242</v>
      </c>
      <c r="K1281" t="s">
        <v>242</v>
      </c>
      <c r="L1281" t="s">
        <v>241</v>
      </c>
      <c r="M1281">
        <v>38.965699999999998</v>
      </c>
      <c r="N1281">
        <v>-123.1054</v>
      </c>
      <c r="O1281">
        <v>0</v>
      </c>
      <c r="P1281">
        <v>0</v>
      </c>
      <c r="Q1281">
        <v>1.03</v>
      </c>
      <c r="R1281">
        <v>1.66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 t="s">
        <v>9343</v>
      </c>
      <c r="AB1281" t="s">
        <v>242</v>
      </c>
      <c r="AC1281" t="s">
        <v>3213</v>
      </c>
    </row>
    <row r="1282" spans="1:29" x14ac:dyDescent="0.25">
      <c r="A1282" t="s">
        <v>2559</v>
      </c>
      <c r="B1282" t="s">
        <v>254</v>
      </c>
      <c r="C1282" t="s">
        <v>436</v>
      </c>
      <c r="D1282" t="s">
        <v>3713</v>
      </c>
      <c r="E1282" t="s">
        <v>3761</v>
      </c>
      <c r="F1282">
        <v>10000000</v>
      </c>
      <c r="G1282" t="s">
        <v>9349</v>
      </c>
      <c r="H1282" t="s">
        <v>241</v>
      </c>
      <c r="I1282" t="s">
        <v>242</v>
      </c>
      <c r="J1282" t="s">
        <v>242</v>
      </c>
      <c r="K1282" t="s">
        <v>242</v>
      </c>
      <c r="L1282" t="s">
        <v>241</v>
      </c>
      <c r="M1282">
        <v>38.701099999999997</v>
      </c>
      <c r="N1282">
        <v>-122.8847</v>
      </c>
      <c r="O1282">
        <v>0</v>
      </c>
      <c r="P1282">
        <v>0.03</v>
      </c>
      <c r="Q1282">
        <v>0.46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0.56000000000000005</v>
      </c>
      <c r="Z1282">
        <v>0</v>
      </c>
      <c r="AA1282" t="s">
        <v>9343</v>
      </c>
      <c r="AB1282" t="s">
        <v>242</v>
      </c>
      <c r="AC1282" t="s">
        <v>3229</v>
      </c>
    </row>
    <row r="1283" spans="1:29" x14ac:dyDescent="0.25">
      <c r="A1283" t="s">
        <v>2560</v>
      </c>
      <c r="B1283" t="s">
        <v>254</v>
      </c>
      <c r="C1283" t="s">
        <v>436</v>
      </c>
      <c r="D1283" t="s">
        <v>3713</v>
      </c>
      <c r="E1283" t="s">
        <v>3761</v>
      </c>
      <c r="F1283">
        <v>10000000</v>
      </c>
      <c r="G1283" t="s">
        <v>9349</v>
      </c>
      <c r="H1283" t="s">
        <v>241</v>
      </c>
      <c r="I1283" t="s">
        <v>242</v>
      </c>
      <c r="J1283" t="s">
        <v>242</v>
      </c>
      <c r="K1283" t="s">
        <v>242</v>
      </c>
      <c r="L1283" t="s">
        <v>241</v>
      </c>
      <c r="M1283">
        <v>38.6995</v>
      </c>
      <c r="N1283">
        <v>-122.88800000000001</v>
      </c>
      <c r="O1283">
        <v>0</v>
      </c>
      <c r="P1283">
        <v>0.33</v>
      </c>
      <c r="Q1283">
        <v>0.03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0.36</v>
      </c>
      <c r="Z1283">
        <v>1.33</v>
      </c>
      <c r="AA1283" t="s">
        <v>9343</v>
      </c>
      <c r="AB1283" t="s">
        <v>242</v>
      </c>
      <c r="AC1283" t="s">
        <v>3229</v>
      </c>
    </row>
    <row r="1284" spans="1:29" x14ac:dyDescent="0.25">
      <c r="A1284" t="s">
        <v>2561</v>
      </c>
      <c r="B1284" t="s">
        <v>254</v>
      </c>
      <c r="C1284" t="s">
        <v>354</v>
      </c>
      <c r="D1284" t="s">
        <v>3713</v>
      </c>
      <c r="E1284" t="s">
        <v>3761</v>
      </c>
      <c r="F1284">
        <v>10000000</v>
      </c>
      <c r="G1284" t="s">
        <v>9349</v>
      </c>
      <c r="H1284" t="s">
        <v>241</v>
      </c>
      <c r="I1284" t="s">
        <v>242</v>
      </c>
      <c r="J1284" t="s">
        <v>242</v>
      </c>
      <c r="K1284" t="s">
        <v>242</v>
      </c>
      <c r="L1284" t="s">
        <v>241</v>
      </c>
      <c r="M1284">
        <v>38.792400000000001</v>
      </c>
      <c r="N1284">
        <v>-123.0003</v>
      </c>
      <c r="O1284">
        <v>0</v>
      </c>
      <c r="P1284">
        <v>0</v>
      </c>
      <c r="Q1284">
        <v>0.5</v>
      </c>
      <c r="R1284">
        <v>1.03</v>
      </c>
      <c r="S1284">
        <v>0.33</v>
      </c>
      <c r="T1284">
        <v>0.66</v>
      </c>
      <c r="U1284">
        <v>1</v>
      </c>
      <c r="V1284">
        <v>3.7</v>
      </c>
      <c r="W1284">
        <v>2.7</v>
      </c>
      <c r="X1284">
        <v>0.4</v>
      </c>
      <c r="Y1284">
        <v>0.1</v>
      </c>
      <c r="Z1284">
        <v>0</v>
      </c>
      <c r="AA1284" t="s">
        <v>9335</v>
      </c>
      <c r="AB1284" t="s">
        <v>242</v>
      </c>
      <c r="AC1284" t="s">
        <v>3229</v>
      </c>
    </row>
    <row r="1285" spans="1:29" x14ac:dyDescent="0.25">
      <c r="A1285" t="s">
        <v>2562</v>
      </c>
      <c r="B1285" t="s">
        <v>254</v>
      </c>
      <c r="C1285" t="s">
        <v>354</v>
      </c>
      <c r="D1285" t="s">
        <v>3713</v>
      </c>
      <c r="E1285" t="s">
        <v>3761</v>
      </c>
      <c r="F1285">
        <v>10000000</v>
      </c>
      <c r="G1285" t="s">
        <v>9349</v>
      </c>
      <c r="H1285" t="s">
        <v>241</v>
      </c>
      <c r="I1285" t="s">
        <v>242</v>
      </c>
      <c r="J1285" t="s">
        <v>242</v>
      </c>
      <c r="K1285" t="s">
        <v>242</v>
      </c>
      <c r="L1285" t="s">
        <v>241</v>
      </c>
      <c r="M1285">
        <v>38.793834599999997</v>
      </c>
      <c r="N1285">
        <v>-122.997703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3.3333333333333301E-5</v>
      </c>
      <c r="AA1285" t="s">
        <v>9343</v>
      </c>
      <c r="AB1285" t="s">
        <v>242</v>
      </c>
      <c r="AC1285" t="s">
        <v>3229</v>
      </c>
    </row>
    <row r="1286" spans="1:29" x14ac:dyDescent="0.25">
      <c r="A1286" t="s">
        <v>2567</v>
      </c>
      <c r="B1286" t="s">
        <v>254</v>
      </c>
      <c r="C1286" t="s">
        <v>317</v>
      </c>
      <c r="D1286" t="s">
        <v>3713</v>
      </c>
      <c r="E1286" t="s">
        <v>3761</v>
      </c>
      <c r="F1286">
        <v>10000000</v>
      </c>
      <c r="G1286" t="s">
        <v>9349</v>
      </c>
      <c r="H1286" t="s">
        <v>242</v>
      </c>
      <c r="I1286" t="s">
        <v>242</v>
      </c>
      <c r="J1286" t="s">
        <v>242</v>
      </c>
      <c r="K1286" t="s">
        <v>242</v>
      </c>
      <c r="L1286" t="s">
        <v>241</v>
      </c>
      <c r="M1286">
        <v>39.304499999999997</v>
      </c>
      <c r="N1286">
        <v>-123.208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 t="s">
        <v>9343</v>
      </c>
      <c r="AB1286" t="s">
        <v>242</v>
      </c>
      <c r="AC1286" t="s">
        <v>3213</v>
      </c>
    </row>
    <row r="1287" spans="1:29" x14ac:dyDescent="0.25">
      <c r="A1287" t="s">
        <v>1864</v>
      </c>
      <c r="B1287" t="s">
        <v>254</v>
      </c>
      <c r="C1287" t="s">
        <v>348</v>
      </c>
      <c r="D1287" t="s">
        <v>3713</v>
      </c>
      <c r="E1287" t="s">
        <v>3761</v>
      </c>
      <c r="F1287">
        <v>10000000</v>
      </c>
      <c r="G1287" t="s">
        <v>9349</v>
      </c>
      <c r="H1287" t="s">
        <v>242</v>
      </c>
      <c r="I1287" t="s">
        <v>242</v>
      </c>
      <c r="J1287" t="s">
        <v>242</v>
      </c>
      <c r="K1287" t="s">
        <v>242</v>
      </c>
      <c r="L1287" t="s">
        <v>241</v>
      </c>
      <c r="M1287">
        <v>39.340400000000002</v>
      </c>
      <c r="N1287">
        <v>-123.1143</v>
      </c>
      <c r="O1287">
        <v>0</v>
      </c>
      <c r="P1287">
        <v>0</v>
      </c>
      <c r="Q1287">
        <v>0.1</v>
      </c>
      <c r="R1287">
        <v>3.27</v>
      </c>
      <c r="S1287">
        <v>2.0299999999999998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 t="s">
        <v>9335</v>
      </c>
      <c r="AB1287" t="s">
        <v>242</v>
      </c>
      <c r="AC1287" t="s">
        <v>3213</v>
      </c>
    </row>
    <row r="1288" spans="1:29" x14ac:dyDescent="0.25">
      <c r="A1288" t="s">
        <v>2572</v>
      </c>
      <c r="B1288" t="s">
        <v>254</v>
      </c>
      <c r="C1288" t="s">
        <v>317</v>
      </c>
      <c r="D1288" t="s">
        <v>3713</v>
      </c>
      <c r="E1288" t="s">
        <v>3761</v>
      </c>
      <c r="F1288">
        <v>10000000</v>
      </c>
      <c r="G1288" t="s">
        <v>9349</v>
      </c>
      <c r="H1288" t="s">
        <v>242</v>
      </c>
      <c r="I1288" t="s">
        <v>242</v>
      </c>
      <c r="J1288" t="s">
        <v>242</v>
      </c>
      <c r="K1288" t="s">
        <v>242</v>
      </c>
      <c r="L1288" t="s">
        <v>241</v>
      </c>
      <c r="M1288">
        <v>39.2789</v>
      </c>
      <c r="N1288">
        <v>-123.1767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 t="s">
        <v>9335</v>
      </c>
      <c r="AB1288" t="s">
        <v>242</v>
      </c>
      <c r="AC1288" t="s">
        <v>3213</v>
      </c>
    </row>
    <row r="1289" spans="1:29" x14ac:dyDescent="0.25">
      <c r="A1289" t="s">
        <v>2574</v>
      </c>
      <c r="B1289" t="s">
        <v>254</v>
      </c>
      <c r="C1289" t="s">
        <v>331</v>
      </c>
      <c r="D1289" t="s">
        <v>3713</v>
      </c>
      <c r="E1289" t="s">
        <v>3761</v>
      </c>
      <c r="F1289">
        <v>10000000</v>
      </c>
      <c r="G1289" t="s">
        <v>9349</v>
      </c>
      <c r="H1289" t="s">
        <v>242</v>
      </c>
      <c r="I1289" t="s">
        <v>242</v>
      </c>
      <c r="J1289" t="s">
        <v>242</v>
      </c>
      <c r="K1289" t="s">
        <v>242</v>
      </c>
      <c r="L1289" t="s">
        <v>241</v>
      </c>
      <c r="M1289">
        <v>39.146900000000002</v>
      </c>
      <c r="N1289">
        <v>-123.16549999999999</v>
      </c>
      <c r="O1289">
        <v>6.1</v>
      </c>
      <c r="P1289">
        <v>2.82</v>
      </c>
      <c r="Q1289">
        <v>0.91</v>
      </c>
      <c r="R1289">
        <v>2.68</v>
      </c>
      <c r="S1289">
        <v>0.22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0.01</v>
      </c>
      <c r="Z1289">
        <v>0.71</v>
      </c>
      <c r="AA1289" t="s">
        <v>9335</v>
      </c>
      <c r="AB1289" t="s">
        <v>242</v>
      </c>
      <c r="AC1289" t="s">
        <v>3213</v>
      </c>
    </row>
    <row r="1290" spans="1:29" x14ac:dyDescent="0.25">
      <c r="A1290" t="s">
        <v>2575</v>
      </c>
      <c r="B1290" t="s">
        <v>254</v>
      </c>
      <c r="C1290" t="s">
        <v>331</v>
      </c>
      <c r="D1290" t="s">
        <v>3713</v>
      </c>
      <c r="E1290" t="s">
        <v>3761</v>
      </c>
      <c r="F1290">
        <v>10000000</v>
      </c>
      <c r="G1290" t="s">
        <v>9349</v>
      </c>
      <c r="H1290" t="s">
        <v>242</v>
      </c>
      <c r="I1290" t="s">
        <v>242</v>
      </c>
      <c r="J1290" t="s">
        <v>242</v>
      </c>
      <c r="K1290" t="s">
        <v>242</v>
      </c>
      <c r="L1290" t="s">
        <v>241</v>
      </c>
      <c r="M1290">
        <v>39.142699999999998</v>
      </c>
      <c r="N1290">
        <v>-123.1639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 t="s">
        <v>9335</v>
      </c>
      <c r="AB1290" t="s">
        <v>242</v>
      </c>
      <c r="AC1290" t="s">
        <v>3213</v>
      </c>
    </row>
    <row r="1291" spans="1:29" x14ac:dyDescent="0.25">
      <c r="A1291" t="s">
        <v>2576</v>
      </c>
      <c r="B1291" t="s">
        <v>254</v>
      </c>
      <c r="C1291" t="s">
        <v>354</v>
      </c>
      <c r="D1291" t="s">
        <v>3713</v>
      </c>
      <c r="E1291" t="s">
        <v>3761</v>
      </c>
      <c r="F1291">
        <v>10000000</v>
      </c>
      <c r="G1291" t="s">
        <v>9349</v>
      </c>
      <c r="H1291" t="s">
        <v>242</v>
      </c>
      <c r="I1291" t="s">
        <v>242</v>
      </c>
      <c r="J1291" t="s">
        <v>242</v>
      </c>
      <c r="K1291" t="s">
        <v>242</v>
      </c>
      <c r="L1291" t="s">
        <v>241</v>
      </c>
      <c r="M1291">
        <v>38.8504</v>
      </c>
      <c r="N1291">
        <v>-122.9877</v>
      </c>
      <c r="O1291">
        <v>3.0000000000000001E-3</v>
      </c>
      <c r="P1291">
        <v>0</v>
      </c>
      <c r="Q1291">
        <v>3.0000000000000001E-3</v>
      </c>
      <c r="R1291">
        <v>3.0000000000000001E-3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3.0000000000000001E-3</v>
      </c>
      <c r="Z1291">
        <v>3.0000000000000001E-3</v>
      </c>
      <c r="AA1291" t="s">
        <v>9335</v>
      </c>
      <c r="AB1291" t="s">
        <v>242</v>
      </c>
      <c r="AC1291" t="s">
        <v>3229</v>
      </c>
    </row>
    <row r="1292" spans="1:29" x14ac:dyDescent="0.25">
      <c r="A1292" t="s">
        <v>2580</v>
      </c>
      <c r="B1292" t="s">
        <v>254</v>
      </c>
      <c r="C1292" t="s">
        <v>354</v>
      </c>
      <c r="D1292" t="s">
        <v>3713</v>
      </c>
      <c r="E1292" t="s">
        <v>3761</v>
      </c>
      <c r="F1292">
        <v>10000000</v>
      </c>
      <c r="G1292" t="s">
        <v>9349</v>
      </c>
      <c r="H1292" t="s">
        <v>242</v>
      </c>
      <c r="I1292" t="s">
        <v>242</v>
      </c>
      <c r="J1292" t="s">
        <v>242</v>
      </c>
      <c r="K1292" t="s">
        <v>242</v>
      </c>
      <c r="L1292" t="s">
        <v>241</v>
      </c>
      <c r="M1292">
        <v>38.738999999999997</v>
      </c>
      <c r="N1292">
        <v>-122.893</v>
      </c>
      <c r="O1292">
        <v>11.22</v>
      </c>
      <c r="P1292">
        <v>10.47</v>
      </c>
      <c r="Q1292">
        <v>11.91</v>
      </c>
      <c r="R1292">
        <v>1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2.02</v>
      </c>
      <c r="AA1292" t="s">
        <v>9335</v>
      </c>
      <c r="AB1292" t="s">
        <v>242</v>
      </c>
      <c r="AC1292" t="s">
        <v>3229</v>
      </c>
    </row>
    <row r="1293" spans="1:29" x14ac:dyDescent="0.25">
      <c r="A1293" t="s">
        <v>1867</v>
      </c>
      <c r="B1293" t="s">
        <v>254</v>
      </c>
      <c r="C1293" t="s">
        <v>348</v>
      </c>
      <c r="D1293" t="s">
        <v>3713</v>
      </c>
      <c r="E1293" t="s">
        <v>3761</v>
      </c>
      <c r="F1293">
        <v>10000000</v>
      </c>
      <c r="G1293" t="s">
        <v>9349</v>
      </c>
      <c r="H1293" t="s">
        <v>242</v>
      </c>
      <c r="I1293" t="s">
        <v>242</v>
      </c>
      <c r="J1293" t="s">
        <v>242</v>
      </c>
      <c r="K1293" t="s">
        <v>242</v>
      </c>
      <c r="L1293" t="s">
        <v>241</v>
      </c>
      <c r="M1293">
        <v>39.323</v>
      </c>
      <c r="N1293">
        <v>-123.107</v>
      </c>
      <c r="O1293">
        <v>0</v>
      </c>
      <c r="P1293">
        <v>0</v>
      </c>
      <c r="Q1293">
        <v>0</v>
      </c>
      <c r="R1293">
        <v>0</v>
      </c>
      <c r="S1293">
        <v>0.17</v>
      </c>
      <c r="T1293">
        <v>0.55000000000000004</v>
      </c>
      <c r="U1293">
        <v>0.62</v>
      </c>
      <c r="V1293">
        <v>0.35</v>
      </c>
      <c r="W1293">
        <v>0.03</v>
      </c>
      <c r="X1293">
        <v>0</v>
      </c>
      <c r="Y1293">
        <v>0</v>
      </c>
      <c r="Z1293">
        <v>0</v>
      </c>
      <c r="AA1293" t="s">
        <v>9335</v>
      </c>
      <c r="AB1293" t="s">
        <v>242</v>
      </c>
      <c r="AC1293" t="s">
        <v>3213</v>
      </c>
    </row>
    <row r="1294" spans="1:29" x14ac:dyDescent="0.25">
      <c r="A1294" t="s">
        <v>2581</v>
      </c>
      <c r="B1294" t="s">
        <v>254</v>
      </c>
      <c r="C1294" t="s">
        <v>354</v>
      </c>
      <c r="D1294" t="s">
        <v>3713</v>
      </c>
      <c r="E1294" t="s">
        <v>3761</v>
      </c>
      <c r="F1294">
        <v>10000000</v>
      </c>
      <c r="G1294" t="s">
        <v>9349</v>
      </c>
      <c r="H1294" t="s">
        <v>242</v>
      </c>
      <c r="I1294" t="s">
        <v>242</v>
      </c>
      <c r="J1294" t="s">
        <v>242</v>
      </c>
      <c r="K1294" t="s">
        <v>242</v>
      </c>
      <c r="L1294" t="s">
        <v>241</v>
      </c>
      <c r="M1294">
        <v>38.868499999999997</v>
      </c>
      <c r="N1294">
        <v>-123.05249999999999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 t="s">
        <v>9335</v>
      </c>
      <c r="AB1294" t="s">
        <v>242</v>
      </c>
      <c r="AC1294" t="s">
        <v>3213</v>
      </c>
    </row>
    <row r="1295" spans="1:29" x14ac:dyDescent="0.25">
      <c r="A1295" t="s">
        <v>2582</v>
      </c>
      <c r="B1295" t="s">
        <v>254</v>
      </c>
      <c r="C1295" t="s">
        <v>319</v>
      </c>
      <c r="D1295" t="s">
        <v>3713</v>
      </c>
      <c r="E1295" t="s">
        <v>3761</v>
      </c>
      <c r="F1295">
        <v>10000000</v>
      </c>
      <c r="G1295" t="s">
        <v>9349</v>
      </c>
      <c r="H1295" t="s">
        <v>242</v>
      </c>
      <c r="I1295" t="s">
        <v>242</v>
      </c>
      <c r="J1295" t="s">
        <v>242</v>
      </c>
      <c r="K1295" t="s">
        <v>242</v>
      </c>
      <c r="L1295" t="s">
        <v>241</v>
      </c>
      <c r="M1295">
        <v>38.986600000000003</v>
      </c>
      <c r="N1295">
        <v>-123.1585</v>
      </c>
      <c r="O1295">
        <v>0</v>
      </c>
      <c r="P1295">
        <v>0.33</v>
      </c>
      <c r="Q1295">
        <v>0.63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0.83</v>
      </c>
      <c r="Z1295">
        <v>0.3</v>
      </c>
      <c r="AA1295" t="s">
        <v>9343</v>
      </c>
      <c r="AB1295" t="s">
        <v>242</v>
      </c>
      <c r="AC1295" t="s">
        <v>3213</v>
      </c>
    </row>
    <row r="1296" spans="1:29" x14ac:dyDescent="0.25">
      <c r="A1296" t="s">
        <v>2584</v>
      </c>
      <c r="B1296" t="s">
        <v>254</v>
      </c>
      <c r="C1296" t="s">
        <v>507</v>
      </c>
      <c r="D1296" t="s">
        <v>3713</v>
      </c>
      <c r="E1296" t="s">
        <v>3761</v>
      </c>
      <c r="F1296">
        <v>10000000</v>
      </c>
      <c r="G1296" t="s">
        <v>9349</v>
      </c>
      <c r="H1296" t="s">
        <v>242</v>
      </c>
      <c r="I1296" t="s">
        <v>242</v>
      </c>
      <c r="J1296" t="s">
        <v>242</v>
      </c>
      <c r="K1296" t="s">
        <v>242</v>
      </c>
      <c r="L1296" t="s">
        <v>241</v>
      </c>
      <c r="M1296">
        <v>38.601599999999998</v>
      </c>
      <c r="N1296">
        <v>-122.8455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 t="s">
        <v>9335</v>
      </c>
      <c r="AB1296" t="s">
        <v>242</v>
      </c>
      <c r="AC1296" t="s">
        <v>3229</v>
      </c>
    </row>
    <row r="1297" spans="1:29" x14ac:dyDescent="0.25">
      <c r="A1297" t="s">
        <v>2585</v>
      </c>
      <c r="B1297" t="s">
        <v>254</v>
      </c>
      <c r="C1297" t="s">
        <v>507</v>
      </c>
      <c r="D1297" t="s">
        <v>3713</v>
      </c>
      <c r="E1297" t="s">
        <v>3761</v>
      </c>
      <c r="F1297">
        <v>10000000</v>
      </c>
      <c r="G1297" t="s">
        <v>9349</v>
      </c>
      <c r="H1297" t="s">
        <v>242</v>
      </c>
      <c r="I1297" t="s">
        <v>242</v>
      </c>
      <c r="J1297" t="s">
        <v>242</v>
      </c>
      <c r="K1297" t="s">
        <v>242</v>
      </c>
      <c r="L1297" t="s">
        <v>241</v>
      </c>
      <c r="M1297">
        <v>38.601599999999998</v>
      </c>
      <c r="N1297">
        <v>-122.8455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 t="s">
        <v>9343</v>
      </c>
      <c r="AB1297" t="s">
        <v>242</v>
      </c>
      <c r="AC1297" t="s">
        <v>3229</v>
      </c>
    </row>
    <row r="1298" spans="1:29" x14ac:dyDescent="0.25">
      <c r="A1298" t="s">
        <v>2586</v>
      </c>
      <c r="B1298" t="s">
        <v>254</v>
      </c>
      <c r="C1298" t="s">
        <v>507</v>
      </c>
      <c r="D1298" t="s">
        <v>3713</v>
      </c>
      <c r="E1298" t="s">
        <v>3761</v>
      </c>
      <c r="F1298">
        <v>10000000</v>
      </c>
      <c r="G1298" t="s">
        <v>9349</v>
      </c>
      <c r="H1298" t="s">
        <v>242</v>
      </c>
      <c r="I1298" t="s">
        <v>242</v>
      </c>
      <c r="J1298" t="s">
        <v>242</v>
      </c>
      <c r="K1298" t="s">
        <v>242</v>
      </c>
      <c r="L1298" t="s">
        <v>241</v>
      </c>
      <c r="M1298">
        <v>38.597999999999999</v>
      </c>
      <c r="N1298">
        <v>-122.84780000000001</v>
      </c>
      <c r="O1298">
        <v>0</v>
      </c>
      <c r="P1298">
        <v>0</v>
      </c>
      <c r="Q1298">
        <v>0.04</v>
      </c>
      <c r="R1298">
        <v>0.05</v>
      </c>
      <c r="S1298">
        <v>0.17</v>
      </c>
      <c r="T1298">
        <v>0.28999999999999998</v>
      </c>
      <c r="U1298">
        <v>0.38</v>
      </c>
      <c r="V1298">
        <v>0.28000000000000003</v>
      </c>
      <c r="W1298">
        <v>0.28999999999999998</v>
      </c>
      <c r="X1298">
        <v>0.05</v>
      </c>
      <c r="Y1298">
        <v>0.01</v>
      </c>
      <c r="Z1298">
        <v>0</v>
      </c>
      <c r="AA1298" t="s">
        <v>9335</v>
      </c>
      <c r="AB1298" t="s">
        <v>242</v>
      </c>
      <c r="AC1298" t="s">
        <v>3229</v>
      </c>
    </row>
    <row r="1299" spans="1:29" x14ac:dyDescent="0.25">
      <c r="A1299" t="s">
        <v>2587</v>
      </c>
      <c r="B1299" t="s">
        <v>254</v>
      </c>
      <c r="C1299" t="s">
        <v>507</v>
      </c>
      <c r="D1299" t="s">
        <v>3713</v>
      </c>
      <c r="E1299" t="s">
        <v>3761</v>
      </c>
      <c r="F1299">
        <v>10000000</v>
      </c>
      <c r="G1299" t="s">
        <v>9349</v>
      </c>
      <c r="H1299" t="s">
        <v>242</v>
      </c>
      <c r="I1299" t="s">
        <v>242</v>
      </c>
      <c r="J1299" t="s">
        <v>242</v>
      </c>
      <c r="K1299" t="s">
        <v>242</v>
      </c>
      <c r="L1299" t="s">
        <v>241</v>
      </c>
      <c r="M1299">
        <v>38.6</v>
      </c>
      <c r="N1299">
        <v>-122.8503</v>
      </c>
      <c r="O1299">
        <v>0</v>
      </c>
      <c r="P1299">
        <v>2.9999999999999997E-4</v>
      </c>
      <c r="Q1299">
        <v>0.08</v>
      </c>
      <c r="R1299">
        <v>0.05</v>
      </c>
      <c r="S1299">
        <v>0.26</v>
      </c>
      <c r="T1299">
        <v>0.28000000000000003</v>
      </c>
      <c r="U1299">
        <v>0.39</v>
      </c>
      <c r="V1299">
        <v>0.64</v>
      </c>
      <c r="W1299">
        <v>0.17</v>
      </c>
      <c r="X1299">
        <v>0.09</v>
      </c>
      <c r="Y1299">
        <v>0</v>
      </c>
      <c r="Z1299">
        <v>0</v>
      </c>
      <c r="AA1299" t="s">
        <v>9335</v>
      </c>
      <c r="AB1299" t="s">
        <v>242</v>
      </c>
      <c r="AC1299" t="s">
        <v>3229</v>
      </c>
    </row>
    <row r="1300" spans="1:29" x14ac:dyDescent="0.25">
      <c r="A1300" t="s">
        <v>2588</v>
      </c>
      <c r="B1300" t="s">
        <v>254</v>
      </c>
      <c r="C1300" t="s">
        <v>507</v>
      </c>
      <c r="D1300" t="s">
        <v>3713</v>
      </c>
      <c r="E1300" t="s">
        <v>3761</v>
      </c>
      <c r="F1300">
        <v>10000000</v>
      </c>
      <c r="G1300" t="s">
        <v>9349</v>
      </c>
      <c r="H1300" t="s">
        <v>242</v>
      </c>
      <c r="I1300" t="s">
        <v>242</v>
      </c>
      <c r="J1300" t="s">
        <v>242</v>
      </c>
      <c r="K1300" t="s">
        <v>242</v>
      </c>
      <c r="L1300" t="s">
        <v>241</v>
      </c>
      <c r="M1300">
        <v>38.6</v>
      </c>
      <c r="N1300">
        <v>-122.8503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 t="s">
        <v>9343</v>
      </c>
      <c r="AB1300" t="s">
        <v>242</v>
      </c>
      <c r="AC1300" t="s">
        <v>3229</v>
      </c>
    </row>
    <row r="1301" spans="1:29" x14ac:dyDescent="0.25">
      <c r="A1301" t="s">
        <v>2590</v>
      </c>
      <c r="B1301" t="s">
        <v>254</v>
      </c>
      <c r="C1301" t="s">
        <v>354</v>
      </c>
      <c r="D1301" t="s">
        <v>3713</v>
      </c>
      <c r="E1301" t="s">
        <v>3761</v>
      </c>
      <c r="F1301">
        <v>10000000</v>
      </c>
      <c r="G1301" t="s">
        <v>9349</v>
      </c>
      <c r="H1301" t="s">
        <v>241</v>
      </c>
      <c r="I1301" t="s">
        <v>242</v>
      </c>
      <c r="J1301" t="s">
        <v>242</v>
      </c>
      <c r="K1301" t="s">
        <v>242</v>
      </c>
      <c r="L1301" t="s">
        <v>241</v>
      </c>
      <c r="M1301">
        <v>38.724499999999999</v>
      </c>
      <c r="N1301">
        <v>-122.9265</v>
      </c>
      <c r="O1301">
        <v>0</v>
      </c>
      <c r="P1301">
        <v>0</v>
      </c>
      <c r="Q1301">
        <v>0.03</v>
      </c>
      <c r="R1301">
        <v>0</v>
      </c>
      <c r="S1301">
        <v>0.69</v>
      </c>
      <c r="T1301">
        <v>1.04</v>
      </c>
      <c r="U1301">
        <v>1.95</v>
      </c>
      <c r="V1301">
        <v>2.2400000000000002</v>
      </c>
      <c r="W1301">
        <v>2.0299999999999998</v>
      </c>
      <c r="X1301">
        <v>0.91</v>
      </c>
      <c r="Y1301">
        <v>0.5</v>
      </c>
      <c r="Z1301">
        <v>0</v>
      </c>
      <c r="AA1301" t="s">
        <v>9335</v>
      </c>
      <c r="AB1301" t="s">
        <v>242</v>
      </c>
      <c r="AC1301" t="s">
        <v>3229</v>
      </c>
    </row>
    <row r="1302" spans="1:29" x14ac:dyDescent="0.25">
      <c r="A1302" t="s">
        <v>2591</v>
      </c>
      <c r="B1302" t="s">
        <v>254</v>
      </c>
      <c r="C1302" t="s">
        <v>507</v>
      </c>
      <c r="D1302" t="s">
        <v>3713</v>
      </c>
      <c r="E1302" t="s">
        <v>3761</v>
      </c>
      <c r="F1302">
        <v>10000000</v>
      </c>
      <c r="G1302" t="s">
        <v>9349</v>
      </c>
      <c r="H1302" t="s">
        <v>242</v>
      </c>
      <c r="I1302" t="s">
        <v>242</v>
      </c>
      <c r="J1302" t="s">
        <v>242</v>
      </c>
      <c r="K1302" t="s">
        <v>242</v>
      </c>
      <c r="L1302" t="s">
        <v>241</v>
      </c>
      <c r="M1302">
        <v>38.598599999999998</v>
      </c>
      <c r="N1302">
        <v>-122.846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 t="s">
        <v>9335</v>
      </c>
      <c r="AB1302" t="s">
        <v>242</v>
      </c>
      <c r="AC1302" t="s">
        <v>3229</v>
      </c>
    </row>
    <row r="1303" spans="1:29" x14ac:dyDescent="0.25">
      <c r="A1303" t="s">
        <v>2593</v>
      </c>
      <c r="B1303" t="s">
        <v>254</v>
      </c>
      <c r="C1303" t="s">
        <v>319</v>
      </c>
      <c r="D1303" t="s">
        <v>3713</v>
      </c>
      <c r="E1303" t="s">
        <v>3761</v>
      </c>
      <c r="F1303">
        <v>10000000</v>
      </c>
      <c r="G1303" t="s">
        <v>9349</v>
      </c>
      <c r="H1303" t="s">
        <v>242</v>
      </c>
      <c r="I1303" t="s">
        <v>242</v>
      </c>
      <c r="J1303" t="s">
        <v>242</v>
      </c>
      <c r="K1303" t="s">
        <v>242</v>
      </c>
      <c r="L1303" t="s">
        <v>241</v>
      </c>
      <c r="M1303">
        <v>38.9895</v>
      </c>
      <c r="N1303">
        <v>-123.1628</v>
      </c>
      <c r="O1303">
        <v>4.7567899285256101E-4</v>
      </c>
      <c r="P1303">
        <v>4.7567899285256101E-4</v>
      </c>
      <c r="Q1303">
        <v>4.7567899285256101E-4</v>
      </c>
      <c r="R1303">
        <v>4.7567899285256101E-4</v>
      </c>
      <c r="S1303">
        <v>9.2066901896879305E-4</v>
      </c>
      <c r="T1303">
        <v>9.2066901896879305E-4</v>
      </c>
      <c r="U1303">
        <v>9.2066901896879305E-4</v>
      </c>
      <c r="V1303">
        <v>9.2066901896879305E-4</v>
      </c>
      <c r="W1303">
        <v>9.2066901896879305E-4</v>
      </c>
      <c r="X1303">
        <v>4.7567899285256101E-4</v>
      </c>
      <c r="Y1303">
        <v>4.7567899285256101E-4</v>
      </c>
      <c r="Z1303">
        <v>4.7567899285256101E-4</v>
      </c>
      <c r="AA1303" t="s">
        <v>9335</v>
      </c>
      <c r="AB1303" t="s">
        <v>241</v>
      </c>
      <c r="AC1303" t="s">
        <v>3213</v>
      </c>
    </row>
    <row r="1304" spans="1:29" x14ac:dyDescent="0.25">
      <c r="A1304" t="s">
        <v>2594</v>
      </c>
      <c r="B1304" t="s">
        <v>254</v>
      </c>
      <c r="C1304" t="s">
        <v>311</v>
      </c>
      <c r="D1304" t="s">
        <v>3713</v>
      </c>
      <c r="E1304" t="s">
        <v>3761</v>
      </c>
      <c r="F1304">
        <v>10000000</v>
      </c>
      <c r="G1304" t="s">
        <v>9349</v>
      </c>
      <c r="H1304" t="s">
        <v>242</v>
      </c>
      <c r="I1304" t="s">
        <v>242</v>
      </c>
      <c r="J1304" t="s">
        <v>242</v>
      </c>
      <c r="K1304" t="s">
        <v>242</v>
      </c>
      <c r="L1304" t="s">
        <v>241</v>
      </c>
      <c r="M1304">
        <v>38.6051</v>
      </c>
      <c r="N1304">
        <v>-122.67440000000001</v>
      </c>
      <c r="O1304">
        <v>3.36</v>
      </c>
      <c r="P1304">
        <v>3.36</v>
      </c>
      <c r="Q1304">
        <v>4.1500000000000004</v>
      </c>
      <c r="R1304">
        <v>3.02</v>
      </c>
      <c r="S1304">
        <v>0.26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2.33</v>
      </c>
      <c r="AA1304" t="s">
        <v>9335</v>
      </c>
      <c r="AB1304" t="s">
        <v>242</v>
      </c>
      <c r="AC1304" t="s">
        <v>3229</v>
      </c>
    </row>
    <row r="1305" spans="1:29" x14ac:dyDescent="0.25">
      <c r="A1305" t="s">
        <v>2595</v>
      </c>
      <c r="B1305" t="s">
        <v>254</v>
      </c>
      <c r="C1305" t="s">
        <v>354</v>
      </c>
      <c r="D1305" t="s">
        <v>3713</v>
      </c>
      <c r="E1305" t="s">
        <v>3761</v>
      </c>
      <c r="F1305">
        <v>10000000</v>
      </c>
      <c r="G1305" t="s">
        <v>9349</v>
      </c>
      <c r="H1305" t="s">
        <v>241</v>
      </c>
      <c r="I1305" t="s">
        <v>242</v>
      </c>
      <c r="J1305" t="s">
        <v>242</v>
      </c>
      <c r="K1305" t="s">
        <v>242</v>
      </c>
      <c r="L1305" t="s">
        <v>241</v>
      </c>
      <c r="M1305">
        <v>38.790399999999998</v>
      </c>
      <c r="N1305">
        <v>-123.0033</v>
      </c>
      <c r="O1305">
        <v>0.01</v>
      </c>
      <c r="P1305">
        <v>6.6666666666666697E-3</v>
      </c>
      <c r="Q1305">
        <v>6.6666666666666697E-3</v>
      </c>
      <c r="R1305">
        <v>0.02</v>
      </c>
      <c r="S1305">
        <v>0.02</v>
      </c>
      <c r="T1305">
        <v>0.04</v>
      </c>
      <c r="U1305">
        <v>0.06</v>
      </c>
      <c r="V1305">
        <v>0.04</v>
      </c>
      <c r="W1305">
        <v>0.04</v>
      </c>
      <c r="X1305">
        <v>0.04</v>
      </c>
      <c r="Y1305">
        <v>0.03</v>
      </c>
      <c r="Z1305">
        <v>0.02</v>
      </c>
      <c r="AA1305" t="s">
        <v>9335</v>
      </c>
      <c r="AB1305" t="s">
        <v>242</v>
      </c>
      <c r="AC1305" t="s">
        <v>3229</v>
      </c>
    </row>
    <row r="1306" spans="1:29" x14ac:dyDescent="0.25">
      <c r="A1306" t="s">
        <v>2610</v>
      </c>
      <c r="B1306" t="s">
        <v>254</v>
      </c>
      <c r="C1306" t="s">
        <v>333</v>
      </c>
      <c r="D1306" t="s">
        <v>3713</v>
      </c>
      <c r="E1306" t="s">
        <v>3761</v>
      </c>
      <c r="F1306">
        <v>10000000</v>
      </c>
      <c r="G1306" t="s">
        <v>9349</v>
      </c>
      <c r="H1306" t="s">
        <v>242</v>
      </c>
      <c r="I1306" t="s">
        <v>242</v>
      </c>
      <c r="J1306" t="s">
        <v>242</v>
      </c>
      <c r="K1306" t="s">
        <v>242</v>
      </c>
      <c r="L1306" t="s">
        <v>241</v>
      </c>
      <c r="M1306">
        <v>39.104599999999998</v>
      </c>
      <c r="N1306">
        <v>-123.15989999999999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 t="s">
        <v>9335</v>
      </c>
      <c r="AB1306" t="s">
        <v>242</v>
      </c>
      <c r="AC1306" t="s">
        <v>3213</v>
      </c>
    </row>
    <row r="1307" spans="1:29" x14ac:dyDescent="0.25">
      <c r="A1307" t="s">
        <v>2611</v>
      </c>
      <c r="B1307" t="s">
        <v>254</v>
      </c>
      <c r="C1307" t="s">
        <v>333</v>
      </c>
      <c r="D1307" t="s">
        <v>3713</v>
      </c>
      <c r="E1307" t="s">
        <v>3761</v>
      </c>
      <c r="F1307">
        <v>10000000</v>
      </c>
      <c r="G1307" t="s">
        <v>9349</v>
      </c>
      <c r="H1307" t="s">
        <v>241</v>
      </c>
      <c r="I1307" t="s">
        <v>242</v>
      </c>
      <c r="J1307" t="s">
        <v>242</v>
      </c>
      <c r="K1307" t="s">
        <v>242</v>
      </c>
      <c r="L1307" t="s">
        <v>241</v>
      </c>
      <c r="M1307">
        <v>39.107500000000002</v>
      </c>
      <c r="N1307">
        <v>-123.16849999999999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 t="s">
        <v>9335</v>
      </c>
      <c r="AB1307" t="s">
        <v>242</v>
      </c>
      <c r="AC1307" t="s">
        <v>3213</v>
      </c>
    </row>
    <row r="1308" spans="1:29" x14ac:dyDescent="0.25">
      <c r="A1308" t="s">
        <v>2613</v>
      </c>
      <c r="B1308" t="s">
        <v>254</v>
      </c>
      <c r="C1308" t="s">
        <v>333</v>
      </c>
      <c r="D1308" t="s">
        <v>3713</v>
      </c>
      <c r="E1308" t="s">
        <v>3761</v>
      </c>
      <c r="F1308">
        <v>10000000</v>
      </c>
      <c r="G1308" t="s">
        <v>9349</v>
      </c>
      <c r="H1308" t="s">
        <v>241</v>
      </c>
      <c r="I1308" t="s">
        <v>242</v>
      </c>
      <c r="J1308" t="s">
        <v>242</v>
      </c>
      <c r="K1308" t="s">
        <v>242</v>
      </c>
      <c r="L1308" t="s">
        <v>241</v>
      </c>
      <c r="M1308">
        <v>39.108899999999998</v>
      </c>
      <c r="N1308">
        <v>-123.1649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 t="s">
        <v>9335</v>
      </c>
      <c r="AB1308" t="s">
        <v>242</v>
      </c>
      <c r="AC1308" t="s">
        <v>3213</v>
      </c>
    </row>
    <row r="1309" spans="1:29" x14ac:dyDescent="0.25">
      <c r="A1309" t="s">
        <v>2616</v>
      </c>
      <c r="B1309" t="s">
        <v>254</v>
      </c>
      <c r="C1309" t="s">
        <v>319</v>
      </c>
      <c r="D1309" t="s">
        <v>3713</v>
      </c>
      <c r="E1309" t="s">
        <v>3761</v>
      </c>
      <c r="F1309">
        <v>10000000</v>
      </c>
      <c r="G1309" t="s">
        <v>9349</v>
      </c>
      <c r="H1309" t="s">
        <v>242</v>
      </c>
      <c r="I1309" t="s">
        <v>242</v>
      </c>
      <c r="J1309" t="s">
        <v>242</v>
      </c>
      <c r="K1309" t="s">
        <v>242</v>
      </c>
      <c r="L1309" t="s">
        <v>241</v>
      </c>
      <c r="M1309">
        <v>38.978200000000001</v>
      </c>
      <c r="N1309">
        <v>-123.2137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 t="s">
        <v>9341</v>
      </c>
      <c r="AB1309" t="s">
        <v>242</v>
      </c>
      <c r="AC1309" t="s">
        <v>3213</v>
      </c>
    </row>
    <row r="1310" spans="1:29" x14ac:dyDescent="0.25">
      <c r="A1310" t="s">
        <v>2617</v>
      </c>
      <c r="B1310" t="s">
        <v>254</v>
      </c>
      <c r="C1310" t="s">
        <v>319</v>
      </c>
      <c r="D1310" t="s">
        <v>3713</v>
      </c>
      <c r="E1310" t="s">
        <v>3761</v>
      </c>
      <c r="F1310">
        <v>10000000</v>
      </c>
      <c r="G1310" t="s">
        <v>9349</v>
      </c>
      <c r="H1310" t="s">
        <v>242</v>
      </c>
      <c r="I1310" t="s">
        <v>242</v>
      </c>
      <c r="J1310" t="s">
        <v>242</v>
      </c>
      <c r="K1310" t="s">
        <v>242</v>
      </c>
      <c r="L1310" t="s">
        <v>241</v>
      </c>
      <c r="M1310">
        <v>38.974699999999999</v>
      </c>
      <c r="N1310">
        <v>-123.2055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 t="s">
        <v>9341</v>
      </c>
      <c r="AB1310" t="s">
        <v>242</v>
      </c>
      <c r="AC1310" t="s">
        <v>3213</v>
      </c>
    </row>
    <row r="1311" spans="1:29" x14ac:dyDescent="0.25">
      <c r="A1311" t="s">
        <v>2618</v>
      </c>
      <c r="B1311" t="s">
        <v>254</v>
      </c>
      <c r="C1311" t="s">
        <v>319</v>
      </c>
      <c r="D1311" t="s">
        <v>3713</v>
      </c>
      <c r="E1311" t="s">
        <v>3761</v>
      </c>
      <c r="F1311">
        <v>10000000</v>
      </c>
      <c r="G1311" t="s">
        <v>9349</v>
      </c>
      <c r="H1311" t="s">
        <v>242</v>
      </c>
      <c r="I1311" t="s">
        <v>242</v>
      </c>
      <c r="J1311" t="s">
        <v>242</v>
      </c>
      <c r="K1311" t="s">
        <v>242</v>
      </c>
      <c r="L1311" t="s">
        <v>241</v>
      </c>
      <c r="M1311">
        <v>38.9726</v>
      </c>
      <c r="N1311">
        <v>-123.2076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 t="s">
        <v>9341</v>
      </c>
      <c r="AB1311" t="s">
        <v>242</v>
      </c>
      <c r="AC1311" t="s">
        <v>3213</v>
      </c>
    </row>
    <row r="1312" spans="1:29" x14ac:dyDescent="0.25">
      <c r="A1312" t="s">
        <v>2619</v>
      </c>
      <c r="B1312" t="s">
        <v>254</v>
      </c>
      <c r="C1312" t="s">
        <v>319</v>
      </c>
      <c r="D1312" t="s">
        <v>3713</v>
      </c>
      <c r="E1312" t="s">
        <v>3761</v>
      </c>
      <c r="F1312">
        <v>10000000</v>
      </c>
      <c r="G1312" t="s">
        <v>9349</v>
      </c>
      <c r="H1312" t="s">
        <v>242</v>
      </c>
      <c r="I1312" t="s">
        <v>242</v>
      </c>
      <c r="J1312" t="s">
        <v>242</v>
      </c>
      <c r="K1312" t="s">
        <v>242</v>
      </c>
      <c r="L1312" t="s">
        <v>241</v>
      </c>
      <c r="M1312">
        <v>38.982199999999999</v>
      </c>
      <c r="N1312">
        <v>-123.1901</v>
      </c>
      <c r="O1312">
        <v>0</v>
      </c>
      <c r="P1312">
        <v>0</v>
      </c>
      <c r="Q1312">
        <v>0</v>
      </c>
      <c r="R1312">
        <v>0</v>
      </c>
      <c r="S1312">
        <v>0.1</v>
      </c>
      <c r="T1312">
        <v>0.1</v>
      </c>
      <c r="U1312">
        <v>0.3</v>
      </c>
      <c r="V1312">
        <v>0.4</v>
      </c>
      <c r="W1312">
        <v>0.4</v>
      </c>
      <c r="X1312">
        <v>0.2</v>
      </c>
      <c r="Y1312">
        <v>0</v>
      </c>
      <c r="Z1312">
        <v>0</v>
      </c>
      <c r="AA1312" t="s">
        <v>9341</v>
      </c>
      <c r="AB1312" t="s">
        <v>242</v>
      </c>
      <c r="AC1312" t="s">
        <v>3213</v>
      </c>
    </row>
    <row r="1313" spans="1:29" x14ac:dyDescent="0.25">
      <c r="A1313" t="s">
        <v>2620</v>
      </c>
      <c r="B1313" t="s">
        <v>254</v>
      </c>
      <c r="C1313" t="s">
        <v>319</v>
      </c>
      <c r="D1313" t="s">
        <v>3713</v>
      </c>
      <c r="E1313" t="s">
        <v>3761</v>
      </c>
      <c r="F1313">
        <v>10000000</v>
      </c>
      <c r="G1313" t="s">
        <v>9349</v>
      </c>
      <c r="H1313" t="s">
        <v>242</v>
      </c>
      <c r="I1313" t="s">
        <v>242</v>
      </c>
      <c r="J1313" t="s">
        <v>242</v>
      </c>
      <c r="K1313" t="s">
        <v>242</v>
      </c>
      <c r="L1313" t="s">
        <v>241</v>
      </c>
      <c r="M1313">
        <v>38.979900000000001</v>
      </c>
      <c r="N1313">
        <v>-123.182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 t="s">
        <v>9341</v>
      </c>
      <c r="AB1313" t="s">
        <v>242</v>
      </c>
      <c r="AC1313" t="s">
        <v>3213</v>
      </c>
    </row>
    <row r="1314" spans="1:29" x14ac:dyDescent="0.25">
      <c r="A1314" t="s">
        <v>1822</v>
      </c>
      <c r="B1314" t="s">
        <v>254</v>
      </c>
      <c r="C1314" t="s">
        <v>311</v>
      </c>
      <c r="D1314" t="s">
        <v>3713</v>
      </c>
      <c r="E1314" t="s">
        <v>3761</v>
      </c>
      <c r="F1314">
        <v>18950101</v>
      </c>
      <c r="G1314" t="s">
        <v>9348</v>
      </c>
      <c r="H1314" t="s">
        <v>241</v>
      </c>
      <c r="I1314" t="s">
        <v>241</v>
      </c>
      <c r="J1314" t="s">
        <v>242</v>
      </c>
      <c r="K1314" t="s">
        <v>242</v>
      </c>
      <c r="L1314" t="s">
        <v>242</v>
      </c>
      <c r="M1314">
        <v>38.633899999999997</v>
      </c>
      <c r="N1314">
        <v>-122.8516</v>
      </c>
      <c r="O1314">
        <v>0</v>
      </c>
      <c r="P1314">
        <v>0.6</v>
      </c>
      <c r="Q1314">
        <v>0</v>
      </c>
      <c r="R1314">
        <v>0.1</v>
      </c>
      <c r="S1314">
        <v>0.53</v>
      </c>
      <c r="T1314">
        <v>2.2000000000000002</v>
      </c>
      <c r="U1314">
        <v>3.06</v>
      </c>
      <c r="V1314">
        <v>2.46</v>
      </c>
      <c r="W1314">
        <v>1.66</v>
      </c>
      <c r="X1314">
        <v>0.43</v>
      </c>
      <c r="Y1314">
        <v>0.3</v>
      </c>
      <c r="Z1314">
        <v>0</v>
      </c>
      <c r="AA1314" t="s">
        <v>9335</v>
      </c>
      <c r="AB1314" t="s">
        <v>242</v>
      </c>
      <c r="AC1314" t="s">
        <v>3229</v>
      </c>
    </row>
    <row r="1315" spans="1:29" x14ac:dyDescent="0.25">
      <c r="A1315" t="s">
        <v>1823</v>
      </c>
      <c r="B1315" t="s">
        <v>254</v>
      </c>
      <c r="C1315" t="s">
        <v>311</v>
      </c>
      <c r="D1315" t="s">
        <v>3713</v>
      </c>
      <c r="E1315" t="s">
        <v>3761</v>
      </c>
      <c r="F1315">
        <v>18950101</v>
      </c>
      <c r="G1315" t="s">
        <v>9348</v>
      </c>
      <c r="H1315" t="s">
        <v>241</v>
      </c>
      <c r="I1315" t="s">
        <v>241</v>
      </c>
      <c r="J1315" t="s">
        <v>242</v>
      </c>
      <c r="K1315" t="s">
        <v>242</v>
      </c>
      <c r="L1315" t="s">
        <v>242</v>
      </c>
      <c r="M1315">
        <v>38.633499999999998</v>
      </c>
      <c r="N1315">
        <v>-122.8533</v>
      </c>
      <c r="O1315">
        <v>0</v>
      </c>
      <c r="P1315">
        <v>0.4</v>
      </c>
      <c r="Q1315">
        <v>0</v>
      </c>
      <c r="R1315">
        <v>0.03</v>
      </c>
      <c r="S1315">
        <v>0.46</v>
      </c>
      <c r="T1315">
        <v>1.26</v>
      </c>
      <c r="U1315">
        <v>2.46</v>
      </c>
      <c r="V1315">
        <v>2.2599999999999998</v>
      </c>
      <c r="W1315">
        <v>2</v>
      </c>
      <c r="X1315">
        <v>0.4</v>
      </c>
      <c r="Y1315">
        <v>0.06</v>
      </c>
      <c r="Z1315">
        <v>0</v>
      </c>
      <c r="AA1315" t="s">
        <v>9343</v>
      </c>
      <c r="AB1315" t="s">
        <v>242</v>
      </c>
      <c r="AC1315" t="s">
        <v>3229</v>
      </c>
    </row>
    <row r="1316" spans="1:29" x14ac:dyDescent="0.25">
      <c r="A1316" t="s">
        <v>1794</v>
      </c>
      <c r="B1316" t="s">
        <v>254</v>
      </c>
      <c r="C1316" t="s">
        <v>354</v>
      </c>
      <c r="D1316" t="s">
        <v>3713</v>
      </c>
      <c r="E1316" t="s">
        <v>3761</v>
      </c>
      <c r="F1316">
        <v>19020101</v>
      </c>
      <c r="G1316" t="s">
        <v>9348</v>
      </c>
      <c r="H1316" t="s">
        <v>241</v>
      </c>
      <c r="I1316" t="s">
        <v>241</v>
      </c>
      <c r="J1316" t="s">
        <v>242</v>
      </c>
      <c r="K1316" t="s">
        <v>242</v>
      </c>
      <c r="L1316" t="s">
        <v>242</v>
      </c>
      <c r="M1316">
        <v>38.736499999999999</v>
      </c>
      <c r="N1316">
        <v>-122.93859999999999</v>
      </c>
      <c r="O1316">
        <v>0</v>
      </c>
      <c r="P1316">
        <v>0</v>
      </c>
      <c r="Q1316">
        <v>0</v>
      </c>
      <c r="R1316">
        <v>1.2</v>
      </c>
      <c r="S1316">
        <v>1.73</v>
      </c>
      <c r="T1316">
        <v>2.86</v>
      </c>
      <c r="U1316">
        <v>3.63</v>
      </c>
      <c r="V1316">
        <v>1.26</v>
      </c>
      <c r="W1316">
        <v>1.76</v>
      </c>
      <c r="X1316">
        <v>0.2</v>
      </c>
      <c r="Y1316">
        <v>0.1</v>
      </c>
      <c r="Z1316">
        <v>0</v>
      </c>
      <c r="AA1316" t="s">
        <v>9335</v>
      </c>
      <c r="AB1316" t="s">
        <v>242</v>
      </c>
      <c r="AC1316" t="s">
        <v>3229</v>
      </c>
    </row>
    <row r="1317" spans="1:29" x14ac:dyDescent="0.25">
      <c r="A1317" t="s">
        <v>1795</v>
      </c>
      <c r="B1317" t="s">
        <v>254</v>
      </c>
      <c r="C1317" t="s">
        <v>354</v>
      </c>
      <c r="D1317" t="s">
        <v>3713</v>
      </c>
      <c r="E1317" t="s">
        <v>3761</v>
      </c>
      <c r="F1317">
        <v>19020101</v>
      </c>
      <c r="G1317" t="s">
        <v>9348</v>
      </c>
      <c r="H1317" t="s">
        <v>241</v>
      </c>
      <c r="I1317" t="s">
        <v>241</v>
      </c>
      <c r="J1317" t="s">
        <v>242</v>
      </c>
      <c r="K1317" t="s">
        <v>242</v>
      </c>
      <c r="L1317" t="s">
        <v>242</v>
      </c>
      <c r="M1317">
        <v>38.738100000000003</v>
      </c>
      <c r="N1317">
        <v>-122.941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 t="s">
        <v>9335</v>
      </c>
      <c r="AB1317" t="s">
        <v>242</v>
      </c>
      <c r="AC1317" t="s">
        <v>3229</v>
      </c>
    </row>
    <row r="1318" spans="1:29" x14ac:dyDescent="0.25">
      <c r="A1318" t="s">
        <v>1796</v>
      </c>
      <c r="B1318" t="s">
        <v>254</v>
      </c>
      <c r="C1318" t="s">
        <v>354</v>
      </c>
      <c r="D1318" t="s">
        <v>3713</v>
      </c>
      <c r="E1318" t="s">
        <v>3761</v>
      </c>
      <c r="F1318">
        <v>19020101</v>
      </c>
      <c r="G1318" t="s">
        <v>9348</v>
      </c>
      <c r="H1318" t="s">
        <v>241</v>
      </c>
      <c r="I1318" t="s">
        <v>241</v>
      </c>
      <c r="J1318" t="s">
        <v>242</v>
      </c>
      <c r="K1318" t="s">
        <v>242</v>
      </c>
      <c r="L1318" t="s">
        <v>242</v>
      </c>
      <c r="M1318">
        <v>38.738300000000002</v>
      </c>
      <c r="N1318">
        <v>-122.9404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 t="s">
        <v>9335</v>
      </c>
      <c r="AB1318" t="s">
        <v>242</v>
      </c>
      <c r="AC1318" t="s">
        <v>3229</v>
      </c>
    </row>
    <row r="1319" spans="1:29" x14ac:dyDescent="0.25">
      <c r="A1319" t="s">
        <v>1797</v>
      </c>
      <c r="B1319" t="s">
        <v>254</v>
      </c>
      <c r="C1319" t="s">
        <v>354</v>
      </c>
      <c r="D1319" t="s">
        <v>3713</v>
      </c>
      <c r="E1319" t="s">
        <v>3761</v>
      </c>
      <c r="F1319">
        <v>19020101</v>
      </c>
      <c r="G1319" t="s">
        <v>9348</v>
      </c>
      <c r="H1319" t="s">
        <v>241</v>
      </c>
      <c r="I1319" t="s">
        <v>241</v>
      </c>
      <c r="J1319" t="s">
        <v>242</v>
      </c>
      <c r="K1319" t="s">
        <v>242</v>
      </c>
      <c r="L1319" t="s">
        <v>242</v>
      </c>
      <c r="M1319">
        <v>38.738100000000003</v>
      </c>
      <c r="N1319">
        <v>-122.9391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 t="s">
        <v>9335</v>
      </c>
      <c r="AB1319" t="s">
        <v>242</v>
      </c>
      <c r="AC1319" t="s">
        <v>3229</v>
      </c>
    </row>
    <row r="1320" spans="1:29" x14ac:dyDescent="0.25">
      <c r="A1320" t="s">
        <v>1798</v>
      </c>
      <c r="B1320" t="s">
        <v>254</v>
      </c>
      <c r="C1320" t="s">
        <v>354</v>
      </c>
      <c r="D1320" t="s">
        <v>3713</v>
      </c>
      <c r="E1320" t="s">
        <v>3761</v>
      </c>
      <c r="F1320">
        <v>19020101</v>
      </c>
      <c r="G1320" t="s">
        <v>9348</v>
      </c>
      <c r="H1320" t="s">
        <v>241</v>
      </c>
      <c r="I1320" t="s">
        <v>241</v>
      </c>
      <c r="J1320" t="s">
        <v>242</v>
      </c>
      <c r="K1320" t="s">
        <v>242</v>
      </c>
      <c r="L1320" t="s">
        <v>242</v>
      </c>
      <c r="M1320">
        <v>38.7378</v>
      </c>
      <c r="N1320">
        <v>-122.9391</v>
      </c>
      <c r="O1320">
        <v>0</v>
      </c>
      <c r="P1320">
        <v>0</v>
      </c>
      <c r="Q1320">
        <v>0</v>
      </c>
      <c r="R1320">
        <v>1.3</v>
      </c>
      <c r="S1320">
        <v>7.26</v>
      </c>
      <c r="T1320">
        <v>15.96</v>
      </c>
      <c r="U1320">
        <v>26.43</v>
      </c>
      <c r="V1320">
        <v>23</v>
      </c>
      <c r="W1320">
        <v>14.73</v>
      </c>
      <c r="X1320">
        <v>0.8</v>
      </c>
      <c r="Y1320">
        <v>0.1</v>
      </c>
      <c r="Z1320">
        <v>0</v>
      </c>
      <c r="AA1320" t="s">
        <v>9335</v>
      </c>
      <c r="AB1320" t="s">
        <v>242</v>
      </c>
      <c r="AC1320" t="s">
        <v>3229</v>
      </c>
    </row>
    <row r="1321" spans="1:29" x14ac:dyDescent="0.25">
      <c r="A1321" t="s">
        <v>1799</v>
      </c>
      <c r="B1321" t="s">
        <v>254</v>
      </c>
      <c r="C1321" t="s">
        <v>354</v>
      </c>
      <c r="D1321" t="s">
        <v>3713</v>
      </c>
      <c r="E1321" t="s">
        <v>3761</v>
      </c>
      <c r="F1321">
        <v>19020101</v>
      </c>
      <c r="G1321" t="s">
        <v>9348</v>
      </c>
      <c r="H1321" t="s">
        <v>241</v>
      </c>
      <c r="I1321" t="s">
        <v>241</v>
      </c>
      <c r="J1321" t="s">
        <v>242</v>
      </c>
      <c r="K1321" t="s">
        <v>242</v>
      </c>
      <c r="L1321" t="s">
        <v>242</v>
      </c>
      <c r="M1321">
        <v>38.735300000000002</v>
      </c>
      <c r="N1321">
        <v>-122.93819999999999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 t="s">
        <v>9335</v>
      </c>
      <c r="AB1321" t="s">
        <v>242</v>
      </c>
      <c r="AC1321" t="s">
        <v>3229</v>
      </c>
    </row>
    <row r="1322" spans="1:29" x14ac:dyDescent="0.25">
      <c r="A1322" t="s">
        <v>2625</v>
      </c>
      <c r="B1322" t="s">
        <v>254</v>
      </c>
      <c r="C1322" t="s">
        <v>354</v>
      </c>
      <c r="D1322" t="s">
        <v>3713</v>
      </c>
      <c r="E1322" t="s">
        <v>3761</v>
      </c>
      <c r="F1322">
        <v>10000000</v>
      </c>
      <c r="G1322" t="s">
        <v>9349</v>
      </c>
      <c r="H1322" t="s">
        <v>241</v>
      </c>
      <c r="I1322" t="s">
        <v>242</v>
      </c>
      <c r="J1322" t="s">
        <v>242</v>
      </c>
      <c r="K1322" t="s">
        <v>242</v>
      </c>
      <c r="L1322" t="s">
        <v>241</v>
      </c>
      <c r="M1322">
        <v>38.807499999999997</v>
      </c>
      <c r="N1322">
        <v>-123.00020000000001</v>
      </c>
      <c r="O1322">
        <v>0</v>
      </c>
      <c r="P1322">
        <v>0</v>
      </c>
      <c r="Q1322">
        <v>0</v>
      </c>
      <c r="R1322">
        <v>0</v>
      </c>
      <c r="S1322">
        <v>0.06</v>
      </c>
      <c r="T1322">
        <v>0.66</v>
      </c>
      <c r="U1322">
        <v>1.1599999999999999</v>
      </c>
      <c r="V1322">
        <v>1.66</v>
      </c>
      <c r="W1322">
        <v>2.36</v>
      </c>
      <c r="X1322">
        <v>1.21</v>
      </c>
      <c r="Y1322">
        <v>0.63</v>
      </c>
      <c r="Z1322">
        <v>0</v>
      </c>
      <c r="AA1322" t="s">
        <v>9335</v>
      </c>
      <c r="AB1322" t="s">
        <v>242</v>
      </c>
      <c r="AC1322" t="s">
        <v>3229</v>
      </c>
    </row>
    <row r="1323" spans="1:29" x14ac:dyDescent="0.25">
      <c r="A1323" t="s">
        <v>2626</v>
      </c>
      <c r="B1323" t="s">
        <v>254</v>
      </c>
      <c r="C1323" t="s">
        <v>354</v>
      </c>
      <c r="D1323" t="s">
        <v>3713</v>
      </c>
      <c r="E1323" t="s">
        <v>3761</v>
      </c>
      <c r="F1323">
        <v>10000000</v>
      </c>
      <c r="G1323" t="s">
        <v>9349</v>
      </c>
      <c r="H1323" t="s">
        <v>241</v>
      </c>
      <c r="I1323" t="s">
        <v>242</v>
      </c>
      <c r="J1323" t="s">
        <v>242</v>
      </c>
      <c r="K1323" t="s">
        <v>242</v>
      </c>
      <c r="L1323" t="s">
        <v>241</v>
      </c>
      <c r="M1323">
        <v>38.807899999999997</v>
      </c>
      <c r="N1323">
        <v>-122.99809999999999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 t="s">
        <v>9335</v>
      </c>
      <c r="AB1323" t="s">
        <v>242</v>
      </c>
      <c r="AC1323" t="s">
        <v>3229</v>
      </c>
    </row>
    <row r="1324" spans="1:29" x14ac:dyDescent="0.25">
      <c r="A1324" t="s">
        <v>2627</v>
      </c>
      <c r="B1324" t="s">
        <v>254</v>
      </c>
      <c r="C1324" t="s">
        <v>354</v>
      </c>
      <c r="D1324" t="s">
        <v>3713</v>
      </c>
      <c r="E1324" t="s">
        <v>3761</v>
      </c>
      <c r="F1324">
        <v>10000000</v>
      </c>
      <c r="G1324" t="s">
        <v>9349</v>
      </c>
      <c r="H1324" t="s">
        <v>241</v>
      </c>
      <c r="I1324" t="s">
        <v>242</v>
      </c>
      <c r="J1324" t="s">
        <v>242</v>
      </c>
      <c r="K1324" t="s">
        <v>242</v>
      </c>
      <c r="L1324" t="s">
        <v>241</v>
      </c>
      <c r="M1324">
        <v>38.808799999999998</v>
      </c>
      <c r="N1324">
        <v>-122.9974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 t="s">
        <v>9335</v>
      </c>
      <c r="AB1324" t="s">
        <v>242</v>
      </c>
      <c r="AC1324" t="s">
        <v>3229</v>
      </c>
    </row>
    <row r="1325" spans="1:29" x14ac:dyDescent="0.25">
      <c r="A1325" t="s">
        <v>2628</v>
      </c>
      <c r="B1325" t="s">
        <v>254</v>
      </c>
      <c r="C1325" t="s">
        <v>333</v>
      </c>
      <c r="D1325" t="s">
        <v>3713</v>
      </c>
      <c r="E1325" t="s">
        <v>3761</v>
      </c>
      <c r="F1325">
        <v>10000000</v>
      </c>
      <c r="G1325" t="s">
        <v>9349</v>
      </c>
      <c r="H1325" t="s">
        <v>242</v>
      </c>
      <c r="I1325" t="s">
        <v>242</v>
      </c>
      <c r="J1325" t="s">
        <v>242</v>
      </c>
      <c r="K1325" t="s">
        <v>242</v>
      </c>
      <c r="L1325" t="s">
        <v>241</v>
      </c>
      <c r="M1325">
        <v>39.083300000000001</v>
      </c>
      <c r="N1325">
        <v>-123.15</v>
      </c>
      <c r="O1325">
        <v>1.66</v>
      </c>
      <c r="P1325">
        <v>2.66</v>
      </c>
      <c r="Q1325">
        <v>1.33</v>
      </c>
      <c r="R1325">
        <v>0</v>
      </c>
      <c r="S1325">
        <v>0</v>
      </c>
      <c r="T1325">
        <v>0.66</v>
      </c>
      <c r="U1325">
        <v>0.33</v>
      </c>
      <c r="V1325">
        <v>0</v>
      </c>
      <c r="W1325">
        <v>0</v>
      </c>
      <c r="X1325">
        <v>0</v>
      </c>
      <c r="Y1325">
        <v>1.33</v>
      </c>
      <c r="Z1325">
        <v>0.66</v>
      </c>
      <c r="AA1325" t="s">
        <v>9335</v>
      </c>
      <c r="AB1325" t="s">
        <v>242</v>
      </c>
      <c r="AC1325" t="s">
        <v>3213</v>
      </c>
    </row>
    <row r="1326" spans="1:29" x14ac:dyDescent="0.25">
      <c r="A1326" t="s">
        <v>2630</v>
      </c>
      <c r="B1326" t="s">
        <v>254</v>
      </c>
      <c r="C1326" t="s">
        <v>333</v>
      </c>
      <c r="D1326" t="s">
        <v>3713</v>
      </c>
      <c r="E1326" t="s">
        <v>3761</v>
      </c>
      <c r="F1326">
        <v>10000000</v>
      </c>
      <c r="G1326" t="s">
        <v>9349</v>
      </c>
      <c r="H1326" t="s">
        <v>242</v>
      </c>
      <c r="I1326" t="s">
        <v>242</v>
      </c>
      <c r="J1326" t="s">
        <v>242</v>
      </c>
      <c r="K1326" t="s">
        <v>242</v>
      </c>
      <c r="L1326" t="s">
        <v>241</v>
      </c>
      <c r="M1326">
        <v>39.087200000000003</v>
      </c>
      <c r="N1326">
        <v>-123.1431</v>
      </c>
      <c r="O1326">
        <v>3.66</v>
      </c>
      <c r="P1326">
        <v>3.66</v>
      </c>
      <c r="Q1326">
        <v>2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2.33</v>
      </c>
      <c r="AA1326" t="s">
        <v>9335</v>
      </c>
      <c r="AB1326" t="s">
        <v>242</v>
      </c>
      <c r="AC1326" t="s">
        <v>3213</v>
      </c>
    </row>
    <row r="1327" spans="1:29" x14ac:dyDescent="0.25">
      <c r="A1327" t="s">
        <v>2632</v>
      </c>
      <c r="B1327" t="s">
        <v>254</v>
      </c>
      <c r="C1327" t="s">
        <v>333</v>
      </c>
      <c r="D1327" t="s">
        <v>3713</v>
      </c>
      <c r="E1327" t="s">
        <v>3761</v>
      </c>
      <c r="F1327">
        <v>10000000</v>
      </c>
      <c r="G1327" t="s">
        <v>9349</v>
      </c>
      <c r="H1327" t="s">
        <v>242</v>
      </c>
      <c r="I1327" t="s">
        <v>242</v>
      </c>
      <c r="J1327" t="s">
        <v>242</v>
      </c>
      <c r="K1327" t="s">
        <v>242</v>
      </c>
      <c r="L1327" t="s">
        <v>241</v>
      </c>
      <c r="M1327">
        <v>39.088000000000001</v>
      </c>
      <c r="N1327">
        <v>-123.1378</v>
      </c>
      <c r="O1327">
        <v>3.33</v>
      </c>
      <c r="P1327">
        <v>1.66</v>
      </c>
      <c r="Q1327">
        <v>1.66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3</v>
      </c>
      <c r="Z1327">
        <v>3</v>
      </c>
      <c r="AA1327" t="s">
        <v>9335</v>
      </c>
      <c r="AB1327" t="s">
        <v>242</v>
      </c>
      <c r="AC1327" t="s">
        <v>3213</v>
      </c>
    </row>
    <row r="1328" spans="1:29" x14ac:dyDescent="0.25">
      <c r="A1328" t="s">
        <v>2634</v>
      </c>
      <c r="B1328" t="s">
        <v>254</v>
      </c>
      <c r="C1328" t="s">
        <v>507</v>
      </c>
      <c r="D1328" t="s">
        <v>3713</v>
      </c>
      <c r="E1328" t="s">
        <v>3761</v>
      </c>
      <c r="F1328">
        <v>10000000</v>
      </c>
      <c r="G1328" t="s">
        <v>9349</v>
      </c>
      <c r="H1328" t="s">
        <v>241</v>
      </c>
      <c r="I1328" t="s">
        <v>242</v>
      </c>
      <c r="J1328" t="s">
        <v>242</v>
      </c>
      <c r="K1328" t="s">
        <v>242</v>
      </c>
      <c r="L1328" t="s">
        <v>241</v>
      </c>
      <c r="M1328">
        <v>38.615600000000001</v>
      </c>
      <c r="N1328">
        <v>-122.82980000000001</v>
      </c>
      <c r="O1328">
        <v>3.33333333333333E-4</v>
      </c>
      <c r="P1328">
        <v>3.33333333333333E-4</v>
      </c>
      <c r="Q1328">
        <v>3.33333333333333E-4</v>
      </c>
      <c r="R1328">
        <v>3.33333333333333E-4</v>
      </c>
      <c r="S1328">
        <v>3.33333333333333E-4</v>
      </c>
      <c r="T1328">
        <v>3.33333333333333E-4</v>
      </c>
      <c r="U1328">
        <v>3.33333333333333E-4</v>
      </c>
      <c r="V1328">
        <v>3.33333333333333E-4</v>
      </c>
      <c r="W1328">
        <v>3.33333333333333E-4</v>
      </c>
      <c r="X1328">
        <v>3.33333333333333E-4</v>
      </c>
      <c r="Y1328">
        <v>3.33333333333333E-4</v>
      </c>
      <c r="Z1328">
        <v>3.33333333333333E-4</v>
      </c>
      <c r="AA1328" t="s">
        <v>9335</v>
      </c>
      <c r="AB1328" t="s">
        <v>242</v>
      </c>
      <c r="AC1328" t="s">
        <v>3229</v>
      </c>
    </row>
    <row r="1329" spans="1:29" x14ac:dyDescent="0.25">
      <c r="A1329" t="s">
        <v>2635</v>
      </c>
      <c r="B1329" t="s">
        <v>254</v>
      </c>
      <c r="C1329" t="s">
        <v>436</v>
      </c>
      <c r="D1329" t="s">
        <v>3713</v>
      </c>
      <c r="E1329" t="s">
        <v>3761</v>
      </c>
      <c r="F1329">
        <v>10000000</v>
      </c>
      <c r="G1329" t="s">
        <v>9349</v>
      </c>
      <c r="H1329" t="s">
        <v>241</v>
      </c>
      <c r="I1329" t="s">
        <v>242</v>
      </c>
      <c r="J1329" t="s">
        <v>242</v>
      </c>
      <c r="K1329" t="s">
        <v>242</v>
      </c>
      <c r="L1329" t="s">
        <v>241</v>
      </c>
      <c r="M1329">
        <v>38.667900000000003</v>
      </c>
      <c r="N1329">
        <v>-122.83199999999999</v>
      </c>
      <c r="O1329">
        <v>0</v>
      </c>
      <c r="P1329">
        <v>0.5</v>
      </c>
      <c r="Q1329">
        <v>2.36</v>
      </c>
      <c r="R1329">
        <v>0</v>
      </c>
      <c r="S1329">
        <v>0</v>
      </c>
      <c r="T1329">
        <v>0</v>
      </c>
      <c r="U1329">
        <v>0</v>
      </c>
      <c r="V1329">
        <v>4.63</v>
      </c>
      <c r="W1329">
        <v>1.33</v>
      </c>
      <c r="X1329">
        <v>0</v>
      </c>
      <c r="Y1329">
        <v>1.06</v>
      </c>
      <c r="Z1329">
        <v>0</v>
      </c>
      <c r="AA1329" t="s">
        <v>9343</v>
      </c>
      <c r="AB1329" t="s">
        <v>242</v>
      </c>
      <c r="AC1329" t="s">
        <v>3229</v>
      </c>
    </row>
    <row r="1330" spans="1:29" x14ac:dyDescent="0.25">
      <c r="A1330" t="s">
        <v>2636</v>
      </c>
      <c r="B1330" t="s">
        <v>254</v>
      </c>
      <c r="C1330" t="s">
        <v>436</v>
      </c>
      <c r="D1330" t="s">
        <v>3713</v>
      </c>
      <c r="E1330" t="s">
        <v>3761</v>
      </c>
      <c r="F1330">
        <v>10000000</v>
      </c>
      <c r="G1330" t="s">
        <v>9349</v>
      </c>
      <c r="H1330" t="s">
        <v>241</v>
      </c>
      <c r="I1330" t="s">
        <v>242</v>
      </c>
      <c r="J1330" t="s">
        <v>242</v>
      </c>
      <c r="K1330" t="s">
        <v>242</v>
      </c>
      <c r="L1330" t="s">
        <v>241</v>
      </c>
      <c r="M1330">
        <v>38.667099999999998</v>
      </c>
      <c r="N1330">
        <v>-122.82470000000001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 t="s">
        <v>9335</v>
      </c>
      <c r="AB1330" t="s">
        <v>242</v>
      </c>
      <c r="AC1330" t="s">
        <v>3229</v>
      </c>
    </row>
    <row r="1331" spans="1:29" x14ac:dyDescent="0.25">
      <c r="A1331" t="s">
        <v>1887</v>
      </c>
      <c r="B1331" t="s">
        <v>254</v>
      </c>
      <c r="C1331" t="s">
        <v>348</v>
      </c>
      <c r="D1331" t="s">
        <v>3713</v>
      </c>
      <c r="E1331" t="s">
        <v>3761</v>
      </c>
      <c r="F1331">
        <v>10000000</v>
      </c>
      <c r="G1331" t="s">
        <v>9349</v>
      </c>
      <c r="H1331" t="s">
        <v>242</v>
      </c>
      <c r="I1331" t="s">
        <v>242</v>
      </c>
      <c r="J1331" t="s">
        <v>242</v>
      </c>
      <c r="K1331" t="s">
        <v>242</v>
      </c>
      <c r="L1331" t="s">
        <v>241</v>
      </c>
      <c r="M1331">
        <v>39.351300000000002</v>
      </c>
      <c r="N1331">
        <v>-123.15600000000001</v>
      </c>
      <c r="O1331">
        <v>3.33</v>
      </c>
      <c r="P1331">
        <v>0.66</v>
      </c>
      <c r="Q1331">
        <v>1.33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1</v>
      </c>
      <c r="AA1331" t="s">
        <v>9342</v>
      </c>
      <c r="AB1331" t="s">
        <v>242</v>
      </c>
      <c r="AC1331" t="s">
        <v>3213</v>
      </c>
    </row>
    <row r="1332" spans="1:29" x14ac:dyDescent="0.25">
      <c r="A1332" t="s">
        <v>2637</v>
      </c>
      <c r="B1332" t="s">
        <v>254</v>
      </c>
      <c r="C1332" t="s">
        <v>319</v>
      </c>
      <c r="D1332" t="s">
        <v>3713</v>
      </c>
      <c r="E1332" t="s">
        <v>3761</v>
      </c>
      <c r="F1332">
        <v>10000000</v>
      </c>
      <c r="G1332" t="s">
        <v>9349</v>
      </c>
      <c r="H1332" t="s">
        <v>242</v>
      </c>
      <c r="I1332" t="s">
        <v>242</v>
      </c>
      <c r="J1332" t="s">
        <v>242</v>
      </c>
      <c r="K1332" t="s">
        <v>242</v>
      </c>
      <c r="L1332" t="s">
        <v>241</v>
      </c>
      <c r="M1332">
        <v>38.984099999999998</v>
      </c>
      <c r="N1332">
        <v>-123.1237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 t="s">
        <v>9335</v>
      </c>
      <c r="AB1332" t="s">
        <v>242</v>
      </c>
      <c r="AC1332" t="s">
        <v>3213</v>
      </c>
    </row>
    <row r="1333" spans="1:29" x14ac:dyDescent="0.25">
      <c r="A1333" t="s">
        <v>2638</v>
      </c>
      <c r="B1333" t="s">
        <v>254</v>
      </c>
      <c r="C1333" t="s">
        <v>311</v>
      </c>
      <c r="D1333" t="s">
        <v>3713</v>
      </c>
      <c r="E1333" t="s">
        <v>3761</v>
      </c>
      <c r="F1333">
        <v>10000000</v>
      </c>
      <c r="G1333" t="s">
        <v>9349</v>
      </c>
      <c r="H1333" t="s">
        <v>242</v>
      </c>
      <c r="I1333" t="s">
        <v>242</v>
      </c>
      <c r="J1333" t="s">
        <v>242</v>
      </c>
      <c r="K1333" t="s">
        <v>242</v>
      </c>
      <c r="L1333" t="s">
        <v>241</v>
      </c>
      <c r="M1333">
        <v>38.616599999999998</v>
      </c>
      <c r="N1333">
        <v>-122.7735</v>
      </c>
      <c r="O1333">
        <v>0</v>
      </c>
      <c r="P1333">
        <v>0</v>
      </c>
      <c r="Q1333">
        <v>0</v>
      </c>
      <c r="R1333">
        <v>5</v>
      </c>
      <c r="S1333">
        <v>5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 t="s">
        <v>9335</v>
      </c>
      <c r="AB1333" t="s">
        <v>241</v>
      </c>
      <c r="AC1333" t="s">
        <v>3229</v>
      </c>
    </row>
    <row r="1334" spans="1:29" x14ac:dyDescent="0.25">
      <c r="A1334" t="s">
        <v>2639</v>
      </c>
      <c r="B1334" t="s">
        <v>254</v>
      </c>
      <c r="C1334" t="s">
        <v>317</v>
      </c>
      <c r="D1334" t="s">
        <v>3713</v>
      </c>
      <c r="E1334" t="s">
        <v>3761</v>
      </c>
      <c r="F1334">
        <v>10000000</v>
      </c>
      <c r="G1334" t="s">
        <v>9349</v>
      </c>
      <c r="H1334" t="s">
        <v>242</v>
      </c>
      <c r="I1334" t="s">
        <v>242</v>
      </c>
      <c r="J1334" t="s">
        <v>242</v>
      </c>
      <c r="K1334" t="s">
        <v>242</v>
      </c>
      <c r="L1334" t="s">
        <v>241</v>
      </c>
      <c r="M1334">
        <v>39.297499999999999</v>
      </c>
      <c r="N1334">
        <v>-123.3502</v>
      </c>
      <c r="O1334">
        <v>0</v>
      </c>
      <c r="P1334">
        <v>0</v>
      </c>
      <c r="Q1334">
        <v>3.33333333333333E-4</v>
      </c>
      <c r="R1334">
        <v>1.4338884950483501E-3</v>
      </c>
      <c r="S1334">
        <v>1.33333333333333E-3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 t="s">
        <v>9333</v>
      </c>
      <c r="AB1334" t="s">
        <v>241</v>
      </c>
      <c r="AC1334" t="s">
        <v>3213</v>
      </c>
    </row>
    <row r="1335" spans="1:29" x14ac:dyDescent="0.25">
      <c r="A1335" t="s">
        <v>82</v>
      </c>
      <c r="B1335" t="s">
        <v>254</v>
      </c>
      <c r="C1335" t="s">
        <v>348</v>
      </c>
      <c r="D1335" t="s">
        <v>3713</v>
      </c>
      <c r="E1335" t="s">
        <v>3761</v>
      </c>
      <c r="F1335">
        <v>10000000</v>
      </c>
      <c r="G1335" t="s">
        <v>9349</v>
      </c>
      <c r="H1335" t="s">
        <v>242</v>
      </c>
      <c r="I1335" t="s">
        <v>242</v>
      </c>
      <c r="J1335" t="s">
        <v>242</v>
      </c>
      <c r="K1335" t="s">
        <v>242</v>
      </c>
      <c r="L1335" t="s">
        <v>241</v>
      </c>
      <c r="M1335">
        <v>39.2699</v>
      </c>
      <c r="N1335">
        <v>-123.10120000000001</v>
      </c>
      <c r="O1335">
        <v>0</v>
      </c>
      <c r="P1335">
        <v>0</v>
      </c>
      <c r="Q1335">
        <v>0.2</v>
      </c>
      <c r="R1335">
        <v>1.76</v>
      </c>
      <c r="S1335">
        <v>0.73</v>
      </c>
      <c r="T1335">
        <v>0.93</v>
      </c>
      <c r="U1335">
        <v>1.49</v>
      </c>
      <c r="V1335">
        <v>2.1</v>
      </c>
      <c r="W1335">
        <v>2.38</v>
      </c>
      <c r="X1335">
        <v>6.13</v>
      </c>
      <c r="Y1335">
        <v>0.48</v>
      </c>
      <c r="Z1335">
        <v>0</v>
      </c>
      <c r="AA1335" t="s">
        <v>9335</v>
      </c>
      <c r="AB1335" t="s">
        <v>242</v>
      </c>
      <c r="AC1335" t="s">
        <v>3213</v>
      </c>
    </row>
    <row r="1336" spans="1:29" x14ac:dyDescent="0.25">
      <c r="A1336" t="s">
        <v>2646</v>
      </c>
      <c r="B1336" t="s">
        <v>254</v>
      </c>
      <c r="C1336" t="s">
        <v>317</v>
      </c>
      <c r="D1336" t="s">
        <v>3713</v>
      </c>
      <c r="E1336" t="s">
        <v>3761</v>
      </c>
      <c r="F1336">
        <v>10000000</v>
      </c>
      <c r="G1336" t="s">
        <v>9349</v>
      </c>
      <c r="H1336" t="s">
        <v>242</v>
      </c>
      <c r="I1336" t="s">
        <v>242</v>
      </c>
      <c r="J1336" t="s">
        <v>242</v>
      </c>
      <c r="K1336" t="s">
        <v>242</v>
      </c>
      <c r="L1336" t="s">
        <v>241</v>
      </c>
      <c r="M1336">
        <v>39.271599999999999</v>
      </c>
      <c r="N1336">
        <v>-123.21080000000001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 t="s">
        <v>9340</v>
      </c>
      <c r="AB1336" t="s">
        <v>242</v>
      </c>
      <c r="AC1336" t="s">
        <v>3213</v>
      </c>
    </row>
    <row r="1337" spans="1:29" x14ac:dyDescent="0.25">
      <c r="A1337" t="s">
        <v>2648</v>
      </c>
      <c r="B1337" t="s">
        <v>254</v>
      </c>
      <c r="C1337" t="s">
        <v>317</v>
      </c>
      <c r="D1337" t="s">
        <v>3713</v>
      </c>
      <c r="E1337" t="s">
        <v>3761</v>
      </c>
      <c r="F1337">
        <v>10000000</v>
      </c>
      <c r="G1337" t="s">
        <v>9349</v>
      </c>
      <c r="H1337" t="s">
        <v>242</v>
      </c>
      <c r="I1337" t="s">
        <v>242</v>
      </c>
      <c r="J1337" t="s">
        <v>242</v>
      </c>
      <c r="K1337" t="s">
        <v>242</v>
      </c>
      <c r="L1337" t="s">
        <v>241</v>
      </c>
      <c r="M1337">
        <v>39.269500000000001</v>
      </c>
      <c r="N1337">
        <v>-123.2092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 t="s">
        <v>9335</v>
      </c>
      <c r="AB1337" t="s">
        <v>242</v>
      </c>
      <c r="AC1337" t="s">
        <v>3213</v>
      </c>
    </row>
    <row r="1338" spans="1:29" x14ac:dyDescent="0.25">
      <c r="A1338" t="s">
        <v>1812</v>
      </c>
      <c r="B1338" t="s">
        <v>254</v>
      </c>
      <c r="C1338" t="s">
        <v>317</v>
      </c>
      <c r="D1338" t="s">
        <v>3713</v>
      </c>
      <c r="E1338" t="s">
        <v>3761</v>
      </c>
      <c r="F1338">
        <v>19000101</v>
      </c>
      <c r="G1338" t="s">
        <v>9348</v>
      </c>
      <c r="H1338" t="s">
        <v>242</v>
      </c>
      <c r="I1338" t="s">
        <v>241</v>
      </c>
      <c r="J1338" t="s">
        <v>242</v>
      </c>
      <c r="K1338" t="s">
        <v>242</v>
      </c>
      <c r="L1338" t="s">
        <v>242</v>
      </c>
      <c r="M1338">
        <v>39.273299999999999</v>
      </c>
      <c r="N1338">
        <v>-123.2086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 t="s">
        <v>9335</v>
      </c>
      <c r="AB1338" t="s">
        <v>242</v>
      </c>
      <c r="AC1338" t="s">
        <v>3213</v>
      </c>
    </row>
    <row r="1339" spans="1:29" x14ac:dyDescent="0.25">
      <c r="A1339" t="s">
        <v>2649</v>
      </c>
      <c r="B1339" t="s">
        <v>254</v>
      </c>
      <c r="C1339" t="s">
        <v>354</v>
      </c>
      <c r="D1339" t="s">
        <v>3713</v>
      </c>
      <c r="E1339" t="s">
        <v>3761</v>
      </c>
      <c r="F1339">
        <v>10000000</v>
      </c>
      <c r="G1339" t="s">
        <v>9349</v>
      </c>
      <c r="H1339" t="s">
        <v>241</v>
      </c>
      <c r="I1339" t="s">
        <v>242</v>
      </c>
      <c r="J1339" t="s">
        <v>242</v>
      </c>
      <c r="K1339" t="s">
        <v>242</v>
      </c>
      <c r="L1339" t="s">
        <v>241</v>
      </c>
      <c r="M1339">
        <v>38.804600000000001</v>
      </c>
      <c r="N1339">
        <v>-123.0046</v>
      </c>
      <c r="O1339">
        <v>0</v>
      </c>
      <c r="P1339">
        <v>0.2</v>
      </c>
      <c r="Q1339">
        <v>0.03</v>
      </c>
      <c r="R1339">
        <v>0.23</v>
      </c>
      <c r="S1339">
        <v>0.96</v>
      </c>
      <c r="T1339">
        <v>0.96</v>
      </c>
      <c r="U1339">
        <v>3.63</v>
      </c>
      <c r="V1339">
        <v>5.36</v>
      </c>
      <c r="W1339">
        <v>3.2</v>
      </c>
      <c r="X1339">
        <v>0.3</v>
      </c>
      <c r="Y1339">
        <v>0.73</v>
      </c>
      <c r="Z1339">
        <v>0</v>
      </c>
      <c r="AA1339" t="s">
        <v>9335</v>
      </c>
      <c r="AB1339" t="s">
        <v>242</v>
      </c>
      <c r="AC1339" t="s">
        <v>3229</v>
      </c>
    </row>
    <row r="1340" spans="1:29" x14ac:dyDescent="0.25">
      <c r="A1340" t="s">
        <v>2650</v>
      </c>
      <c r="B1340" t="s">
        <v>254</v>
      </c>
      <c r="C1340" t="s">
        <v>354</v>
      </c>
      <c r="D1340" t="s">
        <v>3713</v>
      </c>
      <c r="E1340" t="s">
        <v>3761</v>
      </c>
      <c r="F1340">
        <v>10000000</v>
      </c>
      <c r="G1340" t="s">
        <v>9349</v>
      </c>
      <c r="H1340" t="s">
        <v>241</v>
      </c>
      <c r="I1340" t="s">
        <v>242</v>
      </c>
      <c r="J1340" t="s">
        <v>242</v>
      </c>
      <c r="K1340" t="s">
        <v>242</v>
      </c>
      <c r="L1340" t="s">
        <v>241</v>
      </c>
      <c r="M1340">
        <v>38.805100000000003</v>
      </c>
      <c r="N1340">
        <v>-123.0052</v>
      </c>
      <c r="O1340">
        <v>0</v>
      </c>
      <c r="P1340">
        <v>0.3</v>
      </c>
      <c r="Q1340">
        <v>0</v>
      </c>
      <c r="R1340">
        <v>0.26</v>
      </c>
      <c r="S1340">
        <v>0.5</v>
      </c>
      <c r="T1340">
        <v>1.43</v>
      </c>
      <c r="U1340">
        <v>1.9</v>
      </c>
      <c r="V1340">
        <v>3.3</v>
      </c>
      <c r="W1340">
        <v>3.13</v>
      </c>
      <c r="X1340">
        <v>0.73</v>
      </c>
      <c r="Y1340">
        <v>0.46</v>
      </c>
      <c r="Z1340">
        <v>0</v>
      </c>
      <c r="AA1340" t="s">
        <v>9335</v>
      </c>
      <c r="AB1340" t="s">
        <v>242</v>
      </c>
      <c r="AC1340" t="s">
        <v>3229</v>
      </c>
    </row>
    <row r="1341" spans="1:29" x14ac:dyDescent="0.25">
      <c r="A1341" t="s">
        <v>2651</v>
      </c>
      <c r="B1341" t="s">
        <v>254</v>
      </c>
      <c r="C1341" t="s">
        <v>354</v>
      </c>
      <c r="D1341" t="s">
        <v>3713</v>
      </c>
      <c r="E1341" t="s">
        <v>3761</v>
      </c>
      <c r="F1341">
        <v>10000000</v>
      </c>
      <c r="G1341" t="s">
        <v>9349</v>
      </c>
      <c r="H1341" t="s">
        <v>241</v>
      </c>
      <c r="I1341" t="s">
        <v>242</v>
      </c>
      <c r="J1341" t="s">
        <v>242</v>
      </c>
      <c r="K1341" t="s">
        <v>242</v>
      </c>
      <c r="L1341" t="s">
        <v>241</v>
      </c>
      <c r="M1341">
        <v>38.805999999999997</v>
      </c>
      <c r="N1341">
        <v>-122.9974</v>
      </c>
      <c r="O1341">
        <v>0</v>
      </c>
      <c r="P1341">
        <v>0.03</v>
      </c>
      <c r="Q1341">
        <v>0</v>
      </c>
      <c r="R1341">
        <v>0.1</v>
      </c>
      <c r="S1341">
        <v>0</v>
      </c>
      <c r="T1341">
        <v>1.93</v>
      </c>
      <c r="U1341">
        <v>2.93</v>
      </c>
      <c r="V1341">
        <v>4.5999999999999996</v>
      </c>
      <c r="W1341">
        <v>2.8</v>
      </c>
      <c r="X1341">
        <v>0.63</v>
      </c>
      <c r="Y1341">
        <v>0.3</v>
      </c>
      <c r="Z1341">
        <v>0</v>
      </c>
      <c r="AA1341" t="s">
        <v>9335</v>
      </c>
      <c r="AB1341" t="s">
        <v>242</v>
      </c>
      <c r="AC1341" t="s">
        <v>3229</v>
      </c>
    </row>
    <row r="1342" spans="1:29" x14ac:dyDescent="0.25">
      <c r="A1342" t="s">
        <v>2653</v>
      </c>
      <c r="B1342" t="s">
        <v>254</v>
      </c>
      <c r="C1342" t="s">
        <v>319</v>
      </c>
      <c r="D1342" t="s">
        <v>3713</v>
      </c>
      <c r="E1342" t="s">
        <v>3761</v>
      </c>
      <c r="F1342">
        <v>10000000</v>
      </c>
      <c r="G1342" t="s">
        <v>9349</v>
      </c>
      <c r="H1342" t="s">
        <v>242</v>
      </c>
      <c r="I1342" t="s">
        <v>242</v>
      </c>
      <c r="J1342" t="s">
        <v>242</v>
      </c>
      <c r="K1342" t="s">
        <v>242</v>
      </c>
      <c r="L1342" t="s">
        <v>241</v>
      </c>
      <c r="M1342">
        <v>39.014299999999999</v>
      </c>
      <c r="N1342">
        <v>-123.1495</v>
      </c>
      <c r="O1342">
        <v>0.35</v>
      </c>
      <c r="P1342">
        <v>0.35</v>
      </c>
      <c r="Q1342">
        <v>0.35</v>
      </c>
      <c r="R1342">
        <v>0.35</v>
      </c>
      <c r="S1342">
        <v>0.35</v>
      </c>
      <c r="T1342">
        <v>0.35</v>
      </c>
      <c r="U1342">
        <v>0.35</v>
      </c>
      <c r="V1342">
        <v>0.35</v>
      </c>
      <c r="W1342">
        <v>0.35</v>
      </c>
      <c r="X1342">
        <v>0.35</v>
      </c>
      <c r="Y1342">
        <v>0.35</v>
      </c>
      <c r="Z1342">
        <v>0.35</v>
      </c>
      <c r="AA1342" t="s">
        <v>9335</v>
      </c>
      <c r="AB1342" t="s">
        <v>242</v>
      </c>
      <c r="AC1342" t="s">
        <v>3213</v>
      </c>
    </row>
    <row r="1343" spans="1:29" x14ac:dyDescent="0.25">
      <c r="A1343" t="s">
        <v>2655</v>
      </c>
      <c r="B1343" t="s">
        <v>254</v>
      </c>
      <c r="C1343" t="s">
        <v>319</v>
      </c>
      <c r="D1343" t="s">
        <v>3713</v>
      </c>
      <c r="E1343" t="s">
        <v>3761</v>
      </c>
      <c r="F1343">
        <v>10000000</v>
      </c>
      <c r="G1343" t="s">
        <v>9349</v>
      </c>
      <c r="H1343" t="s">
        <v>242</v>
      </c>
      <c r="I1343" t="s">
        <v>242</v>
      </c>
      <c r="J1343" t="s">
        <v>242</v>
      </c>
      <c r="K1343" t="s">
        <v>242</v>
      </c>
      <c r="L1343" t="s">
        <v>241</v>
      </c>
      <c r="M1343">
        <v>39.013500000000001</v>
      </c>
      <c r="N1343">
        <v>-123.1482</v>
      </c>
      <c r="O1343">
        <v>1</v>
      </c>
      <c r="P1343">
        <v>1</v>
      </c>
      <c r="Q1343">
        <v>0</v>
      </c>
      <c r="R1343">
        <v>0</v>
      </c>
      <c r="S1343">
        <v>0</v>
      </c>
      <c r="T1343">
        <v>0</v>
      </c>
      <c r="U1343">
        <v>3.0690000000000001E-3</v>
      </c>
      <c r="V1343">
        <v>3.0690000000000001E-3</v>
      </c>
      <c r="W1343">
        <v>3.0690000000000001E-3</v>
      </c>
      <c r="X1343">
        <v>0</v>
      </c>
      <c r="Y1343">
        <v>0</v>
      </c>
      <c r="Z1343">
        <v>1</v>
      </c>
      <c r="AA1343" t="s">
        <v>9335</v>
      </c>
      <c r="AB1343" t="s">
        <v>242</v>
      </c>
      <c r="AC1343" t="s">
        <v>3213</v>
      </c>
    </row>
    <row r="1344" spans="1:29" x14ac:dyDescent="0.25">
      <c r="A1344" t="s">
        <v>2656</v>
      </c>
      <c r="B1344" t="s">
        <v>254</v>
      </c>
      <c r="C1344" t="s">
        <v>354</v>
      </c>
      <c r="D1344" t="s">
        <v>3713</v>
      </c>
      <c r="E1344" t="s">
        <v>3761</v>
      </c>
      <c r="F1344">
        <v>10000000</v>
      </c>
      <c r="G1344" t="s">
        <v>9349</v>
      </c>
      <c r="H1344" t="s">
        <v>242</v>
      </c>
      <c r="I1344" t="s">
        <v>242</v>
      </c>
      <c r="J1344" t="s">
        <v>242</v>
      </c>
      <c r="K1344" t="s">
        <v>242</v>
      </c>
      <c r="L1344" t="s">
        <v>241</v>
      </c>
      <c r="M1344">
        <v>38.8504</v>
      </c>
      <c r="N1344">
        <v>-122.9877</v>
      </c>
      <c r="O1344">
        <v>5.09</v>
      </c>
      <c r="P1344">
        <v>1.2</v>
      </c>
      <c r="Q1344">
        <v>2.54</v>
      </c>
      <c r="R1344">
        <v>0.3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0.19</v>
      </c>
      <c r="Z1344">
        <v>2.3199999999999998</v>
      </c>
      <c r="AA1344" t="s">
        <v>9335</v>
      </c>
      <c r="AB1344" t="s">
        <v>242</v>
      </c>
      <c r="AC1344" t="s">
        <v>3229</v>
      </c>
    </row>
    <row r="1345" spans="1:29" x14ac:dyDescent="0.25">
      <c r="A1345" t="s">
        <v>2658</v>
      </c>
      <c r="B1345" t="s">
        <v>254</v>
      </c>
      <c r="C1345" t="s">
        <v>354</v>
      </c>
      <c r="D1345" t="s">
        <v>3713</v>
      </c>
      <c r="E1345" t="s">
        <v>3761</v>
      </c>
      <c r="F1345">
        <v>10000000</v>
      </c>
      <c r="G1345" t="s">
        <v>9349</v>
      </c>
      <c r="H1345" t="s">
        <v>242</v>
      </c>
      <c r="I1345" t="s">
        <v>242</v>
      </c>
      <c r="J1345" t="s">
        <v>242</v>
      </c>
      <c r="K1345" t="s">
        <v>242</v>
      </c>
      <c r="L1345" t="s">
        <v>241</v>
      </c>
      <c r="M1345">
        <v>38.849299999999999</v>
      </c>
      <c r="N1345">
        <v>-122.9901</v>
      </c>
      <c r="O1345">
        <v>2.71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0.12</v>
      </c>
      <c r="Y1345">
        <v>2.2400000000000002</v>
      </c>
      <c r="Z1345">
        <v>6.85</v>
      </c>
      <c r="AA1345" t="s">
        <v>9335</v>
      </c>
      <c r="AB1345" t="s">
        <v>242</v>
      </c>
      <c r="AC1345" t="s">
        <v>3229</v>
      </c>
    </row>
    <row r="1346" spans="1:29" x14ac:dyDescent="0.25">
      <c r="A1346" t="s">
        <v>2661</v>
      </c>
      <c r="B1346" t="s">
        <v>254</v>
      </c>
      <c r="C1346" t="s">
        <v>354</v>
      </c>
      <c r="D1346" t="s">
        <v>3713</v>
      </c>
      <c r="E1346" t="s">
        <v>3761</v>
      </c>
      <c r="F1346">
        <v>10000000</v>
      </c>
      <c r="G1346" t="s">
        <v>9349</v>
      </c>
      <c r="H1346" t="s">
        <v>242</v>
      </c>
      <c r="I1346" t="s">
        <v>242</v>
      </c>
      <c r="J1346" t="s">
        <v>242</v>
      </c>
      <c r="K1346" t="s">
        <v>242</v>
      </c>
      <c r="L1346" t="s">
        <v>241</v>
      </c>
      <c r="M1346">
        <v>38.825699999999998</v>
      </c>
      <c r="N1346">
        <v>-123.0171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1.99</v>
      </c>
      <c r="U1346">
        <v>1.99</v>
      </c>
      <c r="V1346">
        <v>1.99</v>
      </c>
      <c r="W1346">
        <v>1.99</v>
      </c>
      <c r="X1346">
        <v>0</v>
      </c>
      <c r="Y1346">
        <v>0</v>
      </c>
      <c r="Z1346">
        <v>0</v>
      </c>
      <c r="AA1346" t="s">
        <v>9335</v>
      </c>
      <c r="AB1346" t="s">
        <v>242</v>
      </c>
      <c r="AC1346" t="s">
        <v>3229</v>
      </c>
    </row>
    <row r="1347" spans="1:29" x14ac:dyDescent="0.25">
      <c r="A1347" t="s">
        <v>2663</v>
      </c>
      <c r="B1347" t="s">
        <v>254</v>
      </c>
      <c r="C1347" t="s">
        <v>319</v>
      </c>
      <c r="D1347" t="s">
        <v>3713</v>
      </c>
      <c r="E1347" t="s">
        <v>3761</v>
      </c>
      <c r="F1347">
        <v>10000000</v>
      </c>
      <c r="G1347" t="s">
        <v>9349</v>
      </c>
      <c r="H1347" t="s">
        <v>242</v>
      </c>
      <c r="I1347" t="s">
        <v>242</v>
      </c>
      <c r="J1347" t="s">
        <v>242</v>
      </c>
      <c r="K1347" t="s">
        <v>242</v>
      </c>
      <c r="L1347" t="s">
        <v>241</v>
      </c>
      <c r="M1347">
        <v>38.9405</v>
      </c>
      <c r="N1347">
        <v>-123.1653</v>
      </c>
      <c r="O1347">
        <v>2</v>
      </c>
      <c r="P1347">
        <v>2</v>
      </c>
      <c r="Q1347">
        <v>2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2</v>
      </c>
      <c r="AA1347" t="s">
        <v>9335</v>
      </c>
      <c r="AB1347" t="s">
        <v>242</v>
      </c>
      <c r="AC1347" t="s">
        <v>3213</v>
      </c>
    </row>
    <row r="1348" spans="1:29" x14ac:dyDescent="0.25">
      <c r="A1348" t="s">
        <v>2665</v>
      </c>
      <c r="B1348" t="s">
        <v>254</v>
      </c>
      <c r="C1348" t="s">
        <v>319</v>
      </c>
      <c r="D1348" t="s">
        <v>3713</v>
      </c>
      <c r="E1348" t="s">
        <v>3761</v>
      </c>
      <c r="F1348">
        <v>10000000</v>
      </c>
      <c r="G1348" t="s">
        <v>9349</v>
      </c>
      <c r="H1348" t="s">
        <v>242</v>
      </c>
      <c r="I1348" t="s">
        <v>242</v>
      </c>
      <c r="J1348" t="s">
        <v>242</v>
      </c>
      <c r="K1348" t="s">
        <v>242</v>
      </c>
      <c r="L1348" t="s">
        <v>241</v>
      </c>
      <c r="M1348">
        <v>38.947099999999999</v>
      </c>
      <c r="N1348">
        <v>-123.1605</v>
      </c>
      <c r="O1348">
        <v>1</v>
      </c>
      <c r="P1348">
        <v>1</v>
      </c>
      <c r="Q1348">
        <v>1</v>
      </c>
      <c r="R1348">
        <v>0.66</v>
      </c>
      <c r="S1348">
        <v>0.66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0.33</v>
      </c>
      <c r="Z1348">
        <v>0.33</v>
      </c>
      <c r="AA1348" t="s">
        <v>9345</v>
      </c>
      <c r="AB1348" t="s">
        <v>242</v>
      </c>
      <c r="AC1348" t="s">
        <v>3213</v>
      </c>
    </row>
    <row r="1349" spans="1:29" x14ac:dyDescent="0.25">
      <c r="A1349" t="s">
        <v>1837</v>
      </c>
      <c r="B1349" t="s">
        <v>254</v>
      </c>
      <c r="C1349" t="s">
        <v>319</v>
      </c>
      <c r="D1349" t="s">
        <v>3713</v>
      </c>
      <c r="E1349" t="s">
        <v>3761</v>
      </c>
      <c r="F1349">
        <v>18720101</v>
      </c>
      <c r="G1349" t="s">
        <v>9348</v>
      </c>
      <c r="H1349" t="s">
        <v>242</v>
      </c>
      <c r="I1349" t="s">
        <v>241</v>
      </c>
      <c r="J1349" t="s">
        <v>242</v>
      </c>
      <c r="K1349" t="s">
        <v>242</v>
      </c>
      <c r="L1349" t="s">
        <v>242</v>
      </c>
      <c r="M1349">
        <v>38.871200000000002</v>
      </c>
      <c r="N1349">
        <v>-122.8914</v>
      </c>
      <c r="O1349">
        <v>3.33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13.53</v>
      </c>
      <c r="AA1349" t="s">
        <v>9341</v>
      </c>
      <c r="AB1349" t="s">
        <v>242</v>
      </c>
      <c r="AC1349" t="s">
        <v>3213</v>
      </c>
    </row>
    <row r="1350" spans="1:29" x14ac:dyDescent="0.25">
      <c r="A1350" t="s">
        <v>2667</v>
      </c>
      <c r="B1350" t="s">
        <v>254</v>
      </c>
      <c r="C1350" t="s">
        <v>319</v>
      </c>
      <c r="D1350" t="s">
        <v>3713</v>
      </c>
      <c r="E1350" t="s">
        <v>3761</v>
      </c>
      <c r="F1350">
        <v>10000000</v>
      </c>
      <c r="G1350" t="s">
        <v>9349</v>
      </c>
      <c r="H1350" t="s">
        <v>242</v>
      </c>
      <c r="I1350" t="s">
        <v>242</v>
      </c>
      <c r="J1350" t="s">
        <v>242</v>
      </c>
      <c r="K1350" t="s">
        <v>242</v>
      </c>
      <c r="L1350" t="s">
        <v>241</v>
      </c>
      <c r="M1350">
        <v>39.0137</v>
      </c>
      <c r="N1350">
        <v>-123.1503</v>
      </c>
      <c r="O1350">
        <v>0.93</v>
      </c>
      <c r="P1350">
        <v>0.93</v>
      </c>
      <c r="Q1350">
        <v>0</v>
      </c>
      <c r="R1350">
        <v>0</v>
      </c>
      <c r="S1350">
        <v>0</v>
      </c>
      <c r="T1350">
        <v>0</v>
      </c>
      <c r="U1350">
        <v>0.01</v>
      </c>
      <c r="V1350">
        <v>0.01</v>
      </c>
      <c r="W1350">
        <v>0.01</v>
      </c>
      <c r="X1350">
        <v>0</v>
      </c>
      <c r="Y1350">
        <v>0</v>
      </c>
      <c r="Z1350">
        <v>0.93</v>
      </c>
      <c r="AA1350" t="s">
        <v>9335</v>
      </c>
      <c r="AB1350" t="s">
        <v>242</v>
      </c>
      <c r="AC1350" t="s">
        <v>3213</v>
      </c>
    </row>
    <row r="1351" spans="1:29" x14ac:dyDescent="0.25">
      <c r="A1351" t="s">
        <v>2668</v>
      </c>
      <c r="B1351" t="s">
        <v>254</v>
      </c>
      <c r="C1351" t="s">
        <v>319</v>
      </c>
      <c r="D1351" t="s">
        <v>3713</v>
      </c>
      <c r="E1351" t="s">
        <v>3761</v>
      </c>
      <c r="F1351">
        <v>10000000</v>
      </c>
      <c r="G1351" t="s">
        <v>9349</v>
      </c>
      <c r="H1351" t="s">
        <v>242</v>
      </c>
      <c r="I1351" t="s">
        <v>242</v>
      </c>
      <c r="J1351" t="s">
        <v>242</v>
      </c>
      <c r="K1351" t="s">
        <v>242</v>
      </c>
      <c r="L1351" t="s">
        <v>241</v>
      </c>
      <c r="M1351">
        <v>39.0137</v>
      </c>
      <c r="N1351">
        <v>-123.1503</v>
      </c>
      <c r="O1351">
        <v>0</v>
      </c>
      <c r="P1351">
        <v>0</v>
      </c>
      <c r="Q1351">
        <v>0</v>
      </c>
      <c r="R1351">
        <v>0</v>
      </c>
      <c r="S1351">
        <v>0.34</v>
      </c>
      <c r="T1351">
        <v>0.34</v>
      </c>
      <c r="U1351">
        <v>0.4</v>
      </c>
      <c r="V1351">
        <v>0.4</v>
      </c>
      <c r="W1351">
        <v>0.06</v>
      </c>
      <c r="X1351">
        <v>0</v>
      </c>
      <c r="Y1351">
        <v>0</v>
      </c>
      <c r="Z1351">
        <v>0</v>
      </c>
      <c r="AA1351" t="s">
        <v>9335</v>
      </c>
      <c r="AB1351" t="s">
        <v>242</v>
      </c>
      <c r="AC1351" t="s">
        <v>3213</v>
      </c>
    </row>
    <row r="1352" spans="1:29" x14ac:dyDescent="0.25">
      <c r="A1352" t="s">
        <v>2673</v>
      </c>
      <c r="B1352" t="s">
        <v>254</v>
      </c>
      <c r="C1352" t="s">
        <v>319</v>
      </c>
      <c r="D1352" t="s">
        <v>3713</v>
      </c>
      <c r="E1352" t="s">
        <v>3761</v>
      </c>
      <c r="F1352">
        <v>10000000</v>
      </c>
      <c r="G1352" t="s">
        <v>9349</v>
      </c>
      <c r="H1352" t="s">
        <v>242</v>
      </c>
      <c r="I1352" t="s">
        <v>242</v>
      </c>
      <c r="J1352" t="s">
        <v>242</v>
      </c>
      <c r="K1352" t="s">
        <v>242</v>
      </c>
      <c r="L1352" t="s">
        <v>241</v>
      </c>
      <c r="M1352">
        <v>38.955599999999997</v>
      </c>
      <c r="N1352">
        <v>-123.11620000000001</v>
      </c>
      <c r="O1352">
        <v>0.41</v>
      </c>
      <c r="P1352">
        <v>0.53</v>
      </c>
      <c r="Q1352">
        <v>0.16</v>
      </c>
      <c r="R1352">
        <v>0.8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1.33</v>
      </c>
      <c r="Z1352">
        <v>0.81</v>
      </c>
      <c r="AA1352" t="s">
        <v>9335</v>
      </c>
      <c r="AB1352" t="s">
        <v>242</v>
      </c>
      <c r="AC1352" t="s">
        <v>3213</v>
      </c>
    </row>
    <row r="1353" spans="1:29" x14ac:dyDescent="0.25">
      <c r="A1353" t="s">
        <v>169</v>
      </c>
      <c r="B1353" t="s">
        <v>254</v>
      </c>
      <c r="C1353" t="s">
        <v>311</v>
      </c>
      <c r="D1353" t="s">
        <v>3713</v>
      </c>
      <c r="E1353" t="s">
        <v>3761</v>
      </c>
      <c r="F1353">
        <v>10000000</v>
      </c>
      <c r="G1353" t="s">
        <v>9349</v>
      </c>
      <c r="H1353" t="s">
        <v>241</v>
      </c>
      <c r="I1353" t="s">
        <v>242</v>
      </c>
      <c r="J1353" t="s">
        <v>242</v>
      </c>
      <c r="K1353" t="s">
        <v>242</v>
      </c>
      <c r="L1353" t="s">
        <v>241</v>
      </c>
      <c r="M1353">
        <v>38.649900000000002</v>
      </c>
      <c r="N1353">
        <v>-122.79810000000001</v>
      </c>
      <c r="O1353">
        <v>5.86</v>
      </c>
      <c r="P1353">
        <v>4.2</v>
      </c>
      <c r="Q1353">
        <v>4.33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2.9</v>
      </c>
      <c r="X1353">
        <v>10.16</v>
      </c>
      <c r="Y1353">
        <v>10.199999999999999</v>
      </c>
      <c r="Z1353">
        <v>4.3600000000000003</v>
      </c>
      <c r="AA1353" t="s">
        <v>9335</v>
      </c>
      <c r="AB1353" t="s">
        <v>242</v>
      </c>
      <c r="AC1353" t="s">
        <v>3229</v>
      </c>
    </row>
    <row r="1354" spans="1:29" x14ac:dyDescent="0.25">
      <c r="A1354" t="s">
        <v>115</v>
      </c>
      <c r="B1354" t="s">
        <v>254</v>
      </c>
      <c r="C1354" t="s">
        <v>311</v>
      </c>
      <c r="D1354" t="s">
        <v>3713</v>
      </c>
      <c r="E1354" t="s">
        <v>3761</v>
      </c>
      <c r="F1354">
        <v>10000000</v>
      </c>
      <c r="G1354" t="s">
        <v>9349</v>
      </c>
      <c r="H1354" t="s">
        <v>241</v>
      </c>
      <c r="I1354" t="s">
        <v>242</v>
      </c>
      <c r="J1354" t="s">
        <v>242</v>
      </c>
      <c r="K1354" t="s">
        <v>242</v>
      </c>
      <c r="L1354" t="s">
        <v>241</v>
      </c>
      <c r="M1354">
        <v>38.650300000000001</v>
      </c>
      <c r="N1354">
        <v>-122.8008</v>
      </c>
      <c r="O1354">
        <v>3.07</v>
      </c>
      <c r="P1354">
        <v>3.23</v>
      </c>
      <c r="Q1354">
        <v>1.87</v>
      </c>
      <c r="R1354">
        <v>0</v>
      </c>
      <c r="S1354">
        <v>0</v>
      </c>
      <c r="T1354">
        <v>0</v>
      </c>
      <c r="U1354">
        <v>9.26</v>
      </c>
      <c r="V1354">
        <v>16.43</v>
      </c>
      <c r="W1354">
        <v>16.73</v>
      </c>
      <c r="X1354">
        <v>17.559999999999999</v>
      </c>
      <c r="Y1354">
        <v>12.56</v>
      </c>
      <c r="Z1354">
        <v>2.8</v>
      </c>
      <c r="AA1354" t="s">
        <v>9335</v>
      </c>
      <c r="AB1354" t="s">
        <v>242</v>
      </c>
      <c r="AC1354" t="s">
        <v>3229</v>
      </c>
    </row>
    <row r="1355" spans="1:29" x14ac:dyDescent="0.25">
      <c r="A1355" t="s">
        <v>2674</v>
      </c>
      <c r="B1355" t="s">
        <v>254</v>
      </c>
      <c r="C1355" t="s">
        <v>436</v>
      </c>
      <c r="D1355" t="s">
        <v>3713</v>
      </c>
      <c r="E1355" t="s">
        <v>3761</v>
      </c>
      <c r="F1355">
        <v>10000000</v>
      </c>
      <c r="G1355" t="s">
        <v>9349</v>
      </c>
      <c r="H1355" t="s">
        <v>241</v>
      </c>
      <c r="I1355" t="s">
        <v>242</v>
      </c>
      <c r="J1355" t="s">
        <v>242</v>
      </c>
      <c r="K1355" t="s">
        <v>242</v>
      </c>
      <c r="L1355" t="s">
        <v>241</v>
      </c>
      <c r="M1355">
        <v>38.694299999999998</v>
      </c>
      <c r="N1355">
        <v>-122.8582</v>
      </c>
      <c r="O1355">
        <v>0</v>
      </c>
      <c r="P1355">
        <v>0</v>
      </c>
      <c r="Q1355">
        <v>0</v>
      </c>
      <c r="R1355">
        <v>0</v>
      </c>
      <c r="S1355">
        <v>0.33</v>
      </c>
      <c r="T1355">
        <v>0.93</v>
      </c>
      <c r="U1355">
        <v>1.23</v>
      </c>
      <c r="V1355">
        <v>1</v>
      </c>
      <c r="W1355">
        <v>0.6</v>
      </c>
      <c r="X1355">
        <v>0.16</v>
      </c>
      <c r="Y1355">
        <v>0</v>
      </c>
      <c r="Z1355">
        <v>0</v>
      </c>
      <c r="AA1355" t="s">
        <v>9335</v>
      </c>
      <c r="AB1355" t="s">
        <v>242</v>
      </c>
      <c r="AC1355" t="s">
        <v>3229</v>
      </c>
    </row>
    <row r="1356" spans="1:29" x14ac:dyDescent="0.25">
      <c r="A1356" t="s">
        <v>2675</v>
      </c>
      <c r="B1356" t="s">
        <v>254</v>
      </c>
      <c r="C1356" t="s">
        <v>317</v>
      </c>
      <c r="D1356" t="s">
        <v>3713</v>
      </c>
      <c r="E1356" t="s">
        <v>3761</v>
      </c>
      <c r="F1356">
        <v>10000000</v>
      </c>
      <c r="G1356" t="s">
        <v>9349</v>
      </c>
      <c r="H1356" t="s">
        <v>242</v>
      </c>
      <c r="I1356" t="s">
        <v>242</v>
      </c>
      <c r="J1356" t="s">
        <v>242</v>
      </c>
      <c r="K1356" t="s">
        <v>242</v>
      </c>
      <c r="L1356" t="s">
        <v>241</v>
      </c>
      <c r="M1356">
        <v>39.207700000000003</v>
      </c>
      <c r="N1356">
        <v>-123.1915</v>
      </c>
      <c r="O1356">
        <v>2.81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 t="s">
        <v>9347</v>
      </c>
      <c r="AB1356" t="s">
        <v>242</v>
      </c>
      <c r="AC1356" t="s">
        <v>3213</v>
      </c>
    </row>
    <row r="1357" spans="1:29" x14ac:dyDescent="0.25">
      <c r="A1357" t="s">
        <v>2676</v>
      </c>
      <c r="B1357" t="s">
        <v>254</v>
      </c>
      <c r="C1357" t="s">
        <v>317</v>
      </c>
      <c r="D1357" t="s">
        <v>3713</v>
      </c>
      <c r="E1357" t="s">
        <v>3761</v>
      </c>
      <c r="F1357">
        <v>10000000</v>
      </c>
      <c r="G1357" t="s">
        <v>9349</v>
      </c>
      <c r="H1357" t="s">
        <v>242</v>
      </c>
      <c r="I1357" t="s">
        <v>242</v>
      </c>
      <c r="J1357" t="s">
        <v>242</v>
      </c>
      <c r="K1357" t="s">
        <v>242</v>
      </c>
      <c r="L1357" t="s">
        <v>241</v>
      </c>
      <c r="M1357">
        <v>39.205399999999997</v>
      </c>
      <c r="N1357">
        <v>-123.1888</v>
      </c>
      <c r="O1357">
        <v>0.5</v>
      </c>
      <c r="P1357">
        <v>0</v>
      </c>
      <c r="Q1357">
        <v>0</v>
      </c>
      <c r="R1357">
        <v>0.05</v>
      </c>
      <c r="S1357">
        <v>0.05</v>
      </c>
      <c r="T1357">
        <v>0.05</v>
      </c>
      <c r="U1357">
        <v>0.05</v>
      </c>
      <c r="V1357">
        <v>0</v>
      </c>
      <c r="W1357">
        <v>0</v>
      </c>
      <c r="X1357">
        <v>0</v>
      </c>
      <c r="Y1357">
        <v>0</v>
      </c>
      <c r="Z1357">
        <v>0.8</v>
      </c>
      <c r="AA1357" t="s">
        <v>9333</v>
      </c>
      <c r="AB1357" t="s">
        <v>242</v>
      </c>
      <c r="AC1357" t="s">
        <v>3213</v>
      </c>
    </row>
    <row r="1358" spans="1:29" x14ac:dyDescent="0.25">
      <c r="A1358" t="s">
        <v>2677</v>
      </c>
      <c r="B1358" t="s">
        <v>254</v>
      </c>
      <c r="C1358" t="s">
        <v>319</v>
      </c>
      <c r="D1358" t="s">
        <v>3713</v>
      </c>
      <c r="E1358" t="s">
        <v>3761</v>
      </c>
      <c r="F1358">
        <v>10000000</v>
      </c>
      <c r="G1358" t="s">
        <v>9349</v>
      </c>
      <c r="H1358" t="s">
        <v>242</v>
      </c>
      <c r="I1358" t="s">
        <v>242</v>
      </c>
      <c r="J1358" t="s">
        <v>242</v>
      </c>
      <c r="K1358" t="s">
        <v>242</v>
      </c>
      <c r="L1358" t="s">
        <v>241</v>
      </c>
      <c r="M1358">
        <v>38.996000000000002</v>
      </c>
      <c r="N1358">
        <v>-123.2024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 t="s">
        <v>9333</v>
      </c>
      <c r="AB1358" t="s">
        <v>242</v>
      </c>
      <c r="AC1358" t="s">
        <v>3213</v>
      </c>
    </row>
    <row r="1359" spans="1:29" x14ac:dyDescent="0.25">
      <c r="A1359" t="s">
        <v>2678</v>
      </c>
      <c r="B1359" t="s">
        <v>254</v>
      </c>
      <c r="C1359" t="s">
        <v>319</v>
      </c>
      <c r="D1359" t="s">
        <v>3713</v>
      </c>
      <c r="E1359" t="s">
        <v>3761</v>
      </c>
      <c r="F1359">
        <v>10000000</v>
      </c>
      <c r="G1359" t="s">
        <v>9349</v>
      </c>
      <c r="H1359" t="s">
        <v>242</v>
      </c>
      <c r="I1359" t="s">
        <v>242</v>
      </c>
      <c r="J1359" t="s">
        <v>242</v>
      </c>
      <c r="K1359" t="s">
        <v>242</v>
      </c>
      <c r="L1359" t="s">
        <v>241</v>
      </c>
      <c r="M1359">
        <v>38.996400000000001</v>
      </c>
      <c r="N1359">
        <v>-123.2026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 t="s">
        <v>9333</v>
      </c>
      <c r="AB1359" t="s">
        <v>242</v>
      </c>
      <c r="AC1359" t="s">
        <v>3213</v>
      </c>
    </row>
    <row r="1360" spans="1:29" x14ac:dyDescent="0.25">
      <c r="A1360" t="s">
        <v>2679</v>
      </c>
      <c r="B1360" t="s">
        <v>254</v>
      </c>
      <c r="C1360" t="s">
        <v>319</v>
      </c>
      <c r="D1360" t="s">
        <v>3713</v>
      </c>
      <c r="E1360" t="s">
        <v>3761</v>
      </c>
      <c r="F1360">
        <v>10000000</v>
      </c>
      <c r="G1360" t="s">
        <v>9349</v>
      </c>
      <c r="H1360" t="s">
        <v>242</v>
      </c>
      <c r="I1360" t="s">
        <v>242</v>
      </c>
      <c r="J1360" t="s">
        <v>242</v>
      </c>
      <c r="K1360" t="s">
        <v>242</v>
      </c>
      <c r="L1360" t="s">
        <v>241</v>
      </c>
      <c r="M1360">
        <v>38.9953</v>
      </c>
      <c r="N1360">
        <v>-123.2015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 t="s">
        <v>9333</v>
      </c>
      <c r="AB1360" t="s">
        <v>242</v>
      </c>
      <c r="AC1360" t="s">
        <v>3213</v>
      </c>
    </row>
    <row r="1361" spans="1:29" x14ac:dyDescent="0.25">
      <c r="A1361" t="s">
        <v>2680</v>
      </c>
      <c r="B1361" t="s">
        <v>254</v>
      </c>
      <c r="C1361" t="s">
        <v>333</v>
      </c>
      <c r="D1361" t="s">
        <v>3713</v>
      </c>
      <c r="E1361" t="s">
        <v>3761</v>
      </c>
      <c r="F1361">
        <v>10000000</v>
      </c>
      <c r="G1361" t="s">
        <v>9349</v>
      </c>
      <c r="H1361" t="s">
        <v>242</v>
      </c>
      <c r="I1361" t="s">
        <v>242</v>
      </c>
      <c r="J1361" t="s">
        <v>242</v>
      </c>
      <c r="K1361" t="s">
        <v>242</v>
      </c>
      <c r="L1361" t="s">
        <v>241</v>
      </c>
      <c r="M1361">
        <v>39.11</v>
      </c>
      <c r="N1361">
        <v>-123.20440000000001</v>
      </c>
      <c r="O1361">
        <v>0.66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1.33</v>
      </c>
      <c r="AA1361" t="s">
        <v>9343</v>
      </c>
      <c r="AB1361" t="s">
        <v>242</v>
      </c>
      <c r="AC1361" t="s">
        <v>3213</v>
      </c>
    </row>
    <row r="1362" spans="1:29" x14ac:dyDescent="0.25">
      <c r="A1362" t="s">
        <v>2681</v>
      </c>
      <c r="B1362" t="s">
        <v>254</v>
      </c>
      <c r="C1362" t="s">
        <v>319</v>
      </c>
      <c r="D1362" t="s">
        <v>3713</v>
      </c>
      <c r="E1362" t="s">
        <v>3761</v>
      </c>
      <c r="F1362">
        <v>10000000</v>
      </c>
      <c r="G1362" t="s">
        <v>9349</v>
      </c>
      <c r="H1362" t="s">
        <v>242</v>
      </c>
      <c r="I1362" t="s">
        <v>242</v>
      </c>
      <c r="J1362" t="s">
        <v>242</v>
      </c>
      <c r="K1362" t="s">
        <v>242</v>
      </c>
      <c r="L1362" t="s">
        <v>241</v>
      </c>
      <c r="M1362">
        <v>38.92</v>
      </c>
      <c r="N1362">
        <v>-122.9742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0.06</v>
      </c>
      <c r="Y1362">
        <v>5.73</v>
      </c>
      <c r="Z1362">
        <v>7</v>
      </c>
      <c r="AA1362" t="s">
        <v>9341</v>
      </c>
      <c r="AB1362" t="s">
        <v>242</v>
      </c>
      <c r="AC1362" t="s">
        <v>3213</v>
      </c>
    </row>
    <row r="1363" spans="1:29" x14ac:dyDescent="0.25">
      <c r="A1363" t="s">
        <v>1863</v>
      </c>
      <c r="B1363" t="s">
        <v>254</v>
      </c>
      <c r="C1363" t="s">
        <v>348</v>
      </c>
      <c r="D1363" t="s">
        <v>3713</v>
      </c>
      <c r="E1363" t="s">
        <v>3761</v>
      </c>
      <c r="F1363">
        <v>10000000</v>
      </c>
      <c r="G1363" t="s">
        <v>9349</v>
      </c>
      <c r="H1363" t="s">
        <v>242</v>
      </c>
      <c r="I1363" t="s">
        <v>242</v>
      </c>
      <c r="J1363" t="s">
        <v>242</v>
      </c>
      <c r="K1363" t="s">
        <v>242</v>
      </c>
      <c r="L1363" t="s">
        <v>241</v>
      </c>
      <c r="M1363">
        <v>39.301099999999998</v>
      </c>
      <c r="N1363">
        <v>-123.11360000000001</v>
      </c>
      <c r="O1363">
        <v>5.43</v>
      </c>
      <c r="P1363">
        <v>6.06</v>
      </c>
      <c r="Q1363">
        <v>4.43</v>
      </c>
      <c r="R1363">
        <v>4.76</v>
      </c>
      <c r="S1363">
        <v>2.13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2.86</v>
      </c>
      <c r="Z1363">
        <v>5.53</v>
      </c>
      <c r="AA1363" t="s">
        <v>9335</v>
      </c>
      <c r="AB1363" t="s">
        <v>242</v>
      </c>
      <c r="AC1363" t="s">
        <v>3213</v>
      </c>
    </row>
    <row r="1364" spans="1:29" x14ac:dyDescent="0.25">
      <c r="A1364" t="s">
        <v>1869</v>
      </c>
      <c r="B1364" t="s">
        <v>254</v>
      </c>
      <c r="C1364" t="s">
        <v>348</v>
      </c>
      <c r="D1364" t="s">
        <v>3713</v>
      </c>
      <c r="E1364" t="s">
        <v>3761</v>
      </c>
      <c r="F1364">
        <v>10000000</v>
      </c>
      <c r="G1364" t="s">
        <v>9349</v>
      </c>
      <c r="H1364" t="s">
        <v>242</v>
      </c>
      <c r="I1364" t="s">
        <v>242</v>
      </c>
      <c r="J1364" t="s">
        <v>242</v>
      </c>
      <c r="K1364" t="s">
        <v>242</v>
      </c>
      <c r="L1364" t="s">
        <v>241</v>
      </c>
      <c r="M1364">
        <v>39.226999999999997</v>
      </c>
      <c r="N1364">
        <v>-123.1131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0.36</v>
      </c>
      <c r="U1364">
        <v>0.36</v>
      </c>
      <c r="V1364">
        <v>0.36</v>
      </c>
      <c r="W1364">
        <v>0.36</v>
      </c>
      <c r="X1364">
        <v>0</v>
      </c>
      <c r="Y1364">
        <v>0</v>
      </c>
      <c r="Z1364">
        <v>0</v>
      </c>
      <c r="AA1364" t="s">
        <v>9335</v>
      </c>
      <c r="AB1364" t="s">
        <v>242</v>
      </c>
      <c r="AC1364" t="s">
        <v>3213</v>
      </c>
    </row>
    <row r="1365" spans="1:29" x14ac:dyDescent="0.25">
      <c r="A1365" t="s">
        <v>55</v>
      </c>
      <c r="B1365" t="s">
        <v>254</v>
      </c>
      <c r="C1365" t="s">
        <v>333</v>
      </c>
      <c r="D1365" t="s">
        <v>3713</v>
      </c>
      <c r="E1365" t="s">
        <v>3761</v>
      </c>
      <c r="F1365">
        <v>10000000</v>
      </c>
      <c r="G1365" t="s">
        <v>9349</v>
      </c>
      <c r="H1365" t="s">
        <v>241</v>
      </c>
      <c r="I1365" t="s">
        <v>242</v>
      </c>
      <c r="J1365" t="s">
        <v>242</v>
      </c>
      <c r="K1365" t="s">
        <v>242</v>
      </c>
      <c r="L1365" t="s">
        <v>241</v>
      </c>
      <c r="M1365">
        <v>39.104599999999998</v>
      </c>
      <c r="N1365">
        <v>-123.1837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 t="s">
        <v>9335</v>
      </c>
      <c r="AB1365" t="s">
        <v>242</v>
      </c>
      <c r="AC1365" t="s">
        <v>3213</v>
      </c>
    </row>
    <row r="1366" spans="1:29" x14ac:dyDescent="0.25">
      <c r="A1366" t="s">
        <v>2687</v>
      </c>
      <c r="B1366" t="s">
        <v>254</v>
      </c>
      <c r="C1366" t="s">
        <v>409</v>
      </c>
      <c r="D1366" t="s">
        <v>3713</v>
      </c>
      <c r="E1366" t="s">
        <v>3761</v>
      </c>
      <c r="F1366">
        <v>10000000</v>
      </c>
      <c r="G1366" t="s">
        <v>9349</v>
      </c>
      <c r="H1366" t="s">
        <v>242</v>
      </c>
      <c r="I1366" t="s">
        <v>242</v>
      </c>
      <c r="J1366" t="s">
        <v>242</v>
      </c>
      <c r="K1366" t="s">
        <v>242</v>
      </c>
      <c r="L1366" t="s">
        <v>241</v>
      </c>
      <c r="M1366">
        <v>38.8521</v>
      </c>
      <c r="N1366">
        <v>-122.95269999999999</v>
      </c>
      <c r="O1366">
        <v>1.08</v>
      </c>
      <c r="P1366">
        <v>0.66</v>
      </c>
      <c r="Q1366">
        <v>0.6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 t="s">
        <v>9333</v>
      </c>
      <c r="AB1366" t="s">
        <v>242</v>
      </c>
      <c r="AC1366" t="s">
        <v>3213</v>
      </c>
    </row>
    <row r="1367" spans="1:29" x14ac:dyDescent="0.25">
      <c r="A1367" t="s">
        <v>2688</v>
      </c>
      <c r="B1367" t="s">
        <v>254</v>
      </c>
      <c r="C1367" t="s">
        <v>308</v>
      </c>
      <c r="D1367" t="s">
        <v>3713</v>
      </c>
      <c r="E1367" t="s">
        <v>3761</v>
      </c>
      <c r="F1367">
        <v>10000000</v>
      </c>
      <c r="G1367" t="s">
        <v>9349</v>
      </c>
      <c r="H1367" t="s">
        <v>242</v>
      </c>
      <c r="I1367" t="s">
        <v>242</v>
      </c>
      <c r="J1367" t="s">
        <v>242</v>
      </c>
      <c r="K1367" t="s">
        <v>242</v>
      </c>
      <c r="L1367" t="s">
        <v>241</v>
      </c>
      <c r="M1367">
        <v>38.682499999999997</v>
      </c>
      <c r="N1367">
        <v>-122.6546</v>
      </c>
      <c r="O1367">
        <v>0.37</v>
      </c>
      <c r="P1367">
        <v>0.32</v>
      </c>
      <c r="Q1367">
        <v>0.35</v>
      </c>
      <c r="R1367">
        <v>0.34</v>
      </c>
      <c r="S1367">
        <v>0.32</v>
      </c>
      <c r="T1367">
        <v>0.32</v>
      </c>
      <c r="U1367">
        <v>0.27</v>
      </c>
      <c r="V1367">
        <v>0.25</v>
      </c>
      <c r="W1367">
        <v>0.25</v>
      </c>
      <c r="X1367">
        <v>0.27</v>
      </c>
      <c r="Y1367">
        <v>0.32</v>
      </c>
      <c r="Z1367">
        <v>0.37</v>
      </c>
      <c r="AA1367" t="s">
        <v>9333</v>
      </c>
      <c r="AB1367" t="s">
        <v>242</v>
      </c>
      <c r="AC1367" t="s">
        <v>3229</v>
      </c>
    </row>
    <row r="1368" spans="1:29" x14ac:dyDescent="0.25">
      <c r="A1368" t="s">
        <v>2689</v>
      </c>
      <c r="B1368" t="s">
        <v>254</v>
      </c>
      <c r="C1368" t="s">
        <v>308</v>
      </c>
      <c r="D1368" t="s">
        <v>3713</v>
      </c>
      <c r="E1368" t="s">
        <v>3761</v>
      </c>
      <c r="F1368">
        <v>10000000</v>
      </c>
      <c r="G1368" t="s">
        <v>9349</v>
      </c>
      <c r="H1368" t="s">
        <v>242</v>
      </c>
      <c r="I1368" t="s">
        <v>242</v>
      </c>
      <c r="J1368" t="s">
        <v>242</v>
      </c>
      <c r="K1368" t="s">
        <v>242</v>
      </c>
      <c r="L1368" t="s">
        <v>241</v>
      </c>
      <c r="M1368">
        <v>38.6858</v>
      </c>
      <c r="N1368">
        <v>-122.6525</v>
      </c>
      <c r="O1368">
        <v>0.38</v>
      </c>
      <c r="P1368">
        <v>0.36</v>
      </c>
      <c r="Q1368">
        <v>0.36</v>
      </c>
      <c r="R1368">
        <v>0.37</v>
      </c>
      <c r="S1368">
        <v>0.35</v>
      </c>
      <c r="T1368">
        <v>0.34</v>
      </c>
      <c r="U1368">
        <v>0.28000000000000003</v>
      </c>
      <c r="V1368">
        <v>0.25</v>
      </c>
      <c r="W1368">
        <v>0.24</v>
      </c>
      <c r="X1368">
        <v>0.27</v>
      </c>
      <c r="Y1368">
        <v>0.35</v>
      </c>
      <c r="Z1368">
        <v>0.4</v>
      </c>
      <c r="AA1368" t="s">
        <v>9333</v>
      </c>
      <c r="AB1368" t="s">
        <v>242</v>
      </c>
      <c r="AC1368" t="s">
        <v>3229</v>
      </c>
    </row>
    <row r="1369" spans="1:29" x14ac:dyDescent="0.25">
      <c r="A1369" t="s">
        <v>2690</v>
      </c>
      <c r="B1369" t="s">
        <v>254</v>
      </c>
      <c r="C1369" t="s">
        <v>331</v>
      </c>
      <c r="D1369" t="s">
        <v>3713</v>
      </c>
      <c r="E1369" t="s">
        <v>3761</v>
      </c>
      <c r="F1369">
        <v>10000000</v>
      </c>
      <c r="G1369" t="s">
        <v>9349</v>
      </c>
      <c r="H1369" t="s">
        <v>242</v>
      </c>
      <c r="I1369" t="s">
        <v>242</v>
      </c>
      <c r="J1369" t="s">
        <v>242</v>
      </c>
      <c r="K1369" t="s">
        <v>242</v>
      </c>
      <c r="L1369" t="s">
        <v>241</v>
      </c>
      <c r="M1369">
        <v>39.11736338</v>
      </c>
      <c r="N1369">
        <v>-123.11754120000001</v>
      </c>
      <c r="O1369">
        <v>0</v>
      </c>
      <c r="P1369">
        <v>0</v>
      </c>
      <c r="Q1369">
        <v>0</v>
      </c>
      <c r="R1369">
        <v>7.0000000000000007E-2</v>
      </c>
      <c r="S1369">
        <v>0.1</v>
      </c>
      <c r="T1369">
        <v>0.1</v>
      </c>
      <c r="U1369">
        <v>0.1</v>
      </c>
      <c r="V1369">
        <v>0.14000000000000001</v>
      </c>
      <c r="W1369">
        <v>0.1</v>
      </c>
      <c r="X1369">
        <v>7.0000000000000007E-2</v>
      </c>
      <c r="Y1369">
        <v>0</v>
      </c>
      <c r="Z1369">
        <v>0</v>
      </c>
      <c r="AA1369" t="s">
        <v>9335</v>
      </c>
      <c r="AB1369" t="s">
        <v>242</v>
      </c>
      <c r="AC1369" t="s">
        <v>3213</v>
      </c>
    </row>
    <row r="1370" spans="1:29" x14ac:dyDescent="0.25">
      <c r="A1370" t="s">
        <v>2691</v>
      </c>
      <c r="B1370" t="s">
        <v>254</v>
      </c>
      <c r="C1370" t="s">
        <v>319</v>
      </c>
      <c r="D1370" t="s">
        <v>3713</v>
      </c>
      <c r="E1370" t="s">
        <v>3761</v>
      </c>
      <c r="F1370">
        <v>10000000</v>
      </c>
      <c r="G1370" t="s">
        <v>9349</v>
      </c>
      <c r="H1370" t="s">
        <v>241</v>
      </c>
      <c r="I1370" t="s">
        <v>242</v>
      </c>
      <c r="J1370" t="s">
        <v>242</v>
      </c>
      <c r="K1370" t="s">
        <v>242</v>
      </c>
      <c r="L1370" t="s">
        <v>241</v>
      </c>
      <c r="M1370">
        <v>38.999400000000001</v>
      </c>
      <c r="N1370">
        <v>-123.10980000000001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 t="s">
        <v>9335</v>
      </c>
      <c r="AB1370" t="s">
        <v>242</v>
      </c>
      <c r="AC1370" t="s">
        <v>3213</v>
      </c>
    </row>
    <row r="1371" spans="1:29" x14ac:dyDescent="0.25">
      <c r="A1371" t="s">
        <v>2693</v>
      </c>
      <c r="B1371" t="s">
        <v>254</v>
      </c>
      <c r="C1371" t="s">
        <v>319</v>
      </c>
      <c r="D1371" t="s">
        <v>3713</v>
      </c>
      <c r="E1371" t="s">
        <v>3761</v>
      </c>
      <c r="F1371">
        <v>10000000</v>
      </c>
      <c r="G1371" t="s">
        <v>9349</v>
      </c>
      <c r="H1371" t="s">
        <v>242</v>
      </c>
      <c r="I1371" t="s">
        <v>242</v>
      </c>
      <c r="J1371" t="s">
        <v>242</v>
      </c>
      <c r="K1371" t="s">
        <v>242</v>
      </c>
      <c r="L1371" t="s">
        <v>241</v>
      </c>
      <c r="M1371">
        <v>38.995699999999999</v>
      </c>
      <c r="N1371">
        <v>-123.1236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 t="s">
        <v>9347</v>
      </c>
      <c r="AB1371" t="s">
        <v>242</v>
      </c>
      <c r="AC1371" t="s">
        <v>3213</v>
      </c>
    </row>
    <row r="1372" spans="1:29" x14ac:dyDescent="0.25">
      <c r="A1372" t="s">
        <v>1854</v>
      </c>
      <c r="B1372" t="s">
        <v>254</v>
      </c>
      <c r="C1372" t="s">
        <v>348</v>
      </c>
      <c r="D1372" t="s">
        <v>3713</v>
      </c>
      <c r="E1372" t="s">
        <v>3761</v>
      </c>
      <c r="F1372">
        <v>10000000</v>
      </c>
      <c r="G1372" t="s">
        <v>9349</v>
      </c>
      <c r="H1372" t="s">
        <v>242</v>
      </c>
      <c r="I1372" t="s">
        <v>242</v>
      </c>
      <c r="J1372" t="s">
        <v>242</v>
      </c>
      <c r="K1372" t="s">
        <v>242</v>
      </c>
      <c r="L1372" t="s">
        <v>241</v>
      </c>
      <c r="M1372">
        <v>39.225700000000003</v>
      </c>
      <c r="N1372">
        <v>-123.1186</v>
      </c>
      <c r="O1372">
        <v>1.72</v>
      </c>
      <c r="P1372">
        <v>0.4</v>
      </c>
      <c r="Q1372">
        <v>7</v>
      </c>
      <c r="R1372">
        <v>10.45</v>
      </c>
      <c r="S1372">
        <v>12.81</v>
      </c>
      <c r="T1372">
        <v>19.34</v>
      </c>
      <c r="U1372">
        <v>4.3899999999999997</v>
      </c>
      <c r="V1372">
        <v>0</v>
      </c>
      <c r="W1372">
        <v>0</v>
      </c>
      <c r="X1372">
        <v>0</v>
      </c>
      <c r="Y1372">
        <v>0.16</v>
      </c>
      <c r="Z1372">
        <v>6.7</v>
      </c>
      <c r="AA1372" t="s">
        <v>9339</v>
      </c>
      <c r="AB1372" t="s">
        <v>242</v>
      </c>
      <c r="AC1372" t="s">
        <v>3213</v>
      </c>
    </row>
    <row r="1373" spans="1:29" x14ac:dyDescent="0.25">
      <c r="A1373" t="s">
        <v>2694</v>
      </c>
      <c r="B1373" t="s">
        <v>254</v>
      </c>
      <c r="C1373" t="s">
        <v>319</v>
      </c>
      <c r="D1373" t="s">
        <v>3713</v>
      </c>
      <c r="E1373" t="s">
        <v>3761</v>
      </c>
      <c r="F1373">
        <v>10000000</v>
      </c>
      <c r="G1373" t="s">
        <v>9349</v>
      </c>
      <c r="H1373" t="s">
        <v>242</v>
      </c>
      <c r="I1373" t="s">
        <v>242</v>
      </c>
      <c r="J1373" t="s">
        <v>242</v>
      </c>
      <c r="K1373" t="s">
        <v>242</v>
      </c>
      <c r="L1373" t="s">
        <v>241</v>
      </c>
      <c r="M1373">
        <v>38.994</v>
      </c>
      <c r="N1373">
        <v>-123.1315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 t="s">
        <v>9343</v>
      </c>
      <c r="AB1373" t="s">
        <v>242</v>
      </c>
      <c r="AC1373" t="s">
        <v>3213</v>
      </c>
    </row>
    <row r="1374" spans="1:29" x14ac:dyDescent="0.25">
      <c r="A1374" t="s">
        <v>2695</v>
      </c>
      <c r="B1374" t="s">
        <v>254</v>
      </c>
      <c r="C1374" t="s">
        <v>319</v>
      </c>
      <c r="D1374" t="s">
        <v>3713</v>
      </c>
      <c r="E1374" t="s">
        <v>3761</v>
      </c>
      <c r="F1374">
        <v>10000000</v>
      </c>
      <c r="G1374" t="s">
        <v>9349</v>
      </c>
      <c r="H1374" t="s">
        <v>241</v>
      </c>
      <c r="I1374" t="s">
        <v>242</v>
      </c>
      <c r="J1374" t="s">
        <v>242</v>
      </c>
      <c r="K1374" t="s">
        <v>242</v>
      </c>
      <c r="L1374" t="s">
        <v>241</v>
      </c>
      <c r="M1374">
        <v>39.003799999999998</v>
      </c>
      <c r="N1374">
        <v>-123.113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 t="s">
        <v>9343</v>
      </c>
      <c r="AB1374" t="s">
        <v>242</v>
      </c>
      <c r="AC1374" t="s">
        <v>3213</v>
      </c>
    </row>
    <row r="1375" spans="1:29" x14ac:dyDescent="0.25">
      <c r="A1375" t="s">
        <v>2697</v>
      </c>
      <c r="B1375" t="s">
        <v>254</v>
      </c>
      <c r="C1375" t="s">
        <v>319</v>
      </c>
      <c r="D1375" t="s">
        <v>3713</v>
      </c>
      <c r="E1375" t="s">
        <v>3761</v>
      </c>
      <c r="F1375">
        <v>10000000</v>
      </c>
      <c r="G1375" t="s">
        <v>9349</v>
      </c>
      <c r="H1375" t="s">
        <v>241</v>
      </c>
      <c r="I1375" t="s">
        <v>242</v>
      </c>
      <c r="J1375" t="s">
        <v>242</v>
      </c>
      <c r="K1375" t="s">
        <v>242</v>
      </c>
      <c r="L1375" t="s">
        <v>241</v>
      </c>
      <c r="M1375">
        <v>38.995100000000001</v>
      </c>
      <c r="N1375">
        <v>-123.11579999999999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 t="s">
        <v>9343</v>
      </c>
      <c r="AB1375" t="s">
        <v>242</v>
      </c>
      <c r="AC1375" t="s">
        <v>3213</v>
      </c>
    </row>
    <row r="1376" spans="1:29" x14ac:dyDescent="0.25">
      <c r="A1376" t="s">
        <v>2699</v>
      </c>
      <c r="B1376" t="s">
        <v>254</v>
      </c>
      <c r="C1376" t="s">
        <v>507</v>
      </c>
      <c r="D1376" t="s">
        <v>3713</v>
      </c>
      <c r="E1376" t="s">
        <v>3761</v>
      </c>
      <c r="F1376">
        <v>10000000</v>
      </c>
      <c r="G1376" t="s">
        <v>9349</v>
      </c>
      <c r="H1376" t="s">
        <v>242</v>
      </c>
      <c r="I1376" t="s">
        <v>242</v>
      </c>
      <c r="J1376" t="s">
        <v>242</v>
      </c>
      <c r="K1376" t="s">
        <v>242</v>
      </c>
      <c r="L1376" t="s">
        <v>241</v>
      </c>
      <c r="M1376">
        <v>38.599800000000002</v>
      </c>
      <c r="N1376">
        <v>-122.85</v>
      </c>
      <c r="O1376">
        <v>0</v>
      </c>
      <c r="P1376">
        <v>2.9999999999999997E-4</v>
      </c>
      <c r="Q1376">
        <v>0.03</v>
      </c>
      <c r="R1376">
        <v>0.03</v>
      </c>
      <c r="S1376">
        <v>0.16</v>
      </c>
      <c r="T1376">
        <v>0.27</v>
      </c>
      <c r="U1376">
        <v>0.43</v>
      </c>
      <c r="V1376">
        <v>0.61</v>
      </c>
      <c r="W1376">
        <v>0.16</v>
      </c>
      <c r="X1376">
        <v>0.2</v>
      </c>
      <c r="Y1376">
        <v>0.13</v>
      </c>
      <c r="Z1376">
        <v>0</v>
      </c>
      <c r="AA1376" t="s">
        <v>9335</v>
      </c>
      <c r="AB1376" t="s">
        <v>242</v>
      </c>
      <c r="AC1376" t="s">
        <v>3229</v>
      </c>
    </row>
    <row r="1377" spans="1:29" x14ac:dyDescent="0.25">
      <c r="A1377" t="s">
        <v>2701</v>
      </c>
      <c r="B1377" t="s">
        <v>254</v>
      </c>
      <c r="C1377" t="s">
        <v>354</v>
      </c>
      <c r="D1377" t="s">
        <v>3713</v>
      </c>
      <c r="E1377" t="s">
        <v>3761</v>
      </c>
      <c r="F1377">
        <v>10000000</v>
      </c>
      <c r="G1377" t="s">
        <v>9349</v>
      </c>
      <c r="H1377" t="s">
        <v>241</v>
      </c>
      <c r="I1377" t="s">
        <v>242</v>
      </c>
      <c r="J1377" t="s">
        <v>242</v>
      </c>
      <c r="K1377" t="s">
        <v>242</v>
      </c>
      <c r="L1377" t="s">
        <v>241</v>
      </c>
      <c r="M1377">
        <v>38.768599999999999</v>
      </c>
      <c r="N1377">
        <v>-122.9759</v>
      </c>
      <c r="O1377">
        <v>0</v>
      </c>
      <c r="P1377">
        <v>0</v>
      </c>
      <c r="Q1377">
        <v>0</v>
      </c>
      <c r="R1377">
        <v>0.03</v>
      </c>
      <c r="S1377">
        <v>0.33</v>
      </c>
      <c r="T1377">
        <v>1.2</v>
      </c>
      <c r="U1377">
        <v>1.3</v>
      </c>
      <c r="V1377">
        <v>1.4</v>
      </c>
      <c r="W1377">
        <v>1.23</v>
      </c>
      <c r="X1377">
        <v>0.63</v>
      </c>
      <c r="Y1377">
        <v>0.53</v>
      </c>
      <c r="Z1377">
        <v>0</v>
      </c>
      <c r="AA1377" t="s">
        <v>9335</v>
      </c>
      <c r="AB1377" t="s">
        <v>242</v>
      </c>
      <c r="AC1377" t="s">
        <v>3229</v>
      </c>
    </row>
    <row r="1378" spans="1:29" x14ac:dyDescent="0.25">
      <c r="A1378" t="s">
        <v>2705</v>
      </c>
      <c r="B1378" t="s">
        <v>254</v>
      </c>
      <c r="C1378" t="s">
        <v>409</v>
      </c>
      <c r="D1378" t="s">
        <v>3713</v>
      </c>
      <c r="E1378" t="s">
        <v>3761</v>
      </c>
      <c r="F1378">
        <v>10000000</v>
      </c>
      <c r="G1378" t="s">
        <v>9349</v>
      </c>
      <c r="H1378" t="s">
        <v>242</v>
      </c>
      <c r="I1378" t="s">
        <v>242</v>
      </c>
      <c r="J1378" t="s">
        <v>242</v>
      </c>
      <c r="K1378" t="s">
        <v>242</v>
      </c>
      <c r="L1378" t="s">
        <v>241</v>
      </c>
      <c r="M1378">
        <v>38.775146479999997</v>
      </c>
      <c r="N1378">
        <v>-122.90329149999999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2.4300000000000002</v>
      </c>
      <c r="V1378">
        <v>7.5</v>
      </c>
      <c r="W1378">
        <v>6.2</v>
      </c>
      <c r="X1378">
        <v>0.83</v>
      </c>
      <c r="Y1378">
        <v>0</v>
      </c>
      <c r="Z1378">
        <v>0</v>
      </c>
      <c r="AA1378" t="s">
        <v>9335</v>
      </c>
      <c r="AB1378" t="s">
        <v>242</v>
      </c>
      <c r="AC1378" t="s">
        <v>3229</v>
      </c>
    </row>
    <row r="1379" spans="1:29" x14ac:dyDescent="0.25">
      <c r="A1379" t="s">
        <v>2707</v>
      </c>
      <c r="B1379" t="s">
        <v>254</v>
      </c>
      <c r="C1379" t="s">
        <v>331</v>
      </c>
      <c r="D1379" t="s">
        <v>3713</v>
      </c>
      <c r="E1379" t="s">
        <v>3761</v>
      </c>
      <c r="F1379">
        <v>10000000</v>
      </c>
      <c r="G1379" t="s">
        <v>9349</v>
      </c>
      <c r="H1379" t="s">
        <v>242</v>
      </c>
      <c r="I1379" t="s">
        <v>242</v>
      </c>
      <c r="J1379" t="s">
        <v>242</v>
      </c>
      <c r="K1379" t="s">
        <v>242</v>
      </c>
      <c r="L1379" t="s">
        <v>241</v>
      </c>
      <c r="M1379">
        <v>39.1205</v>
      </c>
      <c r="N1379">
        <v>-123.1212</v>
      </c>
      <c r="O1379">
        <v>0</v>
      </c>
      <c r="P1379">
        <v>0</v>
      </c>
      <c r="Q1379">
        <v>0</v>
      </c>
      <c r="R1379">
        <v>0</v>
      </c>
      <c r="S1379">
        <v>0.01</v>
      </c>
      <c r="T1379">
        <v>0.02</v>
      </c>
      <c r="U1379">
        <v>0.02</v>
      </c>
      <c r="V1379">
        <v>0.02</v>
      </c>
      <c r="W1379">
        <v>0.02</v>
      </c>
      <c r="X1379">
        <v>0.01</v>
      </c>
      <c r="Y1379">
        <v>0.01</v>
      </c>
      <c r="Z1379">
        <v>0.01</v>
      </c>
      <c r="AA1379" t="s">
        <v>9335</v>
      </c>
      <c r="AB1379" t="s">
        <v>241</v>
      </c>
      <c r="AC1379" t="s">
        <v>3213</v>
      </c>
    </row>
    <row r="1380" spans="1:29" x14ac:dyDescent="0.25">
      <c r="A1380" t="s">
        <v>39</v>
      </c>
      <c r="B1380" t="s">
        <v>254</v>
      </c>
      <c r="C1380" t="s">
        <v>333</v>
      </c>
      <c r="D1380" t="s">
        <v>3713</v>
      </c>
      <c r="E1380" t="s">
        <v>3761</v>
      </c>
      <c r="F1380">
        <v>10000000</v>
      </c>
      <c r="G1380" t="s">
        <v>9349</v>
      </c>
      <c r="H1380" t="s">
        <v>241</v>
      </c>
      <c r="I1380" t="s">
        <v>242</v>
      </c>
      <c r="J1380" t="s">
        <v>242</v>
      </c>
      <c r="K1380" t="s">
        <v>242</v>
      </c>
      <c r="L1380" t="s">
        <v>241</v>
      </c>
      <c r="M1380">
        <v>39.059800000000003</v>
      </c>
      <c r="N1380">
        <v>-123.14449999999999</v>
      </c>
      <c r="O1380">
        <v>0</v>
      </c>
      <c r="P1380">
        <v>0</v>
      </c>
      <c r="Q1380">
        <v>0</v>
      </c>
      <c r="R1380">
        <v>0.03</v>
      </c>
      <c r="S1380">
        <v>0.46</v>
      </c>
      <c r="T1380">
        <v>0.3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 t="s">
        <v>9333</v>
      </c>
      <c r="AB1380" t="s">
        <v>242</v>
      </c>
      <c r="AC1380" t="s">
        <v>3213</v>
      </c>
    </row>
    <row r="1381" spans="1:29" x14ac:dyDescent="0.25">
      <c r="A1381" t="s">
        <v>2708</v>
      </c>
      <c r="B1381" t="s">
        <v>254</v>
      </c>
      <c r="C1381" t="s">
        <v>311</v>
      </c>
      <c r="D1381" t="s">
        <v>3713</v>
      </c>
      <c r="E1381" t="s">
        <v>3761</v>
      </c>
      <c r="F1381">
        <v>10000000</v>
      </c>
      <c r="G1381" t="s">
        <v>9349</v>
      </c>
      <c r="H1381" t="s">
        <v>242</v>
      </c>
      <c r="I1381" t="s">
        <v>242</v>
      </c>
      <c r="J1381" t="s">
        <v>242</v>
      </c>
      <c r="K1381" t="s">
        <v>242</v>
      </c>
      <c r="L1381" t="s">
        <v>241</v>
      </c>
      <c r="M1381">
        <v>38.584800000000001</v>
      </c>
      <c r="N1381">
        <v>-122.7482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4.333333E-3</v>
      </c>
      <c r="U1381">
        <v>0.08</v>
      </c>
      <c r="V1381">
        <v>0.1</v>
      </c>
      <c r="W1381">
        <v>0.09</v>
      </c>
      <c r="X1381">
        <v>4.333333E-3</v>
      </c>
      <c r="Y1381">
        <v>0</v>
      </c>
      <c r="Z1381">
        <v>0</v>
      </c>
      <c r="AA1381" t="s">
        <v>9335</v>
      </c>
      <c r="AB1381" t="s">
        <v>242</v>
      </c>
      <c r="AC1381" t="s">
        <v>3229</v>
      </c>
    </row>
    <row r="1382" spans="1:29" x14ac:dyDescent="0.25">
      <c r="A1382" t="s">
        <v>2709</v>
      </c>
      <c r="B1382" t="s">
        <v>254</v>
      </c>
      <c r="C1382" t="s">
        <v>354</v>
      </c>
      <c r="D1382" t="s">
        <v>3713</v>
      </c>
      <c r="E1382" t="s">
        <v>3761</v>
      </c>
      <c r="F1382">
        <v>10000000</v>
      </c>
      <c r="G1382" t="s">
        <v>9349</v>
      </c>
      <c r="H1382" t="s">
        <v>241</v>
      </c>
      <c r="I1382" t="s">
        <v>242</v>
      </c>
      <c r="J1382" t="s">
        <v>242</v>
      </c>
      <c r="K1382" t="s">
        <v>242</v>
      </c>
      <c r="L1382" t="s">
        <v>241</v>
      </c>
      <c r="M1382">
        <v>38.749699999999997</v>
      </c>
      <c r="N1382">
        <v>-122.95059999999999</v>
      </c>
      <c r="O1382">
        <v>0</v>
      </c>
      <c r="P1382">
        <v>0</v>
      </c>
      <c r="Q1382">
        <v>0</v>
      </c>
      <c r="R1382">
        <v>0</v>
      </c>
      <c r="S1382">
        <v>0.13</v>
      </c>
      <c r="T1382">
        <v>1.26</v>
      </c>
      <c r="U1382">
        <v>2.96</v>
      </c>
      <c r="V1382">
        <v>3.53</v>
      </c>
      <c r="W1382">
        <v>2.2599999999999998</v>
      </c>
      <c r="X1382">
        <v>0.96</v>
      </c>
      <c r="Y1382">
        <v>0.26</v>
      </c>
      <c r="Z1382">
        <v>0</v>
      </c>
      <c r="AA1382" t="s">
        <v>9335</v>
      </c>
      <c r="AB1382" t="s">
        <v>242</v>
      </c>
      <c r="AC1382" t="s">
        <v>3229</v>
      </c>
    </row>
    <row r="1383" spans="1:29" x14ac:dyDescent="0.25">
      <c r="A1383" t="s">
        <v>2710</v>
      </c>
      <c r="B1383" t="s">
        <v>254</v>
      </c>
      <c r="C1383" t="s">
        <v>354</v>
      </c>
      <c r="D1383" t="s">
        <v>3713</v>
      </c>
      <c r="E1383" t="s">
        <v>3761</v>
      </c>
      <c r="F1383">
        <v>10000000</v>
      </c>
      <c r="G1383" t="s">
        <v>9349</v>
      </c>
      <c r="H1383" t="s">
        <v>241</v>
      </c>
      <c r="I1383" t="s">
        <v>242</v>
      </c>
      <c r="J1383" t="s">
        <v>242</v>
      </c>
      <c r="K1383" t="s">
        <v>242</v>
      </c>
      <c r="L1383" t="s">
        <v>241</v>
      </c>
      <c r="M1383">
        <v>38.749699999999997</v>
      </c>
      <c r="N1383">
        <v>-122.95059999999999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0.16</v>
      </c>
      <c r="U1383">
        <v>0.6</v>
      </c>
      <c r="V1383">
        <v>0.56000000000000005</v>
      </c>
      <c r="W1383">
        <v>0.4</v>
      </c>
      <c r="X1383">
        <v>0.4</v>
      </c>
      <c r="Y1383">
        <v>0.26</v>
      </c>
      <c r="Z1383">
        <v>0</v>
      </c>
      <c r="AA1383" t="s">
        <v>9335</v>
      </c>
      <c r="AB1383" t="s">
        <v>242</v>
      </c>
      <c r="AC1383" t="s">
        <v>3229</v>
      </c>
    </row>
    <row r="1384" spans="1:29" x14ac:dyDescent="0.25">
      <c r="A1384" t="s">
        <v>164</v>
      </c>
      <c r="B1384" t="s">
        <v>254</v>
      </c>
      <c r="C1384" t="s">
        <v>311</v>
      </c>
      <c r="D1384" t="s">
        <v>3713</v>
      </c>
      <c r="E1384" t="s">
        <v>3761</v>
      </c>
      <c r="F1384">
        <v>10000000</v>
      </c>
      <c r="G1384" t="s">
        <v>9349</v>
      </c>
      <c r="H1384" t="s">
        <v>241</v>
      </c>
      <c r="I1384" t="s">
        <v>242</v>
      </c>
      <c r="J1384" t="s">
        <v>242</v>
      </c>
      <c r="K1384" t="s">
        <v>242</v>
      </c>
      <c r="L1384" t="s">
        <v>241</v>
      </c>
      <c r="M1384">
        <v>38.6494</v>
      </c>
      <c r="N1384">
        <v>-122.8022</v>
      </c>
      <c r="O1384">
        <v>0</v>
      </c>
      <c r="P1384">
        <v>0</v>
      </c>
      <c r="Q1384">
        <v>0.03</v>
      </c>
      <c r="R1384">
        <v>1.03</v>
      </c>
      <c r="S1384">
        <v>0.66</v>
      </c>
      <c r="T1384">
        <v>0</v>
      </c>
      <c r="U1384">
        <v>0</v>
      </c>
      <c r="V1384">
        <v>0</v>
      </c>
      <c r="W1384">
        <v>0</v>
      </c>
      <c r="X1384">
        <v>4.33</v>
      </c>
      <c r="Y1384">
        <v>0</v>
      </c>
      <c r="Z1384">
        <v>0</v>
      </c>
      <c r="AA1384" t="s">
        <v>9335</v>
      </c>
      <c r="AB1384" t="s">
        <v>242</v>
      </c>
      <c r="AC1384" t="s">
        <v>3229</v>
      </c>
    </row>
    <row r="1385" spans="1:29" x14ac:dyDescent="0.25">
      <c r="A1385" t="s">
        <v>2714</v>
      </c>
      <c r="B1385" t="s">
        <v>254</v>
      </c>
      <c r="C1385" t="s">
        <v>311</v>
      </c>
      <c r="D1385" t="s">
        <v>3713</v>
      </c>
      <c r="E1385" t="s">
        <v>3761</v>
      </c>
      <c r="F1385">
        <v>10000000</v>
      </c>
      <c r="G1385" t="s">
        <v>9349</v>
      </c>
      <c r="H1385" t="s">
        <v>242</v>
      </c>
      <c r="I1385" t="s">
        <v>242</v>
      </c>
      <c r="J1385" t="s">
        <v>242</v>
      </c>
      <c r="K1385" t="s">
        <v>242</v>
      </c>
      <c r="L1385" t="s">
        <v>241</v>
      </c>
      <c r="M1385">
        <v>38.659199999999998</v>
      </c>
      <c r="N1385">
        <v>-122.8125</v>
      </c>
      <c r="O1385">
        <v>0</v>
      </c>
      <c r="P1385">
        <v>0.05</v>
      </c>
      <c r="Q1385">
        <v>0.43</v>
      </c>
      <c r="R1385">
        <v>0</v>
      </c>
      <c r="S1385">
        <v>0.17</v>
      </c>
      <c r="T1385">
        <v>0.61</v>
      </c>
      <c r="U1385">
        <v>2.86</v>
      </c>
      <c r="V1385">
        <v>2.88</v>
      </c>
      <c r="W1385">
        <v>1.95</v>
      </c>
      <c r="X1385">
        <v>0.97</v>
      </c>
      <c r="Y1385">
        <v>0</v>
      </c>
      <c r="Z1385">
        <v>0</v>
      </c>
      <c r="AA1385" t="s">
        <v>9335</v>
      </c>
      <c r="AB1385" t="s">
        <v>242</v>
      </c>
      <c r="AC1385" t="s">
        <v>3229</v>
      </c>
    </row>
    <row r="1386" spans="1:29" x14ac:dyDescent="0.25">
      <c r="A1386" t="s">
        <v>1846</v>
      </c>
      <c r="B1386" t="s">
        <v>254</v>
      </c>
      <c r="C1386" t="s">
        <v>317</v>
      </c>
      <c r="D1386" t="s">
        <v>3713</v>
      </c>
      <c r="E1386" t="s">
        <v>3761</v>
      </c>
      <c r="F1386">
        <v>18600101</v>
      </c>
      <c r="G1386" t="s">
        <v>9348</v>
      </c>
      <c r="H1386" t="s">
        <v>242</v>
      </c>
      <c r="I1386" t="s">
        <v>241</v>
      </c>
      <c r="J1386" t="s">
        <v>242</v>
      </c>
      <c r="K1386" t="s">
        <v>242</v>
      </c>
      <c r="L1386" t="s">
        <v>242</v>
      </c>
      <c r="M1386">
        <v>39.249600000000001</v>
      </c>
      <c r="N1386">
        <v>-123.30240000000001</v>
      </c>
      <c r="O1386">
        <v>7.0000000000000007E-2</v>
      </c>
      <c r="P1386">
        <v>0.06</v>
      </c>
      <c r="Q1386">
        <v>0.06</v>
      </c>
      <c r="R1386">
        <v>0.28000000000000003</v>
      </c>
      <c r="S1386">
        <v>0.56999999999999995</v>
      </c>
      <c r="T1386">
        <v>0.64</v>
      </c>
      <c r="U1386">
        <v>0.72</v>
      </c>
      <c r="V1386">
        <v>0.67</v>
      </c>
      <c r="W1386">
        <v>0.56000000000000005</v>
      </c>
      <c r="X1386">
        <v>0.26</v>
      </c>
      <c r="Y1386">
        <v>7.0000000000000007E-2</v>
      </c>
      <c r="Z1386">
        <v>0.09</v>
      </c>
      <c r="AA1386" t="s">
        <v>9335</v>
      </c>
      <c r="AB1386" t="s">
        <v>242</v>
      </c>
      <c r="AC1386" t="s">
        <v>3213</v>
      </c>
    </row>
    <row r="1387" spans="1:29" x14ac:dyDescent="0.25">
      <c r="A1387" t="s">
        <v>2742</v>
      </c>
      <c r="B1387" t="s">
        <v>254</v>
      </c>
      <c r="C1387" t="s">
        <v>354</v>
      </c>
      <c r="D1387" t="s">
        <v>3713</v>
      </c>
      <c r="E1387" t="s">
        <v>3761</v>
      </c>
      <c r="F1387">
        <v>10000000</v>
      </c>
      <c r="G1387" t="s">
        <v>9349</v>
      </c>
      <c r="H1387" t="s">
        <v>241</v>
      </c>
      <c r="I1387" t="s">
        <v>242</v>
      </c>
      <c r="J1387" t="s">
        <v>242</v>
      </c>
      <c r="K1387" t="s">
        <v>242</v>
      </c>
      <c r="L1387" t="s">
        <v>241</v>
      </c>
      <c r="M1387">
        <v>38.807000000000002</v>
      </c>
      <c r="N1387">
        <v>-123.00539999999999</v>
      </c>
      <c r="O1387">
        <v>3.3333333333333301E-5</v>
      </c>
      <c r="P1387">
        <v>0.06</v>
      </c>
      <c r="Q1387">
        <v>3.3333333333333301E-5</v>
      </c>
      <c r="R1387">
        <v>3.3333333333333301E-5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1E-4</v>
      </c>
      <c r="Z1387">
        <v>0</v>
      </c>
      <c r="AA1387" t="s">
        <v>9343</v>
      </c>
      <c r="AB1387" t="s">
        <v>242</v>
      </c>
      <c r="AC1387" t="s">
        <v>3229</v>
      </c>
    </row>
    <row r="1388" spans="1:29" x14ac:dyDescent="0.25">
      <c r="A1388" t="s">
        <v>2743</v>
      </c>
      <c r="B1388" t="s">
        <v>254</v>
      </c>
      <c r="C1388" t="s">
        <v>354</v>
      </c>
      <c r="D1388" t="s">
        <v>3713</v>
      </c>
      <c r="E1388" t="s">
        <v>3761</v>
      </c>
      <c r="F1388">
        <v>10000000</v>
      </c>
      <c r="G1388" t="s">
        <v>9349</v>
      </c>
      <c r="H1388" t="s">
        <v>241</v>
      </c>
      <c r="I1388" t="s">
        <v>242</v>
      </c>
      <c r="J1388" t="s">
        <v>242</v>
      </c>
      <c r="K1388" t="s">
        <v>242</v>
      </c>
      <c r="L1388" t="s">
        <v>241</v>
      </c>
      <c r="M1388">
        <v>38.808300000000003</v>
      </c>
      <c r="N1388">
        <v>-123</v>
      </c>
      <c r="O1388">
        <v>0.01</v>
      </c>
      <c r="P1388">
        <v>0.5</v>
      </c>
      <c r="Q1388">
        <v>0.13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0.7</v>
      </c>
      <c r="Z1388">
        <v>0</v>
      </c>
      <c r="AA1388" t="s">
        <v>9343</v>
      </c>
      <c r="AB1388" t="s">
        <v>242</v>
      </c>
      <c r="AC1388" t="s">
        <v>3229</v>
      </c>
    </row>
    <row r="1389" spans="1:29" x14ac:dyDescent="0.25">
      <c r="A1389" t="s">
        <v>2749</v>
      </c>
      <c r="B1389" t="s">
        <v>254</v>
      </c>
      <c r="C1389" t="s">
        <v>354</v>
      </c>
      <c r="D1389" t="s">
        <v>3713</v>
      </c>
      <c r="E1389" t="s">
        <v>3761</v>
      </c>
      <c r="F1389">
        <v>10000000</v>
      </c>
      <c r="G1389" t="s">
        <v>9349</v>
      </c>
      <c r="H1389" t="s">
        <v>241</v>
      </c>
      <c r="I1389" t="s">
        <v>242</v>
      </c>
      <c r="J1389" t="s">
        <v>242</v>
      </c>
      <c r="K1389" t="s">
        <v>242</v>
      </c>
      <c r="L1389" t="s">
        <v>241</v>
      </c>
      <c r="M1389">
        <v>38.807000000000002</v>
      </c>
      <c r="N1389">
        <v>-123.0056</v>
      </c>
      <c r="O1389">
        <v>3.3333333333333301E-3</v>
      </c>
      <c r="P1389">
        <v>0</v>
      </c>
      <c r="Q1389">
        <v>0.03</v>
      </c>
      <c r="R1389">
        <v>0.2</v>
      </c>
      <c r="S1389">
        <v>1.5</v>
      </c>
      <c r="T1389">
        <v>3.23</v>
      </c>
      <c r="U1389">
        <v>7.46</v>
      </c>
      <c r="V1389">
        <v>10.130000000000001</v>
      </c>
      <c r="W1389">
        <v>7.46</v>
      </c>
      <c r="X1389">
        <v>1.1599999999999999</v>
      </c>
      <c r="Y1389">
        <v>0.46</v>
      </c>
      <c r="Z1389">
        <v>3.3333333333333301E-3</v>
      </c>
      <c r="AA1389" t="s">
        <v>9335</v>
      </c>
      <c r="AB1389" t="s">
        <v>242</v>
      </c>
      <c r="AC1389" t="s">
        <v>3229</v>
      </c>
    </row>
    <row r="1390" spans="1:29" x14ac:dyDescent="0.25">
      <c r="A1390" t="s">
        <v>2751</v>
      </c>
      <c r="B1390" t="s">
        <v>254</v>
      </c>
      <c r="C1390" t="s">
        <v>317</v>
      </c>
      <c r="D1390" t="s">
        <v>3713</v>
      </c>
      <c r="E1390" t="s">
        <v>3761</v>
      </c>
      <c r="F1390">
        <v>10000000</v>
      </c>
      <c r="G1390" t="s">
        <v>9349</v>
      </c>
      <c r="H1390" t="s">
        <v>242</v>
      </c>
      <c r="I1390" t="s">
        <v>242</v>
      </c>
      <c r="J1390" t="s">
        <v>242</v>
      </c>
      <c r="K1390" t="s">
        <v>242</v>
      </c>
      <c r="L1390" t="s">
        <v>241</v>
      </c>
      <c r="M1390">
        <v>39.267699999999998</v>
      </c>
      <c r="N1390">
        <v>-123.24120000000001</v>
      </c>
      <c r="O1390">
        <v>0</v>
      </c>
      <c r="P1390">
        <v>0</v>
      </c>
      <c r="Q1390">
        <v>0</v>
      </c>
      <c r="R1390">
        <v>2.94</v>
      </c>
      <c r="S1390">
        <v>2.23</v>
      </c>
      <c r="T1390">
        <v>0.79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 t="s">
        <v>9335</v>
      </c>
      <c r="AB1390" t="s">
        <v>242</v>
      </c>
      <c r="AC1390" t="s">
        <v>3213</v>
      </c>
    </row>
    <row r="1391" spans="1:29" x14ac:dyDescent="0.25">
      <c r="A1391" t="s">
        <v>65</v>
      </c>
      <c r="B1391" t="s">
        <v>254</v>
      </c>
      <c r="C1391" t="s">
        <v>354</v>
      </c>
      <c r="D1391" t="s">
        <v>3713</v>
      </c>
      <c r="E1391" t="s">
        <v>3761</v>
      </c>
      <c r="F1391">
        <v>10000000</v>
      </c>
      <c r="G1391" t="s">
        <v>9349</v>
      </c>
      <c r="H1391" t="s">
        <v>241</v>
      </c>
      <c r="I1391" t="s">
        <v>242</v>
      </c>
      <c r="J1391" t="s">
        <v>242</v>
      </c>
      <c r="K1391" t="s">
        <v>242</v>
      </c>
      <c r="L1391" t="s">
        <v>241</v>
      </c>
      <c r="M1391">
        <v>38.770000000000003</v>
      </c>
      <c r="N1391">
        <v>-122.9846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13.96</v>
      </c>
      <c r="V1391">
        <v>37.229999999999997</v>
      </c>
      <c r="W1391">
        <v>37</v>
      </c>
      <c r="X1391">
        <v>13.43</v>
      </c>
      <c r="Y1391">
        <v>0</v>
      </c>
      <c r="Z1391">
        <v>0</v>
      </c>
      <c r="AA1391" t="s">
        <v>9335</v>
      </c>
      <c r="AB1391" t="s">
        <v>242</v>
      </c>
      <c r="AC1391" t="s">
        <v>3229</v>
      </c>
    </row>
    <row r="1392" spans="1:29" x14ac:dyDescent="0.25">
      <c r="A1392" t="s">
        <v>2778</v>
      </c>
      <c r="B1392" t="s">
        <v>254</v>
      </c>
      <c r="C1392" t="s">
        <v>317</v>
      </c>
      <c r="D1392" t="s">
        <v>3713</v>
      </c>
      <c r="E1392" t="s">
        <v>3761</v>
      </c>
      <c r="F1392">
        <v>10000000</v>
      </c>
      <c r="G1392" t="s">
        <v>9349</v>
      </c>
      <c r="H1392" t="s">
        <v>242</v>
      </c>
      <c r="I1392" t="s">
        <v>242</v>
      </c>
      <c r="J1392" t="s">
        <v>242</v>
      </c>
      <c r="K1392" t="s">
        <v>242</v>
      </c>
      <c r="L1392" t="s">
        <v>241</v>
      </c>
      <c r="M1392">
        <v>39.340262000000003</v>
      </c>
      <c r="N1392">
        <v>-123.22880600000001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 t="s">
        <v>9333</v>
      </c>
      <c r="AB1392" t="s">
        <v>242</v>
      </c>
      <c r="AC1392" t="s">
        <v>3213</v>
      </c>
    </row>
    <row r="1393" spans="1:29" x14ac:dyDescent="0.25">
      <c r="A1393" t="s">
        <v>2779</v>
      </c>
      <c r="B1393" t="s">
        <v>254</v>
      </c>
      <c r="C1393" t="s">
        <v>317</v>
      </c>
      <c r="D1393" t="s">
        <v>3713</v>
      </c>
      <c r="E1393" t="s">
        <v>3761</v>
      </c>
      <c r="F1393">
        <v>10000000</v>
      </c>
      <c r="G1393" t="s">
        <v>9349</v>
      </c>
      <c r="H1393" t="s">
        <v>242</v>
      </c>
      <c r="I1393" t="s">
        <v>242</v>
      </c>
      <c r="J1393" t="s">
        <v>242</v>
      </c>
      <c r="K1393" t="s">
        <v>242</v>
      </c>
      <c r="L1393" t="s">
        <v>241</v>
      </c>
      <c r="M1393">
        <v>39.340164000000001</v>
      </c>
      <c r="N1393">
        <v>-123.22929600000001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 t="s">
        <v>9335</v>
      </c>
      <c r="AB1393" t="s">
        <v>242</v>
      </c>
      <c r="AC1393" t="s">
        <v>3213</v>
      </c>
    </row>
    <row r="1394" spans="1:29" x14ac:dyDescent="0.25">
      <c r="A1394" t="s">
        <v>1879</v>
      </c>
      <c r="B1394" t="s">
        <v>254</v>
      </c>
      <c r="C1394" t="s">
        <v>348</v>
      </c>
      <c r="D1394" t="s">
        <v>3713</v>
      </c>
      <c r="E1394" t="s">
        <v>3761</v>
      </c>
      <c r="F1394">
        <v>10000000</v>
      </c>
      <c r="G1394" t="s">
        <v>9349</v>
      </c>
      <c r="H1394" t="s">
        <v>242</v>
      </c>
      <c r="I1394" t="s">
        <v>242</v>
      </c>
      <c r="J1394" t="s">
        <v>242</v>
      </c>
      <c r="K1394" t="s">
        <v>242</v>
      </c>
      <c r="L1394" t="s">
        <v>241</v>
      </c>
      <c r="M1394">
        <v>39.349272999999997</v>
      </c>
      <c r="N1394">
        <v>-123.12259299999999</v>
      </c>
      <c r="O1394">
        <v>0</v>
      </c>
      <c r="P1394">
        <v>0</v>
      </c>
      <c r="Q1394">
        <v>0</v>
      </c>
      <c r="R1394">
        <v>8.9800000000000004E-4</v>
      </c>
      <c r="S1394">
        <v>0.01</v>
      </c>
      <c r="T1394">
        <v>0.01</v>
      </c>
      <c r="U1394">
        <v>0.02</v>
      </c>
      <c r="V1394">
        <v>0.01</v>
      </c>
      <c r="W1394">
        <v>0.01</v>
      </c>
      <c r="X1394">
        <v>0.02</v>
      </c>
      <c r="Y1394">
        <v>4.0850000000000001E-3</v>
      </c>
      <c r="Z1394">
        <v>0</v>
      </c>
      <c r="AA1394" t="s">
        <v>9335</v>
      </c>
      <c r="AB1394" t="s">
        <v>242</v>
      </c>
      <c r="AC1394" t="s">
        <v>3213</v>
      </c>
    </row>
    <row r="1395" spans="1:29" x14ac:dyDescent="0.25">
      <c r="A1395" t="s">
        <v>2780</v>
      </c>
      <c r="B1395" t="s">
        <v>254</v>
      </c>
      <c r="C1395" t="s">
        <v>507</v>
      </c>
      <c r="D1395" t="s">
        <v>3713</v>
      </c>
      <c r="E1395" t="s">
        <v>3761</v>
      </c>
      <c r="F1395">
        <v>10000000</v>
      </c>
      <c r="G1395" t="s">
        <v>9349</v>
      </c>
      <c r="H1395" t="s">
        <v>242</v>
      </c>
      <c r="I1395" t="s">
        <v>242</v>
      </c>
      <c r="J1395" t="s">
        <v>242</v>
      </c>
      <c r="K1395" t="s">
        <v>242</v>
      </c>
      <c r="L1395" t="s">
        <v>241</v>
      </c>
      <c r="M1395">
        <v>38.600614</v>
      </c>
      <c r="N1395">
        <v>-122.843324</v>
      </c>
      <c r="O1395">
        <v>0</v>
      </c>
      <c r="P1395">
        <v>2.1186669999999999E-3</v>
      </c>
      <c r="Q1395">
        <v>0.03</v>
      </c>
      <c r="R1395">
        <v>0.01</v>
      </c>
      <c r="S1395">
        <v>0.08</v>
      </c>
      <c r="T1395">
        <v>0.5</v>
      </c>
      <c r="U1395">
        <v>0.4</v>
      </c>
      <c r="V1395">
        <v>0.28999999999999998</v>
      </c>
      <c r="W1395">
        <v>0.17</v>
      </c>
      <c r="X1395">
        <v>1.621333E-3</v>
      </c>
      <c r="Y1395">
        <v>3.5399999999999999E-4</v>
      </c>
      <c r="Z1395">
        <v>0</v>
      </c>
      <c r="AA1395" t="s">
        <v>9335</v>
      </c>
      <c r="AB1395" t="s">
        <v>242</v>
      </c>
      <c r="AC1395" t="s">
        <v>3229</v>
      </c>
    </row>
    <row r="1396" spans="1:29" x14ac:dyDescent="0.25">
      <c r="A1396" t="s">
        <v>2781</v>
      </c>
      <c r="B1396" t="s">
        <v>254</v>
      </c>
      <c r="C1396" t="s">
        <v>331</v>
      </c>
      <c r="D1396" t="s">
        <v>3713</v>
      </c>
      <c r="E1396" t="s">
        <v>3761</v>
      </c>
      <c r="F1396">
        <v>10000000</v>
      </c>
      <c r="G1396" t="s">
        <v>9349</v>
      </c>
      <c r="H1396" t="s">
        <v>241</v>
      </c>
      <c r="I1396" t="s">
        <v>242</v>
      </c>
      <c r="J1396" t="s">
        <v>242</v>
      </c>
      <c r="K1396" t="s">
        <v>242</v>
      </c>
      <c r="L1396" t="s">
        <v>241</v>
      </c>
      <c r="M1396">
        <v>39.189822220000003</v>
      </c>
      <c r="N1396">
        <v>-123.1991</v>
      </c>
      <c r="O1396">
        <v>0</v>
      </c>
      <c r="P1396">
        <v>0</v>
      </c>
      <c r="Q1396">
        <v>0</v>
      </c>
      <c r="R1396">
        <v>0</v>
      </c>
      <c r="S1396">
        <v>3.97</v>
      </c>
      <c r="T1396">
        <v>3.97</v>
      </c>
      <c r="U1396">
        <v>3.97</v>
      </c>
      <c r="V1396">
        <v>3.97</v>
      </c>
      <c r="W1396">
        <v>3.97</v>
      </c>
      <c r="X1396">
        <v>3.97</v>
      </c>
      <c r="Y1396">
        <v>0</v>
      </c>
      <c r="Z1396">
        <v>0</v>
      </c>
      <c r="AA1396" t="s">
        <v>9335</v>
      </c>
      <c r="AB1396" t="s">
        <v>242</v>
      </c>
      <c r="AC1396" t="s">
        <v>3213</v>
      </c>
    </row>
    <row r="1397" spans="1:29" x14ac:dyDescent="0.25">
      <c r="A1397" t="s">
        <v>2783</v>
      </c>
      <c r="B1397" t="s">
        <v>254</v>
      </c>
      <c r="C1397" t="s">
        <v>317</v>
      </c>
      <c r="D1397" t="s">
        <v>3713</v>
      </c>
      <c r="E1397" t="s">
        <v>3761</v>
      </c>
      <c r="F1397">
        <v>10000000</v>
      </c>
      <c r="G1397" t="s">
        <v>9349</v>
      </c>
      <c r="H1397" t="s">
        <v>242</v>
      </c>
      <c r="I1397" t="s">
        <v>242</v>
      </c>
      <c r="J1397" t="s">
        <v>242</v>
      </c>
      <c r="K1397" t="s">
        <v>242</v>
      </c>
      <c r="L1397" t="s">
        <v>241</v>
      </c>
      <c r="M1397">
        <v>39.328916999999997</v>
      </c>
      <c r="N1397">
        <v>-123.37200900000001</v>
      </c>
      <c r="O1397">
        <v>0</v>
      </c>
      <c r="P1397">
        <v>0</v>
      </c>
      <c r="Q1397">
        <v>0</v>
      </c>
      <c r="R1397">
        <v>6.1399999999999996E-4</v>
      </c>
      <c r="S1397">
        <v>9.2100000000000005E-4</v>
      </c>
      <c r="T1397">
        <v>3.6830000000000001E-3</v>
      </c>
      <c r="U1397">
        <v>0.01</v>
      </c>
      <c r="V1397">
        <v>0.01</v>
      </c>
      <c r="W1397">
        <v>0.01</v>
      </c>
      <c r="X1397">
        <v>3.0690000000000001E-3</v>
      </c>
      <c r="Y1397">
        <v>0</v>
      </c>
      <c r="Z1397">
        <v>0</v>
      </c>
      <c r="AA1397" t="s">
        <v>9335</v>
      </c>
      <c r="AB1397" t="s">
        <v>242</v>
      </c>
      <c r="AC1397" t="s">
        <v>3213</v>
      </c>
    </row>
    <row r="1398" spans="1:29" x14ac:dyDescent="0.25">
      <c r="A1398" t="s">
        <v>2820</v>
      </c>
      <c r="B1398" t="s">
        <v>254</v>
      </c>
      <c r="C1398" t="s">
        <v>348</v>
      </c>
      <c r="D1398" t="s">
        <v>3713</v>
      </c>
      <c r="E1398" t="s">
        <v>3761</v>
      </c>
      <c r="F1398">
        <v>10000000</v>
      </c>
      <c r="G1398" t="s">
        <v>9349</v>
      </c>
      <c r="H1398" t="s">
        <v>242</v>
      </c>
      <c r="I1398" t="s">
        <v>242</v>
      </c>
      <c r="J1398" t="s">
        <v>242</v>
      </c>
      <c r="K1398" t="s">
        <v>242</v>
      </c>
      <c r="L1398" t="s">
        <v>241</v>
      </c>
      <c r="M1398">
        <v>39.25</v>
      </c>
      <c r="N1398">
        <v>-123.128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 t="s">
        <v>9335</v>
      </c>
      <c r="AB1398" t="s">
        <v>242</v>
      </c>
      <c r="AC1398" t="s">
        <v>3213</v>
      </c>
    </row>
    <row r="1399" spans="1:29" x14ac:dyDescent="0.25">
      <c r="A1399" t="s">
        <v>2784</v>
      </c>
      <c r="B1399" t="s">
        <v>254</v>
      </c>
      <c r="C1399" t="s">
        <v>317</v>
      </c>
      <c r="D1399" t="s">
        <v>3713</v>
      </c>
      <c r="E1399" t="s">
        <v>3761</v>
      </c>
      <c r="F1399">
        <v>10000000</v>
      </c>
      <c r="G1399" t="s">
        <v>9349</v>
      </c>
      <c r="H1399" t="s">
        <v>242</v>
      </c>
      <c r="I1399" t="s">
        <v>242</v>
      </c>
      <c r="J1399" t="s">
        <v>242</v>
      </c>
      <c r="K1399" t="s">
        <v>242</v>
      </c>
      <c r="L1399" t="s">
        <v>241</v>
      </c>
      <c r="M1399">
        <v>39.344560000000001</v>
      </c>
      <c r="N1399">
        <v>-123.22754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 t="s">
        <v>9335</v>
      </c>
      <c r="AB1399" t="s">
        <v>242</v>
      </c>
      <c r="AC1399" t="s">
        <v>3213</v>
      </c>
    </row>
    <row r="1400" spans="1:29" x14ac:dyDescent="0.25">
      <c r="A1400" t="s">
        <v>2785</v>
      </c>
      <c r="B1400" t="s">
        <v>254</v>
      </c>
      <c r="C1400" t="s">
        <v>319</v>
      </c>
      <c r="D1400" t="s">
        <v>3713</v>
      </c>
      <c r="E1400" t="s">
        <v>3761</v>
      </c>
      <c r="F1400">
        <v>10000000</v>
      </c>
      <c r="G1400" t="s">
        <v>9349</v>
      </c>
      <c r="H1400" t="s">
        <v>242</v>
      </c>
      <c r="I1400" t="s">
        <v>242</v>
      </c>
      <c r="J1400" t="s">
        <v>242</v>
      </c>
      <c r="K1400" t="s">
        <v>242</v>
      </c>
      <c r="L1400" t="s">
        <v>241</v>
      </c>
      <c r="M1400">
        <v>38.987520000000004</v>
      </c>
      <c r="N1400">
        <v>-123.19167400000001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 t="s">
        <v>9335</v>
      </c>
      <c r="AB1400" t="s">
        <v>242</v>
      </c>
      <c r="AC1400" t="s">
        <v>3213</v>
      </c>
    </row>
    <row r="1401" spans="1:29" x14ac:dyDescent="0.25">
      <c r="A1401" t="s">
        <v>2047</v>
      </c>
      <c r="B1401" t="s">
        <v>254</v>
      </c>
      <c r="C1401" t="s">
        <v>348</v>
      </c>
      <c r="D1401" t="s">
        <v>3713</v>
      </c>
      <c r="E1401" t="s">
        <v>3761</v>
      </c>
      <c r="F1401">
        <v>10000000</v>
      </c>
      <c r="G1401" t="s">
        <v>9349</v>
      </c>
      <c r="H1401" t="s">
        <v>242</v>
      </c>
      <c r="I1401" t="s">
        <v>242</v>
      </c>
      <c r="J1401" t="s">
        <v>242</v>
      </c>
      <c r="K1401" t="s">
        <v>242</v>
      </c>
      <c r="L1401" t="s">
        <v>241</v>
      </c>
      <c r="M1401">
        <v>39.307949000000001</v>
      </c>
      <c r="N1401">
        <v>-123.09672399999999</v>
      </c>
      <c r="O1401">
        <v>0</v>
      </c>
      <c r="P1401">
        <v>0</v>
      </c>
      <c r="Q1401">
        <v>0.73</v>
      </c>
      <c r="R1401">
        <v>0.73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7.6666670000000003E-3</v>
      </c>
      <c r="Y1401">
        <v>0</v>
      </c>
      <c r="Z1401">
        <v>0</v>
      </c>
      <c r="AA1401" t="s">
        <v>9335</v>
      </c>
      <c r="AB1401" t="s">
        <v>242</v>
      </c>
      <c r="AC1401" t="s">
        <v>3213</v>
      </c>
    </row>
    <row r="1402" spans="1:29" x14ac:dyDescent="0.25">
      <c r="A1402" t="s">
        <v>2790</v>
      </c>
      <c r="B1402" t="s">
        <v>254</v>
      </c>
      <c r="C1402" t="s">
        <v>319</v>
      </c>
      <c r="D1402" t="s">
        <v>3713</v>
      </c>
      <c r="E1402" t="s">
        <v>3761</v>
      </c>
      <c r="F1402">
        <v>10000000</v>
      </c>
      <c r="G1402" t="s">
        <v>9349</v>
      </c>
      <c r="H1402" t="s">
        <v>242</v>
      </c>
      <c r="I1402" t="s">
        <v>242</v>
      </c>
      <c r="J1402" t="s">
        <v>242</v>
      </c>
      <c r="K1402" t="s">
        <v>242</v>
      </c>
      <c r="L1402" t="s">
        <v>241</v>
      </c>
      <c r="M1402">
        <v>39.001208329999997</v>
      </c>
      <c r="N1402">
        <v>-123.1587722</v>
      </c>
      <c r="O1402">
        <v>0.09</v>
      </c>
      <c r="P1402">
        <v>0.09</v>
      </c>
      <c r="Q1402">
        <v>0.09</v>
      </c>
      <c r="R1402">
        <v>0.09</v>
      </c>
      <c r="S1402">
        <v>0.09</v>
      </c>
      <c r="T1402">
        <v>0.09</v>
      </c>
      <c r="U1402">
        <v>0.09</v>
      </c>
      <c r="V1402">
        <v>0.09</v>
      </c>
      <c r="W1402">
        <v>0.09</v>
      </c>
      <c r="X1402">
        <v>0.09</v>
      </c>
      <c r="Y1402">
        <v>0.09</v>
      </c>
      <c r="Z1402">
        <v>0.09</v>
      </c>
      <c r="AA1402" t="s">
        <v>9335</v>
      </c>
      <c r="AB1402" t="s">
        <v>242</v>
      </c>
      <c r="AC1402" t="s">
        <v>3213</v>
      </c>
    </row>
    <row r="1403" spans="1:29" x14ac:dyDescent="0.25">
      <c r="A1403" t="s">
        <v>2792</v>
      </c>
      <c r="B1403" t="s">
        <v>254</v>
      </c>
      <c r="C1403" t="s">
        <v>333</v>
      </c>
      <c r="D1403" t="s">
        <v>3713</v>
      </c>
      <c r="E1403" t="s">
        <v>3761</v>
      </c>
      <c r="F1403">
        <v>10000000</v>
      </c>
      <c r="G1403" t="s">
        <v>9349</v>
      </c>
      <c r="H1403" t="s">
        <v>242</v>
      </c>
      <c r="I1403" t="s">
        <v>242</v>
      </c>
      <c r="J1403" t="s">
        <v>242</v>
      </c>
      <c r="K1403" t="s">
        <v>242</v>
      </c>
      <c r="L1403" t="s">
        <v>241</v>
      </c>
      <c r="M1403">
        <v>39.10119444</v>
      </c>
      <c r="N1403">
        <v>-123.1129444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 t="s">
        <v>9335</v>
      </c>
      <c r="AB1403" t="s">
        <v>241</v>
      </c>
      <c r="AC1403" t="s">
        <v>3213</v>
      </c>
    </row>
    <row r="1404" spans="1:29" x14ac:dyDescent="0.25">
      <c r="A1404" t="s">
        <v>2793</v>
      </c>
      <c r="B1404" t="s">
        <v>254</v>
      </c>
      <c r="C1404" t="s">
        <v>319</v>
      </c>
      <c r="D1404" t="s">
        <v>3713</v>
      </c>
      <c r="E1404" t="s">
        <v>3761</v>
      </c>
      <c r="F1404">
        <v>10000000</v>
      </c>
      <c r="G1404" t="s">
        <v>9349</v>
      </c>
      <c r="H1404" t="s">
        <v>242</v>
      </c>
      <c r="I1404" t="s">
        <v>242</v>
      </c>
      <c r="J1404" t="s">
        <v>242</v>
      </c>
      <c r="K1404" t="s">
        <v>242</v>
      </c>
      <c r="L1404" t="s">
        <v>241</v>
      </c>
      <c r="M1404">
        <v>39.00199722</v>
      </c>
      <c r="N1404">
        <v>-123.1692417</v>
      </c>
      <c r="O1404">
        <v>0.02</v>
      </c>
      <c r="P1404">
        <v>0.02</v>
      </c>
      <c r="Q1404">
        <v>0.02</v>
      </c>
      <c r="R1404">
        <v>0.02</v>
      </c>
      <c r="S1404">
        <v>0.02</v>
      </c>
      <c r="T1404">
        <v>0.02</v>
      </c>
      <c r="U1404">
        <v>0.02</v>
      </c>
      <c r="V1404">
        <v>0.02</v>
      </c>
      <c r="W1404">
        <v>0.02</v>
      </c>
      <c r="X1404">
        <v>0.02</v>
      </c>
      <c r="Y1404">
        <v>0.02</v>
      </c>
      <c r="Z1404">
        <v>0.02</v>
      </c>
      <c r="AA1404" t="s">
        <v>9335</v>
      </c>
      <c r="AB1404" t="s">
        <v>242</v>
      </c>
      <c r="AC1404" t="s">
        <v>3213</v>
      </c>
    </row>
    <row r="1405" spans="1:29" x14ac:dyDescent="0.25">
      <c r="A1405" t="s">
        <v>2794</v>
      </c>
      <c r="B1405" t="s">
        <v>254</v>
      </c>
      <c r="C1405" t="s">
        <v>319</v>
      </c>
      <c r="D1405" t="s">
        <v>3713</v>
      </c>
      <c r="E1405" t="s">
        <v>3761</v>
      </c>
      <c r="F1405">
        <v>10000000</v>
      </c>
      <c r="G1405" t="s">
        <v>9349</v>
      </c>
      <c r="H1405" t="s">
        <v>242</v>
      </c>
      <c r="I1405" t="s">
        <v>242</v>
      </c>
      <c r="J1405" t="s">
        <v>242</v>
      </c>
      <c r="K1405" t="s">
        <v>242</v>
      </c>
      <c r="L1405" t="s">
        <v>241</v>
      </c>
      <c r="M1405">
        <v>39.003916670000002</v>
      </c>
      <c r="N1405">
        <v>-123.1715861</v>
      </c>
      <c r="O1405">
        <v>0</v>
      </c>
      <c r="P1405">
        <v>0</v>
      </c>
      <c r="Q1405">
        <v>0.08</v>
      </c>
      <c r="R1405">
        <v>0.08</v>
      </c>
      <c r="S1405">
        <v>0.08</v>
      </c>
      <c r="T1405">
        <v>0.08</v>
      </c>
      <c r="U1405">
        <v>0.08</v>
      </c>
      <c r="V1405">
        <v>0.08</v>
      </c>
      <c r="W1405">
        <v>0.08</v>
      </c>
      <c r="X1405">
        <v>0.08</v>
      </c>
      <c r="Y1405">
        <v>0.08</v>
      </c>
      <c r="Z1405">
        <v>0</v>
      </c>
      <c r="AA1405" t="s">
        <v>9335</v>
      </c>
      <c r="AB1405" t="s">
        <v>242</v>
      </c>
      <c r="AC1405" t="s">
        <v>3213</v>
      </c>
    </row>
    <row r="1406" spans="1:29" x14ac:dyDescent="0.25">
      <c r="A1406" t="s">
        <v>2795</v>
      </c>
      <c r="B1406" t="s">
        <v>254</v>
      </c>
      <c r="C1406" t="s">
        <v>319</v>
      </c>
      <c r="D1406" t="s">
        <v>3713</v>
      </c>
      <c r="E1406" t="s">
        <v>3761</v>
      </c>
      <c r="F1406">
        <v>10000000</v>
      </c>
      <c r="G1406" t="s">
        <v>9349</v>
      </c>
      <c r="H1406" t="s">
        <v>242</v>
      </c>
      <c r="I1406" t="s">
        <v>242</v>
      </c>
      <c r="J1406" t="s">
        <v>242</v>
      </c>
      <c r="K1406" t="s">
        <v>242</v>
      </c>
      <c r="L1406" t="s">
        <v>241</v>
      </c>
      <c r="M1406">
        <v>39.001961999999999</v>
      </c>
      <c r="N1406">
        <v>-123.169123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 t="s">
        <v>9339</v>
      </c>
      <c r="AB1406" t="s">
        <v>242</v>
      </c>
      <c r="AC1406" t="s">
        <v>3213</v>
      </c>
    </row>
    <row r="1407" spans="1:29" x14ac:dyDescent="0.25">
      <c r="A1407" t="s">
        <v>2796</v>
      </c>
      <c r="B1407" t="s">
        <v>254</v>
      </c>
      <c r="C1407" t="s">
        <v>331</v>
      </c>
      <c r="D1407" t="s">
        <v>3713</v>
      </c>
      <c r="E1407" t="s">
        <v>3761</v>
      </c>
      <c r="F1407">
        <v>10000000</v>
      </c>
      <c r="G1407" t="s">
        <v>9349</v>
      </c>
      <c r="H1407" t="s">
        <v>242</v>
      </c>
      <c r="I1407" t="s">
        <v>242</v>
      </c>
      <c r="J1407" t="s">
        <v>242</v>
      </c>
      <c r="K1407" t="s">
        <v>242</v>
      </c>
      <c r="L1407" t="s">
        <v>241</v>
      </c>
      <c r="M1407">
        <v>39.215789999999998</v>
      </c>
      <c r="N1407">
        <v>-123.3404</v>
      </c>
      <c r="O1407">
        <v>2.8540000000000002E-3</v>
      </c>
      <c r="P1407">
        <v>2.578E-3</v>
      </c>
      <c r="Q1407">
        <v>0.03</v>
      </c>
      <c r="R1407">
        <v>2.915333E-3</v>
      </c>
      <c r="S1407">
        <v>4.0920000000000002E-3</v>
      </c>
      <c r="T1407">
        <v>5.1146669999999998E-3</v>
      </c>
      <c r="U1407">
        <v>5.6263329999999999E-3</v>
      </c>
      <c r="V1407">
        <v>6.1376670000000003E-3</v>
      </c>
      <c r="W1407">
        <v>6.1376670000000003E-3</v>
      </c>
      <c r="X1407">
        <v>3.621333E-3</v>
      </c>
      <c r="Y1407">
        <v>2.8540000000000002E-3</v>
      </c>
      <c r="Z1407">
        <v>2.8540000000000002E-3</v>
      </c>
      <c r="AA1407" t="s">
        <v>9335</v>
      </c>
      <c r="AB1407" t="s">
        <v>242</v>
      </c>
      <c r="AC1407" t="s">
        <v>3213</v>
      </c>
    </row>
    <row r="1408" spans="1:29" x14ac:dyDescent="0.25">
      <c r="A1408" t="s">
        <v>2797</v>
      </c>
      <c r="B1408" t="s">
        <v>254</v>
      </c>
      <c r="C1408" t="s">
        <v>317</v>
      </c>
      <c r="D1408" t="s">
        <v>3713</v>
      </c>
      <c r="E1408" t="s">
        <v>3761</v>
      </c>
      <c r="F1408">
        <v>10000000</v>
      </c>
      <c r="G1408" t="s">
        <v>9349</v>
      </c>
      <c r="H1408" t="s">
        <v>242</v>
      </c>
      <c r="I1408" t="s">
        <v>242</v>
      </c>
      <c r="J1408" t="s">
        <v>242</v>
      </c>
      <c r="K1408" t="s">
        <v>242</v>
      </c>
      <c r="L1408" t="s">
        <v>241</v>
      </c>
      <c r="M1408">
        <v>39.276649999999997</v>
      </c>
      <c r="N1408">
        <v>-123.17252000000001</v>
      </c>
      <c r="O1408">
        <v>0.02</v>
      </c>
      <c r="P1408">
        <v>0.03</v>
      </c>
      <c r="Q1408">
        <v>0.03</v>
      </c>
      <c r="R1408">
        <v>0.03</v>
      </c>
      <c r="S1408">
        <v>0.03</v>
      </c>
      <c r="T1408">
        <v>0.01</v>
      </c>
      <c r="U1408">
        <v>0.01</v>
      </c>
      <c r="V1408">
        <v>0.01</v>
      </c>
      <c r="W1408">
        <v>0.01</v>
      </c>
      <c r="X1408">
        <v>0.01</v>
      </c>
      <c r="Y1408">
        <v>0.01</v>
      </c>
      <c r="Z1408">
        <v>0.01</v>
      </c>
      <c r="AA1408" t="s">
        <v>9335</v>
      </c>
      <c r="AB1408" t="s">
        <v>242</v>
      </c>
      <c r="AC1408" t="s">
        <v>3213</v>
      </c>
    </row>
    <row r="1409" spans="1:29" x14ac:dyDescent="0.25">
      <c r="A1409" t="s">
        <v>2798</v>
      </c>
      <c r="B1409" t="s">
        <v>254</v>
      </c>
      <c r="C1409" t="s">
        <v>317</v>
      </c>
      <c r="D1409" t="s">
        <v>3713</v>
      </c>
      <c r="E1409" t="s">
        <v>3761</v>
      </c>
      <c r="F1409">
        <v>10000000</v>
      </c>
      <c r="G1409" t="s">
        <v>9349</v>
      </c>
      <c r="H1409" t="s">
        <v>242</v>
      </c>
      <c r="I1409" t="s">
        <v>242</v>
      </c>
      <c r="J1409" t="s">
        <v>242</v>
      </c>
      <c r="K1409" t="s">
        <v>242</v>
      </c>
      <c r="L1409" t="s">
        <v>241</v>
      </c>
      <c r="M1409">
        <v>39.25994</v>
      </c>
      <c r="N1409">
        <v>-123.30073</v>
      </c>
      <c r="O1409">
        <v>7.0666669999999996E-3</v>
      </c>
      <c r="P1409">
        <v>7.0666669999999996E-3</v>
      </c>
      <c r="Q1409">
        <v>7.0666669999999996E-3</v>
      </c>
      <c r="R1409">
        <v>7.0666669999999996E-3</v>
      </c>
      <c r="S1409">
        <v>0.02</v>
      </c>
      <c r="T1409">
        <v>0.02</v>
      </c>
      <c r="U1409">
        <v>0.02</v>
      </c>
      <c r="V1409">
        <v>0.02</v>
      </c>
      <c r="W1409">
        <v>0.02</v>
      </c>
      <c r="X1409">
        <v>0.02</v>
      </c>
      <c r="Y1409">
        <v>7.0666669999999996E-3</v>
      </c>
      <c r="Z1409">
        <v>7.0666669999999996E-3</v>
      </c>
      <c r="AA1409" t="s">
        <v>9335</v>
      </c>
      <c r="AB1409" t="s">
        <v>242</v>
      </c>
      <c r="AC1409" t="s">
        <v>3213</v>
      </c>
    </row>
    <row r="1410" spans="1:29" x14ac:dyDescent="0.25">
      <c r="A1410" t="s">
        <v>2800</v>
      </c>
      <c r="B1410" t="s">
        <v>254</v>
      </c>
      <c r="C1410" t="s">
        <v>317</v>
      </c>
      <c r="D1410" t="s">
        <v>3713</v>
      </c>
      <c r="E1410" t="s">
        <v>3761</v>
      </c>
      <c r="F1410">
        <v>10000000</v>
      </c>
      <c r="G1410" t="s">
        <v>9349</v>
      </c>
      <c r="H1410" t="s">
        <v>242</v>
      </c>
      <c r="I1410" t="s">
        <v>242</v>
      </c>
      <c r="J1410" t="s">
        <v>242</v>
      </c>
      <c r="K1410" t="s">
        <v>242</v>
      </c>
      <c r="L1410" t="s">
        <v>241</v>
      </c>
      <c r="M1410">
        <v>39.258000000000003</v>
      </c>
      <c r="N1410">
        <v>-123.30253</v>
      </c>
      <c r="O1410">
        <v>7.0233329999999997E-3</v>
      </c>
      <c r="P1410">
        <v>7.0233329999999997E-3</v>
      </c>
      <c r="Q1410">
        <v>7.0233329999999997E-3</v>
      </c>
      <c r="R1410">
        <v>7.0233329999999997E-3</v>
      </c>
      <c r="S1410">
        <v>7.6366669999999998E-3</v>
      </c>
      <c r="T1410">
        <v>6.0000000000000001E-3</v>
      </c>
      <c r="U1410">
        <v>6.0000000000000001E-3</v>
      </c>
      <c r="V1410">
        <v>6.0000000000000001E-3</v>
      </c>
      <c r="W1410">
        <v>6.0000000000000001E-3</v>
      </c>
      <c r="X1410">
        <v>6.0000000000000001E-3</v>
      </c>
      <c r="Y1410">
        <v>7.0233329999999997E-3</v>
      </c>
      <c r="Z1410">
        <v>7.0233329999999997E-3</v>
      </c>
      <c r="AA1410" t="s">
        <v>9335</v>
      </c>
      <c r="AB1410" t="s">
        <v>242</v>
      </c>
      <c r="AC1410" t="s">
        <v>3213</v>
      </c>
    </row>
    <row r="1411" spans="1:29" x14ac:dyDescent="0.25">
      <c r="A1411" t="s">
        <v>2805</v>
      </c>
      <c r="B1411" t="s">
        <v>254</v>
      </c>
      <c r="C1411" t="s">
        <v>319</v>
      </c>
      <c r="D1411" t="s">
        <v>3713</v>
      </c>
      <c r="E1411" t="s">
        <v>3761</v>
      </c>
      <c r="F1411">
        <v>10000000</v>
      </c>
      <c r="G1411" t="s">
        <v>9349</v>
      </c>
      <c r="H1411" t="s">
        <v>242</v>
      </c>
      <c r="I1411" t="s">
        <v>242</v>
      </c>
      <c r="J1411" t="s">
        <v>242</v>
      </c>
      <c r="K1411" t="s">
        <v>242</v>
      </c>
      <c r="L1411" t="s">
        <v>241</v>
      </c>
      <c r="M1411">
        <v>38.925087040000001</v>
      </c>
      <c r="N1411">
        <v>-123.1292766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 t="s">
        <v>9335</v>
      </c>
      <c r="AB1411" t="s">
        <v>242</v>
      </c>
      <c r="AC1411" t="s">
        <v>3213</v>
      </c>
    </row>
    <row r="1412" spans="1:29" x14ac:dyDescent="0.25">
      <c r="A1412" t="s">
        <v>2807</v>
      </c>
      <c r="B1412" t="s">
        <v>254</v>
      </c>
      <c r="C1412" t="s">
        <v>319</v>
      </c>
      <c r="D1412" t="s">
        <v>3713</v>
      </c>
      <c r="E1412" t="s">
        <v>3761</v>
      </c>
      <c r="F1412">
        <v>10000000</v>
      </c>
      <c r="G1412" t="s">
        <v>9349</v>
      </c>
      <c r="H1412" t="s">
        <v>242</v>
      </c>
      <c r="I1412" t="s">
        <v>242</v>
      </c>
      <c r="J1412" t="s">
        <v>242</v>
      </c>
      <c r="K1412" t="s">
        <v>242</v>
      </c>
      <c r="L1412" t="s">
        <v>241</v>
      </c>
      <c r="M1412">
        <v>38.928058120000003</v>
      </c>
      <c r="N1412">
        <v>-123.11370359999999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 t="s">
        <v>9335</v>
      </c>
      <c r="AB1412" t="s">
        <v>242</v>
      </c>
      <c r="AC1412" t="s">
        <v>3213</v>
      </c>
    </row>
    <row r="1413" spans="1:29" x14ac:dyDescent="0.25">
      <c r="A1413" t="s">
        <v>2809</v>
      </c>
      <c r="B1413" t="s">
        <v>254</v>
      </c>
      <c r="C1413" t="s">
        <v>317</v>
      </c>
      <c r="D1413" t="s">
        <v>3713</v>
      </c>
      <c r="E1413" t="s">
        <v>3761</v>
      </c>
      <c r="F1413">
        <v>10000000</v>
      </c>
      <c r="G1413" t="s">
        <v>9349</v>
      </c>
      <c r="H1413" t="s">
        <v>242</v>
      </c>
      <c r="I1413" t="s">
        <v>242</v>
      </c>
      <c r="J1413" t="s">
        <v>242</v>
      </c>
      <c r="K1413" t="s">
        <v>242</v>
      </c>
      <c r="L1413" t="s">
        <v>241</v>
      </c>
      <c r="M1413">
        <v>39.332250000000002</v>
      </c>
      <c r="N1413">
        <v>-123.38305560000001</v>
      </c>
      <c r="O1413">
        <v>6.6666670000000003E-3</v>
      </c>
      <c r="P1413">
        <v>3.333333E-3</v>
      </c>
      <c r="Q1413">
        <v>3.333333E-3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3.333333E-3</v>
      </c>
      <c r="Z1413">
        <v>0.01</v>
      </c>
      <c r="AA1413" t="s">
        <v>9335</v>
      </c>
      <c r="AB1413" t="s">
        <v>242</v>
      </c>
      <c r="AC1413" t="s">
        <v>3213</v>
      </c>
    </row>
    <row r="1414" spans="1:29" x14ac:dyDescent="0.25">
      <c r="A1414" t="s">
        <v>2811</v>
      </c>
      <c r="B1414" t="s">
        <v>254</v>
      </c>
      <c r="C1414" t="s">
        <v>317</v>
      </c>
      <c r="D1414" t="s">
        <v>3713</v>
      </c>
      <c r="E1414" t="s">
        <v>3761</v>
      </c>
      <c r="F1414">
        <v>10000000</v>
      </c>
      <c r="G1414" t="s">
        <v>9349</v>
      </c>
      <c r="H1414" t="s">
        <v>242</v>
      </c>
      <c r="I1414" t="s">
        <v>242</v>
      </c>
      <c r="J1414" t="s">
        <v>242</v>
      </c>
      <c r="K1414" t="s">
        <v>242</v>
      </c>
      <c r="L1414" t="s">
        <v>241</v>
      </c>
      <c r="M1414">
        <v>39.332222219999998</v>
      </c>
      <c r="N1414">
        <v>-123.38325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 t="s">
        <v>9335</v>
      </c>
      <c r="AB1414" t="s">
        <v>242</v>
      </c>
      <c r="AC1414" t="s">
        <v>3213</v>
      </c>
    </row>
    <row r="1415" spans="1:29" x14ac:dyDescent="0.25">
      <c r="A1415" t="s">
        <v>2812</v>
      </c>
      <c r="B1415" t="s">
        <v>254</v>
      </c>
      <c r="C1415" t="s">
        <v>319</v>
      </c>
      <c r="D1415" t="s">
        <v>3713</v>
      </c>
      <c r="E1415" t="s">
        <v>3761</v>
      </c>
      <c r="F1415">
        <v>10000000</v>
      </c>
      <c r="G1415" t="s">
        <v>9349</v>
      </c>
      <c r="H1415" t="s">
        <v>242</v>
      </c>
      <c r="I1415" t="s">
        <v>242</v>
      </c>
      <c r="J1415" t="s">
        <v>242</v>
      </c>
      <c r="K1415" t="s">
        <v>242</v>
      </c>
      <c r="L1415" t="s">
        <v>241</v>
      </c>
      <c r="M1415">
        <v>38.924983330000003</v>
      </c>
      <c r="N1415">
        <v>-123.14491940000001</v>
      </c>
      <c r="O1415">
        <v>0</v>
      </c>
      <c r="P1415">
        <v>0</v>
      </c>
      <c r="Q1415">
        <v>3.333333E-3</v>
      </c>
      <c r="R1415">
        <v>3.333333E-3</v>
      </c>
      <c r="S1415">
        <v>0.04</v>
      </c>
      <c r="T1415">
        <v>0.08</v>
      </c>
      <c r="U1415">
        <v>0.14000000000000001</v>
      </c>
      <c r="V1415">
        <v>0.14000000000000001</v>
      </c>
      <c r="W1415">
        <v>0.09</v>
      </c>
      <c r="X1415">
        <v>0.02</v>
      </c>
      <c r="Y1415">
        <v>0</v>
      </c>
      <c r="Z1415">
        <v>0</v>
      </c>
      <c r="AA1415" t="s">
        <v>9333</v>
      </c>
      <c r="AB1415" t="s">
        <v>242</v>
      </c>
      <c r="AC1415" t="s">
        <v>3213</v>
      </c>
    </row>
    <row r="1416" spans="1:29" x14ac:dyDescent="0.25">
      <c r="A1416" t="s">
        <v>2821</v>
      </c>
      <c r="B1416" t="s">
        <v>254</v>
      </c>
      <c r="C1416" t="s">
        <v>348</v>
      </c>
      <c r="D1416" t="s">
        <v>3713</v>
      </c>
      <c r="E1416" t="s">
        <v>3761</v>
      </c>
      <c r="F1416">
        <v>10000000</v>
      </c>
      <c r="G1416" t="s">
        <v>9349</v>
      </c>
      <c r="H1416" t="s">
        <v>242</v>
      </c>
      <c r="I1416" t="s">
        <v>242</v>
      </c>
      <c r="J1416" t="s">
        <v>242</v>
      </c>
      <c r="K1416" t="s">
        <v>242</v>
      </c>
      <c r="L1416" t="s">
        <v>241</v>
      </c>
      <c r="M1416">
        <v>39.260489999999997</v>
      </c>
      <c r="N1416">
        <v>-123.116347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 t="s">
        <v>9335</v>
      </c>
      <c r="AB1416" t="s">
        <v>242</v>
      </c>
      <c r="AC1416" t="s">
        <v>3213</v>
      </c>
    </row>
    <row r="1417" spans="1:29" x14ac:dyDescent="0.25">
      <c r="A1417" t="s">
        <v>2814</v>
      </c>
      <c r="B1417" t="s">
        <v>254</v>
      </c>
      <c r="C1417" t="s">
        <v>319</v>
      </c>
      <c r="D1417" t="s">
        <v>3713</v>
      </c>
      <c r="E1417" t="s">
        <v>3761</v>
      </c>
      <c r="F1417">
        <v>10000000</v>
      </c>
      <c r="G1417" t="s">
        <v>9349</v>
      </c>
      <c r="H1417" t="s">
        <v>242</v>
      </c>
      <c r="I1417" t="s">
        <v>242</v>
      </c>
      <c r="J1417" t="s">
        <v>242</v>
      </c>
      <c r="K1417" t="s">
        <v>242</v>
      </c>
      <c r="L1417" t="s">
        <v>241</v>
      </c>
      <c r="M1417">
        <v>38.987520000000004</v>
      </c>
      <c r="N1417">
        <v>-123.19167400000001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 t="s">
        <v>9335</v>
      </c>
      <c r="AB1417" t="s">
        <v>242</v>
      </c>
      <c r="AC1417" t="s">
        <v>3213</v>
      </c>
    </row>
    <row r="1418" spans="1:29" x14ac:dyDescent="0.25">
      <c r="A1418" t="s">
        <v>2816</v>
      </c>
      <c r="B1418" t="s">
        <v>254</v>
      </c>
      <c r="C1418" t="s">
        <v>333</v>
      </c>
      <c r="D1418" t="s">
        <v>3713</v>
      </c>
      <c r="E1418" t="s">
        <v>3761</v>
      </c>
      <c r="F1418">
        <v>10000000</v>
      </c>
      <c r="G1418" t="s">
        <v>9349</v>
      </c>
      <c r="H1418" t="s">
        <v>242</v>
      </c>
      <c r="I1418" t="s">
        <v>242</v>
      </c>
      <c r="J1418" t="s">
        <v>242</v>
      </c>
      <c r="K1418" t="s">
        <v>242</v>
      </c>
      <c r="L1418" t="s">
        <v>241</v>
      </c>
      <c r="M1418">
        <v>39.095182000000001</v>
      </c>
      <c r="N1418">
        <v>-123.245464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8.9999999999999998E-4</v>
      </c>
      <c r="V1418">
        <v>0</v>
      </c>
      <c r="W1418">
        <v>0</v>
      </c>
      <c r="X1418">
        <v>0</v>
      </c>
      <c r="Y1418">
        <v>0</v>
      </c>
      <c r="Z1418">
        <v>0</v>
      </c>
      <c r="AA1418" t="s">
        <v>9335</v>
      </c>
      <c r="AB1418" t="s">
        <v>242</v>
      </c>
      <c r="AC1418" t="s">
        <v>3213</v>
      </c>
    </row>
    <row r="1419" spans="1:29" x14ac:dyDescent="0.25">
      <c r="A1419" t="s">
        <v>2818</v>
      </c>
      <c r="B1419" t="s">
        <v>254</v>
      </c>
      <c r="C1419" t="s">
        <v>319</v>
      </c>
      <c r="D1419" t="s">
        <v>3713</v>
      </c>
      <c r="E1419" t="s">
        <v>3761</v>
      </c>
      <c r="F1419">
        <v>10000000</v>
      </c>
      <c r="G1419" t="s">
        <v>9349</v>
      </c>
      <c r="H1419" t="s">
        <v>242</v>
      </c>
      <c r="I1419" t="s">
        <v>242</v>
      </c>
      <c r="J1419" t="s">
        <v>242</v>
      </c>
      <c r="K1419" t="s">
        <v>242</v>
      </c>
      <c r="L1419" t="s">
        <v>241</v>
      </c>
      <c r="M1419">
        <v>39.012217999999997</v>
      </c>
      <c r="N1419">
        <v>-123.184516</v>
      </c>
      <c r="O1419">
        <v>0</v>
      </c>
      <c r="P1419">
        <v>0</v>
      </c>
      <c r="Q1419">
        <v>0</v>
      </c>
      <c r="R1419">
        <v>0</v>
      </c>
      <c r="S1419">
        <v>0.48</v>
      </c>
      <c r="T1419">
        <v>0.48</v>
      </c>
      <c r="U1419">
        <v>0.48</v>
      </c>
      <c r="V1419">
        <v>0.48</v>
      </c>
      <c r="W1419">
        <v>0.48</v>
      </c>
      <c r="X1419">
        <v>0.48</v>
      </c>
      <c r="Y1419">
        <v>0</v>
      </c>
      <c r="Z1419">
        <v>0</v>
      </c>
      <c r="AA1419" t="s">
        <v>9335</v>
      </c>
      <c r="AB1419" t="s">
        <v>241</v>
      </c>
      <c r="AC1419" t="s">
        <v>3213</v>
      </c>
    </row>
    <row r="1420" spans="1:29" x14ac:dyDescent="0.25">
      <c r="A1420" t="s">
        <v>1883</v>
      </c>
      <c r="B1420" t="s">
        <v>254</v>
      </c>
      <c r="C1420" t="s">
        <v>348</v>
      </c>
      <c r="D1420" t="s">
        <v>3713</v>
      </c>
      <c r="E1420" t="s">
        <v>3761</v>
      </c>
      <c r="F1420">
        <v>10000000</v>
      </c>
      <c r="G1420" t="s">
        <v>9349</v>
      </c>
      <c r="H1420" t="s">
        <v>242</v>
      </c>
      <c r="I1420" t="s">
        <v>242</v>
      </c>
      <c r="J1420" t="s">
        <v>242</v>
      </c>
      <c r="K1420" t="s">
        <v>242</v>
      </c>
      <c r="L1420" t="s">
        <v>241</v>
      </c>
      <c r="M1420">
        <v>39.29298</v>
      </c>
      <c r="N1420">
        <v>-123.03757</v>
      </c>
      <c r="O1420">
        <v>0.23</v>
      </c>
      <c r="P1420">
        <v>0.23</v>
      </c>
      <c r="Q1420">
        <v>0.03</v>
      </c>
      <c r="R1420">
        <v>0.02</v>
      </c>
      <c r="S1420">
        <v>0.01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 t="s">
        <v>9335</v>
      </c>
      <c r="AB1420" t="s">
        <v>242</v>
      </c>
      <c r="AC1420" t="s">
        <v>3213</v>
      </c>
    </row>
    <row r="1421" spans="1:29" x14ac:dyDescent="0.25">
      <c r="A1421" t="s">
        <v>3181</v>
      </c>
      <c r="B1421" t="s">
        <v>254</v>
      </c>
      <c r="C1421" t="e">
        <v>#N/A</v>
      </c>
      <c r="D1421" t="s">
        <v>3713</v>
      </c>
      <c r="E1421" t="s">
        <v>3761</v>
      </c>
      <c r="F1421">
        <v>10000000</v>
      </c>
      <c r="G1421" t="s">
        <v>9349</v>
      </c>
      <c r="I1421" t="s">
        <v>242</v>
      </c>
      <c r="L1421" t="s">
        <v>241</v>
      </c>
    </row>
    <row r="1422" spans="1:29" x14ac:dyDescent="0.25">
      <c r="A1422" t="s">
        <v>1877</v>
      </c>
      <c r="B1422" t="s">
        <v>254</v>
      </c>
      <c r="C1422" t="s">
        <v>348</v>
      </c>
      <c r="D1422" t="s">
        <v>3713</v>
      </c>
      <c r="E1422" t="s">
        <v>3761</v>
      </c>
      <c r="F1422">
        <v>10000000</v>
      </c>
      <c r="G1422" t="s">
        <v>9349</v>
      </c>
      <c r="H1422" t="s">
        <v>242</v>
      </c>
      <c r="I1422" t="s">
        <v>242</v>
      </c>
      <c r="J1422" t="s">
        <v>242</v>
      </c>
      <c r="K1422" t="s">
        <v>242</v>
      </c>
      <c r="L1422" t="s">
        <v>241</v>
      </c>
      <c r="M1422">
        <v>39.294600000000003</v>
      </c>
      <c r="N1422">
        <v>-123.03654</v>
      </c>
      <c r="O1422">
        <v>0.03</v>
      </c>
      <c r="P1422">
        <v>0.03</v>
      </c>
      <c r="Q1422">
        <v>0.03</v>
      </c>
      <c r="R1422">
        <v>0.05</v>
      </c>
      <c r="S1422">
        <v>0.03</v>
      </c>
      <c r="T1422">
        <v>0.03</v>
      </c>
      <c r="U1422">
        <v>0.03</v>
      </c>
      <c r="V1422">
        <v>0.02</v>
      </c>
      <c r="W1422">
        <v>0.02</v>
      </c>
      <c r="X1422">
        <v>0.02</v>
      </c>
      <c r="Y1422">
        <v>0.02</v>
      </c>
      <c r="Z1422">
        <v>0.02</v>
      </c>
      <c r="AA1422" t="s">
        <v>9335</v>
      </c>
      <c r="AB1422" t="s">
        <v>242</v>
      </c>
      <c r="AC1422" t="s">
        <v>3213</v>
      </c>
    </row>
    <row r="1423" spans="1:29" x14ac:dyDescent="0.25">
      <c r="A1423" t="s">
        <v>2824</v>
      </c>
      <c r="B1423" t="s">
        <v>254</v>
      </c>
      <c r="C1423" t="s">
        <v>319</v>
      </c>
      <c r="D1423" t="s">
        <v>3713</v>
      </c>
      <c r="E1423" t="s">
        <v>3761</v>
      </c>
      <c r="F1423">
        <v>10000000</v>
      </c>
      <c r="G1423" t="s">
        <v>9349</v>
      </c>
      <c r="H1423" t="s">
        <v>242</v>
      </c>
      <c r="I1423" t="s">
        <v>242</v>
      </c>
      <c r="J1423" t="s">
        <v>242</v>
      </c>
      <c r="K1423" t="s">
        <v>242</v>
      </c>
      <c r="L1423" t="s">
        <v>241</v>
      </c>
      <c r="M1423">
        <v>39.002789999999997</v>
      </c>
      <c r="N1423">
        <v>-123.158371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 t="s">
        <v>9339</v>
      </c>
      <c r="AB1423" t="s">
        <v>242</v>
      </c>
      <c r="AC1423" t="s">
        <v>3213</v>
      </c>
    </row>
    <row r="1424" spans="1:29" x14ac:dyDescent="0.25">
      <c r="A1424" t="s">
        <v>2825</v>
      </c>
      <c r="B1424" t="s">
        <v>254</v>
      </c>
      <c r="C1424" t="s">
        <v>319</v>
      </c>
      <c r="D1424" t="s">
        <v>3713</v>
      </c>
      <c r="E1424" t="s">
        <v>3761</v>
      </c>
      <c r="F1424">
        <v>10000000</v>
      </c>
      <c r="G1424" t="s">
        <v>9349</v>
      </c>
      <c r="H1424" t="s">
        <v>242</v>
      </c>
      <c r="I1424" t="s">
        <v>242</v>
      </c>
      <c r="J1424" t="s">
        <v>242</v>
      </c>
      <c r="K1424" t="s">
        <v>242</v>
      </c>
      <c r="L1424" t="s">
        <v>241</v>
      </c>
      <c r="M1424">
        <v>39.003796999999999</v>
      </c>
      <c r="N1424">
        <v>-123.15563899999999</v>
      </c>
      <c r="O1424">
        <v>0.75</v>
      </c>
      <c r="P1424">
        <v>0.75</v>
      </c>
      <c r="Q1424">
        <v>0.75</v>
      </c>
      <c r="R1424">
        <v>0.06</v>
      </c>
      <c r="S1424">
        <v>0.06</v>
      </c>
      <c r="T1424">
        <v>0.06</v>
      </c>
      <c r="U1424">
        <v>0.06</v>
      </c>
      <c r="V1424">
        <v>0.06</v>
      </c>
      <c r="W1424">
        <v>0.06</v>
      </c>
      <c r="X1424">
        <v>0.06</v>
      </c>
      <c r="Y1424">
        <v>0</v>
      </c>
      <c r="Z1424">
        <v>0.75</v>
      </c>
      <c r="AA1424" t="s">
        <v>9335</v>
      </c>
      <c r="AB1424" t="s">
        <v>242</v>
      </c>
      <c r="AC1424" t="s">
        <v>3213</v>
      </c>
    </row>
    <row r="1425" spans="1:29" x14ac:dyDescent="0.25">
      <c r="A1425" t="s">
        <v>2826</v>
      </c>
      <c r="B1425" t="s">
        <v>254</v>
      </c>
      <c r="C1425" t="s">
        <v>319</v>
      </c>
      <c r="D1425" t="s">
        <v>3713</v>
      </c>
      <c r="E1425" t="s">
        <v>3761</v>
      </c>
      <c r="F1425">
        <v>10000000</v>
      </c>
      <c r="G1425" t="s">
        <v>9349</v>
      </c>
      <c r="H1425" t="s">
        <v>242</v>
      </c>
      <c r="I1425" t="s">
        <v>242</v>
      </c>
      <c r="J1425" t="s">
        <v>242</v>
      </c>
      <c r="K1425" t="s">
        <v>242</v>
      </c>
      <c r="L1425" t="s">
        <v>241</v>
      </c>
      <c r="M1425">
        <v>39.004519000000002</v>
      </c>
      <c r="N1425">
        <v>-123.155573</v>
      </c>
      <c r="O1425">
        <v>0.03</v>
      </c>
      <c r="P1425">
        <v>0.03</v>
      </c>
      <c r="Q1425">
        <v>0.03</v>
      </c>
      <c r="R1425">
        <v>0.03</v>
      </c>
      <c r="S1425">
        <v>0.03</v>
      </c>
      <c r="T1425">
        <v>0.03</v>
      </c>
      <c r="U1425">
        <v>0.03</v>
      </c>
      <c r="V1425">
        <v>0.03</v>
      </c>
      <c r="W1425">
        <v>0.03</v>
      </c>
      <c r="X1425">
        <v>0.03</v>
      </c>
      <c r="Y1425">
        <v>0.03</v>
      </c>
      <c r="Z1425">
        <v>0.03</v>
      </c>
      <c r="AA1425" t="s">
        <v>9333</v>
      </c>
      <c r="AB1425" t="s">
        <v>242</v>
      </c>
      <c r="AC1425" t="s">
        <v>3213</v>
      </c>
    </row>
    <row r="1426" spans="1:29" x14ac:dyDescent="0.25">
      <c r="A1426" t="s">
        <v>2828</v>
      </c>
      <c r="B1426" t="s">
        <v>254</v>
      </c>
      <c r="C1426" t="s">
        <v>319</v>
      </c>
      <c r="D1426" t="s">
        <v>3713</v>
      </c>
      <c r="E1426" t="s">
        <v>3761</v>
      </c>
      <c r="F1426">
        <v>10000000</v>
      </c>
      <c r="G1426" t="s">
        <v>9349</v>
      </c>
      <c r="H1426" t="s">
        <v>242</v>
      </c>
      <c r="I1426" t="s">
        <v>242</v>
      </c>
      <c r="J1426" t="s">
        <v>242</v>
      </c>
      <c r="K1426" t="s">
        <v>242</v>
      </c>
      <c r="L1426" t="s">
        <v>241</v>
      </c>
      <c r="M1426">
        <v>39.001387999999999</v>
      </c>
      <c r="N1426">
        <v>-123.158976</v>
      </c>
      <c r="O1426">
        <v>0.02</v>
      </c>
      <c r="P1426">
        <v>0.02</v>
      </c>
      <c r="Q1426">
        <v>0.02</v>
      </c>
      <c r="R1426">
        <v>0.02</v>
      </c>
      <c r="S1426">
        <v>0.02</v>
      </c>
      <c r="T1426">
        <v>0.02</v>
      </c>
      <c r="U1426">
        <v>0.02</v>
      </c>
      <c r="V1426">
        <v>0.02</v>
      </c>
      <c r="W1426">
        <v>0.02</v>
      </c>
      <c r="X1426">
        <v>0.02</v>
      </c>
      <c r="Y1426">
        <v>0.02</v>
      </c>
      <c r="Z1426">
        <v>0.02</v>
      </c>
      <c r="AA1426" t="s">
        <v>9333</v>
      </c>
      <c r="AB1426" t="s">
        <v>242</v>
      </c>
      <c r="AC1426" t="s">
        <v>3213</v>
      </c>
    </row>
    <row r="1427" spans="1:29" x14ac:dyDescent="0.25">
      <c r="A1427" t="s">
        <v>2829</v>
      </c>
      <c r="B1427" t="s">
        <v>254</v>
      </c>
      <c r="C1427" t="s">
        <v>319</v>
      </c>
      <c r="D1427" t="s">
        <v>3713</v>
      </c>
      <c r="E1427" t="s">
        <v>3761</v>
      </c>
      <c r="F1427">
        <v>10000000</v>
      </c>
      <c r="G1427" t="s">
        <v>9349</v>
      </c>
      <c r="H1427" t="s">
        <v>242</v>
      </c>
      <c r="I1427" t="s">
        <v>242</v>
      </c>
      <c r="J1427" t="s">
        <v>242</v>
      </c>
      <c r="K1427" t="s">
        <v>242</v>
      </c>
      <c r="L1427" t="s">
        <v>241</v>
      </c>
      <c r="M1427">
        <v>39.001207999999998</v>
      </c>
      <c r="N1427">
        <v>-123.158771</v>
      </c>
      <c r="O1427">
        <v>0.01</v>
      </c>
      <c r="P1427">
        <v>0.01</v>
      </c>
      <c r="Q1427">
        <v>0</v>
      </c>
      <c r="R1427">
        <v>0</v>
      </c>
      <c r="S1427">
        <v>0.05</v>
      </c>
      <c r="T1427">
        <v>0.05</v>
      </c>
      <c r="U1427">
        <v>0.05</v>
      </c>
      <c r="V1427">
        <v>0.05</v>
      </c>
      <c r="W1427">
        <v>0.05</v>
      </c>
      <c r="X1427">
        <v>7.0000000000000007E-2</v>
      </c>
      <c r="Y1427">
        <v>0.01</v>
      </c>
      <c r="Z1427">
        <v>0.01</v>
      </c>
      <c r="AA1427" t="s">
        <v>9335</v>
      </c>
      <c r="AB1427" t="s">
        <v>242</v>
      </c>
      <c r="AC1427" t="s">
        <v>3213</v>
      </c>
    </row>
    <row r="1428" spans="1:29" x14ac:dyDescent="0.25">
      <c r="A1428" t="s">
        <v>1881</v>
      </c>
      <c r="B1428" t="s">
        <v>254</v>
      </c>
      <c r="C1428" t="s">
        <v>348</v>
      </c>
      <c r="D1428" t="s">
        <v>3713</v>
      </c>
      <c r="E1428" t="s">
        <v>3761</v>
      </c>
      <c r="F1428">
        <v>10000000</v>
      </c>
      <c r="G1428" t="s">
        <v>9349</v>
      </c>
      <c r="H1428" t="s">
        <v>242</v>
      </c>
      <c r="I1428" t="s">
        <v>242</v>
      </c>
      <c r="J1428" t="s">
        <v>242</v>
      </c>
      <c r="K1428" t="s">
        <v>242</v>
      </c>
      <c r="L1428" t="s">
        <v>241</v>
      </c>
      <c r="M1428">
        <v>39.220756000000002</v>
      </c>
      <c r="N1428">
        <v>-123.078857</v>
      </c>
      <c r="O1428">
        <v>4.6000000000000001E-4</v>
      </c>
      <c r="P1428">
        <v>4.6000000000000001E-4</v>
      </c>
      <c r="Q1428">
        <v>4.6000000000000001E-4</v>
      </c>
      <c r="R1428">
        <v>4.6000000000000001E-4</v>
      </c>
      <c r="S1428">
        <v>4.6000000000000001E-4</v>
      </c>
      <c r="T1428">
        <v>1.2279999999999999E-3</v>
      </c>
      <c r="U1428">
        <v>2.4550000000000002E-3</v>
      </c>
      <c r="V1428">
        <v>3.6830000000000001E-3</v>
      </c>
      <c r="W1428">
        <v>3.6830000000000001E-3</v>
      </c>
      <c r="X1428">
        <v>2.4550000000000002E-3</v>
      </c>
      <c r="Y1428">
        <v>4.6000000000000001E-4</v>
      </c>
      <c r="Z1428">
        <v>4.6000000000000001E-4</v>
      </c>
      <c r="AA1428" t="s">
        <v>9335</v>
      </c>
      <c r="AB1428" t="s">
        <v>242</v>
      </c>
      <c r="AC1428" t="s">
        <v>3213</v>
      </c>
    </row>
    <row r="1429" spans="1:29" x14ac:dyDescent="0.25">
      <c r="A1429" t="s">
        <v>2832</v>
      </c>
      <c r="B1429" t="s">
        <v>254</v>
      </c>
      <c r="C1429" t="s">
        <v>319</v>
      </c>
      <c r="D1429" t="s">
        <v>3713</v>
      </c>
      <c r="E1429" t="s">
        <v>3761</v>
      </c>
      <c r="F1429">
        <v>10000000</v>
      </c>
      <c r="G1429" t="s">
        <v>9349</v>
      </c>
      <c r="H1429" t="s">
        <v>242</v>
      </c>
      <c r="I1429" t="s">
        <v>242</v>
      </c>
      <c r="J1429" t="s">
        <v>242</v>
      </c>
      <c r="K1429" t="s">
        <v>242</v>
      </c>
      <c r="L1429" t="s">
        <v>241</v>
      </c>
      <c r="M1429">
        <v>38.992673430000004</v>
      </c>
      <c r="N1429">
        <v>-123.2148715</v>
      </c>
      <c r="O1429">
        <v>0.02</v>
      </c>
      <c r="P1429">
        <v>0.02</v>
      </c>
      <c r="Q1429">
        <v>0.03</v>
      </c>
      <c r="R1429">
        <v>0.03</v>
      </c>
      <c r="S1429">
        <v>0.03</v>
      </c>
      <c r="T1429">
        <v>0.04</v>
      </c>
      <c r="U1429">
        <v>0.03</v>
      </c>
      <c r="V1429">
        <v>0.02</v>
      </c>
      <c r="W1429">
        <v>0.02</v>
      </c>
      <c r="X1429">
        <v>0.03</v>
      </c>
      <c r="Y1429">
        <v>0.02</v>
      </c>
      <c r="Z1429">
        <v>0.02</v>
      </c>
      <c r="AA1429" t="s">
        <v>9335</v>
      </c>
      <c r="AB1429" t="s">
        <v>242</v>
      </c>
      <c r="AC1429" t="s">
        <v>3213</v>
      </c>
    </row>
    <row r="1430" spans="1:29" x14ac:dyDescent="0.25">
      <c r="A1430" t="s">
        <v>2833</v>
      </c>
      <c r="B1430" t="s">
        <v>254</v>
      </c>
      <c r="C1430" t="s">
        <v>317</v>
      </c>
      <c r="D1430" t="s">
        <v>3713</v>
      </c>
      <c r="E1430" t="s">
        <v>3761</v>
      </c>
      <c r="F1430">
        <v>10000000</v>
      </c>
      <c r="G1430" t="s">
        <v>9349</v>
      </c>
      <c r="H1430" t="s">
        <v>242</v>
      </c>
      <c r="I1430" t="s">
        <v>242</v>
      </c>
      <c r="J1430" t="s">
        <v>242</v>
      </c>
      <c r="K1430" t="s">
        <v>242</v>
      </c>
      <c r="L1430" t="s">
        <v>241</v>
      </c>
      <c r="M1430">
        <v>39.270389999999999</v>
      </c>
      <c r="N1430">
        <v>-123.1983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 t="s">
        <v>9335</v>
      </c>
      <c r="AB1430" t="s">
        <v>242</v>
      </c>
      <c r="AC1430" t="s">
        <v>3213</v>
      </c>
    </row>
    <row r="1431" spans="1:29" x14ac:dyDescent="0.25">
      <c r="A1431" t="s">
        <v>2837</v>
      </c>
      <c r="B1431" t="s">
        <v>254</v>
      </c>
      <c r="C1431" t="s">
        <v>331</v>
      </c>
      <c r="D1431" t="s">
        <v>3713</v>
      </c>
      <c r="E1431" t="s">
        <v>3761</v>
      </c>
      <c r="F1431">
        <v>10000000</v>
      </c>
      <c r="G1431" t="s">
        <v>9349</v>
      </c>
      <c r="H1431" t="s">
        <v>242</v>
      </c>
      <c r="I1431" t="s">
        <v>242</v>
      </c>
      <c r="J1431" t="s">
        <v>242</v>
      </c>
      <c r="K1431" t="s">
        <v>242</v>
      </c>
      <c r="L1431" t="s">
        <v>241</v>
      </c>
      <c r="M1431">
        <v>39.119399999999999</v>
      </c>
      <c r="N1431">
        <v>-123.11966</v>
      </c>
      <c r="O1431">
        <v>0.13</v>
      </c>
      <c r="P1431">
        <v>0.13</v>
      </c>
      <c r="Q1431">
        <v>0.13</v>
      </c>
      <c r="R1431">
        <v>0.13</v>
      </c>
      <c r="S1431">
        <v>0.13</v>
      </c>
      <c r="T1431">
        <v>0.13</v>
      </c>
      <c r="U1431">
        <v>0.14000000000000001</v>
      </c>
      <c r="V1431">
        <v>0.14000000000000001</v>
      </c>
      <c r="W1431">
        <v>0.13</v>
      </c>
      <c r="X1431">
        <v>0.13</v>
      </c>
      <c r="Y1431">
        <v>0.13</v>
      </c>
      <c r="Z1431">
        <v>0.02</v>
      </c>
      <c r="AA1431" t="s">
        <v>9333</v>
      </c>
      <c r="AB1431" t="s">
        <v>242</v>
      </c>
      <c r="AC1431" t="s">
        <v>3213</v>
      </c>
    </row>
    <row r="1432" spans="1:29" x14ac:dyDescent="0.25">
      <c r="A1432" t="s">
        <v>2838</v>
      </c>
      <c r="B1432" t="s">
        <v>254</v>
      </c>
      <c r="C1432" t="s">
        <v>331</v>
      </c>
      <c r="D1432" t="s">
        <v>3713</v>
      </c>
      <c r="E1432" t="s">
        <v>3761</v>
      </c>
      <c r="F1432">
        <v>10000000</v>
      </c>
      <c r="G1432" t="s">
        <v>9349</v>
      </c>
      <c r="H1432" t="s">
        <v>242</v>
      </c>
      <c r="I1432" t="s">
        <v>242</v>
      </c>
      <c r="J1432" t="s">
        <v>242</v>
      </c>
      <c r="K1432" t="s">
        <v>242</v>
      </c>
      <c r="L1432" t="s">
        <v>241</v>
      </c>
      <c r="M1432">
        <v>39.120552000000004</v>
      </c>
      <c r="N1432">
        <v>-123.118605</v>
      </c>
      <c r="O1432">
        <v>0.01</v>
      </c>
      <c r="P1432">
        <v>0</v>
      </c>
      <c r="Q1432">
        <v>0</v>
      </c>
      <c r="R1432">
        <v>0.01</v>
      </c>
      <c r="S1432">
        <v>0.02</v>
      </c>
      <c r="T1432">
        <v>0.02</v>
      </c>
      <c r="U1432">
        <v>0.03</v>
      </c>
      <c r="V1432">
        <v>0.03</v>
      </c>
      <c r="W1432">
        <v>0.02</v>
      </c>
      <c r="X1432">
        <v>0.01</v>
      </c>
      <c r="Y1432">
        <v>0</v>
      </c>
      <c r="Z1432">
        <v>0</v>
      </c>
      <c r="AA1432" t="s">
        <v>9335</v>
      </c>
      <c r="AB1432" t="s">
        <v>242</v>
      </c>
      <c r="AC1432" t="s">
        <v>3213</v>
      </c>
    </row>
    <row r="1433" spans="1:29" x14ac:dyDescent="0.25">
      <c r="A1433" t="s">
        <v>2843</v>
      </c>
      <c r="B1433" t="s">
        <v>254</v>
      </c>
      <c r="C1433" t="s">
        <v>319</v>
      </c>
      <c r="D1433" t="s">
        <v>3713</v>
      </c>
      <c r="E1433" t="s">
        <v>3761</v>
      </c>
      <c r="F1433">
        <v>10000000</v>
      </c>
      <c r="G1433" t="s">
        <v>9349</v>
      </c>
      <c r="H1433" t="s">
        <v>242</v>
      </c>
      <c r="I1433" t="s">
        <v>242</v>
      </c>
      <c r="J1433" t="s">
        <v>242</v>
      </c>
      <c r="K1433" t="s">
        <v>242</v>
      </c>
      <c r="L1433" t="s">
        <v>241</v>
      </c>
      <c r="M1433">
        <v>38.949083999999999</v>
      </c>
      <c r="N1433">
        <v>-123.121568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 t="s">
        <v>9335</v>
      </c>
      <c r="AB1433" t="s">
        <v>242</v>
      </c>
      <c r="AC1433" t="s">
        <v>3213</v>
      </c>
    </row>
    <row r="1434" spans="1:29" x14ac:dyDescent="0.25">
      <c r="A1434" t="s">
        <v>2845</v>
      </c>
      <c r="B1434" t="s">
        <v>254</v>
      </c>
      <c r="C1434" t="s">
        <v>331</v>
      </c>
      <c r="D1434" t="s">
        <v>3713</v>
      </c>
      <c r="E1434" t="s">
        <v>3761</v>
      </c>
      <c r="F1434">
        <v>10000000</v>
      </c>
      <c r="G1434" t="s">
        <v>9349</v>
      </c>
      <c r="H1434" t="s">
        <v>242</v>
      </c>
      <c r="I1434" t="s">
        <v>242</v>
      </c>
      <c r="J1434" t="s">
        <v>242</v>
      </c>
      <c r="K1434" t="s">
        <v>242</v>
      </c>
      <c r="L1434" t="s">
        <v>241</v>
      </c>
      <c r="M1434">
        <v>39.119419999999998</v>
      </c>
      <c r="N1434">
        <v>-123.11993</v>
      </c>
      <c r="O1434">
        <v>0.01</v>
      </c>
      <c r="P1434">
        <v>0</v>
      </c>
      <c r="Q1434">
        <v>0</v>
      </c>
      <c r="R1434">
        <v>0.01</v>
      </c>
      <c r="S1434">
        <v>0.02</v>
      </c>
      <c r="T1434">
        <v>0.02</v>
      </c>
      <c r="U1434">
        <v>0.03</v>
      </c>
      <c r="V1434">
        <v>0.03</v>
      </c>
      <c r="W1434">
        <v>0.02</v>
      </c>
      <c r="X1434">
        <v>0.01</v>
      </c>
      <c r="Y1434">
        <v>0</v>
      </c>
      <c r="Z1434">
        <v>0</v>
      </c>
      <c r="AA1434" t="s">
        <v>9335</v>
      </c>
      <c r="AB1434" t="s">
        <v>242</v>
      </c>
      <c r="AC1434" t="s">
        <v>3213</v>
      </c>
    </row>
    <row r="1435" spans="1:29" x14ac:dyDescent="0.25">
      <c r="A1435" t="s">
        <v>2847</v>
      </c>
      <c r="B1435" t="s">
        <v>254</v>
      </c>
      <c r="C1435" t="s">
        <v>317</v>
      </c>
      <c r="D1435" t="s">
        <v>3713</v>
      </c>
      <c r="E1435" t="s">
        <v>3761</v>
      </c>
      <c r="F1435">
        <v>10000000</v>
      </c>
      <c r="G1435" t="s">
        <v>9349</v>
      </c>
      <c r="H1435" t="s">
        <v>242</v>
      </c>
      <c r="I1435" t="s">
        <v>242</v>
      </c>
      <c r="J1435" t="s">
        <v>242</v>
      </c>
      <c r="K1435" t="s">
        <v>242</v>
      </c>
      <c r="L1435" t="s">
        <v>241</v>
      </c>
      <c r="M1435">
        <v>39.252035999999997</v>
      </c>
      <c r="N1435">
        <v>-123.287156</v>
      </c>
      <c r="O1435">
        <v>0.05</v>
      </c>
      <c r="P1435">
        <v>0.05</v>
      </c>
      <c r="Q1435">
        <v>0.05</v>
      </c>
      <c r="R1435">
        <v>0.09</v>
      </c>
      <c r="S1435">
        <v>0.09</v>
      </c>
      <c r="T1435">
        <v>0.13</v>
      </c>
      <c r="U1435">
        <v>0.13</v>
      </c>
      <c r="V1435">
        <v>0.13</v>
      </c>
      <c r="W1435">
        <v>0.13</v>
      </c>
      <c r="X1435">
        <v>0.13</v>
      </c>
      <c r="Y1435">
        <v>0.09</v>
      </c>
      <c r="Z1435">
        <v>0.05</v>
      </c>
      <c r="AA1435" t="s">
        <v>9335</v>
      </c>
      <c r="AB1435" t="s">
        <v>242</v>
      </c>
      <c r="AC1435" t="s">
        <v>3213</v>
      </c>
    </row>
    <row r="1436" spans="1:29" x14ac:dyDescent="0.25">
      <c r="A1436" t="s">
        <v>2848</v>
      </c>
      <c r="B1436" t="s">
        <v>254</v>
      </c>
      <c r="C1436" t="s">
        <v>331</v>
      </c>
      <c r="D1436" t="s">
        <v>3713</v>
      </c>
      <c r="E1436" t="s">
        <v>3761</v>
      </c>
      <c r="F1436">
        <v>10000000</v>
      </c>
      <c r="G1436" t="s">
        <v>9349</v>
      </c>
      <c r="H1436" t="s">
        <v>242</v>
      </c>
      <c r="I1436" t="s">
        <v>242</v>
      </c>
      <c r="J1436" t="s">
        <v>242</v>
      </c>
      <c r="K1436" t="s">
        <v>242</v>
      </c>
      <c r="L1436" t="s">
        <v>241</v>
      </c>
      <c r="M1436">
        <v>39.167430000000003</v>
      </c>
      <c r="N1436">
        <v>-123.24187000000001</v>
      </c>
      <c r="O1436">
        <v>9.206667E-3</v>
      </c>
      <c r="P1436">
        <v>9.206667E-3</v>
      </c>
      <c r="Q1436">
        <v>9.2743329999999992E-3</v>
      </c>
      <c r="R1436">
        <v>9.2743329999999992E-3</v>
      </c>
      <c r="S1436">
        <v>9.2743329999999992E-3</v>
      </c>
      <c r="T1436">
        <v>9.2743329999999992E-3</v>
      </c>
      <c r="U1436">
        <v>9.8203330000000005E-3</v>
      </c>
      <c r="V1436">
        <v>9.8203330000000005E-3</v>
      </c>
      <c r="W1436">
        <v>9.8203330000000005E-3</v>
      </c>
      <c r="X1436">
        <v>9.2743329999999992E-3</v>
      </c>
      <c r="Y1436">
        <v>9.206667E-3</v>
      </c>
      <c r="Z1436">
        <v>9.206667E-3</v>
      </c>
      <c r="AA1436" t="s">
        <v>9333</v>
      </c>
      <c r="AB1436" t="s">
        <v>242</v>
      </c>
      <c r="AC1436" t="s">
        <v>3213</v>
      </c>
    </row>
    <row r="1437" spans="1:29" x14ac:dyDescent="0.25">
      <c r="A1437" t="s">
        <v>2830</v>
      </c>
      <c r="B1437" t="s">
        <v>254</v>
      </c>
      <c r="C1437" t="s">
        <v>348</v>
      </c>
      <c r="D1437" t="s">
        <v>3713</v>
      </c>
      <c r="E1437" t="s">
        <v>3761</v>
      </c>
      <c r="F1437">
        <v>10000000</v>
      </c>
      <c r="G1437" t="s">
        <v>9349</v>
      </c>
      <c r="H1437" t="s">
        <v>242</v>
      </c>
      <c r="I1437" t="s">
        <v>242</v>
      </c>
      <c r="J1437" t="s">
        <v>242</v>
      </c>
      <c r="K1437" t="s">
        <v>242</v>
      </c>
      <c r="L1437" t="s">
        <v>241</v>
      </c>
      <c r="M1437">
        <v>39.32755556</v>
      </c>
      <c r="N1437">
        <v>-123.1166139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 t="s">
        <v>9335</v>
      </c>
      <c r="AB1437" t="s">
        <v>242</v>
      </c>
      <c r="AC1437" t="s">
        <v>3213</v>
      </c>
    </row>
    <row r="1438" spans="1:29" x14ac:dyDescent="0.25">
      <c r="A1438" t="s">
        <v>2851</v>
      </c>
      <c r="B1438" t="s">
        <v>254</v>
      </c>
      <c r="C1438" t="s">
        <v>308</v>
      </c>
      <c r="D1438" t="s">
        <v>3713</v>
      </c>
      <c r="E1438" t="s">
        <v>3761</v>
      </c>
      <c r="F1438">
        <v>10000000</v>
      </c>
      <c r="G1438" t="s">
        <v>9349</v>
      </c>
      <c r="H1438" t="s">
        <v>242</v>
      </c>
      <c r="I1438" t="s">
        <v>242</v>
      </c>
      <c r="J1438" t="s">
        <v>242</v>
      </c>
      <c r="K1438" t="s">
        <v>242</v>
      </c>
      <c r="L1438" t="s">
        <v>241</v>
      </c>
      <c r="M1438">
        <v>38.662049490000001</v>
      </c>
      <c r="N1438">
        <v>-122.7561498</v>
      </c>
      <c r="O1438">
        <v>0</v>
      </c>
      <c r="P1438">
        <v>0</v>
      </c>
      <c r="Q1438">
        <v>6.6666670000000003E-3</v>
      </c>
      <c r="R1438">
        <v>0.02</v>
      </c>
      <c r="S1438">
        <v>0.05</v>
      </c>
      <c r="T1438">
        <v>0.1</v>
      </c>
      <c r="U1438">
        <v>0.11</v>
      </c>
      <c r="V1438">
        <v>0.12</v>
      </c>
      <c r="W1438">
        <v>7.0000000000000007E-2</v>
      </c>
      <c r="X1438">
        <v>0.01</v>
      </c>
      <c r="Y1438">
        <v>0</v>
      </c>
      <c r="Z1438">
        <v>0</v>
      </c>
      <c r="AA1438" t="s">
        <v>9335</v>
      </c>
      <c r="AB1438" t="s">
        <v>242</v>
      </c>
      <c r="AC1438" t="s">
        <v>3229</v>
      </c>
    </row>
    <row r="1439" spans="1:29" x14ac:dyDescent="0.25">
      <c r="A1439" t="s">
        <v>2855</v>
      </c>
      <c r="B1439" t="s">
        <v>254</v>
      </c>
      <c r="C1439" t="s">
        <v>331</v>
      </c>
      <c r="D1439" t="s">
        <v>3713</v>
      </c>
      <c r="E1439" t="s">
        <v>3761</v>
      </c>
      <c r="F1439">
        <v>10000000</v>
      </c>
      <c r="G1439" t="s">
        <v>9349</v>
      </c>
      <c r="H1439" t="s">
        <v>242</v>
      </c>
      <c r="I1439" t="s">
        <v>242</v>
      </c>
      <c r="J1439" t="s">
        <v>242</v>
      </c>
      <c r="K1439" t="s">
        <v>242</v>
      </c>
      <c r="L1439" t="s">
        <v>241</v>
      </c>
      <c r="M1439">
        <v>39.192619999999998</v>
      </c>
      <c r="N1439">
        <v>-123.13776</v>
      </c>
      <c r="O1439">
        <v>0.02</v>
      </c>
      <c r="P1439">
        <v>0.02</v>
      </c>
      <c r="Q1439">
        <v>0.02</v>
      </c>
      <c r="R1439">
        <v>0.02</v>
      </c>
      <c r="S1439">
        <v>0.02</v>
      </c>
      <c r="T1439">
        <v>0.02</v>
      </c>
      <c r="U1439">
        <v>0.02</v>
      </c>
      <c r="V1439">
        <v>0.02</v>
      </c>
      <c r="W1439">
        <v>0.02</v>
      </c>
      <c r="X1439">
        <v>0.02</v>
      </c>
      <c r="Y1439">
        <v>0.02</v>
      </c>
      <c r="Z1439">
        <v>0.02</v>
      </c>
      <c r="AA1439" t="s">
        <v>9335</v>
      </c>
      <c r="AB1439" t="s">
        <v>242</v>
      </c>
      <c r="AC1439" t="s">
        <v>3213</v>
      </c>
    </row>
    <row r="1440" spans="1:29" x14ac:dyDescent="0.25">
      <c r="A1440" t="s">
        <v>2859</v>
      </c>
      <c r="B1440" t="s">
        <v>254</v>
      </c>
      <c r="C1440" t="s">
        <v>317</v>
      </c>
      <c r="D1440" t="s">
        <v>3713</v>
      </c>
      <c r="E1440" t="s">
        <v>3761</v>
      </c>
      <c r="F1440">
        <v>10000000</v>
      </c>
      <c r="G1440" t="s">
        <v>9349</v>
      </c>
      <c r="H1440" t="s">
        <v>242</v>
      </c>
      <c r="I1440" t="s">
        <v>242</v>
      </c>
      <c r="J1440" t="s">
        <v>242</v>
      </c>
      <c r="K1440" t="s">
        <v>242</v>
      </c>
      <c r="L1440" t="s">
        <v>241</v>
      </c>
      <c r="M1440">
        <v>39.246724999999998</v>
      </c>
      <c r="N1440">
        <v>-123.326274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 t="s">
        <v>9335</v>
      </c>
      <c r="AB1440" t="s">
        <v>242</v>
      </c>
      <c r="AC1440" t="s">
        <v>3213</v>
      </c>
    </row>
    <row r="1441" spans="1:29" x14ac:dyDescent="0.25">
      <c r="A1441" t="s">
        <v>2861</v>
      </c>
      <c r="B1441" t="s">
        <v>254</v>
      </c>
      <c r="C1441" t="s">
        <v>333</v>
      </c>
      <c r="D1441" t="s">
        <v>3713</v>
      </c>
      <c r="E1441" t="s">
        <v>3761</v>
      </c>
      <c r="F1441">
        <v>10000000</v>
      </c>
      <c r="G1441" t="s">
        <v>9349</v>
      </c>
      <c r="H1441" t="s">
        <v>242</v>
      </c>
      <c r="I1441" t="s">
        <v>242</v>
      </c>
      <c r="J1441" t="s">
        <v>242</v>
      </c>
      <c r="K1441" t="s">
        <v>242</v>
      </c>
      <c r="L1441" t="s">
        <v>241</v>
      </c>
      <c r="M1441">
        <v>39.082505560000001</v>
      </c>
      <c r="N1441">
        <v>-123.1868917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 t="s">
        <v>9335</v>
      </c>
      <c r="AB1441" t="s">
        <v>242</v>
      </c>
      <c r="AC1441" t="s">
        <v>3213</v>
      </c>
    </row>
    <row r="1442" spans="1:29" x14ac:dyDescent="0.25">
      <c r="A1442" t="s">
        <v>2862</v>
      </c>
      <c r="B1442" t="s">
        <v>254</v>
      </c>
      <c r="C1442" t="s">
        <v>333</v>
      </c>
      <c r="D1442" t="s">
        <v>3713</v>
      </c>
      <c r="E1442" t="s">
        <v>3761</v>
      </c>
      <c r="F1442">
        <v>10000000</v>
      </c>
      <c r="G1442" t="s">
        <v>9349</v>
      </c>
      <c r="H1442" t="s">
        <v>242</v>
      </c>
      <c r="I1442" t="s">
        <v>242</v>
      </c>
      <c r="J1442" t="s">
        <v>242</v>
      </c>
      <c r="K1442" t="s">
        <v>242</v>
      </c>
      <c r="L1442" t="s">
        <v>241</v>
      </c>
      <c r="M1442">
        <v>39.08396389</v>
      </c>
      <c r="N1442">
        <v>-123.1868917</v>
      </c>
      <c r="O1442">
        <v>0.01</v>
      </c>
      <c r="P1442">
        <v>0.01</v>
      </c>
      <c r="Q1442">
        <v>0.01</v>
      </c>
      <c r="R1442">
        <v>0.01</v>
      </c>
      <c r="S1442">
        <v>0.01</v>
      </c>
      <c r="T1442">
        <v>0.01</v>
      </c>
      <c r="U1442">
        <v>0.01</v>
      </c>
      <c r="V1442">
        <v>0.01</v>
      </c>
      <c r="W1442">
        <v>0.01</v>
      </c>
      <c r="X1442">
        <v>0.01</v>
      </c>
      <c r="Y1442">
        <v>0.01</v>
      </c>
      <c r="Z1442">
        <v>0.01</v>
      </c>
      <c r="AA1442" t="s">
        <v>9335</v>
      </c>
      <c r="AB1442" t="s">
        <v>242</v>
      </c>
      <c r="AC1442" t="s">
        <v>3213</v>
      </c>
    </row>
    <row r="1443" spans="1:29" x14ac:dyDescent="0.25">
      <c r="A1443" t="s">
        <v>2864</v>
      </c>
      <c r="B1443" t="s">
        <v>254</v>
      </c>
      <c r="C1443" t="s">
        <v>319</v>
      </c>
      <c r="D1443" t="s">
        <v>3713</v>
      </c>
      <c r="E1443" t="s">
        <v>3761</v>
      </c>
      <c r="F1443">
        <v>10000000</v>
      </c>
      <c r="G1443" t="s">
        <v>9349</v>
      </c>
      <c r="H1443" t="s">
        <v>242</v>
      </c>
      <c r="I1443" t="s">
        <v>242</v>
      </c>
      <c r="J1443" t="s">
        <v>242</v>
      </c>
      <c r="K1443" t="s">
        <v>242</v>
      </c>
      <c r="L1443" t="s">
        <v>241</v>
      </c>
      <c r="M1443">
        <v>38.874229999999997</v>
      </c>
      <c r="N1443">
        <v>-123.10799</v>
      </c>
      <c r="O1443">
        <v>4.4999999999999997E-3</v>
      </c>
      <c r="P1443">
        <v>5.0000000000000001E-3</v>
      </c>
      <c r="Q1443">
        <v>5.0000000000000001E-3</v>
      </c>
      <c r="R1443">
        <v>5.0000000000000001E-3</v>
      </c>
      <c r="S1443">
        <v>5.0000000000000001E-3</v>
      </c>
      <c r="T1443">
        <v>6.0000000000000001E-3</v>
      </c>
      <c r="U1443">
        <v>0.01</v>
      </c>
      <c r="V1443">
        <v>0.01</v>
      </c>
      <c r="W1443">
        <v>0.01</v>
      </c>
      <c r="X1443">
        <v>4.4999999999999997E-3</v>
      </c>
      <c r="Y1443">
        <v>4.4999999999999997E-3</v>
      </c>
      <c r="Z1443">
        <v>4.4999999999999997E-3</v>
      </c>
      <c r="AA1443" t="s">
        <v>9335</v>
      </c>
      <c r="AB1443" t="s">
        <v>241</v>
      </c>
      <c r="AC1443" t="s">
        <v>3213</v>
      </c>
    </row>
    <row r="1444" spans="1:29" x14ac:dyDescent="0.25">
      <c r="A1444" t="s">
        <v>2865</v>
      </c>
      <c r="B1444" t="s">
        <v>254</v>
      </c>
      <c r="C1444" t="s">
        <v>311</v>
      </c>
      <c r="D1444" t="s">
        <v>3713</v>
      </c>
      <c r="E1444" t="s">
        <v>3761</v>
      </c>
      <c r="F1444">
        <v>10000000</v>
      </c>
      <c r="G1444" t="s">
        <v>9349</v>
      </c>
      <c r="H1444" t="s">
        <v>242</v>
      </c>
      <c r="I1444" t="s">
        <v>242</v>
      </c>
      <c r="J1444" t="s">
        <v>242</v>
      </c>
      <c r="K1444" t="s">
        <v>242</v>
      </c>
      <c r="L1444" t="s">
        <v>241</v>
      </c>
      <c r="M1444">
        <v>38.59877315</v>
      </c>
      <c r="N1444">
        <v>-122.7585277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2.73</v>
      </c>
      <c r="Z1444">
        <v>3.06</v>
      </c>
      <c r="AA1444" t="s">
        <v>9335</v>
      </c>
      <c r="AB1444" t="s">
        <v>242</v>
      </c>
      <c r="AC1444" t="s">
        <v>3229</v>
      </c>
    </row>
    <row r="1445" spans="1:29" x14ac:dyDescent="0.25">
      <c r="A1445" t="s">
        <v>2866</v>
      </c>
      <c r="B1445" t="s">
        <v>254</v>
      </c>
      <c r="C1445" t="s">
        <v>333</v>
      </c>
      <c r="D1445" t="s">
        <v>3713</v>
      </c>
      <c r="E1445" t="s">
        <v>3761</v>
      </c>
      <c r="F1445">
        <v>10000000</v>
      </c>
      <c r="G1445" t="s">
        <v>9349</v>
      </c>
      <c r="H1445" t="s">
        <v>242</v>
      </c>
      <c r="I1445" t="s">
        <v>242</v>
      </c>
      <c r="J1445" t="s">
        <v>242</v>
      </c>
      <c r="K1445" t="s">
        <v>242</v>
      </c>
      <c r="L1445" t="s">
        <v>241</v>
      </c>
      <c r="M1445">
        <v>39.03</v>
      </c>
      <c r="N1445">
        <v>-123.116</v>
      </c>
      <c r="O1445">
        <v>1.66</v>
      </c>
      <c r="P1445">
        <v>1</v>
      </c>
      <c r="Q1445">
        <v>0.33</v>
      </c>
      <c r="R1445">
        <v>0.16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0.16</v>
      </c>
      <c r="AA1445" t="s">
        <v>9335</v>
      </c>
      <c r="AB1445" t="s">
        <v>242</v>
      </c>
      <c r="AC1445" t="s">
        <v>3213</v>
      </c>
    </row>
    <row r="1446" spans="1:29" x14ac:dyDescent="0.25">
      <c r="A1446" t="s">
        <v>2867</v>
      </c>
      <c r="B1446" t="s">
        <v>254</v>
      </c>
      <c r="C1446" t="s">
        <v>319</v>
      </c>
      <c r="D1446" t="s">
        <v>3713</v>
      </c>
      <c r="E1446" t="s">
        <v>3761</v>
      </c>
      <c r="F1446">
        <v>10000000</v>
      </c>
      <c r="G1446" t="s">
        <v>9349</v>
      </c>
      <c r="H1446" t="s">
        <v>242</v>
      </c>
      <c r="I1446" t="s">
        <v>242</v>
      </c>
      <c r="J1446" t="s">
        <v>242</v>
      </c>
      <c r="K1446" t="s">
        <v>242</v>
      </c>
      <c r="L1446" t="s">
        <v>241</v>
      </c>
      <c r="M1446">
        <v>38.971260000000001</v>
      </c>
      <c r="N1446">
        <v>-123.183604</v>
      </c>
      <c r="O1446">
        <v>0</v>
      </c>
      <c r="P1446">
        <v>0</v>
      </c>
      <c r="Q1446">
        <v>0</v>
      </c>
      <c r="R1446">
        <v>0.01</v>
      </c>
      <c r="S1446">
        <v>0.01</v>
      </c>
      <c r="T1446">
        <v>0.01</v>
      </c>
      <c r="U1446">
        <v>0.02</v>
      </c>
      <c r="V1446">
        <v>0.02</v>
      </c>
      <c r="W1446">
        <v>0.01</v>
      </c>
      <c r="X1446">
        <v>0.01</v>
      </c>
      <c r="Y1446">
        <v>0</v>
      </c>
      <c r="Z1446">
        <v>0</v>
      </c>
      <c r="AA1446" t="s">
        <v>9335</v>
      </c>
      <c r="AB1446" t="s">
        <v>242</v>
      </c>
      <c r="AC1446" t="s">
        <v>3213</v>
      </c>
    </row>
    <row r="1447" spans="1:29" x14ac:dyDescent="0.25">
      <c r="A1447" t="s">
        <v>2869</v>
      </c>
      <c r="B1447" t="s">
        <v>254</v>
      </c>
      <c r="C1447" t="s">
        <v>319</v>
      </c>
      <c r="D1447" t="s">
        <v>3713</v>
      </c>
      <c r="E1447" t="s">
        <v>3761</v>
      </c>
      <c r="F1447">
        <v>10000000</v>
      </c>
      <c r="G1447" t="s">
        <v>9349</v>
      </c>
      <c r="H1447" t="s">
        <v>242</v>
      </c>
      <c r="I1447" t="s">
        <v>242</v>
      </c>
      <c r="J1447" t="s">
        <v>242</v>
      </c>
      <c r="K1447" t="s">
        <v>242</v>
      </c>
      <c r="L1447" t="s">
        <v>241</v>
      </c>
      <c r="M1447">
        <v>38.972954199999997</v>
      </c>
      <c r="N1447">
        <v>-123.1163918</v>
      </c>
      <c r="O1447">
        <v>0</v>
      </c>
      <c r="P1447">
        <v>0</v>
      </c>
      <c r="Q1447">
        <v>0</v>
      </c>
      <c r="R1447">
        <v>1E-3</v>
      </c>
      <c r="S1447">
        <v>1E-3</v>
      </c>
      <c r="T1447">
        <v>3.0000000000000001E-3</v>
      </c>
      <c r="U1447">
        <v>4.0000000000000001E-3</v>
      </c>
      <c r="V1447">
        <v>4.0000000000000001E-3</v>
      </c>
      <c r="W1447">
        <v>4.0000000000000001E-3</v>
      </c>
      <c r="X1447">
        <v>3.0000000000000001E-3</v>
      </c>
      <c r="Y1447">
        <v>3.0000000000000001E-3</v>
      </c>
      <c r="Z1447">
        <v>0</v>
      </c>
      <c r="AA1447" t="s">
        <v>9335</v>
      </c>
      <c r="AB1447" t="s">
        <v>242</v>
      </c>
      <c r="AC1447" t="s">
        <v>3213</v>
      </c>
    </row>
    <row r="1448" spans="1:29" x14ac:dyDescent="0.25">
      <c r="A1448" t="s">
        <v>2876</v>
      </c>
      <c r="B1448" t="s">
        <v>254</v>
      </c>
      <c r="C1448" t="s">
        <v>311</v>
      </c>
      <c r="D1448" t="s">
        <v>3713</v>
      </c>
      <c r="E1448" t="s">
        <v>3761</v>
      </c>
      <c r="F1448">
        <v>10000000</v>
      </c>
      <c r="G1448" t="s">
        <v>9349</v>
      </c>
      <c r="H1448" t="s">
        <v>242</v>
      </c>
      <c r="I1448" t="s">
        <v>242</v>
      </c>
      <c r="J1448" t="s">
        <v>242</v>
      </c>
      <c r="K1448" t="s">
        <v>242</v>
      </c>
      <c r="L1448" t="s">
        <v>241</v>
      </c>
      <c r="M1448">
        <v>38.653766740000002</v>
      </c>
      <c r="N1448">
        <v>-122.8097085</v>
      </c>
      <c r="O1448">
        <v>0</v>
      </c>
      <c r="P1448">
        <v>0.02</v>
      </c>
      <c r="Q1448">
        <v>0.01</v>
      </c>
      <c r="R1448">
        <v>0.06</v>
      </c>
      <c r="S1448">
        <v>0</v>
      </c>
      <c r="T1448">
        <v>0.25</v>
      </c>
      <c r="U1448">
        <v>0.33</v>
      </c>
      <c r="V1448">
        <v>0.42</v>
      </c>
      <c r="W1448">
        <v>0.69</v>
      </c>
      <c r="X1448">
        <v>0.31</v>
      </c>
      <c r="Y1448">
        <v>0.35</v>
      </c>
      <c r="Z1448">
        <v>0</v>
      </c>
      <c r="AA1448" t="s">
        <v>9335</v>
      </c>
      <c r="AB1448" t="s">
        <v>242</v>
      </c>
      <c r="AC1448" t="s">
        <v>3229</v>
      </c>
    </row>
    <row r="1449" spans="1:29" x14ac:dyDescent="0.25">
      <c r="A1449" t="s">
        <v>2878</v>
      </c>
      <c r="B1449" t="s">
        <v>254</v>
      </c>
      <c r="C1449" t="s">
        <v>319</v>
      </c>
      <c r="D1449" t="s">
        <v>3713</v>
      </c>
      <c r="E1449" t="s">
        <v>3761</v>
      </c>
      <c r="F1449">
        <v>10000000</v>
      </c>
      <c r="G1449" t="s">
        <v>9349</v>
      </c>
      <c r="H1449" t="s">
        <v>242</v>
      </c>
      <c r="I1449" t="s">
        <v>242</v>
      </c>
      <c r="J1449" t="s">
        <v>242</v>
      </c>
      <c r="K1449" t="s">
        <v>242</v>
      </c>
      <c r="L1449" t="s">
        <v>241</v>
      </c>
      <c r="M1449">
        <v>38.881888969999999</v>
      </c>
      <c r="N1449">
        <v>-122.9151921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 t="s">
        <v>9345</v>
      </c>
      <c r="AB1449" t="s">
        <v>242</v>
      </c>
      <c r="AC1449" t="s">
        <v>3213</v>
      </c>
    </row>
    <row r="1450" spans="1:29" x14ac:dyDescent="0.25">
      <c r="A1450" t="s">
        <v>1825</v>
      </c>
      <c r="B1450" t="s">
        <v>254</v>
      </c>
      <c r="C1450" t="s">
        <v>348</v>
      </c>
      <c r="D1450" t="s">
        <v>3713</v>
      </c>
      <c r="E1450" t="s">
        <v>3761</v>
      </c>
      <c r="F1450">
        <v>18900101</v>
      </c>
      <c r="G1450" t="s">
        <v>9348</v>
      </c>
      <c r="H1450" t="s">
        <v>242</v>
      </c>
      <c r="I1450" t="s">
        <v>241</v>
      </c>
      <c r="J1450" t="s">
        <v>242</v>
      </c>
      <c r="K1450" t="s">
        <v>242</v>
      </c>
      <c r="L1450" t="s">
        <v>242</v>
      </c>
      <c r="M1450">
        <v>39.296255559999999</v>
      </c>
      <c r="N1450">
        <v>-123.06027779999999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 t="s">
        <v>9342</v>
      </c>
      <c r="AB1450" t="s">
        <v>242</v>
      </c>
      <c r="AC1450" t="s">
        <v>3213</v>
      </c>
    </row>
    <row r="1451" spans="1:29" x14ac:dyDescent="0.25">
      <c r="A1451" t="s">
        <v>2890</v>
      </c>
      <c r="B1451" t="s">
        <v>254</v>
      </c>
      <c r="C1451" t="s">
        <v>311</v>
      </c>
      <c r="D1451" t="s">
        <v>3713</v>
      </c>
      <c r="E1451" t="s">
        <v>3761</v>
      </c>
      <c r="F1451">
        <v>10000000</v>
      </c>
      <c r="G1451" t="s">
        <v>9349</v>
      </c>
      <c r="H1451" t="s">
        <v>241</v>
      </c>
      <c r="I1451" t="s">
        <v>242</v>
      </c>
      <c r="J1451" t="s">
        <v>242</v>
      </c>
      <c r="K1451" t="s">
        <v>242</v>
      </c>
      <c r="L1451" t="s">
        <v>241</v>
      </c>
      <c r="M1451">
        <v>38.634124900000003</v>
      </c>
      <c r="N1451">
        <v>-122.7897751</v>
      </c>
      <c r="O1451">
        <v>0.2</v>
      </c>
      <c r="P1451">
        <v>0.2</v>
      </c>
      <c r="Q1451">
        <v>0.25</v>
      </c>
      <c r="R1451">
        <v>0.3</v>
      </c>
      <c r="S1451">
        <v>1.97</v>
      </c>
      <c r="T1451">
        <v>3.14</v>
      </c>
      <c r="U1451">
        <v>3.7</v>
      </c>
      <c r="V1451">
        <v>3.42</v>
      </c>
      <c r="W1451">
        <v>2.96</v>
      </c>
      <c r="X1451">
        <v>2.73</v>
      </c>
      <c r="Y1451">
        <v>1.41</v>
      </c>
      <c r="Z1451">
        <v>1.2</v>
      </c>
      <c r="AA1451" t="s">
        <v>9335</v>
      </c>
      <c r="AB1451" t="s">
        <v>242</v>
      </c>
      <c r="AC1451" t="s">
        <v>3229</v>
      </c>
    </row>
    <row r="1452" spans="1:29" x14ac:dyDescent="0.25">
      <c r="A1452" t="s">
        <v>2895</v>
      </c>
      <c r="B1452" t="s">
        <v>254</v>
      </c>
      <c r="C1452" t="s">
        <v>317</v>
      </c>
      <c r="D1452" t="s">
        <v>3713</v>
      </c>
      <c r="E1452" t="s">
        <v>3761</v>
      </c>
      <c r="F1452">
        <v>10000000</v>
      </c>
      <c r="G1452" t="s">
        <v>9349</v>
      </c>
      <c r="H1452" t="s">
        <v>242</v>
      </c>
      <c r="I1452" t="s">
        <v>242</v>
      </c>
      <c r="J1452" t="s">
        <v>242</v>
      </c>
      <c r="K1452" t="s">
        <v>242</v>
      </c>
      <c r="L1452" t="s">
        <v>241</v>
      </c>
      <c r="M1452">
        <v>39.27807</v>
      </c>
      <c r="N1452">
        <v>-123.17764</v>
      </c>
      <c r="O1452">
        <v>0.5</v>
      </c>
      <c r="P1452">
        <v>0.8</v>
      </c>
      <c r="Q1452">
        <v>0.5</v>
      </c>
      <c r="R1452">
        <v>0.27</v>
      </c>
      <c r="S1452">
        <v>7.0000000000000007E-2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7.0000000000000007E-2</v>
      </c>
      <c r="Z1452">
        <v>0.27</v>
      </c>
      <c r="AA1452" t="s">
        <v>9347</v>
      </c>
      <c r="AB1452" t="s">
        <v>241</v>
      </c>
      <c r="AC1452" t="s">
        <v>3213</v>
      </c>
    </row>
    <row r="1453" spans="1:29" x14ac:dyDescent="0.25">
      <c r="A1453" t="s">
        <v>2899</v>
      </c>
      <c r="B1453" t="s">
        <v>254</v>
      </c>
      <c r="C1453" t="s">
        <v>319</v>
      </c>
      <c r="D1453" t="s">
        <v>3713</v>
      </c>
      <c r="E1453" t="s">
        <v>3761</v>
      </c>
      <c r="F1453">
        <v>10000000</v>
      </c>
      <c r="G1453" t="s">
        <v>9349</v>
      </c>
      <c r="H1453" t="s">
        <v>242</v>
      </c>
      <c r="I1453" t="s">
        <v>242</v>
      </c>
      <c r="J1453" t="s">
        <v>242</v>
      </c>
      <c r="K1453" t="s">
        <v>242</v>
      </c>
      <c r="L1453" t="s">
        <v>241</v>
      </c>
      <c r="M1453">
        <v>38.97531</v>
      </c>
      <c r="N1453">
        <v>-123.20565000000001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 t="s">
        <v>9346</v>
      </c>
      <c r="AB1453" t="s">
        <v>242</v>
      </c>
      <c r="AC1453" t="s">
        <v>3213</v>
      </c>
    </row>
    <row r="1454" spans="1:29" x14ac:dyDescent="0.25">
      <c r="A1454" t="s">
        <v>2900</v>
      </c>
      <c r="B1454" t="s">
        <v>254</v>
      </c>
      <c r="C1454" t="s">
        <v>319</v>
      </c>
      <c r="D1454" t="s">
        <v>3713</v>
      </c>
      <c r="E1454" t="s">
        <v>3761</v>
      </c>
      <c r="F1454">
        <v>10000000</v>
      </c>
      <c r="G1454" t="s">
        <v>9349</v>
      </c>
      <c r="H1454" t="s">
        <v>242</v>
      </c>
      <c r="I1454" t="s">
        <v>242</v>
      </c>
      <c r="J1454" t="s">
        <v>242</v>
      </c>
      <c r="K1454" t="s">
        <v>242</v>
      </c>
      <c r="L1454" t="s">
        <v>241</v>
      </c>
      <c r="M1454">
        <v>38.972729999999999</v>
      </c>
      <c r="N1454">
        <v>-123.20762000000001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 t="s">
        <v>9346</v>
      </c>
      <c r="AB1454" t="s">
        <v>242</v>
      </c>
      <c r="AC1454" t="s">
        <v>3213</v>
      </c>
    </row>
    <row r="1455" spans="1:29" x14ac:dyDescent="0.25">
      <c r="A1455" t="s">
        <v>2901</v>
      </c>
      <c r="B1455" t="s">
        <v>254</v>
      </c>
      <c r="C1455" t="s">
        <v>319</v>
      </c>
      <c r="D1455" t="s">
        <v>3713</v>
      </c>
      <c r="E1455" t="s">
        <v>3761</v>
      </c>
      <c r="F1455">
        <v>10000000</v>
      </c>
      <c r="G1455" t="s">
        <v>9349</v>
      </c>
      <c r="H1455" t="s">
        <v>242</v>
      </c>
      <c r="I1455" t="s">
        <v>242</v>
      </c>
      <c r="J1455" t="s">
        <v>242</v>
      </c>
      <c r="K1455" t="s">
        <v>242</v>
      </c>
      <c r="L1455" t="s">
        <v>241</v>
      </c>
      <c r="M1455">
        <v>38.971769999999999</v>
      </c>
      <c r="N1455">
        <v>-123.21290999999999</v>
      </c>
      <c r="O1455">
        <v>0</v>
      </c>
      <c r="P1455">
        <v>0</v>
      </c>
      <c r="Q1455">
        <v>0</v>
      </c>
      <c r="R1455">
        <v>0.21</v>
      </c>
      <c r="S1455">
        <v>0.21</v>
      </c>
      <c r="T1455">
        <v>0.21</v>
      </c>
      <c r="U1455">
        <v>0.21</v>
      </c>
      <c r="V1455">
        <v>0.21</v>
      </c>
      <c r="W1455">
        <v>0.21</v>
      </c>
      <c r="X1455">
        <v>0.21</v>
      </c>
      <c r="Y1455">
        <v>0</v>
      </c>
      <c r="Z1455">
        <v>0</v>
      </c>
      <c r="AA1455" t="s">
        <v>9335</v>
      </c>
      <c r="AB1455" t="s">
        <v>241</v>
      </c>
      <c r="AC1455" t="s">
        <v>3213</v>
      </c>
    </row>
    <row r="1456" spans="1:29" x14ac:dyDescent="0.25">
      <c r="A1456" t="s">
        <v>2850</v>
      </c>
      <c r="B1456" t="s">
        <v>254</v>
      </c>
      <c r="C1456" t="s">
        <v>348</v>
      </c>
      <c r="D1456" t="s">
        <v>3713</v>
      </c>
      <c r="E1456" t="s">
        <v>3761</v>
      </c>
      <c r="F1456">
        <v>10000000</v>
      </c>
      <c r="G1456" t="s">
        <v>9349</v>
      </c>
      <c r="H1456" t="s">
        <v>242</v>
      </c>
      <c r="I1456" t="s">
        <v>242</v>
      </c>
      <c r="J1456" t="s">
        <v>242</v>
      </c>
      <c r="K1456" t="s">
        <v>242</v>
      </c>
      <c r="L1456" t="s">
        <v>241</v>
      </c>
      <c r="M1456">
        <v>39.213101999999999</v>
      </c>
      <c r="N1456">
        <v>-123.082155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 t="s">
        <v>9335</v>
      </c>
      <c r="AB1456" t="s">
        <v>242</v>
      </c>
      <c r="AC1456" t="s">
        <v>3213</v>
      </c>
    </row>
    <row r="1457" spans="1:29" x14ac:dyDescent="0.25">
      <c r="A1457" t="s">
        <v>2904</v>
      </c>
      <c r="B1457" t="s">
        <v>254</v>
      </c>
      <c r="C1457" t="s">
        <v>326</v>
      </c>
      <c r="D1457" t="s">
        <v>3713</v>
      </c>
      <c r="E1457" t="s">
        <v>3761</v>
      </c>
      <c r="F1457">
        <v>10000000</v>
      </c>
      <c r="G1457" t="s">
        <v>9349</v>
      </c>
      <c r="H1457" t="s">
        <v>242</v>
      </c>
      <c r="I1457" t="s">
        <v>242</v>
      </c>
      <c r="J1457" t="s">
        <v>242</v>
      </c>
      <c r="K1457" t="s">
        <v>242</v>
      </c>
      <c r="L1457" t="s">
        <v>241</v>
      </c>
      <c r="M1457">
        <v>39.250737000000001</v>
      </c>
      <c r="N1457">
        <v>-123.14614400000001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 t="s">
        <v>9333</v>
      </c>
      <c r="AB1457" t="s">
        <v>242</v>
      </c>
      <c r="AC1457" t="s">
        <v>3213</v>
      </c>
    </row>
    <row r="1458" spans="1:29" x14ac:dyDescent="0.25">
      <c r="A1458" t="s">
        <v>2906</v>
      </c>
      <c r="B1458" t="s">
        <v>254</v>
      </c>
      <c r="C1458" t="s">
        <v>331</v>
      </c>
      <c r="D1458" t="s">
        <v>3713</v>
      </c>
      <c r="E1458" t="s">
        <v>3761</v>
      </c>
      <c r="F1458">
        <v>10000000</v>
      </c>
      <c r="G1458" t="s">
        <v>9349</v>
      </c>
      <c r="H1458" t="s">
        <v>241</v>
      </c>
      <c r="I1458" t="s">
        <v>242</v>
      </c>
      <c r="J1458" t="s">
        <v>242</v>
      </c>
      <c r="K1458" t="s">
        <v>242</v>
      </c>
      <c r="L1458" t="s">
        <v>241</v>
      </c>
      <c r="M1458">
        <v>39.121869709999999</v>
      </c>
      <c r="N1458">
        <v>-123.1924638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 t="s">
        <v>9335</v>
      </c>
      <c r="AB1458" t="s">
        <v>242</v>
      </c>
      <c r="AC1458" t="s">
        <v>3213</v>
      </c>
    </row>
    <row r="1459" spans="1:29" x14ac:dyDescent="0.25">
      <c r="A1459" t="s">
        <v>2908</v>
      </c>
      <c r="B1459" t="s">
        <v>254</v>
      </c>
      <c r="C1459" t="s">
        <v>317</v>
      </c>
      <c r="D1459" t="s">
        <v>3713</v>
      </c>
      <c r="E1459" t="s">
        <v>3761</v>
      </c>
      <c r="F1459">
        <v>10000000</v>
      </c>
      <c r="G1459" t="s">
        <v>9349</v>
      </c>
      <c r="H1459" t="s">
        <v>242</v>
      </c>
      <c r="I1459" t="s">
        <v>242</v>
      </c>
      <c r="J1459" t="s">
        <v>242</v>
      </c>
      <c r="K1459" t="s">
        <v>242</v>
      </c>
      <c r="L1459" t="s">
        <v>241</v>
      </c>
      <c r="M1459">
        <v>39.25994</v>
      </c>
      <c r="N1459">
        <v>-123.30073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 t="s">
        <v>9333</v>
      </c>
      <c r="AB1459" t="s">
        <v>242</v>
      </c>
      <c r="AC1459" t="s">
        <v>3213</v>
      </c>
    </row>
    <row r="1460" spans="1:29" x14ac:dyDescent="0.25">
      <c r="A1460" t="s">
        <v>1756</v>
      </c>
      <c r="B1460" t="s">
        <v>252</v>
      </c>
      <c r="C1460" t="s">
        <v>725</v>
      </c>
      <c r="D1460" t="s">
        <v>3209</v>
      </c>
      <c r="E1460" t="s">
        <v>3246</v>
      </c>
      <c r="F1460">
        <v>19180726</v>
      </c>
      <c r="G1460" t="s">
        <v>9334</v>
      </c>
      <c r="H1460" t="s">
        <v>242</v>
      </c>
      <c r="I1460" t="s">
        <v>242</v>
      </c>
      <c r="J1460" t="s">
        <v>241</v>
      </c>
      <c r="K1460" t="s">
        <v>242</v>
      </c>
      <c r="L1460" t="s">
        <v>242</v>
      </c>
      <c r="M1460">
        <v>38.43642414</v>
      </c>
      <c r="N1460">
        <v>-122.7279393</v>
      </c>
      <c r="O1460">
        <v>0</v>
      </c>
      <c r="P1460">
        <v>0</v>
      </c>
      <c r="Q1460">
        <v>0</v>
      </c>
      <c r="R1460">
        <v>0</v>
      </c>
      <c r="S1460">
        <v>1</v>
      </c>
      <c r="T1460">
        <v>2.21</v>
      </c>
      <c r="U1460">
        <v>2.8833333329999999</v>
      </c>
      <c r="V1460">
        <v>3.496666667</v>
      </c>
      <c r="W1460">
        <v>2.246666667</v>
      </c>
      <c r="X1460">
        <v>1.536666667</v>
      </c>
      <c r="Y1460">
        <v>0.1</v>
      </c>
      <c r="Z1460">
        <v>0</v>
      </c>
      <c r="AA1460" t="s">
        <v>9335</v>
      </c>
      <c r="AB1460" t="s">
        <v>242</v>
      </c>
      <c r="AC1460" t="s">
        <v>3229</v>
      </c>
    </row>
    <row r="1461" spans="1:29" x14ac:dyDescent="0.25">
      <c r="A1461" t="s">
        <v>1755</v>
      </c>
      <c r="B1461" t="s">
        <v>252</v>
      </c>
      <c r="C1461" t="s">
        <v>323</v>
      </c>
      <c r="D1461" t="s">
        <v>3209</v>
      </c>
      <c r="E1461" t="s">
        <v>3246</v>
      </c>
      <c r="F1461">
        <v>19190307</v>
      </c>
      <c r="G1461" t="s">
        <v>9334</v>
      </c>
      <c r="H1461" t="s">
        <v>242</v>
      </c>
      <c r="I1461" t="s">
        <v>242</v>
      </c>
      <c r="J1461" t="s">
        <v>241</v>
      </c>
      <c r="K1461" t="s">
        <v>242</v>
      </c>
      <c r="L1461" t="s">
        <v>242</v>
      </c>
      <c r="M1461">
        <v>38.508886369999999</v>
      </c>
      <c r="N1461">
        <v>-122.7751578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 t="s">
        <v>9335</v>
      </c>
      <c r="AB1461" t="s">
        <v>242</v>
      </c>
      <c r="AC1461" t="s">
        <v>3229</v>
      </c>
    </row>
    <row r="1462" spans="1:29" x14ac:dyDescent="0.25">
      <c r="A1462" t="s">
        <v>1751</v>
      </c>
      <c r="B1462" t="s">
        <v>252</v>
      </c>
      <c r="C1462" t="s">
        <v>486</v>
      </c>
      <c r="D1462" t="s">
        <v>3209</v>
      </c>
      <c r="E1462" t="s">
        <v>3246</v>
      </c>
      <c r="F1462">
        <v>19230908</v>
      </c>
      <c r="G1462" t="s">
        <v>9334</v>
      </c>
      <c r="H1462" t="s">
        <v>241</v>
      </c>
      <c r="I1462" t="s">
        <v>242</v>
      </c>
      <c r="J1462" t="s">
        <v>241</v>
      </c>
      <c r="K1462" t="s">
        <v>242</v>
      </c>
      <c r="L1462" t="s">
        <v>242</v>
      </c>
      <c r="M1462">
        <v>38.536279280000002</v>
      </c>
      <c r="N1462">
        <v>-122.862511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 t="s">
        <v>9335</v>
      </c>
      <c r="AB1462" t="s">
        <v>242</v>
      </c>
      <c r="AC1462" t="s">
        <v>3229</v>
      </c>
    </row>
    <row r="1463" spans="1:29" x14ac:dyDescent="0.25">
      <c r="A1463" t="s">
        <v>1747</v>
      </c>
      <c r="B1463" t="s">
        <v>252</v>
      </c>
      <c r="C1463" t="s">
        <v>394</v>
      </c>
      <c r="D1463" t="s">
        <v>3209</v>
      </c>
      <c r="E1463" t="s">
        <v>3246</v>
      </c>
      <c r="F1463">
        <v>19250601</v>
      </c>
      <c r="G1463" t="s">
        <v>9334</v>
      </c>
      <c r="H1463" t="s">
        <v>242</v>
      </c>
      <c r="I1463" t="s">
        <v>242</v>
      </c>
      <c r="J1463" t="s">
        <v>241</v>
      </c>
      <c r="K1463" t="s">
        <v>242</v>
      </c>
      <c r="L1463" t="s">
        <v>242</v>
      </c>
      <c r="M1463">
        <v>38.595529519999999</v>
      </c>
      <c r="N1463">
        <v>-122.9069664</v>
      </c>
      <c r="O1463">
        <v>0</v>
      </c>
      <c r="P1463">
        <v>0</v>
      </c>
      <c r="Q1463">
        <v>0</v>
      </c>
      <c r="R1463">
        <v>6.6666700000000002E-4</v>
      </c>
      <c r="S1463">
        <v>6.9999999999999999E-4</v>
      </c>
      <c r="T1463">
        <v>6.9999999999999999E-4</v>
      </c>
      <c r="U1463">
        <v>6.9999999999999999E-4</v>
      </c>
      <c r="V1463">
        <v>6.9999999999999999E-4</v>
      </c>
      <c r="W1463">
        <v>6.9999999999999999E-4</v>
      </c>
      <c r="X1463">
        <v>6.6666700000000002E-4</v>
      </c>
      <c r="Y1463">
        <v>0</v>
      </c>
      <c r="Z1463">
        <v>0</v>
      </c>
      <c r="AA1463" t="s">
        <v>9335</v>
      </c>
      <c r="AB1463" t="s">
        <v>242</v>
      </c>
      <c r="AC1463" t="s">
        <v>3229</v>
      </c>
    </row>
    <row r="1464" spans="1:29" x14ac:dyDescent="0.25">
      <c r="A1464" t="s">
        <v>1740</v>
      </c>
      <c r="B1464" t="s">
        <v>252</v>
      </c>
      <c r="C1464" t="s">
        <v>323</v>
      </c>
      <c r="D1464" t="s">
        <v>3209</v>
      </c>
      <c r="E1464" t="s">
        <v>3246</v>
      </c>
      <c r="F1464">
        <v>19310328</v>
      </c>
      <c r="G1464" t="s">
        <v>9332</v>
      </c>
      <c r="H1464" t="s">
        <v>242</v>
      </c>
      <c r="I1464" t="s">
        <v>242</v>
      </c>
      <c r="J1464" t="s">
        <v>241</v>
      </c>
      <c r="K1464" t="s">
        <v>242</v>
      </c>
      <c r="L1464" t="s">
        <v>242</v>
      </c>
      <c r="M1464">
        <v>38.544800000000002</v>
      </c>
      <c r="N1464">
        <v>-122.6026</v>
      </c>
      <c r="O1464">
        <v>1.1962667E-2</v>
      </c>
      <c r="P1464">
        <v>1.0465667E-2</v>
      </c>
      <c r="Q1464">
        <v>1.2781667E-2</v>
      </c>
      <c r="R1464">
        <v>1.8741667E-2</v>
      </c>
      <c r="S1464">
        <v>2.2275333000000001E-2</v>
      </c>
      <c r="T1464">
        <v>2.0174667E-2</v>
      </c>
      <c r="U1464">
        <v>2.5719333E-2</v>
      </c>
      <c r="V1464">
        <v>2.2730332999999998E-2</v>
      </c>
      <c r="W1464">
        <v>2.3809332999999998E-2</v>
      </c>
      <c r="X1464">
        <v>1.9190667000000002E-2</v>
      </c>
      <c r="Y1464">
        <v>1.0986667E-2</v>
      </c>
      <c r="Z1464">
        <v>8.1326669999999997E-3</v>
      </c>
      <c r="AA1464" t="s">
        <v>9333</v>
      </c>
      <c r="AB1464" t="s">
        <v>242</v>
      </c>
      <c r="AC1464" t="s">
        <v>3229</v>
      </c>
    </row>
    <row r="1465" spans="1:29" x14ac:dyDescent="0.25">
      <c r="A1465" t="s">
        <v>1742</v>
      </c>
      <c r="B1465" t="s">
        <v>252</v>
      </c>
      <c r="C1465" t="s">
        <v>684</v>
      </c>
      <c r="D1465" t="s">
        <v>3209</v>
      </c>
      <c r="E1465" t="s">
        <v>3246</v>
      </c>
      <c r="F1465">
        <v>19310714</v>
      </c>
      <c r="G1465" t="s">
        <v>9332</v>
      </c>
      <c r="H1465" t="s">
        <v>242</v>
      </c>
      <c r="I1465" t="s">
        <v>242</v>
      </c>
      <c r="J1465" t="s">
        <v>241</v>
      </c>
      <c r="K1465" t="s">
        <v>242</v>
      </c>
      <c r="L1465" t="s">
        <v>242</v>
      </c>
      <c r="M1465">
        <v>38.515722269999998</v>
      </c>
      <c r="N1465">
        <v>-122.9286723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 t="s">
        <v>9333</v>
      </c>
      <c r="AB1465" t="s">
        <v>242</v>
      </c>
      <c r="AC1465" t="s">
        <v>3229</v>
      </c>
    </row>
    <row r="1466" spans="1:29" x14ac:dyDescent="0.25">
      <c r="A1466" t="s">
        <v>1738</v>
      </c>
      <c r="B1466" t="s">
        <v>252</v>
      </c>
      <c r="C1466" t="s">
        <v>684</v>
      </c>
      <c r="D1466" t="s">
        <v>3209</v>
      </c>
      <c r="E1466" t="s">
        <v>3246</v>
      </c>
      <c r="F1466">
        <v>19391003</v>
      </c>
      <c r="G1466" t="s">
        <v>9332</v>
      </c>
      <c r="H1466" t="s">
        <v>242</v>
      </c>
      <c r="I1466" t="s">
        <v>242</v>
      </c>
      <c r="J1466" t="s">
        <v>241</v>
      </c>
      <c r="K1466" t="s">
        <v>242</v>
      </c>
      <c r="L1466" t="s">
        <v>242</v>
      </c>
      <c r="M1466">
        <v>38.516239169999999</v>
      </c>
      <c r="N1466">
        <v>-122.9326985</v>
      </c>
      <c r="O1466">
        <v>9.2069999999999999E-3</v>
      </c>
      <c r="P1466">
        <v>9.2069999999999999E-3</v>
      </c>
      <c r="Q1466">
        <v>9.2069999999999999E-3</v>
      </c>
      <c r="R1466">
        <v>1.5344E-2</v>
      </c>
      <c r="S1466">
        <v>2.1482000000000001E-2</v>
      </c>
      <c r="T1466">
        <v>2.1482000000000001E-2</v>
      </c>
      <c r="U1466">
        <v>2.1482000000000001E-2</v>
      </c>
      <c r="V1466">
        <v>2.1482000000000001E-2</v>
      </c>
      <c r="W1466">
        <v>1.2482E-2</v>
      </c>
      <c r="X1466">
        <v>1.2482E-2</v>
      </c>
      <c r="Y1466">
        <v>9.2069999999999999E-3</v>
      </c>
      <c r="Z1466">
        <v>9.2069999999999999E-3</v>
      </c>
      <c r="AA1466" t="s">
        <v>9333</v>
      </c>
      <c r="AB1466" t="s">
        <v>242</v>
      </c>
      <c r="AC1466" t="s">
        <v>3229</v>
      </c>
    </row>
    <row r="1467" spans="1:29" x14ac:dyDescent="0.25">
      <c r="A1467" t="s">
        <v>1737</v>
      </c>
      <c r="B1467" t="s">
        <v>252</v>
      </c>
      <c r="C1467" t="s">
        <v>329</v>
      </c>
      <c r="D1467" t="s">
        <v>3209</v>
      </c>
      <c r="E1467" t="s">
        <v>3246</v>
      </c>
      <c r="F1467">
        <v>19391127</v>
      </c>
      <c r="G1467" t="s">
        <v>9332</v>
      </c>
      <c r="H1467" t="s">
        <v>242</v>
      </c>
      <c r="I1467" t="s">
        <v>242</v>
      </c>
      <c r="J1467" t="s">
        <v>241</v>
      </c>
      <c r="K1467" t="s">
        <v>242</v>
      </c>
      <c r="L1467" t="s">
        <v>242</v>
      </c>
      <c r="M1467">
        <v>38.513282420000003</v>
      </c>
      <c r="N1467">
        <v>-123.1121357</v>
      </c>
      <c r="O1467">
        <v>3.6830000000000001E-3</v>
      </c>
      <c r="P1467">
        <v>3.6830000000000001E-3</v>
      </c>
      <c r="Q1467">
        <v>3.6830000000000001E-3</v>
      </c>
      <c r="R1467">
        <v>3.6830000000000001E-3</v>
      </c>
      <c r="S1467">
        <v>3.6830000000000001E-3</v>
      </c>
      <c r="T1467">
        <v>4.6030000000000003E-3</v>
      </c>
      <c r="U1467">
        <v>4.6030000000000003E-3</v>
      </c>
      <c r="V1467">
        <v>4.6030000000000003E-3</v>
      </c>
      <c r="W1467">
        <v>4.6030000000000003E-3</v>
      </c>
      <c r="X1467">
        <v>4.2963330000000003E-3</v>
      </c>
      <c r="Y1467">
        <v>3.6830000000000001E-3</v>
      </c>
      <c r="Z1467">
        <v>3.6830000000000001E-3</v>
      </c>
      <c r="AA1467" t="s">
        <v>9333</v>
      </c>
      <c r="AB1467" t="s">
        <v>242</v>
      </c>
      <c r="AC1467" t="s">
        <v>3229</v>
      </c>
    </row>
    <row r="1468" spans="1:29" x14ac:dyDescent="0.25">
      <c r="A1468" t="s">
        <v>1736</v>
      </c>
      <c r="B1468" t="s">
        <v>252</v>
      </c>
      <c r="C1468" t="s">
        <v>684</v>
      </c>
      <c r="D1468" t="s">
        <v>3209</v>
      </c>
      <c r="E1468" t="s">
        <v>3246</v>
      </c>
      <c r="F1468">
        <v>19400828</v>
      </c>
      <c r="G1468" t="s">
        <v>9332</v>
      </c>
      <c r="H1468" t="s">
        <v>242</v>
      </c>
      <c r="I1468" t="s">
        <v>242</v>
      </c>
      <c r="J1468" t="s">
        <v>241</v>
      </c>
      <c r="K1468" t="s">
        <v>242</v>
      </c>
      <c r="L1468" t="s">
        <v>242</v>
      </c>
      <c r="M1468">
        <v>38.514842350000002</v>
      </c>
      <c r="N1468">
        <v>-122.9356512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 t="s">
        <v>9333</v>
      </c>
      <c r="AB1468" t="s">
        <v>242</v>
      </c>
      <c r="AC1468" t="s">
        <v>3229</v>
      </c>
    </row>
    <row r="1469" spans="1:29" x14ac:dyDescent="0.25">
      <c r="A1469" t="s">
        <v>1731</v>
      </c>
      <c r="B1469" t="s">
        <v>252</v>
      </c>
      <c r="C1469" t="s">
        <v>352</v>
      </c>
      <c r="D1469" t="s">
        <v>3209</v>
      </c>
      <c r="E1469" t="s">
        <v>3246</v>
      </c>
      <c r="F1469">
        <v>19440407</v>
      </c>
      <c r="G1469" t="s">
        <v>9338</v>
      </c>
      <c r="H1469" t="s">
        <v>241</v>
      </c>
      <c r="I1469" t="s">
        <v>242</v>
      </c>
      <c r="J1469" t="s">
        <v>241</v>
      </c>
      <c r="K1469" t="s">
        <v>242</v>
      </c>
      <c r="L1469" t="s">
        <v>242</v>
      </c>
      <c r="M1469">
        <v>38.517773259999998</v>
      </c>
      <c r="N1469">
        <v>-122.88154160000001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10.43333333</v>
      </c>
      <c r="U1469">
        <v>43.066666669999996</v>
      </c>
      <c r="V1469">
        <v>38.233333330000001</v>
      </c>
      <c r="W1469">
        <v>37.166666669999998</v>
      </c>
      <c r="X1469">
        <v>4.9666666670000001</v>
      </c>
      <c r="Y1469">
        <v>0</v>
      </c>
      <c r="Z1469">
        <v>0</v>
      </c>
      <c r="AA1469" t="s">
        <v>9335</v>
      </c>
      <c r="AB1469" t="s">
        <v>242</v>
      </c>
      <c r="AC1469" t="s">
        <v>3229</v>
      </c>
    </row>
    <row r="1470" spans="1:29" x14ac:dyDescent="0.25">
      <c r="A1470" t="s">
        <v>1732</v>
      </c>
      <c r="B1470" t="s">
        <v>252</v>
      </c>
      <c r="C1470" t="s">
        <v>352</v>
      </c>
      <c r="D1470" t="s">
        <v>3209</v>
      </c>
      <c r="E1470" t="s">
        <v>3246</v>
      </c>
      <c r="F1470">
        <v>19441115</v>
      </c>
      <c r="G1470" t="s">
        <v>9332</v>
      </c>
      <c r="H1470" t="s">
        <v>242</v>
      </c>
      <c r="I1470" t="s">
        <v>242</v>
      </c>
      <c r="J1470" t="s">
        <v>241</v>
      </c>
      <c r="K1470" t="s">
        <v>242</v>
      </c>
      <c r="L1470" t="s">
        <v>242</v>
      </c>
      <c r="M1470">
        <v>38.389177740000001</v>
      </c>
      <c r="N1470">
        <v>-122.8876053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 t="s">
        <v>9335</v>
      </c>
      <c r="AB1470" t="s">
        <v>242</v>
      </c>
      <c r="AC1470" t="s">
        <v>3229</v>
      </c>
    </row>
    <row r="1471" spans="1:29" x14ac:dyDescent="0.25">
      <c r="A1471" t="s">
        <v>1730</v>
      </c>
      <c r="B1471" t="s">
        <v>252</v>
      </c>
      <c r="C1471" t="s">
        <v>352</v>
      </c>
      <c r="D1471" t="s">
        <v>3209</v>
      </c>
      <c r="E1471" t="s">
        <v>3246</v>
      </c>
      <c r="F1471">
        <v>19450208</v>
      </c>
      <c r="G1471" t="s">
        <v>9332</v>
      </c>
      <c r="H1471" t="s">
        <v>241</v>
      </c>
      <c r="I1471" t="s">
        <v>242</v>
      </c>
      <c r="J1471" t="s">
        <v>241</v>
      </c>
      <c r="K1471" t="s">
        <v>242</v>
      </c>
      <c r="L1471" t="s">
        <v>242</v>
      </c>
      <c r="M1471">
        <v>38.518316280000001</v>
      </c>
      <c r="N1471">
        <v>-122.87767359999999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 t="s">
        <v>9335</v>
      </c>
      <c r="AB1471" t="s">
        <v>242</v>
      </c>
      <c r="AC1471" t="s">
        <v>3229</v>
      </c>
    </row>
    <row r="1472" spans="1:29" x14ac:dyDescent="0.25">
      <c r="A1472" t="s">
        <v>1727</v>
      </c>
      <c r="B1472" t="s">
        <v>252</v>
      </c>
      <c r="C1472" t="s">
        <v>352</v>
      </c>
      <c r="D1472" t="s">
        <v>3209</v>
      </c>
      <c r="E1472" t="s">
        <v>3246</v>
      </c>
      <c r="F1472">
        <v>19460313</v>
      </c>
      <c r="G1472" t="s">
        <v>9332</v>
      </c>
      <c r="H1472" t="s">
        <v>242</v>
      </c>
      <c r="I1472" t="s">
        <v>242</v>
      </c>
      <c r="J1472" t="s">
        <v>241</v>
      </c>
      <c r="K1472" t="s">
        <v>242</v>
      </c>
      <c r="L1472" t="s">
        <v>242</v>
      </c>
      <c r="M1472">
        <v>38.391139789999997</v>
      </c>
      <c r="N1472">
        <v>-122.88239590000001</v>
      </c>
      <c r="O1472">
        <v>0</v>
      </c>
      <c r="P1472">
        <v>0</v>
      </c>
      <c r="Q1472">
        <v>0</v>
      </c>
      <c r="R1472">
        <v>0</v>
      </c>
      <c r="S1472">
        <v>7.1379333000000003E-2</v>
      </c>
      <c r="T1472">
        <v>0.204295333</v>
      </c>
      <c r="U1472">
        <v>0.24039033300000001</v>
      </c>
      <c r="V1472">
        <v>0.47015933300000001</v>
      </c>
      <c r="W1472">
        <v>0.110238</v>
      </c>
      <c r="X1472">
        <v>3.2761332999999997E-2</v>
      </c>
      <c r="Y1472">
        <v>0</v>
      </c>
      <c r="Z1472">
        <v>0</v>
      </c>
      <c r="AA1472" t="s">
        <v>9335</v>
      </c>
      <c r="AB1472" t="s">
        <v>242</v>
      </c>
      <c r="AC1472" t="s">
        <v>3229</v>
      </c>
    </row>
    <row r="1473" spans="1:29" x14ac:dyDescent="0.25">
      <c r="A1473" t="s">
        <v>1729</v>
      </c>
      <c r="B1473" t="s">
        <v>252</v>
      </c>
      <c r="C1473" t="s">
        <v>394</v>
      </c>
      <c r="D1473" t="s">
        <v>3209</v>
      </c>
      <c r="E1473" t="s">
        <v>3246</v>
      </c>
      <c r="F1473">
        <v>19460325</v>
      </c>
      <c r="G1473" t="s">
        <v>9334</v>
      </c>
      <c r="H1473" t="s">
        <v>242</v>
      </c>
      <c r="I1473" t="s">
        <v>242</v>
      </c>
      <c r="J1473" t="s">
        <v>241</v>
      </c>
      <c r="K1473" t="s">
        <v>242</v>
      </c>
      <c r="L1473" t="s">
        <v>242</v>
      </c>
      <c r="M1473">
        <v>38.5895297</v>
      </c>
      <c r="N1473">
        <v>-122.90164179999999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 t="s">
        <v>9333</v>
      </c>
      <c r="AB1473" t="s">
        <v>242</v>
      </c>
      <c r="AC1473" t="s">
        <v>3229</v>
      </c>
    </row>
    <row r="1474" spans="1:29" x14ac:dyDescent="0.25">
      <c r="A1474" t="s">
        <v>1724</v>
      </c>
      <c r="B1474" t="s">
        <v>252</v>
      </c>
      <c r="C1474" t="s">
        <v>323</v>
      </c>
      <c r="D1474" t="s">
        <v>3209</v>
      </c>
      <c r="E1474" t="s">
        <v>3246</v>
      </c>
      <c r="F1474">
        <v>19470507</v>
      </c>
      <c r="G1474" t="s">
        <v>9332</v>
      </c>
      <c r="H1474" t="s">
        <v>242</v>
      </c>
      <c r="I1474" t="s">
        <v>242</v>
      </c>
      <c r="J1474" t="s">
        <v>241</v>
      </c>
      <c r="K1474" t="s">
        <v>242</v>
      </c>
      <c r="L1474" t="s">
        <v>242</v>
      </c>
      <c r="M1474">
        <v>38.490239160000002</v>
      </c>
      <c r="N1474">
        <v>-122.6355499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 t="s">
        <v>9333</v>
      </c>
      <c r="AB1474" t="s">
        <v>242</v>
      </c>
      <c r="AC1474" t="s">
        <v>3229</v>
      </c>
    </row>
    <row r="1475" spans="1:29" x14ac:dyDescent="0.25">
      <c r="A1475" t="s">
        <v>1725</v>
      </c>
      <c r="B1475" t="s">
        <v>252</v>
      </c>
      <c r="C1475" t="s">
        <v>378</v>
      </c>
      <c r="D1475" t="s">
        <v>3209</v>
      </c>
      <c r="E1475" t="s">
        <v>3246</v>
      </c>
      <c r="F1475">
        <v>19470922</v>
      </c>
      <c r="G1475" t="s">
        <v>9332</v>
      </c>
      <c r="H1475" t="s">
        <v>242</v>
      </c>
      <c r="I1475" t="s">
        <v>242</v>
      </c>
      <c r="J1475" t="s">
        <v>241</v>
      </c>
      <c r="K1475" t="s">
        <v>242</v>
      </c>
      <c r="L1475" t="s">
        <v>242</v>
      </c>
      <c r="M1475">
        <v>38.393955429999998</v>
      </c>
      <c r="N1475">
        <v>-122.6667965</v>
      </c>
      <c r="O1475">
        <v>3</v>
      </c>
      <c r="P1475">
        <v>2</v>
      </c>
      <c r="Q1475">
        <v>1</v>
      </c>
      <c r="R1475">
        <v>1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1</v>
      </c>
      <c r="Y1475">
        <v>1</v>
      </c>
      <c r="Z1475">
        <v>2</v>
      </c>
      <c r="AA1475" t="s">
        <v>9333</v>
      </c>
      <c r="AB1475" t="s">
        <v>242</v>
      </c>
      <c r="AC1475" t="s">
        <v>3229</v>
      </c>
    </row>
    <row r="1476" spans="1:29" x14ac:dyDescent="0.25">
      <c r="A1476" t="s">
        <v>1716</v>
      </c>
      <c r="B1476" t="s">
        <v>252</v>
      </c>
      <c r="C1476" t="s">
        <v>352</v>
      </c>
      <c r="D1476" t="s">
        <v>3209</v>
      </c>
      <c r="E1476" t="s">
        <v>3246</v>
      </c>
      <c r="F1476">
        <v>19480216</v>
      </c>
      <c r="G1476" t="s">
        <v>9332</v>
      </c>
      <c r="H1476" t="s">
        <v>242</v>
      </c>
      <c r="I1476" t="s">
        <v>242</v>
      </c>
      <c r="J1476" t="s">
        <v>241</v>
      </c>
      <c r="K1476" t="s">
        <v>242</v>
      </c>
      <c r="L1476" t="s">
        <v>242</v>
      </c>
      <c r="M1476">
        <v>38.430329149999999</v>
      </c>
      <c r="N1476">
        <v>-122.89265380000001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 t="s">
        <v>9335</v>
      </c>
      <c r="AB1476" t="s">
        <v>242</v>
      </c>
      <c r="AC1476" t="s">
        <v>3229</v>
      </c>
    </row>
    <row r="1477" spans="1:29" x14ac:dyDescent="0.25">
      <c r="A1477" t="s">
        <v>1717</v>
      </c>
      <c r="B1477" t="s">
        <v>252</v>
      </c>
      <c r="C1477" t="s">
        <v>352</v>
      </c>
      <c r="D1477" t="s">
        <v>3209</v>
      </c>
      <c r="E1477" t="s">
        <v>3246</v>
      </c>
      <c r="F1477">
        <v>19480329</v>
      </c>
      <c r="G1477" t="s">
        <v>9332</v>
      </c>
      <c r="H1477" t="s">
        <v>241</v>
      </c>
      <c r="I1477" t="s">
        <v>242</v>
      </c>
      <c r="J1477" t="s">
        <v>241</v>
      </c>
      <c r="K1477" t="s">
        <v>242</v>
      </c>
      <c r="L1477" t="s">
        <v>242</v>
      </c>
      <c r="M1477">
        <v>38.497923030000003</v>
      </c>
      <c r="N1477">
        <v>-122.88720739999999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0.1</v>
      </c>
      <c r="V1477">
        <v>0.133333333</v>
      </c>
      <c r="W1477">
        <v>0</v>
      </c>
      <c r="X1477">
        <v>0</v>
      </c>
      <c r="Y1477">
        <v>0</v>
      </c>
      <c r="Z1477">
        <v>0</v>
      </c>
      <c r="AA1477" t="s">
        <v>9335</v>
      </c>
      <c r="AB1477" t="s">
        <v>242</v>
      </c>
      <c r="AC1477" t="s">
        <v>3229</v>
      </c>
    </row>
    <row r="1478" spans="1:29" x14ac:dyDescent="0.25">
      <c r="A1478" t="s">
        <v>1718</v>
      </c>
      <c r="B1478" t="s">
        <v>252</v>
      </c>
      <c r="C1478" t="s">
        <v>1118</v>
      </c>
      <c r="D1478" t="s">
        <v>3209</v>
      </c>
      <c r="E1478" t="s">
        <v>3246</v>
      </c>
      <c r="F1478">
        <v>19480423</v>
      </c>
      <c r="G1478" t="s">
        <v>9332</v>
      </c>
      <c r="H1478" t="s">
        <v>242</v>
      </c>
      <c r="I1478" t="s">
        <v>242</v>
      </c>
      <c r="J1478" t="s">
        <v>241</v>
      </c>
      <c r="K1478" t="s">
        <v>242</v>
      </c>
      <c r="L1478" t="s">
        <v>242</v>
      </c>
      <c r="M1478">
        <v>38.3782</v>
      </c>
      <c r="N1478">
        <v>-122.78579999999999</v>
      </c>
      <c r="O1478">
        <v>0</v>
      </c>
      <c r="P1478">
        <v>0</v>
      </c>
      <c r="Q1478">
        <v>0</v>
      </c>
      <c r="R1478">
        <v>8.5724333E-2</v>
      </c>
      <c r="S1478">
        <v>1.0633333330000001</v>
      </c>
      <c r="T1478">
        <v>1E-4</v>
      </c>
      <c r="U1478">
        <v>0</v>
      </c>
      <c r="V1478">
        <v>3.7133667000000002E-2</v>
      </c>
      <c r="W1478">
        <v>0</v>
      </c>
      <c r="X1478">
        <v>0</v>
      </c>
      <c r="Y1478">
        <v>0</v>
      </c>
      <c r="Z1478">
        <v>0</v>
      </c>
      <c r="AA1478" t="s">
        <v>9335</v>
      </c>
      <c r="AB1478" t="s">
        <v>242</v>
      </c>
      <c r="AC1478" t="s">
        <v>3229</v>
      </c>
    </row>
    <row r="1479" spans="1:29" x14ac:dyDescent="0.25">
      <c r="A1479" t="s">
        <v>1719</v>
      </c>
      <c r="B1479" t="s">
        <v>252</v>
      </c>
      <c r="C1479" t="s">
        <v>1118</v>
      </c>
      <c r="D1479" t="s">
        <v>3209</v>
      </c>
      <c r="E1479" t="s">
        <v>3246</v>
      </c>
      <c r="F1479">
        <v>19480514</v>
      </c>
      <c r="G1479" t="s">
        <v>9332</v>
      </c>
      <c r="H1479" t="s">
        <v>242</v>
      </c>
      <c r="I1479" t="s">
        <v>242</v>
      </c>
      <c r="J1479" t="s">
        <v>241</v>
      </c>
      <c r="K1479" t="s">
        <v>242</v>
      </c>
      <c r="L1479" t="s">
        <v>242</v>
      </c>
      <c r="M1479">
        <v>38.465330190000003</v>
      </c>
      <c r="N1479">
        <v>-122.8389525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 t="s">
        <v>9335</v>
      </c>
      <c r="AB1479" t="s">
        <v>242</v>
      </c>
      <c r="AC1479" t="s">
        <v>3229</v>
      </c>
    </row>
    <row r="1480" spans="1:29" x14ac:dyDescent="0.25">
      <c r="A1480" t="s">
        <v>1721</v>
      </c>
      <c r="B1480" t="s">
        <v>252</v>
      </c>
      <c r="C1480" t="s">
        <v>323</v>
      </c>
      <c r="D1480" t="s">
        <v>3209</v>
      </c>
      <c r="E1480" t="s">
        <v>3246</v>
      </c>
      <c r="F1480">
        <v>19481103</v>
      </c>
      <c r="G1480" t="s">
        <v>9332</v>
      </c>
      <c r="H1480" t="s">
        <v>242</v>
      </c>
      <c r="I1480" t="s">
        <v>242</v>
      </c>
      <c r="J1480" t="s">
        <v>241</v>
      </c>
      <c r="K1480" t="s">
        <v>242</v>
      </c>
      <c r="L1480" t="s">
        <v>242</v>
      </c>
      <c r="M1480">
        <v>38.548200000000001</v>
      </c>
      <c r="N1480">
        <v>-122.6691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 t="s">
        <v>9341</v>
      </c>
      <c r="AB1480" t="s">
        <v>242</v>
      </c>
      <c r="AC1480" t="s">
        <v>3229</v>
      </c>
    </row>
    <row r="1481" spans="1:29" x14ac:dyDescent="0.25">
      <c r="A1481" t="s">
        <v>1722</v>
      </c>
      <c r="B1481" t="s">
        <v>252</v>
      </c>
      <c r="C1481" t="s">
        <v>352</v>
      </c>
      <c r="D1481" t="s">
        <v>3209</v>
      </c>
      <c r="E1481" t="s">
        <v>3246</v>
      </c>
      <c r="F1481">
        <v>19481223</v>
      </c>
      <c r="G1481" t="s">
        <v>9332</v>
      </c>
      <c r="H1481" t="s">
        <v>242</v>
      </c>
      <c r="I1481" t="s">
        <v>242</v>
      </c>
      <c r="J1481" t="s">
        <v>241</v>
      </c>
      <c r="K1481" t="s">
        <v>242</v>
      </c>
      <c r="L1481" t="s">
        <v>242</v>
      </c>
      <c r="M1481">
        <v>38.46353122</v>
      </c>
      <c r="N1481">
        <v>-122.89586199999999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 t="s">
        <v>9335</v>
      </c>
      <c r="AB1481" t="s">
        <v>242</v>
      </c>
      <c r="AC1481" t="s">
        <v>3229</v>
      </c>
    </row>
    <row r="1482" spans="1:29" x14ac:dyDescent="0.25">
      <c r="A1482" t="s">
        <v>1684</v>
      </c>
      <c r="B1482" t="s">
        <v>252</v>
      </c>
      <c r="C1482" t="s">
        <v>486</v>
      </c>
      <c r="D1482" t="s">
        <v>3209</v>
      </c>
      <c r="E1482" t="s">
        <v>3246</v>
      </c>
      <c r="F1482">
        <v>19490429</v>
      </c>
      <c r="G1482" t="s">
        <v>9334</v>
      </c>
      <c r="H1482" t="s">
        <v>241</v>
      </c>
      <c r="I1482" t="s">
        <v>242</v>
      </c>
      <c r="J1482" t="s">
        <v>242</v>
      </c>
      <c r="K1482" t="s">
        <v>241</v>
      </c>
      <c r="L1482" t="s">
        <v>242</v>
      </c>
      <c r="M1482">
        <v>38.549200079999999</v>
      </c>
      <c r="N1482">
        <v>-122.8605689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 t="s">
        <v>9335</v>
      </c>
      <c r="AB1482" t="s">
        <v>242</v>
      </c>
      <c r="AC1482" t="s">
        <v>3229</v>
      </c>
    </row>
    <row r="1483" spans="1:29" x14ac:dyDescent="0.25">
      <c r="A1483" t="s">
        <v>1685</v>
      </c>
      <c r="B1483" t="s">
        <v>252</v>
      </c>
      <c r="C1483" t="s">
        <v>352</v>
      </c>
      <c r="D1483" t="s">
        <v>3209</v>
      </c>
      <c r="E1483" t="s">
        <v>3246</v>
      </c>
      <c r="F1483">
        <v>19490509</v>
      </c>
      <c r="G1483" t="s">
        <v>9332</v>
      </c>
      <c r="H1483" t="s">
        <v>241</v>
      </c>
      <c r="I1483" t="s">
        <v>242</v>
      </c>
      <c r="J1483" t="s">
        <v>242</v>
      </c>
      <c r="K1483" t="s">
        <v>241</v>
      </c>
      <c r="L1483" t="s">
        <v>242</v>
      </c>
      <c r="M1483">
        <v>38.516638329999999</v>
      </c>
      <c r="N1483">
        <v>-122.8816726</v>
      </c>
      <c r="O1483">
        <v>0</v>
      </c>
      <c r="P1483">
        <v>0</v>
      </c>
      <c r="Q1483">
        <v>0</v>
      </c>
      <c r="R1483">
        <v>0</v>
      </c>
      <c r="S1483">
        <v>0.93333333299999999</v>
      </c>
      <c r="T1483">
        <v>1.6</v>
      </c>
      <c r="U1483">
        <v>2.0666666669999998</v>
      </c>
      <c r="V1483">
        <v>0</v>
      </c>
      <c r="W1483">
        <v>0</v>
      </c>
      <c r="X1483">
        <v>0</v>
      </c>
      <c r="Y1483">
        <v>0</v>
      </c>
      <c r="Z1483">
        <v>0</v>
      </c>
      <c r="AA1483" t="s">
        <v>9335</v>
      </c>
      <c r="AB1483" t="s">
        <v>242</v>
      </c>
      <c r="AC1483" t="s">
        <v>3229</v>
      </c>
    </row>
    <row r="1484" spans="1:29" x14ac:dyDescent="0.25">
      <c r="A1484" t="s">
        <v>1686</v>
      </c>
      <c r="B1484" t="s">
        <v>252</v>
      </c>
      <c r="C1484" t="s">
        <v>486</v>
      </c>
      <c r="D1484" t="s">
        <v>3209</v>
      </c>
      <c r="E1484" t="s">
        <v>3246</v>
      </c>
      <c r="F1484">
        <v>19490517</v>
      </c>
      <c r="G1484" t="s">
        <v>9332</v>
      </c>
      <c r="H1484" t="s">
        <v>241</v>
      </c>
      <c r="I1484" t="s">
        <v>242</v>
      </c>
      <c r="J1484" t="s">
        <v>242</v>
      </c>
      <c r="K1484" t="s">
        <v>241</v>
      </c>
      <c r="L1484" t="s">
        <v>242</v>
      </c>
      <c r="M1484">
        <v>38.53718052</v>
      </c>
      <c r="N1484">
        <v>-122.85203300000001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 t="s">
        <v>9333</v>
      </c>
      <c r="AB1484" t="s">
        <v>242</v>
      </c>
      <c r="AC1484" t="s">
        <v>3229</v>
      </c>
    </row>
    <row r="1485" spans="1:29" x14ac:dyDescent="0.25">
      <c r="A1485" t="s">
        <v>1687</v>
      </c>
      <c r="B1485" t="s">
        <v>252</v>
      </c>
      <c r="C1485" t="s">
        <v>486</v>
      </c>
      <c r="D1485" t="s">
        <v>3209</v>
      </c>
      <c r="E1485" t="s">
        <v>3246</v>
      </c>
      <c r="F1485">
        <v>19490517</v>
      </c>
      <c r="G1485" t="s">
        <v>9332</v>
      </c>
      <c r="H1485" t="s">
        <v>241</v>
      </c>
      <c r="I1485" t="s">
        <v>242</v>
      </c>
      <c r="J1485" t="s">
        <v>242</v>
      </c>
      <c r="K1485" t="s">
        <v>241</v>
      </c>
      <c r="L1485" t="s">
        <v>242</v>
      </c>
      <c r="M1485">
        <v>38.53244815</v>
      </c>
      <c r="N1485">
        <v>-122.8607167</v>
      </c>
      <c r="O1485">
        <v>0</v>
      </c>
      <c r="P1485">
        <v>0</v>
      </c>
      <c r="Q1485">
        <v>6.6666670000000003E-3</v>
      </c>
      <c r="R1485">
        <v>1.6666667E-2</v>
      </c>
      <c r="S1485">
        <v>0.66666666699999999</v>
      </c>
      <c r="T1485">
        <v>1.8533333329999999</v>
      </c>
      <c r="U1485">
        <v>3.5</v>
      </c>
      <c r="V1485">
        <v>3.3333333330000001</v>
      </c>
      <c r="W1485">
        <v>2.733333333</v>
      </c>
      <c r="X1485">
        <v>3.91</v>
      </c>
      <c r="Y1485">
        <v>0</v>
      </c>
      <c r="Z1485">
        <v>0</v>
      </c>
      <c r="AA1485" t="s">
        <v>9335</v>
      </c>
      <c r="AB1485" t="s">
        <v>242</v>
      </c>
      <c r="AC1485" t="s">
        <v>3229</v>
      </c>
    </row>
    <row r="1486" spans="1:29" x14ac:dyDescent="0.25">
      <c r="A1486" t="s">
        <v>1688</v>
      </c>
      <c r="B1486" t="s">
        <v>252</v>
      </c>
      <c r="C1486" t="s">
        <v>352</v>
      </c>
      <c r="D1486" t="s">
        <v>3209</v>
      </c>
      <c r="E1486" t="s">
        <v>3246</v>
      </c>
      <c r="F1486">
        <v>19490519</v>
      </c>
      <c r="G1486" t="s">
        <v>9334</v>
      </c>
      <c r="H1486" t="s">
        <v>241</v>
      </c>
      <c r="I1486" t="s">
        <v>242</v>
      </c>
      <c r="J1486" t="s">
        <v>242</v>
      </c>
      <c r="K1486" t="s">
        <v>241</v>
      </c>
      <c r="L1486" t="s">
        <v>242</v>
      </c>
      <c r="M1486">
        <v>38.518316280000001</v>
      </c>
      <c r="N1486">
        <v>-122.87767359999999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 t="s">
        <v>9335</v>
      </c>
      <c r="AB1486" t="s">
        <v>242</v>
      </c>
      <c r="AC1486" t="s">
        <v>3229</v>
      </c>
    </row>
    <row r="1487" spans="1:29" x14ac:dyDescent="0.25">
      <c r="A1487" t="s">
        <v>1691</v>
      </c>
      <c r="B1487" t="s">
        <v>252</v>
      </c>
      <c r="C1487" t="s">
        <v>486</v>
      </c>
      <c r="D1487" t="s">
        <v>3209</v>
      </c>
      <c r="E1487" t="s">
        <v>3246</v>
      </c>
      <c r="F1487">
        <v>19490606</v>
      </c>
      <c r="G1487" t="s">
        <v>9332</v>
      </c>
      <c r="H1487" t="s">
        <v>241</v>
      </c>
      <c r="I1487" t="s">
        <v>242</v>
      </c>
      <c r="J1487" t="s">
        <v>242</v>
      </c>
      <c r="K1487" t="s">
        <v>241</v>
      </c>
      <c r="L1487" t="s">
        <v>242</v>
      </c>
      <c r="M1487">
        <v>38.523363660000001</v>
      </c>
      <c r="N1487">
        <v>-122.8637532</v>
      </c>
      <c r="O1487">
        <v>0</v>
      </c>
      <c r="P1487">
        <v>0</v>
      </c>
      <c r="Q1487">
        <v>0</v>
      </c>
      <c r="R1487">
        <v>0</v>
      </c>
      <c r="S1487">
        <v>2.6666667000000002E-2</v>
      </c>
      <c r="T1487">
        <v>0.263333333</v>
      </c>
      <c r="U1487">
        <v>0.50666666699999996</v>
      </c>
      <c r="V1487">
        <v>0.52</v>
      </c>
      <c r="W1487">
        <v>0</v>
      </c>
      <c r="X1487">
        <v>0</v>
      </c>
      <c r="Y1487">
        <v>0</v>
      </c>
      <c r="Z1487">
        <v>0</v>
      </c>
      <c r="AA1487" t="s">
        <v>9335</v>
      </c>
      <c r="AB1487" t="s">
        <v>242</v>
      </c>
      <c r="AC1487" t="s">
        <v>3229</v>
      </c>
    </row>
    <row r="1488" spans="1:29" x14ac:dyDescent="0.25">
      <c r="A1488" t="s">
        <v>1692</v>
      </c>
      <c r="B1488" t="s">
        <v>252</v>
      </c>
      <c r="C1488" t="s">
        <v>486</v>
      </c>
      <c r="D1488" t="s">
        <v>3209</v>
      </c>
      <c r="E1488" t="s">
        <v>3246</v>
      </c>
      <c r="F1488">
        <v>19490613</v>
      </c>
      <c r="G1488" t="s">
        <v>9332</v>
      </c>
      <c r="H1488" t="s">
        <v>241</v>
      </c>
      <c r="I1488" t="s">
        <v>242</v>
      </c>
      <c r="J1488" t="s">
        <v>242</v>
      </c>
      <c r="K1488" t="s">
        <v>241</v>
      </c>
      <c r="L1488" t="s">
        <v>242</v>
      </c>
      <c r="M1488">
        <v>38.531059679999998</v>
      </c>
      <c r="N1488">
        <v>-122.8627975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 t="s">
        <v>9335</v>
      </c>
      <c r="AB1488" t="s">
        <v>242</v>
      </c>
      <c r="AC1488" t="s">
        <v>3229</v>
      </c>
    </row>
    <row r="1489" spans="1:29" x14ac:dyDescent="0.25">
      <c r="A1489" t="s">
        <v>1694</v>
      </c>
      <c r="B1489" t="s">
        <v>252</v>
      </c>
      <c r="C1489" t="s">
        <v>323</v>
      </c>
      <c r="D1489" t="s">
        <v>3209</v>
      </c>
      <c r="E1489" t="s">
        <v>3246</v>
      </c>
      <c r="F1489">
        <v>19490620</v>
      </c>
      <c r="G1489" t="s">
        <v>9332</v>
      </c>
      <c r="H1489" t="s">
        <v>242</v>
      </c>
      <c r="I1489" t="s">
        <v>242</v>
      </c>
      <c r="J1489" t="s">
        <v>242</v>
      </c>
      <c r="K1489" t="s">
        <v>241</v>
      </c>
      <c r="L1489" t="s">
        <v>242</v>
      </c>
      <c r="M1489">
        <v>38.508607320000003</v>
      </c>
      <c r="N1489">
        <v>-122.6409553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 t="s">
        <v>9335</v>
      </c>
      <c r="AB1489" t="s">
        <v>242</v>
      </c>
      <c r="AC1489" t="s">
        <v>3229</v>
      </c>
    </row>
    <row r="1490" spans="1:29" x14ac:dyDescent="0.25">
      <c r="A1490" t="s">
        <v>1696</v>
      </c>
      <c r="B1490" t="s">
        <v>252</v>
      </c>
      <c r="C1490" t="s">
        <v>378</v>
      </c>
      <c r="D1490" t="s">
        <v>3209</v>
      </c>
      <c r="E1490" t="s">
        <v>3246</v>
      </c>
      <c r="F1490">
        <v>19490708</v>
      </c>
      <c r="G1490" t="s">
        <v>9332</v>
      </c>
      <c r="H1490" t="s">
        <v>242</v>
      </c>
      <c r="I1490" t="s">
        <v>242</v>
      </c>
      <c r="J1490" t="s">
        <v>242</v>
      </c>
      <c r="K1490" t="s">
        <v>241</v>
      </c>
      <c r="L1490" t="s">
        <v>242</v>
      </c>
      <c r="M1490">
        <v>38.39398147</v>
      </c>
      <c r="N1490">
        <v>-122.6123661</v>
      </c>
      <c r="O1490">
        <v>2.9445906669999999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 t="s">
        <v>9335</v>
      </c>
      <c r="AB1490" t="s">
        <v>242</v>
      </c>
      <c r="AC1490" t="s">
        <v>3229</v>
      </c>
    </row>
    <row r="1491" spans="1:29" x14ac:dyDescent="0.25">
      <c r="A1491" t="s">
        <v>1697</v>
      </c>
      <c r="B1491" t="s">
        <v>252</v>
      </c>
      <c r="C1491" t="s">
        <v>1118</v>
      </c>
      <c r="D1491" t="s">
        <v>3209</v>
      </c>
      <c r="E1491" t="s">
        <v>3246</v>
      </c>
      <c r="F1491">
        <v>19490725</v>
      </c>
      <c r="G1491" t="s">
        <v>9332</v>
      </c>
      <c r="H1491" t="s">
        <v>242</v>
      </c>
      <c r="I1491" t="s">
        <v>242</v>
      </c>
      <c r="J1491" t="s">
        <v>242</v>
      </c>
      <c r="K1491" t="s">
        <v>241</v>
      </c>
      <c r="L1491" t="s">
        <v>242</v>
      </c>
      <c r="M1491">
        <v>38.418754880000002</v>
      </c>
      <c r="N1491">
        <v>-122.824096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 t="s">
        <v>9335</v>
      </c>
      <c r="AB1491" t="s">
        <v>242</v>
      </c>
      <c r="AC1491" t="s">
        <v>3229</v>
      </c>
    </row>
    <row r="1492" spans="1:29" x14ac:dyDescent="0.25">
      <c r="A1492" t="s">
        <v>1698</v>
      </c>
      <c r="B1492" t="s">
        <v>252</v>
      </c>
      <c r="C1492" t="s">
        <v>352</v>
      </c>
      <c r="D1492" t="s">
        <v>3209</v>
      </c>
      <c r="E1492" t="s">
        <v>3246</v>
      </c>
      <c r="F1492">
        <v>19490726</v>
      </c>
      <c r="G1492" t="s">
        <v>9332</v>
      </c>
      <c r="H1492" t="s">
        <v>241</v>
      </c>
      <c r="I1492" t="s">
        <v>242</v>
      </c>
      <c r="J1492" t="s">
        <v>242</v>
      </c>
      <c r="K1492" t="s">
        <v>241</v>
      </c>
      <c r="L1492" t="s">
        <v>242</v>
      </c>
      <c r="M1492">
        <v>38.518097009999998</v>
      </c>
      <c r="N1492">
        <v>-122.8703307</v>
      </c>
      <c r="O1492">
        <v>0</v>
      </c>
      <c r="P1492">
        <v>0</v>
      </c>
      <c r="Q1492">
        <v>0</v>
      </c>
      <c r="R1492">
        <v>0.133333333</v>
      </c>
      <c r="S1492">
        <v>0.15</v>
      </c>
      <c r="T1492">
        <v>0.3</v>
      </c>
      <c r="U1492">
        <v>0.2</v>
      </c>
      <c r="V1492">
        <v>0.31333333299999999</v>
      </c>
      <c r="W1492">
        <v>0.21666666700000001</v>
      </c>
      <c r="X1492">
        <v>0.296666667</v>
      </c>
      <c r="Y1492">
        <v>0.133333333</v>
      </c>
      <c r="Z1492">
        <v>0</v>
      </c>
      <c r="AA1492" t="s">
        <v>9335</v>
      </c>
      <c r="AB1492" t="s">
        <v>242</v>
      </c>
      <c r="AC1492" t="s">
        <v>3229</v>
      </c>
    </row>
    <row r="1493" spans="1:29" x14ac:dyDescent="0.25">
      <c r="A1493" t="s">
        <v>1699</v>
      </c>
      <c r="B1493" t="s">
        <v>252</v>
      </c>
      <c r="C1493" t="s">
        <v>486</v>
      </c>
      <c r="D1493" t="s">
        <v>3209</v>
      </c>
      <c r="E1493" t="s">
        <v>3246</v>
      </c>
      <c r="F1493">
        <v>19490728</v>
      </c>
      <c r="G1493" t="s">
        <v>9332</v>
      </c>
      <c r="H1493" t="s">
        <v>241</v>
      </c>
      <c r="I1493" t="s">
        <v>242</v>
      </c>
      <c r="J1493" t="s">
        <v>242</v>
      </c>
      <c r="K1493" t="s">
        <v>241</v>
      </c>
      <c r="L1493" t="s">
        <v>242</v>
      </c>
      <c r="M1493">
        <v>38.562176229999999</v>
      </c>
      <c r="N1493">
        <v>-122.8511073</v>
      </c>
      <c r="O1493">
        <v>0</v>
      </c>
      <c r="P1493">
        <v>0</v>
      </c>
      <c r="Q1493">
        <v>0</v>
      </c>
      <c r="R1493">
        <v>0</v>
      </c>
      <c r="S1493">
        <v>1.4</v>
      </c>
      <c r="T1493">
        <v>4.766666667</v>
      </c>
      <c r="U1493">
        <v>10.43333333</v>
      </c>
      <c r="V1493">
        <v>14.1</v>
      </c>
      <c r="W1493">
        <v>5.6333333330000004</v>
      </c>
      <c r="X1493">
        <v>0.96666666700000003</v>
      </c>
      <c r="Y1493">
        <v>0</v>
      </c>
      <c r="Z1493">
        <v>0</v>
      </c>
      <c r="AA1493" t="s">
        <v>9335</v>
      </c>
      <c r="AB1493" t="s">
        <v>242</v>
      </c>
      <c r="AC1493" t="s">
        <v>3229</v>
      </c>
    </row>
    <row r="1494" spans="1:29" x14ac:dyDescent="0.25">
      <c r="A1494" t="s">
        <v>1700</v>
      </c>
      <c r="B1494" t="s">
        <v>252</v>
      </c>
      <c r="C1494" t="s">
        <v>486</v>
      </c>
      <c r="D1494" t="s">
        <v>3209</v>
      </c>
      <c r="E1494" t="s">
        <v>3246</v>
      </c>
      <c r="F1494">
        <v>19490728</v>
      </c>
      <c r="G1494" t="s">
        <v>9332</v>
      </c>
      <c r="H1494" t="s">
        <v>241</v>
      </c>
      <c r="I1494" t="s">
        <v>242</v>
      </c>
      <c r="J1494" t="s">
        <v>242</v>
      </c>
      <c r="K1494" t="s">
        <v>241</v>
      </c>
      <c r="L1494" t="s">
        <v>242</v>
      </c>
      <c r="M1494">
        <v>38.53026706</v>
      </c>
      <c r="N1494">
        <v>-122.8585928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 t="s">
        <v>9335</v>
      </c>
      <c r="AB1494" t="s">
        <v>242</v>
      </c>
      <c r="AC1494" t="s">
        <v>3229</v>
      </c>
    </row>
    <row r="1495" spans="1:29" x14ac:dyDescent="0.25">
      <c r="A1495" t="s">
        <v>1701</v>
      </c>
      <c r="B1495" t="s">
        <v>252</v>
      </c>
      <c r="C1495" t="s">
        <v>323</v>
      </c>
      <c r="D1495" t="s">
        <v>3209</v>
      </c>
      <c r="E1495" t="s">
        <v>3246</v>
      </c>
      <c r="F1495">
        <v>19490728</v>
      </c>
      <c r="G1495" t="s">
        <v>9332</v>
      </c>
      <c r="H1495" t="s">
        <v>242</v>
      </c>
      <c r="I1495" t="s">
        <v>242</v>
      </c>
      <c r="J1495" t="s">
        <v>242</v>
      </c>
      <c r="K1495" t="s">
        <v>241</v>
      </c>
      <c r="L1495" t="s">
        <v>242</v>
      </c>
      <c r="M1495">
        <v>38.493589700000001</v>
      </c>
      <c r="N1495">
        <v>-122.8792918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 t="s">
        <v>9335</v>
      </c>
      <c r="AB1495" t="s">
        <v>242</v>
      </c>
      <c r="AC1495" t="s">
        <v>3229</v>
      </c>
    </row>
    <row r="1496" spans="1:29" x14ac:dyDescent="0.25">
      <c r="A1496" t="s">
        <v>1705</v>
      </c>
      <c r="B1496" t="s">
        <v>252</v>
      </c>
      <c r="C1496" t="s">
        <v>1118</v>
      </c>
      <c r="D1496" t="s">
        <v>3209</v>
      </c>
      <c r="E1496" t="s">
        <v>3246</v>
      </c>
      <c r="F1496">
        <v>19490817</v>
      </c>
      <c r="G1496" t="s">
        <v>9332</v>
      </c>
      <c r="H1496" t="s">
        <v>242</v>
      </c>
      <c r="I1496" t="s">
        <v>242</v>
      </c>
      <c r="J1496" t="s">
        <v>242</v>
      </c>
      <c r="K1496" t="s">
        <v>241</v>
      </c>
      <c r="L1496" t="s">
        <v>242</v>
      </c>
      <c r="M1496">
        <v>38.433980239999997</v>
      </c>
      <c r="N1496">
        <v>-122.8452185</v>
      </c>
      <c r="O1496">
        <v>0</v>
      </c>
      <c r="P1496">
        <v>0</v>
      </c>
      <c r="Q1496">
        <v>9.2066667000000005E-2</v>
      </c>
      <c r="R1496">
        <v>2.2556319999999999</v>
      </c>
      <c r="S1496">
        <v>3.3143980000000002</v>
      </c>
      <c r="T1496">
        <v>3.3143980000000002</v>
      </c>
      <c r="U1496">
        <v>3.3143980000000002</v>
      </c>
      <c r="V1496">
        <v>3.3143980000000002</v>
      </c>
      <c r="W1496">
        <v>3.3143980000000002</v>
      </c>
      <c r="X1496">
        <v>1.196866</v>
      </c>
      <c r="Y1496">
        <v>4.6033333000000003E-2</v>
      </c>
      <c r="Z1496">
        <v>0</v>
      </c>
      <c r="AA1496" t="s">
        <v>9335</v>
      </c>
      <c r="AB1496" t="s">
        <v>242</v>
      </c>
      <c r="AC1496" t="s">
        <v>3229</v>
      </c>
    </row>
    <row r="1497" spans="1:29" x14ac:dyDescent="0.25">
      <c r="A1497" t="s">
        <v>1706</v>
      </c>
      <c r="B1497" t="s">
        <v>252</v>
      </c>
      <c r="C1497" t="s">
        <v>403</v>
      </c>
      <c r="D1497" t="s">
        <v>3209</v>
      </c>
      <c r="E1497" t="s">
        <v>3246</v>
      </c>
      <c r="F1497">
        <v>19490829</v>
      </c>
      <c r="G1497" t="s">
        <v>9332</v>
      </c>
      <c r="H1497" t="s">
        <v>241</v>
      </c>
      <c r="I1497" t="s">
        <v>242</v>
      </c>
      <c r="J1497" t="s">
        <v>242</v>
      </c>
      <c r="K1497" t="s">
        <v>241</v>
      </c>
      <c r="L1497" t="s">
        <v>242</v>
      </c>
      <c r="M1497">
        <v>38.460012300000002</v>
      </c>
      <c r="N1497">
        <v>-123.05298190000001</v>
      </c>
      <c r="O1497">
        <v>0</v>
      </c>
      <c r="P1497">
        <v>0</v>
      </c>
      <c r="Q1497">
        <v>0</v>
      </c>
      <c r="R1497">
        <v>6</v>
      </c>
      <c r="S1497">
        <v>13</v>
      </c>
      <c r="T1497">
        <v>13</v>
      </c>
      <c r="U1497">
        <v>13</v>
      </c>
      <c r="V1497">
        <v>13</v>
      </c>
      <c r="W1497">
        <v>13</v>
      </c>
      <c r="X1497">
        <v>7</v>
      </c>
      <c r="Y1497">
        <v>0</v>
      </c>
      <c r="Z1497">
        <v>0</v>
      </c>
      <c r="AA1497" t="s">
        <v>9335</v>
      </c>
      <c r="AB1497" t="s">
        <v>242</v>
      </c>
      <c r="AC1497" t="s">
        <v>3229</v>
      </c>
    </row>
    <row r="1498" spans="1:29" x14ac:dyDescent="0.25">
      <c r="A1498" t="s">
        <v>1707</v>
      </c>
      <c r="B1498" t="s">
        <v>252</v>
      </c>
      <c r="C1498" t="s">
        <v>725</v>
      </c>
      <c r="D1498" t="s">
        <v>3209</v>
      </c>
      <c r="E1498" t="s">
        <v>3246</v>
      </c>
      <c r="F1498">
        <v>19490906</v>
      </c>
      <c r="G1498" t="s">
        <v>9332</v>
      </c>
      <c r="H1498" t="s">
        <v>242</v>
      </c>
      <c r="I1498" t="s">
        <v>242</v>
      </c>
      <c r="J1498" t="s">
        <v>242</v>
      </c>
      <c r="K1498" t="s">
        <v>241</v>
      </c>
      <c r="L1498" t="s">
        <v>242</v>
      </c>
      <c r="M1498">
        <v>38.44580088</v>
      </c>
      <c r="N1498">
        <v>-122.8048532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 t="s">
        <v>9335</v>
      </c>
      <c r="AB1498" t="s">
        <v>242</v>
      </c>
      <c r="AC1498" t="s">
        <v>3229</v>
      </c>
    </row>
    <row r="1499" spans="1:29" x14ac:dyDescent="0.25">
      <c r="A1499" t="s">
        <v>161</v>
      </c>
      <c r="B1499" t="s">
        <v>252</v>
      </c>
      <c r="C1499" t="s">
        <v>394</v>
      </c>
      <c r="D1499" t="s">
        <v>3209</v>
      </c>
      <c r="E1499" t="s">
        <v>3246</v>
      </c>
      <c r="F1499">
        <v>19490920</v>
      </c>
      <c r="G1499" t="s">
        <v>9332</v>
      </c>
      <c r="H1499" t="s">
        <v>242</v>
      </c>
      <c r="I1499" t="s">
        <v>242</v>
      </c>
      <c r="J1499" t="s">
        <v>242</v>
      </c>
      <c r="K1499" t="s">
        <v>241</v>
      </c>
      <c r="L1499" t="s">
        <v>242</v>
      </c>
      <c r="M1499">
        <v>38.648289470000002</v>
      </c>
      <c r="N1499">
        <v>-122.9704936</v>
      </c>
      <c r="O1499">
        <v>0</v>
      </c>
      <c r="P1499">
        <v>0</v>
      </c>
      <c r="Q1499">
        <v>0</v>
      </c>
      <c r="R1499">
        <v>4.766666667</v>
      </c>
      <c r="S1499">
        <v>4.733333333</v>
      </c>
      <c r="T1499">
        <v>15.83333333</v>
      </c>
      <c r="U1499">
        <v>6.1333333330000004</v>
      </c>
      <c r="V1499">
        <v>6.733333333</v>
      </c>
      <c r="W1499">
        <v>2.733333333</v>
      </c>
      <c r="X1499">
        <v>0</v>
      </c>
      <c r="Y1499">
        <v>0</v>
      </c>
      <c r="Z1499">
        <v>0</v>
      </c>
      <c r="AA1499" t="s">
        <v>9335</v>
      </c>
      <c r="AB1499" t="s">
        <v>242</v>
      </c>
      <c r="AC1499" t="s">
        <v>3229</v>
      </c>
    </row>
    <row r="1500" spans="1:29" x14ac:dyDescent="0.25">
      <c r="A1500" t="s">
        <v>1708</v>
      </c>
      <c r="B1500" t="s">
        <v>252</v>
      </c>
      <c r="C1500" t="s">
        <v>323</v>
      </c>
      <c r="D1500" t="s">
        <v>3209</v>
      </c>
      <c r="E1500" t="s">
        <v>3246</v>
      </c>
      <c r="F1500">
        <v>19491003</v>
      </c>
      <c r="G1500" t="s">
        <v>9332</v>
      </c>
      <c r="H1500" t="s">
        <v>242</v>
      </c>
      <c r="I1500" t="s">
        <v>242</v>
      </c>
      <c r="J1500" t="s">
        <v>242</v>
      </c>
      <c r="K1500" t="s">
        <v>241</v>
      </c>
      <c r="L1500" t="s">
        <v>242</v>
      </c>
      <c r="M1500">
        <v>38.503288599999998</v>
      </c>
      <c r="N1500">
        <v>-122.79082270000001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 t="s">
        <v>9335</v>
      </c>
      <c r="AB1500" t="s">
        <v>242</v>
      </c>
      <c r="AC1500" t="s">
        <v>3229</v>
      </c>
    </row>
    <row r="1501" spans="1:29" x14ac:dyDescent="0.25">
      <c r="A1501" t="s">
        <v>1709</v>
      </c>
      <c r="B1501" t="s">
        <v>252</v>
      </c>
      <c r="C1501" t="s">
        <v>352</v>
      </c>
      <c r="D1501" t="s">
        <v>3209</v>
      </c>
      <c r="E1501" t="s">
        <v>3246</v>
      </c>
      <c r="F1501">
        <v>19491005</v>
      </c>
      <c r="G1501" t="s">
        <v>9338</v>
      </c>
      <c r="H1501" t="s">
        <v>241</v>
      </c>
      <c r="I1501" t="s">
        <v>242</v>
      </c>
      <c r="J1501" t="s">
        <v>242</v>
      </c>
      <c r="K1501" t="s">
        <v>241</v>
      </c>
      <c r="L1501" t="s">
        <v>242</v>
      </c>
      <c r="M1501">
        <v>38.517773030000001</v>
      </c>
      <c r="N1501">
        <v>-122.88154179999999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4.2166666670000001</v>
      </c>
      <c r="V1501">
        <v>1.173333333</v>
      </c>
      <c r="W1501">
        <v>0</v>
      </c>
      <c r="X1501">
        <v>0</v>
      </c>
      <c r="Y1501">
        <v>0</v>
      </c>
      <c r="Z1501">
        <v>0</v>
      </c>
      <c r="AA1501" t="s">
        <v>9335</v>
      </c>
      <c r="AB1501" t="s">
        <v>242</v>
      </c>
      <c r="AC1501" t="s">
        <v>3229</v>
      </c>
    </row>
    <row r="1502" spans="1:29" x14ac:dyDescent="0.25">
      <c r="A1502" t="s">
        <v>1711</v>
      </c>
      <c r="B1502" t="s">
        <v>252</v>
      </c>
      <c r="C1502" t="s">
        <v>323</v>
      </c>
      <c r="D1502" t="s">
        <v>3209</v>
      </c>
      <c r="E1502" t="s">
        <v>3246</v>
      </c>
      <c r="F1502">
        <v>19491011</v>
      </c>
      <c r="G1502" t="s">
        <v>9332</v>
      </c>
      <c r="H1502" t="s">
        <v>242</v>
      </c>
      <c r="I1502" t="s">
        <v>242</v>
      </c>
      <c r="J1502" t="s">
        <v>242</v>
      </c>
      <c r="K1502" t="s">
        <v>241</v>
      </c>
      <c r="L1502" t="s">
        <v>242</v>
      </c>
      <c r="M1502">
        <v>38.495346009999999</v>
      </c>
      <c r="N1502">
        <v>-122.8655244</v>
      </c>
      <c r="O1502">
        <v>0</v>
      </c>
      <c r="P1502">
        <v>0</v>
      </c>
      <c r="Q1502">
        <v>0</v>
      </c>
      <c r="R1502">
        <v>0</v>
      </c>
      <c r="S1502">
        <v>5.233333333</v>
      </c>
      <c r="T1502">
        <v>12.03333333</v>
      </c>
      <c r="U1502">
        <v>17.166666670000001</v>
      </c>
      <c r="V1502">
        <v>17.2</v>
      </c>
      <c r="W1502">
        <v>0</v>
      </c>
      <c r="X1502">
        <v>0</v>
      </c>
      <c r="Y1502">
        <v>0</v>
      </c>
      <c r="Z1502">
        <v>0</v>
      </c>
      <c r="AA1502" t="s">
        <v>9335</v>
      </c>
      <c r="AB1502" t="s">
        <v>242</v>
      </c>
      <c r="AC1502" t="s">
        <v>3229</v>
      </c>
    </row>
    <row r="1503" spans="1:29" x14ac:dyDescent="0.25">
      <c r="A1503" t="s">
        <v>1713</v>
      </c>
      <c r="B1503" t="s">
        <v>252</v>
      </c>
      <c r="C1503" t="s">
        <v>486</v>
      </c>
      <c r="D1503" t="s">
        <v>3209</v>
      </c>
      <c r="E1503" t="s">
        <v>3246</v>
      </c>
      <c r="F1503">
        <v>19491109</v>
      </c>
      <c r="G1503" t="s">
        <v>9332</v>
      </c>
      <c r="H1503" t="s">
        <v>241</v>
      </c>
      <c r="I1503" t="s">
        <v>242</v>
      </c>
      <c r="J1503" t="s">
        <v>242</v>
      </c>
      <c r="K1503" t="s">
        <v>241</v>
      </c>
      <c r="L1503" t="s">
        <v>242</v>
      </c>
      <c r="M1503">
        <v>38.562477680000001</v>
      </c>
      <c r="N1503">
        <v>-122.8474385</v>
      </c>
      <c r="O1503">
        <v>0</v>
      </c>
      <c r="P1503">
        <v>0</v>
      </c>
      <c r="Q1503">
        <v>0</v>
      </c>
      <c r="R1503">
        <v>0</v>
      </c>
      <c r="S1503">
        <v>3.6666666669999999</v>
      </c>
      <c r="T1503">
        <v>7.8666666669999996</v>
      </c>
      <c r="U1503">
        <v>10.633333329999999</v>
      </c>
      <c r="V1503">
        <v>10.7</v>
      </c>
      <c r="W1503">
        <v>10.7</v>
      </c>
      <c r="X1503">
        <v>2.3666666670000001</v>
      </c>
      <c r="Y1503">
        <v>3</v>
      </c>
      <c r="Z1503">
        <v>0</v>
      </c>
      <c r="AA1503" t="s">
        <v>9335</v>
      </c>
      <c r="AB1503" t="s">
        <v>242</v>
      </c>
      <c r="AC1503" t="s">
        <v>3229</v>
      </c>
    </row>
    <row r="1504" spans="1:29" x14ac:dyDescent="0.25">
      <c r="A1504" t="s">
        <v>1659</v>
      </c>
      <c r="B1504" t="s">
        <v>252</v>
      </c>
      <c r="C1504" t="s">
        <v>378</v>
      </c>
      <c r="D1504" t="s">
        <v>3209</v>
      </c>
      <c r="E1504" t="s">
        <v>3246</v>
      </c>
      <c r="F1504">
        <v>19500103</v>
      </c>
      <c r="G1504" t="s">
        <v>9332</v>
      </c>
      <c r="H1504" t="s">
        <v>242</v>
      </c>
      <c r="I1504" t="s">
        <v>242</v>
      </c>
      <c r="J1504" t="s">
        <v>242</v>
      </c>
      <c r="K1504" t="s">
        <v>241</v>
      </c>
      <c r="L1504" t="s">
        <v>242</v>
      </c>
      <c r="M1504">
        <v>38.461880729999997</v>
      </c>
      <c r="N1504">
        <v>-122.6241224</v>
      </c>
      <c r="O1504">
        <v>7.672E-3</v>
      </c>
      <c r="P1504">
        <v>7.672E-3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 t="s">
        <v>9335</v>
      </c>
      <c r="AB1504" t="s">
        <v>242</v>
      </c>
      <c r="AC1504" t="s">
        <v>3229</v>
      </c>
    </row>
    <row r="1505" spans="1:29" x14ac:dyDescent="0.25">
      <c r="A1505" t="s">
        <v>1656</v>
      </c>
      <c r="B1505" t="s">
        <v>252</v>
      </c>
      <c r="C1505" t="s">
        <v>378</v>
      </c>
      <c r="D1505" t="s">
        <v>3209</v>
      </c>
      <c r="E1505" t="s">
        <v>3246</v>
      </c>
      <c r="F1505">
        <v>19500112</v>
      </c>
      <c r="G1505" t="s">
        <v>9332</v>
      </c>
      <c r="H1505" t="s">
        <v>242</v>
      </c>
      <c r="I1505" t="s">
        <v>242</v>
      </c>
      <c r="J1505" t="s">
        <v>242</v>
      </c>
      <c r="K1505" t="s">
        <v>241</v>
      </c>
      <c r="L1505" t="s">
        <v>242</v>
      </c>
      <c r="M1505">
        <v>38.47047697</v>
      </c>
      <c r="N1505">
        <v>-122.63397740000001</v>
      </c>
      <c r="O1505">
        <v>1.7389999999999999E-2</v>
      </c>
      <c r="P1505">
        <v>1.9436333E-2</v>
      </c>
      <c r="Q1505">
        <v>1.5855999999999999E-2</v>
      </c>
      <c r="R1505">
        <v>1.1048000000000001E-2</v>
      </c>
      <c r="S1505">
        <v>8.1836670000000004E-3</v>
      </c>
      <c r="T1505">
        <v>2.506E-3</v>
      </c>
      <c r="U1505">
        <v>1.585667E-3</v>
      </c>
      <c r="V1505">
        <v>1.0740000000000001E-3</v>
      </c>
      <c r="W1505">
        <v>1.892667E-3</v>
      </c>
      <c r="X1505">
        <v>2.557667E-3</v>
      </c>
      <c r="Y1505">
        <v>1.0536333E-2</v>
      </c>
      <c r="Z1505">
        <v>1.1252666999999999E-2</v>
      </c>
      <c r="AA1505" t="s">
        <v>9335</v>
      </c>
      <c r="AB1505" t="s">
        <v>242</v>
      </c>
      <c r="AC1505" t="s">
        <v>3229</v>
      </c>
    </row>
    <row r="1506" spans="1:29" x14ac:dyDescent="0.25">
      <c r="A1506" t="s">
        <v>1661</v>
      </c>
      <c r="B1506" t="s">
        <v>252</v>
      </c>
      <c r="C1506" t="s">
        <v>1118</v>
      </c>
      <c r="D1506" t="s">
        <v>3209</v>
      </c>
      <c r="E1506" t="s">
        <v>3246</v>
      </c>
      <c r="F1506">
        <v>19500217</v>
      </c>
      <c r="G1506" t="s">
        <v>9332</v>
      </c>
      <c r="H1506" t="s">
        <v>242</v>
      </c>
      <c r="I1506" t="s">
        <v>242</v>
      </c>
      <c r="J1506" t="s">
        <v>242</v>
      </c>
      <c r="K1506" t="s">
        <v>241</v>
      </c>
      <c r="L1506" t="s">
        <v>242</v>
      </c>
      <c r="M1506">
        <v>38.3782</v>
      </c>
      <c r="N1506">
        <v>-122.78579999999999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 t="s">
        <v>9335</v>
      </c>
      <c r="AB1506" t="s">
        <v>242</v>
      </c>
      <c r="AC1506" t="s">
        <v>3229</v>
      </c>
    </row>
    <row r="1507" spans="1:29" x14ac:dyDescent="0.25">
      <c r="A1507" t="s">
        <v>1633</v>
      </c>
      <c r="B1507" t="s">
        <v>252</v>
      </c>
      <c r="C1507" t="s">
        <v>394</v>
      </c>
      <c r="D1507" t="s">
        <v>3209</v>
      </c>
      <c r="E1507" t="s">
        <v>3246</v>
      </c>
      <c r="F1507">
        <v>19500320</v>
      </c>
      <c r="G1507" t="s">
        <v>9332</v>
      </c>
      <c r="H1507" t="s">
        <v>242</v>
      </c>
      <c r="I1507" t="s">
        <v>242</v>
      </c>
      <c r="J1507" t="s">
        <v>242</v>
      </c>
      <c r="K1507" t="s">
        <v>241</v>
      </c>
      <c r="L1507" t="s">
        <v>242</v>
      </c>
      <c r="M1507">
        <v>38.636330200000003</v>
      </c>
      <c r="N1507">
        <v>-122.9041591</v>
      </c>
      <c r="O1507">
        <v>0</v>
      </c>
      <c r="P1507">
        <v>0</v>
      </c>
      <c r="Q1507">
        <v>0</v>
      </c>
      <c r="R1507">
        <v>0.57666666700000002</v>
      </c>
      <c r="S1507">
        <v>1.58</v>
      </c>
      <c r="T1507">
        <v>3.0633333330000001</v>
      </c>
      <c r="U1507">
        <v>2.5666666669999998</v>
      </c>
      <c r="V1507">
        <v>2.096666667</v>
      </c>
      <c r="W1507">
        <v>1.076666667</v>
      </c>
      <c r="X1507">
        <v>0.296666667</v>
      </c>
      <c r="Y1507">
        <v>0</v>
      </c>
      <c r="Z1507">
        <v>0</v>
      </c>
      <c r="AA1507" t="s">
        <v>9335</v>
      </c>
      <c r="AB1507" t="s">
        <v>242</v>
      </c>
      <c r="AC1507" t="s">
        <v>3229</v>
      </c>
    </row>
    <row r="1508" spans="1:29" x14ac:dyDescent="0.25">
      <c r="A1508" t="s">
        <v>1663</v>
      </c>
      <c r="B1508" t="s">
        <v>252</v>
      </c>
      <c r="C1508" t="s">
        <v>352</v>
      </c>
      <c r="D1508" t="s">
        <v>3209</v>
      </c>
      <c r="E1508" t="s">
        <v>3246</v>
      </c>
      <c r="F1508">
        <v>19500411</v>
      </c>
      <c r="G1508" t="s">
        <v>9338</v>
      </c>
      <c r="H1508" t="s">
        <v>241</v>
      </c>
      <c r="I1508" t="s">
        <v>242</v>
      </c>
      <c r="J1508" t="s">
        <v>242</v>
      </c>
      <c r="K1508" t="s">
        <v>241</v>
      </c>
      <c r="L1508" t="s">
        <v>242</v>
      </c>
      <c r="M1508">
        <v>38.517800000000001</v>
      </c>
      <c r="N1508">
        <v>-122.8815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8.5</v>
      </c>
      <c r="Z1508">
        <v>0</v>
      </c>
      <c r="AA1508" t="s">
        <v>9335</v>
      </c>
      <c r="AB1508" t="s">
        <v>242</v>
      </c>
      <c r="AC1508" t="s">
        <v>3229</v>
      </c>
    </row>
    <row r="1509" spans="1:29" x14ac:dyDescent="0.25">
      <c r="A1509" t="s">
        <v>1647</v>
      </c>
      <c r="B1509" t="s">
        <v>252</v>
      </c>
      <c r="C1509" t="s">
        <v>486</v>
      </c>
      <c r="D1509" t="s">
        <v>3209</v>
      </c>
      <c r="E1509" t="s">
        <v>3246</v>
      </c>
      <c r="F1509">
        <v>19500411</v>
      </c>
      <c r="G1509" t="s">
        <v>9332</v>
      </c>
      <c r="H1509" t="s">
        <v>241</v>
      </c>
      <c r="I1509" t="s">
        <v>242</v>
      </c>
      <c r="J1509" t="s">
        <v>242</v>
      </c>
      <c r="K1509" t="s">
        <v>241</v>
      </c>
      <c r="L1509" t="s">
        <v>242</v>
      </c>
      <c r="M1509">
        <v>38.526522620000001</v>
      </c>
      <c r="N1509">
        <v>-122.8636166</v>
      </c>
      <c r="O1509">
        <v>0</v>
      </c>
      <c r="P1509">
        <v>0</v>
      </c>
      <c r="Q1509">
        <v>0</v>
      </c>
      <c r="R1509">
        <v>0</v>
      </c>
      <c r="S1509">
        <v>0.16666666699999999</v>
      </c>
      <c r="T1509">
        <v>0.46</v>
      </c>
      <c r="U1509">
        <v>0.87666666699999996</v>
      </c>
      <c r="V1509">
        <v>0.86333333300000004</v>
      </c>
      <c r="W1509">
        <v>0.59</v>
      </c>
      <c r="X1509">
        <v>0.26</v>
      </c>
      <c r="Y1509">
        <v>0</v>
      </c>
      <c r="Z1509">
        <v>0</v>
      </c>
      <c r="AA1509" t="s">
        <v>9335</v>
      </c>
      <c r="AB1509" t="s">
        <v>242</v>
      </c>
      <c r="AC1509" t="s">
        <v>3229</v>
      </c>
    </row>
    <row r="1510" spans="1:29" x14ac:dyDescent="0.25">
      <c r="A1510" t="s">
        <v>1667</v>
      </c>
      <c r="B1510" t="s">
        <v>252</v>
      </c>
      <c r="C1510" t="s">
        <v>394</v>
      </c>
      <c r="D1510" t="s">
        <v>3209</v>
      </c>
      <c r="E1510" t="s">
        <v>3246</v>
      </c>
      <c r="F1510">
        <v>19500809</v>
      </c>
      <c r="G1510" t="s">
        <v>9332</v>
      </c>
      <c r="H1510" t="s">
        <v>242</v>
      </c>
      <c r="I1510" t="s">
        <v>242</v>
      </c>
      <c r="J1510" t="s">
        <v>242</v>
      </c>
      <c r="K1510" t="s">
        <v>241</v>
      </c>
      <c r="L1510" t="s">
        <v>242</v>
      </c>
      <c r="M1510">
        <v>38.641916670000001</v>
      </c>
      <c r="N1510">
        <v>-122.9096572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 t="s">
        <v>9335</v>
      </c>
      <c r="AB1510" t="s">
        <v>242</v>
      </c>
      <c r="AC1510" t="s">
        <v>3229</v>
      </c>
    </row>
    <row r="1511" spans="1:29" x14ac:dyDescent="0.25">
      <c r="A1511" t="s">
        <v>1668</v>
      </c>
      <c r="B1511" t="s">
        <v>252</v>
      </c>
      <c r="C1511" t="s">
        <v>489</v>
      </c>
      <c r="D1511" t="s">
        <v>3209</v>
      </c>
      <c r="E1511" t="s">
        <v>3246</v>
      </c>
      <c r="F1511">
        <v>19500823</v>
      </c>
      <c r="G1511" t="s">
        <v>9332</v>
      </c>
      <c r="H1511" t="s">
        <v>242</v>
      </c>
      <c r="I1511" t="s">
        <v>242</v>
      </c>
      <c r="J1511" t="s">
        <v>242</v>
      </c>
      <c r="K1511" t="s">
        <v>241</v>
      </c>
      <c r="L1511" t="s">
        <v>242</v>
      </c>
      <c r="M1511">
        <v>38.669114729999997</v>
      </c>
      <c r="N1511">
        <v>-122.9425798</v>
      </c>
      <c r="O1511">
        <v>0</v>
      </c>
      <c r="P1511">
        <v>0</v>
      </c>
      <c r="Q1511">
        <v>0.233333333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 t="s">
        <v>9335</v>
      </c>
      <c r="AB1511" t="s">
        <v>242</v>
      </c>
      <c r="AC1511" t="s">
        <v>3229</v>
      </c>
    </row>
    <row r="1512" spans="1:29" x14ac:dyDescent="0.25">
      <c r="A1512" t="s">
        <v>1669</v>
      </c>
      <c r="B1512" t="s">
        <v>252</v>
      </c>
      <c r="C1512" t="s">
        <v>391</v>
      </c>
      <c r="D1512" t="s">
        <v>3209</v>
      </c>
      <c r="E1512" t="s">
        <v>3246</v>
      </c>
      <c r="F1512">
        <v>19500921</v>
      </c>
      <c r="G1512" t="s">
        <v>9338</v>
      </c>
      <c r="H1512" t="s">
        <v>242</v>
      </c>
      <c r="I1512" t="s">
        <v>242</v>
      </c>
      <c r="J1512" t="s">
        <v>242</v>
      </c>
      <c r="K1512" t="s">
        <v>241</v>
      </c>
      <c r="L1512" t="s">
        <v>242</v>
      </c>
      <c r="M1512">
        <v>38.567451640000002</v>
      </c>
      <c r="N1512">
        <v>-122.80447529999999</v>
      </c>
      <c r="O1512">
        <v>2.0666666669999998</v>
      </c>
      <c r="P1512">
        <v>0.7</v>
      </c>
      <c r="Q1512">
        <v>0.1</v>
      </c>
      <c r="R1512">
        <v>6.6666666999999999E-2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0.26666666700000002</v>
      </c>
      <c r="Y1512">
        <v>0.233333333</v>
      </c>
      <c r="Z1512">
        <v>0.83333333300000001</v>
      </c>
      <c r="AA1512" t="s">
        <v>9341</v>
      </c>
      <c r="AB1512" t="s">
        <v>242</v>
      </c>
      <c r="AC1512" t="s">
        <v>3229</v>
      </c>
    </row>
    <row r="1513" spans="1:29" x14ac:dyDescent="0.25">
      <c r="A1513" t="s">
        <v>1671</v>
      </c>
      <c r="B1513" t="s">
        <v>252</v>
      </c>
      <c r="C1513" t="s">
        <v>378</v>
      </c>
      <c r="D1513" t="s">
        <v>3209</v>
      </c>
      <c r="E1513" t="s">
        <v>3246</v>
      </c>
      <c r="F1513">
        <v>19501002</v>
      </c>
      <c r="G1513" t="s">
        <v>9332</v>
      </c>
      <c r="H1513" t="s">
        <v>242</v>
      </c>
      <c r="I1513" t="s">
        <v>242</v>
      </c>
      <c r="J1513" t="s">
        <v>242</v>
      </c>
      <c r="K1513" t="s">
        <v>241</v>
      </c>
      <c r="L1513" t="s">
        <v>242</v>
      </c>
      <c r="M1513">
        <v>38.363528690000003</v>
      </c>
      <c r="N1513">
        <v>-122.6072234</v>
      </c>
      <c r="O1513">
        <v>0.1</v>
      </c>
      <c r="P1513">
        <v>0.1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0.1</v>
      </c>
      <c r="Z1513">
        <v>0.2</v>
      </c>
      <c r="AA1513" t="s">
        <v>9333</v>
      </c>
      <c r="AB1513" t="s">
        <v>242</v>
      </c>
      <c r="AC1513" t="s">
        <v>3229</v>
      </c>
    </row>
    <row r="1514" spans="1:29" x14ac:dyDescent="0.25">
      <c r="A1514" t="s">
        <v>1650</v>
      </c>
      <c r="B1514" t="s">
        <v>252</v>
      </c>
      <c r="C1514" t="s">
        <v>489</v>
      </c>
      <c r="D1514" t="s">
        <v>3209</v>
      </c>
      <c r="E1514" t="s">
        <v>3246</v>
      </c>
      <c r="F1514">
        <v>19501009</v>
      </c>
      <c r="G1514" t="s">
        <v>9332</v>
      </c>
      <c r="H1514" t="s">
        <v>242</v>
      </c>
      <c r="I1514" t="s">
        <v>242</v>
      </c>
      <c r="J1514" t="s">
        <v>242</v>
      </c>
      <c r="K1514" t="s">
        <v>241</v>
      </c>
      <c r="L1514" t="s">
        <v>242</v>
      </c>
      <c r="M1514">
        <v>38.65496632</v>
      </c>
      <c r="N1514">
        <v>-122.92628329999999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0.34166666699999998</v>
      </c>
      <c r="V1514">
        <v>0.35499999999999998</v>
      </c>
      <c r="W1514">
        <v>0.24833333299999999</v>
      </c>
      <c r="X1514">
        <v>0</v>
      </c>
      <c r="Y1514">
        <v>0</v>
      </c>
      <c r="Z1514">
        <v>0</v>
      </c>
      <c r="AA1514" t="s">
        <v>9335</v>
      </c>
      <c r="AB1514" t="s">
        <v>242</v>
      </c>
      <c r="AC1514" t="s">
        <v>3229</v>
      </c>
    </row>
    <row r="1515" spans="1:29" x14ac:dyDescent="0.25">
      <c r="A1515" t="s">
        <v>1616</v>
      </c>
      <c r="B1515" t="s">
        <v>252</v>
      </c>
      <c r="C1515" t="s">
        <v>493</v>
      </c>
      <c r="D1515" t="s">
        <v>3209</v>
      </c>
      <c r="E1515" t="s">
        <v>3246</v>
      </c>
      <c r="F1515">
        <v>19501113</v>
      </c>
      <c r="G1515" t="s">
        <v>9332</v>
      </c>
      <c r="H1515" t="s">
        <v>242</v>
      </c>
      <c r="I1515" t="s">
        <v>242</v>
      </c>
      <c r="J1515" t="s">
        <v>242</v>
      </c>
      <c r="K1515" t="s">
        <v>241</v>
      </c>
      <c r="L1515" t="s">
        <v>242</v>
      </c>
      <c r="M1515">
        <v>38.70270343</v>
      </c>
      <c r="N1515">
        <v>-122.9654523</v>
      </c>
      <c r="O1515">
        <v>0</v>
      </c>
      <c r="P1515">
        <v>0</v>
      </c>
      <c r="Q1515">
        <v>0</v>
      </c>
      <c r="R1515">
        <v>6</v>
      </c>
      <c r="S1515">
        <v>12</v>
      </c>
      <c r="T1515">
        <v>25</v>
      </c>
      <c r="U1515">
        <v>25</v>
      </c>
      <c r="V1515">
        <v>12</v>
      </c>
      <c r="W1515">
        <v>12</v>
      </c>
      <c r="X1515">
        <v>6</v>
      </c>
      <c r="Y1515">
        <v>0</v>
      </c>
      <c r="Z1515">
        <v>0</v>
      </c>
      <c r="AA1515" t="s">
        <v>9335</v>
      </c>
      <c r="AB1515" t="s">
        <v>242</v>
      </c>
      <c r="AC1515" t="s">
        <v>3229</v>
      </c>
    </row>
    <row r="1516" spans="1:29" x14ac:dyDescent="0.25">
      <c r="A1516" t="s">
        <v>1675</v>
      </c>
      <c r="B1516" t="s">
        <v>252</v>
      </c>
      <c r="C1516" t="s">
        <v>486</v>
      </c>
      <c r="D1516" t="s">
        <v>3209</v>
      </c>
      <c r="E1516" t="s">
        <v>3246</v>
      </c>
      <c r="F1516">
        <v>19501115</v>
      </c>
      <c r="G1516" t="s">
        <v>9334</v>
      </c>
      <c r="H1516" t="s">
        <v>241</v>
      </c>
      <c r="I1516" t="s">
        <v>242</v>
      </c>
      <c r="J1516" t="s">
        <v>242</v>
      </c>
      <c r="K1516" t="s">
        <v>241</v>
      </c>
      <c r="L1516" t="s">
        <v>242</v>
      </c>
      <c r="M1516">
        <v>38.583899549999998</v>
      </c>
      <c r="N1516">
        <v>-122.8667705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 t="s">
        <v>9335</v>
      </c>
      <c r="AB1516" t="s">
        <v>242</v>
      </c>
      <c r="AC1516" t="s">
        <v>3229</v>
      </c>
    </row>
    <row r="1517" spans="1:29" x14ac:dyDescent="0.25">
      <c r="A1517" t="s">
        <v>1653</v>
      </c>
      <c r="B1517" t="s">
        <v>252</v>
      </c>
      <c r="C1517" t="s">
        <v>486</v>
      </c>
      <c r="D1517" t="s">
        <v>3209</v>
      </c>
      <c r="E1517" t="s">
        <v>3246</v>
      </c>
      <c r="F1517">
        <v>19501114</v>
      </c>
      <c r="G1517" t="s">
        <v>9338</v>
      </c>
      <c r="H1517" t="s">
        <v>241</v>
      </c>
      <c r="I1517" t="s">
        <v>242</v>
      </c>
      <c r="J1517" t="s">
        <v>242</v>
      </c>
      <c r="K1517" t="s">
        <v>241</v>
      </c>
      <c r="L1517" t="s">
        <v>242</v>
      </c>
      <c r="M1517">
        <v>38.583500000000001</v>
      </c>
      <c r="N1517">
        <v>-122.8617</v>
      </c>
      <c r="O1517">
        <v>0</v>
      </c>
      <c r="P1517">
        <v>0</v>
      </c>
      <c r="Q1517">
        <v>0</v>
      </c>
      <c r="R1517">
        <v>0</v>
      </c>
      <c r="S1517">
        <v>0.03</v>
      </c>
      <c r="T1517">
        <v>0.03</v>
      </c>
      <c r="U1517">
        <v>0.03</v>
      </c>
      <c r="V1517">
        <v>0.03</v>
      </c>
      <c r="W1517">
        <v>0.03</v>
      </c>
      <c r="X1517">
        <v>0.03</v>
      </c>
      <c r="Y1517">
        <v>0</v>
      </c>
      <c r="Z1517">
        <v>0</v>
      </c>
      <c r="AA1517" t="s">
        <v>9337</v>
      </c>
      <c r="AB1517" t="s">
        <v>242</v>
      </c>
      <c r="AC1517" t="s">
        <v>3229</v>
      </c>
    </row>
    <row r="1518" spans="1:29" x14ac:dyDescent="0.25">
      <c r="A1518" t="s">
        <v>1643</v>
      </c>
      <c r="B1518" t="s">
        <v>252</v>
      </c>
      <c r="C1518" t="s">
        <v>489</v>
      </c>
      <c r="D1518" t="s">
        <v>3209</v>
      </c>
      <c r="E1518" t="s">
        <v>3246</v>
      </c>
      <c r="F1518">
        <v>19501114</v>
      </c>
      <c r="G1518" t="s">
        <v>9332</v>
      </c>
      <c r="H1518" t="s">
        <v>242</v>
      </c>
      <c r="I1518" t="s">
        <v>242</v>
      </c>
      <c r="J1518" t="s">
        <v>242</v>
      </c>
      <c r="K1518" t="s">
        <v>241</v>
      </c>
      <c r="L1518" t="s">
        <v>242</v>
      </c>
      <c r="M1518">
        <v>38.684182210000003</v>
      </c>
      <c r="N1518">
        <v>-122.94698320000001</v>
      </c>
      <c r="O1518">
        <v>0</v>
      </c>
      <c r="P1518">
        <v>3.4195000000000003E-2</v>
      </c>
      <c r="Q1518">
        <v>8.7451000000000001E-2</v>
      </c>
      <c r="R1518">
        <v>0.155863</v>
      </c>
      <c r="S1518">
        <v>0.171207</v>
      </c>
      <c r="T1518">
        <v>0.69464950000000003</v>
      </c>
      <c r="U1518">
        <v>1.5892625</v>
      </c>
      <c r="V1518">
        <v>1.092651</v>
      </c>
      <c r="W1518">
        <v>0.18299499999999999</v>
      </c>
      <c r="X1518">
        <v>0.18606400000000001</v>
      </c>
      <c r="Y1518">
        <v>1.9366000000000001E-2</v>
      </c>
      <c r="Z1518">
        <v>0</v>
      </c>
      <c r="AA1518" t="s">
        <v>9335</v>
      </c>
      <c r="AB1518" t="s">
        <v>242</v>
      </c>
      <c r="AC1518" t="s">
        <v>3229</v>
      </c>
    </row>
    <row r="1519" spans="1:29" x14ac:dyDescent="0.25">
      <c r="A1519" t="s">
        <v>1621</v>
      </c>
      <c r="B1519" t="s">
        <v>252</v>
      </c>
      <c r="C1519" t="s">
        <v>489</v>
      </c>
      <c r="D1519" t="s">
        <v>3209</v>
      </c>
      <c r="E1519" t="s">
        <v>3246</v>
      </c>
      <c r="F1519">
        <v>19501114</v>
      </c>
      <c r="G1519" t="s">
        <v>9332</v>
      </c>
      <c r="H1519" t="s">
        <v>242</v>
      </c>
      <c r="I1519" t="s">
        <v>242</v>
      </c>
      <c r="J1519" t="s">
        <v>242</v>
      </c>
      <c r="K1519" t="s">
        <v>241</v>
      </c>
      <c r="L1519" t="s">
        <v>242</v>
      </c>
      <c r="M1519">
        <v>38.662309749999999</v>
      </c>
      <c r="N1519">
        <v>-122.93513470000001</v>
      </c>
      <c r="O1519">
        <v>0</v>
      </c>
      <c r="P1519">
        <v>0</v>
      </c>
      <c r="Q1519">
        <v>0</v>
      </c>
      <c r="R1519">
        <v>4</v>
      </c>
      <c r="S1519">
        <v>5</v>
      </c>
      <c r="T1519">
        <v>5.3333333329999997</v>
      </c>
      <c r="U1519">
        <v>3.3333333330000001</v>
      </c>
      <c r="V1519">
        <v>5.6666666670000003</v>
      </c>
      <c r="W1519">
        <v>5</v>
      </c>
      <c r="X1519">
        <v>5.3333333329999997</v>
      </c>
      <c r="Y1519">
        <v>2.6666666669999999</v>
      </c>
      <c r="Z1519">
        <v>0</v>
      </c>
      <c r="AA1519" t="s">
        <v>9335</v>
      </c>
      <c r="AB1519" t="s">
        <v>242</v>
      </c>
      <c r="AC1519" t="s">
        <v>3229</v>
      </c>
    </row>
    <row r="1520" spans="1:29" x14ac:dyDescent="0.25">
      <c r="A1520" t="s">
        <v>1674</v>
      </c>
      <c r="B1520" t="s">
        <v>252</v>
      </c>
      <c r="C1520" t="s">
        <v>489</v>
      </c>
      <c r="D1520" t="s">
        <v>3209</v>
      </c>
      <c r="E1520" t="s">
        <v>3246</v>
      </c>
      <c r="F1520">
        <v>19501114</v>
      </c>
      <c r="G1520" t="s">
        <v>9332</v>
      </c>
      <c r="H1520" t="s">
        <v>242</v>
      </c>
      <c r="I1520" t="s">
        <v>242</v>
      </c>
      <c r="J1520" t="s">
        <v>242</v>
      </c>
      <c r="K1520" t="s">
        <v>241</v>
      </c>
      <c r="L1520" t="s">
        <v>242</v>
      </c>
      <c r="M1520">
        <v>38.676814200000003</v>
      </c>
      <c r="N1520">
        <v>-122.9412803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 t="s">
        <v>9335</v>
      </c>
      <c r="AB1520" t="s">
        <v>242</v>
      </c>
      <c r="AC1520" t="s">
        <v>3229</v>
      </c>
    </row>
    <row r="1521" spans="1:29" x14ac:dyDescent="0.25">
      <c r="A1521" t="s">
        <v>1635</v>
      </c>
      <c r="B1521" t="s">
        <v>252</v>
      </c>
      <c r="C1521" t="s">
        <v>486</v>
      </c>
      <c r="D1521" t="s">
        <v>3209</v>
      </c>
      <c r="E1521" t="s">
        <v>3246</v>
      </c>
      <c r="F1521">
        <v>19501120</v>
      </c>
      <c r="G1521" t="s">
        <v>9332</v>
      </c>
      <c r="H1521" t="s">
        <v>241</v>
      </c>
      <c r="I1521" t="s">
        <v>242</v>
      </c>
      <c r="J1521" t="s">
        <v>242</v>
      </c>
      <c r="K1521" t="s">
        <v>241</v>
      </c>
      <c r="L1521" t="s">
        <v>242</v>
      </c>
      <c r="M1521">
        <v>38.573067680000001</v>
      </c>
      <c r="N1521">
        <v>-122.8636551</v>
      </c>
      <c r="O1521">
        <v>0</v>
      </c>
      <c r="P1521">
        <v>0</v>
      </c>
      <c r="Q1521">
        <v>0</v>
      </c>
      <c r="R1521">
        <v>0</v>
      </c>
      <c r="S1521">
        <v>0.41123333299999998</v>
      </c>
      <c r="T1521">
        <v>1.177466667</v>
      </c>
      <c r="U1521">
        <v>3.0554000000000001</v>
      </c>
      <c r="V1521">
        <v>2.8092666670000002</v>
      </c>
      <c r="W1521">
        <v>1.190066667</v>
      </c>
      <c r="X1521">
        <v>0.45853333299999999</v>
      </c>
      <c r="Y1521">
        <v>7.6666666999999994E-2</v>
      </c>
      <c r="Z1521">
        <v>0</v>
      </c>
      <c r="AA1521" t="s">
        <v>9335</v>
      </c>
      <c r="AB1521" t="s">
        <v>242</v>
      </c>
      <c r="AC1521" t="s">
        <v>3229</v>
      </c>
    </row>
    <row r="1522" spans="1:29" x14ac:dyDescent="0.25">
      <c r="A1522" t="s">
        <v>1626</v>
      </c>
      <c r="B1522" t="s">
        <v>252</v>
      </c>
      <c r="C1522" t="s">
        <v>489</v>
      </c>
      <c r="D1522" t="s">
        <v>3209</v>
      </c>
      <c r="E1522" t="s">
        <v>3246</v>
      </c>
      <c r="F1522">
        <v>19501122</v>
      </c>
      <c r="G1522" t="s">
        <v>9332</v>
      </c>
      <c r="H1522" t="s">
        <v>242</v>
      </c>
      <c r="I1522" t="s">
        <v>242</v>
      </c>
      <c r="J1522" t="s">
        <v>242</v>
      </c>
      <c r="K1522" t="s">
        <v>241</v>
      </c>
      <c r="L1522" t="s">
        <v>242</v>
      </c>
      <c r="M1522">
        <v>38.686327259999999</v>
      </c>
      <c r="N1522">
        <v>-122.9533182</v>
      </c>
      <c r="O1522">
        <v>0</v>
      </c>
      <c r="P1522">
        <v>0</v>
      </c>
      <c r="Q1522">
        <v>1</v>
      </c>
      <c r="R1522">
        <v>1.3333333329999999</v>
      </c>
      <c r="S1522">
        <v>1.8333333329999999</v>
      </c>
      <c r="T1522">
        <v>3.6666666669999999</v>
      </c>
      <c r="U1522">
        <v>4.1666666670000003</v>
      </c>
      <c r="V1522">
        <v>4.3333333329999997</v>
      </c>
      <c r="W1522">
        <v>3.31</v>
      </c>
      <c r="X1522">
        <v>2.3533333330000001</v>
      </c>
      <c r="Y1522">
        <v>0</v>
      </c>
      <c r="Z1522">
        <v>0</v>
      </c>
      <c r="AA1522" t="s">
        <v>9335</v>
      </c>
      <c r="AB1522" t="s">
        <v>242</v>
      </c>
      <c r="AC1522" t="s">
        <v>3229</v>
      </c>
    </row>
    <row r="1523" spans="1:29" x14ac:dyDescent="0.25">
      <c r="A1523" t="s">
        <v>1632</v>
      </c>
      <c r="B1523" t="s">
        <v>252</v>
      </c>
      <c r="C1523" t="s">
        <v>489</v>
      </c>
      <c r="D1523" t="s">
        <v>3209</v>
      </c>
      <c r="E1523" t="s">
        <v>3246</v>
      </c>
      <c r="F1523">
        <v>19501122</v>
      </c>
      <c r="G1523" t="s">
        <v>9332</v>
      </c>
      <c r="H1523" t="s">
        <v>242</v>
      </c>
      <c r="I1523" t="s">
        <v>242</v>
      </c>
      <c r="J1523" t="s">
        <v>242</v>
      </c>
      <c r="K1523" t="s">
        <v>241</v>
      </c>
      <c r="L1523" t="s">
        <v>242</v>
      </c>
      <c r="M1523">
        <v>38.683101010000001</v>
      </c>
      <c r="N1523">
        <v>-122.9448668</v>
      </c>
      <c r="O1523">
        <v>0</v>
      </c>
      <c r="P1523">
        <v>0</v>
      </c>
      <c r="Q1523">
        <v>0</v>
      </c>
      <c r="R1523">
        <v>0.51523492999999998</v>
      </c>
      <c r="S1523">
        <v>0.89972037299999996</v>
      </c>
      <c r="T1523">
        <v>1.1946040490000001</v>
      </c>
      <c r="U1523">
        <v>2.2275167589999998</v>
      </c>
      <c r="V1523">
        <v>3.2273699499999999</v>
      </c>
      <c r="W1523">
        <v>3.985861753</v>
      </c>
      <c r="X1523">
        <v>2.2390945000000002</v>
      </c>
      <c r="Y1523">
        <v>0.36405546900000002</v>
      </c>
      <c r="Z1523">
        <v>0.19689493</v>
      </c>
      <c r="AA1523" t="s">
        <v>9335</v>
      </c>
      <c r="AB1523" t="s">
        <v>242</v>
      </c>
      <c r="AC1523" t="s">
        <v>3229</v>
      </c>
    </row>
    <row r="1524" spans="1:29" x14ac:dyDescent="0.25">
      <c r="A1524" t="s">
        <v>1624</v>
      </c>
      <c r="B1524" t="s">
        <v>252</v>
      </c>
      <c r="C1524" t="s">
        <v>489</v>
      </c>
      <c r="D1524" t="s">
        <v>3209</v>
      </c>
      <c r="E1524" t="s">
        <v>3246</v>
      </c>
      <c r="F1524">
        <v>19501122</v>
      </c>
      <c r="G1524" t="s">
        <v>9332</v>
      </c>
      <c r="H1524" t="s">
        <v>242</v>
      </c>
      <c r="I1524" t="s">
        <v>242</v>
      </c>
      <c r="J1524" t="s">
        <v>242</v>
      </c>
      <c r="K1524" t="s">
        <v>241</v>
      </c>
      <c r="L1524" t="s">
        <v>242</v>
      </c>
      <c r="M1524">
        <v>38.691272480000002</v>
      </c>
      <c r="N1524">
        <v>-122.953034</v>
      </c>
      <c r="O1524">
        <v>0</v>
      </c>
      <c r="P1524">
        <v>0</v>
      </c>
      <c r="Q1524">
        <v>0</v>
      </c>
      <c r="R1524">
        <v>0</v>
      </c>
      <c r="S1524">
        <v>1.0233333330000001</v>
      </c>
      <c r="T1524">
        <v>2.8910135989999999</v>
      </c>
      <c r="U1524">
        <v>5.0445998269999999</v>
      </c>
      <c r="V1524">
        <v>5.3773192720000003</v>
      </c>
      <c r="W1524">
        <v>5.6113964310000002</v>
      </c>
      <c r="X1524">
        <v>3.958292921</v>
      </c>
      <c r="Y1524">
        <v>0</v>
      </c>
      <c r="Z1524">
        <v>0</v>
      </c>
      <c r="AA1524" t="s">
        <v>9335</v>
      </c>
      <c r="AB1524" t="s">
        <v>242</v>
      </c>
      <c r="AC1524" t="s">
        <v>3229</v>
      </c>
    </row>
    <row r="1525" spans="1:29" x14ac:dyDescent="0.25">
      <c r="A1525" t="s">
        <v>1614</v>
      </c>
      <c r="B1525" t="s">
        <v>252</v>
      </c>
      <c r="C1525" t="s">
        <v>394</v>
      </c>
      <c r="D1525" t="s">
        <v>3209</v>
      </c>
      <c r="E1525" t="s">
        <v>3226</v>
      </c>
      <c r="F1525">
        <v>19501122</v>
      </c>
      <c r="G1525" t="s">
        <v>9338</v>
      </c>
      <c r="H1525" t="s">
        <v>242</v>
      </c>
      <c r="I1525" t="s">
        <v>242</v>
      </c>
      <c r="J1525" t="s">
        <v>242</v>
      </c>
      <c r="K1525" t="s">
        <v>241</v>
      </c>
      <c r="L1525" t="s">
        <v>242</v>
      </c>
      <c r="M1525">
        <v>38.601356600000003</v>
      </c>
      <c r="N1525">
        <v>-122.8786418</v>
      </c>
      <c r="O1525">
        <v>0</v>
      </c>
      <c r="P1525">
        <v>0</v>
      </c>
      <c r="Q1525">
        <v>0</v>
      </c>
      <c r="R1525">
        <v>10.88666667</v>
      </c>
      <c r="S1525">
        <v>41.16333333</v>
      </c>
      <c r="T1525">
        <v>34.26</v>
      </c>
      <c r="U1525">
        <v>33.33</v>
      </c>
      <c r="V1525">
        <v>25.45333333</v>
      </c>
      <c r="W1525">
        <v>31.846666670000001</v>
      </c>
      <c r="X1525">
        <v>25.34</v>
      </c>
      <c r="Y1525">
        <v>16.52</v>
      </c>
      <c r="Z1525">
        <v>0</v>
      </c>
      <c r="AA1525" t="s">
        <v>9336</v>
      </c>
      <c r="AB1525" t="s">
        <v>242</v>
      </c>
      <c r="AC1525" t="s">
        <v>3229</v>
      </c>
    </row>
    <row r="1526" spans="1:29" x14ac:dyDescent="0.25">
      <c r="A1526" t="s">
        <v>1677</v>
      </c>
      <c r="B1526" t="s">
        <v>252</v>
      </c>
      <c r="C1526" t="s">
        <v>378</v>
      </c>
      <c r="D1526" t="s">
        <v>3209</v>
      </c>
      <c r="E1526" t="s">
        <v>3246</v>
      </c>
      <c r="F1526">
        <v>19501204</v>
      </c>
      <c r="G1526" t="s">
        <v>9332</v>
      </c>
      <c r="H1526" t="s">
        <v>242</v>
      </c>
      <c r="I1526" t="s">
        <v>242</v>
      </c>
      <c r="J1526" t="s">
        <v>242</v>
      </c>
      <c r="K1526" t="s">
        <v>241</v>
      </c>
      <c r="L1526" t="s">
        <v>242</v>
      </c>
      <c r="M1526">
        <v>38.398699649999998</v>
      </c>
      <c r="N1526">
        <v>-122.635216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 t="s">
        <v>9342</v>
      </c>
      <c r="AB1526" t="s">
        <v>242</v>
      </c>
      <c r="AC1526" t="s">
        <v>3229</v>
      </c>
    </row>
    <row r="1527" spans="1:29" x14ac:dyDescent="0.25">
      <c r="A1527" t="s">
        <v>1678</v>
      </c>
      <c r="B1527" t="s">
        <v>252</v>
      </c>
      <c r="C1527" t="s">
        <v>391</v>
      </c>
      <c r="D1527" t="s">
        <v>3209</v>
      </c>
      <c r="E1527" t="s">
        <v>3246</v>
      </c>
      <c r="F1527">
        <v>19501218</v>
      </c>
      <c r="G1527" t="s">
        <v>9332</v>
      </c>
      <c r="H1527" t="s">
        <v>242</v>
      </c>
      <c r="I1527" t="s">
        <v>242</v>
      </c>
      <c r="J1527" t="s">
        <v>242</v>
      </c>
      <c r="K1527" t="s">
        <v>241</v>
      </c>
      <c r="L1527" t="s">
        <v>242</v>
      </c>
      <c r="M1527">
        <v>38.560955409999998</v>
      </c>
      <c r="N1527">
        <v>-122.7907622</v>
      </c>
      <c r="O1527">
        <v>3.733333333</v>
      </c>
      <c r="P1527">
        <v>2.233333333</v>
      </c>
      <c r="Q1527">
        <v>1.233333333</v>
      </c>
      <c r="R1527">
        <v>0.53333333299999997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0.66666666699999999</v>
      </c>
      <c r="Y1527">
        <v>2.1333333329999999</v>
      </c>
      <c r="Z1527">
        <v>4.7</v>
      </c>
      <c r="AA1527" t="s">
        <v>9335</v>
      </c>
      <c r="AB1527" t="s">
        <v>242</v>
      </c>
      <c r="AC1527" t="s">
        <v>3229</v>
      </c>
    </row>
    <row r="1528" spans="1:29" x14ac:dyDescent="0.25">
      <c r="A1528" t="s">
        <v>1593</v>
      </c>
      <c r="B1528" t="s">
        <v>252</v>
      </c>
      <c r="C1528" t="s">
        <v>493</v>
      </c>
      <c r="D1528" t="s">
        <v>3209</v>
      </c>
      <c r="E1528" t="s">
        <v>3246</v>
      </c>
      <c r="F1528">
        <v>19510122</v>
      </c>
      <c r="G1528" t="s">
        <v>9332</v>
      </c>
      <c r="H1528" t="s">
        <v>242</v>
      </c>
      <c r="I1528" t="s">
        <v>242</v>
      </c>
      <c r="J1528" t="s">
        <v>242</v>
      </c>
      <c r="K1528" t="s">
        <v>241</v>
      </c>
      <c r="L1528" t="s">
        <v>242</v>
      </c>
      <c r="M1528">
        <v>38.70519204</v>
      </c>
      <c r="N1528">
        <v>-122.9633833</v>
      </c>
      <c r="O1528">
        <v>0</v>
      </c>
      <c r="P1528">
        <v>0</v>
      </c>
      <c r="Q1528">
        <v>5.4830999999999998E-2</v>
      </c>
      <c r="R1528">
        <v>0.27006200000000002</v>
      </c>
      <c r="S1528">
        <v>0.123086</v>
      </c>
      <c r="T1528">
        <v>0.547083333</v>
      </c>
      <c r="U1528">
        <v>1.8209866669999999</v>
      </c>
      <c r="V1528">
        <v>1.887050667</v>
      </c>
      <c r="W1528">
        <v>1.187940333</v>
      </c>
      <c r="X1528">
        <v>5.4934999999999998E-2</v>
      </c>
      <c r="Y1528">
        <v>4.0920000000000002E-3</v>
      </c>
      <c r="Z1528">
        <v>0</v>
      </c>
      <c r="AA1528" t="s">
        <v>9335</v>
      </c>
      <c r="AB1528" t="s">
        <v>242</v>
      </c>
      <c r="AC1528" t="s">
        <v>3229</v>
      </c>
    </row>
    <row r="1529" spans="1:29" x14ac:dyDescent="0.25">
      <c r="A1529" t="s">
        <v>1603</v>
      </c>
      <c r="B1529" t="s">
        <v>252</v>
      </c>
      <c r="C1529" t="s">
        <v>352</v>
      </c>
      <c r="D1529" t="s">
        <v>3209</v>
      </c>
      <c r="E1529" t="s">
        <v>3246</v>
      </c>
      <c r="F1529">
        <v>19510305</v>
      </c>
      <c r="G1529" t="s">
        <v>9334</v>
      </c>
      <c r="H1529" t="s">
        <v>241</v>
      </c>
      <c r="I1529" t="s">
        <v>242</v>
      </c>
      <c r="J1529" t="s">
        <v>242</v>
      </c>
      <c r="K1529" t="s">
        <v>241</v>
      </c>
      <c r="L1529" t="s">
        <v>242</v>
      </c>
      <c r="M1529">
        <v>38.517800000000001</v>
      </c>
      <c r="N1529">
        <v>-122.8815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 t="s">
        <v>9335</v>
      </c>
      <c r="AB1529" t="s">
        <v>242</v>
      </c>
      <c r="AC1529" t="s">
        <v>3229</v>
      </c>
    </row>
    <row r="1530" spans="1:29" x14ac:dyDescent="0.25">
      <c r="A1530" t="s">
        <v>1604</v>
      </c>
      <c r="B1530" t="s">
        <v>252</v>
      </c>
      <c r="C1530" t="s">
        <v>486</v>
      </c>
      <c r="D1530" t="s">
        <v>3209</v>
      </c>
      <c r="E1530" t="s">
        <v>3246</v>
      </c>
      <c r="F1530">
        <v>19510321</v>
      </c>
      <c r="G1530" t="s">
        <v>9332</v>
      </c>
      <c r="H1530" t="s">
        <v>241</v>
      </c>
      <c r="I1530" t="s">
        <v>242</v>
      </c>
      <c r="J1530" t="s">
        <v>242</v>
      </c>
      <c r="K1530" t="s">
        <v>241</v>
      </c>
      <c r="L1530" t="s">
        <v>242</v>
      </c>
      <c r="M1530">
        <v>38.549200079999999</v>
      </c>
      <c r="N1530">
        <v>-122.8605689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 t="s">
        <v>9335</v>
      </c>
      <c r="AB1530" t="s">
        <v>242</v>
      </c>
      <c r="AC1530" t="s">
        <v>3229</v>
      </c>
    </row>
    <row r="1531" spans="1:29" x14ac:dyDescent="0.25">
      <c r="A1531" t="s">
        <v>1589</v>
      </c>
      <c r="B1531" t="s">
        <v>252</v>
      </c>
      <c r="C1531" t="s">
        <v>486</v>
      </c>
      <c r="D1531" t="s">
        <v>3209</v>
      </c>
      <c r="E1531" t="s">
        <v>3246</v>
      </c>
      <c r="F1531">
        <v>19510605</v>
      </c>
      <c r="G1531" t="s">
        <v>9332</v>
      </c>
      <c r="H1531" t="s">
        <v>241</v>
      </c>
      <c r="I1531" t="s">
        <v>242</v>
      </c>
      <c r="J1531" t="s">
        <v>242</v>
      </c>
      <c r="K1531" t="s">
        <v>241</v>
      </c>
      <c r="L1531" t="s">
        <v>242</v>
      </c>
      <c r="M1531">
        <v>38.564954</v>
      </c>
      <c r="N1531">
        <v>-122.8467684</v>
      </c>
      <c r="O1531">
        <v>0</v>
      </c>
      <c r="P1531">
        <v>0</v>
      </c>
      <c r="Q1531">
        <v>0</v>
      </c>
      <c r="R1531">
        <v>0.63333333300000005</v>
      </c>
      <c r="S1531">
        <v>0</v>
      </c>
      <c r="T1531">
        <v>4.5666666669999998</v>
      </c>
      <c r="U1531">
        <v>16.166666670000001</v>
      </c>
      <c r="V1531">
        <v>25</v>
      </c>
      <c r="W1531">
        <v>3.6333333329999999</v>
      </c>
      <c r="X1531">
        <v>0</v>
      </c>
      <c r="Y1531">
        <v>0</v>
      </c>
      <c r="Z1531">
        <v>0</v>
      </c>
      <c r="AA1531" t="s">
        <v>9335</v>
      </c>
      <c r="AB1531" t="s">
        <v>242</v>
      </c>
      <c r="AC1531" t="s">
        <v>3229</v>
      </c>
    </row>
    <row r="1532" spans="1:29" x14ac:dyDescent="0.25">
      <c r="A1532" t="s">
        <v>1608</v>
      </c>
      <c r="B1532" t="s">
        <v>252</v>
      </c>
      <c r="C1532" t="s">
        <v>391</v>
      </c>
      <c r="D1532" t="s">
        <v>3209</v>
      </c>
      <c r="E1532" t="s">
        <v>3246</v>
      </c>
      <c r="F1532">
        <v>19510625</v>
      </c>
      <c r="G1532" t="s">
        <v>9332</v>
      </c>
      <c r="H1532" t="s">
        <v>242</v>
      </c>
      <c r="I1532" t="s">
        <v>242</v>
      </c>
      <c r="J1532" t="s">
        <v>242</v>
      </c>
      <c r="K1532" t="s">
        <v>241</v>
      </c>
      <c r="L1532" t="s">
        <v>242</v>
      </c>
      <c r="M1532">
        <v>38.563767519999999</v>
      </c>
      <c r="N1532">
        <v>-122.7810003</v>
      </c>
      <c r="O1532">
        <v>13.9</v>
      </c>
      <c r="P1532">
        <v>25.233333330000001</v>
      </c>
      <c r="Q1532">
        <v>1.5333333330000001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0.73333333300000003</v>
      </c>
      <c r="Z1532">
        <v>6.1333333330000004</v>
      </c>
      <c r="AA1532" t="s">
        <v>9335</v>
      </c>
      <c r="AB1532" t="s">
        <v>242</v>
      </c>
      <c r="AC1532" t="s">
        <v>3229</v>
      </c>
    </row>
    <row r="1533" spans="1:29" x14ac:dyDescent="0.25">
      <c r="A1533" t="s">
        <v>1609</v>
      </c>
      <c r="B1533" t="s">
        <v>252</v>
      </c>
      <c r="C1533" t="s">
        <v>323</v>
      </c>
      <c r="D1533" t="s">
        <v>3209</v>
      </c>
      <c r="E1533" t="s">
        <v>3246</v>
      </c>
      <c r="F1533">
        <v>19510629</v>
      </c>
      <c r="G1533" t="s">
        <v>9332</v>
      </c>
      <c r="H1533" t="s">
        <v>242</v>
      </c>
      <c r="I1533" t="s">
        <v>242</v>
      </c>
      <c r="J1533" t="s">
        <v>242</v>
      </c>
      <c r="K1533" t="s">
        <v>241</v>
      </c>
      <c r="L1533" t="s">
        <v>242</v>
      </c>
      <c r="M1533">
        <v>38.518700430000003</v>
      </c>
      <c r="N1533">
        <v>-122.65774620000001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 t="s">
        <v>9335</v>
      </c>
      <c r="AB1533" t="s">
        <v>242</v>
      </c>
      <c r="AC1533" t="s">
        <v>3229</v>
      </c>
    </row>
    <row r="1534" spans="1:29" x14ac:dyDescent="0.25">
      <c r="A1534" t="s">
        <v>1612</v>
      </c>
      <c r="B1534" t="s">
        <v>252</v>
      </c>
      <c r="C1534" t="s">
        <v>486</v>
      </c>
      <c r="D1534" t="s">
        <v>3209</v>
      </c>
      <c r="E1534" t="s">
        <v>3246</v>
      </c>
      <c r="F1534">
        <v>19511005</v>
      </c>
      <c r="G1534" t="s">
        <v>9332</v>
      </c>
      <c r="H1534" t="s">
        <v>242</v>
      </c>
      <c r="I1534" t="s">
        <v>242</v>
      </c>
      <c r="J1534" t="s">
        <v>242</v>
      </c>
      <c r="K1534" t="s">
        <v>241</v>
      </c>
      <c r="L1534" t="s">
        <v>242</v>
      </c>
      <c r="M1534">
        <v>38.585032120000001</v>
      </c>
      <c r="N1534">
        <v>-122.8232161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1</v>
      </c>
      <c r="Y1534">
        <v>1</v>
      </c>
      <c r="Z1534">
        <v>1.3333333329999999</v>
      </c>
      <c r="AA1534" t="s">
        <v>9342</v>
      </c>
      <c r="AB1534" t="s">
        <v>242</v>
      </c>
      <c r="AC1534" t="s">
        <v>3229</v>
      </c>
    </row>
    <row r="1535" spans="1:29" x14ac:dyDescent="0.25">
      <c r="A1535" t="s">
        <v>1597</v>
      </c>
      <c r="B1535" t="s">
        <v>252</v>
      </c>
      <c r="C1535" t="s">
        <v>352</v>
      </c>
      <c r="D1535" t="s">
        <v>3209</v>
      </c>
      <c r="E1535" t="s">
        <v>3246</v>
      </c>
      <c r="F1535">
        <v>19511217</v>
      </c>
      <c r="G1535" t="s">
        <v>9332</v>
      </c>
      <c r="H1535" t="s">
        <v>241</v>
      </c>
      <c r="I1535" t="s">
        <v>242</v>
      </c>
      <c r="J1535" t="s">
        <v>242</v>
      </c>
      <c r="K1535" t="s">
        <v>241</v>
      </c>
      <c r="L1535" t="s">
        <v>242</v>
      </c>
      <c r="M1535">
        <v>38.500130319999997</v>
      </c>
      <c r="N1535">
        <v>-122.8858369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3.3333333E-2</v>
      </c>
      <c r="V1535">
        <v>6.6666666999999999E-2</v>
      </c>
      <c r="W1535">
        <v>0</v>
      </c>
      <c r="X1535">
        <v>0</v>
      </c>
      <c r="Y1535">
        <v>0</v>
      </c>
      <c r="Z1535">
        <v>0</v>
      </c>
      <c r="AA1535" t="s">
        <v>9335</v>
      </c>
      <c r="AB1535" t="s">
        <v>242</v>
      </c>
      <c r="AC1535" t="s">
        <v>3229</v>
      </c>
    </row>
    <row r="1536" spans="1:29" x14ac:dyDescent="0.25">
      <c r="A1536" t="s">
        <v>1571</v>
      </c>
      <c r="B1536" t="s">
        <v>252</v>
      </c>
      <c r="C1536" t="s">
        <v>486</v>
      </c>
      <c r="D1536" t="s">
        <v>3209</v>
      </c>
      <c r="E1536" t="s">
        <v>3246</v>
      </c>
      <c r="F1536">
        <v>19520414</v>
      </c>
      <c r="G1536" t="s">
        <v>9332</v>
      </c>
      <c r="H1536" t="s">
        <v>241</v>
      </c>
      <c r="I1536" t="s">
        <v>242</v>
      </c>
      <c r="J1536" t="s">
        <v>242</v>
      </c>
      <c r="K1536" t="s">
        <v>241</v>
      </c>
      <c r="L1536" t="s">
        <v>242</v>
      </c>
      <c r="M1536">
        <v>38.545105980000002</v>
      </c>
      <c r="N1536">
        <v>-122.85719779999999</v>
      </c>
      <c r="O1536">
        <v>0</v>
      </c>
      <c r="P1536">
        <v>0</v>
      </c>
      <c r="Q1536">
        <v>0</v>
      </c>
      <c r="R1536">
        <v>0</v>
      </c>
      <c r="S1536">
        <v>2.3333333330000001</v>
      </c>
      <c r="T1536">
        <v>0.86666666699999995</v>
      </c>
      <c r="U1536">
        <v>2.5666666669999998</v>
      </c>
      <c r="V1536">
        <v>0.66666666699999999</v>
      </c>
      <c r="W1536">
        <v>0.5</v>
      </c>
      <c r="X1536">
        <v>0.1</v>
      </c>
      <c r="Y1536">
        <v>0</v>
      </c>
      <c r="Z1536">
        <v>0</v>
      </c>
      <c r="AA1536" t="s">
        <v>9335</v>
      </c>
      <c r="AB1536" t="s">
        <v>242</v>
      </c>
      <c r="AC1536" t="s">
        <v>3229</v>
      </c>
    </row>
    <row r="1537" spans="1:29" x14ac:dyDescent="0.25">
      <c r="A1537" t="s">
        <v>1577</v>
      </c>
      <c r="B1537" t="s">
        <v>252</v>
      </c>
      <c r="C1537" t="s">
        <v>486</v>
      </c>
      <c r="D1537" t="s">
        <v>3209</v>
      </c>
      <c r="E1537" t="s">
        <v>3246</v>
      </c>
      <c r="F1537">
        <v>19520418</v>
      </c>
      <c r="G1537" t="s">
        <v>9332</v>
      </c>
      <c r="H1537" t="s">
        <v>241</v>
      </c>
      <c r="I1537" t="s">
        <v>242</v>
      </c>
      <c r="J1537" t="s">
        <v>242</v>
      </c>
      <c r="K1537" t="s">
        <v>241</v>
      </c>
      <c r="L1537" t="s">
        <v>242</v>
      </c>
      <c r="M1537">
        <v>38.559131440000002</v>
      </c>
      <c r="N1537">
        <v>-122.85439340000001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 t="s">
        <v>9335</v>
      </c>
      <c r="AB1537" t="s">
        <v>242</v>
      </c>
      <c r="AC1537" t="s">
        <v>3229</v>
      </c>
    </row>
    <row r="1538" spans="1:29" x14ac:dyDescent="0.25">
      <c r="A1538" t="s">
        <v>1578</v>
      </c>
      <c r="B1538" t="s">
        <v>252</v>
      </c>
      <c r="C1538" t="s">
        <v>378</v>
      </c>
      <c r="D1538" t="s">
        <v>3209</v>
      </c>
      <c r="E1538" t="s">
        <v>3246</v>
      </c>
      <c r="F1538">
        <v>19520421</v>
      </c>
      <c r="G1538" t="s">
        <v>9332</v>
      </c>
      <c r="H1538" t="s">
        <v>242</v>
      </c>
      <c r="I1538" t="s">
        <v>242</v>
      </c>
      <c r="J1538" t="s">
        <v>242</v>
      </c>
      <c r="K1538" t="s">
        <v>241</v>
      </c>
      <c r="L1538" t="s">
        <v>242</v>
      </c>
      <c r="M1538">
        <v>38.390846590000002</v>
      </c>
      <c r="N1538">
        <v>-122.6336221</v>
      </c>
      <c r="O1538">
        <v>2.8333333330000001</v>
      </c>
      <c r="P1538">
        <v>1.3333333329999999</v>
      </c>
      <c r="Q1538">
        <v>1.5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1</v>
      </c>
      <c r="Z1538">
        <v>1</v>
      </c>
      <c r="AA1538" t="s">
        <v>9335</v>
      </c>
      <c r="AB1538" t="s">
        <v>242</v>
      </c>
      <c r="AC1538" t="s">
        <v>3229</v>
      </c>
    </row>
    <row r="1539" spans="1:29" x14ac:dyDescent="0.25">
      <c r="A1539" t="s">
        <v>1579</v>
      </c>
      <c r="B1539" t="s">
        <v>252</v>
      </c>
      <c r="C1539" t="s">
        <v>378</v>
      </c>
      <c r="D1539" t="s">
        <v>3209</v>
      </c>
      <c r="E1539" t="s">
        <v>3246</v>
      </c>
      <c r="F1539">
        <v>19520507</v>
      </c>
      <c r="G1539" t="s">
        <v>9332</v>
      </c>
      <c r="H1539" t="s">
        <v>242</v>
      </c>
      <c r="I1539" t="s">
        <v>242</v>
      </c>
      <c r="J1539" t="s">
        <v>242</v>
      </c>
      <c r="K1539" t="s">
        <v>241</v>
      </c>
      <c r="L1539" t="s">
        <v>242</v>
      </c>
      <c r="M1539">
        <v>38.4467</v>
      </c>
      <c r="N1539">
        <v>-122.5996</v>
      </c>
      <c r="O1539">
        <v>11.66666667</v>
      </c>
      <c r="P1539">
        <v>5</v>
      </c>
      <c r="Q1539">
        <v>4.3333333329999997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 t="s">
        <v>9335</v>
      </c>
      <c r="AB1539" t="s">
        <v>242</v>
      </c>
      <c r="AC1539" t="s">
        <v>3229</v>
      </c>
    </row>
    <row r="1540" spans="1:29" x14ac:dyDescent="0.25">
      <c r="A1540" t="s">
        <v>1583</v>
      </c>
      <c r="B1540" t="s">
        <v>252</v>
      </c>
      <c r="C1540" t="s">
        <v>323</v>
      </c>
      <c r="D1540" t="s">
        <v>3209</v>
      </c>
      <c r="E1540" t="s">
        <v>3246</v>
      </c>
      <c r="F1540">
        <v>19520623</v>
      </c>
      <c r="G1540" t="s">
        <v>9332</v>
      </c>
      <c r="H1540" t="s">
        <v>242</v>
      </c>
      <c r="I1540" t="s">
        <v>242</v>
      </c>
      <c r="J1540" t="s">
        <v>242</v>
      </c>
      <c r="K1540" t="s">
        <v>241</v>
      </c>
      <c r="L1540" t="s">
        <v>242</v>
      </c>
      <c r="M1540">
        <v>38.493527780000001</v>
      </c>
      <c r="N1540">
        <v>-122.7299177</v>
      </c>
      <c r="O1540">
        <v>0</v>
      </c>
      <c r="P1540">
        <v>0.2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 t="s">
        <v>9335</v>
      </c>
      <c r="AB1540" t="s">
        <v>242</v>
      </c>
      <c r="AC1540" t="s">
        <v>3229</v>
      </c>
    </row>
    <row r="1541" spans="1:29" x14ac:dyDescent="0.25">
      <c r="A1541" t="s">
        <v>1568</v>
      </c>
      <c r="B1541" t="s">
        <v>252</v>
      </c>
      <c r="C1541" t="s">
        <v>486</v>
      </c>
      <c r="D1541" t="s">
        <v>3209</v>
      </c>
      <c r="E1541" t="s">
        <v>3246</v>
      </c>
      <c r="F1541">
        <v>19520724</v>
      </c>
      <c r="G1541" t="s">
        <v>9332</v>
      </c>
      <c r="H1541" t="s">
        <v>241</v>
      </c>
      <c r="I1541" t="s">
        <v>242</v>
      </c>
      <c r="J1541" t="s">
        <v>242</v>
      </c>
      <c r="K1541" t="s">
        <v>241</v>
      </c>
      <c r="L1541" t="s">
        <v>242</v>
      </c>
      <c r="M1541">
        <v>38.542079149999999</v>
      </c>
      <c r="N1541">
        <v>-122.8580355</v>
      </c>
      <c r="O1541">
        <v>0</v>
      </c>
      <c r="P1541">
        <v>0</v>
      </c>
      <c r="Q1541">
        <v>0</v>
      </c>
      <c r="R1541">
        <v>0</v>
      </c>
      <c r="S1541">
        <v>1.3333333329999999</v>
      </c>
      <c r="T1541">
        <v>4.8</v>
      </c>
      <c r="U1541">
        <v>5.2</v>
      </c>
      <c r="V1541">
        <v>4.5666666669999998</v>
      </c>
      <c r="W1541">
        <v>1.3333333329999999</v>
      </c>
      <c r="X1541">
        <v>0.133333333</v>
      </c>
      <c r="Y1541">
        <v>0</v>
      </c>
      <c r="Z1541">
        <v>0</v>
      </c>
      <c r="AA1541" t="s">
        <v>9335</v>
      </c>
      <c r="AB1541" t="s">
        <v>242</v>
      </c>
      <c r="AC1541" t="s">
        <v>3229</v>
      </c>
    </row>
    <row r="1542" spans="1:29" x14ac:dyDescent="0.25">
      <c r="A1542" t="s">
        <v>1586</v>
      </c>
      <c r="B1542" t="s">
        <v>252</v>
      </c>
      <c r="C1542" t="s">
        <v>486</v>
      </c>
      <c r="D1542" t="s">
        <v>3209</v>
      </c>
      <c r="E1542" t="s">
        <v>3246</v>
      </c>
      <c r="F1542">
        <v>19520730</v>
      </c>
      <c r="G1542" t="s">
        <v>9332</v>
      </c>
      <c r="H1542" t="s">
        <v>241</v>
      </c>
      <c r="I1542" t="s">
        <v>242</v>
      </c>
      <c r="J1542" t="s">
        <v>242</v>
      </c>
      <c r="K1542" t="s">
        <v>241</v>
      </c>
      <c r="L1542" t="s">
        <v>242</v>
      </c>
      <c r="M1542">
        <v>38.529194560000001</v>
      </c>
      <c r="N1542">
        <v>-122.85508400000001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 t="s">
        <v>9335</v>
      </c>
      <c r="AB1542" t="s">
        <v>242</v>
      </c>
      <c r="AC1542" t="s">
        <v>3229</v>
      </c>
    </row>
    <row r="1543" spans="1:29" x14ac:dyDescent="0.25">
      <c r="A1543" t="s">
        <v>1587</v>
      </c>
      <c r="B1543" t="s">
        <v>252</v>
      </c>
      <c r="C1543" t="s">
        <v>725</v>
      </c>
      <c r="D1543" t="s">
        <v>3209</v>
      </c>
      <c r="E1543" t="s">
        <v>3246</v>
      </c>
      <c r="F1543">
        <v>19520813</v>
      </c>
      <c r="G1543" t="s">
        <v>9332</v>
      </c>
      <c r="H1543" t="s">
        <v>242</v>
      </c>
      <c r="I1543" t="s">
        <v>242</v>
      </c>
      <c r="J1543" t="s">
        <v>242</v>
      </c>
      <c r="K1543" t="s">
        <v>241</v>
      </c>
      <c r="L1543" t="s">
        <v>242</v>
      </c>
      <c r="M1543">
        <v>38.484261940000003</v>
      </c>
      <c r="N1543">
        <v>-122.7186437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 t="s">
        <v>9335</v>
      </c>
      <c r="AB1543" t="s">
        <v>242</v>
      </c>
      <c r="AC1543" t="s">
        <v>3229</v>
      </c>
    </row>
    <row r="1544" spans="1:29" x14ac:dyDescent="0.25">
      <c r="A1544" t="s">
        <v>1554</v>
      </c>
      <c r="B1544" t="s">
        <v>252</v>
      </c>
      <c r="C1544" t="s">
        <v>391</v>
      </c>
      <c r="D1544" t="s">
        <v>3209</v>
      </c>
      <c r="E1544" t="s">
        <v>3246</v>
      </c>
      <c r="F1544">
        <v>19530211</v>
      </c>
      <c r="G1544" t="s">
        <v>9332</v>
      </c>
      <c r="H1544" t="s">
        <v>242</v>
      </c>
      <c r="I1544" t="s">
        <v>242</v>
      </c>
      <c r="J1544" t="s">
        <v>242</v>
      </c>
      <c r="K1544" t="s">
        <v>241</v>
      </c>
      <c r="L1544" t="s">
        <v>242</v>
      </c>
      <c r="M1544">
        <v>38.567707230000003</v>
      </c>
      <c r="N1544">
        <v>-122.7667027</v>
      </c>
      <c r="O1544">
        <v>4.3333333329999997</v>
      </c>
      <c r="P1544">
        <v>19.2</v>
      </c>
      <c r="Q1544">
        <v>3.8666666670000001</v>
      </c>
      <c r="R1544">
        <v>2.9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4.4333333330000002</v>
      </c>
      <c r="AA1544" t="s">
        <v>9335</v>
      </c>
      <c r="AB1544" t="s">
        <v>242</v>
      </c>
      <c r="AC1544" t="s">
        <v>3229</v>
      </c>
    </row>
    <row r="1545" spans="1:29" x14ac:dyDescent="0.25">
      <c r="A1545" t="s">
        <v>1556</v>
      </c>
      <c r="B1545" t="s">
        <v>252</v>
      </c>
      <c r="C1545" t="s">
        <v>486</v>
      </c>
      <c r="D1545" t="s">
        <v>3209</v>
      </c>
      <c r="E1545" t="s">
        <v>3246</v>
      </c>
      <c r="F1545">
        <v>19530316</v>
      </c>
      <c r="G1545" t="s">
        <v>9332</v>
      </c>
      <c r="H1545" t="s">
        <v>242</v>
      </c>
      <c r="I1545" t="s">
        <v>242</v>
      </c>
      <c r="J1545" t="s">
        <v>242</v>
      </c>
      <c r="K1545" t="s">
        <v>241</v>
      </c>
      <c r="L1545" t="s">
        <v>242</v>
      </c>
      <c r="M1545">
        <v>38.572256699999997</v>
      </c>
      <c r="N1545">
        <v>-122.82411810000001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4</v>
      </c>
      <c r="Z1545">
        <v>4</v>
      </c>
      <c r="AA1545" t="s">
        <v>9335</v>
      </c>
      <c r="AB1545" t="s">
        <v>242</v>
      </c>
      <c r="AC1545" t="s">
        <v>3229</v>
      </c>
    </row>
    <row r="1546" spans="1:29" x14ac:dyDescent="0.25">
      <c r="A1546" t="s">
        <v>1557</v>
      </c>
      <c r="B1546" t="s">
        <v>252</v>
      </c>
      <c r="C1546" t="s">
        <v>394</v>
      </c>
      <c r="D1546" t="s">
        <v>3209</v>
      </c>
      <c r="E1546" t="s">
        <v>3246</v>
      </c>
      <c r="F1546">
        <v>19530417</v>
      </c>
      <c r="G1546" t="s">
        <v>9332</v>
      </c>
      <c r="H1546" t="s">
        <v>242</v>
      </c>
      <c r="I1546" t="s">
        <v>242</v>
      </c>
      <c r="J1546" t="s">
        <v>242</v>
      </c>
      <c r="K1546" t="s">
        <v>241</v>
      </c>
      <c r="L1546" t="s">
        <v>242</v>
      </c>
      <c r="M1546">
        <v>38.600465020000001</v>
      </c>
      <c r="N1546">
        <v>-122.9423729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 t="s">
        <v>9333</v>
      </c>
      <c r="AB1546" t="s">
        <v>242</v>
      </c>
      <c r="AC1546" t="s">
        <v>3229</v>
      </c>
    </row>
    <row r="1547" spans="1:29" x14ac:dyDescent="0.25">
      <c r="A1547" t="s">
        <v>1542</v>
      </c>
      <c r="B1547" t="s">
        <v>252</v>
      </c>
      <c r="C1547" t="s">
        <v>489</v>
      </c>
      <c r="D1547" t="s">
        <v>3209</v>
      </c>
      <c r="E1547" t="s">
        <v>3246</v>
      </c>
      <c r="F1547">
        <v>19530518</v>
      </c>
      <c r="G1547" t="s">
        <v>9332</v>
      </c>
      <c r="H1547" t="s">
        <v>242</v>
      </c>
      <c r="I1547" t="s">
        <v>242</v>
      </c>
      <c r="J1547" t="s">
        <v>242</v>
      </c>
      <c r="K1547" t="s">
        <v>241</v>
      </c>
      <c r="L1547" t="s">
        <v>242</v>
      </c>
      <c r="M1547">
        <v>38.686327259999999</v>
      </c>
      <c r="N1547">
        <v>-122.9533182</v>
      </c>
      <c r="O1547">
        <v>0</v>
      </c>
      <c r="P1547">
        <v>0</v>
      </c>
      <c r="Q1547">
        <v>0.66666666699999999</v>
      </c>
      <c r="R1547">
        <v>0.83333333300000001</v>
      </c>
      <c r="S1547">
        <v>1.6666666670000001</v>
      </c>
      <c r="T1547">
        <v>3.1</v>
      </c>
      <c r="U1547">
        <v>3.266666667</v>
      </c>
      <c r="V1547">
        <v>3.1666666669999999</v>
      </c>
      <c r="W1547">
        <v>2.5</v>
      </c>
      <c r="X1547">
        <v>2</v>
      </c>
      <c r="Y1547">
        <v>0</v>
      </c>
      <c r="Z1547">
        <v>0</v>
      </c>
      <c r="AA1547" t="s">
        <v>9335</v>
      </c>
      <c r="AB1547" t="s">
        <v>242</v>
      </c>
      <c r="AC1547" t="s">
        <v>3229</v>
      </c>
    </row>
    <row r="1548" spans="1:29" x14ac:dyDescent="0.25">
      <c r="A1548" t="s">
        <v>1560</v>
      </c>
      <c r="B1548" t="s">
        <v>252</v>
      </c>
      <c r="C1548" t="s">
        <v>391</v>
      </c>
      <c r="D1548" t="s">
        <v>3209</v>
      </c>
      <c r="E1548" t="s">
        <v>3246</v>
      </c>
      <c r="F1548">
        <v>19530831</v>
      </c>
      <c r="G1548" t="s">
        <v>9332</v>
      </c>
      <c r="H1548" t="s">
        <v>242</v>
      </c>
      <c r="I1548" t="s">
        <v>242</v>
      </c>
      <c r="J1548" t="s">
        <v>242</v>
      </c>
      <c r="K1548" t="s">
        <v>241</v>
      </c>
      <c r="L1548" t="s">
        <v>242</v>
      </c>
      <c r="M1548">
        <v>38.584268520000002</v>
      </c>
      <c r="N1548">
        <v>-122.79486900000001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 t="s">
        <v>9335</v>
      </c>
      <c r="AB1548" t="s">
        <v>242</v>
      </c>
      <c r="AC1548" t="s">
        <v>3229</v>
      </c>
    </row>
    <row r="1549" spans="1:29" x14ac:dyDescent="0.25">
      <c r="A1549" t="s">
        <v>1548</v>
      </c>
      <c r="B1549" t="s">
        <v>252</v>
      </c>
      <c r="C1549" t="s">
        <v>391</v>
      </c>
      <c r="D1549" t="s">
        <v>3209</v>
      </c>
      <c r="E1549" t="s">
        <v>3246</v>
      </c>
      <c r="F1549">
        <v>19531109</v>
      </c>
      <c r="G1549" t="s">
        <v>9338</v>
      </c>
      <c r="H1549" t="s">
        <v>242</v>
      </c>
      <c r="I1549" t="s">
        <v>242</v>
      </c>
      <c r="J1549" t="s">
        <v>242</v>
      </c>
      <c r="K1549" t="s">
        <v>241</v>
      </c>
      <c r="L1549" t="s">
        <v>242</v>
      </c>
      <c r="M1549">
        <v>38.571594529999999</v>
      </c>
      <c r="N1549">
        <v>-122.80102410000001</v>
      </c>
      <c r="O1549">
        <v>11.6</v>
      </c>
      <c r="P1549">
        <v>1.1000000000000001</v>
      </c>
      <c r="Q1549">
        <v>8</v>
      </c>
      <c r="R1549">
        <v>0</v>
      </c>
      <c r="S1549">
        <v>0.233333333</v>
      </c>
      <c r="T1549">
        <v>0</v>
      </c>
      <c r="U1549">
        <v>0</v>
      </c>
      <c r="V1549">
        <v>0</v>
      </c>
      <c r="W1549">
        <v>0</v>
      </c>
      <c r="X1549">
        <v>2</v>
      </c>
      <c r="Y1549">
        <v>1.8666666670000001</v>
      </c>
      <c r="Z1549">
        <v>10.06666667</v>
      </c>
      <c r="AA1549" t="s">
        <v>9335</v>
      </c>
      <c r="AB1549" t="s">
        <v>242</v>
      </c>
      <c r="AC1549" t="s">
        <v>3229</v>
      </c>
    </row>
    <row r="1550" spans="1:29" x14ac:dyDescent="0.25">
      <c r="A1550" t="s">
        <v>1562</v>
      </c>
      <c r="B1550" t="s">
        <v>252</v>
      </c>
      <c r="C1550" t="s">
        <v>394</v>
      </c>
      <c r="D1550" t="s">
        <v>3209</v>
      </c>
      <c r="E1550" t="s">
        <v>3246</v>
      </c>
      <c r="F1550">
        <v>19531130</v>
      </c>
      <c r="G1550" t="s">
        <v>9332</v>
      </c>
      <c r="H1550" t="s">
        <v>242</v>
      </c>
      <c r="I1550" t="s">
        <v>242</v>
      </c>
      <c r="J1550" t="s">
        <v>242</v>
      </c>
      <c r="K1550" t="s">
        <v>241</v>
      </c>
      <c r="L1550" t="s">
        <v>242</v>
      </c>
      <c r="M1550">
        <v>38.651600000000002</v>
      </c>
      <c r="N1550">
        <v>-122.9012</v>
      </c>
      <c r="O1550">
        <v>1</v>
      </c>
      <c r="P1550">
        <v>0.66666666699999999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1.6666666670000001</v>
      </c>
      <c r="Z1550">
        <v>3.6666666669999999</v>
      </c>
      <c r="AA1550" t="s">
        <v>9341</v>
      </c>
      <c r="AB1550" t="s">
        <v>242</v>
      </c>
      <c r="AC1550" t="s">
        <v>3229</v>
      </c>
    </row>
    <row r="1551" spans="1:29" x14ac:dyDescent="0.25">
      <c r="A1551" t="s">
        <v>1531</v>
      </c>
      <c r="B1551" t="s">
        <v>252</v>
      </c>
      <c r="C1551" t="s">
        <v>1118</v>
      </c>
      <c r="D1551" t="s">
        <v>3209</v>
      </c>
      <c r="E1551" t="s">
        <v>3246</v>
      </c>
      <c r="F1551">
        <v>19540115</v>
      </c>
      <c r="G1551" t="s">
        <v>9334</v>
      </c>
      <c r="H1551" t="s">
        <v>242</v>
      </c>
      <c r="I1551" t="s">
        <v>242</v>
      </c>
      <c r="J1551" t="s">
        <v>242</v>
      </c>
      <c r="K1551" t="s">
        <v>241</v>
      </c>
      <c r="L1551" t="s">
        <v>242</v>
      </c>
      <c r="M1551">
        <v>38.4313255</v>
      </c>
      <c r="N1551">
        <v>-122.8326192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 t="s">
        <v>9342</v>
      </c>
      <c r="AB1551" t="s">
        <v>242</v>
      </c>
      <c r="AC1551" t="s">
        <v>3229</v>
      </c>
    </row>
    <row r="1552" spans="1:29" x14ac:dyDescent="0.25">
      <c r="A1552" t="s">
        <v>1533</v>
      </c>
      <c r="B1552" t="s">
        <v>252</v>
      </c>
      <c r="C1552" t="s">
        <v>323</v>
      </c>
      <c r="D1552" t="s">
        <v>3209</v>
      </c>
      <c r="E1552" t="s">
        <v>3246</v>
      </c>
      <c r="F1552">
        <v>19540209</v>
      </c>
      <c r="G1552" t="s">
        <v>9332</v>
      </c>
      <c r="H1552" t="s">
        <v>242</v>
      </c>
      <c r="I1552" t="s">
        <v>242</v>
      </c>
      <c r="J1552" t="s">
        <v>242</v>
      </c>
      <c r="K1552" t="s">
        <v>241</v>
      </c>
      <c r="L1552" t="s">
        <v>242</v>
      </c>
      <c r="M1552">
        <v>38.517537709999999</v>
      </c>
      <c r="N1552">
        <v>-122.61447200000001</v>
      </c>
      <c r="O1552">
        <v>0.4</v>
      </c>
      <c r="P1552">
        <v>0.133333333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0.26666666700000002</v>
      </c>
      <c r="Y1552">
        <v>0.16666666699999999</v>
      </c>
      <c r="Z1552">
        <v>1.0333333330000001</v>
      </c>
      <c r="AA1552" t="s">
        <v>9335</v>
      </c>
      <c r="AB1552" t="s">
        <v>242</v>
      </c>
      <c r="AC1552" t="s">
        <v>3229</v>
      </c>
    </row>
    <row r="1553" spans="1:29" x14ac:dyDescent="0.25">
      <c r="A1553" t="s">
        <v>1524</v>
      </c>
      <c r="B1553" t="s">
        <v>252</v>
      </c>
      <c r="C1553" t="s">
        <v>323</v>
      </c>
      <c r="D1553" t="s">
        <v>3209</v>
      </c>
      <c r="E1553" t="s">
        <v>3246</v>
      </c>
      <c r="F1553">
        <v>19540215</v>
      </c>
      <c r="G1553" t="s">
        <v>9332</v>
      </c>
      <c r="H1553" t="s">
        <v>242</v>
      </c>
      <c r="I1553" t="s">
        <v>242</v>
      </c>
      <c r="J1553" t="s">
        <v>242</v>
      </c>
      <c r="K1553" t="s">
        <v>241</v>
      </c>
      <c r="L1553" t="s">
        <v>242</v>
      </c>
      <c r="M1553">
        <v>38.495314870000001</v>
      </c>
      <c r="N1553">
        <v>-122.869005</v>
      </c>
      <c r="O1553">
        <v>0</v>
      </c>
      <c r="P1553">
        <v>0</v>
      </c>
      <c r="Q1553">
        <v>0</v>
      </c>
      <c r="R1553">
        <v>0</v>
      </c>
      <c r="S1553">
        <v>0.16666666699999999</v>
      </c>
      <c r="T1553">
        <v>0</v>
      </c>
      <c r="U1553">
        <v>0.1</v>
      </c>
      <c r="V1553">
        <v>0</v>
      </c>
      <c r="W1553">
        <v>0</v>
      </c>
      <c r="X1553">
        <v>0</v>
      </c>
      <c r="Y1553">
        <v>0</v>
      </c>
      <c r="Z1553">
        <v>0</v>
      </c>
      <c r="AA1553" t="s">
        <v>9335</v>
      </c>
      <c r="AB1553" t="s">
        <v>242</v>
      </c>
      <c r="AC1553" t="s">
        <v>3229</v>
      </c>
    </row>
    <row r="1554" spans="1:29" x14ac:dyDescent="0.25">
      <c r="A1554" t="s">
        <v>1527</v>
      </c>
      <c r="B1554" t="s">
        <v>252</v>
      </c>
      <c r="C1554" t="s">
        <v>352</v>
      </c>
      <c r="D1554" t="s">
        <v>3209</v>
      </c>
      <c r="E1554" t="s">
        <v>3226</v>
      </c>
      <c r="F1554">
        <v>19540218</v>
      </c>
      <c r="G1554" t="s">
        <v>9332</v>
      </c>
      <c r="H1554" t="s">
        <v>241</v>
      </c>
      <c r="I1554" t="s">
        <v>242</v>
      </c>
      <c r="J1554" t="s">
        <v>242</v>
      </c>
      <c r="K1554" t="s">
        <v>241</v>
      </c>
      <c r="L1554" t="s">
        <v>242</v>
      </c>
      <c r="M1554">
        <v>38.50060423</v>
      </c>
      <c r="N1554">
        <v>-122.9020154</v>
      </c>
      <c r="O1554">
        <v>150.33000000000001</v>
      </c>
      <c r="P1554">
        <v>131</v>
      </c>
      <c r="Q1554">
        <v>154.33000000000001</v>
      </c>
      <c r="R1554">
        <v>582.33000000000004</v>
      </c>
      <c r="S1554">
        <v>1230</v>
      </c>
      <c r="T1554">
        <v>1190</v>
      </c>
      <c r="U1554">
        <v>820</v>
      </c>
      <c r="V1554">
        <v>266.33</v>
      </c>
      <c r="W1554">
        <v>248.33</v>
      </c>
      <c r="X1554">
        <v>252.66</v>
      </c>
      <c r="Y1554">
        <v>198.33</v>
      </c>
      <c r="Z1554">
        <v>139</v>
      </c>
      <c r="AA1554" t="s">
        <v>9336</v>
      </c>
      <c r="AB1554" t="s">
        <v>242</v>
      </c>
      <c r="AC1554" t="s">
        <v>3229</v>
      </c>
    </row>
    <row r="1555" spans="1:29" x14ac:dyDescent="0.25">
      <c r="A1555" t="s">
        <v>1529</v>
      </c>
      <c r="B1555" t="s">
        <v>252</v>
      </c>
      <c r="C1555" t="s">
        <v>352</v>
      </c>
      <c r="D1555" t="s">
        <v>3209</v>
      </c>
      <c r="E1555" t="s">
        <v>3226</v>
      </c>
      <c r="F1555">
        <v>19540218</v>
      </c>
      <c r="G1555" t="s">
        <v>9332</v>
      </c>
      <c r="H1555" t="s">
        <v>241</v>
      </c>
      <c r="I1555" t="s">
        <v>242</v>
      </c>
      <c r="J1555" t="s">
        <v>242</v>
      </c>
      <c r="K1555" t="s">
        <v>241</v>
      </c>
      <c r="L1555" t="s">
        <v>242</v>
      </c>
      <c r="M1555">
        <v>38.500468429999998</v>
      </c>
      <c r="N1555">
        <v>-122.9018214</v>
      </c>
      <c r="O1555">
        <v>0</v>
      </c>
      <c r="P1555">
        <v>0</v>
      </c>
      <c r="Q1555">
        <v>0</v>
      </c>
      <c r="R1555">
        <v>0</v>
      </c>
      <c r="S1555">
        <v>1280.6600000000001</v>
      </c>
      <c r="T1555">
        <v>2664.66</v>
      </c>
      <c r="U1555">
        <v>856</v>
      </c>
      <c r="V1555">
        <v>0</v>
      </c>
      <c r="W1555">
        <v>0</v>
      </c>
      <c r="X1555">
        <v>0</v>
      </c>
      <c r="Y1555">
        <v>0</v>
      </c>
      <c r="Z1555">
        <v>0</v>
      </c>
      <c r="AA1555" t="s">
        <v>9337</v>
      </c>
      <c r="AB1555" t="s">
        <v>242</v>
      </c>
      <c r="AC1555" t="s">
        <v>3229</v>
      </c>
    </row>
    <row r="1556" spans="1:29" x14ac:dyDescent="0.25">
      <c r="A1556" t="s">
        <v>1519</v>
      </c>
      <c r="B1556" t="s">
        <v>252</v>
      </c>
      <c r="C1556" t="s">
        <v>394</v>
      </c>
      <c r="D1556" t="s">
        <v>3209</v>
      </c>
      <c r="E1556" t="s">
        <v>3246</v>
      </c>
      <c r="F1556">
        <v>19540305</v>
      </c>
      <c r="G1556" t="s">
        <v>9332</v>
      </c>
      <c r="H1556" t="s">
        <v>242</v>
      </c>
      <c r="I1556" t="s">
        <v>242</v>
      </c>
      <c r="J1556" t="s">
        <v>242</v>
      </c>
      <c r="K1556" t="s">
        <v>241</v>
      </c>
      <c r="L1556" t="s">
        <v>242</v>
      </c>
      <c r="M1556">
        <v>38.6188</v>
      </c>
      <c r="N1556">
        <v>-122.88760000000001</v>
      </c>
      <c r="O1556">
        <v>0</v>
      </c>
      <c r="P1556">
        <v>0.12686066700000001</v>
      </c>
      <c r="Q1556">
        <v>3.0460000000000001E-3</v>
      </c>
      <c r="R1556">
        <v>0.158559333</v>
      </c>
      <c r="S1556">
        <v>0.33822266699999998</v>
      </c>
      <c r="T1556">
        <v>0.30552533300000001</v>
      </c>
      <c r="U1556">
        <v>1.2393506670000001</v>
      </c>
      <c r="V1556">
        <v>2.1545323330000001</v>
      </c>
      <c r="W1556">
        <v>2.0570806670000001</v>
      </c>
      <c r="X1556">
        <v>3.2269332999999997E-2</v>
      </c>
      <c r="Y1556">
        <v>2.61E-4</v>
      </c>
      <c r="Z1556">
        <v>0</v>
      </c>
      <c r="AA1556" t="s">
        <v>9335</v>
      </c>
      <c r="AB1556" t="s">
        <v>242</v>
      </c>
      <c r="AC1556" t="s">
        <v>3229</v>
      </c>
    </row>
    <row r="1557" spans="1:29" x14ac:dyDescent="0.25">
      <c r="A1557" t="s">
        <v>1518</v>
      </c>
      <c r="B1557" t="s">
        <v>252</v>
      </c>
      <c r="C1557" t="s">
        <v>394</v>
      </c>
      <c r="D1557" t="s">
        <v>3209</v>
      </c>
      <c r="E1557" t="s">
        <v>3246</v>
      </c>
      <c r="F1557">
        <v>19540305</v>
      </c>
      <c r="G1557" t="s">
        <v>9332</v>
      </c>
      <c r="H1557" t="s">
        <v>242</v>
      </c>
      <c r="I1557" t="s">
        <v>242</v>
      </c>
      <c r="J1557" t="s">
        <v>242</v>
      </c>
      <c r="K1557" t="s">
        <v>241</v>
      </c>
      <c r="L1557" t="s">
        <v>242</v>
      </c>
      <c r="M1557">
        <v>38.6419</v>
      </c>
      <c r="N1557">
        <v>-122.9115</v>
      </c>
      <c r="O1557">
        <v>0</v>
      </c>
      <c r="P1557">
        <v>5.333333E-3</v>
      </c>
      <c r="Q1557">
        <v>0</v>
      </c>
      <c r="R1557">
        <v>0</v>
      </c>
      <c r="S1557">
        <v>0.43333333299999999</v>
      </c>
      <c r="T1557">
        <v>0.75</v>
      </c>
      <c r="U1557">
        <v>1.311116333</v>
      </c>
      <c r="V1557">
        <v>1.7787790000000001</v>
      </c>
      <c r="W1557">
        <v>2.0267653330000002</v>
      </c>
      <c r="X1557">
        <v>0.124493333</v>
      </c>
      <c r="Y1557">
        <v>0</v>
      </c>
      <c r="Z1557">
        <v>0</v>
      </c>
      <c r="AA1557" t="s">
        <v>9335</v>
      </c>
      <c r="AB1557" t="s">
        <v>242</v>
      </c>
      <c r="AC1557" t="s">
        <v>3229</v>
      </c>
    </row>
    <row r="1558" spans="1:29" x14ac:dyDescent="0.25">
      <c r="A1558" t="s">
        <v>1537</v>
      </c>
      <c r="B1558" t="s">
        <v>252</v>
      </c>
      <c r="C1558" t="s">
        <v>403</v>
      </c>
      <c r="D1558" t="s">
        <v>3209</v>
      </c>
      <c r="E1558" t="s">
        <v>3246</v>
      </c>
      <c r="F1558">
        <v>19540607</v>
      </c>
      <c r="G1558" t="s">
        <v>9332</v>
      </c>
      <c r="H1558" t="s">
        <v>242</v>
      </c>
      <c r="I1558" t="s">
        <v>242</v>
      </c>
      <c r="J1558" t="s">
        <v>242</v>
      </c>
      <c r="K1558" t="s">
        <v>241</v>
      </c>
      <c r="L1558" t="s">
        <v>242</v>
      </c>
      <c r="M1558">
        <v>38.437065429999997</v>
      </c>
      <c r="N1558">
        <v>-122.9435376</v>
      </c>
      <c r="O1558">
        <v>82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 t="s">
        <v>9335</v>
      </c>
      <c r="AB1558" t="s">
        <v>242</v>
      </c>
      <c r="AC1558" t="s">
        <v>3229</v>
      </c>
    </row>
    <row r="1559" spans="1:29" x14ac:dyDescent="0.25">
      <c r="A1559" t="s">
        <v>1538</v>
      </c>
      <c r="B1559" t="s">
        <v>252</v>
      </c>
      <c r="C1559" t="s">
        <v>394</v>
      </c>
      <c r="D1559" t="s">
        <v>3209</v>
      </c>
      <c r="E1559" t="s">
        <v>3246</v>
      </c>
      <c r="F1559">
        <v>19540716</v>
      </c>
      <c r="G1559" t="s">
        <v>9332</v>
      </c>
      <c r="H1559" t="s">
        <v>242</v>
      </c>
      <c r="I1559" t="s">
        <v>242</v>
      </c>
      <c r="J1559" t="s">
        <v>242</v>
      </c>
      <c r="K1559" t="s">
        <v>241</v>
      </c>
      <c r="L1559" t="s">
        <v>242</v>
      </c>
      <c r="M1559">
        <v>38.604133760000003</v>
      </c>
      <c r="N1559">
        <v>-122.89517720000001</v>
      </c>
      <c r="O1559">
        <v>10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10</v>
      </c>
      <c r="Z1559">
        <v>20</v>
      </c>
      <c r="AA1559" t="s">
        <v>9335</v>
      </c>
      <c r="AB1559" t="s">
        <v>242</v>
      </c>
      <c r="AC1559" t="s">
        <v>3229</v>
      </c>
    </row>
    <row r="1560" spans="1:29" x14ac:dyDescent="0.25">
      <c r="A1560" t="s">
        <v>1540</v>
      </c>
      <c r="B1560" t="s">
        <v>252</v>
      </c>
      <c r="C1560" t="s">
        <v>391</v>
      </c>
      <c r="D1560" t="s">
        <v>3209</v>
      </c>
      <c r="E1560" t="s">
        <v>3246</v>
      </c>
      <c r="F1560">
        <v>19541022</v>
      </c>
      <c r="G1560" t="s">
        <v>9338</v>
      </c>
      <c r="H1560" t="s">
        <v>242</v>
      </c>
      <c r="I1560" t="s">
        <v>242</v>
      </c>
      <c r="J1560" t="s">
        <v>242</v>
      </c>
      <c r="K1560" t="s">
        <v>241</v>
      </c>
      <c r="L1560" t="s">
        <v>242</v>
      </c>
      <c r="M1560">
        <v>38.567799999999998</v>
      </c>
      <c r="N1560">
        <v>-122.80459999999999</v>
      </c>
      <c r="O1560">
        <v>2.0666666669999998</v>
      </c>
      <c r="P1560">
        <v>0.7</v>
      </c>
      <c r="Q1560">
        <v>0.1</v>
      </c>
      <c r="R1560">
        <v>6.6666666999999999E-2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0.5</v>
      </c>
      <c r="Z1560">
        <v>0.83333333300000001</v>
      </c>
      <c r="AA1560" t="s">
        <v>9341</v>
      </c>
      <c r="AB1560" t="s">
        <v>242</v>
      </c>
      <c r="AC1560" t="s">
        <v>3229</v>
      </c>
    </row>
    <row r="1561" spans="1:29" x14ac:dyDescent="0.25">
      <c r="A1561" t="s">
        <v>1541</v>
      </c>
      <c r="B1561" t="s">
        <v>252</v>
      </c>
      <c r="C1561" t="s">
        <v>378</v>
      </c>
      <c r="D1561" t="s">
        <v>3209</v>
      </c>
      <c r="E1561" t="s">
        <v>3246</v>
      </c>
      <c r="F1561">
        <v>19541228</v>
      </c>
      <c r="G1561" t="s">
        <v>9332</v>
      </c>
      <c r="H1561" t="s">
        <v>242</v>
      </c>
      <c r="I1561" t="s">
        <v>242</v>
      </c>
      <c r="J1561" t="s">
        <v>242</v>
      </c>
      <c r="K1561" t="s">
        <v>241</v>
      </c>
      <c r="L1561" t="s">
        <v>242</v>
      </c>
      <c r="M1561">
        <v>38.390846590000002</v>
      </c>
      <c r="N1561">
        <v>-122.6336221</v>
      </c>
      <c r="O1561">
        <v>2.6666666669999999</v>
      </c>
      <c r="P1561">
        <v>1.1666666670000001</v>
      </c>
      <c r="Q1561">
        <v>1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1.6666666670000001</v>
      </c>
      <c r="Z1561">
        <v>1.1666666670000001</v>
      </c>
      <c r="AA1561" t="s">
        <v>9335</v>
      </c>
      <c r="AB1561" t="s">
        <v>242</v>
      </c>
      <c r="AC1561" t="s">
        <v>3229</v>
      </c>
    </row>
    <row r="1562" spans="1:29" x14ac:dyDescent="0.25">
      <c r="A1562" t="s">
        <v>1483</v>
      </c>
      <c r="B1562" t="s">
        <v>252</v>
      </c>
      <c r="C1562" t="s">
        <v>489</v>
      </c>
      <c r="D1562" t="s">
        <v>3209</v>
      </c>
      <c r="E1562" t="s">
        <v>3246</v>
      </c>
      <c r="F1562">
        <v>19550126</v>
      </c>
      <c r="G1562" t="s">
        <v>9332</v>
      </c>
      <c r="H1562" t="s">
        <v>242</v>
      </c>
      <c r="I1562" t="s">
        <v>242</v>
      </c>
      <c r="J1562" t="s">
        <v>242</v>
      </c>
      <c r="K1562" t="s">
        <v>241</v>
      </c>
      <c r="L1562" t="s">
        <v>242</v>
      </c>
      <c r="M1562">
        <v>38.71603863</v>
      </c>
      <c r="N1562">
        <v>-122.9467056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 t="s">
        <v>9342</v>
      </c>
      <c r="AB1562" t="s">
        <v>242</v>
      </c>
      <c r="AC1562" t="s">
        <v>3229</v>
      </c>
    </row>
    <row r="1563" spans="1:29" x14ac:dyDescent="0.25">
      <c r="A1563" t="s">
        <v>1492</v>
      </c>
      <c r="B1563" t="s">
        <v>252</v>
      </c>
      <c r="C1563" t="s">
        <v>486</v>
      </c>
      <c r="D1563" t="s">
        <v>3209</v>
      </c>
      <c r="E1563" t="s">
        <v>3246</v>
      </c>
      <c r="F1563">
        <v>19550624</v>
      </c>
      <c r="G1563" t="s">
        <v>9332</v>
      </c>
      <c r="H1563" t="s">
        <v>241</v>
      </c>
      <c r="I1563" t="s">
        <v>242</v>
      </c>
      <c r="J1563" t="s">
        <v>242</v>
      </c>
      <c r="K1563" t="s">
        <v>241</v>
      </c>
      <c r="L1563" t="s">
        <v>242</v>
      </c>
      <c r="M1563">
        <v>38.52423924</v>
      </c>
      <c r="N1563">
        <v>-122.85677250000001</v>
      </c>
      <c r="O1563">
        <v>0</v>
      </c>
      <c r="P1563">
        <v>0</v>
      </c>
      <c r="Q1563">
        <v>2</v>
      </c>
      <c r="R1563">
        <v>0.66666666699999999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 t="s">
        <v>9335</v>
      </c>
      <c r="AB1563" t="s">
        <v>242</v>
      </c>
      <c r="AC1563" t="s">
        <v>3229</v>
      </c>
    </row>
    <row r="1564" spans="1:29" x14ac:dyDescent="0.25">
      <c r="A1564" t="s">
        <v>1495</v>
      </c>
      <c r="B1564" t="s">
        <v>252</v>
      </c>
      <c r="C1564" t="s">
        <v>486</v>
      </c>
      <c r="D1564" t="s">
        <v>3209</v>
      </c>
      <c r="E1564" t="s">
        <v>3246</v>
      </c>
      <c r="F1564">
        <v>19550711</v>
      </c>
      <c r="G1564" t="s">
        <v>9334</v>
      </c>
      <c r="H1564" t="s">
        <v>241</v>
      </c>
      <c r="I1564" t="s">
        <v>242</v>
      </c>
      <c r="J1564" t="s">
        <v>242</v>
      </c>
      <c r="K1564" t="s">
        <v>241</v>
      </c>
      <c r="L1564" t="s">
        <v>242</v>
      </c>
      <c r="M1564">
        <v>38.564599999999999</v>
      </c>
      <c r="N1564">
        <v>-122.8531</v>
      </c>
      <c r="O1564">
        <v>0</v>
      </c>
      <c r="P1564">
        <v>0.306666667</v>
      </c>
      <c r="Q1564">
        <v>0.50514033300000005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1.8974299999999999</v>
      </c>
      <c r="Y1564">
        <v>0.34666666699999998</v>
      </c>
      <c r="Z1564">
        <v>0</v>
      </c>
      <c r="AA1564" t="s">
        <v>9335</v>
      </c>
      <c r="AB1564" t="s">
        <v>242</v>
      </c>
      <c r="AC1564" t="s">
        <v>3229</v>
      </c>
    </row>
    <row r="1565" spans="1:29" x14ac:dyDescent="0.25">
      <c r="A1565" t="s">
        <v>1497</v>
      </c>
      <c r="B1565" t="s">
        <v>252</v>
      </c>
      <c r="C1565" t="s">
        <v>378</v>
      </c>
      <c r="D1565" t="s">
        <v>3209</v>
      </c>
      <c r="E1565" t="s">
        <v>3246</v>
      </c>
      <c r="F1565">
        <v>19550721</v>
      </c>
      <c r="G1565" t="s">
        <v>9332</v>
      </c>
      <c r="H1565" t="s">
        <v>242</v>
      </c>
      <c r="I1565" t="s">
        <v>242</v>
      </c>
      <c r="J1565" t="s">
        <v>242</v>
      </c>
      <c r="K1565" t="s">
        <v>241</v>
      </c>
      <c r="L1565" t="s">
        <v>242</v>
      </c>
      <c r="M1565">
        <v>38.44462042</v>
      </c>
      <c r="N1565">
        <v>-122.59045260000001</v>
      </c>
      <c r="O1565">
        <v>5.6666666670000003</v>
      </c>
      <c r="P1565">
        <v>2.733333333</v>
      </c>
      <c r="Q1565">
        <v>6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1.6666666670000001</v>
      </c>
      <c r="Z1565">
        <v>1</v>
      </c>
      <c r="AA1565" t="s">
        <v>9335</v>
      </c>
      <c r="AB1565" t="s">
        <v>242</v>
      </c>
      <c r="AC1565" t="s">
        <v>3229</v>
      </c>
    </row>
    <row r="1566" spans="1:29" x14ac:dyDescent="0.25">
      <c r="A1566" t="s">
        <v>1498</v>
      </c>
      <c r="B1566" t="s">
        <v>252</v>
      </c>
      <c r="C1566" t="s">
        <v>489</v>
      </c>
      <c r="D1566" t="s">
        <v>3209</v>
      </c>
      <c r="E1566" t="s">
        <v>3246</v>
      </c>
      <c r="F1566">
        <v>19550815</v>
      </c>
      <c r="G1566" t="s">
        <v>9332</v>
      </c>
      <c r="H1566" t="s">
        <v>242</v>
      </c>
      <c r="I1566" t="s">
        <v>242</v>
      </c>
      <c r="J1566" t="s">
        <v>242</v>
      </c>
      <c r="K1566" t="s">
        <v>241</v>
      </c>
      <c r="L1566" t="s">
        <v>242</v>
      </c>
      <c r="M1566">
        <v>38.663200000000003</v>
      </c>
      <c r="N1566">
        <v>-122.9408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2.6333333329999999</v>
      </c>
      <c r="U1566">
        <v>2.653333333</v>
      </c>
      <c r="V1566">
        <v>3.5833333330000001</v>
      </c>
      <c r="W1566">
        <v>2.733333333</v>
      </c>
      <c r="X1566">
        <v>2.5233333330000001</v>
      </c>
      <c r="Y1566">
        <v>0.93333333299999999</v>
      </c>
      <c r="Z1566">
        <v>0</v>
      </c>
      <c r="AA1566" t="s">
        <v>9335</v>
      </c>
      <c r="AB1566" t="s">
        <v>242</v>
      </c>
      <c r="AC1566" t="s">
        <v>3229</v>
      </c>
    </row>
    <row r="1567" spans="1:29" x14ac:dyDescent="0.25">
      <c r="A1567" t="s">
        <v>1500</v>
      </c>
      <c r="B1567" t="s">
        <v>252</v>
      </c>
      <c r="C1567" t="s">
        <v>378</v>
      </c>
      <c r="D1567" t="s">
        <v>3209</v>
      </c>
      <c r="E1567" t="s">
        <v>3246</v>
      </c>
      <c r="F1567">
        <v>19550816</v>
      </c>
      <c r="G1567" t="s">
        <v>9332</v>
      </c>
      <c r="H1567" t="s">
        <v>242</v>
      </c>
      <c r="I1567" t="s">
        <v>242</v>
      </c>
      <c r="J1567" t="s">
        <v>242</v>
      </c>
      <c r="K1567" t="s">
        <v>241</v>
      </c>
      <c r="L1567" t="s">
        <v>242</v>
      </c>
      <c r="M1567">
        <v>38.426544</v>
      </c>
      <c r="N1567">
        <v>-122.6335887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 t="s">
        <v>9341</v>
      </c>
      <c r="AB1567" t="s">
        <v>242</v>
      </c>
      <c r="AC1567" t="s">
        <v>3229</v>
      </c>
    </row>
    <row r="1568" spans="1:29" x14ac:dyDescent="0.25">
      <c r="A1568" t="s">
        <v>1502</v>
      </c>
      <c r="B1568" t="s">
        <v>252</v>
      </c>
      <c r="C1568" t="s">
        <v>329</v>
      </c>
      <c r="D1568" t="s">
        <v>3209</v>
      </c>
      <c r="E1568" t="s">
        <v>3246</v>
      </c>
      <c r="F1568">
        <v>19550823</v>
      </c>
      <c r="G1568" t="s">
        <v>9332</v>
      </c>
      <c r="H1568" t="s">
        <v>242</v>
      </c>
      <c r="I1568" t="s">
        <v>242</v>
      </c>
      <c r="J1568" t="s">
        <v>242</v>
      </c>
      <c r="K1568" t="s">
        <v>241</v>
      </c>
      <c r="L1568" t="s">
        <v>242</v>
      </c>
      <c r="M1568">
        <v>38.601318560000003</v>
      </c>
      <c r="N1568">
        <v>-123.0043244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 t="s">
        <v>9341</v>
      </c>
      <c r="AB1568" t="s">
        <v>242</v>
      </c>
      <c r="AC1568" t="s">
        <v>3229</v>
      </c>
    </row>
    <row r="1569" spans="1:29" x14ac:dyDescent="0.25">
      <c r="A1569" t="s">
        <v>1510</v>
      </c>
      <c r="B1569" t="s">
        <v>252</v>
      </c>
      <c r="C1569" t="s">
        <v>489</v>
      </c>
      <c r="D1569" t="s">
        <v>3209</v>
      </c>
      <c r="E1569" t="s">
        <v>3246</v>
      </c>
      <c r="F1569">
        <v>19551209</v>
      </c>
      <c r="G1569" t="s">
        <v>9332</v>
      </c>
      <c r="H1569" t="s">
        <v>242</v>
      </c>
      <c r="I1569" t="s">
        <v>242</v>
      </c>
      <c r="J1569" t="s">
        <v>242</v>
      </c>
      <c r="K1569" t="s">
        <v>241</v>
      </c>
      <c r="L1569" t="s">
        <v>242</v>
      </c>
      <c r="M1569">
        <v>38.655767689999998</v>
      </c>
      <c r="N1569">
        <v>-122.92909539999999</v>
      </c>
      <c r="O1569">
        <v>0</v>
      </c>
      <c r="P1569">
        <v>0</v>
      </c>
      <c r="Q1569">
        <v>0</v>
      </c>
      <c r="R1569">
        <v>0</v>
      </c>
      <c r="S1569">
        <v>6.7865667000000005E-2</v>
      </c>
      <c r="T1569">
        <v>8.1426999999999999E-2</v>
      </c>
      <c r="U1569">
        <v>8.4757333000000004E-2</v>
      </c>
      <c r="V1569">
        <v>5.1199000000000001E-2</v>
      </c>
      <c r="W1569">
        <v>6.4615000000000006E-2</v>
      </c>
      <c r="X1569">
        <v>3.7613000000000001E-2</v>
      </c>
      <c r="Y1569">
        <v>0</v>
      </c>
      <c r="Z1569">
        <v>0</v>
      </c>
      <c r="AA1569" t="s">
        <v>9335</v>
      </c>
      <c r="AB1569" t="s">
        <v>242</v>
      </c>
      <c r="AC1569" t="s">
        <v>3229</v>
      </c>
    </row>
    <row r="1570" spans="1:29" x14ac:dyDescent="0.25">
      <c r="A1570" t="s">
        <v>1464</v>
      </c>
      <c r="B1570" t="s">
        <v>252</v>
      </c>
      <c r="C1570" t="s">
        <v>378</v>
      </c>
      <c r="D1570" t="s">
        <v>3209</v>
      </c>
      <c r="E1570" t="s">
        <v>3246</v>
      </c>
      <c r="F1570">
        <v>19560221</v>
      </c>
      <c r="G1570" t="s">
        <v>9332</v>
      </c>
      <c r="H1570" t="s">
        <v>242</v>
      </c>
      <c r="I1570" t="s">
        <v>242</v>
      </c>
      <c r="J1570" t="s">
        <v>242</v>
      </c>
      <c r="K1570" t="s">
        <v>241</v>
      </c>
      <c r="L1570" t="s">
        <v>242</v>
      </c>
      <c r="M1570">
        <v>38.44462042</v>
      </c>
      <c r="N1570">
        <v>-122.59045260000001</v>
      </c>
      <c r="O1570">
        <v>2</v>
      </c>
      <c r="P1570">
        <v>1.6666666670000001</v>
      </c>
      <c r="Q1570">
        <v>3.6666666669999999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0.66666666699999999</v>
      </c>
      <c r="Z1570">
        <v>1</v>
      </c>
      <c r="AA1570" t="s">
        <v>9335</v>
      </c>
      <c r="AB1570" t="s">
        <v>242</v>
      </c>
      <c r="AC1570" t="s">
        <v>3229</v>
      </c>
    </row>
    <row r="1571" spans="1:29" x14ac:dyDescent="0.25">
      <c r="A1571" t="s">
        <v>1467</v>
      </c>
      <c r="B1571" t="s">
        <v>252</v>
      </c>
      <c r="C1571" t="s">
        <v>489</v>
      </c>
      <c r="D1571" t="s">
        <v>3209</v>
      </c>
      <c r="E1571" t="s">
        <v>3246</v>
      </c>
      <c r="F1571">
        <v>19560430</v>
      </c>
      <c r="G1571" t="s">
        <v>9332</v>
      </c>
      <c r="H1571" t="s">
        <v>242</v>
      </c>
      <c r="I1571" t="s">
        <v>242</v>
      </c>
      <c r="J1571" t="s">
        <v>242</v>
      </c>
      <c r="K1571" t="s">
        <v>241</v>
      </c>
      <c r="L1571" t="s">
        <v>242</v>
      </c>
      <c r="M1571">
        <v>38.659578070000002</v>
      </c>
      <c r="N1571">
        <v>-122.93334780000001</v>
      </c>
      <c r="O1571">
        <v>0</v>
      </c>
      <c r="P1571">
        <v>0</v>
      </c>
      <c r="Q1571">
        <v>0</v>
      </c>
      <c r="R1571">
        <v>6.6666670000000003E-3</v>
      </c>
      <c r="S1571">
        <v>1.0833333329999999</v>
      </c>
      <c r="T1571">
        <v>2.04</v>
      </c>
      <c r="U1571">
        <v>3.5233333330000001</v>
      </c>
      <c r="V1571">
        <v>3.0333333329999999</v>
      </c>
      <c r="W1571">
        <v>3.423333333</v>
      </c>
      <c r="X1571">
        <v>0.47666666699999999</v>
      </c>
      <c r="Y1571">
        <v>0</v>
      </c>
      <c r="Z1571">
        <v>0</v>
      </c>
      <c r="AA1571" t="s">
        <v>9335</v>
      </c>
      <c r="AB1571" t="s">
        <v>242</v>
      </c>
      <c r="AC1571" t="s">
        <v>3229</v>
      </c>
    </row>
    <row r="1572" spans="1:29" x14ac:dyDescent="0.25">
      <c r="A1572" t="s">
        <v>1468</v>
      </c>
      <c r="B1572" t="s">
        <v>252</v>
      </c>
      <c r="C1572" t="s">
        <v>323</v>
      </c>
      <c r="D1572" t="s">
        <v>3209</v>
      </c>
      <c r="E1572" t="s">
        <v>3246</v>
      </c>
      <c r="F1572">
        <v>19560509</v>
      </c>
      <c r="G1572" t="s">
        <v>9332</v>
      </c>
      <c r="H1572" t="s">
        <v>242</v>
      </c>
      <c r="I1572" t="s">
        <v>242</v>
      </c>
      <c r="J1572" t="s">
        <v>242</v>
      </c>
      <c r="K1572" t="s">
        <v>241</v>
      </c>
      <c r="L1572" t="s">
        <v>242</v>
      </c>
      <c r="M1572">
        <v>38.495314870000001</v>
      </c>
      <c r="N1572">
        <v>-122.869005</v>
      </c>
      <c r="O1572">
        <v>0</v>
      </c>
      <c r="P1572">
        <v>0</v>
      </c>
      <c r="Q1572">
        <v>0</v>
      </c>
      <c r="R1572">
        <v>0.233333333</v>
      </c>
      <c r="S1572">
        <v>0.16666666699999999</v>
      </c>
      <c r="T1572">
        <v>0</v>
      </c>
      <c r="U1572">
        <v>0.1</v>
      </c>
      <c r="V1572">
        <v>0</v>
      </c>
      <c r="W1572">
        <v>0</v>
      </c>
      <c r="X1572">
        <v>0</v>
      </c>
      <c r="Y1572">
        <v>0</v>
      </c>
      <c r="Z1572">
        <v>0</v>
      </c>
      <c r="AA1572" t="s">
        <v>9335</v>
      </c>
      <c r="AB1572" t="s">
        <v>242</v>
      </c>
      <c r="AC1572" t="s">
        <v>3229</v>
      </c>
    </row>
    <row r="1573" spans="1:29" x14ac:dyDescent="0.25">
      <c r="A1573" t="s">
        <v>1472</v>
      </c>
      <c r="B1573" t="s">
        <v>252</v>
      </c>
      <c r="C1573" t="s">
        <v>394</v>
      </c>
      <c r="D1573" t="s">
        <v>3209</v>
      </c>
      <c r="E1573" t="s">
        <v>3246</v>
      </c>
      <c r="F1573">
        <v>19560522</v>
      </c>
      <c r="G1573" t="s">
        <v>9332</v>
      </c>
      <c r="H1573" t="s">
        <v>242</v>
      </c>
      <c r="I1573" t="s">
        <v>242</v>
      </c>
      <c r="J1573" t="s">
        <v>242</v>
      </c>
      <c r="K1573" t="s">
        <v>241</v>
      </c>
      <c r="L1573" t="s">
        <v>242</v>
      </c>
      <c r="M1573">
        <v>38.660878920000002</v>
      </c>
      <c r="N1573">
        <v>-122.9077977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 t="s">
        <v>9335</v>
      </c>
      <c r="AB1573" t="s">
        <v>242</v>
      </c>
      <c r="AC1573" t="s">
        <v>3229</v>
      </c>
    </row>
    <row r="1574" spans="1:29" x14ac:dyDescent="0.25">
      <c r="A1574" t="s">
        <v>1476</v>
      </c>
      <c r="B1574" t="s">
        <v>252</v>
      </c>
      <c r="C1574" t="s">
        <v>394</v>
      </c>
      <c r="D1574" t="s">
        <v>3209</v>
      </c>
      <c r="E1574" t="s">
        <v>3246</v>
      </c>
      <c r="F1574">
        <v>19560814</v>
      </c>
      <c r="G1574" t="s">
        <v>9332</v>
      </c>
      <c r="H1574" t="s">
        <v>242</v>
      </c>
      <c r="I1574" t="s">
        <v>242</v>
      </c>
      <c r="J1574" t="s">
        <v>242</v>
      </c>
      <c r="K1574" t="s">
        <v>241</v>
      </c>
      <c r="L1574" t="s">
        <v>242</v>
      </c>
      <c r="M1574">
        <v>38.647101120000002</v>
      </c>
      <c r="N1574">
        <v>-122.89624190000001</v>
      </c>
      <c r="O1574">
        <v>1.6666666670000001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3</v>
      </c>
      <c r="Z1574">
        <v>10.7</v>
      </c>
      <c r="AA1574" t="s">
        <v>9342</v>
      </c>
      <c r="AB1574" t="s">
        <v>242</v>
      </c>
      <c r="AC1574" t="s">
        <v>3229</v>
      </c>
    </row>
    <row r="1575" spans="1:29" x14ac:dyDescent="0.25">
      <c r="A1575" t="s">
        <v>1478</v>
      </c>
      <c r="B1575" t="s">
        <v>252</v>
      </c>
      <c r="C1575" t="s">
        <v>394</v>
      </c>
      <c r="D1575" t="s">
        <v>3209</v>
      </c>
      <c r="E1575" t="s">
        <v>3246</v>
      </c>
      <c r="F1575">
        <v>19560905</v>
      </c>
      <c r="G1575" t="s">
        <v>9332</v>
      </c>
      <c r="H1575" t="s">
        <v>242</v>
      </c>
      <c r="I1575" t="s">
        <v>242</v>
      </c>
      <c r="J1575" t="s">
        <v>242</v>
      </c>
      <c r="K1575" t="s">
        <v>241</v>
      </c>
      <c r="L1575" t="s">
        <v>242</v>
      </c>
      <c r="M1575">
        <v>38.660346160000003</v>
      </c>
      <c r="N1575">
        <v>-122.90568949999999</v>
      </c>
      <c r="O1575">
        <v>0.33333333300000001</v>
      </c>
      <c r="P1575">
        <v>0.33333333300000001</v>
      </c>
      <c r="Q1575">
        <v>0.33333333300000001</v>
      </c>
      <c r="R1575">
        <v>0.33333333300000001</v>
      </c>
      <c r="S1575">
        <v>0.33333333300000001</v>
      </c>
      <c r="T1575">
        <v>0.33333333300000001</v>
      </c>
      <c r="U1575">
        <v>0.33333333300000001</v>
      </c>
      <c r="V1575">
        <v>0.33333333300000001</v>
      </c>
      <c r="W1575">
        <v>0.33333333300000001</v>
      </c>
      <c r="X1575">
        <v>0.33333333300000001</v>
      </c>
      <c r="Y1575">
        <v>0.33333333300000001</v>
      </c>
      <c r="Z1575">
        <v>0.33333333300000001</v>
      </c>
      <c r="AA1575" t="s">
        <v>9335</v>
      </c>
      <c r="AB1575" t="s">
        <v>242</v>
      </c>
      <c r="AC1575" t="s">
        <v>3229</v>
      </c>
    </row>
    <row r="1576" spans="1:29" x14ac:dyDescent="0.25">
      <c r="A1576" t="s">
        <v>1447</v>
      </c>
      <c r="B1576" t="s">
        <v>252</v>
      </c>
      <c r="C1576" t="s">
        <v>391</v>
      </c>
      <c r="D1576" t="s">
        <v>3209</v>
      </c>
      <c r="E1576" t="s">
        <v>3246</v>
      </c>
      <c r="F1576">
        <v>19570226</v>
      </c>
      <c r="G1576" t="s">
        <v>9332</v>
      </c>
      <c r="H1576" t="s">
        <v>242</v>
      </c>
      <c r="I1576" t="s">
        <v>242</v>
      </c>
      <c r="J1576" t="s">
        <v>242</v>
      </c>
      <c r="K1576" t="s">
        <v>241</v>
      </c>
      <c r="L1576" t="s">
        <v>242</v>
      </c>
      <c r="M1576">
        <v>38.555771270000001</v>
      </c>
      <c r="N1576">
        <v>-122.74419279999999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 t="s">
        <v>9335</v>
      </c>
      <c r="AB1576" t="s">
        <v>242</v>
      </c>
      <c r="AC1576" t="s">
        <v>3229</v>
      </c>
    </row>
    <row r="1577" spans="1:29" x14ac:dyDescent="0.25">
      <c r="A1577" t="s">
        <v>1448</v>
      </c>
      <c r="B1577" t="s">
        <v>252</v>
      </c>
      <c r="C1577" t="s">
        <v>394</v>
      </c>
      <c r="D1577" t="s">
        <v>3209</v>
      </c>
      <c r="E1577" t="s">
        <v>3246</v>
      </c>
      <c r="F1577">
        <v>19570226</v>
      </c>
      <c r="G1577" t="s">
        <v>9332</v>
      </c>
      <c r="H1577" t="s">
        <v>242</v>
      </c>
      <c r="I1577" t="s">
        <v>242</v>
      </c>
      <c r="J1577" t="s">
        <v>242</v>
      </c>
      <c r="K1577" t="s">
        <v>241</v>
      </c>
      <c r="L1577" t="s">
        <v>242</v>
      </c>
      <c r="M1577">
        <v>38.594999999999999</v>
      </c>
      <c r="N1577">
        <v>-122.96129999999999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 t="s">
        <v>9335</v>
      </c>
      <c r="AB1577" t="s">
        <v>242</v>
      </c>
      <c r="AC1577" t="s">
        <v>3229</v>
      </c>
    </row>
    <row r="1578" spans="1:29" x14ac:dyDescent="0.25">
      <c r="A1578" t="s">
        <v>1449</v>
      </c>
      <c r="B1578" t="s">
        <v>252</v>
      </c>
      <c r="C1578" t="s">
        <v>394</v>
      </c>
      <c r="D1578" t="s">
        <v>3209</v>
      </c>
      <c r="E1578" t="s">
        <v>3246</v>
      </c>
      <c r="F1578">
        <v>19570416</v>
      </c>
      <c r="G1578" t="s">
        <v>9332</v>
      </c>
      <c r="H1578" t="s">
        <v>242</v>
      </c>
      <c r="I1578" t="s">
        <v>242</v>
      </c>
      <c r="J1578" t="s">
        <v>242</v>
      </c>
      <c r="K1578" t="s">
        <v>241</v>
      </c>
      <c r="L1578" t="s">
        <v>242</v>
      </c>
      <c r="M1578">
        <v>38.652758540000001</v>
      </c>
      <c r="N1578">
        <v>-122.92765540000001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 t="s">
        <v>9335</v>
      </c>
      <c r="AB1578" t="s">
        <v>242</v>
      </c>
      <c r="AC1578" t="s">
        <v>3229</v>
      </c>
    </row>
    <row r="1579" spans="1:29" x14ac:dyDescent="0.25">
      <c r="A1579" t="s">
        <v>1452</v>
      </c>
      <c r="B1579" t="s">
        <v>252</v>
      </c>
      <c r="C1579" t="s">
        <v>489</v>
      </c>
      <c r="D1579" t="s">
        <v>3209</v>
      </c>
      <c r="E1579" t="s">
        <v>3246</v>
      </c>
      <c r="F1579">
        <v>19570628</v>
      </c>
      <c r="G1579" t="s">
        <v>9332</v>
      </c>
      <c r="H1579" t="s">
        <v>242</v>
      </c>
      <c r="I1579" t="s">
        <v>242</v>
      </c>
      <c r="J1579" t="s">
        <v>242</v>
      </c>
      <c r="K1579" t="s">
        <v>241</v>
      </c>
      <c r="L1579" t="s">
        <v>242</v>
      </c>
      <c r="M1579">
        <v>38.687287699999999</v>
      </c>
      <c r="N1579">
        <v>-122.9365136</v>
      </c>
      <c r="O1579">
        <v>0</v>
      </c>
      <c r="P1579">
        <v>3.4195000000000003E-2</v>
      </c>
      <c r="Q1579">
        <v>0.118703</v>
      </c>
      <c r="R1579">
        <v>0.3223085</v>
      </c>
      <c r="S1579">
        <v>0.165795</v>
      </c>
      <c r="T1579">
        <v>0.74444500000000002</v>
      </c>
      <c r="U1579">
        <v>2.2935045000000001</v>
      </c>
      <c r="V1579">
        <v>1.564479</v>
      </c>
      <c r="W1579">
        <v>1.3381235</v>
      </c>
      <c r="X1579">
        <v>0.20493349999999999</v>
      </c>
      <c r="Y1579">
        <v>2.0469999999999999E-2</v>
      </c>
      <c r="Z1579">
        <v>0</v>
      </c>
      <c r="AA1579" t="s">
        <v>9335</v>
      </c>
      <c r="AB1579" t="s">
        <v>242</v>
      </c>
      <c r="AC1579" t="s">
        <v>3229</v>
      </c>
    </row>
    <row r="1580" spans="1:29" x14ac:dyDescent="0.25">
      <c r="A1580" t="s">
        <v>1454</v>
      </c>
      <c r="B1580" t="s">
        <v>252</v>
      </c>
      <c r="C1580" t="s">
        <v>314</v>
      </c>
      <c r="D1580" t="s">
        <v>3209</v>
      </c>
      <c r="E1580" t="s">
        <v>3246</v>
      </c>
      <c r="F1580">
        <v>19570822</v>
      </c>
      <c r="G1580" t="s">
        <v>9332</v>
      </c>
      <c r="H1580" t="s">
        <v>242</v>
      </c>
      <c r="I1580" t="s">
        <v>242</v>
      </c>
      <c r="J1580" t="s">
        <v>242</v>
      </c>
      <c r="K1580" t="s">
        <v>241</v>
      </c>
      <c r="L1580" t="s">
        <v>242</v>
      </c>
      <c r="M1580">
        <v>38.860749060000003</v>
      </c>
      <c r="N1580">
        <v>-123.1593651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 t="s">
        <v>9342</v>
      </c>
      <c r="AB1580" t="s">
        <v>242</v>
      </c>
      <c r="AC1580" t="s">
        <v>3213</v>
      </c>
    </row>
    <row r="1581" spans="1:29" x14ac:dyDescent="0.25">
      <c r="A1581" t="s">
        <v>1455</v>
      </c>
      <c r="B1581" t="s">
        <v>252</v>
      </c>
      <c r="C1581" t="s">
        <v>394</v>
      </c>
      <c r="D1581" t="s">
        <v>3209</v>
      </c>
      <c r="E1581" t="s">
        <v>3246</v>
      </c>
      <c r="F1581">
        <v>19570926</v>
      </c>
      <c r="G1581" t="s">
        <v>9332</v>
      </c>
      <c r="H1581" t="s">
        <v>242</v>
      </c>
      <c r="I1581" t="s">
        <v>242</v>
      </c>
      <c r="J1581" t="s">
        <v>242</v>
      </c>
      <c r="K1581" t="s">
        <v>241</v>
      </c>
      <c r="L1581" t="s">
        <v>242</v>
      </c>
      <c r="M1581">
        <v>38.577540030000002</v>
      </c>
      <c r="N1581">
        <v>-122.88959629999999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 t="s">
        <v>9335</v>
      </c>
      <c r="AB1581" t="s">
        <v>242</v>
      </c>
      <c r="AC1581" t="s">
        <v>3229</v>
      </c>
    </row>
    <row r="1582" spans="1:29" x14ac:dyDescent="0.25">
      <c r="A1582" t="s">
        <v>1458</v>
      </c>
      <c r="B1582" t="s">
        <v>252</v>
      </c>
      <c r="C1582" t="s">
        <v>585</v>
      </c>
      <c r="D1582" t="s">
        <v>3209</v>
      </c>
      <c r="E1582" t="s">
        <v>3246</v>
      </c>
      <c r="F1582">
        <v>19571218</v>
      </c>
      <c r="G1582" t="s">
        <v>9332</v>
      </c>
      <c r="H1582" t="s">
        <v>242</v>
      </c>
      <c r="I1582" t="s">
        <v>242</v>
      </c>
      <c r="J1582" t="s">
        <v>242</v>
      </c>
      <c r="K1582" t="s">
        <v>241</v>
      </c>
      <c r="L1582" t="s">
        <v>242</v>
      </c>
      <c r="M1582">
        <v>38.354052809999999</v>
      </c>
      <c r="N1582">
        <v>-122.63329709999999</v>
      </c>
      <c r="O1582">
        <v>1.8333333329999999</v>
      </c>
      <c r="P1582">
        <v>0.33333333300000001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0.33333333300000001</v>
      </c>
      <c r="Z1582">
        <v>1.6333333329999999</v>
      </c>
      <c r="AA1582" t="s">
        <v>9335</v>
      </c>
      <c r="AB1582" t="s">
        <v>242</v>
      </c>
      <c r="AC1582" t="s">
        <v>3229</v>
      </c>
    </row>
    <row r="1583" spans="1:29" x14ac:dyDescent="0.25">
      <c r="A1583" t="s">
        <v>1430</v>
      </c>
      <c r="B1583" t="s">
        <v>252</v>
      </c>
      <c r="C1583" t="s">
        <v>391</v>
      </c>
      <c r="D1583" t="s">
        <v>3209</v>
      </c>
      <c r="E1583" t="s">
        <v>3246</v>
      </c>
      <c r="F1583">
        <v>19580213</v>
      </c>
      <c r="G1583" t="s">
        <v>9332</v>
      </c>
      <c r="H1583" t="s">
        <v>242</v>
      </c>
      <c r="I1583" t="s">
        <v>242</v>
      </c>
      <c r="J1583" t="s">
        <v>242</v>
      </c>
      <c r="K1583" t="s">
        <v>241</v>
      </c>
      <c r="L1583" t="s">
        <v>242</v>
      </c>
      <c r="M1583">
        <v>38.556855720000001</v>
      </c>
      <c r="N1583">
        <v>-122.787919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 t="s">
        <v>9335</v>
      </c>
      <c r="AB1583" t="s">
        <v>242</v>
      </c>
      <c r="AC1583" t="s">
        <v>3229</v>
      </c>
    </row>
    <row r="1584" spans="1:29" x14ac:dyDescent="0.25">
      <c r="A1584" t="s">
        <v>1432</v>
      </c>
      <c r="B1584" t="s">
        <v>252</v>
      </c>
      <c r="C1584" t="s">
        <v>394</v>
      </c>
      <c r="D1584" t="s">
        <v>3209</v>
      </c>
      <c r="E1584" t="s">
        <v>3246</v>
      </c>
      <c r="F1584">
        <v>19580508</v>
      </c>
      <c r="G1584" t="s">
        <v>9332</v>
      </c>
      <c r="H1584" t="s">
        <v>242</v>
      </c>
      <c r="I1584" t="s">
        <v>242</v>
      </c>
      <c r="J1584" t="s">
        <v>242</v>
      </c>
      <c r="K1584" t="s">
        <v>241</v>
      </c>
      <c r="L1584" t="s">
        <v>242</v>
      </c>
      <c r="M1584">
        <v>38.579216930000001</v>
      </c>
      <c r="N1584">
        <v>-122.885769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 t="s">
        <v>9335</v>
      </c>
      <c r="AB1584" t="s">
        <v>242</v>
      </c>
      <c r="AC1584" t="s">
        <v>3229</v>
      </c>
    </row>
    <row r="1585" spans="1:29" x14ac:dyDescent="0.25">
      <c r="A1585" t="s">
        <v>1436</v>
      </c>
      <c r="B1585" t="s">
        <v>252</v>
      </c>
      <c r="C1585" t="s">
        <v>323</v>
      </c>
      <c r="D1585" t="s">
        <v>3209</v>
      </c>
      <c r="E1585" t="s">
        <v>3246</v>
      </c>
      <c r="F1585">
        <v>19580623</v>
      </c>
      <c r="G1585" t="s">
        <v>9332</v>
      </c>
      <c r="H1585" t="s">
        <v>242</v>
      </c>
      <c r="I1585" t="s">
        <v>242</v>
      </c>
      <c r="J1585" t="s">
        <v>242</v>
      </c>
      <c r="K1585" t="s">
        <v>241</v>
      </c>
      <c r="L1585" t="s">
        <v>242</v>
      </c>
      <c r="M1585">
        <v>38.561700000000002</v>
      </c>
      <c r="N1585">
        <v>-122.7008</v>
      </c>
      <c r="O1585">
        <v>4.8666666669999996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1.933333333</v>
      </c>
      <c r="Y1585">
        <v>0</v>
      </c>
      <c r="Z1585">
        <v>6.8333333329999997</v>
      </c>
      <c r="AA1585" t="s">
        <v>9341</v>
      </c>
      <c r="AB1585" t="s">
        <v>242</v>
      </c>
      <c r="AC1585" t="s">
        <v>3229</v>
      </c>
    </row>
    <row r="1586" spans="1:29" x14ac:dyDescent="0.25">
      <c r="A1586" t="s">
        <v>1439</v>
      </c>
      <c r="B1586" t="s">
        <v>252</v>
      </c>
      <c r="C1586" t="s">
        <v>489</v>
      </c>
      <c r="D1586" t="s">
        <v>3209</v>
      </c>
      <c r="E1586" t="s">
        <v>3246</v>
      </c>
      <c r="F1586">
        <v>19580724</v>
      </c>
      <c r="G1586" t="s">
        <v>9332</v>
      </c>
      <c r="H1586" t="s">
        <v>242</v>
      </c>
      <c r="I1586" t="s">
        <v>242</v>
      </c>
      <c r="J1586" t="s">
        <v>242</v>
      </c>
      <c r="K1586" t="s">
        <v>241</v>
      </c>
      <c r="L1586" t="s">
        <v>242</v>
      </c>
      <c r="M1586">
        <v>38.707382359999997</v>
      </c>
      <c r="N1586">
        <v>-122.9304693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 t="s">
        <v>9333</v>
      </c>
      <c r="AB1586" t="s">
        <v>242</v>
      </c>
      <c r="AC1586" t="s">
        <v>3229</v>
      </c>
    </row>
    <row r="1587" spans="1:29" x14ac:dyDescent="0.25">
      <c r="A1587" t="s">
        <v>1443</v>
      </c>
      <c r="B1587" t="s">
        <v>252</v>
      </c>
      <c r="C1587" t="s">
        <v>378</v>
      </c>
      <c r="D1587" t="s">
        <v>3209</v>
      </c>
      <c r="E1587" t="s">
        <v>3246</v>
      </c>
      <c r="F1587">
        <v>19580820</v>
      </c>
      <c r="G1587" t="s">
        <v>9332</v>
      </c>
      <c r="H1587" t="s">
        <v>242</v>
      </c>
      <c r="I1587" t="s">
        <v>242</v>
      </c>
      <c r="J1587" t="s">
        <v>242</v>
      </c>
      <c r="K1587" t="s">
        <v>241</v>
      </c>
      <c r="L1587" t="s">
        <v>242</v>
      </c>
      <c r="M1587">
        <v>38.509361519999999</v>
      </c>
      <c r="N1587">
        <v>-122.5473021</v>
      </c>
      <c r="O1587">
        <v>5.6666666670000003</v>
      </c>
      <c r="P1587">
        <v>1.9</v>
      </c>
      <c r="Q1587">
        <v>2.5333333329999999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0.46666666699999998</v>
      </c>
      <c r="Z1587">
        <v>4.233333333</v>
      </c>
      <c r="AA1587" t="s">
        <v>9335</v>
      </c>
      <c r="AB1587" t="s">
        <v>242</v>
      </c>
      <c r="AC1587" t="s">
        <v>3229</v>
      </c>
    </row>
    <row r="1588" spans="1:29" x14ac:dyDescent="0.25">
      <c r="A1588" t="s">
        <v>1411</v>
      </c>
      <c r="B1588" t="s">
        <v>252</v>
      </c>
      <c r="C1588" t="s">
        <v>352</v>
      </c>
      <c r="D1588" t="s">
        <v>3209</v>
      </c>
      <c r="E1588" t="s">
        <v>3246</v>
      </c>
      <c r="F1588">
        <v>19590205</v>
      </c>
      <c r="G1588" t="s">
        <v>9332</v>
      </c>
      <c r="H1588" t="s">
        <v>242</v>
      </c>
      <c r="I1588" t="s">
        <v>242</v>
      </c>
      <c r="J1588" t="s">
        <v>242</v>
      </c>
      <c r="K1588" t="s">
        <v>241</v>
      </c>
      <c r="L1588" t="s">
        <v>242</v>
      </c>
      <c r="M1588">
        <v>38.461242200000001</v>
      </c>
      <c r="N1588">
        <v>-122.90770809999999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 t="s">
        <v>9335</v>
      </c>
      <c r="AB1588" t="s">
        <v>242</v>
      </c>
      <c r="AC1588" t="s">
        <v>3229</v>
      </c>
    </row>
    <row r="1589" spans="1:29" x14ac:dyDescent="0.25">
      <c r="A1589" t="s">
        <v>1415</v>
      </c>
      <c r="B1589" t="s">
        <v>252</v>
      </c>
      <c r="C1589" t="s">
        <v>403</v>
      </c>
      <c r="D1589" t="s">
        <v>3209</v>
      </c>
      <c r="E1589" t="s">
        <v>3246</v>
      </c>
      <c r="F1589">
        <v>19590525</v>
      </c>
      <c r="G1589" t="s">
        <v>9332</v>
      </c>
      <c r="H1589" t="s">
        <v>242</v>
      </c>
      <c r="I1589" t="s">
        <v>242</v>
      </c>
      <c r="J1589" t="s">
        <v>242</v>
      </c>
      <c r="K1589" t="s">
        <v>241</v>
      </c>
      <c r="L1589" t="s">
        <v>242</v>
      </c>
      <c r="M1589">
        <v>38.412091959999998</v>
      </c>
      <c r="N1589">
        <v>-122.941638</v>
      </c>
      <c r="O1589">
        <v>1.790666667</v>
      </c>
      <c r="P1589">
        <v>0.39400000000000002</v>
      </c>
      <c r="Q1589">
        <v>0.165333333</v>
      </c>
      <c r="R1589">
        <v>0.23400000000000001</v>
      </c>
      <c r="S1589">
        <v>0.02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1</v>
      </c>
      <c r="Z1589">
        <v>1.3833333329999999</v>
      </c>
      <c r="AA1589" t="s">
        <v>9335</v>
      </c>
      <c r="AB1589" t="s">
        <v>242</v>
      </c>
      <c r="AC1589" t="s">
        <v>3229</v>
      </c>
    </row>
    <row r="1590" spans="1:29" x14ac:dyDescent="0.25">
      <c r="A1590" t="s">
        <v>1417</v>
      </c>
      <c r="B1590" t="s">
        <v>252</v>
      </c>
      <c r="C1590" t="s">
        <v>323</v>
      </c>
      <c r="D1590" t="s">
        <v>3209</v>
      </c>
      <c r="E1590" t="s">
        <v>3246</v>
      </c>
      <c r="F1590">
        <v>19590709</v>
      </c>
      <c r="G1590" t="s">
        <v>9332</v>
      </c>
      <c r="H1590" t="s">
        <v>242</v>
      </c>
      <c r="I1590" t="s">
        <v>242</v>
      </c>
      <c r="J1590" t="s">
        <v>242</v>
      </c>
      <c r="K1590" t="s">
        <v>241</v>
      </c>
      <c r="L1590" t="s">
        <v>242</v>
      </c>
      <c r="M1590">
        <v>38.49626035</v>
      </c>
      <c r="N1590">
        <v>-122.73204200000001</v>
      </c>
      <c r="O1590">
        <v>3.3333333E-2</v>
      </c>
      <c r="P1590">
        <v>3.3333333E-2</v>
      </c>
      <c r="Q1590">
        <v>3.3333333E-2</v>
      </c>
      <c r="R1590">
        <v>0.1</v>
      </c>
      <c r="S1590">
        <v>6.6666666999999999E-2</v>
      </c>
      <c r="T1590">
        <v>6.6666666999999999E-2</v>
      </c>
      <c r="U1590">
        <v>6.6666666999999999E-2</v>
      </c>
      <c r="V1590">
        <v>6.6666666999999999E-2</v>
      </c>
      <c r="W1590">
        <v>6.6666666999999999E-2</v>
      </c>
      <c r="X1590">
        <v>0</v>
      </c>
      <c r="Y1590">
        <v>3.3333333E-2</v>
      </c>
      <c r="Z1590">
        <v>3.3333333E-2</v>
      </c>
      <c r="AA1590" t="s">
        <v>9335</v>
      </c>
      <c r="AB1590" t="s">
        <v>242</v>
      </c>
      <c r="AC1590" t="s">
        <v>3229</v>
      </c>
    </row>
    <row r="1591" spans="1:29" x14ac:dyDescent="0.25">
      <c r="A1591" t="s">
        <v>1420</v>
      </c>
      <c r="B1591" t="s">
        <v>252</v>
      </c>
      <c r="C1591" t="s">
        <v>378</v>
      </c>
      <c r="D1591" t="s">
        <v>3209</v>
      </c>
      <c r="E1591" t="s">
        <v>3246</v>
      </c>
      <c r="F1591">
        <v>19590902</v>
      </c>
      <c r="G1591" t="s">
        <v>9332</v>
      </c>
      <c r="H1591" t="s">
        <v>242</v>
      </c>
      <c r="I1591" t="s">
        <v>242</v>
      </c>
      <c r="J1591" t="s">
        <v>242</v>
      </c>
      <c r="K1591" t="s">
        <v>241</v>
      </c>
      <c r="L1591" t="s">
        <v>242</v>
      </c>
      <c r="M1591">
        <v>38.38497606</v>
      </c>
      <c r="N1591">
        <v>-122.6016486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 t="s">
        <v>9342</v>
      </c>
      <c r="AB1591" t="s">
        <v>242</v>
      </c>
      <c r="AC1591" t="s">
        <v>3229</v>
      </c>
    </row>
    <row r="1592" spans="1:29" x14ac:dyDescent="0.25">
      <c r="A1592" t="s">
        <v>1421</v>
      </c>
      <c r="B1592" t="s">
        <v>252</v>
      </c>
      <c r="C1592" t="s">
        <v>378</v>
      </c>
      <c r="D1592" t="s">
        <v>3209</v>
      </c>
      <c r="E1592" t="s">
        <v>3246</v>
      </c>
      <c r="F1592">
        <v>19590902</v>
      </c>
      <c r="G1592" t="s">
        <v>9332</v>
      </c>
      <c r="H1592" t="s">
        <v>242</v>
      </c>
      <c r="I1592" t="s">
        <v>242</v>
      </c>
      <c r="J1592" t="s">
        <v>242</v>
      </c>
      <c r="K1592" t="s">
        <v>241</v>
      </c>
      <c r="L1592" t="s">
        <v>242</v>
      </c>
      <c r="M1592">
        <v>38.500061670000001</v>
      </c>
      <c r="N1592">
        <v>-122.53954349999999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 t="s">
        <v>9335</v>
      </c>
      <c r="AB1592" t="s">
        <v>242</v>
      </c>
      <c r="AC1592" t="s">
        <v>3229</v>
      </c>
    </row>
    <row r="1593" spans="1:29" x14ac:dyDescent="0.25">
      <c r="A1593" t="s">
        <v>1422</v>
      </c>
      <c r="B1593" t="s">
        <v>252</v>
      </c>
      <c r="C1593" t="s">
        <v>585</v>
      </c>
      <c r="D1593" t="s">
        <v>3209</v>
      </c>
      <c r="E1593" t="s">
        <v>3246</v>
      </c>
      <c r="F1593">
        <v>19591002</v>
      </c>
      <c r="G1593" t="s">
        <v>9332</v>
      </c>
      <c r="H1593" t="s">
        <v>242</v>
      </c>
      <c r="I1593" t="s">
        <v>242</v>
      </c>
      <c r="J1593" t="s">
        <v>242</v>
      </c>
      <c r="K1593" t="s">
        <v>241</v>
      </c>
      <c r="L1593" t="s">
        <v>242</v>
      </c>
      <c r="M1593">
        <v>38.335848439999999</v>
      </c>
      <c r="N1593">
        <v>-122.7813062</v>
      </c>
      <c r="O1593">
        <v>5</v>
      </c>
      <c r="P1593">
        <v>5</v>
      </c>
      <c r="Q1593">
        <v>4</v>
      </c>
      <c r="R1593">
        <v>1.3333333329999999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1.6666666670000001</v>
      </c>
      <c r="AA1593" t="s">
        <v>9333</v>
      </c>
      <c r="AB1593" t="s">
        <v>242</v>
      </c>
      <c r="AC1593" t="s">
        <v>3229</v>
      </c>
    </row>
    <row r="1594" spans="1:29" x14ac:dyDescent="0.25">
      <c r="A1594" t="s">
        <v>1424</v>
      </c>
      <c r="B1594" t="s">
        <v>252</v>
      </c>
      <c r="C1594" t="s">
        <v>394</v>
      </c>
      <c r="D1594" t="s">
        <v>3209</v>
      </c>
      <c r="E1594" t="s">
        <v>3246</v>
      </c>
      <c r="F1594">
        <v>19591120</v>
      </c>
      <c r="G1594" t="s">
        <v>9332</v>
      </c>
      <c r="H1594" t="s">
        <v>242</v>
      </c>
      <c r="I1594" t="s">
        <v>242</v>
      </c>
      <c r="J1594" t="s">
        <v>242</v>
      </c>
      <c r="K1594" t="s">
        <v>241</v>
      </c>
      <c r="L1594" t="s">
        <v>242</v>
      </c>
      <c r="M1594">
        <v>38.660971330000002</v>
      </c>
      <c r="N1594">
        <v>-122.8958909</v>
      </c>
      <c r="O1594">
        <v>5.766666667</v>
      </c>
      <c r="P1594">
        <v>0.16666666699999999</v>
      </c>
      <c r="Q1594">
        <v>0</v>
      </c>
      <c r="R1594">
        <v>6.6666666999999999E-2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0.5</v>
      </c>
      <c r="Y1594">
        <v>9.3000000000000007</v>
      </c>
      <c r="Z1594">
        <v>11.33333333</v>
      </c>
      <c r="AA1594" t="s">
        <v>9335</v>
      </c>
      <c r="AB1594" t="s">
        <v>242</v>
      </c>
      <c r="AC1594" t="s">
        <v>3229</v>
      </c>
    </row>
    <row r="1595" spans="1:29" x14ac:dyDescent="0.25">
      <c r="A1595" t="s">
        <v>1408</v>
      </c>
      <c r="B1595" t="s">
        <v>252</v>
      </c>
      <c r="C1595" t="s">
        <v>394</v>
      </c>
      <c r="D1595" t="s">
        <v>3209</v>
      </c>
      <c r="E1595" t="s">
        <v>3246</v>
      </c>
      <c r="F1595">
        <v>19600218</v>
      </c>
      <c r="G1595" t="s">
        <v>9332</v>
      </c>
      <c r="H1595" t="s">
        <v>242</v>
      </c>
      <c r="I1595" t="s">
        <v>242</v>
      </c>
      <c r="J1595" t="s">
        <v>242</v>
      </c>
      <c r="K1595" t="s">
        <v>241</v>
      </c>
      <c r="L1595" t="s">
        <v>242</v>
      </c>
      <c r="M1595">
        <v>38.653915400000002</v>
      </c>
      <c r="N1595">
        <v>-122.9028062</v>
      </c>
      <c r="O1595">
        <v>3</v>
      </c>
      <c r="P1595">
        <v>2.5</v>
      </c>
      <c r="Q1595">
        <v>0.5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4.5</v>
      </c>
      <c r="AA1595" t="s">
        <v>9341</v>
      </c>
      <c r="AB1595" t="s">
        <v>242</v>
      </c>
      <c r="AC1595" t="s">
        <v>3229</v>
      </c>
    </row>
    <row r="1596" spans="1:29" x14ac:dyDescent="0.25">
      <c r="A1596" t="s">
        <v>1393</v>
      </c>
      <c r="B1596" t="s">
        <v>252</v>
      </c>
      <c r="C1596" t="s">
        <v>493</v>
      </c>
      <c r="D1596" t="s">
        <v>3209</v>
      </c>
      <c r="E1596" t="s">
        <v>3226</v>
      </c>
      <c r="F1596">
        <v>19600412</v>
      </c>
      <c r="G1596" t="s">
        <v>9332</v>
      </c>
      <c r="H1596" t="s">
        <v>241</v>
      </c>
      <c r="I1596" t="s">
        <v>242</v>
      </c>
      <c r="J1596" t="s">
        <v>242</v>
      </c>
      <c r="K1596" t="s">
        <v>241</v>
      </c>
      <c r="L1596" t="s">
        <v>242</v>
      </c>
      <c r="M1596">
        <v>38.717719590000002</v>
      </c>
      <c r="N1596">
        <v>-123.0080682</v>
      </c>
      <c r="O1596">
        <v>20872.66</v>
      </c>
      <c r="P1596">
        <v>3561</v>
      </c>
      <c r="Q1596">
        <v>5227.66</v>
      </c>
      <c r="R1596">
        <v>4149</v>
      </c>
      <c r="S1596">
        <v>105.33</v>
      </c>
      <c r="T1596">
        <v>0</v>
      </c>
      <c r="U1596">
        <v>85</v>
      </c>
      <c r="V1596">
        <v>0</v>
      </c>
      <c r="W1596">
        <v>0</v>
      </c>
      <c r="X1596">
        <v>0</v>
      </c>
      <c r="Y1596">
        <v>8</v>
      </c>
      <c r="Z1596">
        <v>5651</v>
      </c>
      <c r="AA1596" t="s">
        <v>9336</v>
      </c>
      <c r="AB1596" t="s">
        <v>242</v>
      </c>
      <c r="AC1596" t="s">
        <v>3229</v>
      </c>
    </row>
    <row r="1597" spans="1:29" x14ac:dyDescent="0.25">
      <c r="A1597" t="s">
        <v>1395</v>
      </c>
      <c r="B1597" t="s">
        <v>252</v>
      </c>
      <c r="C1597" t="s">
        <v>378</v>
      </c>
      <c r="D1597" t="s">
        <v>3209</v>
      </c>
      <c r="E1597" t="s">
        <v>3246</v>
      </c>
      <c r="F1597">
        <v>19600506</v>
      </c>
      <c r="G1597" t="s">
        <v>9332</v>
      </c>
      <c r="H1597" t="s">
        <v>242</v>
      </c>
      <c r="I1597" t="s">
        <v>242</v>
      </c>
      <c r="J1597" t="s">
        <v>242</v>
      </c>
      <c r="K1597" t="s">
        <v>241</v>
      </c>
      <c r="L1597" t="s">
        <v>242</v>
      </c>
      <c r="M1597">
        <v>38.445408380000003</v>
      </c>
      <c r="N1597">
        <v>-122.59744240000001</v>
      </c>
      <c r="O1597">
        <v>3.6666666669999999</v>
      </c>
      <c r="P1597">
        <v>1.5</v>
      </c>
      <c r="Q1597">
        <v>3.5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0.133333333</v>
      </c>
      <c r="Z1597">
        <v>1.5</v>
      </c>
      <c r="AA1597" t="s">
        <v>9335</v>
      </c>
      <c r="AB1597" t="s">
        <v>242</v>
      </c>
      <c r="AC1597" t="s">
        <v>3229</v>
      </c>
    </row>
    <row r="1598" spans="1:29" x14ac:dyDescent="0.25">
      <c r="A1598" t="s">
        <v>1397</v>
      </c>
      <c r="B1598" t="s">
        <v>252</v>
      </c>
      <c r="C1598" t="s">
        <v>391</v>
      </c>
      <c r="D1598" t="s">
        <v>3209</v>
      </c>
      <c r="E1598" t="s">
        <v>3246</v>
      </c>
      <c r="F1598">
        <v>19600523</v>
      </c>
      <c r="G1598" t="s">
        <v>9332</v>
      </c>
      <c r="H1598" t="s">
        <v>242</v>
      </c>
      <c r="I1598" t="s">
        <v>242</v>
      </c>
      <c r="J1598" t="s">
        <v>242</v>
      </c>
      <c r="K1598" t="s">
        <v>241</v>
      </c>
      <c r="L1598" t="s">
        <v>242</v>
      </c>
      <c r="M1598">
        <v>38.556275380000002</v>
      </c>
      <c r="N1598">
        <v>-122.7511923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 t="s">
        <v>9335</v>
      </c>
      <c r="AB1598" t="s">
        <v>242</v>
      </c>
      <c r="AC1598" t="s">
        <v>3229</v>
      </c>
    </row>
    <row r="1599" spans="1:29" x14ac:dyDescent="0.25">
      <c r="A1599" t="s">
        <v>1399</v>
      </c>
      <c r="B1599" t="s">
        <v>252</v>
      </c>
      <c r="C1599" t="s">
        <v>403</v>
      </c>
      <c r="D1599" t="s">
        <v>3209</v>
      </c>
      <c r="E1599" t="s">
        <v>3246</v>
      </c>
      <c r="F1599">
        <v>19600602</v>
      </c>
      <c r="G1599" t="s">
        <v>9332</v>
      </c>
      <c r="H1599" t="s">
        <v>241</v>
      </c>
      <c r="I1599" t="s">
        <v>242</v>
      </c>
      <c r="J1599" t="s">
        <v>242</v>
      </c>
      <c r="K1599" t="s">
        <v>241</v>
      </c>
      <c r="L1599" t="s">
        <v>242</v>
      </c>
      <c r="M1599">
        <v>38.43265263</v>
      </c>
      <c r="N1599">
        <v>-123.1011072</v>
      </c>
      <c r="O1599">
        <v>0.20031654700000001</v>
      </c>
      <c r="P1599">
        <v>0.23140461100000001</v>
      </c>
      <c r="Q1599">
        <v>0.20422431299999999</v>
      </c>
      <c r="R1599">
        <v>0.185688197</v>
      </c>
      <c r="S1599">
        <v>0.22783405300000001</v>
      </c>
      <c r="T1599">
        <v>0.237869673</v>
      </c>
      <c r="U1599">
        <v>0.32306163100000002</v>
      </c>
      <c r="V1599">
        <v>0.357750489</v>
      </c>
      <c r="W1599">
        <v>0.18288519</v>
      </c>
      <c r="X1599">
        <v>0.18445050299999999</v>
      </c>
      <c r="Y1599">
        <v>0.16226226299999999</v>
      </c>
      <c r="Z1599">
        <v>0.198587603</v>
      </c>
      <c r="AA1599" t="s">
        <v>9333</v>
      </c>
      <c r="AB1599" t="s">
        <v>242</v>
      </c>
      <c r="AC1599" t="s">
        <v>3229</v>
      </c>
    </row>
    <row r="1600" spans="1:29" x14ac:dyDescent="0.25">
      <c r="A1600" t="s">
        <v>1400</v>
      </c>
      <c r="B1600" t="s">
        <v>252</v>
      </c>
      <c r="C1600" t="s">
        <v>403</v>
      </c>
      <c r="D1600" t="s">
        <v>3209</v>
      </c>
      <c r="E1600" t="s">
        <v>3246</v>
      </c>
      <c r="F1600">
        <v>19600705</v>
      </c>
      <c r="G1600" t="s">
        <v>9332</v>
      </c>
      <c r="H1600" t="s">
        <v>242</v>
      </c>
      <c r="I1600" t="s">
        <v>242</v>
      </c>
      <c r="J1600" t="s">
        <v>242</v>
      </c>
      <c r="K1600" t="s">
        <v>241</v>
      </c>
      <c r="L1600" t="s">
        <v>242</v>
      </c>
      <c r="M1600">
        <v>38.412091959999998</v>
      </c>
      <c r="N1600">
        <v>-122.941638</v>
      </c>
      <c r="O1600">
        <v>1.790666667</v>
      </c>
      <c r="P1600">
        <v>0.39400000000000002</v>
      </c>
      <c r="Q1600">
        <v>0.165333333</v>
      </c>
      <c r="R1600">
        <v>0.23400000000000001</v>
      </c>
      <c r="S1600">
        <v>0.02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1</v>
      </c>
      <c r="Z1600">
        <v>1.3833333329999999</v>
      </c>
      <c r="AA1600" t="s">
        <v>9335</v>
      </c>
      <c r="AB1600" t="s">
        <v>242</v>
      </c>
      <c r="AC1600" t="s">
        <v>3229</v>
      </c>
    </row>
    <row r="1601" spans="1:29" x14ac:dyDescent="0.25">
      <c r="A1601" t="s">
        <v>1409</v>
      </c>
      <c r="B1601" t="s">
        <v>252</v>
      </c>
      <c r="C1601" t="s">
        <v>394</v>
      </c>
      <c r="D1601" t="s">
        <v>3209</v>
      </c>
      <c r="E1601" t="s">
        <v>3246</v>
      </c>
      <c r="F1601">
        <v>19600718</v>
      </c>
      <c r="G1601" t="s">
        <v>9334</v>
      </c>
      <c r="H1601" t="s">
        <v>242</v>
      </c>
      <c r="I1601" t="s">
        <v>242</v>
      </c>
      <c r="J1601" t="s">
        <v>242</v>
      </c>
      <c r="K1601" t="s">
        <v>241</v>
      </c>
      <c r="L1601" t="s">
        <v>242</v>
      </c>
      <c r="M1601">
        <v>38.607552699999999</v>
      </c>
      <c r="N1601">
        <v>-122.9487661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 t="s">
        <v>9335</v>
      </c>
      <c r="AB1601" t="s">
        <v>242</v>
      </c>
      <c r="AC1601" t="s">
        <v>3229</v>
      </c>
    </row>
    <row r="1602" spans="1:29" x14ac:dyDescent="0.25">
      <c r="A1602" t="s">
        <v>1401</v>
      </c>
      <c r="B1602" t="s">
        <v>252</v>
      </c>
      <c r="C1602" t="s">
        <v>391</v>
      </c>
      <c r="D1602" t="s">
        <v>3209</v>
      </c>
      <c r="E1602" t="s">
        <v>3246</v>
      </c>
      <c r="F1602">
        <v>19600718</v>
      </c>
      <c r="G1602" t="s">
        <v>9332</v>
      </c>
      <c r="H1602" t="s">
        <v>242</v>
      </c>
      <c r="I1602" t="s">
        <v>242</v>
      </c>
      <c r="J1602" t="s">
        <v>242</v>
      </c>
      <c r="K1602" t="s">
        <v>241</v>
      </c>
      <c r="L1602" t="s">
        <v>242</v>
      </c>
      <c r="M1602">
        <v>38.566394359999997</v>
      </c>
      <c r="N1602">
        <v>-122.79851739999999</v>
      </c>
      <c r="O1602">
        <v>0.38866666700000002</v>
      </c>
      <c r="P1602">
        <v>0.83299999999999996</v>
      </c>
      <c r="Q1602">
        <v>1.594433333</v>
      </c>
      <c r="R1602">
        <v>0.45553333299999998</v>
      </c>
      <c r="S1602">
        <v>0.22093333300000001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0.1111</v>
      </c>
      <c r="Z1602">
        <v>1.356333333</v>
      </c>
      <c r="AA1602" t="s">
        <v>9335</v>
      </c>
      <c r="AB1602" t="s">
        <v>242</v>
      </c>
      <c r="AC1602" t="s">
        <v>3229</v>
      </c>
    </row>
    <row r="1603" spans="1:29" x14ac:dyDescent="0.25">
      <c r="A1603" t="s">
        <v>1402</v>
      </c>
      <c r="B1603" t="s">
        <v>252</v>
      </c>
      <c r="C1603" t="s">
        <v>493</v>
      </c>
      <c r="D1603" t="s">
        <v>3209</v>
      </c>
      <c r="E1603" t="s">
        <v>3246</v>
      </c>
      <c r="F1603">
        <v>19600804</v>
      </c>
      <c r="G1603" t="s">
        <v>9332</v>
      </c>
      <c r="H1603" t="s">
        <v>242</v>
      </c>
      <c r="I1603" t="s">
        <v>242</v>
      </c>
      <c r="J1603" t="s">
        <v>242</v>
      </c>
      <c r="K1603" t="s">
        <v>241</v>
      </c>
      <c r="L1603" t="s">
        <v>242</v>
      </c>
      <c r="M1603">
        <v>38.718699999999998</v>
      </c>
      <c r="N1603">
        <v>-122.95569999999999</v>
      </c>
      <c r="O1603">
        <v>2</v>
      </c>
      <c r="P1603">
        <v>0</v>
      </c>
      <c r="Q1603">
        <v>1</v>
      </c>
      <c r="R1603">
        <v>1</v>
      </c>
      <c r="S1603">
        <v>1</v>
      </c>
      <c r="T1603">
        <v>0.5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0.5</v>
      </c>
      <c r="AA1603" t="s">
        <v>9341</v>
      </c>
      <c r="AB1603" t="s">
        <v>242</v>
      </c>
      <c r="AC1603" t="s">
        <v>3229</v>
      </c>
    </row>
    <row r="1604" spans="1:29" x14ac:dyDescent="0.25">
      <c r="A1604" t="s">
        <v>1403</v>
      </c>
      <c r="B1604" t="s">
        <v>252</v>
      </c>
      <c r="C1604" t="s">
        <v>585</v>
      </c>
      <c r="D1604" t="s">
        <v>3209</v>
      </c>
      <c r="E1604" t="s">
        <v>3246</v>
      </c>
      <c r="F1604">
        <v>19600809</v>
      </c>
      <c r="G1604" t="s">
        <v>9332</v>
      </c>
      <c r="H1604" t="s">
        <v>242</v>
      </c>
      <c r="I1604" t="s">
        <v>242</v>
      </c>
      <c r="J1604" t="s">
        <v>242</v>
      </c>
      <c r="K1604" t="s">
        <v>241</v>
      </c>
      <c r="L1604" t="s">
        <v>242</v>
      </c>
      <c r="M1604">
        <v>38.318829409999999</v>
      </c>
      <c r="N1604">
        <v>-122.7804237</v>
      </c>
      <c r="O1604">
        <v>0</v>
      </c>
      <c r="P1604">
        <v>0</v>
      </c>
      <c r="Q1604">
        <v>0.16666666699999999</v>
      </c>
      <c r="R1604">
        <v>0.33333333300000001</v>
      </c>
      <c r="S1604">
        <v>0.5</v>
      </c>
      <c r="T1604">
        <v>0.5</v>
      </c>
      <c r="U1604">
        <v>0.66666666699999999</v>
      </c>
      <c r="V1604">
        <v>0.66666666699999999</v>
      </c>
      <c r="W1604">
        <v>0.66666666699999999</v>
      </c>
      <c r="X1604">
        <v>0.66666666699999999</v>
      </c>
      <c r="Y1604">
        <v>0.5</v>
      </c>
      <c r="Z1604">
        <v>0</v>
      </c>
      <c r="AA1604" t="s">
        <v>9335</v>
      </c>
      <c r="AB1604" t="s">
        <v>242</v>
      </c>
      <c r="AC1604" t="s">
        <v>3229</v>
      </c>
    </row>
    <row r="1605" spans="1:29" x14ac:dyDescent="0.25">
      <c r="A1605" t="s">
        <v>1410</v>
      </c>
      <c r="B1605" t="s">
        <v>252</v>
      </c>
      <c r="C1605" t="s">
        <v>394</v>
      </c>
      <c r="D1605" t="s">
        <v>3209</v>
      </c>
      <c r="E1605" t="s">
        <v>3246</v>
      </c>
      <c r="F1605">
        <v>19600830</v>
      </c>
      <c r="G1605" t="s">
        <v>9332</v>
      </c>
      <c r="H1605" t="s">
        <v>242</v>
      </c>
      <c r="I1605" t="s">
        <v>242</v>
      </c>
      <c r="J1605" t="s">
        <v>242</v>
      </c>
      <c r="K1605" t="s">
        <v>241</v>
      </c>
      <c r="L1605" t="s">
        <v>242</v>
      </c>
      <c r="M1605">
        <v>38.596714759999998</v>
      </c>
      <c r="N1605">
        <v>-122.89578400000001</v>
      </c>
      <c r="O1605">
        <v>0.19466666699999999</v>
      </c>
      <c r="P1605">
        <v>8.4333332999999996E-2</v>
      </c>
      <c r="Q1605">
        <v>8.5633333000000006E-2</v>
      </c>
      <c r="R1605">
        <v>3.0933333E-2</v>
      </c>
      <c r="S1605">
        <v>5.6666666999999997E-2</v>
      </c>
      <c r="T1605">
        <v>0</v>
      </c>
      <c r="U1605">
        <v>0</v>
      </c>
      <c r="V1605">
        <v>0</v>
      </c>
      <c r="W1605">
        <v>0</v>
      </c>
      <c r="X1605">
        <v>6.8000000000000005E-2</v>
      </c>
      <c r="Y1605">
        <v>0.10199999999999999</v>
      </c>
      <c r="Z1605">
        <v>0.19719999999999999</v>
      </c>
      <c r="AA1605" t="s">
        <v>9335</v>
      </c>
      <c r="AB1605" t="s">
        <v>242</v>
      </c>
      <c r="AC1605" t="s">
        <v>3229</v>
      </c>
    </row>
    <row r="1606" spans="1:29" x14ac:dyDescent="0.25">
      <c r="A1606" t="s">
        <v>1405</v>
      </c>
      <c r="B1606" t="s">
        <v>252</v>
      </c>
      <c r="C1606" t="s">
        <v>391</v>
      </c>
      <c r="D1606" t="s">
        <v>3209</v>
      </c>
      <c r="E1606" t="s">
        <v>3246</v>
      </c>
      <c r="F1606">
        <v>19601004</v>
      </c>
      <c r="G1606" t="s">
        <v>9332</v>
      </c>
      <c r="H1606" t="s">
        <v>242</v>
      </c>
      <c r="I1606" t="s">
        <v>242</v>
      </c>
      <c r="J1606" t="s">
        <v>242</v>
      </c>
      <c r="K1606" t="s">
        <v>241</v>
      </c>
      <c r="L1606" t="s">
        <v>242</v>
      </c>
      <c r="M1606">
        <v>38.521266079999997</v>
      </c>
      <c r="N1606">
        <v>-122.81199460000001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 t="s">
        <v>9341</v>
      </c>
      <c r="AB1606" t="s">
        <v>242</v>
      </c>
      <c r="AC1606" t="s">
        <v>3229</v>
      </c>
    </row>
    <row r="1607" spans="1:29" x14ac:dyDescent="0.25">
      <c r="A1607" t="s">
        <v>1406</v>
      </c>
      <c r="B1607" t="s">
        <v>252</v>
      </c>
      <c r="C1607" t="s">
        <v>725</v>
      </c>
      <c r="D1607" t="s">
        <v>3209</v>
      </c>
      <c r="E1607" t="s">
        <v>3246</v>
      </c>
      <c r="F1607">
        <v>19601007</v>
      </c>
      <c r="G1607" t="s">
        <v>9332</v>
      </c>
      <c r="H1607" t="s">
        <v>242</v>
      </c>
      <c r="I1607" t="s">
        <v>242</v>
      </c>
      <c r="J1607" t="s">
        <v>242</v>
      </c>
      <c r="K1607" t="s">
        <v>241</v>
      </c>
      <c r="L1607" t="s">
        <v>242</v>
      </c>
      <c r="M1607">
        <v>38.473999999999997</v>
      </c>
      <c r="N1607">
        <v>-122.7145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 t="s">
        <v>9335</v>
      </c>
      <c r="AB1607" t="s">
        <v>242</v>
      </c>
      <c r="AC1607" t="s">
        <v>3229</v>
      </c>
    </row>
    <row r="1608" spans="1:29" x14ac:dyDescent="0.25">
      <c r="A1608" t="s">
        <v>1407</v>
      </c>
      <c r="B1608" t="s">
        <v>252</v>
      </c>
      <c r="C1608" t="s">
        <v>391</v>
      </c>
      <c r="D1608" t="s">
        <v>3209</v>
      </c>
      <c r="E1608" t="s">
        <v>3246</v>
      </c>
      <c r="F1608">
        <v>19601227</v>
      </c>
      <c r="G1608" t="s">
        <v>9332</v>
      </c>
      <c r="H1608" t="s">
        <v>242</v>
      </c>
      <c r="I1608" t="s">
        <v>242</v>
      </c>
      <c r="J1608" t="s">
        <v>242</v>
      </c>
      <c r="K1608" t="s">
        <v>241</v>
      </c>
      <c r="L1608" t="s">
        <v>242</v>
      </c>
      <c r="M1608">
        <v>38.554664600000002</v>
      </c>
      <c r="N1608">
        <v>-122.76656250000001</v>
      </c>
      <c r="O1608">
        <v>0.34333333300000002</v>
      </c>
      <c r="P1608">
        <v>0.34333333300000002</v>
      </c>
      <c r="Q1608">
        <v>0.01</v>
      </c>
      <c r="R1608">
        <v>0.01</v>
      </c>
      <c r="S1608">
        <v>0.01</v>
      </c>
      <c r="T1608">
        <v>0.01</v>
      </c>
      <c r="U1608">
        <v>0</v>
      </c>
      <c r="V1608">
        <v>0</v>
      </c>
      <c r="W1608">
        <v>0</v>
      </c>
      <c r="X1608">
        <v>0</v>
      </c>
      <c r="Y1608">
        <v>3.333333E-3</v>
      </c>
      <c r="Z1608">
        <v>0.34333333300000002</v>
      </c>
      <c r="AA1608" t="s">
        <v>9342</v>
      </c>
      <c r="AB1608" t="s">
        <v>242</v>
      </c>
      <c r="AC1608" t="s">
        <v>3229</v>
      </c>
    </row>
    <row r="1609" spans="1:29" x14ac:dyDescent="0.25">
      <c r="A1609" t="s">
        <v>1387</v>
      </c>
      <c r="B1609" t="s">
        <v>252</v>
      </c>
      <c r="C1609" t="s">
        <v>394</v>
      </c>
      <c r="D1609" t="s">
        <v>3209</v>
      </c>
      <c r="E1609" t="s">
        <v>3246</v>
      </c>
      <c r="F1609">
        <v>19610223</v>
      </c>
      <c r="G1609" t="s">
        <v>9332</v>
      </c>
      <c r="H1609" t="s">
        <v>242</v>
      </c>
      <c r="I1609" t="s">
        <v>242</v>
      </c>
      <c r="J1609" t="s">
        <v>242</v>
      </c>
      <c r="K1609" t="s">
        <v>241</v>
      </c>
      <c r="L1609" t="s">
        <v>242</v>
      </c>
      <c r="M1609">
        <v>38.575313850000001</v>
      </c>
      <c r="N1609">
        <v>-122.8934165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 t="s">
        <v>9333</v>
      </c>
      <c r="AB1609" t="s">
        <v>242</v>
      </c>
      <c r="AC1609" t="s">
        <v>3229</v>
      </c>
    </row>
    <row r="1610" spans="1:29" x14ac:dyDescent="0.25">
      <c r="A1610" t="s">
        <v>1388</v>
      </c>
      <c r="B1610" t="s">
        <v>252</v>
      </c>
      <c r="C1610" t="s">
        <v>394</v>
      </c>
      <c r="D1610" t="s">
        <v>3209</v>
      </c>
      <c r="E1610" t="s">
        <v>3246</v>
      </c>
      <c r="F1610">
        <v>19610302</v>
      </c>
      <c r="G1610" t="s">
        <v>9332</v>
      </c>
      <c r="H1610" t="s">
        <v>242</v>
      </c>
      <c r="I1610" t="s">
        <v>242</v>
      </c>
      <c r="J1610" t="s">
        <v>242</v>
      </c>
      <c r="K1610" t="s">
        <v>241</v>
      </c>
      <c r="L1610" t="s">
        <v>242</v>
      </c>
      <c r="M1610">
        <v>38.659700000000001</v>
      </c>
      <c r="N1610">
        <v>-122.8938</v>
      </c>
      <c r="O1610">
        <v>0.33333333300000001</v>
      </c>
      <c r="P1610">
        <v>0.46666666699999998</v>
      </c>
      <c r="Q1610">
        <v>0.233333333</v>
      </c>
      <c r="R1610">
        <v>0.26666666700000002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0.83333333300000001</v>
      </c>
      <c r="Y1610">
        <v>2.4</v>
      </c>
      <c r="Z1610">
        <v>0.9</v>
      </c>
      <c r="AA1610" t="s">
        <v>9342</v>
      </c>
      <c r="AB1610" t="s">
        <v>242</v>
      </c>
      <c r="AC1610" t="s">
        <v>3229</v>
      </c>
    </row>
    <row r="1611" spans="1:29" x14ac:dyDescent="0.25">
      <c r="A1611" t="s">
        <v>1371</v>
      </c>
      <c r="B1611" t="s">
        <v>252</v>
      </c>
      <c r="C1611" t="s">
        <v>391</v>
      </c>
      <c r="D1611" t="s">
        <v>3209</v>
      </c>
      <c r="E1611" t="s">
        <v>3246</v>
      </c>
      <c r="F1611">
        <v>19610406</v>
      </c>
      <c r="G1611" t="s">
        <v>9332</v>
      </c>
      <c r="H1611" t="s">
        <v>242</v>
      </c>
      <c r="I1611" t="s">
        <v>242</v>
      </c>
      <c r="J1611" t="s">
        <v>242</v>
      </c>
      <c r="K1611" t="s">
        <v>241</v>
      </c>
      <c r="L1611" t="s">
        <v>242</v>
      </c>
      <c r="M1611">
        <v>38.561033449999996</v>
      </c>
      <c r="N1611">
        <v>-122.7792216</v>
      </c>
      <c r="O1611">
        <v>0.8</v>
      </c>
      <c r="P1611">
        <v>0.3</v>
      </c>
      <c r="Q1611">
        <v>0.8</v>
      </c>
      <c r="R1611">
        <v>0.2</v>
      </c>
      <c r="S1611">
        <v>0.05</v>
      </c>
      <c r="T1611">
        <v>2.5000000000000001E-2</v>
      </c>
      <c r="U1611">
        <v>0</v>
      </c>
      <c r="V1611">
        <v>0</v>
      </c>
      <c r="W1611">
        <v>0</v>
      </c>
      <c r="X1611">
        <v>0.3</v>
      </c>
      <c r="Y1611">
        <v>0.75</v>
      </c>
      <c r="Z1611">
        <v>0.65</v>
      </c>
      <c r="AA1611" t="s">
        <v>9335</v>
      </c>
      <c r="AB1611" t="s">
        <v>242</v>
      </c>
      <c r="AC1611" t="s">
        <v>3229</v>
      </c>
    </row>
    <row r="1612" spans="1:29" x14ac:dyDescent="0.25">
      <c r="A1612" t="s">
        <v>1372</v>
      </c>
      <c r="B1612" t="s">
        <v>252</v>
      </c>
      <c r="C1612" t="s">
        <v>391</v>
      </c>
      <c r="D1612" t="s">
        <v>3209</v>
      </c>
      <c r="E1612" t="s">
        <v>3246</v>
      </c>
      <c r="F1612">
        <v>19610410</v>
      </c>
      <c r="G1612" t="s">
        <v>9332</v>
      </c>
      <c r="H1612" t="s">
        <v>242</v>
      </c>
      <c r="I1612" t="s">
        <v>242</v>
      </c>
      <c r="J1612" t="s">
        <v>242</v>
      </c>
      <c r="K1612" t="s">
        <v>241</v>
      </c>
      <c r="L1612" t="s">
        <v>242</v>
      </c>
      <c r="M1612">
        <v>38.562401659999999</v>
      </c>
      <c r="N1612">
        <v>-122.7799361</v>
      </c>
      <c r="O1612">
        <v>5.7355333000000001E-2</v>
      </c>
      <c r="P1612">
        <v>5.7355333000000001E-2</v>
      </c>
      <c r="Q1612">
        <v>5.7355333000000001E-2</v>
      </c>
      <c r="R1612">
        <v>5.0688667E-2</v>
      </c>
      <c r="S1612">
        <v>0.02</v>
      </c>
      <c r="T1612">
        <v>0</v>
      </c>
      <c r="U1612">
        <v>0</v>
      </c>
      <c r="V1612">
        <v>0</v>
      </c>
      <c r="W1612">
        <v>0</v>
      </c>
      <c r="X1612">
        <v>6.1380000000000002E-3</v>
      </c>
      <c r="Y1612">
        <v>1.5608667E-2</v>
      </c>
      <c r="Z1612">
        <v>4.5608666999999999E-2</v>
      </c>
      <c r="AA1612" t="s">
        <v>9335</v>
      </c>
      <c r="AB1612" t="s">
        <v>242</v>
      </c>
      <c r="AC1612" t="s">
        <v>3229</v>
      </c>
    </row>
    <row r="1613" spans="1:29" x14ac:dyDescent="0.25">
      <c r="A1613" t="s">
        <v>1389</v>
      </c>
      <c r="B1613" t="s">
        <v>252</v>
      </c>
      <c r="C1613" t="s">
        <v>394</v>
      </c>
      <c r="D1613" t="s">
        <v>3209</v>
      </c>
      <c r="E1613" t="s">
        <v>3246</v>
      </c>
      <c r="F1613">
        <v>19610508</v>
      </c>
      <c r="G1613" t="s">
        <v>9332</v>
      </c>
      <c r="H1613" t="s">
        <v>242</v>
      </c>
      <c r="I1613" t="s">
        <v>242</v>
      </c>
      <c r="J1613" t="s">
        <v>242</v>
      </c>
      <c r="K1613" t="s">
        <v>241</v>
      </c>
      <c r="L1613" t="s">
        <v>242</v>
      </c>
      <c r="M1613">
        <v>38.634322679999997</v>
      </c>
      <c r="N1613">
        <v>-122.93231710000001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 t="s">
        <v>9342</v>
      </c>
      <c r="AB1613" t="s">
        <v>242</v>
      </c>
      <c r="AC1613" t="s">
        <v>3229</v>
      </c>
    </row>
    <row r="1614" spans="1:29" x14ac:dyDescent="0.25">
      <c r="A1614" t="s">
        <v>1374</v>
      </c>
      <c r="B1614" t="s">
        <v>252</v>
      </c>
      <c r="C1614" t="s">
        <v>378</v>
      </c>
      <c r="D1614" t="s">
        <v>3209</v>
      </c>
      <c r="E1614" t="s">
        <v>3246</v>
      </c>
      <c r="F1614">
        <v>19610512</v>
      </c>
      <c r="G1614" t="s">
        <v>9332</v>
      </c>
      <c r="H1614" t="s">
        <v>242</v>
      </c>
      <c r="I1614" t="s">
        <v>242</v>
      </c>
      <c r="J1614" t="s">
        <v>242</v>
      </c>
      <c r="K1614" t="s">
        <v>241</v>
      </c>
      <c r="L1614" t="s">
        <v>242</v>
      </c>
      <c r="M1614">
        <v>38.506394139999998</v>
      </c>
      <c r="N1614">
        <v>-122.6916078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 t="s">
        <v>9342</v>
      </c>
      <c r="AB1614" t="s">
        <v>242</v>
      </c>
      <c r="AC1614" t="s">
        <v>3229</v>
      </c>
    </row>
    <row r="1615" spans="1:29" x14ac:dyDescent="0.25">
      <c r="A1615" t="s">
        <v>1376</v>
      </c>
      <c r="B1615" t="s">
        <v>252</v>
      </c>
      <c r="C1615" t="s">
        <v>493</v>
      </c>
      <c r="D1615" t="s">
        <v>3209</v>
      </c>
      <c r="E1615" t="s">
        <v>3246</v>
      </c>
      <c r="F1615">
        <v>19610515</v>
      </c>
      <c r="G1615" t="s">
        <v>9332</v>
      </c>
      <c r="H1615" t="s">
        <v>242</v>
      </c>
      <c r="I1615" t="s">
        <v>242</v>
      </c>
      <c r="J1615" t="s">
        <v>242</v>
      </c>
      <c r="K1615" t="s">
        <v>241</v>
      </c>
      <c r="L1615" t="s">
        <v>242</v>
      </c>
      <c r="M1615">
        <v>38.720999999999997</v>
      </c>
      <c r="N1615">
        <v>-122.9598</v>
      </c>
      <c r="O1615">
        <v>1.1499999999999999</v>
      </c>
      <c r="P1615">
        <v>1.766666667</v>
      </c>
      <c r="Q1615">
        <v>0.6</v>
      </c>
      <c r="R1615">
        <v>0.3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0.6</v>
      </c>
      <c r="Z1615">
        <v>0.58333333300000001</v>
      </c>
      <c r="AA1615" t="s">
        <v>9335</v>
      </c>
      <c r="AB1615" t="s">
        <v>242</v>
      </c>
      <c r="AC1615" t="s">
        <v>3229</v>
      </c>
    </row>
    <row r="1616" spans="1:29" x14ac:dyDescent="0.25">
      <c r="A1616" t="s">
        <v>1377</v>
      </c>
      <c r="B1616" t="s">
        <v>252</v>
      </c>
      <c r="C1616" t="s">
        <v>403</v>
      </c>
      <c r="D1616" t="s">
        <v>3209</v>
      </c>
      <c r="E1616" t="s">
        <v>3246</v>
      </c>
      <c r="F1616">
        <v>19610517</v>
      </c>
      <c r="G1616" t="s">
        <v>9332</v>
      </c>
      <c r="H1616" t="s">
        <v>242</v>
      </c>
      <c r="I1616" t="s">
        <v>242</v>
      </c>
      <c r="J1616" t="s">
        <v>242</v>
      </c>
      <c r="K1616" t="s">
        <v>241</v>
      </c>
      <c r="L1616" t="s">
        <v>242</v>
      </c>
      <c r="M1616">
        <v>38.431881920000002</v>
      </c>
      <c r="N1616">
        <v>-122.9726205</v>
      </c>
      <c r="O1616">
        <v>0.11749999999999999</v>
      </c>
      <c r="P1616">
        <v>8.8400000000000006E-2</v>
      </c>
      <c r="Q1616">
        <v>0.42926666699999999</v>
      </c>
      <c r="R1616">
        <v>0.20080000000000001</v>
      </c>
      <c r="S1616">
        <v>3.2899999999999999E-2</v>
      </c>
      <c r="T1616">
        <v>2.1100000000000001E-2</v>
      </c>
      <c r="U1616">
        <v>1.3599999999999999E-2</v>
      </c>
      <c r="V1616">
        <v>4.6899999999999997E-2</v>
      </c>
      <c r="W1616">
        <v>2.41E-2</v>
      </c>
      <c r="X1616">
        <v>1.47E-2</v>
      </c>
      <c r="Y1616">
        <v>0.111033333</v>
      </c>
      <c r="Z1616">
        <v>0.20396666699999999</v>
      </c>
      <c r="AA1616" t="s">
        <v>9333</v>
      </c>
      <c r="AB1616" t="s">
        <v>242</v>
      </c>
      <c r="AC1616" t="s">
        <v>3229</v>
      </c>
    </row>
    <row r="1617" spans="1:29" x14ac:dyDescent="0.25">
      <c r="A1617" t="s">
        <v>1378</v>
      </c>
      <c r="B1617" t="s">
        <v>252</v>
      </c>
      <c r="C1617" t="s">
        <v>1118</v>
      </c>
      <c r="D1617" t="s">
        <v>3209</v>
      </c>
      <c r="E1617" t="s">
        <v>3246</v>
      </c>
      <c r="F1617">
        <v>19610525</v>
      </c>
      <c r="G1617" t="s">
        <v>9332</v>
      </c>
      <c r="H1617" t="s">
        <v>242</v>
      </c>
      <c r="I1617" t="s">
        <v>242</v>
      </c>
      <c r="J1617" t="s">
        <v>242</v>
      </c>
      <c r="K1617" t="s">
        <v>241</v>
      </c>
      <c r="L1617" t="s">
        <v>242</v>
      </c>
      <c r="M1617">
        <v>38.464096410000003</v>
      </c>
      <c r="N1617">
        <v>-122.8574493</v>
      </c>
      <c r="O1617">
        <v>0.1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0.66666666699999999</v>
      </c>
      <c r="Z1617">
        <v>0</v>
      </c>
      <c r="AA1617" t="s">
        <v>9335</v>
      </c>
      <c r="AB1617" t="s">
        <v>242</v>
      </c>
      <c r="AC1617" t="s">
        <v>3229</v>
      </c>
    </row>
    <row r="1618" spans="1:29" x14ac:dyDescent="0.25">
      <c r="A1618" t="s">
        <v>1379</v>
      </c>
      <c r="B1618" t="s">
        <v>252</v>
      </c>
      <c r="C1618" t="s">
        <v>329</v>
      </c>
      <c r="D1618" t="s">
        <v>3209</v>
      </c>
      <c r="E1618" t="s">
        <v>3246</v>
      </c>
      <c r="F1618">
        <v>19610613</v>
      </c>
      <c r="G1618" t="s">
        <v>9332</v>
      </c>
      <c r="H1618" t="s">
        <v>242</v>
      </c>
      <c r="I1618" t="s">
        <v>242</v>
      </c>
      <c r="J1618" t="s">
        <v>242</v>
      </c>
      <c r="K1618" t="s">
        <v>241</v>
      </c>
      <c r="L1618" t="s">
        <v>242</v>
      </c>
      <c r="M1618">
        <v>38.556115550000001</v>
      </c>
      <c r="N1618">
        <v>-123.1128027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 t="s">
        <v>9342</v>
      </c>
      <c r="AB1618" t="s">
        <v>242</v>
      </c>
      <c r="AC1618" t="s">
        <v>3229</v>
      </c>
    </row>
    <row r="1619" spans="1:29" x14ac:dyDescent="0.25">
      <c r="A1619" t="s">
        <v>1380</v>
      </c>
      <c r="B1619" t="s">
        <v>252</v>
      </c>
      <c r="C1619" t="s">
        <v>486</v>
      </c>
      <c r="D1619" t="s">
        <v>3209</v>
      </c>
      <c r="E1619" t="s">
        <v>3246</v>
      </c>
      <c r="F1619">
        <v>19610614</v>
      </c>
      <c r="G1619" t="s">
        <v>9332</v>
      </c>
      <c r="H1619" t="s">
        <v>242</v>
      </c>
      <c r="I1619" t="s">
        <v>242</v>
      </c>
      <c r="J1619" t="s">
        <v>242</v>
      </c>
      <c r="K1619" t="s">
        <v>241</v>
      </c>
      <c r="L1619" t="s">
        <v>242</v>
      </c>
      <c r="M1619">
        <v>38.564999999999998</v>
      </c>
      <c r="N1619">
        <v>-122.87820000000001</v>
      </c>
      <c r="O1619">
        <v>3.8333333330000001</v>
      </c>
      <c r="P1619">
        <v>1</v>
      </c>
      <c r="Q1619">
        <v>1</v>
      </c>
      <c r="R1619">
        <v>0.33333333300000001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1.066666667</v>
      </c>
      <c r="Z1619">
        <v>3.6</v>
      </c>
      <c r="AA1619" t="s">
        <v>9335</v>
      </c>
      <c r="AB1619" t="s">
        <v>242</v>
      </c>
      <c r="AC1619" t="s">
        <v>3229</v>
      </c>
    </row>
    <row r="1620" spans="1:29" x14ac:dyDescent="0.25">
      <c r="A1620" t="s">
        <v>1382</v>
      </c>
      <c r="B1620" t="s">
        <v>252</v>
      </c>
      <c r="C1620" t="s">
        <v>403</v>
      </c>
      <c r="D1620" t="s">
        <v>3209</v>
      </c>
      <c r="E1620" t="s">
        <v>3246</v>
      </c>
      <c r="F1620">
        <v>19610907</v>
      </c>
      <c r="G1620" t="s">
        <v>9332</v>
      </c>
      <c r="H1620" t="s">
        <v>242</v>
      </c>
      <c r="I1620" t="s">
        <v>242</v>
      </c>
      <c r="J1620" t="s">
        <v>242</v>
      </c>
      <c r="K1620" t="s">
        <v>241</v>
      </c>
      <c r="L1620" t="s">
        <v>242</v>
      </c>
      <c r="M1620">
        <v>38.551211700000003</v>
      </c>
      <c r="N1620">
        <v>-123.0190065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 t="s">
        <v>9341</v>
      </c>
      <c r="AB1620" t="s">
        <v>242</v>
      </c>
      <c r="AC1620" t="s">
        <v>3229</v>
      </c>
    </row>
    <row r="1621" spans="1:29" x14ac:dyDescent="0.25">
      <c r="A1621" t="s">
        <v>1383</v>
      </c>
      <c r="B1621" t="s">
        <v>252</v>
      </c>
      <c r="C1621" t="s">
        <v>391</v>
      </c>
      <c r="D1621" t="s">
        <v>3209</v>
      </c>
      <c r="E1621" t="s">
        <v>3246</v>
      </c>
      <c r="F1621">
        <v>19610919</v>
      </c>
      <c r="G1621" t="s">
        <v>9332</v>
      </c>
      <c r="H1621" t="s">
        <v>242</v>
      </c>
      <c r="I1621" t="s">
        <v>242</v>
      </c>
      <c r="J1621" t="s">
        <v>242</v>
      </c>
      <c r="K1621" t="s">
        <v>241</v>
      </c>
      <c r="L1621" t="s">
        <v>242</v>
      </c>
      <c r="M1621">
        <v>38.587733020000002</v>
      </c>
      <c r="N1621">
        <v>-122.7901844</v>
      </c>
      <c r="O1621">
        <v>1.53</v>
      </c>
      <c r="P1621">
        <v>1.276666667</v>
      </c>
      <c r="Q1621">
        <v>1.153333333</v>
      </c>
      <c r="R1621">
        <v>0.37666666700000001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0.87666666699999996</v>
      </c>
      <c r="Z1621">
        <v>1.413333333</v>
      </c>
      <c r="AA1621" t="s">
        <v>9342</v>
      </c>
      <c r="AB1621" t="s">
        <v>242</v>
      </c>
      <c r="AC1621" t="s">
        <v>3229</v>
      </c>
    </row>
    <row r="1622" spans="1:29" x14ac:dyDescent="0.25">
      <c r="A1622" t="s">
        <v>1384</v>
      </c>
      <c r="B1622" t="s">
        <v>252</v>
      </c>
      <c r="C1622" t="s">
        <v>323</v>
      </c>
      <c r="D1622" t="s">
        <v>3209</v>
      </c>
      <c r="E1622" t="s">
        <v>3246</v>
      </c>
      <c r="F1622">
        <v>19611013</v>
      </c>
      <c r="G1622" t="s">
        <v>9332</v>
      </c>
      <c r="H1622" t="s">
        <v>242</v>
      </c>
      <c r="I1622" t="s">
        <v>242</v>
      </c>
      <c r="J1622" t="s">
        <v>242</v>
      </c>
      <c r="K1622" t="s">
        <v>241</v>
      </c>
      <c r="L1622" t="s">
        <v>242</v>
      </c>
      <c r="M1622">
        <v>38.516518120000001</v>
      </c>
      <c r="N1622">
        <v>-122.6976476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 t="s">
        <v>9342</v>
      </c>
      <c r="AB1622" t="s">
        <v>242</v>
      </c>
      <c r="AC1622" t="s">
        <v>3229</v>
      </c>
    </row>
    <row r="1623" spans="1:29" x14ac:dyDescent="0.25">
      <c r="A1623" t="s">
        <v>1386</v>
      </c>
      <c r="B1623" t="s">
        <v>252</v>
      </c>
      <c r="C1623" t="s">
        <v>1118</v>
      </c>
      <c r="D1623" t="s">
        <v>3209</v>
      </c>
      <c r="E1623" t="s">
        <v>3246</v>
      </c>
      <c r="F1623">
        <v>19611110</v>
      </c>
      <c r="G1623" t="s">
        <v>9332</v>
      </c>
      <c r="H1623" t="s">
        <v>242</v>
      </c>
      <c r="I1623" t="s">
        <v>242</v>
      </c>
      <c r="J1623" t="s">
        <v>242</v>
      </c>
      <c r="K1623" t="s">
        <v>241</v>
      </c>
      <c r="L1623" t="s">
        <v>242</v>
      </c>
      <c r="M1623">
        <v>38.465330190000003</v>
      </c>
      <c r="N1623">
        <v>-122.8389525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 t="s">
        <v>9335</v>
      </c>
      <c r="AB1623" t="s">
        <v>242</v>
      </c>
      <c r="AC1623" t="s">
        <v>3229</v>
      </c>
    </row>
    <row r="1624" spans="1:29" x14ac:dyDescent="0.25">
      <c r="A1624" t="s">
        <v>1390</v>
      </c>
      <c r="B1624" t="s">
        <v>252</v>
      </c>
      <c r="C1624" t="s">
        <v>394</v>
      </c>
      <c r="D1624" t="s">
        <v>3209</v>
      </c>
      <c r="E1624" t="s">
        <v>3246</v>
      </c>
      <c r="F1624">
        <v>19611114</v>
      </c>
      <c r="G1624" t="s">
        <v>9332</v>
      </c>
      <c r="H1624" t="s">
        <v>242</v>
      </c>
      <c r="I1624" t="s">
        <v>242</v>
      </c>
      <c r="J1624" t="s">
        <v>242</v>
      </c>
      <c r="K1624" t="s">
        <v>241</v>
      </c>
      <c r="L1624" t="s">
        <v>242</v>
      </c>
      <c r="M1624">
        <v>38.628931610000002</v>
      </c>
      <c r="N1624">
        <v>-122.9196438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 t="s">
        <v>9335</v>
      </c>
      <c r="AB1624" t="s">
        <v>242</v>
      </c>
      <c r="AC1624" t="s">
        <v>3229</v>
      </c>
    </row>
    <row r="1625" spans="1:29" x14ac:dyDescent="0.25">
      <c r="A1625" t="s">
        <v>1237</v>
      </c>
      <c r="B1625" t="s">
        <v>252</v>
      </c>
      <c r="C1625" t="s">
        <v>391</v>
      </c>
      <c r="D1625" t="s">
        <v>3209</v>
      </c>
      <c r="E1625" t="s">
        <v>3246</v>
      </c>
      <c r="F1625">
        <v>19671127</v>
      </c>
      <c r="G1625" t="s">
        <v>9332</v>
      </c>
      <c r="H1625" t="s">
        <v>242</v>
      </c>
      <c r="I1625" t="s">
        <v>242</v>
      </c>
      <c r="J1625" t="s">
        <v>242</v>
      </c>
      <c r="K1625" t="s">
        <v>241</v>
      </c>
      <c r="L1625" t="s">
        <v>242</v>
      </c>
      <c r="M1625">
        <v>38.562731839999998</v>
      </c>
      <c r="N1625">
        <v>-122.792006</v>
      </c>
      <c r="O1625">
        <v>8</v>
      </c>
      <c r="P1625">
        <v>5</v>
      </c>
      <c r="Q1625">
        <v>3</v>
      </c>
      <c r="R1625">
        <v>2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5</v>
      </c>
      <c r="Y1625">
        <v>10</v>
      </c>
      <c r="Z1625">
        <v>15</v>
      </c>
      <c r="AA1625" t="s">
        <v>9335</v>
      </c>
      <c r="AB1625" t="s">
        <v>242</v>
      </c>
      <c r="AC1625" t="s">
        <v>3229</v>
      </c>
    </row>
    <row r="1626" spans="1:29" x14ac:dyDescent="0.25">
      <c r="A1626" t="s">
        <v>1338</v>
      </c>
      <c r="B1626" t="s">
        <v>252</v>
      </c>
      <c r="C1626" t="s">
        <v>486</v>
      </c>
      <c r="D1626" t="s">
        <v>3209</v>
      </c>
      <c r="E1626" t="s">
        <v>3246</v>
      </c>
      <c r="F1626">
        <v>19620115</v>
      </c>
      <c r="G1626" t="s">
        <v>9338</v>
      </c>
      <c r="H1626" t="s">
        <v>242</v>
      </c>
      <c r="I1626" t="s">
        <v>242</v>
      </c>
      <c r="J1626" t="s">
        <v>242</v>
      </c>
      <c r="K1626" t="s">
        <v>241</v>
      </c>
      <c r="L1626" t="s">
        <v>242</v>
      </c>
      <c r="M1626">
        <v>38.573099999999997</v>
      </c>
      <c r="N1626">
        <v>-122.8193</v>
      </c>
      <c r="O1626">
        <v>12.9</v>
      </c>
      <c r="P1626">
        <v>2.6333333329999999</v>
      </c>
      <c r="Q1626">
        <v>1.6666666670000001</v>
      </c>
      <c r="R1626">
        <v>0.4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1.0333333330000001</v>
      </c>
      <c r="Z1626">
        <v>4.733333333</v>
      </c>
      <c r="AA1626" t="s">
        <v>9335</v>
      </c>
      <c r="AB1626" t="s">
        <v>242</v>
      </c>
      <c r="AC1626" t="s">
        <v>3229</v>
      </c>
    </row>
    <row r="1627" spans="1:29" x14ac:dyDescent="0.25">
      <c r="A1627" t="s">
        <v>1365</v>
      </c>
      <c r="B1627" t="s">
        <v>252</v>
      </c>
      <c r="C1627" t="s">
        <v>489</v>
      </c>
      <c r="D1627" t="s">
        <v>3209</v>
      </c>
      <c r="E1627" t="s">
        <v>3246</v>
      </c>
      <c r="F1627">
        <v>19620126</v>
      </c>
      <c r="G1627" t="s">
        <v>9332</v>
      </c>
      <c r="H1627" t="s">
        <v>242</v>
      </c>
      <c r="I1627" t="s">
        <v>242</v>
      </c>
      <c r="J1627" t="s">
        <v>242</v>
      </c>
      <c r="K1627" t="s">
        <v>241</v>
      </c>
      <c r="L1627" t="s">
        <v>242</v>
      </c>
      <c r="M1627">
        <v>38.663699999999999</v>
      </c>
      <c r="N1627">
        <v>-122.94459999999999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0.66666666699999999</v>
      </c>
      <c r="Y1627">
        <v>5</v>
      </c>
      <c r="Z1627">
        <v>5</v>
      </c>
      <c r="AA1627" t="s">
        <v>9335</v>
      </c>
      <c r="AB1627" t="s">
        <v>242</v>
      </c>
      <c r="AC1627" t="s">
        <v>3229</v>
      </c>
    </row>
    <row r="1628" spans="1:29" x14ac:dyDescent="0.25">
      <c r="A1628" t="s">
        <v>1364</v>
      </c>
      <c r="B1628" t="s">
        <v>252</v>
      </c>
      <c r="C1628" t="s">
        <v>394</v>
      </c>
      <c r="D1628" t="s">
        <v>3209</v>
      </c>
      <c r="E1628" t="s">
        <v>3246</v>
      </c>
      <c r="F1628">
        <v>19620201</v>
      </c>
      <c r="G1628" t="s">
        <v>9332</v>
      </c>
      <c r="H1628" t="s">
        <v>242</v>
      </c>
      <c r="I1628" t="s">
        <v>242</v>
      </c>
      <c r="J1628" t="s">
        <v>242</v>
      </c>
      <c r="K1628" t="s">
        <v>241</v>
      </c>
      <c r="L1628" t="s">
        <v>242</v>
      </c>
      <c r="M1628">
        <v>38.593260350000001</v>
      </c>
      <c r="N1628">
        <v>-122.8806948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2</v>
      </c>
      <c r="Z1628">
        <v>1.3333333329999999</v>
      </c>
      <c r="AA1628" t="s">
        <v>9333</v>
      </c>
      <c r="AB1628" t="s">
        <v>242</v>
      </c>
      <c r="AC1628" t="s">
        <v>3229</v>
      </c>
    </row>
    <row r="1629" spans="1:29" x14ac:dyDescent="0.25">
      <c r="A1629" t="s">
        <v>1340</v>
      </c>
      <c r="B1629" t="s">
        <v>252</v>
      </c>
      <c r="C1629" t="s">
        <v>329</v>
      </c>
      <c r="D1629" t="s">
        <v>3209</v>
      </c>
      <c r="E1629" t="s">
        <v>3246</v>
      </c>
      <c r="F1629">
        <v>19620201</v>
      </c>
      <c r="G1629" t="s">
        <v>9332</v>
      </c>
      <c r="H1629" t="s">
        <v>242</v>
      </c>
      <c r="I1629" t="s">
        <v>242</v>
      </c>
      <c r="J1629" t="s">
        <v>242</v>
      </c>
      <c r="K1629" t="s">
        <v>241</v>
      </c>
      <c r="L1629" t="s">
        <v>242</v>
      </c>
      <c r="M1629">
        <v>38.549314889999998</v>
      </c>
      <c r="N1629">
        <v>-123.1060525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 t="s">
        <v>9342</v>
      </c>
      <c r="AB1629" t="s">
        <v>242</v>
      </c>
      <c r="AC1629" t="s">
        <v>3229</v>
      </c>
    </row>
    <row r="1630" spans="1:29" x14ac:dyDescent="0.25">
      <c r="A1630" t="s">
        <v>1342</v>
      </c>
      <c r="B1630" t="s">
        <v>252</v>
      </c>
      <c r="C1630" t="s">
        <v>391</v>
      </c>
      <c r="D1630" t="s">
        <v>3209</v>
      </c>
      <c r="E1630" t="s">
        <v>3246</v>
      </c>
      <c r="F1630">
        <v>19620302</v>
      </c>
      <c r="G1630" t="s">
        <v>9332</v>
      </c>
      <c r="H1630" t="s">
        <v>242</v>
      </c>
      <c r="I1630" t="s">
        <v>242</v>
      </c>
      <c r="J1630" t="s">
        <v>242</v>
      </c>
      <c r="K1630" t="s">
        <v>241</v>
      </c>
      <c r="L1630" t="s">
        <v>242</v>
      </c>
      <c r="M1630">
        <v>38.579712020000002</v>
      </c>
      <c r="N1630">
        <v>-122.7783761</v>
      </c>
      <c r="O1630">
        <v>0.1</v>
      </c>
      <c r="P1630">
        <v>0.133333333</v>
      </c>
      <c r="Q1630">
        <v>0.116666667</v>
      </c>
      <c r="R1630">
        <v>0.133333333</v>
      </c>
      <c r="S1630">
        <v>0.233333333</v>
      </c>
      <c r="T1630">
        <v>0.25</v>
      </c>
      <c r="U1630">
        <v>0.25</v>
      </c>
      <c r="V1630">
        <v>0.28333333300000002</v>
      </c>
      <c r="W1630">
        <v>0.33333333300000001</v>
      </c>
      <c r="X1630">
        <v>0.2</v>
      </c>
      <c r="Y1630">
        <v>0</v>
      </c>
      <c r="Z1630">
        <v>0</v>
      </c>
      <c r="AA1630" t="s">
        <v>9335</v>
      </c>
      <c r="AB1630" t="s">
        <v>242</v>
      </c>
      <c r="AC1630" t="s">
        <v>3229</v>
      </c>
    </row>
    <row r="1631" spans="1:29" x14ac:dyDescent="0.25">
      <c r="A1631" t="s">
        <v>1366</v>
      </c>
      <c r="B1631" t="s">
        <v>252</v>
      </c>
      <c r="C1631" t="s">
        <v>394</v>
      </c>
      <c r="D1631" t="s">
        <v>3209</v>
      </c>
      <c r="E1631" t="s">
        <v>3246</v>
      </c>
      <c r="F1631">
        <v>19620419</v>
      </c>
      <c r="G1631" t="s">
        <v>9332</v>
      </c>
      <c r="H1631" t="s">
        <v>242</v>
      </c>
      <c r="I1631" t="s">
        <v>242</v>
      </c>
      <c r="J1631" t="s">
        <v>242</v>
      </c>
      <c r="K1631" t="s">
        <v>241</v>
      </c>
      <c r="L1631" t="s">
        <v>242</v>
      </c>
      <c r="M1631">
        <v>38.581989219999997</v>
      </c>
      <c r="N1631">
        <v>-122.90568380000001</v>
      </c>
      <c r="O1631">
        <v>3.3333333330000001</v>
      </c>
      <c r="P1631">
        <v>3</v>
      </c>
      <c r="Q1631">
        <v>1.3333333329999999</v>
      </c>
      <c r="R1631">
        <v>0.66666666699999999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2</v>
      </c>
      <c r="AA1631" t="s">
        <v>9342</v>
      </c>
      <c r="AB1631" t="s">
        <v>242</v>
      </c>
      <c r="AC1631" t="s">
        <v>3229</v>
      </c>
    </row>
    <row r="1632" spans="1:29" x14ac:dyDescent="0.25">
      <c r="A1632" t="s">
        <v>1367</v>
      </c>
      <c r="B1632" t="s">
        <v>252</v>
      </c>
      <c r="C1632" t="s">
        <v>394</v>
      </c>
      <c r="D1632" t="s">
        <v>3209</v>
      </c>
      <c r="E1632" t="s">
        <v>3246</v>
      </c>
      <c r="F1632">
        <v>19620423</v>
      </c>
      <c r="G1632" t="s">
        <v>9332</v>
      </c>
      <c r="H1632" t="s">
        <v>242</v>
      </c>
      <c r="I1632" t="s">
        <v>242</v>
      </c>
      <c r="J1632" t="s">
        <v>242</v>
      </c>
      <c r="K1632" t="s">
        <v>241</v>
      </c>
      <c r="L1632" t="s">
        <v>242</v>
      </c>
      <c r="M1632">
        <v>38.599419930000003</v>
      </c>
      <c r="N1632">
        <v>-122.9010669</v>
      </c>
      <c r="O1632">
        <v>5.3333333329999997</v>
      </c>
      <c r="P1632">
        <v>2.6666666669999999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2.3333333330000001</v>
      </c>
      <c r="Z1632">
        <v>4.3333333329999997</v>
      </c>
      <c r="AA1632" t="s">
        <v>9335</v>
      </c>
      <c r="AB1632" t="s">
        <v>242</v>
      </c>
      <c r="AC1632" t="s">
        <v>3229</v>
      </c>
    </row>
    <row r="1633" spans="1:29" x14ac:dyDescent="0.25">
      <c r="A1633" t="s">
        <v>1346</v>
      </c>
      <c r="B1633" t="s">
        <v>252</v>
      </c>
      <c r="C1633" t="s">
        <v>486</v>
      </c>
      <c r="D1633" t="s">
        <v>3209</v>
      </c>
      <c r="E1633" t="s">
        <v>3246</v>
      </c>
      <c r="F1633">
        <v>19620504</v>
      </c>
      <c r="G1633" t="s">
        <v>9332</v>
      </c>
      <c r="H1633" t="s">
        <v>242</v>
      </c>
      <c r="I1633" t="s">
        <v>242</v>
      </c>
      <c r="J1633" t="s">
        <v>242</v>
      </c>
      <c r="K1633" t="s">
        <v>241</v>
      </c>
      <c r="L1633" t="s">
        <v>242</v>
      </c>
      <c r="M1633">
        <v>38.560294990000003</v>
      </c>
      <c r="N1633">
        <v>-122.8823866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 t="s">
        <v>9342</v>
      </c>
      <c r="AB1633" t="s">
        <v>242</v>
      </c>
      <c r="AC1633" t="s">
        <v>3229</v>
      </c>
    </row>
    <row r="1634" spans="1:29" x14ac:dyDescent="0.25">
      <c r="A1634" t="s">
        <v>1347</v>
      </c>
      <c r="B1634" t="s">
        <v>252</v>
      </c>
      <c r="C1634" t="s">
        <v>486</v>
      </c>
      <c r="D1634" t="s">
        <v>3209</v>
      </c>
      <c r="E1634" t="s">
        <v>3246</v>
      </c>
      <c r="F1634">
        <v>19620523</v>
      </c>
      <c r="G1634" t="s">
        <v>9332</v>
      </c>
      <c r="H1634" t="s">
        <v>242</v>
      </c>
      <c r="I1634" t="s">
        <v>242</v>
      </c>
      <c r="J1634" t="s">
        <v>242</v>
      </c>
      <c r="K1634" t="s">
        <v>241</v>
      </c>
      <c r="L1634" t="s">
        <v>242</v>
      </c>
      <c r="M1634">
        <v>38.573500000000003</v>
      </c>
      <c r="N1634">
        <v>-122.8768</v>
      </c>
      <c r="O1634">
        <v>5.5</v>
      </c>
      <c r="P1634">
        <v>0</v>
      </c>
      <c r="Q1634">
        <v>1.7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0.66666666699999999</v>
      </c>
      <c r="Z1634">
        <v>3.7</v>
      </c>
      <c r="AA1634" t="s">
        <v>9333</v>
      </c>
      <c r="AB1634" t="s">
        <v>242</v>
      </c>
      <c r="AC1634" t="s">
        <v>3229</v>
      </c>
    </row>
    <row r="1635" spans="1:29" x14ac:dyDescent="0.25">
      <c r="A1635" t="s">
        <v>1349</v>
      </c>
      <c r="B1635" t="s">
        <v>252</v>
      </c>
      <c r="C1635" t="s">
        <v>352</v>
      </c>
      <c r="D1635" t="s">
        <v>3209</v>
      </c>
      <c r="E1635" t="s">
        <v>3246</v>
      </c>
      <c r="F1635">
        <v>19620531</v>
      </c>
      <c r="G1635" t="s">
        <v>9332</v>
      </c>
      <c r="H1635" t="s">
        <v>242</v>
      </c>
      <c r="I1635" t="s">
        <v>242</v>
      </c>
      <c r="J1635" t="s">
        <v>242</v>
      </c>
      <c r="K1635" t="s">
        <v>241</v>
      </c>
      <c r="L1635" t="s">
        <v>242</v>
      </c>
      <c r="M1635">
        <v>38.458599380000003</v>
      </c>
      <c r="N1635">
        <v>-122.9293278</v>
      </c>
      <c r="O1635">
        <v>1.6666666670000001</v>
      </c>
      <c r="P1635">
        <v>1.6666666670000001</v>
      </c>
      <c r="Q1635">
        <v>1</v>
      </c>
      <c r="R1635">
        <v>0.33333333300000001</v>
      </c>
      <c r="S1635">
        <v>0.33333333300000001</v>
      </c>
      <c r="T1635">
        <v>0</v>
      </c>
      <c r="U1635">
        <v>0</v>
      </c>
      <c r="V1635">
        <v>0</v>
      </c>
      <c r="W1635">
        <v>0</v>
      </c>
      <c r="X1635">
        <v>0.33333333300000001</v>
      </c>
      <c r="Y1635">
        <v>1</v>
      </c>
      <c r="Z1635">
        <v>1.3333333329999999</v>
      </c>
      <c r="AA1635" t="s">
        <v>9335</v>
      </c>
      <c r="AB1635" t="s">
        <v>242</v>
      </c>
      <c r="AC1635" t="s">
        <v>3229</v>
      </c>
    </row>
    <row r="1636" spans="1:29" x14ac:dyDescent="0.25">
      <c r="A1636" t="s">
        <v>1357</v>
      </c>
      <c r="B1636" t="s">
        <v>252</v>
      </c>
      <c r="C1636" t="s">
        <v>725</v>
      </c>
      <c r="D1636" t="s">
        <v>3209</v>
      </c>
      <c r="E1636" t="s">
        <v>3246</v>
      </c>
      <c r="F1636">
        <v>19620830</v>
      </c>
      <c r="G1636" t="s">
        <v>9332</v>
      </c>
      <c r="H1636" t="s">
        <v>242</v>
      </c>
      <c r="I1636" t="s">
        <v>242</v>
      </c>
      <c r="J1636" t="s">
        <v>242</v>
      </c>
      <c r="K1636" t="s">
        <v>241</v>
      </c>
      <c r="L1636" t="s">
        <v>242</v>
      </c>
      <c r="M1636">
        <v>38.445732560000003</v>
      </c>
      <c r="N1636">
        <v>-122.8146295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 t="s">
        <v>9335</v>
      </c>
      <c r="AB1636" t="s">
        <v>242</v>
      </c>
      <c r="AC1636" t="s">
        <v>3229</v>
      </c>
    </row>
    <row r="1637" spans="1:29" x14ac:dyDescent="0.25">
      <c r="A1637" t="s">
        <v>1368</v>
      </c>
      <c r="B1637" t="s">
        <v>252</v>
      </c>
      <c r="C1637" t="s">
        <v>394</v>
      </c>
      <c r="D1637" t="s">
        <v>3209</v>
      </c>
      <c r="E1637" t="s">
        <v>3246</v>
      </c>
      <c r="F1637">
        <v>19620920</v>
      </c>
      <c r="G1637" t="s">
        <v>9332</v>
      </c>
      <c r="H1637" t="s">
        <v>242</v>
      </c>
      <c r="I1637" t="s">
        <v>242</v>
      </c>
      <c r="J1637" t="s">
        <v>242</v>
      </c>
      <c r="K1637" t="s">
        <v>241</v>
      </c>
      <c r="L1637" t="s">
        <v>242</v>
      </c>
      <c r="M1637">
        <v>38.603626060000003</v>
      </c>
      <c r="N1637">
        <v>-122.9249169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 t="s">
        <v>9335</v>
      </c>
      <c r="AB1637" t="s">
        <v>242</v>
      </c>
      <c r="AC1637" t="s">
        <v>3229</v>
      </c>
    </row>
    <row r="1638" spans="1:29" x14ac:dyDescent="0.25">
      <c r="A1638" t="s">
        <v>1362</v>
      </c>
      <c r="B1638" t="s">
        <v>252</v>
      </c>
      <c r="C1638" t="s">
        <v>486</v>
      </c>
      <c r="D1638" t="s">
        <v>3209</v>
      </c>
      <c r="E1638" t="s">
        <v>3246</v>
      </c>
      <c r="F1638">
        <v>19621015</v>
      </c>
      <c r="G1638" t="s">
        <v>9332</v>
      </c>
      <c r="H1638" t="s">
        <v>242</v>
      </c>
      <c r="I1638" t="s">
        <v>242</v>
      </c>
      <c r="J1638" t="s">
        <v>242</v>
      </c>
      <c r="K1638" t="s">
        <v>241</v>
      </c>
      <c r="L1638" t="s">
        <v>242</v>
      </c>
      <c r="M1638">
        <v>38.560294990000003</v>
      </c>
      <c r="N1638">
        <v>-122.8823866</v>
      </c>
      <c r="O1638">
        <v>0.22</v>
      </c>
      <c r="P1638">
        <v>0.08</v>
      </c>
      <c r="Q1638">
        <v>0.05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0.236666667</v>
      </c>
      <c r="Z1638">
        <v>0.51666666699999997</v>
      </c>
      <c r="AA1638" t="s">
        <v>9335</v>
      </c>
      <c r="AB1638" t="s">
        <v>242</v>
      </c>
      <c r="AC1638" t="s">
        <v>3229</v>
      </c>
    </row>
    <row r="1639" spans="1:29" x14ac:dyDescent="0.25">
      <c r="A1639" t="s">
        <v>1369</v>
      </c>
      <c r="B1639" t="s">
        <v>252</v>
      </c>
      <c r="C1639" t="s">
        <v>684</v>
      </c>
      <c r="D1639" t="s">
        <v>3209</v>
      </c>
      <c r="E1639" t="s">
        <v>3246</v>
      </c>
      <c r="F1639">
        <v>19621113</v>
      </c>
      <c r="G1639" t="s">
        <v>9332</v>
      </c>
      <c r="H1639" t="s">
        <v>242</v>
      </c>
      <c r="I1639" t="s">
        <v>242</v>
      </c>
      <c r="J1639" t="s">
        <v>242</v>
      </c>
      <c r="K1639" t="s">
        <v>241</v>
      </c>
      <c r="L1639" t="s">
        <v>242</v>
      </c>
      <c r="M1639">
        <v>38.481502229999997</v>
      </c>
      <c r="N1639">
        <v>-122.94953870000001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 t="s">
        <v>9341</v>
      </c>
      <c r="AB1639" t="s">
        <v>242</v>
      </c>
      <c r="AC1639" t="s">
        <v>3229</v>
      </c>
    </row>
    <row r="1640" spans="1:29" x14ac:dyDescent="0.25">
      <c r="A1640" t="s">
        <v>1337</v>
      </c>
      <c r="B1640" t="s">
        <v>252</v>
      </c>
      <c r="C1640" t="s">
        <v>394</v>
      </c>
      <c r="D1640" t="s">
        <v>3209</v>
      </c>
      <c r="E1640" t="s">
        <v>3246</v>
      </c>
      <c r="F1640">
        <v>19621128</v>
      </c>
      <c r="G1640" t="s">
        <v>9332</v>
      </c>
      <c r="H1640" t="s">
        <v>242</v>
      </c>
      <c r="I1640" t="s">
        <v>242</v>
      </c>
      <c r="J1640" t="s">
        <v>242</v>
      </c>
      <c r="K1640" t="s">
        <v>241</v>
      </c>
      <c r="L1640" t="s">
        <v>242</v>
      </c>
      <c r="M1640">
        <v>38.604500000000002</v>
      </c>
      <c r="N1640">
        <v>-122.99630000000001</v>
      </c>
      <c r="O1640">
        <v>0</v>
      </c>
      <c r="P1640">
        <v>0</v>
      </c>
      <c r="Q1640">
        <v>0</v>
      </c>
      <c r="R1640">
        <v>0</v>
      </c>
      <c r="S1640">
        <v>0.16666666699999999</v>
      </c>
      <c r="T1640">
        <v>0.366853333</v>
      </c>
      <c r="U1640">
        <v>0.33351999999999998</v>
      </c>
      <c r="V1640">
        <v>6.6953666999999994E-2</v>
      </c>
      <c r="W1640">
        <v>0</v>
      </c>
      <c r="X1640">
        <v>0</v>
      </c>
      <c r="Y1640">
        <v>0</v>
      </c>
      <c r="Z1640">
        <v>0</v>
      </c>
      <c r="AA1640" t="s">
        <v>9335</v>
      </c>
      <c r="AB1640" t="s">
        <v>242</v>
      </c>
      <c r="AC1640" t="s">
        <v>3229</v>
      </c>
    </row>
    <row r="1641" spans="1:29" x14ac:dyDescent="0.25">
      <c r="A1641" t="s">
        <v>1363</v>
      </c>
      <c r="B1641" t="s">
        <v>252</v>
      </c>
      <c r="C1641" t="s">
        <v>323</v>
      </c>
      <c r="D1641" t="s">
        <v>3209</v>
      </c>
      <c r="E1641" t="s">
        <v>3246</v>
      </c>
      <c r="F1641">
        <v>19621213</v>
      </c>
      <c r="G1641" t="s">
        <v>9332</v>
      </c>
      <c r="H1641" t="s">
        <v>242</v>
      </c>
      <c r="I1641" t="s">
        <v>242</v>
      </c>
      <c r="J1641" t="s">
        <v>242</v>
      </c>
      <c r="K1641" t="s">
        <v>241</v>
      </c>
      <c r="L1641" t="s">
        <v>242</v>
      </c>
      <c r="M1641">
        <v>38.563400000000001</v>
      </c>
      <c r="N1641">
        <v>-122.62309999999999</v>
      </c>
      <c r="O1641">
        <v>5.0000000000000001E-3</v>
      </c>
      <c r="P1641">
        <v>5.0000000000000001E-3</v>
      </c>
      <c r="Q1641">
        <v>5.0000000000000001E-3</v>
      </c>
      <c r="R1641">
        <v>5.0000000000000001E-3</v>
      </c>
      <c r="S1641">
        <v>3.0000000000000001E-3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 t="s">
        <v>9341</v>
      </c>
      <c r="AB1641" t="s">
        <v>242</v>
      </c>
      <c r="AC1641" t="s">
        <v>3229</v>
      </c>
    </row>
    <row r="1642" spans="1:29" x14ac:dyDescent="0.25">
      <c r="A1642" t="s">
        <v>1322</v>
      </c>
      <c r="B1642" t="s">
        <v>252</v>
      </c>
      <c r="C1642" t="s">
        <v>725</v>
      </c>
      <c r="D1642" t="s">
        <v>3209</v>
      </c>
      <c r="E1642" t="s">
        <v>3246</v>
      </c>
      <c r="F1642">
        <v>19630204</v>
      </c>
      <c r="G1642" t="s">
        <v>9332</v>
      </c>
      <c r="H1642" t="s">
        <v>242</v>
      </c>
      <c r="I1642" t="s">
        <v>242</v>
      </c>
      <c r="J1642" t="s">
        <v>242</v>
      </c>
      <c r="K1642" t="s">
        <v>241</v>
      </c>
      <c r="L1642" t="s">
        <v>242</v>
      </c>
      <c r="M1642">
        <v>38.445906569999998</v>
      </c>
      <c r="N1642">
        <v>-122.7894905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 t="s">
        <v>9335</v>
      </c>
      <c r="AB1642" t="s">
        <v>242</v>
      </c>
      <c r="AC1642" t="s">
        <v>3229</v>
      </c>
    </row>
    <row r="1643" spans="1:29" x14ac:dyDescent="0.25">
      <c r="A1643" t="s">
        <v>1323</v>
      </c>
      <c r="B1643" t="s">
        <v>252</v>
      </c>
      <c r="C1643" t="s">
        <v>725</v>
      </c>
      <c r="D1643" t="s">
        <v>3209</v>
      </c>
      <c r="E1643" t="s">
        <v>3246</v>
      </c>
      <c r="F1643">
        <v>19630211</v>
      </c>
      <c r="G1643" t="s">
        <v>9332</v>
      </c>
      <c r="H1643" t="s">
        <v>242</v>
      </c>
      <c r="I1643" t="s">
        <v>242</v>
      </c>
      <c r="J1643" t="s">
        <v>242</v>
      </c>
      <c r="K1643" t="s">
        <v>241</v>
      </c>
      <c r="L1643" t="s">
        <v>242</v>
      </c>
      <c r="M1643">
        <v>38.443541349999997</v>
      </c>
      <c r="N1643">
        <v>-122.773752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 t="s">
        <v>9335</v>
      </c>
      <c r="AB1643" t="s">
        <v>242</v>
      </c>
      <c r="AC1643" t="s">
        <v>3229</v>
      </c>
    </row>
    <row r="1644" spans="1:29" x14ac:dyDescent="0.25">
      <c r="A1644" t="s">
        <v>1315</v>
      </c>
      <c r="B1644" t="s">
        <v>252</v>
      </c>
      <c r="C1644" t="s">
        <v>394</v>
      </c>
      <c r="D1644" t="s">
        <v>3209</v>
      </c>
      <c r="E1644" t="s">
        <v>3246</v>
      </c>
      <c r="F1644">
        <v>19630313</v>
      </c>
      <c r="G1644" t="s">
        <v>9332</v>
      </c>
      <c r="H1644" t="s">
        <v>242</v>
      </c>
      <c r="I1644" t="s">
        <v>242</v>
      </c>
      <c r="J1644" t="s">
        <v>242</v>
      </c>
      <c r="K1644" t="s">
        <v>241</v>
      </c>
      <c r="L1644" t="s">
        <v>242</v>
      </c>
      <c r="M1644">
        <v>38.593651549999997</v>
      </c>
      <c r="N1644">
        <v>-122.9359846</v>
      </c>
      <c r="O1644">
        <v>0.41599999999999998</v>
      </c>
      <c r="P1644">
        <v>0.41599999999999998</v>
      </c>
      <c r="Q1644">
        <v>0.41599999999999998</v>
      </c>
      <c r="R1644">
        <v>0.41599999999999998</v>
      </c>
      <c r="S1644">
        <v>0.41699999999999998</v>
      </c>
      <c r="T1644">
        <v>0.41699999999999998</v>
      </c>
      <c r="U1644">
        <v>0.41699999999999998</v>
      </c>
      <c r="V1644">
        <v>0.41699999999999998</v>
      </c>
      <c r="W1644">
        <v>0.41699999999999998</v>
      </c>
      <c r="X1644">
        <v>0.41699999999999998</v>
      </c>
      <c r="Y1644">
        <v>0.41699999999999998</v>
      </c>
      <c r="Z1644">
        <v>0.41699999999999998</v>
      </c>
      <c r="AA1644" t="s">
        <v>9335</v>
      </c>
      <c r="AB1644" t="s">
        <v>242</v>
      </c>
      <c r="AC1644" t="s">
        <v>3229</v>
      </c>
    </row>
    <row r="1645" spans="1:29" x14ac:dyDescent="0.25">
      <c r="A1645" t="s">
        <v>1316</v>
      </c>
      <c r="B1645" t="s">
        <v>252</v>
      </c>
      <c r="C1645" t="s">
        <v>394</v>
      </c>
      <c r="D1645" t="s">
        <v>3209</v>
      </c>
      <c r="E1645" t="s">
        <v>3246</v>
      </c>
      <c r="F1645">
        <v>19630329</v>
      </c>
      <c r="G1645" t="s">
        <v>9332</v>
      </c>
      <c r="H1645" t="s">
        <v>242</v>
      </c>
      <c r="I1645" t="s">
        <v>242</v>
      </c>
      <c r="J1645" t="s">
        <v>242</v>
      </c>
      <c r="K1645" t="s">
        <v>241</v>
      </c>
      <c r="L1645" t="s">
        <v>242</v>
      </c>
      <c r="M1645">
        <v>38.648565509999997</v>
      </c>
      <c r="N1645">
        <v>-122.9703222</v>
      </c>
      <c r="O1645">
        <v>4.6030000000000003E-3</v>
      </c>
      <c r="P1645">
        <v>1.5343329999999999E-3</v>
      </c>
      <c r="Q1645">
        <v>1.5343329999999999E-3</v>
      </c>
      <c r="R1645">
        <v>4.6033330000000003E-3</v>
      </c>
      <c r="S1645">
        <v>4.6033330000000003E-3</v>
      </c>
      <c r="T1645">
        <v>4.6033330000000003E-3</v>
      </c>
      <c r="U1645">
        <v>4.6033330000000003E-3</v>
      </c>
      <c r="V1645">
        <v>4.6033330000000003E-3</v>
      </c>
      <c r="W1645">
        <v>4.6033330000000003E-3</v>
      </c>
      <c r="X1645">
        <v>4.6033330000000003E-3</v>
      </c>
      <c r="Y1645">
        <v>4.6033330000000003E-3</v>
      </c>
      <c r="Z1645">
        <v>1.5343329999999999E-3</v>
      </c>
      <c r="AA1645" t="s">
        <v>9335</v>
      </c>
      <c r="AB1645" t="s">
        <v>242</v>
      </c>
      <c r="AC1645" t="s">
        <v>3229</v>
      </c>
    </row>
    <row r="1646" spans="1:29" x14ac:dyDescent="0.25">
      <c r="A1646" t="s">
        <v>1327</v>
      </c>
      <c r="B1646" t="s">
        <v>252</v>
      </c>
      <c r="C1646" t="s">
        <v>403</v>
      </c>
      <c r="D1646" t="s">
        <v>3209</v>
      </c>
      <c r="E1646" t="s">
        <v>3246</v>
      </c>
      <c r="F1646">
        <v>19630502</v>
      </c>
      <c r="G1646" t="s">
        <v>9332</v>
      </c>
      <c r="H1646" t="s">
        <v>242</v>
      </c>
      <c r="I1646" t="s">
        <v>242</v>
      </c>
      <c r="J1646" t="s">
        <v>242</v>
      </c>
      <c r="K1646" t="s">
        <v>241</v>
      </c>
      <c r="L1646" t="s">
        <v>242</v>
      </c>
      <c r="M1646">
        <v>38.449410520000001</v>
      </c>
      <c r="N1646">
        <v>-122.9780968</v>
      </c>
      <c r="O1646">
        <v>1.162E-2</v>
      </c>
      <c r="P1646">
        <v>1.162E-2</v>
      </c>
      <c r="Q1646">
        <v>1.162E-2</v>
      </c>
      <c r="R1646">
        <v>1.162E-2</v>
      </c>
      <c r="S1646">
        <v>1.162E-2</v>
      </c>
      <c r="T1646">
        <v>1.162E-2</v>
      </c>
      <c r="U1646">
        <v>3.066E-2</v>
      </c>
      <c r="V1646">
        <v>3.066E-2</v>
      </c>
      <c r="W1646">
        <v>3.066E-2</v>
      </c>
      <c r="X1646">
        <v>3.066E-2</v>
      </c>
      <c r="Y1646">
        <v>3.066E-2</v>
      </c>
      <c r="Z1646">
        <v>3.066E-2</v>
      </c>
      <c r="AA1646" t="s">
        <v>9333</v>
      </c>
      <c r="AB1646" t="s">
        <v>242</v>
      </c>
      <c r="AC1646" t="s">
        <v>3229</v>
      </c>
    </row>
    <row r="1647" spans="1:29" x14ac:dyDescent="0.25">
      <c r="A1647" t="s">
        <v>1329</v>
      </c>
      <c r="B1647" t="s">
        <v>252</v>
      </c>
      <c r="C1647" t="s">
        <v>391</v>
      </c>
      <c r="D1647" t="s">
        <v>3209</v>
      </c>
      <c r="E1647" t="s">
        <v>3246</v>
      </c>
      <c r="F1647">
        <v>19630624</v>
      </c>
      <c r="G1647" t="s">
        <v>9332</v>
      </c>
      <c r="H1647" t="s">
        <v>242</v>
      </c>
      <c r="I1647" t="s">
        <v>242</v>
      </c>
      <c r="J1647" t="s">
        <v>242</v>
      </c>
      <c r="K1647" t="s">
        <v>241</v>
      </c>
      <c r="L1647" t="s">
        <v>242</v>
      </c>
      <c r="M1647">
        <v>38.526820489999999</v>
      </c>
      <c r="N1647">
        <v>-122.8417717</v>
      </c>
      <c r="O1647">
        <v>11.66666667</v>
      </c>
      <c r="P1647">
        <v>3.3333333330000001</v>
      </c>
      <c r="Q1647">
        <v>2.6666666669999999</v>
      </c>
      <c r="R1647">
        <v>0.5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0.16666666699999999</v>
      </c>
      <c r="Z1647">
        <v>3.3333333330000001</v>
      </c>
      <c r="AA1647" t="s">
        <v>9335</v>
      </c>
      <c r="AB1647" t="s">
        <v>242</v>
      </c>
      <c r="AC1647" t="s">
        <v>3229</v>
      </c>
    </row>
    <row r="1648" spans="1:29" x14ac:dyDescent="0.25">
      <c r="A1648" t="s">
        <v>1314</v>
      </c>
      <c r="B1648" t="s">
        <v>252</v>
      </c>
      <c r="C1648" t="s">
        <v>394</v>
      </c>
      <c r="D1648" t="s">
        <v>3209</v>
      </c>
      <c r="E1648" t="s">
        <v>3246</v>
      </c>
      <c r="F1648">
        <v>19630625</v>
      </c>
      <c r="G1648" t="s">
        <v>9332</v>
      </c>
      <c r="H1648" t="s">
        <v>242</v>
      </c>
      <c r="I1648" t="s">
        <v>242</v>
      </c>
      <c r="J1648" t="s">
        <v>242</v>
      </c>
      <c r="K1648" t="s">
        <v>241</v>
      </c>
      <c r="L1648" t="s">
        <v>242</v>
      </c>
      <c r="M1648">
        <v>38.643550410000003</v>
      </c>
      <c r="N1648">
        <v>-122.9114287</v>
      </c>
      <c r="O1648">
        <v>0</v>
      </c>
      <c r="P1648">
        <v>0</v>
      </c>
      <c r="Q1648">
        <v>0</v>
      </c>
      <c r="R1648">
        <v>0</v>
      </c>
      <c r="S1648">
        <v>0.28666666699999999</v>
      </c>
      <c r="T1648">
        <v>0.67333333299999998</v>
      </c>
      <c r="U1648">
        <v>0.81666666700000001</v>
      </c>
      <c r="V1648">
        <v>0.55000000000000004</v>
      </c>
      <c r="W1648">
        <v>0.29933333299999998</v>
      </c>
      <c r="X1648">
        <v>0</v>
      </c>
      <c r="Y1648">
        <v>0</v>
      </c>
      <c r="Z1648">
        <v>0</v>
      </c>
      <c r="AA1648" t="s">
        <v>9335</v>
      </c>
      <c r="AB1648" t="s">
        <v>242</v>
      </c>
      <c r="AC1648" t="s">
        <v>3229</v>
      </c>
    </row>
    <row r="1649" spans="1:29" x14ac:dyDescent="0.25">
      <c r="A1649" t="s">
        <v>1284</v>
      </c>
      <c r="B1649" t="s">
        <v>252</v>
      </c>
      <c r="C1649" t="s">
        <v>352</v>
      </c>
      <c r="D1649" t="s">
        <v>3209</v>
      </c>
      <c r="E1649" t="s">
        <v>3246</v>
      </c>
      <c r="F1649">
        <v>19640228</v>
      </c>
      <c r="G1649" t="s">
        <v>9332</v>
      </c>
      <c r="H1649" t="s">
        <v>242</v>
      </c>
      <c r="I1649" t="s">
        <v>242</v>
      </c>
      <c r="J1649" t="s">
        <v>242</v>
      </c>
      <c r="K1649" t="s">
        <v>241</v>
      </c>
      <c r="L1649" t="s">
        <v>242</v>
      </c>
      <c r="M1649">
        <v>38.448021439999998</v>
      </c>
      <c r="N1649">
        <v>-122.91277839999999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 t="s">
        <v>9335</v>
      </c>
      <c r="AB1649" t="s">
        <v>242</v>
      </c>
      <c r="AC1649" t="s">
        <v>3229</v>
      </c>
    </row>
    <row r="1650" spans="1:29" x14ac:dyDescent="0.25">
      <c r="A1650" t="s">
        <v>1285</v>
      </c>
      <c r="B1650" t="s">
        <v>252</v>
      </c>
      <c r="C1650" t="s">
        <v>486</v>
      </c>
      <c r="D1650" t="s">
        <v>3209</v>
      </c>
      <c r="E1650" t="s">
        <v>3246</v>
      </c>
      <c r="F1650">
        <v>19640228</v>
      </c>
      <c r="G1650" t="s">
        <v>9332</v>
      </c>
      <c r="H1650" t="s">
        <v>241</v>
      </c>
      <c r="I1650" t="s">
        <v>242</v>
      </c>
      <c r="J1650" t="s">
        <v>242</v>
      </c>
      <c r="K1650" t="s">
        <v>241</v>
      </c>
      <c r="L1650" t="s">
        <v>242</v>
      </c>
      <c r="M1650">
        <v>38.564296749999997</v>
      </c>
      <c r="N1650">
        <v>-122.8614505</v>
      </c>
      <c r="O1650">
        <v>0</v>
      </c>
      <c r="P1650">
        <v>0</v>
      </c>
      <c r="Q1650">
        <v>6.6666670000000003E-3</v>
      </c>
      <c r="R1650">
        <v>3.333333E-3</v>
      </c>
      <c r="S1650">
        <v>0.141323</v>
      </c>
      <c r="T1650">
        <v>1.3359376670000001</v>
      </c>
      <c r="U1650">
        <v>3.4807586669999999</v>
      </c>
      <c r="V1650">
        <v>2.3811640000000001</v>
      </c>
      <c r="W1650">
        <v>1.3863603330000001</v>
      </c>
      <c r="X1650">
        <v>1.4730369999999999</v>
      </c>
      <c r="Y1650">
        <v>0.27666666699999998</v>
      </c>
      <c r="Z1650">
        <v>0</v>
      </c>
      <c r="AA1650" t="s">
        <v>9335</v>
      </c>
      <c r="AB1650" t="s">
        <v>242</v>
      </c>
      <c r="AC1650" t="s">
        <v>3229</v>
      </c>
    </row>
    <row r="1651" spans="1:29" x14ac:dyDescent="0.25">
      <c r="A1651" t="s">
        <v>1288</v>
      </c>
      <c r="B1651" t="s">
        <v>252</v>
      </c>
      <c r="C1651" t="s">
        <v>391</v>
      </c>
      <c r="D1651" t="s">
        <v>3209</v>
      </c>
      <c r="E1651" t="s">
        <v>3246</v>
      </c>
      <c r="F1651">
        <v>19640316</v>
      </c>
      <c r="G1651" t="s">
        <v>9332</v>
      </c>
      <c r="H1651" t="s">
        <v>242</v>
      </c>
      <c r="I1651" t="s">
        <v>242</v>
      </c>
      <c r="J1651" t="s">
        <v>242</v>
      </c>
      <c r="K1651" t="s">
        <v>241</v>
      </c>
      <c r="L1651" t="s">
        <v>242</v>
      </c>
      <c r="M1651">
        <v>38.562292460000002</v>
      </c>
      <c r="N1651">
        <v>-122.79602319999999</v>
      </c>
      <c r="O1651">
        <v>2</v>
      </c>
      <c r="P1651">
        <v>1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2</v>
      </c>
      <c r="Y1651">
        <v>3</v>
      </c>
      <c r="Z1651">
        <v>5.5</v>
      </c>
      <c r="AA1651" t="s">
        <v>9335</v>
      </c>
      <c r="AB1651" t="s">
        <v>242</v>
      </c>
      <c r="AC1651" t="s">
        <v>3229</v>
      </c>
    </row>
    <row r="1652" spans="1:29" x14ac:dyDescent="0.25">
      <c r="A1652" t="s">
        <v>1295</v>
      </c>
      <c r="B1652" t="s">
        <v>252</v>
      </c>
      <c r="C1652" t="s">
        <v>378</v>
      </c>
      <c r="D1652" t="s">
        <v>3209</v>
      </c>
      <c r="E1652" t="s">
        <v>3246</v>
      </c>
      <c r="F1652">
        <v>19640616</v>
      </c>
      <c r="G1652" t="s">
        <v>9332</v>
      </c>
      <c r="H1652" t="s">
        <v>242</v>
      </c>
      <c r="I1652" t="s">
        <v>242</v>
      </c>
      <c r="J1652" t="s">
        <v>242</v>
      </c>
      <c r="K1652" t="s">
        <v>241</v>
      </c>
      <c r="L1652" t="s">
        <v>242</v>
      </c>
      <c r="M1652">
        <v>38.380400000000002</v>
      </c>
      <c r="N1652">
        <v>-122.6455</v>
      </c>
      <c r="O1652">
        <v>1.5333333330000001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 t="s">
        <v>9335</v>
      </c>
      <c r="AB1652" t="s">
        <v>242</v>
      </c>
      <c r="AC1652" t="s">
        <v>3229</v>
      </c>
    </row>
    <row r="1653" spans="1:29" x14ac:dyDescent="0.25">
      <c r="A1653" t="s">
        <v>1313</v>
      </c>
      <c r="B1653" t="s">
        <v>252</v>
      </c>
      <c r="C1653" t="s">
        <v>489</v>
      </c>
      <c r="D1653" t="s">
        <v>3209</v>
      </c>
      <c r="E1653" t="s">
        <v>3246</v>
      </c>
      <c r="F1653">
        <v>19640828</v>
      </c>
      <c r="G1653" t="s">
        <v>9332</v>
      </c>
      <c r="H1653" t="s">
        <v>242</v>
      </c>
      <c r="I1653" t="s">
        <v>242</v>
      </c>
      <c r="J1653" t="s">
        <v>242</v>
      </c>
      <c r="K1653" t="s">
        <v>241</v>
      </c>
      <c r="L1653" t="s">
        <v>242</v>
      </c>
      <c r="M1653">
        <v>38.662393829999999</v>
      </c>
      <c r="N1653">
        <v>-122.92462860000001</v>
      </c>
      <c r="O1653">
        <v>0.28333333300000002</v>
      </c>
      <c r="P1653">
        <v>0.33333333300000001</v>
      </c>
      <c r="Q1653">
        <v>0.21666666700000001</v>
      </c>
      <c r="R1653">
        <v>7.3333333000000001E-2</v>
      </c>
      <c r="S1653">
        <v>8.3333332999999996E-2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0.15</v>
      </c>
      <c r="Z1653">
        <v>0.25</v>
      </c>
      <c r="AA1653" t="s">
        <v>9341</v>
      </c>
      <c r="AB1653" t="s">
        <v>242</v>
      </c>
      <c r="AC1653" t="s">
        <v>3229</v>
      </c>
    </row>
    <row r="1654" spans="1:29" x14ac:dyDescent="0.25">
      <c r="A1654" t="s">
        <v>1298</v>
      </c>
      <c r="B1654" t="s">
        <v>252</v>
      </c>
      <c r="C1654" t="s">
        <v>352</v>
      </c>
      <c r="D1654" t="s">
        <v>3209</v>
      </c>
      <c r="E1654" t="s">
        <v>3246</v>
      </c>
      <c r="F1654">
        <v>19640930</v>
      </c>
      <c r="G1654" t="s">
        <v>9332</v>
      </c>
      <c r="H1654" t="s">
        <v>242</v>
      </c>
      <c r="I1654" t="s">
        <v>242</v>
      </c>
      <c r="J1654" t="s">
        <v>242</v>
      </c>
      <c r="K1654" t="s">
        <v>241</v>
      </c>
      <c r="L1654" t="s">
        <v>242</v>
      </c>
      <c r="M1654">
        <v>38.436947089999997</v>
      </c>
      <c r="N1654">
        <v>-122.9241588</v>
      </c>
      <c r="O1654">
        <v>0</v>
      </c>
      <c r="P1654">
        <v>0</v>
      </c>
      <c r="Q1654">
        <v>2</v>
      </c>
      <c r="R1654">
        <v>4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 t="s">
        <v>9341</v>
      </c>
      <c r="AB1654" t="s">
        <v>242</v>
      </c>
      <c r="AC1654" t="s">
        <v>3229</v>
      </c>
    </row>
    <row r="1655" spans="1:29" x14ac:dyDescent="0.25">
      <c r="A1655" t="s">
        <v>1311</v>
      </c>
      <c r="B1655" t="s">
        <v>252</v>
      </c>
      <c r="C1655" t="s">
        <v>403</v>
      </c>
      <c r="D1655" t="s">
        <v>3209</v>
      </c>
      <c r="E1655" t="s">
        <v>3246</v>
      </c>
      <c r="F1655">
        <v>19641125</v>
      </c>
      <c r="G1655" t="s">
        <v>9332</v>
      </c>
      <c r="H1655" t="s">
        <v>242</v>
      </c>
      <c r="I1655" t="s">
        <v>242</v>
      </c>
      <c r="J1655" t="s">
        <v>242</v>
      </c>
      <c r="K1655" t="s">
        <v>241</v>
      </c>
      <c r="L1655" t="s">
        <v>242</v>
      </c>
      <c r="M1655">
        <v>38.451071980000002</v>
      </c>
      <c r="N1655">
        <v>-123.0989462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 t="s">
        <v>9341</v>
      </c>
      <c r="AB1655" t="s">
        <v>242</v>
      </c>
      <c r="AC1655" t="s">
        <v>3229</v>
      </c>
    </row>
    <row r="1656" spans="1:29" x14ac:dyDescent="0.25">
      <c r="A1656" t="s">
        <v>1269</v>
      </c>
      <c r="B1656" t="s">
        <v>252</v>
      </c>
      <c r="C1656" t="s">
        <v>323</v>
      </c>
      <c r="D1656" t="s">
        <v>3209</v>
      </c>
      <c r="E1656" t="s">
        <v>3246</v>
      </c>
      <c r="F1656">
        <v>19650205</v>
      </c>
      <c r="G1656" t="s">
        <v>9332</v>
      </c>
      <c r="H1656" t="s">
        <v>242</v>
      </c>
      <c r="I1656" t="s">
        <v>242</v>
      </c>
      <c r="J1656" t="s">
        <v>242</v>
      </c>
      <c r="K1656" t="s">
        <v>241</v>
      </c>
      <c r="L1656" t="s">
        <v>242</v>
      </c>
      <c r="M1656">
        <v>38.511362800000001</v>
      </c>
      <c r="N1656">
        <v>-122.63923250000001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 t="s">
        <v>9335</v>
      </c>
      <c r="AB1656" t="s">
        <v>242</v>
      </c>
      <c r="AC1656" t="s">
        <v>3229</v>
      </c>
    </row>
    <row r="1657" spans="1:29" x14ac:dyDescent="0.25">
      <c r="A1657" t="s">
        <v>1281</v>
      </c>
      <c r="B1657" t="s">
        <v>252</v>
      </c>
      <c r="C1657" t="s">
        <v>489</v>
      </c>
      <c r="D1657" t="s">
        <v>3209</v>
      </c>
      <c r="E1657" t="s">
        <v>3246</v>
      </c>
      <c r="F1657">
        <v>19650326</v>
      </c>
      <c r="G1657" t="s">
        <v>9332</v>
      </c>
      <c r="H1657" t="s">
        <v>242</v>
      </c>
      <c r="I1657" t="s">
        <v>242</v>
      </c>
      <c r="J1657" t="s">
        <v>242</v>
      </c>
      <c r="K1657" t="s">
        <v>241</v>
      </c>
      <c r="L1657" t="s">
        <v>242</v>
      </c>
      <c r="M1657">
        <v>38.64798657</v>
      </c>
      <c r="N1657">
        <v>-122.94054970000001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 t="s">
        <v>9341</v>
      </c>
      <c r="AB1657" t="s">
        <v>242</v>
      </c>
      <c r="AC1657" t="s">
        <v>3229</v>
      </c>
    </row>
    <row r="1658" spans="1:29" x14ac:dyDescent="0.25">
      <c r="A1658" t="s">
        <v>1282</v>
      </c>
      <c r="B1658" t="s">
        <v>252</v>
      </c>
      <c r="C1658" t="s">
        <v>489</v>
      </c>
      <c r="D1658" t="s">
        <v>3209</v>
      </c>
      <c r="E1658" t="s">
        <v>3246</v>
      </c>
      <c r="F1658">
        <v>19650507</v>
      </c>
      <c r="G1658" t="s">
        <v>9332</v>
      </c>
      <c r="H1658" t="s">
        <v>242</v>
      </c>
      <c r="I1658" t="s">
        <v>242</v>
      </c>
      <c r="J1658" t="s">
        <v>242</v>
      </c>
      <c r="K1658" t="s">
        <v>241</v>
      </c>
      <c r="L1658" t="s">
        <v>242</v>
      </c>
      <c r="M1658">
        <v>38.647991589999997</v>
      </c>
      <c r="N1658">
        <v>-122.940563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 t="s">
        <v>9341</v>
      </c>
      <c r="AB1658" t="s">
        <v>242</v>
      </c>
      <c r="AC1658" t="s">
        <v>3229</v>
      </c>
    </row>
    <row r="1659" spans="1:29" x14ac:dyDescent="0.25">
      <c r="A1659" t="s">
        <v>1279</v>
      </c>
      <c r="B1659" t="s">
        <v>252</v>
      </c>
      <c r="C1659" t="s">
        <v>394</v>
      </c>
      <c r="D1659" t="s">
        <v>3209</v>
      </c>
      <c r="E1659" t="s">
        <v>3246</v>
      </c>
      <c r="F1659">
        <v>19650517</v>
      </c>
      <c r="G1659" t="s">
        <v>9332</v>
      </c>
      <c r="H1659" t="s">
        <v>242</v>
      </c>
      <c r="I1659" t="s">
        <v>242</v>
      </c>
      <c r="J1659" t="s">
        <v>242</v>
      </c>
      <c r="K1659" t="s">
        <v>241</v>
      </c>
      <c r="L1659" t="s">
        <v>242</v>
      </c>
      <c r="M1659">
        <v>38.660971330000002</v>
      </c>
      <c r="N1659">
        <v>-122.8958909</v>
      </c>
      <c r="O1659">
        <v>5.9666666670000001</v>
      </c>
      <c r="P1659">
        <v>0.233333333</v>
      </c>
      <c r="Q1659">
        <v>3.1666666669999999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2.0666666669999998</v>
      </c>
      <c r="Z1659">
        <v>8.5333333329999999</v>
      </c>
      <c r="AA1659" t="s">
        <v>9335</v>
      </c>
      <c r="AB1659" t="s">
        <v>242</v>
      </c>
      <c r="AC1659" t="s">
        <v>3229</v>
      </c>
    </row>
    <row r="1660" spans="1:29" x14ac:dyDescent="0.25">
      <c r="A1660" t="s">
        <v>1278</v>
      </c>
      <c r="B1660" t="s">
        <v>252</v>
      </c>
      <c r="C1660" t="s">
        <v>489</v>
      </c>
      <c r="D1660" t="s">
        <v>3209</v>
      </c>
      <c r="E1660" t="s">
        <v>3246</v>
      </c>
      <c r="F1660">
        <v>19650723</v>
      </c>
      <c r="G1660" t="s">
        <v>9332</v>
      </c>
      <c r="H1660" t="s">
        <v>242</v>
      </c>
      <c r="I1660" t="s">
        <v>242</v>
      </c>
      <c r="J1660" t="s">
        <v>242</v>
      </c>
      <c r="K1660" t="s">
        <v>241</v>
      </c>
      <c r="L1660" t="s">
        <v>242</v>
      </c>
      <c r="M1660">
        <v>38.684822160000003</v>
      </c>
      <c r="N1660">
        <v>-122.93578050000001</v>
      </c>
      <c r="O1660">
        <v>1.0229667E-2</v>
      </c>
      <c r="P1660">
        <v>9.7179999999999992E-3</v>
      </c>
      <c r="Q1660">
        <v>7.1606669999999999E-3</v>
      </c>
      <c r="R1660">
        <v>3.0690000000000001E-3</v>
      </c>
      <c r="S1660">
        <v>1.5343329999999999E-3</v>
      </c>
      <c r="T1660">
        <v>1.02333E-4</v>
      </c>
      <c r="U1660">
        <v>5.1E-5</v>
      </c>
      <c r="V1660">
        <v>0</v>
      </c>
      <c r="W1660">
        <v>0</v>
      </c>
      <c r="X1660">
        <v>0</v>
      </c>
      <c r="Y1660">
        <v>3.0690000000000001E-3</v>
      </c>
      <c r="Z1660">
        <v>5.1146700000000004E-4</v>
      </c>
      <c r="AA1660" t="s">
        <v>9335</v>
      </c>
      <c r="AB1660" t="s">
        <v>242</v>
      </c>
      <c r="AC1660" t="s">
        <v>3229</v>
      </c>
    </row>
    <row r="1661" spans="1:29" x14ac:dyDescent="0.25">
      <c r="A1661" t="s">
        <v>1280</v>
      </c>
      <c r="B1661" t="s">
        <v>252</v>
      </c>
      <c r="C1661" t="s">
        <v>394</v>
      </c>
      <c r="D1661" t="s">
        <v>3209</v>
      </c>
      <c r="E1661" t="s">
        <v>3246</v>
      </c>
      <c r="F1661">
        <v>19650824</v>
      </c>
      <c r="G1661" t="s">
        <v>9332</v>
      </c>
      <c r="H1661" t="s">
        <v>242</v>
      </c>
      <c r="I1661" t="s">
        <v>242</v>
      </c>
      <c r="J1661" t="s">
        <v>242</v>
      </c>
      <c r="K1661" t="s">
        <v>241</v>
      </c>
      <c r="L1661" t="s">
        <v>242</v>
      </c>
      <c r="M1661">
        <v>38.646468400000003</v>
      </c>
      <c r="N1661">
        <v>-122.9244221</v>
      </c>
      <c r="O1661">
        <v>3.1666666669999999</v>
      </c>
      <c r="P1661">
        <v>2.6666666669999999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2</v>
      </c>
      <c r="Z1661">
        <v>2.3333333330000001</v>
      </c>
      <c r="AA1661" t="s">
        <v>9341</v>
      </c>
      <c r="AB1661" t="s">
        <v>242</v>
      </c>
      <c r="AC1661" t="s">
        <v>3229</v>
      </c>
    </row>
    <row r="1662" spans="1:29" x14ac:dyDescent="0.25">
      <c r="A1662" t="s">
        <v>1276</v>
      </c>
      <c r="B1662" t="s">
        <v>252</v>
      </c>
      <c r="C1662" t="s">
        <v>323</v>
      </c>
      <c r="D1662" t="s">
        <v>3209</v>
      </c>
      <c r="E1662" t="s">
        <v>3246</v>
      </c>
      <c r="F1662">
        <v>19651123</v>
      </c>
      <c r="G1662" t="s">
        <v>9332</v>
      </c>
      <c r="H1662" t="s">
        <v>242</v>
      </c>
      <c r="I1662" t="s">
        <v>242</v>
      </c>
      <c r="J1662" t="s">
        <v>242</v>
      </c>
      <c r="K1662" t="s">
        <v>241</v>
      </c>
      <c r="L1662" t="s">
        <v>242</v>
      </c>
      <c r="M1662">
        <v>38.552</v>
      </c>
      <c r="N1662">
        <v>-122.5972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 t="s">
        <v>9341</v>
      </c>
      <c r="AB1662" t="s">
        <v>242</v>
      </c>
      <c r="AC1662" t="s">
        <v>3229</v>
      </c>
    </row>
    <row r="1663" spans="1:29" x14ac:dyDescent="0.25">
      <c r="A1663" t="s">
        <v>1277</v>
      </c>
      <c r="B1663" t="s">
        <v>252</v>
      </c>
      <c r="C1663" t="s">
        <v>403</v>
      </c>
      <c r="D1663" t="s">
        <v>3209</v>
      </c>
      <c r="E1663" t="s">
        <v>3246</v>
      </c>
      <c r="F1663">
        <v>19651210</v>
      </c>
      <c r="G1663" t="s">
        <v>9332</v>
      </c>
      <c r="H1663" t="s">
        <v>241</v>
      </c>
      <c r="I1663" t="s">
        <v>242</v>
      </c>
      <c r="J1663" t="s">
        <v>242</v>
      </c>
      <c r="K1663" t="s">
        <v>241</v>
      </c>
      <c r="L1663" t="s">
        <v>242</v>
      </c>
      <c r="M1663">
        <v>38.476187920000001</v>
      </c>
      <c r="N1663">
        <v>-122.9938336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 t="s">
        <v>9335</v>
      </c>
      <c r="AB1663" t="s">
        <v>242</v>
      </c>
      <c r="AC1663" t="s">
        <v>3229</v>
      </c>
    </row>
    <row r="1664" spans="1:29" x14ac:dyDescent="0.25">
      <c r="A1664" t="s">
        <v>1248</v>
      </c>
      <c r="B1664" t="s">
        <v>252</v>
      </c>
      <c r="C1664" t="s">
        <v>489</v>
      </c>
      <c r="D1664" t="s">
        <v>3209</v>
      </c>
      <c r="E1664" t="s">
        <v>3246</v>
      </c>
      <c r="F1664">
        <v>19660103</v>
      </c>
      <c r="G1664" t="s">
        <v>9332</v>
      </c>
      <c r="H1664" t="s">
        <v>242</v>
      </c>
      <c r="I1664" t="s">
        <v>242</v>
      </c>
      <c r="J1664" t="s">
        <v>242</v>
      </c>
      <c r="K1664" t="s">
        <v>241</v>
      </c>
      <c r="L1664" t="s">
        <v>242</v>
      </c>
      <c r="M1664">
        <v>38.697827740000001</v>
      </c>
      <c r="N1664">
        <v>-122.9573267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3.6666666669999999</v>
      </c>
      <c r="U1664">
        <v>3.6666666669999999</v>
      </c>
      <c r="V1664">
        <v>3.6666666669999999</v>
      </c>
      <c r="W1664">
        <v>3</v>
      </c>
      <c r="X1664">
        <v>1.6666666670000001</v>
      </c>
      <c r="Y1664">
        <v>0</v>
      </c>
      <c r="Z1664">
        <v>0</v>
      </c>
      <c r="AA1664" t="s">
        <v>9335</v>
      </c>
      <c r="AB1664" t="s">
        <v>242</v>
      </c>
      <c r="AC1664" t="s">
        <v>3229</v>
      </c>
    </row>
    <row r="1665" spans="1:29" x14ac:dyDescent="0.25">
      <c r="A1665" t="s">
        <v>1250</v>
      </c>
      <c r="B1665" t="s">
        <v>252</v>
      </c>
      <c r="C1665" t="s">
        <v>378</v>
      </c>
      <c r="D1665" t="s">
        <v>3209</v>
      </c>
      <c r="E1665" t="s">
        <v>3246</v>
      </c>
      <c r="F1665">
        <v>19660328</v>
      </c>
      <c r="G1665" t="s">
        <v>9334</v>
      </c>
      <c r="H1665" t="s">
        <v>242</v>
      </c>
      <c r="I1665" t="s">
        <v>242</v>
      </c>
      <c r="J1665" t="s">
        <v>242</v>
      </c>
      <c r="K1665" t="s">
        <v>241</v>
      </c>
      <c r="L1665" t="s">
        <v>242</v>
      </c>
      <c r="M1665">
        <v>38.4572</v>
      </c>
      <c r="N1665">
        <v>-122.6397</v>
      </c>
      <c r="O1665">
        <v>56.9</v>
      </c>
      <c r="P1665">
        <v>20.333333329999999</v>
      </c>
      <c r="Q1665">
        <v>20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3.266666667</v>
      </c>
      <c r="Y1665">
        <v>33.866666670000001</v>
      </c>
      <c r="Z1665">
        <v>38.066666669999996</v>
      </c>
      <c r="AA1665" t="s">
        <v>9341</v>
      </c>
      <c r="AB1665" t="s">
        <v>242</v>
      </c>
      <c r="AC1665" t="s">
        <v>3229</v>
      </c>
    </row>
    <row r="1666" spans="1:29" x14ac:dyDescent="0.25">
      <c r="A1666" t="s">
        <v>1255</v>
      </c>
      <c r="B1666" t="s">
        <v>252</v>
      </c>
      <c r="C1666" t="s">
        <v>493</v>
      </c>
      <c r="D1666" t="s">
        <v>3209</v>
      </c>
      <c r="E1666" t="s">
        <v>3246</v>
      </c>
      <c r="F1666">
        <v>19660614</v>
      </c>
      <c r="G1666" t="s">
        <v>9332</v>
      </c>
      <c r="H1666" t="s">
        <v>242</v>
      </c>
      <c r="I1666" t="s">
        <v>242</v>
      </c>
      <c r="J1666" t="s">
        <v>242</v>
      </c>
      <c r="K1666" t="s">
        <v>241</v>
      </c>
      <c r="L1666" t="s">
        <v>242</v>
      </c>
      <c r="M1666">
        <v>38.651428080000002</v>
      </c>
      <c r="N1666">
        <v>-123.0207886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 t="s">
        <v>9342</v>
      </c>
      <c r="AB1666" t="s">
        <v>242</v>
      </c>
      <c r="AC1666" t="s">
        <v>3229</v>
      </c>
    </row>
    <row r="1667" spans="1:29" x14ac:dyDescent="0.25">
      <c r="A1667" t="s">
        <v>1256</v>
      </c>
      <c r="B1667" t="s">
        <v>252</v>
      </c>
      <c r="C1667" t="s">
        <v>391</v>
      </c>
      <c r="D1667" t="s">
        <v>3209</v>
      </c>
      <c r="E1667" t="s">
        <v>3246</v>
      </c>
      <c r="F1667">
        <v>19660615</v>
      </c>
      <c r="G1667" t="s">
        <v>9332</v>
      </c>
      <c r="H1667" t="s">
        <v>242</v>
      </c>
      <c r="I1667" t="s">
        <v>242</v>
      </c>
      <c r="J1667" t="s">
        <v>242</v>
      </c>
      <c r="K1667" t="s">
        <v>241</v>
      </c>
      <c r="L1667" t="s">
        <v>242</v>
      </c>
      <c r="M1667">
        <v>38.519893170000003</v>
      </c>
      <c r="N1667">
        <v>-122.81197899999999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 t="s">
        <v>9341</v>
      </c>
      <c r="AB1667" t="s">
        <v>242</v>
      </c>
      <c r="AC1667" t="s">
        <v>3229</v>
      </c>
    </row>
    <row r="1668" spans="1:29" x14ac:dyDescent="0.25">
      <c r="A1668" t="s">
        <v>1258</v>
      </c>
      <c r="B1668" t="s">
        <v>252</v>
      </c>
      <c r="C1668" t="s">
        <v>403</v>
      </c>
      <c r="D1668" t="s">
        <v>3209</v>
      </c>
      <c r="E1668" t="s">
        <v>3246</v>
      </c>
      <c r="F1668">
        <v>19660713</v>
      </c>
      <c r="G1668" t="s">
        <v>9332</v>
      </c>
      <c r="H1668" t="s">
        <v>242</v>
      </c>
      <c r="I1668" t="s">
        <v>242</v>
      </c>
      <c r="J1668" t="s">
        <v>242</v>
      </c>
      <c r="K1668" t="s">
        <v>241</v>
      </c>
      <c r="L1668" t="s">
        <v>242</v>
      </c>
      <c r="M1668">
        <v>38.431615059999999</v>
      </c>
      <c r="N1668">
        <v>-122.9750746</v>
      </c>
      <c r="O1668">
        <v>5.2400000000000002E-2</v>
      </c>
      <c r="P1668">
        <v>4.6866667000000001E-2</v>
      </c>
      <c r="Q1668">
        <v>4.2766667000000001E-2</v>
      </c>
      <c r="R1668">
        <v>5.3499999999999999E-2</v>
      </c>
      <c r="S1668">
        <v>0.19066666700000001</v>
      </c>
      <c r="T1668">
        <v>0.27253333299999999</v>
      </c>
      <c r="U1668">
        <v>0.31263333300000001</v>
      </c>
      <c r="V1668">
        <v>0.30270000000000002</v>
      </c>
      <c r="W1668">
        <v>0.35373333299999998</v>
      </c>
      <c r="X1668">
        <v>0.19723333300000001</v>
      </c>
      <c r="Y1668">
        <v>0.143633333</v>
      </c>
      <c r="Z1668">
        <v>6.7400000000000002E-2</v>
      </c>
      <c r="AA1668" t="s">
        <v>9333</v>
      </c>
      <c r="AB1668" t="s">
        <v>242</v>
      </c>
      <c r="AC1668" t="s">
        <v>3229</v>
      </c>
    </row>
    <row r="1669" spans="1:29" x14ac:dyDescent="0.25">
      <c r="A1669" t="s">
        <v>1259</v>
      </c>
      <c r="B1669" t="s">
        <v>252</v>
      </c>
      <c r="C1669" t="s">
        <v>1118</v>
      </c>
      <c r="D1669" t="s">
        <v>3209</v>
      </c>
      <c r="E1669" t="s">
        <v>3246</v>
      </c>
      <c r="F1669">
        <v>19660921</v>
      </c>
      <c r="G1669" t="s">
        <v>9332</v>
      </c>
      <c r="H1669" t="s">
        <v>242</v>
      </c>
      <c r="I1669" t="s">
        <v>242</v>
      </c>
      <c r="J1669" t="s">
        <v>242</v>
      </c>
      <c r="K1669" t="s">
        <v>241</v>
      </c>
      <c r="L1669" t="s">
        <v>242</v>
      </c>
      <c r="M1669">
        <v>38.464096410000003</v>
      </c>
      <c r="N1669">
        <v>-122.8574493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 t="s">
        <v>9341</v>
      </c>
      <c r="AB1669" t="s">
        <v>242</v>
      </c>
      <c r="AC1669" t="s">
        <v>3229</v>
      </c>
    </row>
    <row r="1670" spans="1:29" x14ac:dyDescent="0.25">
      <c r="A1670" t="s">
        <v>1221</v>
      </c>
      <c r="B1670" t="s">
        <v>252</v>
      </c>
      <c r="C1670" t="s">
        <v>486</v>
      </c>
      <c r="D1670" t="s">
        <v>3209</v>
      </c>
      <c r="E1670" t="s">
        <v>3246</v>
      </c>
      <c r="F1670">
        <v>19681014</v>
      </c>
      <c r="G1670" t="s">
        <v>9332</v>
      </c>
      <c r="H1670" t="s">
        <v>241</v>
      </c>
      <c r="I1670" t="s">
        <v>242</v>
      </c>
      <c r="J1670" t="s">
        <v>242</v>
      </c>
      <c r="K1670" t="s">
        <v>241</v>
      </c>
      <c r="L1670" t="s">
        <v>242</v>
      </c>
      <c r="M1670">
        <v>38.56444553</v>
      </c>
      <c r="N1670">
        <v>-122.8411662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 t="s">
        <v>9342</v>
      </c>
      <c r="AB1670" t="s">
        <v>242</v>
      </c>
      <c r="AC1670" t="s">
        <v>3229</v>
      </c>
    </row>
    <row r="1671" spans="1:29" x14ac:dyDescent="0.25">
      <c r="A1671" t="s">
        <v>1265</v>
      </c>
      <c r="B1671" t="s">
        <v>252</v>
      </c>
      <c r="C1671" t="s">
        <v>493</v>
      </c>
      <c r="D1671" t="s">
        <v>3209</v>
      </c>
      <c r="E1671" t="s">
        <v>3246</v>
      </c>
      <c r="F1671">
        <v>19661215</v>
      </c>
      <c r="G1671" t="s">
        <v>9332</v>
      </c>
      <c r="H1671" t="s">
        <v>242</v>
      </c>
      <c r="I1671" t="s">
        <v>242</v>
      </c>
      <c r="J1671" t="s">
        <v>242</v>
      </c>
      <c r="K1671" t="s">
        <v>241</v>
      </c>
      <c r="L1671" t="s">
        <v>242</v>
      </c>
      <c r="M1671">
        <v>38.698076299999997</v>
      </c>
      <c r="N1671">
        <v>-122.96048380000001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 t="s">
        <v>9335</v>
      </c>
      <c r="AB1671" t="s">
        <v>242</v>
      </c>
      <c r="AC1671" t="s">
        <v>3229</v>
      </c>
    </row>
    <row r="1672" spans="1:29" x14ac:dyDescent="0.25">
      <c r="A1672" t="s">
        <v>1266</v>
      </c>
      <c r="B1672" t="s">
        <v>252</v>
      </c>
      <c r="C1672" t="s">
        <v>1118</v>
      </c>
      <c r="D1672" t="s">
        <v>3209</v>
      </c>
      <c r="E1672" t="s">
        <v>3246</v>
      </c>
      <c r="F1672">
        <v>19661220</v>
      </c>
      <c r="G1672" t="s">
        <v>9332</v>
      </c>
      <c r="H1672" t="s">
        <v>242</v>
      </c>
      <c r="I1672" t="s">
        <v>242</v>
      </c>
      <c r="J1672" t="s">
        <v>242</v>
      </c>
      <c r="K1672" t="s">
        <v>241</v>
      </c>
      <c r="L1672" t="s">
        <v>242</v>
      </c>
      <c r="M1672">
        <v>38.465330190000003</v>
      </c>
      <c r="N1672">
        <v>-122.8389525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 t="s">
        <v>9335</v>
      </c>
      <c r="AB1672" t="s">
        <v>242</v>
      </c>
      <c r="AC1672" t="s">
        <v>3229</v>
      </c>
    </row>
    <row r="1673" spans="1:29" x14ac:dyDescent="0.25">
      <c r="A1673" t="s">
        <v>1240</v>
      </c>
      <c r="B1673" t="s">
        <v>252</v>
      </c>
      <c r="C1673" t="s">
        <v>391</v>
      </c>
      <c r="D1673" t="s">
        <v>3209</v>
      </c>
      <c r="E1673" t="s">
        <v>3246</v>
      </c>
      <c r="F1673">
        <v>19670330</v>
      </c>
      <c r="G1673" t="s">
        <v>9332</v>
      </c>
      <c r="H1673" t="s">
        <v>242</v>
      </c>
      <c r="I1673" t="s">
        <v>242</v>
      </c>
      <c r="J1673" t="s">
        <v>242</v>
      </c>
      <c r="K1673" t="s">
        <v>241</v>
      </c>
      <c r="L1673" t="s">
        <v>242</v>
      </c>
      <c r="M1673">
        <v>38.553952680000002</v>
      </c>
      <c r="N1673">
        <v>-122.77040169999999</v>
      </c>
      <c r="O1673">
        <v>2.5</v>
      </c>
      <c r="P1673">
        <v>2.5</v>
      </c>
      <c r="Q1673">
        <v>2.5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2.5</v>
      </c>
      <c r="AA1673" t="s">
        <v>9342</v>
      </c>
      <c r="AB1673" t="s">
        <v>242</v>
      </c>
      <c r="AC1673" t="s">
        <v>3229</v>
      </c>
    </row>
    <row r="1674" spans="1:29" x14ac:dyDescent="0.25">
      <c r="A1674" t="s">
        <v>1241</v>
      </c>
      <c r="B1674" t="s">
        <v>252</v>
      </c>
      <c r="C1674" t="s">
        <v>323</v>
      </c>
      <c r="D1674" t="s">
        <v>3209</v>
      </c>
      <c r="E1674" t="s">
        <v>3246</v>
      </c>
      <c r="F1674">
        <v>19670407</v>
      </c>
      <c r="G1674" t="s">
        <v>9332</v>
      </c>
      <c r="H1674" t="s">
        <v>242</v>
      </c>
      <c r="I1674" t="s">
        <v>242</v>
      </c>
      <c r="J1674" t="s">
        <v>242</v>
      </c>
      <c r="K1674" t="s">
        <v>241</v>
      </c>
      <c r="L1674" t="s">
        <v>242</v>
      </c>
      <c r="M1674">
        <v>38.498169679999997</v>
      </c>
      <c r="N1674">
        <v>-122.8543633</v>
      </c>
      <c r="O1674">
        <v>0</v>
      </c>
      <c r="P1674">
        <v>0</v>
      </c>
      <c r="Q1674">
        <v>0</v>
      </c>
      <c r="R1674">
        <v>0.677666667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 t="s">
        <v>9335</v>
      </c>
      <c r="AB1674" t="s">
        <v>242</v>
      </c>
      <c r="AC1674" t="s">
        <v>3229</v>
      </c>
    </row>
    <row r="1675" spans="1:29" x14ac:dyDescent="0.25">
      <c r="A1675" t="s">
        <v>1243</v>
      </c>
      <c r="B1675" t="s">
        <v>252</v>
      </c>
      <c r="C1675" t="s">
        <v>493</v>
      </c>
      <c r="D1675" t="s">
        <v>3209</v>
      </c>
      <c r="E1675" t="s">
        <v>3246</v>
      </c>
      <c r="F1675">
        <v>19670606</v>
      </c>
      <c r="G1675" t="s">
        <v>9332</v>
      </c>
      <c r="H1675" t="s">
        <v>242</v>
      </c>
      <c r="I1675" t="s">
        <v>242</v>
      </c>
      <c r="J1675" t="s">
        <v>242</v>
      </c>
      <c r="K1675" t="s">
        <v>241</v>
      </c>
      <c r="L1675" t="s">
        <v>242</v>
      </c>
      <c r="M1675">
        <v>38.706731320000003</v>
      </c>
      <c r="N1675">
        <v>-122.9763712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 t="s">
        <v>9335</v>
      </c>
      <c r="AB1675" t="s">
        <v>242</v>
      </c>
      <c r="AC1675" t="s">
        <v>3229</v>
      </c>
    </row>
    <row r="1676" spans="1:29" x14ac:dyDescent="0.25">
      <c r="A1676" t="s">
        <v>1245</v>
      </c>
      <c r="B1676" t="s">
        <v>252</v>
      </c>
      <c r="C1676" t="s">
        <v>323</v>
      </c>
      <c r="D1676" t="s">
        <v>3209</v>
      </c>
      <c r="E1676" t="s">
        <v>3246</v>
      </c>
      <c r="F1676">
        <v>19671005</v>
      </c>
      <c r="G1676" t="s">
        <v>9332</v>
      </c>
      <c r="H1676" t="s">
        <v>242</v>
      </c>
      <c r="I1676" t="s">
        <v>242</v>
      </c>
      <c r="J1676" t="s">
        <v>242</v>
      </c>
      <c r="K1676" t="s">
        <v>241</v>
      </c>
      <c r="L1676" t="s">
        <v>242</v>
      </c>
      <c r="M1676">
        <v>38.552100000000003</v>
      </c>
      <c r="N1676">
        <v>-122.7272</v>
      </c>
      <c r="O1676">
        <v>0.66500000000000004</v>
      </c>
      <c r="P1676">
        <v>0.66500000000000004</v>
      </c>
      <c r="Q1676">
        <v>0.66500000000000004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0.66</v>
      </c>
      <c r="Z1676">
        <v>0.66</v>
      </c>
      <c r="AA1676" t="s">
        <v>9341</v>
      </c>
      <c r="AB1676" t="s">
        <v>242</v>
      </c>
      <c r="AC1676" t="s">
        <v>3229</v>
      </c>
    </row>
    <row r="1677" spans="1:29" x14ac:dyDescent="0.25">
      <c r="A1677" t="s">
        <v>1246</v>
      </c>
      <c r="B1677" t="s">
        <v>252</v>
      </c>
      <c r="C1677" t="s">
        <v>493</v>
      </c>
      <c r="D1677" t="s">
        <v>3209</v>
      </c>
      <c r="E1677" t="s">
        <v>3246</v>
      </c>
      <c r="F1677">
        <v>19671013</v>
      </c>
      <c r="G1677" t="s">
        <v>9332</v>
      </c>
      <c r="H1677" t="s">
        <v>242</v>
      </c>
      <c r="I1677" t="s">
        <v>242</v>
      </c>
      <c r="J1677" t="s">
        <v>242</v>
      </c>
      <c r="K1677" t="s">
        <v>241</v>
      </c>
      <c r="L1677" t="s">
        <v>242</v>
      </c>
      <c r="M1677">
        <v>38.706499999999998</v>
      </c>
      <c r="N1677">
        <v>-122.9667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3.6876669999999999E-3</v>
      </c>
      <c r="U1677">
        <v>1.5299999999999999E-5</v>
      </c>
      <c r="V1677">
        <v>0</v>
      </c>
      <c r="W1677">
        <v>0</v>
      </c>
      <c r="X1677">
        <v>0</v>
      </c>
      <c r="Y1677">
        <v>0</v>
      </c>
      <c r="Z1677">
        <v>0</v>
      </c>
      <c r="AA1677" t="s">
        <v>9335</v>
      </c>
      <c r="AB1677" t="s">
        <v>242</v>
      </c>
      <c r="AC1677" t="s">
        <v>3229</v>
      </c>
    </row>
    <row r="1678" spans="1:29" x14ac:dyDescent="0.25">
      <c r="A1678" t="s">
        <v>1247</v>
      </c>
      <c r="B1678" t="s">
        <v>252</v>
      </c>
      <c r="C1678" t="s">
        <v>314</v>
      </c>
      <c r="D1678" t="s">
        <v>3209</v>
      </c>
      <c r="E1678" t="s">
        <v>3246</v>
      </c>
      <c r="F1678">
        <v>19671226</v>
      </c>
      <c r="G1678" t="s">
        <v>9332</v>
      </c>
      <c r="H1678" t="s">
        <v>242</v>
      </c>
      <c r="I1678" t="s">
        <v>242</v>
      </c>
      <c r="J1678" t="s">
        <v>242</v>
      </c>
      <c r="K1678" t="s">
        <v>241</v>
      </c>
      <c r="L1678" t="s">
        <v>242</v>
      </c>
      <c r="M1678">
        <v>38.895706730000001</v>
      </c>
      <c r="N1678">
        <v>-123.1783837</v>
      </c>
      <c r="O1678">
        <v>0</v>
      </c>
      <c r="P1678">
        <v>0</v>
      </c>
      <c r="Q1678">
        <v>0</v>
      </c>
      <c r="R1678">
        <v>6.6666666999999999E-2</v>
      </c>
      <c r="S1678">
        <v>6.6666666999999999E-2</v>
      </c>
      <c r="T1678">
        <v>0.13666666699999999</v>
      </c>
      <c r="U1678">
        <v>0.48499999999999999</v>
      </c>
      <c r="V1678">
        <v>0.41466666699999999</v>
      </c>
      <c r="W1678">
        <v>0.2</v>
      </c>
      <c r="X1678">
        <v>0.133333333</v>
      </c>
      <c r="Y1678">
        <v>6.6666666999999999E-2</v>
      </c>
      <c r="Z1678">
        <v>0</v>
      </c>
      <c r="AA1678" t="s">
        <v>9335</v>
      </c>
      <c r="AB1678" t="s">
        <v>242</v>
      </c>
      <c r="AC1678" t="s">
        <v>3213</v>
      </c>
    </row>
    <row r="1679" spans="1:29" x14ac:dyDescent="0.25">
      <c r="A1679" t="s">
        <v>1224</v>
      </c>
      <c r="B1679" t="s">
        <v>252</v>
      </c>
      <c r="C1679" t="s">
        <v>378</v>
      </c>
      <c r="D1679" t="s">
        <v>3209</v>
      </c>
      <c r="E1679" t="s">
        <v>3246</v>
      </c>
      <c r="F1679">
        <v>19680415</v>
      </c>
      <c r="G1679" t="s">
        <v>9332</v>
      </c>
      <c r="H1679" t="s">
        <v>242</v>
      </c>
      <c r="I1679" t="s">
        <v>242</v>
      </c>
      <c r="J1679" t="s">
        <v>242</v>
      </c>
      <c r="K1679" t="s">
        <v>241</v>
      </c>
      <c r="L1679" t="s">
        <v>242</v>
      </c>
      <c r="M1679">
        <v>38.506700000000002</v>
      </c>
      <c r="N1679">
        <v>-122.5433</v>
      </c>
      <c r="O1679">
        <v>1</v>
      </c>
      <c r="P1679">
        <v>0.16666666699999999</v>
      </c>
      <c r="Q1679">
        <v>0.4</v>
      </c>
      <c r="R1679">
        <v>3.3333333E-2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6.6666666999999999E-2</v>
      </c>
      <c r="Z1679">
        <v>0.5</v>
      </c>
      <c r="AA1679" t="s">
        <v>9341</v>
      </c>
      <c r="AB1679" t="s">
        <v>242</v>
      </c>
      <c r="AC1679" t="s">
        <v>3229</v>
      </c>
    </row>
    <row r="1680" spans="1:29" x14ac:dyDescent="0.25">
      <c r="A1680" t="s">
        <v>1226</v>
      </c>
      <c r="B1680" t="s">
        <v>252</v>
      </c>
      <c r="C1680" t="s">
        <v>378</v>
      </c>
      <c r="D1680" t="s">
        <v>3209</v>
      </c>
      <c r="E1680" t="s">
        <v>3246</v>
      </c>
      <c r="F1680">
        <v>19680603</v>
      </c>
      <c r="G1680" t="s">
        <v>9332</v>
      </c>
      <c r="H1680" t="s">
        <v>242</v>
      </c>
      <c r="I1680" t="s">
        <v>242</v>
      </c>
      <c r="J1680" t="s">
        <v>242</v>
      </c>
      <c r="K1680" t="s">
        <v>241</v>
      </c>
      <c r="L1680" t="s">
        <v>242</v>
      </c>
      <c r="M1680">
        <v>38.504418180000002</v>
      </c>
      <c r="N1680">
        <v>-122.547439</v>
      </c>
      <c r="O1680">
        <v>0.53333333299999997</v>
      </c>
      <c r="P1680">
        <v>0.133333333</v>
      </c>
      <c r="Q1680">
        <v>0</v>
      </c>
      <c r="R1680">
        <v>0</v>
      </c>
      <c r="S1680">
        <v>6.6666666999999999E-2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0.83333333300000001</v>
      </c>
      <c r="Z1680">
        <v>0.7</v>
      </c>
      <c r="AA1680" t="s">
        <v>9341</v>
      </c>
      <c r="AB1680" t="s">
        <v>242</v>
      </c>
      <c r="AC1680" t="s">
        <v>3229</v>
      </c>
    </row>
    <row r="1681" spans="1:29" x14ac:dyDescent="0.25">
      <c r="A1681" t="s">
        <v>1227</v>
      </c>
      <c r="B1681" t="s">
        <v>252</v>
      </c>
      <c r="C1681" t="s">
        <v>493</v>
      </c>
      <c r="D1681" t="s">
        <v>3209</v>
      </c>
      <c r="E1681" t="s">
        <v>3246</v>
      </c>
      <c r="F1681">
        <v>19680614</v>
      </c>
      <c r="G1681" t="s">
        <v>9332</v>
      </c>
      <c r="H1681" t="s">
        <v>242</v>
      </c>
      <c r="I1681" t="s">
        <v>242</v>
      </c>
      <c r="J1681" t="s">
        <v>242</v>
      </c>
      <c r="K1681" t="s">
        <v>241</v>
      </c>
      <c r="L1681" t="s">
        <v>242</v>
      </c>
      <c r="M1681">
        <v>38.70733912</v>
      </c>
      <c r="N1681">
        <v>-122.9693702</v>
      </c>
      <c r="O1681">
        <v>0</v>
      </c>
      <c r="P1681">
        <v>0</v>
      </c>
      <c r="Q1681">
        <v>0</v>
      </c>
      <c r="R1681">
        <v>0</v>
      </c>
      <c r="S1681">
        <v>3.5</v>
      </c>
      <c r="T1681">
        <v>7.25</v>
      </c>
      <c r="U1681">
        <v>7.25</v>
      </c>
      <c r="V1681">
        <v>7.25</v>
      </c>
      <c r="W1681">
        <v>3.5</v>
      </c>
      <c r="X1681">
        <v>1.7</v>
      </c>
      <c r="Y1681">
        <v>0</v>
      </c>
      <c r="Z1681">
        <v>0</v>
      </c>
      <c r="AA1681" t="s">
        <v>9335</v>
      </c>
      <c r="AB1681" t="s">
        <v>242</v>
      </c>
      <c r="AC1681" t="s">
        <v>3229</v>
      </c>
    </row>
    <row r="1682" spans="1:29" x14ac:dyDescent="0.25">
      <c r="A1682" t="s">
        <v>1234</v>
      </c>
      <c r="B1682" t="s">
        <v>252</v>
      </c>
      <c r="C1682" t="s">
        <v>394</v>
      </c>
      <c r="D1682" t="s">
        <v>3209</v>
      </c>
      <c r="E1682" t="s">
        <v>3246</v>
      </c>
      <c r="F1682">
        <v>19680701</v>
      </c>
      <c r="G1682" t="s">
        <v>9332</v>
      </c>
      <c r="H1682" t="s">
        <v>242</v>
      </c>
      <c r="I1682" t="s">
        <v>242</v>
      </c>
      <c r="J1682" t="s">
        <v>242</v>
      </c>
      <c r="K1682" t="s">
        <v>241</v>
      </c>
      <c r="L1682" t="s">
        <v>242</v>
      </c>
      <c r="M1682">
        <v>38.599266200000002</v>
      </c>
      <c r="N1682">
        <v>-122.9206612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 t="s">
        <v>9335</v>
      </c>
      <c r="AB1682" t="s">
        <v>242</v>
      </c>
      <c r="AC1682" t="s">
        <v>3229</v>
      </c>
    </row>
    <row r="1683" spans="1:29" x14ac:dyDescent="0.25">
      <c r="A1683" t="s">
        <v>1235</v>
      </c>
      <c r="B1683" t="s">
        <v>252</v>
      </c>
      <c r="C1683" t="s">
        <v>394</v>
      </c>
      <c r="D1683" t="s">
        <v>3209</v>
      </c>
      <c r="E1683" t="s">
        <v>3246</v>
      </c>
      <c r="F1683">
        <v>19680723</v>
      </c>
      <c r="G1683" t="s">
        <v>9332</v>
      </c>
      <c r="H1683" t="s">
        <v>242</v>
      </c>
      <c r="I1683" t="s">
        <v>242</v>
      </c>
      <c r="J1683" t="s">
        <v>242</v>
      </c>
      <c r="K1683" t="s">
        <v>241</v>
      </c>
      <c r="L1683" t="s">
        <v>242</v>
      </c>
      <c r="M1683">
        <v>38.629712249999997</v>
      </c>
      <c r="N1683">
        <v>-122.9250801</v>
      </c>
      <c r="O1683">
        <v>2</v>
      </c>
      <c r="P1683">
        <v>2</v>
      </c>
      <c r="Q1683">
        <v>2</v>
      </c>
      <c r="R1683">
        <v>1.3333333329999999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1</v>
      </c>
      <c r="AA1683" t="s">
        <v>9335</v>
      </c>
      <c r="AB1683" t="s">
        <v>242</v>
      </c>
      <c r="AC1683" t="s">
        <v>3229</v>
      </c>
    </row>
    <row r="1684" spans="1:29" x14ac:dyDescent="0.25">
      <c r="A1684" t="s">
        <v>1232</v>
      </c>
      <c r="B1684" t="s">
        <v>252</v>
      </c>
      <c r="C1684" t="s">
        <v>378</v>
      </c>
      <c r="D1684" t="s">
        <v>3209</v>
      </c>
      <c r="E1684" t="s">
        <v>3246</v>
      </c>
      <c r="F1684">
        <v>19681002</v>
      </c>
      <c r="G1684" t="s">
        <v>9332</v>
      </c>
      <c r="H1684" t="s">
        <v>242</v>
      </c>
      <c r="I1684" t="s">
        <v>242</v>
      </c>
      <c r="J1684" t="s">
        <v>242</v>
      </c>
      <c r="K1684" t="s">
        <v>241</v>
      </c>
      <c r="L1684" t="s">
        <v>242</v>
      </c>
      <c r="M1684">
        <v>38.377416859999997</v>
      </c>
      <c r="N1684">
        <v>-122.62896859999999</v>
      </c>
      <c r="O1684">
        <v>1.4366666669999999</v>
      </c>
      <c r="P1684">
        <v>1.506666667</v>
      </c>
      <c r="Q1684">
        <v>0.96666666700000003</v>
      </c>
      <c r="R1684">
        <v>0.46666666699999998</v>
      </c>
      <c r="S1684">
        <v>0.25666666700000001</v>
      </c>
      <c r="T1684">
        <v>8.6666667000000003E-2</v>
      </c>
      <c r="U1684">
        <v>7.3333333000000001E-2</v>
      </c>
      <c r="V1684">
        <v>0.09</v>
      </c>
      <c r="W1684">
        <v>8.6666667000000003E-2</v>
      </c>
      <c r="X1684">
        <v>4.6666667000000002E-2</v>
      </c>
      <c r="Y1684">
        <v>0.52666666699999998</v>
      </c>
      <c r="Z1684">
        <v>0.443333333</v>
      </c>
      <c r="AA1684" t="s">
        <v>9341</v>
      </c>
      <c r="AB1684" t="s">
        <v>242</v>
      </c>
      <c r="AC1684" t="s">
        <v>3229</v>
      </c>
    </row>
    <row r="1685" spans="1:29" x14ac:dyDescent="0.25">
      <c r="A1685" t="s">
        <v>1236</v>
      </c>
      <c r="B1685" t="s">
        <v>252</v>
      </c>
      <c r="C1685" t="s">
        <v>394</v>
      </c>
      <c r="D1685" t="s">
        <v>3209</v>
      </c>
      <c r="E1685" t="s">
        <v>3246</v>
      </c>
      <c r="F1685">
        <v>19681122</v>
      </c>
      <c r="G1685" t="s">
        <v>9332</v>
      </c>
      <c r="H1685" t="s">
        <v>242</v>
      </c>
      <c r="I1685" t="s">
        <v>242</v>
      </c>
      <c r="J1685" t="s">
        <v>242</v>
      </c>
      <c r="K1685" t="s">
        <v>241</v>
      </c>
      <c r="L1685" t="s">
        <v>242</v>
      </c>
      <c r="M1685">
        <v>38.589735789999999</v>
      </c>
      <c r="N1685">
        <v>-122.87470329999999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 t="s">
        <v>9335</v>
      </c>
      <c r="AB1685" t="s">
        <v>242</v>
      </c>
      <c r="AC1685" t="s">
        <v>3229</v>
      </c>
    </row>
    <row r="1686" spans="1:29" x14ac:dyDescent="0.25">
      <c r="A1686" t="s">
        <v>1233</v>
      </c>
      <c r="B1686" t="s">
        <v>252</v>
      </c>
      <c r="C1686" t="s">
        <v>489</v>
      </c>
      <c r="D1686" t="s">
        <v>3209</v>
      </c>
      <c r="E1686" t="s">
        <v>3246</v>
      </c>
      <c r="F1686">
        <v>19681204</v>
      </c>
      <c r="G1686" t="s">
        <v>9332</v>
      </c>
      <c r="H1686" t="s">
        <v>242</v>
      </c>
      <c r="I1686" t="s">
        <v>242</v>
      </c>
      <c r="J1686" t="s">
        <v>242</v>
      </c>
      <c r="K1686" t="s">
        <v>241</v>
      </c>
      <c r="L1686" t="s">
        <v>242</v>
      </c>
      <c r="M1686">
        <v>38.715600000000002</v>
      </c>
      <c r="N1686">
        <v>-122.95569999999999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0.16666666699999999</v>
      </c>
      <c r="U1686">
        <v>0.16666666699999999</v>
      </c>
      <c r="V1686">
        <v>0</v>
      </c>
      <c r="W1686">
        <v>0</v>
      </c>
      <c r="X1686">
        <v>0</v>
      </c>
      <c r="Y1686">
        <v>0</v>
      </c>
      <c r="Z1686">
        <v>0</v>
      </c>
      <c r="AA1686" t="s">
        <v>9335</v>
      </c>
      <c r="AB1686" t="s">
        <v>242</v>
      </c>
      <c r="AC1686" t="s">
        <v>3229</v>
      </c>
    </row>
    <row r="1687" spans="1:29" x14ac:dyDescent="0.25">
      <c r="A1687" t="s">
        <v>1215</v>
      </c>
      <c r="B1687" t="s">
        <v>252</v>
      </c>
      <c r="C1687" t="s">
        <v>378</v>
      </c>
      <c r="D1687" t="s">
        <v>3209</v>
      </c>
      <c r="E1687" t="s">
        <v>3246</v>
      </c>
      <c r="F1687">
        <v>19690814</v>
      </c>
      <c r="G1687" t="s">
        <v>9332</v>
      </c>
      <c r="H1687" t="s">
        <v>242</v>
      </c>
      <c r="I1687" t="s">
        <v>242</v>
      </c>
      <c r="J1687" t="s">
        <v>242</v>
      </c>
      <c r="K1687" t="s">
        <v>241</v>
      </c>
      <c r="L1687" t="s">
        <v>242</v>
      </c>
      <c r="M1687">
        <v>38.511501539999998</v>
      </c>
      <c r="N1687">
        <v>-122.559201</v>
      </c>
      <c r="O1687">
        <v>2</v>
      </c>
      <c r="P1687">
        <v>1.5</v>
      </c>
      <c r="Q1687">
        <v>1.25</v>
      </c>
      <c r="R1687">
        <v>1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1</v>
      </c>
      <c r="Y1687">
        <v>1</v>
      </c>
      <c r="Z1687">
        <v>1.75</v>
      </c>
      <c r="AA1687" t="s">
        <v>9341</v>
      </c>
      <c r="AB1687" t="s">
        <v>242</v>
      </c>
      <c r="AC1687" t="s">
        <v>3229</v>
      </c>
    </row>
    <row r="1688" spans="1:29" x14ac:dyDescent="0.25">
      <c r="A1688" t="s">
        <v>1205</v>
      </c>
      <c r="B1688" t="s">
        <v>252</v>
      </c>
      <c r="C1688" t="s">
        <v>394</v>
      </c>
      <c r="D1688" t="s">
        <v>3209</v>
      </c>
      <c r="E1688" t="s">
        <v>3246</v>
      </c>
      <c r="F1688">
        <v>19700629</v>
      </c>
      <c r="G1688" t="s">
        <v>9332</v>
      </c>
      <c r="H1688" t="s">
        <v>242</v>
      </c>
      <c r="I1688" t="s">
        <v>242</v>
      </c>
      <c r="J1688" t="s">
        <v>242</v>
      </c>
      <c r="K1688" t="s">
        <v>241</v>
      </c>
      <c r="L1688" t="s">
        <v>242</v>
      </c>
      <c r="M1688">
        <v>38.641968570000003</v>
      </c>
      <c r="N1688">
        <v>-122.9030051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 t="s">
        <v>9335</v>
      </c>
      <c r="AB1688" t="s">
        <v>242</v>
      </c>
      <c r="AC1688" t="s">
        <v>3229</v>
      </c>
    </row>
    <row r="1689" spans="1:29" x14ac:dyDescent="0.25">
      <c r="A1689" t="s">
        <v>1200</v>
      </c>
      <c r="B1689" t="s">
        <v>252</v>
      </c>
      <c r="C1689" t="s">
        <v>486</v>
      </c>
      <c r="D1689" t="s">
        <v>3209</v>
      </c>
      <c r="E1689" t="s">
        <v>3246</v>
      </c>
      <c r="F1689">
        <v>19701102</v>
      </c>
      <c r="G1689" t="s">
        <v>9332</v>
      </c>
      <c r="H1689" t="s">
        <v>241</v>
      </c>
      <c r="I1689" t="s">
        <v>242</v>
      </c>
      <c r="J1689" t="s">
        <v>242</v>
      </c>
      <c r="K1689" t="s">
        <v>241</v>
      </c>
      <c r="L1689" t="s">
        <v>242</v>
      </c>
      <c r="M1689">
        <v>38.542079149999999</v>
      </c>
      <c r="N1689">
        <v>-122.8580355</v>
      </c>
      <c r="O1689">
        <v>0</v>
      </c>
      <c r="P1689">
        <v>0</v>
      </c>
      <c r="Q1689">
        <v>0</v>
      </c>
      <c r="R1689">
        <v>0.83333333300000001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 t="s">
        <v>9333</v>
      </c>
      <c r="AB1689" t="s">
        <v>242</v>
      </c>
      <c r="AC1689" t="s">
        <v>3229</v>
      </c>
    </row>
    <row r="1690" spans="1:29" x14ac:dyDescent="0.25">
      <c r="A1690" t="s">
        <v>1203</v>
      </c>
      <c r="B1690" t="s">
        <v>252</v>
      </c>
      <c r="C1690" t="s">
        <v>486</v>
      </c>
      <c r="D1690" t="s">
        <v>3209</v>
      </c>
      <c r="E1690" t="s">
        <v>3246</v>
      </c>
      <c r="F1690">
        <v>19701214</v>
      </c>
      <c r="G1690" t="s">
        <v>9332</v>
      </c>
      <c r="H1690" t="s">
        <v>241</v>
      </c>
      <c r="I1690" t="s">
        <v>242</v>
      </c>
      <c r="J1690" t="s">
        <v>242</v>
      </c>
      <c r="K1690" t="s">
        <v>241</v>
      </c>
      <c r="L1690" t="s">
        <v>242</v>
      </c>
      <c r="M1690">
        <v>38.531603629999999</v>
      </c>
      <c r="N1690">
        <v>-122.8635033</v>
      </c>
      <c r="O1690">
        <v>0</v>
      </c>
      <c r="P1690">
        <v>0</v>
      </c>
      <c r="Q1690">
        <v>0.2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 t="s">
        <v>9343</v>
      </c>
      <c r="AB1690" t="s">
        <v>242</v>
      </c>
      <c r="AC1690" t="s">
        <v>3229</v>
      </c>
    </row>
    <row r="1691" spans="1:29" x14ac:dyDescent="0.25">
      <c r="A1691" t="s">
        <v>1183</v>
      </c>
      <c r="B1691" t="s">
        <v>252</v>
      </c>
      <c r="C1691" t="s">
        <v>394</v>
      </c>
      <c r="D1691" t="s">
        <v>3209</v>
      </c>
      <c r="E1691" t="s">
        <v>3246</v>
      </c>
      <c r="F1691">
        <v>19710422</v>
      </c>
      <c r="G1691" t="s">
        <v>9332</v>
      </c>
      <c r="H1691" t="s">
        <v>242</v>
      </c>
      <c r="I1691" t="s">
        <v>242</v>
      </c>
      <c r="J1691" t="s">
        <v>242</v>
      </c>
      <c r="K1691" t="s">
        <v>241</v>
      </c>
      <c r="L1691" t="s">
        <v>242</v>
      </c>
      <c r="M1691">
        <v>38.63708579</v>
      </c>
      <c r="N1691">
        <v>-122.8952407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 t="s">
        <v>9342</v>
      </c>
      <c r="AB1691" t="s">
        <v>242</v>
      </c>
      <c r="AC1691" t="s">
        <v>3229</v>
      </c>
    </row>
    <row r="1692" spans="1:29" x14ac:dyDescent="0.25">
      <c r="A1692" t="s">
        <v>1178</v>
      </c>
      <c r="B1692" t="s">
        <v>252</v>
      </c>
      <c r="C1692" t="s">
        <v>323</v>
      </c>
      <c r="D1692" t="s">
        <v>3209</v>
      </c>
      <c r="E1692" t="s">
        <v>3246</v>
      </c>
      <c r="F1692">
        <v>19711103</v>
      </c>
      <c r="G1692" t="s">
        <v>9332</v>
      </c>
      <c r="H1692" t="s">
        <v>242</v>
      </c>
      <c r="I1692" t="s">
        <v>242</v>
      </c>
      <c r="J1692" t="s">
        <v>242</v>
      </c>
      <c r="K1692" t="s">
        <v>241</v>
      </c>
      <c r="L1692" t="s">
        <v>242</v>
      </c>
      <c r="M1692">
        <v>38.484263509999998</v>
      </c>
      <c r="N1692">
        <v>-122.8021415</v>
      </c>
      <c r="O1692">
        <v>8.3333333330000006</v>
      </c>
      <c r="P1692">
        <v>1.1000000000000001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 t="s">
        <v>9343</v>
      </c>
      <c r="AB1692" t="s">
        <v>242</v>
      </c>
      <c r="AC1692" t="s">
        <v>3229</v>
      </c>
    </row>
    <row r="1693" spans="1:29" x14ac:dyDescent="0.25">
      <c r="A1693" t="s">
        <v>1028</v>
      </c>
      <c r="B1693" t="s">
        <v>252</v>
      </c>
      <c r="C1693" t="s">
        <v>391</v>
      </c>
      <c r="D1693" t="s">
        <v>3209</v>
      </c>
      <c r="E1693" t="s">
        <v>3246</v>
      </c>
      <c r="F1693">
        <v>19750313</v>
      </c>
      <c r="G1693" t="s">
        <v>9332</v>
      </c>
      <c r="H1693" t="s">
        <v>242</v>
      </c>
      <c r="I1693" t="s">
        <v>242</v>
      </c>
      <c r="J1693" t="s">
        <v>242</v>
      </c>
      <c r="K1693" t="s">
        <v>241</v>
      </c>
      <c r="L1693" t="s">
        <v>242</v>
      </c>
      <c r="M1693">
        <v>38.508176890000001</v>
      </c>
      <c r="N1693">
        <v>-122.8377077</v>
      </c>
      <c r="O1693">
        <v>2</v>
      </c>
      <c r="P1693">
        <v>2</v>
      </c>
      <c r="Q1693">
        <v>1.3333333329999999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1.3333333329999999</v>
      </c>
      <c r="Z1693">
        <v>1.6666666670000001</v>
      </c>
      <c r="AA1693" t="s">
        <v>9335</v>
      </c>
      <c r="AB1693" t="s">
        <v>242</v>
      </c>
      <c r="AC1693" t="s">
        <v>3229</v>
      </c>
    </row>
    <row r="1694" spans="1:29" x14ac:dyDescent="0.25">
      <c r="A1694" t="s">
        <v>1126</v>
      </c>
      <c r="B1694" t="s">
        <v>252</v>
      </c>
      <c r="C1694" t="s">
        <v>378</v>
      </c>
      <c r="D1694" t="s">
        <v>3209</v>
      </c>
      <c r="E1694" t="s">
        <v>3246</v>
      </c>
      <c r="F1694">
        <v>19720320</v>
      </c>
      <c r="G1694" t="s">
        <v>9332</v>
      </c>
      <c r="H1694" t="s">
        <v>242</v>
      </c>
      <c r="I1694" t="s">
        <v>242</v>
      </c>
      <c r="J1694" t="s">
        <v>242</v>
      </c>
      <c r="K1694" t="s">
        <v>241</v>
      </c>
      <c r="L1694" t="s">
        <v>242</v>
      </c>
      <c r="M1694">
        <v>38.36627816</v>
      </c>
      <c r="N1694">
        <v>-122.6065491</v>
      </c>
      <c r="O1694">
        <v>6</v>
      </c>
      <c r="P1694">
        <v>2.5</v>
      </c>
      <c r="Q1694">
        <v>1.5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0.66666666699999999</v>
      </c>
      <c r="Z1694">
        <v>2.3333333330000001</v>
      </c>
      <c r="AA1694" t="s">
        <v>9335</v>
      </c>
      <c r="AB1694" t="s">
        <v>242</v>
      </c>
      <c r="AC1694" t="s">
        <v>3229</v>
      </c>
    </row>
    <row r="1695" spans="1:29" x14ac:dyDescent="0.25">
      <c r="A1695" t="s">
        <v>1155</v>
      </c>
      <c r="B1695" t="s">
        <v>252</v>
      </c>
      <c r="C1695" t="s">
        <v>394</v>
      </c>
      <c r="D1695" t="s">
        <v>3209</v>
      </c>
      <c r="E1695" t="s">
        <v>3246</v>
      </c>
      <c r="F1695">
        <v>19721027</v>
      </c>
      <c r="G1695" t="s">
        <v>9332</v>
      </c>
      <c r="H1695" t="s">
        <v>242</v>
      </c>
      <c r="I1695" t="s">
        <v>242</v>
      </c>
      <c r="J1695" t="s">
        <v>242</v>
      </c>
      <c r="K1695" t="s">
        <v>241</v>
      </c>
      <c r="L1695" t="s">
        <v>242</v>
      </c>
      <c r="M1695">
        <v>38.629712249999997</v>
      </c>
      <c r="N1695">
        <v>-122.9250801</v>
      </c>
      <c r="O1695">
        <v>1</v>
      </c>
      <c r="P1695">
        <v>1</v>
      </c>
      <c r="Q1695">
        <v>1</v>
      </c>
      <c r="R1695">
        <v>0.2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 t="s">
        <v>9335</v>
      </c>
      <c r="AB1695" t="s">
        <v>242</v>
      </c>
      <c r="AC1695" t="s">
        <v>3229</v>
      </c>
    </row>
    <row r="1696" spans="1:29" x14ac:dyDescent="0.25">
      <c r="A1696" t="s">
        <v>1144</v>
      </c>
      <c r="B1696" t="s">
        <v>252</v>
      </c>
      <c r="C1696" t="s">
        <v>378</v>
      </c>
      <c r="D1696" t="s">
        <v>3209</v>
      </c>
      <c r="E1696" t="s">
        <v>3246</v>
      </c>
      <c r="F1696">
        <v>19721122</v>
      </c>
      <c r="G1696" t="s">
        <v>9332</v>
      </c>
      <c r="H1696" t="s">
        <v>242</v>
      </c>
      <c r="I1696" t="s">
        <v>242</v>
      </c>
      <c r="J1696" t="s">
        <v>242</v>
      </c>
      <c r="K1696" t="s">
        <v>241</v>
      </c>
      <c r="L1696" t="s">
        <v>242</v>
      </c>
      <c r="M1696">
        <v>38.506094470000001</v>
      </c>
      <c r="N1696">
        <v>-122.6957985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 t="s">
        <v>9341</v>
      </c>
      <c r="AB1696" t="s">
        <v>242</v>
      </c>
      <c r="AC1696" t="s">
        <v>3229</v>
      </c>
    </row>
    <row r="1697" spans="1:29" x14ac:dyDescent="0.25">
      <c r="A1697" t="s">
        <v>1147</v>
      </c>
      <c r="B1697" t="s">
        <v>252</v>
      </c>
      <c r="C1697" t="s">
        <v>486</v>
      </c>
      <c r="D1697" t="s">
        <v>3209</v>
      </c>
      <c r="E1697" t="s">
        <v>3246</v>
      </c>
      <c r="F1697">
        <v>19721222</v>
      </c>
      <c r="G1697" t="s">
        <v>9332</v>
      </c>
      <c r="H1697" t="s">
        <v>241</v>
      </c>
      <c r="I1697" t="s">
        <v>242</v>
      </c>
      <c r="J1697" t="s">
        <v>242</v>
      </c>
      <c r="K1697" t="s">
        <v>241</v>
      </c>
      <c r="L1697" t="s">
        <v>242</v>
      </c>
      <c r="M1697">
        <v>38.578068399999999</v>
      </c>
      <c r="N1697">
        <v>-122.8558445</v>
      </c>
      <c r="O1697">
        <v>0</v>
      </c>
      <c r="P1697">
        <v>0</v>
      </c>
      <c r="Q1697">
        <v>0</v>
      </c>
      <c r="R1697">
        <v>0</v>
      </c>
      <c r="S1697">
        <v>2.5</v>
      </c>
      <c r="T1697">
        <v>8.2333333329999991</v>
      </c>
      <c r="U1697">
        <v>16.5</v>
      </c>
      <c r="V1697">
        <v>16.100000000000001</v>
      </c>
      <c r="W1697">
        <v>8.4666666670000001</v>
      </c>
      <c r="X1697">
        <v>0</v>
      </c>
      <c r="Y1697">
        <v>0</v>
      </c>
      <c r="Z1697">
        <v>0</v>
      </c>
      <c r="AA1697" t="s">
        <v>9335</v>
      </c>
      <c r="AB1697" t="s">
        <v>242</v>
      </c>
      <c r="AC1697" t="s">
        <v>3229</v>
      </c>
    </row>
    <row r="1698" spans="1:29" x14ac:dyDescent="0.25">
      <c r="A1698" t="s">
        <v>1148</v>
      </c>
      <c r="B1698" t="s">
        <v>252</v>
      </c>
      <c r="C1698" t="s">
        <v>486</v>
      </c>
      <c r="D1698" t="s">
        <v>3209</v>
      </c>
      <c r="E1698" t="s">
        <v>3246</v>
      </c>
      <c r="F1698">
        <v>19721222</v>
      </c>
      <c r="G1698" t="s">
        <v>9332</v>
      </c>
      <c r="H1698" t="s">
        <v>241</v>
      </c>
      <c r="I1698" t="s">
        <v>242</v>
      </c>
      <c r="J1698" t="s">
        <v>242</v>
      </c>
      <c r="K1698" t="s">
        <v>241</v>
      </c>
      <c r="L1698" t="s">
        <v>242</v>
      </c>
      <c r="M1698">
        <v>38.578068399999999</v>
      </c>
      <c r="N1698">
        <v>-122.8558445</v>
      </c>
      <c r="O1698">
        <v>0</v>
      </c>
      <c r="P1698">
        <v>0</v>
      </c>
      <c r="Q1698">
        <v>4.5</v>
      </c>
      <c r="R1698">
        <v>1.4666666669999999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 t="s">
        <v>9335</v>
      </c>
      <c r="AB1698" t="s">
        <v>242</v>
      </c>
      <c r="AC1698" t="s">
        <v>3229</v>
      </c>
    </row>
    <row r="1699" spans="1:29" x14ac:dyDescent="0.25">
      <c r="A1699" t="s">
        <v>1151</v>
      </c>
      <c r="B1699" t="s">
        <v>252</v>
      </c>
      <c r="C1699" t="s">
        <v>486</v>
      </c>
      <c r="D1699" t="s">
        <v>3209</v>
      </c>
      <c r="E1699" t="s">
        <v>3246</v>
      </c>
      <c r="F1699">
        <v>19721222</v>
      </c>
      <c r="G1699" t="s">
        <v>9334</v>
      </c>
      <c r="H1699" t="s">
        <v>241</v>
      </c>
      <c r="I1699" t="s">
        <v>242</v>
      </c>
      <c r="J1699" t="s">
        <v>242</v>
      </c>
      <c r="K1699" t="s">
        <v>241</v>
      </c>
      <c r="L1699" t="s">
        <v>242</v>
      </c>
      <c r="M1699">
        <v>38.566499999999998</v>
      </c>
      <c r="N1699">
        <v>-122.85469999999999</v>
      </c>
      <c r="O1699">
        <v>0</v>
      </c>
      <c r="P1699">
        <v>8.6666667000000003E-2</v>
      </c>
      <c r="Q1699">
        <v>0.51485700000000001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1.284334667</v>
      </c>
      <c r="Y1699">
        <v>0.63333333300000005</v>
      </c>
      <c r="Z1699">
        <v>0</v>
      </c>
      <c r="AA1699" t="s">
        <v>9335</v>
      </c>
      <c r="AB1699" t="s">
        <v>242</v>
      </c>
      <c r="AC1699" t="s">
        <v>3229</v>
      </c>
    </row>
    <row r="1700" spans="1:29" x14ac:dyDescent="0.25">
      <c r="A1700" t="s">
        <v>1152</v>
      </c>
      <c r="B1700" t="s">
        <v>252</v>
      </c>
      <c r="C1700" t="s">
        <v>486</v>
      </c>
      <c r="D1700" t="s">
        <v>3209</v>
      </c>
      <c r="E1700" t="s">
        <v>3226</v>
      </c>
      <c r="F1700">
        <v>19721222</v>
      </c>
      <c r="G1700" t="s">
        <v>9334</v>
      </c>
      <c r="H1700" t="s">
        <v>241</v>
      </c>
      <c r="I1700" t="s">
        <v>242</v>
      </c>
      <c r="J1700" t="s">
        <v>242</v>
      </c>
      <c r="K1700" t="s">
        <v>241</v>
      </c>
      <c r="L1700" t="s">
        <v>242</v>
      </c>
      <c r="M1700">
        <v>38.566499999999998</v>
      </c>
      <c r="N1700">
        <v>-122.85469999999999</v>
      </c>
      <c r="O1700">
        <v>0</v>
      </c>
      <c r="P1700">
        <v>0.29333333299999997</v>
      </c>
      <c r="Q1700">
        <v>0.56062633299999998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1.850698</v>
      </c>
      <c r="Y1700">
        <v>0.87333333300000004</v>
      </c>
      <c r="Z1700">
        <v>0</v>
      </c>
      <c r="AA1700" t="s">
        <v>9343</v>
      </c>
      <c r="AB1700" t="s">
        <v>242</v>
      </c>
      <c r="AC1700" t="s">
        <v>3229</v>
      </c>
    </row>
    <row r="1701" spans="1:29" x14ac:dyDescent="0.25">
      <c r="A1701" t="s">
        <v>1153</v>
      </c>
      <c r="B1701" t="s">
        <v>252</v>
      </c>
      <c r="C1701" t="s">
        <v>323</v>
      </c>
      <c r="D1701" t="s">
        <v>3209</v>
      </c>
      <c r="E1701" t="s">
        <v>3246</v>
      </c>
      <c r="F1701">
        <v>19721222</v>
      </c>
      <c r="G1701" t="s">
        <v>9332</v>
      </c>
      <c r="H1701" t="s">
        <v>242</v>
      </c>
      <c r="I1701" t="s">
        <v>242</v>
      </c>
      <c r="J1701" t="s">
        <v>242</v>
      </c>
      <c r="K1701" t="s">
        <v>241</v>
      </c>
      <c r="L1701" t="s">
        <v>242</v>
      </c>
      <c r="M1701">
        <v>38.495314870000001</v>
      </c>
      <c r="N1701">
        <v>-122.869005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 t="s">
        <v>9335</v>
      </c>
      <c r="AB1701" t="s">
        <v>242</v>
      </c>
      <c r="AC1701" t="s">
        <v>3229</v>
      </c>
    </row>
    <row r="1702" spans="1:29" x14ac:dyDescent="0.25">
      <c r="A1702" t="s">
        <v>1154</v>
      </c>
      <c r="B1702" t="s">
        <v>252</v>
      </c>
      <c r="C1702" t="s">
        <v>323</v>
      </c>
      <c r="D1702" t="s">
        <v>3209</v>
      </c>
      <c r="E1702" t="s">
        <v>3246</v>
      </c>
      <c r="F1702">
        <v>19721222</v>
      </c>
      <c r="G1702" t="s">
        <v>9332</v>
      </c>
      <c r="H1702" t="s">
        <v>242</v>
      </c>
      <c r="I1702" t="s">
        <v>242</v>
      </c>
      <c r="J1702" t="s">
        <v>242</v>
      </c>
      <c r="K1702" t="s">
        <v>241</v>
      </c>
      <c r="L1702" t="s">
        <v>242</v>
      </c>
      <c r="M1702">
        <v>38.495032430000002</v>
      </c>
      <c r="N1702">
        <v>-122.8700498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 t="s">
        <v>9335</v>
      </c>
      <c r="AB1702" t="s">
        <v>242</v>
      </c>
      <c r="AC1702" t="s">
        <v>3229</v>
      </c>
    </row>
    <row r="1703" spans="1:29" x14ac:dyDescent="0.25">
      <c r="A1703" t="s">
        <v>1106</v>
      </c>
      <c r="B1703" t="s">
        <v>252</v>
      </c>
      <c r="C1703" t="s">
        <v>493</v>
      </c>
      <c r="D1703" t="s">
        <v>3209</v>
      </c>
      <c r="E1703" t="s">
        <v>3226</v>
      </c>
      <c r="F1703">
        <v>19730213</v>
      </c>
      <c r="G1703" t="s">
        <v>9332</v>
      </c>
      <c r="H1703" t="s">
        <v>242</v>
      </c>
      <c r="I1703" t="s">
        <v>242</v>
      </c>
      <c r="J1703" t="s">
        <v>242</v>
      </c>
      <c r="K1703" t="s">
        <v>241</v>
      </c>
      <c r="L1703" t="s">
        <v>242</v>
      </c>
      <c r="M1703">
        <v>38.694200000000002</v>
      </c>
      <c r="N1703">
        <v>-122.9914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122.3</v>
      </c>
      <c r="Z1703">
        <v>36.966666670000002</v>
      </c>
      <c r="AA1703" t="s">
        <v>9335</v>
      </c>
      <c r="AB1703" t="s">
        <v>242</v>
      </c>
      <c r="AC1703" t="s">
        <v>3229</v>
      </c>
    </row>
    <row r="1704" spans="1:29" x14ac:dyDescent="0.25">
      <c r="A1704" t="s">
        <v>1107</v>
      </c>
      <c r="B1704" t="s">
        <v>252</v>
      </c>
      <c r="C1704" t="s">
        <v>323</v>
      </c>
      <c r="D1704" t="s">
        <v>3209</v>
      </c>
      <c r="E1704" t="s">
        <v>3246</v>
      </c>
      <c r="F1704">
        <v>19730215</v>
      </c>
      <c r="G1704" t="s">
        <v>9332</v>
      </c>
      <c r="H1704" t="s">
        <v>242</v>
      </c>
      <c r="I1704" t="s">
        <v>242</v>
      </c>
      <c r="J1704" t="s">
        <v>242</v>
      </c>
      <c r="K1704" t="s">
        <v>241</v>
      </c>
      <c r="L1704" t="s">
        <v>242</v>
      </c>
      <c r="M1704">
        <v>38.48383707</v>
      </c>
      <c r="N1704">
        <v>-122.8237973</v>
      </c>
      <c r="O1704">
        <v>2.9666666670000001</v>
      </c>
      <c r="P1704">
        <v>0</v>
      </c>
      <c r="Q1704">
        <v>0.3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5.3833333330000004</v>
      </c>
      <c r="Z1704">
        <v>5.25</v>
      </c>
      <c r="AA1704" t="s">
        <v>9335</v>
      </c>
      <c r="AB1704" t="s">
        <v>242</v>
      </c>
      <c r="AC1704" t="s">
        <v>3229</v>
      </c>
    </row>
    <row r="1705" spans="1:29" x14ac:dyDescent="0.25">
      <c r="A1705" t="s">
        <v>1117</v>
      </c>
      <c r="B1705" t="s">
        <v>252</v>
      </c>
      <c r="C1705" t="s">
        <v>1118</v>
      </c>
      <c r="D1705" t="s">
        <v>3209</v>
      </c>
      <c r="E1705" t="s">
        <v>3246</v>
      </c>
      <c r="F1705">
        <v>19730710</v>
      </c>
      <c r="G1705" t="s">
        <v>9332</v>
      </c>
      <c r="H1705" t="s">
        <v>242</v>
      </c>
      <c r="I1705" t="s">
        <v>242</v>
      </c>
      <c r="J1705" t="s">
        <v>242</v>
      </c>
      <c r="K1705" t="s">
        <v>241</v>
      </c>
      <c r="L1705" t="s">
        <v>242</v>
      </c>
      <c r="M1705">
        <v>38.425540050000002</v>
      </c>
      <c r="N1705">
        <v>-122.7962477</v>
      </c>
      <c r="O1705">
        <v>0</v>
      </c>
      <c r="P1705">
        <v>0</v>
      </c>
      <c r="Q1705">
        <v>0.13503066699999999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 t="s">
        <v>9335</v>
      </c>
      <c r="AB1705" t="s">
        <v>242</v>
      </c>
      <c r="AC1705" t="s">
        <v>3229</v>
      </c>
    </row>
    <row r="1706" spans="1:29" x14ac:dyDescent="0.25">
      <c r="A1706" t="s">
        <v>1101</v>
      </c>
      <c r="B1706" t="s">
        <v>252</v>
      </c>
      <c r="C1706" t="s">
        <v>394</v>
      </c>
      <c r="D1706" t="s">
        <v>3209</v>
      </c>
      <c r="E1706" t="s">
        <v>3246</v>
      </c>
      <c r="F1706">
        <v>19740208</v>
      </c>
      <c r="G1706" t="s">
        <v>9332</v>
      </c>
      <c r="H1706" t="s">
        <v>242</v>
      </c>
      <c r="I1706" t="s">
        <v>242</v>
      </c>
      <c r="J1706" t="s">
        <v>242</v>
      </c>
      <c r="K1706" t="s">
        <v>241</v>
      </c>
      <c r="L1706" t="s">
        <v>242</v>
      </c>
      <c r="M1706">
        <v>38.587899999999998</v>
      </c>
      <c r="N1706">
        <v>-122.89149999999999</v>
      </c>
      <c r="O1706">
        <v>8.9666666670000001</v>
      </c>
      <c r="P1706">
        <v>0.33333333300000001</v>
      </c>
      <c r="Q1706">
        <v>0.46666666699999998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0.2</v>
      </c>
      <c r="Z1706">
        <v>2.733333333</v>
      </c>
      <c r="AA1706" t="s">
        <v>9335</v>
      </c>
      <c r="AB1706" t="s">
        <v>242</v>
      </c>
      <c r="AC1706" t="s">
        <v>3229</v>
      </c>
    </row>
    <row r="1707" spans="1:29" x14ac:dyDescent="0.25">
      <c r="A1707" t="s">
        <v>1087</v>
      </c>
      <c r="B1707" t="s">
        <v>252</v>
      </c>
      <c r="C1707" t="s">
        <v>391</v>
      </c>
      <c r="D1707" t="s">
        <v>3209</v>
      </c>
      <c r="E1707" t="s">
        <v>3246</v>
      </c>
      <c r="F1707">
        <v>19740301</v>
      </c>
      <c r="G1707" t="s">
        <v>9332</v>
      </c>
      <c r="H1707" t="s">
        <v>242</v>
      </c>
      <c r="I1707" t="s">
        <v>242</v>
      </c>
      <c r="J1707" t="s">
        <v>242</v>
      </c>
      <c r="K1707" t="s">
        <v>241</v>
      </c>
      <c r="L1707" t="s">
        <v>242</v>
      </c>
      <c r="M1707">
        <v>38.564670640000003</v>
      </c>
      <c r="N1707">
        <v>-122.7691183</v>
      </c>
      <c r="O1707">
        <v>4.0666666669999998</v>
      </c>
      <c r="P1707">
        <v>10.733333330000001</v>
      </c>
      <c r="Q1707">
        <v>0.53333333299999997</v>
      </c>
      <c r="R1707">
        <v>0.5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0.46666666699999998</v>
      </c>
      <c r="Z1707">
        <v>2.7</v>
      </c>
      <c r="AA1707" t="s">
        <v>9335</v>
      </c>
      <c r="AB1707" t="s">
        <v>242</v>
      </c>
      <c r="AC1707" t="s">
        <v>3229</v>
      </c>
    </row>
    <row r="1708" spans="1:29" x14ac:dyDescent="0.25">
      <c r="A1708" t="s">
        <v>1092</v>
      </c>
      <c r="B1708" t="s">
        <v>252</v>
      </c>
      <c r="C1708" t="s">
        <v>323</v>
      </c>
      <c r="D1708" t="s">
        <v>3209</v>
      </c>
      <c r="E1708" t="s">
        <v>3246</v>
      </c>
      <c r="F1708">
        <v>19740712</v>
      </c>
      <c r="G1708" t="s">
        <v>9338</v>
      </c>
      <c r="H1708" t="s">
        <v>242</v>
      </c>
      <c r="I1708" t="s">
        <v>242</v>
      </c>
      <c r="J1708" t="s">
        <v>242</v>
      </c>
      <c r="K1708" t="s">
        <v>241</v>
      </c>
      <c r="L1708" t="s">
        <v>242</v>
      </c>
      <c r="M1708">
        <v>38.523843460000002</v>
      </c>
      <c r="N1708">
        <v>-122.5622687</v>
      </c>
      <c r="O1708">
        <v>2</v>
      </c>
      <c r="P1708">
        <v>0</v>
      </c>
      <c r="Q1708">
        <v>1.6666666670000001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3.3333333330000001</v>
      </c>
      <c r="Z1708">
        <v>2</v>
      </c>
      <c r="AA1708" t="s">
        <v>9335</v>
      </c>
      <c r="AB1708" t="s">
        <v>242</v>
      </c>
      <c r="AC1708" t="s">
        <v>3229</v>
      </c>
    </row>
    <row r="1709" spans="1:29" x14ac:dyDescent="0.25">
      <c r="A1709" t="s">
        <v>1102</v>
      </c>
      <c r="B1709" t="s">
        <v>252</v>
      </c>
      <c r="C1709" t="s">
        <v>394</v>
      </c>
      <c r="D1709" t="s">
        <v>3209</v>
      </c>
      <c r="E1709" t="s">
        <v>3246</v>
      </c>
      <c r="F1709">
        <v>19740917</v>
      </c>
      <c r="G1709" t="s">
        <v>9332</v>
      </c>
      <c r="H1709" t="s">
        <v>242</v>
      </c>
      <c r="I1709" t="s">
        <v>242</v>
      </c>
      <c r="J1709" t="s">
        <v>242</v>
      </c>
      <c r="K1709" t="s">
        <v>241</v>
      </c>
      <c r="L1709" t="s">
        <v>242</v>
      </c>
      <c r="M1709">
        <v>38.587552330000001</v>
      </c>
      <c r="N1709">
        <v>-122.87292720000001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 t="s">
        <v>9335</v>
      </c>
      <c r="AB1709" t="s">
        <v>242</v>
      </c>
      <c r="AC1709" t="s">
        <v>3229</v>
      </c>
    </row>
    <row r="1710" spans="1:29" x14ac:dyDescent="0.25">
      <c r="A1710" t="s">
        <v>1103</v>
      </c>
      <c r="B1710" t="s">
        <v>252</v>
      </c>
      <c r="C1710" t="s">
        <v>394</v>
      </c>
      <c r="D1710" t="s">
        <v>3209</v>
      </c>
      <c r="E1710" t="s">
        <v>3246</v>
      </c>
      <c r="F1710">
        <v>19740917</v>
      </c>
      <c r="G1710" t="s">
        <v>9332</v>
      </c>
      <c r="H1710" t="s">
        <v>242</v>
      </c>
      <c r="I1710" t="s">
        <v>242</v>
      </c>
      <c r="J1710" t="s">
        <v>242</v>
      </c>
      <c r="K1710" t="s">
        <v>241</v>
      </c>
      <c r="L1710" t="s">
        <v>242</v>
      </c>
      <c r="M1710">
        <v>38.587552330000001</v>
      </c>
      <c r="N1710">
        <v>-122.87292720000001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 t="s">
        <v>9343</v>
      </c>
      <c r="AB1710" t="s">
        <v>242</v>
      </c>
      <c r="AC1710" t="s">
        <v>3229</v>
      </c>
    </row>
    <row r="1711" spans="1:29" x14ac:dyDescent="0.25">
      <c r="A1711" t="s">
        <v>1099</v>
      </c>
      <c r="B1711" t="s">
        <v>252</v>
      </c>
      <c r="C1711" t="s">
        <v>391</v>
      </c>
      <c r="D1711" t="s">
        <v>3209</v>
      </c>
      <c r="E1711" t="s">
        <v>3246</v>
      </c>
      <c r="F1711">
        <v>19741108</v>
      </c>
      <c r="G1711" t="s">
        <v>9332</v>
      </c>
      <c r="H1711" t="s">
        <v>242</v>
      </c>
      <c r="I1711" t="s">
        <v>242</v>
      </c>
      <c r="J1711" t="s">
        <v>242</v>
      </c>
      <c r="K1711" t="s">
        <v>241</v>
      </c>
      <c r="L1711" t="s">
        <v>242</v>
      </c>
      <c r="M1711">
        <v>38.54113658</v>
      </c>
      <c r="N1711">
        <v>-122.8366958</v>
      </c>
      <c r="O1711">
        <v>1.266666667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8.3333332999999996E-2</v>
      </c>
      <c r="Y1711">
        <v>2.1666666669999999</v>
      </c>
      <c r="Z1711">
        <v>4.0666666669999998</v>
      </c>
      <c r="AA1711" t="s">
        <v>9335</v>
      </c>
      <c r="AB1711" t="s">
        <v>242</v>
      </c>
      <c r="AC1711" t="s">
        <v>3229</v>
      </c>
    </row>
    <row r="1712" spans="1:29" x14ac:dyDescent="0.25">
      <c r="A1712" t="s">
        <v>1030</v>
      </c>
      <c r="B1712" t="s">
        <v>252</v>
      </c>
      <c r="C1712" t="s">
        <v>352</v>
      </c>
      <c r="D1712" t="s">
        <v>3209</v>
      </c>
      <c r="E1712" t="s">
        <v>3246</v>
      </c>
      <c r="F1712">
        <v>19750228</v>
      </c>
      <c r="G1712" t="s">
        <v>9332</v>
      </c>
      <c r="H1712" t="s">
        <v>242</v>
      </c>
      <c r="I1712" t="s">
        <v>242</v>
      </c>
      <c r="J1712" t="s">
        <v>242</v>
      </c>
      <c r="K1712" t="s">
        <v>241</v>
      </c>
      <c r="L1712" t="s">
        <v>242</v>
      </c>
      <c r="M1712">
        <v>38.461334610000002</v>
      </c>
      <c r="N1712">
        <v>-122.89583450000001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 t="s">
        <v>9335</v>
      </c>
      <c r="AB1712" t="s">
        <v>242</v>
      </c>
      <c r="AC1712" t="s">
        <v>3229</v>
      </c>
    </row>
    <row r="1713" spans="1:29" x14ac:dyDescent="0.25">
      <c r="A1713" t="s">
        <v>1032</v>
      </c>
      <c r="B1713" t="s">
        <v>252</v>
      </c>
      <c r="C1713" t="s">
        <v>486</v>
      </c>
      <c r="D1713" t="s">
        <v>3209</v>
      </c>
      <c r="E1713" t="s">
        <v>3246</v>
      </c>
      <c r="F1713">
        <v>19750228</v>
      </c>
      <c r="G1713" t="s">
        <v>9332</v>
      </c>
      <c r="H1713" t="s">
        <v>241</v>
      </c>
      <c r="I1713" t="s">
        <v>242</v>
      </c>
      <c r="J1713" t="s">
        <v>242</v>
      </c>
      <c r="K1713" t="s">
        <v>241</v>
      </c>
      <c r="L1713" t="s">
        <v>242</v>
      </c>
      <c r="M1713">
        <v>38.581911210000001</v>
      </c>
      <c r="N1713">
        <v>-122.85606559999999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3.3300000000000003E-5</v>
      </c>
      <c r="U1713">
        <v>0.11</v>
      </c>
      <c r="V1713">
        <v>0.01</v>
      </c>
      <c r="W1713">
        <v>0</v>
      </c>
      <c r="X1713">
        <v>0</v>
      </c>
      <c r="Y1713">
        <v>0</v>
      </c>
      <c r="Z1713">
        <v>0</v>
      </c>
      <c r="AA1713" t="s">
        <v>9335</v>
      </c>
      <c r="AB1713" t="s">
        <v>242</v>
      </c>
      <c r="AC1713" t="s">
        <v>3229</v>
      </c>
    </row>
    <row r="1714" spans="1:29" x14ac:dyDescent="0.25">
      <c r="A1714" t="s">
        <v>1033</v>
      </c>
      <c r="B1714" t="s">
        <v>252</v>
      </c>
      <c r="C1714" t="s">
        <v>486</v>
      </c>
      <c r="D1714" t="s">
        <v>3209</v>
      </c>
      <c r="E1714" t="s">
        <v>3246</v>
      </c>
      <c r="F1714">
        <v>19750228</v>
      </c>
      <c r="G1714" t="s">
        <v>9332</v>
      </c>
      <c r="H1714" t="s">
        <v>241</v>
      </c>
      <c r="I1714" t="s">
        <v>242</v>
      </c>
      <c r="J1714" t="s">
        <v>242</v>
      </c>
      <c r="K1714" t="s">
        <v>241</v>
      </c>
      <c r="L1714" t="s">
        <v>242</v>
      </c>
      <c r="M1714">
        <v>38.581911210000001</v>
      </c>
      <c r="N1714">
        <v>-122.85606559999999</v>
      </c>
      <c r="O1714">
        <v>0</v>
      </c>
      <c r="P1714">
        <v>0</v>
      </c>
      <c r="Q1714">
        <v>0.66666666699999999</v>
      </c>
      <c r="R1714">
        <v>0.3</v>
      </c>
      <c r="S1714">
        <v>1.6666700000000001E-4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 t="s">
        <v>9343</v>
      </c>
      <c r="AB1714" t="s">
        <v>242</v>
      </c>
      <c r="AC1714" t="s">
        <v>3229</v>
      </c>
    </row>
    <row r="1715" spans="1:29" x14ac:dyDescent="0.25">
      <c r="A1715" t="s">
        <v>1036</v>
      </c>
      <c r="B1715" t="s">
        <v>252</v>
      </c>
      <c r="C1715" t="s">
        <v>352</v>
      </c>
      <c r="D1715" t="s">
        <v>3209</v>
      </c>
      <c r="E1715" t="s">
        <v>3246</v>
      </c>
      <c r="F1715">
        <v>19750318</v>
      </c>
      <c r="G1715" t="s">
        <v>9332</v>
      </c>
      <c r="H1715" t="s">
        <v>242</v>
      </c>
      <c r="I1715" t="s">
        <v>242</v>
      </c>
      <c r="J1715" t="s">
        <v>242</v>
      </c>
      <c r="K1715" t="s">
        <v>241</v>
      </c>
      <c r="L1715" t="s">
        <v>242</v>
      </c>
      <c r="M1715">
        <v>38.444048500000001</v>
      </c>
      <c r="N1715">
        <v>-122.89404690000001</v>
      </c>
      <c r="O1715">
        <v>1.5</v>
      </c>
      <c r="P1715">
        <v>1.5</v>
      </c>
      <c r="Q1715">
        <v>1.2343333329999999</v>
      </c>
      <c r="R1715">
        <v>0.26166666700000002</v>
      </c>
      <c r="S1715">
        <v>0.33333333300000001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 t="s">
        <v>9335</v>
      </c>
      <c r="AB1715" t="s">
        <v>242</v>
      </c>
      <c r="AC1715" t="s">
        <v>3229</v>
      </c>
    </row>
    <row r="1716" spans="1:29" x14ac:dyDescent="0.25">
      <c r="A1716" t="s">
        <v>1080</v>
      </c>
      <c r="B1716" t="s">
        <v>252</v>
      </c>
      <c r="C1716" t="s">
        <v>394</v>
      </c>
      <c r="D1716" t="s">
        <v>3209</v>
      </c>
      <c r="E1716" t="s">
        <v>3246</v>
      </c>
      <c r="F1716">
        <v>19750320</v>
      </c>
      <c r="G1716" t="s">
        <v>9332</v>
      </c>
      <c r="H1716" t="s">
        <v>242</v>
      </c>
      <c r="I1716" t="s">
        <v>242</v>
      </c>
      <c r="J1716" t="s">
        <v>242</v>
      </c>
      <c r="K1716" t="s">
        <v>241</v>
      </c>
      <c r="L1716" t="s">
        <v>242</v>
      </c>
      <c r="M1716">
        <v>38.66037884</v>
      </c>
      <c r="N1716">
        <v>-122.90148720000001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 t="s">
        <v>9335</v>
      </c>
      <c r="AB1716" t="s">
        <v>242</v>
      </c>
      <c r="AC1716" t="s">
        <v>3229</v>
      </c>
    </row>
    <row r="1717" spans="1:29" x14ac:dyDescent="0.25">
      <c r="A1717" t="s">
        <v>1037</v>
      </c>
      <c r="B1717" t="s">
        <v>252</v>
      </c>
      <c r="C1717" t="s">
        <v>323</v>
      </c>
      <c r="D1717" t="s">
        <v>3209</v>
      </c>
      <c r="E1717" t="s">
        <v>3246</v>
      </c>
      <c r="F1717">
        <v>19750320</v>
      </c>
      <c r="G1717" t="s">
        <v>9332</v>
      </c>
      <c r="H1717" t="s">
        <v>242</v>
      </c>
      <c r="I1717" t="s">
        <v>242</v>
      </c>
      <c r="J1717" t="s">
        <v>242</v>
      </c>
      <c r="K1717" t="s">
        <v>241</v>
      </c>
      <c r="L1717" t="s">
        <v>242</v>
      </c>
      <c r="M1717">
        <v>38.555799999999998</v>
      </c>
      <c r="N1717">
        <v>-122.6121</v>
      </c>
      <c r="O1717">
        <v>0.25</v>
      </c>
      <c r="P1717">
        <v>0.5</v>
      </c>
      <c r="Q1717">
        <v>0.75</v>
      </c>
      <c r="R1717">
        <v>0.25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0.25</v>
      </c>
      <c r="AA1717" t="s">
        <v>9341</v>
      </c>
      <c r="AB1717" t="s">
        <v>242</v>
      </c>
      <c r="AC1717" t="s">
        <v>3229</v>
      </c>
    </row>
    <row r="1718" spans="1:29" x14ac:dyDescent="0.25">
      <c r="A1718" t="s">
        <v>1044</v>
      </c>
      <c r="B1718" t="s">
        <v>252</v>
      </c>
      <c r="C1718" t="s">
        <v>585</v>
      </c>
      <c r="D1718" t="s">
        <v>3209</v>
      </c>
      <c r="E1718" t="s">
        <v>3246</v>
      </c>
      <c r="F1718">
        <v>19750602</v>
      </c>
      <c r="G1718" t="s">
        <v>9332</v>
      </c>
      <c r="H1718" t="s">
        <v>242</v>
      </c>
      <c r="I1718" t="s">
        <v>242</v>
      </c>
      <c r="J1718" t="s">
        <v>242</v>
      </c>
      <c r="K1718" t="s">
        <v>241</v>
      </c>
      <c r="L1718" t="s">
        <v>242</v>
      </c>
      <c r="M1718">
        <v>38.331499999999998</v>
      </c>
      <c r="N1718">
        <v>-122.77209999999999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 t="s">
        <v>9342</v>
      </c>
      <c r="AB1718" t="s">
        <v>242</v>
      </c>
      <c r="AC1718" t="s">
        <v>3229</v>
      </c>
    </row>
    <row r="1719" spans="1:29" x14ac:dyDescent="0.25">
      <c r="A1719" t="s">
        <v>1045</v>
      </c>
      <c r="B1719" t="s">
        <v>252</v>
      </c>
      <c r="C1719" t="s">
        <v>403</v>
      </c>
      <c r="D1719" t="s">
        <v>3209</v>
      </c>
      <c r="E1719" t="s">
        <v>3246</v>
      </c>
      <c r="F1719">
        <v>19750626</v>
      </c>
      <c r="G1719" t="s">
        <v>9332</v>
      </c>
      <c r="H1719" t="s">
        <v>242</v>
      </c>
      <c r="I1719" t="s">
        <v>242</v>
      </c>
      <c r="J1719" t="s">
        <v>242</v>
      </c>
      <c r="K1719" t="s">
        <v>241</v>
      </c>
      <c r="L1719" t="s">
        <v>242</v>
      </c>
      <c r="M1719">
        <v>38.432071000000001</v>
      </c>
      <c r="N1719">
        <v>-122.95046739999999</v>
      </c>
      <c r="O1719">
        <v>3.0666666669999998</v>
      </c>
      <c r="P1719">
        <v>3.8</v>
      </c>
      <c r="Q1719">
        <v>0.8</v>
      </c>
      <c r="R1719">
        <v>0.2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0.66666666699999999</v>
      </c>
      <c r="Z1719">
        <v>2.1333333329999999</v>
      </c>
      <c r="AA1719" t="s">
        <v>9335</v>
      </c>
      <c r="AB1719" t="s">
        <v>242</v>
      </c>
      <c r="AC1719" t="s">
        <v>3229</v>
      </c>
    </row>
    <row r="1720" spans="1:29" x14ac:dyDescent="0.25">
      <c r="A1720" t="s">
        <v>1049</v>
      </c>
      <c r="B1720" t="s">
        <v>252</v>
      </c>
      <c r="C1720" t="s">
        <v>352</v>
      </c>
      <c r="D1720" t="s">
        <v>3209</v>
      </c>
      <c r="E1720" t="s">
        <v>3246</v>
      </c>
      <c r="F1720">
        <v>19750826</v>
      </c>
      <c r="G1720" t="s">
        <v>9332</v>
      </c>
      <c r="H1720" t="s">
        <v>241</v>
      </c>
      <c r="I1720" t="s">
        <v>242</v>
      </c>
      <c r="J1720" t="s">
        <v>242</v>
      </c>
      <c r="K1720" t="s">
        <v>241</v>
      </c>
      <c r="L1720" t="s">
        <v>242</v>
      </c>
      <c r="M1720">
        <v>38.503399999999999</v>
      </c>
      <c r="N1720">
        <v>-122.8891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 t="s">
        <v>9333</v>
      </c>
      <c r="AB1720" t="s">
        <v>242</v>
      </c>
      <c r="AC1720" t="s">
        <v>3229</v>
      </c>
    </row>
    <row r="1721" spans="1:29" x14ac:dyDescent="0.25">
      <c r="A1721" t="s">
        <v>1050</v>
      </c>
      <c r="B1721" t="s">
        <v>252</v>
      </c>
      <c r="C1721" t="s">
        <v>352</v>
      </c>
      <c r="D1721" t="s">
        <v>3209</v>
      </c>
      <c r="E1721" t="s">
        <v>3226</v>
      </c>
      <c r="F1721">
        <v>19750826</v>
      </c>
      <c r="G1721" t="s">
        <v>9332</v>
      </c>
      <c r="H1721" t="s">
        <v>241</v>
      </c>
      <c r="I1721" t="s">
        <v>242</v>
      </c>
      <c r="J1721" t="s">
        <v>242</v>
      </c>
      <c r="K1721" t="s">
        <v>241</v>
      </c>
      <c r="L1721" t="s">
        <v>242</v>
      </c>
      <c r="M1721">
        <v>38.503300000000003</v>
      </c>
      <c r="N1721">
        <v>-122.8891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0.28000000000000003</v>
      </c>
      <c r="U1721">
        <v>0.33666666699999998</v>
      </c>
      <c r="V1721">
        <v>0.193333333</v>
      </c>
      <c r="W1721">
        <v>0.16</v>
      </c>
      <c r="X1721">
        <v>0</v>
      </c>
      <c r="Y1721">
        <v>0</v>
      </c>
      <c r="Z1721">
        <v>0</v>
      </c>
      <c r="AA1721" t="s">
        <v>9335</v>
      </c>
      <c r="AB1721" t="s">
        <v>242</v>
      </c>
      <c r="AC1721" t="s">
        <v>3229</v>
      </c>
    </row>
    <row r="1722" spans="1:29" x14ac:dyDescent="0.25">
      <c r="A1722" t="s">
        <v>1051</v>
      </c>
      <c r="B1722" t="s">
        <v>252</v>
      </c>
      <c r="C1722" t="s">
        <v>352</v>
      </c>
      <c r="D1722" t="s">
        <v>3209</v>
      </c>
      <c r="E1722" t="s">
        <v>3226</v>
      </c>
      <c r="F1722">
        <v>19750826</v>
      </c>
      <c r="G1722" t="s">
        <v>9332</v>
      </c>
      <c r="H1722" t="s">
        <v>241</v>
      </c>
      <c r="I1722" t="s">
        <v>242</v>
      </c>
      <c r="J1722" t="s">
        <v>242</v>
      </c>
      <c r="K1722" t="s">
        <v>241</v>
      </c>
      <c r="L1722" t="s">
        <v>242</v>
      </c>
      <c r="M1722">
        <v>38.503399999999999</v>
      </c>
      <c r="N1722">
        <v>-122.8891</v>
      </c>
      <c r="O1722">
        <v>0</v>
      </c>
      <c r="P1722">
        <v>0</v>
      </c>
      <c r="Q1722">
        <v>0</v>
      </c>
      <c r="R1722">
        <v>2.3563000000000001E-2</v>
      </c>
      <c r="S1722">
        <v>3.4091999999999997E-2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2.6596999999999999E-2</v>
      </c>
      <c r="Z1722">
        <v>0</v>
      </c>
      <c r="AA1722" t="s">
        <v>9335</v>
      </c>
      <c r="AB1722" t="s">
        <v>242</v>
      </c>
      <c r="AC1722" t="s">
        <v>3229</v>
      </c>
    </row>
    <row r="1723" spans="1:29" x14ac:dyDescent="0.25">
      <c r="A1723" t="s">
        <v>1053</v>
      </c>
      <c r="B1723" t="s">
        <v>252</v>
      </c>
      <c r="C1723" t="s">
        <v>329</v>
      </c>
      <c r="D1723" t="s">
        <v>3209</v>
      </c>
      <c r="E1723" t="s">
        <v>3246</v>
      </c>
      <c r="F1723">
        <v>19750924</v>
      </c>
      <c r="G1723" t="s">
        <v>9332</v>
      </c>
      <c r="H1723" t="s">
        <v>242</v>
      </c>
      <c r="I1723" t="s">
        <v>242</v>
      </c>
      <c r="J1723" t="s">
        <v>242</v>
      </c>
      <c r="K1723" t="s">
        <v>241</v>
      </c>
      <c r="L1723" t="s">
        <v>242</v>
      </c>
      <c r="M1723">
        <v>38.53143764</v>
      </c>
      <c r="N1723">
        <v>-123.1372403</v>
      </c>
      <c r="O1723">
        <v>9.2066639999999998E-3</v>
      </c>
      <c r="P1723">
        <v>9.2066639999999998E-3</v>
      </c>
      <c r="Q1723">
        <v>9.2066639999999998E-3</v>
      </c>
      <c r="R1723">
        <v>9.2066639999999998E-3</v>
      </c>
      <c r="S1723">
        <v>0.11968663</v>
      </c>
      <c r="T1723">
        <v>0.11968663</v>
      </c>
      <c r="U1723">
        <v>0.11968663</v>
      </c>
      <c r="V1723">
        <v>0.11968663</v>
      </c>
      <c r="W1723">
        <v>0.11968663</v>
      </c>
      <c r="X1723">
        <v>0.11968663</v>
      </c>
      <c r="Y1723">
        <v>9.2066639999999998E-3</v>
      </c>
      <c r="Z1723">
        <v>9.2066639999999998E-3</v>
      </c>
      <c r="AA1723" t="s">
        <v>9335</v>
      </c>
      <c r="AB1723" t="s">
        <v>242</v>
      </c>
      <c r="AC1723" t="s">
        <v>3229</v>
      </c>
    </row>
    <row r="1724" spans="1:29" x14ac:dyDescent="0.25">
      <c r="A1724" t="s">
        <v>1055</v>
      </c>
      <c r="B1724" t="s">
        <v>252</v>
      </c>
      <c r="C1724" t="s">
        <v>486</v>
      </c>
      <c r="D1724" t="s">
        <v>3209</v>
      </c>
      <c r="E1724" t="s">
        <v>3246</v>
      </c>
      <c r="F1724">
        <v>19750930</v>
      </c>
      <c r="G1724" t="s">
        <v>9332</v>
      </c>
      <c r="H1724" t="s">
        <v>241</v>
      </c>
      <c r="I1724" t="s">
        <v>242</v>
      </c>
      <c r="J1724" t="s">
        <v>242</v>
      </c>
      <c r="K1724" t="s">
        <v>241</v>
      </c>
      <c r="L1724" t="s">
        <v>242</v>
      </c>
      <c r="M1724">
        <v>38.553072649999997</v>
      </c>
      <c r="N1724">
        <v>-122.85676890000001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 t="s">
        <v>9340</v>
      </c>
      <c r="AB1724" t="s">
        <v>242</v>
      </c>
      <c r="AC1724" t="s">
        <v>3229</v>
      </c>
    </row>
    <row r="1725" spans="1:29" x14ac:dyDescent="0.25">
      <c r="A1725" t="s">
        <v>1056</v>
      </c>
      <c r="B1725" t="s">
        <v>252</v>
      </c>
      <c r="C1725" t="s">
        <v>486</v>
      </c>
      <c r="D1725" t="s">
        <v>3209</v>
      </c>
      <c r="E1725" t="s">
        <v>3226</v>
      </c>
      <c r="F1725">
        <v>19750930</v>
      </c>
      <c r="G1725" t="s">
        <v>9332</v>
      </c>
      <c r="H1725" t="s">
        <v>241</v>
      </c>
      <c r="I1725" t="s">
        <v>242</v>
      </c>
      <c r="J1725" t="s">
        <v>242</v>
      </c>
      <c r="K1725" t="s">
        <v>241</v>
      </c>
      <c r="L1725" t="s">
        <v>242</v>
      </c>
      <c r="M1725">
        <v>38.5377425</v>
      </c>
      <c r="N1725">
        <v>-122.85029160000001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 t="s">
        <v>9335</v>
      </c>
      <c r="AB1725" t="s">
        <v>242</v>
      </c>
      <c r="AC1725" t="s">
        <v>3229</v>
      </c>
    </row>
    <row r="1726" spans="1:29" x14ac:dyDescent="0.25">
      <c r="A1726" t="s">
        <v>1057</v>
      </c>
      <c r="B1726" t="s">
        <v>252</v>
      </c>
      <c r="C1726" t="s">
        <v>486</v>
      </c>
      <c r="D1726" t="s">
        <v>3209</v>
      </c>
      <c r="E1726" t="s">
        <v>3246</v>
      </c>
      <c r="F1726">
        <v>19750930</v>
      </c>
      <c r="G1726" t="s">
        <v>9332</v>
      </c>
      <c r="H1726" t="s">
        <v>241</v>
      </c>
      <c r="I1726" t="s">
        <v>242</v>
      </c>
      <c r="J1726" t="s">
        <v>242</v>
      </c>
      <c r="K1726" t="s">
        <v>241</v>
      </c>
      <c r="L1726" t="s">
        <v>242</v>
      </c>
      <c r="M1726">
        <v>38.53802357</v>
      </c>
      <c r="N1726">
        <v>-122.8501586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 t="s">
        <v>9343</v>
      </c>
      <c r="AB1726" t="s">
        <v>242</v>
      </c>
      <c r="AC1726" t="s">
        <v>3229</v>
      </c>
    </row>
    <row r="1727" spans="1:29" x14ac:dyDescent="0.25">
      <c r="A1727" t="s">
        <v>1064</v>
      </c>
      <c r="B1727" t="s">
        <v>252</v>
      </c>
      <c r="C1727" t="s">
        <v>486</v>
      </c>
      <c r="D1727" t="s">
        <v>3209</v>
      </c>
      <c r="E1727" t="s">
        <v>3246</v>
      </c>
      <c r="F1727">
        <v>19751017</v>
      </c>
      <c r="G1727" t="s">
        <v>9332</v>
      </c>
      <c r="H1727" t="s">
        <v>241</v>
      </c>
      <c r="I1727" t="s">
        <v>242</v>
      </c>
      <c r="J1727" t="s">
        <v>242</v>
      </c>
      <c r="K1727" t="s">
        <v>241</v>
      </c>
      <c r="L1727" t="s">
        <v>242</v>
      </c>
      <c r="M1727">
        <v>38.529135019999998</v>
      </c>
      <c r="N1727">
        <v>-122.8631238</v>
      </c>
      <c r="O1727">
        <v>0</v>
      </c>
      <c r="P1727">
        <v>0</v>
      </c>
      <c r="Q1727">
        <v>0</v>
      </c>
      <c r="R1727">
        <v>6.6666666999999999E-2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 t="s">
        <v>9335</v>
      </c>
      <c r="AB1727" t="s">
        <v>242</v>
      </c>
      <c r="AC1727" t="s">
        <v>3229</v>
      </c>
    </row>
    <row r="1728" spans="1:29" x14ac:dyDescent="0.25">
      <c r="A1728" t="s">
        <v>1068</v>
      </c>
      <c r="B1728" t="s">
        <v>252</v>
      </c>
      <c r="C1728" t="s">
        <v>403</v>
      </c>
      <c r="D1728" t="s">
        <v>3209</v>
      </c>
      <c r="E1728" t="s">
        <v>3246</v>
      </c>
      <c r="F1728">
        <v>19751029</v>
      </c>
      <c r="G1728" t="s">
        <v>9332</v>
      </c>
      <c r="H1728" t="s">
        <v>241</v>
      </c>
      <c r="I1728" t="s">
        <v>242</v>
      </c>
      <c r="J1728" t="s">
        <v>242</v>
      </c>
      <c r="K1728" t="s">
        <v>241</v>
      </c>
      <c r="L1728" t="s">
        <v>242</v>
      </c>
      <c r="M1728">
        <v>38.475038550000001</v>
      </c>
      <c r="N1728">
        <v>-122.99975619999999</v>
      </c>
      <c r="O1728">
        <v>1.0226670000000001E-3</v>
      </c>
      <c r="P1728">
        <v>1.0226670000000001E-3</v>
      </c>
      <c r="Q1728">
        <v>5.1133299999999999E-4</v>
      </c>
      <c r="R1728">
        <v>1.6366670000000001E-3</v>
      </c>
      <c r="S1728">
        <v>2.1483330000000001E-3</v>
      </c>
      <c r="T1728">
        <v>2.66E-3</v>
      </c>
      <c r="U1728">
        <v>5.8313330000000002E-3</v>
      </c>
      <c r="V1728">
        <v>9.3100000000000006E-3</v>
      </c>
      <c r="W1728">
        <v>7.9799999999999992E-3</v>
      </c>
      <c r="X1728">
        <v>1.841E-3</v>
      </c>
      <c r="Y1728">
        <v>1.0226670000000001E-3</v>
      </c>
      <c r="Z1728">
        <v>1.0226670000000001E-3</v>
      </c>
      <c r="AA1728" t="s">
        <v>9335</v>
      </c>
      <c r="AB1728" t="s">
        <v>242</v>
      </c>
      <c r="AC1728" t="s">
        <v>3229</v>
      </c>
    </row>
    <row r="1729" spans="1:29" x14ac:dyDescent="0.25">
      <c r="A1729" t="s">
        <v>1069</v>
      </c>
      <c r="B1729" t="s">
        <v>252</v>
      </c>
      <c r="C1729" t="s">
        <v>403</v>
      </c>
      <c r="D1729" t="s">
        <v>3209</v>
      </c>
      <c r="E1729" t="s">
        <v>3246</v>
      </c>
      <c r="F1729">
        <v>19751117</v>
      </c>
      <c r="G1729" t="s">
        <v>9334</v>
      </c>
      <c r="H1729" t="s">
        <v>241</v>
      </c>
      <c r="I1729" t="s">
        <v>242</v>
      </c>
      <c r="J1729" t="s">
        <v>242</v>
      </c>
      <c r="K1729" t="s">
        <v>241</v>
      </c>
      <c r="L1729" t="s">
        <v>242</v>
      </c>
      <c r="M1729">
        <v>38.472099999999998</v>
      </c>
      <c r="N1729">
        <v>-123.0167</v>
      </c>
      <c r="O1729">
        <v>49.506666670000001</v>
      </c>
      <c r="P1729">
        <v>43.58</v>
      </c>
      <c r="Q1729">
        <v>52.4</v>
      </c>
      <c r="R1729">
        <v>48.36</v>
      </c>
      <c r="S1729">
        <v>57.27</v>
      </c>
      <c r="T1729">
        <v>65.593333329999993</v>
      </c>
      <c r="U1729">
        <v>77.686666669999994</v>
      </c>
      <c r="V1729">
        <v>76.856666669999996</v>
      </c>
      <c r="W1729">
        <v>67.373333329999994</v>
      </c>
      <c r="X1729">
        <v>58.516666669999999</v>
      </c>
      <c r="Y1729">
        <v>50.49</v>
      </c>
      <c r="Z1729">
        <v>45.25</v>
      </c>
      <c r="AA1729" t="s">
        <v>9336</v>
      </c>
      <c r="AB1729" t="s">
        <v>242</v>
      </c>
      <c r="AC1729" t="s">
        <v>3229</v>
      </c>
    </row>
    <row r="1730" spans="1:29" x14ac:dyDescent="0.25">
      <c r="A1730" t="s">
        <v>1078</v>
      </c>
      <c r="B1730" t="s">
        <v>252</v>
      </c>
      <c r="C1730" t="s">
        <v>403</v>
      </c>
      <c r="D1730" t="s">
        <v>3209</v>
      </c>
      <c r="E1730" t="s">
        <v>3246</v>
      </c>
      <c r="F1730">
        <v>19751229</v>
      </c>
      <c r="G1730" t="s">
        <v>9332</v>
      </c>
      <c r="H1730" t="s">
        <v>241</v>
      </c>
      <c r="I1730" t="s">
        <v>242</v>
      </c>
      <c r="J1730" t="s">
        <v>242</v>
      </c>
      <c r="K1730" t="s">
        <v>241</v>
      </c>
      <c r="L1730" t="s">
        <v>242</v>
      </c>
      <c r="M1730">
        <v>38.46339888</v>
      </c>
      <c r="N1730">
        <v>-123.0429029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7.67E-4</v>
      </c>
      <c r="U1730">
        <v>1.534E-3</v>
      </c>
      <c r="V1730">
        <v>1.534E-3</v>
      </c>
      <c r="W1730">
        <v>7.67E-4</v>
      </c>
      <c r="X1730">
        <v>0</v>
      </c>
      <c r="Y1730">
        <v>0</v>
      </c>
      <c r="Z1730">
        <v>0</v>
      </c>
      <c r="AA1730" t="s">
        <v>9333</v>
      </c>
      <c r="AB1730" t="s">
        <v>242</v>
      </c>
      <c r="AC1730" t="s">
        <v>3229</v>
      </c>
    </row>
    <row r="1731" spans="1:29" x14ac:dyDescent="0.25">
      <c r="A1731" t="s">
        <v>1079</v>
      </c>
      <c r="B1731" t="s">
        <v>252</v>
      </c>
      <c r="C1731" t="s">
        <v>403</v>
      </c>
      <c r="D1731" t="s">
        <v>3209</v>
      </c>
      <c r="E1731" t="s">
        <v>3246</v>
      </c>
      <c r="F1731">
        <v>19751229</v>
      </c>
      <c r="G1731" t="s">
        <v>9332</v>
      </c>
      <c r="H1731" t="s">
        <v>241</v>
      </c>
      <c r="I1731" t="s">
        <v>242</v>
      </c>
      <c r="J1731" t="s">
        <v>242</v>
      </c>
      <c r="K1731" t="s">
        <v>241</v>
      </c>
      <c r="L1731" t="s">
        <v>242</v>
      </c>
      <c r="M1731">
        <v>38.501089729999997</v>
      </c>
      <c r="N1731">
        <v>-123.0039644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 t="s">
        <v>9335</v>
      </c>
      <c r="AB1731" t="s">
        <v>242</v>
      </c>
      <c r="AC1731" t="s">
        <v>3229</v>
      </c>
    </row>
    <row r="1732" spans="1:29" x14ac:dyDescent="0.25">
      <c r="A1732" t="s">
        <v>1001</v>
      </c>
      <c r="B1732" t="s">
        <v>252</v>
      </c>
      <c r="C1732" t="s">
        <v>486</v>
      </c>
      <c r="D1732" t="s">
        <v>3209</v>
      </c>
      <c r="E1732" t="s">
        <v>3246</v>
      </c>
      <c r="F1732">
        <v>19760227</v>
      </c>
      <c r="G1732" t="s">
        <v>9332</v>
      </c>
      <c r="H1732" t="s">
        <v>241</v>
      </c>
      <c r="I1732" t="s">
        <v>242</v>
      </c>
      <c r="J1732" t="s">
        <v>242</v>
      </c>
      <c r="K1732" t="s">
        <v>241</v>
      </c>
      <c r="L1732" t="s">
        <v>242</v>
      </c>
      <c r="M1732">
        <v>38.528575449999998</v>
      </c>
      <c r="N1732">
        <v>-122.8645154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 t="s">
        <v>9333</v>
      </c>
      <c r="AB1732" t="s">
        <v>242</v>
      </c>
      <c r="AC1732" t="s">
        <v>3229</v>
      </c>
    </row>
    <row r="1733" spans="1:29" x14ac:dyDescent="0.25">
      <c r="A1733" t="s">
        <v>1023</v>
      </c>
      <c r="B1733" t="s">
        <v>252</v>
      </c>
      <c r="C1733" t="s">
        <v>684</v>
      </c>
      <c r="D1733" t="s">
        <v>3209</v>
      </c>
      <c r="E1733" t="s">
        <v>3246</v>
      </c>
      <c r="F1733">
        <v>19760227</v>
      </c>
      <c r="G1733" t="s">
        <v>9332</v>
      </c>
      <c r="H1733" t="s">
        <v>241</v>
      </c>
      <c r="I1733" t="s">
        <v>242</v>
      </c>
      <c r="J1733" t="s">
        <v>242</v>
      </c>
      <c r="K1733" t="s">
        <v>241</v>
      </c>
      <c r="L1733" t="s">
        <v>242</v>
      </c>
      <c r="M1733">
        <v>38.507329439999999</v>
      </c>
      <c r="N1733">
        <v>-122.94778479999999</v>
      </c>
      <c r="O1733">
        <v>0</v>
      </c>
      <c r="P1733">
        <v>0</v>
      </c>
      <c r="Q1733">
        <v>3.0690000000000001E-3</v>
      </c>
      <c r="R1733">
        <v>3.0690000000000001E-3</v>
      </c>
      <c r="S1733">
        <v>3.0690000000000001E-3</v>
      </c>
      <c r="T1733">
        <v>6.1380000000000002E-3</v>
      </c>
      <c r="U1733">
        <v>7.672E-3</v>
      </c>
      <c r="V1733">
        <v>7.672E-3</v>
      </c>
      <c r="W1733">
        <v>7.672E-3</v>
      </c>
      <c r="X1733">
        <v>4.6030000000000003E-3</v>
      </c>
      <c r="Y1733">
        <v>0</v>
      </c>
      <c r="Z1733">
        <v>0</v>
      </c>
      <c r="AA1733" t="s">
        <v>9333</v>
      </c>
      <c r="AB1733" t="s">
        <v>242</v>
      </c>
      <c r="AC1733" t="s">
        <v>3229</v>
      </c>
    </row>
    <row r="1734" spans="1:29" x14ac:dyDescent="0.25">
      <c r="A1734" t="s">
        <v>1003</v>
      </c>
      <c r="B1734" t="s">
        <v>252</v>
      </c>
      <c r="C1734" t="s">
        <v>486</v>
      </c>
      <c r="D1734" t="s">
        <v>3209</v>
      </c>
      <c r="E1734" t="s">
        <v>3246</v>
      </c>
      <c r="F1734">
        <v>19760312</v>
      </c>
      <c r="G1734" t="s">
        <v>9332</v>
      </c>
      <c r="H1734" t="s">
        <v>241</v>
      </c>
      <c r="I1734" t="s">
        <v>242</v>
      </c>
      <c r="J1734" t="s">
        <v>242</v>
      </c>
      <c r="K1734" t="s">
        <v>241</v>
      </c>
      <c r="L1734" t="s">
        <v>242</v>
      </c>
      <c r="M1734">
        <v>38.58424514</v>
      </c>
      <c r="N1734">
        <v>-122.8560935</v>
      </c>
      <c r="O1734">
        <v>0</v>
      </c>
      <c r="P1734">
        <v>0</v>
      </c>
      <c r="Q1734">
        <v>0</v>
      </c>
      <c r="R1734">
        <v>0</v>
      </c>
      <c r="S1734">
        <v>1.7000000000000001E-2</v>
      </c>
      <c r="T1734">
        <v>1.7000000000000001E-2</v>
      </c>
      <c r="U1734">
        <v>1.7000000000000001E-2</v>
      </c>
      <c r="V1734">
        <v>1.7000000000000001E-2</v>
      </c>
      <c r="W1734">
        <v>1.7000000000000001E-2</v>
      </c>
      <c r="X1734">
        <v>1.7000000000000001E-2</v>
      </c>
      <c r="Y1734">
        <v>0</v>
      </c>
      <c r="Z1734">
        <v>0</v>
      </c>
      <c r="AA1734" t="s">
        <v>9335</v>
      </c>
      <c r="AB1734" t="s">
        <v>242</v>
      </c>
      <c r="AC1734" t="s">
        <v>3229</v>
      </c>
    </row>
    <row r="1735" spans="1:29" x14ac:dyDescent="0.25">
      <c r="A1735" t="s">
        <v>1008</v>
      </c>
      <c r="B1735" t="s">
        <v>252</v>
      </c>
      <c r="C1735" t="s">
        <v>391</v>
      </c>
      <c r="D1735" t="s">
        <v>3209</v>
      </c>
      <c r="E1735" t="s">
        <v>3246</v>
      </c>
      <c r="F1735">
        <v>19760517</v>
      </c>
      <c r="G1735" t="s">
        <v>9332</v>
      </c>
      <c r="H1735" t="s">
        <v>242</v>
      </c>
      <c r="I1735" t="s">
        <v>242</v>
      </c>
      <c r="J1735" t="s">
        <v>242</v>
      </c>
      <c r="K1735" t="s">
        <v>241</v>
      </c>
      <c r="L1735" t="s">
        <v>242</v>
      </c>
      <c r="M1735">
        <v>38.555385569999999</v>
      </c>
      <c r="N1735">
        <v>-122.76132459999999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 t="s">
        <v>9342</v>
      </c>
      <c r="AB1735" t="s">
        <v>242</v>
      </c>
      <c r="AC1735" t="s">
        <v>3229</v>
      </c>
    </row>
    <row r="1736" spans="1:29" x14ac:dyDescent="0.25">
      <c r="A1736" t="s">
        <v>1024</v>
      </c>
      <c r="B1736" t="s">
        <v>252</v>
      </c>
      <c r="C1736" t="s">
        <v>394</v>
      </c>
      <c r="D1736" t="s">
        <v>3209</v>
      </c>
      <c r="E1736" t="s">
        <v>3226</v>
      </c>
      <c r="F1736">
        <v>19760811</v>
      </c>
      <c r="G1736" t="s">
        <v>9332</v>
      </c>
      <c r="H1736" t="s">
        <v>242</v>
      </c>
      <c r="I1736" t="s">
        <v>242</v>
      </c>
      <c r="J1736" t="s">
        <v>242</v>
      </c>
      <c r="K1736" t="s">
        <v>241</v>
      </c>
      <c r="L1736" t="s">
        <v>242</v>
      </c>
      <c r="M1736">
        <v>38.59912439</v>
      </c>
      <c r="N1736">
        <v>-122.9717496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 t="s">
        <v>9335</v>
      </c>
      <c r="AB1736" t="s">
        <v>242</v>
      </c>
      <c r="AC1736" t="s">
        <v>3229</v>
      </c>
    </row>
    <row r="1737" spans="1:29" x14ac:dyDescent="0.25">
      <c r="A1737" t="s">
        <v>1012</v>
      </c>
      <c r="B1737" t="s">
        <v>252</v>
      </c>
      <c r="C1737" t="s">
        <v>403</v>
      </c>
      <c r="D1737" t="s">
        <v>3209</v>
      </c>
      <c r="E1737" t="s">
        <v>3246</v>
      </c>
      <c r="F1737">
        <v>19760827</v>
      </c>
      <c r="G1737" t="s">
        <v>9332</v>
      </c>
      <c r="H1737" t="s">
        <v>242</v>
      </c>
      <c r="I1737" t="s">
        <v>242</v>
      </c>
      <c r="J1737" t="s">
        <v>242</v>
      </c>
      <c r="K1737" t="s">
        <v>241</v>
      </c>
      <c r="L1737" t="s">
        <v>242</v>
      </c>
      <c r="M1737">
        <v>38.424728049999999</v>
      </c>
      <c r="N1737">
        <v>-122.941106</v>
      </c>
      <c r="O1737">
        <v>3</v>
      </c>
      <c r="P1737">
        <v>3</v>
      </c>
      <c r="Q1737">
        <v>3</v>
      </c>
      <c r="R1737">
        <v>3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2</v>
      </c>
      <c r="Z1737">
        <v>2</v>
      </c>
      <c r="AA1737" t="s">
        <v>9335</v>
      </c>
      <c r="AB1737" t="s">
        <v>242</v>
      </c>
      <c r="AC1737" t="s">
        <v>3229</v>
      </c>
    </row>
    <row r="1738" spans="1:29" x14ac:dyDescent="0.25">
      <c r="A1738" t="s">
        <v>978</v>
      </c>
      <c r="B1738" t="s">
        <v>252</v>
      </c>
      <c r="C1738" t="s">
        <v>486</v>
      </c>
      <c r="D1738" t="s">
        <v>3209</v>
      </c>
      <c r="E1738" t="s">
        <v>3246</v>
      </c>
      <c r="F1738">
        <v>19770318</v>
      </c>
      <c r="G1738" t="s">
        <v>9332</v>
      </c>
      <c r="H1738" t="s">
        <v>241</v>
      </c>
      <c r="I1738" t="s">
        <v>242</v>
      </c>
      <c r="J1738" t="s">
        <v>242</v>
      </c>
      <c r="K1738" t="s">
        <v>241</v>
      </c>
      <c r="L1738" t="s">
        <v>242</v>
      </c>
      <c r="M1738">
        <v>38.534859429999997</v>
      </c>
      <c r="N1738">
        <v>-122.8687869</v>
      </c>
      <c r="O1738">
        <v>0.2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2.5</v>
      </c>
      <c r="Z1738">
        <v>0</v>
      </c>
      <c r="AA1738" t="s">
        <v>9335</v>
      </c>
      <c r="AB1738" t="s">
        <v>242</v>
      </c>
      <c r="AC1738" t="s">
        <v>3229</v>
      </c>
    </row>
    <row r="1739" spans="1:29" x14ac:dyDescent="0.25">
      <c r="A1739" t="s">
        <v>979</v>
      </c>
      <c r="B1739" t="s">
        <v>252</v>
      </c>
      <c r="C1739" t="s">
        <v>352</v>
      </c>
      <c r="D1739" t="s">
        <v>3209</v>
      </c>
      <c r="E1739" t="s">
        <v>3246</v>
      </c>
      <c r="F1739">
        <v>19770412</v>
      </c>
      <c r="G1739" t="s">
        <v>9332</v>
      </c>
      <c r="H1739" t="s">
        <v>242</v>
      </c>
      <c r="I1739" t="s">
        <v>242</v>
      </c>
      <c r="J1739" t="s">
        <v>242</v>
      </c>
      <c r="K1739" t="s">
        <v>241</v>
      </c>
      <c r="L1739" t="s">
        <v>242</v>
      </c>
      <c r="M1739">
        <v>38.421884370000001</v>
      </c>
      <c r="N1739">
        <v>-122.9190775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 t="s">
        <v>9342</v>
      </c>
      <c r="AB1739" t="s">
        <v>242</v>
      </c>
      <c r="AC1739" t="s">
        <v>3229</v>
      </c>
    </row>
    <row r="1740" spans="1:29" x14ac:dyDescent="0.25">
      <c r="A1740" t="s">
        <v>981</v>
      </c>
      <c r="B1740" t="s">
        <v>252</v>
      </c>
      <c r="C1740" t="s">
        <v>486</v>
      </c>
      <c r="D1740" t="s">
        <v>3209</v>
      </c>
      <c r="E1740" t="s">
        <v>3246</v>
      </c>
      <c r="F1740">
        <v>19770512</v>
      </c>
      <c r="G1740" t="s">
        <v>9332</v>
      </c>
      <c r="H1740" t="s">
        <v>241</v>
      </c>
      <c r="I1740" t="s">
        <v>242</v>
      </c>
      <c r="J1740" t="s">
        <v>242</v>
      </c>
      <c r="K1740" t="s">
        <v>241</v>
      </c>
      <c r="L1740" t="s">
        <v>242</v>
      </c>
      <c r="M1740">
        <v>38.536613359999997</v>
      </c>
      <c r="N1740">
        <v>-122.85447360000001</v>
      </c>
      <c r="O1740">
        <v>0</v>
      </c>
      <c r="P1740">
        <v>0</v>
      </c>
      <c r="Q1740">
        <v>0</v>
      </c>
      <c r="R1740">
        <v>0</v>
      </c>
      <c r="S1740">
        <v>2.5599999999999999E-4</v>
      </c>
      <c r="T1740">
        <v>2.5599999999999999E-4</v>
      </c>
      <c r="U1740">
        <v>2.5599999999999999E-4</v>
      </c>
      <c r="V1740">
        <v>2.5599999999999999E-4</v>
      </c>
      <c r="W1740">
        <v>2.5599999999999999E-4</v>
      </c>
      <c r="X1740">
        <v>0</v>
      </c>
      <c r="Y1740">
        <v>0</v>
      </c>
      <c r="Z1740">
        <v>0</v>
      </c>
      <c r="AA1740" t="s">
        <v>9335</v>
      </c>
      <c r="AB1740" t="s">
        <v>242</v>
      </c>
      <c r="AC1740" t="s">
        <v>3229</v>
      </c>
    </row>
    <row r="1741" spans="1:29" x14ac:dyDescent="0.25">
      <c r="A1741" t="s">
        <v>982</v>
      </c>
      <c r="B1741" t="s">
        <v>252</v>
      </c>
      <c r="C1741" t="s">
        <v>486</v>
      </c>
      <c r="D1741" t="s">
        <v>3209</v>
      </c>
      <c r="E1741" t="s">
        <v>3246</v>
      </c>
      <c r="F1741">
        <v>19770517</v>
      </c>
      <c r="G1741" t="s">
        <v>9332</v>
      </c>
      <c r="H1741" t="s">
        <v>242</v>
      </c>
      <c r="I1741" t="s">
        <v>242</v>
      </c>
      <c r="J1741" t="s">
        <v>242</v>
      </c>
      <c r="K1741" t="s">
        <v>241</v>
      </c>
      <c r="L1741" t="s">
        <v>242</v>
      </c>
      <c r="M1741">
        <v>38.544308010000002</v>
      </c>
      <c r="N1741">
        <v>-122.8902313</v>
      </c>
      <c r="O1741">
        <v>1.51</v>
      </c>
      <c r="P1741">
        <v>1.673333333</v>
      </c>
      <c r="Q1741">
        <v>1</v>
      </c>
      <c r="R1741">
        <v>0.49333333299999999</v>
      </c>
      <c r="S1741">
        <v>0.25</v>
      </c>
      <c r="T1741">
        <v>0</v>
      </c>
      <c r="U1741">
        <v>0</v>
      </c>
      <c r="V1741">
        <v>0</v>
      </c>
      <c r="W1741">
        <v>0</v>
      </c>
      <c r="X1741">
        <v>0.03</v>
      </c>
      <c r="Y1741">
        <v>0.35</v>
      </c>
      <c r="Z1741">
        <v>0.41666666699999999</v>
      </c>
      <c r="AA1741" t="s">
        <v>9335</v>
      </c>
      <c r="AB1741" t="s">
        <v>242</v>
      </c>
      <c r="AC1741" t="s">
        <v>3229</v>
      </c>
    </row>
    <row r="1742" spans="1:29" x14ac:dyDescent="0.25">
      <c r="A1742" t="s">
        <v>983</v>
      </c>
      <c r="B1742" t="s">
        <v>252</v>
      </c>
      <c r="C1742" t="s">
        <v>486</v>
      </c>
      <c r="D1742" t="s">
        <v>3209</v>
      </c>
      <c r="E1742" t="s">
        <v>3246</v>
      </c>
      <c r="F1742">
        <v>19770613</v>
      </c>
      <c r="G1742" t="s">
        <v>9332</v>
      </c>
      <c r="H1742" t="s">
        <v>241</v>
      </c>
      <c r="I1742" t="s">
        <v>242</v>
      </c>
      <c r="J1742" t="s">
        <v>242</v>
      </c>
      <c r="K1742" t="s">
        <v>241</v>
      </c>
      <c r="L1742" t="s">
        <v>242</v>
      </c>
      <c r="M1742">
        <v>38.537700000000001</v>
      </c>
      <c r="N1742">
        <v>-122.8626</v>
      </c>
      <c r="O1742">
        <v>0</v>
      </c>
      <c r="P1742">
        <v>0</v>
      </c>
      <c r="Q1742">
        <v>0</v>
      </c>
      <c r="R1742">
        <v>0</v>
      </c>
      <c r="S1742">
        <v>0.82</v>
      </c>
      <c r="T1742">
        <v>0.90333333299999996</v>
      </c>
      <c r="U1742">
        <v>0.43666666700000001</v>
      </c>
      <c r="V1742">
        <v>0.68</v>
      </c>
      <c r="W1742">
        <v>0</v>
      </c>
      <c r="X1742">
        <v>0</v>
      </c>
      <c r="Y1742">
        <v>0</v>
      </c>
      <c r="Z1742">
        <v>0</v>
      </c>
      <c r="AA1742" t="s">
        <v>9335</v>
      </c>
      <c r="AB1742" t="s">
        <v>242</v>
      </c>
      <c r="AC1742" t="s">
        <v>3229</v>
      </c>
    </row>
    <row r="1743" spans="1:29" x14ac:dyDescent="0.25">
      <c r="A1743" t="s">
        <v>984</v>
      </c>
      <c r="B1743" t="s">
        <v>252</v>
      </c>
      <c r="C1743" t="s">
        <v>486</v>
      </c>
      <c r="D1743" t="s">
        <v>3209</v>
      </c>
      <c r="E1743" t="s">
        <v>3246</v>
      </c>
      <c r="F1743">
        <v>19770613</v>
      </c>
      <c r="G1743" t="s">
        <v>9332</v>
      </c>
      <c r="H1743" t="s">
        <v>241</v>
      </c>
      <c r="I1743" t="s">
        <v>242</v>
      </c>
      <c r="J1743" t="s">
        <v>242</v>
      </c>
      <c r="K1743" t="s">
        <v>241</v>
      </c>
      <c r="L1743" t="s">
        <v>242</v>
      </c>
      <c r="M1743">
        <v>38.537700000000001</v>
      </c>
      <c r="N1743">
        <v>-122.8626</v>
      </c>
      <c r="O1743">
        <v>7.3333333000000001E-2</v>
      </c>
      <c r="P1743">
        <v>8.6666667000000003E-2</v>
      </c>
      <c r="Q1743">
        <v>0.556666667</v>
      </c>
      <c r="R1743">
        <v>0.48333333299999998</v>
      </c>
      <c r="S1743">
        <v>0.35333333300000003</v>
      </c>
      <c r="T1743">
        <v>0.676666667</v>
      </c>
      <c r="U1743">
        <v>0</v>
      </c>
      <c r="V1743">
        <v>0</v>
      </c>
      <c r="W1743">
        <v>0</v>
      </c>
      <c r="X1743">
        <v>0</v>
      </c>
      <c r="Y1743">
        <v>0.55000000000000004</v>
      </c>
      <c r="Z1743">
        <v>3.333333E-3</v>
      </c>
      <c r="AA1743" t="s">
        <v>9335</v>
      </c>
      <c r="AB1743" t="s">
        <v>242</v>
      </c>
      <c r="AC1743" t="s">
        <v>3229</v>
      </c>
    </row>
    <row r="1744" spans="1:29" x14ac:dyDescent="0.25">
      <c r="A1744" t="s">
        <v>989</v>
      </c>
      <c r="B1744" t="s">
        <v>252</v>
      </c>
      <c r="C1744" t="s">
        <v>486</v>
      </c>
      <c r="D1744" t="s">
        <v>3209</v>
      </c>
      <c r="E1744" t="s">
        <v>3246</v>
      </c>
      <c r="F1744">
        <v>19771230</v>
      </c>
      <c r="G1744" t="s">
        <v>9332</v>
      </c>
      <c r="H1744" t="s">
        <v>242</v>
      </c>
      <c r="I1744" t="s">
        <v>242</v>
      </c>
      <c r="J1744" t="s">
        <v>242</v>
      </c>
      <c r="K1744" t="s">
        <v>241</v>
      </c>
      <c r="L1744" t="s">
        <v>242</v>
      </c>
      <c r="M1744">
        <v>38.585032120000001</v>
      </c>
      <c r="N1744">
        <v>-122.8232161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0.66666666699999999</v>
      </c>
      <c r="Y1744">
        <v>2</v>
      </c>
      <c r="Z1744">
        <v>1.3333333329999999</v>
      </c>
      <c r="AA1744" t="s">
        <v>9335</v>
      </c>
      <c r="AB1744" t="s">
        <v>242</v>
      </c>
      <c r="AC1744" t="s">
        <v>3229</v>
      </c>
    </row>
    <row r="1745" spans="1:29" x14ac:dyDescent="0.25">
      <c r="A1745" t="s">
        <v>952</v>
      </c>
      <c r="B1745" t="s">
        <v>252</v>
      </c>
      <c r="C1745" t="s">
        <v>403</v>
      </c>
      <c r="D1745" t="s">
        <v>3209</v>
      </c>
      <c r="E1745" t="s">
        <v>3246</v>
      </c>
      <c r="F1745">
        <v>19780209</v>
      </c>
      <c r="G1745" t="s">
        <v>9332</v>
      </c>
      <c r="H1745" t="s">
        <v>242</v>
      </c>
      <c r="I1745" t="s">
        <v>242</v>
      </c>
      <c r="J1745" t="s">
        <v>242</v>
      </c>
      <c r="K1745" t="s">
        <v>241</v>
      </c>
      <c r="L1745" t="s">
        <v>242</v>
      </c>
      <c r="M1745">
        <v>38.501328340000001</v>
      </c>
      <c r="N1745">
        <v>-123.0693158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 t="s">
        <v>9333</v>
      </c>
      <c r="AB1745" t="s">
        <v>242</v>
      </c>
      <c r="AC1745" t="s">
        <v>3229</v>
      </c>
    </row>
    <row r="1746" spans="1:29" x14ac:dyDescent="0.25">
      <c r="A1746" t="s">
        <v>959</v>
      </c>
      <c r="B1746" t="s">
        <v>252</v>
      </c>
      <c r="C1746" t="s">
        <v>323</v>
      </c>
      <c r="D1746" t="s">
        <v>3209</v>
      </c>
      <c r="E1746" t="s">
        <v>3246</v>
      </c>
      <c r="F1746">
        <v>19780627</v>
      </c>
      <c r="G1746" t="s">
        <v>9332</v>
      </c>
      <c r="H1746" t="s">
        <v>242</v>
      </c>
      <c r="I1746" t="s">
        <v>242</v>
      </c>
      <c r="J1746" t="s">
        <v>242</v>
      </c>
      <c r="K1746" t="s">
        <v>241</v>
      </c>
      <c r="L1746" t="s">
        <v>242</v>
      </c>
      <c r="M1746">
        <v>38.524043390000003</v>
      </c>
      <c r="N1746">
        <v>-122.57747569999999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3.333333E-3</v>
      </c>
      <c r="Z1746">
        <v>0.46333333300000001</v>
      </c>
      <c r="AA1746" t="s">
        <v>9341</v>
      </c>
      <c r="AB1746" t="s">
        <v>242</v>
      </c>
      <c r="AC1746" t="s">
        <v>3229</v>
      </c>
    </row>
    <row r="1747" spans="1:29" x14ac:dyDescent="0.25">
      <c r="A1747" t="s">
        <v>966</v>
      </c>
      <c r="B1747" t="s">
        <v>252</v>
      </c>
      <c r="C1747" t="s">
        <v>403</v>
      </c>
      <c r="D1747" t="s">
        <v>3209</v>
      </c>
      <c r="E1747" t="s">
        <v>3246</v>
      </c>
      <c r="F1747">
        <v>19780921</v>
      </c>
      <c r="G1747" t="s">
        <v>9332</v>
      </c>
      <c r="H1747" t="s">
        <v>242</v>
      </c>
      <c r="I1747" t="s">
        <v>242</v>
      </c>
      <c r="J1747" t="s">
        <v>242</v>
      </c>
      <c r="K1747" t="s">
        <v>241</v>
      </c>
      <c r="L1747" t="s">
        <v>242</v>
      </c>
      <c r="M1747">
        <v>38.491744150000002</v>
      </c>
      <c r="N1747">
        <v>-123.06637720000001</v>
      </c>
      <c r="O1747">
        <v>0.15230299999999999</v>
      </c>
      <c r="P1747">
        <v>0.25297866699999999</v>
      </c>
      <c r="Q1747">
        <v>0.28901633300000001</v>
      </c>
      <c r="R1747">
        <v>0.20341000000000001</v>
      </c>
      <c r="S1747">
        <v>0.22227566700000001</v>
      </c>
      <c r="T1747">
        <v>0.21961866699999999</v>
      </c>
      <c r="U1747">
        <v>0.225478333</v>
      </c>
      <c r="V1747">
        <v>0.23662566700000001</v>
      </c>
      <c r="W1747">
        <v>0.20541100000000001</v>
      </c>
      <c r="X1747">
        <v>0.158354667</v>
      </c>
      <c r="Y1747">
        <v>0.19546966700000001</v>
      </c>
      <c r="Z1747">
        <v>0.20131499999999999</v>
      </c>
      <c r="AA1747" t="s">
        <v>9333</v>
      </c>
      <c r="AB1747" t="s">
        <v>242</v>
      </c>
      <c r="AC1747" t="s">
        <v>3229</v>
      </c>
    </row>
    <row r="1748" spans="1:29" x14ac:dyDescent="0.25">
      <c r="A1748" t="s">
        <v>967</v>
      </c>
      <c r="B1748" t="s">
        <v>252</v>
      </c>
      <c r="C1748" t="s">
        <v>403</v>
      </c>
      <c r="D1748" t="s">
        <v>3209</v>
      </c>
      <c r="E1748" t="s">
        <v>3246</v>
      </c>
      <c r="F1748">
        <v>19780921</v>
      </c>
      <c r="G1748" t="s">
        <v>9332</v>
      </c>
      <c r="H1748" t="s">
        <v>242</v>
      </c>
      <c r="I1748" t="s">
        <v>242</v>
      </c>
      <c r="J1748" t="s">
        <v>242</v>
      </c>
      <c r="K1748" t="s">
        <v>241</v>
      </c>
      <c r="L1748" t="s">
        <v>242</v>
      </c>
      <c r="M1748">
        <v>38.551211700000003</v>
      </c>
      <c r="N1748">
        <v>-123.0190065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 t="s">
        <v>9341</v>
      </c>
      <c r="AB1748" t="s">
        <v>242</v>
      </c>
      <c r="AC1748" t="s">
        <v>3229</v>
      </c>
    </row>
    <row r="1749" spans="1:29" x14ac:dyDescent="0.25">
      <c r="A1749" t="s">
        <v>969</v>
      </c>
      <c r="B1749" t="s">
        <v>252</v>
      </c>
      <c r="C1749" t="s">
        <v>323</v>
      </c>
      <c r="D1749" t="s">
        <v>3209</v>
      </c>
      <c r="E1749" t="s">
        <v>3246</v>
      </c>
      <c r="F1749">
        <v>19781115</v>
      </c>
      <c r="G1749" t="s">
        <v>9332</v>
      </c>
      <c r="H1749" t="s">
        <v>242</v>
      </c>
      <c r="I1749" t="s">
        <v>242</v>
      </c>
      <c r="J1749" t="s">
        <v>242</v>
      </c>
      <c r="K1749" t="s">
        <v>241</v>
      </c>
      <c r="L1749" t="s">
        <v>242</v>
      </c>
      <c r="M1749">
        <v>38.490082559999998</v>
      </c>
      <c r="N1749">
        <v>-122.79452000000001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 t="s">
        <v>9335</v>
      </c>
      <c r="AB1749" t="s">
        <v>242</v>
      </c>
      <c r="AC1749" t="s">
        <v>3229</v>
      </c>
    </row>
    <row r="1750" spans="1:29" x14ac:dyDescent="0.25">
      <c r="A1750" t="s">
        <v>939</v>
      </c>
      <c r="B1750" t="s">
        <v>252</v>
      </c>
      <c r="C1750" t="s">
        <v>486</v>
      </c>
      <c r="D1750" t="s">
        <v>3209</v>
      </c>
      <c r="E1750" t="s">
        <v>3246</v>
      </c>
      <c r="F1750">
        <v>19790313</v>
      </c>
      <c r="G1750" t="s">
        <v>9332</v>
      </c>
      <c r="H1750" t="s">
        <v>241</v>
      </c>
      <c r="I1750" t="s">
        <v>242</v>
      </c>
      <c r="J1750" t="s">
        <v>242</v>
      </c>
      <c r="K1750" t="s">
        <v>241</v>
      </c>
      <c r="L1750" t="s">
        <v>242</v>
      </c>
      <c r="M1750">
        <v>38.5822</v>
      </c>
      <c r="N1750">
        <v>-122.83880000000001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 t="s">
        <v>9335</v>
      </c>
      <c r="AB1750" t="s">
        <v>242</v>
      </c>
      <c r="AC1750" t="s">
        <v>3229</v>
      </c>
    </row>
    <row r="1751" spans="1:29" x14ac:dyDescent="0.25">
      <c r="A1751" t="s">
        <v>940</v>
      </c>
      <c r="B1751" t="s">
        <v>252</v>
      </c>
      <c r="C1751" t="s">
        <v>323</v>
      </c>
      <c r="D1751" t="s">
        <v>3209</v>
      </c>
      <c r="E1751" t="s">
        <v>3246</v>
      </c>
      <c r="F1751">
        <v>19790314</v>
      </c>
      <c r="G1751" t="s">
        <v>9332</v>
      </c>
      <c r="H1751" t="s">
        <v>242</v>
      </c>
      <c r="I1751" t="s">
        <v>242</v>
      </c>
      <c r="J1751" t="s">
        <v>242</v>
      </c>
      <c r="K1751" t="s">
        <v>241</v>
      </c>
      <c r="L1751" t="s">
        <v>242</v>
      </c>
      <c r="M1751">
        <v>38.560787449999999</v>
      </c>
      <c r="N1751">
        <v>-122.62983389999999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 t="s">
        <v>9341</v>
      </c>
      <c r="AB1751" t="s">
        <v>242</v>
      </c>
      <c r="AC1751" t="s">
        <v>3229</v>
      </c>
    </row>
    <row r="1752" spans="1:29" x14ac:dyDescent="0.25">
      <c r="A1752" t="s">
        <v>941</v>
      </c>
      <c r="B1752" t="s">
        <v>252</v>
      </c>
      <c r="C1752" t="s">
        <v>493</v>
      </c>
      <c r="D1752" t="s">
        <v>3209</v>
      </c>
      <c r="E1752" t="s">
        <v>3246</v>
      </c>
      <c r="F1752">
        <v>19790404</v>
      </c>
      <c r="G1752" t="s">
        <v>9334</v>
      </c>
      <c r="H1752" t="s">
        <v>242</v>
      </c>
      <c r="I1752" t="s">
        <v>242</v>
      </c>
      <c r="J1752" t="s">
        <v>242</v>
      </c>
      <c r="K1752" t="s">
        <v>241</v>
      </c>
      <c r="L1752" t="s">
        <v>242</v>
      </c>
      <c r="M1752">
        <v>38.694200000000002</v>
      </c>
      <c r="N1752">
        <v>-122.9914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 t="s">
        <v>9342</v>
      </c>
      <c r="AB1752" t="s">
        <v>242</v>
      </c>
      <c r="AC1752" t="s">
        <v>3229</v>
      </c>
    </row>
    <row r="1753" spans="1:29" x14ac:dyDescent="0.25">
      <c r="A1753" t="s">
        <v>938</v>
      </c>
      <c r="B1753" t="s">
        <v>252</v>
      </c>
      <c r="C1753" t="s">
        <v>489</v>
      </c>
      <c r="D1753" t="s">
        <v>3209</v>
      </c>
      <c r="E1753" t="s">
        <v>3246</v>
      </c>
      <c r="F1753">
        <v>19790521</v>
      </c>
      <c r="G1753" t="s">
        <v>9332</v>
      </c>
      <c r="H1753" t="s">
        <v>242</v>
      </c>
      <c r="I1753" t="s">
        <v>242</v>
      </c>
      <c r="J1753" t="s">
        <v>242</v>
      </c>
      <c r="K1753" t="s">
        <v>241</v>
      </c>
      <c r="L1753" t="s">
        <v>242</v>
      </c>
      <c r="M1753">
        <v>38.674774960000001</v>
      </c>
      <c r="N1753">
        <v>-122.9556159</v>
      </c>
      <c r="O1753">
        <v>0</v>
      </c>
      <c r="P1753">
        <v>0</v>
      </c>
      <c r="Q1753">
        <v>0.323333333</v>
      </c>
      <c r="R1753">
        <v>0.57666666700000002</v>
      </c>
      <c r="S1753">
        <v>0.26666666700000002</v>
      </c>
      <c r="T1753">
        <v>0.64333333299999995</v>
      </c>
      <c r="U1753">
        <v>1.3733333329999999</v>
      </c>
      <c r="V1753">
        <v>1.5633333330000001</v>
      </c>
      <c r="W1753">
        <v>1.0633333330000001</v>
      </c>
      <c r="X1753">
        <v>0.49666666700000001</v>
      </c>
      <c r="Y1753">
        <v>0</v>
      </c>
      <c r="Z1753">
        <v>0</v>
      </c>
      <c r="AA1753" t="s">
        <v>9335</v>
      </c>
      <c r="AB1753" t="s">
        <v>242</v>
      </c>
      <c r="AC1753" t="s">
        <v>3229</v>
      </c>
    </row>
    <row r="1754" spans="1:29" x14ac:dyDescent="0.25">
      <c r="A1754" t="s">
        <v>949</v>
      </c>
      <c r="B1754" t="s">
        <v>252</v>
      </c>
      <c r="C1754" t="s">
        <v>403</v>
      </c>
      <c r="D1754" t="s">
        <v>3209</v>
      </c>
      <c r="E1754" t="s">
        <v>3246</v>
      </c>
      <c r="F1754">
        <v>19791012</v>
      </c>
      <c r="G1754" t="s">
        <v>9332</v>
      </c>
      <c r="H1754" t="s">
        <v>242</v>
      </c>
      <c r="I1754" t="s">
        <v>242</v>
      </c>
      <c r="J1754" t="s">
        <v>242</v>
      </c>
      <c r="K1754" t="s">
        <v>241</v>
      </c>
      <c r="L1754" t="s">
        <v>242</v>
      </c>
      <c r="M1754">
        <v>38.486019929999998</v>
      </c>
      <c r="N1754">
        <v>-123.0617499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 t="s">
        <v>9333</v>
      </c>
      <c r="AB1754" t="s">
        <v>242</v>
      </c>
      <c r="AC1754" t="s">
        <v>3229</v>
      </c>
    </row>
    <row r="1755" spans="1:29" x14ac:dyDescent="0.25">
      <c r="A1755" t="s">
        <v>918</v>
      </c>
      <c r="B1755" t="s">
        <v>252</v>
      </c>
      <c r="C1755" t="s">
        <v>403</v>
      </c>
      <c r="D1755" t="s">
        <v>3209</v>
      </c>
      <c r="E1755" t="s">
        <v>3246</v>
      </c>
      <c r="F1755">
        <v>19800221</v>
      </c>
      <c r="G1755" t="s">
        <v>9332</v>
      </c>
      <c r="H1755" t="s">
        <v>242</v>
      </c>
      <c r="I1755" t="s">
        <v>242</v>
      </c>
      <c r="J1755" t="s">
        <v>242</v>
      </c>
      <c r="K1755" t="s">
        <v>241</v>
      </c>
      <c r="L1755" t="s">
        <v>242</v>
      </c>
      <c r="M1755">
        <v>38.417729199999997</v>
      </c>
      <c r="N1755">
        <v>-122.9574193</v>
      </c>
      <c r="O1755">
        <v>1</v>
      </c>
      <c r="P1755">
        <v>0.5</v>
      </c>
      <c r="Q1755">
        <v>0.5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0.5</v>
      </c>
      <c r="Z1755">
        <v>0.5</v>
      </c>
      <c r="AA1755" t="s">
        <v>9335</v>
      </c>
      <c r="AB1755" t="s">
        <v>242</v>
      </c>
      <c r="AC1755" t="s">
        <v>3229</v>
      </c>
    </row>
    <row r="1756" spans="1:29" x14ac:dyDescent="0.25">
      <c r="A1756" t="s">
        <v>919</v>
      </c>
      <c r="B1756" t="s">
        <v>252</v>
      </c>
      <c r="C1756" t="s">
        <v>486</v>
      </c>
      <c r="D1756" t="s">
        <v>3209</v>
      </c>
      <c r="E1756" t="s">
        <v>3246</v>
      </c>
      <c r="F1756">
        <v>19800226</v>
      </c>
      <c r="G1756" t="s">
        <v>9332</v>
      </c>
      <c r="H1756" t="s">
        <v>241</v>
      </c>
      <c r="I1756" t="s">
        <v>242</v>
      </c>
      <c r="J1756" t="s">
        <v>242</v>
      </c>
      <c r="K1756" t="s">
        <v>241</v>
      </c>
      <c r="L1756" t="s">
        <v>242</v>
      </c>
      <c r="M1756">
        <v>38.536271480000003</v>
      </c>
      <c r="N1756">
        <v>-122.8635597</v>
      </c>
      <c r="O1756">
        <v>0.21221799999999999</v>
      </c>
      <c r="P1756">
        <v>0.21221799999999999</v>
      </c>
      <c r="Q1756">
        <v>0.21221799999999999</v>
      </c>
      <c r="R1756">
        <v>0.29899700000000001</v>
      </c>
      <c r="S1756">
        <v>0.29899700000000001</v>
      </c>
      <c r="T1756">
        <v>0.29899700000000001</v>
      </c>
      <c r="U1756">
        <v>0.59820700000000004</v>
      </c>
      <c r="V1756">
        <v>0.59820700000000004</v>
      </c>
      <c r="W1756">
        <v>0.59820700000000004</v>
      </c>
      <c r="X1756">
        <v>0.26313700000000001</v>
      </c>
      <c r="Y1756">
        <v>0.26319799999999999</v>
      </c>
      <c r="Z1756">
        <v>0.26319799999999999</v>
      </c>
      <c r="AA1756" t="s">
        <v>9335</v>
      </c>
      <c r="AB1756" t="s">
        <v>242</v>
      </c>
      <c r="AC1756" t="s">
        <v>3229</v>
      </c>
    </row>
    <row r="1757" spans="1:29" x14ac:dyDescent="0.25">
      <c r="A1757" t="s">
        <v>920</v>
      </c>
      <c r="B1757" t="s">
        <v>252</v>
      </c>
      <c r="C1757" t="s">
        <v>323</v>
      </c>
      <c r="D1757" t="s">
        <v>3209</v>
      </c>
      <c r="E1757" t="s">
        <v>3226</v>
      </c>
      <c r="F1757">
        <v>19800229</v>
      </c>
      <c r="G1757" t="s">
        <v>9334</v>
      </c>
      <c r="H1757" t="s">
        <v>242</v>
      </c>
      <c r="I1757" t="s">
        <v>242</v>
      </c>
      <c r="J1757" t="s">
        <v>242</v>
      </c>
      <c r="K1757" t="s">
        <v>241</v>
      </c>
      <c r="L1757" t="s">
        <v>242</v>
      </c>
      <c r="M1757">
        <v>38.486700769999999</v>
      </c>
      <c r="N1757">
        <v>-122.8070601</v>
      </c>
      <c r="O1757">
        <v>0</v>
      </c>
      <c r="P1757">
        <v>0</v>
      </c>
      <c r="Q1757">
        <v>0.66666666699999999</v>
      </c>
      <c r="R1757">
        <v>2.0666666669999998</v>
      </c>
      <c r="S1757">
        <v>2.0666666669999998</v>
      </c>
      <c r="T1757">
        <v>0.16666666699999999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 t="s">
        <v>9343</v>
      </c>
      <c r="AB1757" t="s">
        <v>242</v>
      </c>
      <c r="AC1757" t="s">
        <v>3229</v>
      </c>
    </row>
    <row r="1758" spans="1:29" x14ac:dyDescent="0.25">
      <c r="A1758" t="s">
        <v>921</v>
      </c>
      <c r="B1758" t="s">
        <v>252</v>
      </c>
      <c r="C1758" t="s">
        <v>323</v>
      </c>
      <c r="D1758" t="s">
        <v>3209</v>
      </c>
      <c r="E1758" t="s">
        <v>3246</v>
      </c>
      <c r="F1758">
        <v>19800228</v>
      </c>
      <c r="G1758" t="s">
        <v>9332</v>
      </c>
      <c r="H1758" t="s">
        <v>242</v>
      </c>
      <c r="I1758" t="s">
        <v>242</v>
      </c>
      <c r="J1758" t="s">
        <v>242</v>
      </c>
      <c r="K1758" t="s">
        <v>241</v>
      </c>
      <c r="L1758" t="s">
        <v>242</v>
      </c>
      <c r="M1758">
        <v>38.486700769999999</v>
      </c>
      <c r="N1758">
        <v>-122.8070601</v>
      </c>
      <c r="O1758">
        <v>0.16666666699999999</v>
      </c>
      <c r="P1758">
        <v>0.73333333300000003</v>
      </c>
      <c r="Q1758">
        <v>0.53333333299999997</v>
      </c>
      <c r="R1758">
        <v>3.3333333E-2</v>
      </c>
      <c r="S1758">
        <v>1.5333333330000001</v>
      </c>
      <c r="T1758">
        <v>0.7</v>
      </c>
      <c r="U1758">
        <v>1.4</v>
      </c>
      <c r="V1758">
        <v>0</v>
      </c>
      <c r="W1758">
        <v>0</v>
      </c>
      <c r="X1758">
        <v>0</v>
      </c>
      <c r="Y1758">
        <v>1</v>
      </c>
      <c r="Z1758">
        <v>0</v>
      </c>
      <c r="AA1758" t="s">
        <v>9335</v>
      </c>
      <c r="AB1758" t="s">
        <v>242</v>
      </c>
      <c r="AC1758" t="s">
        <v>3229</v>
      </c>
    </row>
    <row r="1759" spans="1:29" x14ac:dyDescent="0.25">
      <c r="A1759" t="s">
        <v>923</v>
      </c>
      <c r="B1759" t="s">
        <v>252</v>
      </c>
      <c r="C1759" t="s">
        <v>486</v>
      </c>
      <c r="D1759" t="s">
        <v>3209</v>
      </c>
      <c r="E1759" t="s">
        <v>3226</v>
      </c>
      <c r="F1759">
        <v>19800415</v>
      </c>
      <c r="G1759" t="s">
        <v>9334</v>
      </c>
      <c r="H1759" t="s">
        <v>242</v>
      </c>
      <c r="I1759" t="s">
        <v>242</v>
      </c>
      <c r="J1759" t="s">
        <v>242</v>
      </c>
      <c r="K1759" t="s">
        <v>241</v>
      </c>
      <c r="L1759" t="s">
        <v>242</v>
      </c>
      <c r="M1759">
        <v>38.54425415</v>
      </c>
      <c r="N1759">
        <v>-122.8972239</v>
      </c>
      <c r="O1759">
        <v>1.8666667000000001E-2</v>
      </c>
      <c r="P1759">
        <v>2.8666667E-2</v>
      </c>
      <c r="Q1759">
        <v>4.7666667000000003E-2</v>
      </c>
      <c r="R1759">
        <v>6.4000000000000001E-2</v>
      </c>
      <c r="S1759">
        <v>6.7000000000000004E-2</v>
      </c>
      <c r="T1759">
        <v>6.4000000000000001E-2</v>
      </c>
      <c r="U1759">
        <v>6.7000000000000004E-2</v>
      </c>
      <c r="V1759">
        <v>6.7000000000000004E-2</v>
      </c>
      <c r="W1759">
        <v>6.4000000000000001E-2</v>
      </c>
      <c r="X1759">
        <v>0.29466666699999999</v>
      </c>
      <c r="Y1759">
        <v>10.36333333</v>
      </c>
      <c r="Z1759">
        <v>2.7426666669999999</v>
      </c>
      <c r="AA1759" t="s">
        <v>9335</v>
      </c>
      <c r="AB1759" t="s">
        <v>242</v>
      </c>
      <c r="AC1759" t="s">
        <v>3229</v>
      </c>
    </row>
    <row r="1760" spans="1:29" x14ac:dyDescent="0.25">
      <c r="A1760" t="s">
        <v>924</v>
      </c>
      <c r="B1760" t="s">
        <v>252</v>
      </c>
      <c r="C1760" t="s">
        <v>352</v>
      </c>
      <c r="D1760" t="s">
        <v>3209</v>
      </c>
      <c r="E1760" t="s">
        <v>3226</v>
      </c>
      <c r="F1760">
        <v>19800415</v>
      </c>
      <c r="G1760" t="s">
        <v>9334</v>
      </c>
      <c r="H1760" t="s">
        <v>242</v>
      </c>
      <c r="I1760" t="s">
        <v>242</v>
      </c>
      <c r="J1760" t="s">
        <v>242</v>
      </c>
      <c r="K1760" t="s">
        <v>241</v>
      </c>
      <c r="L1760" t="s">
        <v>242</v>
      </c>
      <c r="M1760">
        <v>38.53464391</v>
      </c>
      <c r="N1760">
        <v>-122.8971031</v>
      </c>
      <c r="O1760">
        <v>0</v>
      </c>
      <c r="P1760">
        <v>0</v>
      </c>
      <c r="Q1760">
        <v>0</v>
      </c>
      <c r="R1760">
        <v>0.50666666699999996</v>
      </c>
      <c r="S1760">
        <v>1.758</v>
      </c>
      <c r="T1760">
        <v>3.3723333329999998</v>
      </c>
      <c r="U1760">
        <v>6.4266666670000001</v>
      </c>
      <c r="V1760">
        <v>4.2893333330000001</v>
      </c>
      <c r="W1760">
        <v>2.7773333330000001</v>
      </c>
      <c r="X1760">
        <v>1.0133333330000001</v>
      </c>
      <c r="Y1760">
        <v>0</v>
      </c>
      <c r="Z1760">
        <v>0</v>
      </c>
      <c r="AA1760" t="s">
        <v>9335</v>
      </c>
      <c r="AB1760" t="s">
        <v>242</v>
      </c>
      <c r="AC1760" t="s">
        <v>3229</v>
      </c>
    </row>
    <row r="1761" spans="1:29" x14ac:dyDescent="0.25">
      <c r="A1761" t="s">
        <v>929</v>
      </c>
      <c r="B1761" t="s">
        <v>252</v>
      </c>
      <c r="C1761" t="s">
        <v>394</v>
      </c>
      <c r="D1761" t="s">
        <v>3209</v>
      </c>
      <c r="E1761" t="s">
        <v>3246</v>
      </c>
      <c r="F1761">
        <v>19800702</v>
      </c>
      <c r="G1761" t="s">
        <v>9332</v>
      </c>
      <c r="H1761" t="s">
        <v>242</v>
      </c>
      <c r="I1761" t="s">
        <v>242</v>
      </c>
      <c r="J1761" t="s">
        <v>242</v>
      </c>
      <c r="K1761" t="s">
        <v>241</v>
      </c>
      <c r="L1761" t="s">
        <v>242</v>
      </c>
      <c r="M1761">
        <v>38.673996770000002</v>
      </c>
      <c r="N1761">
        <v>-122.9158465</v>
      </c>
      <c r="O1761">
        <v>6.3</v>
      </c>
      <c r="P1761">
        <v>1.0333333330000001</v>
      </c>
      <c r="Q1761">
        <v>1</v>
      </c>
      <c r="R1761">
        <v>0.16666666699999999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1.9</v>
      </c>
      <c r="Z1761">
        <v>3.0666666669999998</v>
      </c>
      <c r="AA1761" t="s">
        <v>9335</v>
      </c>
      <c r="AB1761" t="s">
        <v>242</v>
      </c>
      <c r="AC1761" t="s">
        <v>3229</v>
      </c>
    </row>
    <row r="1762" spans="1:29" x14ac:dyDescent="0.25">
      <c r="A1762" t="s">
        <v>934</v>
      </c>
      <c r="B1762" t="s">
        <v>252</v>
      </c>
      <c r="C1762" t="s">
        <v>394</v>
      </c>
      <c r="D1762" t="s">
        <v>3209</v>
      </c>
      <c r="E1762" t="s">
        <v>3226</v>
      </c>
      <c r="F1762">
        <v>19800702</v>
      </c>
      <c r="G1762" t="s">
        <v>9334</v>
      </c>
      <c r="H1762" t="s">
        <v>242</v>
      </c>
      <c r="I1762" t="s">
        <v>242</v>
      </c>
      <c r="J1762" t="s">
        <v>242</v>
      </c>
      <c r="K1762" t="s">
        <v>241</v>
      </c>
      <c r="L1762" t="s">
        <v>242</v>
      </c>
      <c r="M1762">
        <v>38.665478</v>
      </c>
      <c r="N1762">
        <v>-122.9022391</v>
      </c>
      <c r="O1762">
        <v>184.7</v>
      </c>
      <c r="P1762">
        <v>32.133333329999999</v>
      </c>
      <c r="Q1762">
        <v>16</v>
      </c>
      <c r="R1762">
        <v>11.7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7.3666666669999996</v>
      </c>
      <c r="Z1762">
        <v>33.433333330000004</v>
      </c>
      <c r="AA1762" t="s">
        <v>9335</v>
      </c>
      <c r="AB1762" t="s">
        <v>242</v>
      </c>
      <c r="AC1762" t="s">
        <v>3229</v>
      </c>
    </row>
    <row r="1763" spans="1:29" x14ac:dyDescent="0.25">
      <c r="A1763" t="s">
        <v>928</v>
      </c>
      <c r="B1763" t="s">
        <v>252</v>
      </c>
      <c r="C1763" t="s">
        <v>391</v>
      </c>
      <c r="D1763" t="s">
        <v>3209</v>
      </c>
      <c r="E1763" t="s">
        <v>3246</v>
      </c>
      <c r="F1763">
        <v>19800820</v>
      </c>
      <c r="G1763" t="s">
        <v>9332</v>
      </c>
      <c r="H1763" t="s">
        <v>242</v>
      </c>
      <c r="I1763" t="s">
        <v>242</v>
      </c>
      <c r="J1763" t="s">
        <v>242</v>
      </c>
      <c r="K1763" t="s">
        <v>241</v>
      </c>
      <c r="L1763" t="s">
        <v>242</v>
      </c>
      <c r="M1763">
        <v>38.52713035</v>
      </c>
      <c r="N1763">
        <v>-122.7463412</v>
      </c>
      <c r="O1763">
        <v>3</v>
      </c>
      <c r="P1763">
        <v>1.5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0.5</v>
      </c>
      <c r="Y1763">
        <v>2</v>
      </c>
      <c r="Z1763">
        <v>2.5</v>
      </c>
      <c r="AA1763" t="s">
        <v>9342</v>
      </c>
      <c r="AB1763" t="s">
        <v>242</v>
      </c>
      <c r="AC1763" t="s">
        <v>3229</v>
      </c>
    </row>
    <row r="1764" spans="1:29" x14ac:dyDescent="0.25">
      <c r="A1764" t="s">
        <v>935</v>
      </c>
      <c r="B1764" t="s">
        <v>252</v>
      </c>
      <c r="C1764" t="s">
        <v>394</v>
      </c>
      <c r="D1764" t="s">
        <v>3209</v>
      </c>
      <c r="E1764" t="s">
        <v>3246</v>
      </c>
      <c r="F1764">
        <v>19801002</v>
      </c>
      <c r="G1764" t="s">
        <v>9334</v>
      </c>
      <c r="H1764" t="s">
        <v>242</v>
      </c>
      <c r="I1764" t="s">
        <v>242</v>
      </c>
      <c r="J1764" t="s">
        <v>242</v>
      </c>
      <c r="K1764" t="s">
        <v>241</v>
      </c>
      <c r="L1764" t="s">
        <v>242</v>
      </c>
      <c r="M1764">
        <v>38.643599999999999</v>
      </c>
      <c r="N1764">
        <v>-122.9511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 t="s">
        <v>9342</v>
      </c>
      <c r="AB1764" t="s">
        <v>242</v>
      </c>
      <c r="AC1764" t="s">
        <v>3229</v>
      </c>
    </row>
    <row r="1765" spans="1:29" x14ac:dyDescent="0.25">
      <c r="A1765" t="s">
        <v>931</v>
      </c>
      <c r="B1765" t="s">
        <v>252</v>
      </c>
      <c r="C1765" t="s">
        <v>314</v>
      </c>
      <c r="D1765" t="s">
        <v>3209</v>
      </c>
      <c r="E1765" t="s">
        <v>3226</v>
      </c>
      <c r="F1765">
        <v>19801118</v>
      </c>
      <c r="G1765" t="s">
        <v>9332</v>
      </c>
      <c r="H1765" t="s">
        <v>242</v>
      </c>
      <c r="I1765" t="s">
        <v>242</v>
      </c>
      <c r="J1765" t="s">
        <v>242</v>
      </c>
      <c r="K1765" t="s">
        <v>241</v>
      </c>
      <c r="L1765" t="s">
        <v>242</v>
      </c>
      <c r="M1765">
        <v>38.72180771</v>
      </c>
      <c r="N1765">
        <v>-123.0116313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 t="s">
        <v>9344</v>
      </c>
      <c r="AB1765" t="s">
        <v>241</v>
      </c>
      <c r="AC1765" t="s">
        <v>3229</v>
      </c>
    </row>
    <row r="1766" spans="1:29" x14ac:dyDescent="0.25">
      <c r="A1766" t="s">
        <v>897</v>
      </c>
      <c r="B1766" t="s">
        <v>252</v>
      </c>
      <c r="C1766" t="s">
        <v>378</v>
      </c>
      <c r="D1766" t="s">
        <v>3209</v>
      </c>
      <c r="E1766" t="s">
        <v>3246</v>
      </c>
      <c r="F1766">
        <v>19810305</v>
      </c>
      <c r="G1766" t="s">
        <v>9332</v>
      </c>
      <c r="H1766" t="s">
        <v>242</v>
      </c>
      <c r="I1766" t="s">
        <v>242</v>
      </c>
      <c r="J1766" t="s">
        <v>242</v>
      </c>
      <c r="K1766" t="s">
        <v>241</v>
      </c>
      <c r="L1766" t="s">
        <v>242</v>
      </c>
      <c r="M1766">
        <v>38.381427279999997</v>
      </c>
      <c r="N1766">
        <v>-122.5976071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 t="s">
        <v>9342</v>
      </c>
      <c r="AB1766" t="s">
        <v>242</v>
      </c>
      <c r="AC1766" t="s">
        <v>3229</v>
      </c>
    </row>
    <row r="1767" spans="1:29" x14ac:dyDescent="0.25">
      <c r="A1767" t="s">
        <v>899</v>
      </c>
      <c r="B1767" t="s">
        <v>252</v>
      </c>
      <c r="C1767" t="s">
        <v>378</v>
      </c>
      <c r="D1767" t="s">
        <v>3209</v>
      </c>
      <c r="E1767" t="s">
        <v>3246</v>
      </c>
      <c r="F1767">
        <v>19810901</v>
      </c>
      <c r="G1767" t="s">
        <v>9332</v>
      </c>
      <c r="H1767" t="s">
        <v>242</v>
      </c>
      <c r="I1767" t="s">
        <v>242</v>
      </c>
      <c r="J1767" t="s">
        <v>242</v>
      </c>
      <c r="K1767" t="s">
        <v>241</v>
      </c>
      <c r="L1767" t="s">
        <v>242</v>
      </c>
      <c r="M1767">
        <v>38.36627816</v>
      </c>
      <c r="N1767">
        <v>-122.6065491</v>
      </c>
      <c r="O1767">
        <v>2.3333333330000001</v>
      </c>
      <c r="P1767">
        <v>1.066666667</v>
      </c>
      <c r="Q1767">
        <v>0.5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0.6</v>
      </c>
      <c r="Z1767">
        <v>0.5</v>
      </c>
      <c r="AA1767" t="s">
        <v>9335</v>
      </c>
      <c r="AB1767" t="s">
        <v>242</v>
      </c>
      <c r="AC1767" t="s">
        <v>3229</v>
      </c>
    </row>
    <row r="1768" spans="1:29" x14ac:dyDescent="0.25">
      <c r="A1768" t="s">
        <v>900</v>
      </c>
      <c r="B1768" t="s">
        <v>252</v>
      </c>
      <c r="C1768" t="s">
        <v>391</v>
      </c>
      <c r="D1768" t="s">
        <v>3209</v>
      </c>
      <c r="E1768" t="s">
        <v>3246</v>
      </c>
      <c r="F1768">
        <v>19810908</v>
      </c>
      <c r="G1768" t="s">
        <v>9332</v>
      </c>
      <c r="H1768" t="s">
        <v>242</v>
      </c>
      <c r="I1768" t="s">
        <v>242</v>
      </c>
      <c r="J1768" t="s">
        <v>242</v>
      </c>
      <c r="K1768" t="s">
        <v>241</v>
      </c>
      <c r="L1768" t="s">
        <v>242</v>
      </c>
      <c r="M1768">
        <v>38.518163360000003</v>
      </c>
      <c r="N1768">
        <v>-122.84719149999999</v>
      </c>
      <c r="O1768">
        <v>1.2266667E-2</v>
      </c>
      <c r="P1768">
        <v>1.2273333000000001E-2</v>
      </c>
      <c r="Q1768">
        <v>1.5333332999999999E-2</v>
      </c>
      <c r="R1768">
        <v>6.1333330000000004E-3</v>
      </c>
      <c r="S1768">
        <v>3.0666669999999999E-3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6.1333330000000004E-3</v>
      </c>
      <c r="Z1768">
        <v>9.1999999999999998E-3</v>
      </c>
      <c r="AA1768" t="s">
        <v>9341</v>
      </c>
      <c r="AB1768" t="s">
        <v>242</v>
      </c>
      <c r="AC1768" t="s">
        <v>3229</v>
      </c>
    </row>
    <row r="1769" spans="1:29" x14ac:dyDescent="0.25">
      <c r="A1769" t="s">
        <v>901</v>
      </c>
      <c r="B1769" t="s">
        <v>252</v>
      </c>
      <c r="C1769" t="s">
        <v>725</v>
      </c>
      <c r="D1769" t="s">
        <v>3209</v>
      </c>
      <c r="E1769" t="s">
        <v>3226</v>
      </c>
      <c r="F1769">
        <v>19810923</v>
      </c>
      <c r="G1769" t="s">
        <v>9332</v>
      </c>
      <c r="H1769" t="s">
        <v>242</v>
      </c>
      <c r="I1769" t="s">
        <v>242</v>
      </c>
      <c r="J1769" t="s">
        <v>242</v>
      </c>
      <c r="K1769" t="s">
        <v>241</v>
      </c>
      <c r="L1769" t="s">
        <v>242</v>
      </c>
      <c r="M1769">
        <v>38.487998650000002</v>
      </c>
      <c r="N1769">
        <v>-122.7358007</v>
      </c>
      <c r="O1769">
        <v>1.3333333329999999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3.3333333330000001</v>
      </c>
      <c r="Z1769">
        <v>4</v>
      </c>
      <c r="AA1769" t="s">
        <v>9335</v>
      </c>
      <c r="AB1769" t="s">
        <v>242</v>
      </c>
      <c r="AC1769" t="s">
        <v>3229</v>
      </c>
    </row>
    <row r="1770" spans="1:29" x14ac:dyDescent="0.25">
      <c r="A1770" t="s">
        <v>909</v>
      </c>
      <c r="B1770" t="s">
        <v>252</v>
      </c>
      <c r="C1770" t="s">
        <v>394</v>
      </c>
      <c r="D1770" t="s">
        <v>3209</v>
      </c>
      <c r="E1770" t="s">
        <v>3246</v>
      </c>
      <c r="F1770">
        <v>19811005</v>
      </c>
      <c r="G1770" t="s">
        <v>9332</v>
      </c>
      <c r="H1770" t="s">
        <v>242</v>
      </c>
      <c r="I1770" t="s">
        <v>242</v>
      </c>
      <c r="J1770" t="s">
        <v>242</v>
      </c>
      <c r="K1770" t="s">
        <v>241</v>
      </c>
      <c r="L1770" t="s">
        <v>242</v>
      </c>
      <c r="M1770">
        <v>38.658700000000003</v>
      </c>
      <c r="N1770">
        <v>-122.90770000000001</v>
      </c>
      <c r="O1770">
        <v>3.3555549999999998</v>
      </c>
      <c r="P1770">
        <v>3.3555549999999998</v>
      </c>
      <c r="Q1770">
        <v>3.35555</v>
      </c>
      <c r="R1770">
        <v>3.35555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 t="s">
        <v>9335</v>
      </c>
      <c r="AB1770" t="s">
        <v>242</v>
      </c>
      <c r="AC1770" t="s">
        <v>3229</v>
      </c>
    </row>
    <row r="1771" spans="1:29" x14ac:dyDescent="0.25">
      <c r="A1771" t="s">
        <v>903</v>
      </c>
      <c r="B1771" t="s">
        <v>252</v>
      </c>
      <c r="C1771" t="s">
        <v>323</v>
      </c>
      <c r="D1771" t="s">
        <v>3209</v>
      </c>
      <c r="E1771" t="s">
        <v>3246</v>
      </c>
      <c r="F1771">
        <v>19811016</v>
      </c>
      <c r="G1771" t="s">
        <v>9332</v>
      </c>
      <c r="H1771" t="s">
        <v>242</v>
      </c>
      <c r="I1771" t="s">
        <v>242</v>
      </c>
      <c r="J1771" t="s">
        <v>242</v>
      </c>
      <c r="K1771" t="s">
        <v>241</v>
      </c>
      <c r="L1771" t="s">
        <v>242</v>
      </c>
      <c r="M1771">
        <v>38.490527159999999</v>
      </c>
      <c r="N1771">
        <v>-122.72674259999999</v>
      </c>
      <c r="O1771">
        <v>3.3333333E-2</v>
      </c>
      <c r="P1771">
        <v>3.3333333E-2</v>
      </c>
      <c r="Q1771">
        <v>3.3333333E-2</v>
      </c>
      <c r="R1771">
        <v>3.3333333E-2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 t="s">
        <v>9335</v>
      </c>
      <c r="AB1771" t="s">
        <v>242</v>
      </c>
      <c r="AC1771" t="s">
        <v>3229</v>
      </c>
    </row>
    <row r="1772" spans="1:29" x14ac:dyDescent="0.25">
      <c r="A1772" t="s">
        <v>905</v>
      </c>
      <c r="B1772" t="s">
        <v>252</v>
      </c>
      <c r="C1772" t="s">
        <v>403</v>
      </c>
      <c r="D1772" t="s">
        <v>3209</v>
      </c>
      <c r="E1772" t="s">
        <v>3246</v>
      </c>
      <c r="F1772">
        <v>19811105</v>
      </c>
      <c r="G1772" t="s">
        <v>9332</v>
      </c>
      <c r="H1772" t="s">
        <v>242</v>
      </c>
      <c r="I1772" t="s">
        <v>242</v>
      </c>
      <c r="J1772" t="s">
        <v>242</v>
      </c>
      <c r="K1772" t="s">
        <v>241</v>
      </c>
      <c r="L1772" t="s">
        <v>242</v>
      </c>
      <c r="M1772">
        <v>38.421152910000004</v>
      </c>
      <c r="N1772">
        <v>-122.9417572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 t="s">
        <v>9335</v>
      </c>
      <c r="AB1772" t="s">
        <v>242</v>
      </c>
      <c r="AC1772" t="s">
        <v>3229</v>
      </c>
    </row>
    <row r="1773" spans="1:29" x14ac:dyDescent="0.25">
      <c r="A1773" t="s">
        <v>906</v>
      </c>
      <c r="B1773" t="s">
        <v>252</v>
      </c>
      <c r="C1773" t="s">
        <v>585</v>
      </c>
      <c r="D1773" t="s">
        <v>3209</v>
      </c>
      <c r="E1773" t="s">
        <v>3246</v>
      </c>
      <c r="F1773">
        <v>19811211</v>
      </c>
      <c r="G1773" t="s">
        <v>9332</v>
      </c>
      <c r="H1773" t="s">
        <v>242</v>
      </c>
      <c r="I1773" t="s">
        <v>242</v>
      </c>
      <c r="J1773" t="s">
        <v>242</v>
      </c>
      <c r="K1773" t="s">
        <v>241</v>
      </c>
      <c r="L1773" t="s">
        <v>242</v>
      </c>
      <c r="M1773">
        <v>38.375387029999999</v>
      </c>
      <c r="N1773">
        <v>-122.64848499999999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 t="s">
        <v>9342</v>
      </c>
      <c r="AB1773" t="s">
        <v>242</v>
      </c>
      <c r="AC1773" t="s">
        <v>3229</v>
      </c>
    </row>
    <row r="1774" spans="1:29" x14ac:dyDescent="0.25">
      <c r="A1774" t="s">
        <v>907</v>
      </c>
      <c r="B1774" t="s">
        <v>252</v>
      </c>
      <c r="C1774" t="s">
        <v>486</v>
      </c>
      <c r="D1774" t="s">
        <v>3209</v>
      </c>
      <c r="E1774" t="s">
        <v>3246</v>
      </c>
      <c r="F1774">
        <v>19811211</v>
      </c>
      <c r="G1774" t="s">
        <v>9332</v>
      </c>
      <c r="H1774" t="s">
        <v>241</v>
      </c>
      <c r="I1774" t="s">
        <v>242</v>
      </c>
      <c r="J1774" t="s">
        <v>242</v>
      </c>
      <c r="K1774" t="s">
        <v>241</v>
      </c>
      <c r="L1774" t="s">
        <v>242</v>
      </c>
      <c r="M1774">
        <v>38.56444553</v>
      </c>
      <c r="N1774">
        <v>-122.8411662</v>
      </c>
      <c r="O1774">
        <v>7.1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0.3</v>
      </c>
      <c r="Z1774">
        <v>0</v>
      </c>
      <c r="AA1774" t="s">
        <v>9335</v>
      </c>
      <c r="AB1774" t="s">
        <v>242</v>
      </c>
      <c r="AC1774" t="s">
        <v>3229</v>
      </c>
    </row>
    <row r="1775" spans="1:29" x14ac:dyDescent="0.25">
      <c r="A1775" t="s">
        <v>908</v>
      </c>
      <c r="B1775" t="s">
        <v>252</v>
      </c>
      <c r="C1775" t="s">
        <v>323</v>
      </c>
      <c r="D1775" t="s">
        <v>3209</v>
      </c>
      <c r="E1775" t="s">
        <v>3246</v>
      </c>
      <c r="F1775">
        <v>19811223</v>
      </c>
      <c r="G1775" t="s">
        <v>9332</v>
      </c>
      <c r="H1775" t="s">
        <v>242</v>
      </c>
      <c r="I1775" t="s">
        <v>242</v>
      </c>
      <c r="J1775" t="s">
        <v>242</v>
      </c>
      <c r="K1775" t="s">
        <v>241</v>
      </c>
      <c r="L1775" t="s">
        <v>242</v>
      </c>
      <c r="M1775">
        <v>38.502899999999997</v>
      </c>
      <c r="N1775">
        <v>-122.64530000000001</v>
      </c>
      <c r="O1775">
        <v>2.9333333E-2</v>
      </c>
      <c r="P1775">
        <v>2.9333333E-2</v>
      </c>
      <c r="Q1775">
        <v>2.9333333E-2</v>
      </c>
      <c r="R1775">
        <v>2.9333333E-2</v>
      </c>
      <c r="S1775">
        <v>2.9333333E-2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2.9333333E-2</v>
      </c>
      <c r="Z1775">
        <v>2.9333333E-2</v>
      </c>
      <c r="AA1775" t="s">
        <v>9335</v>
      </c>
      <c r="AB1775" t="s">
        <v>242</v>
      </c>
      <c r="AC1775" t="s">
        <v>3229</v>
      </c>
    </row>
    <row r="1776" spans="1:29" x14ac:dyDescent="0.25">
      <c r="A1776" t="s">
        <v>880</v>
      </c>
      <c r="B1776" t="s">
        <v>252</v>
      </c>
      <c r="C1776" t="s">
        <v>403</v>
      </c>
      <c r="D1776" t="s">
        <v>3209</v>
      </c>
      <c r="E1776" t="s">
        <v>3246</v>
      </c>
      <c r="F1776">
        <v>19820315</v>
      </c>
      <c r="G1776" t="s">
        <v>9332</v>
      </c>
      <c r="H1776" t="s">
        <v>242</v>
      </c>
      <c r="I1776" t="s">
        <v>242</v>
      </c>
      <c r="J1776" t="s">
        <v>242</v>
      </c>
      <c r="K1776" t="s">
        <v>241</v>
      </c>
      <c r="L1776" t="s">
        <v>242</v>
      </c>
      <c r="M1776">
        <v>38.45042771</v>
      </c>
      <c r="N1776">
        <v>-123.05004719999999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 t="s">
        <v>9333</v>
      </c>
      <c r="AB1776" t="s">
        <v>242</v>
      </c>
      <c r="AC1776" t="s">
        <v>3229</v>
      </c>
    </row>
    <row r="1777" spans="1:29" x14ac:dyDescent="0.25">
      <c r="A1777" t="s">
        <v>884</v>
      </c>
      <c r="B1777" t="s">
        <v>252</v>
      </c>
      <c r="C1777" t="s">
        <v>352</v>
      </c>
      <c r="D1777" t="s">
        <v>3209</v>
      </c>
      <c r="E1777" t="s">
        <v>3226</v>
      </c>
      <c r="F1777">
        <v>19820614</v>
      </c>
      <c r="G1777" t="s">
        <v>9332</v>
      </c>
      <c r="H1777" t="s">
        <v>241</v>
      </c>
      <c r="I1777" t="s">
        <v>242</v>
      </c>
      <c r="J1777" t="s">
        <v>242</v>
      </c>
      <c r="K1777" t="s">
        <v>241</v>
      </c>
      <c r="L1777" t="s">
        <v>242</v>
      </c>
      <c r="M1777">
        <v>38.5018824</v>
      </c>
      <c r="N1777">
        <v>-122.9018533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 t="s">
        <v>9335</v>
      </c>
      <c r="AB1777" t="s">
        <v>242</v>
      </c>
      <c r="AC1777" t="s">
        <v>3229</v>
      </c>
    </row>
    <row r="1778" spans="1:29" x14ac:dyDescent="0.25">
      <c r="A1778" t="s">
        <v>885</v>
      </c>
      <c r="B1778" t="s">
        <v>252</v>
      </c>
      <c r="C1778" t="s">
        <v>378</v>
      </c>
      <c r="D1778" t="s">
        <v>3209</v>
      </c>
      <c r="E1778" t="s">
        <v>3246</v>
      </c>
      <c r="F1778">
        <v>19820714</v>
      </c>
      <c r="G1778" t="s">
        <v>9332</v>
      </c>
      <c r="H1778" t="s">
        <v>242</v>
      </c>
      <c r="I1778" t="s">
        <v>242</v>
      </c>
      <c r="J1778" t="s">
        <v>242</v>
      </c>
      <c r="K1778" t="s">
        <v>241</v>
      </c>
      <c r="L1778" t="s">
        <v>242</v>
      </c>
      <c r="M1778">
        <v>38.493741100000001</v>
      </c>
      <c r="N1778">
        <v>-122.59662280000001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 t="s">
        <v>9335</v>
      </c>
      <c r="AB1778" t="s">
        <v>242</v>
      </c>
      <c r="AC1778" t="s">
        <v>3229</v>
      </c>
    </row>
    <row r="1779" spans="1:29" x14ac:dyDescent="0.25">
      <c r="A1779" t="s">
        <v>888</v>
      </c>
      <c r="B1779" t="s">
        <v>252</v>
      </c>
      <c r="C1779" t="s">
        <v>486</v>
      </c>
      <c r="D1779" t="s">
        <v>3209</v>
      </c>
      <c r="E1779" t="s">
        <v>3226</v>
      </c>
      <c r="F1779">
        <v>19820813</v>
      </c>
      <c r="G1779" t="s">
        <v>9332</v>
      </c>
      <c r="H1779" t="s">
        <v>241</v>
      </c>
      <c r="I1779" t="s">
        <v>242</v>
      </c>
      <c r="J1779" t="s">
        <v>242</v>
      </c>
      <c r="K1779" t="s">
        <v>241</v>
      </c>
      <c r="L1779" t="s">
        <v>242</v>
      </c>
      <c r="M1779">
        <v>38.52781135</v>
      </c>
      <c r="N1779">
        <v>-122.8564658</v>
      </c>
      <c r="O1779">
        <v>0</v>
      </c>
      <c r="P1779">
        <v>0.123333333</v>
      </c>
      <c r="Q1779">
        <v>0.24666666700000001</v>
      </c>
      <c r="R1779">
        <v>0.02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 t="s">
        <v>9335</v>
      </c>
      <c r="AB1779" t="s">
        <v>242</v>
      </c>
      <c r="AC1779" t="s">
        <v>3229</v>
      </c>
    </row>
    <row r="1780" spans="1:29" x14ac:dyDescent="0.25">
      <c r="A1780" t="s">
        <v>889</v>
      </c>
      <c r="B1780" t="s">
        <v>252</v>
      </c>
      <c r="C1780" t="s">
        <v>486</v>
      </c>
      <c r="D1780" t="s">
        <v>3209</v>
      </c>
      <c r="E1780" t="s">
        <v>3226</v>
      </c>
      <c r="F1780">
        <v>19820813</v>
      </c>
      <c r="G1780" t="s">
        <v>9332</v>
      </c>
      <c r="H1780" t="s">
        <v>241</v>
      </c>
      <c r="I1780" t="s">
        <v>242</v>
      </c>
      <c r="J1780" t="s">
        <v>242</v>
      </c>
      <c r="K1780" t="s">
        <v>241</v>
      </c>
      <c r="L1780" t="s">
        <v>242</v>
      </c>
      <c r="M1780">
        <v>38.52781135</v>
      </c>
      <c r="N1780">
        <v>-122.8564658</v>
      </c>
      <c r="O1780">
        <v>0</v>
      </c>
      <c r="P1780">
        <v>0</v>
      </c>
      <c r="Q1780">
        <v>0</v>
      </c>
      <c r="R1780">
        <v>0</v>
      </c>
      <c r="S1780">
        <v>0.133333333</v>
      </c>
      <c r="T1780">
        <v>1.066666667</v>
      </c>
      <c r="U1780">
        <v>2.8</v>
      </c>
      <c r="V1780">
        <v>1.8333333329999999</v>
      </c>
      <c r="W1780">
        <v>1.433333333</v>
      </c>
      <c r="X1780">
        <v>0.33333333300000001</v>
      </c>
      <c r="Y1780">
        <v>0</v>
      </c>
      <c r="Z1780">
        <v>0</v>
      </c>
      <c r="AA1780" t="s">
        <v>9335</v>
      </c>
      <c r="AB1780" t="s">
        <v>242</v>
      </c>
      <c r="AC1780" t="s">
        <v>3229</v>
      </c>
    </row>
    <row r="1781" spans="1:29" x14ac:dyDescent="0.25">
      <c r="A1781" t="s">
        <v>878</v>
      </c>
      <c r="B1781" t="s">
        <v>252</v>
      </c>
      <c r="C1781" t="s">
        <v>394</v>
      </c>
      <c r="D1781" t="s">
        <v>3209</v>
      </c>
      <c r="E1781" t="s">
        <v>3226</v>
      </c>
      <c r="F1781">
        <v>19830404</v>
      </c>
      <c r="G1781" t="s">
        <v>9332</v>
      </c>
      <c r="H1781" t="s">
        <v>242</v>
      </c>
      <c r="I1781" t="s">
        <v>242</v>
      </c>
      <c r="J1781" t="s">
        <v>242</v>
      </c>
      <c r="K1781" t="s">
        <v>241</v>
      </c>
      <c r="L1781" t="s">
        <v>242</v>
      </c>
      <c r="M1781">
        <v>38.671840070000002</v>
      </c>
      <c r="N1781">
        <v>-122.9107396</v>
      </c>
      <c r="O1781">
        <v>0</v>
      </c>
      <c r="P1781">
        <v>0</v>
      </c>
      <c r="Q1781">
        <v>0</v>
      </c>
      <c r="R1781">
        <v>0</v>
      </c>
      <c r="S1781">
        <v>3.3333333E-2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0.66666666699999999</v>
      </c>
      <c r="Z1781">
        <v>0.53333333299999997</v>
      </c>
      <c r="AA1781" t="s">
        <v>9335</v>
      </c>
      <c r="AB1781" t="s">
        <v>242</v>
      </c>
      <c r="AC1781" t="s">
        <v>3229</v>
      </c>
    </row>
    <row r="1782" spans="1:29" x14ac:dyDescent="0.25">
      <c r="A1782" t="s">
        <v>875</v>
      </c>
      <c r="B1782" t="s">
        <v>252</v>
      </c>
      <c r="C1782" t="s">
        <v>486</v>
      </c>
      <c r="D1782" t="s">
        <v>3209</v>
      </c>
      <c r="E1782" t="s">
        <v>3246</v>
      </c>
      <c r="F1782">
        <v>19830524</v>
      </c>
      <c r="G1782" t="s">
        <v>9332</v>
      </c>
      <c r="H1782" t="s">
        <v>242</v>
      </c>
      <c r="I1782" t="s">
        <v>242</v>
      </c>
      <c r="J1782" t="s">
        <v>242</v>
      </c>
      <c r="K1782" t="s">
        <v>241</v>
      </c>
      <c r="L1782" t="s">
        <v>242</v>
      </c>
      <c r="M1782">
        <v>38.560294990000003</v>
      </c>
      <c r="N1782">
        <v>-122.8823866</v>
      </c>
      <c r="O1782">
        <v>2.0666666669999998</v>
      </c>
      <c r="P1782">
        <v>0.76666666699999997</v>
      </c>
      <c r="Q1782">
        <v>0.46666666699999998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2.233333333</v>
      </c>
      <c r="Z1782">
        <v>4.903333333</v>
      </c>
      <c r="AA1782" t="s">
        <v>9335</v>
      </c>
      <c r="AB1782" t="s">
        <v>242</v>
      </c>
      <c r="AC1782" t="s">
        <v>3229</v>
      </c>
    </row>
    <row r="1783" spans="1:29" x14ac:dyDescent="0.25">
      <c r="A1783" t="s">
        <v>865</v>
      </c>
      <c r="B1783" t="s">
        <v>252</v>
      </c>
      <c r="C1783" t="s">
        <v>489</v>
      </c>
      <c r="D1783" t="s">
        <v>3209</v>
      </c>
      <c r="E1783" t="s">
        <v>3246</v>
      </c>
      <c r="F1783">
        <v>19840119</v>
      </c>
      <c r="G1783" t="s">
        <v>9332</v>
      </c>
      <c r="H1783" t="s">
        <v>242</v>
      </c>
      <c r="I1783" t="s">
        <v>242</v>
      </c>
      <c r="J1783" t="s">
        <v>242</v>
      </c>
      <c r="K1783" t="s">
        <v>241</v>
      </c>
      <c r="L1783" t="s">
        <v>242</v>
      </c>
      <c r="M1783">
        <v>38.676049190000001</v>
      </c>
      <c r="N1783">
        <v>-122.91674860000001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0.33333333300000001</v>
      </c>
      <c r="Z1783">
        <v>0.133333333</v>
      </c>
      <c r="AA1783" t="s">
        <v>9335</v>
      </c>
      <c r="AB1783" t="s">
        <v>242</v>
      </c>
      <c r="AC1783" t="s">
        <v>3229</v>
      </c>
    </row>
    <row r="1784" spans="1:29" x14ac:dyDescent="0.25">
      <c r="A1784" t="s">
        <v>874</v>
      </c>
      <c r="B1784" t="s">
        <v>252</v>
      </c>
      <c r="C1784" t="s">
        <v>684</v>
      </c>
      <c r="D1784" t="s">
        <v>3209</v>
      </c>
      <c r="E1784" t="s">
        <v>3246</v>
      </c>
      <c r="F1784">
        <v>19841227</v>
      </c>
      <c r="G1784" t="s">
        <v>9332</v>
      </c>
      <c r="H1784" t="s">
        <v>242</v>
      </c>
      <c r="I1784" t="s">
        <v>242</v>
      </c>
      <c r="J1784" t="s">
        <v>242</v>
      </c>
      <c r="K1784" t="s">
        <v>241</v>
      </c>
      <c r="L1784" t="s">
        <v>242</v>
      </c>
      <c r="M1784">
        <v>38.48619498</v>
      </c>
      <c r="N1784">
        <v>-122.9714374</v>
      </c>
      <c r="O1784">
        <v>0.09</v>
      </c>
      <c r="P1784">
        <v>0.85666666700000005</v>
      </c>
      <c r="Q1784">
        <v>0.75666666699999996</v>
      </c>
      <c r="R1784">
        <v>0.19166666700000001</v>
      </c>
      <c r="S1784">
        <v>2.5000000000000001E-2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0.72333333300000002</v>
      </c>
      <c r="Z1784">
        <v>0.42333333299999998</v>
      </c>
      <c r="AA1784" t="s">
        <v>9335</v>
      </c>
      <c r="AB1784" t="s">
        <v>242</v>
      </c>
      <c r="AC1784" t="s">
        <v>3229</v>
      </c>
    </row>
    <row r="1785" spans="1:29" x14ac:dyDescent="0.25">
      <c r="A1785" t="s">
        <v>873</v>
      </c>
      <c r="B1785" t="s">
        <v>252</v>
      </c>
      <c r="C1785" t="s">
        <v>378</v>
      </c>
      <c r="D1785" t="s">
        <v>3209</v>
      </c>
      <c r="E1785" t="s">
        <v>3246</v>
      </c>
      <c r="F1785">
        <v>19840117</v>
      </c>
      <c r="G1785" t="s">
        <v>9332</v>
      </c>
      <c r="H1785" t="s">
        <v>242</v>
      </c>
      <c r="I1785" t="s">
        <v>242</v>
      </c>
      <c r="J1785" t="s">
        <v>242</v>
      </c>
      <c r="K1785" t="s">
        <v>241</v>
      </c>
      <c r="L1785" t="s">
        <v>242</v>
      </c>
      <c r="M1785">
        <v>38.356413279999998</v>
      </c>
      <c r="N1785">
        <v>-122.6026296</v>
      </c>
      <c r="O1785">
        <v>0</v>
      </c>
      <c r="P1785">
        <v>0.16666666699999999</v>
      </c>
      <c r="Q1785">
        <v>0.3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0.5</v>
      </c>
      <c r="AA1785" t="s">
        <v>9333</v>
      </c>
      <c r="AB1785" t="s">
        <v>242</v>
      </c>
      <c r="AC1785" t="s">
        <v>3229</v>
      </c>
    </row>
    <row r="1786" spans="1:29" x14ac:dyDescent="0.25">
      <c r="A1786" t="s">
        <v>844</v>
      </c>
      <c r="B1786" t="s">
        <v>252</v>
      </c>
      <c r="C1786" t="s">
        <v>323</v>
      </c>
      <c r="D1786" t="s">
        <v>3209</v>
      </c>
      <c r="E1786" t="s">
        <v>3246</v>
      </c>
      <c r="F1786">
        <v>19850206</v>
      </c>
      <c r="G1786" t="s">
        <v>9332</v>
      </c>
      <c r="H1786" t="s">
        <v>242</v>
      </c>
      <c r="I1786" t="s">
        <v>242</v>
      </c>
      <c r="J1786" t="s">
        <v>242</v>
      </c>
      <c r="K1786" t="s">
        <v>241</v>
      </c>
      <c r="L1786" t="s">
        <v>242</v>
      </c>
      <c r="M1786">
        <v>38.560782830000001</v>
      </c>
      <c r="N1786">
        <v>-122.6298278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 t="s">
        <v>9335</v>
      </c>
      <c r="AB1786" t="s">
        <v>242</v>
      </c>
      <c r="AC1786" t="s">
        <v>3229</v>
      </c>
    </row>
    <row r="1787" spans="1:29" x14ac:dyDescent="0.25">
      <c r="A1787" t="s">
        <v>861</v>
      </c>
      <c r="B1787" t="s">
        <v>252</v>
      </c>
      <c r="C1787" t="s">
        <v>394</v>
      </c>
      <c r="D1787" t="s">
        <v>3209</v>
      </c>
      <c r="E1787" t="s">
        <v>3246</v>
      </c>
      <c r="F1787">
        <v>19850307</v>
      </c>
      <c r="G1787" t="s">
        <v>9332</v>
      </c>
      <c r="H1787" t="s">
        <v>242</v>
      </c>
      <c r="I1787" t="s">
        <v>242</v>
      </c>
      <c r="J1787" t="s">
        <v>242</v>
      </c>
      <c r="K1787" t="s">
        <v>241</v>
      </c>
      <c r="L1787" t="s">
        <v>242</v>
      </c>
      <c r="M1787">
        <v>38.632880630000002</v>
      </c>
      <c r="N1787">
        <v>-122.9408756</v>
      </c>
      <c r="O1787">
        <v>0.1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0.1</v>
      </c>
      <c r="Z1787">
        <v>0.233333333</v>
      </c>
      <c r="AA1787" t="s">
        <v>9342</v>
      </c>
      <c r="AB1787" t="s">
        <v>242</v>
      </c>
      <c r="AC1787" t="s">
        <v>3229</v>
      </c>
    </row>
    <row r="1788" spans="1:29" x14ac:dyDescent="0.25">
      <c r="A1788" t="s">
        <v>836</v>
      </c>
      <c r="B1788" t="s">
        <v>252</v>
      </c>
      <c r="C1788" t="s">
        <v>403</v>
      </c>
      <c r="D1788" t="s">
        <v>3209</v>
      </c>
      <c r="E1788" t="s">
        <v>3246</v>
      </c>
      <c r="F1788">
        <v>19860418</v>
      </c>
      <c r="G1788" t="s">
        <v>9332</v>
      </c>
      <c r="H1788" t="s">
        <v>242</v>
      </c>
      <c r="I1788" t="s">
        <v>242</v>
      </c>
      <c r="J1788" t="s">
        <v>242</v>
      </c>
      <c r="K1788" t="s">
        <v>241</v>
      </c>
      <c r="L1788" t="s">
        <v>242</v>
      </c>
      <c r="M1788">
        <v>38.417729199999997</v>
      </c>
      <c r="N1788">
        <v>-122.9574193</v>
      </c>
      <c r="O1788">
        <v>1</v>
      </c>
      <c r="P1788">
        <v>0.66666666699999999</v>
      </c>
      <c r="Q1788">
        <v>0.5</v>
      </c>
      <c r="R1788">
        <v>0.16666666699999999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0.33333333300000001</v>
      </c>
      <c r="Z1788">
        <v>0.33333333300000001</v>
      </c>
      <c r="AA1788" t="s">
        <v>9335</v>
      </c>
      <c r="AB1788" t="s">
        <v>242</v>
      </c>
      <c r="AC1788" t="s">
        <v>3229</v>
      </c>
    </row>
    <row r="1789" spans="1:29" x14ac:dyDescent="0.25">
      <c r="A1789" t="s">
        <v>839</v>
      </c>
      <c r="B1789" t="s">
        <v>252</v>
      </c>
      <c r="C1789" t="s">
        <v>403</v>
      </c>
      <c r="D1789" t="s">
        <v>3209</v>
      </c>
      <c r="E1789" t="s">
        <v>3226</v>
      </c>
      <c r="F1789">
        <v>19860619</v>
      </c>
      <c r="G1789" t="s">
        <v>9332</v>
      </c>
      <c r="H1789" t="s">
        <v>242</v>
      </c>
      <c r="I1789" t="s">
        <v>242</v>
      </c>
      <c r="J1789" t="s">
        <v>242</v>
      </c>
      <c r="K1789" t="s">
        <v>241</v>
      </c>
      <c r="L1789" t="s">
        <v>242</v>
      </c>
      <c r="M1789">
        <v>38.4758</v>
      </c>
      <c r="N1789">
        <v>-123.0497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 t="s">
        <v>9333</v>
      </c>
      <c r="AB1789" t="s">
        <v>242</v>
      </c>
      <c r="AC1789" t="s">
        <v>3229</v>
      </c>
    </row>
    <row r="1790" spans="1:29" x14ac:dyDescent="0.25">
      <c r="A1790" t="s">
        <v>828</v>
      </c>
      <c r="B1790" t="s">
        <v>252</v>
      </c>
      <c r="C1790" t="s">
        <v>394</v>
      </c>
      <c r="D1790" t="s">
        <v>3209</v>
      </c>
      <c r="E1790" t="s">
        <v>3246</v>
      </c>
      <c r="F1790">
        <v>19860812</v>
      </c>
      <c r="G1790" t="s">
        <v>9332</v>
      </c>
      <c r="H1790" t="s">
        <v>242</v>
      </c>
      <c r="I1790" t="s">
        <v>242</v>
      </c>
      <c r="J1790" t="s">
        <v>242</v>
      </c>
      <c r="K1790" t="s">
        <v>241</v>
      </c>
      <c r="L1790" t="s">
        <v>242</v>
      </c>
      <c r="M1790">
        <v>38.603946299999997</v>
      </c>
      <c r="N1790">
        <v>-122.8838013</v>
      </c>
      <c r="O1790">
        <v>6.8533299999999999E-4</v>
      </c>
      <c r="P1790">
        <v>6.8533299999999999E-4</v>
      </c>
      <c r="Q1790">
        <v>6.8533299999999999E-4</v>
      </c>
      <c r="R1790">
        <v>6.8533299999999999E-4</v>
      </c>
      <c r="S1790">
        <v>6.8533299999999999E-4</v>
      </c>
      <c r="T1790">
        <v>6.8533299999999999E-4</v>
      </c>
      <c r="U1790">
        <v>6.8533299999999999E-4</v>
      </c>
      <c r="V1790">
        <v>6.8533299999999999E-4</v>
      </c>
      <c r="W1790">
        <v>6.8533299999999999E-4</v>
      </c>
      <c r="X1790">
        <v>6.8533299999999999E-4</v>
      </c>
      <c r="Y1790">
        <v>6.8533299999999999E-4</v>
      </c>
      <c r="Z1790">
        <v>6.8533299999999999E-4</v>
      </c>
      <c r="AA1790" t="s">
        <v>9333</v>
      </c>
      <c r="AB1790" t="s">
        <v>242</v>
      </c>
      <c r="AC1790" t="s">
        <v>3229</v>
      </c>
    </row>
    <row r="1791" spans="1:29" x14ac:dyDescent="0.25">
      <c r="A1791" t="s">
        <v>820</v>
      </c>
      <c r="B1791" t="s">
        <v>252</v>
      </c>
      <c r="C1791" t="s">
        <v>323</v>
      </c>
      <c r="D1791" t="s">
        <v>3209</v>
      </c>
      <c r="E1791" t="s">
        <v>3246</v>
      </c>
      <c r="F1791">
        <v>19870604</v>
      </c>
      <c r="G1791" t="s">
        <v>9332</v>
      </c>
      <c r="H1791" t="s">
        <v>242</v>
      </c>
      <c r="I1791" t="s">
        <v>242</v>
      </c>
      <c r="J1791" t="s">
        <v>242</v>
      </c>
      <c r="K1791" t="s">
        <v>241</v>
      </c>
      <c r="L1791" t="s">
        <v>242</v>
      </c>
      <c r="M1791">
        <v>38.561377159999999</v>
      </c>
      <c r="N1791">
        <v>-122.63233580000001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 t="s">
        <v>9335</v>
      </c>
      <c r="AB1791" t="s">
        <v>242</v>
      </c>
      <c r="AC1791" t="s">
        <v>3229</v>
      </c>
    </row>
    <row r="1792" spans="1:29" x14ac:dyDescent="0.25">
      <c r="A1792" t="s">
        <v>821</v>
      </c>
      <c r="B1792" t="s">
        <v>252</v>
      </c>
      <c r="C1792" t="s">
        <v>391</v>
      </c>
      <c r="D1792" t="s">
        <v>3209</v>
      </c>
      <c r="E1792" t="s">
        <v>3246</v>
      </c>
      <c r="F1792">
        <v>19870716</v>
      </c>
      <c r="G1792" t="s">
        <v>9332</v>
      </c>
      <c r="H1792" t="s">
        <v>242</v>
      </c>
      <c r="I1792" t="s">
        <v>242</v>
      </c>
      <c r="J1792" t="s">
        <v>242</v>
      </c>
      <c r="K1792" t="s">
        <v>241</v>
      </c>
      <c r="L1792" t="s">
        <v>242</v>
      </c>
      <c r="M1792">
        <v>38.544928290000001</v>
      </c>
      <c r="N1792">
        <v>-122.7349887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 t="s">
        <v>9335</v>
      </c>
      <c r="AB1792" t="s">
        <v>242</v>
      </c>
      <c r="AC1792" t="s">
        <v>3229</v>
      </c>
    </row>
    <row r="1793" spans="1:29" x14ac:dyDescent="0.25">
      <c r="A1793" t="s">
        <v>3234</v>
      </c>
      <c r="B1793" t="s">
        <v>252</v>
      </c>
      <c r="C1793" t="e">
        <v>#N/A</v>
      </c>
      <c r="D1793" t="s">
        <v>3209</v>
      </c>
      <c r="E1793" t="s">
        <v>3226</v>
      </c>
      <c r="I1793" t="s">
        <v>242</v>
      </c>
      <c r="L1793" t="s">
        <v>242</v>
      </c>
    </row>
    <row r="1794" spans="1:29" x14ac:dyDescent="0.25">
      <c r="A1794" t="s">
        <v>809</v>
      </c>
      <c r="B1794" t="s">
        <v>252</v>
      </c>
      <c r="C1794" t="s">
        <v>403</v>
      </c>
      <c r="D1794" t="s">
        <v>3209</v>
      </c>
      <c r="E1794" t="s">
        <v>3226</v>
      </c>
      <c r="F1794">
        <v>19880615</v>
      </c>
      <c r="G1794" t="s">
        <v>9332</v>
      </c>
      <c r="H1794" t="s">
        <v>242</v>
      </c>
      <c r="I1794" t="s">
        <v>242</v>
      </c>
      <c r="J1794" t="s">
        <v>242</v>
      </c>
      <c r="K1794" t="s">
        <v>241</v>
      </c>
      <c r="L1794" t="s">
        <v>242</v>
      </c>
      <c r="M1794">
        <v>38.456841679999997</v>
      </c>
      <c r="N1794">
        <v>-123.11300439999999</v>
      </c>
      <c r="O1794">
        <v>1.4035043330000001</v>
      </c>
      <c r="P1794">
        <v>1.240853333</v>
      </c>
      <c r="Q1794">
        <v>1.101730667</v>
      </c>
      <c r="R1794">
        <v>1.0587660000000001</v>
      </c>
      <c r="S1794">
        <v>1.0925240000000001</v>
      </c>
      <c r="T1794">
        <v>1.421918</v>
      </c>
      <c r="U1794">
        <v>1.420895</v>
      </c>
      <c r="V1794">
        <v>1.4802266669999999</v>
      </c>
      <c r="W1794">
        <v>1.3073456670000001</v>
      </c>
      <c r="X1794">
        <v>1.350310667</v>
      </c>
      <c r="Y1794">
        <v>1.2756339999999999</v>
      </c>
      <c r="Z1794">
        <v>1.365654667</v>
      </c>
      <c r="AA1794" t="s">
        <v>9336</v>
      </c>
      <c r="AB1794" t="s">
        <v>242</v>
      </c>
      <c r="AC1794" t="s">
        <v>3229</v>
      </c>
    </row>
    <row r="1795" spans="1:29" x14ac:dyDescent="0.25">
      <c r="A1795" t="s">
        <v>811</v>
      </c>
      <c r="B1795" t="s">
        <v>252</v>
      </c>
      <c r="C1795" t="s">
        <v>391</v>
      </c>
      <c r="D1795" t="s">
        <v>3209</v>
      </c>
      <c r="E1795" t="s">
        <v>3246</v>
      </c>
      <c r="F1795">
        <v>19880621</v>
      </c>
      <c r="G1795" t="s">
        <v>9332</v>
      </c>
      <c r="H1795" t="s">
        <v>242</v>
      </c>
      <c r="I1795" t="s">
        <v>242</v>
      </c>
      <c r="J1795" t="s">
        <v>242</v>
      </c>
      <c r="K1795" t="s">
        <v>241</v>
      </c>
      <c r="L1795" t="s">
        <v>242</v>
      </c>
      <c r="M1795">
        <v>38.516664839999997</v>
      </c>
      <c r="N1795">
        <v>-122.8411277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 t="s">
        <v>9341</v>
      </c>
      <c r="AB1795" t="s">
        <v>242</v>
      </c>
      <c r="AC1795" t="s">
        <v>3229</v>
      </c>
    </row>
    <row r="1796" spans="1:29" x14ac:dyDescent="0.25">
      <c r="A1796" t="s">
        <v>813</v>
      </c>
      <c r="B1796" t="s">
        <v>252</v>
      </c>
      <c r="C1796" t="s">
        <v>725</v>
      </c>
      <c r="D1796" t="s">
        <v>3209</v>
      </c>
      <c r="E1796" t="s">
        <v>3246</v>
      </c>
      <c r="F1796">
        <v>19880906</v>
      </c>
      <c r="G1796" t="s">
        <v>9332</v>
      </c>
      <c r="H1796" t="s">
        <v>242</v>
      </c>
      <c r="I1796" t="s">
        <v>242</v>
      </c>
      <c r="J1796" t="s">
        <v>242</v>
      </c>
      <c r="K1796" t="s">
        <v>241</v>
      </c>
      <c r="L1796" t="s">
        <v>242</v>
      </c>
      <c r="M1796">
        <v>38.48791473</v>
      </c>
      <c r="N1796">
        <v>-122.7338783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 t="s">
        <v>9335</v>
      </c>
      <c r="AB1796" t="s">
        <v>242</v>
      </c>
      <c r="AC1796" t="s">
        <v>3229</v>
      </c>
    </row>
    <row r="1797" spans="1:29" x14ac:dyDescent="0.25">
      <c r="A1797" t="s">
        <v>814</v>
      </c>
      <c r="B1797" t="s">
        <v>252</v>
      </c>
      <c r="C1797" t="s">
        <v>352</v>
      </c>
      <c r="D1797" t="s">
        <v>3209</v>
      </c>
      <c r="E1797" t="s">
        <v>3246</v>
      </c>
      <c r="F1797">
        <v>19880906</v>
      </c>
      <c r="G1797" t="s">
        <v>9334</v>
      </c>
      <c r="H1797" t="s">
        <v>242</v>
      </c>
      <c r="I1797" t="s">
        <v>242</v>
      </c>
      <c r="J1797" t="s">
        <v>242</v>
      </c>
      <c r="K1797" t="s">
        <v>241</v>
      </c>
      <c r="L1797" t="s">
        <v>242</v>
      </c>
      <c r="M1797">
        <v>38.438701010000003</v>
      </c>
      <c r="N1797">
        <v>-122.8931073</v>
      </c>
      <c r="O1797">
        <v>0</v>
      </c>
      <c r="P1797">
        <v>0</v>
      </c>
      <c r="Q1797">
        <v>3.8808100000000002E-3</v>
      </c>
      <c r="R1797">
        <v>0</v>
      </c>
      <c r="S1797">
        <v>0</v>
      </c>
      <c r="T1797">
        <v>1.6699999999999999E-5</v>
      </c>
      <c r="U1797">
        <v>0.16879866700000001</v>
      </c>
      <c r="V1797">
        <v>1.0000000000000001E-5</v>
      </c>
      <c r="W1797">
        <v>2.6699999999999998E-5</v>
      </c>
      <c r="X1797">
        <v>0</v>
      </c>
      <c r="Y1797">
        <v>0</v>
      </c>
      <c r="Z1797">
        <v>0</v>
      </c>
      <c r="AA1797" t="s">
        <v>9335</v>
      </c>
      <c r="AB1797" t="s">
        <v>242</v>
      </c>
      <c r="AC1797" t="s">
        <v>3229</v>
      </c>
    </row>
    <row r="1798" spans="1:29" x14ac:dyDescent="0.25">
      <c r="A1798" t="s">
        <v>777</v>
      </c>
      <c r="B1798" t="s">
        <v>252</v>
      </c>
      <c r="C1798" t="s">
        <v>486</v>
      </c>
      <c r="D1798" t="s">
        <v>3209</v>
      </c>
      <c r="E1798" t="s">
        <v>3246</v>
      </c>
      <c r="F1798">
        <v>19890111</v>
      </c>
      <c r="G1798" t="s">
        <v>9332</v>
      </c>
      <c r="H1798" t="s">
        <v>241</v>
      </c>
      <c r="I1798" t="s">
        <v>242</v>
      </c>
      <c r="J1798" t="s">
        <v>242</v>
      </c>
      <c r="K1798" t="s">
        <v>241</v>
      </c>
      <c r="L1798" t="s">
        <v>242</v>
      </c>
      <c r="M1798">
        <v>38.523100650000003</v>
      </c>
      <c r="N1798">
        <v>-122.8669835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0.3</v>
      </c>
      <c r="Z1798">
        <v>0</v>
      </c>
      <c r="AA1798" t="s">
        <v>9335</v>
      </c>
      <c r="AB1798" t="s">
        <v>242</v>
      </c>
      <c r="AC1798" t="s">
        <v>3229</v>
      </c>
    </row>
    <row r="1799" spans="1:29" x14ac:dyDescent="0.25">
      <c r="A1799" t="s">
        <v>779</v>
      </c>
      <c r="B1799" t="s">
        <v>252</v>
      </c>
      <c r="C1799" t="s">
        <v>486</v>
      </c>
      <c r="D1799" t="s">
        <v>3209</v>
      </c>
      <c r="E1799" t="s">
        <v>3226</v>
      </c>
      <c r="F1799">
        <v>19890130</v>
      </c>
      <c r="G1799" t="s">
        <v>9332</v>
      </c>
      <c r="H1799" t="s">
        <v>241</v>
      </c>
      <c r="I1799" t="s">
        <v>242</v>
      </c>
      <c r="J1799" t="s">
        <v>242</v>
      </c>
      <c r="K1799" t="s">
        <v>241</v>
      </c>
      <c r="L1799" t="s">
        <v>242</v>
      </c>
      <c r="M1799">
        <v>38.555549030000002</v>
      </c>
      <c r="N1799">
        <v>-122.85609909999999</v>
      </c>
      <c r="O1799">
        <v>2.1666666669999999</v>
      </c>
      <c r="P1799">
        <v>5.6</v>
      </c>
      <c r="Q1799">
        <v>0.9</v>
      </c>
      <c r="R1799">
        <v>1.8666666670000001</v>
      </c>
      <c r="S1799">
        <v>1.4666666669999999</v>
      </c>
      <c r="T1799">
        <v>4.1666666670000003</v>
      </c>
      <c r="U1799">
        <v>11.83333333</v>
      </c>
      <c r="V1799">
        <v>11.633333329999999</v>
      </c>
      <c r="W1799">
        <v>0</v>
      </c>
      <c r="X1799">
        <v>0</v>
      </c>
      <c r="Y1799">
        <v>0.53333333299999997</v>
      </c>
      <c r="Z1799">
        <v>6.9666666670000001</v>
      </c>
      <c r="AA1799" t="s">
        <v>9335</v>
      </c>
      <c r="AB1799" t="s">
        <v>242</v>
      </c>
      <c r="AC1799" t="s">
        <v>3229</v>
      </c>
    </row>
    <row r="1800" spans="1:29" x14ac:dyDescent="0.25">
      <c r="A1800" t="s">
        <v>784</v>
      </c>
      <c r="B1800" t="s">
        <v>252</v>
      </c>
      <c r="C1800" t="s">
        <v>486</v>
      </c>
      <c r="D1800" t="s">
        <v>3209</v>
      </c>
      <c r="E1800" t="s">
        <v>3246</v>
      </c>
      <c r="F1800">
        <v>19890324</v>
      </c>
      <c r="G1800" t="s">
        <v>9334</v>
      </c>
      <c r="H1800" t="s">
        <v>241</v>
      </c>
      <c r="I1800" t="s">
        <v>242</v>
      </c>
      <c r="J1800" t="s">
        <v>242</v>
      </c>
      <c r="K1800" t="s">
        <v>241</v>
      </c>
      <c r="L1800" t="s">
        <v>242</v>
      </c>
      <c r="M1800">
        <v>38.541200000000003</v>
      </c>
      <c r="N1800">
        <v>-122.8605</v>
      </c>
      <c r="O1800">
        <v>1.5120000000000001E-3</v>
      </c>
      <c r="P1800">
        <v>1.5293329999999999E-3</v>
      </c>
      <c r="Q1800">
        <v>2.8349999999999998E-3</v>
      </c>
      <c r="R1800">
        <v>4.45E-3</v>
      </c>
      <c r="S1800">
        <v>1.7385667E-2</v>
      </c>
      <c r="T1800">
        <v>0.148617</v>
      </c>
      <c r="U1800">
        <v>0.34325800000000001</v>
      </c>
      <c r="V1800">
        <v>0.43672899999999998</v>
      </c>
      <c r="W1800">
        <v>0.56955266699999996</v>
      </c>
      <c r="X1800">
        <v>8.7217332999999994E-2</v>
      </c>
      <c r="Y1800">
        <v>6.738267E-3</v>
      </c>
      <c r="Z1800">
        <v>4.2514670000000001E-3</v>
      </c>
      <c r="AA1800" t="s">
        <v>9335</v>
      </c>
      <c r="AB1800" t="s">
        <v>242</v>
      </c>
      <c r="AC1800" t="s">
        <v>3229</v>
      </c>
    </row>
    <row r="1801" spans="1:29" x14ac:dyDescent="0.25">
      <c r="A1801" t="s">
        <v>788</v>
      </c>
      <c r="B1801" t="s">
        <v>252</v>
      </c>
      <c r="C1801" t="s">
        <v>352</v>
      </c>
      <c r="D1801" t="s">
        <v>3209</v>
      </c>
      <c r="E1801" t="s">
        <v>3226</v>
      </c>
      <c r="F1801">
        <v>19890614</v>
      </c>
      <c r="G1801" t="s">
        <v>9332</v>
      </c>
      <c r="H1801" t="s">
        <v>242</v>
      </c>
      <c r="I1801" t="s">
        <v>242</v>
      </c>
      <c r="J1801" t="s">
        <v>242</v>
      </c>
      <c r="K1801" t="s">
        <v>241</v>
      </c>
      <c r="L1801" t="s">
        <v>242</v>
      </c>
      <c r="M1801">
        <v>38.416104830000002</v>
      </c>
      <c r="N1801">
        <v>-122.88549570000001</v>
      </c>
      <c r="O1801">
        <v>1</v>
      </c>
      <c r="P1801">
        <v>1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0.5</v>
      </c>
      <c r="Z1801">
        <v>0.5</v>
      </c>
      <c r="AA1801" t="s">
        <v>9335</v>
      </c>
      <c r="AB1801" t="s">
        <v>242</v>
      </c>
      <c r="AC1801" t="s">
        <v>3229</v>
      </c>
    </row>
    <row r="1802" spans="1:29" x14ac:dyDescent="0.25">
      <c r="A1802" t="s">
        <v>790</v>
      </c>
      <c r="B1802" t="s">
        <v>252</v>
      </c>
      <c r="C1802" t="s">
        <v>378</v>
      </c>
      <c r="D1802" t="s">
        <v>3209</v>
      </c>
      <c r="E1802" t="s">
        <v>3226</v>
      </c>
      <c r="F1802">
        <v>19890627</v>
      </c>
      <c r="G1802" t="s">
        <v>9338</v>
      </c>
      <c r="H1802" t="s">
        <v>242</v>
      </c>
      <c r="I1802" t="s">
        <v>242</v>
      </c>
      <c r="J1802" t="s">
        <v>242</v>
      </c>
      <c r="K1802" t="s">
        <v>241</v>
      </c>
      <c r="L1802" t="s">
        <v>242</v>
      </c>
      <c r="M1802">
        <v>38.397599999999997</v>
      </c>
      <c r="N1802">
        <v>-122.6409</v>
      </c>
      <c r="O1802">
        <v>5.25</v>
      </c>
      <c r="P1802">
        <v>1.45</v>
      </c>
      <c r="Q1802">
        <v>0.25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0.16666666699999999</v>
      </c>
      <c r="Z1802">
        <v>2.9166666669999999</v>
      </c>
      <c r="AA1802" t="s">
        <v>9335</v>
      </c>
      <c r="AB1802" t="s">
        <v>242</v>
      </c>
      <c r="AC1802" t="s">
        <v>3229</v>
      </c>
    </row>
    <row r="1803" spans="1:29" x14ac:dyDescent="0.25">
      <c r="A1803" t="s">
        <v>800</v>
      </c>
      <c r="B1803" t="s">
        <v>252</v>
      </c>
      <c r="C1803" t="s">
        <v>394</v>
      </c>
      <c r="D1803" t="s">
        <v>3209</v>
      </c>
      <c r="E1803" t="s">
        <v>3246</v>
      </c>
      <c r="F1803">
        <v>19890817</v>
      </c>
      <c r="G1803" t="s">
        <v>9332</v>
      </c>
      <c r="H1803" t="s">
        <v>242</v>
      </c>
      <c r="I1803" t="s">
        <v>242</v>
      </c>
      <c r="J1803" t="s">
        <v>242</v>
      </c>
      <c r="K1803" t="s">
        <v>241</v>
      </c>
      <c r="L1803" t="s">
        <v>242</v>
      </c>
      <c r="M1803">
        <v>38.613300000000002</v>
      </c>
      <c r="N1803">
        <v>-122.8991</v>
      </c>
      <c r="O1803">
        <v>0.1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1.6</v>
      </c>
      <c r="Z1803">
        <v>1.766666667</v>
      </c>
      <c r="AA1803" t="s">
        <v>9335</v>
      </c>
      <c r="AB1803" t="s">
        <v>242</v>
      </c>
      <c r="AC1803" t="s">
        <v>3229</v>
      </c>
    </row>
    <row r="1804" spans="1:29" x14ac:dyDescent="0.25">
      <c r="A1804" t="s">
        <v>794</v>
      </c>
      <c r="B1804" t="s">
        <v>252</v>
      </c>
      <c r="C1804" t="s">
        <v>493</v>
      </c>
      <c r="D1804" t="s">
        <v>3209</v>
      </c>
      <c r="E1804" t="s">
        <v>3226</v>
      </c>
      <c r="F1804">
        <v>19890614</v>
      </c>
      <c r="G1804" t="s">
        <v>9334</v>
      </c>
      <c r="H1804" t="s">
        <v>242</v>
      </c>
      <c r="I1804" t="s">
        <v>242</v>
      </c>
      <c r="J1804" t="s">
        <v>242</v>
      </c>
      <c r="K1804" t="s">
        <v>241</v>
      </c>
      <c r="L1804" t="s">
        <v>242</v>
      </c>
      <c r="M1804">
        <v>38.6995</v>
      </c>
      <c r="N1804">
        <v>-122.9902</v>
      </c>
      <c r="O1804">
        <v>2.9</v>
      </c>
      <c r="P1804">
        <v>3.3333333E-2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5.9333333330000002</v>
      </c>
      <c r="Z1804">
        <v>6.0666666669999998</v>
      </c>
      <c r="AA1804" t="s">
        <v>9335</v>
      </c>
      <c r="AB1804" t="s">
        <v>242</v>
      </c>
      <c r="AC1804" t="s">
        <v>3229</v>
      </c>
    </row>
    <row r="1805" spans="1:29" x14ac:dyDescent="0.25">
      <c r="A1805" t="s">
        <v>796</v>
      </c>
      <c r="B1805" t="s">
        <v>252</v>
      </c>
      <c r="C1805" t="s">
        <v>352</v>
      </c>
      <c r="D1805" t="s">
        <v>3209</v>
      </c>
      <c r="E1805" t="s">
        <v>3246</v>
      </c>
      <c r="F1805">
        <v>19891109</v>
      </c>
      <c r="G1805" t="s">
        <v>9332</v>
      </c>
      <c r="H1805" t="s">
        <v>242</v>
      </c>
      <c r="I1805" t="s">
        <v>242</v>
      </c>
      <c r="J1805" t="s">
        <v>242</v>
      </c>
      <c r="K1805" t="s">
        <v>241</v>
      </c>
      <c r="L1805" t="s">
        <v>242</v>
      </c>
      <c r="M1805">
        <v>38.431100000000001</v>
      </c>
      <c r="N1805">
        <v>-122.9104</v>
      </c>
      <c r="O1805">
        <v>1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3.5</v>
      </c>
      <c r="AA1805" t="s">
        <v>9335</v>
      </c>
      <c r="AB1805" t="s">
        <v>242</v>
      </c>
      <c r="AC1805" t="s">
        <v>3229</v>
      </c>
    </row>
    <row r="1806" spans="1:29" x14ac:dyDescent="0.25">
      <c r="A1806" t="s">
        <v>798</v>
      </c>
      <c r="B1806" t="s">
        <v>252</v>
      </c>
      <c r="C1806" t="s">
        <v>493</v>
      </c>
      <c r="D1806" t="s">
        <v>3209</v>
      </c>
      <c r="E1806" t="s">
        <v>3226</v>
      </c>
      <c r="F1806">
        <v>19891117</v>
      </c>
      <c r="G1806" t="s">
        <v>9334</v>
      </c>
      <c r="H1806" t="s">
        <v>242</v>
      </c>
      <c r="I1806" t="s">
        <v>242</v>
      </c>
      <c r="J1806" t="s">
        <v>242</v>
      </c>
      <c r="K1806" t="s">
        <v>241</v>
      </c>
      <c r="L1806" t="s">
        <v>242</v>
      </c>
      <c r="M1806">
        <v>38.694200000000002</v>
      </c>
      <c r="N1806">
        <v>-122.9914</v>
      </c>
      <c r="O1806">
        <v>0</v>
      </c>
      <c r="P1806">
        <v>0</v>
      </c>
      <c r="Q1806">
        <v>120.2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 t="s">
        <v>9335</v>
      </c>
      <c r="AB1806" t="s">
        <v>242</v>
      </c>
      <c r="AC1806" t="s">
        <v>3229</v>
      </c>
    </row>
    <row r="1807" spans="1:29" x14ac:dyDescent="0.25">
      <c r="A1807" t="s">
        <v>759</v>
      </c>
      <c r="B1807" t="s">
        <v>252</v>
      </c>
      <c r="C1807" t="s">
        <v>486</v>
      </c>
      <c r="D1807" t="s">
        <v>3209</v>
      </c>
      <c r="E1807" t="s">
        <v>3226</v>
      </c>
      <c r="F1807">
        <v>19900305</v>
      </c>
      <c r="G1807" t="s">
        <v>9338</v>
      </c>
      <c r="H1807" t="s">
        <v>242</v>
      </c>
      <c r="I1807" t="s">
        <v>242</v>
      </c>
      <c r="J1807" t="s">
        <v>242</v>
      </c>
      <c r="K1807" t="s">
        <v>241</v>
      </c>
      <c r="L1807" t="s">
        <v>242</v>
      </c>
      <c r="M1807">
        <v>38.560294990000003</v>
      </c>
      <c r="N1807">
        <v>-122.8823866</v>
      </c>
      <c r="O1807">
        <v>0.66333333299999997</v>
      </c>
      <c r="P1807">
        <v>0.24333333300000001</v>
      </c>
      <c r="Q1807">
        <v>0.15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0.70666666700000003</v>
      </c>
      <c r="Z1807">
        <v>1.56</v>
      </c>
      <c r="AA1807" t="s">
        <v>9335</v>
      </c>
      <c r="AB1807" t="s">
        <v>242</v>
      </c>
      <c r="AC1807" t="s">
        <v>3229</v>
      </c>
    </row>
    <row r="1808" spans="1:29" x14ac:dyDescent="0.25">
      <c r="A1808" t="s">
        <v>768</v>
      </c>
      <c r="B1808" t="s">
        <v>252</v>
      </c>
      <c r="C1808" t="s">
        <v>391</v>
      </c>
      <c r="D1808" t="s">
        <v>3209</v>
      </c>
      <c r="E1808" t="s">
        <v>3226</v>
      </c>
      <c r="F1808">
        <v>19900705</v>
      </c>
      <c r="G1808" t="s">
        <v>9332</v>
      </c>
      <c r="H1808" t="s">
        <v>242</v>
      </c>
      <c r="I1808" t="s">
        <v>242</v>
      </c>
      <c r="J1808" t="s">
        <v>242</v>
      </c>
      <c r="K1808" t="s">
        <v>241</v>
      </c>
      <c r="L1808" t="s">
        <v>242</v>
      </c>
      <c r="M1808">
        <v>38.534017630000001</v>
      </c>
      <c r="N1808">
        <v>-122.8338155</v>
      </c>
      <c r="O1808">
        <v>2.1</v>
      </c>
      <c r="P1808">
        <v>4.5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0.33333333300000001</v>
      </c>
      <c r="Z1808">
        <v>2.0333333329999999</v>
      </c>
      <c r="AA1808" t="s">
        <v>9335</v>
      </c>
      <c r="AB1808" t="s">
        <v>242</v>
      </c>
      <c r="AC1808" t="s">
        <v>3229</v>
      </c>
    </row>
    <row r="1809" spans="1:29" x14ac:dyDescent="0.25">
      <c r="A1809" t="s">
        <v>771</v>
      </c>
      <c r="B1809" t="s">
        <v>252</v>
      </c>
      <c r="C1809" t="s">
        <v>323</v>
      </c>
      <c r="D1809" t="s">
        <v>3209</v>
      </c>
      <c r="E1809" t="s">
        <v>3226</v>
      </c>
      <c r="F1809">
        <v>19900817</v>
      </c>
      <c r="G1809" t="s">
        <v>9332</v>
      </c>
      <c r="H1809" t="s">
        <v>242</v>
      </c>
      <c r="I1809" t="s">
        <v>242</v>
      </c>
      <c r="J1809" t="s">
        <v>242</v>
      </c>
      <c r="K1809" t="s">
        <v>241</v>
      </c>
      <c r="L1809" t="s">
        <v>242</v>
      </c>
      <c r="M1809">
        <v>38.498169679999997</v>
      </c>
      <c r="N1809">
        <v>-122.8543633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 t="s">
        <v>9335</v>
      </c>
      <c r="AB1809" t="s">
        <v>242</v>
      </c>
      <c r="AC1809" t="s">
        <v>3229</v>
      </c>
    </row>
    <row r="1810" spans="1:29" x14ac:dyDescent="0.25">
      <c r="A1810" t="s">
        <v>772</v>
      </c>
      <c r="B1810" t="s">
        <v>252</v>
      </c>
      <c r="C1810" t="s">
        <v>391</v>
      </c>
      <c r="D1810" t="s">
        <v>3209</v>
      </c>
      <c r="E1810" t="s">
        <v>3246</v>
      </c>
      <c r="F1810">
        <v>19901101</v>
      </c>
      <c r="G1810" t="s">
        <v>9332</v>
      </c>
      <c r="H1810" t="s">
        <v>242</v>
      </c>
      <c r="I1810" t="s">
        <v>242</v>
      </c>
      <c r="J1810" t="s">
        <v>242</v>
      </c>
      <c r="K1810" t="s">
        <v>241</v>
      </c>
      <c r="L1810" t="s">
        <v>242</v>
      </c>
      <c r="M1810">
        <v>38.568199999999997</v>
      </c>
      <c r="N1810">
        <v>-122.7667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1.3333333329999999</v>
      </c>
      <c r="AA1810" t="s">
        <v>9335</v>
      </c>
      <c r="AB1810" t="s">
        <v>242</v>
      </c>
      <c r="AC1810" t="s">
        <v>3229</v>
      </c>
    </row>
    <row r="1811" spans="1:29" x14ac:dyDescent="0.25">
      <c r="A1811" t="s">
        <v>773</v>
      </c>
      <c r="B1811" t="s">
        <v>252</v>
      </c>
      <c r="C1811" t="s">
        <v>391</v>
      </c>
      <c r="D1811" t="s">
        <v>3209</v>
      </c>
      <c r="E1811" t="s">
        <v>3246</v>
      </c>
      <c r="F1811">
        <v>19901101</v>
      </c>
      <c r="G1811" t="s">
        <v>9332</v>
      </c>
      <c r="H1811" t="s">
        <v>242</v>
      </c>
      <c r="I1811" t="s">
        <v>242</v>
      </c>
      <c r="J1811" t="s">
        <v>242</v>
      </c>
      <c r="K1811" t="s">
        <v>241</v>
      </c>
      <c r="L1811" t="s">
        <v>242</v>
      </c>
      <c r="M1811">
        <v>38.563767519999999</v>
      </c>
      <c r="N1811">
        <v>-122.7810003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 t="s">
        <v>9335</v>
      </c>
      <c r="AB1811" t="s">
        <v>242</v>
      </c>
      <c r="AC1811" t="s">
        <v>3229</v>
      </c>
    </row>
    <row r="1812" spans="1:29" x14ac:dyDescent="0.25">
      <c r="A1812" t="s">
        <v>774</v>
      </c>
      <c r="B1812" t="s">
        <v>252</v>
      </c>
      <c r="C1812" t="s">
        <v>391</v>
      </c>
      <c r="D1812" t="s">
        <v>3209</v>
      </c>
      <c r="E1812" t="s">
        <v>3246</v>
      </c>
      <c r="F1812">
        <v>19901101</v>
      </c>
      <c r="G1812" t="s">
        <v>9332</v>
      </c>
      <c r="H1812" t="s">
        <v>242</v>
      </c>
      <c r="I1812" t="s">
        <v>242</v>
      </c>
      <c r="J1812" t="s">
        <v>242</v>
      </c>
      <c r="K1812" t="s">
        <v>241</v>
      </c>
      <c r="L1812" t="s">
        <v>242</v>
      </c>
      <c r="M1812">
        <v>38.568199999999997</v>
      </c>
      <c r="N1812">
        <v>-122.7667</v>
      </c>
      <c r="O1812">
        <v>2.6</v>
      </c>
      <c r="P1812">
        <v>6</v>
      </c>
      <c r="Q1812">
        <v>4.1333333330000004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2.0666666669999998</v>
      </c>
      <c r="AA1812" t="s">
        <v>9335</v>
      </c>
      <c r="AB1812" t="s">
        <v>242</v>
      </c>
      <c r="AC1812" t="s">
        <v>3229</v>
      </c>
    </row>
    <row r="1813" spans="1:29" x14ac:dyDescent="0.25">
      <c r="A1813" t="s">
        <v>775</v>
      </c>
      <c r="B1813" t="s">
        <v>252</v>
      </c>
      <c r="C1813" t="s">
        <v>323</v>
      </c>
      <c r="D1813" t="s">
        <v>3209</v>
      </c>
      <c r="E1813" t="s">
        <v>3246</v>
      </c>
      <c r="F1813">
        <v>19901113</v>
      </c>
      <c r="G1813" t="s">
        <v>9332</v>
      </c>
      <c r="H1813" t="s">
        <v>242</v>
      </c>
      <c r="I1813" t="s">
        <v>242</v>
      </c>
      <c r="J1813" t="s">
        <v>242</v>
      </c>
      <c r="K1813" t="s">
        <v>241</v>
      </c>
      <c r="L1813" t="s">
        <v>242</v>
      </c>
      <c r="M1813">
        <v>38.550800000000002</v>
      </c>
      <c r="N1813">
        <v>-122.6221</v>
      </c>
      <c r="O1813">
        <v>2.8333333330000001</v>
      </c>
      <c r="P1813">
        <v>2.5</v>
      </c>
      <c r="Q1813">
        <v>0.16666666699999999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0.16666666699999999</v>
      </c>
      <c r="Z1813">
        <v>1.3</v>
      </c>
      <c r="AA1813" t="s">
        <v>9335</v>
      </c>
      <c r="AB1813" t="s">
        <v>242</v>
      </c>
      <c r="AC1813" t="s">
        <v>3229</v>
      </c>
    </row>
    <row r="1814" spans="1:29" x14ac:dyDescent="0.25">
      <c r="A1814" t="s">
        <v>749</v>
      </c>
      <c r="B1814" t="s">
        <v>252</v>
      </c>
      <c r="C1814" t="s">
        <v>352</v>
      </c>
      <c r="D1814" t="s">
        <v>3209</v>
      </c>
      <c r="E1814" t="s">
        <v>3226</v>
      </c>
      <c r="F1814">
        <v>19910124</v>
      </c>
      <c r="G1814" t="s">
        <v>9334</v>
      </c>
      <c r="H1814" t="s">
        <v>241</v>
      </c>
      <c r="I1814" t="s">
        <v>242</v>
      </c>
      <c r="J1814" t="s">
        <v>242</v>
      </c>
      <c r="K1814" t="s">
        <v>241</v>
      </c>
      <c r="L1814" t="s">
        <v>242</v>
      </c>
      <c r="M1814">
        <v>38.50082879</v>
      </c>
      <c r="N1814">
        <v>-122.9020951</v>
      </c>
      <c r="O1814">
        <v>7.9133333329999997</v>
      </c>
      <c r="P1814">
        <v>6.5233333330000001</v>
      </c>
      <c r="Q1814">
        <v>10.48666667</v>
      </c>
      <c r="R1814">
        <v>11.81</v>
      </c>
      <c r="S1814">
        <v>12.11333333</v>
      </c>
      <c r="T1814">
        <v>16.853333330000002</v>
      </c>
      <c r="U1814">
        <v>20.6</v>
      </c>
      <c r="V1814">
        <v>23.66333333</v>
      </c>
      <c r="W1814">
        <v>18.986666670000002</v>
      </c>
      <c r="X1814">
        <v>16.37</v>
      </c>
      <c r="Y1814">
        <v>13.19</v>
      </c>
      <c r="Z1814">
        <v>11.12</v>
      </c>
      <c r="AA1814" t="s">
        <v>9336</v>
      </c>
      <c r="AB1814" t="s">
        <v>242</v>
      </c>
      <c r="AC1814" t="s">
        <v>3229</v>
      </c>
    </row>
    <row r="1815" spans="1:29" x14ac:dyDescent="0.25">
      <c r="A1815" t="s">
        <v>753</v>
      </c>
      <c r="B1815" t="s">
        <v>252</v>
      </c>
      <c r="C1815" t="s">
        <v>394</v>
      </c>
      <c r="D1815" t="s">
        <v>3209</v>
      </c>
      <c r="E1815" t="s">
        <v>3246</v>
      </c>
      <c r="F1815">
        <v>19910807</v>
      </c>
      <c r="G1815" t="s">
        <v>9332</v>
      </c>
      <c r="H1815" t="s">
        <v>242</v>
      </c>
      <c r="I1815" t="s">
        <v>242</v>
      </c>
      <c r="J1815" t="s">
        <v>242</v>
      </c>
      <c r="K1815" t="s">
        <v>241</v>
      </c>
      <c r="L1815" t="s">
        <v>242</v>
      </c>
      <c r="M1815">
        <v>38.581989219999997</v>
      </c>
      <c r="N1815">
        <v>-122.90568380000001</v>
      </c>
      <c r="O1815">
        <v>5.3333333329999997</v>
      </c>
      <c r="P1815">
        <v>3.6666666669999999</v>
      </c>
      <c r="Q1815">
        <v>4.3333333329999997</v>
      </c>
      <c r="R1815">
        <v>1.3333333329999999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1.3333333329999999</v>
      </c>
      <c r="AA1815" t="s">
        <v>9342</v>
      </c>
      <c r="AB1815" t="s">
        <v>242</v>
      </c>
      <c r="AC1815" t="s">
        <v>3229</v>
      </c>
    </row>
    <row r="1816" spans="1:29" x14ac:dyDescent="0.25">
      <c r="A1816" t="s">
        <v>730</v>
      </c>
      <c r="B1816" t="s">
        <v>252</v>
      </c>
      <c r="C1816" t="s">
        <v>378</v>
      </c>
      <c r="D1816" t="s">
        <v>3209</v>
      </c>
      <c r="E1816" t="s">
        <v>3246</v>
      </c>
      <c r="F1816">
        <v>19920505</v>
      </c>
      <c r="G1816" t="s">
        <v>9332</v>
      </c>
      <c r="H1816" t="s">
        <v>242</v>
      </c>
      <c r="I1816" t="s">
        <v>242</v>
      </c>
      <c r="J1816" t="s">
        <v>242</v>
      </c>
      <c r="K1816" t="s">
        <v>241</v>
      </c>
      <c r="L1816" t="s">
        <v>242</v>
      </c>
      <c r="M1816">
        <v>38.509599999999999</v>
      </c>
      <c r="N1816">
        <v>-122.5478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 t="s">
        <v>9335</v>
      </c>
      <c r="AB1816" t="s">
        <v>242</v>
      </c>
      <c r="AC1816" t="s">
        <v>3229</v>
      </c>
    </row>
    <row r="1817" spans="1:29" x14ac:dyDescent="0.25">
      <c r="A1817" t="s">
        <v>738</v>
      </c>
      <c r="B1817" t="s">
        <v>252</v>
      </c>
      <c r="C1817" t="s">
        <v>394</v>
      </c>
      <c r="D1817" t="s">
        <v>3209</v>
      </c>
      <c r="E1817" t="s">
        <v>3246</v>
      </c>
      <c r="F1817">
        <v>19920827</v>
      </c>
      <c r="G1817" t="s">
        <v>9338</v>
      </c>
      <c r="H1817" t="s">
        <v>242</v>
      </c>
      <c r="I1817" t="s">
        <v>242</v>
      </c>
      <c r="J1817" t="s">
        <v>242</v>
      </c>
      <c r="K1817" t="s">
        <v>241</v>
      </c>
      <c r="L1817" t="s">
        <v>242</v>
      </c>
      <c r="M1817">
        <v>38.655900000000003</v>
      </c>
      <c r="N1817">
        <v>-122.8847</v>
      </c>
      <c r="O1817">
        <v>0.16666666699999999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0.86666666699999995</v>
      </c>
      <c r="Z1817">
        <v>2.8666666670000001</v>
      </c>
      <c r="AA1817" t="s">
        <v>9335</v>
      </c>
      <c r="AB1817" t="s">
        <v>242</v>
      </c>
      <c r="AC1817" t="s">
        <v>3229</v>
      </c>
    </row>
    <row r="1818" spans="1:29" x14ac:dyDescent="0.25">
      <c r="A1818" t="s">
        <v>736</v>
      </c>
      <c r="B1818" t="s">
        <v>252</v>
      </c>
      <c r="C1818" t="s">
        <v>403</v>
      </c>
      <c r="D1818" t="s">
        <v>3209</v>
      </c>
      <c r="E1818" t="s">
        <v>3226</v>
      </c>
      <c r="F1818">
        <v>19920427</v>
      </c>
      <c r="G1818" t="s">
        <v>9334</v>
      </c>
      <c r="H1818" t="s">
        <v>242</v>
      </c>
      <c r="I1818" t="s">
        <v>242</v>
      </c>
      <c r="J1818" t="s">
        <v>242</v>
      </c>
      <c r="K1818" t="s">
        <v>241</v>
      </c>
      <c r="L1818" t="s">
        <v>242</v>
      </c>
      <c r="M1818">
        <v>38.478900000000003</v>
      </c>
      <c r="N1818">
        <v>-123.0508</v>
      </c>
      <c r="O1818">
        <v>0.26816400000000001</v>
      </c>
      <c r="P1818">
        <v>0.308558</v>
      </c>
      <c r="Q1818">
        <v>0.27720349999999999</v>
      </c>
      <c r="R1818">
        <v>0.31590550000000001</v>
      </c>
      <c r="S1818">
        <v>0.36971349999999997</v>
      </c>
      <c r="T1818">
        <v>0.34859200000000001</v>
      </c>
      <c r="U1818">
        <v>0.39569799999999999</v>
      </c>
      <c r="V1818">
        <v>0.48418600000000001</v>
      </c>
      <c r="W1818">
        <v>0.42573</v>
      </c>
      <c r="X1818">
        <v>0.32080750000000002</v>
      </c>
      <c r="Y1818">
        <v>0.33210899999999999</v>
      </c>
      <c r="Z1818">
        <v>0.36043950000000002</v>
      </c>
      <c r="AA1818" t="s">
        <v>9333</v>
      </c>
      <c r="AB1818" t="s">
        <v>242</v>
      </c>
      <c r="AC1818" t="s">
        <v>3229</v>
      </c>
    </row>
    <row r="1819" spans="1:29" x14ac:dyDescent="0.25">
      <c r="A1819" t="s">
        <v>716</v>
      </c>
      <c r="B1819" t="s">
        <v>252</v>
      </c>
      <c r="C1819" t="s">
        <v>486</v>
      </c>
      <c r="D1819" t="s">
        <v>3209</v>
      </c>
      <c r="E1819" t="s">
        <v>3226</v>
      </c>
      <c r="F1819">
        <v>19940805</v>
      </c>
      <c r="G1819" t="s">
        <v>9334</v>
      </c>
      <c r="H1819" t="s">
        <v>241</v>
      </c>
      <c r="I1819" t="s">
        <v>242</v>
      </c>
      <c r="J1819" t="s">
        <v>242</v>
      </c>
      <c r="K1819" t="s">
        <v>241</v>
      </c>
      <c r="L1819" t="s">
        <v>242</v>
      </c>
      <c r="M1819">
        <v>38.536613359999997</v>
      </c>
      <c r="N1819">
        <v>-122.85447360000001</v>
      </c>
      <c r="O1819">
        <v>0.26100000000000001</v>
      </c>
      <c r="P1819">
        <v>0.22366666700000001</v>
      </c>
      <c r="Q1819">
        <v>0.29633333299999998</v>
      </c>
      <c r="R1819">
        <v>0.50666666699999996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1.003333333</v>
      </c>
      <c r="Y1819">
        <v>0.27600000000000002</v>
      </c>
      <c r="Z1819">
        <v>0.121333333</v>
      </c>
      <c r="AA1819" t="s">
        <v>9335</v>
      </c>
      <c r="AB1819" t="s">
        <v>242</v>
      </c>
      <c r="AC1819" t="s">
        <v>3229</v>
      </c>
    </row>
    <row r="1820" spans="1:29" x14ac:dyDescent="0.25">
      <c r="A1820" t="s">
        <v>656</v>
      </c>
      <c r="B1820" t="s">
        <v>252</v>
      </c>
      <c r="C1820" t="s">
        <v>314</v>
      </c>
      <c r="D1820" t="s">
        <v>3209</v>
      </c>
      <c r="E1820" t="s">
        <v>3246</v>
      </c>
      <c r="F1820">
        <v>19980616</v>
      </c>
      <c r="G1820" t="s">
        <v>9334</v>
      </c>
      <c r="H1820" t="s">
        <v>242</v>
      </c>
      <c r="I1820" t="s">
        <v>242</v>
      </c>
      <c r="J1820" t="s">
        <v>242</v>
      </c>
      <c r="K1820" t="s">
        <v>241</v>
      </c>
      <c r="L1820" t="s">
        <v>242</v>
      </c>
      <c r="M1820">
        <v>38.820700000000002</v>
      </c>
      <c r="N1820">
        <v>-123.0908</v>
      </c>
      <c r="O1820">
        <v>12.4</v>
      </c>
      <c r="P1820">
        <v>1.2</v>
      </c>
      <c r="Q1820">
        <v>0.33333333300000001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2</v>
      </c>
      <c r="AA1820" t="s">
        <v>9335</v>
      </c>
      <c r="AB1820" t="s">
        <v>242</v>
      </c>
      <c r="AC1820" t="s">
        <v>3229</v>
      </c>
    </row>
    <row r="1821" spans="1:29" x14ac:dyDescent="0.25">
      <c r="A1821" t="s">
        <v>669</v>
      </c>
      <c r="B1821" t="s">
        <v>252</v>
      </c>
      <c r="C1821" t="s">
        <v>352</v>
      </c>
      <c r="D1821" t="s">
        <v>3209</v>
      </c>
      <c r="E1821" t="s">
        <v>3226</v>
      </c>
      <c r="F1821">
        <v>19980325</v>
      </c>
      <c r="G1821" t="s">
        <v>9334</v>
      </c>
      <c r="H1821" t="s">
        <v>242</v>
      </c>
      <c r="I1821" t="s">
        <v>242</v>
      </c>
      <c r="J1821" t="s">
        <v>242</v>
      </c>
      <c r="K1821" t="s">
        <v>241</v>
      </c>
      <c r="L1821" t="s">
        <v>242</v>
      </c>
      <c r="M1821">
        <v>38.5625</v>
      </c>
      <c r="N1821">
        <v>-122.9757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 t="s">
        <v>9335</v>
      </c>
      <c r="AB1821" t="s">
        <v>242</v>
      </c>
      <c r="AC1821" t="s">
        <v>3229</v>
      </c>
    </row>
    <row r="1822" spans="1:29" x14ac:dyDescent="0.25">
      <c r="A1822" t="s">
        <v>624</v>
      </c>
      <c r="B1822" t="s">
        <v>252</v>
      </c>
      <c r="C1822" t="s">
        <v>394</v>
      </c>
      <c r="D1822" t="s">
        <v>3209</v>
      </c>
      <c r="E1822" t="s">
        <v>3226</v>
      </c>
      <c r="F1822">
        <v>19990802</v>
      </c>
      <c r="G1822" t="s">
        <v>9334</v>
      </c>
      <c r="H1822" t="s">
        <v>242</v>
      </c>
      <c r="I1822" t="s">
        <v>242</v>
      </c>
      <c r="J1822" t="s">
        <v>242</v>
      </c>
      <c r="K1822" t="s">
        <v>241</v>
      </c>
      <c r="L1822" t="s">
        <v>242</v>
      </c>
      <c r="M1822">
        <v>38.5988264</v>
      </c>
      <c r="N1822">
        <v>-122.9067598</v>
      </c>
      <c r="O1822">
        <v>4.9666666670000001</v>
      </c>
      <c r="P1822">
        <v>4.3333333329999997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6.6666666999999999E-2</v>
      </c>
      <c r="Z1822">
        <v>1</v>
      </c>
      <c r="AA1822" t="s">
        <v>9335</v>
      </c>
      <c r="AB1822" t="s">
        <v>242</v>
      </c>
      <c r="AC1822" t="s">
        <v>3229</v>
      </c>
    </row>
    <row r="1823" spans="1:29" x14ac:dyDescent="0.25">
      <c r="A1823" t="s">
        <v>610</v>
      </c>
      <c r="B1823" t="s">
        <v>252</v>
      </c>
      <c r="C1823" t="s">
        <v>403</v>
      </c>
      <c r="D1823" t="s">
        <v>3209</v>
      </c>
      <c r="E1823" t="s">
        <v>3226</v>
      </c>
      <c r="F1823">
        <v>20000113</v>
      </c>
      <c r="G1823" t="s">
        <v>9334</v>
      </c>
      <c r="H1823" t="s">
        <v>241</v>
      </c>
      <c r="I1823" t="s">
        <v>242</v>
      </c>
      <c r="J1823" t="s">
        <v>242</v>
      </c>
      <c r="K1823" t="s">
        <v>241</v>
      </c>
      <c r="L1823" t="s">
        <v>242</v>
      </c>
      <c r="M1823">
        <v>38.465570589999999</v>
      </c>
      <c r="N1823">
        <v>-123.0085655</v>
      </c>
      <c r="O1823">
        <v>3.2903893329999998</v>
      </c>
      <c r="P1823">
        <v>2.8668213329999999</v>
      </c>
      <c r="Q1823">
        <v>2.325643667</v>
      </c>
      <c r="R1823">
        <v>3.4946543330000002</v>
      </c>
      <c r="S1823">
        <v>3.327451333</v>
      </c>
      <c r="T1823">
        <v>4.1267023329999999</v>
      </c>
      <c r="U1823">
        <v>3.9415663329999999</v>
      </c>
      <c r="V1823">
        <v>5.028371667</v>
      </c>
      <c r="W1823">
        <v>4.3767036670000001</v>
      </c>
      <c r="X1823">
        <v>4.0021256669999996</v>
      </c>
      <c r="Y1823">
        <v>3.48332</v>
      </c>
      <c r="Z1823">
        <v>3.218403667</v>
      </c>
      <c r="AA1823" t="s">
        <v>9336</v>
      </c>
      <c r="AB1823" t="s">
        <v>242</v>
      </c>
      <c r="AC1823" t="s">
        <v>3229</v>
      </c>
    </row>
    <row r="1824" spans="1:29" x14ac:dyDescent="0.25">
      <c r="A1824" t="s">
        <v>595</v>
      </c>
      <c r="B1824" t="s">
        <v>252</v>
      </c>
      <c r="C1824" t="s">
        <v>403</v>
      </c>
      <c r="D1824" t="s">
        <v>3209</v>
      </c>
      <c r="E1824" t="s">
        <v>3226</v>
      </c>
      <c r="F1824">
        <v>20010607</v>
      </c>
      <c r="G1824" t="s">
        <v>9334</v>
      </c>
      <c r="H1824" t="s">
        <v>241</v>
      </c>
      <c r="I1824" t="s">
        <v>242</v>
      </c>
      <c r="J1824" t="s">
        <v>242</v>
      </c>
      <c r="K1824" t="s">
        <v>241</v>
      </c>
      <c r="L1824" t="s">
        <v>242</v>
      </c>
      <c r="M1824">
        <v>38.465403129999999</v>
      </c>
      <c r="N1824">
        <v>-123.00887400000001</v>
      </c>
      <c r="O1824">
        <v>0.77559199999999995</v>
      </c>
      <c r="P1824">
        <v>0.68968933300000002</v>
      </c>
      <c r="Q1824">
        <v>0.72468533300000004</v>
      </c>
      <c r="R1824">
        <v>0.79154599999999997</v>
      </c>
      <c r="S1824">
        <v>0.75499300000000003</v>
      </c>
      <c r="T1824">
        <v>0.94104399999999999</v>
      </c>
      <c r="U1824">
        <v>0.61733333300000004</v>
      </c>
      <c r="V1824">
        <v>0.64600000000000002</v>
      </c>
      <c r="W1824">
        <v>0.61233333300000004</v>
      </c>
      <c r="X1824">
        <v>0.672666667</v>
      </c>
      <c r="Y1824">
        <v>0.89060600000000001</v>
      </c>
      <c r="Z1824">
        <v>1.1153169999999999</v>
      </c>
      <c r="AA1824" t="s">
        <v>9336</v>
      </c>
      <c r="AB1824" t="s">
        <v>242</v>
      </c>
      <c r="AC1824" t="s">
        <v>3229</v>
      </c>
    </row>
    <row r="1825" spans="1:29" x14ac:dyDescent="0.25">
      <c r="A1825" t="s">
        <v>575</v>
      </c>
      <c r="B1825" t="s">
        <v>252</v>
      </c>
      <c r="C1825" t="s">
        <v>314</v>
      </c>
      <c r="D1825" t="s">
        <v>3209</v>
      </c>
      <c r="E1825" t="s">
        <v>3226</v>
      </c>
      <c r="F1825">
        <v>20020124</v>
      </c>
      <c r="G1825" t="s">
        <v>9334</v>
      </c>
      <c r="H1825" t="s">
        <v>242</v>
      </c>
      <c r="I1825" t="s">
        <v>242</v>
      </c>
      <c r="J1825" t="s">
        <v>242</v>
      </c>
      <c r="K1825" t="s">
        <v>241</v>
      </c>
      <c r="L1825" t="s">
        <v>242</v>
      </c>
      <c r="M1825">
        <v>38.789628980000003</v>
      </c>
      <c r="N1825">
        <v>-123.1313651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 t="s">
        <v>9335</v>
      </c>
      <c r="AB1825" t="s">
        <v>242</v>
      </c>
      <c r="AC1825" t="s">
        <v>3229</v>
      </c>
    </row>
    <row r="1826" spans="1:29" x14ac:dyDescent="0.25">
      <c r="A1826" t="s">
        <v>578</v>
      </c>
      <c r="B1826" t="s">
        <v>252</v>
      </c>
      <c r="C1826" t="s">
        <v>314</v>
      </c>
      <c r="D1826" t="s">
        <v>3209</v>
      </c>
      <c r="E1826" t="s">
        <v>3226</v>
      </c>
      <c r="F1826">
        <v>20020823</v>
      </c>
      <c r="G1826" t="s">
        <v>9334</v>
      </c>
      <c r="H1826" t="s">
        <v>242</v>
      </c>
      <c r="I1826" t="s">
        <v>242</v>
      </c>
      <c r="J1826" t="s">
        <v>242</v>
      </c>
      <c r="K1826" t="s">
        <v>241</v>
      </c>
      <c r="L1826" t="s">
        <v>242</v>
      </c>
      <c r="M1826">
        <v>38.801450199999998</v>
      </c>
      <c r="N1826">
        <v>-123.11576100000001</v>
      </c>
      <c r="O1826">
        <v>7.733333333</v>
      </c>
      <c r="P1826">
        <v>3.8666666670000001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5.9666666670000001</v>
      </c>
      <c r="Z1826">
        <v>2.0333333329999999</v>
      </c>
      <c r="AA1826" t="s">
        <v>9335</v>
      </c>
      <c r="AB1826" t="s">
        <v>242</v>
      </c>
      <c r="AC1826" t="s">
        <v>3229</v>
      </c>
    </row>
    <row r="1827" spans="1:29" x14ac:dyDescent="0.25">
      <c r="A1827" t="s">
        <v>8437</v>
      </c>
      <c r="B1827" t="s">
        <v>252</v>
      </c>
      <c r="C1827" t="e">
        <v>#N/A</v>
      </c>
      <c r="D1827" t="s">
        <v>3209</v>
      </c>
      <c r="E1827" t="s">
        <v>3226</v>
      </c>
      <c r="I1827" t="s">
        <v>242</v>
      </c>
      <c r="L1827" t="s">
        <v>242</v>
      </c>
    </row>
    <row r="1828" spans="1:29" x14ac:dyDescent="0.25">
      <c r="A1828" t="s">
        <v>535</v>
      </c>
      <c r="B1828" t="s">
        <v>252</v>
      </c>
      <c r="C1828" t="s">
        <v>323</v>
      </c>
      <c r="D1828" t="s">
        <v>3209</v>
      </c>
      <c r="E1828" t="s">
        <v>3226</v>
      </c>
      <c r="F1828">
        <v>20040427</v>
      </c>
      <c r="G1828" t="s">
        <v>9338</v>
      </c>
      <c r="H1828" t="s">
        <v>242</v>
      </c>
      <c r="I1828" t="s">
        <v>242</v>
      </c>
      <c r="J1828" t="s">
        <v>242</v>
      </c>
      <c r="K1828" t="s">
        <v>241</v>
      </c>
      <c r="L1828" t="s">
        <v>242</v>
      </c>
      <c r="M1828">
        <v>38.522199999999998</v>
      </c>
      <c r="N1828">
        <v>-122.55889999999999</v>
      </c>
      <c r="O1828">
        <v>0.33333333300000001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0.33333333300000001</v>
      </c>
      <c r="Z1828">
        <v>1</v>
      </c>
      <c r="AA1828" t="s">
        <v>9335</v>
      </c>
      <c r="AB1828" t="s">
        <v>242</v>
      </c>
      <c r="AC1828" t="s">
        <v>3229</v>
      </c>
    </row>
    <row r="1829" spans="1:29" x14ac:dyDescent="0.25">
      <c r="A1829" t="s">
        <v>527</v>
      </c>
      <c r="B1829" t="s">
        <v>252</v>
      </c>
      <c r="C1829" t="s">
        <v>403</v>
      </c>
      <c r="D1829" t="s">
        <v>3209</v>
      </c>
      <c r="E1829" t="s">
        <v>3226</v>
      </c>
      <c r="F1829">
        <v>20050317</v>
      </c>
      <c r="G1829" t="s">
        <v>9334</v>
      </c>
      <c r="H1829" t="s">
        <v>242</v>
      </c>
      <c r="I1829" t="s">
        <v>242</v>
      </c>
      <c r="J1829" t="s">
        <v>242</v>
      </c>
      <c r="K1829" t="s">
        <v>241</v>
      </c>
      <c r="L1829" t="s">
        <v>242</v>
      </c>
      <c r="M1829">
        <v>38.485066850000003</v>
      </c>
      <c r="N1829">
        <v>-123.0584726</v>
      </c>
      <c r="O1829">
        <v>0.43220933299999997</v>
      </c>
      <c r="P1829">
        <v>0.351427667</v>
      </c>
      <c r="Q1829">
        <v>0.40622599999999998</v>
      </c>
      <c r="R1829">
        <v>0.57156833299999998</v>
      </c>
      <c r="S1829">
        <v>0.52237900000000004</v>
      </c>
      <c r="T1829">
        <v>0.807874333</v>
      </c>
      <c r="U1829">
        <v>1.064441333</v>
      </c>
      <c r="V1829">
        <v>0.75409633300000001</v>
      </c>
      <c r="W1829">
        <v>0.73549566700000002</v>
      </c>
      <c r="X1829">
        <v>0.58240933299999997</v>
      </c>
      <c r="Y1829">
        <v>0.58732933300000001</v>
      </c>
      <c r="Z1829">
        <v>0.54562966700000004</v>
      </c>
      <c r="AA1829" t="s">
        <v>9333</v>
      </c>
      <c r="AB1829" t="s">
        <v>242</v>
      </c>
      <c r="AC1829" t="s">
        <v>3229</v>
      </c>
    </row>
    <row r="1830" spans="1:29" x14ac:dyDescent="0.25">
      <c r="A1830" t="s">
        <v>514</v>
      </c>
      <c r="B1830" t="s">
        <v>252</v>
      </c>
      <c r="C1830" t="s">
        <v>378</v>
      </c>
      <c r="D1830" t="s">
        <v>3209</v>
      </c>
      <c r="E1830" t="s">
        <v>3226</v>
      </c>
      <c r="F1830">
        <v>20060530</v>
      </c>
      <c r="G1830" t="s">
        <v>9338</v>
      </c>
      <c r="H1830" t="s">
        <v>242</v>
      </c>
      <c r="I1830" t="s">
        <v>242</v>
      </c>
      <c r="J1830" t="s">
        <v>242</v>
      </c>
      <c r="K1830" t="s">
        <v>241</v>
      </c>
      <c r="L1830" t="s">
        <v>242</v>
      </c>
      <c r="M1830">
        <v>38.502392839999999</v>
      </c>
      <c r="N1830">
        <v>-122.6948888</v>
      </c>
      <c r="O1830">
        <v>0</v>
      </c>
      <c r="P1830">
        <v>0</v>
      </c>
      <c r="Q1830">
        <v>0</v>
      </c>
      <c r="R1830">
        <v>0</v>
      </c>
      <c r="S1830">
        <v>0.1</v>
      </c>
      <c r="T1830">
        <v>0</v>
      </c>
      <c r="U1830">
        <v>0</v>
      </c>
      <c r="V1830">
        <v>0</v>
      </c>
      <c r="W1830">
        <v>0</v>
      </c>
      <c r="X1830">
        <v>2.75</v>
      </c>
      <c r="Y1830">
        <v>0</v>
      </c>
      <c r="Z1830">
        <v>3.15</v>
      </c>
      <c r="AA1830" t="s">
        <v>9343</v>
      </c>
      <c r="AB1830" t="s">
        <v>242</v>
      </c>
      <c r="AC1830" t="s">
        <v>3229</v>
      </c>
    </row>
    <row r="1831" spans="1:29" x14ac:dyDescent="0.25">
      <c r="A1831" t="s">
        <v>494</v>
      </c>
      <c r="B1831" t="s">
        <v>252</v>
      </c>
      <c r="C1831" t="s">
        <v>323</v>
      </c>
      <c r="D1831" t="s">
        <v>3209</v>
      </c>
      <c r="E1831" t="s">
        <v>3226</v>
      </c>
      <c r="F1831">
        <v>20080728</v>
      </c>
      <c r="G1831" t="s">
        <v>9338</v>
      </c>
      <c r="H1831" t="s">
        <v>242</v>
      </c>
      <c r="I1831" t="s">
        <v>242</v>
      </c>
      <c r="J1831" t="s">
        <v>242</v>
      </c>
      <c r="K1831" t="s">
        <v>241</v>
      </c>
      <c r="L1831" t="s">
        <v>242</v>
      </c>
      <c r="M1831">
        <v>38.495800000000003</v>
      </c>
      <c r="N1831">
        <v>-122.82299999999999</v>
      </c>
      <c r="O1831">
        <v>2</v>
      </c>
      <c r="P1831">
        <v>2.3333333330000001</v>
      </c>
      <c r="Q1831">
        <v>5.6666666670000003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1.2</v>
      </c>
      <c r="Y1831">
        <v>4.1333333330000004</v>
      </c>
      <c r="Z1831">
        <v>8.3000000000000007</v>
      </c>
      <c r="AA1831" t="s">
        <v>9335</v>
      </c>
      <c r="AB1831" t="s">
        <v>242</v>
      </c>
      <c r="AC1831" t="s">
        <v>3229</v>
      </c>
    </row>
    <row r="1832" spans="1:29" x14ac:dyDescent="0.25">
      <c r="A1832" t="s">
        <v>495</v>
      </c>
      <c r="B1832" t="s">
        <v>252</v>
      </c>
      <c r="C1832" t="s">
        <v>378</v>
      </c>
      <c r="D1832" t="s">
        <v>3209</v>
      </c>
      <c r="E1832" t="s">
        <v>3226</v>
      </c>
      <c r="F1832">
        <v>20081218</v>
      </c>
      <c r="G1832" t="s">
        <v>9338</v>
      </c>
      <c r="H1832" t="s">
        <v>242</v>
      </c>
      <c r="I1832" t="s">
        <v>242</v>
      </c>
      <c r="J1832" t="s">
        <v>242</v>
      </c>
      <c r="K1832" t="s">
        <v>241</v>
      </c>
      <c r="L1832" t="s">
        <v>242</v>
      </c>
      <c r="M1832">
        <v>38.392259750000001</v>
      </c>
      <c r="N1832">
        <v>-122.6069316</v>
      </c>
      <c r="O1832">
        <v>12.15</v>
      </c>
      <c r="P1832">
        <v>0.75</v>
      </c>
      <c r="Q1832">
        <v>4.9000000000000004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0.1</v>
      </c>
      <c r="Z1832">
        <v>4.3499999999999996</v>
      </c>
      <c r="AA1832" t="s">
        <v>9335</v>
      </c>
      <c r="AB1832" t="s">
        <v>242</v>
      </c>
      <c r="AC1832" t="s">
        <v>3229</v>
      </c>
    </row>
    <row r="1833" spans="1:29" x14ac:dyDescent="0.25">
      <c r="A1833" t="s">
        <v>483</v>
      </c>
      <c r="B1833" t="s">
        <v>252</v>
      </c>
      <c r="C1833" t="s">
        <v>352</v>
      </c>
      <c r="D1833" t="s">
        <v>3209</v>
      </c>
      <c r="E1833" t="s">
        <v>3226</v>
      </c>
      <c r="F1833">
        <v>20090123</v>
      </c>
      <c r="G1833" t="s">
        <v>9338</v>
      </c>
      <c r="H1833" t="s">
        <v>241</v>
      </c>
      <c r="I1833" t="s">
        <v>242</v>
      </c>
      <c r="J1833" t="s">
        <v>242</v>
      </c>
      <c r="K1833" t="s">
        <v>241</v>
      </c>
      <c r="L1833" t="s">
        <v>242</v>
      </c>
      <c r="M1833">
        <v>38.517800000000001</v>
      </c>
      <c r="N1833">
        <v>-122.8815</v>
      </c>
      <c r="O1833">
        <v>6.733333333</v>
      </c>
      <c r="P1833">
        <v>0</v>
      </c>
      <c r="Q1833">
        <v>11.133333329999999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20.333333329999999</v>
      </c>
      <c r="Y1833">
        <v>13.133333329999999</v>
      </c>
      <c r="Z1833">
        <v>19.866666670000001</v>
      </c>
      <c r="AA1833" t="s">
        <v>9335</v>
      </c>
      <c r="AB1833" t="s">
        <v>242</v>
      </c>
      <c r="AC1833" t="s">
        <v>3229</v>
      </c>
    </row>
    <row r="1834" spans="1:29" x14ac:dyDescent="0.25">
      <c r="A1834" t="s">
        <v>5785</v>
      </c>
      <c r="B1834" t="s">
        <v>252</v>
      </c>
      <c r="C1834" t="e">
        <v>#N/A</v>
      </c>
      <c r="D1834" t="s">
        <v>3209</v>
      </c>
      <c r="E1834" t="s">
        <v>3226</v>
      </c>
      <c r="I1834" t="s">
        <v>242</v>
      </c>
      <c r="L1834" t="s">
        <v>242</v>
      </c>
    </row>
    <row r="1835" spans="1:29" x14ac:dyDescent="0.25">
      <c r="A1835" t="s">
        <v>1081</v>
      </c>
      <c r="B1835" t="s">
        <v>252</v>
      </c>
      <c r="C1835" t="s">
        <v>378</v>
      </c>
      <c r="D1835" t="s">
        <v>3752</v>
      </c>
      <c r="E1835" t="s">
        <v>3723</v>
      </c>
      <c r="F1835">
        <v>19750422</v>
      </c>
      <c r="G1835" t="s">
        <v>9332</v>
      </c>
      <c r="H1835" t="s">
        <v>242</v>
      </c>
      <c r="I1835" t="s">
        <v>242</v>
      </c>
      <c r="J1835" t="s">
        <v>242</v>
      </c>
      <c r="K1835" t="s">
        <v>241</v>
      </c>
      <c r="L1835" t="s">
        <v>242</v>
      </c>
      <c r="M1835">
        <v>38.44760144</v>
      </c>
      <c r="N1835">
        <v>-122.598159</v>
      </c>
      <c r="O1835">
        <v>1</v>
      </c>
      <c r="P1835">
        <v>1.1666666670000001</v>
      </c>
      <c r="Q1835">
        <v>0.16666666699999999</v>
      </c>
      <c r="R1835">
        <v>0.16666666699999999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0.16666666699999999</v>
      </c>
      <c r="Z1835">
        <v>0</v>
      </c>
      <c r="AA1835" t="s">
        <v>9342</v>
      </c>
      <c r="AB1835" t="s">
        <v>242</v>
      </c>
      <c r="AC1835" t="s">
        <v>3229</v>
      </c>
    </row>
    <row r="1836" spans="1:29" x14ac:dyDescent="0.25">
      <c r="A1836" t="s">
        <v>1019</v>
      </c>
      <c r="B1836" t="s">
        <v>252</v>
      </c>
      <c r="C1836" t="s">
        <v>403</v>
      </c>
      <c r="D1836" t="s">
        <v>3752</v>
      </c>
      <c r="E1836" t="s">
        <v>3723</v>
      </c>
      <c r="F1836">
        <v>19761203</v>
      </c>
      <c r="G1836" t="s">
        <v>9332</v>
      </c>
      <c r="H1836" t="s">
        <v>242</v>
      </c>
      <c r="I1836" t="s">
        <v>242</v>
      </c>
      <c r="J1836" t="s">
        <v>242</v>
      </c>
      <c r="K1836" t="s">
        <v>241</v>
      </c>
      <c r="L1836" t="s">
        <v>242</v>
      </c>
      <c r="M1836">
        <v>38.434298320000003</v>
      </c>
      <c r="N1836">
        <v>-122.9461196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 t="s">
        <v>9342</v>
      </c>
      <c r="AB1836" t="s">
        <v>242</v>
      </c>
      <c r="AC1836" t="s">
        <v>3229</v>
      </c>
    </row>
    <row r="1837" spans="1:29" x14ac:dyDescent="0.25">
      <c r="A1837" t="s">
        <v>1021</v>
      </c>
      <c r="B1837" t="s">
        <v>252</v>
      </c>
      <c r="C1837" t="s">
        <v>403</v>
      </c>
      <c r="D1837" t="s">
        <v>3752</v>
      </c>
      <c r="E1837" t="s">
        <v>3723</v>
      </c>
      <c r="F1837">
        <v>19761203</v>
      </c>
      <c r="G1837" t="s">
        <v>9332</v>
      </c>
      <c r="H1837" t="s">
        <v>242</v>
      </c>
      <c r="I1837" t="s">
        <v>242</v>
      </c>
      <c r="J1837" t="s">
        <v>242</v>
      </c>
      <c r="K1837" t="s">
        <v>241</v>
      </c>
      <c r="L1837" t="s">
        <v>242</v>
      </c>
      <c r="M1837">
        <v>38.442995760000002</v>
      </c>
      <c r="N1837">
        <v>-122.95705890000001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 t="s">
        <v>9342</v>
      </c>
      <c r="AB1837" t="s">
        <v>242</v>
      </c>
      <c r="AC1837" t="s">
        <v>3229</v>
      </c>
    </row>
    <row r="1838" spans="1:29" x14ac:dyDescent="0.25">
      <c r="A1838" t="s">
        <v>990</v>
      </c>
      <c r="B1838" t="s">
        <v>252</v>
      </c>
      <c r="C1838" t="s">
        <v>585</v>
      </c>
      <c r="D1838" t="s">
        <v>3752</v>
      </c>
      <c r="E1838" t="s">
        <v>3723</v>
      </c>
      <c r="F1838">
        <v>19770927</v>
      </c>
      <c r="G1838" t="s">
        <v>9332</v>
      </c>
      <c r="H1838" t="s">
        <v>242</v>
      </c>
      <c r="I1838" t="s">
        <v>242</v>
      </c>
      <c r="J1838" t="s">
        <v>242</v>
      </c>
      <c r="K1838" t="s">
        <v>241</v>
      </c>
      <c r="L1838" t="s">
        <v>242</v>
      </c>
      <c r="M1838">
        <v>38.315799650000002</v>
      </c>
      <c r="N1838">
        <v>-122.78178490000001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 t="s">
        <v>9342</v>
      </c>
      <c r="AB1838" t="s">
        <v>242</v>
      </c>
      <c r="AC1838" t="s">
        <v>3229</v>
      </c>
    </row>
    <row r="1839" spans="1:29" x14ac:dyDescent="0.25">
      <c r="A1839" t="s">
        <v>991</v>
      </c>
      <c r="B1839" t="s">
        <v>252</v>
      </c>
      <c r="C1839" t="s">
        <v>391</v>
      </c>
      <c r="D1839" t="s">
        <v>3752</v>
      </c>
      <c r="E1839" t="s">
        <v>3723</v>
      </c>
      <c r="F1839">
        <v>19771128</v>
      </c>
      <c r="G1839" t="s">
        <v>9332</v>
      </c>
      <c r="H1839" t="s">
        <v>242</v>
      </c>
      <c r="I1839" t="s">
        <v>242</v>
      </c>
      <c r="J1839" t="s">
        <v>242</v>
      </c>
      <c r="K1839" t="s">
        <v>241</v>
      </c>
      <c r="L1839" t="s">
        <v>242</v>
      </c>
      <c r="M1839">
        <v>38.518777700000001</v>
      </c>
      <c r="N1839">
        <v>-122.8144131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 t="s">
        <v>9342</v>
      </c>
      <c r="AB1839" t="s">
        <v>242</v>
      </c>
      <c r="AC1839" t="s">
        <v>3229</v>
      </c>
    </row>
    <row r="1840" spans="1:29" x14ac:dyDescent="0.25">
      <c r="A1840" t="s">
        <v>755</v>
      </c>
      <c r="B1840" t="s">
        <v>252</v>
      </c>
      <c r="C1840" t="s">
        <v>486</v>
      </c>
      <c r="D1840" t="s">
        <v>3752</v>
      </c>
      <c r="E1840" t="s">
        <v>3723</v>
      </c>
      <c r="F1840">
        <v>19910109</v>
      </c>
      <c r="G1840" t="s">
        <v>9332</v>
      </c>
      <c r="H1840" t="s">
        <v>242</v>
      </c>
      <c r="I1840" t="s">
        <v>242</v>
      </c>
      <c r="J1840" t="s">
        <v>242</v>
      </c>
      <c r="K1840" t="s">
        <v>241</v>
      </c>
      <c r="L1840" t="s">
        <v>242</v>
      </c>
      <c r="M1840">
        <v>38.560294990000003</v>
      </c>
      <c r="N1840">
        <v>-122.8823866</v>
      </c>
      <c r="O1840">
        <v>1</v>
      </c>
      <c r="P1840">
        <v>1</v>
      </c>
      <c r="Q1840">
        <v>0.66666666699999999</v>
      </c>
      <c r="R1840">
        <v>1.6666666670000001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2</v>
      </c>
      <c r="AA1840" t="s">
        <v>9342</v>
      </c>
      <c r="AB1840" t="s">
        <v>242</v>
      </c>
      <c r="AC1840" t="s">
        <v>3229</v>
      </c>
    </row>
    <row r="1841" spans="1:29" x14ac:dyDescent="0.25">
      <c r="A1841" t="s">
        <v>754</v>
      </c>
      <c r="B1841" t="s">
        <v>252</v>
      </c>
      <c r="C1841" t="s">
        <v>394</v>
      </c>
      <c r="D1841" t="s">
        <v>3752</v>
      </c>
      <c r="E1841" t="s">
        <v>3723</v>
      </c>
      <c r="F1841">
        <v>19910402</v>
      </c>
      <c r="G1841" t="s">
        <v>9332</v>
      </c>
      <c r="H1841" t="s">
        <v>242</v>
      </c>
      <c r="I1841" t="s">
        <v>242</v>
      </c>
      <c r="J1841" t="s">
        <v>242</v>
      </c>
      <c r="K1841" t="s">
        <v>241</v>
      </c>
      <c r="L1841" t="s">
        <v>242</v>
      </c>
      <c r="M1841">
        <v>38.592154890000003</v>
      </c>
      <c r="N1841">
        <v>-122.91707049999999</v>
      </c>
      <c r="O1841">
        <v>3</v>
      </c>
      <c r="P1841">
        <v>1.6666666670000001</v>
      </c>
      <c r="Q1841">
        <v>1.6666666670000001</v>
      </c>
      <c r="R1841">
        <v>1.3333333329999999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1</v>
      </c>
      <c r="AA1841" t="s">
        <v>9342</v>
      </c>
      <c r="AB1841" t="s">
        <v>242</v>
      </c>
      <c r="AC1841" t="s">
        <v>3229</v>
      </c>
    </row>
    <row r="1842" spans="1:29" x14ac:dyDescent="0.25">
      <c r="A1842" t="s">
        <v>801</v>
      </c>
      <c r="B1842" t="s">
        <v>252</v>
      </c>
      <c r="C1842" t="s">
        <v>394</v>
      </c>
      <c r="D1842" t="s">
        <v>3718</v>
      </c>
      <c r="E1842" t="s">
        <v>3727</v>
      </c>
      <c r="F1842">
        <v>19890703</v>
      </c>
      <c r="G1842" t="s">
        <v>9338</v>
      </c>
      <c r="H1842" t="s">
        <v>242</v>
      </c>
      <c r="I1842" t="s">
        <v>242</v>
      </c>
      <c r="J1842" t="s">
        <v>242</v>
      </c>
      <c r="K1842" t="s">
        <v>241</v>
      </c>
      <c r="L1842" t="s">
        <v>242</v>
      </c>
      <c r="M1842">
        <v>38.579626130000001</v>
      </c>
      <c r="N1842">
        <v>-122.8861239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 t="s">
        <v>9333</v>
      </c>
      <c r="AB1842" t="s">
        <v>242</v>
      </c>
      <c r="AC1842" t="s">
        <v>3229</v>
      </c>
    </row>
    <row r="1843" spans="1:29" x14ac:dyDescent="0.25">
      <c r="A1843" t="s">
        <v>620</v>
      </c>
      <c r="B1843" t="s">
        <v>252</v>
      </c>
      <c r="C1843" t="s">
        <v>394</v>
      </c>
      <c r="D1843" t="s">
        <v>3718</v>
      </c>
      <c r="E1843" t="s">
        <v>3727</v>
      </c>
      <c r="F1843">
        <v>20000924</v>
      </c>
      <c r="G1843" t="s">
        <v>9338</v>
      </c>
      <c r="H1843" t="s">
        <v>242</v>
      </c>
      <c r="I1843" t="s">
        <v>242</v>
      </c>
      <c r="J1843" t="s">
        <v>242</v>
      </c>
      <c r="K1843" t="s">
        <v>241</v>
      </c>
      <c r="L1843" t="s">
        <v>242</v>
      </c>
      <c r="M1843">
        <v>38.627134380000001</v>
      </c>
      <c r="N1843">
        <v>-122.9211959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0.73333333300000003</v>
      </c>
      <c r="AA1843" t="s">
        <v>9333</v>
      </c>
      <c r="AB1843" t="s">
        <v>242</v>
      </c>
      <c r="AC1843" t="s">
        <v>3229</v>
      </c>
    </row>
    <row r="1844" spans="1:29" x14ac:dyDescent="0.25">
      <c r="A1844" t="s">
        <v>757</v>
      </c>
      <c r="B1844" t="s">
        <v>252</v>
      </c>
      <c r="C1844" t="s">
        <v>489</v>
      </c>
      <c r="D1844" t="s">
        <v>3718</v>
      </c>
      <c r="E1844" t="s">
        <v>3727</v>
      </c>
      <c r="F1844">
        <v>19901116</v>
      </c>
      <c r="G1844" t="s">
        <v>9338</v>
      </c>
      <c r="H1844" t="s">
        <v>242</v>
      </c>
      <c r="I1844" t="s">
        <v>242</v>
      </c>
      <c r="J1844" t="s">
        <v>242</v>
      </c>
      <c r="K1844" t="s">
        <v>241</v>
      </c>
      <c r="L1844" t="s">
        <v>242</v>
      </c>
      <c r="M1844">
        <v>38.674774960000001</v>
      </c>
      <c r="N1844">
        <v>-122.9556159</v>
      </c>
      <c r="O1844">
        <v>3.333333E-3</v>
      </c>
      <c r="P1844">
        <v>6.6666670000000003E-3</v>
      </c>
      <c r="Q1844">
        <v>3.333333E-3</v>
      </c>
      <c r="R1844">
        <v>6.6666670000000003E-3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3.333333E-3</v>
      </c>
      <c r="AA1844" t="s">
        <v>9333</v>
      </c>
      <c r="AB1844" t="s">
        <v>242</v>
      </c>
      <c r="AC1844" t="s">
        <v>3229</v>
      </c>
    </row>
    <row r="1845" spans="1:29" x14ac:dyDescent="0.25">
      <c r="A1845" t="s">
        <v>747</v>
      </c>
      <c r="B1845" t="s">
        <v>252</v>
      </c>
      <c r="C1845" t="s">
        <v>489</v>
      </c>
      <c r="D1845" t="s">
        <v>3718</v>
      </c>
      <c r="E1845" t="s">
        <v>3727</v>
      </c>
      <c r="F1845">
        <v>19920407</v>
      </c>
      <c r="G1845" t="s">
        <v>9338</v>
      </c>
      <c r="H1845" t="s">
        <v>242</v>
      </c>
      <c r="I1845" t="s">
        <v>242</v>
      </c>
      <c r="J1845" t="s">
        <v>242</v>
      </c>
      <c r="K1845" t="s">
        <v>241</v>
      </c>
      <c r="L1845" t="s">
        <v>242</v>
      </c>
      <c r="M1845">
        <v>38.690542979999996</v>
      </c>
      <c r="N1845">
        <v>-122.9414617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 t="s">
        <v>9333</v>
      </c>
      <c r="AB1845" t="s">
        <v>242</v>
      </c>
      <c r="AC1845" t="s">
        <v>3229</v>
      </c>
    </row>
    <row r="1846" spans="1:29" x14ac:dyDescent="0.25">
      <c r="A1846" t="s">
        <v>728</v>
      </c>
      <c r="B1846" t="s">
        <v>252</v>
      </c>
      <c r="C1846" t="s">
        <v>403</v>
      </c>
      <c r="D1846" t="s">
        <v>3718</v>
      </c>
      <c r="E1846" t="s">
        <v>3727</v>
      </c>
      <c r="F1846">
        <v>19930512</v>
      </c>
      <c r="G1846" t="s">
        <v>9332</v>
      </c>
      <c r="H1846" t="s">
        <v>242</v>
      </c>
      <c r="I1846" t="s">
        <v>242</v>
      </c>
      <c r="J1846" t="s">
        <v>242</v>
      </c>
      <c r="K1846" t="s">
        <v>241</v>
      </c>
      <c r="L1846" t="s">
        <v>242</v>
      </c>
      <c r="M1846">
        <v>38.426581040000002</v>
      </c>
      <c r="N1846">
        <v>-122.9824976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 t="s">
        <v>9333</v>
      </c>
      <c r="AB1846" t="s">
        <v>242</v>
      </c>
      <c r="AC1846" t="s">
        <v>3229</v>
      </c>
    </row>
    <row r="1847" spans="1:29" x14ac:dyDescent="0.25">
      <c r="A1847" t="s">
        <v>720</v>
      </c>
      <c r="B1847" t="s">
        <v>252</v>
      </c>
      <c r="C1847" t="s">
        <v>352</v>
      </c>
      <c r="D1847" t="s">
        <v>3718</v>
      </c>
      <c r="E1847" t="s">
        <v>3727</v>
      </c>
      <c r="F1847">
        <v>19940415</v>
      </c>
      <c r="G1847" t="s">
        <v>9332</v>
      </c>
      <c r="H1847" t="s">
        <v>242</v>
      </c>
      <c r="I1847" t="s">
        <v>242</v>
      </c>
      <c r="J1847" t="s">
        <v>242</v>
      </c>
      <c r="K1847" t="s">
        <v>241</v>
      </c>
      <c r="L1847" t="s">
        <v>242</v>
      </c>
      <c r="M1847">
        <v>38.372693869999999</v>
      </c>
      <c r="N1847">
        <v>-122.888622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 t="s">
        <v>9333</v>
      </c>
      <c r="AB1847" t="s">
        <v>242</v>
      </c>
      <c r="AC1847" t="s">
        <v>3229</v>
      </c>
    </row>
    <row r="1848" spans="1:29" x14ac:dyDescent="0.25">
      <c r="A1848" t="s">
        <v>710</v>
      </c>
      <c r="B1848" t="s">
        <v>252</v>
      </c>
      <c r="C1848" t="s">
        <v>403</v>
      </c>
      <c r="D1848" t="s">
        <v>3718</v>
      </c>
      <c r="E1848" t="s">
        <v>3727</v>
      </c>
      <c r="F1848">
        <v>19950710</v>
      </c>
      <c r="G1848" t="s">
        <v>9338</v>
      </c>
      <c r="H1848" t="s">
        <v>242</v>
      </c>
      <c r="I1848" t="s">
        <v>242</v>
      </c>
      <c r="J1848" t="s">
        <v>242</v>
      </c>
      <c r="K1848" t="s">
        <v>241</v>
      </c>
      <c r="L1848" t="s">
        <v>242</v>
      </c>
      <c r="M1848">
        <v>38.415088930000003</v>
      </c>
      <c r="N1848">
        <v>-122.9612233</v>
      </c>
      <c r="O1848">
        <v>1.3333333329999999</v>
      </c>
      <c r="P1848">
        <v>0.33333333300000001</v>
      </c>
      <c r="Q1848">
        <v>0.33333333300000001</v>
      </c>
      <c r="R1848">
        <v>0.33333333300000001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0.33333333300000001</v>
      </c>
      <c r="Y1848">
        <v>1.3333333329999999</v>
      </c>
      <c r="Z1848">
        <v>1.6666666670000001</v>
      </c>
      <c r="AA1848" t="s">
        <v>9333</v>
      </c>
      <c r="AB1848" t="s">
        <v>242</v>
      </c>
      <c r="AC1848" t="s">
        <v>3229</v>
      </c>
    </row>
    <row r="1849" spans="1:29" x14ac:dyDescent="0.25">
      <c r="A1849" t="s">
        <v>699</v>
      </c>
      <c r="B1849" t="s">
        <v>252</v>
      </c>
      <c r="C1849" t="s">
        <v>486</v>
      </c>
      <c r="D1849" t="s">
        <v>3718</v>
      </c>
      <c r="E1849" t="s">
        <v>3727</v>
      </c>
      <c r="F1849">
        <v>19970404</v>
      </c>
      <c r="G1849" t="s">
        <v>9338</v>
      </c>
      <c r="H1849" t="s">
        <v>241</v>
      </c>
      <c r="I1849" t="s">
        <v>242</v>
      </c>
      <c r="J1849" t="s">
        <v>242</v>
      </c>
      <c r="K1849" t="s">
        <v>241</v>
      </c>
      <c r="L1849" t="s">
        <v>242</v>
      </c>
      <c r="M1849">
        <v>38.539310039999997</v>
      </c>
      <c r="N1849">
        <v>-122.861149</v>
      </c>
      <c r="O1849">
        <v>2.2832999999999999E-2</v>
      </c>
      <c r="P1849">
        <v>6.9774000000000003E-2</v>
      </c>
      <c r="Q1849">
        <v>8.7238999999999997E-2</v>
      </c>
      <c r="R1849">
        <v>9.3448000000000003E-2</v>
      </c>
      <c r="S1849">
        <v>0.10331700000000001</v>
      </c>
      <c r="T1849">
        <v>0.11683300000000001</v>
      </c>
      <c r="U1849">
        <v>0.12709999999999999</v>
      </c>
      <c r="V1849">
        <v>0.134712</v>
      </c>
      <c r="W1849">
        <v>0.118121</v>
      </c>
      <c r="X1849">
        <v>8.9807999999999999E-2</v>
      </c>
      <c r="Y1849">
        <v>7.5441999999999995E-2</v>
      </c>
      <c r="Z1849">
        <v>1.8551000000000002E-2</v>
      </c>
      <c r="AA1849" t="s">
        <v>9333</v>
      </c>
      <c r="AB1849" t="s">
        <v>242</v>
      </c>
      <c r="AC1849" t="s">
        <v>3229</v>
      </c>
    </row>
    <row r="1850" spans="1:29" x14ac:dyDescent="0.25">
      <c r="A1850" t="s">
        <v>683</v>
      </c>
      <c r="B1850" t="s">
        <v>252</v>
      </c>
      <c r="C1850" t="s">
        <v>684</v>
      </c>
      <c r="D1850" t="s">
        <v>3718</v>
      </c>
      <c r="E1850" t="s">
        <v>3727</v>
      </c>
      <c r="F1850">
        <v>19980603</v>
      </c>
      <c r="G1850" t="s">
        <v>9334</v>
      </c>
      <c r="H1850" t="s">
        <v>242</v>
      </c>
      <c r="I1850" t="s">
        <v>242</v>
      </c>
      <c r="J1850" t="s">
        <v>242</v>
      </c>
      <c r="K1850" t="s">
        <v>241</v>
      </c>
      <c r="L1850" t="s">
        <v>242</v>
      </c>
      <c r="M1850">
        <v>38.522147990000001</v>
      </c>
      <c r="N1850">
        <v>-122.9490301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 t="s">
        <v>9333</v>
      </c>
      <c r="AB1850" t="s">
        <v>242</v>
      </c>
      <c r="AC1850" t="s">
        <v>3229</v>
      </c>
    </row>
    <row r="1851" spans="1:29" x14ac:dyDescent="0.25">
      <c r="A1851" t="s">
        <v>671</v>
      </c>
      <c r="B1851" t="s">
        <v>252</v>
      </c>
      <c r="C1851" t="s">
        <v>394</v>
      </c>
      <c r="D1851" t="s">
        <v>3718</v>
      </c>
      <c r="E1851" t="s">
        <v>3727</v>
      </c>
      <c r="F1851">
        <v>19980729</v>
      </c>
      <c r="G1851" t="s">
        <v>9334</v>
      </c>
      <c r="H1851" t="s">
        <v>242</v>
      </c>
      <c r="I1851" t="s">
        <v>242</v>
      </c>
      <c r="J1851" t="s">
        <v>242</v>
      </c>
      <c r="K1851" t="s">
        <v>241</v>
      </c>
      <c r="L1851" t="s">
        <v>242</v>
      </c>
      <c r="M1851">
        <v>38.59785523</v>
      </c>
      <c r="N1851">
        <v>-122.9080457</v>
      </c>
      <c r="O1851">
        <v>0.3</v>
      </c>
      <c r="P1851">
        <v>0.2</v>
      </c>
      <c r="Q1851">
        <v>4.4999999999999998E-2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2.2499999999999999E-2</v>
      </c>
      <c r="Y1851">
        <v>0.1</v>
      </c>
      <c r="Z1851">
        <v>0.15</v>
      </c>
      <c r="AA1851" t="s">
        <v>9333</v>
      </c>
      <c r="AB1851" t="s">
        <v>242</v>
      </c>
      <c r="AC1851" t="s">
        <v>3229</v>
      </c>
    </row>
    <row r="1852" spans="1:29" x14ac:dyDescent="0.25">
      <c r="A1852" t="s">
        <v>623</v>
      </c>
      <c r="B1852" t="s">
        <v>252</v>
      </c>
      <c r="C1852" t="s">
        <v>314</v>
      </c>
      <c r="D1852" t="s">
        <v>3718</v>
      </c>
      <c r="E1852" t="s">
        <v>3727</v>
      </c>
      <c r="F1852">
        <v>20000921</v>
      </c>
      <c r="G1852" t="s">
        <v>9338</v>
      </c>
      <c r="H1852" t="s">
        <v>242</v>
      </c>
      <c r="I1852" t="s">
        <v>242</v>
      </c>
      <c r="J1852" t="s">
        <v>242</v>
      </c>
      <c r="K1852" t="s">
        <v>241</v>
      </c>
      <c r="L1852" t="s">
        <v>242</v>
      </c>
      <c r="M1852">
        <v>38.723908739999999</v>
      </c>
      <c r="N1852">
        <v>-123.0831728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 t="s">
        <v>9333</v>
      </c>
      <c r="AB1852" t="s">
        <v>242</v>
      </c>
      <c r="AC1852" t="s">
        <v>3229</v>
      </c>
    </row>
    <row r="1853" spans="1:29" x14ac:dyDescent="0.25">
      <c r="A1853" t="s">
        <v>9111</v>
      </c>
      <c r="B1853" t="s">
        <v>252</v>
      </c>
      <c r="C1853" t="e">
        <v>#N/A</v>
      </c>
      <c r="D1853" t="s">
        <v>3718</v>
      </c>
      <c r="E1853" t="s">
        <v>3727</v>
      </c>
      <c r="I1853" t="s">
        <v>242</v>
      </c>
      <c r="L1853" t="s">
        <v>242</v>
      </c>
    </row>
    <row r="1854" spans="1:29" x14ac:dyDescent="0.25">
      <c r="A1854" t="s">
        <v>582</v>
      </c>
      <c r="B1854" t="s">
        <v>252</v>
      </c>
      <c r="C1854" t="s">
        <v>394</v>
      </c>
      <c r="D1854" t="s">
        <v>3718</v>
      </c>
      <c r="E1854" t="s">
        <v>3727</v>
      </c>
      <c r="F1854">
        <v>20020111</v>
      </c>
      <c r="G1854" t="s">
        <v>9338</v>
      </c>
      <c r="H1854" t="s">
        <v>242</v>
      </c>
      <c r="I1854" t="s">
        <v>242</v>
      </c>
      <c r="J1854" t="s">
        <v>242</v>
      </c>
      <c r="K1854" t="s">
        <v>241</v>
      </c>
      <c r="L1854" t="s">
        <v>242</v>
      </c>
      <c r="M1854">
        <v>38.628299630000001</v>
      </c>
      <c r="N1854">
        <v>-122.9217711</v>
      </c>
      <c r="O1854">
        <v>0.43</v>
      </c>
      <c r="P1854">
        <v>0.43</v>
      </c>
      <c r="Q1854">
        <v>0.43</v>
      </c>
      <c r="R1854">
        <v>0.43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0.43</v>
      </c>
      <c r="Y1854">
        <v>0.43</v>
      </c>
      <c r="Z1854">
        <v>0.43</v>
      </c>
      <c r="AA1854" t="s">
        <v>9333</v>
      </c>
      <c r="AB1854" t="s">
        <v>242</v>
      </c>
      <c r="AC1854" t="s">
        <v>3229</v>
      </c>
    </row>
    <row r="1855" spans="1:29" x14ac:dyDescent="0.25">
      <c r="A1855" t="s">
        <v>584</v>
      </c>
      <c r="B1855" t="s">
        <v>252</v>
      </c>
      <c r="C1855" t="s">
        <v>585</v>
      </c>
      <c r="D1855" t="s">
        <v>3718</v>
      </c>
      <c r="E1855" t="s">
        <v>3727</v>
      </c>
      <c r="F1855">
        <v>20020603</v>
      </c>
      <c r="G1855" t="s">
        <v>9338</v>
      </c>
      <c r="H1855" t="s">
        <v>242</v>
      </c>
      <c r="I1855" t="s">
        <v>242</v>
      </c>
      <c r="J1855" t="s">
        <v>242</v>
      </c>
      <c r="K1855" t="s">
        <v>241</v>
      </c>
      <c r="L1855" t="s">
        <v>242</v>
      </c>
      <c r="M1855">
        <v>38.36330435</v>
      </c>
      <c r="N1855">
        <v>-122.6495615</v>
      </c>
      <c r="O1855">
        <v>1E-3</v>
      </c>
      <c r="P1855">
        <v>1.6666669999999999E-3</v>
      </c>
      <c r="Q1855">
        <v>6.3666700000000005E-4</v>
      </c>
      <c r="R1855">
        <v>0</v>
      </c>
      <c r="S1855">
        <v>1.6666700000000001E-4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3.33333E-4</v>
      </c>
      <c r="AA1855" t="s">
        <v>9333</v>
      </c>
      <c r="AB1855" t="s">
        <v>242</v>
      </c>
      <c r="AC1855" t="s">
        <v>3229</v>
      </c>
    </row>
    <row r="1856" spans="1:29" x14ac:dyDescent="0.25">
      <c r="A1856" t="s">
        <v>539</v>
      </c>
      <c r="B1856" t="s">
        <v>252</v>
      </c>
      <c r="C1856" t="s">
        <v>352</v>
      </c>
      <c r="D1856" t="s">
        <v>3718</v>
      </c>
      <c r="E1856" t="s">
        <v>3727</v>
      </c>
      <c r="F1856">
        <v>20041206</v>
      </c>
      <c r="G1856" t="s">
        <v>9334</v>
      </c>
      <c r="H1856" t="s">
        <v>242</v>
      </c>
      <c r="I1856" t="s">
        <v>242</v>
      </c>
      <c r="J1856" t="s">
        <v>242</v>
      </c>
      <c r="K1856" t="s">
        <v>241</v>
      </c>
      <c r="L1856" t="s">
        <v>242</v>
      </c>
      <c r="M1856">
        <v>38.373805019999999</v>
      </c>
      <c r="N1856">
        <v>-122.86666990000001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 t="s">
        <v>9333</v>
      </c>
      <c r="AB1856" t="s">
        <v>242</v>
      </c>
      <c r="AC1856" t="s">
        <v>3229</v>
      </c>
    </row>
    <row r="1857" spans="1:29" x14ac:dyDescent="0.25">
      <c r="A1857" t="s">
        <v>529</v>
      </c>
      <c r="B1857" t="s">
        <v>252</v>
      </c>
      <c r="C1857" t="s">
        <v>394</v>
      </c>
      <c r="D1857" t="s">
        <v>3718</v>
      </c>
      <c r="E1857" t="s">
        <v>3727</v>
      </c>
      <c r="F1857">
        <v>20050420</v>
      </c>
      <c r="G1857" t="s">
        <v>9338</v>
      </c>
      <c r="H1857" t="s">
        <v>242</v>
      </c>
      <c r="I1857" t="s">
        <v>242</v>
      </c>
      <c r="J1857" t="s">
        <v>242</v>
      </c>
      <c r="K1857" t="s">
        <v>241</v>
      </c>
      <c r="L1857" t="s">
        <v>242</v>
      </c>
      <c r="M1857">
        <v>38.578722339999999</v>
      </c>
      <c r="N1857">
        <v>-122.951156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 t="s">
        <v>9333</v>
      </c>
      <c r="AB1857" t="s">
        <v>242</v>
      </c>
      <c r="AC1857" t="s">
        <v>3229</v>
      </c>
    </row>
    <row r="1858" spans="1:29" x14ac:dyDescent="0.25">
      <c r="A1858" t="s">
        <v>532</v>
      </c>
      <c r="B1858" t="s">
        <v>252</v>
      </c>
      <c r="C1858" t="s">
        <v>323</v>
      </c>
      <c r="D1858" t="s">
        <v>3718</v>
      </c>
      <c r="E1858" t="s">
        <v>3727</v>
      </c>
      <c r="F1858">
        <v>20051117</v>
      </c>
      <c r="G1858" t="s">
        <v>9338</v>
      </c>
      <c r="H1858" t="s">
        <v>242</v>
      </c>
      <c r="I1858" t="s">
        <v>242</v>
      </c>
      <c r="J1858" t="s">
        <v>242</v>
      </c>
      <c r="K1858" t="s">
        <v>241</v>
      </c>
      <c r="L1858" t="s">
        <v>242</v>
      </c>
      <c r="M1858">
        <v>38.533399250000002</v>
      </c>
      <c r="N1858">
        <v>-122.6158599</v>
      </c>
      <c r="O1858">
        <v>0.497</v>
      </c>
      <c r="P1858">
        <v>7.6666670000000003E-3</v>
      </c>
      <c r="Q1858">
        <v>0.17199999999999999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0.22233333299999999</v>
      </c>
      <c r="Z1858">
        <v>0.550666667</v>
      </c>
      <c r="AA1858" t="s">
        <v>9333</v>
      </c>
      <c r="AB1858" t="s">
        <v>242</v>
      </c>
      <c r="AC1858" t="s">
        <v>3229</v>
      </c>
    </row>
    <row r="1859" spans="1:29" x14ac:dyDescent="0.25">
      <c r="A1859" t="s">
        <v>504</v>
      </c>
      <c r="B1859" t="s">
        <v>252</v>
      </c>
      <c r="C1859" t="s">
        <v>352</v>
      </c>
      <c r="D1859" t="s">
        <v>3718</v>
      </c>
      <c r="E1859" t="s">
        <v>3727</v>
      </c>
      <c r="F1859">
        <v>20070208</v>
      </c>
      <c r="G1859" t="s">
        <v>9338</v>
      </c>
      <c r="H1859" t="s">
        <v>242</v>
      </c>
      <c r="I1859" t="s">
        <v>242</v>
      </c>
      <c r="J1859" t="s">
        <v>242</v>
      </c>
      <c r="K1859" t="s">
        <v>241</v>
      </c>
      <c r="L1859" t="s">
        <v>242</v>
      </c>
      <c r="M1859">
        <v>38.452260379999998</v>
      </c>
      <c r="N1859">
        <v>-122.8708046</v>
      </c>
      <c r="O1859">
        <v>0.21</v>
      </c>
      <c r="P1859">
        <v>0.21</v>
      </c>
      <c r="Q1859">
        <v>0.21</v>
      </c>
      <c r="R1859">
        <v>0.21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0.21</v>
      </c>
      <c r="Z1859">
        <v>0.21</v>
      </c>
      <c r="AA1859" t="s">
        <v>9333</v>
      </c>
      <c r="AB1859" t="s">
        <v>242</v>
      </c>
      <c r="AC1859" t="s">
        <v>3229</v>
      </c>
    </row>
    <row r="1860" spans="1:29" x14ac:dyDescent="0.25">
      <c r="A1860" t="s">
        <v>509</v>
      </c>
      <c r="B1860" t="s">
        <v>252</v>
      </c>
      <c r="C1860" t="s">
        <v>323</v>
      </c>
      <c r="D1860" t="s">
        <v>3718</v>
      </c>
      <c r="E1860" t="s">
        <v>3727</v>
      </c>
      <c r="F1860">
        <v>20070823</v>
      </c>
      <c r="G1860" t="s">
        <v>9338</v>
      </c>
      <c r="H1860" t="s">
        <v>242</v>
      </c>
      <c r="I1860" t="s">
        <v>242</v>
      </c>
      <c r="J1860" t="s">
        <v>242</v>
      </c>
      <c r="K1860" t="s">
        <v>241</v>
      </c>
      <c r="L1860" t="s">
        <v>242</v>
      </c>
      <c r="M1860">
        <v>38.516417779999998</v>
      </c>
      <c r="N1860">
        <v>-122.6384884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 t="s">
        <v>9333</v>
      </c>
      <c r="AB1860" t="s">
        <v>242</v>
      </c>
      <c r="AC1860" t="s">
        <v>3229</v>
      </c>
    </row>
    <row r="1861" spans="1:29" x14ac:dyDescent="0.25">
      <c r="A1861" t="s">
        <v>503</v>
      </c>
      <c r="B1861" t="s">
        <v>252</v>
      </c>
      <c r="C1861" t="s">
        <v>489</v>
      </c>
      <c r="D1861" t="s">
        <v>3718</v>
      </c>
      <c r="E1861" t="s">
        <v>3727</v>
      </c>
      <c r="F1861">
        <v>20071029</v>
      </c>
      <c r="G1861" t="s">
        <v>9338</v>
      </c>
      <c r="H1861" t="s">
        <v>242</v>
      </c>
      <c r="I1861" t="s">
        <v>242</v>
      </c>
      <c r="J1861" t="s">
        <v>242</v>
      </c>
      <c r="K1861" t="s">
        <v>241</v>
      </c>
      <c r="L1861" t="s">
        <v>242</v>
      </c>
      <c r="M1861">
        <v>38.715060020000003</v>
      </c>
      <c r="N1861">
        <v>-122.9410742</v>
      </c>
      <c r="O1861">
        <v>1.3333333329999999</v>
      </c>
      <c r="P1861">
        <v>2</v>
      </c>
      <c r="Q1861">
        <v>0.33333333300000001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0.33333333300000001</v>
      </c>
      <c r="AA1861" t="s">
        <v>9333</v>
      </c>
      <c r="AB1861" t="s">
        <v>242</v>
      </c>
      <c r="AC1861" t="s">
        <v>3229</v>
      </c>
    </row>
    <row r="1862" spans="1:29" x14ac:dyDescent="0.25">
      <c r="A1862" t="s">
        <v>488</v>
      </c>
      <c r="B1862" t="s">
        <v>252</v>
      </c>
      <c r="C1862" t="s">
        <v>489</v>
      </c>
      <c r="D1862" t="s">
        <v>3718</v>
      </c>
      <c r="E1862" t="s">
        <v>3727</v>
      </c>
      <c r="F1862">
        <v>20091006</v>
      </c>
      <c r="G1862" t="s">
        <v>9334</v>
      </c>
      <c r="H1862" t="s">
        <v>242</v>
      </c>
      <c r="I1862" t="s">
        <v>242</v>
      </c>
      <c r="J1862" t="s">
        <v>242</v>
      </c>
      <c r="K1862" t="s">
        <v>241</v>
      </c>
      <c r="L1862" t="s">
        <v>242</v>
      </c>
      <c r="M1862">
        <v>38.665900000000001</v>
      </c>
      <c r="N1862">
        <v>-122.9472</v>
      </c>
      <c r="O1862">
        <v>0.63333333300000005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0.8</v>
      </c>
      <c r="Z1862">
        <v>0.8</v>
      </c>
      <c r="AA1862" t="s">
        <v>9333</v>
      </c>
      <c r="AB1862" t="s">
        <v>242</v>
      </c>
      <c r="AC1862" t="s">
        <v>3229</v>
      </c>
    </row>
    <row r="1863" spans="1:29" x14ac:dyDescent="0.25">
      <c r="A1863" t="s">
        <v>440</v>
      </c>
      <c r="B1863" t="s">
        <v>252</v>
      </c>
      <c r="C1863" t="s">
        <v>394</v>
      </c>
      <c r="D1863" t="s">
        <v>3718</v>
      </c>
      <c r="E1863" t="s">
        <v>3727</v>
      </c>
      <c r="F1863">
        <v>20130510</v>
      </c>
      <c r="G1863" t="s">
        <v>9334</v>
      </c>
      <c r="H1863" t="s">
        <v>242</v>
      </c>
      <c r="I1863" t="s">
        <v>242</v>
      </c>
      <c r="J1863" t="s">
        <v>242</v>
      </c>
      <c r="K1863" t="s">
        <v>241</v>
      </c>
      <c r="L1863" t="s">
        <v>242</v>
      </c>
      <c r="M1863">
        <v>38.592599999999997</v>
      </c>
      <c r="N1863">
        <v>-122.90649999999999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 t="s">
        <v>9333</v>
      </c>
      <c r="AB1863" t="s">
        <v>242</v>
      </c>
      <c r="AC1863" t="s">
        <v>3229</v>
      </c>
    </row>
    <row r="1864" spans="1:29" x14ac:dyDescent="0.25">
      <c r="A1864" t="s">
        <v>446</v>
      </c>
      <c r="B1864" t="s">
        <v>252</v>
      </c>
      <c r="C1864" t="s">
        <v>323</v>
      </c>
      <c r="D1864" t="s">
        <v>3718</v>
      </c>
      <c r="E1864" t="s">
        <v>3727</v>
      </c>
      <c r="F1864">
        <v>20130514</v>
      </c>
      <c r="G1864" t="s">
        <v>9334</v>
      </c>
      <c r="H1864" t="s">
        <v>242</v>
      </c>
      <c r="I1864" t="s">
        <v>242</v>
      </c>
      <c r="J1864" t="s">
        <v>242</v>
      </c>
      <c r="K1864" t="s">
        <v>241</v>
      </c>
      <c r="L1864" t="s">
        <v>242</v>
      </c>
      <c r="M1864">
        <v>38.479999999999997</v>
      </c>
      <c r="N1864">
        <v>-122.8603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 t="s">
        <v>9341</v>
      </c>
      <c r="AB1864" t="s">
        <v>242</v>
      </c>
      <c r="AC1864" t="s">
        <v>3229</v>
      </c>
    </row>
    <row r="1865" spans="1:29" x14ac:dyDescent="0.25">
      <c r="A1865" t="s">
        <v>448</v>
      </c>
      <c r="B1865" t="s">
        <v>252</v>
      </c>
      <c r="C1865" t="s">
        <v>391</v>
      </c>
      <c r="D1865" t="s">
        <v>3718</v>
      </c>
      <c r="E1865" t="s">
        <v>3727</v>
      </c>
      <c r="F1865">
        <v>20130624</v>
      </c>
      <c r="G1865" t="s">
        <v>9334</v>
      </c>
      <c r="H1865" t="s">
        <v>242</v>
      </c>
      <c r="I1865" t="s">
        <v>242</v>
      </c>
      <c r="J1865" t="s">
        <v>242</v>
      </c>
      <c r="K1865" t="s">
        <v>241</v>
      </c>
      <c r="L1865" t="s">
        <v>242</v>
      </c>
      <c r="M1865">
        <v>38.579700000000003</v>
      </c>
      <c r="N1865">
        <v>-122.8077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 t="s">
        <v>9341</v>
      </c>
      <c r="AB1865" t="s">
        <v>242</v>
      </c>
      <c r="AC1865" t="s">
        <v>3229</v>
      </c>
    </row>
    <row r="1866" spans="1:29" x14ac:dyDescent="0.25">
      <c r="A1866" t="s">
        <v>452</v>
      </c>
      <c r="B1866" t="s">
        <v>252</v>
      </c>
      <c r="C1866" t="s">
        <v>323</v>
      </c>
      <c r="D1866" t="s">
        <v>3718</v>
      </c>
      <c r="E1866" t="s">
        <v>3727</v>
      </c>
      <c r="F1866">
        <v>20130705</v>
      </c>
      <c r="G1866" t="s">
        <v>9338</v>
      </c>
      <c r="H1866" t="s">
        <v>242</v>
      </c>
      <c r="I1866" t="s">
        <v>242</v>
      </c>
      <c r="J1866" t="s">
        <v>242</v>
      </c>
      <c r="K1866" t="s">
        <v>241</v>
      </c>
      <c r="L1866" t="s">
        <v>242</v>
      </c>
      <c r="M1866">
        <v>38.558900000000001</v>
      </c>
      <c r="N1866">
        <v>-122.6964</v>
      </c>
      <c r="O1866">
        <v>1.67</v>
      </c>
      <c r="P1866">
        <v>1.67</v>
      </c>
      <c r="Q1866">
        <v>1.67</v>
      </c>
      <c r="R1866">
        <v>1.67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1.67</v>
      </c>
      <c r="Z1866">
        <v>1.67</v>
      </c>
      <c r="AA1866" t="s">
        <v>9341</v>
      </c>
      <c r="AB1866" t="s">
        <v>242</v>
      </c>
      <c r="AC1866" t="s">
        <v>3229</v>
      </c>
    </row>
    <row r="1867" spans="1:29" x14ac:dyDescent="0.25">
      <c r="A1867" t="s">
        <v>453</v>
      </c>
      <c r="B1867" t="s">
        <v>252</v>
      </c>
      <c r="C1867" t="s">
        <v>323</v>
      </c>
      <c r="D1867" t="s">
        <v>3718</v>
      </c>
      <c r="E1867" t="s">
        <v>3727</v>
      </c>
      <c r="F1867">
        <v>20130724</v>
      </c>
      <c r="G1867" t="s">
        <v>9338</v>
      </c>
      <c r="H1867" t="s">
        <v>242</v>
      </c>
      <c r="I1867" t="s">
        <v>242</v>
      </c>
      <c r="J1867" t="s">
        <v>242</v>
      </c>
      <c r="K1867" t="s">
        <v>241</v>
      </c>
      <c r="L1867" t="s">
        <v>242</v>
      </c>
      <c r="M1867">
        <v>38.5242</v>
      </c>
      <c r="N1867">
        <v>-122.55329999999999</v>
      </c>
      <c r="O1867">
        <v>6.6666666999999999E-2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0.1</v>
      </c>
      <c r="Z1867">
        <v>0.2</v>
      </c>
      <c r="AA1867" t="s">
        <v>9333</v>
      </c>
      <c r="AB1867" t="s">
        <v>242</v>
      </c>
      <c r="AC1867" t="s">
        <v>3229</v>
      </c>
    </row>
    <row r="1868" spans="1:29" x14ac:dyDescent="0.25">
      <c r="A1868" t="s">
        <v>398</v>
      </c>
      <c r="B1868" t="s">
        <v>252</v>
      </c>
      <c r="C1868" t="s">
        <v>323</v>
      </c>
      <c r="D1868" t="s">
        <v>3718</v>
      </c>
      <c r="E1868" t="s">
        <v>3727</v>
      </c>
      <c r="F1868">
        <v>20160714</v>
      </c>
      <c r="G1868" t="s">
        <v>9338</v>
      </c>
      <c r="H1868" t="s">
        <v>242</v>
      </c>
      <c r="I1868" t="s">
        <v>242</v>
      </c>
      <c r="J1868" t="s">
        <v>242</v>
      </c>
      <c r="K1868" t="s">
        <v>241</v>
      </c>
      <c r="L1868" t="s">
        <v>242</v>
      </c>
      <c r="M1868">
        <v>38.519599999999997</v>
      </c>
      <c r="N1868">
        <v>-122.5838</v>
      </c>
      <c r="O1868">
        <v>0.133333333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0.96666666700000003</v>
      </c>
      <c r="Z1868">
        <v>0.46666666699999998</v>
      </c>
      <c r="AA1868" t="s">
        <v>9341</v>
      </c>
      <c r="AB1868" t="s">
        <v>242</v>
      </c>
      <c r="AC1868" t="s">
        <v>3229</v>
      </c>
    </row>
    <row r="1869" spans="1:29" x14ac:dyDescent="0.25">
      <c r="A1869" t="s">
        <v>421</v>
      </c>
      <c r="B1869" t="s">
        <v>252</v>
      </c>
      <c r="C1869" t="s">
        <v>403</v>
      </c>
      <c r="D1869" t="s">
        <v>3718</v>
      </c>
      <c r="E1869" t="s">
        <v>3727</v>
      </c>
      <c r="F1869">
        <v>20140106</v>
      </c>
      <c r="G1869" t="s">
        <v>9334</v>
      </c>
      <c r="H1869" t="s">
        <v>242</v>
      </c>
      <c r="I1869" t="s">
        <v>242</v>
      </c>
      <c r="J1869" t="s">
        <v>242</v>
      </c>
      <c r="K1869" t="s">
        <v>241</v>
      </c>
      <c r="L1869" t="s">
        <v>242</v>
      </c>
      <c r="M1869">
        <v>38.440800000000003</v>
      </c>
      <c r="N1869">
        <v>-122.96769999999999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 t="s">
        <v>9333</v>
      </c>
      <c r="AB1869" t="s">
        <v>242</v>
      </c>
      <c r="AC1869" t="s">
        <v>3229</v>
      </c>
    </row>
    <row r="1870" spans="1:29" x14ac:dyDescent="0.25">
      <c r="A1870" t="s">
        <v>424</v>
      </c>
      <c r="B1870" t="s">
        <v>252</v>
      </c>
      <c r="C1870" t="s">
        <v>352</v>
      </c>
      <c r="D1870" t="s">
        <v>3718</v>
      </c>
      <c r="E1870" t="s">
        <v>3727</v>
      </c>
      <c r="F1870">
        <v>20140623</v>
      </c>
      <c r="G1870" t="s">
        <v>9338</v>
      </c>
      <c r="H1870" t="s">
        <v>242</v>
      </c>
      <c r="I1870" t="s">
        <v>242</v>
      </c>
      <c r="J1870" t="s">
        <v>242</v>
      </c>
      <c r="K1870" t="s">
        <v>241</v>
      </c>
      <c r="L1870" t="s">
        <v>242</v>
      </c>
      <c r="M1870">
        <v>38.546990000000001</v>
      </c>
      <c r="N1870">
        <v>-122.94079000000001</v>
      </c>
      <c r="O1870">
        <v>1.8333333329999999</v>
      </c>
      <c r="P1870">
        <v>1.7</v>
      </c>
      <c r="Q1870">
        <v>1.9666666669999999</v>
      </c>
      <c r="R1870">
        <v>0.86666666699999995</v>
      </c>
      <c r="S1870">
        <v>0.2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0.53333333299999997</v>
      </c>
      <c r="Z1870">
        <v>1.0333333330000001</v>
      </c>
      <c r="AA1870" t="s">
        <v>9333</v>
      </c>
      <c r="AB1870" t="s">
        <v>242</v>
      </c>
      <c r="AC1870" t="s">
        <v>3229</v>
      </c>
    </row>
    <row r="1871" spans="1:29" x14ac:dyDescent="0.25">
      <c r="A1871" t="s">
        <v>427</v>
      </c>
      <c r="B1871" t="s">
        <v>252</v>
      </c>
      <c r="C1871" t="s">
        <v>329</v>
      </c>
      <c r="D1871" t="s">
        <v>3718</v>
      </c>
      <c r="E1871" t="s">
        <v>3727</v>
      </c>
      <c r="F1871">
        <v>20141223</v>
      </c>
      <c r="G1871" t="s">
        <v>9338</v>
      </c>
      <c r="H1871" t="s">
        <v>242</v>
      </c>
      <c r="I1871" t="s">
        <v>242</v>
      </c>
      <c r="J1871" t="s">
        <v>242</v>
      </c>
      <c r="K1871" t="s">
        <v>241</v>
      </c>
      <c r="L1871" t="s">
        <v>242</v>
      </c>
      <c r="M1871">
        <v>38.527799999999999</v>
      </c>
      <c r="N1871">
        <v>-123.1379</v>
      </c>
      <c r="O1871">
        <v>7.4676669999999999E-3</v>
      </c>
      <c r="P1871">
        <v>7.4673329999999996E-3</v>
      </c>
      <c r="Q1871">
        <v>1.1355000000000001E-2</v>
      </c>
      <c r="R1871">
        <v>1.0894333000000001E-2</v>
      </c>
      <c r="S1871">
        <v>1.4833333000000001E-2</v>
      </c>
      <c r="T1871">
        <v>1.5088667E-2</v>
      </c>
      <c r="U1871">
        <v>8.2039999999999995E-3</v>
      </c>
      <c r="V1871">
        <v>3.6316669999999999E-3</v>
      </c>
      <c r="W1871">
        <v>3.759667E-3</v>
      </c>
      <c r="X1871">
        <v>1.4142666999999999E-2</v>
      </c>
      <c r="Y1871">
        <v>1.6878667E-2</v>
      </c>
      <c r="Z1871">
        <v>9.2886670000000005E-3</v>
      </c>
      <c r="AA1871" t="s">
        <v>9333</v>
      </c>
      <c r="AB1871" t="s">
        <v>242</v>
      </c>
      <c r="AC1871" t="s">
        <v>3229</v>
      </c>
    </row>
    <row r="1872" spans="1:29" x14ac:dyDescent="0.25">
      <c r="A1872" t="s">
        <v>410</v>
      </c>
      <c r="B1872" t="s">
        <v>252</v>
      </c>
      <c r="C1872" t="s">
        <v>352</v>
      </c>
      <c r="D1872" t="s">
        <v>3718</v>
      </c>
      <c r="E1872" t="s">
        <v>3727</v>
      </c>
      <c r="F1872">
        <v>20150625</v>
      </c>
      <c r="G1872" t="s">
        <v>9334</v>
      </c>
      <c r="H1872" t="s">
        <v>242</v>
      </c>
      <c r="I1872" t="s">
        <v>242</v>
      </c>
      <c r="J1872" t="s">
        <v>242</v>
      </c>
      <c r="K1872" t="s">
        <v>241</v>
      </c>
      <c r="L1872" t="s">
        <v>242</v>
      </c>
      <c r="M1872">
        <v>38.415300000000002</v>
      </c>
      <c r="N1872">
        <v>-122.9181</v>
      </c>
      <c r="O1872">
        <v>0</v>
      </c>
      <c r="P1872">
        <v>0</v>
      </c>
      <c r="Q1872">
        <v>1.4577E-2</v>
      </c>
      <c r="R1872">
        <v>0</v>
      </c>
      <c r="S1872">
        <v>1.15085E-2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1.0741499999999999E-2</v>
      </c>
      <c r="Z1872">
        <v>9.2069999999999999E-3</v>
      </c>
      <c r="AA1872" t="s">
        <v>9333</v>
      </c>
      <c r="AB1872" t="s">
        <v>242</v>
      </c>
      <c r="AC1872" t="s">
        <v>3229</v>
      </c>
    </row>
    <row r="1873" spans="1:29" x14ac:dyDescent="0.25">
      <c r="A1873" t="s">
        <v>405</v>
      </c>
      <c r="B1873" t="s">
        <v>252</v>
      </c>
      <c r="C1873" t="s">
        <v>394</v>
      </c>
      <c r="D1873" t="s">
        <v>3718</v>
      </c>
      <c r="E1873" t="s">
        <v>3727</v>
      </c>
      <c r="F1873">
        <v>20151102</v>
      </c>
      <c r="G1873" t="s">
        <v>9338</v>
      </c>
      <c r="H1873" t="s">
        <v>242</v>
      </c>
      <c r="I1873" t="s">
        <v>242</v>
      </c>
      <c r="J1873" t="s">
        <v>242</v>
      </c>
      <c r="K1873" t="s">
        <v>241</v>
      </c>
      <c r="L1873" t="s">
        <v>242</v>
      </c>
      <c r="M1873">
        <v>38.591756369999999</v>
      </c>
      <c r="N1873">
        <v>-122.9202282</v>
      </c>
      <c r="O1873">
        <v>1.427E-2</v>
      </c>
      <c r="P1873">
        <v>1.2880000000000001E-2</v>
      </c>
      <c r="Q1873">
        <v>1.427E-2</v>
      </c>
      <c r="R1873">
        <v>1.3809999999999999E-2</v>
      </c>
      <c r="S1873">
        <v>4.2810000000000001E-2</v>
      </c>
      <c r="T1873">
        <v>4.1430000000000002E-2</v>
      </c>
      <c r="U1873">
        <v>4.2810000000000001E-2</v>
      </c>
      <c r="V1873">
        <v>4.2810000000000001E-2</v>
      </c>
      <c r="W1873">
        <v>4.1430000000000002E-2</v>
      </c>
      <c r="X1873">
        <v>1.427E-2</v>
      </c>
      <c r="Y1873">
        <v>1.3809999999999999E-2</v>
      </c>
      <c r="Z1873">
        <v>1.427E-2</v>
      </c>
      <c r="AA1873" t="s">
        <v>9333</v>
      </c>
      <c r="AB1873" t="s">
        <v>242</v>
      </c>
      <c r="AC1873" t="s">
        <v>3229</v>
      </c>
    </row>
    <row r="1874" spans="1:29" x14ac:dyDescent="0.25">
      <c r="A1874" t="s">
        <v>386</v>
      </c>
      <c r="B1874" t="s">
        <v>252</v>
      </c>
      <c r="C1874" t="s">
        <v>352</v>
      </c>
      <c r="D1874" t="s">
        <v>3718</v>
      </c>
      <c r="E1874" t="s">
        <v>3727</v>
      </c>
      <c r="F1874">
        <v>20170911</v>
      </c>
      <c r="G1874" t="s">
        <v>9338</v>
      </c>
      <c r="H1874" t="s">
        <v>241</v>
      </c>
      <c r="I1874" t="s">
        <v>242</v>
      </c>
      <c r="J1874" t="s">
        <v>242</v>
      </c>
      <c r="K1874" t="s">
        <v>241</v>
      </c>
      <c r="L1874" t="s">
        <v>242</v>
      </c>
      <c r="M1874">
        <v>38.505133000000001</v>
      </c>
      <c r="N1874">
        <v>-122.91092</v>
      </c>
      <c r="O1874">
        <v>3.0690000000000001E-3</v>
      </c>
      <c r="P1874">
        <v>3.0690000000000001E-3</v>
      </c>
      <c r="Q1874">
        <v>3.0690000000000001E-3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 t="s">
        <v>9333</v>
      </c>
      <c r="AB1874" t="s">
        <v>242</v>
      </c>
      <c r="AC1874" t="s">
        <v>3229</v>
      </c>
    </row>
    <row r="1875" spans="1:29" x14ac:dyDescent="0.25">
      <c r="A1875" t="s">
        <v>401</v>
      </c>
      <c r="B1875" t="s">
        <v>252</v>
      </c>
      <c r="C1875" t="s">
        <v>352</v>
      </c>
      <c r="D1875" t="s">
        <v>3718</v>
      </c>
      <c r="E1875" t="s">
        <v>3727</v>
      </c>
      <c r="F1875">
        <v>20160815</v>
      </c>
      <c r="G1875" t="s">
        <v>9338</v>
      </c>
      <c r="H1875" t="s">
        <v>242</v>
      </c>
      <c r="I1875" t="s">
        <v>242</v>
      </c>
      <c r="J1875" t="s">
        <v>242</v>
      </c>
      <c r="K1875" t="s">
        <v>241</v>
      </c>
      <c r="L1875" t="s">
        <v>242</v>
      </c>
      <c r="M1875">
        <v>38.41667004</v>
      </c>
      <c r="N1875">
        <v>-122.9185282</v>
      </c>
      <c r="O1875">
        <v>2.3016499999999999E-2</v>
      </c>
      <c r="P1875">
        <v>2.3016499999999999E-2</v>
      </c>
      <c r="Q1875">
        <v>2.3016499999999999E-2</v>
      </c>
      <c r="R1875">
        <v>2.3016499999999999E-2</v>
      </c>
      <c r="S1875">
        <v>2.3016499999999999E-2</v>
      </c>
      <c r="T1875">
        <v>2.3016499999999999E-2</v>
      </c>
      <c r="U1875">
        <v>0</v>
      </c>
      <c r="V1875">
        <v>0</v>
      </c>
      <c r="W1875">
        <v>0</v>
      </c>
      <c r="X1875">
        <v>2.3016499999999999E-2</v>
      </c>
      <c r="Y1875">
        <v>2.3016499999999999E-2</v>
      </c>
      <c r="Z1875">
        <v>2.3016499999999999E-2</v>
      </c>
      <c r="AA1875" t="s">
        <v>9333</v>
      </c>
      <c r="AB1875" t="s">
        <v>242</v>
      </c>
      <c r="AC1875" t="s">
        <v>3229</v>
      </c>
    </row>
    <row r="1876" spans="1:29" x14ac:dyDescent="0.25">
      <c r="A1876" t="s">
        <v>393</v>
      </c>
      <c r="B1876" t="s">
        <v>252</v>
      </c>
      <c r="C1876" t="s">
        <v>394</v>
      </c>
      <c r="D1876" t="s">
        <v>3718</v>
      </c>
      <c r="E1876" t="s">
        <v>3727</v>
      </c>
      <c r="F1876">
        <v>20160919</v>
      </c>
      <c r="G1876" t="s">
        <v>9338</v>
      </c>
      <c r="H1876" t="s">
        <v>242</v>
      </c>
      <c r="I1876" t="s">
        <v>242</v>
      </c>
      <c r="J1876" t="s">
        <v>242</v>
      </c>
      <c r="K1876" t="s">
        <v>241</v>
      </c>
      <c r="L1876" t="s">
        <v>242</v>
      </c>
      <c r="M1876">
        <v>38.587989999999998</v>
      </c>
      <c r="N1876">
        <v>-122.96169999999999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 t="s">
        <v>9333</v>
      </c>
      <c r="AB1876" t="s">
        <v>242</v>
      </c>
      <c r="AC1876" t="s">
        <v>3229</v>
      </c>
    </row>
    <row r="1877" spans="1:29" x14ac:dyDescent="0.25">
      <c r="A1877" t="s">
        <v>402</v>
      </c>
      <c r="B1877" t="s">
        <v>252</v>
      </c>
      <c r="C1877" t="s">
        <v>403</v>
      </c>
      <c r="D1877" t="s">
        <v>3718</v>
      </c>
      <c r="E1877" t="s">
        <v>3727</v>
      </c>
      <c r="F1877">
        <v>20160125</v>
      </c>
      <c r="G1877" t="s">
        <v>9338</v>
      </c>
      <c r="H1877" t="s">
        <v>242</v>
      </c>
      <c r="I1877" t="s">
        <v>242</v>
      </c>
      <c r="J1877" t="s">
        <v>242</v>
      </c>
      <c r="K1877" t="s">
        <v>241</v>
      </c>
      <c r="L1877" t="s">
        <v>242</v>
      </c>
      <c r="M1877">
        <v>38.504199999999997</v>
      </c>
      <c r="N1877">
        <v>-123.1048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 t="s">
        <v>9333</v>
      </c>
      <c r="AB1877" t="s">
        <v>242</v>
      </c>
      <c r="AC1877" t="s">
        <v>3229</v>
      </c>
    </row>
    <row r="1878" spans="1:29" x14ac:dyDescent="0.25">
      <c r="A1878" t="s">
        <v>389</v>
      </c>
      <c r="B1878" t="s">
        <v>252</v>
      </c>
      <c r="C1878" t="s">
        <v>329</v>
      </c>
      <c r="D1878" t="s">
        <v>3718</v>
      </c>
      <c r="E1878" t="s">
        <v>3727</v>
      </c>
      <c r="F1878">
        <v>20170417</v>
      </c>
      <c r="G1878" t="s">
        <v>9338</v>
      </c>
      <c r="H1878" t="s">
        <v>242</v>
      </c>
      <c r="I1878" t="s">
        <v>242</v>
      </c>
      <c r="J1878" t="s">
        <v>242</v>
      </c>
      <c r="K1878" t="s">
        <v>241</v>
      </c>
      <c r="L1878" t="s">
        <v>242</v>
      </c>
      <c r="M1878">
        <v>38.554631090000001</v>
      </c>
      <c r="N1878">
        <v>-123.10386579999999</v>
      </c>
      <c r="O1878">
        <v>0</v>
      </c>
      <c r="P1878">
        <v>0</v>
      </c>
      <c r="Q1878">
        <v>6.63435E-2</v>
      </c>
      <c r="R1878">
        <v>1.3098E-2</v>
      </c>
      <c r="S1878">
        <v>3.6114500000000001E-2</v>
      </c>
      <c r="T1878">
        <v>1.5737500000000001E-2</v>
      </c>
      <c r="U1878">
        <v>1.5737500000000001E-2</v>
      </c>
      <c r="V1878">
        <v>1.5737500000000001E-2</v>
      </c>
      <c r="W1878">
        <v>1.52E-2</v>
      </c>
      <c r="X1878">
        <v>1.48165E-2</v>
      </c>
      <c r="Y1878">
        <v>9.9065000000000004E-3</v>
      </c>
      <c r="Z1878">
        <v>8.2089999999999993E-3</v>
      </c>
      <c r="AA1878" t="s">
        <v>9333</v>
      </c>
      <c r="AB1878" t="s">
        <v>242</v>
      </c>
      <c r="AC1878" t="s">
        <v>3229</v>
      </c>
    </row>
    <row r="1879" spans="1:29" x14ac:dyDescent="0.25">
      <c r="A1879" t="s">
        <v>390</v>
      </c>
      <c r="B1879" t="s">
        <v>252</v>
      </c>
      <c r="C1879" t="s">
        <v>391</v>
      </c>
      <c r="D1879" t="s">
        <v>3718</v>
      </c>
      <c r="E1879" t="s">
        <v>3727</v>
      </c>
      <c r="F1879">
        <v>20170807</v>
      </c>
      <c r="G1879" t="s">
        <v>9338</v>
      </c>
      <c r="H1879" t="s">
        <v>242</v>
      </c>
      <c r="I1879" t="s">
        <v>242</v>
      </c>
      <c r="J1879" t="s">
        <v>242</v>
      </c>
      <c r="K1879" t="s">
        <v>241</v>
      </c>
      <c r="L1879" t="s">
        <v>242</v>
      </c>
      <c r="M1879">
        <v>38.565689999999996</v>
      </c>
      <c r="N1879">
        <v>-122.74813</v>
      </c>
      <c r="O1879">
        <v>0.71333333300000001</v>
      </c>
      <c r="P1879">
        <v>8.3333332999999996E-2</v>
      </c>
      <c r="Q1879">
        <v>0.21333333300000001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0.11</v>
      </c>
      <c r="Z1879">
        <v>1.1033333329999999</v>
      </c>
      <c r="AA1879" t="s">
        <v>9346</v>
      </c>
      <c r="AB1879" t="s">
        <v>242</v>
      </c>
      <c r="AC1879" t="s">
        <v>3229</v>
      </c>
    </row>
    <row r="1880" spans="1:29" x14ac:dyDescent="0.25">
      <c r="A1880" t="s">
        <v>413</v>
      </c>
      <c r="B1880" t="s">
        <v>252</v>
      </c>
      <c r="C1880" t="s">
        <v>314</v>
      </c>
      <c r="D1880" t="s">
        <v>4005</v>
      </c>
      <c r="E1880" t="s">
        <v>3727</v>
      </c>
      <c r="F1880">
        <v>20150130</v>
      </c>
      <c r="G1880" t="s">
        <v>9338</v>
      </c>
      <c r="H1880" t="s">
        <v>242</v>
      </c>
      <c r="I1880" t="s">
        <v>242</v>
      </c>
      <c r="J1880" t="s">
        <v>242</v>
      </c>
      <c r="K1880" t="s">
        <v>241</v>
      </c>
      <c r="L1880" t="s">
        <v>242</v>
      </c>
      <c r="M1880">
        <v>38.930900000000001</v>
      </c>
      <c r="N1880">
        <v>-123.21</v>
      </c>
      <c r="O1880">
        <v>10.93333333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 t="s">
        <v>9335</v>
      </c>
      <c r="AB1880" t="s">
        <v>242</v>
      </c>
      <c r="AC1880" t="s">
        <v>3213</v>
      </c>
    </row>
    <row r="1881" spans="1:29" x14ac:dyDescent="0.25">
      <c r="A1881" t="s">
        <v>372</v>
      </c>
      <c r="B1881" t="s">
        <v>252</v>
      </c>
      <c r="C1881" t="s">
        <v>329</v>
      </c>
      <c r="D1881" t="s">
        <v>4157</v>
      </c>
      <c r="E1881" t="s">
        <v>3727</v>
      </c>
      <c r="F1881">
        <v>20180702</v>
      </c>
      <c r="G1881" t="s">
        <v>9338</v>
      </c>
      <c r="H1881" t="s">
        <v>242</v>
      </c>
      <c r="I1881" t="s">
        <v>242</v>
      </c>
      <c r="J1881" t="s">
        <v>242</v>
      </c>
      <c r="K1881" t="s">
        <v>241</v>
      </c>
      <c r="L1881" t="s">
        <v>242</v>
      </c>
      <c r="M1881">
        <v>38.520699999999998</v>
      </c>
      <c r="N1881">
        <v>-123.12860000000001</v>
      </c>
      <c r="O1881">
        <v>3.6826999999999999E-2</v>
      </c>
      <c r="P1881">
        <v>3.6826999999999999E-2</v>
      </c>
      <c r="Q1881">
        <v>3.6826999999999999E-2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3.6826999999999999E-2</v>
      </c>
      <c r="Z1881">
        <v>3.6826999999999999E-2</v>
      </c>
      <c r="AA1881" t="s">
        <v>9335</v>
      </c>
      <c r="AB1881" t="s">
        <v>242</v>
      </c>
      <c r="AC1881" t="s">
        <v>3229</v>
      </c>
    </row>
    <row r="1882" spans="1:29" x14ac:dyDescent="0.25">
      <c r="A1882" t="s">
        <v>374</v>
      </c>
      <c r="B1882" t="s">
        <v>252</v>
      </c>
      <c r="C1882" t="s">
        <v>329</v>
      </c>
      <c r="D1882" t="s">
        <v>4157</v>
      </c>
      <c r="E1882" t="s">
        <v>3727</v>
      </c>
      <c r="F1882">
        <v>20180613</v>
      </c>
      <c r="G1882" t="s">
        <v>9338</v>
      </c>
      <c r="H1882" t="s">
        <v>242</v>
      </c>
      <c r="I1882" t="s">
        <v>242</v>
      </c>
      <c r="J1882" t="s">
        <v>242</v>
      </c>
      <c r="K1882" t="s">
        <v>241</v>
      </c>
      <c r="L1882" t="s">
        <v>242</v>
      </c>
      <c r="M1882">
        <v>38.535299999999999</v>
      </c>
      <c r="N1882">
        <v>-123.14660000000001</v>
      </c>
      <c r="O1882">
        <v>9.2071999999999998E-4</v>
      </c>
      <c r="P1882">
        <v>7.6727999999999996E-4</v>
      </c>
      <c r="Q1882">
        <v>1.0434387999999999E-2</v>
      </c>
      <c r="R1882">
        <v>1.15085E-2</v>
      </c>
      <c r="S1882">
        <v>1.9948E-2</v>
      </c>
      <c r="T1882">
        <v>2.3016499999999999E-2</v>
      </c>
      <c r="U1882">
        <v>2.3016499999999999E-2</v>
      </c>
      <c r="V1882">
        <v>2.3016499999999999E-2</v>
      </c>
      <c r="W1882">
        <v>2.3016499999999999E-2</v>
      </c>
      <c r="X1882">
        <v>1.2275000000000001E-3</v>
      </c>
      <c r="Y1882">
        <v>2.9154990000000002E-3</v>
      </c>
      <c r="Z1882">
        <v>1.45772E-3</v>
      </c>
      <c r="AA1882" t="s">
        <v>9335</v>
      </c>
      <c r="AB1882" t="s">
        <v>242</v>
      </c>
      <c r="AC1882" t="s">
        <v>3229</v>
      </c>
    </row>
    <row r="1883" spans="1:29" x14ac:dyDescent="0.25">
      <c r="A1883" t="s">
        <v>377</v>
      </c>
      <c r="B1883" t="s">
        <v>252</v>
      </c>
      <c r="C1883" t="s">
        <v>378</v>
      </c>
      <c r="D1883" t="s">
        <v>4157</v>
      </c>
      <c r="E1883" t="s">
        <v>3727</v>
      </c>
      <c r="F1883">
        <v>20180626</v>
      </c>
      <c r="G1883" t="s">
        <v>9338</v>
      </c>
      <c r="H1883" t="s">
        <v>242</v>
      </c>
      <c r="I1883" t="s">
        <v>242</v>
      </c>
      <c r="J1883" t="s">
        <v>242</v>
      </c>
      <c r="K1883" t="s">
        <v>241</v>
      </c>
      <c r="L1883" t="s">
        <v>242</v>
      </c>
      <c r="M1883">
        <v>38.384799999999998</v>
      </c>
      <c r="N1883">
        <v>-122.6024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 t="s">
        <v>9335</v>
      </c>
      <c r="AB1883" t="s">
        <v>242</v>
      </c>
      <c r="AC1883" t="s">
        <v>3229</v>
      </c>
    </row>
    <row r="1884" spans="1:29" x14ac:dyDescent="0.25">
      <c r="A1884" t="s">
        <v>328</v>
      </c>
      <c r="B1884" t="s">
        <v>252</v>
      </c>
      <c r="C1884" t="s">
        <v>329</v>
      </c>
      <c r="D1884" t="s">
        <v>4157</v>
      </c>
      <c r="E1884" t="s">
        <v>3727</v>
      </c>
      <c r="F1884">
        <v>20190115</v>
      </c>
      <c r="G1884" t="s">
        <v>9338</v>
      </c>
      <c r="H1884" t="s">
        <v>242</v>
      </c>
      <c r="I1884" t="s">
        <v>242</v>
      </c>
      <c r="J1884" t="s">
        <v>242</v>
      </c>
      <c r="K1884" t="s">
        <v>241</v>
      </c>
      <c r="L1884" t="s">
        <v>242</v>
      </c>
      <c r="M1884">
        <v>38.528201000000003</v>
      </c>
      <c r="N1884">
        <v>-123.127062</v>
      </c>
      <c r="O1884">
        <v>3.9896000000000001E-2</v>
      </c>
      <c r="P1884">
        <v>3.9896000000000001E-2</v>
      </c>
      <c r="Q1884">
        <v>4.9103000000000001E-2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1.8412999999999999E-2</v>
      </c>
      <c r="Z1884">
        <v>1.8412999999999999E-2</v>
      </c>
      <c r="AA1884" t="s">
        <v>9335</v>
      </c>
      <c r="AB1884" t="s">
        <v>242</v>
      </c>
      <c r="AC1884" t="s">
        <v>3229</v>
      </c>
    </row>
    <row r="1885" spans="1:29" x14ac:dyDescent="0.25">
      <c r="A1885" t="s">
        <v>338</v>
      </c>
      <c r="B1885" t="s">
        <v>252</v>
      </c>
      <c r="C1885" t="s">
        <v>323</v>
      </c>
      <c r="D1885" t="s">
        <v>4157</v>
      </c>
      <c r="E1885" t="s">
        <v>3727</v>
      </c>
      <c r="F1885">
        <v>20190614</v>
      </c>
      <c r="G1885" t="s">
        <v>9338</v>
      </c>
      <c r="H1885" t="s">
        <v>242</v>
      </c>
      <c r="I1885" t="s">
        <v>242</v>
      </c>
      <c r="J1885" t="s">
        <v>242</v>
      </c>
      <c r="K1885" t="s">
        <v>241</v>
      </c>
      <c r="L1885" t="s">
        <v>242</v>
      </c>
      <c r="M1885">
        <v>38.561892919999998</v>
      </c>
      <c r="N1885">
        <v>-122.7398476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 t="s">
        <v>9335</v>
      </c>
      <c r="AB1885" t="s">
        <v>242</v>
      </c>
      <c r="AC1885" t="s">
        <v>3229</v>
      </c>
    </row>
    <row r="1886" spans="1:29" x14ac:dyDescent="0.25">
      <c r="A1886" t="s">
        <v>313</v>
      </c>
      <c r="B1886" t="s">
        <v>252</v>
      </c>
      <c r="C1886" t="s">
        <v>314</v>
      </c>
      <c r="D1886" t="s">
        <v>4157</v>
      </c>
      <c r="E1886" t="s">
        <v>3727</v>
      </c>
      <c r="F1886">
        <v>20200224</v>
      </c>
      <c r="G1886" t="s">
        <v>9338</v>
      </c>
      <c r="H1886" t="s">
        <v>242</v>
      </c>
      <c r="I1886" t="s">
        <v>242</v>
      </c>
      <c r="J1886" t="s">
        <v>242</v>
      </c>
      <c r="K1886" t="s">
        <v>241</v>
      </c>
      <c r="L1886" t="s">
        <v>242</v>
      </c>
      <c r="M1886">
        <v>38.912207000000002</v>
      </c>
      <c r="N1886">
        <v>-123.210528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 t="s">
        <v>9335</v>
      </c>
      <c r="AB1886" t="s">
        <v>242</v>
      </c>
      <c r="AC1886" t="s">
        <v>3213</v>
      </c>
    </row>
    <row r="1887" spans="1:29" x14ac:dyDescent="0.25">
      <c r="A1887" t="s">
        <v>345</v>
      </c>
      <c r="B1887" t="s">
        <v>252</v>
      </c>
      <c r="C1887" t="s">
        <v>314</v>
      </c>
      <c r="D1887" t="s">
        <v>4157</v>
      </c>
      <c r="E1887" t="s">
        <v>3727</v>
      </c>
      <c r="F1887">
        <v>20190920</v>
      </c>
      <c r="G1887" t="s">
        <v>9338</v>
      </c>
      <c r="H1887" t="s">
        <v>242</v>
      </c>
      <c r="I1887" t="s">
        <v>242</v>
      </c>
      <c r="J1887" t="s">
        <v>242</v>
      </c>
      <c r="K1887" t="s">
        <v>241</v>
      </c>
      <c r="L1887" t="s">
        <v>242</v>
      </c>
      <c r="M1887">
        <v>38.915869000000001</v>
      </c>
      <c r="N1887">
        <v>-123.16694699999999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 t="s">
        <v>9335</v>
      </c>
      <c r="AB1887" t="s">
        <v>242</v>
      </c>
      <c r="AC1887" t="s">
        <v>3213</v>
      </c>
    </row>
    <row r="1888" spans="1:29" x14ac:dyDescent="0.25">
      <c r="A1888" t="s">
        <v>492</v>
      </c>
      <c r="B1888" t="s">
        <v>252</v>
      </c>
      <c r="C1888" t="s">
        <v>493</v>
      </c>
      <c r="D1888" t="s">
        <v>3741</v>
      </c>
      <c r="E1888" t="s">
        <v>3727</v>
      </c>
      <c r="F1888">
        <v>20091006</v>
      </c>
      <c r="G1888" t="s">
        <v>9334</v>
      </c>
      <c r="H1888" t="s">
        <v>242</v>
      </c>
      <c r="I1888" t="s">
        <v>242</v>
      </c>
      <c r="J1888" t="s">
        <v>242</v>
      </c>
      <c r="K1888" t="s">
        <v>241</v>
      </c>
      <c r="L1888" t="s">
        <v>242</v>
      </c>
      <c r="M1888">
        <v>38.665199999999999</v>
      </c>
      <c r="N1888">
        <v>-123.01439999999999</v>
      </c>
      <c r="O1888">
        <v>0.43333333299999999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0.43333333299999999</v>
      </c>
      <c r="Z1888">
        <v>0.6</v>
      </c>
      <c r="AA1888" t="s">
        <v>9342</v>
      </c>
      <c r="AB1888" t="s">
        <v>242</v>
      </c>
      <c r="AC1888" t="s">
        <v>3229</v>
      </c>
    </row>
    <row r="1889" spans="1:29" x14ac:dyDescent="0.25">
      <c r="A1889" t="s">
        <v>396</v>
      </c>
      <c r="B1889" t="s">
        <v>252</v>
      </c>
      <c r="C1889" t="s">
        <v>394</v>
      </c>
      <c r="D1889" t="s">
        <v>3741</v>
      </c>
      <c r="E1889" t="s">
        <v>3727</v>
      </c>
      <c r="F1889">
        <v>20161018</v>
      </c>
      <c r="G1889" t="s">
        <v>9338</v>
      </c>
      <c r="H1889" t="s">
        <v>242</v>
      </c>
      <c r="I1889" t="s">
        <v>242</v>
      </c>
      <c r="J1889" t="s">
        <v>242</v>
      </c>
      <c r="K1889" t="s">
        <v>241</v>
      </c>
      <c r="L1889" t="s">
        <v>242</v>
      </c>
      <c r="M1889">
        <v>38.640080019999999</v>
      </c>
      <c r="N1889">
        <v>-122.859633</v>
      </c>
      <c r="O1889">
        <v>7.8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 t="s">
        <v>9342</v>
      </c>
      <c r="AB1889" t="s">
        <v>242</v>
      </c>
      <c r="AC1889" t="s">
        <v>3229</v>
      </c>
    </row>
    <row r="1890" spans="1:29" x14ac:dyDescent="0.25">
      <c r="A1890" t="s">
        <v>381</v>
      </c>
      <c r="B1890" t="s">
        <v>252</v>
      </c>
      <c r="C1890" t="s">
        <v>378</v>
      </c>
      <c r="D1890" t="s">
        <v>3741</v>
      </c>
      <c r="E1890" t="s">
        <v>3210</v>
      </c>
      <c r="F1890">
        <v>20180911</v>
      </c>
      <c r="G1890" t="s">
        <v>9334</v>
      </c>
      <c r="H1890" t="s">
        <v>242</v>
      </c>
      <c r="I1890" t="s">
        <v>242</v>
      </c>
      <c r="J1890" t="s">
        <v>242</v>
      </c>
      <c r="K1890" t="s">
        <v>241</v>
      </c>
      <c r="L1890" t="s">
        <v>242</v>
      </c>
      <c r="M1890">
        <v>38.375799999999998</v>
      </c>
      <c r="N1890">
        <v>-122.62197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 t="s">
        <v>9342</v>
      </c>
      <c r="AB1890" t="s">
        <v>242</v>
      </c>
      <c r="AC1890" t="s">
        <v>3229</v>
      </c>
    </row>
    <row r="1891" spans="1:29" x14ac:dyDescent="0.25">
      <c r="A1891" t="s">
        <v>1893</v>
      </c>
      <c r="B1891" t="s">
        <v>252</v>
      </c>
      <c r="C1891" t="s">
        <v>378</v>
      </c>
      <c r="D1891" t="s">
        <v>3713</v>
      </c>
      <c r="E1891" t="s">
        <v>3761</v>
      </c>
      <c r="F1891">
        <v>10000000</v>
      </c>
      <c r="G1891" t="s">
        <v>9349</v>
      </c>
      <c r="H1891" t="s">
        <v>242</v>
      </c>
      <c r="I1891" t="s">
        <v>242</v>
      </c>
      <c r="J1891" t="s">
        <v>242</v>
      </c>
      <c r="K1891" t="s">
        <v>242</v>
      </c>
      <c r="L1891" t="s">
        <v>241</v>
      </c>
      <c r="M1891">
        <v>38.453127119999998</v>
      </c>
      <c r="N1891">
        <v>-122.5915703</v>
      </c>
      <c r="O1891">
        <v>0.66666666699999999</v>
      </c>
      <c r="P1891">
        <v>0.33333333300000001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 t="s">
        <v>9335</v>
      </c>
      <c r="AB1891" t="s">
        <v>242</v>
      </c>
      <c r="AC1891" t="s">
        <v>3229</v>
      </c>
    </row>
    <row r="1892" spans="1:29" x14ac:dyDescent="0.25">
      <c r="A1892" t="s">
        <v>1757</v>
      </c>
      <c r="B1892" t="s">
        <v>252</v>
      </c>
      <c r="C1892" t="s">
        <v>314</v>
      </c>
      <c r="D1892" t="s">
        <v>3713</v>
      </c>
      <c r="E1892" t="s">
        <v>3761</v>
      </c>
      <c r="F1892">
        <v>19140101</v>
      </c>
      <c r="G1892" t="s">
        <v>9348</v>
      </c>
      <c r="H1892" t="s">
        <v>242</v>
      </c>
      <c r="I1892" t="s">
        <v>241</v>
      </c>
      <c r="J1892" t="s">
        <v>242</v>
      </c>
      <c r="K1892" t="s">
        <v>242</v>
      </c>
      <c r="L1892" t="s">
        <v>242</v>
      </c>
      <c r="M1892">
        <v>38.781554069999999</v>
      </c>
      <c r="N1892">
        <v>-123.0556323</v>
      </c>
      <c r="O1892">
        <v>0.228325</v>
      </c>
      <c r="P1892">
        <v>0.164983667</v>
      </c>
      <c r="Q1892">
        <v>0.228325</v>
      </c>
      <c r="R1892">
        <v>0.22095999999999999</v>
      </c>
      <c r="S1892">
        <v>0.13699500000000001</v>
      </c>
      <c r="T1892">
        <v>8.8384000000000004E-2</v>
      </c>
      <c r="U1892">
        <v>9.1330333E-2</v>
      </c>
      <c r="V1892">
        <v>9.1330333E-2</v>
      </c>
      <c r="W1892">
        <v>8.8384000000000004E-2</v>
      </c>
      <c r="X1892">
        <v>0.114162667</v>
      </c>
      <c r="Y1892">
        <v>0.17676800000000001</v>
      </c>
      <c r="Z1892">
        <v>0.18265999999999999</v>
      </c>
      <c r="AA1892" t="s">
        <v>9335</v>
      </c>
      <c r="AB1892" t="s">
        <v>242</v>
      </c>
      <c r="AC1892" t="s">
        <v>3229</v>
      </c>
    </row>
    <row r="1893" spans="1:29" x14ac:dyDescent="0.25">
      <c r="A1893" t="s">
        <v>1761</v>
      </c>
      <c r="B1893" t="s">
        <v>252</v>
      </c>
      <c r="C1893" t="s">
        <v>314</v>
      </c>
      <c r="D1893" t="s">
        <v>3713</v>
      </c>
      <c r="E1893" t="s">
        <v>3761</v>
      </c>
      <c r="F1893">
        <v>19140101</v>
      </c>
      <c r="G1893" t="s">
        <v>9348</v>
      </c>
      <c r="H1893" t="s">
        <v>242</v>
      </c>
      <c r="I1893" t="s">
        <v>241</v>
      </c>
      <c r="J1893" t="s">
        <v>242</v>
      </c>
      <c r="K1893" t="s">
        <v>242</v>
      </c>
      <c r="L1893" t="s">
        <v>242</v>
      </c>
      <c r="M1893">
        <v>38.784867869999999</v>
      </c>
      <c r="N1893">
        <v>-123.0535763</v>
      </c>
      <c r="O1893">
        <v>0.114162667</v>
      </c>
      <c r="P1893">
        <v>8.2491999999999996E-2</v>
      </c>
      <c r="Q1893">
        <v>0.102746333</v>
      </c>
      <c r="R1893">
        <v>9.8695332999999996E-2</v>
      </c>
      <c r="S1893">
        <v>7.9913999999999999E-2</v>
      </c>
      <c r="T1893">
        <v>4.3455332999999999E-2</v>
      </c>
      <c r="U1893">
        <v>4.5665333000000002E-2</v>
      </c>
      <c r="V1893">
        <v>4.5665333000000002E-2</v>
      </c>
      <c r="W1893">
        <v>4.3823666999999997E-2</v>
      </c>
      <c r="X1893">
        <v>4.5665333000000002E-2</v>
      </c>
      <c r="Y1893">
        <v>7.6599333000000006E-2</v>
      </c>
      <c r="Z1893">
        <v>7.9913999999999999E-2</v>
      </c>
      <c r="AA1893" t="s">
        <v>9333</v>
      </c>
      <c r="AB1893" t="s">
        <v>242</v>
      </c>
      <c r="AC1893" t="s">
        <v>3229</v>
      </c>
    </row>
    <row r="1894" spans="1:29" x14ac:dyDescent="0.25">
      <c r="A1894" t="s">
        <v>1894</v>
      </c>
      <c r="B1894" t="s">
        <v>252</v>
      </c>
      <c r="C1894" t="s">
        <v>1118</v>
      </c>
      <c r="D1894" t="s">
        <v>3713</v>
      </c>
      <c r="E1894" t="s">
        <v>3761</v>
      </c>
      <c r="F1894">
        <v>10000000</v>
      </c>
      <c r="G1894" t="s">
        <v>9349</v>
      </c>
      <c r="H1894" t="s">
        <v>242</v>
      </c>
      <c r="I1894" t="s">
        <v>242</v>
      </c>
      <c r="J1894" t="s">
        <v>242</v>
      </c>
      <c r="K1894" t="s">
        <v>242</v>
      </c>
      <c r="L1894" t="s">
        <v>241</v>
      </c>
      <c r="M1894">
        <v>38.458199999999998</v>
      </c>
      <c r="N1894">
        <v>-122.8237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 t="s">
        <v>9335</v>
      </c>
      <c r="AB1894" t="s">
        <v>242</v>
      </c>
      <c r="AC1894" t="s">
        <v>3229</v>
      </c>
    </row>
    <row r="1895" spans="1:29" x14ac:dyDescent="0.25">
      <c r="A1895" t="s">
        <v>1895</v>
      </c>
      <c r="B1895" t="s">
        <v>252</v>
      </c>
      <c r="C1895" t="s">
        <v>725</v>
      </c>
      <c r="D1895" t="s">
        <v>3713</v>
      </c>
      <c r="E1895" t="s">
        <v>3761</v>
      </c>
      <c r="F1895">
        <v>10000000</v>
      </c>
      <c r="G1895" t="s">
        <v>9349</v>
      </c>
      <c r="H1895" t="s">
        <v>242</v>
      </c>
      <c r="I1895" t="s">
        <v>242</v>
      </c>
      <c r="J1895" t="s">
        <v>242</v>
      </c>
      <c r="K1895" t="s">
        <v>242</v>
      </c>
      <c r="L1895" t="s">
        <v>241</v>
      </c>
      <c r="M1895">
        <v>38.446949889999999</v>
      </c>
      <c r="N1895">
        <v>-122.7975333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 t="s">
        <v>9335</v>
      </c>
      <c r="AB1895" t="s">
        <v>242</v>
      </c>
      <c r="AC1895" t="s">
        <v>3229</v>
      </c>
    </row>
    <row r="1896" spans="1:29" x14ac:dyDescent="0.25">
      <c r="A1896" t="s">
        <v>1896</v>
      </c>
      <c r="B1896" t="s">
        <v>252</v>
      </c>
      <c r="C1896" t="s">
        <v>493</v>
      </c>
      <c r="D1896" t="s">
        <v>3713</v>
      </c>
      <c r="E1896" t="s">
        <v>3761</v>
      </c>
      <c r="F1896">
        <v>10000000</v>
      </c>
      <c r="G1896" t="s">
        <v>9349</v>
      </c>
      <c r="H1896" t="s">
        <v>242</v>
      </c>
      <c r="I1896" t="s">
        <v>242</v>
      </c>
      <c r="J1896" t="s">
        <v>242</v>
      </c>
      <c r="K1896" t="s">
        <v>242</v>
      </c>
      <c r="L1896" t="s">
        <v>241</v>
      </c>
      <c r="M1896">
        <v>38.730580879999998</v>
      </c>
      <c r="N1896">
        <v>-122.9812556</v>
      </c>
      <c r="O1896">
        <v>0</v>
      </c>
      <c r="P1896">
        <v>0</v>
      </c>
      <c r="Q1896">
        <v>0</v>
      </c>
      <c r="R1896">
        <v>0</v>
      </c>
      <c r="S1896">
        <v>6.0000000000000002E-6</v>
      </c>
      <c r="T1896">
        <v>1.2E-5</v>
      </c>
      <c r="U1896">
        <v>1.2E-5</v>
      </c>
      <c r="V1896">
        <v>1.2E-5</v>
      </c>
      <c r="W1896">
        <v>1.2E-5</v>
      </c>
      <c r="X1896">
        <v>6.0000000000000002E-6</v>
      </c>
      <c r="Y1896">
        <v>0</v>
      </c>
      <c r="Z1896">
        <v>0</v>
      </c>
      <c r="AA1896" t="s">
        <v>9335</v>
      </c>
      <c r="AB1896" t="s">
        <v>241</v>
      </c>
      <c r="AC1896" t="s">
        <v>3229</v>
      </c>
    </row>
    <row r="1897" spans="1:29" x14ac:dyDescent="0.25">
      <c r="A1897" t="s">
        <v>1898</v>
      </c>
      <c r="B1897" t="s">
        <v>252</v>
      </c>
      <c r="C1897" t="s">
        <v>403</v>
      </c>
      <c r="D1897" t="s">
        <v>3713</v>
      </c>
      <c r="E1897" t="s">
        <v>3761</v>
      </c>
      <c r="F1897">
        <v>10000000</v>
      </c>
      <c r="G1897" t="s">
        <v>9349</v>
      </c>
      <c r="H1897" t="s">
        <v>242</v>
      </c>
      <c r="I1897" t="s">
        <v>242</v>
      </c>
      <c r="J1897" t="s">
        <v>242</v>
      </c>
      <c r="K1897" t="s">
        <v>242</v>
      </c>
      <c r="L1897" t="s">
        <v>241</v>
      </c>
      <c r="M1897">
        <v>38.494569400000003</v>
      </c>
      <c r="N1897">
        <v>-123.0873848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 t="s">
        <v>9335</v>
      </c>
      <c r="AB1897" t="s">
        <v>242</v>
      </c>
      <c r="AC1897" t="s">
        <v>3229</v>
      </c>
    </row>
    <row r="1898" spans="1:29" x14ac:dyDescent="0.25">
      <c r="A1898" t="s">
        <v>1903</v>
      </c>
      <c r="B1898" t="s">
        <v>252</v>
      </c>
      <c r="C1898" t="s">
        <v>486</v>
      </c>
      <c r="D1898" t="s">
        <v>3713</v>
      </c>
      <c r="E1898" t="s">
        <v>3761</v>
      </c>
      <c r="F1898">
        <v>10000000</v>
      </c>
      <c r="G1898" t="s">
        <v>9349</v>
      </c>
      <c r="H1898" t="s">
        <v>242</v>
      </c>
      <c r="I1898" t="s">
        <v>242</v>
      </c>
      <c r="J1898" t="s">
        <v>242</v>
      </c>
      <c r="K1898" t="s">
        <v>242</v>
      </c>
      <c r="L1898" t="s">
        <v>241</v>
      </c>
      <c r="M1898">
        <v>38.593456209999999</v>
      </c>
      <c r="N1898">
        <v>-122.8163153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 t="s">
        <v>9335</v>
      </c>
      <c r="AB1898" t="s">
        <v>242</v>
      </c>
      <c r="AC1898" t="s">
        <v>3229</v>
      </c>
    </row>
    <row r="1899" spans="1:29" x14ac:dyDescent="0.25">
      <c r="A1899" t="s">
        <v>1905</v>
      </c>
      <c r="B1899" t="s">
        <v>252</v>
      </c>
      <c r="C1899" t="s">
        <v>352</v>
      </c>
      <c r="D1899" t="s">
        <v>3713</v>
      </c>
      <c r="E1899" t="s">
        <v>3761</v>
      </c>
      <c r="F1899">
        <v>10000000</v>
      </c>
      <c r="G1899" t="s">
        <v>9349</v>
      </c>
      <c r="H1899" t="s">
        <v>242</v>
      </c>
      <c r="I1899" t="s">
        <v>242</v>
      </c>
      <c r="J1899" t="s">
        <v>242</v>
      </c>
      <c r="K1899" t="s">
        <v>242</v>
      </c>
      <c r="L1899" t="s">
        <v>241</v>
      </c>
      <c r="M1899">
        <v>38.441296000000001</v>
      </c>
      <c r="N1899">
        <v>-122.8948855</v>
      </c>
      <c r="O1899">
        <v>2.0299999999999999E-5</v>
      </c>
      <c r="P1899">
        <v>2.0299999999999999E-5</v>
      </c>
      <c r="Q1899">
        <v>5.1E-5</v>
      </c>
      <c r="R1899">
        <v>6.6299999999999999E-5</v>
      </c>
      <c r="S1899">
        <v>1.2300000000000001E-4</v>
      </c>
      <c r="T1899">
        <v>1.2799999999999999E-4</v>
      </c>
      <c r="U1899">
        <v>1.2799999999999999E-4</v>
      </c>
      <c r="V1899">
        <v>1.2799999999999999E-4</v>
      </c>
      <c r="W1899">
        <v>9.2299999999999994E-5</v>
      </c>
      <c r="X1899">
        <v>6.6299999999999999E-5</v>
      </c>
      <c r="Y1899">
        <v>5.63E-5</v>
      </c>
      <c r="Z1899">
        <v>5.1E-5</v>
      </c>
      <c r="AA1899" t="s">
        <v>9335</v>
      </c>
      <c r="AB1899" t="s">
        <v>242</v>
      </c>
      <c r="AC1899" t="s">
        <v>3229</v>
      </c>
    </row>
    <row r="1900" spans="1:29" x14ac:dyDescent="0.25">
      <c r="A1900" t="s">
        <v>1906</v>
      </c>
      <c r="B1900" t="s">
        <v>252</v>
      </c>
      <c r="C1900" t="s">
        <v>378</v>
      </c>
      <c r="D1900" t="s">
        <v>3713</v>
      </c>
      <c r="E1900" t="s">
        <v>3761</v>
      </c>
      <c r="F1900">
        <v>10000000</v>
      </c>
      <c r="G1900" t="s">
        <v>9349</v>
      </c>
      <c r="H1900" t="s">
        <v>242</v>
      </c>
      <c r="I1900" t="s">
        <v>242</v>
      </c>
      <c r="J1900" t="s">
        <v>242</v>
      </c>
      <c r="K1900" t="s">
        <v>242</v>
      </c>
      <c r="L1900" t="s">
        <v>241</v>
      </c>
      <c r="M1900">
        <v>38.4626643</v>
      </c>
      <c r="N1900">
        <v>-122.65626020000001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 t="s">
        <v>9335</v>
      </c>
      <c r="AB1900" t="s">
        <v>242</v>
      </c>
      <c r="AC1900" t="s">
        <v>3229</v>
      </c>
    </row>
    <row r="1901" spans="1:29" x14ac:dyDescent="0.25">
      <c r="A1901" t="s">
        <v>1907</v>
      </c>
      <c r="B1901" t="s">
        <v>252</v>
      </c>
      <c r="C1901" t="s">
        <v>352</v>
      </c>
      <c r="D1901" t="s">
        <v>3713</v>
      </c>
      <c r="E1901" t="s">
        <v>3761</v>
      </c>
      <c r="F1901">
        <v>10000000</v>
      </c>
      <c r="G1901" t="s">
        <v>9349</v>
      </c>
      <c r="H1901" t="s">
        <v>242</v>
      </c>
      <c r="I1901" t="s">
        <v>242</v>
      </c>
      <c r="J1901" t="s">
        <v>242</v>
      </c>
      <c r="K1901" t="s">
        <v>242</v>
      </c>
      <c r="L1901" t="s">
        <v>241</v>
      </c>
      <c r="M1901">
        <v>38.442372689999999</v>
      </c>
      <c r="N1901">
        <v>-122.89769219999999</v>
      </c>
      <c r="O1901">
        <v>0.36</v>
      </c>
      <c r="P1901">
        <v>0.36</v>
      </c>
      <c r="Q1901">
        <v>0.36</v>
      </c>
      <c r="R1901">
        <v>0.36</v>
      </c>
      <c r="S1901">
        <v>0.46</v>
      </c>
      <c r="T1901">
        <v>0.55000000000000004</v>
      </c>
      <c r="U1901">
        <v>0.69</v>
      </c>
      <c r="V1901">
        <v>0.69</v>
      </c>
      <c r="W1901">
        <v>0.69</v>
      </c>
      <c r="X1901">
        <v>0.36</v>
      </c>
      <c r="Y1901">
        <v>0.36</v>
      </c>
      <c r="Z1901">
        <v>0.36</v>
      </c>
      <c r="AA1901" t="s">
        <v>9335</v>
      </c>
      <c r="AB1901" t="s">
        <v>242</v>
      </c>
      <c r="AC1901" t="s">
        <v>3229</v>
      </c>
    </row>
    <row r="1902" spans="1:29" x14ac:dyDescent="0.25">
      <c r="A1902" t="s">
        <v>1910</v>
      </c>
      <c r="B1902" t="s">
        <v>252</v>
      </c>
      <c r="C1902" t="s">
        <v>403</v>
      </c>
      <c r="D1902" t="s">
        <v>3713</v>
      </c>
      <c r="E1902" t="s">
        <v>3761</v>
      </c>
      <c r="F1902">
        <v>10000000</v>
      </c>
      <c r="G1902" t="s">
        <v>9349</v>
      </c>
      <c r="H1902" t="s">
        <v>242</v>
      </c>
      <c r="I1902" t="s">
        <v>242</v>
      </c>
      <c r="J1902" t="s">
        <v>242</v>
      </c>
      <c r="K1902" t="s">
        <v>242</v>
      </c>
      <c r="L1902" t="s">
        <v>241</v>
      </c>
      <c r="M1902">
        <v>38.451942010000003</v>
      </c>
      <c r="N1902">
        <v>-123.0940705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1.0226670000000001E-3</v>
      </c>
      <c r="V1902">
        <v>2.1483330000000001E-3</v>
      </c>
      <c r="W1902">
        <v>1.5343329999999999E-3</v>
      </c>
      <c r="X1902">
        <v>0</v>
      </c>
      <c r="Y1902">
        <v>0</v>
      </c>
      <c r="Z1902">
        <v>0</v>
      </c>
      <c r="AA1902" t="s">
        <v>9335</v>
      </c>
      <c r="AB1902" t="s">
        <v>242</v>
      </c>
      <c r="AC1902" t="s">
        <v>3229</v>
      </c>
    </row>
    <row r="1903" spans="1:29" x14ac:dyDescent="0.25">
      <c r="A1903" t="s">
        <v>1849</v>
      </c>
      <c r="B1903" t="s">
        <v>252</v>
      </c>
      <c r="C1903" t="s">
        <v>489</v>
      </c>
      <c r="D1903" t="s">
        <v>3713</v>
      </c>
      <c r="E1903" t="s">
        <v>3761</v>
      </c>
      <c r="F1903">
        <v>18500101</v>
      </c>
      <c r="G1903" t="s">
        <v>9348</v>
      </c>
      <c r="H1903" t="s">
        <v>242</v>
      </c>
      <c r="I1903" t="s">
        <v>241</v>
      </c>
      <c r="J1903" t="s">
        <v>242</v>
      </c>
      <c r="K1903" t="s">
        <v>242</v>
      </c>
      <c r="L1903" t="s">
        <v>242</v>
      </c>
      <c r="M1903">
        <v>38.66360899</v>
      </c>
      <c r="N1903">
        <v>-122.9442583</v>
      </c>
      <c r="O1903">
        <v>0</v>
      </c>
      <c r="P1903">
        <v>0</v>
      </c>
      <c r="Q1903">
        <v>0</v>
      </c>
      <c r="R1903">
        <v>0</v>
      </c>
      <c r="S1903">
        <v>0.443333333</v>
      </c>
      <c r="T1903">
        <v>1.33</v>
      </c>
      <c r="U1903">
        <v>1.33</v>
      </c>
      <c r="V1903">
        <v>1.33</v>
      </c>
      <c r="W1903">
        <v>2.66</v>
      </c>
      <c r="X1903">
        <v>1.33</v>
      </c>
      <c r="Y1903">
        <v>0.443333333</v>
      </c>
      <c r="Z1903">
        <v>0</v>
      </c>
      <c r="AA1903" t="s">
        <v>9335</v>
      </c>
      <c r="AB1903" t="s">
        <v>241</v>
      </c>
      <c r="AC1903" t="s">
        <v>3229</v>
      </c>
    </row>
    <row r="1904" spans="1:29" x14ac:dyDescent="0.25">
      <c r="A1904" t="s">
        <v>1912</v>
      </c>
      <c r="B1904" t="s">
        <v>252</v>
      </c>
      <c r="C1904" t="s">
        <v>493</v>
      </c>
      <c r="D1904" t="s">
        <v>3713</v>
      </c>
      <c r="E1904" t="s">
        <v>3761</v>
      </c>
      <c r="F1904">
        <v>10000000</v>
      </c>
      <c r="G1904" t="s">
        <v>9349</v>
      </c>
      <c r="H1904" t="s">
        <v>242</v>
      </c>
      <c r="I1904" t="s">
        <v>242</v>
      </c>
      <c r="J1904" t="s">
        <v>242</v>
      </c>
      <c r="K1904" t="s">
        <v>242</v>
      </c>
      <c r="L1904" t="s">
        <v>241</v>
      </c>
      <c r="M1904">
        <v>38.706731320000003</v>
      </c>
      <c r="N1904">
        <v>-122.9763712</v>
      </c>
      <c r="O1904">
        <v>0</v>
      </c>
      <c r="P1904">
        <v>0</v>
      </c>
      <c r="Q1904">
        <v>0</v>
      </c>
      <c r="R1904">
        <v>0</v>
      </c>
      <c r="S1904">
        <v>0.59333333300000002</v>
      </c>
      <c r="T1904">
        <v>1.693333333</v>
      </c>
      <c r="U1904">
        <v>1.993333333</v>
      </c>
      <c r="V1904">
        <v>2.3033333329999999</v>
      </c>
      <c r="W1904">
        <v>2.4700000000000002</v>
      </c>
      <c r="X1904">
        <v>1.653333333</v>
      </c>
      <c r="Y1904">
        <v>0</v>
      </c>
      <c r="Z1904">
        <v>0</v>
      </c>
      <c r="AA1904" t="s">
        <v>9335</v>
      </c>
      <c r="AB1904" t="s">
        <v>242</v>
      </c>
      <c r="AC1904" t="s">
        <v>3229</v>
      </c>
    </row>
    <row r="1905" spans="1:29" x14ac:dyDescent="0.25">
      <c r="A1905" t="s">
        <v>1913</v>
      </c>
      <c r="B1905" t="s">
        <v>252</v>
      </c>
      <c r="C1905" t="s">
        <v>403</v>
      </c>
      <c r="D1905" t="s">
        <v>3713</v>
      </c>
      <c r="E1905" t="s">
        <v>3761</v>
      </c>
      <c r="F1905">
        <v>10000000</v>
      </c>
      <c r="G1905" t="s">
        <v>9349</v>
      </c>
      <c r="H1905" t="s">
        <v>242</v>
      </c>
      <c r="I1905" t="s">
        <v>242</v>
      </c>
      <c r="J1905" t="s">
        <v>242</v>
      </c>
      <c r="K1905" t="s">
        <v>242</v>
      </c>
      <c r="L1905" t="s">
        <v>241</v>
      </c>
      <c r="M1905">
        <v>38.45028799</v>
      </c>
      <c r="N1905">
        <v>-123.0947436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 t="s">
        <v>9335</v>
      </c>
      <c r="AB1905" t="s">
        <v>242</v>
      </c>
      <c r="AC1905" t="s">
        <v>3229</v>
      </c>
    </row>
    <row r="1906" spans="1:29" x14ac:dyDescent="0.25">
      <c r="A1906" t="s">
        <v>1832</v>
      </c>
      <c r="B1906" t="s">
        <v>252</v>
      </c>
      <c r="C1906" t="s">
        <v>378</v>
      </c>
      <c r="D1906" t="s">
        <v>3713</v>
      </c>
      <c r="E1906" t="s">
        <v>3761</v>
      </c>
      <c r="F1906">
        <v>18730101</v>
      </c>
      <c r="G1906" t="s">
        <v>9348</v>
      </c>
      <c r="H1906" t="s">
        <v>242</v>
      </c>
      <c r="I1906" t="s">
        <v>241</v>
      </c>
      <c r="J1906" t="s">
        <v>242</v>
      </c>
      <c r="K1906" t="s">
        <v>242</v>
      </c>
      <c r="L1906" t="s">
        <v>242</v>
      </c>
      <c r="M1906">
        <v>38.454103029999999</v>
      </c>
      <c r="N1906">
        <v>-122.6688085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 t="s">
        <v>9341</v>
      </c>
      <c r="AB1906" t="s">
        <v>242</v>
      </c>
      <c r="AC1906" t="s">
        <v>3229</v>
      </c>
    </row>
    <row r="1907" spans="1:29" x14ac:dyDescent="0.25">
      <c r="A1907" t="s">
        <v>2178</v>
      </c>
      <c r="B1907" t="s">
        <v>252</v>
      </c>
      <c r="C1907" t="s">
        <v>489</v>
      </c>
      <c r="D1907" t="s">
        <v>3713</v>
      </c>
      <c r="E1907" t="s">
        <v>3761</v>
      </c>
      <c r="F1907">
        <v>10000000</v>
      </c>
      <c r="G1907" t="s">
        <v>9349</v>
      </c>
      <c r="H1907" t="s">
        <v>242</v>
      </c>
      <c r="I1907" t="s">
        <v>242</v>
      </c>
      <c r="J1907" t="s">
        <v>242</v>
      </c>
      <c r="K1907" t="s">
        <v>242</v>
      </c>
      <c r="L1907" t="s">
        <v>241</v>
      </c>
      <c r="M1907">
        <v>38.700613779999998</v>
      </c>
      <c r="N1907">
        <v>-122.9524581</v>
      </c>
      <c r="O1907">
        <v>0</v>
      </c>
      <c r="P1907">
        <v>0</v>
      </c>
      <c r="Q1907">
        <v>0</v>
      </c>
      <c r="R1907">
        <v>0</v>
      </c>
      <c r="S1907">
        <v>0.47494933299999997</v>
      </c>
      <c r="T1907">
        <v>1.0552760000000001</v>
      </c>
      <c r="U1907">
        <v>1.0552760000000001</v>
      </c>
      <c r="V1907">
        <v>1.0552760000000001</v>
      </c>
      <c r="W1907">
        <v>1.0552760000000001</v>
      </c>
      <c r="X1907">
        <v>0.47494933299999997</v>
      </c>
      <c r="Y1907">
        <v>0</v>
      </c>
      <c r="Z1907">
        <v>0</v>
      </c>
      <c r="AA1907" t="s">
        <v>9335</v>
      </c>
      <c r="AB1907" t="s">
        <v>242</v>
      </c>
      <c r="AC1907" t="s">
        <v>3229</v>
      </c>
    </row>
    <row r="1908" spans="1:29" x14ac:dyDescent="0.25">
      <c r="A1908" t="s">
        <v>2249</v>
      </c>
      <c r="B1908" t="s">
        <v>252</v>
      </c>
      <c r="C1908" t="s">
        <v>489</v>
      </c>
      <c r="D1908" t="s">
        <v>3713</v>
      </c>
      <c r="E1908" t="s">
        <v>3761</v>
      </c>
      <c r="F1908">
        <v>10000000</v>
      </c>
      <c r="G1908" t="s">
        <v>9349</v>
      </c>
      <c r="H1908" t="s">
        <v>242</v>
      </c>
      <c r="I1908" t="s">
        <v>242</v>
      </c>
      <c r="J1908" t="s">
        <v>242</v>
      </c>
      <c r="K1908" t="s">
        <v>242</v>
      </c>
      <c r="L1908" t="s">
        <v>241</v>
      </c>
      <c r="M1908">
        <v>38.699518349999998</v>
      </c>
      <c r="N1908">
        <v>-122.952093</v>
      </c>
      <c r="O1908">
        <v>0</v>
      </c>
      <c r="P1908">
        <v>0</v>
      </c>
      <c r="Q1908">
        <v>0</v>
      </c>
      <c r="R1908">
        <v>0</v>
      </c>
      <c r="S1908">
        <v>0.404479333</v>
      </c>
      <c r="T1908">
        <v>1.044649333</v>
      </c>
      <c r="U1908">
        <v>1.044649333</v>
      </c>
      <c r="V1908">
        <v>1.044649333</v>
      </c>
      <c r="W1908">
        <v>1.044649333</v>
      </c>
      <c r="X1908">
        <v>0.404479333</v>
      </c>
      <c r="Y1908">
        <v>0</v>
      </c>
      <c r="Z1908">
        <v>0</v>
      </c>
      <c r="AA1908" t="s">
        <v>9335</v>
      </c>
      <c r="AB1908" t="s">
        <v>242</v>
      </c>
      <c r="AC1908" t="s">
        <v>3229</v>
      </c>
    </row>
    <row r="1909" spans="1:29" x14ac:dyDescent="0.25">
      <c r="A1909" t="s">
        <v>1934</v>
      </c>
      <c r="B1909" t="s">
        <v>252</v>
      </c>
      <c r="C1909" t="s">
        <v>352</v>
      </c>
      <c r="D1909" t="s">
        <v>3713</v>
      </c>
      <c r="E1909" t="s">
        <v>3761</v>
      </c>
      <c r="F1909">
        <v>10000000</v>
      </c>
      <c r="G1909" t="s">
        <v>9349</v>
      </c>
      <c r="H1909" t="s">
        <v>242</v>
      </c>
      <c r="I1909" t="s">
        <v>242</v>
      </c>
      <c r="J1909" t="s">
        <v>242</v>
      </c>
      <c r="K1909" t="s">
        <v>242</v>
      </c>
      <c r="L1909" t="s">
        <v>241</v>
      </c>
      <c r="M1909">
        <v>38.430329149999999</v>
      </c>
      <c r="N1909">
        <v>-122.89265380000001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 t="s">
        <v>9335</v>
      </c>
      <c r="AB1909" t="s">
        <v>242</v>
      </c>
      <c r="AC1909" t="s">
        <v>3229</v>
      </c>
    </row>
    <row r="1910" spans="1:29" x14ac:dyDescent="0.25">
      <c r="A1910" t="s">
        <v>1935</v>
      </c>
      <c r="B1910" t="s">
        <v>252</v>
      </c>
      <c r="C1910" t="s">
        <v>329</v>
      </c>
      <c r="D1910" t="s">
        <v>3713</v>
      </c>
      <c r="E1910" t="s">
        <v>3761</v>
      </c>
      <c r="F1910">
        <v>10000000</v>
      </c>
      <c r="G1910" t="s">
        <v>9349</v>
      </c>
      <c r="H1910" t="s">
        <v>242</v>
      </c>
      <c r="I1910" t="s">
        <v>242</v>
      </c>
      <c r="J1910" t="s">
        <v>242</v>
      </c>
      <c r="K1910" t="s">
        <v>242</v>
      </c>
      <c r="L1910" t="s">
        <v>241</v>
      </c>
      <c r="M1910">
        <v>38.56035103</v>
      </c>
      <c r="N1910">
        <v>-123.1006275</v>
      </c>
      <c r="O1910">
        <v>5.7299999999999997E-5</v>
      </c>
      <c r="P1910">
        <v>5.7299999999999997E-5</v>
      </c>
      <c r="Q1910">
        <v>5.7299999999999997E-5</v>
      </c>
      <c r="R1910">
        <v>5.7299999999999997E-5</v>
      </c>
      <c r="S1910">
        <v>4.8566700000000001E-4</v>
      </c>
      <c r="T1910">
        <v>4.8566700000000001E-4</v>
      </c>
      <c r="U1910">
        <v>4.8566700000000001E-4</v>
      </c>
      <c r="V1910">
        <v>4.8566700000000001E-4</v>
      </c>
      <c r="W1910">
        <v>4.8566700000000001E-4</v>
      </c>
      <c r="X1910">
        <v>4.8566700000000001E-4</v>
      </c>
      <c r="Y1910">
        <v>5.7299999999999997E-5</v>
      </c>
      <c r="Z1910">
        <v>5.7299999999999997E-5</v>
      </c>
      <c r="AA1910" t="s">
        <v>9335</v>
      </c>
      <c r="AB1910" t="s">
        <v>242</v>
      </c>
      <c r="AC1910" t="s">
        <v>3229</v>
      </c>
    </row>
    <row r="1911" spans="1:29" x14ac:dyDescent="0.25">
      <c r="A1911" t="s">
        <v>1937</v>
      </c>
      <c r="B1911" t="s">
        <v>252</v>
      </c>
      <c r="C1911" t="s">
        <v>329</v>
      </c>
      <c r="D1911" t="s">
        <v>3713</v>
      </c>
      <c r="E1911" t="s">
        <v>3761</v>
      </c>
      <c r="F1911">
        <v>10000000</v>
      </c>
      <c r="G1911" t="s">
        <v>9349</v>
      </c>
      <c r="H1911" t="s">
        <v>242</v>
      </c>
      <c r="I1911" t="s">
        <v>242</v>
      </c>
      <c r="J1911" t="s">
        <v>242</v>
      </c>
      <c r="K1911" t="s">
        <v>242</v>
      </c>
      <c r="L1911" t="s">
        <v>241</v>
      </c>
      <c r="M1911">
        <v>38.56035103</v>
      </c>
      <c r="N1911">
        <v>-123.1006275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 t="s">
        <v>9335</v>
      </c>
      <c r="AB1911" t="s">
        <v>242</v>
      </c>
      <c r="AC1911" t="s">
        <v>3229</v>
      </c>
    </row>
    <row r="1912" spans="1:29" x14ac:dyDescent="0.25">
      <c r="A1912" t="s">
        <v>1938</v>
      </c>
      <c r="B1912" t="s">
        <v>252</v>
      </c>
      <c r="C1912" t="s">
        <v>329</v>
      </c>
      <c r="D1912" t="s">
        <v>3713</v>
      </c>
      <c r="E1912" t="s">
        <v>3761</v>
      </c>
      <c r="F1912">
        <v>10000000</v>
      </c>
      <c r="G1912" t="s">
        <v>9349</v>
      </c>
      <c r="H1912" t="s">
        <v>242</v>
      </c>
      <c r="I1912" t="s">
        <v>242</v>
      </c>
      <c r="J1912" t="s">
        <v>242</v>
      </c>
      <c r="K1912" t="s">
        <v>242</v>
      </c>
      <c r="L1912" t="s">
        <v>241</v>
      </c>
      <c r="M1912">
        <v>38.56035103</v>
      </c>
      <c r="N1912">
        <v>-123.1006275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 t="s">
        <v>9335</v>
      </c>
      <c r="AB1912" t="s">
        <v>242</v>
      </c>
      <c r="AC1912" t="s">
        <v>3229</v>
      </c>
    </row>
    <row r="1913" spans="1:29" x14ac:dyDescent="0.25">
      <c r="A1913" t="s">
        <v>1939</v>
      </c>
      <c r="B1913" t="s">
        <v>252</v>
      </c>
      <c r="C1913" t="s">
        <v>329</v>
      </c>
      <c r="D1913" t="s">
        <v>3713</v>
      </c>
      <c r="E1913" t="s">
        <v>3761</v>
      </c>
      <c r="F1913">
        <v>10000000</v>
      </c>
      <c r="G1913" t="s">
        <v>9349</v>
      </c>
      <c r="H1913" t="s">
        <v>242</v>
      </c>
      <c r="I1913" t="s">
        <v>242</v>
      </c>
      <c r="J1913" t="s">
        <v>242</v>
      </c>
      <c r="K1913" t="s">
        <v>242</v>
      </c>
      <c r="L1913" t="s">
        <v>241</v>
      </c>
      <c r="M1913">
        <v>38.563632599999998</v>
      </c>
      <c r="N1913">
        <v>-123.1020772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 t="s">
        <v>9335</v>
      </c>
      <c r="AB1913" t="s">
        <v>242</v>
      </c>
      <c r="AC1913" t="s">
        <v>3229</v>
      </c>
    </row>
    <row r="1914" spans="1:29" x14ac:dyDescent="0.25">
      <c r="A1914" t="s">
        <v>1940</v>
      </c>
      <c r="B1914" t="s">
        <v>252</v>
      </c>
      <c r="C1914" t="s">
        <v>329</v>
      </c>
      <c r="D1914" t="s">
        <v>3713</v>
      </c>
      <c r="E1914" t="s">
        <v>3761</v>
      </c>
      <c r="F1914">
        <v>10000000</v>
      </c>
      <c r="G1914" t="s">
        <v>9349</v>
      </c>
      <c r="H1914" t="s">
        <v>242</v>
      </c>
      <c r="I1914" t="s">
        <v>242</v>
      </c>
      <c r="J1914" t="s">
        <v>242</v>
      </c>
      <c r="K1914" t="s">
        <v>242</v>
      </c>
      <c r="L1914" t="s">
        <v>241</v>
      </c>
      <c r="M1914">
        <v>38.563632599999998</v>
      </c>
      <c r="N1914">
        <v>-123.1020772</v>
      </c>
      <c r="O1914">
        <v>0</v>
      </c>
      <c r="P1914">
        <v>0</v>
      </c>
      <c r="Q1914">
        <v>3.0699999999999998E-4</v>
      </c>
      <c r="R1914">
        <v>3.0699999999999998E-4</v>
      </c>
      <c r="S1914">
        <v>1.227667E-3</v>
      </c>
      <c r="T1914">
        <v>1.534667E-3</v>
      </c>
      <c r="U1914">
        <v>1.7899999999999999E-3</v>
      </c>
      <c r="V1914">
        <v>1.7899999999999999E-3</v>
      </c>
      <c r="W1914">
        <v>1.7390000000000001E-3</v>
      </c>
      <c r="X1914">
        <v>1.1253330000000001E-3</v>
      </c>
      <c r="Y1914">
        <v>2.0466700000000001E-4</v>
      </c>
      <c r="Z1914">
        <v>2.0466700000000001E-4</v>
      </c>
      <c r="AA1914" t="s">
        <v>9335</v>
      </c>
      <c r="AB1914" t="s">
        <v>242</v>
      </c>
      <c r="AC1914" t="s">
        <v>3229</v>
      </c>
    </row>
    <row r="1915" spans="1:29" x14ac:dyDescent="0.25">
      <c r="A1915" t="s">
        <v>1941</v>
      </c>
      <c r="B1915" t="s">
        <v>252</v>
      </c>
      <c r="C1915" t="s">
        <v>329</v>
      </c>
      <c r="D1915" t="s">
        <v>3713</v>
      </c>
      <c r="E1915" t="s">
        <v>3761</v>
      </c>
      <c r="F1915">
        <v>10000000</v>
      </c>
      <c r="G1915" t="s">
        <v>9349</v>
      </c>
      <c r="H1915" t="s">
        <v>242</v>
      </c>
      <c r="I1915" t="s">
        <v>242</v>
      </c>
      <c r="J1915" t="s">
        <v>242</v>
      </c>
      <c r="K1915" t="s">
        <v>242</v>
      </c>
      <c r="L1915" t="s">
        <v>241</v>
      </c>
      <c r="M1915">
        <v>38.563632599999998</v>
      </c>
      <c r="N1915">
        <v>-123.1020772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 t="s">
        <v>9335</v>
      </c>
      <c r="AB1915" t="s">
        <v>242</v>
      </c>
      <c r="AC1915" t="s">
        <v>3229</v>
      </c>
    </row>
    <row r="1916" spans="1:29" x14ac:dyDescent="0.25">
      <c r="A1916" t="s">
        <v>1942</v>
      </c>
      <c r="B1916" t="s">
        <v>252</v>
      </c>
      <c r="C1916" t="s">
        <v>329</v>
      </c>
      <c r="D1916" t="s">
        <v>3713</v>
      </c>
      <c r="E1916" t="s">
        <v>3761</v>
      </c>
      <c r="F1916">
        <v>10000000</v>
      </c>
      <c r="G1916" t="s">
        <v>9349</v>
      </c>
      <c r="H1916" t="s">
        <v>242</v>
      </c>
      <c r="I1916" t="s">
        <v>242</v>
      </c>
      <c r="J1916" t="s">
        <v>242</v>
      </c>
      <c r="K1916" t="s">
        <v>242</v>
      </c>
      <c r="L1916" t="s">
        <v>241</v>
      </c>
      <c r="M1916">
        <v>38.566355000000001</v>
      </c>
      <c r="N1916">
        <v>-123.1045676</v>
      </c>
      <c r="O1916">
        <v>4.0933300000000001E-4</v>
      </c>
      <c r="P1916">
        <v>4.0933300000000001E-4</v>
      </c>
      <c r="Q1916">
        <v>1.023E-3</v>
      </c>
      <c r="R1916">
        <v>1.023E-3</v>
      </c>
      <c r="S1916">
        <v>3.7850000000000002E-3</v>
      </c>
      <c r="T1916">
        <v>3.7850000000000002E-3</v>
      </c>
      <c r="U1916">
        <v>3.7850000000000002E-3</v>
      </c>
      <c r="V1916">
        <v>3.7850000000000002E-3</v>
      </c>
      <c r="W1916">
        <v>2.7620000000000001E-3</v>
      </c>
      <c r="X1916">
        <v>1.8413329999999999E-3</v>
      </c>
      <c r="Y1916">
        <v>5.6266699999999998E-4</v>
      </c>
      <c r="Z1916">
        <v>5.6266699999999998E-4</v>
      </c>
      <c r="AA1916" t="s">
        <v>9335</v>
      </c>
      <c r="AB1916" t="s">
        <v>242</v>
      </c>
      <c r="AC1916" t="s">
        <v>3229</v>
      </c>
    </row>
    <row r="1917" spans="1:29" x14ac:dyDescent="0.25">
      <c r="A1917" t="s">
        <v>1943</v>
      </c>
      <c r="B1917" t="s">
        <v>252</v>
      </c>
      <c r="C1917" t="s">
        <v>329</v>
      </c>
      <c r="D1917" t="s">
        <v>3713</v>
      </c>
      <c r="E1917" t="s">
        <v>3761</v>
      </c>
      <c r="F1917">
        <v>10000000</v>
      </c>
      <c r="G1917" t="s">
        <v>9349</v>
      </c>
      <c r="H1917" t="s">
        <v>242</v>
      </c>
      <c r="I1917" t="s">
        <v>242</v>
      </c>
      <c r="J1917" t="s">
        <v>242</v>
      </c>
      <c r="K1917" t="s">
        <v>242</v>
      </c>
      <c r="L1917" t="s">
        <v>241</v>
      </c>
      <c r="M1917">
        <v>38.566355000000001</v>
      </c>
      <c r="N1917">
        <v>-123.1045676</v>
      </c>
      <c r="O1917">
        <v>2.8029333E-2</v>
      </c>
      <c r="P1917">
        <v>1.4730666999999999E-2</v>
      </c>
      <c r="Q1917">
        <v>2.4858000000000002E-2</v>
      </c>
      <c r="R1917">
        <v>5.6263000000000001E-2</v>
      </c>
      <c r="S1917">
        <v>6.6697332999999998E-2</v>
      </c>
      <c r="T1917">
        <v>5.6979000000000002E-2</v>
      </c>
      <c r="U1917">
        <v>5.6979000000000002E-2</v>
      </c>
      <c r="V1917">
        <v>6.5980999999999998E-2</v>
      </c>
      <c r="W1917">
        <v>5.1956333E-2</v>
      </c>
      <c r="X1917">
        <v>6.3842999999999997E-2</v>
      </c>
      <c r="Y1917">
        <v>3.3860000000000001E-2</v>
      </c>
      <c r="Z1917">
        <v>2.8745E-2</v>
      </c>
      <c r="AA1917" t="s">
        <v>9335</v>
      </c>
      <c r="AB1917" t="s">
        <v>242</v>
      </c>
      <c r="AC1917" t="s">
        <v>3229</v>
      </c>
    </row>
    <row r="1918" spans="1:29" x14ac:dyDescent="0.25">
      <c r="A1918" t="s">
        <v>1944</v>
      </c>
      <c r="B1918" t="s">
        <v>252</v>
      </c>
      <c r="C1918" t="s">
        <v>329</v>
      </c>
      <c r="D1918" t="s">
        <v>3713</v>
      </c>
      <c r="E1918" t="s">
        <v>3761</v>
      </c>
      <c r="F1918">
        <v>10000000</v>
      </c>
      <c r="G1918" t="s">
        <v>9349</v>
      </c>
      <c r="H1918" t="s">
        <v>242</v>
      </c>
      <c r="I1918" t="s">
        <v>242</v>
      </c>
      <c r="J1918" t="s">
        <v>242</v>
      </c>
      <c r="K1918" t="s">
        <v>242</v>
      </c>
      <c r="L1918" t="s">
        <v>241</v>
      </c>
      <c r="M1918">
        <v>38.56699708</v>
      </c>
      <c r="N1918">
        <v>-123.09478369999999</v>
      </c>
      <c r="O1918">
        <v>1.033333E-3</v>
      </c>
      <c r="P1918">
        <v>1.033333E-3</v>
      </c>
      <c r="Q1918">
        <v>1.1356669999999999E-3</v>
      </c>
      <c r="R1918">
        <v>1.892667E-3</v>
      </c>
      <c r="S1918">
        <v>3.5806670000000001E-3</v>
      </c>
      <c r="T1918">
        <v>3.5806670000000001E-3</v>
      </c>
      <c r="U1918">
        <v>3.5806670000000001E-3</v>
      </c>
      <c r="V1918">
        <v>3.5806670000000001E-3</v>
      </c>
      <c r="W1918">
        <v>2.557667E-3</v>
      </c>
      <c r="X1918">
        <v>2.250667E-3</v>
      </c>
      <c r="Y1918">
        <v>8.7966699999999999E-4</v>
      </c>
      <c r="Z1918">
        <v>8.7966699999999999E-4</v>
      </c>
      <c r="AA1918" t="s">
        <v>9335</v>
      </c>
      <c r="AB1918" t="s">
        <v>242</v>
      </c>
      <c r="AC1918" t="s">
        <v>3229</v>
      </c>
    </row>
    <row r="1919" spans="1:29" x14ac:dyDescent="0.25">
      <c r="A1919" t="s">
        <v>1957</v>
      </c>
      <c r="B1919" t="s">
        <v>252</v>
      </c>
      <c r="C1919" t="s">
        <v>329</v>
      </c>
      <c r="D1919" t="s">
        <v>3713</v>
      </c>
      <c r="E1919" t="s">
        <v>3761</v>
      </c>
      <c r="F1919">
        <v>10000000</v>
      </c>
      <c r="G1919" t="s">
        <v>9349</v>
      </c>
      <c r="H1919" t="s">
        <v>242</v>
      </c>
      <c r="I1919" t="s">
        <v>242</v>
      </c>
      <c r="J1919" t="s">
        <v>242</v>
      </c>
      <c r="K1919" t="s">
        <v>242</v>
      </c>
      <c r="L1919" t="s">
        <v>241</v>
      </c>
      <c r="M1919">
        <v>38.570321640000003</v>
      </c>
      <c r="N1919">
        <v>-123.09168649999999</v>
      </c>
      <c r="O1919">
        <v>7.7746669999999999E-3</v>
      </c>
      <c r="P1919">
        <v>7.7746669999999999E-3</v>
      </c>
      <c r="Q1919">
        <v>7.7746669999999999E-3</v>
      </c>
      <c r="R1919">
        <v>9.1043329999999992E-3</v>
      </c>
      <c r="S1919">
        <v>1.5242E-2</v>
      </c>
      <c r="T1919">
        <v>1.5242E-2</v>
      </c>
      <c r="U1919">
        <v>1.5242E-2</v>
      </c>
      <c r="V1919">
        <v>1.5242E-2</v>
      </c>
      <c r="W1919">
        <v>1.5242E-2</v>
      </c>
      <c r="X1919">
        <v>1.3912333000000001E-2</v>
      </c>
      <c r="Y1919">
        <v>7.7746669999999999E-3</v>
      </c>
      <c r="Z1919">
        <v>7.7746669999999999E-3</v>
      </c>
      <c r="AA1919" t="s">
        <v>9335</v>
      </c>
      <c r="AB1919" t="s">
        <v>242</v>
      </c>
      <c r="AC1919" t="s">
        <v>3229</v>
      </c>
    </row>
    <row r="1920" spans="1:29" x14ac:dyDescent="0.25">
      <c r="A1920" t="s">
        <v>2169</v>
      </c>
      <c r="B1920" t="s">
        <v>252</v>
      </c>
      <c r="C1920" t="s">
        <v>329</v>
      </c>
      <c r="D1920" t="s">
        <v>3713</v>
      </c>
      <c r="E1920" t="s">
        <v>3761</v>
      </c>
      <c r="F1920">
        <v>10000000</v>
      </c>
      <c r="G1920" t="s">
        <v>9349</v>
      </c>
      <c r="H1920" t="s">
        <v>242</v>
      </c>
      <c r="I1920" t="s">
        <v>242</v>
      </c>
      <c r="J1920" t="s">
        <v>242</v>
      </c>
      <c r="K1920" t="s">
        <v>242</v>
      </c>
      <c r="L1920" t="s">
        <v>241</v>
      </c>
      <c r="M1920">
        <v>38.561121460000003</v>
      </c>
      <c r="N1920">
        <v>-123.1062354</v>
      </c>
      <c r="O1920">
        <v>2.0766333000000001E-2</v>
      </c>
      <c r="P1920">
        <v>2.0766333000000001E-2</v>
      </c>
      <c r="Q1920">
        <v>2.0868667E-2</v>
      </c>
      <c r="R1920">
        <v>2.1993667000000001E-2</v>
      </c>
      <c r="S1920">
        <v>1.1763667E-2</v>
      </c>
      <c r="T1920">
        <v>1.1763667E-2</v>
      </c>
      <c r="U1920">
        <v>1.1763667E-2</v>
      </c>
      <c r="V1920">
        <v>1.1763667E-2</v>
      </c>
      <c r="W1920">
        <v>1.1763667E-2</v>
      </c>
      <c r="X1920">
        <v>1.2684667E-2</v>
      </c>
      <c r="Y1920">
        <v>2.0766333000000001E-2</v>
      </c>
      <c r="Z1920">
        <v>2.0766333000000001E-2</v>
      </c>
      <c r="AA1920" t="s">
        <v>9335</v>
      </c>
      <c r="AB1920" t="s">
        <v>242</v>
      </c>
      <c r="AC1920" t="s">
        <v>3229</v>
      </c>
    </row>
    <row r="1921" spans="1:29" x14ac:dyDescent="0.25">
      <c r="A1921" t="s">
        <v>2301</v>
      </c>
      <c r="B1921" t="s">
        <v>252</v>
      </c>
      <c r="C1921" t="s">
        <v>329</v>
      </c>
      <c r="D1921" t="s">
        <v>3713</v>
      </c>
      <c r="E1921" t="s">
        <v>3761</v>
      </c>
      <c r="F1921">
        <v>10000000</v>
      </c>
      <c r="G1921" t="s">
        <v>9349</v>
      </c>
      <c r="H1921" t="s">
        <v>242</v>
      </c>
      <c r="I1921" t="s">
        <v>242</v>
      </c>
      <c r="J1921" t="s">
        <v>242</v>
      </c>
      <c r="K1921" t="s">
        <v>242</v>
      </c>
      <c r="L1921" t="s">
        <v>241</v>
      </c>
      <c r="M1921">
        <v>38.578552199999997</v>
      </c>
      <c r="N1921">
        <v>-123.09251209999999</v>
      </c>
      <c r="O1921">
        <v>8.1836999999999993E-2</v>
      </c>
      <c r="P1921">
        <v>8.1836999999999993E-2</v>
      </c>
      <c r="Q1921">
        <v>8.8997667000000003E-2</v>
      </c>
      <c r="R1921">
        <v>0.189248</v>
      </c>
      <c r="S1921">
        <v>0.21737933300000001</v>
      </c>
      <c r="T1921">
        <v>0.28387200000000001</v>
      </c>
      <c r="U1921">
        <v>0.265970333</v>
      </c>
      <c r="V1921">
        <v>0.25880966700000002</v>
      </c>
      <c r="W1921">
        <v>0.25880966700000002</v>
      </c>
      <c r="X1921">
        <v>0.128381667</v>
      </c>
      <c r="Y1921">
        <v>9.7693000000000002E-2</v>
      </c>
      <c r="Z1921">
        <v>9.1044E-2</v>
      </c>
      <c r="AA1921" t="s">
        <v>9335</v>
      </c>
      <c r="AB1921" t="s">
        <v>242</v>
      </c>
      <c r="AC1921" t="s">
        <v>3229</v>
      </c>
    </row>
    <row r="1922" spans="1:29" x14ac:dyDescent="0.25">
      <c r="A1922" t="s">
        <v>2426</v>
      </c>
      <c r="B1922" t="s">
        <v>252</v>
      </c>
      <c r="C1922" t="s">
        <v>489</v>
      </c>
      <c r="D1922" t="s">
        <v>3713</v>
      </c>
      <c r="E1922" t="s">
        <v>3761</v>
      </c>
      <c r="F1922">
        <v>10000000</v>
      </c>
      <c r="G1922" t="s">
        <v>9349</v>
      </c>
      <c r="H1922" t="s">
        <v>242</v>
      </c>
      <c r="I1922" t="s">
        <v>242</v>
      </c>
      <c r="J1922" t="s">
        <v>242</v>
      </c>
      <c r="K1922" t="s">
        <v>242</v>
      </c>
      <c r="L1922" t="s">
        <v>241</v>
      </c>
      <c r="M1922">
        <v>38.65686599</v>
      </c>
      <c r="N1922">
        <v>-122.9291097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8.7666667000000004E-2</v>
      </c>
      <c r="V1922">
        <v>8.7666667000000004E-2</v>
      </c>
      <c r="W1922">
        <v>0</v>
      </c>
      <c r="X1922">
        <v>0</v>
      </c>
      <c r="Y1922">
        <v>0</v>
      </c>
      <c r="Z1922">
        <v>0</v>
      </c>
      <c r="AA1922" t="s">
        <v>9335</v>
      </c>
      <c r="AB1922" t="s">
        <v>242</v>
      </c>
      <c r="AC1922" t="s">
        <v>3229</v>
      </c>
    </row>
    <row r="1923" spans="1:29" x14ac:dyDescent="0.25">
      <c r="A1923" t="s">
        <v>2466</v>
      </c>
      <c r="B1923" t="s">
        <v>252</v>
      </c>
      <c r="C1923" t="s">
        <v>489</v>
      </c>
      <c r="D1923" t="s">
        <v>3713</v>
      </c>
      <c r="E1923" t="s">
        <v>3761</v>
      </c>
      <c r="F1923">
        <v>10000000</v>
      </c>
      <c r="G1923" t="s">
        <v>9349</v>
      </c>
      <c r="H1923" t="s">
        <v>242</v>
      </c>
      <c r="I1923" t="s">
        <v>242</v>
      </c>
      <c r="J1923" t="s">
        <v>242</v>
      </c>
      <c r="K1923" t="s">
        <v>242</v>
      </c>
      <c r="L1923" t="s">
        <v>241</v>
      </c>
      <c r="M1923">
        <v>38.669955479999999</v>
      </c>
      <c r="N1923">
        <v>-122.9404892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 t="s">
        <v>9333</v>
      </c>
      <c r="AB1923" t="s">
        <v>242</v>
      </c>
      <c r="AC1923" t="s">
        <v>3229</v>
      </c>
    </row>
    <row r="1924" spans="1:29" x14ac:dyDescent="0.25">
      <c r="A1924" t="s">
        <v>1802</v>
      </c>
      <c r="B1924" t="s">
        <v>252</v>
      </c>
      <c r="C1924" t="s">
        <v>352</v>
      </c>
      <c r="D1924" t="s">
        <v>3713</v>
      </c>
      <c r="E1924" t="s">
        <v>3761</v>
      </c>
      <c r="F1924">
        <v>19000101</v>
      </c>
      <c r="G1924" t="s">
        <v>9348</v>
      </c>
      <c r="H1924" t="s">
        <v>242</v>
      </c>
      <c r="I1924" t="s">
        <v>241</v>
      </c>
      <c r="J1924" t="s">
        <v>242</v>
      </c>
      <c r="K1924" t="s">
        <v>242</v>
      </c>
      <c r="L1924" t="s">
        <v>242</v>
      </c>
      <c r="M1924">
        <v>38.438550249999999</v>
      </c>
      <c r="N1924">
        <v>-122.8948511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 t="s">
        <v>9335</v>
      </c>
      <c r="AB1924" t="s">
        <v>242</v>
      </c>
      <c r="AC1924" t="s">
        <v>3229</v>
      </c>
    </row>
    <row r="1925" spans="1:29" x14ac:dyDescent="0.25">
      <c r="A1925" t="s">
        <v>1776</v>
      </c>
      <c r="B1925" t="s">
        <v>252</v>
      </c>
      <c r="C1925" t="s">
        <v>394</v>
      </c>
      <c r="D1925" t="s">
        <v>3713</v>
      </c>
      <c r="E1925" t="s">
        <v>3761</v>
      </c>
      <c r="F1925">
        <v>19100101</v>
      </c>
      <c r="G1925" t="s">
        <v>9348</v>
      </c>
      <c r="H1925" t="s">
        <v>242</v>
      </c>
      <c r="I1925" t="s">
        <v>241</v>
      </c>
      <c r="J1925" t="s">
        <v>242</v>
      </c>
      <c r="K1925" t="s">
        <v>242</v>
      </c>
      <c r="L1925" t="s">
        <v>242</v>
      </c>
      <c r="M1925">
        <v>38.595529519999999</v>
      </c>
      <c r="N1925">
        <v>-122.9069664</v>
      </c>
      <c r="O1925">
        <v>0.133333333</v>
      </c>
      <c r="P1925">
        <v>0.133333333</v>
      </c>
      <c r="Q1925">
        <v>0.133333333</v>
      </c>
      <c r="R1925">
        <v>0.133333333</v>
      </c>
      <c r="S1925">
        <v>0.133333333</v>
      </c>
      <c r="T1925">
        <v>0.16666666699999999</v>
      </c>
      <c r="U1925">
        <v>0.16666666699999999</v>
      </c>
      <c r="V1925">
        <v>0.16666666699999999</v>
      </c>
      <c r="W1925">
        <v>0.16666666699999999</v>
      </c>
      <c r="X1925">
        <v>0.16666666699999999</v>
      </c>
      <c r="Y1925">
        <v>0.133333333</v>
      </c>
      <c r="Z1925">
        <v>0.133333333</v>
      </c>
      <c r="AA1925" t="s">
        <v>9333</v>
      </c>
      <c r="AB1925" t="s">
        <v>242</v>
      </c>
      <c r="AC1925" t="s">
        <v>3229</v>
      </c>
    </row>
    <row r="1926" spans="1:29" x14ac:dyDescent="0.25">
      <c r="A1926" t="s">
        <v>1838</v>
      </c>
      <c r="B1926" t="s">
        <v>252</v>
      </c>
      <c r="C1926" t="s">
        <v>394</v>
      </c>
      <c r="D1926" t="s">
        <v>3713</v>
      </c>
      <c r="E1926" t="s">
        <v>3761</v>
      </c>
      <c r="F1926">
        <v>18700101</v>
      </c>
      <c r="G1926" t="s">
        <v>9348</v>
      </c>
      <c r="H1926" t="s">
        <v>242</v>
      </c>
      <c r="I1926" t="s">
        <v>241</v>
      </c>
      <c r="J1926" t="s">
        <v>242</v>
      </c>
      <c r="K1926" t="s">
        <v>242</v>
      </c>
      <c r="L1926" t="s">
        <v>242</v>
      </c>
      <c r="M1926">
        <v>38.595529519999999</v>
      </c>
      <c r="N1926">
        <v>-122.9069664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 t="s">
        <v>9333</v>
      </c>
      <c r="AB1926" t="s">
        <v>242</v>
      </c>
      <c r="AC1926" t="s">
        <v>3229</v>
      </c>
    </row>
    <row r="1927" spans="1:29" x14ac:dyDescent="0.25">
      <c r="A1927" t="s">
        <v>1785</v>
      </c>
      <c r="B1927" t="s">
        <v>252</v>
      </c>
      <c r="C1927" t="s">
        <v>403</v>
      </c>
      <c r="D1927" t="s">
        <v>3713</v>
      </c>
      <c r="E1927" t="s">
        <v>3761</v>
      </c>
      <c r="F1927">
        <v>19050101</v>
      </c>
      <c r="G1927" t="s">
        <v>9348</v>
      </c>
      <c r="H1927" t="s">
        <v>241</v>
      </c>
      <c r="I1927" t="s">
        <v>241</v>
      </c>
      <c r="J1927" t="s">
        <v>242</v>
      </c>
      <c r="K1927" t="s">
        <v>242</v>
      </c>
      <c r="L1927" t="s">
        <v>242</v>
      </c>
      <c r="M1927">
        <v>38.471594580000001</v>
      </c>
      <c r="N1927">
        <v>-123.0168242</v>
      </c>
      <c r="O1927">
        <v>11.99</v>
      </c>
      <c r="P1927">
        <v>10.64</v>
      </c>
      <c r="Q1927">
        <v>12.266666669999999</v>
      </c>
      <c r="R1927">
        <v>11.78333333</v>
      </c>
      <c r="S1927">
        <v>15.12</v>
      </c>
      <c r="T1927">
        <v>19.87</v>
      </c>
      <c r="U1927">
        <v>23.223333329999999</v>
      </c>
      <c r="V1927">
        <v>23.68</v>
      </c>
      <c r="W1927">
        <v>20.52333333</v>
      </c>
      <c r="X1927">
        <v>16.573333330000001</v>
      </c>
      <c r="Y1927">
        <v>14.14</v>
      </c>
      <c r="Z1927">
        <v>12.543333329999999</v>
      </c>
      <c r="AA1927" t="s">
        <v>9336</v>
      </c>
      <c r="AB1927" t="s">
        <v>242</v>
      </c>
      <c r="AC1927" t="s">
        <v>3229</v>
      </c>
    </row>
    <row r="1928" spans="1:29" x14ac:dyDescent="0.25">
      <c r="A1928" t="s">
        <v>1800</v>
      </c>
      <c r="B1928" t="s">
        <v>252</v>
      </c>
      <c r="C1928" t="s">
        <v>684</v>
      </c>
      <c r="D1928" t="s">
        <v>3713</v>
      </c>
      <c r="E1928" t="s">
        <v>3761</v>
      </c>
      <c r="F1928">
        <v>19010101</v>
      </c>
      <c r="G1928" t="s">
        <v>9348</v>
      </c>
      <c r="H1928" t="s">
        <v>241</v>
      </c>
      <c r="I1928" t="s">
        <v>241</v>
      </c>
      <c r="J1928" t="s">
        <v>242</v>
      </c>
      <c r="K1928" t="s">
        <v>242</v>
      </c>
      <c r="L1928" t="s">
        <v>242</v>
      </c>
      <c r="M1928">
        <v>38.510044000000001</v>
      </c>
      <c r="N1928">
        <v>-122.9845182</v>
      </c>
      <c r="O1928">
        <v>37.503333329999997</v>
      </c>
      <c r="P1928">
        <v>32.943333330000002</v>
      </c>
      <c r="Q1928">
        <v>40.14</v>
      </c>
      <c r="R1928">
        <v>36.583333330000002</v>
      </c>
      <c r="S1928">
        <v>42.16</v>
      </c>
      <c r="T1928">
        <v>45.79</v>
      </c>
      <c r="U1928">
        <v>54.47666667</v>
      </c>
      <c r="V1928">
        <v>53.186666670000001</v>
      </c>
      <c r="W1928">
        <v>46.863333330000003</v>
      </c>
      <c r="X1928">
        <v>42.313333329999999</v>
      </c>
      <c r="Y1928">
        <v>37.15666667</v>
      </c>
      <c r="Z1928">
        <v>33.666666669999998</v>
      </c>
      <c r="AA1928" t="s">
        <v>9336</v>
      </c>
      <c r="AB1928" t="s">
        <v>242</v>
      </c>
      <c r="AC1928" t="s">
        <v>3229</v>
      </c>
    </row>
    <row r="1929" spans="1:29" x14ac:dyDescent="0.25">
      <c r="A1929" t="s">
        <v>1783</v>
      </c>
      <c r="B1929" t="s">
        <v>252</v>
      </c>
      <c r="C1929" t="s">
        <v>403</v>
      </c>
      <c r="D1929" t="s">
        <v>3713</v>
      </c>
      <c r="E1929" t="s">
        <v>3761</v>
      </c>
      <c r="F1929">
        <v>19060101</v>
      </c>
      <c r="G1929" t="s">
        <v>9348</v>
      </c>
      <c r="H1929" t="s">
        <v>242</v>
      </c>
      <c r="I1929" t="s">
        <v>241</v>
      </c>
      <c r="J1929" t="s">
        <v>242</v>
      </c>
      <c r="K1929" t="s">
        <v>242</v>
      </c>
      <c r="L1929" t="s">
        <v>242</v>
      </c>
      <c r="M1929">
        <v>38.416133539999997</v>
      </c>
      <c r="N1929">
        <v>-122.9511152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0.83986700000000003</v>
      </c>
      <c r="W1929">
        <v>5.0671315000000003</v>
      </c>
      <c r="X1929">
        <v>4.0221650000000002</v>
      </c>
      <c r="Y1929">
        <v>4.0484470000000004</v>
      </c>
      <c r="Z1929">
        <v>0.28729399999999999</v>
      </c>
      <c r="AA1929" t="s">
        <v>9341</v>
      </c>
      <c r="AB1929" t="s">
        <v>242</v>
      </c>
      <c r="AC1929" t="s">
        <v>3229</v>
      </c>
    </row>
    <row r="1930" spans="1:29" x14ac:dyDescent="0.25">
      <c r="A1930" t="s">
        <v>2569</v>
      </c>
      <c r="B1930" t="s">
        <v>252</v>
      </c>
      <c r="C1930" t="s">
        <v>394</v>
      </c>
      <c r="D1930" t="s">
        <v>3713</v>
      </c>
      <c r="E1930" t="s">
        <v>3761</v>
      </c>
      <c r="F1930">
        <v>10000000</v>
      </c>
      <c r="G1930" t="s">
        <v>9349</v>
      </c>
      <c r="H1930" t="s">
        <v>242</v>
      </c>
      <c r="I1930" t="s">
        <v>242</v>
      </c>
      <c r="J1930" t="s">
        <v>242</v>
      </c>
      <c r="K1930" t="s">
        <v>242</v>
      </c>
      <c r="L1930" t="s">
        <v>241</v>
      </c>
      <c r="M1930">
        <v>38.574732310000002</v>
      </c>
      <c r="N1930">
        <v>-122.89760699999999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 t="s">
        <v>9335</v>
      </c>
      <c r="AB1930" t="s">
        <v>242</v>
      </c>
      <c r="AC1930" t="s">
        <v>3229</v>
      </c>
    </row>
    <row r="1931" spans="1:29" x14ac:dyDescent="0.25">
      <c r="A1931" t="s">
        <v>1955</v>
      </c>
      <c r="B1931" t="s">
        <v>252</v>
      </c>
      <c r="C1931" t="s">
        <v>486</v>
      </c>
      <c r="D1931" t="s">
        <v>3713</v>
      </c>
      <c r="E1931" t="s">
        <v>3761</v>
      </c>
      <c r="F1931">
        <v>10000000</v>
      </c>
      <c r="G1931" t="s">
        <v>9349</v>
      </c>
      <c r="H1931" t="s">
        <v>241</v>
      </c>
      <c r="I1931" t="s">
        <v>242</v>
      </c>
      <c r="J1931" t="s">
        <v>242</v>
      </c>
      <c r="K1931" t="s">
        <v>242</v>
      </c>
      <c r="L1931" t="s">
        <v>241</v>
      </c>
      <c r="M1931">
        <v>38.536279280000002</v>
      </c>
      <c r="N1931">
        <v>-122.862511</v>
      </c>
      <c r="O1931">
        <v>5.3333332999999997E-2</v>
      </c>
      <c r="P1931">
        <v>0.08</v>
      </c>
      <c r="Q1931">
        <v>0.133333333</v>
      </c>
      <c r="R1931">
        <v>0.163333333</v>
      </c>
      <c r="S1931">
        <v>1.03</v>
      </c>
      <c r="T1931">
        <v>1.6266666670000001</v>
      </c>
      <c r="U1931">
        <v>2.5233333330000001</v>
      </c>
      <c r="V1931">
        <v>2.096666667</v>
      </c>
      <c r="W1931">
        <v>1.54</v>
      </c>
      <c r="X1931">
        <v>1.423333333</v>
      </c>
      <c r="Y1931">
        <v>0.306666667</v>
      </c>
      <c r="Z1931">
        <v>0.04</v>
      </c>
      <c r="AA1931" t="s">
        <v>9333</v>
      </c>
      <c r="AB1931" t="s">
        <v>242</v>
      </c>
      <c r="AC1931" t="s">
        <v>3229</v>
      </c>
    </row>
    <row r="1932" spans="1:29" x14ac:dyDescent="0.25">
      <c r="A1932" t="s">
        <v>1956</v>
      </c>
      <c r="B1932" t="s">
        <v>252</v>
      </c>
      <c r="C1932" t="s">
        <v>486</v>
      </c>
      <c r="D1932" t="s">
        <v>3713</v>
      </c>
      <c r="E1932" t="s">
        <v>3761</v>
      </c>
      <c r="F1932">
        <v>10000000</v>
      </c>
      <c r="G1932" t="s">
        <v>9349</v>
      </c>
      <c r="H1932" t="s">
        <v>241</v>
      </c>
      <c r="I1932" t="s">
        <v>242</v>
      </c>
      <c r="J1932" t="s">
        <v>242</v>
      </c>
      <c r="K1932" t="s">
        <v>242</v>
      </c>
      <c r="L1932" t="s">
        <v>241</v>
      </c>
      <c r="M1932">
        <v>38.536279280000002</v>
      </c>
      <c r="N1932">
        <v>-122.862511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0.193333333</v>
      </c>
      <c r="U1932">
        <v>0.236666667</v>
      </c>
      <c r="V1932">
        <v>0.43</v>
      </c>
      <c r="W1932">
        <v>8.3233333330000008</v>
      </c>
      <c r="X1932">
        <v>2.076666667</v>
      </c>
      <c r="Y1932">
        <v>0</v>
      </c>
      <c r="Z1932">
        <v>0</v>
      </c>
      <c r="AA1932" t="s">
        <v>9335</v>
      </c>
      <c r="AB1932" t="s">
        <v>242</v>
      </c>
      <c r="AC1932" t="s">
        <v>3229</v>
      </c>
    </row>
    <row r="1933" spans="1:29" x14ac:dyDescent="0.25">
      <c r="A1933" t="s">
        <v>1842</v>
      </c>
      <c r="B1933" t="s">
        <v>252</v>
      </c>
      <c r="C1933" t="s">
        <v>486</v>
      </c>
      <c r="D1933" t="s">
        <v>3713</v>
      </c>
      <c r="E1933" t="s">
        <v>3761</v>
      </c>
      <c r="F1933">
        <v>18600101</v>
      </c>
      <c r="G1933" t="s">
        <v>9348</v>
      </c>
      <c r="H1933" t="s">
        <v>241</v>
      </c>
      <c r="I1933" t="s">
        <v>241</v>
      </c>
      <c r="J1933" t="s">
        <v>242</v>
      </c>
      <c r="K1933" t="s">
        <v>242</v>
      </c>
      <c r="L1933" t="s">
        <v>242</v>
      </c>
      <c r="M1933">
        <v>38.539778249999998</v>
      </c>
      <c r="N1933">
        <v>-122.8719935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 t="s">
        <v>9335</v>
      </c>
      <c r="AB1933" t="s">
        <v>242</v>
      </c>
      <c r="AC1933" t="s">
        <v>3229</v>
      </c>
    </row>
    <row r="1934" spans="1:29" x14ac:dyDescent="0.25">
      <c r="A1934" t="s">
        <v>1843</v>
      </c>
      <c r="B1934" t="s">
        <v>252</v>
      </c>
      <c r="C1934" t="s">
        <v>486</v>
      </c>
      <c r="D1934" t="s">
        <v>3713</v>
      </c>
      <c r="E1934" t="s">
        <v>3761</v>
      </c>
      <c r="F1934">
        <v>18600101</v>
      </c>
      <c r="G1934" t="s">
        <v>9348</v>
      </c>
      <c r="H1934" t="s">
        <v>241</v>
      </c>
      <c r="I1934" t="s">
        <v>241</v>
      </c>
      <c r="J1934" t="s">
        <v>242</v>
      </c>
      <c r="K1934" t="s">
        <v>242</v>
      </c>
      <c r="L1934" t="s">
        <v>242</v>
      </c>
      <c r="M1934">
        <v>38.539778249999998</v>
      </c>
      <c r="N1934">
        <v>-122.8719935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 t="s">
        <v>9335</v>
      </c>
      <c r="AB1934" t="s">
        <v>242</v>
      </c>
      <c r="AC1934" t="s">
        <v>3229</v>
      </c>
    </row>
    <row r="1935" spans="1:29" x14ac:dyDescent="0.25">
      <c r="A1935" t="s">
        <v>1844</v>
      </c>
      <c r="B1935" t="s">
        <v>252</v>
      </c>
      <c r="C1935" t="s">
        <v>486</v>
      </c>
      <c r="D1935" t="s">
        <v>3713</v>
      </c>
      <c r="E1935" t="s">
        <v>3761</v>
      </c>
      <c r="F1935">
        <v>18600101</v>
      </c>
      <c r="G1935" t="s">
        <v>9348</v>
      </c>
      <c r="H1935" t="s">
        <v>241</v>
      </c>
      <c r="I1935" t="s">
        <v>241</v>
      </c>
      <c r="J1935" t="s">
        <v>242</v>
      </c>
      <c r="K1935" t="s">
        <v>242</v>
      </c>
      <c r="L1935" t="s">
        <v>242</v>
      </c>
      <c r="M1935">
        <v>38.539778249999998</v>
      </c>
      <c r="N1935">
        <v>-122.8719935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 t="s">
        <v>9342</v>
      </c>
      <c r="AB1935" t="s">
        <v>242</v>
      </c>
      <c r="AC1935" t="s">
        <v>3229</v>
      </c>
    </row>
    <row r="1936" spans="1:29" x14ac:dyDescent="0.25">
      <c r="A1936" t="s">
        <v>1817</v>
      </c>
      <c r="B1936" t="s">
        <v>252</v>
      </c>
      <c r="C1936" t="s">
        <v>323</v>
      </c>
      <c r="D1936" t="s">
        <v>3713</v>
      </c>
      <c r="E1936" t="s">
        <v>3761</v>
      </c>
      <c r="F1936">
        <v>18990101</v>
      </c>
      <c r="G1936" t="s">
        <v>9348</v>
      </c>
      <c r="H1936" t="s">
        <v>242</v>
      </c>
      <c r="I1936" t="s">
        <v>241</v>
      </c>
      <c r="J1936" t="s">
        <v>242</v>
      </c>
      <c r="K1936" t="s">
        <v>242</v>
      </c>
      <c r="L1936" t="s">
        <v>242</v>
      </c>
      <c r="M1936">
        <v>38.515241660000001</v>
      </c>
      <c r="N1936">
        <v>-122.7266444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 t="s">
        <v>9335</v>
      </c>
      <c r="AB1936" t="s">
        <v>242</v>
      </c>
      <c r="AC1936" t="s">
        <v>3229</v>
      </c>
    </row>
    <row r="1937" spans="1:29" x14ac:dyDescent="0.25">
      <c r="A1937" t="s">
        <v>2302</v>
      </c>
      <c r="B1937" t="s">
        <v>252</v>
      </c>
      <c r="C1937" t="s">
        <v>329</v>
      </c>
      <c r="D1937" t="s">
        <v>3713</v>
      </c>
      <c r="E1937" t="s">
        <v>3761</v>
      </c>
      <c r="F1937">
        <v>10000000</v>
      </c>
      <c r="G1937" t="s">
        <v>9349</v>
      </c>
      <c r="H1937" t="s">
        <v>242</v>
      </c>
      <c r="I1937" t="s">
        <v>242</v>
      </c>
      <c r="J1937" t="s">
        <v>242</v>
      </c>
      <c r="K1937" t="s">
        <v>242</v>
      </c>
      <c r="L1937" t="s">
        <v>241</v>
      </c>
      <c r="M1937">
        <v>38.536894670000002</v>
      </c>
      <c r="N1937">
        <v>-123.1408235</v>
      </c>
      <c r="O1937">
        <v>2.8033667000000002E-2</v>
      </c>
      <c r="P1937">
        <v>3.1098000000000001E-2</v>
      </c>
      <c r="Q1937">
        <v>3.1199999999999999E-2</v>
      </c>
      <c r="R1937">
        <v>4.6647000000000001E-2</v>
      </c>
      <c r="S1937">
        <v>6.2400999999999998E-2</v>
      </c>
      <c r="T1937">
        <v>6.2400999999999998E-2</v>
      </c>
      <c r="U1937">
        <v>9.3089667000000001E-2</v>
      </c>
      <c r="V1937">
        <v>9.3601000000000004E-2</v>
      </c>
      <c r="W1937">
        <v>9.3601000000000004E-2</v>
      </c>
      <c r="X1937">
        <v>6.2912333000000001E-2</v>
      </c>
      <c r="Y1937">
        <v>4.6647000000000001E-2</v>
      </c>
      <c r="Z1937">
        <v>3.1098000000000001E-2</v>
      </c>
      <c r="AA1937" t="s">
        <v>9333</v>
      </c>
      <c r="AB1937" t="s">
        <v>242</v>
      </c>
      <c r="AC1937" t="s">
        <v>3229</v>
      </c>
    </row>
    <row r="1938" spans="1:29" x14ac:dyDescent="0.25">
      <c r="A1938" t="s">
        <v>1959</v>
      </c>
      <c r="B1938" t="s">
        <v>252</v>
      </c>
      <c r="C1938" t="s">
        <v>323</v>
      </c>
      <c r="D1938" t="s">
        <v>3713</v>
      </c>
      <c r="E1938" t="s">
        <v>3761</v>
      </c>
      <c r="F1938">
        <v>10000000</v>
      </c>
      <c r="G1938" t="s">
        <v>9349</v>
      </c>
      <c r="H1938" t="s">
        <v>242</v>
      </c>
      <c r="I1938" t="s">
        <v>242</v>
      </c>
      <c r="J1938" t="s">
        <v>242</v>
      </c>
      <c r="K1938" t="s">
        <v>242</v>
      </c>
      <c r="L1938" t="s">
        <v>241</v>
      </c>
      <c r="M1938">
        <v>38.494341040000002</v>
      </c>
      <c r="N1938">
        <v>-122.85222109999999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 t="s">
        <v>9335</v>
      </c>
      <c r="AB1938" t="s">
        <v>242</v>
      </c>
      <c r="AC1938" t="s">
        <v>3229</v>
      </c>
    </row>
    <row r="1939" spans="1:29" x14ac:dyDescent="0.25">
      <c r="A1939" t="s">
        <v>1804</v>
      </c>
      <c r="B1939" t="s">
        <v>252</v>
      </c>
      <c r="C1939" t="s">
        <v>323</v>
      </c>
      <c r="D1939" t="s">
        <v>3713</v>
      </c>
      <c r="E1939" t="s">
        <v>3761</v>
      </c>
      <c r="F1939">
        <v>19000101</v>
      </c>
      <c r="G1939" t="s">
        <v>9348</v>
      </c>
      <c r="H1939" t="s">
        <v>242</v>
      </c>
      <c r="I1939" t="s">
        <v>241</v>
      </c>
      <c r="J1939" t="s">
        <v>242</v>
      </c>
      <c r="K1939" t="s">
        <v>242</v>
      </c>
      <c r="L1939" t="s">
        <v>242</v>
      </c>
      <c r="M1939">
        <v>38.494364570000002</v>
      </c>
      <c r="N1939">
        <v>-122.81064069999999</v>
      </c>
      <c r="O1939">
        <v>0</v>
      </c>
      <c r="P1939">
        <v>0</v>
      </c>
      <c r="Q1939">
        <v>0.66666666699999999</v>
      </c>
      <c r="R1939">
        <v>0.73333333300000003</v>
      </c>
      <c r="S1939">
        <v>1.5333333330000001</v>
      </c>
      <c r="T1939">
        <v>0.7</v>
      </c>
      <c r="U1939">
        <v>1.233333333</v>
      </c>
      <c r="V1939">
        <v>0.233333333</v>
      </c>
      <c r="W1939">
        <v>0</v>
      </c>
      <c r="X1939">
        <v>0</v>
      </c>
      <c r="Y1939">
        <v>0.5</v>
      </c>
      <c r="Z1939">
        <v>0</v>
      </c>
      <c r="AA1939" t="s">
        <v>9335</v>
      </c>
      <c r="AB1939" t="s">
        <v>242</v>
      </c>
      <c r="AC1939" t="s">
        <v>3229</v>
      </c>
    </row>
    <row r="1940" spans="1:29" x14ac:dyDescent="0.25">
      <c r="A1940" t="s">
        <v>1985</v>
      </c>
      <c r="B1940" t="s">
        <v>252</v>
      </c>
      <c r="C1940" t="s">
        <v>352</v>
      </c>
      <c r="D1940" t="s">
        <v>3713</v>
      </c>
      <c r="E1940" t="s">
        <v>3761</v>
      </c>
      <c r="F1940">
        <v>10000000</v>
      </c>
      <c r="G1940" t="s">
        <v>9349</v>
      </c>
      <c r="H1940" t="s">
        <v>242</v>
      </c>
      <c r="I1940" t="s">
        <v>242</v>
      </c>
      <c r="J1940" t="s">
        <v>242</v>
      </c>
      <c r="K1940" t="s">
        <v>242</v>
      </c>
      <c r="L1940" t="s">
        <v>241</v>
      </c>
      <c r="M1940">
        <v>38.432944339999999</v>
      </c>
      <c r="N1940">
        <v>-122.89181360000001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 t="s">
        <v>9335</v>
      </c>
      <c r="AB1940" t="s">
        <v>242</v>
      </c>
      <c r="AC1940" t="s">
        <v>3229</v>
      </c>
    </row>
    <row r="1941" spans="1:29" x14ac:dyDescent="0.25">
      <c r="A1941" t="s">
        <v>2383</v>
      </c>
      <c r="B1941" t="s">
        <v>252</v>
      </c>
      <c r="C1941" t="s">
        <v>394</v>
      </c>
      <c r="D1941" t="s">
        <v>3713</v>
      </c>
      <c r="E1941" t="s">
        <v>3761</v>
      </c>
      <c r="F1941">
        <v>10000000</v>
      </c>
      <c r="G1941" t="s">
        <v>9349</v>
      </c>
      <c r="H1941" t="s">
        <v>242</v>
      </c>
      <c r="I1941" t="s">
        <v>242</v>
      </c>
      <c r="J1941" t="s">
        <v>242</v>
      </c>
      <c r="K1941" t="s">
        <v>242</v>
      </c>
      <c r="L1941" t="s">
        <v>241</v>
      </c>
      <c r="M1941">
        <v>38.575004190000001</v>
      </c>
      <c r="N1941">
        <v>-122.8979602</v>
      </c>
      <c r="O1941">
        <v>0.33</v>
      </c>
      <c r="P1941">
        <v>0.33</v>
      </c>
      <c r="Q1941">
        <v>0.33</v>
      </c>
      <c r="R1941">
        <v>0.33</v>
      </c>
      <c r="S1941">
        <v>0.33</v>
      </c>
      <c r="T1941">
        <v>0.33</v>
      </c>
      <c r="U1941">
        <v>0.33</v>
      </c>
      <c r="V1941">
        <v>0.33</v>
      </c>
      <c r="W1941">
        <v>0.33</v>
      </c>
      <c r="X1941">
        <v>0.33</v>
      </c>
      <c r="Y1941">
        <v>0.33</v>
      </c>
      <c r="Z1941">
        <v>0.33</v>
      </c>
      <c r="AA1941" t="s">
        <v>9333</v>
      </c>
      <c r="AB1941" t="s">
        <v>242</v>
      </c>
      <c r="AC1941" t="s">
        <v>3229</v>
      </c>
    </row>
    <row r="1942" spans="1:29" x14ac:dyDescent="0.25">
      <c r="A1942" t="s">
        <v>2445</v>
      </c>
      <c r="B1942" t="s">
        <v>252</v>
      </c>
      <c r="C1942" t="s">
        <v>394</v>
      </c>
      <c r="D1942" t="s">
        <v>3713</v>
      </c>
      <c r="E1942" t="s">
        <v>3761</v>
      </c>
      <c r="F1942">
        <v>10000000</v>
      </c>
      <c r="G1942" t="s">
        <v>9349</v>
      </c>
      <c r="H1942" t="s">
        <v>242</v>
      </c>
      <c r="I1942" t="s">
        <v>242</v>
      </c>
      <c r="J1942" t="s">
        <v>242</v>
      </c>
      <c r="K1942" t="s">
        <v>242</v>
      </c>
      <c r="L1942" t="s">
        <v>241</v>
      </c>
      <c r="M1942">
        <v>38.57936222</v>
      </c>
      <c r="N1942">
        <v>-122.8847213</v>
      </c>
      <c r="O1942">
        <v>8.5023330000000008E-3</v>
      </c>
      <c r="P1942">
        <v>6.8793329999999996E-3</v>
      </c>
      <c r="Q1942">
        <v>6.2630000000000003E-3</v>
      </c>
      <c r="R1942">
        <v>7.540667E-3</v>
      </c>
      <c r="S1942">
        <v>1.7891332999999999E-2</v>
      </c>
      <c r="T1942">
        <v>2.1598666999999998E-2</v>
      </c>
      <c r="U1942">
        <v>2.4741666999999998E-2</v>
      </c>
      <c r="V1942">
        <v>2.1971000000000001E-2</v>
      </c>
      <c r="W1942">
        <v>1.7688333000000001E-2</v>
      </c>
      <c r="X1942">
        <v>1.166E-2</v>
      </c>
      <c r="Y1942">
        <v>1.5364667E-2</v>
      </c>
      <c r="Z1942">
        <v>7.5310000000000004E-3</v>
      </c>
      <c r="AA1942" t="s">
        <v>9333</v>
      </c>
      <c r="AB1942" t="s">
        <v>242</v>
      </c>
      <c r="AC1942" t="s">
        <v>3229</v>
      </c>
    </row>
    <row r="1943" spans="1:29" x14ac:dyDescent="0.25">
      <c r="A1943" t="s">
        <v>2472</v>
      </c>
      <c r="B1943" t="s">
        <v>252</v>
      </c>
      <c r="C1943" t="s">
        <v>394</v>
      </c>
      <c r="D1943" t="s">
        <v>3713</v>
      </c>
      <c r="E1943" t="s">
        <v>3761</v>
      </c>
      <c r="F1943">
        <v>10000000</v>
      </c>
      <c r="G1943" t="s">
        <v>9349</v>
      </c>
      <c r="H1943" t="s">
        <v>242</v>
      </c>
      <c r="I1943" t="s">
        <v>242</v>
      </c>
      <c r="J1943" t="s">
        <v>242</v>
      </c>
      <c r="K1943" t="s">
        <v>242</v>
      </c>
      <c r="L1943" t="s">
        <v>241</v>
      </c>
      <c r="M1943">
        <v>38.581849400000003</v>
      </c>
      <c r="N1943">
        <v>-122.8826531</v>
      </c>
      <c r="O1943">
        <v>0</v>
      </c>
      <c r="P1943">
        <v>0</v>
      </c>
      <c r="Q1943">
        <v>1.6666669999999999E-3</v>
      </c>
      <c r="R1943">
        <v>2E-3</v>
      </c>
      <c r="S1943">
        <v>2.0666669999999999E-3</v>
      </c>
      <c r="T1943">
        <v>2.3333329999999999E-3</v>
      </c>
      <c r="U1943">
        <v>2.6666670000000002E-3</v>
      </c>
      <c r="V1943">
        <v>1.6666669999999999E-3</v>
      </c>
      <c r="W1943">
        <v>0</v>
      </c>
      <c r="X1943">
        <v>0</v>
      </c>
      <c r="Y1943">
        <v>0</v>
      </c>
      <c r="Z1943">
        <v>0</v>
      </c>
      <c r="AA1943" t="s">
        <v>9335</v>
      </c>
      <c r="AB1943" t="s">
        <v>242</v>
      </c>
      <c r="AC1943" t="s">
        <v>3229</v>
      </c>
    </row>
    <row r="1944" spans="1:29" x14ac:dyDescent="0.25">
      <c r="A1944" t="s">
        <v>2244</v>
      </c>
      <c r="B1944" t="s">
        <v>252</v>
      </c>
      <c r="C1944" t="s">
        <v>394</v>
      </c>
      <c r="D1944" t="s">
        <v>3713</v>
      </c>
      <c r="E1944" t="s">
        <v>3761</v>
      </c>
      <c r="F1944">
        <v>10000000</v>
      </c>
      <c r="G1944" t="s">
        <v>9349</v>
      </c>
      <c r="H1944" t="s">
        <v>242</v>
      </c>
      <c r="I1944" t="s">
        <v>242</v>
      </c>
      <c r="J1944" t="s">
        <v>242</v>
      </c>
      <c r="K1944" t="s">
        <v>242</v>
      </c>
      <c r="L1944" t="s">
        <v>241</v>
      </c>
      <c r="M1944">
        <v>38.576110610000001</v>
      </c>
      <c r="N1944">
        <v>-122.8969247</v>
      </c>
      <c r="O1944">
        <v>0.97</v>
      </c>
      <c r="P1944">
        <v>0.97</v>
      </c>
      <c r="Q1944">
        <v>0.97</v>
      </c>
      <c r="R1944">
        <v>0.97</v>
      </c>
      <c r="S1944">
        <v>0.97</v>
      </c>
      <c r="T1944">
        <v>0.97</v>
      </c>
      <c r="U1944">
        <v>0.97</v>
      </c>
      <c r="V1944">
        <v>0.97</v>
      </c>
      <c r="W1944">
        <v>0.97</v>
      </c>
      <c r="X1944">
        <v>0.97</v>
      </c>
      <c r="Y1944">
        <v>0.97</v>
      </c>
      <c r="Z1944">
        <v>0.97</v>
      </c>
      <c r="AA1944" t="s">
        <v>9333</v>
      </c>
      <c r="AB1944" t="s">
        <v>242</v>
      </c>
      <c r="AC1944" t="s">
        <v>3229</v>
      </c>
    </row>
    <row r="1945" spans="1:29" x14ac:dyDescent="0.25">
      <c r="A1945" t="s">
        <v>1998</v>
      </c>
      <c r="B1945" t="s">
        <v>252</v>
      </c>
      <c r="C1945" t="s">
        <v>403</v>
      </c>
      <c r="D1945" t="s">
        <v>3713</v>
      </c>
      <c r="E1945" t="s">
        <v>3761</v>
      </c>
      <c r="F1945">
        <v>10000000</v>
      </c>
      <c r="G1945" t="s">
        <v>9349</v>
      </c>
      <c r="H1945" t="s">
        <v>242</v>
      </c>
      <c r="I1945" t="s">
        <v>242</v>
      </c>
      <c r="J1945" t="s">
        <v>242</v>
      </c>
      <c r="K1945" t="s">
        <v>242</v>
      </c>
      <c r="L1945" t="s">
        <v>241</v>
      </c>
      <c r="M1945">
        <v>38.550289970000001</v>
      </c>
      <c r="N1945">
        <v>-122.9987112</v>
      </c>
      <c r="O1945">
        <v>8.9999999999999993E-3</v>
      </c>
      <c r="P1945">
        <v>8.9999999999999993E-3</v>
      </c>
      <c r="Q1945">
        <v>2.3333333000000001E-2</v>
      </c>
      <c r="R1945">
        <v>4.9000000000000002E-2</v>
      </c>
      <c r="S1945">
        <v>9.4333333000000005E-2</v>
      </c>
      <c r="T1945">
        <v>0.116833333</v>
      </c>
      <c r="U1945">
        <v>0.212666667</v>
      </c>
      <c r="V1945">
        <v>0.225566667</v>
      </c>
      <c r="W1945">
        <v>0.21160000000000001</v>
      </c>
      <c r="X1945">
        <v>0.237666667</v>
      </c>
      <c r="Y1945">
        <v>8.9999999999999993E-3</v>
      </c>
      <c r="Z1945">
        <v>8.9999999999999993E-3</v>
      </c>
      <c r="AA1945" t="s">
        <v>9335</v>
      </c>
      <c r="AB1945" t="s">
        <v>242</v>
      </c>
      <c r="AC1945" t="s">
        <v>3229</v>
      </c>
    </row>
    <row r="1946" spans="1:29" x14ac:dyDescent="0.25">
      <c r="A1946" t="s">
        <v>2191</v>
      </c>
      <c r="B1946" t="s">
        <v>252</v>
      </c>
      <c r="C1946" t="s">
        <v>394</v>
      </c>
      <c r="D1946" t="s">
        <v>3713</v>
      </c>
      <c r="E1946" t="s">
        <v>3761</v>
      </c>
      <c r="F1946">
        <v>10000000</v>
      </c>
      <c r="G1946" t="s">
        <v>9349</v>
      </c>
      <c r="H1946" t="s">
        <v>242</v>
      </c>
      <c r="I1946" t="s">
        <v>242</v>
      </c>
      <c r="J1946" t="s">
        <v>242</v>
      </c>
      <c r="K1946" t="s">
        <v>242</v>
      </c>
      <c r="L1946" t="s">
        <v>241</v>
      </c>
      <c r="M1946">
        <v>38.648702520000001</v>
      </c>
      <c r="N1946">
        <v>-122.88435610000001</v>
      </c>
      <c r="O1946">
        <v>0</v>
      </c>
      <c r="P1946">
        <v>0</v>
      </c>
      <c r="Q1946">
        <v>6.6666666999999999E-2</v>
      </c>
      <c r="R1946">
        <v>0.2</v>
      </c>
      <c r="S1946">
        <v>0</v>
      </c>
      <c r="T1946">
        <v>0.76666666699999997</v>
      </c>
      <c r="U1946">
        <v>0.86666666699999995</v>
      </c>
      <c r="V1946">
        <v>1.3666666670000001</v>
      </c>
      <c r="W1946">
        <v>1.6333333329999999</v>
      </c>
      <c r="X1946">
        <v>0.63333333300000005</v>
      </c>
      <c r="Y1946">
        <v>0</v>
      </c>
      <c r="Z1946">
        <v>0</v>
      </c>
      <c r="AA1946" t="s">
        <v>9335</v>
      </c>
      <c r="AB1946" t="s">
        <v>242</v>
      </c>
      <c r="AC1946" t="s">
        <v>3229</v>
      </c>
    </row>
    <row r="1947" spans="1:29" x14ac:dyDescent="0.25">
      <c r="A1947" t="s">
        <v>2005</v>
      </c>
      <c r="B1947" t="s">
        <v>252</v>
      </c>
      <c r="C1947" t="s">
        <v>493</v>
      </c>
      <c r="D1947" t="s">
        <v>3713</v>
      </c>
      <c r="E1947" t="s">
        <v>3761</v>
      </c>
      <c r="F1947">
        <v>10000000</v>
      </c>
      <c r="G1947" t="s">
        <v>9349</v>
      </c>
      <c r="H1947" t="s">
        <v>242</v>
      </c>
      <c r="I1947" t="s">
        <v>242</v>
      </c>
      <c r="J1947" t="s">
        <v>242</v>
      </c>
      <c r="K1947" t="s">
        <v>242</v>
      </c>
      <c r="L1947" t="s">
        <v>241</v>
      </c>
      <c r="M1947">
        <v>38.707826670000003</v>
      </c>
      <c r="N1947">
        <v>-122.9767366</v>
      </c>
      <c r="O1947">
        <v>0</v>
      </c>
      <c r="P1947">
        <v>0</v>
      </c>
      <c r="Q1947">
        <v>6.6666666999999999E-2</v>
      </c>
      <c r="R1947">
        <v>0.16666666699999999</v>
      </c>
      <c r="S1947">
        <v>0.1</v>
      </c>
      <c r="T1947">
        <v>0.83333333300000001</v>
      </c>
      <c r="U1947">
        <v>2.0333333329999999</v>
      </c>
      <c r="V1947">
        <v>2.266666667</v>
      </c>
      <c r="W1947">
        <v>0.53333333299999997</v>
      </c>
      <c r="X1947">
        <v>0.6</v>
      </c>
      <c r="Y1947">
        <v>0</v>
      </c>
      <c r="Z1947">
        <v>0</v>
      </c>
      <c r="AA1947" t="s">
        <v>9335</v>
      </c>
      <c r="AB1947" t="s">
        <v>242</v>
      </c>
      <c r="AC1947" t="s">
        <v>3229</v>
      </c>
    </row>
    <row r="1948" spans="1:29" x14ac:dyDescent="0.25">
      <c r="A1948" t="s">
        <v>2013</v>
      </c>
      <c r="B1948" t="s">
        <v>252</v>
      </c>
      <c r="C1948" t="s">
        <v>391</v>
      </c>
      <c r="D1948" t="s">
        <v>3713</v>
      </c>
      <c r="E1948" t="s">
        <v>3761</v>
      </c>
      <c r="F1948">
        <v>10000000</v>
      </c>
      <c r="G1948" t="s">
        <v>9349</v>
      </c>
      <c r="H1948" t="s">
        <v>242</v>
      </c>
      <c r="I1948" t="s">
        <v>242</v>
      </c>
      <c r="J1948" t="s">
        <v>242</v>
      </c>
      <c r="K1948" t="s">
        <v>242</v>
      </c>
      <c r="L1948" t="s">
        <v>241</v>
      </c>
      <c r="M1948">
        <v>38.519080580000001</v>
      </c>
      <c r="N1948">
        <v>-122.8297962</v>
      </c>
      <c r="O1948">
        <v>0</v>
      </c>
      <c r="P1948">
        <v>15.733333330000001</v>
      </c>
      <c r="Q1948">
        <v>0.76666666699999997</v>
      </c>
      <c r="R1948">
        <v>0</v>
      </c>
      <c r="S1948">
        <v>1.1666666670000001</v>
      </c>
      <c r="T1948">
        <v>5.233333333</v>
      </c>
      <c r="U1948">
        <v>9.4666666670000001</v>
      </c>
      <c r="V1948">
        <v>17.733333330000001</v>
      </c>
      <c r="W1948">
        <v>11.3</v>
      </c>
      <c r="X1948">
        <v>1</v>
      </c>
      <c r="Y1948">
        <v>0</v>
      </c>
      <c r="Z1948">
        <v>0</v>
      </c>
      <c r="AA1948" t="s">
        <v>9343</v>
      </c>
      <c r="AB1948" t="s">
        <v>242</v>
      </c>
      <c r="AC1948" t="s">
        <v>3229</v>
      </c>
    </row>
    <row r="1949" spans="1:29" x14ac:dyDescent="0.25">
      <c r="A1949" t="s">
        <v>2019</v>
      </c>
      <c r="B1949" t="s">
        <v>252</v>
      </c>
      <c r="C1949" t="s">
        <v>323</v>
      </c>
      <c r="D1949" t="s">
        <v>3713</v>
      </c>
      <c r="E1949" t="s">
        <v>3761</v>
      </c>
      <c r="F1949">
        <v>10000000</v>
      </c>
      <c r="G1949" t="s">
        <v>9349</v>
      </c>
      <c r="H1949" t="s">
        <v>242</v>
      </c>
      <c r="I1949" t="s">
        <v>242</v>
      </c>
      <c r="J1949" t="s">
        <v>242</v>
      </c>
      <c r="K1949" t="s">
        <v>242</v>
      </c>
      <c r="L1949" t="s">
        <v>241</v>
      </c>
      <c r="M1949">
        <v>38.500831640000001</v>
      </c>
      <c r="N1949">
        <v>-122.78869880000001</v>
      </c>
      <c r="O1949">
        <v>6.6666670000000003E-3</v>
      </c>
      <c r="P1949">
        <v>1.74</v>
      </c>
      <c r="Q1949">
        <v>1.4666666669999999</v>
      </c>
      <c r="R1949">
        <v>6.6666666999999999E-2</v>
      </c>
      <c r="S1949">
        <v>0.42</v>
      </c>
      <c r="T1949">
        <v>6.8966666669999999</v>
      </c>
      <c r="U1949">
        <v>11.29</v>
      </c>
      <c r="V1949">
        <v>15.91333333</v>
      </c>
      <c r="W1949">
        <v>4.7566666670000002</v>
      </c>
      <c r="X1949">
        <v>1.046666667</v>
      </c>
      <c r="Y1949">
        <v>0.3</v>
      </c>
      <c r="Z1949">
        <v>0.01</v>
      </c>
      <c r="AA1949" t="s">
        <v>9335</v>
      </c>
      <c r="AB1949" t="s">
        <v>242</v>
      </c>
      <c r="AC1949" t="s">
        <v>3229</v>
      </c>
    </row>
    <row r="1950" spans="1:29" x14ac:dyDescent="0.25">
      <c r="A1950" t="s">
        <v>2021</v>
      </c>
      <c r="B1950" t="s">
        <v>252</v>
      </c>
      <c r="C1950" t="s">
        <v>323</v>
      </c>
      <c r="D1950" t="s">
        <v>3713</v>
      </c>
      <c r="E1950" t="s">
        <v>3761</v>
      </c>
      <c r="F1950">
        <v>10000000</v>
      </c>
      <c r="G1950" t="s">
        <v>9349</v>
      </c>
      <c r="H1950" t="s">
        <v>242</v>
      </c>
      <c r="I1950" t="s">
        <v>242</v>
      </c>
      <c r="J1950" t="s">
        <v>242</v>
      </c>
      <c r="K1950" t="s">
        <v>242</v>
      </c>
      <c r="L1950" t="s">
        <v>241</v>
      </c>
      <c r="M1950">
        <v>38.503577450000002</v>
      </c>
      <c r="N1950">
        <v>-122.7887291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 t="s">
        <v>9335</v>
      </c>
      <c r="AB1950" t="s">
        <v>242</v>
      </c>
      <c r="AC1950" t="s">
        <v>3229</v>
      </c>
    </row>
    <row r="1951" spans="1:29" x14ac:dyDescent="0.25">
      <c r="A1951" t="s">
        <v>2023</v>
      </c>
      <c r="B1951" t="s">
        <v>252</v>
      </c>
      <c r="C1951" t="s">
        <v>352</v>
      </c>
      <c r="D1951" t="s">
        <v>3713</v>
      </c>
      <c r="E1951" t="s">
        <v>3761</v>
      </c>
      <c r="F1951">
        <v>10000000</v>
      </c>
      <c r="G1951" t="s">
        <v>9349</v>
      </c>
      <c r="H1951" t="s">
        <v>241</v>
      </c>
      <c r="I1951" t="s">
        <v>242</v>
      </c>
      <c r="J1951" t="s">
        <v>242</v>
      </c>
      <c r="K1951" t="s">
        <v>242</v>
      </c>
      <c r="L1951" t="s">
        <v>241</v>
      </c>
      <c r="M1951">
        <v>38.503543229999998</v>
      </c>
      <c r="N1951">
        <v>-122.9061482</v>
      </c>
      <c r="O1951">
        <v>0</v>
      </c>
      <c r="P1951">
        <v>0</v>
      </c>
      <c r="Q1951">
        <v>0</v>
      </c>
      <c r="R1951">
        <v>0.133333333</v>
      </c>
      <c r="S1951">
        <v>0</v>
      </c>
      <c r="T1951">
        <v>0.133333333</v>
      </c>
      <c r="U1951">
        <v>0.16666666699999999</v>
      </c>
      <c r="V1951">
        <v>0</v>
      </c>
      <c r="W1951">
        <v>0</v>
      </c>
      <c r="X1951">
        <v>0.16666666699999999</v>
      </c>
      <c r="Y1951">
        <v>0.3</v>
      </c>
      <c r="Z1951">
        <v>0</v>
      </c>
      <c r="AA1951" t="s">
        <v>9335</v>
      </c>
      <c r="AB1951" t="s">
        <v>242</v>
      </c>
      <c r="AC1951" t="s">
        <v>3229</v>
      </c>
    </row>
    <row r="1952" spans="1:29" x14ac:dyDescent="0.25">
      <c r="A1952" t="s">
        <v>2024</v>
      </c>
      <c r="B1952" t="s">
        <v>252</v>
      </c>
      <c r="C1952" t="s">
        <v>352</v>
      </c>
      <c r="D1952" t="s">
        <v>3713</v>
      </c>
      <c r="E1952" t="s">
        <v>3761</v>
      </c>
      <c r="F1952">
        <v>10000000</v>
      </c>
      <c r="G1952" t="s">
        <v>9349</v>
      </c>
      <c r="H1952" t="s">
        <v>241</v>
      </c>
      <c r="I1952" t="s">
        <v>242</v>
      </c>
      <c r="J1952" t="s">
        <v>242</v>
      </c>
      <c r="K1952" t="s">
        <v>242</v>
      </c>
      <c r="L1952" t="s">
        <v>241</v>
      </c>
      <c r="M1952">
        <v>38.50951396</v>
      </c>
      <c r="N1952">
        <v>-122.915136</v>
      </c>
      <c r="O1952">
        <v>0</v>
      </c>
      <c r="P1952">
        <v>0</v>
      </c>
      <c r="Q1952">
        <v>0</v>
      </c>
      <c r="R1952">
        <v>0.133333333</v>
      </c>
      <c r="S1952">
        <v>0</v>
      </c>
      <c r="T1952">
        <v>0.133333333</v>
      </c>
      <c r="U1952">
        <v>0.16666666699999999</v>
      </c>
      <c r="V1952">
        <v>0</v>
      </c>
      <c r="W1952">
        <v>0</v>
      </c>
      <c r="X1952">
        <v>0.16666666699999999</v>
      </c>
      <c r="Y1952">
        <v>0.3</v>
      </c>
      <c r="Z1952">
        <v>0</v>
      </c>
      <c r="AA1952" t="s">
        <v>9335</v>
      </c>
      <c r="AB1952" t="s">
        <v>242</v>
      </c>
      <c r="AC1952" t="s">
        <v>3229</v>
      </c>
    </row>
    <row r="1953" spans="1:29" x14ac:dyDescent="0.25">
      <c r="A1953" t="s">
        <v>2025</v>
      </c>
      <c r="B1953" t="s">
        <v>252</v>
      </c>
      <c r="C1953" t="s">
        <v>352</v>
      </c>
      <c r="D1953" t="s">
        <v>3713</v>
      </c>
      <c r="E1953" t="s">
        <v>3761</v>
      </c>
      <c r="F1953">
        <v>10000000</v>
      </c>
      <c r="G1953" t="s">
        <v>9349</v>
      </c>
      <c r="H1953" t="s">
        <v>241</v>
      </c>
      <c r="I1953" t="s">
        <v>242</v>
      </c>
      <c r="J1953" t="s">
        <v>242</v>
      </c>
      <c r="K1953" t="s">
        <v>242</v>
      </c>
      <c r="L1953" t="s">
        <v>241</v>
      </c>
      <c r="M1953">
        <v>38.504221479999998</v>
      </c>
      <c r="N1953">
        <v>-122.90720520000001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 t="s">
        <v>9335</v>
      </c>
      <c r="AB1953" t="s">
        <v>242</v>
      </c>
      <c r="AC1953" t="s">
        <v>3229</v>
      </c>
    </row>
    <row r="1954" spans="1:29" x14ac:dyDescent="0.25">
      <c r="A1954" t="s">
        <v>2026</v>
      </c>
      <c r="B1954" t="s">
        <v>252</v>
      </c>
      <c r="C1954" t="s">
        <v>486</v>
      </c>
      <c r="D1954" t="s">
        <v>3713</v>
      </c>
      <c r="E1954" t="s">
        <v>3761</v>
      </c>
      <c r="F1954">
        <v>10000000</v>
      </c>
      <c r="G1954" t="s">
        <v>9349</v>
      </c>
      <c r="H1954" t="s">
        <v>241</v>
      </c>
      <c r="I1954" t="s">
        <v>242</v>
      </c>
      <c r="J1954" t="s">
        <v>242</v>
      </c>
      <c r="K1954" t="s">
        <v>242</v>
      </c>
      <c r="L1954" t="s">
        <v>241</v>
      </c>
      <c r="M1954">
        <v>38.560247760000003</v>
      </c>
      <c r="N1954">
        <v>-122.8519586</v>
      </c>
      <c r="O1954">
        <v>0</v>
      </c>
      <c r="P1954">
        <v>3.2</v>
      </c>
      <c r="Q1954">
        <v>2.1</v>
      </c>
      <c r="R1954">
        <v>6.6666666999999999E-2</v>
      </c>
      <c r="S1954">
        <v>0.16666666699999999</v>
      </c>
      <c r="T1954">
        <v>1.066666667</v>
      </c>
      <c r="U1954">
        <v>1.4666666669999999</v>
      </c>
      <c r="V1954">
        <v>5.266666667</v>
      </c>
      <c r="W1954">
        <v>1.4666666669999999</v>
      </c>
      <c r="X1954">
        <v>0</v>
      </c>
      <c r="Y1954">
        <v>0.76666666699999997</v>
      </c>
      <c r="Z1954">
        <v>0</v>
      </c>
      <c r="AA1954" t="s">
        <v>9335</v>
      </c>
      <c r="AB1954" t="s">
        <v>242</v>
      </c>
      <c r="AC1954" t="s">
        <v>3229</v>
      </c>
    </row>
    <row r="1955" spans="1:29" x14ac:dyDescent="0.25">
      <c r="A1955" t="s">
        <v>2027</v>
      </c>
      <c r="B1955" t="s">
        <v>252</v>
      </c>
      <c r="C1955" t="s">
        <v>486</v>
      </c>
      <c r="D1955" t="s">
        <v>3713</v>
      </c>
      <c r="E1955" t="s">
        <v>3761</v>
      </c>
      <c r="F1955">
        <v>10000000</v>
      </c>
      <c r="G1955" t="s">
        <v>9349</v>
      </c>
      <c r="H1955" t="s">
        <v>241</v>
      </c>
      <c r="I1955" t="s">
        <v>242</v>
      </c>
      <c r="J1955" t="s">
        <v>242</v>
      </c>
      <c r="K1955" t="s">
        <v>242</v>
      </c>
      <c r="L1955" t="s">
        <v>241</v>
      </c>
      <c r="M1955">
        <v>38.560229759999999</v>
      </c>
      <c r="N1955">
        <v>-122.8544066</v>
      </c>
      <c r="O1955">
        <v>0</v>
      </c>
      <c r="P1955">
        <v>8.4666666670000001</v>
      </c>
      <c r="Q1955">
        <v>2.6666666669999999</v>
      </c>
      <c r="R1955">
        <v>6.6666666999999999E-2</v>
      </c>
      <c r="S1955">
        <v>0.56666666700000001</v>
      </c>
      <c r="T1955">
        <v>2.233333333</v>
      </c>
      <c r="U1955">
        <v>6.2</v>
      </c>
      <c r="V1955">
        <v>6.1333333330000004</v>
      </c>
      <c r="W1955">
        <v>2.8666666670000001</v>
      </c>
      <c r="X1955">
        <v>0.3</v>
      </c>
      <c r="Y1955">
        <v>0.4</v>
      </c>
      <c r="Z1955">
        <v>0</v>
      </c>
      <c r="AA1955" t="s">
        <v>9335</v>
      </c>
      <c r="AB1955" t="s">
        <v>242</v>
      </c>
      <c r="AC1955" t="s">
        <v>3229</v>
      </c>
    </row>
    <row r="1956" spans="1:29" x14ac:dyDescent="0.25">
      <c r="A1956" t="s">
        <v>2028</v>
      </c>
      <c r="B1956" t="s">
        <v>252</v>
      </c>
      <c r="C1956" t="s">
        <v>486</v>
      </c>
      <c r="D1956" t="s">
        <v>3713</v>
      </c>
      <c r="E1956" t="s">
        <v>3761</v>
      </c>
      <c r="F1956">
        <v>10000000</v>
      </c>
      <c r="G1956" t="s">
        <v>9349</v>
      </c>
      <c r="H1956" t="s">
        <v>241</v>
      </c>
      <c r="I1956" t="s">
        <v>242</v>
      </c>
      <c r="J1956" t="s">
        <v>242</v>
      </c>
      <c r="K1956" t="s">
        <v>242</v>
      </c>
      <c r="L1956" t="s">
        <v>241</v>
      </c>
      <c r="M1956">
        <v>38.556649919999998</v>
      </c>
      <c r="N1956">
        <v>-122.85576260000001</v>
      </c>
      <c r="O1956">
        <v>0</v>
      </c>
      <c r="P1956">
        <v>0.233333333</v>
      </c>
      <c r="Q1956">
        <v>1.6333333329999999</v>
      </c>
      <c r="R1956">
        <v>0.366666667</v>
      </c>
      <c r="S1956">
        <v>0.66666666699999999</v>
      </c>
      <c r="T1956">
        <v>1.4</v>
      </c>
      <c r="U1956">
        <v>2.3333333330000001</v>
      </c>
      <c r="V1956">
        <v>1.8</v>
      </c>
      <c r="W1956">
        <v>0.96666666700000003</v>
      </c>
      <c r="X1956">
        <v>0.53333333299999997</v>
      </c>
      <c r="Y1956">
        <v>1.1000000000000001</v>
      </c>
      <c r="Z1956">
        <v>0.1</v>
      </c>
      <c r="AA1956" t="s">
        <v>9335</v>
      </c>
      <c r="AB1956" t="s">
        <v>242</v>
      </c>
      <c r="AC1956" t="s">
        <v>3229</v>
      </c>
    </row>
    <row r="1957" spans="1:29" x14ac:dyDescent="0.25">
      <c r="A1957" t="s">
        <v>2033</v>
      </c>
      <c r="B1957" t="s">
        <v>252</v>
      </c>
      <c r="C1957" t="s">
        <v>352</v>
      </c>
      <c r="D1957" t="s">
        <v>3713</v>
      </c>
      <c r="E1957" t="s">
        <v>3761</v>
      </c>
      <c r="F1957">
        <v>10000000</v>
      </c>
      <c r="G1957" t="s">
        <v>9349</v>
      </c>
      <c r="H1957" t="s">
        <v>241</v>
      </c>
      <c r="I1957" t="s">
        <v>242</v>
      </c>
      <c r="J1957" t="s">
        <v>242</v>
      </c>
      <c r="K1957" t="s">
        <v>242</v>
      </c>
      <c r="L1957" t="s">
        <v>241</v>
      </c>
      <c r="M1957">
        <v>38.519013299999997</v>
      </c>
      <c r="N1957">
        <v>-122.876284</v>
      </c>
      <c r="O1957">
        <v>0</v>
      </c>
      <c r="P1957">
        <v>0</v>
      </c>
      <c r="Q1957">
        <v>0.83333333300000001</v>
      </c>
      <c r="R1957">
        <v>1.7</v>
      </c>
      <c r="S1957">
        <v>3.0333333329999999</v>
      </c>
      <c r="T1957">
        <v>3.4333333330000002</v>
      </c>
      <c r="U1957">
        <v>4.4666666670000001</v>
      </c>
      <c r="V1957">
        <v>3.1</v>
      </c>
      <c r="W1957">
        <v>1.4666666669999999</v>
      </c>
      <c r="X1957">
        <v>2.1333333329999999</v>
      </c>
      <c r="Y1957">
        <v>1.3666666670000001</v>
      </c>
      <c r="Z1957">
        <v>0</v>
      </c>
      <c r="AA1957" t="s">
        <v>9335</v>
      </c>
      <c r="AB1957" t="s">
        <v>242</v>
      </c>
      <c r="AC1957" t="s">
        <v>3229</v>
      </c>
    </row>
    <row r="1958" spans="1:29" x14ac:dyDescent="0.25">
      <c r="A1958" t="s">
        <v>2034</v>
      </c>
      <c r="B1958" t="s">
        <v>252</v>
      </c>
      <c r="C1958" t="s">
        <v>352</v>
      </c>
      <c r="D1958" t="s">
        <v>3713</v>
      </c>
      <c r="E1958" t="s">
        <v>3761</v>
      </c>
      <c r="F1958">
        <v>10000000</v>
      </c>
      <c r="G1958" t="s">
        <v>9349</v>
      </c>
      <c r="H1958" t="s">
        <v>241</v>
      </c>
      <c r="I1958" t="s">
        <v>242</v>
      </c>
      <c r="J1958" t="s">
        <v>242</v>
      </c>
      <c r="K1958" t="s">
        <v>242</v>
      </c>
      <c r="L1958" t="s">
        <v>241</v>
      </c>
      <c r="M1958">
        <v>38.51816178</v>
      </c>
      <c r="N1958">
        <v>-122.8799437</v>
      </c>
      <c r="O1958">
        <v>0</v>
      </c>
      <c r="P1958">
        <v>0.16666666699999999</v>
      </c>
      <c r="Q1958">
        <v>0.33333333300000001</v>
      </c>
      <c r="R1958">
        <v>0</v>
      </c>
      <c r="S1958">
        <v>0.1</v>
      </c>
      <c r="T1958">
        <v>0</v>
      </c>
      <c r="U1958">
        <v>0</v>
      </c>
      <c r="V1958">
        <v>0</v>
      </c>
      <c r="W1958">
        <v>0</v>
      </c>
      <c r="X1958">
        <v>3.3333333E-2</v>
      </c>
      <c r="Y1958">
        <v>0.16666666699999999</v>
      </c>
      <c r="Z1958">
        <v>0</v>
      </c>
      <c r="AA1958" t="s">
        <v>9335</v>
      </c>
      <c r="AB1958" t="s">
        <v>242</v>
      </c>
      <c r="AC1958" t="s">
        <v>3229</v>
      </c>
    </row>
    <row r="1959" spans="1:29" x14ac:dyDescent="0.25">
      <c r="A1959" t="s">
        <v>2038</v>
      </c>
      <c r="B1959" t="s">
        <v>252</v>
      </c>
      <c r="C1959" t="s">
        <v>323</v>
      </c>
      <c r="D1959" t="s">
        <v>3713</v>
      </c>
      <c r="E1959" t="s">
        <v>3761</v>
      </c>
      <c r="F1959">
        <v>10000000</v>
      </c>
      <c r="G1959" t="s">
        <v>9349</v>
      </c>
      <c r="H1959" t="s">
        <v>242</v>
      </c>
      <c r="I1959" t="s">
        <v>242</v>
      </c>
      <c r="J1959" t="s">
        <v>242</v>
      </c>
      <c r="K1959" t="s">
        <v>242</v>
      </c>
      <c r="L1959" t="s">
        <v>241</v>
      </c>
      <c r="M1959">
        <v>38.493589700000001</v>
      </c>
      <c r="N1959">
        <v>-122.8792918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 t="s">
        <v>9335</v>
      </c>
      <c r="AB1959" t="s">
        <v>242</v>
      </c>
      <c r="AC1959" t="s">
        <v>3229</v>
      </c>
    </row>
    <row r="1960" spans="1:29" x14ac:dyDescent="0.25">
      <c r="A1960" t="s">
        <v>2039</v>
      </c>
      <c r="B1960" t="s">
        <v>252</v>
      </c>
      <c r="C1960" t="s">
        <v>323</v>
      </c>
      <c r="D1960" t="s">
        <v>3713</v>
      </c>
      <c r="E1960" t="s">
        <v>3761</v>
      </c>
      <c r="F1960">
        <v>10000000</v>
      </c>
      <c r="G1960" t="s">
        <v>9349</v>
      </c>
      <c r="H1960" t="s">
        <v>242</v>
      </c>
      <c r="I1960" t="s">
        <v>242</v>
      </c>
      <c r="J1960" t="s">
        <v>242</v>
      </c>
      <c r="K1960" t="s">
        <v>242</v>
      </c>
      <c r="L1960" t="s">
        <v>241</v>
      </c>
      <c r="M1960">
        <v>38.49417716</v>
      </c>
      <c r="N1960">
        <v>-122.8742324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 t="s">
        <v>9335</v>
      </c>
      <c r="AB1960" t="s">
        <v>242</v>
      </c>
      <c r="AC1960" t="s">
        <v>3229</v>
      </c>
    </row>
    <row r="1961" spans="1:29" x14ac:dyDescent="0.25">
      <c r="A1961" t="s">
        <v>2051</v>
      </c>
      <c r="B1961" t="s">
        <v>252</v>
      </c>
      <c r="C1961" t="s">
        <v>403</v>
      </c>
      <c r="D1961" t="s">
        <v>3713</v>
      </c>
      <c r="E1961" t="s">
        <v>3761</v>
      </c>
      <c r="F1961">
        <v>10000000</v>
      </c>
      <c r="G1961" t="s">
        <v>9349</v>
      </c>
      <c r="H1961" t="s">
        <v>242</v>
      </c>
      <c r="I1961" t="s">
        <v>242</v>
      </c>
      <c r="J1961" t="s">
        <v>242</v>
      </c>
      <c r="K1961" t="s">
        <v>242</v>
      </c>
      <c r="L1961" t="s">
        <v>241</v>
      </c>
      <c r="M1961">
        <v>38.44636363</v>
      </c>
      <c r="N1961">
        <v>-122.9811978</v>
      </c>
      <c r="O1961">
        <v>1.38E-2</v>
      </c>
      <c r="P1961">
        <v>1.38E-2</v>
      </c>
      <c r="Q1961">
        <v>1.38E-2</v>
      </c>
      <c r="R1961">
        <v>1.38E-2</v>
      </c>
      <c r="S1961">
        <v>1.38E-2</v>
      </c>
      <c r="T1961">
        <v>1.38E-2</v>
      </c>
      <c r="U1961">
        <v>4.5999999999999999E-2</v>
      </c>
      <c r="V1961">
        <v>4.5999999999999999E-2</v>
      </c>
      <c r="W1961">
        <v>4.5999999999999999E-2</v>
      </c>
      <c r="X1961">
        <v>4.5999999999999999E-2</v>
      </c>
      <c r="Y1961">
        <v>4.5999999999999999E-2</v>
      </c>
      <c r="Z1961">
        <v>4.5999999999999999E-2</v>
      </c>
      <c r="AA1961" t="s">
        <v>9333</v>
      </c>
      <c r="AB1961" t="s">
        <v>242</v>
      </c>
      <c r="AC1961" t="s">
        <v>3229</v>
      </c>
    </row>
    <row r="1962" spans="1:29" x14ac:dyDescent="0.25">
      <c r="A1962" t="s">
        <v>1851</v>
      </c>
      <c r="B1962" t="s">
        <v>252</v>
      </c>
      <c r="C1962" t="s">
        <v>684</v>
      </c>
      <c r="D1962" t="s">
        <v>3713</v>
      </c>
      <c r="E1962" t="s">
        <v>3761</v>
      </c>
      <c r="F1962">
        <v>10000000</v>
      </c>
      <c r="G1962" t="s">
        <v>9349</v>
      </c>
      <c r="H1962" t="s">
        <v>241</v>
      </c>
      <c r="I1962" t="s">
        <v>242</v>
      </c>
      <c r="J1962" t="s">
        <v>242</v>
      </c>
      <c r="K1962" t="s">
        <v>242</v>
      </c>
      <c r="L1962" t="s">
        <v>241</v>
      </c>
      <c r="M1962">
        <v>38.500138370000002</v>
      </c>
      <c r="N1962">
        <v>-122.937206</v>
      </c>
      <c r="O1962">
        <v>0</v>
      </c>
      <c r="P1962">
        <v>0</v>
      </c>
      <c r="Q1962">
        <v>0</v>
      </c>
      <c r="R1962">
        <v>0</v>
      </c>
      <c r="S1962">
        <v>0.37133333299999999</v>
      </c>
      <c r="T1962">
        <v>0</v>
      </c>
      <c r="U1962">
        <v>1.4706666669999999</v>
      </c>
      <c r="V1962">
        <v>0.44566666700000002</v>
      </c>
      <c r="W1962">
        <v>1.512</v>
      </c>
      <c r="X1962">
        <v>0.17</v>
      </c>
      <c r="Y1962">
        <v>0.144666667</v>
      </c>
      <c r="Z1962">
        <v>0</v>
      </c>
      <c r="AA1962" t="s">
        <v>9335</v>
      </c>
      <c r="AB1962" t="s">
        <v>242</v>
      </c>
      <c r="AC1962" t="s">
        <v>3229</v>
      </c>
    </row>
    <row r="1963" spans="1:29" x14ac:dyDescent="0.25">
      <c r="A1963" t="s">
        <v>2589</v>
      </c>
      <c r="B1963" t="s">
        <v>252</v>
      </c>
      <c r="C1963" t="s">
        <v>394</v>
      </c>
      <c r="D1963" t="s">
        <v>3713</v>
      </c>
      <c r="E1963" t="s">
        <v>3761</v>
      </c>
      <c r="F1963">
        <v>10000000</v>
      </c>
      <c r="G1963" t="s">
        <v>9349</v>
      </c>
      <c r="H1963" t="s">
        <v>242</v>
      </c>
      <c r="I1963" t="s">
        <v>242</v>
      </c>
      <c r="J1963" t="s">
        <v>242</v>
      </c>
      <c r="K1963" t="s">
        <v>242</v>
      </c>
      <c r="L1963" t="s">
        <v>241</v>
      </c>
      <c r="M1963">
        <v>38.620199999999997</v>
      </c>
      <c r="N1963">
        <v>-122.8882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 t="s">
        <v>9335</v>
      </c>
      <c r="AB1963" t="s">
        <v>242</v>
      </c>
      <c r="AC1963" t="s">
        <v>3229</v>
      </c>
    </row>
    <row r="1964" spans="1:29" x14ac:dyDescent="0.25">
      <c r="A1964" t="s">
        <v>2258</v>
      </c>
      <c r="B1964" t="s">
        <v>252</v>
      </c>
      <c r="C1964" t="s">
        <v>394</v>
      </c>
      <c r="D1964" t="s">
        <v>3713</v>
      </c>
      <c r="E1964" t="s">
        <v>3761</v>
      </c>
      <c r="F1964">
        <v>10000000</v>
      </c>
      <c r="G1964" t="s">
        <v>9349</v>
      </c>
      <c r="H1964" t="s">
        <v>242</v>
      </c>
      <c r="I1964" t="s">
        <v>242</v>
      </c>
      <c r="J1964" t="s">
        <v>242</v>
      </c>
      <c r="K1964" t="s">
        <v>242</v>
      </c>
      <c r="L1964" t="s">
        <v>241</v>
      </c>
      <c r="M1964">
        <v>38.621811180000002</v>
      </c>
      <c r="N1964">
        <v>-122.88174739999999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0.53333333299999997</v>
      </c>
      <c r="U1964">
        <v>0.2</v>
      </c>
      <c r="V1964">
        <v>0.53333333299999997</v>
      </c>
      <c r="W1964">
        <v>0.83333333300000001</v>
      </c>
      <c r="X1964">
        <v>0.233333333</v>
      </c>
      <c r="Y1964">
        <v>0</v>
      </c>
      <c r="Z1964">
        <v>0</v>
      </c>
      <c r="AA1964" t="s">
        <v>9335</v>
      </c>
      <c r="AB1964" t="s">
        <v>242</v>
      </c>
      <c r="AC1964" t="s">
        <v>3229</v>
      </c>
    </row>
    <row r="1965" spans="1:29" x14ac:dyDescent="0.25">
      <c r="A1965" t="s">
        <v>2071</v>
      </c>
      <c r="B1965" t="s">
        <v>252</v>
      </c>
      <c r="C1965" t="s">
        <v>486</v>
      </c>
      <c r="D1965" t="s">
        <v>3713</v>
      </c>
      <c r="E1965" t="s">
        <v>3761</v>
      </c>
      <c r="F1965">
        <v>10000000</v>
      </c>
      <c r="G1965" t="s">
        <v>9349</v>
      </c>
      <c r="H1965" t="s">
        <v>241</v>
      </c>
      <c r="I1965" t="s">
        <v>242</v>
      </c>
      <c r="J1965" t="s">
        <v>242</v>
      </c>
      <c r="K1965" t="s">
        <v>242</v>
      </c>
      <c r="L1965" t="s">
        <v>241</v>
      </c>
      <c r="M1965">
        <v>38.557998269999999</v>
      </c>
      <c r="N1965">
        <v>-122.8591012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 t="s">
        <v>9335</v>
      </c>
      <c r="AB1965" t="s">
        <v>242</v>
      </c>
      <c r="AC1965" t="s">
        <v>3229</v>
      </c>
    </row>
    <row r="1966" spans="1:29" x14ac:dyDescent="0.25">
      <c r="A1966" t="s">
        <v>2072</v>
      </c>
      <c r="B1966" t="s">
        <v>252</v>
      </c>
      <c r="C1966" t="s">
        <v>486</v>
      </c>
      <c r="D1966" t="s">
        <v>3713</v>
      </c>
      <c r="E1966" t="s">
        <v>3761</v>
      </c>
      <c r="F1966">
        <v>10000000</v>
      </c>
      <c r="G1966" t="s">
        <v>9349</v>
      </c>
      <c r="H1966" t="s">
        <v>241</v>
      </c>
      <c r="I1966" t="s">
        <v>242</v>
      </c>
      <c r="J1966" t="s">
        <v>242</v>
      </c>
      <c r="K1966" t="s">
        <v>242</v>
      </c>
      <c r="L1966" t="s">
        <v>241</v>
      </c>
      <c r="M1966">
        <v>38.558825890000001</v>
      </c>
      <c r="N1966">
        <v>-122.8585866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 t="s">
        <v>9335</v>
      </c>
      <c r="AB1966" t="s">
        <v>242</v>
      </c>
      <c r="AC1966" t="s">
        <v>3229</v>
      </c>
    </row>
    <row r="1967" spans="1:29" x14ac:dyDescent="0.25">
      <c r="A1967" t="s">
        <v>2073</v>
      </c>
      <c r="B1967" t="s">
        <v>252</v>
      </c>
      <c r="C1967" t="s">
        <v>486</v>
      </c>
      <c r="D1967" t="s">
        <v>3713</v>
      </c>
      <c r="E1967" t="s">
        <v>3761</v>
      </c>
      <c r="F1967">
        <v>10000000</v>
      </c>
      <c r="G1967" t="s">
        <v>9349</v>
      </c>
      <c r="H1967" t="s">
        <v>241</v>
      </c>
      <c r="I1967" t="s">
        <v>242</v>
      </c>
      <c r="J1967" t="s">
        <v>242</v>
      </c>
      <c r="K1967" t="s">
        <v>242</v>
      </c>
      <c r="L1967" t="s">
        <v>241</v>
      </c>
      <c r="M1967">
        <v>38.557998269999999</v>
      </c>
      <c r="N1967">
        <v>-122.8591012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 t="s">
        <v>9335</v>
      </c>
      <c r="AB1967" t="s">
        <v>242</v>
      </c>
      <c r="AC1967" t="s">
        <v>3229</v>
      </c>
    </row>
    <row r="1968" spans="1:29" x14ac:dyDescent="0.25">
      <c r="A1968" t="s">
        <v>2074</v>
      </c>
      <c r="B1968" t="s">
        <v>252</v>
      </c>
      <c r="C1968" t="s">
        <v>486</v>
      </c>
      <c r="D1968" t="s">
        <v>3713</v>
      </c>
      <c r="E1968" t="s">
        <v>3761</v>
      </c>
      <c r="F1968">
        <v>10000000</v>
      </c>
      <c r="G1968" t="s">
        <v>9349</v>
      </c>
      <c r="H1968" t="s">
        <v>241</v>
      </c>
      <c r="I1968" t="s">
        <v>242</v>
      </c>
      <c r="J1968" t="s">
        <v>242</v>
      </c>
      <c r="K1968" t="s">
        <v>242</v>
      </c>
      <c r="L1968" t="s">
        <v>241</v>
      </c>
      <c r="M1968">
        <v>38.557307940000001</v>
      </c>
      <c r="N1968">
        <v>-122.8596175</v>
      </c>
      <c r="O1968">
        <v>0</v>
      </c>
      <c r="P1968">
        <v>0</v>
      </c>
      <c r="Q1968">
        <v>0</v>
      </c>
      <c r="R1968">
        <v>1.1000000000000001</v>
      </c>
      <c r="S1968">
        <v>0</v>
      </c>
      <c r="T1968">
        <v>2.0666666669999998</v>
      </c>
      <c r="U1968">
        <v>2.1666666669999999</v>
      </c>
      <c r="V1968">
        <v>2.733333333</v>
      </c>
      <c r="W1968">
        <v>1.4</v>
      </c>
      <c r="X1968">
        <v>1.433333333</v>
      </c>
      <c r="Y1968">
        <v>0.1</v>
      </c>
      <c r="Z1968">
        <v>0</v>
      </c>
      <c r="AA1968" t="s">
        <v>9335</v>
      </c>
      <c r="AB1968" t="s">
        <v>242</v>
      </c>
      <c r="AC1968" t="s">
        <v>3229</v>
      </c>
    </row>
    <row r="1969" spans="1:29" x14ac:dyDescent="0.25">
      <c r="A1969" t="s">
        <v>2075</v>
      </c>
      <c r="B1969" t="s">
        <v>252</v>
      </c>
      <c r="C1969" t="s">
        <v>486</v>
      </c>
      <c r="D1969" t="s">
        <v>3713</v>
      </c>
      <c r="E1969" t="s">
        <v>3761</v>
      </c>
      <c r="F1969">
        <v>10000000</v>
      </c>
      <c r="G1969" t="s">
        <v>9349</v>
      </c>
      <c r="H1969" t="s">
        <v>241</v>
      </c>
      <c r="I1969" t="s">
        <v>242</v>
      </c>
      <c r="J1969" t="s">
        <v>242</v>
      </c>
      <c r="K1969" t="s">
        <v>242</v>
      </c>
      <c r="L1969" t="s">
        <v>241</v>
      </c>
      <c r="M1969">
        <v>38.556618899999997</v>
      </c>
      <c r="N1969">
        <v>-122.8599589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 t="s">
        <v>9335</v>
      </c>
      <c r="AB1969" t="s">
        <v>242</v>
      </c>
      <c r="AC1969" t="s">
        <v>3229</v>
      </c>
    </row>
    <row r="1970" spans="1:29" x14ac:dyDescent="0.25">
      <c r="A1970" t="s">
        <v>2076</v>
      </c>
      <c r="B1970" t="s">
        <v>252</v>
      </c>
      <c r="C1970" t="s">
        <v>486</v>
      </c>
      <c r="D1970" t="s">
        <v>3713</v>
      </c>
      <c r="E1970" t="s">
        <v>3761</v>
      </c>
      <c r="F1970">
        <v>10000000</v>
      </c>
      <c r="G1970" t="s">
        <v>9349</v>
      </c>
      <c r="H1970" t="s">
        <v>241</v>
      </c>
      <c r="I1970" t="s">
        <v>242</v>
      </c>
      <c r="J1970" t="s">
        <v>242</v>
      </c>
      <c r="K1970" t="s">
        <v>242</v>
      </c>
      <c r="L1970" t="s">
        <v>241</v>
      </c>
      <c r="M1970">
        <v>38.557702949999999</v>
      </c>
      <c r="N1970">
        <v>-122.8618955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 t="s">
        <v>9335</v>
      </c>
      <c r="AB1970" t="s">
        <v>242</v>
      </c>
      <c r="AC1970" t="s">
        <v>3229</v>
      </c>
    </row>
    <row r="1971" spans="1:29" x14ac:dyDescent="0.25">
      <c r="A1971" t="s">
        <v>9056</v>
      </c>
      <c r="B1971" t="s">
        <v>252</v>
      </c>
      <c r="C1971" t="e">
        <v>#N/A</v>
      </c>
      <c r="D1971" t="s">
        <v>3713</v>
      </c>
      <c r="E1971" t="s">
        <v>3761</v>
      </c>
      <c r="F1971">
        <v>10000000</v>
      </c>
      <c r="G1971" t="s">
        <v>9349</v>
      </c>
      <c r="I1971" t="s">
        <v>242</v>
      </c>
      <c r="L1971" t="s">
        <v>241</v>
      </c>
    </row>
    <row r="1972" spans="1:29" x14ac:dyDescent="0.25">
      <c r="A1972" t="s">
        <v>1856</v>
      </c>
      <c r="B1972" t="s">
        <v>252</v>
      </c>
      <c r="C1972" t="s">
        <v>684</v>
      </c>
      <c r="D1972" t="s">
        <v>3713</v>
      </c>
      <c r="E1972" t="s">
        <v>3761</v>
      </c>
      <c r="F1972">
        <v>10000000</v>
      </c>
      <c r="G1972" t="s">
        <v>9349</v>
      </c>
      <c r="H1972" t="s">
        <v>241</v>
      </c>
      <c r="I1972" t="s">
        <v>242</v>
      </c>
      <c r="J1972" t="s">
        <v>242</v>
      </c>
      <c r="K1972" t="s">
        <v>242</v>
      </c>
      <c r="L1972" t="s">
        <v>241</v>
      </c>
      <c r="M1972">
        <v>38.517934439999998</v>
      </c>
      <c r="N1972">
        <v>-122.9769371</v>
      </c>
      <c r="O1972">
        <v>0</v>
      </c>
      <c r="P1972">
        <v>0</v>
      </c>
      <c r="Q1972">
        <v>0</v>
      </c>
      <c r="R1972">
        <v>0</v>
      </c>
      <c r="S1972">
        <v>0.04</v>
      </c>
      <c r="T1972">
        <v>0.21666666700000001</v>
      </c>
      <c r="U1972">
        <v>0.366666667</v>
      </c>
      <c r="V1972">
        <v>0.28333333300000002</v>
      </c>
      <c r="W1972">
        <v>0.366666667</v>
      </c>
      <c r="X1972">
        <v>0.1</v>
      </c>
      <c r="Y1972">
        <v>0</v>
      </c>
      <c r="Z1972">
        <v>0</v>
      </c>
      <c r="AA1972" t="s">
        <v>9335</v>
      </c>
      <c r="AB1972" t="s">
        <v>242</v>
      </c>
      <c r="AC1972" t="s">
        <v>3229</v>
      </c>
    </row>
    <row r="1973" spans="1:29" x14ac:dyDescent="0.25">
      <c r="A1973" t="s">
        <v>2108</v>
      </c>
      <c r="B1973" t="s">
        <v>252</v>
      </c>
      <c r="C1973" t="s">
        <v>323</v>
      </c>
      <c r="D1973" t="s">
        <v>3713</v>
      </c>
      <c r="E1973" t="s">
        <v>3761</v>
      </c>
      <c r="F1973">
        <v>10000000</v>
      </c>
      <c r="G1973" t="s">
        <v>9349</v>
      </c>
      <c r="H1973" t="s">
        <v>242</v>
      </c>
      <c r="I1973" t="s">
        <v>242</v>
      </c>
      <c r="J1973" t="s">
        <v>242</v>
      </c>
      <c r="K1973" t="s">
        <v>242</v>
      </c>
      <c r="L1973" t="s">
        <v>241</v>
      </c>
      <c r="M1973">
        <v>38.492199999999997</v>
      </c>
      <c r="N1973">
        <v>-122.8841</v>
      </c>
      <c r="O1973">
        <v>0</v>
      </c>
      <c r="P1973">
        <v>0</v>
      </c>
      <c r="Q1973">
        <v>0</v>
      </c>
      <c r="R1973">
        <v>0.103312</v>
      </c>
      <c r="S1973">
        <v>0.115856667</v>
      </c>
      <c r="T1973">
        <v>0.12669133299999999</v>
      </c>
      <c r="U1973">
        <v>0.26371233300000002</v>
      </c>
      <c r="V1973">
        <v>0.22842000000000001</v>
      </c>
      <c r="W1973">
        <v>0.30093666699999999</v>
      </c>
      <c r="X1973">
        <v>0</v>
      </c>
      <c r="Y1973">
        <v>0</v>
      </c>
      <c r="Z1973">
        <v>0</v>
      </c>
      <c r="AA1973" t="s">
        <v>9335</v>
      </c>
      <c r="AB1973" t="s">
        <v>242</v>
      </c>
      <c r="AC1973" t="s">
        <v>3229</v>
      </c>
    </row>
    <row r="1974" spans="1:29" x14ac:dyDescent="0.25">
      <c r="A1974" t="s">
        <v>2117</v>
      </c>
      <c r="B1974" t="s">
        <v>252</v>
      </c>
      <c r="C1974" t="s">
        <v>486</v>
      </c>
      <c r="D1974" t="s">
        <v>3713</v>
      </c>
      <c r="E1974" t="s">
        <v>3761</v>
      </c>
      <c r="F1974">
        <v>10000000</v>
      </c>
      <c r="G1974" t="s">
        <v>9349</v>
      </c>
      <c r="H1974" t="s">
        <v>241</v>
      </c>
      <c r="I1974" t="s">
        <v>242</v>
      </c>
      <c r="J1974" t="s">
        <v>242</v>
      </c>
      <c r="K1974" t="s">
        <v>242</v>
      </c>
      <c r="L1974" t="s">
        <v>241</v>
      </c>
      <c r="M1974">
        <v>38.530772089999999</v>
      </c>
      <c r="N1974">
        <v>-122.864542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 t="s">
        <v>9343</v>
      </c>
      <c r="AB1974" t="s">
        <v>242</v>
      </c>
      <c r="AC1974" t="s">
        <v>3229</v>
      </c>
    </row>
    <row r="1975" spans="1:29" x14ac:dyDescent="0.25">
      <c r="A1975" t="s">
        <v>2131</v>
      </c>
      <c r="B1975" t="s">
        <v>252</v>
      </c>
      <c r="C1975" t="s">
        <v>486</v>
      </c>
      <c r="D1975" t="s">
        <v>3713</v>
      </c>
      <c r="E1975" t="s">
        <v>3761</v>
      </c>
      <c r="F1975">
        <v>10000000</v>
      </c>
      <c r="G1975" t="s">
        <v>9349</v>
      </c>
      <c r="H1975" t="s">
        <v>241</v>
      </c>
      <c r="I1975" t="s">
        <v>242</v>
      </c>
      <c r="J1975" t="s">
        <v>242</v>
      </c>
      <c r="K1975" t="s">
        <v>242</v>
      </c>
      <c r="L1975" t="s">
        <v>241</v>
      </c>
      <c r="M1975">
        <v>38.544899999999998</v>
      </c>
      <c r="N1975">
        <v>-122.8488</v>
      </c>
      <c r="O1975">
        <v>0</v>
      </c>
      <c r="P1975">
        <v>0</v>
      </c>
      <c r="Q1975">
        <v>6.6666670000000003E-3</v>
      </c>
      <c r="R1975">
        <v>6.6666700000000002E-4</v>
      </c>
      <c r="S1975">
        <v>2.8366666669999998</v>
      </c>
      <c r="T1975">
        <v>4.1033333330000001</v>
      </c>
      <c r="U1975">
        <v>5.19</v>
      </c>
      <c r="V1975">
        <v>3.6033333330000001</v>
      </c>
      <c r="W1975">
        <v>1.51</v>
      </c>
      <c r="X1975">
        <v>0.45</v>
      </c>
      <c r="Y1975">
        <v>10.130000000000001</v>
      </c>
      <c r="Z1975">
        <v>0</v>
      </c>
      <c r="AA1975" t="s">
        <v>9335</v>
      </c>
      <c r="AB1975" t="s">
        <v>242</v>
      </c>
      <c r="AC1975" t="s">
        <v>3229</v>
      </c>
    </row>
    <row r="1976" spans="1:29" x14ac:dyDescent="0.25">
      <c r="A1976" t="s">
        <v>2132</v>
      </c>
      <c r="B1976" t="s">
        <v>252</v>
      </c>
      <c r="C1976" t="s">
        <v>323</v>
      </c>
      <c r="D1976" t="s">
        <v>3713</v>
      </c>
      <c r="E1976" t="s">
        <v>3761</v>
      </c>
      <c r="F1976">
        <v>10000000</v>
      </c>
      <c r="G1976" t="s">
        <v>9349</v>
      </c>
      <c r="H1976" t="s">
        <v>242</v>
      </c>
      <c r="I1976" t="s">
        <v>242</v>
      </c>
      <c r="J1976" t="s">
        <v>242</v>
      </c>
      <c r="K1976" t="s">
        <v>242</v>
      </c>
      <c r="L1976" t="s">
        <v>241</v>
      </c>
      <c r="M1976">
        <v>38.494773559999999</v>
      </c>
      <c r="N1976">
        <v>-122.8679501</v>
      </c>
      <c r="O1976">
        <v>0</v>
      </c>
      <c r="P1976">
        <v>0</v>
      </c>
      <c r="Q1976">
        <v>0</v>
      </c>
      <c r="R1976">
        <v>0.2</v>
      </c>
      <c r="S1976">
        <v>3.3333333E-2</v>
      </c>
      <c r="T1976">
        <v>0</v>
      </c>
      <c r="U1976">
        <v>3.3333333E-2</v>
      </c>
      <c r="V1976">
        <v>0</v>
      </c>
      <c r="W1976">
        <v>0</v>
      </c>
      <c r="X1976">
        <v>0</v>
      </c>
      <c r="Y1976">
        <v>0</v>
      </c>
      <c r="Z1976">
        <v>0</v>
      </c>
      <c r="AA1976" t="s">
        <v>9335</v>
      </c>
      <c r="AB1976" t="s">
        <v>242</v>
      </c>
      <c r="AC1976" t="s">
        <v>3229</v>
      </c>
    </row>
    <row r="1977" spans="1:29" x14ac:dyDescent="0.25">
      <c r="A1977" t="s">
        <v>2133</v>
      </c>
      <c r="B1977" t="s">
        <v>252</v>
      </c>
      <c r="C1977" t="s">
        <v>352</v>
      </c>
      <c r="D1977" t="s">
        <v>3713</v>
      </c>
      <c r="E1977" t="s">
        <v>3761</v>
      </c>
      <c r="F1977">
        <v>10000000</v>
      </c>
      <c r="G1977" t="s">
        <v>9349</v>
      </c>
      <c r="H1977" t="s">
        <v>241</v>
      </c>
      <c r="I1977" t="s">
        <v>242</v>
      </c>
      <c r="J1977" t="s">
        <v>242</v>
      </c>
      <c r="K1977" t="s">
        <v>242</v>
      </c>
      <c r="L1977" t="s">
        <v>241</v>
      </c>
      <c r="M1977">
        <v>38.497923030000003</v>
      </c>
      <c r="N1977">
        <v>-122.88720739999999</v>
      </c>
      <c r="O1977">
        <v>0</v>
      </c>
      <c r="P1977">
        <v>0</v>
      </c>
      <c r="Q1977">
        <v>0</v>
      </c>
      <c r="R1977">
        <v>0</v>
      </c>
      <c r="S1977">
        <v>0.43333333299999999</v>
      </c>
      <c r="T1977">
        <v>0.96666666700000003</v>
      </c>
      <c r="U1977">
        <v>0.97899999999999998</v>
      </c>
      <c r="V1977">
        <v>0.89166666699999997</v>
      </c>
      <c r="W1977">
        <v>0.125</v>
      </c>
      <c r="X1977">
        <v>0</v>
      </c>
      <c r="Y1977">
        <v>0</v>
      </c>
      <c r="Z1977">
        <v>0</v>
      </c>
      <c r="AA1977" t="s">
        <v>9335</v>
      </c>
      <c r="AB1977" t="s">
        <v>242</v>
      </c>
      <c r="AC1977" t="s">
        <v>3229</v>
      </c>
    </row>
    <row r="1978" spans="1:29" x14ac:dyDescent="0.25">
      <c r="A1978" t="s">
        <v>2134</v>
      </c>
      <c r="B1978" t="s">
        <v>252</v>
      </c>
      <c r="C1978" t="s">
        <v>486</v>
      </c>
      <c r="D1978" t="s">
        <v>3713</v>
      </c>
      <c r="E1978" t="s">
        <v>3761</v>
      </c>
      <c r="F1978">
        <v>10000000</v>
      </c>
      <c r="G1978" t="s">
        <v>9349</v>
      </c>
      <c r="H1978" t="s">
        <v>241</v>
      </c>
      <c r="I1978" t="s">
        <v>242</v>
      </c>
      <c r="J1978" t="s">
        <v>242</v>
      </c>
      <c r="K1978" t="s">
        <v>242</v>
      </c>
      <c r="L1978" t="s">
        <v>241</v>
      </c>
      <c r="M1978">
        <v>38.573491429999997</v>
      </c>
      <c r="N1978">
        <v>-122.8433716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0.14000000000000001</v>
      </c>
      <c r="V1978">
        <v>0.13666666699999999</v>
      </c>
      <c r="W1978">
        <v>0.1</v>
      </c>
      <c r="X1978">
        <v>3.3333333E-2</v>
      </c>
      <c r="Y1978">
        <v>3.3333333E-2</v>
      </c>
      <c r="Z1978">
        <v>0</v>
      </c>
      <c r="AA1978" t="s">
        <v>9335</v>
      </c>
      <c r="AB1978" t="s">
        <v>242</v>
      </c>
      <c r="AC1978" t="s">
        <v>3229</v>
      </c>
    </row>
    <row r="1979" spans="1:29" x14ac:dyDescent="0.25">
      <c r="A1979" t="s">
        <v>2135</v>
      </c>
      <c r="B1979" t="s">
        <v>252</v>
      </c>
      <c r="C1979" t="s">
        <v>486</v>
      </c>
      <c r="D1979" t="s">
        <v>3713</v>
      </c>
      <c r="E1979" t="s">
        <v>3761</v>
      </c>
      <c r="F1979">
        <v>10000000</v>
      </c>
      <c r="G1979" t="s">
        <v>9349</v>
      </c>
      <c r="H1979" t="s">
        <v>241</v>
      </c>
      <c r="I1979" t="s">
        <v>242</v>
      </c>
      <c r="J1979" t="s">
        <v>242</v>
      </c>
      <c r="K1979" t="s">
        <v>242</v>
      </c>
      <c r="L1979" t="s">
        <v>241</v>
      </c>
      <c r="M1979">
        <v>38.573491429999997</v>
      </c>
      <c r="N1979">
        <v>-122.8433716</v>
      </c>
      <c r="O1979">
        <v>0.6</v>
      </c>
      <c r="P1979">
        <v>0.43333333299999999</v>
      </c>
      <c r="Q1979">
        <v>0.93333333299999999</v>
      </c>
      <c r="R1979">
        <v>0.63333333300000005</v>
      </c>
      <c r="S1979">
        <v>1.1000000000000001</v>
      </c>
      <c r="T1979">
        <v>0.83333333300000001</v>
      </c>
      <c r="U1979">
        <v>0.96666666700000003</v>
      </c>
      <c r="V1979">
        <v>1.0333333330000001</v>
      </c>
      <c r="W1979">
        <v>1.9666666669999999</v>
      </c>
      <c r="X1979">
        <v>1.233333333</v>
      </c>
      <c r="Y1979">
        <v>1.066666667</v>
      </c>
      <c r="Z1979">
        <v>0.7</v>
      </c>
      <c r="AA1979" t="s">
        <v>9340</v>
      </c>
      <c r="AB1979" t="s">
        <v>242</v>
      </c>
      <c r="AC1979" t="s">
        <v>3229</v>
      </c>
    </row>
    <row r="1980" spans="1:29" x14ac:dyDescent="0.25">
      <c r="A1980" t="s">
        <v>2137</v>
      </c>
      <c r="B1980" t="s">
        <v>252</v>
      </c>
      <c r="C1980" t="s">
        <v>486</v>
      </c>
      <c r="D1980" t="s">
        <v>3713</v>
      </c>
      <c r="E1980" t="s">
        <v>3761</v>
      </c>
      <c r="F1980">
        <v>10000000</v>
      </c>
      <c r="G1980" t="s">
        <v>9349</v>
      </c>
      <c r="H1980" t="s">
        <v>241</v>
      </c>
      <c r="I1980" t="s">
        <v>242</v>
      </c>
      <c r="J1980" t="s">
        <v>242</v>
      </c>
      <c r="K1980" t="s">
        <v>242</v>
      </c>
      <c r="L1980" t="s">
        <v>241</v>
      </c>
      <c r="M1980">
        <v>38.533258910000001</v>
      </c>
      <c r="N1980">
        <v>-122.8624745</v>
      </c>
      <c r="O1980">
        <v>0</v>
      </c>
      <c r="P1980">
        <v>0</v>
      </c>
      <c r="Q1980">
        <v>0.2</v>
      </c>
      <c r="R1980">
        <v>0</v>
      </c>
      <c r="S1980">
        <v>1.233333333</v>
      </c>
      <c r="T1980">
        <v>0.366666667</v>
      </c>
      <c r="U1980">
        <v>0.86666666699999995</v>
      </c>
      <c r="V1980">
        <v>0.7</v>
      </c>
      <c r="W1980">
        <v>0.4</v>
      </c>
      <c r="X1980">
        <v>0.26666666700000002</v>
      </c>
      <c r="Y1980">
        <v>0.133333333</v>
      </c>
      <c r="Z1980">
        <v>0</v>
      </c>
      <c r="AA1980" t="s">
        <v>9335</v>
      </c>
      <c r="AB1980" t="s">
        <v>242</v>
      </c>
      <c r="AC1980" t="s">
        <v>3229</v>
      </c>
    </row>
    <row r="1981" spans="1:29" x14ac:dyDescent="0.25">
      <c r="A1981" t="s">
        <v>2138</v>
      </c>
      <c r="B1981" t="s">
        <v>252</v>
      </c>
      <c r="C1981" t="s">
        <v>486</v>
      </c>
      <c r="D1981" t="s">
        <v>3713</v>
      </c>
      <c r="E1981" t="s">
        <v>3761</v>
      </c>
      <c r="F1981">
        <v>10000000</v>
      </c>
      <c r="G1981" t="s">
        <v>9349</v>
      </c>
      <c r="H1981" t="s">
        <v>241</v>
      </c>
      <c r="I1981" t="s">
        <v>242</v>
      </c>
      <c r="J1981" t="s">
        <v>242</v>
      </c>
      <c r="K1981" t="s">
        <v>242</v>
      </c>
      <c r="L1981" t="s">
        <v>241</v>
      </c>
      <c r="M1981">
        <v>38.531070069999998</v>
      </c>
      <c r="N1981">
        <v>-122.86139919999999</v>
      </c>
      <c r="O1981">
        <v>0</v>
      </c>
      <c r="P1981">
        <v>0.04</v>
      </c>
      <c r="Q1981">
        <v>0.05</v>
      </c>
      <c r="R1981">
        <v>0.01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 t="s">
        <v>9343</v>
      </c>
      <c r="AB1981" t="s">
        <v>242</v>
      </c>
      <c r="AC1981" t="s">
        <v>3229</v>
      </c>
    </row>
    <row r="1982" spans="1:29" x14ac:dyDescent="0.25">
      <c r="A1982" t="s">
        <v>1948</v>
      </c>
      <c r="B1982" t="s">
        <v>252</v>
      </c>
      <c r="C1982" t="s">
        <v>489</v>
      </c>
      <c r="D1982" t="s">
        <v>3713</v>
      </c>
      <c r="E1982" t="s">
        <v>3761</v>
      </c>
      <c r="F1982">
        <v>10000000</v>
      </c>
      <c r="G1982" t="s">
        <v>9349</v>
      </c>
      <c r="H1982" t="s">
        <v>242</v>
      </c>
      <c r="I1982" t="s">
        <v>242</v>
      </c>
      <c r="J1982" t="s">
        <v>242</v>
      </c>
      <c r="K1982" t="s">
        <v>242</v>
      </c>
      <c r="L1982" t="s">
        <v>241</v>
      </c>
      <c r="M1982">
        <v>38.686327259999999</v>
      </c>
      <c r="N1982">
        <v>-122.9533182</v>
      </c>
      <c r="O1982">
        <v>0</v>
      </c>
      <c r="P1982">
        <v>0</v>
      </c>
      <c r="Q1982">
        <v>1</v>
      </c>
      <c r="R1982">
        <v>2</v>
      </c>
      <c r="S1982">
        <v>0</v>
      </c>
      <c r="T1982">
        <v>2</v>
      </c>
      <c r="U1982">
        <v>3</v>
      </c>
      <c r="V1982">
        <v>3</v>
      </c>
      <c r="W1982">
        <v>2.5</v>
      </c>
      <c r="X1982">
        <v>2</v>
      </c>
      <c r="Y1982">
        <v>0</v>
      </c>
      <c r="Z1982">
        <v>0</v>
      </c>
      <c r="AA1982" t="s">
        <v>9335</v>
      </c>
      <c r="AB1982" t="s">
        <v>242</v>
      </c>
      <c r="AC1982" t="s">
        <v>3229</v>
      </c>
    </row>
    <row r="1983" spans="1:29" x14ac:dyDescent="0.25">
      <c r="A1983" t="s">
        <v>1841</v>
      </c>
      <c r="B1983" t="s">
        <v>252</v>
      </c>
      <c r="C1983" t="s">
        <v>486</v>
      </c>
      <c r="D1983" t="s">
        <v>3713</v>
      </c>
      <c r="E1983" t="s">
        <v>3761</v>
      </c>
      <c r="F1983">
        <v>18690101</v>
      </c>
      <c r="G1983" t="s">
        <v>9348</v>
      </c>
      <c r="H1983" t="s">
        <v>241</v>
      </c>
      <c r="I1983" t="s">
        <v>241</v>
      </c>
      <c r="J1983" t="s">
        <v>242</v>
      </c>
      <c r="K1983" t="s">
        <v>242</v>
      </c>
      <c r="L1983" t="s">
        <v>242</v>
      </c>
      <c r="M1983">
        <v>38.523363660000001</v>
      </c>
      <c r="N1983">
        <v>-122.8637532</v>
      </c>
      <c r="O1983">
        <v>0</v>
      </c>
      <c r="P1983">
        <v>0</v>
      </c>
      <c r="Q1983">
        <v>0</v>
      </c>
      <c r="R1983">
        <v>0</v>
      </c>
      <c r="S1983">
        <v>6.6666670000000003E-3</v>
      </c>
      <c r="T1983">
        <v>0.16</v>
      </c>
      <c r="U1983">
        <v>0.35</v>
      </c>
      <c r="V1983">
        <v>0.486666667</v>
      </c>
      <c r="W1983">
        <v>0.42</v>
      </c>
      <c r="X1983">
        <v>0.54333333299999997</v>
      </c>
      <c r="Y1983">
        <v>0.15333333299999999</v>
      </c>
      <c r="Z1983">
        <v>0</v>
      </c>
      <c r="AA1983" t="s">
        <v>9335</v>
      </c>
      <c r="AB1983" t="s">
        <v>242</v>
      </c>
      <c r="AC1983" t="s">
        <v>3229</v>
      </c>
    </row>
    <row r="1984" spans="1:29" x14ac:dyDescent="0.25">
      <c r="A1984" t="s">
        <v>2419</v>
      </c>
      <c r="B1984" t="s">
        <v>252</v>
      </c>
      <c r="C1984" t="s">
        <v>585</v>
      </c>
      <c r="D1984" t="s">
        <v>3713</v>
      </c>
      <c r="E1984" t="s">
        <v>3761</v>
      </c>
      <c r="F1984">
        <v>10000000</v>
      </c>
      <c r="G1984" t="s">
        <v>9349</v>
      </c>
      <c r="H1984" t="s">
        <v>242</v>
      </c>
      <c r="I1984" t="s">
        <v>242</v>
      </c>
      <c r="J1984" t="s">
        <v>242</v>
      </c>
      <c r="K1984" t="s">
        <v>242</v>
      </c>
      <c r="L1984" t="s">
        <v>241</v>
      </c>
      <c r="M1984">
        <v>38.335848439999999</v>
      </c>
      <c r="N1984">
        <v>-122.7813062</v>
      </c>
      <c r="O1984">
        <v>5</v>
      </c>
      <c r="P1984">
        <v>4.3333333329999997</v>
      </c>
      <c r="Q1984">
        <v>4</v>
      </c>
      <c r="R1984">
        <v>1.3333333329999999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0.33333333300000001</v>
      </c>
      <c r="Z1984">
        <v>2</v>
      </c>
      <c r="AA1984" t="s">
        <v>9335</v>
      </c>
      <c r="AB1984" t="s">
        <v>242</v>
      </c>
      <c r="AC1984" t="s">
        <v>3229</v>
      </c>
    </row>
    <row r="1985" spans="1:29" x14ac:dyDescent="0.25">
      <c r="A1985" t="s">
        <v>2428</v>
      </c>
      <c r="B1985" t="s">
        <v>252</v>
      </c>
      <c r="C1985" t="s">
        <v>489</v>
      </c>
      <c r="D1985" t="s">
        <v>3713</v>
      </c>
      <c r="E1985" t="s">
        <v>3761</v>
      </c>
      <c r="F1985">
        <v>10000000</v>
      </c>
      <c r="G1985" t="s">
        <v>9349</v>
      </c>
      <c r="H1985" t="s">
        <v>242</v>
      </c>
      <c r="I1985" t="s">
        <v>242</v>
      </c>
      <c r="J1985" t="s">
        <v>242</v>
      </c>
      <c r="K1985" t="s">
        <v>242</v>
      </c>
      <c r="L1985" t="s">
        <v>241</v>
      </c>
      <c r="M1985">
        <v>38.655767689999998</v>
      </c>
      <c r="N1985">
        <v>-122.92909539999999</v>
      </c>
      <c r="O1985">
        <v>0</v>
      </c>
      <c r="P1985">
        <v>0.4</v>
      </c>
      <c r="Q1985">
        <v>0</v>
      </c>
      <c r="R1985">
        <v>0</v>
      </c>
      <c r="S1985">
        <v>2.5000000000000001E-2</v>
      </c>
      <c r="T1985">
        <v>6.5000000000000002E-2</v>
      </c>
      <c r="U1985">
        <v>6.5000000000000002E-2</v>
      </c>
      <c r="V1985">
        <v>7.4999999999999997E-2</v>
      </c>
      <c r="W1985">
        <v>5.5E-2</v>
      </c>
      <c r="X1985">
        <v>0.04</v>
      </c>
      <c r="Y1985">
        <v>0</v>
      </c>
      <c r="Z1985">
        <v>0</v>
      </c>
      <c r="AA1985" t="s">
        <v>9343</v>
      </c>
      <c r="AB1985" t="s">
        <v>242</v>
      </c>
      <c r="AC1985" t="s">
        <v>3229</v>
      </c>
    </row>
    <row r="1986" spans="1:29" x14ac:dyDescent="0.25">
      <c r="A1986" t="s">
        <v>1806</v>
      </c>
      <c r="B1986" t="s">
        <v>252</v>
      </c>
      <c r="C1986" t="s">
        <v>323</v>
      </c>
      <c r="D1986" t="s">
        <v>3713</v>
      </c>
      <c r="E1986" t="s">
        <v>3761</v>
      </c>
      <c r="F1986">
        <v>19000101</v>
      </c>
      <c r="G1986" t="s">
        <v>9348</v>
      </c>
      <c r="H1986" t="s">
        <v>242</v>
      </c>
      <c r="I1986" t="s">
        <v>241</v>
      </c>
      <c r="J1986" t="s">
        <v>242</v>
      </c>
      <c r="K1986" t="s">
        <v>242</v>
      </c>
      <c r="L1986" t="s">
        <v>242</v>
      </c>
      <c r="M1986">
        <v>38.53619467</v>
      </c>
      <c r="N1986">
        <v>-122.687729</v>
      </c>
      <c r="O1986">
        <v>0.01</v>
      </c>
      <c r="P1986">
        <v>0.01</v>
      </c>
      <c r="Q1986">
        <v>1.3333332999999999E-2</v>
      </c>
      <c r="R1986">
        <v>1.6666667E-2</v>
      </c>
      <c r="S1986">
        <v>5.3333332999999997E-2</v>
      </c>
      <c r="T1986">
        <v>6.6666666999999999E-2</v>
      </c>
      <c r="U1986">
        <v>4.3333333000000002E-2</v>
      </c>
      <c r="V1986">
        <v>0.06</v>
      </c>
      <c r="W1986">
        <v>1.3333332999999999E-2</v>
      </c>
      <c r="X1986">
        <v>0</v>
      </c>
      <c r="Y1986">
        <v>0</v>
      </c>
      <c r="Z1986">
        <v>0</v>
      </c>
      <c r="AA1986" t="s">
        <v>9335</v>
      </c>
      <c r="AB1986" t="s">
        <v>242</v>
      </c>
      <c r="AC1986" t="s">
        <v>3229</v>
      </c>
    </row>
    <row r="1987" spans="1:29" x14ac:dyDescent="0.25">
      <c r="A1987" t="s">
        <v>2234</v>
      </c>
      <c r="B1987" t="s">
        <v>252</v>
      </c>
      <c r="C1987" t="s">
        <v>394</v>
      </c>
      <c r="D1987" t="s">
        <v>3713</v>
      </c>
      <c r="E1987" t="s">
        <v>3761</v>
      </c>
      <c r="F1987">
        <v>10000000</v>
      </c>
      <c r="G1987" t="s">
        <v>9349</v>
      </c>
      <c r="H1987" t="s">
        <v>242</v>
      </c>
      <c r="I1987" t="s">
        <v>242</v>
      </c>
      <c r="J1987" t="s">
        <v>242</v>
      </c>
      <c r="K1987" t="s">
        <v>242</v>
      </c>
      <c r="L1987" t="s">
        <v>241</v>
      </c>
      <c r="M1987">
        <v>38.644497680000001</v>
      </c>
      <c r="N1987">
        <v>-122.9131916</v>
      </c>
      <c r="O1987">
        <v>0</v>
      </c>
      <c r="P1987">
        <v>0</v>
      </c>
      <c r="Q1987">
        <v>0</v>
      </c>
      <c r="R1987">
        <v>0</v>
      </c>
      <c r="S1987">
        <v>0.114666667</v>
      </c>
      <c r="T1987">
        <v>0.53166666699999998</v>
      </c>
      <c r="U1987">
        <v>0.752</v>
      </c>
      <c r="V1987">
        <v>1.296666667</v>
      </c>
      <c r="W1987">
        <v>1.0900000000000001</v>
      </c>
      <c r="X1987">
        <v>0.81966666700000002</v>
      </c>
      <c r="Y1987">
        <v>0.103333333</v>
      </c>
      <c r="Z1987">
        <v>0</v>
      </c>
      <c r="AA1987" t="s">
        <v>9335</v>
      </c>
      <c r="AB1987" t="s">
        <v>242</v>
      </c>
      <c r="AC1987" t="s">
        <v>3229</v>
      </c>
    </row>
    <row r="1988" spans="1:29" x14ac:dyDescent="0.25">
      <c r="A1988" t="s">
        <v>8388</v>
      </c>
      <c r="B1988" t="s">
        <v>252</v>
      </c>
      <c r="C1988" t="e">
        <v>#N/A</v>
      </c>
      <c r="D1988" t="s">
        <v>3713</v>
      </c>
      <c r="E1988" t="s">
        <v>3761</v>
      </c>
      <c r="F1988">
        <v>10000000</v>
      </c>
      <c r="G1988" t="s">
        <v>9349</v>
      </c>
      <c r="I1988" t="s">
        <v>242</v>
      </c>
      <c r="L1988" t="s">
        <v>241</v>
      </c>
    </row>
    <row r="1989" spans="1:29" x14ac:dyDescent="0.25">
      <c r="A1989" t="s">
        <v>2176</v>
      </c>
      <c r="B1989" t="s">
        <v>252</v>
      </c>
      <c r="C1989" t="s">
        <v>486</v>
      </c>
      <c r="D1989" t="s">
        <v>3713</v>
      </c>
      <c r="E1989" t="s">
        <v>3761</v>
      </c>
      <c r="F1989">
        <v>10000000</v>
      </c>
      <c r="G1989" t="s">
        <v>9349</v>
      </c>
      <c r="H1989" t="s">
        <v>242</v>
      </c>
      <c r="I1989" t="s">
        <v>242</v>
      </c>
      <c r="J1989" t="s">
        <v>242</v>
      </c>
      <c r="K1989" t="s">
        <v>242</v>
      </c>
      <c r="L1989" t="s">
        <v>241</v>
      </c>
      <c r="M1989">
        <v>38.573700000000002</v>
      </c>
      <c r="N1989">
        <v>-122.8767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 t="s">
        <v>9335</v>
      </c>
      <c r="AB1989" t="s">
        <v>242</v>
      </c>
      <c r="AC1989" t="s">
        <v>3229</v>
      </c>
    </row>
    <row r="1990" spans="1:29" x14ac:dyDescent="0.25">
      <c r="A1990" t="s">
        <v>1947</v>
      </c>
      <c r="B1990" t="s">
        <v>252</v>
      </c>
      <c r="C1990" t="s">
        <v>489</v>
      </c>
      <c r="D1990" t="s">
        <v>3713</v>
      </c>
      <c r="E1990" t="s">
        <v>3761</v>
      </c>
      <c r="F1990">
        <v>10000000</v>
      </c>
      <c r="G1990" t="s">
        <v>9349</v>
      </c>
      <c r="H1990" t="s">
        <v>242</v>
      </c>
      <c r="I1990" t="s">
        <v>242</v>
      </c>
      <c r="J1990" t="s">
        <v>242</v>
      </c>
      <c r="K1990" t="s">
        <v>242</v>
      </c>
      <c r="L1990" t="s">
        <v>241</v>
      </c>
      <c r="M1990">
        <v>38.687557099999999</v>
      </c>
      <c r="N1990">
        <v>-122.9540354</v>
      </c>
      <c r="O1990">
        <v>0</v>
      </c>
      <c r="P1990">
        <v>0</v>
      </c>
      <c r="Q1990">
        <v>2</v>
      </c>
      <c r="R1990">
        <v>1.5</v>
      </c>
      <c r="S1990">
        <v>3</v>
      </c>
      <c r="T1990">
        <v>3.5</v>
      </c>
      <c r="U1990">
        <v>3.5</v>
      </c>
      <c r="V1990">
        <v>4</v>
      </c>
      <c r="W1990">
        <v>3.5</v>
      </c>
      <c r="X1990">
        <v>3</v>
      </c>
      <c r="Y1990">
        <v>0</v>
      </c>
      <c r="Z1990">
        <v>0</v>
      </c>
      <c r="AA1990" t="s">
        <v>9335</v>
      </c>
      <c r="AB1990" t="s">
        <v>242</v>
      </c>
      <c r="AC1990" t="s">
        <v>3229</v>
      </c>
    </row>
    <row r="1991" spans="1:29" x14ac:dyDescent="0.25">
      <c r="A1991" t="s">
        <v>2181</v>
      </c>
      <c r="B1991" t="s">
        <v>252</v>
      </c>
      <c r="C1991" t="s">
        <v>1118</v>
      </c>
      <c r="D1991" t="s">
        <v>3713</v>
      </c>
      <c r="E1991" t="s">
        <v>3761</v>
      </c>
      <c r="F1991">
        <v>10000000</v>
      </c>
      <c r="G1991" t="s">
        <v>9349</v>
      </c>
      <c r="H1991" t="s">
        <v>242</v>
      </c>
      <c r="I1991" t="s">
        <v>242</v>
      </c>
      <c r="J1991" t="s">
        <v>242</v>
      </c>
      <c r="K1991" t="s">
        <v>242</v>
      </c>
      <c r="L1991" t="s">
        <v>241</v>
      </c>
      <c r="M1991">
        <v>38.425540050000002</v>
      </c>
      <c r="N1991">
        <v>-122.7962477</v>
      </c>
      <c r="O1991">
        <v>0</v>
      </c>
      <c r="P1991">
        <v>0</v>
      </c>
      <c r="Q1991">
        <v>0.101273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 t="s">
        <v>9343</v>
      </c>
      <c r="AB1991" t="s">
        <v>242</v>
      </c>
      <c r="AC1991" t="s">
        <v>3229</v>
      </c>
    </row>
    <row r="1992" spans="1:29" x14ac:dyDescent="0.25">
      <c r="A1992" t="s">
        <v>2182</v>
      </c>
      <c r="B1992" t="s">
        <v>252</v>
      </c>
      <c r="C1992" t="s">
        <v>323</v>
      </c>
      <c r="D1992" t="s">
        <v>3713</v>
      </c>
      <c r="E1992" t="s">
        <v>3761</v>
      </c>
      <c r="F1992">
        <v>10000000</v>
      </c>
      <c r="G1992" t="s">
        <v>9349</v>
      </c>
      <c r="H1992" t="s">
        <v>242</v>
      </c>
      <c r="I1992" t="s">
        <v>242</v>
      </c>
      <c r="J1992" t="s">
        <v>242</v>
      </c>
      <c r="K1992" t="s">
        <v>242</v>
      </c>
      <c r="L1992" t="s">
        <v>241</v>
      </c>
      <c r="M1992">
        <v>38.493527780000001</v>
      </c>
      <c r="N1992">
        <v>-122.7299177</v>
      </c>
      <c r="O1992">
        <v>2.5</v>
      </c>
      <c r="P1992">
        <v>10</v>
      </c>
      <c r="Q1992">
        <v>2.5499999999999998</v>
      </c>
      <c r="R1992">
        <v>0.05</v>
      </c>
      <c r="S1992">
        <v>0.05</v>
      </c>
      <c r="T1992">
        <v>0.05</v>
      </c>
      <c r="U1992">
        <v>0.05</v>
      </c>
      <c r="V1992">
        <v>0.05</v>
      </c>
      <c r="W1992">
        <v>0.05</v>
      </c>
      <c r="X1992">
        <v>0.1</v>
      </c>
      <c r="Y1992">
        <v>0.1</v>
      </c>
      <c r="Z1992">
        <v>0.1</v>
      </c>
      <c r="AA1992" t="s">
        <v>9335</v>
      </c>
      <c r="AB1992" t="s">
        <v>242</v>
      </c>
      <c r="AC1992" t="s">
        <v>3229</v>
      </c>
    </row>
    <row r="1993" spans="1:29" x14ac:dyDescent="0.25">
      <c r="A1993" t="s">
        <v>2183</v>
      </c>
      <c r="B1993" t="s">
        <v>252</v>
      </c>
      <c r="C1993" t="s">
        <v>323</v>
      </c>
      <c r="D1993" t="s">
        <v>3713</v>
      </c>
      <c r="E1993" t="s">
        <v>3761</v>
      </c>
      <c r="F1993">
        <v>10000000</v>
      </c>
      <c r="G1993" t="s">
        <v>9349</v>
      </c>
      <c r="H1993" t="s">
        <v>242</v>
      </c>
      <c r="I1993" t="s">
        <v>242</v>
      </c>
      <c r="J1993" t="s">
        <v>242</v>
      </c>
      <c r="K1993" t="s">
        <v>242</v>
      </c>
      <c r="L1993" t="s">
        <v>241</v>
      </c>
      <c r="M1993">
        <v>38.49626035</v>
      </c>
      <c r="N1993">
        <v>-122.73204200000001</v>
      </c>
      <c r="O1993">
        <v>3.443333333</v>
      </c>
      <c r="P1993">
        <v>3.443333333</v>
      </c>
      <c r="Q1993">
        <v>2.076666667</v>
      </c>
      <c r="R1993">
        <v>3.3333333E-2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 t="s">
        <v>9335</v>
      </c>
      <c r="AB1993" t="s">
        <v>242</v>
      </c>
      <c r="AC1993" t="s">
        <v>3229</v>
      </c>
    </row>
    <row r="1994" spans="1:29" x14ac:dyDescent="0.25">
      <c r="A1994" t="s">
        <v>2184</v>
      </c>
      <c r="B1994" t="s">
        <v>252</v>
      </c>
      <c r="C1994" t="s">
        <v>323</v>
      </c>
      <c r="D1994" t="s">
        <v>3713</v>
      </c>
      <c r="E1994" t="s">
        <v>3761</v>
      </c>
      <c r="F1994">
        <v>10000000</v>
      </c>
      <c r="G1994" t="s">
        <v>9349</v>
      </c>
      <c r="H1994" t="s">
        <v>242</v>
      </c>
      <c r="I1994" t="s">
        <v>242</v>
      </c>
      <c r="J1994" t="s">
        <v>242</v>
      </c>
      <c r="K1994" t="s">
        <v>242</v>
      </c>
      <c r="L1994" t="s">
        <v>241</v>
      </c>
      <c r="M1994">
        <v>38.490527159999999</v>
      </c>
      <c r="N1994">
        <v>-122.72674259999999</v>
      </c>
      <c r="O1994">
        <v>2.0459333E-2</v>
      </c>
      <c r="P1994">
        <v>2.0459333E-2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3.3333333E-2</v>
      </c>
      <c r="X1994">
        <v>3.3333333E-2</v>
      </c>
      <c r="Y1994">
        <v>3.3333333E-2</v>
      </c>
      <c r="Z1994">
        <v>0</v>
      </c>
      <c r="AA1994" t="s">
        <v>9342</v>
      </c>
      <c r="AB1994" t="s">
        <v>242</v>
      </c>
      <c r="AC1994" t="s">
        <v>3229</v>
      </c>
    </row>
    <row r="1995" spans="1:29" x14ac:dyDescent="0.25">
      <c r="A1995" t="s">
        <v>2185</v>
      </c>
      <c r="B1995" t="s">
        <v>252</v>
      </c>
      <c r="C1995" t="s">
        <v>323</v>
      </c>
      <c r="D1995" t="s">
        <v>3713</v>
      </c>
      <c r="E1995" t="s">
        <v>3761</v>
      </c>
      <c r="F1995">
        <v>10000000</v>
      </c>
      <c r="G1995" t="s">
        <v>9349</v>
      </c>
      <c r="H1995" t="s">
        <v>242</v>
      </c>
      <c r="I1995" t="s">
        <v>242</v>
      </c>
      <c r="J1995" t="s">
        <v>242</v>
      </c>
      <c r="K1995" t="s">
        <v>242</v>
      </c>
      <c r="L1995" t="s">
        <v>241</v>
      </c>
      <c r="M1995">
        <v>38.51131041</v>
      </c>
      <c r="N1995">
        <v>-122.6486682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 t="s">
        <v>9335</v>
      </c>
      <c r="AB1995" t="s">
        <v>242</v>
      </c>
      <c r="AC1995" t="s">
        <v>3229</v>
      </c>
    </row>
    <row r="1996" spans="1:29" x14ac:dyDescent="0.25">
      <c r="A1996" t="s">
        <v>1852</v>
      </c>
      <c r="B1996" t="s">
        <v>252</v>
      </c>
      <c r="C1996" t="s">
        <v>684</v>
      </c>
      <c r="D1996" t="s">
        <v>3713</v>
      </c>
      <c r="E1996" t="s">
        <v>3761</v>
      </c>
      <c r="F1996">
        <v>10000000</v>
      </c>
      <c r="G1996" t="s">
        <v>9349</v>
      </c>
      <c r="H1996" t="s">
        <v>241</v>
      </c>
      <c r="I1996" t="s">
        <v>242</v>
      </c>
      <c r="J1996" t="s">
        <v>242</v>
      </c>
      <c r="K1996" t="s">
        <v>242</v>
      </c>
      <c r="L1996" t="s">
        <v>241</v>
      </c>
      <c r="M1996">
        <v>38.517925599999998</v>
      </c>
      <c r="N1996">
        <v>-122.9779856</v>
      </c>
      <c r="O1996">
        <v>0</v>
      </c>
      <c r="P1996">
        <v>0</v>
      </c>
      <c r="Q1996">
        <v>0.91666666699999999</v>
      </c>
      <c r="R1996">
        <v>1.0333333330000001</v>
      </c>
      <c r="S1996">
        <v>0.83333333300000001</v>
      </c>
      <c r="T1996">
        <v>0.26666666700000002</v>
      </c>
      <c r="U1996">
        <v>0.1</v>
      </c>
      <c r="V1996">
        <v>0.33333333300000001</v>
      </c>
      <c r="W1996">
        <v>0.5</v>
      </c>
      <c r="X1996">
        <v>0.16666666699999999</v>
      </c>
      <c r="Y1996">
        <v>6.6666666999999999E-2</v>
      </c>
      <c r="Z1996">
        <v>0</v>
      </c>
      <c r="AA1996" t="s">
        <v>9335</v>
      </c>
      <c r="AB1996" t="s">
        <v>242</v>
      </c>
      <c r="AC1996" t="s">
        <v>3229</v>
      </c>
    </row>
    <row r="1997" spans="1:29" x14ac:dyDescent="0.25">
      <c r="A1997" t="s">
        <v>2203</v>
      </c>
      <c r="B1997" t="s">
        <v>252</v>
      </c>
      <c r="C1997" t="s">
        <v>684</v>
      </c>
      <c r="D1997" t="s">
        <v>3713</v>
      </c>
      <c r="E1997" t="s">
        <v>3761</v>
      </c>
      <c r="F1997">
        <v>10000000</v>
      </c>
      <c r="G1997" t="s">
        <v>9349</v>
      </c>
      <c r="H1997" t="s">
        <v>241</v>
      </c>
      <c r="I1997" t="s">
        <v>242</v>
      </c>
      <c r="J1997" t="s">
        <v>242</v>
      </c>
      <c r="K1997" t="s">
        <v>242</v>
      </c>
      <c r="L1997" t="s">
        <v>241</v>
      </c>
      <c r="M1997">
        <v>38.516949830000001</v>
      </c>
      <c r="N1997">
        <v>-122.97971990000001</v>
      </c>
      <c r="O1997">
        <v>0</v>
      </c>
      <c r="P1997">
        <v>0</v>
      </c>
      <c r="Q1997">
        <v>0.41666666699999999</v>
      </c>
      <c r="R1997">
        <v>0.66</v>
      </c>
      <c r="S1997">
        <v>0.85</v>
      </c>
      <c r="T1997">
        <v>0</v>
      </c>
      <c r="U1997">
        <v>0</v>
      </c>
      <c r="V1997">
        <v>0</v>
      </c>
      <c r="W1997">
        <v>0</v>
      </c>
      <c r="X1997">
        <v>0.22666666699999999</v>
      </c>
      <c r="Y1997">
        <v>0.33333333300000001</v>
      </c>
      <c r="Z1997">
        <v>0</v>
      </c>
      <c r="AA1997" t="s">
        <v>9335</v>
      </c>
      <c r="AB1997" t="s">
        <v>242</v>
      </c>
      <c r="AC1997" t="s">
        <v>3229</v>
      </c>
    </row>
    <row r="1998" spans="1:29" x14ac:dyDescent="0.25">
      <c r="A1998" t="s">
        <v>2187</v>
      </c>
      <c r="B1998" t="s">
        <v>252</v>
      </c>
      <c r="C1998" t="s">
        <v>352</v>
      </c>
      <c r="D1998" t="s">
        <v>3713</v>
      </c>
      <c r="E1998" t="s">
        <v>3761</v>
      </c>
      <c r="F1998">
        <v>10000000</v>
      </c>
      <c r="G1998" t="s">
        <v>9349</v>
      </c>
      <c r="H1998" t="s">
        <v>242</v>
      </c>
      <c r="I1998" t="s">
        <v>242</v>
      </c>
      <c r="J1998" t="s">
        <v>242</v>
      </c>
      <c r="K1998" t="s">
        <v>242</v>
      </c>
      <c r="L1998" t="s">
        <v>241</v>
      </c>
      <c r="M1998">
        <v>38.391643569999999</v>
      </c>
      <c r="N1998">
        <v>-122.8883336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 t="s">
        <v>9333</v>
      </c>
      <c r="AB1998" t="s">
        <v>242</v>
      </c>
      <c r="AC1998" t="s">
        <v>3229</v>
      </c>
    </row>
    <row r="1999" spans="1:29" x14ac:dyDescent="0.25">
      <c r="A1999" t="s">
        <v>2189</v>
      </c>
      <c r="B1999" t="s">
        <v>252</v>
      </c>
      <c r="C1999" t="s">
        <v>403</v>
      </c>
      <c r="D1999" t="s">
        <v>3713</v>
      </c>
      <c r="E1999" t="s">
        <v>3761</v>
      </c>
      <c r="F1999">
        <v>10000000</v>
      </c>
      <c r="G1999" t="s">
        <v>9349</v>
      </c>
      <c r="H1999" t="s">
        <v>242</v>
      </c>
      <c r="I1999" t="s">
        <v>242</v>
      </c>
      <c r="J1999" t="s">
        <v>242</v>
      </c>
      <c r="K1999" t="s">
        <v>242</v>
      </c>
      <c r="L1999" t="s">
        <v>241</v>
      </c>
      <c r="M1999">
        <v>38.417729199999997</v>
      </c>
      <c r="N1999">
        <v>-122.9574193</v>
      </c>
      <c r="O1999">
        <v>0.66666666699999999</v>
      </c>
      <c r="P1999">
        <v>0.33333333300000001</v>
      </c>
      <c r="Q1999">
        <v>0.33333333300000001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0.33333333300000001</v>
      </c>
      <c r="Z1999">
        <v>0.33333333300000001</v>
      </c>
      <c r="AA1999" t="s">
        <v>9335</v>
      </c>
      <c r="AB1999" t="s">
        <v>242</v>
      </c>
      <c r="AC1999" t="s">
        <v>3229</v>
      </c>
    </row>
    <row r="2000" spans="1:29" x14ac:dyDescent="0.25">
      <c r="A2000" t="s">
        <v>2264</v>
      </c>
      <c r="B2000" t="s">
        <v>252</v>
      </c>
      <c r="C2000" t="s">
        <v>394</v>
      </c>
      <c r="D2000" t="s">
        <v>3713</v>
      </c>
      <c r="E2000" t="s">
        <v>3761</v>
      </c>
      <c r="F2000">
        <v>10000000</v>
      </c>
      <c r="G2000" t="s">
        <v>9349</v>
      </c>
      <c r="H2000" t="s">
        <v>242</v>
      </c>
      <c r="I2000" t="s">
        <v>242</v>
      </c>
      <c r="J2000" t="s">
        <v>242</v>
      </c>
      <c r="K2000" t="s">
        <v>242</v>
      </c>
      <c r="L2000" t="s">
        <v>241</v>
      </c>
      <c r="M2000">
        <v>38.598255819999999</v>
      </c>
      <c r="N2000">
        <v>-122.9932585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0.16900599999999999</v>
      </c>
      <c r="U2000">
        <v>0.26475766699999997</v>
      </c>
      <c r="V2000">
        <v>0.435888</v>
      </c>
      <c r="W2000">
        <v>0.45065033300000001</v>
      </c>
      <c r="X2000">
        <v>0</v>
      </c>
      <c r="Y2000">
        <v>0</v>
      </c>
      <c r="Z2000">
        <v>0</v>
      </c>
      <c r="AA2000" t="s">
        <v>9335</v>
      </c>
      <c r="AB2000" t="s">
        <v>242</v>
      </c>
      <c r="AC2000" t="s">
        <v>3229</v>
      </c>
    </row>
    <row r="2001" spans="1:29" x14ac:dyDescent="0.25">
      <c r="A2001" t="s">
        <v>2192</v>
      </c>
      <c r="B2001" t="s">
        <v>252</v>
      </c>
      <c r="C2001" t="s">
        <v>352</v>
      </c>
      <c r="D2001" t="s">
        <v>3713</v>
      </c>
      <c r="E2001" t="s">
        <v>3761</v>
      </c>
      <c r="F2001">
        <v>10000000</v>
      </c>
      <c r="G2001" t="s">
        <v>9349</v>
      </c>
      <c r="H2001" t="s">
        <v>242</v>
      </c>
      <c r="I2001" t="s">
        <v>242</v>
      </c>
      <c r="J2001" t="s">
        <v>242</v>
      </c>
      <c r="K2001" t="s">
        <v>242</v>
      </c>
      <c r="L2001" t="s">
        <v>241</v>
      </c>
      <c r="M2001">
        <v>38.437077739999999</v>
      </c>
      <c r="N2001">
        <v>-122.88994479999999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 t="s">
        <v>9343</v>
      </c>
      <c r="AB2001" t="s">
        <v>242</v>
      </c>
      <c r="AC2001" t="s">
        <v>3229</v>
      </c>
    </row>
    <row r="2002" spans="1:29" x14ac:dyDescent="0.25">
      <c r="A2002" t="s">
        <v>2241</v>
      </c>
      <c r="B2002" t="s">
        <v>252</v>
      </c>
      <c r="C2002" t="s">
        <v>394</v>
      </c>
      <c r="D2002" t="s">
        <v>3713</v>
      </c>
      <c r="E2002" t="s">
        <v>3761</v>
      </c>
      <c r="F2002">
        <v>10000000</v>
      </c>
      <c r="G2002" t="s">
        <v>9349</v>
      </c>
      <c r="H2002" t="s">
        <v>242</v>
      </c>
      <c r="I2002" t="s">
        <v>242</v>
      </c>
      <c r="J2002" t="s">
        <v>242</v>
      </c>
      <c r="K2002" t="s">
        <v>242</v>
      </c>
      <c r="L2002" t="s">
        <v>241</v>
      </c>
      <c r="M2002">
        <v>38.617699999999999</v>
      </c>
      <c r="N2002">
        <v>-122.887</v>
      </c>
      <c r="O2002">
        <v>0</v>
      </c>
      <c r="P2002">
        <v>0</v>
      </c>
      <c r="Q2002">
        <v>0</v>
      </c>
      <c r="R2002">
        <v>3.3333333E-2</v>
      </c>
      <c r="S2002">
        <v>0</v>
      </c>
      <c r="T2002">
        <v>0.1</v>
      </c>
      <c r="U2002">
        <v>5.3666666669999996</v>
      </c>
      <c r="V2002">
        <v>1.0333333330000001</v>
      </c>
      <c r="W2002">
        <v>0.1</v>
      </c>
      <c r="X2002">
        <v>0</v>
      </c>
      <c r="Y2002">
        <v>0</v>
      </c>
      <c r="Z2002">
        <v>0</v>
      </c>
      <c r="AA2002" t="s">
        <v>9335</v>
      </c>
      <c r="AB2002" t="s">
        <v>242</v>
      </c>
      <c r="AC2002" t="s">
        <v>3229</v>
      </c>
    </row>
    <row r="2003" spans="1:29" x14ac:dyDescent="0.25">
      <c r="A2003" t="s">
        <v>2197</v>
      </c>
      <c r="B2003" t="s">
        <v>252</v>
      </c>
      <c r="C2003" t="s">
        <v>403</v>
      </c>
      <c r="D2003" t="s">
        <v>3713</v>
      </c>
      <c r="E2003" t="s">
        <v>3761</v>
      </c>
      <c r="F2003">
        <v>10000000</v>
      </c>
      <c r="G2003" t="s">
        <v>9349</v>
      </c>
      <c r="H2003" t="s">
        <v>242</v>
      </c>
      <c r="I2003" t="s">
        <v>242</v>
      </c>
      <c r="J2003" t="s">
        <v>242</v>
      </c>
      <c r="K2003" t="s">
        <v>242</v>
      </c>
      <c r="L2003" t="s">
        <v>241</v>
      </c>
      <c r="M2003">
        <v>38.551200000000001</v>
      </c>
      <c r="N2003">
        <v>-123.01900000000001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 t="s">
        <v>9333</v>
      </c>
      <c r="AB2003" t="s">
        <v>242</v>
      </c>
      <c r="AC2003" t="s">
        <v>3229</v>
      </c>
    </row>
    <row r="2004" spans="1:29" x14ac:dyDescent="0.25">
      <c r="A2004" t="s">
        <v>2686</v>
      </c>
      <c r="B2004" t="s">
        <v>252</v>
      </c>
      <c r="C2004" t="s">
        <v>684</v>
      </c>
      <c r="D2004" t="s">
        <v>3713</v>
      </c>
      <c r="E2004" t="s">
        <v>3761</v>
      </c>
      <c r="F2004">
        <v>10000000</v>
      </c>
      <c r="G2004" t="s">
        <v>9349</v>
      </c>
      <c r="H2004" t="s">
        <v>242</v>
      </c>
      <c r="I2004" t="s">
        <v>242</v>
      </c>
      <c r="J2004" t="s">
        <v>242</v>
      </c>
      <c r="K2004" t="s">
        <v>242</v>
      </c>
      <c r="L2004" t="s">
        <v>241</v>
      </c>
      <c r="M2004">
        <v>38.516199999999998</v>
      </c>
      <c r="N2004">
        <v>-122.93389999999999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 t="s">
        <v>9333</v>
      </c>
      <c r="AB2004" t="s">
        <v>242</v>
      </c>
      <c r="AC2004" t="s">
        <v>3229</v>
      </c>
    </row>
    <row r="2005" spans="1:29" x14ac:dyDescent="0.25">
      <c r="A2005" t="s">
        <v>2208</v>
      </c>
      <c r="B2005" t="s">
        <v>252</v>
      </c>
      <c r="C2005" t="s">
        <v>323</v>
      </c>
      <c r="D2005" t="s">
        <v>3713</v>
      </c>
      <c r="E2005" t="s">
        <v>3761</v>
      </c>
      <c r="F2005">
        <v>10000000</v>
      </c>
      <c r="G2005" t="s">
        <v>9349</v>
      </c>
      <c r="H2005" t="s">
        <v>242</v>
      </c>
      <c r="I2005" t="s">
        <v>242</v>
      </c>
      <c r="J2005" t="s">
        <v>242</v>
      </c>
      <c r="K2005" t="s">
        <v>242</v>
      </c>
      <c r="L2005" t="s">
        <v>241</v>
      </c>
      <c r="M2005">
        <v>38.518722769999997</v>
      </c>
      <c r="N2005">
        <v>-122.5978798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 t="s">
        <v>9335</v>
      </c>
      <c r="AB2005" t="s">
        <v>242</v>
      </c>
      <c r="AC2005" t="s">
        <v>3229</v>
      </c>
    </row>
    <row r="2006" spans="1:29" x14ac:dyDescent="0.25">
      <c r="A2006" t="s">
        <v>2212</v>
      </c>
      <c r="B2006" t="s">
        <v>252</v>
      </c>
      <c r="C2006" t="s">
        <v>323</v>
      </c>
      <c r="D2006" t="s">
        <v>3713</v>
      </c>
      <c r="E2006" t="s">
        <v>3761</v>
      </c>
      <c r="F2006">
        <v>10000000</v>
      </c>
      <c r="G2006" t="s">
        <v>9349</v>
      </c>
      <c r="H2006" t="s">
        <v>242</v>
      </c>
      <c r="I2006" t="s">
        <v>242</v>
      </c>
      <c r="J2006" t="s">
        <v>242</v>
      </c>
      <c r="K2006" t="s">
        <v>242</v>
      </c>
      <c r="L2006" t="s">
        <v>241</v>
      </c>
      <c r="M2006">
        <v>38.483702260000001</v>
      </c>
      <c r="N2006">
        <v>-122.82344639999999</v>
      </c>
      <c r="O2006">
        <v>0</v>
      </c>
      <c r="P2006">
        <v>3.3666666670000001</v>
      </c>
      <c r="Q2006">
        <v>2.1666666669999999</v>
      </c>
      <c r="R2006">
        <v>0.56666666700000001</v>
      </c>
      <c r="S2006">
        <v>0.233333333</v>
      </c>
      <c r="T2006">
        <v>0.63333333300000005</v>
      </c>
      <c r="U2006">
        <v>6.6666666999999999E-2</v>
      </c>
      <c r="V2006">
        <v>0.1</v>
      </c>
      <c r="W2006">
        <v>0.133333333</v>
      </c>
      <c r="X2006">
        <v>0</v>
      </c>
      <c r="Y2006">
        <v>0</v>
      </c>
      <c r="Z2006">
        <v>0</v>
      </c>
      <c r="AA2006" t="s">
        <v>9343</v>
      </c>
      <c r="AB2006" t="s">
        <v>242</v>
      </c>
      <c r="AC2006" t="s">
        <v>3229</v>
      </c>
    </row>
    <row r="2007" spans="1:29" x14ac:dyDescent="0.25">
      <c r="A2007" t="s">
        <v>2233</v>
      </c>
      <c r="B2007" t="s">
        <v>252</v>
      </c>
      <c r="C2007" t="s">
        <v>323</v>
      </c>
      <c r="D2007" t="s">
        <v>3713</v>
      </c>
      <c r="E2007" t="s">
        <v>3761</v>
      </c>
      <c r="F2007">
        <v>10000000</v>
      </c>
      <c r="G2007" t="s">
        <v>9349</v>
      </c>
      <c r="H2007" t="s">
        <v>242</v>
      </c>
      <c r="I2007" t="s">
        <v>242</v>
      </c>
      <c r="J2007" t="s">
        <v>242</v>
      </c>
      <c r="K2007" t="s">
        <v>242</v>
      </c>
      <c r="L2007" t="s">
        <v>241</v>
      </c>
      <c r="M2007">
        <v>38.496000870000003</v>
      </c>
      <c r="N2007">
        <v>-122.8051663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 t="s">
        <v>9343</v>
      </c>
      <c r="AB2007" t="s">
        <v>242</v>
      </c>
      <c r="AC2007" t="s">
        <v>3229</v>
      </c>
    </row>
    <row r="2008" spans="1:29" x14ac:dyDescent="0.25">
      <c r="A2008" t="s">
        <v>2397</v>
      </c>
      <c r="B2008" t="s">
        <v>252</v>
      </c>
      <c r="C2008" t="s">
        <v>394</v>
      </c>
      <c r="D2008" t="s">
        <v>3713</v>
      </c>
      <c r="E2008" t="s">
        <v>3761</v>
      </c>
      <c r="F2008">
        <v>10000000</v>
      </c>
      <c r="G2008" t="s">
        <v>9349</v>
      </c>
      <c r="H2008" t="s">
        <v>242</v>
      </c>
      <c r="I2008" t="s">
        <v>242</v>
      </c>
      <c r="J2008" t="s">
        <v>242</v>
      </c>
      <c r="K2008" t="s">
        <v>242</v>
      </c>
      <c r="L2008" t="s">
        <v>241</v>
      </c>
      <c r="M2008">
        <v>38.583499969999998</v>
      </c>
      <c r="N2008">
        <v>-122.88766939999999</v>
      </c>
      <c r="O2008">
        <v>1.6372332999999999E-2</v>
      </c>
      <c r="P2008">
        <v>1.6372332999999999E-2</v>
      </c>
      <c r="Q2008">
        <v>1.6372332999999999E-2</v>
      </c>
      <c r="R2008">
        <v>1.6372332999999999E-2</v>
      </c>
      <c r="S2008">
        <v>8.1861666999999999E-2</v>
      </c>
      <c r="T2008">
        <v>8.1861666999999999E-2</v>
      </c>
      <c r="U2008">
        <v>8.1861666999999999E-2</v>
      </c>
      <c r="V2008">
        <v>8.1861666999999999E-2</v>
      </c>
      <c r="W2008">
        <v>8.1861666999999999E-2</v>
      </c>
      <c r="X2008">
        <v>8.1861666999999999E-2</v>
      </c>
      <c r="Y2008">
        <v>1.6372332999999999E-2</v>
      </c>
      <c r="Z2008">
        <v>1.6372332999999999E-2</v>
      </c>
      <c r="AA2008" t="s">
        <v>9335</v>
      </c>
      <c r="AB2008" t="s">
        <v>242</v>
      </c>
      <c r="AC2008" t="s">
        <v>3229</v>
      </c>
    </row>
    <row r="2009" spans="1:29" x14ac:dyDescent="0.25">
      <c r="A2009" t="s">
        <v>2243</v>
      </c>
      <c r="B2009" t="s">
        <v>252</v>
      </c>
      <c r="C2009" t="s">
        <v>394</v>
      </c>
      <c r="D2009" t="s">
        <v>3713</v>
      </c>
      <c r="E2009" t="s">
        <v>3761</v>
      </c>
      <c r="F2009">
        <v>10000000</v>
      </c>
      <c r="G2009" t="s">
        <v>9349</v>
      </c>
      <c r="H2009" t="s">
        <v>242</v>
      </c>
      <c r="I2009" t="s">
        <v>242</v>
      </c>
      <c r="J2009" t="s">
        <v>242</v>
      </c>
      <c r="K2009" t="s">
        <v>242</v>
      </c>
      <c r="L2009" t="s">
        <v>241</v>
      </c>
      <c r="M2009">
        <v>38.625500000000002</v>
      </c>
      <c r="N2009">
        <v>-122.89239999999999</v>
      </c>
      <c r="O2009">
        <v>0</v>
      </c>
      <c r="P2009">
        <v>5.1103000000000003E-2</v>
      </c>
      <c r="Q2009">
        <v>4.7056332999999999E-2</v>
      </c>
      <c r="R2009">
        <v>0.159582</v>
      </c>
      <c r="S2009">
        <v>0.34632766700000001</v>
      </c>
      <c r="T2009">
        <v>0.40758233300000002</v>
      </c>
      <c r="U2009">
        <v>0.885235667</v>
      </c>
      <c r="V2009">
        <v>0.99314100000000005</v>
      </c>
      <c r="W2009">
        <v>1.087593</v>
      </c>
      <c r="X2009">
        <v>0.129406667</v>
      </c>
      <c r="Y2009">
        <v>7.1903330000000001E-3</v>
      </c>
      <c r="Z2009">
        <v>0</v>
      </c>
      <c r="AA2009" t="s">
        <v>9335</v>
      </c>
      <c r="AB2009" t="s">
        <v>242</v>
      </c>
      <c r="AC2009" t="s">
        <v>3229</v>
      </c>
    </row>
    <row r="2010" spans="1:29" x14ac:dyDescent="0.25">
      <c r="A2010" t="s">
        <v>2592</v>
      </c>
      <c r="B2010" t="s">
        <v>252</v>
      </c>
      <c r="C2010" t="s">
        <v>394</v>
      </c>
      <c r="D2010" t="s">
        <v>3713</v>
      </c>
      <c r="E2010" t="s">
        <v>3761</v>
      </c>
      <c r="F2010">
        <v>10000000</v>
      </c>
      <c r="G2010" t="s">
        <v>9349</v>
      </c>
      <c r="H2010" t="s">
        <v>242</v>
      </c>
      <c r="I2010" t="s">
        <v>242</v>
      </c>
      <c r="J2010" t="s">
        <v>242</v>
      </c>
      <c r="K2010" t="s">
        <v>242</v>
      </c>
      <c r="L2010" t="s">
        <v>241</v>
      </c>
      <c r="M2010">
        <v>38.625399999999999</v>
      </c>
      <c r="N2010">
        <v>-122.8922</v>
      </c>
      <c r="O2010">
        <v>0</v>
      </c>
      <c r="P2010">
        <v>0.44492199999999998</v>
      </c>
      <c r="Q2010">
        <v>0.32223299999999999</v>
      </c>
      <c r="R2010">
        <v>0</v>
      </c>
      <c r="S2010">
        <v>5.0000000000000001E-3</v>
      </c>
      <c r="T2010">
        <v>5.0000000000000001E-4</v>
      </c>
      <c r="U2010">
        <v>0</v>
      </c>
      <c r="V2010">
        <v>0</v>
      </c>
      <c r="W2010">
        <v>0</v>
      </c>
      <c r="X2010">
        <v>3.0061999999999998E-2</v>
      </c>
      <c r="Y2010">
        <v>0</v>
      </c>
      <c r="Z2010">
        <v>0</v>
      </c>
      <c r="AA2010" t="s">
        <v>9343</v>
      </c>
      <c r="AB2010" t="s">
        <v>242</v>
      </c>
      <c r="AC2010" t="s">
        <v>3229</v>
      </c>
    </row>
    <row r="2011" spans="1:29" x14ac:dyDescent="0.25">
      <c r="A2011" t="s">
        <v>2247</v>
      </c>
      <c r="B2011" t="s">
        <v>252</v>
      </c>
      <c r="C2011" t="s">
        <v>394</v>
      </c>
      <c r="D2011" t="s">
        <v>3713</v>
      </c>
      <c r="E2011" t="s">
        <v>3761</v>
      </c>
      <c r="F2011">
        <v>10000000</v>
      </c>
      <c r="G2011" t="s">
        <v>9349</v>
      </c>
      <c r="H2011" t="s">
        <v>242</v>
      </c>
      <c r="I2011" t="s">
        <v>242</v>
      </c>
      <c r="J2011" t="s">
        <v>242</v>
      </c>
      <c r="K2011" t="s">
        <v>242</v>
      </c>
      <c r="L2011" t="s">
        <v>241</v>
      </c>
      <c r="M2011">
        <v>38.614899999999999</v>
      </c>
      <c r="N2011">
        <v>-122.8877</v>
      </c>
      <c r="O2011">
        <v>0</v>
      </c>
      <c r="P2011">
        <v>0.109470333</v>
      </c>
      <c r="Q2011">
        <v>3.0460000000000001E-3</v>
      </c>
      <c r="R2011">
        <v>0.158559333</v>
      </c>
      <c r="S2011">
        <v>0.26691700000000002</v>
      </c>
      <c r="T2011">
        <v>0.30126866699999999</v>
      </c>
      <c r="U2011">
        <v>0.88102133299999996</v>
      </c>
      <c r="V2011">
        <v>0.94035299999999999</v>
      </c>
      <c r="W2011">
        <v>1.3392710000000001</v>
      </c>
      <c r="X2011">
        <v>1.2609E-2</v>
      </c>
      <c r="Y2011">
        <v>2.61E-4</v>
      </c>
      <c r="Z2011">
        <v>0</v>
      </c>
      <c r="AA2011" t="s">
        <v>9343</v>
      </c>
      <c r="AB2011" t="s">
        <v>242</v>
      </c>
      <c r="AC2011" t="s">
        <v>3229</v>
      </c>
    </row>
    <row r="2012" spans="1:29" x14ac:dyDescent="0.25">
      <c r="A2012" t="s">
        <v>2250</v>
      </c>
      <c r="B2012" t="s">
        <v>252</v>
      </c>
      <c r="C2012" t="s">
        <v>394</v>
      </c>
      <c r="D2012" t="s">
        <v>3713</v>
      </c>
      <c r="E2012" t="s">
        <v>3761</v>
      </c>
      <c r="F2012">
        <v>10000000</v>
      </c>
      <c r="G2012" t="s">
        <v>9349</v>
      </c>
      <c r="H2012" t="s">
        <v>242</v>
      </c>
      <c r="I2012" t="s">
        <v>242</v>
      </c>
      <c r="J2012" t="s">
        <v>242</v>
      </c>
      <c r="K2012" t="s">
        <v>242</v>
      </c>
      <c r="L2012" t="s">
        <v>241</v>
      </c>
      <c r="M2012">
        <v>38.647399999999998</v>
      </c>
      <c r="N2012">
        <v>-122.9186</v>
      </c>
      <c r="O2012">
        <v>0</v>
      </c>
      <c r="P2012">
        <v>6.1299999999999999E-5</v>
      </c>
      <c r="Q2012">
        <v>4.6666670000000002E-3</v>
      </c>
      <c r="R2012">
        <v>2.291333E-3</v>
      </c>
      <c r="S2012">
        <v>3.33333E-4</v>
      </c>
      <c r="T2012">
        <v>0.57745533299999996</v>
      </c>
      <c r="U2012">
        <v>0.42307566699999999</v>
      </c>
      <c r="V2012">
        <v>0.82019399999999998</v>
      </c>
      <c r="W2012">
        <v>0.72386600000000001</v>
      </c>
      <c r="X2012">
        <v>6.6666700000000002E-4</v>
      </c>
      <c r="Y2012">
        <v>0</v>
      </c>
      <c r="Z2012">
        <v>0</v>
      </c>
      <c r="AA2012" t="s">
        <v>9335</v>
      </c>
      <c r="AB2012" t="s">
        <v>242</v>
      </c>
      <c r="AC2012" t="s">
        <v>3229</v>
      </c>
    </row>
    <row r="2013" spans="1:29" x14ac:dyDescent="0.25">
      <c r="A2013" t="s">
        <v>2242</v>
      </c>
      <c r="B2013" t="s">
        <v>252</v>
      </c>
      <c r="C2013" t="s">
        <v>394</v>
      </c>
      <c r="D2013" t="s">
        <v>3713</v>
      </c>
      <c r="E2013" t="s">
        <v>3761</v>
      </c>
      <c r="F2013">
        <v>10000000</v>
      </c>
      <c r="G2013" t="s">
        <v>9349</v>
      </c>
      <c r="H2013" t="s">
        <v>242</v>
      </c>
      <c r="I2013" t="s">
        <v>242</v>
      </c>
      <c r="J2013" t="s">
        <v>242</v>
      </c>
      <c r="K2013" t="s">
        <v>242</v>
      </c>
      <c r="L2013" t="s">
        <v>241</v>
      </c>
      <c r="M2013">
        <v>38.650199999999998</v>
      </c>
      <c r="N2013">
        <v>-122.9281</v>
      </c>
      <c r="O2013">
        <v>0.5</v>
      </c>
      <c r="P2013">
        <v>0.5</v>
      </c>
      <c r="Q2013">
        <v>0.5</v>
      </c>
      <c r="R2013">
        <v>0.5</v>
      </c>
      <c r="S2013">
        <v>0.5</v>
      </c>
      <c r="T2013">
        <v>1</v>
      </c>
      <c r="U2013">
        <v>1</v>
      </c>
      <c r="V2013">
        <v>1</v>
      </c>
      <c r="W2013">
        <v>1</v>
      </c>
      <c r="X2013">
        <v>0.5</v>
      </c>
      <c r="Y2013">
        <v>0.5</v>
      </c>
      <c r="Z2013">
        <v>0.5</v>
      </c>
      <c r="AA2013" t="s">
        <v>9335</v>
      </c>
      <c r="AB2013" t="s">
        <v>242</v>
      </c>
      <c r="AC2013" t="s">
        <v>3229</v>
      </c>
    </row>
    <row r="2014" spans="1:29" x14ac:dyDescent="0.25">
      <c r="A2014" t="s">
        <v>2265</v>
      </c>
      <c r="B2014" t="s">
        <v>252</v>
      </c>
      <c r="C2014" t="s">
        <v>394</v>
      </c>
      <c r="D2014" t="s">
        <v>3713</v>
      </c>
      <c r="E2014" t="s">
        <v>3761</v>
      </c>
      <c r="F2014">
        <v>10000000</v>
      </c>
      <c r="G2014" t="s">
        <v>9349</v>
      </c>
      <c r="H2014" t="s">
        <v>242</v>
      </c>
      <c r="I2014" t="s">
        <v>242</v>
      </c>
      <c r="J2014" t="s">
        <v>242</v>
      </c>
      <c r="K2014" t="s">
        <v>242</v>
      </c>
      <c r="L2014" t="s">
        <v>241</v>
      </c>
      <c r="M2014">
        <v>38.639699999999998</v>
      </c>
      <c r="N2014">
        <v>-122.90730000000001</v>
      </c>
      <c r="O2014">
        <v>0</v>
      </c>
      <c r="P2014">
        <v>0.78959066700000002</v>
      </c>
      <c r="Q2014">
        <v>0.32527899999999998</v>
      </c>
      <c r="R2014">
        <v>3.5803666999999997E-2</v>
      </c>
      <c r="S2014">
        <v>0.26949733300000001</v>
      </c>
      <c r="T2014">
        <v>3.0699999999999998E-3</v>
      </c>
      <c r="U2014">
        <v>0.33243466700000002</v>
      </c>
      <c r="V2014">
        <v>0.392605333</v>
      </c>
      <c r="W2014">
        <v>0.91232733300000002</v>
      </c>
      <c r="X2014">
        <v>2.6603667000000001E-2</v>
      </c>
      <c r="Y2014">
        <v>0</v>
      </c>
      <c r="Z2014">
        <v>0</v>
      </c>
      <c r="AA2014" t="s">
        <v>9335</v>
      </c>
      <c r="AB2014" t="s">
        <v>242</v>
      </c>
      <c r="AC2014" t="s">
        <v>3229</v>
      </c>
    </row>
    <row r="2015" spans="1:29" x14ac:dyDescent="0.25">
      <c r="A2015" t="s">
        <v>2254</v>
      </c>
      <c r="B2015" t="s">
        <v>252</v>
      </c>
      <c r="C2015" t="s">
        <v>394</v>
      </c>
      <c r="D2015" t="s">
        <v>3713</v>
      </c>
      <c r="E2015" t="s">
        <v>3761</v>
      </c>
      <c r="F2015">
        <v>10000000</v>
      </c>
      <c r="G2015" t="s">
        <v>9349</v>
      </c>
      <c r="H2015" t="s">
        <v>242</v>
      </c>
      <c r="I2015" t="s">
        <v>242</v>
      </c>
      <c r="J2015" t="s">
        <v>242</v>
      </c>
      <c r="K2015" t="s">
        <v>242</v>
      </c>
      <c r="L2015" t="s">
        <v>241</v>
      </c>
      <c r="M2015">
        <v>38.625799999999998</v>
      </c>
      <c r="N2015">
        <v>-122.8877</v>
      </c>
      <c r="O2015">
        <v>0</v>
      </c>
      <c r="P2015">
        <v>1.7229667000000001E-2</v>
      </c>
      <c r="Q2015">
        <v>0</v>
      </c>
      <c r="R2015">
        <v>0</v>
      </c>
      <c r="S2015">
        <v>0</v>
      </c>
      <c r="T2015">
        <v>6.6554000000000002E-2</v>
      </c>
      <c r="U2015">
        <v>0.31250366699999998</v>
      </c>
      <c r="V2015">
        <v>0.55635100000000004</v>
      </c>
      <c r="W2015">
        <v>1.6970133329999999</v>
      </c>
      <c r="X2015">
        <v>0.28473566700000003</v>
      </c>
      <c r="Y2015">
        <v>2.6013329999999999E-3</v>
      </c>
      <c r="Z2015">
        <v>0</v>
      </c>
      <c r="AA2015" t="s">
        <v>9335</v>
      </c>
      <c r="AB2015" t="s">
        <v>242</v>
      </c>
      <c r="AC2015" t="s">
        <v>3229</v>
      </c>
    </row>
    <row r="2016" spans="1:29" x14ac:dyDescent="0.25">
      <c r="A2016" t="s">
        <v>2603</v>
      </c>
      <c r="B2016" t="s">
        <v>252</v>
      </c>
      <c r="C2016" t="s">
        <v>394</v>
      </c>
      <c r="D2016" t="s">
        <v>3713</v>
      </c>
      <c r="E2016" t="s">
        <v>3761</v>
      </c>
      <c r="F2016">
        <v>10000000</v>
      </c>
      <c r="G2016" t="s">
        <v>9349</v>
      </c>
      <c r="H2016" t="s">
        <v>242</v>
      </c>
      <c r="I2016" t="s">
        <v>242</v>
      </c>
      <c r="J2016" t="s">
        <v>242</v>
      </c>
      <c r="K2016" t="s">
        <v>242</v>
      </c>
      <c r="L2016" t="s">
        <v>241</v>
      </c>
      <c r="M2016">
        <v>38.624400000000001</v>
      </c>
      <c r="N2016">
        <v>-122.88930000000001</v>
      </c>
      <c r="O2016">
        <v>0</v>
      </c>
      <c r="P2016">
        <v>5.2166699999999996E-4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 t="s">
        <v>9343</v>
      </c>
      <c r="AB2016" t="s">
        <v>242</v>
      </c>
      <c r="AC2016" t="s">
        <v>3229</v>
      </c>
    </row>
    <row r="2017" spans="1:29" x14ac:dyDescent="0.25">
      <c r="A2017" t="s">
        <v>2606</v>
      </c>
      <c r="B2017" t="s">
        <v>252</v>
      </c>
      <c r="C2017" t="s">
        <v>394</v>
      </c>
      <c r="D2017" t="s">
        <v>3713</v>
      </c>
      <c r="E2017" t="s">
        <v>3761</v>
      </c>
      <c r="F2017">
        <v>10000000</v>
      </c>
      <c r="G2017" t="s">
        <v>9349</v>
      </c>
      <c r="H2017" t="s">
        <v>242</v>
      </c>
      <c r="I2017" t="s">
        <v>242</v>
      </c>
      <c r="J2017" t="s">
        <v>242</v>
      </c>
      <c r="K2017" t="s">
        <v>242</v>
      </c>
      <c r="L2017" t="s">
        <v>241</v>
      </c>
      <c r="M2017">
        <v>38.642800000000001</v>
      </c>
      <c r="N2017">
        <v>-122.9105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 t="s">
        <v>9343</v>
      </c>
      <c r="AB2017" t="s">
        <v>242</v>
      </c>
      <c r="AC2017" t="s">
        <v>3229</v>
      </c>
    </row>
    <row r="2018" spans="1:29" x14ac:dyDescent="0.25">
      <c r="A2018" t="s">
        <v>2245</v>
      </c>
      <c r="B2018" t="s">
        <v>252</v>
      </c>
      <c r="C2018" t="s">
        <v>394</v>
      </c>
      <c r="D2018" t="s">
        <v>3713</v>
      </c>
      <c r="E2018" t="s">
        <v>3761</v>
      </c>
      <c r="F2018">
        <v>10000000</v>
      </c>
      <c r="G2018" t="s">
        <v>9349</v>
      </c>
      <c r="H2018" t="s">
        <v>242</v>
      </c>
      <c r="I2018" t="s">
        <v>242</v>
      </c>
      <c r="J2018" t="s">
        <v>242</v>
      </c>
      <c r="K2018" t="s">
        <v>242</v>
      </c>
      <c r="L2018" t="s">
        <v>241</v>
      </c>
      <c r="M2018">
        <v>38.643099999999997</v>
      </c>
      <c r="N2018">
        <v>-122.91079999999999</v>
      </c>
      <c r="O2018">
        <v>0</v>
      </c>
      <c r="P2018">
        <v>6.6666670000000003E-3</v>
      </c>
      <c r="Q2018">
        <v>0</v>
      </c>
      <c r="R2018">
        <v>0</v>
      </c>
      <c r="S2018">
        <v>7.3333333000000001E-2</v>
      </c>
      <c r="T2018">
        <v>0.267250667</v>
      </c>
      <c r="U2018">
        <v>0.50432299999999997</v>
      </c>
      <c r="V2018">
        <v>0.95888899999999999</v>
      </c>
      <c r="W2018">
        <v>0.34332699999999999</v>
      </c>
      <c r="X2018">
        <v>2.0698332999999999E-2</v>
      </c>
      <c r="Y2018">
        <v>0</v>
      </c>
      <c r="Z2018">
        <v>0</v>
      </c>
      <c r="AA2018" t="s">
        <v>9335</v>
      </c>
      <c r="AB2018" t="s">
        <v>242</v>
      </c>
      <c r="AC2018" t="s">
        <v>3229</v>
      </c>
    </row>
    <row r="2019" spans="1:29" x14ac:dyDescent="0.25">
      <c r="A2019" t="s">
        <v>2375</v>
      </c>
      <c r="B2019" t="s">
        <v>252</v>
      </c>
      <c r="C2019" t="s">
        <v>489</v>
      </c>
      <c r="D2019" t="s">
        <v>3713</v>
      </c>
      <c r="E2019" t="s">
        <v>3761</v>
      </c>
      <c r="F2019">
        <v>10000000</v>
      </c>
      <c r="G2019" t="s">
        <v>9349</v>
      </c>
      <c r="H2019" t="s">
        <v>242</v>
      </c>
      <c r="I2019" t="s">
        <v>242</v>
      </c>
      <c r="J2019" t="s">
        <v>242</v>
      </c>
      <c r="K2019" t="s">
        <v>242</v>
      </c>
      <c r="L2019" t="s">
        <v>241</v>
      </c>
      <c r="M2019">
        <v>38.668199999999999</v>
      </c>
      <c r="N2019">
        <v>-122.9387</v>
      </c>
      <c r="O2019">
        <v>0</v>
      </c>
      <c r="P2019">
        <v>0</v>
      </c>
      <c r="Q2019">
        <v>0.105339</v>
      </c>
      <c r="R2019">
        <v>0.26359900000000003</v>
      </c>
      <c r="S2019">
        <v>0.25536500000000001</v>
      </c>
      <c r="T2019">
        <v>0.418991</v>
      </c>
      <c r="U2019">
        <v>0.36751466700000002</v>
      </c>
      <c r="V2019">
        <v>0.557152333</v>
      </c>
      <c r="W2019">
        <v>0.72868366699999998</v>
      </c>
      <c r="X2019">
        <v>8.0814667000000007E-2</v>
      </c>
      <c r="Y2019">
        <v>3.2274333000000002E-2</v>
      </c>
      <c r="Z2019">
        <v>0</v>
      </c>
      <c r="AA2019" t="s">
        <v>9335</v>
      </c>
      <c r="AB2019" t="s">
        <v>242</v>
      </c>
      <c r="AC2019" t="s">
        <v>3229</v>
      </c>
    </row>
    <row r="2020" spans="1:29" x14ac:dyDescent="0.25">
      <c r="A2020" t="s">
        <v>2644</v>
      </c>
      <c r="B2020" t="s">
        <v>252</v>
      </c>
      <c r="C2020" t="s">
        <v>394</v>
      </c>
      <c r="D2020" t="s">
        <v>3713</v>
      </c>
      <c r="E2020" t="s">
        <v>3761</v>
      </c>
      <c r="F2020">
        <v>10000000</v>
      </c>
      <c r="G2020" t="s">
        <v>9349</v>
      </c>
      <c r="H2020" t="s">
        <v>242</v>
      </c>
      <c r="I2020" t="s">
        <v>242</v>
      </c>
      <c r="J2020" t="s">
        <v>242</v>
      </c>
      <c r="K2020" t="s">
        <v>242</v>
      </c>
      <c r="L2020" t="s">
        <v>241</v>
      </c>
      <c r="M2020">
        <v>38.627000000000002</v>
      </c>
      <c r="N2020">
        <v>-122.8959</v>
      </c>
      <c r="O2020">
        <v>0</v>
      </c>
      <c r="P2020">
        <v>3.7880333000000002E-2</v>
      </c>
      <c r="Q2020">
        <v>0.317994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0.32230466699999999</v>
      </c>
      <c r="Z2020">
        <v>0</v>
      </c>
      <c r="AA2020" t="s">
        <v>9343</v>
      </c>
      <c r="AB2020" t="s">
        <v>242</v>
      </c>
      <c r="AC2020" t="s">
        <v>3229</v>
      </c>
    </row>
    <row r="2021" spans="1:29" x14ac:dyDescent="0.25">
      <c r="A2021" t="s">
        <v>2252</v>
      </c>
      <c r="B2021" t="s">
        <v>252</v>
      </c>
      <c r="C2021" t="s">
        <v>394</v>
      </c>
      <c r="D2021" t="s">
        <v>3713</v>
      </c>
      <c r="E2021" t="s">
        <v>3761</v>
      </c>
      <c r="F2021">
        <v>10000000</v>
      </c>
      <c r="G2021" t="s">
        <v>9349</v>
      </c>
      <c r="H2021" t="s">
        <v>242</v>
      </c>
      <c r="I2021" t="s">
        <v>242</v>
      </c>
      <c r="J2021" t="s">
        <v>242</v>
      </c>
      <c r="K2021" t="s">
        <v>242</v>
      </c>
      <c r="L2021" t="s">
        <v>241</v>
      </c>
      <c r="M2021">
        <v>38.626800000000003</v>
      </c>
      <c r="N2021">
        <v>-122.8956</v>
      </c>
      <c r="O2021">
        <v>0</v>
      </c>
      <c r="P2021">
        <v>4.0792666999999998E-2</v>
      </c>
      <c r="Q2021">
        <v>1.023E-3</v>
      </c>
      <c r="R2021">
        <v>7.4676332999999998E-2</v>
      </c>
      <c r="S2021">
        <v>4.1714332999999999E-2</v>
      </c>
      <c r="T2021">
        <v>8.0286667000000006E-2</v>
      </c>
      <c r="U2021">
        <v>0.53553600000000001</v>
      </c>
      <c r="V2021">
        <v>0.782462667</v>
      </c>
      <c r="W2021">
        <v>1.2842960000000001</v>
      </c>
      <c r="X2021">
        <v>3.5230000000000001E-3</v>
      </c>
      <c r="Y2021">
        <v>0</v>
      </c>
      <c r="Z2021">
        <v>0</v>
      </c>
      <c r="AA2021" t="s">
        <v>9335</v>
      </c>
      <c r="AB2021" t="s">
        <v>242</v>
      </c>
      <c r="AC2021" t="s">
        <v>3229</v>
      </c>
    </row>
    <row r="2022" spans="1:29" x14ac:dyDescent="0.25">
      <c r="A2022" t="s">
        <v>2253</v>
      </c>
      <c r="B2022" t="s">
        <v>252</v>
      </c>
      <c r="C2022" t="s">
        <v>394</v>
      </c>
      <c r="D2022" t="s">
        <v>3713</v>
      </c>
      <c r="E2022" t="s">
        <v>3761</v>
      </c>
      <c r="F2022">
        <v>10000000</v>
      </c>
      <c r="G2022" t="s">
        <v>9349</v>
      </c>
      <c r="H2022" t="s">
        <v>242</v>
      </c>
      <c r="I2022" t="s">
        <v>242</v>
      </c>
      <c r="J2022" t="s">
        <v>242</v>
      </c>
      <c r="K2022" t="s">
        <v>242</v>
      </c>
      <c r="L2022" t="s">
        <v>241</v>
      </c>
      <c r="M2022">
        <v>38.612699999999997</v>
      </c>
      <c r="N2022">
        <v>-122.8865</v>
      </c>
      <c r="O2022">
        <v>0</v>
      </c>
      <c r="P2022">
        <v>0.182111</v>
      </c>
      <c r="Q2022">
        <v>0.16867399999999999</v>
      </c>
      <c r="R2022">
        <v>0.179018333</v>
      </c>
      <c r="S2022">
        <v>0.237289</v>
      </c>
      <c r="T2022">
        <v>0.17045533299999999</v>
      </c>
      <c r="U2022">
        <v>0.60387199999999996</v>
      </c>
      <c r="V2022">
        <v>0.59361466699999998</v>
      </c>
      <c r="W2022">
        <v>1.4867189999999999</v>
      </c>
      <c r="X2022">
        <v>0.28270699999999999</v>
      </c>
      <c r="Y2022">
        <v>0</v>
      </c>
      <c r="Z2022">
        <v>0</v>
      </c>
      <c r="AA2022" t="s">
        <v>9335</v>
      </c>
      <c r="AB2022" t="s">
        <v>242</v>
      </c>
      <c r="AC2022" t="s">
        <v>3229</v>
      </c>
    </row>
    <row r="2023" spans="1:29" x14ac:dyDescent="0.25">
      <c r="A2023" t="s">
        <v>2645</v>
      </c>
      <c r="B2023" t="s">
        <v>252</v>
      </c>
      <c r="C2023" t="s">
        <v>394</v>
      </c>
      <c r="D2023" t="s">
        <v>3713</v>
      </c>
      <c r="E2023" t="s">
        <v>3761</v>
      </c>
      <c r="F2023">
        <v>10000000</v>
      </c>
      <c r="G2023" t="s">
        <v>9349</v>
      </c>
      <c r="H2023" t="s">
        <v>242</v>
      </c>
      <c r="I2023" t="s">
        <v>242</v>
      </c>
      <c r="J2023" t="s">
        <v>242</v>
      </c>
      <c r="K2023" t="s">
        <v>242</v>
      </c>
      <c r="L2023" t="s">
        <v>241</v>
      </c>
      <c r="M2023">
        <v>38.611699999999999</v>
      </c>
      <c r="N2023">
        <v>-122.8862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 t="s">
        <v>9343</v>
      </c>
      <c r="AB2023" t="s">
        <v>242</v>
      </c>
      <c r="AC2023" t="s">
        <v>3229</v>
      </c>
    </row>
    <row r="2024" spans="1:29" x14ac:dyDescent="0.25">
      <c r="A2024" t="s">
        <v>2495</v>
      </c>
      <c r="B2024" t="s">
        <v>252</v>
      </c>
      <c r="C2024" t="s">
        <v>489</v>
      </c>
      <c r="D2024" t="s">
        <v>3713</v>
      </c>
      <c r="E2024" t="s">
        <v>3761</v>
      </c>
      <c r="F2024">
        <v>10000000</v>
      </c>
      <c r="G2024" t="s">
        <v>9349</v>
      </c>
      <c r="H2024" t="s">
        <v>242</v>
      </c>
      <c r="I2024" t="s">
        <v>242</v>
      </c>
      <c r="J2024" t="s">
        <v>242</v>
      </c>
      <c r="K2024" t="s">
        <v>242</v>
      </c>
      <c r="L2024" t="s">
        <v>241</v>
      </c>
      <c r="M2024">
        <v>38.668799999999997</v>
      </c>
      <c r="N2024">
        <v>-122.9391</v>
      </c>
      <c r="O2024">
        <v>0</v>
      </c>
      <c r="P2024">
        <v>0.108560667</v>
      </c>
      <c r="Q2024">
        <v>6.5469666999999995E-2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1.7999999999999999E-2</v>
      </c>
      <c r="X2024">
        <v>0.33839066699999998</v>
      </c>
      <c r="Y2024">
        <v>0.29948866699999999</v>
      </c>
      <c r="Z2024">
        <v>0</v>
      </c>
      <c r="AA2024" t="s">
        <v>9343</v>
      </c>
      <c r="AB2024" t="s">
        <v>242</v>
      </c>
      <c r="AC2024" t="s">
        <v>3229</v>
      </c>
    </row>
    <row r="2025" spans="1:29" x14ac:dyDescent="0.25">
      <c r="A2025" t="s">
        <v>2267</v>
      </c>
      <c r="B2025" t="s">
        <v>252</v>
      </c>
      <c r="C2025" t="s">
        <v>489</v>
      </c>
      <c r="D2025" t="s">
        <v>3713</v>
      </c>
      <c r="E2025" t="s">
        <v>3761</v>
      </c>
      <c r="F2025">
        <v>10000000</v>
      </c>
      <c r="G2025" t="s">
        <v>9349</v>
      </c>
      <c r="H2025" t="s">
        <v>242</v>
      </c>
      <c r="I2025" t="s">
        <v>242</v>
      </c>
      <c r="J2025" t="s">
        <v>242</v>
      </c>
      <c r="K2025" t="s">
        <v>242</v>
      </c>
      <c r="L2025" t="s">
        <v>241</v>
      </c>
      <c r="M2025">
        <v>38.668599999999998</v>
      </c>
      <c r="N2025">
        <v>-122.93899999999999</v>
      </c>
      <c r="O2025">
        <v>0</v>
      </c>
      <c r="P2025">
        <v>0</v>
      </c>
      <c r="Q2025">
        <v>3.9462667E-2</v>
      </c>
      <c r="R2025">
        <v>3.2462667000000001E-2</v>
      </c>
      <c r="S2025">
        <v>0.220216667</v>
      </c>
      <c r="T2025">
        <v>0.19342899999999999</v>
      </c>
      <c r="U2025">
        <v>0.23631366700000001</v>
      </c>
      <c r="V2025">
        <v>0.68498000000000003</v>
      </c>
      <c r="W2025">
        <v>0.462391</v>
      </c>
      <c r="X2025">
        <v>0.191121333</v>
      </c>
      <c r="Y2025">
        <v>0</v>
      </c>
      <c r="Z2025">
        <v>0</v>
      </c>
      <c r="AA2025" t="s">
        <v>9335</v>
      </c>
      <c r="AB2025" t="s">
        <v>242</v>
      </c>
      <c r="AC2025" t="s">
        <v>3229</v>
      </c>
    </row>
    <row r="2026" spans="1:29" x14ac:dyDescent="0.25">
      <c r="A2026" t="s">
        <v>2390</v>
      </c>
      <c r="B2026" t="s">
        <v>252</v>
      </c>
      <c r="C2026" t="s">
        <v>394</v>
      </c>
      <c r="D2026" t="s">
        <v>3713</v>
      </c>
      <c r="E2026" t="s">
        <v>3761</v>
      </c>
      <c r="F2026">
        <v>10000000</v>
      </c>
      <c r="G2026" t="s">
        <v>9349</v>
      </c>
      <c r="H2026" t="s">
        <v>242</v>
      </c>
      <c r="I2026" t="s">
        <v>242</v>
      </c>
      <c r="J2026" t="s">
        <v>242</v>
      </c>
      <c r="K2026" t="s">
        <v>242</v>
      </c>
      <c r="L2026" t="s">
        <v>241</v>
      </c>
      <c r="M2026">
        <v>38.624499999999998</v>
      </c>
      <c r="N2026">
        <v>-122.88500000000001</v>
      </c>
      <c r="O2026">
        <v>0</v>
      </c>
      <c r="P2026">
        <v>5.0999999999999997E-2</v>
      </c>
      <c r="Q2026">
        <v>6.9560000000000004E-3</v>
      </c>
      <c r="R2026">
        <v>4.0920000000000002E-3</v>
      </c>
      <c r="S2026">
        <v>8.8666667000000005E-2</v>
      </c>
      <c r="T2026">
        <v>0.21440899999999999</v>
      </c>
      <c r="U2026">
        <v>0.25842999999999999</v>
      </c>
      <c r="V2026">
        <v>0.24112166700000001</v>
      </c>
      <c r="W2026">
        <v>0.24647266700000001</v>
      </c>
      <c r="X2026">
        <v>0.30641800000000002</v>
      </c>
      <c r="Y2026">
        <v>4.7211666999999999E-2</v>
      </c>
      <c r="Z2026">
        <v>0</v>
      </c>
      <c r="AA2026" t="s">
        <v>9335</v>
      </c>
      <c r="AB2026" t="s">
        <v>242</v>
      </c>
      <c r="AC2026" t="s">
        <v>3229</v>
      </c>
    </row>
    <row r="2027" spans="1:29" x14ac:dyDescent="0.25">
      <c r="A2027" t="s">
        <v>2647</v>
      </c>
      <c r="B2027" t="s">
        <v>252</v>
      </c>
      <c r="C2027" t="s">
        <v>394</v>
      </c>
      <c r="D2027" t="s">
        <v>3713</v>
      </c>
      <c r="E2027" t="s">
        <v>3761</v>
      </c>
      <c r="F2027">
        <v>10000000</v>
      </c>
      <c r="G2027" t="s">
        <v>9349</v>
      </c>
      <c r="H2027" t="s">
        <v>242</v>
      </c>
      <c r="I2027" t="s">
        <v>242</v>
      </c>
      <c r="J2027" t="s">
        <v>242</v>
      </c>
      <c r="K2027" t="s">
        <v>242</v>
      </c>
      <c r="L2027" t="s">
        <v>241</v>
      </c>
      <c r="M2027">
        <v>38.629399999999997</v>
      </c>
      <c r="N2027">
        <v>-122.8874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3.33333E-4</v>
      </c>
      <c r="Y2027">
        <v>0</v>
      </c>
      <c r="Z2027">
        <v>0</v>
      </c>
      <c r="AA2027" t="s">
        <v>9335</v>
      </c>
      <c r="AB2027" t="s">
        <v>242</v>
      </c>
      <c r="AC2027" t="s">
        <v>3229</v>
      </c>
    </row>
    <row r="2028" spans="1:29" x14ac:dyDescent="0.25">
      <c r="A2028" t="s">
        <v>2700</v>
      </c>
      <c r="B2028" t="s">
        <v>252</v>
      </c>
      <c r="C2028" t="s">
        <v>394</v>
      </c>
      <c r="D2028" t="s">
        <v>3713</v>
      </c>
      <c r="E2028" t="s">
        <v>3761</v>
      </c>
      <c r="F2028">
        <v>10000000</v>
      </c>
      <c r="G2028" t="s">
        <v>9349</v>
      </c>
      <c r="H2028" t="s">
        <v>242</v>
      </c>
      <c r="I2028" t="s">
        <v>242</v>
      </c>
      <c r="J2028" t="s">
        <v>242</v>
      </c>
      <c r="K2028" t="s">
        <v>242</v>
      </c>
      <c r="L2028" t="s">
        <v>241</v>
      </c>
      <c r="M2028">
        <v>38.651200000000003</v>
      </c>
      <c r="N2028">
        <v>-122.9271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 t="s">
        <v>9340</v>
      </c>
      <c r="AB2028" t="s">
        <v>242</v>
      </c>
      <c r="AC2028" t="s">
        <v>3229</v>
      </c>
    </row>
    <row r="2029" spans="1:29" x14ac:dyDescent="0.25">
      <c r="A2029" t="s">
        <v>2439</v>
      </c>
      <c r="B2029" t="s">
        <v>252</v>
      </c>
      <c r="C2029" t="s">
        <v>394</v>
      </c>
      <c r="D2029" t="s">
        <v>3713</v>
      </c>
      <c r="E2029" t="s">
        <v>3761</v>
      </c>
      <c r="F2029">
        <v>10000000</v>
      </c>
      <c r="G2029" t="s">
        <v>9349</v>
      </c>
      <c r="H2029" t="s">
        <v>242</v>
      </c>
      <c r="I2029" t="s">
        <v>242</v>
      </c>
      <c r="J2029" t="s">
        <v>242</v>
      </c>
      <c r="K2029" t="s">
        <v>242</v>
      </c>
      <c r="L2029" t="s">
        <v>241</v>
      </c>
      <c r="M2029">
        <v>38.651400000000002</v>
      </c>
      <c r="N2029">
        <v>-122.9286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3.0333333000000001E-2</v>
      </c>
      <c r="U2029">
        <v>3.9333332999999998E-2</v>
      </c>
      <c r="V2029">
        <v>3.4000000000000002E-2</v>
      </c>
      <c r="W2029">
        <v>1.4999999999999999E-2</v>
      </c>
      <c r="X2029">
        <v>0.34</v>
      </c>
      <c r="Y2029">
        <v>0</v>
      </c>
      <c r="Z2029">
        <v>0</v>
      </c>
      <c r="AA2029" t="s">
        <v>9335</v>
      </c>
      <c r="AB2029" t="s">
        <v>242</v>
      </c>
      <c r="AC2029" t="s">
        <v>3229</v>
      </c>
    </row>
    <row r="2030" spans="1:29" x14ac:dyDescent="0.25">
      <c r="A2030" t="s">
        <v>2248</v>
      </c>
      <c r="B2030" t="s">
        <v>252</v>
      </c>
      <c r="C2030" t="s">
        <v>394</v>
      </c>
      <c r="D2030" t="s">
        <v>3713</v>
      </c>
      <c r="E2030" t="s">
        <v>3761</v>
      </c>
      <c r="F2030">
        <v>10000000</v>
      </c>
      <c r="G2030" t="s">
        <v>9349</v>
      </c>
      <c r="H2030" t="s">
        <v>242</v>
      </c>
      <c r="I2030" t="s">
        <v>242</v>
      </c>
      <c r="J2030" t="s">
        <v>242</v>
      </c>
      <c r="K2030" t="s">
        <v>242</v>
      </c>
      <c r="L2030" t="s">
        <v>241</v>
      </c>
      <c r="M2030">
        <v>38.651299999999999</v>
      </c>
      <c r="N2030">
        <v>-122.9268</v>
      </c>
      <c r="O2030">
        <v>0</v>
      </c>
      <c r="P2030">
        <v>0</v>
      </c>
      <c r="Q2030">
        <v>0.100389667</v>
      </c>
      <c r="R2030">
        <v>0</v>
      </c>
      <c r="S2030">
        <v>0.16918666700000001</v>
      </c>
      <c r="T2030">
        <v>0.18319733299999999</v>
      </c>
      <c r="U2030">
        <v>0.36125800000000002</v>
      </c>
      <c r="V2030">
        <v>0.88832299999999997</v>
      </c>
      <c r="W2030">
        <v>0.65494766699999996</v>
      </c>
      <c r="X2030">
        <v>0.11275300000000001</v>
      </c>
      <c r="Y2030">
        <v>0</v>
      </c>
      <c r="Z2030">
        <v>0</v>
      </c>
      <c r="AA2030" t="s">
        <v>9335</v>
      </c>
      <c r="AB2030" t="s">
        <v>242</v>
      </c>
      <c r="AC2030" t="s">
        <v>3229</v>
      </c>
    </row>
    <row r="2031" spans="1:29" x14ac:dyDescent="0.25">
      <c r="A2031" t="s">
        <v>2235</v>
      </c>
      <c r="B2031" t="s">
        <v>252</v>
      </c>
      <c r="C2031" t="s">
        <v>394</v>
      </c>
      <c r="D2031" t="s">
        <v>3713</v>
      </c>
      <c r="E2031" t="s">
        <v>3761</v>
      </c>
      <c r="F2031">
        <v>10000000</v>
      </c>
      <c r="G2031" t="s">
        <v>9349</v>
      </c>
      <c r="H2031" t="s">
        <v>242</v>
      </c>
      <c r="I2031" t="s">
        <v>242</v>
      </c>
      <c r="J2031" t="s">
        <v>242</v>
      </c>
      <c r="K2031" t="s">
        <v>242</v>
      </c>
      <c r="L2031" t="s">
        <v>241</v>
      </c>
      <c r="M2031">
        <v>38.6511</v>
      </c>
      <c r="N2031">
        <v>-122.9284</v>
      </c>
      <c r="O2031">
        <v>0</v>
      </c>
      <c r="P2031">
        <v>0</v>
      </c>
      <c r="Q2031">
        <v>6.5140000000000003E-2</v>
      </c>
      <c r="R2031">
        <v>5.5137667000000001E-2</v>
      </c>
      <c r="S2031">
        <v>1.32422</v>
      </c>
      <c r="T2031">
        <v>0.18515300000000001</v>
      </c>
      <c r="U2031">
        <v>1.6703809999999999</v>
      </c>
      <c r="V2031">
        <v>1.1857249999999999</v>
      </c>
      <c r="W2031">
        <v>0.113446667</v>
      </c>
      <c r="X2031">
        <v>0</v>
      </c>
      <c r="Y2031">
        <v>0</v>
      </c>
      <c r="Z2031">
        <v>0</v>
      </c>
      <c r="AA2031" t="s">
        <v>9335</v>
      </c>
      <c r="AB2031" t="s">
        <v>242</v>
      </c>
      <c r="AC2031" t="s">
        <v>3229</v>
      </c>
    </row>
    <row r="2032" spans="1:29" x14ac:dyDescent="0.25">
      <c r="A2032" t="s">
        <v>2378</v>
      </c>
      <c r="B2032" t="s">
        <v>252</v>
      </c>
      <c r="C2032" t="s">
        <v>489</v>
      </c>
      <c r="D2032" t="s">
        <v>3713</v>
      </c>
      <c r="E2032" t="s">
        <v>3761</v>
      </c>
      <c r="F2032">
        <v>10000000</v>
      </c>
      <c r="G2032" t="s">
        <v>9349</v>
      </c>
      <c r="H2032" t="s">
        <v>242</v>
      </c>
      <c r="I2032" t="s">
        <v>242</v>
      </c>
      <c r="J2032" t="s">
        <v>242</v>
      </c>
      <c r="K2032" t="s">
        <v>242</v>
      </c>
      <c r="L2032" t="s">
        <v>241</v>
      </c>
      <c r="M2032">
        <v>38.654699999999998</v>
      </c>
      <c r="N2032">
        <v>-122.9251</v>
      </c>
      <c r="O2032">
        <v>0</v>
      </c>
      <c r="P2032">
        <v>0</v>
      </c>
      <c r="Q2032">
        <v>5.0000000000000001E-3</v>
      </c>
      <c r="R2032">
        <v>0</v>
      </c>
      <c r="S2032">
        <v>0.14481333299999999</v>
      </c>
      <c r="T2032">
        <v>0.114188333</v>
      </c>
      <c r="U2032">
        <v>0.35318033300000001</v>
      </c>
      <c r="V2032">
        <v>0.368979</v>
      </c>
      <c r="W2032">
        <v>0.70104833300000002</v>
      </c>
      <c r="X2032">
        <v>0.15568599999999999</v>
      </c>
      <c r="Y2032">
        <v>1.01333E-4</v>
      </c>
      <c r="Z2032">
        <v>0</v>
      </c>
      <c r="AA2032" t="s">
        <v>9335</v>
      </c>
      <c r="AB2032" t="s">
        <v>242</v>
      </c>
      <c r="AC2032" t="s">
        <v>3229</v>
      </c>
    </row>
    <row r="2033" spans="1:29" x14ac:dyDescent="0.25">
      <c r="A2033" t="s">
        <v>2270</v>
      </c>
      <c r="B2033" t="s">
        <v>252</v>
      </c>
      <c r="C2033" t="s">
        <v>352</v>
      </c>
      <c r="D2033" t="s">
        <v>3713</v>
      </c>
      <c r="E2033" t="s">
        <v>3761</v>
      </c>
      <c r="F2033">
        <v>10000000</v>
      </c>
      <c r="G2033" t="s">
        <v>9349</v>
      </c>
      <c r="H2033" t="s">
        <v>242</v>
      </c>
      <c r="I2033" t="s">
        <v>242</v>
      </c>
      <c r="J2033" t="s">
        <v>242</v>
      </c>
      <c r="K2033" t="s">
        <v>242</v>
      </c>
      <c r="L2033" t="s">
        <v>241</v>
      </c>
      <c r="M2033">
        <v>38.378900000000002</v>
      </c>
      <c r="N2033">
        <v>-122.892</v>
      </c>
      <c r="O2033">
        <v>2.4127666999999998E-2</v>
      </c>
      <c r="P2033">
        <v>2.4127666999999998E-2</v>
      </c>
      <c r="Q2033">
        <v>2.4127666999999998E-2</v>
      </c>
      <c r="R2033">
        <v>2.4127666999999998E-2</v>
      </c>
      <c r="S2033">
        <v>2.4127666999999998E-2</v>
      </c>
      <c r="T2033">
        <v>2.4127666999999998E-2</v>
      </c>
      <c r="U2033">
        <v>2.4127666999999998E-2</v>
      </c>
      <c r="V2033">
        <v>2.4127666999999998E-2</v>
      </c>
      <c r="W2033">
        <v>2.4127666999999998E-2</v>
      </c>
      <c r="X2033">
        <v>2.4127666999999998E-2</v>
      </c>
      <c r="Y2033">
        <v>2.4127666999999998E-2</v>
      </c>
      <c r="Z2033">
        <v>2.4127666999999998E-2</v>
      </c>
      <c r="AA2033" t="s">
        <v>9333</v>
      </c>
      <c r="AB2033" t="s">
        <v>242</v>
      </c>
      <c r="AC2033" t="s">
        <v>3229</v>
      </c>
    </row>
    <row r="2034" spans="1:29" x14ac:dyDescent="0.25">
      <c r="A2034" t="s">
        <v>2275</v>
      </c>
      <c r="B2034" t="s">
        <v>252</v>
      </c>
      <c r="C2034" t="s">
        <v>352</v>
      </c>
      <c r="D2034" t="s">
        <v>3713</v>
      </c>
      <c r="E2034" t="s">
        <v>3761</v>
      </c>
      <c r="F2034">
        <v>10000000</v>
      </c>
      <c r="G2034" t="s">
        <v>9349</v>
      </c>
      <c r="H2034" t="s">
        <v>241</v>
      </c>
      <c r="I2034" t="s">
        <v>242</v>
      </c>
      <c r="J2034" t="s">
        <v>242</v>
      </c>
      <c r="K2034" t="s">
        <v>242</v>
      </c>
      <c r="L2034" t="s">
        <v>241</v>
      </c>
      <c r="M2034">
        <v>38.518300000000004</v>
      </c>
      <c r="N2034">
        <v>-122.8826</v>
      </c>
      <c r="O2034">
        <v>0</v>
      </c>
      <c r="P2034">
        <v>0.16666666699999999</v>
      </c>
      <c r="Q2034">
        <v>1.9</v>
      </c>
      <c r="R2034">
        <v>0.133333333</v>
      </c>
      <c r="S2034">
        <v>0</v>
      </c>
      <c r="T2034">
        <v>0</v>
      </c>
      <c r="U2034">
        <v>0</v>
      </c>
      <c r="V2034">
        <v>1.8</v>
      </c>
      <c r="W2034">
        <v>0.4</v>
      </c>
      <c r="X2034">
        <v>1.1000000000000001</v>
      </c>
      <c r="Y2034">
        <v>0.56666666700000001</v>
      </c>
      <c r="Z2034">
        <v>0</v>
      </c>
      <c r="AA2034" t="s">
        <v>9335</v>
      </c>
      <c r="AB2034" t="s">
        <v>242</v>
      </c>
      <c r="AC2034" t="s">
        <v>3229</v>
      </c>
    </row>
    <row r="2035" spans="1:29" x14ac:dyDescent="0.25">
      <c r="A2035" t="s">
        <v>2276</v>
      </c>
      <c r="B2035" t="s">
        <v>252</v>
      </c>
      <c r="C2035" t="s">
        <v>323</v>
      </c>
      <c r="D2035" t="s">
        <v>3713</v>
      </c>
      <c r="E2035" t="s">
        <v>3761</v>
      </c>
      <c r="F2035">
        <v>10000000</v>
      </c>
      <c r="G2035" t="s">
        <v>9349</v>
      </c>
      <c r="H2035" t="s">
        <v>242</v>
      </c>
      <c r="I2035" t="s">
        <v>242</v>
      </c>
      <c r="J2035" t="s">
        <v>242</v>
      </c>
      <c r="K2035" t="s">
        <v>242</v>
      </c>
      <c r="L2035" t="s">
        <v>241</v>
      </c>
      <c r="M2035">
        <v>38.4893</v>
      </c>
      <c r="N2035">
        <v>-122.7991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 t="s">
        <v>9343</v>
      </c>
      <c r="AB2035" t="s">
        <v>242</v>
      </c>
      <c r="AC2035" t="s">
        <v>3229</v>
      </c>
    </row>
    <row r="2036" spans="1:29" x14ac:dyDescent="0.25">
      <c r="A2036" t="s">
        <v>2287</v>
      </c>
      <c r="B2036" t="s">
        <v>252</v>
      </c>
      <c r="C2036" t="s">
        <v>314</v>
      </c>
      <c r="D2036" t="s">
        <v>3713</v>
      </c>
      <c r="E2036" t="s">
        <v>3761</v>
      </c>
      <c r="F2036">
        <v>10000000</v>
      </c>
      <c r="G2036" t="s">
        <v>9349</v>
      </c>
      <c r="H2036" t="s">
        <v>242</v>
      </c>
      <c r="I2036" t="s">
        <v>242</v>
      </c>
      <c r="J2036" t="s">
        <v>242</v>
      </c>
      <c r="K2036" t="s">
        <v>242</v>
      </c>
      <c r="L2036" t="s">
        <v>241</v>
      </c>
      <c r="M2036">
        <v>38.756</v>
      </c>
      <c r="N2036">
        <v>-123.1143</v>
      </c>
      <c r="O2036">
        <v>8.2760000000000004E-3</v>
      </c>
      <c r="P2036">
        <v>6.8026670000000001E-3</v>
      </c>
      <c r="Q2036">
        <v>1.7964000000000001E-2</v>
      </c>
      <c r="R2036">
        <v>1.6142332999999998E-2</v>
      </c>
      <c r="S2036">
        <v>4.1573332999999997E-2</v>
      </c>
      <c r="T2036">
        <v>1.4699667E-2</v>
      </c>
      <c r="U2036">
        <v>2.0183E-2</v>
      </c>
      <c r="V2036">
        <v>2.0223999999999999E-2</v>
      </c>
      <c r="W2036">
        <v>1.4914667E-2</v>
      </c>
      <c r="X2036">
        <v>1.5457E-2</v>
      </c>
      <c r="Y2036">
        <v>9.206667E-3</v>
      </c>
      <c r="Z2036">
        <v>7.9023329999999992E-3</v>
      </c>
      <c r="AA2036" t="s">
        <v>9335</v>
      </c>
      <c r="AB2036" t="s">
        <v>242</v>
      </c>
      <c r="AC2036" t="s">
        <v>3229</v>
      </c>
    </row>
    <row r="2037" spans="1:29" x14ac:dyDescent="0.25">
      <c r="A2037" t="s">
        <v>2291</v>
      </c>
      <c r="B2037" t="s">
        <v>252</v>
      </c>
      <c r="C2037" t="s">
        <v>486</v>
      </c>
      <c r="D2037" t="s">
        <v>3713</v>
      </c>
      <c r="E2037" t="s">
        <v>3761</v>
      </c>
      <c r="F2037">
        <v>10000000</v>
      </c>
      <c r="G2037" t="s">
        <v>9349</v>
      </c>
      <c r="H2037" t="s">
        <v>241</v>
      </c>
      <c r="I2037" t="s">
        <v>242</v>
      </c>
      <c r="J2037" t="s">
        <v>242</v>
      </c>
      <c r="K2037" t="s">
        <v>242</v>
      </c>
      <c r="L2037" t="s">
        <v>241</v>
      </c>
      <c r="M2037">
        <v>38.545099999999998</v>
      </c>
      <c r="N2037">
        <v>-122.85899999999999</v>
      </c>
      <c r="O2037">
        <v>0</v>
      </c>
      <c r="P2037">
        <v>0</v>
      </c>
      <c r="Q2037">
        <v>0</v>
      </c>
      <c r="R2037">
        <v>0.63333333300000005</v>
      </c>
      <c r="S2037">
        <v>0</v>
      </c>
      <c r="T2037">
        <v>0.233333333</v>
      </c>
      <c r="U2037">
        <v>0.63333333300000005</v>
      </c>
      <c r="V2037">
        <v>0.366666667</v>
      </c>
      <c r="W2037">
        <v>0</v>
      </c>
      <c r="X2037">
        <v>0</v>
      </c>
      <c r="Y2037">
        <v>0</v>
      </c>
      <c r="Z2037">
        <v>0</v>
      </c>
      <c r="AA2037" t="s">
        <v>9335</v>
      </c>
      <c r="AB2037" t="s">
        <v>242</v>
      </c>
      <c r="AC2037" t="s">
        <v>3229</v>
      </c>
    </row>
    <row r="2038" spans="1:29" x14ac:dyDescent="0.25">
      <c r="A2038" t="s">
        <v>2292</v>
      </c>
      <c r="B2038" t="s">
        <v>252</v>
      </c>
      <c r="C2038" t="s">
        <v>486</v>
      </c>
      <c r="D2038" t="s">
        <v>3713</v>
      </c>
      <c r="E2038" t="s">
        <v>3761</v>
      </c>
      <c r="F2038">
        <v>10000000</v>
      </c>
      <c r="G2038" t="s">
        <v>9349</v>
      </c>
      <c r="H2038" t="s">
        <v>241</v>
      </c>
      <c r="I2038" t="s">
        <v>242</v>
      </c>
      <c r="J2038" t="s">
        <v>242</v>
      </c>
      <c r="K2038" t="s">
        <v>242</v>
      </c>
      <c r="L2038" t="s">
        <v>241</v>
      </c>
      <c r="M2038">
        <v>38.542400000000001</v>
      </c>
      <c r="N2038">
        <v>-122.8596</v>
      </c>
      <c r="O2038">
        <v>0</v>
      </c>
      <c r="P2038">
        <v>0</v>
      </c>
      <c r="Q2038">
        <v>0</v>
      </c>
      <c r="R2038">
        <v>0.16666666699999999</v>
      </c>
      <c r="S2038">
        <v>1.8666666670000001</v>
      </c>
      <c r="T2038">
        <v>2.2000000000000002</v>
      </c>
      <c r="U2038">
        <v>2.4333333330000002</v>
      </c>
      <c r="V2038">
        <v>3.4</v>
      </c>
      <c r="W2038">
        <v>1.4666666669999999</v>
      </c>
      <c r="X2038">
        <v>0.1</v>
      </c>
      <c r="Y2038">
        <v>0</v>
      </c>
      <c r="Z2038">
        <v>0</v>
      </c>
      <c r="AA2038" t="s">
        <v>9335</v>
      </c>
      <c r="AB2038" t="s">
        <v>242</v>
      </c>
      <c r="AC2038" t="s">
        <v>3229</v>
      </c>
    </row>
    <row r="2039" spans="1:29" x14ac:dyDescent="0.25">
      <c r="A2039" t="s">
        <v>2293</v>
      </c>
      <c r="B2039" t="s">
        <v>252</v>
      </c>
      <c r="C2039" t="s">
        <v>323</v>
      </c>
      <c r="D2039" t="s">
        <v>3713</v>
      </c>
      <c r="E2039" t="s">
        <v>3761</v>
      </c>
      <c r="F2039">
        <v>10000000</v>
      </c>
      <c r="G2039" t="s">
        <v>9349</v>
      </c>
      <c r="H2039" t="s">
        <v>242</v>
      </c>
      <c r="I2039" t="s">
        <v>242</v>
      </c>
      <c r="J2039" t="s">
        <v>242</v>
      </c>
      <c r="K2039" t="s">
        <v>242</v>
      </c>
      <c r="L2039" t="s">
        <v>241</v>
      </c>
      <c r="M2039">
        <v>38.494100000000003</v>
      </c>
      <c r="N2039">
        <v>-122.8747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 t="s">
        <v>9335</v>
      </c>
      <c r="AB2039" t="s">
        <v>242</v>
      </c>
      <c r="AC2039" t="s">
        <v>3229</v>
      </c>
    </row>
    <row r="2040" spans="1:29" x14ac:dyDescent="0.25">
      <c r="A2040" t="s">
        <v>2294</v>
      </c>
      <c r="B2040" t="s">
        <v>252</v>
      </c>
      <c r="C2040" t="s">
        <v>323</v>
      </c>
      <c r="D2040" t="s">
        <v>3713</v>
      </c>
      <c r="E2040" t="s">
        <v>3761</v>
      </c>
      <c r="F2040">
        <v>10000000</v>
      </c>
      <c r="G2040" t="s">
        <v>9349</v>
      </c>
      <c r="H2040" t="s">
        <v>242</v>
      </c>
      <c r="I2040" t="s">
        <v>242</v>
      </c>
      <c r="J2040" t="s">
        <v>242</v>
      </c>
      <c r="K2040" t="s">
        <v>242</v>
      </c>
      <c r="L2040" t="s">
        <v>241</v>
      </c>
      <c r="M2040">
        <v>38.492800000000003</v>
      </c>
      <c r="N2040">
        <v>-122.8862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 t="s">
        <v>9335</v>
      </c>
      <c r="AB2040" t="s">
        <v>242</v>
      </c>
      <c r="AC2040" t="s">
        <v>3229</v>
      </c>
    </row>
    <row r="2041" spans="1:29" x14ac:dyDescent="0.25">
      <c r="A2041" t="s">
        <v>2295</v>
      </c>
      <c r="B2041" t="s">
        <v>252</v>
      </c>
      <c r="C2041" t="s">
        <v>352</v>
      </c>
      <c r="D2041" t="s">
        <v>3713</v>
      </c>
      <c r="E2041" t="s">
        <v>3761</v>
      </c>
      <c r="F2041">
        <v>10000000</v>
      </c>
      <c r="G2041" t="s">
        <v>9349</v>
      </c>
      <c r="H2041" t="s">
        <v>241</v>
      </c>
      <c r="I2041" t="s">
        <v>242</v>
      </c>
      <c r="J2041" t="s">
        <v>242</v>
      </c>
      <c r="K2041" t="s">
        <v>242</v>
      </c>
      <c r="L2041" t="s">
        <v>241</v>
      </c>
      <c r="M2041">
        <v>38.496000000000002</v>
      </c>
      <c r="N2041">
        <v>-122.8877</v>
      </c>
      <c r="O2041">
        <v>0</v>
      </c>
      <c r="P2041">
        <v>0.16666666699999999</v>
      </c>
      <c r="Q2041">
        <v>0.8</v>
      </c>
      <c r="R2041">
        <v>3.3333333E-2</v>
      </c>
      <c r="S2041">
        <v>0</v>
      </c>
      <c r="T2041">
        <v>0</v>
      </c>
      <c r="U2041">
        <v>0</v>
      </c>
      <c r="V2041">
        <v>0</v>
      </c>
      <c r="W2041">
        <v>1.266666667</v>
      </c>
      <c r="X2041">
        <v>0.8</v>
      </c>
      <c r="Y2041">
        <v>0.9</v>
      </c>
      <c r="Z2041">
        <v>0</v>
      </c>
      <c r="AA2041" t="s">
        <v>9335</v>
      </c>
      <c r="AB2041" t="s">
        <v>242</v>
      </c>
      <c r="AC2041" t="s">
        <v>3229</v>
      </c>
    </row>
    <row r="2042" spans="1:29" x14ac:dyDescent="0.25">
      <c r="A2042" t="s">
        <v>2296</v>
      </c>
      <c r="B2042" t="s">
        <v>252</v>
      </c>
      <c r="C2042" t="s">
        <v>352</v>
      </c>
      <c r="D2042" t="s">
        <v>3713</v>
      </c>
      <c r="E2042" t="s">
        <v>3761</v>
      </c>
      <c r="F2042">
        <v>10000000</v>
      </c>
      <c r="G2042" t="s">
        <v>9349</v>
      </c>
      <c r="H2042" t="s">
        <v>241</v>
      </c>
      <c r="I2042" t="s">
        <v>242</v>
      </c>
      <c r="J2042" t="s">
        <v>242</v>
      </c>
      <c r="K2042" t="s">
        <v>242</v>
      </c>
      <c r="L2042" t="s">
        <v>241</v>
      </c>
      <c r="M2042">
        <v>38.498800000000003</v>
      </c>
      <c r="N2042">
        <v>-122.88330000000001</v>
      </c>
      <c r="O2042">
        <v>0</v>
      </c>
      <c r="P2042">
        <v>3.3333333E-2</v>
      </c>
      <c r="Q2042">
        <v>0</v>
      </c>
      <c r="R2042">
        <v>0.2</v>
      </c>
      <c r="S2042">
        <v>0</v>
      </c>
      <c r="T2042">
        <v>0</v>
      </c>
      <c r="U2042">
        <v>0</v>
      </c>
      <c r="V2042">
        <v>0</v>
      </c>
      <c r="W2042">
        <v>2.8333333330000001</v>
      </c>
      <c r="X2042">
        <v>2.6333333329999999</v>
      </c>
      <c r="Y2042">
        <v>1.266666667</v>
      </c>
      <c r="Z2042">
        <v>0</v>
      </c>
      <c r="AA2042" t="s">
        <v>9335</v>
      </c>
      <c r="AB2042" t="s">
        <v>242</v>
      </c>
      <c r="AC2042" t="s">
        <v>3229</v>
      </c>
    </row>
    <row r="2043" spans="1:29" x14ac:dyDescent="0.25">
      <c r="A2043" t="s">
        <v>2297</v>
      </c>
      <c r="B2043" t="s">
        <v>252</v>
      </c>
      <c r="C2043" t="s">
        <v>352</v>
      </c>
      <c r="D2043" t="s">
        <v>3713</v>
      </c>
      <c r="E2043" t="s">
        <v>3761</v>
      </c>
      <c r="F2043">
        <v>10000000</v>
      </c>
      <c r="G2043" t="s">
        <v>9349</v>
      </c>
      <c r="H2043" t="s">
        <v>241</v>
      </c>
      <c r="I2043" t="s">
        <v>242</v>
      </c>
      <c r="J2043" t="s">
        <v>242</v>
      </c>
      <c r="K2043" t="s">
        <v>242</v>
      </c>
      <c r="L2043" t="s">
        <v>241</v>
      </c>
      <c r="M2043">
        <v>38.498899999999999</v>
      </c>
      <c r="N2043">
        <v>-122.8847</v>
      </c>
      <c r="O2043">
        <v>0</v>
      </c>
      <c r="P2043">
        <v>0</v>
      </c>
      <c r="Q2043">
        <v>0.1</v>
      </c>
      <c r="R2043">
        <v>0.4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0.16666666699999999</v>
      </c>
      <c r="Z2043">
        <v>0</v>
      </c>
      <c r="AA2043" t="s">
        <v>9335</v>
      </c>
      <c r="AB2043" t="s">
        <v>242</v>
      </c>
      <c r="AC2043" t="s">
        <v>3229</v>
      </c>
    </row>
    <row r="2044" spans="1:29" x14ac:dyDescent="0.25">
      <c r="A2044" t="s">
        <v>2420</v>
      </c>
      <c r="B2044" t="s">
        <v>252</v>
      </c>
      <c r="C2044" t="s">
        <v>585</v>
      </c>
      <c r="D2044" t="s">
        <v>3713</v>
      </c>
      <c r="E2044" t="s">
        <v>3761</v>
      </c>
      <c r="F2044">
        <v>10000000</v>
      </c>
      <c r="G2044" t="s">
        <v>9349</v>
      </c>
      <c r="H2044" t="s">
        <v>242</v>
      </c>
      <c r="I2044" t="s">
        <v>242</v>
      </c>
      <c r="J2044" t="s">
        <v>242</v>
      </c>
      <c r="K2044" t="s">
        <v>242</v>
      </c>
      <c r="L2044" t="s">
        <v>241</v>
      </c>
      <c r="M2044">
        <v>38.339300000000001</v>
      </c>
      <c r="N2044">
        <v>-122.7783</v>
      </c>
      <c r="O2044">
        <v>0</v>
      </c>
      <c r="P2044">
        <v>0</v>
      </c>
      <c r="Q2044">
        <v>0</v>
      </c>
      <c r="R2044">
        <v>1.278667E-3</v>
      </c>
      <c r="S2044">
        <v>3.1403329999999999E-3</v>
      </c>
      <c r="T2044">
        <v>3.621333E-3</v>
      </c>
      <c r="U2044">
        <v>2.7209999999999999E-3</v>
      </c>
      <c r="V2044">
        <v>6.9566699999999997E-4</v>
      </c>
      <c r="W2044">
        <v>0</v>
      </c>
      <c r="X2044">
        <v>0</v>
      </c>
      <c r="Y2044">
        <v>0</v>
      </c>
      <c r="Z2044">
        <v>0</v>
      </c>
      <c r="AA2044" t="s">
        <v>9335</v>
      </c>
      <c r="AB2044" t="s">
        <v>242</v>
      </c>
      <c r="AC2044" t="s">
        <v>3229</v>
      </c>
    </row>
    <row r="2045" spans="1:29" x14ac:dyDescent="0.25">
      <c r="A2045" t="s">
        <v>2421</v>
      </c>
      <c r="B2045" t="s">
        <v>252</v>
      </c>
      <c r="C2045" t="s">
        <v>585</v>
      </c>
      <c r="D2045" t="s">
        <v>3713</v>
      </c>
      <c r="E2045" t="s">
        <v>3761</v>
      </c>
      <c r="F2045">
        <v>10000000</v>
      </c>
      <c r="G2045" t="s">
        <v>9349</v>
      </c>
      <c r="H2045" t="s">
        <v>242</v>
      </c>
      <c r="I2045" t="s">
        <v>242</v>
      </c>
      <c r="J2045" t="s">
        <v>242</v>
      </c>
      <c r="K2045" t="s">
        <v>242</v>
      </c>
      <c r="L2045" t="s">
        <v>241</v>
      </c>
      <c r="M2045">
        <v>38.339799999999997</v>
      </c>
      <c r="N2045">
        <v>-122.7783</v>
      </c>
      <c r="O2045">
        <v>0</v>
      </c>
      <c r="P2045">
        <v>0</v>
      </c>
      <c r="Q2045">
        <v>0</v>
      </c>
      <c r="R2045">
        <v>8.8000000000000003E-4</v>
      </c>
      <c r="S2045">
        <v>1.2377667E-2</v>
      </c>
      <c r="T2045">
        <v>1.7819999999999999E-2</v>
      </c>
      <c r="U2045">
        <v>1.5191E-2</v>
      </c>
      <c r="V2045">
        <v>5.0633329999999997E-3</v>
      </c>
      <c r="W2045">
        <v>5.2579999999999997E-3</v>
      </c>
      <c r="X2045">
        <v>5.1353329999999997E-3</v>
      </c>
      <c r="Y2045">
        <v>1.186667E-3</v>
      </c>
      <c r="Z2045">
        <v>0</v>
      </c>
      <c r="AA2045" t="s">
        <v>9335</v>
      </c>
      <c r="AB2045" t="s">
        <v>242</v>
      </c>
      <c r="AC2045" t="s">
        <v>3229</v>
      </c>
    </row>
    <row r="2046" spans="1:29" x14ac:dyDescent="0.25">
      <c r="A2046" t="s">
        <v>2304</v>
      </c>
      <c r="B2046" t="s">
        <v>252</v>
      </c>
      <c r="C2046" t="s">
        <v>323</v>
      </c>
      <c r="D2046" t="s">
        <v>3713</v>
      </c>
      <c r="E2046" t="s">
        <v>3761</v>
      </c>
      <c r="F2046">
        <v>10000000</v>
      </c>
      <c r="G2046" t="s">
        <v>9349</v>
      </c>
      <c r="H2046" t="s">
        <v>242</v>
      </c>
      <c r="I2046" t="s">
        <v>242</v>
      </c>
      <c r="J2046" t="s">
        <v>242</v>
      </c>
      <c r="K2046" t="s">
        <v>242</v>
      </c>
      <c r="L2046" t="s">
        <v>241</v>
      </c>
      <c r="M2046">
        <v>38.496000000000002</v>
      </c>
      <c r="N2046">
        <v>-122.8661</v>
      </c>
      <c r="O2046">
        <v>0</v>
      </c>
      <c r="P2046">
        <v>0</v>
      </c>
      <c r="Q2046">
        <v>1.7413330000000001E-3</v>
      </c>
      <c r="R2046">
        <v>1.2987667E-2</v>
      </c>
      <c r="S2046">
        <v>0.118286667</v>
      </c>
      <c r="T2046">
        <v>0</v>
      </c>
      <c r="U2046">
        <v>0.110016667</v>
      </c>
      <c r="V2046">
        <v>0.20245299999999999</v>
      </c>
      <c r="W2046">
        <v>0.245119</v>
      </c>
      <c r="X2046">
        <v>0.13400833300000001</v>
      </c>
      <c r="Y2046">
        <v>0</v>
      </c>
      <c r="Z2046">
        <v>0</v>
      </c>
      <c r="AA2046" t="s">
        <v>9335</v>
      </c>
      <c r="AB2046" t="s">
        <v>242</v>
      </c>
      <c r="AC2046" t="s">
        <v>3229</v>
      </c>
    </row>
    <row r="2047" spans="1:29" x14ac:dyDescent="0.25">
      <c r="A2047" t="s">
        <v>2305</v>
      </c>
      <c r="B2047" t="s">
        <v>252</v>
      </c>
      <c r="C2047" t="s">
        <v>486</v>
      </c>
      <c r="D2047" t="s">
        <v>3713</v>
      </c>
      <c r="E2047" t="s">
        <v>3761</v>
      </c>
      <c r="F2047">
        <v>10000000</v>
      </c>
      <c r="G2047" t="s">
        <v>9349</v>
      </c>
      <c r="H2047" t="s">
        <v>241</v>
      </c>
      <c r="I2047" t="s">
        <v>242</v>
      </c>
      <c r="J2047" t="s">
        <v>242</v>
      </c>
      <c r="K2047" t="s">
        <v>242</v>
      </c>
      <c r="L2047" t="s">
        <v>241</v>
      </c>
      <c r="M2047">
        <v>38.522300000000001</v>
      </c>
      <c r="N2047">
        <v>-122.8633</v>
      </c>
      <c r="O2047">
        <v>0.108178333</v>
      </c>
      <c r="P2047">
        <v>6.9808866999999997E-2</v>
      </c>
      <c r="Q2047">
        <v>6.0784333000000003E-2</v>
      </c>
      <c r="R2047">
        <v>0.17049700000000001</v>
      </c>
      <c r="S2047">
        <v>0.39417799999999997</v>
      </c>
      <c r="T2047">
        <v>0.84954966700000001</v>
      </c>
      <c r="U2047">
        <v>1.0297343329999999</v>
      </c>
      <c r="V2047">
        <v>0.84083399999999997</v>
      </c>
      <c r="W2047">
        <v>0.93730466700000004</v>
      </c>
      <c r="X2047">
        <v>0.88308766699999997</v>
      </c>
      <c r="Y2047">
        <v>0.78054066700000002</v>
      </c>
      <c r="Z2047">
        <v>0.140038833</v>
      </c>
      <c r="AA2047" t="s">
        <v>9335</v>
      </c>
      <c r="AB2047" t="s">
        <v>242</v>
      </c>
      <c r="AC2047" t="s">
        <v>3229</v>
      </c>
    </row>
    <row r="2048" spans="1:29" x14ac:dyDescent="0.25">
      <c r="A2048" t="s">
        <v>2311</v>
      </c>
      <c r="B2048" t="s">
        <v>252</v>
      </c>
      <c r="C2048" t="s">
        <v>391</v>
      </c>
      <c r="D2048" t="s">
        <v>3713</v>
      </c>
      <c r="E2048" t="s">
        <v>3761</v>
      </c>
      <c r="F2048">
        <v>10000000</v>
      </c>
      <c r="G2048" t="s">
        <v>9349</v>
      </c>
      <c r="H2048" t="s">
        <v>242</v>
      </c>
      <c r="I2048" t="s">
        <v>242</v>
      </c>
      <c r="J2048" t="s">
        <v>242</v>
      </c>
      <c r="K2048" t="s">
        <v>242</v>
      </c>
      <c r="L2048" t="s">
        <v>241</v>
      </c>
      <c r="M2048">
        <v>38.580100000000002</v>
      </c>
      <c r="N2048">
        <v>-122.7756</v>
      </c>
      <c r="O2048">
        <v>1</v>
      </c>
      <c r="P2048">
        <v>0</v>
      </c>
      <c r="Q2048">
        <v>6.6666666999999999E-2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0.366666667</v>
      </c>
      <c r="Z2048">
        <v>0.46666666699999998</v>
      </c>
      <c r="AA2048" t="s">
        <v>9335</v>
      </c>
      <c r="AB2048" t="s">
        <v>242</v>
      </c>
      <c r="AC2048" t="s">
        <v>3229</v>
      </c>
    </row>
    <row r="2049" spans="1:29" x14ac:dyDescent="0.25">
      <c r="A2049" t="s">
        <v>2312</v>
      </c>
      <c r="B2049" t="s">
        <v>252</v>
      </c>
      <c r="C2049" t="s">
        <v>391</v>
      </c>
      <c r="D2049" t="s">
        <v>3713</v>
      </c>
      <c r="E2049" t="s">
        <v>3761</v>
      </c>
      <c r="F2049">
        <v>10000000</v>
      </c>
      <c r="G2049" t="s">
        <v>9349</v>
      </c>
      <c r="H2049" t="s">
        <v>242</v>
      </c>
      <c r="I2049" t="s">
        <v>242</v>
      </c>
      <c r="J2049" t="s">
        <v>242</v>
      </c>
      <c r="K2049" t="s">
        <v>242</v>
      </c>
      <c r="L2049" t="s">
        <v>241</v>
      </c>
      <c r="M2049">
        <v>38.578299999999999</v>
      </c>
      <c r="N2049">
        <v>-122.7747</v>
      </c>
      <c r="O2049">
        <v>3.3333333E-2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5.6666666999999997E-2</v>
      </c>
      <c r="Z2049">
        <v>6.3333333000000006E-2</v>
      </c>
      <c r="AA2049" t="s">
        <v>9335</v>
      </c>
      <c r="AB2049" t="s">
        <v>242</v>
      </c>
      <c r="AC2049" t="s">
        <v>3229</v>
      </c>
    </row>
    <row r="2050" spans="1:29" x14ac:dyDescent="0.25">
      <c r="A2050" t="s">
        <v>2332</v>
      </c>
      <c r="B2050" t="s">
        <v>252</v>
      </c>
      <c r="C2050" t="s">
        <v>378</v>
      </c>
      <c r="D2050" t="s">
        <v>3713</v>
      </c>
      <c r="E2050" t="s">
        <v>3761</v>
      </c>
      <c r="F2050">
        <v>10000000</v>
      </c>
      <c r="G2050" t="s">
        <v>9349</v>
      </c>
      <c r="H2050" t="s">
        <v>242</v>
      </c>
      <c r="I2050" t="s">
        <v>242</v>
      </c>
      <c r="J2050" t="s">
        <v>242</v>
      </c>
      <c r="K2050" t="s">
        <v>242</v>
      </c>
      <c r="L2050" t="s">
        <v>241</v>
      </c>
      <c r="M2050">
        <v>38.398700959999999</v>
      </c>
      <c r="N2050">
        <v>-122.63521729999999</v>
      </c>
      <c r="O2050">
        <v>7.4</v>
      </c>
      <c r="P2050">
        <v>4.1666666670000003</v>
      </c>
      <c r="Q2050">
        <v>2.5</v>
      </c>
      <c r="R2050">
        <v>4.5666666669999998</v>
      </c>
      <c r="S2050">
        <v>0.1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1.3333333329999999</v>
      </c>
      <c r="Z2050">
        <v>4</v>
      </c>
      <c r="AA2050" t="s">
        <v>9335</v>
      </c>
      <c r="AB2050" t="s">
        <v>242</v>
      </c>
      <c r="AC2050" t="s">
        <v>3229</v>
      </c>
    </row>
    <row r="2051" spans="1:29" x14ac:dyDescent="0.25">
      <c r="A2051" t="s">
        <v>2336</v>
      </c>
      <c r="B2051" t="s">
        <v>252</v>
      </c>
      <c r="C2051" t="s">
        <v>493</v>
      </c>
      <c r="D2051" t="s">
        <v>3713</v>
      </c>
      <c r="E2051" t="s">
        <v>3761</v>
      </c>
      <c r="F2051">
        <v>10000000</v>
      </c>
      <c r="G2051" t="s">
        <v>9349</v>
      </c>
      <c r="H2051" t="s">
        <v>242</v>
      </c>
      <c r="I2051" t="s">
        <v>242</v>
      </c>
      <c r="J2051" t="s">
        <v>242</v>
      </c>
      <c r="K2051" t="s">
        <v>242</v>
      </c>
      <c r="L2051" t="s">
        <v>241</v>
      </c>
      <c r="M2051">
        <v>38.690899999999999</v>
      </c>
      <c r="N2051">
        <v>-123.00709999999999</v>
      </c>
      <c r="O2051">
        <v>3.4333333330000002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2.1</v>
      </c>
      <c r="Z2051">
        <v>3.0333333329999999</v>
      </c>
      <c r="AA2051" t="s">
        <v>9335</v>
      </c>
      <c r="AB2051" t="s">
        <v>242</v>
      </c>
      <c r="AC2051" t="s">
        <v>3229</v>
      </c>
    </row>
    <row r="2052" spans="1:29" x14ac:dyDescent="0.25">
      <c r="A2052" t="s">
        <v>2340</v>
      </c>
      <c r="B2052" t="s">
        <v>252</v>
      </c>
      <c r="C2052" t="s">
        <v>486</v>
      </c>
      <c r="D2052" t="s">
        <v>3713</v>
      </c>
      <c r="E2052" t="s">
        <v>3761</v>
      </c>
      <c r="F2052">
        <v>10000000</v>
      </c>
      <c r="G2052" t="s">
        <v>9349</v>
      </c>
      <c r="H2052" t="s">
        <v>241</v>
      </c>
      <c r="I2052" t="s">
        <v>242</v>
      </c>
      <c r="J2052" t="s">
        <v>242</v>
      </c>
      <c r="K2052" t="s">
        <v>242</v>
      </c>
      <c r="L2052" t="s">
        <v>241</v>
      </c>
      <c r="M2052">
        <v>38.563099999999999</v>
      </c>
      <c r="N2052">
        <v>-122.86150000000001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 t="s">
        <v>9335</v>
      </c>
      <c r="AB2052" t="s">
        <v>242</v>
      </c>
      <c r="AC2052" t="s">
        <v>3229</v>
      </c>
    </row>
    <row r="2053" spans="1:29" x14ac:dyDescent="0.25">
      <c r="A2053" t="s">
        <v>2341</v>
      </c>
      <c r="B2053" t="s">
        <v>252</v>
      </c>
      <c r="C2053" t="s">
        <v>486</v>
      </c>
      <c r="D2053" t="s">
        <v>3713</v>
      </c>
      <c r="E2053" t="s">
        <v>3761</v>
      </c>
      <c r="F2053">
        <v>10000000</v>
      </c>
      <c r="G2053" t="s">
        <v>9349</v>
      </c>
      <c r="H2053" t="s">
        <v>241</v>
      </c>
      <c r="I2053" t="s">
        <v>242</v>
      </c>
      <c r="J2053" t="s">
        <v>242</v>
      </c>
      <c r="K2053" t="s">
        <v>242</v>
      </c>
      <c r="L2053" t="s">
        <v>241</v>
      </c>
      <c r="M2053">
        <v>38.566099999999999</v>
      </c>
      <c r="N2053">
        <v>-122.8618</v>
      </c>
      <c r="O2053">
        <v>5.0146670000000004E-3</v>
      </c>
      <c r="P2053">
        <v>0</v>
      </c>
      <c r="Q2053">
        <v>0.114568</v>
      </c>
      <c r="R2053">
        <v>6.4228332999999999E-2</v>
      </c>
      <c r="S2053">
        <v>0.21129266699999999</v>
      </c>
      <c r="T2053">
        <v>0.81928666699999997</v>
      </c>
      <c r="U2053">
        <v>1.886213667</v>
      </c>
      <c r="V2053">
        <v>1.547328</v>
      </c>
      <c r="W2053">
        <v>0.886648667</v>
      </c>
      <c r="X2053">
        <v>0.59763666699999995</v>
      </c>
      <c r="Y2053">
        <v>0.103333333</v>
      </c>
      <c r="Z2053">
        <v>1.8099667E-2</v>
      </c>
      <c r="AA2053" t="s">
        <v>9335</v>
      </c>
      <c r="AB2053" t="s">
        <v>242</v>
      </c>
      <c r="AC2053" t="s">
        <v>3229</v>
      </c>
    </row>
    <row r="2054" spans="1:29" x14ac:dyDescent="0.25">
      <c r="A2054" t="s">
        <v>2342</v>
      </c>
      <c r="B2054" t="s">
        <v>252</v>
      </c>
      <c r="C2054" t="s">
        <v>486</v>
      </c>
      <c r="D2054" t="s">
        <v>3713</v>
      </c>
      <c r="E2054" t="s">
        <v>3761</v>
      </c>
      <c r="F2054">
        <v>10000000</v>
      </c>
      <c r="G2054" t="s">
        <v>9349</v>
      </c>
      <c r="H2054" t="s">
        <v>241</v>
      </c>
      <c r="I2054" t="s">
        <v>242</v>
      </c>
      <c r="J2054" t="s">
        <v>242</v>
      </c>
      <c r="K2054" t="s">
        <v>242</v>
      </c>
      <c r="L2054" t="s">
        <v>241</v>
      </c>
      <c r="M2054">
        <v>38.5807</v>
      </c>
      <c r="N2054">
        <v>-122.864</v>
      </c>
      <c r="O2054">
        <v>0</v>
      </c>
      <c r="P2054">
        <v>0.06</v>
      </c>
      <c r="Q2054">
        <v>0.60679366700000004</v>
      </c>
      <c r="R2054">
        <v>0</v>
      </c>
      <c r="S2054">
        <v>0.26252033299999999</v>
      </c>
      <c r="T2054">
        <v>2.2775726669999998</v>
      </c>
      <c r="U2054">
        <v>3.7468720000000002</v>
      </c>
      <c r="V2054">
        <v>3.096473</v>
      </c>
      <c r="W2054">
        <v>2.9102809999999999</v>
      </c>
      <c r="X2054">
        <v>2.1542889999999999</v>
      </c>
      <c r="Y2054">
        <v>0.24253833299999999</v>
      </c>
      <c r="Z2054">
        <v>0</v>
      </c>
      <c r="AA2054" t="s">
        <v>9335</v>
      </c>
      <c r="AB2054" t="s">
        <v>242</v>
      </c>
      <c r="AC2054" t="s">
        <v>3229</v>
      </c>
    </row>
    <row r="2055" spans="1:29" x14ac:dyDescent="0.25">
      <c r="A2055" t="s">
        <v>2343</v>
      </c>
      <c r="B2055" t="s">
        <v>252</v>
      </c>
      <c r="C2055" t="s">
        <v>486</v>
      </c>
      <c r="D2055" t="s">
        <v>3713</v>
      </c>
      <c r="E2055" t="s">
        <v>3761</v>
      </c>
      <c r="F2055">
        <v>10000000</v>
      </c>
      <c r="G2055" t="s">
        <v>9349</v>
      </c>
      <c r="H2055" t="s">
        <v>241</v>
      </c>
      <c r="I2055" t="s">
        <v>242</v>
      </c>
      <c r="J2055" t="s">
        <v>242</v>
      </c>
      <c r="K2055" t="s">
        <v>242</v>
      </c>
      <c r="L2055" t="s">
        <v>241</v>
      </c>
      <c r="M2055">
        <v>38.573799999999999</v>
      </c>
      <c r="N2055">
        <v>-122.8616</v>
      </c>
      <c r="O2055">
        <v>0</v>
      </c>
      <c r="P2055">
        <v>0.46351733299999998</v>
      </c>
      <c r="Q2055">
        <v>3.3542113329999999</v>
      </c>
      <c r="R2055">
        <v>0</v>
      </c>
      <c r="S2055">
        <v>0</v>
      </c>
      <c r="T2055">
        <v>0</v>
      </c>
      <c r="U2055">
        <v>1.92</v>
      </c>
      <c r="V2055">
        <v>0</v>
      </c>
      <c r="W2055">
        <v>0</v>
      </c>
      <c r="X2055">
        <v>2.9763519999999999</v>
      </c>
      <c r="Y2055">
        <v>2.72</v>
      </c>
      <c r="Z2055">
        <v>0.32413599999999998</v>
      </c>
      <c r="AA2055" t="s">
        <v>9335</v>
      </c>
      <c r="AB2055" t="s">
        <v>242</v>
      </c>
      <c r="AC2055" t="s">
        <v>3229</v>
      </c>
    </row>
    <row r="2056" spans="1:29" x14ac:dyDescent="0.25">
      <c r="A2056" t="s">
        <v>2344</v>
      </c>
      <c r="B2056" t="s">
        <v>252</v>
      </c>
      <c r="C2056" t="s">
        <v>486</v>
      </c>
      <c r="D2056" t="s">
        <v>3713</v>
      </c>
      <c r="E2056" t="s">
        <v>3761</v>
      </c>
      <c r="F2056">
        <v>10000000</v>
      </c>
      <c r="G2056" t="s">
        <v>9349</v>
      </c>
      <c r="H2056" t="s">
        <v>241</v>
      </c>
      <c r="I2056" t="s">
        <v>242</v>
      </c>
      <c r="J2056" t="s">
        <v>242</v>
      </c>
      <c r="K2056" t="s">
        <v>242</v>
      </c>
      <c r="L2056" t="s">
        <v>241</v>
      </c>
      <c r="M2056">
        <v>38.574399999999997</v>
      </c>
      <c r="N2056">
        <v>-122.8613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 t="s">
        <v>9335</v>
      </c>
      <c r="AB2056" t="s">
        <v>242</v>
      </c>
      <c r="AC2056" t="s">
        <v>3229</v>
      </c>
    </row>
    <row r="2057" spans="1:29" x14ac:dyDescent="0.25">
      <c r="A2057" t="s">
        <v>2069</v>
      </c>
      <c r="B2057" t="s">
        <v>252</v>
      </c>
      <c r="C2057" t="s">
        <v>394</v>
      </c>
      <c r="D2057" t="s">
        <v>3713</v>
      </c>
      <c r="E2057" t="s">
        <v>3761</v>
      </c>
      <c r="F2057">
        <v>10000000</v>
      </c>
      <c r="G2057" t="s">
        <v>9349</v>
      </c>
      <c r="H2057" t="s">
        <v>242</v>
      </c>
      <c r="I2057" t="s">
        <v>242</v>
      </c>
      <c r="J2057" t="s">
        <v>242</v>
      </c>
      <c r="K2057" t="s">
        <v>242</v>
      </c>
      <c r="L2057" t="s">
        <v>241</v>
      </c>
      <c r="M2057">
        <v>38.586399999999998</v>
      </c>
      <c r="N2057">
        <v>-122.8638</v>
      </c>
      <c r="O2057">
        <v>0</v>
      </c>
      <c r="P2057">
        <v>0</v>
      </c>
      <c r="Q2057">
        <v>0</v>
      </c>
      <c r="R2057">
        <v>0</v>
      </c>
      <c r="S2057">
        <v>3.0789667E-2</v>
      </c>
      <c r="T2057">
        <v>0.88529533299999996</v>
      </c>
      <c r="U2057">
        <v>1.5098276669999999</v>
      </c>
      <c r="V2057">
        <v>1.6341186670000001</v>
      </c>
      <c r="W2057">
        <v>0.90885099999999996</v>
      </c>
      <c r="X2057">
        <v>0.32093633300000002</v>
      </c>
      <c r="Y2057">
        <v>7.6666666999999994E-2</v>
      </c>
      <c r="Z2057">
        <v>0</v>
      </c>
      <c r="AA2057" t="s">
        <v>9335</v>
      </c>
      <c r="AB2057" t="s">
        <v>242</v>
      </c>
      <c r="AC2057" t="s">
        <v>3229</v>
      </c>
    </row>
    <row r="2058" spans="1:29" x14ac:dyDescent="0.25">
      <c r="A2058" t="s">
        <v>2355</v>
      </c>
      <c r="B2058" t="s">
        <v>252</v>
      </c>
      <c r="C2058" t="s">
        <v>352</v>
      </c>
      <c r="D2058" t="s">
        <v>3713</v>
      </c>
      <c r="E2058" t="s">
        <v>3761</v>
      </c>
      <c r="F2058">
        <v>10000000</v>
      </c>
      <c r="G2058" t="s">
        <v>9349</v>
      </c>
      <c r="H2058" t="s">
        <v>242</v>
      </c>
      <c r="I2058" t="s">
        <v>242</v>
      </c>
      <c r="J2058" t="s">
        <v>242</v>
      </c>
      <c r="K2058" t="s">
        <v>242</v>
      </c>
      <c r="L2058" t="s">
        <v>241</v>
      </c>
      <c r="M2058">
        <v>38.406999999999996</v>
      </c>
      <c r="N2058">
        <v>-122.8583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 t="s">
        <v>9335</v>
      </c>
      <c r="AB2058" t="s">
        <v>242</v>
      </c>
      <c r="AC2058" t="s">
        <v>3229</v>
      </c>
    </row>
    <row r="2059" spans="1:29" x14ac:dyDescent="0.25">
      <c r="A2059" t="s">
        <v>2256</v>
      </c>
      <c r="B2059" t="s">
        <v>252</v>
      </c>
      <c r="C2059" t="s">
        <v>489</v>
      </c>
      <c r="D2059" t="s">
        <v>3713</v>
      </c>
      <c r="E2059" t="s">
        <v>3761</v>
      </c>
      <c r="F2059">
        <v>10000000</v>
      </c>
      <c r="G2059" t="s">
        <v>9349</v>
      </c>
      <c r="H2059" t="s">
        <v>242</v>
      </c>
      <c r="I2059" t="s">
        <v>242</v>
      </c>
      <c r="J2059" t="s">
        <v>242</v>
      </c>
      <c r="K2059" t="s">
        <v>242</v>
      </c>
      <c r="L2059" t="s">
        <v>241</v>
      </c>
      <c r="M2059">
        <v>38.655900000000003</v>
      </c>
      <c r="N2059">
        <v>-122.9285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0.51333333299999995</v>
      </c>
      <c r="V2059">
        <v>0.85666666700000005</v>
      </c>
      <c r="W2059">
        <v>0.18</v>
      </c>
      <c r="X2059">
        <v>0</v>
      </c>
      <c r="Y2059">
        <v>0.06</v>
      </c>
      <c r="Z2059">
        <v>0</v>
      </c>
      <c r="AA2059" t="s">
        <v>9335</v>
      </c>
      <c r="AB2059" t="s">
        <v>242</v>
      </c>
      <c r="AC2059" t="s">
        <v>3229</v>
      </c>
    </row>
    <row r="2060" spans="1:29" x14ac:dyDescent="0.25">
      <c r="A2060" t="s">
        <v>2257</v>
      </c>
      <c r="B2060" t="s">
        <v>252</v>
      </c>
      <c r="C2060" t="s">
        <v>489</v>
      </c>
      <c r="D2060" t="s">
        <v>3713</v>
      </c>
      <c r="E2060" t="s">
        <v>3761</v>
      </c>
      <c r="F2060">
        <v>10000000</v>
      </c>
      <c r="G2060" t="s">
        <v>9349</v>
      </c>
      <c r="H2060" t="s">
        <v>242</v>
      </c>
      <c r="I2060" t="s">
        <v>242</v>
      </c>
      <c r="J2060" t="s">
        <v>242</v>
      </c>
      <c r="K2060" t="s">
        <v>242</v>
      </c>
      <c r="L2060" t="s">
        <v>241</v>
      </c>
      <c r="M2060">
        <v>38.657499999999999</v>
      </c>
      <c r="N2060">
        <v>-122.9281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0.65240733299999998</v>
      </c>
      <c r="V2060">
        <v>0.70907399999999998</v>
      </c>
      <c r="W2060">
        <v>0.42750133299999998</v>
      </c>
      <c r="X2060">
        <v>0</v>
      </c>
      <c r="Y2060">
        <v>5.3333332999999997E-2</v>
      </c>
      <c r="Z2060">
        <v>0</v>
      </c>
      <c r="AA2060" t="s">
        <v>9335</v>
      </c>
      <c r="AB2060" t="s">
        <v>242</v>
      </c>
      <c r="AC2060" t="s">
        <v>3229</v>
      </c>
    </row>
    <row r="2061" spans="1:29" x14ac:dyDescent="0.25">
      <c r="A2061" t="s">
        <v>2379</v>
      </c>
      <c r="B2061" t="s">
        <v>252</v>
      </c>
      <c r="C2061" t="s">
        <v>314</v>
      </c>
      <c r="D2061" t="s">
        <v>3713</v>
      </c>
      <c r="E2061" t="s">
        <v>3761</v>
      </c>
      <c r="F2061">
        <v>10000000</v>
      </c>
      <c r="G2061" t="s">
        <v>9349</v>
      </c>
      <c r="H2061" t="s">
        <v>242</v>
      </c>
      <c r="I2061" t="s">
        <v>242</v>
      </c>
      <c r="J2061" t="s">
        <v>242</v>
      </c>
      <c r="K2061" t="s">
        <v>242</v>
      </c>
      <c r="L2061" t="s">
        <v>241</v>
      </c>
      <c r="M2061">
        <v>38.824100000000001</v>
      </c>
      <c r="N2061">
        <v>-123.1383</v>
      </c>
      <c r="O2061">
        <v>1.266666667</v>
      </c>
      <c r="P2061">
        <v>0</v>
      </c>
      <c r="Q2061">
        <v>1.8533333329999999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3.7433333329999998</v>
      </c>
      <c r="Z2061">
        <v>2.0533333329999999</v>
      </c>
      <c r="AA2061" t="s">
        <v>9342</v>
      </c>
      <c r="AB2061" t="s">
        <v>242</v>
      </c>
      <c r="AC2061" t="s">
        <v>3213</v>
      </c>
    </row>
    <row r="2062" spans="1:29" x14ac:dyDescent="0.25">
      <c r="A2062" t="s">
        <v>2702</v>
      </c>
      <c r="B2062" t="s">
        <v>252</v>
      </c>
      <c r="C2062" t="s">
        <v>394</v>
      </c>
      <c r="D2062" t="s">
        <v>3713</v>
      </c>
      <c r="E2062" t="s">
        <v>3761</v>
      </c>
      <c r="F2062">
        <v>10000000</v>
      </c>
      <c r="G2062" t="s">
        <v>9349</v>
      </c>
      <c r="H2062" t="s">
        <v>242</v>
      </c>
      <c r="I2062" t="s">
        <v>242</v>
      </c>
      <c r="J2062" t="s">
        <v>242</v>
      </c>
      <c r="K2062" t="s">
        <v>242</v>
      </c>
      <c r="L2062" t="s">
        <v>241</v>
      </c>
      <c r="M2062">
        <v>38.627299999999998</v>
      </c>
      <c r="N2062">
        <v>-122.92019999999999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0.35666666699999999</v>
      </c>
      <c r="Z2062">
        <v>0.12</v>
      </c>
      <c r="AA2062" t="s">
        <v>9335</v>
      </c>
      <c r="AB2062" t="s">
        <v>242</v>
      </c>
      <c r="AC2062" t="s">
        <v>3229</v>
      </c>
    </row>
    <row r="2063" spans="1:29" x14ac:dyDescent="0.25">
      <c r="A2063" t="s">
        <v>2386</v>
      </c>
      <c r="B2063" t="s">
        <v>252</v>
      </c>
      <c r="C2063" t="s">
        <v>493</v>
      </c>
      <c r="D2063" t="s">
        <v>3713</v>
      </c>
      <c r="E2063" t="s">
        <v>3761</v>
      </c>
      <c r="F2063">
        <v>10000000</v>
      </c>
      <c r="G2063" t="s">
        <v>9349</v>
      </c>
      <c r="H2063" t="s">
        <v>242</v>
      </c>
      <c r="I2063" t="s">
        <v>242</v>
      </c>
      <c r="J2063" t="s">
        <v>242</v>
      </c>
      <c r="K2063" t="s">
        <v>242</v>
      </c>
      <c r="L2063" t="s">
        <v>241</v>
      </c>
      <c r="M2063">
        <v>38.713900000000002</v>
      </c>
      <c r="N2063">
        <v>-122.9868</v>
      </c>
      <c r="O2063">
        <v>0</v>
      </c>
      <c r="P2063">
        <v>0</v>
      </c>
      <c r="Q2063">
        <v>0</v>
      </c>
      <c r="R2063">
        <v>0.53333333299999997</v>
      </c>
      <c r="S2063">
        <v>2.0666666669999998</v>
      </c>
      <c r="T2063">
        <v>4.233333333</v>
      </c>
      <c r="U2063">
        <v>8.3000000000000007</v>
      </c>
      <c r="V2063">
        <v>9.0666666669999998</v>
      </c>
      <c r="W2063">
        <v>6.9333333330000002</v>
      </c>
      <c r="X2063">
        <v>0.86666666699999995</v>
      </c>
      <c r="Y2063">
        <v>0.2</v>
      </c>
      <c r="Z2063">
        <v>0</v>
      </c>
      <c r="AA2063" t="s">
        <v>9335</v>
      </c>
      <c r="AB2063" t="s">
        <v>242</v>
      </c>
      <c r="AC2063" t="s">
        <v>3229</v>
      </c>
    </row>
    <row r="2064" spans="1:29" x14ac:dyDescent="0.25">
      <c r="A2064" t="s">
        <v>2387</v>
      </c>
      <c r="B2064" t="s">
        <v>252</v>
      </c>
      <c r="C2064" t="s">
        <v>493</v>
      </c>
      <c r="D2064" t="s">
        <v>3713</v>
      </c>
      <c r="E2064" t="s">
        <v>3761</v>
      </c>
      <c r="F2064">
        <v>10000000</v>
      </c>
      <c r="G2064" t="s">
        <v>9349</v>
      </c>
      <c r="H2064" t="s">
        <v>242</v>
      </c>
      <c r="I2064" t="s">
        <v>242</v>
      </c>
      <c r="J2064" t="s">
        <v>242</v>
      </c>
      <c r="K2064" t="s">
        <v>242</v>
      </c>
      <c r="L2064" t="s">
        <v>241</v>
      </c>
      <c r="M2064">
        <v>38.711799999999997</v>
      </c>
      <c r="N2064">
        <v>-122.9828</v>
      </c>
      <c r="O2064">
        <v>0.5</v>
      </c>
      <c r="P2064">
        <v>0.7</v>
      </c>
      <c r="Q2064">
        <v>0.26666666700000002</v>
      </c>
      <c r="R2064">
        <v>0.4</v>
      </c>
      <c r="S2064">
        <v>0.7</v>
      </c>
      <c r="T2064">
        <v>1.1333333329999999</v>
      </c>
      <c r="U2064">
        <v>1.3666666670000001</v>
      </c>
      <c r="V2064">
        <v>1.233333333</v>
      </c>
      <c r="W2064">
        <v>1.1666666670000001</v>
      </c>
      <c r="X2064">
        <v>1.233333333</v>
      </c>
      <c r="Y2064">
        <v>0.9</v>
      </c>
      <c r="Z2064">
        <v>0.8</v>
      </c>
      <c r="AA2064" t="s">
        <v>9335</v>
      </c>
      <c r="AB2064" t="s">
        <v>242</v>
      </c>
      <c r="AC2064" t="s">
        <v>3229</v>
      </c>
    </row>
    <row r="2065" spans="1:29" x14ac:dyDescent="0.25">
      <c r="A2065" t="s">
        <v>2703</v>
      </c>
      <c r="B2065" t="s">
        <v>252</v>
      </c>
      <c r="C2065" t="s">
        <v>394</v>
      </c>
      <c r="D2065" t="s">
        <v>3713</v>
      </c>
      <c r="E2065" t="s">
        <v>3761</v>
      </c>
      <c r="F2065">
        <v>10000000</v>
      </c>
      <c r="G2065" t="s">
        <v>9349</v>
      </c>
      <c r="H2065" t="s">
        <v>242</v>
      </c>
      <c r="I2065" t="s">
        <v>242</v>
      </c>
      <c r="J2065" t="s">
        <v>242</v>
      </c>
      <c r="K2065" t="s">
        <v>242</v>
      </c>
      <c r="L2065" t="s">
        <v>241</v>
      </c>
      <c r="M2065">
        <v>38.627200000000002</v>
      </c>
      <c r="N2065">
        <v>-122.9192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0.35666666699999999</v>
      </c>
      <c r="Z2065">
        <v>0.12</v>
      </c>
      <c r="AA2065" t="s">
        <v>9335</v>
      </c>
      <c r="AB2065" t="s">
        <v>242</v>
      </c>
      <c r="AC2065" t="s">
        <v>3229</v>
      </c>
    </row>
    <row r="2066" spans="1:29" x14ac:dyDescent="0.25">
      <c r="A2066" t="s">
        <v>2392</v>
      </c>
      <c r="B2066" t="s">
        <v>252</v>
      </c>
      <c r="C2066" t="s">
        <v>314</v>
      </c>
      <c r="D2066" t="s">
        <v>3713</v>
      </c>
      <c r="E2066" t="s">
        <v>3761</v>
      </c>
      <c r="F2066">
        <v>10000000</v>
      </c>
      <c r="G2066" t="s">
        <v>9349</v>
      </c>
      <c r="H2066" t="s">
        <v>242</v>
      </c>
      <c r="I2066" t="s">
        <v>242</v>
      </c>
      <c r="J2066" t="s">
        <v>242</v>
      </c>
      <c r="K2066" t="s">
        <v>242</v>
      </c>
      <c r="L2066" t="s">
        <v>241</v>
      </c>
      <c r="M2066">
        <v>38.808700000000002</v>
      </c>
      <c r="N2066">
        <v>-123.2025</v>
      </c>
      <c r="O2066">
        <v>0.823333333</v>
      </c>
      <c r="P2066">
        <v>0</v>
      </c>
      <c r="Q2066">
        <v>1.6966666669999999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3.47</v>
      </c>
      <c r="Z2066">
        <v>1.88</v>
      </c>
      <c r="AA2066" t="s">
        <v>9342</v>
      </c>
      <c r="AB2066" t="s">
        <v>242</v>
      </c>
      <c r="AC2066" t="s">
        <v>3229</v>
      </c>
    </row>
    <row r="2067" spans="1:29" x14ac:dyDescent="0.25">
      <c r="A2067" t="s">
        <v>2259</v>
      </c>
      <c r="B2067" t="s">
        <v>252</v>
      </c>
      <c r="C2067" t="s">
        <v>394</v>
      </c>
      <c r="D2067" t="s">
        <v>3713</v>
      </c>
      <c r="E2067" t="s">
        <v>3761</v>
      </c>
      <c r="F2067">
        <v>10000000</v>
      </c>
      <c r="G2067" t="s">
        <v>9349</v>
      </c>
      <c r="H2067" t="s">
        <v>242</v>
      </c>
      <c r="I2067" t="s">
        <v>242</v>
      </c>
      <c r="J2067" t="s">
        <v>242</v>
      </c>
      <c r="K2067" t="s">
        <v>242</v>
      </c>
      <c r="L2067" t="s">
        <v>241</v>
      </c>
      <c r="M2067">
        <v>38.643599999999999</v>
      </c>
      <c r="N2067">
        <v>-122.911</v>
      </c>
      <c r="O2067">
        <v>0</v>
      </c>
      <c r="P2067">
        <v>0</v>
      </c>
      <c r="Q2067">
        <v>0.86333333300000004</v>
      </c>
      <c r="R2067">
        <v>1.1133333329999999</v>
      </c>
      <c r="S2067">
        <v>0.426666667</v>
      </c>
      <c r="T2067">
        <v>0.94</v>
      </c>
      <c r="U2067">
        <v>0.84333333300000002</v>
      </c>
      <c r="V2067">
        <v>0.50333333300000005</v>
      </c>
      <c r="W2067">
        <v>0.18333333299999999</v>
      </c>
      <c r="X2067">
        <v>0</v>
      </c>
      <c r="Y2067">
        <v>0</v>
      </c>
      <c r="Z2067">
        <v>0</v>
      </c>
      <c r="AA2067" t="s">
        <v>9335</v>
      </c>
      <c r="AB2067" t="s">
        <v>242</v>
      </c>
      <c r="AC2067" t="s">
        <v>3229</v>
      </c>
    </row>
    <row r="2068" spans="1:29" x14ac:dyDescent="0.25">
      <c r="A2068" t="s">
        <v>2345</v>
      </c>
      <c r="B2068" t="s">
        <v>252</v>
      </c>
      <c r="C2068" t="s">
        <v>394</v>
      </c>
      <c r="D2068" t="s">
        <v>3713</v>
      </c>
      <c r="E2068" t="s">
        <v>3761</v>
      </c>
      <c r="F2068">
        <v>10000000</v>
      </c>
      <c r="G2068" t="s">
        <v>9349</v>
      </c>
      <c r="H2068" t="s">
        <v>242</v>
      </c>
      <c r="I2068" t="s">
        <v>242</v>
      </c>
      <c r="J2068" t="s">
        <v>242</v>
      </c>
      <c r="K2068" t="s">
        <v>242</v>
      </c>
      <c r="L2068" t="s">
        <v>241</v>
      </c>
      <c r="M2068">
        <v>38.642499999999998</v>
      </c>
      <c r="N2068">
        <v>-122.90860000000001</v>
      </c>
      <c r="O2068">
        <v>0</v>
      </c>
      <c r="P2068">
        <v>0</v>
      </c>
      <c r="Q2068">
        <v>0</v>
      </c>
      <c r="R2068">
        <v>0.16666666699999999</v>
      </c>
      <c r="S2068">
        <v>0.51666666699999997</v>
      </c>
      <c r="T2068">
        <v>0.60333333300000003</v>
      </c>
      <c r="U2068">
        <v>0.81666666700000001</v>
      </c>
      <c r="V2068">
        <v>0.34333333300000002</v>
      </c>
      <c r="W2068">
        <v>0.206666667</v>
      </c>
      <c r="X2068">
        <v>0</v>
      </c>
      <c r="Y2068">
        <v>0</v>
      </c>
      <c r="Z2068">
        <v>0</v>
      </c>
      <c r="AA2068" t="s">
        <v>9335</v>
      </c>
      <c r="AB2068" t="s">
        <v>242</v>
      </c>
      <c r="AC2068" t="s">
        <v>3229</v>
      </c>
    </row>
    <row r="2069" spans="1:29" x14ac:dyDescent="0.25">
      <c r="A2069" t="s">
        <v>2236</v>
      </c>
      <c r="B2069" t="s">
        <v>252</v>
      </c>
      <c r="C2069" t="s">
        <v>394</v>
      </c>
      <c r="D2069" t="s">
        <v>3713</v>
      </c>
      <c r="E2069" t="s">
        <v>3761</v>
      </c>
      <c r="F2069">
        <v>10000000</v>
      </c>
      <c r="G2069" t="s">
        <v>9349</v>
      </c>
      <c r="H2069" t="s">
        <v>242</v>
      </c>
      <c r="I2069" t="s">
        <v>242</v>
      </c>
      <c r="J2069" t="s">
        <v>242</v>
      </c>
      <c r="K2069" t="s">
        <v>242</v>
      </c>
      <c r="L2069" t="s">
        <v>241</v>
      </c>
      <c r="M2069">
        <v>38.641300000000001</v>
      </c>
      <c r="N2069">
        <v>-122.90600000000001</v>
      </c>
      <c r="O2069">
        <v>0</v>
      </c>
      <c r="P2069">
        <v>0</v>
      </c>
      <c r="Q2069">
        <v>0.123333333</v>
      </c>
      <c r="R2069">
        <v>0.21</v>
      </c>
      <c r="S2069">
        <v>0.796666667</v>
      </c>
      <c r="T2069">
        <v>1.6466666670000001</v>
      </c>
      <c r="U2069">
        <v>1.3833333329999999</v>
      </c>
      <c r="V2069">
        <v>1.1299999999999999</v>
      </c>
      <c r="W2069">
        <v>0.56999999999999995</v>
      </c>
      <c r="X2069">
        <v>0.206666667</v>
      </c>
      <c r="Y2069">
        <v>0</v>
      </c>
      <c r="Z2069">
        <v>0</v>
      </c>
      <c r="AA2069" t="s">
        <v>9335</v>
      </c>
      <c r="AB2069" t="s">
        <v>242</v>
      </c>
      <c r="AC2069" t="s">
        <v>3229</v>
      </c>
    </row>
    <row r="2070" spans="1:29" x14ac:dyDescent="0.25">
      <c r="A2070" t="s">
        <v>1994</v>
      </c>
      <c r="B2070" t="s">
        <v>252</v>
      </c>
      <c r="C2070" t="s">
        <v>394</v>
      </c>
      <c r="D2070" t="s">
        <v>3713</v>
      </c>
      <c r="E2070" t="s">
        <v>3761</v>
      </c>
      <c r="F2070">
        <v>10000000</v>
      </c>
      <c r="G2070" t="s">
        <v>9349</v>
      </c>
      <c r="H2070" t="s">
        <v>242</v>
      </c>
      <c r="I2070" t="s">
        <v>242</v>
      </c>
      <c r="J2070" t="s">
        <v>242</v>
      </c>
      <c r="K2070" t="s">
        <v>242</v>
      </c>
      <c r="L2070" t="s">
        <v>241</v>
      </c>
      <c r="M2070">
        <v>38.637099999999997</v>
      </c>
      <c r="N2070">
        <v>-122.9021</v>
      </c>
      <c r="O2070">
        <v>0</v>
      </c>
      <c r="P2070">
        <v>0</v>
      </c>
      <c r="Q2070">
        <v>0.14333333300000001</v>
      </c>
      <c r="R2070">
        <v>1.3666666670000001</v>
      </c>
      <c r="S2070">
        <v>1.403333333</v>
      </c>
      <c r="T2070">
        <v>3.07</v>
      </c>
      <c r="U2070">
        <v>3.5433333330000001</v>
      </c>
      <c r="V2070">
        <v>2.2933333330000001</v>
      </c>
      <c r="W2070">
        <v>1.653333333</v>
      </c>
      <c r="X2070">
        <v>0</v>
      </c>
      <c r="Y2070">
        <v>0</v>
      </c>
      <c r="Z2070">
        <v>0</v>
      </c>
      <c r="AA2070" t="s">
        <v>9335</v>
      </c>
      <c r="AB2070" t="s">
        <v>242</v>
      </c>
      <c r="AC2070" t="s">
        <v>3229</v>
      </c>
    </row>
    <row r="2071" spans="1:29" x14ac:dyDescent="0.25">
      <c r="A2071" t="s">
        <v>2704</v>
      </c>
      <c r="B2071" t="s">
        <v>252</v>
      </c>
      <c r="C2071" t="s">
        <v>394</v>
      </c>
      <c r="D2071" t="s">
        <v>3713</v>
      </c>
      <c r="E2071" t="s">
        <v>3761</v>
      </c>
      <c r="F2071">
        <v>10000000</v>
      </c>
      <c r="G2071" t="s">
        <v>9349</v>
      </c>
      <c r="H2071" t="s">
        <v>242</v>
      </c>
      <c r="I2071" t="s">
        <v>242</v>
      </c>
      <c r="J2071" t="s">
        <v>242</v>
      </c>
      <c r="K2071" t="s">
        <v>242</v>
      </c>
      <c r="L2071" t="s">
        <v>241</v>
      </c>
      <c r="M2071">
        <v>38.6111</v>
      </c>
      <c r="N2071">
        <v>-122.87779999999999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 t="s">
        <v>9335</v>
      </c>
      <c r="AB2071" t="s">
        <v>242</v>
      </c>
      <c r="AC2071" t="s">
        <v>3229</v>
      </c>
    </row>
    <row r="2072" spans="1:29" x14ac:dyDescent="0.25">
      <c r="A2072" t="s">
        <v>2683</v>
      </c>
      <c r="B2072" t="s">
        <v>252</v>
      </c>
      <c r="C2072" t="s">
        <v>329</v>
      </c>
      <c r="D2072" t="s">
        <v>3713</v>
      </c>
      <c r="E2072" t="s">
        <v>3761</v>
      </c>
      <c r="F2072">
        <v>10000000</v>
      </c>
      <c r="G2072" t="s">
        <v>9349</v>
      </c>
      <c r="H2072" t="s">
        <v>242</v>
      </c>
      <c r="I2072" t="s">
        <v>242</v>
      </c>
      <c r="J2072" t="s">
        <v>242</v>
      </c>
      <c r="K2072" t="s">
        <v>242</v>
      </c>
      <c r="L2072" t="s">
        <v>241</v>
      </c>
      <c r="M2072">
        <v>38.5092</v>
      </c>
      <c r="N2072">
        <v>-123.08839999999999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 t="s">
        <v>9333</v>
      </c>
      <c r="AB2072" t="s">
        <v>242</v>
      </c>
      <c r="AC2072" t="s">
        <v>3229</v>
      </c>
    </row>
    <row r="2073" spans="1:29" x14ac:dyDescent="0.25">
      <c r="A2073" t="s">
        <v>2711</v>
      </c>
      <c r="B2073" t="s">
        <v>252</v>
      </c>
      <c r="C2073" t="s">
        <v>329</v>
      </c>
      <c r="D2073" t="s">
        <v>3713</v>
      </c>
      <c r="E2073" t="s">
        <v>3761</v>
      </c>
      <c r="F2073">
        <v>10000000</v>
      </c>
      <c r="G2073" t="s">
        <v>9349</v>
      </c>
      <c r="H2073" t="s">
        <v>242</v>
      </c>
      <c r="I2073" t="s">
        <v>242</v>
      </c>
      <c r="J2073" t="s">
        <v>242</v>
      </c>
      <c r="K2073" t="s">
        <v>242</v>
      </c>
      <c r="L2073" t="s">
        <v>241</v>
      </c>
      <c r="M2073">
        <v>38.507199999999997</v>
      </c>
      <c r="N2073">
        <v>-123.0784</v>
      </c>
      <c r="O2073">
        <v>4.3E-3</v>
      </c>
      <c r="P2073">
        <v>4.3E-3</v>
      </c>
      <c r="Q2073">
        <v>4.3E-3</v>
      </c>
      <c r="R2073">
        <v>4.3E-3</v>
      </c>
      <c r="S2073">
        <v>5.1000000000000004E-3</v>
      </c>
      <c r="T2073">
        <v>5.1000000000000004E-3</v>
      </c>
      <c r="U2073">
        <v>5.1000000000000004E-3</v>
      </c>
      <c r="V2073">
        <v>5.1000000000000004E-3</v>
      </c>
      <c r="W2073">
        <v>5.1000000000000004E-3</v>
      </c>
      <c r="X2073">
        <v>4.7000000000000002E-3</v>
      </c>
      <c r="Y2073">
        <v>4.4999999999999997E-3</v>
      </c>
      <c r="Z2073">
        <v>4.3E-3</v>
      </c>
      <c r="AA2073" t="s">
        <v>9333</v>
      </c>
      <c r="AB2073" t="s">
        <v>242</v>
      </c>
      <c r="AC2073" t="s">
        <v>3229</v>
      </c>
    </row>
    <row r="2074" spans="1:29" x14ac:dyDescent="0.25">
      <c r="A2074" t="s">
        <v>2712</v>
      </c>
      <c r="B2074" t="s">
        <v>252</v>
      </c>
      <c r="C2074" t="s">
        <v>329</v>
      </c>
      <c r="D2074" t="s">
        <v>3713</v>
      </c>
      <c r="E2074" t="s">
        <v>3761</v>
      </c>
      <c r="F2074">
        <v>10000000</v>
      </c>
      <c r="G2074" t="s">
        <v>9349</v>
      </c>
      <c r="H2074" t="s">
        <v>242</v>
      </c>
      <c r="I2074" t="s">
        <v>242</v>
      </c>
      <c r="J2074" t="s">
        <v>242</v>
      </c>
      <c r="K2074" t="s">
        <v>242</v>
      </c>
      <c r="L2074" t="s">
        <v>241</v>
      </c>
      <c r="M2074">
        <v>38.508600000000001</v>
      </c>
      <c r="N2074">
        <v>-123.0855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 t="s">
        <v>9333</v>
      </c>
      <c r="AB2074" t="s">
        <v>242</v>
      </c>
      <c r="AC2074" t="s">
        <v>3229</v>
      </c>
    </row>
    <row r="2075" spans="1:29" x14ac:dyDescent="0.25">
      <c r="A2075" t="s">
        <v>2535</v>
      </c>
      <c r="B2075" t="s">
        <v>252</v>
      </c>
      <c r="C2075" t="s">
        <v>489</v>
      </c>
      <c r="D2075" t="s">
        <v>3713</v>
      </c>
      <c r="E2075" t="s">
        <v>3761</v>
      </c>
      <c r="F2075">
        <v>10000000</v>
      </c>
      <c r="G2075" t="s">
        <v>9349</v>
      </c>
      <c r="H2075" t="s">
        <v>242</v>
      </c>
      <c r="I2075" t="s">
        <v>242</v>
      </c>
      <c r="J2075" t="s">
        <v>242</v>
      </c>
      <c r="K2075" t="s">
        <v>242</v>
      </c>
      <c r="L2075" t="s">
        <v>241</v>
      </c>
      <c r="M2075">
        <v>38.676499999999997</v>
      </c>
      <c r="N2075">
        <v>-122.94459999999999</v>
      </c>
      <c r="O2075">
        <v>0</v>
      </c>
      <c r="P2075">
        <v>1.64</v>
      </c>
      <c r="Q2075">
        <v>3.3</v>
      </c>
      <c r="R2075">
        <v>0.206666667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2</v>
      </c>
      <c r="Y2075">
        <v>0</v>
      </c>
      <c r="Z2075">
        <v>0</v>
      </c>
      <c r="AA2075" t="s">
        <v>9335</v>
      </c>
      <c r="AB2075" t="s">
        <v>242</v>
      </c>
      <c r="AC2075" t="s">
        <v>3229</v>
      </c>
    </row>
    <row r="2076" spans="1:29" x14ac:dyDescent="0.25">
      <c r="A2076" t="s">
        <v>1915</v>
      </c>
      <c r="B2076" t="s">
        <v>252</v>
      </c>
      <c r="C2076" t="s">
        <v>489</v>
      </c>
      <c r="D2076" t="s">
        <v>3713</v>
      </c>
      <c r="E2076" t="s">
        <v>3761</v>
      </c>
      <c r="F2076">
        <v>10000000</v>
      </c>
      <c r="G2076" t="s">
        <v>9349</v>
      </c>
      <c r="H2076" t="s">
        <v>242</v>
      </c>
      <c r="I2076" t="s">
        <v>242</v>
      </c>
      <c r="J2076" t="s">
        <v>242</v>
      </c>
      <c r="K2076" t="s">
        <v>242</v>
      </c>
      <c r="L2076" t="s">
        <v>241</v>
      </c>
      <c r="M2076">
        <v>38.676600000000001</v>
      </c>
      <c r="N2076">
        <v>-122.9448</v>
      </c>
      <c r="O2076">
        <v>0</v>
      </c>
      <c r="P2076">
        <v>0</v>
      </c>
      <c r="Q2076">
        <v>0</v>
      </c>
      <c r="R2076">
        <v>0.02</v>
      </c>
      <c r="S2076">
        <v>0.76</v>
      </c>
      <c r="T2076">
        <v>2.4666666670000001</v>
      </c>
      <c r="U2076">
        <v>3.7966666670000002</v>
      </c>
      <c r="V2076">
        <v>4.2</v>
      </c>
      <c r="W2076">
        <v>3.72</v>
      </c>
      <c r="X2076">
        <v>2.21</v>
      </c>
      <c r="Y2076">
        <v>0</v>
      </c>
      <c r="Z2076">
        <v>0</v>
      </c>
      <c r="AA2076" t="s">
        <v>9335</v>
      </c>
      <c r="AB2076" t="s">
        <v>242</v>
      </c>
      <c r="AC2076" t="s">
        <v>3229</v>
      </c>
    </row>
    <row r="2077" spans="1:29" x14ac:dyDescent="0.25">
      <c r="A2077" t="s">
        <v>2536</v>
      </c>
      <c r="B2077" t="s">
        <v>252</v>
      </c>
      <c r="C2077" t="s">
        <v>489</v>
      </c>
      <c r="D2077" t="s">
        <v>3713</v>
      </c>
      <c r="E2077" t="s">
        <v>3761</v>
      </c>
      <c r="F2077">
        <v>10000000</v>
      </c>
      <c r="G2077" t="s">
        <v>9349</v>
      </c>
      <c r="H2077" t="s">
        <v>242</v>
      </c>
      <c r="I2077" t="s">
        <v>242</v>
      </c>
      <c r="J2077" t="s">
        <v>242</v>
      </c>
      <c r="K2077" t="s">
        <v>242</v>
      </c>
      <c r="L2077" t="s">
        <v>241</v>
      </c>
      <c r="M2077">
        <v>38.676499999999997</v>
      </c>
      <c r="N2077">
        <v>-122.9448</v>
      </c>
      <c r="O2077">
        <v>0</v>
      </c>
      <c r="P2077">
        <v>2.29</v>
      </c>
      <c r="Q2077">
        <v>4.4000000000000004</v>
      </c>
      <c r="R2077">
        <v>8.6666667000000003E-2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2.7566666670000002</v>
      </c>
      <c r="Y2077">
        <v>0</v>
      </c>
      <c r="Z2077">
        <v>0</v>
      </c>
      <c r="AA2077" t="s">
        <v>9335</v>
      </c>
      <c r="AB2077" t="s">
        <v>242</v>
      </c>
      <c r="AC2077" t="s">
        <v>3229</v>
      </c>
    </row>
    <row r="2078" spans="1:29" x14ac:dyDescent="0.25">
      <c r="A2078" t="s">
        <v>2429</v>
      </c>
      <c r="B2078" t="s">
        <v>252</v>
      </c>
      <c r="C2078" t="s">
        <v>323</v>
      </c>
      <c r="D2078" t="s">
        <v>3713</v>
      </c>
      <c r="E2078" t="s">
        <v>3761</v>
      </c>
      <c r="F2078">
        <v>10000000</v>
      </c>
      <c r="G2078" t="s">
        <v>9349</v>
      </c>
      <c r="H2078" t="s">
        <v>242</v>
      </c>
      <c r="I2078" t="s">
        <v>242</v>
      </c>
      <c r="J2078" t="s">
        <v>242</v>
      </c>
      <c r="K2078" t="s">
        <v>242</v>
      </c>
      <c r="L2078" t="s">
        <v>241</v>
      </c>
      <c r="M2078">
        <v>38.519199999999998</v>
      </c>
      <c r="N2078">
        <v>-122.6713</v>
      </c>
      <c r="O2078">
        <v>16.866666670000001</v>
      </c>
      <c r="P2078">
        <v>0</v>
      </c>
      <c r="Q2078">
        <v>0.76666666699999997</v>
      </c>
      <c r="R2078">
        <v>3.766666667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0.3</v>
      </c>
      <c r="Z2078">
        <v>1.566666667</v>
      </c>
      <c r="AA2078" t="s">
        <v>9341</v>
      </c>
      <c r="AB2078" t="s">
        <v>242</v>
      </c>
      <c r="AC2078" t="s">
        <v>3229</v>
      </c>
    </row>
    <row r="2079" spans="1:29" x14ac:dyDescent="0.25">
      <c r="A2079" t="s">
        <v>2430</v>
      </c>
      <c r="B2079" t="s">
        <v>252</v>
      </c>
      <c r="C2079" t="s">
        <v>352</v>
      </c>
      <c r="D2079" t="s">
        <v>3713</v>
      </c>
      <c r="E2079" t="s">
        <v>3761</v>
      </c>
      <c r="F2079">
        <v>10000000</v>
      </c>
      <c r="G2079" t="s">
        <v>9349</v>
      </c>
      <c r="H2079" t="s">
        <v>242</v>
      </c>
      <c r="I2079" t="s">
        <v>242</v>
      </c>
      <c r="J2079" t="s">
        <v>242</v>
      </c>
      <c r="K2079" t="s">
        <v>242</v>
      </c>
      <c r="L2079" t="s">
        <v>241</v>
      </c>
      <c r="M2079">
        <v>38.468600000000002</v>
      </c>
      <c r="N2079">
        <v>-122.8699</v>
      </c>
      <c r="O2079">
        <v>7.9333333330000002</v>
      </c>
      <c r="P2079">
        <v>0</v>
      </c>
      <c r="Q2079">
        <v>0</v>
      </c>
      <c r="R2079">
        <v>0.66666666699999999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2.6666666669999999</v>
      </c>
      <c r="Z2079">
        <v>3.3333333E-2</v>
      </c>
      <c r="AA2079" t="s">
        <v>9335</v>
      </c>
      <c r="AB2079" t="s">
        <v>242</v>
      </c>
      <c r="AC2079" t="s">
        <v>3229</v>
      </c>
    </row>
    <row r="2080" spans="1:29" x14ac:dyDescent="0.25">
      <c r="A2080" t="s">
        <v>2433</v>
      </c>
      <c r="B2080" t="s">
        <v>252</v>
      </c>
      <c r="C2080" t="s">
        <v>391</v>
      </c>
      <c r="D2080" t="s">
        <v>3713</v>
      </c>
      <c r="E2080" t="s">
        <v>3761</v>
      </c>
      <c r="F2080">
        <v>10000000</v>
      </c>
      <c r="G2080" t="s">
        <v>9349</v>
      </c>
      <c r="H2080" t="s">
        <v>242</v>
      </c>
      <c r="I2080" t="s">
        <v>242</v>
      </c>
      <c r="J2080" t="s">
        <v>242</v>
      </c>
      <c r="K2080" t="s">
        <v>242</v>
      </c>
      <c r="L2080" t="s">
        <v>241</v>
      </c>
      <c r="M2080">
        <v>38.5291</v>
      </c>
      <c r="N2080">
        <v>-122.83710000000001</v>
      </c>
      <c r="O2080">
        <v>1.233333333</v>
      </c>
      <c r="P2080">
        <v>1.8</v>
      </c>
      <c r="Q2080">
        <v>0.53333333299999997</v>
      </c>
      <c r="R2080">
        <v>0</v>
      </c>
      <c r="S2080">
        <v>0</v>
      </c>
      <c r="T2080">
        <v>3.3333333E-2</v>
      </c>
      <c r="U2080">
        <v>0</v>
      </c>
      <c r="V2080">
        <v>0</v>
      </c>
      <c r="W2080">
        <v>0</v>
      </c>
      <c r="X2080">
        <v>0</v>
      </c>
      <c r="Y2080">
        <v>1.8</v>
      </c>
      <c r="Z2080">
        <v>2.6</v>
      </c>
      <c r="AA2080" t="s">
        <v>9341</v>
      </c>
      <c r="AB2080" t="s">
        <v>242</v>
      </c>
      <c r="AC2080" t="s">
        <v>3229</v>
      </c>
    </row>
    <row r="2081" spans="1:29" x14ac:dyDescent="0.25">
      <c r="A2081" t="s">
        <v>2436</v>
      </c>
      <c r="B2081" t="s">
        <v>252</v>
      </c>
      <c r="C2081" t="s">
        <v>378</v>
      </c>
      <c r="D2081" t="s">
        <v>3713</v>
      </c>
      <c r="E2081" t="s">
        <v>3761</v>
      </c>
      <c r="F2081">
        <v>10000000</v>
      </c>
      <c r="G2081" t="s">
        <v>9349</v>
      </c>
      <c r="H2081" t="s">
        <v>242</v>
      </c>
      <c r="I2081" t="s">
        <v>242</v>
      </c>
      <c r="J2081" t="s">
        <v>242</v>
      </c>
      <c r="K2081" t="s">
        <v>242</v>
      </c>
      <c r="L2081" t="s">
        <v>241</v>
      </c>
      <c r="M2081">
        <v>38.501899999999999</v>
      </c>
      <c r="N2081">
        <v>-122.69280000000001</v>
      </c>
      <c r="O2081">
        <v>0</v>
      </c>
      <c r="P2081">
        <v>0</v>
      </c>
      <c r="Q2081">
        <v>2.4333333330000002</v>
      </c>
      <c r="R2081">
        <v>0.43333333299999999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1.266666667</v>
      </c>
      <c r="Z2081">
        <v>0</v>
      </c>
      <c r="AA2081" t="s">
        <v>9343</v>
      </c>
      <c r="AB2081" t="s">
        <v>242</v>
      </c>
      <c r="AC2081" t="s">
        <v>3229</v>
      </c>
    </row>
    <row r="2082" spans="1:29" x14ac:dyDescent="0.25">
      <c r="A2082" t="s">
        <v>2438</v>
      </c>
      <c r="B2082" t="s">
        <v>252</v>
      </c>
      <c r="C2082" t="s">
        <v>378</v>
      </c>
      <c r="D2082" t="s">
        <v>3713</v>
      </c>
      <c r="E2082" t="s">
        <v>3761</v>
      </c>
      <c r="F2082">
        <v>10000000</v>
      </c>
      <c r="G2082" t="s">
        <v>9349</v>
      </c>
      <c r="H2082" t="s">
        <v>242</v>
      </c>
      <c r="I2082" t="s">
        <v>242</v>
      </c>
      <c r="J2082" t="s">
        <v>242</v>
      </c>
      <c r="K2082" t="s">
        <v>242</v>
      </c>
      <c r="L2082" t="s">
        <v>241</v>
      </c>
      <c r="M2082">
        <v>38.502400000000002</v>
      </c>
      <c r="N2082">
        <v>-122.6949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 t="s">
        <v>9343</v>
      </c>
      <c r="AB2082" t="s">
        <v>242</v>
      </c>
      <c r="AC2082" t="s">
        <v>3229</v>
      </c>
    </row>
    <row r="2083" spans="1:29" x14ac:dyDescent="0.25">
      <c r="A2083" t="s">
        <v>2070</v>
      </c>
      <c r="B2083" t="s">
        <v>252</v>
      </c>
      <c r="C2083" t="s">
        <v>394</v>
      </c>
      <c r="D2083" t="s">
        <v>3713</v>
      </c>
      <c r="E2083" t="s">
        <v>3761</v>
      </c>
      <c r="F2083">
        <v>10000000</v>
      </c>
      <c r="G2083" t="s">
        <v>9349</v>
      </c>
      <c r="H2083" t="s">
        <v>242</v>
      </c>
      <c r="I2083" t="s">
        <v>242</v>
      </c>
      <c r="J2083" t="s">
        <v>242</v>
      </c>
      <c r="K2083" t="s">
        <v>242</v>
      </c>
      <c r="L2083" t="s">
        <v>241</v>
      </c>
      <c r="M2083">
        <v>38.5989</v>
      </c>
      <c r="N2083">
        <v>-122.87869999999999</v>
      </c>
      <c r="O2083">
        <v>0.163333333</v>
      </c>
      <c r="P2083">
        <v>0.163333333</v>
      </c>
      <c r="Q2083">
        <v>0.163333333</v>
      </c>
      <c r="R2083">
        <v>0.18666666700000001</v>
      </c>
      <c r="S2083">
        <v>0.21</v>
      </c>
      <c r="T2083">
        <v>0.926666667</v>
      </c>
      <c r="U2083">
        <v>1.276666667</v>
      </c>
      <c r="V2083">
        <v>1.51</v>
      </c>
      <c r="W2083">
        <v>1.5433333330000001</v>
      </c>
      <c r="X2083">
        <v>1.086666667</v>
      </c>
      <c r="Y2083">
        <v>0.27333333300000001</v>
      </c>
      <c r="Z2083">
        <v>0.12</v>
      </c>
      <c r="AA2083" t="s">
        <v>9333</v>
      </c>
      <c r="AB2083" t="s">
        <v>242</v>
      </c>
      <c r="AC2083" t="s">
        <v>3229</v>
      </c>
    </row>
    <row r="2084" spans="1:29" x14ac:dyDescent="0.25">
      <c r="A2084" t="s">
        <v>2716</v>
      </c>
      <c r="B2084" t="s">
        <v>252</v>
      </c>
      <c r="C2084" t="s">
        <v>394</v>
      </c>
      <c r="D2084" t="s">
        <v>3713</v>
      </c>
      <c r="E2084" t="s">
        <v>3761</v>
      </c>
      <c r="F2084">
        <v>10000000</v>
      </c>
      <c r="G2084" t="s">
        <v>9349</v>
      </c>
      <c r="H2084" t="s">
        <v>242</v>
      </c>
      <c r="I2084" t="s">
        <v>242</v>
      </c>
      <c r="J2084" t="s">
        <v>242</v>
      </c>
      <c r="K2084" t="s">
        <v>242</v>
      </c>
      <c r="L2084" t="s">
        <v>241</v>
      </c>
      <c r="M2084">
        <v>38.595300000000002</v>
      </c>
      <c r="N2084">
        <v>-122.89239999999999</v>
      </c>
      <c r="O2084">
        <v>4.6666666670000003</v>
      </c>
      <c r="P2084">
        <v>5</v>
      </c>
      <c r="Q2084">
        <v>3.4166666669999999</v>
      </c>
      <c r="R2084">
        <v>0.75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6.6666666999999999E-2</v>
      </c>
      <c r="Y2084">
        <v>3.233333333</v>
      </c>
      <c r="Z2084">
        <v>3.766666667</v>
      </c>
      <c r="AA2084" t="s">
        <v>9335</v>
      </c>
      <c r="AB2084" t="s">
        <v>242</v>
      </c>
      <c r="AC2084" t="s">
        <v>3229</v>
      </c>
    </row>
    <row r="2085" spans="1:29" x14ac:dyDescent="0.25">
      <c r="A2085" t="s">
        <v>2721</v>
      </c>
      <c r="B2085" t="s">
        <v>252</v>
      </c>
      <c r="C2085" t="s">
        <v>394</v>
      </c>
      <c r="D2085" t="s">
        <v>3713</v>
      </c>
      <c r="E2085" t="s">
        <v>3761</v>
      </c>
      <c r="F2085">
        <v>10000000</v>
      </c>
      <c r="G2085" t="s">
        <v>9349</v>
      </c>
      <c r="H2085" t="s">
        <v>242</v>
      </c>
      <c r="I2085" t="s">
        <v>242</v>
      </c>
      <c r="J2085" t="s">
        <v>242</v>
      </c>
      <c r="K2085" t="s">
        <v>242</v>
      </c>
      <c r="L2085" t="s">
        <v>241</v>
      </c>
      <c r="M2085">
        <v>38.592399999999998</v>
      </c>
      <c r="N2085">
        <v>-122.89579999999999</v>
      </c>
      <c r="O2085">
        <v>3.95</v>
      </c>
      <c r="P2085">
        <v>5.0999999999999996</v>
      </c>
      <c r="Q2085">
        <v>1.8333333329999999</v>
      </c>
      <c r="R2085">
        <v>0.8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0.1</v>
      </c>
      <c r="Y2085">
        <v>3.5833333330000001</v>
      </c>
      <c r="Z2085">
        <v>5.3</v>
      </c>
      <c r="AA2085" t="s">
        <v>9335</v>
      </c>
      <c r="AB2085" t="s">
        <v>242</v>
      </c>
      <c r="AC2085" t="s">
        <v>3229</v>
      </c>
    </row>
    <row r="2086" spans="1:29" x14ac:dyDescent="0.25">
      <c r="A2086" t="s">
        <v>2722</v>
      </c>
      <c r="B2086" t="s">
        <v>252</v>
      </c>
      <c r="C2086" t="s">
        <v>394</v>
      </c>
      <c r="D2086" t="s">
        <v>3713</v>
      </c>
      <c r="E2086" t="s">
        <v>3761</v>
      </c>
      <c r="F2086">
        <v>10000000</v>
      </c>
      <c r="G2086" t="s">
        <v>9349</v>
      </c>
      <c r="H2086" t="s">
        <v>242</v>
      </c>
      <c r="I2086" t="s">
        <v>242</v>
      </c>
      <c r="J2086" t="s">
        <v>242</v>
      </c>
      <c r="K2086" t="s">
        <v>242</v>
      </c>
      <c r="L2086" t="s">
        <v>241</v>
      </c>
      <c r="M2086">
        <v>38.590800000000002</v>
      </c>
      <c r="N2086">
        <v>-122.9006</v>
      </c>
      <c r="O2086">
        <v>3.0666666669999998</v>
      </c>
      <c r="P2086">
        <v>0.4</v>
      </c>
      <c r="Q2086">
        <v>0.63333333300000005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6.6666666999999999E-2</v>
      </c>
      <c r="Y2086">
        <v>2.2000000000000002</v>
      </c>
      <c r="Z2086">
        <v>3.0333333329999999</v>
      </c>
      <c r="AA2086" t="s">
        <v>9335</v>
      </c>
      <c r="AB2086" t="s">
        <v>242</v>
      </c>
      <c r="AC2086" t="s">
        <v>3229</v>
      </c>
    </row>
    <row r="2087" spans="1:29" x14ac:dyDescent="0.25">
      <c r="A2087" t="s">
        <v>2455</v>
      </c>
      <c r="B2087" t="s">
        <v>252</v>
      </c>
      <c r="C2087" t="s">
        <v>725</v>
      </c>
      <c r="D2087" t="s">
        <v>3713</v>
      </c>
      <c r="E2087" t="s">
        <v>3761</v>
      </c>
      <c r="F2087">
        <v>10000000</v>
      </c>
      <c r="G2087" t="s">
        <v>9349</v>
      </c>
      <c r="H2087" t="s">
        <v>242</v>
      </c>
      <c r="I2087" t="s">
        <v>242</v>
      </c>
      <c r="J2087" t="s">
        <v>242</v>
      </c>
      <c r="K2087" t="s">
        <v>242</v>
      </c>
      <c r="L2087" t="s">
        <v>241</v>
      </c>
      <c r="M2087">
        <v>38.482399999999998</v>
      </c>
      <c r="N2087">
        <v>-122.73050000000001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 t="s">
        <v>9333</v>
      </c>
      <c r="AB2087" t="s">
        <v>242</v>
      </c>
      <c r="AC2087" t="s">
        <v>3229</v>
      </c>
    </row>
    <row r="2088" spans="1:29" x14ac:dyDescent="0.25">
      <c r="A2088" t="s">
        <v>2457</v>
      </c>
      <c r="B2088" t="s">
        <v>252</v>
      </c>
      <c r="C2088" t="s">
        <v>486</v>
      </c>
      <c r="D2088" t="s">
        <v>3713</v>
      </c>
      <c r="E2088" t="s">
        <v>3761</v>
      </c>
      <c r="F2088">
        <v>10000000</v>
      </c>
      <c r="G2088" t="s">
        <v>9349</v>
      </c>
      <c r="H2088" t="s">
        <v>241</v>
      </c>
      <c r="I2088" t="s">
        <v>242</v>
      </c>
      <c r="J2088" t="s">
        <v>242</v>
      </c>
      <c r="K2088" t="s">
        <v>242</v>
      </c>
      <c r="L2088" t="s">
        <v>241</v>
      </c>
      <c r="M2088">
        <v>38.584299999999999</v>
      </c>
      <c r="N2088">
        <v>-122.8565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0.86666666699999995</v>
      </c>
      <c r="W2088">
        <v>0</v>
      </c>
      <c r="X2088">
        <v>4.1333333330000004</v>
      </c>
      <c r="Y2088">
        <v>0</v>
      </c>
      <c r="Z2088">
        <v>0</v>
      </c>
      <c r="AA2088" t="s">
        <v>9343</v>
      </c>
      <c r="AB2088" t="s">
        <v>242</v>
      </c>
      <c r="AC2088" t="s">
        <v>3229</v>
      </c>
    </row>
    <row r="2089" spans="1:29" x14ac:dyDescent="0.25">
      <c r="A2089" t="s">
        <v>2458</v>
      </c>
      <c r="B2089" t="s">
        <v>252</v>
      </c>
      <c r="C2089" t="s">
        <v>391</v>
      </c>
      <c r="D2089" t="s">
        <v>3713</v>
      </c>
      <c r="E2089" t="s">
        <v>3761</v>
      </c>
      <c r="F2089">
        <v>10000000</v>
      </c>
      <c r="G2089" t="s">
        <v>9349</v>
      </c>
      <c r="H2089" t="s">
        <v>242</v>
      </c>
      <c r="I2089" t="s">
        <v>242</v>
      </c>
      <c r="J2089" t="s">
        <v>242</v>
      </c>
      <c r="K2089" t="s">
        <v>242</v>
      </c>
      <c r="L2089" t="s">
        <v>241</v>
      </c>
      <c r="M2089">
        <v>38.567900000000002</v>
      </c>
      <c r="N2089">
        <v>-122.80410000000001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 t="s">
        <v>9335</v>
      </c>
      <c r="AB2089" t="s">
        <v>242</v>
      </c>
      <c r="AC2089" t="s">
        <v>3229</v>
      </c>
    </row>
    <row r="2090" spans="1:29" x14ac:dyDescent="0.25">
      <c r="A2090" t="s">
        <v>2459</v>
      </c>
      <c r="B2090" t="s">
        <v>252</v>
      </c>
      <c r="C2090" t="s">
        <v>486</v>
      </c>
      <c r="D2090" t="s">
        <v>3713</v>
      </c>
      <c r="E2090" t="s">
        <v>3761</v>
      </c>
      <c r="F2090">
        <v>10000000</v>
      </c>
      <c r="G2090" t="s">
        <v>9349</v>
      </c>
      <c r="H2090" t="s">
        <v>241</v>
      </c>
      <c r="I2090" t="s">
        <v>242</v>
      </c>
      <c r="J2090" t="s">
        <v>242</v>
      </c>
      <c r="K2090" t="s">
        <v>242</v>
      </c>
      <c r="L2090" t="s">
        <v>241</v>
      </c>
      <c r="M2090">
        <v>38.586399999999998</v>
      </c>
      <c r="N2090">
        <v>-122.85639999999999</v>
      </c>
      <c r="O2090">
        <v>6.6666670000000003E-3</v>
      </c>
      <c r="P2090">
        <v>0.01</v>
      </c>
      <c r="Q2090">
        <v>0</v>
      </c>
      <c r="R2090">
        <v>0</v>
      </c>
      <c r="S2090">
        <v>0</v>
      </c>
      <c r="T2090">
        <v>4.4733333330000002</v>
      </c>
      <c r="U2090">
        <v>11.643333330000001</v>
      </c>
      <c r="V2090">
        <v>16.16333333</v>
      </c>
      <c r="W2090">
        <v>15.15</v>
      </c>
      <c r="X2090">
        <v>16.059999999999999</v>
      </c>
      <c r="Y2090">
        <v>2.1796666669999998</v>
      </c>
      <c r="Z2090">
        <v>0.83933333300000001</v>
      </c>
      <c r="AA2090" t="s">
        <v>9335</v>
      </c>
      <c r="AB2090" t="s">
        <v>242</v>
      </c>
      <c r="AC2090" t="s">
        <v>3229</v>
      </c>
    </row>
    <row r="2091" spans="1:29" x14ac:dyDescent="0.25">
      <c r="A2091" t="s">
        <v>2540</v>
      </c>
      <c r="B2091" t="s">
        <v>252</v>
      </c>
      <c r="C2091" t="s">
        <v>489</v>
      </c>
      <c r="D2091" t="s">
        <v>3713</v>
      </c>
      <c r="E2091" t="s">
        <v>3761</v>
      </c>
      <c r="F2091">
        <v>10000000</v>
      </c>
      <c r="G2091" t="s">
        <v>9349</v>
      </c>
      <c r="H2091" t="s">
        <v>242</v>
      </c>
      <c r="I2091" t="s">
        <v>242</v>
      </c>
      <c r="J2091" t="s">
        <v>242</v>
      </c>
      <c r="K2091" t="s">
        <v>242</v>
      </c>
      <c r="L2091" t="s">
        <v>241</v>
      </c>
      <c r="M2091">
        <v>38.659399999999998</v>
      </c>
      <c r="N2091">
        <v>-122.95099999999999</v>
      </c>
      <c r="O2091">
        <v>5.25</v>
      </c>
      <c r="P2091">
        <v>0.55333333299999998</v>
      </c>
      <c r="Q2091">
        <v>3.2166666670000001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5.2</v>
      </c>
      <c r="Z2091">
        <v>12.34333333</v>
      </c>
      <c r="AA2091" t="s">
        <v>9335</v>
      </c>
      <c r="AB2091" t="s">
        <v>242</v>
      </c>
      <c r="AC2091" t="s">
        <v>3229</v>
      </c>
    </row>
    <row r="2092" spans="1:29" x14ac:dyDescent="0.25">
      <c r="A2092" t="s">
        <v>1997</v>
      </c>
      <c r="B2092" t="s">
        <v>252</v>
      </c>
      <c r="C2092" t="s">
        <v>394</v>
      </c>
      <c r="D2092" t="s">
        <v>3713</v>
      </c>
      <c r="E2092" t="s">
        <v>3761</v>
      </c>
      <c r="F2092">
        <v>10000000</v>
      </c>
      <c r="G2092" t="s">
        <v>9349</v>
      </c>
      <c r="H2092" t="s">
        <v>242</v>
      </c>
      <c r="I2092" t="s">
        <v>242</v>
      </c>
      <c r="J2092" t="s">
        <v>242</v>
      </c>
      <c r="K2092" t="s">
        <v>242</v>
      </c>
      <c r="L2092" t="s">
        <v>241</v>
      </c>
      <c r="M2092">
        <v>38.586100000000002</v>
      </c>
      <c r="N2092">
        <v>-122.876</v>
      </c>
      <c r="O2092">
        <v>0.02</v>
      </c>
      <c r="P2092">
        <v>4.3333333000000002E-2</v>
      </c>
      <c r="Q2092">
        <v>0.12</v>
      </c>
      <c r="R2092">
        <v>0.16</v>
      </c>
      <c r="S2092">
        <v>0.556666667</v>
      </c>
      <c r="T2092">
        <v>1.086666667</v>
      </c>
      <c r="U2092">
        <v>2.923333333</v>
      </c>
      <c r="V2092">
        <v>1.836666667</v>
      </c>
      <c r="W2092">
        <v>1.586666667</v>
      </c>
      <c r="X2092">
        <v>0.59</v>
      </c>
      <c r="Y2092">
        <v>0.116666667</v>
      </c>
      <c r="Z2092">
        <v>7.3333333000000001E-2</v>
      </c>
      <c r="AA2092" t="s">
        <v>9335</v>
      </c>
      <c r="AB2092" t="s">
        <v>242</v>
      </c>
      <c r="AC2092" t="s">
        <v>3229</v>
      </c>
    </row>
    <row r="2093" spans="1:29" x14ac:dyDescent="0.25">
      <c r="A2093" t="s">
        <v>2442</v>
      </c>
      <c r="B2093" t="s">
        <v>252</v>
      </c>
      <c r="C2093" t="s">
        <v>394</v>
      </c>
      <c r="D2093" t="s">
        <v>3713</v>
      </c>
      <c r="E2093" t="s">
        <v>3761</v>
      </c>
      <c r="F2093">
        <v>10000000</v>
      </c>
      <c r="G2093" t="s">
        <v>9349</v>
      </c>
      <c r="H2093" t="s">
        <v>242</v>
      </c>
      <c r="I2093" t="s">
        <v>242</v>
      </c>
      <c r="J2093" t="s">
        <v>242</v>
      </c>
      <c r="K2093" t="s">
        <v>242</v>
      </c>
      <c r="L2093" t="s">
        <v>241</v>
      </c>
      <c r="M2093">
        <v>38.638300000000001</v>
      </c>
      <c r="N2093">
        <v>-122.87430000000001</v>
      </c>
      <c r="O2093">
        <v>0</v>
      </c>
      <c r="P2093">
        <v>0</v>
      </c>
      <c r="Q2093">
        <v>0</v>
      </c>
      <c r="R2093">
        <v>0</v>
      </c>
      <c r="S2093">
        <v>2.9154442999999999E-2</v>
      </c>
      <c r="T2093">
        <v>2.9154442999999999E-2</v>
      </c>
      <c r="U2093">
        <v>2.9154442999999999E-2</v>
      </c>
      <c r="V2093">
        <v>2.9154442999999999E-2</v>
      </c>
      <c r="W2093">
        <v>2.9154442999999999E-2</v>
      </c>
      <c r="X2093">
        <v>2.9154442999999999E-2</v>
      </c>
      <c r="Y2093">
        <v>0</v>
      </c>
      <c r="Z2093">
        <v>0</v>
      </c>
      <c r="AA2093" t="s">
        <v>9339</v>
      </c>
      <c r="AB2093" t="s">
        <v>242</v>
      </c>
      <c r="AC2093" t="s">
        <v>3229</v>
      </c>
    </row>
    <row r="2094" spans="1:29" x14ac:dyDescent="0.25">
      <c r="A2094" t="s">
        <v>2541</v>
      </c>
      <c r="B2094" t="s">
        <v>252</v>
      </c>
      <c r="C2094" t="s">
        <v>489</v>
      </c>
      <c r="D2094" t="s">
        <v>3713</v>
      </c>
      <c r="E2094" t="s">
        <v>3761</v>
      </c>
      <c r="F2094">
        <v>10000000</v>
      </c>
      <c r="G2094" t="s">
        <v>9349</v>
      </c>
      <c r="H2094" t="s">
        <v>242</v>
      </c>
      <c r="I2094" t="s">
        <v>242</v>
      </c>
      <c r="J2094" t="s">
        <v>242</v>
      </c>
      <c r="K2094" t="s">
        <v>242</v>
      </c>
      <c r="L2094" t="s">
        <v>241</v>
      </c>
      <c r="M2094">
        <v>38.665799999999997</v>
      </c>
      <c r="N2094">
        <v>-122.9409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 t="s">
        <v>9335</v>
      </c>
      <c r="AB2094" t="s">
        <v>242</v>
      </c>
      <c r="AC2094" t="s">
        <v>3229</v>
      </c>
    </row>
    <row r="2095" spans="1:29" x14ac:dyDescent="0.25">
      <c r="A2095" t="s">
        <v>2498</v>
      </c>
      <c r="B2095" t="s">
        <v>252</v>
      </c>
      <c r="C2095" t="s">
        <v>352</v>
      </c>
      <c r="D2095" t="s">
        <v>3713</v>
      </c>
      <c r="E2095" t="s">
        <v>3761</v>
      </c>
      <c r="F2095">
        <v>10000000</v>
      </c>
      <c r="G2095" t="s">
        <v>9349</v>
      </c>
      <c r="H2095" t="s">
        <v>241</v>
      </c>
      <c r="I2095" t="s">
        <v>242</v>
      </c>
      <c r="J2095" t="s">
        <v>242</v>
      </c>
      <c r="K2095" t="s">
        <v>242</v>
      </c>
      <c r="L2095" t="s">
        <v>241</v>
      </c>
      <c r="M2095">
        <v>38.4968</v>
      </c>
      <c r="N2095">
        <v>-122.88679999999999</v>
      </c>
      <c r="O2095">
        <v>0</v>
      </c>
      <c r="P2095">
        <v>0.56666666700000001</v>
      </c>
      <c r="Q2095">
        <v>1.8666666670000001</v>
      </c>
      <c r="R2095">
        <v>0.133333333</v>
      </c>
      <c r="S2095">
        <v>0</v>
      </c>
      <c r="T2095">
        <v>0</v>
      </c>
      <c r="U2095">
        <v>0</v>
      </c>
      <c r="V2095">
        <v>0</v>
      </c>
      <c r="W2095">
        <v>4.8333333329999997</v>
      </c>
      <c r="X2095">
        <v>2.8666666670000001</v>
      </c>
      <c r="Y2095">
        <v>1.733333333</v>
      </c>
      <c r="Z2095">
        <v>0</v>
      </c>
      <c r="AA2095" t="s">
        <v>9343</v>
      </c>
      <c r="AB2095" t="s">
        <v>242</v>
      </c>
      <c r="AC2095" t="s">
        <v>3229</v>
      </c>
    </row>
    <row r="2096" spans="1:29" x14ac:dyDescent="0.25">
      <c r="A2096" t="s">
        <v>2508</v>
      </c>
      <c r="B2096" t="s">
        <v>252</v>
      </c>
      <c r="C2096" t="s">
        <v>493</v>
      </c>
      <c r="D2096" t="s">
        <v>3713</v>
      </c>
      <c r="E2096" t="s">
        <v>3761</v>
      </c>
      <c r="F2096">
        <v>10000000</v>
      </c>
      <c r="G2096" t="s">
        <v>9349</v>
      </c>
      <c r="H2096" t="s">
        <v>242</v>
      </c>
      <c r="I2096" t="s">
        <v>242</v>
      </c>
      <c r="J2096" t="s">
        <v>242</v>
      </c>
      <c r="K2096" t="s">
        <v>242</v>
      </c>
      <c r="L2096" t="s">
        <v>241</v>
      </c>
      <c r="M2096">
        <v>38.6999</v>
      </c>
      <c r="N2096">
        <v>-122.9599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 t="s">
        <v>9335</v>
      </c>
      <c r="AB2096" t="s">
        <v>242</v>
      </c>
      <c r="AC2096" t="s">
        <v>3229</v>
      </c>
    </row>
    <row r="2097" spans="1:29" x14ac:dyDescent="0.25">
      <c r="A2097" t="s">
        <v>2532</v>
      </c>
      <c r="B2097" t="s">
        <v>252</v>
      </c>
      <c r="C2097" t="s">
        <v>352</v>
      </c>
      <c r="D2097" t="s">
        <v>3713</v>
      </c>
      <c r="E2097" t="s">
        <v>3761</v>
      </c>
      <c r="F2097">
        <v>10000000</v>
      </c>
      <c r="G2097" t="s">
        <v>9349</v>
      </c>
      <c r="H2097" t="s">
        <v>242</v>
      </c>
      <c r="I2097" t="s">
        <v>242</v>
      </c>
      <c r="J2097" t="s">
        <v>242</v>
      </c>
      <c r="K2097" t="s">
        <v>242</v>
      </c>
      <c r="L2097" t="s">
        <v>241</v>
      </c>
      <c r="M2097">
        <v>38.562800000000003</v>
      </c>
      <c r="N2097">
        <v>-122.9759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 t="s">
        <v>9335</v>
      </c>
      <c r="AB2097" t="s">
        <v>242</v>
      </c>
      <c r="AC2097" t="s">
        <v>3229</v>
      </c>
    </row>
    <row r="2098" spans="1:29" x14ac:dyDescent="0.25">
      <c r="A2098" t="s">
        <v>2170</v>
      </c>
      <c r="B2098" t="s">
        <v>252</v>
      </c>
      <c r="C2098" t="s">
        <v>489</v>
      </c>
      <c r="D2098" t="s">
        <v>3713</v>
      </c>
      <c r="E2098" t="s">
        <v>3761</v>
      </c>
      <c r="F2098">
        <v>10000000</v>
      </c>
      <c r="G2098" t="s">
        <v>9349</v>
      </c>
      <c r="H2098" t="s">
        <v>242</v>
      </c>
      <c r="I2098" t="s">
        <v>242</v>
      </c>
      <c r="J2098" t="s">
        <v>242</v>
      </c>
      <c r="K2098" t="s">
        <v>242</v>
      </c>
      <c r="L2098" t="s">
        <v>241</v>
      </c>
      <c r="M2098">
        <v>38.661999999999999</v>
      </c>
      <c r="N2098">
        <v>-122.9348</v>
      </c>
      <c r="O2098">
        <v>0</v>
      </c>
      <c r="P2098">
        <v>0</v>
      </c>
      <c r="Q2098">
        <v>6.6666666999999999E-2</v>
      </c>
      <c r="R2098">
        <v>0.1</v>
      </c>
      <c r="S2098">
        <v>0.1</v>
      </c>
      <c r="T2098">
        <v>1.2</v>
      </c>
      <c r="U2098">
        <v>1.2</v>
      </c>
      <c r="V2098">
        <v>1.266666667</v>
      </c>
      <c r="W2098">
        <v>1.1333333329999999</v>
      </c>
      <c r="X2098">
        <v>1</v>
      </c>
      <c r="Y2098">
        <v>0</v>
      </c>
      <c r="Z2098">
        <v>0</v>
      </c>
      <c r="AA2098" t="s">
        <v>9335</v>
      </c>
      <c r="AB2098" t="s">
        <v>242</v>
      </c>
      <c r="AC2098" t="s">
        <v>3229</v>
      </c>
    </row>
    <row r="2099" spans="1:29" x14ac:dyDescent="0.25">
      <c r="A2099" t="s">
        <v>2143</v>
      </c>
      <c r="B2099" t="s">
        <v>252</v>
      </c>
      <c r="C2099" t="s">
        <v>489</v>
      </c>
      <c r="D2099" t="s">
        <v>3713</v>
      </c>
      <c r="E2099" t="s">
        <v>3761</v>
      </c>
      <c r="F2099">
        <v>10000000</v>
      </c>
      <c r="G2099" t="s">
        <v>9349</v>
      </c>
      <c r="H2099" t="s">
        <v>242</v>
      </c>
      <c r="I2099" t="s">
        <v>242</v>
      </c>
      <c r="J2099" t="s">
        <v>242</v>
      </c>
      <c r="K2099" t="s">
        <v>242</v>
      </c>
      <c r="L2099" t="s">
        <v>241</v>
      </c>
      <c r="M2099">
        <v>38.689700000000002</v>
      </c>
      <c r="N2099">
        <v>-122.9569</v>
      </c>
      <c r="O2099">
        <v>0</v>
      </c>
      <c r="P2099">
        <v>0</v>
      </c>
      <c r="Q2099">
        <v>0.41666666699999999</v>
      </c>
      <c r="R2099">
        <v>0.16666666699999999</v>
      </c>
      <c r="S2099">
        <v>8.3333332999999996E-2</v>
      </c>
      <c r="T2099">
        <v>1.1666666670000001</v>
      </c>
      <c r="U2099">
        <v>1.5833333329999999</v>
      </c>
      <c r="V2099">
        <v>2</v>
      </c>
      <c r="W2099">
        <v>2.5</v>
      </c>
      <c r="X2099">
        <v>2.0666666669999998</v>
      </c>
      <c r="Y2099">
        <v>8.3333332999999996E-2</v>
      </c>
      <c r="Z2099">
        <v>0</v>
      </c>
      <c r="AA2099" t="s">
        <v>9335</v>
      </c>
      <c r="AB2099" t="s">
        <v>242</v>
      </c>
      <c r="AC2099" t="s">
        <v>3229</v>
      </c>
    </row>
    <row r="2100" spans="1:29" x14ac:dyDescent="0.25">
      <c r="A2100" t="s">
        <v>2568</v>
      </c>
      <c r="B2100" t="s">
        <v>252</v>
      </c>
      <c r="C2100" t="s">
        <v>489</v>
      </c>
      <c r="D2100" t="s">
        <v>3713</v>
      </c>
      <c r="E2100" t="s">
        <v>3761</v>
      </c>
      <c r="F2100">
        <v>10000000</v>
      </c>
      <c r="G2100" t="s">
        <v>9349</v>
      </c>
      <c r="H2100" t="s">
        <v>242</v>
      </c>
      <c r="I2100" t="s">
        <v>242</v>
      </c>
      <c r="J2100" t="s">
        <v>242</v>
      </c>
      <c r="K2100" t="s">
        <v>242</v>
      </c>
      <c r="L2100" t="s">
        <v>241</v>
      </c>
      <c r="M2100">
        <v>38.691099999999999</v>
      </c>
      <c r="N2100">
        <v>-122.95610000000001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 t="s">
        <v>9335</v>
      </c>
      <c r="AB2100" t="s">
        <v>242</v>
      </c>
      <c r="AC2100" t="s">
        <v>3229</v>
      </c>
    </row>
    <row r="2101" spans="1:29" x14ac:dyDescent="0.25">
      <c r="A2101" t="s">
        <v>2623</v>
      </c>
      <c r="B2101" t="s">
        <v>252</v>
      </c>
      <c r="C2101" t="s">
        <v>489</v>
      </c>
      <c r="D2101" t="s">
        <v>3713</v>
      </c>
      <c r="E2101" t="s">
        <v>3761</v>
      </c>
      <c r="F2101">
        <v>10000000</v>
      </c>
      <c r="G2101" t="s">
        <v>9349</v>
      </c>
      <c r="H2101" t="s">
        <v>242</v>
      </c>
      <c r="I2101" t="s">
        <v>242</v>
      </c>
      <c r="J2101" t="s">
        <v>242</v>
      </c>
      <c r="K2101" t="s">
        <v>242</v>
      </c>
      <c r="L2101" t="s">
        <v>241</v>
      </c>
      <c r="M2101">
        <v>38.6935</v>
      </c>
      <c r="N2101">
        <v>-122.9558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 t="s">
        <v>9335</v>
      </c>
      <c r="AB2101" t="s">
        <v>242</v>
      </c>
      <c r="AC2101" t="s">
        <v>3229</v>
      </c>
    </row>
    <row r="2102" spans="1:29" x14ac:dyDescent="0.25">
      <c r="A2102" t="s">
        <v>2563</v>
      </c>
      <c r="B2102" t="s">
        <v>252</v>
      </c>
      <c r="C2102" t="s">
        <v>486</v>
      </c>
      <c r="D2102" t="s">
        <v>3713</v>
      </c>
      <c r="E2102" t="s">
        <v>3761</v>
      </c>
      <c r="F2102">
        <v>10000000</v>
      </c>
      <c r="G2102" t="s">
        <v>9349</v>
      </c>
      <c r="H2102" t="s">
        <v>241</v>
      </c>
      <c r="I2102" t="s">
        <v>242</v>
      </c>
      <c r="J2102" t="s">
        <v>242</v>
      </c>
      <c r="K2102" t="s">
        <v>242</v>
      </c>
      <c r="L2102" t="s">
        <v>241</v>
      </c>
      <c r="M2102">
        <v>38.529499999999999</v>
      </c>
      <c r="N2102">
        <v>-122.8642</v>
      </c>
      <c r="O2102">
        <v>0.46666666699999998</v>
      </c>
      <c r="P2102">
        <v>0.233333333</v>
      </c>
      <c r="Q2102">
        <v>0.2</v>
      </c>
      <c r="R2102">
        <v>0.26666666700000002</v>
      </c>
      <c r="S2102">
        <v>0.5</v>
      </c>
      <c r="T2102">
        <v>1.766666667</v>
      </c>
      <c r="U2102">
        <v>3.1</v>
      </c>
      <c r="V2102">
        <v>2.6</v>
      </c>
      <c r="W2102">
        <v>2.5333333329999999</v>
      </c>
      <c r="X2102">
        <v>0.9</v>
      </c>
      <c r="Y2102">
        <v>0.33333333300000001</v>
      </c>
      <c r="Z2102">
        <v>0.3</v>
      </c>
      <c r="AA2102" t="s">
        <v>9335</v>
      </c>
      <c r="AB2102" t="s">
        <v>242</v>
      </c>
      <c r="AC2102" t="s">
        <v>3229</v>
      </c>
    </row>
    <row r="2103" spans="1:29" x14ac:dyDescent="0.25">
      <c r="A2103" t="s">
        <v>2564</v>
      </c>
      <c r="B2103" t="s">
        <v>252</v>
      </c>
      <c r="C2103" t="s">
        <v>486</v>
      </c>
      <c r="D2103" t="s">
        <v>3713</v>
      </c>
      <c r="E2103" t="s">
        <v>3761</v>
      </c>
      <c r="F2103">
        <v>10000000</v>
      </c>
      <c r="G2103" t="s">
        <v>9349</v>
      </c>
      <c r="H2103" t="s">
        <v>241</v>
      </c>
      <c r="I2103" t="s">
        <v>242</v>
      </c>
      <c r="J2103" t="s">
        <v>242</v>
      </c>
      <c r="K2103" t="s">
        <v>242</v>
      </c>
      <c r="L2103" t="s">
        <v>241</v>
      </c>
      <c r="M2103">
        <v>38.529899999999998</v>
      </c>
      <c r="N2103">
        <v>-122.8642</v>
      </c>
      <c r="O2103">
        <v>0.2</v>
      </c>
      <c r="P2103">
        <v>0.16666666699999999</v>
      </c>
      <c r="Q2103">
        <v>0.26666666700000002</v>
      </c>
      <c r="R2103">
        <v>0.233333333</v>
      </c>
      <c r="S2103">
        <v>0.63333333300000005</v>
      </c>
      <c r="T2103">
        <v>1</v>
      </c>
      <c r="U2103">
        <v>1.3666666670000001</v>
      </c>
      <c r="V2103">
        <v>1.233333333</v>
      </c>
      <c r="W2103">
        <v>1</v>
      </c>
      <c r="X2103">
        <v>0.83333333300000001</v>
      </c>
      <c r="Y2103">
        <v>0.6</v>
      </c>
      <c r="Z2103">
        <v>1.4</v>
      </c>
      <c r="AA2103" t="s">
        <v>9335</v>
      </c>
      <c r="AB2103" t="s">
        <v>242</v>
      </c>
      <c r="AC2103" t="s">
        <v>3229</v>
      </c>
    </row>
    <row r="2104" spans="1:29" x14ac:dyDescent="0.25">
      <c r="A2104" t="s">
        <v>2565</v>
      </c>
      <c r="B2104" t="s">
        <v>252</v>
      </c>
      <c r="C2104" t="s">
        <v>486</v>
      </c>
      <c r="D2104" t="s">
        <v>3713</v>
      </c>
      <c r="E2104" t="s">
        <v>3761</v>
      </c>
      <c r="F2104">
        <v>10000000</v>
      </c>
      <c r="G2104" t="s">
        <v>9349</v>
      </c>
      <c r="H2104" t="s">
        <v>241</v>
      </c>
      <c r="I2104" t="s">
        <v>242</v>
      </c>
      <c r="J2104" t="s">
        <v>242</v>
      </c>
      <c r="K2104" t="s">
        <v>242</v>
      </c>
      <c r="L2104" t="s">
        <v>241</v>
      </c>
      <c r="M2104">
        <v>38.5289</v>
      </c>
      <c r="N2104">
        <v>-122.8638</v>
      </c>
      <c r="O2104">
        <v>0</v>
      </c>
      <c r="P2104">
        <v>6.6666666999999999E-2</v>
      </c>
      <c r="Q2104">
        <v>6.6666666999999999E-2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 t="s">
        <v>9343</v>
      </c>
      <c r="AB2104" t="s">
        <v>242</v>
      </c>
      <c r="AC2104" t="s">
        <v>3229</v>
      </c>
    </row>
    <row r="2105" spans="1:29" x14ac:dyDescent="0.25">
      <c r="A2105" t="s">
        <v>2566</v>
      </c>
      <c r="B2105" t="s">
        <v>252</v>
      </c>
      <c r="C2105" t="s">
        <v>323</v>
      </c>
      <c r="D2105" t="s">
        <v>3713</v>
      </c>
      <c r="E2105" t="s">
        <v>3761</v>
      </c>
      <c r="F2105">
        <v>10000000</v>
      </c>
      <c r="G2105" t="s">
        <v>9349</v>
      </c>
      <c r="H2105" t="s">
        <v>242</v>
      </c>
      <c r="I2105" t="s">
        <v>242</v>
      </c>
      <c r="J2105" t="s">
        <v>242</v>
      </c>
      <c r="K2105" t="s">
        <v>242</v>
      </c>
      <c r="L2105" t="s">
        <v>241</v>
      </c>
      <c r="M2105">
        <v>38.489199999999997</v>
      </c>
      <c r="N2105">
        <v>-122.78530000000001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6.2359667000000001E-2</v>
      </c>
      <c r="V2105">
        <v>0.129112333</v>
      </c>
      <c r="W2105">
        <v>3.288E-2</v>
      </c>
      <c r="X2105">
        <v>2.9479667000000001E-2</v>
      </c>
      <c r="Y2105">
        <v>0</v>
      </c>
      <c r="Z2105">
        <v>0</v>
      </c>
      <c r="AA2105" t="s">
        <v>9343</v>
      </c>
      <c r="AB2105" t="s">
        <v>242</v>
      </c>
      <c r="AC2105" t="s">
        <v>3229</v>
      </c>
    </row>
    <row r="2106" spans="1:29" x14ac:dyDescent="0.25">
      <c r="A2106" t="s">
        <v>2730</v>
      </c>
      <c r="B2106" t="s">
        <v>252</v>
      </c>
      <c r="C2106" t="s">
        <v>489</v>
      </c>
      <c r="D2106" t="s">
        <v>3713</v>
      </c>
      <c r="E2106" t="s">
        <v>3761</v>
      </c>
      <c r="F2106">
        <v>10000000</v>
      </c>
      <c r="G2106" t="s">
        <v>9349</v>
      </c>
      <c r="H2106" t="s">
        <v>242</v>
      </c>
      <c r="I2106" t="s">
        <v>242</v>
      </c>
      <c r="J2106" t="s">
        <v>242</v>
      </c>
      <c r="K2106" t="s">
        <v>242</v>
      </c>
      <c r="L2106" t="s">
        <v>241</v>
      </c>
      <c r="M2106">
        <v>38.679299999999998</v>
      </c>
      <c r="N2106">
        <v>-122.9425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 t="s">
        <v>9335</v>
      </c>
      <c r="AB2106" t="s">
        <v>242</v>
      </c>
      <c r="AC2106" t="s">
        <v>3229</v>
      </c>
    </row>
    <row r="2107" spans="1:29" x14ac:dyDescent="0.25">
      <c r="A2107" t="s">
        <v>2725</v>
      </c>
      <c r="B2107" t="s">
        <v>252</v>
      </c>
      <c r="C2107" t="s">
        <v>394</v>
      </c>
      <c r="D2107" t="s">
        <v>3713</v>
      </c>
      <c r="E2107" t="s">
        <v>3761</v>
      </c>
      <c r="F2107">
        <v>10000000</v>
      </c>
      <c r="G2107" t="s">
        <v>9349</v>
      </c>
      <c r="H2107" t="s">
        <v>242</v>
      </c>
      <c r="I2107" t="s">
        <v>242</v>
      </c>
      <c r="J2107" t="s">
        <v>242</v>
      </c>
      <c r="K2107" t="s">
        <v>242</v>
      </c>
      <c r="L2107" t="s">
        <v>241</v>
      </c>
      <c r="M2107">
        <v>38.636800000000001</v>
      </c>
      <c r="N2107">
        <v>-122.9062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 t="s">
        <v>9335</v>
      </c>
      <c r="AB2107" t="s">
        <v>242</v>
      </c>
      <c r="AC2107" t="s">
        <v>3229</v>
      </c>
    </row>
    <row r="2108" spans="1:29" x14ac:dyDescent="0.25">
      <c r="A2108" t="s">
        <v>2570</v>
      </c>
      <c r="B2108" t="s">
        <v>252</v>
      </c>
      <c r="C2108" t="s">
        <v>314</v>
      </c>
      <c r="D2108" t="s">
        <v>3713</v>
      </c>
      <c r="E2108" t="s">
        <v>3761</v>
      </c>
      <c r="F2108">
        <v>10000000</v>
      </c>
      <c r="G2108" t="s">
        <v>9349</v>
      </c>
      <c r="H2108" t="s">
        <v>242</v>
      </c>
      <c r="I2108" t="s">
        <v>242</v>
      </c>
      <c r="J2108" t="s">
        <v>242</v>
      </c>
      <c r="K2108" t="s">
        <v>242</v>
      </c>
      <c r="L2108" t="s">
        <v>241</v>
      </c>
      <c r="M2108">
        <v>38.887300000000003</v>
      </c>
      <c r="N2108">
        <v>-123.1613</v>
      </c>
      <c r="O2108">
        <v>9.15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 t="s">
        <v>9341</v>
      </c>
      <c r="AB2108" t="s">
        <v>242</v>
      </c>
      <c r="AC2108" t="s">
        <v>3213</v>
      </c>
    </row>
    <row r="2109" spans="1:29" x14ac:dyDescent="0.25">
      <c r="A2109" t="s">
        <v>2571</v>
      </c>
      <c r="B2109" t="s">
        <v>252</v>
      </c>
      <c r="C2109" t="s">
        <v>314</v>
      </c>
      <c r="D2109" t="s">
        <v>3713</v>
      </c>
      <c r="E2109" t="s">
        <v>3761</v>
      </c>
      <c r="F2109">
        <v>10000000</v>
      </c>
      <c r="G2109" t="s">
        <v>9349</v>
      </c>
      <c r="H2109" t="s">
        <v>242</v>
      </c>
      <c r="I2109" t="s">
        <v>242</v>
      </c>
      <c r="J2109" t="s">
        <v>242</v>
      </c>
      <c r="K2109" t="s">
        <v>242</v>
      </c>
      <c r="L2109" t="s">
        <v>241</v>
      </c>
      <c r="M2109">
        <v>38.899000000000001</v>
      </c>
      <c r="N2109">
        <v>-123.1596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 t="s">
        <v>9342</v>
      </c>
      <c r="AB2109" t="s">
        <v>242</v>
      </c>
      <c r="AC2109" t="s">
        <v>3213</v>
      </c>
    </row>
    <row r="2110" spans="1:29" x14ac:dyDescent="0.25">
      <c r="A2110" t="s">
        <v>2583</v>
      </c>
      <c r="B2110" t="s">
        <v>252</v>
      </c>
      <c r="C2110" t="s">
        <v>352</v>
      </c>
      <c r="D2110" t="s">
        <v>3713</v>
      </c>
      <c r="E2110" t="s">
        <v>3761</v>
      </c>
      <c r="F2110">
        <v>10000000</v>
      </c>
      <c r="G2110" t="s">
        <v>9349</v>
      </c>
      <c r="H2110" t="s">
        <v>241</v>
      </c>
      <c r="I2110" t="s">
        <v>242</v>
      </c>
      <c r="J2110" t="s">
        <v>242</v>
      </c>
      <c r="K2110" t="s">
        <v>242</v>
      </c>
      <c r="L2110" t="s">
        <v>241</v>
      </c>
      <c r="M2110">
        <v>38.497500000000002</v>
      </c>
      <c r="N2110">
        <v>-122.8858</v>
      </c>
      <c r="O2110">
        <v>0</v>
      </c>
      <c r="P2110">
        <v>0.233333333</v>
      </c>
      <c r="Q2110">
        <v>1.066666667</v>
      </c>
      <c r="R2110">
        <v>0.1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 t="s">
        <v>9343</v>
      </c>
      <c r="AB2110" t="s">
        <v>242</v>
      </c>
      <c r="AC2110" t="s">
        <v>3229</v>
      </c>
    </row>
    <row r="2111" spans="1:29" x14ac:dyDescent="0.25">
      <c r="A2111" t="s">
        <v>2004</v>
      </c>
      <c r="B2111" t="s">
        <v>252</v>
      </c>
      <c r="C2111" t="s">
        <v>394</v>
      </c>
      <c r="D2111" t="s">
        <v>3713</v>
      </c>
      <c r="E2111" t="s">
        <v>3761</v>
      </c>
      <c r="F2111">
        <v>10000000</v>
      </c>
      <c r="G2111" t="s">
        <v>9349</v>
      </c>
      <c r="H2111" t="s">
        <v>242</v>
      </c>
      <c r="I2111" t="s">
        <v>242</v>
      </c>
      <c r="J2111" t="s">
        <v>242</v>
      </c>
      <c r="K2111" t="s">
        <v>242</v>
      </c>
      <c r="L2111" t="s">
        <v>241</v>
      </c>
      <c r="M2111">
        <v>38.627099999999999</v>
      </c>
      <c r="N2111">
        <v>-122.8995</v>
      </c>
      <c r="O2111">
        <v>0</v>
      </c>
      <c r="P2111">
        <v>6.5000000000000002E-2</v>
      </c>
      <c r="Q2111">
        <v>0</v>
      </c>
      <c r="R2111">
        <v>0</v>
      </c>
      <c r="S2111">
        <v>0.32200000000000001</v>
      </c>
      <c r="T2111">
        <v>1.22</v>
      </c>
      <c r="U2111">
        <v>2.19</v>
      </c>
      <c r="V2111">
        <v>1.68</v>
      </c>
      <c r="W2111">
        <v>0.26700000000000002</v>
      </c>
      <c r="X2111">
        <v>7.5999999999999998E-2</v>
      </c>
      <c r="Y2111">
        <v>0</v>
      </c>
      <c r="Z2111">
        <v>0</v>
      </c>
      <c r="AA2111" t="s">
        <v>9335</v>
      </c>
      <c r="AB2111" t="s">
        <v>242</v>
      </c>
      <c r="AC2111" t="s">
        <v>3229</v>
      </c>
    </row>
    <row r="2112" spans="1:29" x14ac:dyDescent="0.25">
      <c r="A2112" t="s">
        <v>2240</v>
      </c>
      <c r="B2112" t="s">
        <v>252</v>
      </c>
      <c r="C2112" t="s">
        <v>394</v>
      </c>
      <c r="D2112" t="s">
        <v>3713</v>
      </c>
      <c r="E2112" t="s">
        <v>3761</v>
      </c>
      <c r="F2112">
        <v>10000000</v>
      </c>
      <c r="G2112" t="s">
        <v>9349</v>
      </c>
      <c r="H2112" t="s">
        <v>242</v>
      </c>
      <c r="I2112" t="s">
        <v>242</v>
      </c>
      <c r="J2112" t="s">
        <v>242</v>
      </c>
      <c r="K2112" t="s">
        <v>242</v>
      </c>
      <c r="L2112" t="s">
        <v>241</v>
      </c>
      <c r="M2112">
        <v>38.6374</v>
      </c>
      <c r="N2112">
        <v>-122.9076</v>
      </c>
      <c r="O2112">
        <v>6.6288E-2</v>
      </c>
      <c r="P2112">
        <v>6.6288E-2</v>
      </c>
      <c r="Q2112">
        <v>0.127666</v>
      </c>
      <c r="R2112">
        <v>0.158354667</v>
      </c>
      <c r="S2112">
        <v>0.23507666699999999</v>
      </c>
      <c r="T2112">
        <v>0.57270100000000002</v>
      </c>
      <c r="U2112">
        <v>0.92952800000000002</v>
      </c>
      <c r="V2112">
        <v>1.1010899999999999</v>
      </c>
      <c r="W2112">
        <v>0.79908466700000003</v>
      </c>
      <c r="X2112">
        <v>0.51901033299999999</v>
      </c>
      <c r="Y2112">
        <v>0.158355</v>
      </c>
      <c r="Z2112">
        <v>6.6288E-2</v>
      </c>
      <c r="AA2112" t="s">
        <v>9335</v>
      </c>
      <c r="AB2112" t="s">
        <v>242</v>
      </c>
      <c r="AC2112" t="s">
        <v>3229</v>
      </c>
    </row>
    <row r="2113" spans="1:29" x14ac:dyDescent="0.25">
      <c r="A2113" t="s">
        <v>2596</v>
      </c>
      <c r="B2113" t="s">
        <v>252</v>
      </c>
      <c r="C2113" t="s">
        <v>486</v>
      </c>
      <c r="D2113" t="s">
        <v>3713</v>
      </c>
      <c r="E2113" t="s">
        <v>3761</v>
      </c>
      <c r="F2113">
        <v>10000000</v>
      </c>
      <c r="G2113" t="s">
        <v>9349</v>
      </c>
      <c r="H2113" t="s">
        <v>241</v>
      </c>
      <c r="I2113" t="s">
        <v>242</v>
      </c>
      <c r="J2113" t="s">
        <v>242</v>
      </c>
      <c r="K2113" t="s">
        <v>242</v>
      </c>
      <c r="L2113" t="s">
        <v>241</v>
      </c>
      <c r="M2113">
        <v>38.529600000000002</v>
      </c>
      <c r="N2113">
        <v>-122.8634</v>
      </c>
      <c r="O2113">
        <v>3.3333333E-2</v>
      </c>
      <c r="P2113">
        <v>6.6666666999999999E-2</v>
      </c>
      <c r="Q2113">
        <v>0.16666666699999999</v>
      </c>
      <c r="R2113">
        <v>0.133333333</v>
      </c>
      <c r="S2113">
        <v>3.3333333E-2</v>
      </c>
      <c r="T2113">
        <v>0.26666666700000002</v>
      </c>
      <c r="U2113">
        <v>0.7</v>
      </c>
      <c r="V2113">
        <v>0.46666666699999998</v>
      </c>
      <c r="W2113">
        <v>0.366666667</v>
      </c>
      <c r="X2113">
        <v>0.1</v>
      </c>
      <c r="Y2113">
        <v>0.233333333</v>
      </c>
      <c r="Z2113">
        <v>0</v>
      </c>
      <c r="AA2113" t="s">
        <v>9335</v>
      </c>
      <c r="AB2113" t="s">
        <v>242</v>
      </c>
      <c r="AC2113" t="s">
        <v>3229</v>
      </c>
    </row>
    <row r="2114" spans="1:29" x14ac:dyDescent="0.25">
      <c r="A2114" t="s">
        <v>2597</v>
      </c>
      <c r="B2114" t="s">
        <v>252</v>
      </c>
      <c r="C2114" t="s">
        <v>352</v>
      </c>
      <c r="D2114" t="s">
        <v>3713</v>
      </c>
      <c r="E2114" t="s">
        <v>3761</v>
      </c>
      <c r="F2114">
        <v>10000000</v>
      </c>
      <c r="G2114" t="s">
        <v>9349</v>
      </c>
      <c r="H2114" t="s">
        <v>242</v>
      </c>
      <c r="I2114" t="s">
        <v>242</v>
      </c>
      <c r="J2114" t="s">
        <v>242</v>
      </c>
      <c r="K2114" t="s">
        <v>242</v>
      </c>
      <c r="L2114" t="s">
        <v>241</v>
      </c>
      <c r="M2114">
        <v>38.447000000000003</v>
      </c>
      <c r="N2114">
        <v>-122.8843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 t="s">
        <v>9335</v>
      </c>
      <c r="AB2114" t="s">
        <v>242</v>
      </c>
      <c r="AC2114" t="s">
        <v>3229</v>
      </c>
    </row>
    <row r="2115" spans="1:29" x14ac:dyDescent="0.25">
      <c r="A2115" t="s">
        <v>2598</v>
      </c>
      <c r="B2115" t="s">
        <v>252</v>
      </c>
      <c r="C2115" t="s">
        <v>352</v>
      </c>
      <c r="D2115" t="s">
        <v>3713</v>
      </c>
      <c r="E2115" t="s">
        <v>3761</v>
      </c>
      <c r="F2115">
        <v>10000000</v>
      </c>
      <c r="G2115" t="s">
        <v>9349</v>
      </c>
      <c r="H2115" t="s">
        <v>242</v>
      </c>
      <c r="I2115" t="s">
        <v>242</v>
      </c>
      <c r="J2115" t="s">
        <v>242</v>
      </c>
      <c r="K2115" t="s">
        <v>242</v>
      </c>
      <c r="L2115" t="s">
        <v>241</v>
      </c>
      <c r="M2115">
        <v>38.447200000000002</v>
      </c>
      <c r="N2115">
        <v>-122.8854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 t="s">
        <v>9335</v>
      </c>
      <c r="AB2115" t="s">
        <v>242</v>
      </c>
      <c r="AC2115" t="s">
        <v>3229</v>
      </c>
    </row>
    <row r="2116" spans="1:29" x14ac:dyDescent="0.25">
      <c r="A2116" t="s">
        <v>2599</v>
      </c>
      <c r="B2116" t="s">
        <v>252</v>
      </c>
      <c r="C2116" t="s">
        <v>403</v>
      </c>
      <c r="D2116" t="s">
        <v>3713</v>
      </c>
      <c r="E2116" t="s">
        <v>3761</v>
      </c>
      <c r="F2116">
        <v>10000000</v>
      </c>
      <c r="G2116" t="s">
        <v>9349</v>
      </c>
      <c r="H2116" t="s">
        <v>242</v>
      </c>
      <c r="I2116" t="s">
        <v>242</v>
      </c>
      <c r="J2116" t="s">
        <v>242</v>
      </c>
      <c r="K2116" t="s">
        <v>242</v>
      </c>
      <c r="L2116" t="s">
        <v>241</v>
      </c>
      <c r="M2116">
        <v>38.5045</v>
      </c>
      <c r="N2116">
        <v>-123.0047</v>
      </c>
      <c r="O2116">
        <v>10</v>
      </c>
      <c r="P2116">
        <v>0.66666666699999999</v>
      </c>
      <c r="Q2116">
        <v>1.3333333329999999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 t="s">
        <v>9335</v>
      </c>
      <c r="AB2116" t="s">
        <v>242</v>
      </c>
      <c r="AC2116" t="s">
        <v>3229</v>
      </c>
    </row>
    <row r="2117" spans="1:29" x14ac:dyDescent="0.25">
      <c r="A2117" t="s">
        <v>2600</v>
      </c>
      <c r="B2117" t="s">
        <v>252</v>
      </c>
      <c r="C2117" t="s">
        <v>403</v>
      </c>
      <c r="D2117" t="s">
        <v>3713</v>
      </c>
      <c r="E2117" t="s">
        <v>3761</v>
      </c>
      <c r="F2117">
        <v>10000000</v>
      </c>
      <c r="G2117" t="s">
        <v>9349</v>
      </c>
      <c r="H2117" t="s">
        <v>242</v>
      </c>
      <c r="I2117" t="s">
        <v>242</v>
      </c>
      <c r="J2117" t="s">
        <v>242</v>
      </c>
      <c r="K2117" t="s">
        <v>242</v>
      </c>
      <c r="L2117" t="s">
        <v>241</v>
      </c>
      <c r="M2117">
        <v>38.5122</v>
      </c>
      <c r="N2117">
        <v>-123.0091</v>
      </c>
      <c r="O2117">
        <v>7.6666666670000003</v>
      </c>
      <c r="P2117">
        <v>1.3333333329999999</v>
      </c>
      <c r="Q2117">
        <v>1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 t="s">
        <v>9343</v>
      </c>
      <c r="AB2117" t="s">
        <v>242</v>
      </c>
      <c r="AC2117" t="s">
        <v>3229</v>
      </c>
    </row>
    <row r="2118" spans="1:29" x14ac:dyDescent="0.25">
      <c r="A2118" t="s">
        <v>2601</v>
      </c>
      <c r="B2118" t="s">
        <v>252</v>
      </c>
      <c r="C2118" t="s">
        <v>403</v>
      </c>
      <c r="D2118" t="s">
        <v>3713</v>
      </c>
      <c r="E2118" t="s">
        <v>3761</v>
      </c>
      <c r="F2118">
        <v>10000000</v>
      </c>
      <c r="G2118" t="s">
        <v>9349</v>
      </c>
      <c r="H2118" t="s">
        <v>242</v>
      </c>
      <c r="I2118" t="s">
        <v>242</v>
      </c>
      <c r="J2118" t="s">
        <v>242</v>
      </c>
      <c r="K2118" t="s">
        <v>242</v>
      </c>
      <c r="L2118" t="s">
        <v>241</v>
      </c>
      <c r="M2118">
        <v>38.5045</v>
      </c>
      <c r="N2118">
        <v>-123.00449999999999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 t="s">
        <v>9335</v>
      </c>
      <c r="AB2118" t="s">
        <v>242</v>
      </c>
      <c r="AC2118" t="s">
        <v>3229</v>
      </c>
    </row>
    <row r="2119" spans="1:29" x14ac:dyDescent="0.25">
      <c r="A2119" t="s">
        <v>2266</v>
      </c>
      <c r="B2119" t="s">
        <v>252</v>
      </c>
      <c r="C2119" t="s">
        <v>394</v>
      </c>
      <c r="D2119" t="s">
        <v>3713</v>
      </c>
      <c r="E2119" t="s">
        <v>3761</v>
      </c>
      <c r="F2119">
        <v>10000000</v>
      </c>
      <c r="G2119" t="s">
        <v>9349</v>
      </c>
      <c r="H2119" t="s">
        <v>242</v>
      </c>
      <c r="I2119" t="s">
        <v>242</v>
      </c>
      <c r="J2119" t="s">
        <v>242</v>
      </c>
      <c r="K2119" t="s">
        <v>242</v>
      </c>
      <c r="L2119" t="s">
        <v>241</v>
      </c>
      <c r="M2119">
        <v>38.644399999999997</v>
      </c>
      <c r="N2119">
        <v>-122.9113</v>
      </c>
      <c r="O2119">
        <v>0</v>
      </c>
      <c r="P2119">
        <v>0</v>
      </c>
      <c r="Q2119">
        <v>0.28000000000000003</v>
      </c>
      <c r="R2119">
        <v>0.01</v>
      </c>
      <c r="S2119">
        <v>8.3333332999999996E-2</v>
      </c>
      <c r="T2119">
        <v>0.19</v>
      </c>
      <c r="U2119">
        <v>1.05</v>
      </c>
      <c r="V2119">
        <v>0.36</v>
      </c>
      <c r="W2119">
        <v>6.6666666999999999E-2</v>
      </c>
      <c r="X2119">
        <v>0</v>
      </c>
      <c r="Y2119">
        <v>0</v>
      </c>
      <c r="Z2119">
        <v>0</v>
      </c>
      <c r="AA2119" t="s">
        <v>9335</v>
      </c>
      <c r="AB2119" t="s">
        <v>242</v>
      </c>
      <c r="AC2119" t="s">
        <v>3229</v>
      </c>
    </row>
    <row r="2120" spans="1:29" x14ac:dyDescent="0.25">
      <c r="A2120" t="s">
        <v>2605</v>
      </c>
      <c r="B2120" t="s">
        <v>252</v>
      </c>
      <c r="C2120" t="s">
        <v>323</v>
      </c>
      <c r="D2120" t="s">
        <v>3713</v>
      </c>
      <c r="E2120" t="s">
        <v>3761</v>
      </c>
      <c r="F2120">
        <v>10000000</v>
      </c>
      <c r="G2120" t="s">
        <v>9349</v>
      </c>
      <c r="H2120" t="s">
        <v>242</v>
      </c>
      <c r="I2120" t="s">
        <v>242</v>
      </c>
      <c r="J2120" t="s">
        <v>242</v>
      </c>
      <c r="K2120" t="s">
        <v>242</v>
      </c>
      <c r="L2120" t="s">
        <v>241</v>
      </c>
      <c r="M2120">
        <v>38.498199999999997</v>
      </c>
      <c r="N2120">
        <v>-122.85939999999999</v>
      </c>
      <c r="O2120">
        <v>1.2</v>
      </c>
      <c r="P2120">
        <v>2.5</v>
      </c>
      <c r="Q2120">
        <v>1.5</v>
      </c>
      <c r="R2120">
        <v>2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 t="s">
        <v>9335</v>
      </c>
      <c r="AB2120" t="s">
        <v>242</v>
      </c>
      <c r="AC2120" t="s">
        <v>3229</v>
      </c>
    </row>
    <row r="2121" spans="1:29" x14ac:dyDescent="0.25">
      <c r="A2121" t="s">
        <v>2727</v>
      </c>
      <c r="B2121" t="s">
        <v>252</v>
      </c>
      <c r="C2121" t="s">
        <v>394</v>
      </c>
      <c r="D2121" t="s">
        <v>3713</v>
      </c>
      <c r="E2121" t="s">
        <v>3761</v>
      </c>
      <c r="F2121">
        <v>10000000</v>
      </c>
      <c r="G2121" t="s">
        <v>9349</v>
      </c>
      <c r="H2121" t="s">
        <v>242</v>
      </c>
      <c r="I2121" t="s">
        <v>242</v>
      </c>
      <c r="J2121" t="s">
        <v>242</v>
      </c>
      <c r="K2121" t="s">
        <v>242</v>
      </c>
      <c r="L2121" t="s">
        <v>241</v>
      </c>
      <c r="M2121">
        <v>38.623699999999999</v>
      </c>
      <c r="N2121">
        <v>-122.9576</v>
      </c>
      <c r="O2121">
        <v>0</v>
      </c>
      <c r="P2121">
        <v>0.3</v>
      </c>
      <c r="Q2121">
        <v>0.2</v>
      </c>
      <c r="R2121">
        <v>0</v>
      </c>
      <c r="S2121">
        <v>0.26666666700000002</v>
      </c>
      <c r="T2121">
        <v>0</v>
      </c>
      <c r="U2121">
        <v>0</v>
      </c>
      <c r="V2121">
        <v>0</v>
      </c>
      <c r="W2121">
        <v>0</v>
      </c>
      <c r="X2121">
        <v>0.1</v>
      </c>
      <c r="Y2121">
        <v>3.0333333329999999</v>
      </c>
      <c r="Z2121">
        <v>0.6</v>
      </c>
      <c r="AA2121" t="s">
        <v>9333</v>
      </c>
      <c r="AB2121" t="s">
        <v>242</v>
      </c>
      <c r="AC2121" t="s">
        <v>3229</v>
      </c>
    </row>
    <row r="2122" spans="1:29" x14ac:dyDescent="0.25">
      <c r="A2122" t="s">
        <v>2608</v>
      </c>
      <c r="B2122" t="s">
        <v>252</v>
      </c>
      <c r="C2122" t="s">
        <v>1118</v>
      </c>
      <c r="D2122" t="s">
        <v>3713</v>
      </c>
      <c r="E2122" t="s">
        <v>3761</v>
      </c>
      <c r="F2122">
        <v>10000000</v>
      </c>
      <c r="G2122" t="s">
        <v>9349</v>
      </c>
      <c r="H2122" t="s">
        <v>242</v>
      </c>
      <c r="I2122" t="s">
        <v>242</v>
      </c>
      <c r="J2122" t="s">
        <v>242</v>
      </c>
      <c r="K2122" t="s">
        <v>242</v>
      </c>
      <c r="L2122" t="s">
        <v>241</v>
      </c>
      <c r="M2122">
        <v>38.439</v>
      </c>
      <c r="N2122">
        <v>-122.8112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 t="s">
        <v>9341</v>
      </c>
      <c r="AB2122" t="s">
        <v>242</v>
      </c>
      <c r="AC2122" t="s">
        <v>3229</v>
      </c>
    </row>
    <row r="2123" spans="1:29" x14ac:dyDescent="0.25">
      <c r="A2123" t="s">
        <v>2614</v>
      </c>
      <c r="B2123" t="s">
        <v>252</v>
      </c>
      <c r="C2123" t="s">
        <v>352</v>
      </c>
      <c r="D2123" t="s">
        <v>3713</v>
      </c>
      <c r="E2123" t="s">
        <v>3761</v>
      </c>
      <c r="F2123">
        <v>10000000</v>
      </c>
      <c r="G2123" t="s">
        <v>9349</v>
      </c>
      <c r="H2123" t="s">
        <v>242</v>
      </c>
      <c r="I2123" t="s">
        <v>242</v>
      </c>
      <c r="J2123" t="s">
        <v>242</v>
      </c>
      <c r="K2123" t="s">
        <v>242</v>
      </c>
      <c r="L2123" t="s">
        <v>241</v>
      </c>
      <c r="M2123">
        <v>38.442300000000003</v>
      </c>
      <c r="N2123">
        <v>-122.87690000000001</v>
      </c>
      <c r="O2123">
        <v>2</v>
      </c>
      <c r="P2123">
        <v>2</v>
      </c>
      <c r="Q2123">
        <v>2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6</v>
      </c>
      <c r="AA2123" t="s">
        <v>9343</v>
      </c>
      <c r="AB2123" t="s">
        <v>242</v>
      </c>
      <c r="AC2123" t="s">
        <v>3229</v>
      </c>
    </row>
    <row r="2124" spans="1:29" x14ac:dyDescent="0.25">
      <c r="A2124" t="s">
        <v>2621</v>
      </c>
      <c r="B2124" t="s">
        <v>252</v>
      </c>
      <c r="C2124" t="s">
        <v>378</v>
      </c>
      <c r="D2124" t="s">
        <v>3713</v>
      </c>
      <c r="E2124" t="s">
        <v>3761</v>
      </c>
      <c r="F2124">
        <v>10000000</v>
      </c>
      <c r="G2124" t="s">
        <v>9349</v>
      </c>
      <c r="H2124" t="s">
        <v>242</v>
      </c>
      <c r="I2124" t="s">
        <v>242</v>
      </c>
      <c r="J2124" t="s">
        <v>242</v>
      </c>
      <c r="K2124" t="s">
        <v>242</v>
      </c>
      <c r="L2124" t="s">
        <v>241</v>
      </c>
      <c r="M2124">
        <v>38.371099999999998</v>
      </c>
      <c r="N2124">
        <v>-122.6083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 t="s">
        <v>9333</v>
      </c>
      <c r="AB2124" t="s">
        <v>242</v>
      </c>
      <c r="AC2124" t="s">
        <v>3229</v>
      </c>
    </row>
    <row r="2125" spans="1:29" x14ac:dyDescent="0.25">
      <c r="A2125" t="s">
        <v>1914</v>
      </c>
      <c r="B2125" t="s">
        <v>252</v>
      </c>
      <c r="C2125" t="s">
        <v>489</v>
      </c>
      <c r="D2125" t="s">
        <v>3713</v>
      </c>
      <c r="E2125" t="s">
        <v>3761</v>
      </c>
      <c r="F2125">
        <v>10000000</v>
      </c>
      <c r="G2125" t="s">
        <v>9349</v>
      </c>
      <c r="H2125" t="s">
        <v>242</v>
      </c>
      <c r="I2125" t="s">
        <v>242</v>
      </c>
      <c r="J2125" t="s">
        <v>242</v>
      </c>
      <c r="K2125" t="s">
        <v>242</v>
      </c>
      <c r="L2125" t="s">
        <v>241</v>
      </c>
      <c r="M2125">
        <v>38.661700000000003</v>
      </c>
      <c r="N2125">
        <v>-122.9341</v>
      </c>
      <c r="O2125">
        <v>0</v>
      </c>
      <c r="P2125">
        <v>0</v>
      </c>
      <c r="Q2125">
        <v>0</v>
      </c>
      <c r="R2125">
        <v>0</v>
      </c>
      <c r="S2125">
        <v>1.266666667</v>
      </c>
      <c r="T2125">
        <v>6.3333333329999997</v>
      </c>
      <c r="U2125">
        <v>10.46666667</v>
      </c>
      <c r="V2125">
        <v>10</v>
      </c>
      <c r="W2125">
        <v>6.733333333</v>
      </c>
      <c r="X2125">
        <v>5.3333333329999997</v>
      </c>
      <c r="Y2125">
        <v>3.0666666669999998</v>
      </c>
      <c r="Z2125">
        <v>0</v>
      </c>
      <c r="AA2125" t="s">
        <v>9335</v>
      </c>
      <c r="AB2125" t="s">
        <v>242</v>
      </c>
      <c r="AC2125" t="s">
        <v>3229</v>
      </c>
    </row>
    <row r="2126" spans="1:29" x14ac:dyDescent="0.25">
      <c r="A2126" t="s">
        <v>2624</v>
      </c>
      <c r="B2126" t="s">
        <v>252</v>
      </c>
      <c r="C2126" t="s">
        <v>489</v>
      </c>
      <c r="D2126" t="s">
        <v>3713</v>
      </c>
      <c r="E2126" t="s">
        <v>3761</v>
      </c>
      <c r="F2126">
        <v>10000000</v>
      </c>
      <c r="G2126" t="s">
        <v>9349</v>
      </c>
      <c r="H2126" t="s">
        <v>242</v>
      </c>
      <c r="I2126" t="s">
        <v>242</v>
      </c>
      <c r="J2126" t="s">
        <v>242</v>
      </c>
      <c r="K2126" t="s">
        <v>242</v>
      </c>
      <c r="L2126" t="s">
        <v>241</v>
      </c>
      <c r="M2126">
        <v>38.6599</v>
      </c>
      <c r="N2126">
        <v>-122.9337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 t="s">
        <v>9335</v>
      </c>
      <c r="AB2126" t="s">
        <v>242</v>
      </c>
      <c r="AC2126" t="s">
        <v>3229</v>
      </c>
    </row>
    <row r="2127" spans="1:29" x14ac:dyDescent="0.25">
      <c r="A2127" t="s">
        <v>2640</v>
      </c>
      <c r="B2127" t="s">
        <v>252</v>
      </c>
      <c r="C2127" t="s">
        <v>486</v>
      </c>
      <c r="D2127" t="s">
        <v>3713</v>
      </c>
      <c r="E2127" t="s">
        <v>3761</v>
      </c>
      <c r="F2127">
        <v>10000000</v>
      </c>
      <c r="G2127" t="s">
        <v>9349</v>
      </c>
      <c r="H2127" t="s">
        <v>242</v>
      </c>
      <c r="I2127" t="s">
        <v>242</v>
      </c>
      <c r="J2127" t="s">
        <v>242</v>
      </c>
      <c r="K2127" t="s">
        <v>242</v>
      </c>
      <c r="L2127" t="s">
        <v>241</v>
      </c>
      <c r="M2127">
        <v>38.590699999999998</v>
      </c>
      <c r="N2127">
        <v>-122.80880000000001</v>
      </c>
      <c r="O2127">
        <v>1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 t="s">
        <v>9335</v>
      </c>
      <c r="AB2127" t="s">
        <v>242</v>
      </c>
      <c r="AC2127" t="s">
        <v>3229</v>
      </c>
    </row>
    <row r="2128" spans="1:29" x14ac:dyDescent="0.25">
      <c r="A2128" t="s">
        <v>2641</v>
      </c>
      <c r="B2128" t="s">
        <v>252</v>
      </c>
      <c r="C2128" t="s">
        <v>486</v>
      </c>
      <c r="D2128" t="s">
        <v>3713</v>
      </c>
      <c r="E2128" t="s">
        <v>3761</v>
      </c>
      <c r="F2128">
        <v>10000000</v>
      </c>
      <c r="G2128" t="s">
        <v>9349</v>
      </c>
      <c r="H2128" t="s">
        <v>242</v>
      </c>
      <c r="I2128" t="s">
        <v>242</v>
      </c>
      <c r="J2128" t="s">
        <v>242</v>
      </c>
      <c r="K2128" t="s">
        <v>242</v>
      </c>
      <c r="L2128" t="s">
        <v>241</v>
      </c>
      <c r="M2128">
        <v>38.585900000000002</v>
      </c>
      <c r="N2128">
        <v>-122.8133</v>
      </c>
      <c r="O2128">
        <v>24.716666669999999</v>
      </c>
      <c r="P2128">
        <v>0.13</v>
      </c>
      <c r="Q2128">
        <v>17.00333333</v>
      </c>
      <c r="R2128">
        <v>0.306666667</v>
      </c>
      <c r="S2128">
        <v>2.153333333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0.9</v>
      </c>
      <c r="Z2128">
        <v>14.41385633</v>
      </c>
      <c r="AA2128" t="s">
        <v>9335</v>
      </c>
      <c r="AB2128" t="s">
        <v>242</v>
      </c>
      <c r="AC2128" t="s">
        <v>3229</v>
      </c>
    </row>
    <row r="2129" spans="1:29" x14ac:dyDescent="0.25">
      <c r="A2129" t="s">
        <v>2642</v>
      </c>
      <c r="B2129" t="s">
        <v>252</v>
      </c>
      <c r="C2129" t="s">
        <v>486</v>
      </c>
      <c r="D2129" t="s">
        <v>3713</v>
      </c>
      <c r="E2129" t="s">
        <v>3761</v>
      </c>
      <c r="F2129">
        <v>10000000</v>
      </c>
      <c r="G2129" t="s">
        <v>9349</v>
      </c>
      <c r="H2129" t="s">
        <v>242</v>
      </c>
      <c r="I2129" t="s">
        <v>242</v>
      </c>
      <c r="J2129" t="s">
        <v>242</v>
      </c>
      <c r="K2129" t="s">
        <v>242</v>
      </c>
      <c r="L2129" t="s">
        <v>241</v>
      </c>
      <c r="M2129">
        <v>38.590000000000003</v>
      </c>
      <c r="N2129">
        <v>-122.8134</v>
      </c>
      <c r="O2129">
        <v>0.7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 t="s">
        <v>9341</v>
      </c>
      <c r="AB2129" t="s">
        <v>242</v>
      </c>
      <c r="AC2129" t="s">
        <v>3229</v>
      </c>
    </row>
    <row r="2130" spans="1:29" x14ac:dyDescent="0.25">
      <c r="A2130" t="s">
        <v>2643</v>
      </c>
      <c r="B2130" t="s">
        <v>252</v>
      </c>
      <c r="C2130" t="s">
        <v>486</v>
      </c>
      <c r="D2130" t="s">
        <v>3713</v>
      </c>
      <c r="E2130" t="s">
        <v>3761</v>
      </c>
      <c r="F2130">
        <v>10000000</v>
      </c>
      <c r="G2130" t="s">
        <v>9349</v>
      </c>
      <c r="H2130" t="s">
        <v>242</v>
      </c>
      <c r="I2130" t="s">
        <v>242</v>
      </c>
      <c r="J2130" t="s">
        <v>242</v>
      </c>
      <c r="K2130" t="s">
        <v>242</v>
      </c>
      <c r="L2130" t="s">
        <v>241</v>
      </c>
      <c r="M2130">
        <v>38.576000000000001</v>
      </c>
      <c r="N2130">
        <v>-122.8126</v>
      </c>
      <c r="O2130">
        <v>16.261333329999999</v>
      </c>
      <c r="P2130">
        <v>5.2033333329999998</v>
      </c>
      <c r="Q2130">
        <v>4.3266666669999996</v>
      </c>
      <c r="R2130">
        <v>0.21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0.10705099999999999</v>
      </c>
      <c r="Z2130">
        <v>5.8537176669999997</v>
      </c>
      <c r="AA2130" t="s">
        <v>9335</v>
      </c>
      <c r="AB2130" t="s">
        <v>242</v>
      </c>
      <c r="AC2130" t="s">
        <v>3229</v>
      </c>
    </row>
    <row r="2131" spans="1:29" x14ac:dyDescent="0.25">
      <c r="A2131" t="s">
        <v>2195</v>
      </c>
      <c r="B2131" t="s">
        <v>252</v>
      </c>
      <c r="C2131" t="s">
        <v>394</v>
      </c>
      <c r="D2131" t="s">
        <v>3713</v>
      </c>
      <c r="E2131" t="s">
        <v>3761</v>
      </c>
      <c r="F2131">
        <v>10000000</v>
      </c>
      <c r="G2131" t="s">
        <v>9349</v>
      </c>
      <c r="H2131" t="s">
        <v>242</v>
      </c>
      <c r="I2131" t="s">
        <v>242</v>
      </c>
      <c r="J2131" t="s">
        <v>242</v>
      </c>
      <c r="K2131" t="s">
        <v>242</v>
      </c>
      <c r="L2131" t="s">
        <v>241</v>
      </c>
      <c r="M2131">
        <v>38.584400000000002</v>
      </c>
      <c r="N2131">
        <v>-122.87139999999999</v>
      </c>
      <c r="O2131">
        <v>0</v>
      </c>
      <c r="P2131">
        <v>0</v>
      </c>
      <c r="Q2131">
        <v>0</v>
      </c>
      <c r="R2131">
        <v>0</v>
      </c>
      <c r="S2131">
        <v>0.15666666700000001</v>
      </c>
      <c r="T2131">
        <v>1.4</v>
      </c>
      <c r="U2131">
        <v>1.8433333329999999</v>
      </c>
      <c r="V2131">
        <v>1.34</v>
      </c>
      <c r="W2131">
        <v>0.96666666700000003</v>
      </c>
      <c r="X2131">
        <v>0.70666666700000003</v>
      </c>
      <c r="Y2131">
        <v>0.11333333299999999</v>
      </c>
      <c r="Z2131">
        <v>0</v>
      </c>
      <c r="AA2131" t="s">
        <v>9335</v>
      </c>
      <c r="AB2131" t="s">
        <v>242</v>
      </c>
      <c r="AC2131" t="s">
        <v>3229</v>
      </c>
    </row>
    <row r="2132" spans="1:29" x14ac:dyDescent="0.25">
      <c r="A2132" t="s">
        <v>2729</v>
      </c>
      <c r="B2132" t="s">
        <v>252</v>
      </c>
      <c r="C2132" t="s">
        <v>394</v>
      </c>
      <c r="D2132" t="s">
        <v>3713</v>
      </c>
      <c r="E2132" t="s">
        <v>3761</v>
      </c>
      <c r="F2132">
        <v>10000000</v>
      </c>
      <c r="G2132" t="s">
        <v>9349</v>
      </c>
      <c r="H2132" t="s">
        <v>242</v>
      </c>
      <c r="I2132" t="s">
        <v>242</v>
      </c>
      <c r="J2132" t="s">
        <v>242</v>
      </c>
      <c r="K2132" t="s">
        <v>242</v>
      </c>
      <c r="L2132" t="s">
        <v>241</v>
      </c>
      <c r="M2132">
        <v>38.583599999999997</v>
      </c>
      <c r="N2132">
        <v>-122.8736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 t="s">
        <v>9335</v>
      </c>
      <c r="AB2132" t="s">
        <v>242</v>
      </c>
      <c r="AC2132" t="s">
        <v>3229</v>
      </c>
    </row>
    <row r="2133" spans="1:29" x14ac:dyDescent="0.25">
      <c r="A2133" t="s">
        <v>2731</v>
      </c>
      <c r="B2133" t="s">
        <v>252</v>
      </c>
      <c r="C2133" t="s">
        <v>394</v>
      </c>
      <c r="D2133" t="s">
        <v>3713</v>
      </c>
      <c r="E2133" t="s">
        <v>3761</v>
      </c>
      <c r="F2133">
        <v>10000000</v>
      </c>
      <c r="G2133" t="s">
        <v>9349</v>
      </c>
      <c r="H2133" t="s">
        <v>242</v>
      </c>
      <c r="I2133" t="s">
        <v>242</v>
      </c>
      <c r="J2133" t="s">
        <v>242</v>
      </c>
      <c r="K2133" t="s">
        <v>242</v>
      </c>
      <c r="L2133" t="s">
        <v>241</v>
      </c>
      <c r="M2133">
        <v>38.582700000000003</v>
      </c>
      <c r="N2133">
        <v>-122.87949999999999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 t="s">
        <v>9335</v>
      </c>
      <c r="AB2133" t="s">
        <v>242</v>
      </c>
      <c r="AC2133" t="s">
        <v>3229</v>
      </c>
    </row>
    <row r="2134" spans="1:29" x14ac:dyDescent="0.25">
      <c r="A2134" t="s">
        <v>2652</v>
      </c>
      <c r="B2134" t="s">
        <v>252</v>
      </c>
      <c r="C2134" t="s">
        <v>323</v>
      </c>
      <c r="D2134" t="s">
        <v>3713</v>
      </c>
      <c r="E2134" t="s">
        <v>3761</v>
      </c>
      <c r="F2134">
        <v>10000000</v>
      </c>
      <c r="G2134" t="s">
        <v>9349</v>
      </c>
      <c r="H2134" t="s">
        <v>242</v>
      </c>
      <c r="I2134" t="s">
        <v>242</v>
      </c>
      <c r="J2134" t="s">
        <v>242</v>
      </c>
      <c r="K2134" t="s">
        <v>242</v>
      </c>
      <c r="L2134" t="s">
        <v>241</v>
      </c>
      <c r="M2134">
        <v>38.508200000000002</v>
      </c>
      <c r="N2134">
        <v>-122.7169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 t="s">
        <v>9335</v>
      </c>
      <c r="AB2134" t="s">
        <v>242</v>
      </c>
      <c r="AC2134" t="s">
        <v>3229</v>
      </c>
    </row>
    <row r="2135" spans="1:29" x14ac:dyDescent="0.25">
      <c r="A2135" t="s">
        <v>2660</v>
      </c>
      <c r="B2135" t="s">
        <v>252</v>
      </c>
      <c r="C2135" t="s">
        <v>1118</v>
      </c>
      <c r="D2135" t="s">
        <v>3713</v>
      </c>
      <c r="E2135" t="s">
        <v>3761</v>
      </c>
      <c r="F2135">
        <v>10000000</v>
      </c>
      <c r="G2135" t="s">
        <v>9349</v>
      </c>
      <c r="H2135" t="s">
        <v>242</v>
      </c>
      <c r="I2135" t="s">
        <v>242</v>
      </c>
      <c r="J2135" t="s">
        <v>242</v>
      </c>
      <c r="K2135" t="s">
        <v>242</v>
      </c>
      <c r="L2135" t="s">
        <v>241</v>
      </c>
      <c r="M2135">
        <v>38.464399999999998</v>
      </c>
      <c r="N2135">
        <v>-122.8575</v>
      </c>
      <c r="O2135">
        <v>0</v>
      </c>
      <c r="P2135">
        <v>0</v>
      </c>
      <c r="Q2135">
        <v>0</v>
      </c>
      <c r="R2135">
        <v>0</v>
      </c>
      <c r="S2135">
        <v>1.3</v>
      </c>
      <c r="T2135">
        <v>1.4</v>
      </c>
      <c r="U2135">
        <v>1.266666667</v>
      </c>
      <c r="V2135">
        <v>1.8333333329999999</v>
      </c>
      <c r="W2135">
        <v>0.33333333300000001</v>
      </c>
      <c r="X2135">
        <v>0.66666666699999999</v>
      </c>
      <c r="Y2135">
        <v>0.6</v>
      </c>
      <c r="Z2135">
        <v>0</v>
      </c>
      <c r="AA2135" t="s">
        <v>9335</v>
      </c>
      <c r="AB2135" t="s">
        <v>242</v>
      </c>
      <c r="AC2135" t="s">
        <v>3229</v>
      </c>
    </row>
    <row r="2136" spans="1:29" x14ac:dyDescent="0.25">
      <c r="A2136" t="s">
        <v>2682</v>
      </c>
      <c r="B2136" t="s">
        <v>252</v>
      </c>
      <c r="C2136" t="s">
        <v>403</v>
      </c>
      <c r="D2136" t="s">
        <v>3713</v>
      </c>
      <c r="E2136" t="s">
        <v>3761</v>
      </c>
      <c r="F2136">
        <v>10000000</v>
      </c>
      <c r="G2136" t="s">
        <v>9349</v>
      </c>
      <c r="H2136" t="s">
        <v>241</v>
      </c>
      <c r="I2136" t="s">
        <v>242</v>
      </c>
      <c r="J2136" t="s">
        <v>242</v>
      </c>
      <c r="K2136" t="s">
        <v>242</v>
      </c>
      <c r="L2136" t="s">
        <v>241</v>
      </c>
      <c r="M2136">
        <v>38.447000000000003</v>
      </c>
      <c r="N2136">
        <v>-123.05500000000001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6.1377700000000003E-4</v>
      </c>
      <c r="U2136">
        <v>6.1786929999999999E-3</v>
      </c>
      <c r="V2136">
        <v>6.1786929999999999E-3</v>
      </c>
      <c r="W2136">
        <v>6.1377749999999998E-3</v>
      </c>
      <c r="X2136">
        <v>3.7235829999999999E-3</v>
      </c>
      <c r="Y2136">
        <v>0</v>
      </c>
      <c r="Z2136">
        <v>0</v>
      </c>
      <c r="AA2136" t="s">
        <v>9333</v>
      </c>
      <c r="AB2136" t="s">
        <v>242</v>
      </c>
      <c r="AC2136" t="s">
        <v>3229</v>
      </c>
    </row>
    <row r="2137" spans="1:29" x14ac:dyDescent="0.25">
      <c r="A2137" t="s">
        <v>1829</v>
      </c>
      <c r="B2137" t="s">
        <v>252</v>
      </c>
      <c r="C2137" t="s">
        <v>329</v>
      </c>
      <c r="D2137" t="s">
        <v>3713</v>
      </c>
      <c r="E2137" t="s">
        <v>3761</v>
      </c>
      <c r="F2137">
        <v>18770101</v>
      </c>
      <c r="G2137" t="s">
        <v>9348</v>
      </c>
      <c r="H2137" t="s">
        <v>242</v>
      </c>
      <c r="I2137" t="s">
        <v>241</v>
      </c>
      <c r="J2137" t="s">
        <v>242</v>
      </c>
      <c r="K2137" t="s">
        <v>242</v>
      </c>
      <c r="L2137" t="s">
        <v>242</v>
      </c>
      <c r="M2137">
        <v>38.536000000000001</v>
      </c>
      <c r="N2137">
        <v>-123.0894</v>
      </c>
      <c r="O2137">
        <v>1.25</v>
      </c>
      <c r="P2137">
        <v>1.25</v>
      </c>
      <c r="Q2137">
        <v>1.25</v>
      </c>
      <c r="R2137">
        <v>1.25</v>
      </c>
      <c r="S2137">
        <v>1.25</v>
      </c>
      <c r="T2137">
        <v>1.25</v>
      </c>
      <c r="U2137">
        <v>1.25</v>
      </c>
      <c r="V2137">
        <v>1.25</v>
      </c>
      <c r="W2137">
        <v>1.25</v>
      </c>
      <c r="X2137">
        <v>1.25</v>
      </c>
      <c r="Y2137">
        <v>1.25</v>
      </c>
      <c r="Z2137">
        <v>1.25</v>
      </c>
      <c r="AA2137" t="s">
        <v>9333</v>
      </c>
      <c r="AB2137" t="s">
        <v>242</v>
      </c>
      <c r="AC2137" t="s">
        <v>3229</v>
      </c>
    </row>
    <row r="2138" spans="1:29" x14ac:dyDescent="0.25">
      <c r="A2138" t="s">
        <v>2685</v>
      </c>
      <c r="B2138" t="s">
        <v>252</v>
      </c>
      <c r="C2138" t="s">
        <v>403</v>
      </c>
      <c r="D2138" t="s">
        <v>3713</v>
      </c>
      <c r="E2138" t="s">
        <v>3761</v>
      </c>
      <c r="F2138">
        <v>10000000</v>
      </c>
      <c r="G2138" t="s">
        <v>9349</v>
      </c>
      <c r="H2138" t="s">
        <v>242</v>
      </c>
      <c r="I2138" t="s">
        <v>242</v>
      </c>
      <c r="J2138" t="s">
        <v>242</v>
      </c>
      <c r="K2138" t="s">
        <v>242</v>
      </c>
      <c r="L2138" t="s">
        <v>241</v>
      </c>
      <c r="M2138">
        <v>38.439100000000003</v>
      </c>
      <c r="N2138">
        <v>-122.9757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 t="s">
        <v>9335</v>
      </c>
      <c r="AB2138" t="s">
        <v>242</v>
      </c>
      <c r="AC2138" t="s">
        <v>3229</v>
      </c>
    </row>
    <row r="2139" spans="1:29" x14ac:dyDescent="0.25">
      <c r="A2139" t="s">
        <v>1866</v>
      </c>
      <c r="B2139" t="s">
        <v>252</v>
      </c>
      <c r="C2139" t="s">
        <v>684</v>
      </c>
      <c r="D2139" t="s">
        <v>3713</v>
      </c>
      <c r="E2139" t="s">
        <v>3761</v>
      </c>
      <c r="F2139">
        <v>10000000</v>
      </c>
      <c r="G2139" t="s">
        <v>9349</v>
      </c>
      <c r="H2139" t="s">
        <v>241</v>
      </c>
      <c r="I2139" t="s">
        <v>242</v>
      </c>
      <c r="J2139" t="s">
        <v>242</v>
      </c>
      <c r="K2139" t="s">
        <v>242</v>
      </c>
      <c r="L2139" t="s">
        <v>241</v>
      </c>
      <c r="M2139">
        <v>38.516100000000002</v>
      </c>
      <c r="N2139">
        <v>-122.98180000000001</v>
      </c>
      <c r="O2139">
        <v>0</v>
      </c>
      <c r="P2139">
        <v>0</v>
      </c>
      <c r="Q2139">
        <v>0</v>
      </c>
      <c r="R2139">
        <v>4.6666667000000002E-2</v>
      </c>
      <c r="S2139">
        <v>9.3333333000000004E-2</v>
      </c>
      <c r="T2139">
        <v>9.3333333000000004E-2</v>
      </c>
      <c r="U2139">
        <v>9.3333333000000004E-2</v>
      </c>
      <c r="V2139">
        <v>9.3333333000000004E-2</v>
      </c>
      <c r="W2139">
        <v>4.6666667000000002E-2</v>
      </c>
      <c r="X2139">
        <v>0</v>
      </c>
      <c r="Y2139">
        <v>0</v>
      </c>
      <c r="Z2139">
        <v>0</v>
      </c>
      <c r="AA2139" t="s">
        <v>9335</v>
      </c>
      <c r="AB2139" t="s">
        <v>242</v>
      </c>
      <c r="AC2139" t="s">
        <v>3229</v>
      </c>
    </row>
    <row r="2140" spans="1:29" x14ac:dyDescent="0.25">
      <c r="A2140" t="s">
        <v>2395</v>
      </c>
      <c r="B2140" t="s">
        <v>252</v>
      </c>
      <c r="C2140" t="s">
        <v>394</v>
      </c>
      <c r="D2140" t="s">
        <v>3713</v>
      </c>
      <c r="E2140" t="s">
        <v>3761</v>
      </c>
      <c r="F2140">
        <v>10000000</v>
      </c>
      <c r="G2140" t="s">
        <v>9349</v>
      </c>
      <c r="H2140" t="s">
        <v>242</v>
      </c>
      <c r="I2140" t="s">
        <v>242</v>
      </c>
      <c r="J2140" t="s">
        <v>242</v>
      </c>
      <c r="K2140" t="s">
        <v>242</v>
      </c>
      <c r="L2140" t="s">
        <v>241</v>
      </c>
      <c r="M2140">
        <v>38.6312</v>
      </c>
      <c r="N2140">
        <v>-122.8982</v>
      </c>
      <c r="O2140">
        <v>0</v>
      </c>
      <c r="P2140">
        <v>0</v>
      </c>
      <c r="Q2140">
        <v>0</v>
      </c>
      <c r="R2140">
        <v>0</v>
      </c>
      <c r="S2140">
        <v>0.161</v>
      </c>
      <c r="T2140">
        <v>9.2999999999999999E-2</v>
      </c>
      <c r="U2140">
        <v>0.14499999999999999</v>
      </c>
      <c r="V2140">
        <v>0.14499999999999999</v>
      </c>
      <c r="W2140">
        <v>1.2250000000000001</v>
      </c>
      <c r="X2140">
        <v>0</v>
      </c>
      <c r="Y2140">
        <v>0</v>
      </c>
      <c r="Z2140">
        <v>0</v>
      </c>
      <c r="AA2140" t="s">
        <v>9335</v>
      </c>
      <c r="AB2140" t="s">
        <v>242</v>
      </c>
      <c r="AC2140" t="s">
        <v>3229</v>
      </c>
    </row>
    <row r="2141" spans="1:29" x14ac:dyDescent="0.25">
      <c r="A2141" t="s">
        <v>2444</v>
      </c>
      <c r="B2141" t="s">
        <v>252</v>
      </c>
      <c r="C2141" t="s">
        <v>394</v>
      </c>
      <c r="D2141" t="s">
        <v>3713</v>
      </c>
      <c r="E2141" t="s">
        <v>3761</v>
      </c>
      <c r="F2141">
        <v>10000000</v>
      </c>
      <c r="G2141" t="s">
        <v>9349</v>
      </c>
      <c r="H2141" t="s">
        <v>242</v>
      </c>
      <c r="I2141" t="s">
        <v>242</v>
      </c>
      <c r="J2141" t="s">
        <v>242</v>
      </c>
      <c r="K2141" t="s">
        <v>242</v>
      </c>
      <c r="L2141" t="s">
        <v>241</v>
      </c>
      <c r="M2141">
        <v>38.631999999999998</v>
      </c>
      <c r="N2141">
        <v>-122.8952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1.7000000000000001E-2</v>
      </c>
      <c r="U2141">
        <v>3.9E-2</v>
      </c>
      <c r="V2141">
        <v>2.5000000000000001E-2</v>
      </c>
      <c r="W2141">
        <v>0</v>
      </c>
      <c r="X2141">
        <v>0</v>
      </c>
      <c r="Y2141">
        <v>0</v>
      </c>
      <c r="Z2141">
        <v>0</v>
      </c>
      <c r="AA2141" t="s">
        <v>9335</v>
      </c>
      <c r="AB2141" t="s">
        <v>242</v>
      </c>
      <c r="AC2141" t="s">
        <v>3229</v>
      </c>
    </row>
    <row r="2142" spans="1:29" x14ac:dyDescent="0.25">
      <c r="A2142" t="s">
        <v>2171</v>
      </c>
      <c r="B2142" t="s">
        <v>252</v>
      </c>
      <c r="C2142" t="s">
        <v>394</v>
      </c>
      <c r="D2142" t="s">
        <v>3713</v>
      </c>
      <c r="E2142" t="s">
        <v>3761</v>
      </c>
      <c r="F2142">
        <v>10000000</v>
      </c>
      <c r="G2142" t="s">
        <v>9349</v>
      </c>
      <c r="H2142" t="s">
        <v>242</v>
      </c>
      <c r="I2142" t="s">
        <v>242</v>
      </c>
      <c r="J2142" t="s">
        <v>242</v>
      </c>
      <c r="K2142" t="s">
        <v>242</v>
      </c>
      <c r="L2142" t="s">
        <v>241</v>
      </c>
      <c r="M2142">
        <v>38.600999999999999</v>
      </c>
      <c r="N2142">
        <v>-122.87609999999999</v>
      </c>
      <c r="O2142">
        <v>0</v>
      </c>
      <c r="P2142">
        <v>0</v>
      </c>
      <c r="Q2142">
        <v>2.4E-2</v>
      </c>
      <c r="R2142">
        <v>0.26268233299999999</v>
      </c>
      <c r="S2142">
        <v>1.0875683330000001</v>
      </c>
      <c r="T2142">
        <v>0.26884166700000001</v>
      </c>
      <c r="U2142">
        <v>1.214082667</v>
      </c>
      <c r="V2142">
        <v>1.4280713330000001</v>
      </c>
      <c r="W2142">
        <v>0.23370233300000001</v>
      </c>
      <c r="X2142">
        <v>0.52258033299999995</v>
      </c>
      <c r="Y2142">
        <v>0.258590667</v>
      </c>
      <c r="Z2142">
        <v>0</v>
      </c>
      <c r="AA2142" t="s">
        <v>9335</v>
      </c>
      <c r="AB2142" t="s">
        <v>242</v>
      </c>
      <c r="AC2142" t="s">
        <v>3229</v>
      </c>
    </row>
    <row r="2143" spans="1:29" x14ac:dyDescent="0.25">
      <c r="A2143" t="s">
        <v>2737</v>
      </c>
      <c r="B2143" t="s">
        <v>252</v>
      </c>
      <c r="C2143" t="s">
        <v>394</v>
      </c>
      <c r="D2143" t="s">
        <v>3713</v>
      </c>
      <c r="E2143" t="s">
        <v>3761</v>
      </c>
      <c r="F2143">
        <v>10000000</v>
      </c>
      <c r="G2143" t="s">
        <v>9349</v>
      </c>
      <c r="H2143" t="s">
        <v>242</v>
      </c>
      <c r="I2143" t="s">
        <v>242</v>
      </c>
      <c r="J2143" t="s">
        <v>242</v>
      </c>
      <c r="K2143" t="s">
        <v>242</v>
      </c>
      <c r="L2143" t="s">
        <v>241</v>
      </c>
      <c r="M2143">
        <v>38.600200000000001</v>
      </c>
      <c r="N2143">
        <v>-122.8775</v>
      </c>
      <c r="O2143">
        <v>0</v>
      </c>
      <c r="P2143">
        <v>0</v>
      </c>
      <c r="Q2143">
        <v>1.6E-2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 t="s">
        <v>9335</v>
      </c>
      <c r="AB2143" t="s">
        <v>242</v>
      </c>
      <c r="AC2143" t="s">
        <v>3229</v>
      </c>
    </row>
    <row r="2144" spans="1:29" x14ac:dyDescent="0.25">
      <c r="A2144" t="s">
        <v>1801</v>
      </c>
      <c r="B2144" t="s">
        <v>252</v>
      </c>
      <c r="C2144" t="s">
        <v>403</v>
      </c>
      <c r="D2144" t="s">
        <v>3713</v>
      </c>
      <c r="E2144" t="s">
        <v>3761</v>
      </c>
      <c r="F2144">
        <v>19010101</v>
      </c>
      <c r="G2144" t="s">
        <v>9348</v>
      </c>
      <c r="H2144" t="s">
        <v>241</v>
      </c>
      <c r="I2144" t="s">
        <v>241</v>
      </c>
      <c r="J2144" t="s">
        <v>242</v>
      </c>
      <c r="K2144" t="s">
        <v>242</v>
      </c>
      <c r="L2144" t="s">
        <v>242</v>
      </c>
      <c r="M2144">
        <v>38.474699999999999</v>
      </c>
      <c r="N2144">
        <v>-122.99299999999999</v>
      </c>
      <c r="O2144">
        <v>1.1000000000000001</v>
      </c>
      <c r="P2144">
        <v>0.93333333299999999</v>
      </c>
      <c r="Q2144">
        <v>1.1666666670000001</v>
      </c>
      <c r="R2144">
        <v>1.1000000000000001</v>
      </c>
      <c r="S2144">
        <v>4.4333333330000002</v>
      </c>
      <c r="T2144">
        <v>8.5666666669999998</v>
      </c>
      <c r="U2144">
        <v>12.66666667</v>
      </c>
      <c r="V2144">
        <v>5.4</v>
      </c>
      <c r="W2144">
        <v>5.1666666670000003</v>
      </c>
      <c r="X2144">
        <v>2.2000000000000002</v>
      </c>
      <c r="Y2144">
        <v>2.5666666669999998</v>
      </c>
      <c r="Z2144">
        <v>1.3</v>
      </c>
      <c r="AA2144" t="s">
        <v>9335</v>
      </c>
      <c r="AB2144" t="s">
        <v>242</v>
      </c>
      <c r="AC2144" t="s">
        <v>3229</v>
      </c>
    </row>
    <row r="2145" spans="1:29" x14ac:dyDescent="0.25">
      <c r="A2145" t="s">
        <v>2786</v>
      </c>
      <c r="B2145" t="s">
        <v>252</v>
      </c>
      <c r="C2145" t="s">
        <v>329</v>
      </c>
      <c r="D2145" t="s">
        <v>3713</v>
      </c>
      <c r="E2145" t="s">
        <v>3761</v>
      </c>
      <c r="F2145">
        <v>10000000</v>
      </c>
      <c r="G2145" t="s">
        <v>9349</v>
      </c>
      <c r="H2145" t="s">
        <v>242</v>
      </c>
      <c r="I2145" t="s">
        <v>242</v>
      </c>
      <c r="J2145" t="s">
        <v>242</v>
      </c>
      <c r="K2145" t="s">
        <v>242</v>
      </c>
      <c r="L2145" t="s">
        <v>241</v>
      </c>
      <c r="M2145">
        <v>38.526299999999999</v>
      </c>
      <c r="N2145">
        <v>-123.1433</v>
      </c>
      <c r="O2145">
        <v>7.4675899999999996E-3</v>
      </c>
      <c r="P2145">
        <v>7.4676270000000001E-3</v>
      </c>
      <c r="Q2145">
        <v>1.1354884000000001E-2</v>
      </c>
      <c r="R2145">
        <v>1.0894441E-2</v>
      </c>
      <c r="S2145">
        <v>1.4833069000000001E-2</v>
      </c>
      <c r="T2145">
        <v>1.0587775000000001E-2</v>
      </c>
      <c r="U2145">
        <v>4.3987389999999996E-3</v>
      </c>
      <c r="V2145">
        <v>0</v>
      </c>
      <c r="W2145">
        <v>0</v>
      </c>
      <c r="X2145">
        <v>7.3397940000000002E-3</v>
      </c>
      <c r="Y2145">
        <v>9.8204039999999996E-3</v>
      </c>
      <c r="Z2145">
        <v>9.2886119999999999E-3</v>
      </c>
      <c r="AA2145" t="s">
        <v>9335</v>
      </c>
      <c r="AB2145" t="s">
        <v>242</v>
      </c>
      <c r="AC2145" t="s">
        <v>3229</v>
      </c>
    </row>
    <row r="2146" spans="1:29" x14ac:dyDescent="0.25">
      <c r="A2146" t="s">
        <v>2804</v>
      </c>
      <c r="B2146" t="s">
        <v>252</v>
      </c>
      <c r="C2146" t="s">
        <v>329</v>
      </c>
      <c r="D2146" t="s">
        <v>3713</v>
      </c>
      <c r="E2146" t="s">
        <v>3761</v>
      </c>
      <c r="F2146">
        <v>10000000</v>
      </c>
      <c r="G2146" t="s">
        <v>9349</v>
      </c>
      <c r="H2146" t="s">
        <v>242</v>
      </c>
      <c r="I2146" t="s">
        <v>242</v>
      </c>
      <c r="J2146" t="s">
        <v>242</v>
      </c>
      <c r="K2146" t="s">
        <v>242</v>
      </c>
      <c r="L2146" t="s">
        <v>241</v>
      </c>
      <c r="M2146">
        <v>38.5276</v>
      </c>
      <c r="N2146">
        <v>-123.1379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4.5009239999999999E-3</v>
      </c>
      <c r="U2146">
        <v>3.8055319999999999E-3</v>
      </c>
      <c r="V2146">
        <v>3.631591E-3</v>
      </c>
      <c r="W2146">
        <v>3.7902249999999999E-3</v>
      </c>
      <c r="X2146">
        <v>6.8027010000000004E-3</v>
      </c>
      <c r="Y2146">
        <v>7.0583310000000002E-3</v>
      </c>
      <c r="Z2146">
        <v>0</v>
      </c>
      <c r="AA2146" t="s">
        <v>9335</v>
      </c>
      <c r="AB2146" t="s">
        <v>242</v>
      </c>
      <c r="AC2146" t="s">
        <v>3229</v>
      </c>
    </row>
    <row r="2147" spans="1:29" x14ac:dyDescent="0.25">
      <c r="A2147" t="s">
        <v>2713</v>
      </c>
      <c r="B2147" t="s">
        <v>252</v>
      </c>
      <c r="C2147" t="s">
        <v>378</v>
      </c>
      <c r="D2147" t="s">
        <v>3713</v>
      </c>
      <c r="E2147" t="s">
        <v>3761</v>
      </c>
      <c r="F2147">
        <v>10000000</v>
      </c>
      <c r="G2147" t="s">
        <v>9349</v>
      </c>
      <c r="H2147" t="s">
        <v>242</v>
      </c>
      <c r="I2147" t="s">
        <v>242</v>
      </c>
      <c r="J2147" t="s">
        <v>242</v>
      </c>
      <c r="K2147" t="s">
        <v>242</v>
      </c>
      <c r="L2147" t="s">
        <v>241</v>
      </c>
      <c r="M2147">
        <v>38.397599999999997</v>
      </c>
      <c r="N2147">
        <v>-122.6409</v>
      </c>
      <c r="O2147">
        <v>0.5</v>
      </c>
      <c r="P2147">
        <v>0.133333333</v>
      </c>
      <c r="Q2147">
        <v>2.1666666669999999</v>
      </c>
      <c r="R2147">
        <v>0.5</v>
      </c>
      <c r="S2147">
        <v>0.46666666699999998</v>
      </c>
      <c r="T2147">
        <v>0.233333333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 t="s">
        <v>9335</v>
      </c>
      <c r="AB2147" t="s">
        <v>242</v>
      </c>
      <c r="AC2147" t="s">
        <v>3229</v>
      </c>
    </row>
    <row r="2148" spans="1:29" x14ac:dyDescent="0.25">
      <c r="A2148" t="s">
        <v>2763</v>
      </c>
      <c r="B2148" t="s">
        <v>252</v>
      </c>
      <c r="C2148" t="s">
        <v>394</v>
      </c>
      <c r="D2148" t="s">
        <v>3713</v>
      </c>
      <c r="E2148" t="s">
        <v>3761</v>
      </c>
      <c r="F2148">
        <v>10000000</v>
      </c>
      <c r="G2148" t="s">
        <v>9349</v>
      </c>
      <c r="H2148" t="s">
        <v>242</v>
      </c>
      <c r="I2148" t="s">
        <v>242</v>
      </c>
      <c r="J2148" t="s">
        <v>242</v>
      </c>
      <c r="K2148" t="s">
        <v>242</v>
      </c>
      <c r="L2148" t="s">
        <v>241</v>
      </c>
      <c r="M2148">
        <v>38.64</v>
      </c>
      <c r="N2148">
        <v>-122.907</v>
      </c>
      <c r="O2148">
        <v>0</v>
      </c>
      <c r="P2148">
        <v>0.03</v>
      </c>
      <c r="Q2148">
        <v>0.77333333299999996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 t="s">
        <v>9335</v>
      </c>
      <c r="AB2148" t="s">
        <v>242</v>
      </c>
      <c r="AC2148" t="s">
        <v>3229</v>
      </c>
    </row>
    <row r="2149" spans="1:29" x14ac:dyDescent="0.25">
      <c r="A2149" t="s">
        <v>2717</v>
      </c>
      <c r="B2149" t="s">
        <v>252</v>
      </c>
      <c r="C2149" t="s">
        <v>352</v>
      </c>
      <c r="D2149" t="s">
        <v>3713</v>
      </c>
      <c r="E2149" t="s">
        <v>3761</v>
      </c>
      <c r="F2149">
        <v>10000000</v>
      </c>
      <c r="G2149" t="s">
        <v>9349</v>
      </c>
      <c r="H2149" t="s">
        <v>241</v>
      </c>
      <c r="I2149" t="s">
        <v>242</v>
      </c>
      <c r="J2149" t="s">
        <v>242</v>
      </c>
      <c r="K2149" t="s">
        <v>242</v>
      </c>
      <c r="L2149" t="s">
        <v>241</v>
      </c>
      <c r="M2149">
        <v>38.5045</v>
      </c>
      <c r="N2149">
        <v>-122.91079999999999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7.3684399999999995E-4</v>
      </c>
      <c r="U2149">
        <v>9.82178E-4</v>
      </c>
      <c r="V2149">
        <v>9.82178E-4</v>
      </c>
      <c r="W2149">
        <v>8.5951099999999998E-4</v>
      </c>
      <c r="X2149">
        <v>2.4566699999999998E-4</v>
      </c>
      <c r="Y2149">
        <v>0</v>
      </c>
      <c r="Z2149">
        <v>0</v>
      </c>
      <c r="AA2149" t="s">
        <v>9335</v>
      </c>
      <c r="AB2149" t="s">
        <v>242</v>
      </c>
      <c r="AC2149" t="s">
        <v>3229</v>
      </c>
    </row>
    <row r="2150" spans="1:29" x14ac:dyDescent="0.25">
      <c r="A2150" t="s">
        <v>2718</v>
      </c>
      <c r="B2150" t="s">
        <v>252</v>
      </c>
      <c r="C2150" t="s">
        <v>403</v>
      </c>
      <c r="D2150" t="s">
        <v>3713</v>
      </c>
      <c r="E2150" t="s">
        <v>3761</v>
      </c>
      <c r="F2150">
        <v>10000000</v>
      </c>
      <c r="G2150" t="s">
        <v>9349</v>
      </c>
      <c r="H2150" t="s">
        <v>242</v>
      </c>
      <c r="I2150" t="s">
        <v>242</v>
      </c>
      <c r="J2150" t="s">
        <v>242</v>
      </c>
      <c r="K2150" t="s">
        <v>242</v>
      </c>
      <c r="L2150" t="s">
        <v>241</v>
      </c>
      <c r="M2150">
        <v>38.437899999999999</v>
      </c>
      <c r="N2150">
        <v>-122.9804</v>
      </c>
      <c r="O2150">
        <v>0.54141333300000005</v>
      </c>
      <c r="P2150">
        <v>0.59844333299999997</v>
      </c>
      <c r="Q2150">
        <v>0.66503800000000002</v>
      </c>
      <c r="R2150">
        <v>0.64792400000000006</v>
      </c>
      <c r="S2150">
        <v>0.63651766700000001</v>
      </c>
      <c r="T2150">
        <v>0.65475733300000005</v>
      </c>
      <c r="U2150">
        <v>0.78726366699999994</v>
      </c>
      <c r="V2150">
        <v>0.74008233300000004</v>
      </c>
      <c r="W2150">
        <v>0.58999333300000001</v>
      </c>
      <c r="X2150">
        <v>0.58189133299999996</v>
      </c>
      <c r="Y2150">
        <v>0.61394333300000004</v>
      </c>
      <c r="Z2150">
        <v>0.65482866699999998</v>
      </c>
      <c r="AA2150" t="s">
        <v>9333</v>
      </c>
      <c r="AB2150" t="s">
        <v>242</v>
      </c>
      <c r="AC2150" t="s">
        <v>3229</v>
      </c>
    </row>
    <row r="2151" spans="1:29" x14ac:dyDescent="0.25">
      <c r="A2151" t="s">
        <v>2719</v>
      </c>
      <c r="B2151" t="s">
        <v>252</v>
      </c>
      <c r="C2151" t="s">
        <v>352</v>
      </c>
      <c r="D2151" t="s">
        <v>3713</v>
      </c>
      <c r="E2151" t="s">
        <v>3761</v>
      </c>
      <c r="F2151">
        <v>10000000</v>
      </c>
      <c r="G2151" t="s">
        <v>9349</v>
      </c>
      <c r="H2151" t="s">
        <v>242</v>
      </c>
      <c r="I2151" t="s">
        <v>242</v>
      </c>
      <c r="J2151" t="s">
        <v>242</v>
      </c>
      <c r="K2151" t="s">
        <v>242</v>
      </c>
      <c r="L2151" t="s">
        <v>241</v>
      </c>
      <c r="M2151">
        <v>38.378300000000003</v>
      </c>
      <c r="N2151">
        <v>-122.8929</v>
      </c>
      <c r="O2151">
        <v>0</v>
      </c>
      <c r="P2151">
        <v>0</v>
      </c>
      <c r="Q2151">
        <v>6.1376670000000003E-3</v>
      </c>
      <c r="R2151">
        <v>8.7757000000000002E-2</v>
      </c>
      <c r="S2151">
        <v>9.1439667000000002E-2</v>
      </c>
      <c r="T2151">
        <v>9.1439667000000002E-2</v>
      </c>
      <c r="U2151">
        <v>9.1439667000000002E-2</v>
      </c>
      <c r="V2151">
        <v>9.1439667000000002E-2</v>
      </c>
      <c r="W2151">
        <v>8.3153667000000001E-2</v>
      </c>
      <c r="X2151">
        <v>0</v>
      </c>
      <c r="Y2151">
        <v>0</v>
      </c>
      <c r="Z2151">
        <v>7.3333333000000001E-2</v>
      </c>
      <c r="AA2151" t="s">
        <v>9335</v>
      </c>
      <c r="AB2151" t="s">
        <v>242</v>
      </c>
      <c r="AC2151" t="s">
        <v>3229</v>
      </c>
    </row>
    <row r="2152" spans="1:29" x14ac:dyDescent="0.25">
      <c r="A2152" t="s">
        <v>2834</v>
      </c>
      <c r="B2152" t="s">
        <v>252</v>
      </c>
      <c r="C2152" t="s">
        <v>394</v>
      </c>
      <c r="D2152" t="s">
        <v>3713</v>
      </c>
      <c r="E2152" t="s">
        <v>3761</v>
      </c>
      <c r="F2152">
        <v>10000000</v>
      </c>
      <c r="G2152" t="s">
        <v>9349</v>
      </c>
      <c r="H2152" t="s">
        <v>242</v>
      </c>
      <c r="I2152" t="s">
        <v>242</v>
      </c>
      <c r="J2152" t="s">
        <v>242</v>
      </c>
      <c r="K2152" t="s">
        <v>242</v>
      </c>
      <c r="L2152" t="s">
        <v>241</v>
      </c>
      <c r="M2152">
        <v>38.5901</v>
      </c>
      <c r="N2152">
        <v>-122.90260000000001</v>
      </c>
      <c r="O2152">
        <v>0</v>
      </c>
      <c r="P2152">
        <v>0</v>
      </c>
      <c r="Q2152">
        <v>3.1E-2</v>
      </c>
      <c r="R2152">
        <v>3.1E-2</v>
      </c>
      <c r="S2152">
        <v>3.1E-2</v>
      </c>
      <c r="T2152">
        <v>3.1E-2</v>
      </c>
      <c r="U2152">
        <v>3.1E-2</v>
      </c>
      <c r="V2152">
        <v>0</v>
      </c>
      <c r="W2152">
        <v>0</v>
      </c>
      <c r="X2152">
        <v>0</v>
      </c>
      <c r="Y2152">
        <v>0</v>
      </c>
      <c r="Z2152">
        <v>0</v>
      </c>
      <c r="AA2152" t="s">
        <v>9335</v>
      </c>
      <c r="AB2152" t="s">
        <v>242</v>
      </c>
      <c r="AC2152" t="s">
        <v>3229</v>
      </c>
    </row>
    <row r="2153" spans="1:29" x14ac:dyDescent="0.25">
      <c r="A2153" t="s">
        <v>2417</v>
      </c>
      <c r="B2153" t="s">
        <v>252</v>
      </c>
      <c r="C2153" t="s">
        <v>394</v>
      </c>
      <c r="D2153" t="s">
        <v>3713</v>
      </c>
      <c r="E2153" t="s">
        <v>3761</v>
      </c>
      <c r="F2153">
        <v>10000000</v>
      </c>
      <c r="G2153" t="s">
        <v>9349</v>
      </c>
      <c r="H2153" t="s">
        <v>242</v>
      </c>
      <c r="I2153" t="s">
        <v>242</v>
      </c>
      <c r="J2153" t="s">
        <v>242</v>
      </c>
      <c r="K2153" t="s">
        <v>242</v>
      </c>
      <c r="L2153" t="s">
        <v>241</v>
      </c>
      <c r="M2153">
        <v>38.568800000000003</v>
      </c>
      <c r="N2153">
        <v>-122.9528</v>
      </c>
      <c r="O2153">
        <v>3.9123333000000003E-2</v>
      </c>
      <c r="P2153">
        <v>3.9123333000000003E-2</v>
      </c>
      <c r="Q2153">
        <v>3.9323333000000002E-2</v>
      </c>
      <c r="R2153">
        <v>3.9323333000000002E-2</v>
      </c>
      <c r="S2153">
        <v>3.9456667000000001E-2</v>
      </c>
      <c r="T2153">
        <v>3.9456667000000001E-2</v>
      </c>
      <c r="U2153">
        <v>3.9456667000000001E-2</v>
      </c>
      <c r="V2153">
        <v>3.9456667000000001E-2</v>
      </c>
      <c r="W2153">
        <v>3.9456667000000001E-2</v>
      </c>
      <c r="X2153">
        <v>3.9456667000000001E-2</v>
      </c>
      <c r="Y2153">
        <v>3.9123333000000003E-2</v>
      </c>
      <c r="Z2153">
        <v>3.9123333000000003E-2</v>
      </c>
      <c r="AA2153" t="s">
        <v>9333</v>
      </c>
      <c r="AB2153" t="s">
        <v>242</v>
      </c>
      <c r="AC2153" t="s">
        <v>3229</v>
      </c>
    </row>
    <row r="2154" spans="1:29" x14ac:dyDescent="0.25">
      <c r="A2154" t="s">
        <v>2723</v>
      </c>
      <c r="B2154" t="s">
        <v>252</v>
      </c>
      <c r="C2154" t="s">
        <v>352</v>
      </c>
      <c r="D2154" t="s">
        <v>3713</v>
      </c>
      <c r="E2154" t="s">
        <v>3761</v>
      </c>
      <c r="F2154">
        <v>10000000</v>
      </c>
      <c r="G2154" t="s">
        <v>9349</v>
      </c>
      <c r="H2154" t="s">
        <v>242</v>
      </c>
      <c r="I2154" t="s">
        <v>242</v>
      </c>
      <c r="J2154" t="s">
        <v>242</v>
      </c>
      <c r="K2154" t="s">
        <v>242</v>
      </c>
      <c r="L2154" t="s">
        <v>241</v>
      </c>
      <c r="M2154">
        <v>38.363599999999998</v>
      </c>
      <c r="N2154">
        <v>-122.8725</v>
      </c>
      <c r="O2154">
        <v>1.5610333000000001E-2</v>
      </c>
      <c r="P2154">
        <v>3.2192667000000001E-2</v>
      </c>
      <c r="Q2154">
        <v>2.7803999999999999E-2</v>
      </c>
      <c r="R2154">
        <v>1.0229667E-2</v>
      </c>
      <c r="S2154">
        <v>2.2867333E-2</v>
      </c>
      <c r="T2154">
        <v>2.3703999999999999E-2</v>
      </c>
      <c r="U2154">
        <v>3.5506999999999997E-2</v>
      </c>
      <c r="V2154">
        <v>2.4664667000000001E-2</v>
      </c>
      <c r="W2154">
        <v>2.7703999999999999E-2</v>
      </c>
      <c r="X2154">
        <v>3.6011333E-2</v>
      </c>
      <c r="Y2154">
        <v>3.1164667E-2</v>
      </c>
      <c r="Z2154">
        <v>2.5175333000000001E-2</v>
      </c>
      <c r="AA2154" t="s">
        <v>9335</v>
      </c>
      <c r="AB2154" t="s">
        <v>242</v>
      </c>
      <c r="AC2154" t="s">
        <v>3229</v>
      </c>
    </row>
    <row r="2155" spans="1:29" x14ac:dyDescent="0.25">
      <c r="A2155" t="s">
        <v>2724</v>
      </c>
      <c r="B2155" t="s">
        <v>252</v>
      </c>
      <c r="C2155" t="s">
        <v>352</v>
      </c>
      <c r="D2155" t="s">
        <v>3713</v>
      </c>
      <c r="E2155" t="s">
        <v>3761</v>
      </c>
      <c r="F2155">
        <v>10000000</v>
      </c>
      <c r="G2155" t="s">
        <v>9349</v>
      </c>
      <c r="H2155" t="s">
        <v>242</v>
      </c>
      <c r="I2155" t="s">
        <v>242</v>
      </c>
      <c r="J2155" t="s">
        <v>242</v>
      </c>
      <c r="K2155" t="s">
        <v>242</v>
      </c>
      <c r="L2155" t="s">
        <v>241</v>
      </c>
      <c r="M2155">
        <v>38.443600000000004</v>
      </c>
      <c r="N2155">
        <v>-122.8934</v>
      </c>
      <c r="O2155">
        <v>0</v>
      </c>
      <c r="P2155">
        <v>0</v>
      </c>
      <c r="Q2155">
        <v>0</v>
      </c>
      <c r="R2155">
        <v>0</v>
      </c>
      <c r="S2155">
        <v>1.4270306999999999E-2</v>
      </c>
      <c r="T2155">
        <v>3.4064603999999998E-2</v>
      </c>
      <c r="U2155">
        <v>3.5200091000000003E-2</v>
      </c>
      <c r="V2155">
        <v>3.5200091000000003E-2</v>
      </c>
      <c r="W2155">
        <v>3.4064603999999998E-2</v>
      </c>
      <c r="X2155">
        <v>2.3783845000000001E-2</v>
      </c>
      <c r="Y2155">
        <v>1.2275533E-2</v>
      </c>
      <c r="Z2155">
        <v>0</v>
      </c>
      <c r="AA2155" t="s">
        <v>9333</v>
      </c>
      <c r="AB2155" t="s">
        <v>242</v>
      </c>
      <c r="AC2155" t="s">
        <v>3229</v>
      </c>
    </row>
    <row r="2156" spans="1:29" x14ac:dyDescent="0.25">
      <c r="A2156" t="s">
        <v>2403</v>
      </c>
      <c r="B2156" t="s">
        <v>252</v>
      </c>
      <c r="C2156" t="s">
        <v>394</v>
      </c>
      <c r="D2156" t="s">
        <v>3713</v>
      </c>
      <c r="E2156" t="s">
        <v>3761</v>
      </c>
      <c r="F2156">
        <v>10000000</v>
      </c>
      <c r="G2156" t="s">
        <v>9349</v>
      </c>
      <c r="H2156" t="s">
        <v>242</v>
      </c>
      <c r="I2156" t="s">
        <v>242</v>
      </c>
      <c r="J2156" t="s">
        <v>242</v>
      </c>
      <c r="K2156" t="s">
        <v>242</v>
      </c>
      <c r="L2156" t="s">
        <v>241</v>
      </c>
      <c r="M2156">
        <v>38.587200000000003</v>
      </c>
      <c r="N2156">
        <v>-122.9618</v>
      </c>
      <c r="O2156">
        <v>0.194333333</v>
      </c>
      <c r="P2156">
        <v>0.18133333300000001</v>
      </c>
      <c r="Q2156">
        <v>0.17399999999999999</v>
      </c>
      <c r="R2156">
        <v>0.13700000000000001</v>
      </c>
      <c r="S2156">
        <v>0.116333333</v>
      </c>
      <c r="T2156">
        <v>9.9000000000000005E-2</v>
      </c>
      <c r="U2156">
        <v>6.9000000000000006E-2</v>
      </c>
      <c r="V2156">
        <v>6.9000000000000006E-2</v>
      </c>
      <c r="W2156">
        <v>6.6000000000000003E-2</v>
      </c>
      <c r="X2156">
        <v>6.9000000000000006E-2</v>
      </c>
      <c r="Y2156">
        <v>7.6999999999999999E-2</v>
      </c>
      <c r="Z2156">
        <v>0.10299999999999999</v>
      </c>
      <c r="AA2156" t="s">
        <v>9333</v>
      </c>
      <c r="AB2156" t="s">
        <v>242</v>
      </c>
      <c r="AC2156" t="s">
        <v>3229</v>
      </c>
    </row>
    <row r="2157" spans="1:29" x14ac:dyDescent="0.25">
      <c r="A2157" t="s">
        <v>1845</v>
      </c>
      <c r="B2157" t="s">
        <v>252</v>
      </c>
      <c r="C2157" t="s">
        <v>352</v>
      </c>
      <c r="D2157" t="s">
        <v>3713</v>
      </c>
      <c r="E2157" t="s">
        <v>3761</v>
      </c>
      <c r="F2157">
        <v>18600101</v>
      </c>
      <c r="G2157" t="s">
        <v>9348</v>
      </c>
      <c r="H2157" t="s">
        <v>242</v>
      </c>
      <c r="I2157" t="s">
        <v>241</v>
      </c>
      <c r="J2157" t="s">
        <v>242</v>
      </c>
      <c r="K2157" t="s">
        <v>242</v>
      </c>
      <c r="L2157" t="s">
        <v>242</v>
      </c>
      <c r="M2157">
        <v>38.419800000000002</v>
      </c>
      <c r="N2157">
        <v>-122.9019</v>
      </c>
      <c r="O2157">
        <v>1.2699999999999999E-2</v>
      </c>
      <c r="P2157">
        <v>3.1513332999999998E-2</v>
      </c>
      <c r="Q2157">
        <v>2.0406667E-2</v>
      </c>
      <c r="R2157">
        <v>3.388E-2</v>
      </c>
      <c r="S2157">
        <v>7.8206666999999994E-2</v>
      </c>
      <c r="T2157">
        <v>0.111306667</v>
      </c>
      <c r="U2157">
        <v>0.215313333</v>
      </c>
      <c r="V2157">
        <v>0.23263666699999999</v>
      </c>
      <c r="W2157">
        <v>0.23472999999999999</v>
      </c>
      <c r="X2157">
        <v>0.151373333</v>
      </c>
      <c r="Y2157">
        <v>4.5839999999999999E-2</v>
      </c>
      <c r="Z2157">
        <v>1.8686667000000001E-2</v>
      </c>
      <c r="AA2157" t="s">
        <v>9335</v>
      </c>
      <c r="AB2157" t="s">
        <v>242</v>
      </c>
      <c r="AC2157" t="s">
        <v>3229</v>
      </c>
    </row>
    <row r="2158" spans="1:29" x14ac:dyDescent="0.25">
      <c r="A2158" t="s">
        <v>2726</v>
      </c>
      <c r="B2158" t="s">
        <v>252</v>
      </c>
      <c r="C2158" t="s">
        <v>352</v>
      </c>
      <c r="D2158" t="s">
        <v>3713</v>
      </c>
      <c r="E2158" t="s">
        <v>3761</v>
      </c>
      <c r="F2158">
        <v>10000000</v>
      </c>
      <c r="G2158" t="s">
        <v>9349</v>
      </c>
      <c r="H2158" t="s">
        <v>242</v>
      </c>
      <c r="I2158" t="s">
        <v>242</v>
      </c>
      <c r="J2158" t="s">
        <v>242</v>
      </c>
      <c r="K2158" t="s">
        <v>242</v>
      </c>
      <c r="L2158" t="s">
        <v>241</v>
      </c>
      <c r="M2158">
        <v>38.437199999999997</v>
      </c>
      <c r="N2158">
        <v>-122.9019</v>
      </c>
      <c r="O2158">
        <v>0</v>
      </c>
      <c r="P2158">
        <v>0</v>
      </c>
      <c r="Q2158">
        <v>0</v>
      </c>
      <c r="R2158">
        <v>1.1256669999999999E-3</v>
      </c>
      <c r="S2158">
        <v>3.1723329999999998E-3</v>
      </c>
      <c r="T2158">
        <v>3.0699999999999998E-3</v>
      </c>
      <c r="U2158">
        <v>7.2639999999999996E-3</v>
      </c>
      <c r="V2158">
        <v>7.5706669999999997E-3</v>
      </c>
      <c r="W2158">
        <v>5.1146669999999998E-3</v>
      </c>
      <c r="X2158">
        <v>4.3986670000000002E-3</v>
      </c>
      <c r="Y2158">
        <v>1.227667E-3</v>
      </c>
      <c r="Z2158">
        <v>0</v>
      </c>
      <c r="AA2158" t="s">
        <v>9335</v>
      </c>
      <c r="AB2158" t="s">
        <v>242</v>
      </c>
      <c r="AC2158" t="s">
        <v>3229</v>
      </c>
    </row>
    <row r="2159" spans="1:29" x14ac:dyDescent="0.25">
      <c r="A2159" t="s">
        <v>2469</v>
      </c>
      <c r="B2159" t="s">
        <v>252</v>
      </c>
      <c r="C2159" t="s">
        <v>394</v>
      </c>
      <c r="D2159" t="s">
        <v>3713</v>
      </c>
      <c r="E2159" t="s">
        <v>3761</v>
      </c>
      <c r="F2159">
        <v>10000000</v>
      </c>
      <c r="G2159" t="s">
        <v>9349</v>
      </c>
      <c r="H2159" t="s">
        <v>242</v>
      </c>
      <c r="I2159" t="s">
        <v>242</v>
      </c>
      <c r="J2159" t="s">
        <v>242</v>
      </c>
      <c r="K2159" t="s">
        <v>242</v>
      </c>
      <c r="L2159" t="s">
        <v>241</v>
      </c>
      <c r="M2159">
        <v>38.590499999999999</v>
      </c>
      <c r="N2159">
        <v>-122.9404</v>
      </c>
      <c r="O2159">
        <v>5.6263329999999999E-3</v>
      </c>
      <c r="P2159">
        <v>5.6263329999999999E-3</v>
      </c>
      <c r="Q2159">
        <v>4.2963330000000003E-3</v>
      </c>
      <c r="R2159">
        <v>4.2963330000000003E-3</v>
      </c>
      <c r="S2159">
        <v>4.2963330000000003E-3</v>
      </c>
      <c r="T2159">
        <v>5.0123329999999999E-3</v>
      </c>
      <c r="U2159">
        <v>5.0123329999999999E-3</v>
      </c>
      <c r="V2159">
        <v>5.4216669999999998E-3</v>
      </c>
      <c r="W2159">
        <v>5.3270000000000001E-3</v>
      </c>
      <c r="X2159">
        <v>4.9103330000000002E-3</v>
      </c>
      <c r="Y2159">
        <v>4.5009999999999998E-3</v>
      </c>
      <c r="Z2159">
        <v>4.5009999999999998E-3</v>
      </c>
      <c r="AA2159" t="s">
        <v>9333</v>
      </c>
      <c r="AB2159" t="s">
        <v>242</v>
      </c>
      <c r="AC2159" t="s">
        <v>3229</v>
      </c>
    </row>
    <row r="2160" spans="1:29" x14ac:dyDescent="0.25">
      <c r="A2160" t="s">
        <v>2728</v>
      </c>
      <c r="B2160" t="s">
        <v>252</v>
      </c>
      <c r="C2160" t="s">
        <v>352</v>
      </c>
      <c r="D2160" t="s">
        <v>3713</v>
      </c>
      <c r="E2160" t="s">
        <v>3761</v>
      </c>
      <c r="F2160">
        <v>10000000</v>
      </c>
      <c r="G2160" t="s">
        <v>9349</v>
      </c>
      <c r="H2160" t="s">
        <v>242</v>
      </c>
      <c r="I2160" t="s">
        <v>242</v>
      </c>
      <c r="J2160" t="s">
        <v>242</v>
      </c>
      <c r="K2160" t="s">
        <v>242</v>
      </c>
      <c r="L2160" t="s">
        <v>241</v>
      </c>
      <c r="M2160">
        <v>38.415100000000002</v>
      </c>
      <c r="N2160">
        <v>-122.9162</v>
      </c>
      <c r="O2160">
        <v>1.4270326E-2</v>
      </c>
      <c r="P2160">
        <v>1.2889327000000001E-2</v>
      </c>
      <c r="Q2160">
        <v>1.4270326E-2</v>
      </c>
      <c r="R2160">
        <v>1.3809993E-2</v>
      </c>
      <c r="S2160">
        <v>1.4270326E-2</v>
      </c>
      <c r="T2160">
        <v>1.3809993E-2</v>
      </c>
      <c r="U2160">
        <v>1.4270326E-2</v>
      </c>
      <c r="V2160">
        <v>1.4270326E-2</v>
      </c>
      <c r="W2160">
        <v>1.3809972E-2</v>
      </c>
      <c r="X2160">
        <v>1.4270326E-2</v>
      </c>
      <c r="Y2160">
        <v>1.3809993E-2</v>
      </c>
      <c r="Z2160">
        <v>1.4270326E-2</v>
      </c>
      <c r="AA2160" t="s">
        <v>9335</v>
      </c>
      <c r="AB2160" t="s">
        <v>242</v>
      </c>
      <c r="AC2160" t="s">
        <v>3229</v>
      </c>
    </row>
    <row r="2161" spans="1:29" x14ac:dyDescent="0.25">
      <c r="A2161" t="s">
        <v>8541</v>
      </c>
      <c r="B2161" t="s">
        <v>252</v>
      </c>
      <c r="C2161" t="e">
        <v>#N/A</v>
      </c>
      <c r="D2161" t="s">
        <v>3713</v>
      </c>
      <c r="E2161" t="s">
        <v>3761</v>
      </c>
      <c r="F2161">
        <v>10000000</v>
      </c>
      <c r="G2161" t="s">
        <v>9349</v>
      </c>
      <c r="I2161" t="s">
        <v>242</v>
      </c>
      <c r="L2161" t="s">
        <v>241</v>
      </c>
    </row>
    <row r="2162" spans="1:29" x14ac:dyDescent="0.25">
      <c r="A2162" t="s">
        <v>2875</v>
      </c>
      <c r="B2162" t="s">
        <v>252</v>
      </c>
      <c r="C2162" t="s">
        <v>394</v>
      </c>
      <c r="D2162" t="s">
        <v>3713</v>
      </c>
      <c r="E2162" t="s">
        <v>3761</v>
      </c>
      <c r="F2162">
        <v>10000000</v>
      </c>
      <c r="G2162" t="s">
        <v>9349</v>
      </c>
      <c r="H2162" t="s">
        <v>242</v>
      </c>
      <c r="I2162" t="s">
        <v>242</v>
      </c>
      <c r="J2162" t="s">
        <v>242</v>
      </c>
      <c r="K2162" t="s">
        <v>242</v>
      </c>
      <c r="L2162" t="s">
        <v>241</v>
      </c>
      <c r="M2162">
        <v>38.592199999999998</v>
      </c>
      <c r="N2162">
        <v>-122.91970000000001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 t="s">
        <v>9333</v>
      </c>
      <c r="AB2162" t="s">
        <v>242</v>
      </c>
      <c r="AC2162" t="s">
        <v>3229</v>
      </c>
    </row>
    <row r="2163" spans="1:29" x14ac:dyDescent="0.25">
      <c r="A2163" t="s">
        <v>2425</v>
      </c>
      <c r="B2163" t="s">
        <v>252</v>
      </c>
      <c r="C2163" t="s">
        <v>489</v>
      </c>
      <c r="D2163" t="s">
        <v>3713</v>
      </c>
      <c r="E2163" t="s">
        <v>3761</v>
      </c>
      <c r="F2163">
        <v>10000000</v>
      </c>
      <c r="G2163" t="s">
        <v>9349</v>
      </c>
      <c r="H2163" t="s">
        <v>242</v>
      </c>
      <c r="I2163" t="s">
        <v>242</v>
      </c>
      <c r="J2163" t="s">
        <v>242</v>
      </c>
      <c r="K2163" t="s">
        <v>242</v>
      </c>
      <c r="L2163" t="s">
        <v>241</v>
      </c>
      <c r="M2163">
        <v>38.676699999999997</v>
      </c>
      <c r="N2163">
        <v>-122.9404</v>
      </c>
      <c r="O2163">
        <v>0</v>
      </c>
      <c r="P2163">
        <v>0</v>
      </c>
      <c r="Q2163">
        <v>0.05</v>
      </c>
      <c r="R2163">
        <v>0</v>
      </c>
      <c r="S2163">
        <v>8.3333332999999996E-2</v>
      </c>
      <c r="T2163">
        <v>2</v>
      </c>
      <c r="U2163">
        <v>1.4666666669999999</v>
      </c>
      <c r="V2163">
        <v>0.35</v>
      </c>
      <c r="W2163">
        <v>0.46666666699999998</v>
      </c>
      <c r="X2163">
        <v>0</v>
      </c>
      <c r="Y2163">
        <v>0</v>
      </c>
      <c r="Z2163">
        <v>0</v>
      </c>
      <c r="AA2163" t="s">
        <v>9335</v>
      </c>
      <c r="AB2163" t="s">
        <v>242</v>
      </c>
      <c r="AC2163" t="s">
        <v>3229</v>
      </c>
    </row>
    <row r="2164" spans="1:29" x14ac:dyDescent="0.25">
      <c r="A2164" t="s">
        <v>1991</v>
      </c>
      <c r="B2164" t="s">
        <v>252</v>
      </c>
      <c r="C2164" t="s">
        <v>394</v>
      </c>
      <c r="D2164" t="s">
        <v>3713</v>
      </c>
      <c r="E2164" t="s">
        <v>3761</v>
      </c>
      <c r="F2164">
        <v>10000000</v>
      </c>
      <c r="G2164" t="s">
        <v>9349</v>
      </c>
      <c r="H2164" t="s">
        <v>242</v>
      </c>
      <c r="I2164" t="s">
        <v>242</v>
      </c>
      <c r="J2164" t="s">
        <v>242</v>
      </c>
      <c r="K2164" t="s">
        <v>242</v>
      </c>
      <c r="L2164" t="s">
        <v>241</v>
      </c>
      <c r="M2164">
        <v>38.596200000000003</v>
      </c>
      <c r="N2164">
        <v>-122.8759</v>
      </c>
      <c r="O2164">
        <v>0</v>
      </c>
      <c r="P2164">
        <v>2.1333333329999999</v>
      </c>
      <c r="Q2164">
        <v>5.4666666670000001</v>
      </c>
      <c r="R2164">
        <v>1.9</v>
      </c>
      <c r="S2164">
        <v>0</v>
      </c>
      <c r="T2164">
        <v>2.1</v>
      </c>
      <c r="U2164">
        <v>1.933333333</v>
      </c>
      <c r="V2164">
        <v>5.0333333329999999</v>
      </c>
      <c r="W2164">
        <v>3</v>
      </c>
      <c r="X2164">
        <v>2.6666666669999999</v>
      </c>
      <c r="Y2164">
        <v>1.1000000000000001</v>
      </c>
      <c r="Z2164">
        <v>0</v>
      </c>
      <c r="AA2164" t="s">
        <v>9335</v>
      </c>
      <c r="AB2164" t="s">
        <v>242</v>
      </c>
      <c r="AC2164" t="s">
        <v>3229</v>
      </c>
    </row>
    <row r="2165" spans="1:29" x14ac:dyDescent="0.25">
      <c r="A2165" t="s">
        <v>2732</v>
      </c>
      <c r="B2165" t="s">
        <v>252</v>
      </c>
      <c r="C2165" t="s">
        <v>486</v>
      </c>
      <c r="D2165" t="s">
        <v>3713</v>
      </c>
      <c r="E2165" t="s">
        <v>3761</v>
      </c>
      <c r="F2165">
        <v>10000000</v>
      </c>
      <c r="G2165" t="s">
        <v>9349</v>
      </c>
      <c r="H2165" t="s">
        <v>241</v>
      </c>
      <c r="I2165" t="s">
        <v>242</v>
      </c>
      <c r="J2165" t="s">
        <v>242</v>
      </c>
      <c r="K2165" t="s">
        <v>242</v>
      </c>
      <c r="L2165" t="s">
        <v>241</v>
      </c>
      <c r="M2165">
        <v>38.538499999999999</v>
      </c>
      <c r="N2165">
        <v>-122.8635</v>
      </c>
      <c r="O2165">
        <v>6.6666670000000003E-3</v>
      </c>
      <c r="P2165">
        <v>0.24333333300000001</v>
      </c>
      <c r="Q2165">
        <v>0.31</v>
      </c>
      <c r="R2165">
        <v>7.0000000000000007E-2</v>
      </c>
      <c r="S2165">
        <v>0.31666666700000001</v>
      </c>
      <c r="T2165">
        <v>0.28999999999999998</v>
      </c>
      <c r="U2165">
        <v>0.86666666699999995</v>
      </c>
      <c r="V2165">
        <v>0.76</v>
      </c>
      <c r="W2165">
        <v>1.93</v>
      </c>
      <c r="X2165">
        <v>0.33333333300000001</v>
      </c>
      <c r="Y2165">
        <v>0.21333333300000001</v>
      </c>
      <c r="Z2165">
        <v>1.3333332999999999E-2</v>
      </c>
      <c r="AA2165" t="s">
        <v>9335</v>
      </c>
      <c r="AB2165" t="s">
        <v>242</v>
      </c>
      <c r="AC2165" t="s">
        <v>3229</v>
      </c>
    </row>
    <row r="2166" spans="1:29" x14ac:dyDescent="0.25">
      <c r="A2166" t="s">
        <v>2733</v>
      </c>
      <c r="B2166" t="s">
        <v>252</v>
      </c>
      <c r="C2166" t="s">
        <v>486</v>
      </c>
      <c r="D2166" t="s">
        <v>3713</v>
      </c>
      <c r="E2166" t="s">
        <v>3761</v>
      </c>
      <c r="F2166">
        <v>10000000</v>
      </c>
      <c r="G2166" t="s">
        <v>9349</v>
      </c>
      <c r="H2166" t="s">
        <v>241</v>
      </c>
      <c r="I2166" t="s">
        <v>242</v>
      </c>
      <c r="J2166" t="s">
        <v>242</v>
      </c>
      <c r="K2166" t="s">
        <v>242</v>
      </c>
      <c r="L2166" t="s">
        <v>241</v>
      </c>
      <c r="M2166">
        <v>38.537700000000001</v>
      </c>
      <c r="N2166">
        <v>-122.8633</v>
      </c>
      <c r="O2166">
        <v>0.04</v>
      </c>
      <c r="P2166">
        <v>0</v>
      </c>
      <c r="Q2166">
        <v>0</v>
      </c>
      <c r="R2166">
        <v>0</v>
      </c>
      <c r="S2166">
        <v>0.06</v>
      </c>
      <c r="T2166">
        <v>0.12</v>
      </c>
      <c r="U2166">
        <v>0.86</v>
      </c>
      <c r="V2166">
        <v>0.28666666699999999</v>
      </c>
      <c r="W2166">
        <v>0.50333333300000005</v>
      </c>
      <c r="X2166">
        <v>0</v>
      </c>
      <c r="Y2166">
        <v>0</v>
      </c>
      <c r="Z2166">
        <v>0</v>
      </c>
      <c r="AA2166" t="s">
        <v>9335</v>
      </c>
      <c r="AB2166" t="s">
        <v>242</v>
      </c>
      <c r="AC2166" t="s">
        <v>3229</v>
      </c>
    </row>
    <row r="2167" spans="1:29" x14ac:dyDescent="0.25">
      <c r="A2167" t="s">
        <v>2734</v>
      </c>
      <c r="B2167" t="s">
        <v>252</v>
      </c>
      <c r="C2167" t="s">
        <v>486</v>
      </c>
      <c r="D2167" t="s">
        <v>3713</v>
      </c>
      <c r="E2167" t="s">
        <v>3761</v>
      </c>
      <c r="F2167">
        <v>10000000</v>
      </c>
      <c r="G2167" t="s">
        <v>9349</v>
      </c>
      <c r="H2167" t="s">
        <v>241</v>
      </c>
      <c r="I2167" t="s">
        <v>242</v>
      </c>
      <c r="J2167" t="s">
        <v>242</v>
      </c>
      <c r="K2167" t="s">
        <v>242</v>
      </c>
      <c r="L2167" t="s">
        <v>241</v>
      </c>
      <c r="M2167">
        <v>38.537300000000002</v>
      </c>
      <c r="N2167">
        <v>-122.86360000000001</v>
      </c>
      <c r="O2167">
        <v>0.04</v>
      </c>
      <c r="P2167">
        <v>0</v>
      </c>
      <c r="Q2167">
        <v>0.33</v>
      </c>
      <c r="R2167">
        <v>0.11333333299999999</v>
      </c>
      <c r="S2167">
        <v>0.443333333</v>
      </c>
      <c r="T2167">
        <v>1.393333333</v>
      </c>
      <c r="U2167">
        <v>2.903333333</v>
      </c>
      <c r="V2167">
        <v>1.846666667</v>
      </c>
      <c r="W2167">
        <v>2.5633333330000001</v>
      </c>
      <c r="X2167">
        <v>1.04</v>
      </c>
      <c r="Y2167">
        <v>1.1466666670000001</v>
      </c>
      <c r="Z2167">
        <v>3.333333E-3</v>
      </c>
      <c r="AA2167" t="s">
        <v>9335</v>
      </c>
      <c r="AB2167" t="s">
        <v>242</v>
      </c>
      <c r="AC2167" t="s">
        <v>3229</v>
      </c>
    </row>
    <row r="2168" spans="1:29" x14ac:dyDescent="0.25">
      <c r="A2168" t="s">
        <v>2735</v>
      </c>
      <c r="B2168" t="s">
        <v>252</v>
      </c>
      <c r="C2168" t="s">
        <v>486</v>
      </c>
      <c r="D2168" t="s">
        <v>3713</v>
      </c>
      <c r="E2168" t="s">
        <v>3761</v>
      </c>
      <c r="F2168">
        <v>10000000</v>
      </c>
      <c r="G2168" t="s">
        <v>9349</v>
      </c>
      <c r="H2168" t="s">
        <v>241</v>
      </c>
      <c r="I2168" t="s">
        <v>242</v>
      </c>
      <c r="J2168" t="s">
        <v>242</v>
      </c>
      <c r="K2168" t="s">
        <v>242</v>
      </c>
      <c r="L2168" t="s">
        <v>241</v>
      </c>
      <c r="M2168">
        <v>38.536200000000001</v>
      </c>
      <c r="N2168">
        <v>-122.8627</v>
      </c>
      <c r="O2168">
        <v>6.6666670000000003E-3</v>
      </c>
      <c r="P2168">
        <v>6.3333333000000006E-2</v>
      </c>
      <c r="Q2168">
        <v>6.6666670000000003E-3</v>
      </c>
      <c r="R2168">
        <v>0.50333333300000005</v>
      </c>
      <c r="S2168">
        <v>0.13666666699999999</v>
      </c>
      <c r="T2168">
        <v>9.3333333000000004E-2</v>
      </c>
      <c r="U2168">
        <v>1.2733333330000001</v>
      </c>
      <c r="V2168">
        <v>0.943333333</v>
      </c>
      <c r="W2168">
        <v>2.2633333329999998</v>
      </c>
      <c r="X2168">
        <v>1.06</v>
      </c>
      <c r="Y2168">
        <v>0.263333333</v>
      </c>
      <c r="Z2168">
        <v>0</v>
      </c>
      <c r="AA2168" t="s">
        <v>9335</v>
      </c>
      <c r="AB2168" t="s">
        <v>242</v>
      </c>
      <c r="AC2168" t="s">
        <v>3229</v>
      </c>
    </row>
    <row r="2169" spans="1:29" x14ac:dyDescent="0.25">
      <c r="A2169" t="s">
        <v>2736</v>
      </c>
      <c r="B2169" t="s">
        <v>252</v>
      </c>
      <c r="C2169" t="s">
        <v>352</v>
      </c>
      <c r="D2169" t="s">
        <v>3713</v>
      </c>
      <c r="E2169" t="s">
        <v>3761</v>
      </c>
      <c r="F2169">
        <v>10000000</v>
      </c>
      <c r="G2169" t="s">
        <v>9349</v>
      </c>
      <c r="H2169" t="s">
        <v>242</v>
      </c>
      <c r="I2169" t="s">
        <v>242</v>
      </c>
      <c r="J2169" t="s">
        <v>242</v>
      </c>
      <c r="K2169" t="s">
        <v>242</v>
      </c>
      <c r="L2169" t="s">
        <v>241</v>
      </c>
      <c r="M2169">
        <v>38.400599999999997</v>
      </c>
      <c r="N2169">
        <v>-122.8648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0.29249999999999998</v>
      </c>
      <c r="U2169">
        <v>0.29249999999999998</v>
      </c>
      <c r="V2169">
        <v>0.29249999999999998</v>
      </c>
      <c r="W2169">
        <v>0.29249999999999998</v>
      </c>
      <c r="X2169">
        <v>0</v>
      </c>
      <c r="Y2169">
        <v>0</v>
      </c>
      <c r="Z2169">
        <v>0</v>
      </c>
      <c r="AA2169" t="s">
        <v>9335</v>
      </c>
      <c r="AB2169" t="s">
        <v>242</v>
      </c>
      <c r="AC2169" t="s">
        <v>3229</v>
      </c>
    </row>
    <row r="2170" spans="1:29" x14ac:dyDescent="0.25">
      <c r="A2170" t="s">
        <v>2262</v>
      </c>
      <c r="B2170" t="s">
        <v>252</v>
      </c>
      <c r="C2170" t="s">
        <v>394</v>
      </c>
      <c r="D2170" t="s">
        <v>3713</v>
      </c>
      <c r="E2170" t="s">
        <v>3761</v>
      </c>
      <c r="F2170">
        <v>10000000</v>
      </c>
      <c r="G2170" t="s">
        <v>9349</v>
      </c>
      <c r="H2170" t="s">
        <v>242</v>
      </c>
      <c r="I2170" t="s">
        <v>242</v>
      </c>
      <c r="J2170" t="s">
        <v>242</v>
      </c>
      <c r="K2170" t="s">
        <v>242</v>
      </c>
      <c r="L2170" t="s">
        <v>241</v>
      </c>
      <c r="M2170">
        <v>38.581499999999998</v>
      </c>
      <c r="N2170">
        <v>-122.8814</v>
      </c>
      <c r="O2170">
        <v>0.02</v>
      </c>
      <c r="P2170">
        <v>2.3333333000000001E-2</v>
      </c>
      <c r="Q2170">
        <v>0.09</v>
      </c>
      <c r="R2170">
        <v>0.3</v>
      </c>
      <c r="S2170">
        <v>0.48333333299999998</v>
      </c>
      <c r="T2170">
        <v>0.323333333</v>
      </c>
      <c r="U2170">
        <v>0.31333333299999999</v>
      </c>
      <c r="V2170">
        <v>0.49</v>
      </c>
      <c r="W2170">
        <v>0.48333333299999998</v>
      </c>
      <c r="X2170">
        <v>0.42333333299999998</v>
      </c>
      <c r="Y2170">
        <v>0.32</v>
      </c>
      <c r="Z2170">
        <v>0.08</v>
      </c>
      <c r="AA2170" t="s">
        <v>9335</v>
      </c>
      <c r="AB2170" t="s">
        <v>242</v>
      </c>
      <c r="AC2170" t="s">
        <v>3229</v>
      </c>
    </row>
    <row r="2171" spans="1:29" x14ac:dyDescent="0.25">
      <c r="A2171" t="s">
        <v>2738</v>
      </c>
      <c r="B2171" t="s">
        <v>252</v>
      </c>
      <c r="C2171" t="s">
        <v>323</v>
      </c>
      <c r="D2171" t="s">
        <v>3713</v>
      </c>
      <c r="E2171" t="s">
        <v>3761</v>
      </c>
      <c r="F2171">
        <v>10000000</v>
      </c>
      <c r="G2171" t="s">
        <v>9349</v>
      </c>
      <c r="H2171" t="s">
        <v>242</v>
      </c>
      <c r="I2171" t="s">
        <v>242</v>
      </c>
      <c r="J2171" t="s">
        <v>242</v>
      </c>
      <c r="K2171" t="s">
        <v>242</v>
      </c>
      <c r="L2171" t="s">
        <v>241</v>
      </c>
      <c r="M2171">
        <v>38.548200000000001</v>
      </c>
      <c r="N2171">
        <v>-122.7204</v>
      </c>
      <c r="O2171">
        <v>0</v>
      </c>
      <c r="P2171">
        <v>0</v>
      </c>
      <c r="Q2171">
        <v>0</v>
      </c>
      <c r="R2171">
        <v>0</v>
      </c>
      <c r="S2171">
        <v>1.534E-3</v>
      </c>
      <c r="T2171">
        <v>1.534E-3</v>
      </c>
      <c r="U2171">
        <v>3.068E-3</v>
      </c>
      <c r="V2171">
        <v>1.534E-3</v>
      </c>
      <c r="W2171">
        <v>1.534E-3</v>
      </c>
      <c r="X2171">
        <v>0</v>
      </c>
      <c r="Y2171">
        <v>0</v>
      </c>
      <c r="Z2171">
        <v>0</v>
      </c>
      <c r="AA2171" t="s">
        <v>9347</v>
      </c>
      <c r="AB2171" t="s">
        <v>242</v>
      </c>
      <c r="AC2171" t="s">
        <v>3229</v>
      </c>
    </row>
    <row r="2172" spans="1:29" x14ac:dyDescent="0.25">
      <c r="A2172" t="s">
        <v>2741</v>
      </c>
      <c r="B2172" t="s">
        <v>252</v>
      </c>
      <c r="C2172" t="s">
        <v>486</v>
      </c>
      <c r="D2172" t="s">
        <v>3713</v>
      </c>
      <c r="E2172" t="s">
        <v>3761</v>
      </c>
      <c r="F2172">
        <v>10000000</v>
      </c>
      <c r="G2172" t="s">
        <v>9349</v>
      </c>
      <c r="H2172" t="s">
        <v>241</v>
      </c>
      <c r="I2172" t="s">
        <v>242</v>
      </c>
      <c r="J2172" t="s">
        <v>242</v>
      </c>
      <c r="K2172" t="s">
        <v>242</v>
      </c>
      <c r="L2172" t="s">
        <v>241</v>
      </c>
      <c r="M2172">
        <v>38.569299999999998</v>
      </c>
      <c r="N2172">
        <v>-122.8505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 t="s">
        <v>9343</v>
      </c>
      <c r="AB2172" t="s">
        <v>242</v>
      </c>
      <c r="AC2172" t="s">
        <v>3229</v>
      </c>
    </row>
    <row r="2173" spans="1:29" x14ac:dyDescent="0.25">
      <c r="A2173" t="s">
        <v>2744</v>
      </c>
      <c r="B2173" t="s">
        <v>252</v>
      </c>
      <c r="C2173" t="s">
        <v>486</v>
      </c>
      <c r="D2173" t="s">
        <v>3713</v>
      </c>
      <c r="E2173" t="s">
        <v>3761</v>
      </c>
      <c r="F2173">
        <v>10000000</v>
      </c>
      <c r="G2173" t="s">
        <v>9349</v>
      </c>
      <c r="H2173" t="s">
        <v>241</v>
      </c>
      <c r="I2173" t="s">
        <v>242</v>
      </c>
      <c r="J2173" t="s">
        <v>242</v>
      </c>
      <c r="K2173" t="s">
        <v>242</v>
      </c>
      <c r="L2173" t="s">
        <v>241</v>
      </c>
      <c r="M2173">
        <v>38.5792</v>
      </c>
      <c r="N2173">
        <v>-122.85599999999999</v>
      </c>
      <c r="O2173">
        <v>0</v>
      </c>
      <c r="P2173">
        <v>0.133333333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3.3333333E-2</v>
      </c>
      <c r="Z2173">
        <v>0</v>
      </c>
      <c r="AA2173" t="s">
        <v>9335</v>
      </c>
      <c r="AB2173" t="s">
        <v>242</v>
      </c>
      <c r="AC2173" t="s">
        <v>3229</v>
      </c>
    </row>
    <row r="2174" spans="1:29" x14ac:dyDescent="0.25">
      <c r="A2174" t="s">
        <v>2745</v>
      </c>
      <c r="B2174" t="s">
        <v>252</v>
      </c>
      <c r="C2174" t="s">
        <v>486</v>
      </c>
      <c r="D2174" t="s">
        <v>3713</v>
      </c>
      <c r="E2174" t="s">
        <v>3761</v>
      </c>
      <c r="F2174">
        <v>10000000</v>
      </c>
      <c r="G2174" t="s">
        <v>9349</v>
      </c>
      <c r="H2174" t="s">
        <v>241</v>
      </c>
      <c r="I2174" t="s">
        <v>242</v>
      </c>
      <c r="J2174" t="s">
        <v>242</v>
      </c>
      <c r="K2174" t="s">
        <v>242</v>
      </c>
      <c r="L2174" t="s">
        <v>241</v>
      </c>
      <c r="M2174">
        <v>38.578099999999999</v>
      </c>
      <c r="N2174">
        <v>-122.8558</v>
      </c>
      <c r="O2174">
        <v>0</v>
      </c>
      <c r="P2174">
        <v>0.133333333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0.6</v>
      </c>
      <c r="Y2174">
        <v>0</v>
      </c>
      <c r="Z2174">
        <v>0</v>
      </c>
      <c r="AA2174" t="s">
        <v>9335</v>
      </c>
      <c r="AB2174" t="s">
        <v>242</v>
      </c>
      <c r="AC2174" t="s">
        <v>3229</v>
      </c>
    </row>
    <row r="2175" spans="1:29" x14ac:dyDescent="0.25">
      <c r="A2175" t="s">
        <v>2746</v>
      </c>
      <c r="B2175" t="s">
        <v>252</v>
      </c>
      <c r="C2175" t="s">
        <v>486</v>
      </c>
      <c r="D2175" t="s">
        <v>3713</v>
      </c>
      <c r="E2175" t="s">
        <v>3761</v>
      </c>
      <c r="F2175">
        <v>10000000</v>
      </c>
      <c r="G2175" t="s">
        <v>9349</v>
      </c>
      <c r="H2175" t="s">
        <v>241</v>
      </c>
      <c r="I2175" t="s">
        <v>242</v>
      </c>
      <c r="J2175" t="s">
        <v>242</v>
      </c>
      <c r="K2175" t="s">
        <v>242</v>
      </c>
      <c r="L2175" t="s">
        <v>241</v>
      </c>
      <c r="M2175">
        <v>38.576799999999999</v>
      </c>
      <c r="N2175">
        <v>-122.8557</v>
      </c>
      <c r="O2175">
        <v>0.01</v>
      </c>
      <c r="P2175">
        <v>0.26666666700000002</v>
      </c>
      <c r="Q2175">
        <v>0</v>
      </c>
      <c r="R2175">
        <v>3.3333333E-2</v>
      </c>
      <c r="S2175">
        <v>3.3333333E-2</v>
      </c>
      <c r="T2175">
        <v>0</v>
      </c>
      <c r="U2175">
        <v>0</v>
      </c>
      <c r="V2175">
        <v>0</v>
      </c>
      <c r="W2175">
        <v>6.6666666999999999E-2</v>
      </c>
      <c r="X2175">
        <v>0.16666666699999999</v>
      </c>
      <c r="Y2175">
        <v>0.366666667</v>
      </c>
      <c r="Z2175">
        <v>7.0000000000000007E-2</v>
      </c>
      <c r="AA2175" t="s">
        <v>9335</v>
      </c>
      <c r="AB2175" t="s">
        <v>242</v>
      </c>
      <c r="AC2175" t="s">
        <v>3229</v>
      </c>
    </row>
    <row r="2176" spans="1:29" x14ac:dyDescent="0.25">
      <c r="A2176" t="s">
        <v>2747</v>
      </c>
      <c r="B2176" t="s">
        <v>252</v>
      </c>
      <c r="C2176" t="s">
        <v>486</v>
      </c>
      <c r="D2176" t="s">
        <v>3713</v>
      </c>
      <c r="E2176" t="s">
        <v>3761</v>
      </c>
      <c r="F2176">
        <v>10000000</v>
      </c>
      <c r="G2176" t="s">
        <v>9349</v>
      </c>
      <c r="H2176" t="s">
        <v>241</v>
      </c>
      <c r="I2176" t="s">
        <v>242</v>
      </c>
      <c r="J2176" t="s">
        <v>242</v>
      </c>
      <c r="K2176" t="s">
        <v>242</v>
      </c>
      <c r="L2176" t="s">
        <v>241</v>
      </c>
      <c r="M2176">
        <v>38.575099999999999</v>
      </c>
      <c r="N2176">
        <v>-122.8549</v>
      </c>
      <c r="O2176">
        <v>0</v>
      </c>
      <c r="P2176">
        <v>0.46666666699999998</v>
      </c>
      <c r="Q2176">
        <v>0</v>
      </c>
      <c r="R2176">
        <v>0</v>
      </c>
      <c r="S2176">
        <v>0.66666666699999999</v>
      </c>
      <c r="T2176">
        <v>0</v>
      </c>
      <c r="U2176">
        <v>0</v>
      </c>
      <c r="V2176">
        <v>0</v>
      </c>
      <c r="W2176">
        <v>1.3666666670000001</v>
      </c>
      <c r="X2176">
        <v>3</v>
      </c>
      <c r="Y2176">
        <v>1.3</v>
      </c>
      <c r="Z2176">
        <v>0</v>
      </c>
      <c r="AA2176" t="s">
        <v>9335</v>
      </c>
      <c r="AB2176" t="s">
        <v>242</v>
      </c>
      <c r="AC2176" t="s">
        <v>3229</v>
      </c>
    </row>
    <row r="2177" spans="1:29" x14ac:dyDescent="0.25">
      <c r="A2177" t="s">
        <v>2748</v>
      </c>
      <c r="B2177" t="s">
        <v>252</v>
      </c>
      <c r="C2177" t="s">
        <v>486</v>
      </c>
      <c r="D2177" t="s">
        <v>3713</v>
      </c>
      <c r="E2177" t="s">
        <v>3761</v>
      </c>
      <c r="F2177">
        <v>10000000</v>
      </c>
      <c r="G2177" t="s">
        <v>9349</v>
      </c>
      <c r="H2177" t="s">
        <v>241</v>
      </c>
      <c r="I2177" t="s">
        <v>242</v>
      </c>
      <c r="J2177" t="s">
        <v>242</v>
      </c>
      <c r="K2177" t="s">
        <v>242</v>
      </c>
      <c r="L2177" t="s">
        <v>241</v>
      </c>
      <c r="M2177">
        <v>38.582299999999996</v>
      </c>
      <c r="N2177">
        <v>-122.8562</v>
      </c>
      <c r="O2177">
        <v>0</v>
      </c>
      <c r="P2177">
        <v>0.2</v>
      </c>
      <c r="Q2177">
        <v>0</v>
      </c>
      <c r="R2177">
        <v>0</v>
      </c>
      <c r="S2177">
        <v>0</v>
      </c>
      <c r="T2177">
        <v>0</v>
      </c>
      <c r="U2177">
        <v>3.333333E-3</v>
      </c>
      <c r="V2177">
        <v>0</v>
      </c>
      <c r="W2177">
        <v>3.333333E-3</v>
      </c>
      <c r="X2177">
        <v>0.133333333</v>
      </c>
      <c r="Y2177">
        <v>0</v>
      </c>
      <c r="Z2177">
        <v>0</v>
      </c>
      <c r="AA2177" t="s">
        <v>9343</v>
      </c>
      <c r="AB2177" t="s">
        <v>242</v>
      </c>
      <c r="AC2177" t="s">
        <v>3229</v>
      </c>
    </row>
    <row r="2178" spans="1:29" x14ac:dyDescent="0.25">
      <c r="A2178" t="s">
        <v>2750</v>
      </c>
      <c r="B2178" t="s">
        <v>252</v>
      </c>
      <c r="C2178" t="s">
        <v>486</v>
      </c>
      <c r="D2178" t="s">
        <v>3713</v>
      </c>
      <c r="E2178" t="s">
        <v>3761</v>
      </c>
      <c r="F2178">
        <v>10000000</v>
      </c>
      <c r="G2178" t="s">
        <v>9349</v>
      </c>
      <c r="H2178" t="s">
        <v>242</v>
      </c>
      <c r="I2178" t="s">
        <v>242</v>
      </c>
      <c r="J2178" t="s">
        <v>242</v>
      </c>
      <c r="K2178" t="s">
        <v>242</v>
      </c>
      <c r="L2178" t="s">
        <v>241</v>
      </c>
      <c r="M2178">
        <v>38.5745</v>
      </c>
      <c r="N2178">
        <v>-122.8781</v>
      </c>
      <c r="O2178">
        <v>0</v>
      </c>
      <c r="P2178">
        <v>0</v>
      </c>
      <c r="Q2178">
        <v>0</v>
      </c>
      <c r="R2178">
        <v>2.8642999999999998E-2</v>
      </c>
      <c r="S2178">
        <v>0.20671500000000001</v>
      </c>
      <c r="T2178">
        <v>0.16886533300000001</v>
      </c>
      <c r="U2178">
        <v>0.15757399999999999</v>
      </c>
      <c r="V2178">
        <v>0.19599366700000001</v>
      </c>
      <c r="W2178">
        <v>0.245199</v>
      </c>
      <c r="X2178">
        <v>6.8207000000000004E-2</v>
      </c>
      <c r="Y2178">
        <v>0</v>
      </c>
      <c r="Z2178">
        <v>0</v>
      </c>
      <c r="AA2178" t="s">
        <v>9335</v>
      </c>
      <c r="AB2178" t="s">
        <v>242</v>
      </c>
      <c r="AC2178" t="s">
        <v>3229</v>
      </c>
    </row>
    <row r="2179" spans="1:29" x14ac:dyDescent="0.25">
      <c r="A2179" t="s">
        <v>2752</v>
      </c>
      <c r="B2179" t="s">
        <v>252</v>
      </c>
      <c r="C2179" t="s">
        <v>352</v>
      </c>
      <c r="D2179" t="s">
        <v>3713</v>
      </c>
      <c r="E2179" t="s">
        <v>3761</v>
      </c>
      <c r="F2179">
        <v>10000000</v>
      </c>
      <c r="G2179" t="s">
        <v>9349</v>
      </c>
      <c r="H2179" t="s">
        <v>242</v>
      </c>
      <c r="I2179" t="s">
        <v>242</v>
      </c>
      <c r="J2179" t="s">
        <v>242</v>
      </c>
      <c r="K2179" t="s">
        <v>242</v>
      </c>
      <c r="L2179" t="s">
        <v>241</v>
      </c>
      <c r="M2179">
        <v>38.396900000000002</v>
      </c>
      <c r="N2179">
        <v>-122.89870000000001</v>
      </c>
      <c r="O2179">
        <v>2.6595417E-2</v>
      </c>
      <c r="P2179">
        <v>2.6595417E-2</v>
      </c>
      <c r="Q2179">
        <v>2.6595417E-2</v>
      </c>
      <c r="R2179">
        <v>2.6288417000000001E-2</v>
      </c>
      <c r="S2179">
        <v>2.9766417E-2</v>
      </c>
      <c r="T2179">
        <v>2.9357417E-2</v>
      </c>
      <c r="U2179">
        <v>2.9766417E-2</v>
      </c>
      <c r="V2179">
        <v>2.9766417E-2</v>
      </c>
      <c r="W2179">
        <v>2.9357417E-2</v>
      </c>
      <c r="X2179">
        <v>2.6595417E-2</v>
      </c>
      <c r="Y2179">
        <v>2.6288417000000001E-2</v>
      </c>
      <c r="Z2179">
        <v>2.6595417E-2</v>
      </c>
      <c r="AA2179" t="s">
        <v>9335</v>
      </c>
      <c r="AB2179" t="s">
        <v>242</v>
      </c>
      <c r="AC2179" t="s">
        <v>3229</v>
      </c>
    </row>
    <row r="2180" spans="1:29" x14ac:dyDescent="0.25">
      <c r="A2180" t="s">
        <v>1814</v>
      </c>
      <c r="B2180" t="s">
        <v>252</v>
      </c>
      <c r="C2180" t="s">
        <v>352</v>
      </c>
      <c r="D2180" t="s">
        <v>3713</v>
      </c>
      <c r="E2180" t="s">
        <v>3761</v>
      </c>
      <c r="F2180">
        <v>19000101</v>
      </c>
      <c r="G2180" t="s">
        <v>9348</v>
      </c>
      <c r="H2180" t="s">
        <v>242</v>
      </c>
      <c r="I2180" t="s">
        <v>241</v>
      </c>
      <c r="J2180" t="s">
        <v>242</v>
      </c>
      <c r="K2180" t="s">
        <v>242</v>
      </c>
      <c r="L2180" t="s">
        <v>242</v>
      </c>
      <c r="M2180">
        <v>38.417700000000004</v>
      </c>
      <c r="N2180">
        <v>-122.9006</v>
      </c>
      <c r="O2180">
        <v>0</v>
      </c>
      <c r="P2180">
        <v>0</v>
      </c>
      <c r="Q2180">
        <v>2.7299999999999998E-3</v>
      </c>
      <c r="R2180">
        <v>2.7299999999999998E-3</v>
      </c>
      <c r="S2180">
        <v>2.7299999999999998E-3</v>
      </c>
      <c r="T2180">
        <v>2.7299999999999998E-3</v>
      </c>
      <c r="U2180">
        <v>2.7299999999999998E-3</v>
      </c>
      <c r="V2180">
        <v>2.7299999999999998E-3</v>
      </c>
      <c r="W2180">
        <v>2.7299999999999998E-3</v>
      </c>
      <c r="X2180">
        <v>2.7299999999999998E-3</v>
      </c>
      <c r="Y2180">
        <v>2.7299999999999998E-3</v>
      </c>
      <c r="Z2180">
        <v>0</v>
      </c>
      <c r="AA2180" t="s">
        <v>9335</v>
      </c>
      <c r="AB2180" t="s">
        <v>242</v>
      </c>
      <c r="AC2180" t="s">
        <v>3229</v>
      </c>
    </row>
    <row r="2181" spans="1:29" x14ac:dyDescent="0.25">
      <c r="A2181" t="s">
        <v>2753</v>
      </c>
      <c r="B2181" t="s">
        <v>252</v>
      </c>
      <c r="C2181" t="s">
        <v>323</v>
      </c>
      <c r="D2181" t="s">
        <v>3713</v>
      </c>
      <c r="E2181" t="s">
        <v>3761</v>
      </c>
      <c r="F2181">
        <v>10000000</v>
      </c>
      <c r="G2181" t="s">
        <v>9349</v>
      </c>
      <c r="H2181" t="s">
        <v>242</v>
      </c>
      <c r="I2181" t="s">
        <v>242</v>
      </c>
      <c r="J2181" t="s">
        <v>242</v>
      </c>
      <c r="K2181" t="s">
        <v>242</v>
      </c>
      <c r="L2181" t="s">
        <v>241</v>
      </c>
      <c r="M2181">
        <v>38.540399999999998</v>
      </c>
      <c r="N2181">
        <v>-122.63760000000001</v>
      </c>
      <c r="O2181">
        <v>4.6050000000000003E-4</v>
      </c>
      <c r="P2181">
        <v>6.1399999999999996E-4</v>
      </c>
      <c r="Q2181">
        <v>6.1399999999999996E-4</v>
      </c>
      <c r="R2181">
        <v>6.1399999999999996E-4</v>
      </c>
      <c r="S2181">
        <v>7.6749999999999995E-4</v>
      </c>
      <c r="T2181">
        <v>9.2100000000000005E-4</v>
      </c>
      <c r="U2181">
        <v>3.0690000000000001E-3</v>
      </c>
      <c r="V2181">
        <v>1.688E-3</v>
      </c>
      <c r="W2181">
        <v>0</v>
      </c>
      <c r="X2181">
        <v>0</v>
      </c>
      <c r="Y2181">
        <v>0</v>
      </c>
      <c r="Z2181">
        <v>0</v>
      </c>
      <c r="AA2181" t="s">
        <v>9335</v>
      </c>
      <c r="AB2181" t="s">
        <v>242</v>
      </c>
      <c r="AC2181" t="s">
        <v>3229</v>
      </c>
    </row>
    <row r="2182" spans="1:29" x14ac:dyDescent="0.25">
      <c r="A2182" t="s">
        <v>2755</v>
      </c>
      <c r="B2182" t="s">
        <v>252</v>
      </c>
      <c r="C2182" t="s">
        <v>323</v>
      </c>
      <c r="D2182" t="s">
        <v>3713</v>
      </c>
      <c r="E2182" t="s">
        <v>3761</v>
      </c>
      <c r="F2182">
        <v>10000000</v>
      </c>
      <c r="G2182" t="s">
        <v>9349</v>
      </c>
      <c r="H2182" t="s">
        <v>242</v>
      </c>
      <c r="I2182" t="s">
        <v>242</v>
      </c>
      <c r="J2182" t="s">
        <v>242</v>
      </c>
      <c r="K2182" t="s">
        <v>242</v>
      </c>
      <c r="L2182" t="s">
        <v>241</v>
      </c>
      <c r="M2182">
        <v>38.547800000000002</v>
      </c>
      <c r="N2182">
        <v>-122.6559</v>
      </c>
      <c r="O2182">
        <v>3.0689322000000002E-2</v>
      </c>
      <c r="P2182">
        <v>3.9895885999999998E-2</v>
      </c>
      <c r="Q2182">
        <v>3.6826587000000001E-2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 t="s">
        <v>9335</v>
      </c>
      <c r="AB2182" t="s">
        <v>242</v>
      </c>
      <c r="AC2182" t="s">
        <v>3229</v>
      </c>
    </row>
    <row r="2183" spans="1:29" x14ac:dyDescent="0.25">
      <c r="A2183" t="s">
        <v>1815</v>
      </c>
      <c r="B2183" t="s">
        <v>252</v>
      </c>
      <c r="C2183" t="s">
        <v>352</v>
      </c>
      <c r="D2183" t="s">
        <v>3713</v>
      </c>
      <c r="E2183" t="s">
        <v>3761</v>
      </c>
      <c r="F2183">
        <v>19000101</v>
      </c>
      <c r="G2183" t="s">
        <v>9348</v>
      </c>
      <c r="H2183" t="s">
        <v>242</v>
      </c>
      <c r="I2183" t="s">
        <v>241</v>
      </c>
      <c r="J2183" t="s">
        <v>242</v>
      </c>
      <c r="K2183" t="s">
        <v>242</v>
      </c>
      <c r="L2183" t="s">
        <v>242</v>
      </c>
      <c r="M2183">
        <v>38.4176</v>
      </c>
      <c r="N2183">
        <v>-122.9</v>
      </c>
      <c r="O2183">
        <v>0</v>
      </c>
      <c r="P2183">
        <v>0</v>
      </c>
      <c r="Q2183">
        <v>1.5</v>
      </c>
      <c r="R2183">
        <v>3.5</v>
      </c>
      <c r="S2183">
        <v>2.5</v>
      </c>
      <c r="T2183">
        <v>2.5</v>
      </c>
      <c r="U2183">
        <v>2</v>
      </c>
      <c r="V2183">
        <v>2.5</v>
      </c>
      <c r="W2183">
        <v>2</v>
      </c>
      <c r="X2183">
        <v>1</v>
      </c>
      <c r="Y2183">
        <v>0</v>
      </c>
      <c r="Z2183">
        <v>0</v>
      </c>
      <c r="AA2183" t="s">
        <v>9335</v>
      </c>
      <c r="AB2183" t="s">
        <v>242</v>
      </c>
      <c r="AC2183" t="s">
        <v>3229</v>
      </c>
    </row>
    <row r="2184" spans="1:29" x14ac:dyDescent="0.25">
      <c r="A2184" t="s">
        <v>2756</v>
      </c>
      <c r="B2184" t="s">
        <v>252</v>
      </c>
      <c r="C2184" t="s">
        <v>323</v>
      </c>
      <c r="D2184" t="s">
        <v>3713</v>
      </c>
      <c r="E2184" t="s">
        <v>3761</v>
      </c>
      <c r="F2184">
        <v>10000000</v>
      </c>
      <c r="G2184" t="s">
        <v>9349</v>
      </c>
      <c r="H2184" t="s">
        <v>242</v>
      </c>
      <c r="I2184" t="s">
        <v>242</v>
      </c>
      <c r="J2184" t="s">
        <v>242</v>
      </c>
      <c r="K2184" t="s">
        <v>242</v>
      </c>
      <c r="L2184" t="s">
        <v>241</v>
      </c>
      <c r="M2184">
        <v>38.516399999999997</v>
      </c>
      <c r="N2184">
        <v>-122.60380000000001</v>
      </c>
      <c r="O2184">
        <v>0</v>
      </c>
      <c r="P2184">
        <v>0</v>
      </c>
      <c r="Q2184">
        <v>0</v>
      </c>
      <c r="R2184">
        <v>0</v>
      </c>
      <c r="S2184">
        <v>3.5803700000000001E-4</v>
      </c>
      <c r="T2184">
        <v>0</v>
      </c>
      <c r="U2184">
        <v>7.1607400000000003E-4</v>
      </c>
      <c r="V2184">
        <v>7.1607400000000003E-4</v>
      </c>
      <c r="W2184">
        <v>7.1607400000000003E-4</v>
      </c>
      <c r="X2184">
        <v>3.5803700000000001E-4</v>
      </c>
      <c r="Y2184">
        <v>0</v>
      </c>
      <c r="Z2184">
        <v>0</v>
      </c>
      <c r="AA2184" t="s">
        <v>9335</v>
      </c>
      <c r="AB2184" t="s">
        <v>242</v>
      </c>
      <c r="AC2184" t="s">
        <v>3229</v>
      </c>
    </row>
    <row r="2185" spans="1:29" x14ac:dyDescent="0.25">
      <c r="A2185" t="s">
        <v>2757</v>
      </c>
      <c r="B2185" t="s">
        <v>252</v>
      </c>
      <c r="C2185" t="s">
        <v>352</v>
      </c>
      <c r="D2185" t="s">
        <v>3713</v>
      </c>
      <c r="E2185" t="s">
        <v>3761</v>
      </c>
      <c r="F2185">
        <v>10000000</v>
      </c>
      <c r="G2185" t="s">
        <v>9349</v>
      </c>
      <c r="H2185" t="s">
        <v>242</v>
      </c>
      <c r="I2185" t="s">
        <v>242</v>
      </c>
      <c r="J2185" t="s">
        <v>242</v>
      </c>
      <c r="K2185" t="s">
        <v>242</v>
      </c>
      <c r="L2185" t="s">
        <v>241</v>
      </c>
      <c r="M2185">
        <v>38.395000000000003</v>
      </c>
      <c r="N2185">
        <v>-122.8918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 t="s">
        <v>9333</v>
      </c>
      <c r="AB2185" t="s">
        <v>242</v>
      </c>
      <c r="AC2185" t="s">
        <v>3229</v>
      </c>
    </row>
    <row r="2186" spans="1:29" x14ac:dyDescent="0.25">
      <c r="A2186" t="s">
        <v>2758</v>
      </c>
      <c r="B2186" t="s">
        <v>252</v>
      </c>
      <c r="C2186" t="s">
        <v>352</v>
      </c>
      <c r="D2186" t="s">
        <v>3713</v>
      </c>
      <c r="E2186" t="s">
        <v>3761</v>
      </c>
      <c r="F2186">
        <v>10000000</v>
      </c>
      <c r="G2186" t="s">
        <v>9349</v>
      </c>
      <c r="H2186" t="s">
        <v>242</v>
      </c>
      <c r="I2186" t="s">
        <v>242</v>
      </c>
      <c r="J2186" t="s">
        <v>242</v>
      </c>
      <c r="K2186" t="s">
        <v>242</v>
      </c>
      <c r="L2186" t="s">
        <v>241</v>
      </c>
      <c r="M2186">
        <v>38.386000000000003</v>
      </c>
      <c r="N2186">
        <v>-122.88939999999999</v>
      </c>
      <c r="O2186">
        <v>5.6649999999999999E-3</v>
      </c>
      <c r="P2186">
        <v>5.4749999999999998E-3</v>
      </c>
      <c r="Q2186">
        <v>7.5529999999999998E-3</v>
      </c>
      <c r="R2186">
        <v>7.6880000000000004E-3</v>
      </c>
      <c r="S2186">
        <v>8.8970000000000004E-3</v>
      </c>
      <c r="T2186">
        <v>1.2616E-2</v>
      </c>
      <c r="U2186">
        <v>1.319E-2</v>
      </c>
      <c r="V2186">
        <v>1.3172E-2</v>
      </c>
      <c r="W2186">
        <v>1.0879E-2</v>
      </c>
      <c r="X2186">
        <v>9.6299999999999997E-3</v>
      </c>
      <c r="Y2186">
        <v>6.7980000000000002E-3</v>
      </c>
      <c r="Z2186">
        <v>5.6649999999999999E-3</v>
      </c>
      <c r="AA2186" t="s">
        <v>9335</v>
      </c>
      <c r="AB2186" t="s">
        <v>242</v>
      </c>
      <c r="AC2186" t="s">
        <v>3229</v>
      </c>
    </row>
    <row r="2187" spans="1:29" x14ac:dyDescent="0.25">
      <c r="A2187" t="s">
        <v>2759</v>
      </c>
      <c r="B2187" t="s">
        <v>252</v>
      </c>
      <c r="C2187" t="s">
        <v>352</v>
      </c>
      <c r="D2187" t="s">
        <v>3713</v>
      </c>
      <c r="E2187" t="s">
        <v>3761</v>
      </c>
      <c r="F2187">
        <v>10000000</v>
      </c>
      <c r="G2187" t="s">
        <v>9349</v>
      </c>
      <c r="H2187" t="s">
        <v>242</v>
      </c>
      <c r="I2187" t="s">
        <v>242</v>
      </c>
      <c r="J2187" t="s">
        <v>242</v>
      </c>
      <c r="K2187" t="s">
        <v>242</v>
      </c>
      <c r="L2187" t="s">
        <v>241</v>
      </c>
      <c r="M2187">
        <v>38.409300000000002</v>
      </c>
      <c r="N2187">
        <v>-122.93300000000001</v>
      </c>
      <c r="O2187">
        <v>1.5344E-2</v>
      </c>
      <c r="P2187">
        <v>1.5344E-2</v>
      </c>
      <c r="Q2187">
        <v>1.5344E-2</v>
      </c>
      <c r="R2187">
        <v>1.5344E-2</v>
      </c>
      <c r="S2187">
        <v>1.5344E-2</v>
      </c>
      <c r="T2187">
        <v>5.1146669999999998E-3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1.5344E-2</v>
      </c>
      <c r="AA2187" t="s">
        <v>9333</v>
      </c>
      <c r="AB2187" t="s">
        <v>242</v>
      </c>
      <c r="AC2187" t="s">
        <v>3229</v>
      </c>
    </row>
    <row r="2188" spans="1:29" x14ac:dyDescent="0.25">
      <c r="A2188" t="s">
        <v>2760</v>
      </c>
      <c r="B2188" t="s">
        <v>252</v>
      </c>
      <c r="C2188" t="s">
        <v>323</v>
      </c>
      <c r="D2188" t="s">
        <v>3713</v>
      </c>
      <c r="E2188" t="s">
        <v>3761</v>
      </c>
      <c r="F2188">
        <v>10000000</v>
      </c>
      <c r="G2188" t="s">
        <v>9349</v>
      </c>
      <c r="H2188" t="s">
        <v>242</v>
      </c>
      <c r="I2188" t="s">
        <v>242</v>
      </c>
      <c r="J2188" t="s">
        <v>242</v>
      </c>
      <c r="K2188" t="s">
        <v>242</v>
      </c>
      <c r="L2188" t="s">
        <v>241</v>
      </c>
      <c r="M2188">
        <v>38.540799999999997</v>
      </c>
      <c r="N2188">
        <v>-122.6447</v>
      </c>
      <c r="O2188">
        <v>6.1399999999999996E-4</v>
      </c>
      <c r="P2188">
        <v>6.1399999999999996E-4</v>
      </c>
      <c r="Q2188">
        <v>6.1399999999999996E-4</v>
      </c>
      <c r="R2188">
        <v>1.2279999999999999E-3</v>
      </c>
      <c r="S2188">
        <v>1.534E-3</v>
      </c>
      <c r="T2188">
        <v>1.534E-3</v>
      </c>
      <c r="U2188">
        <v>1.5345000000000001E-3</v>
      </c>
      <c r="V2188">
        <v>1.5345000000000001E-3</v>
      </c>
      <c r="W2188">
        <v>1.5345000000000001E-3</v>
      </c>
      <c r="X2188">
        <v>6.1399999999999996E-4</v>
      </c>
      <c r="Y2188">
        <v>6.1399999999999996E-4</v>
      </c>
      <c r="Z2188">
        <v>6.1399999999999996E-4</v>
      </c>
      <c r="AA2188" t="s">
        <v>9335</v>
      </c>
      <c r="AB2188" t="s">
        <v>242</v>
      </c>
      <c r="AC2188" t="s">
        <v>3229</v>
      </c>
    </row>
    <row r="2189" spans="1:29" x14ac:dyDescent="0.25">
      <c r="A2189" t="s">
        <v>1764</v>
      </c>
      <c r="B2189" t="s">
        <v>252</v>
      </c>
      <c r="C2189" t="s">
        <v>403</v>
      </c>
      <c r="D2189" t="s">
        <v>3713</v>
      </c>
      <c r="E2189" t="s">
        <v>3761</v>
      </c>
      <c r="F2189">
        <v>19140101</v>
      </c>
      <c r="G2189" t="s">
        <v>9348</v>
      </c>
      <c r="H2189" t="s">
        <v>242</v>
      </c>
      <c r="I2189" t="s">
        <v>241</v>
      </c>
      <c r="J2189" t="s">
        <v>242</v>
      </c>
      <c r="K2189" t="s">
        <v>242</v>
      </c>
      <c r="L2189" t="s">
        <v>242</v>
      </c>
      <c r="M2189">
        <v>38.411799999999999</v>
      </c>
      <c r="N2189">
        <v>-122.947</v>
      </c>
      <c r="O2189">
        <v>2.0439999999999998E-3</v>
      </c>
      <c r="P2189">
        <v>2.0439999999999998E-3</v>
      </c>
      <c r="Q2189">
        <v>2.0439999999999998E-3</v>
      </c>
      <c r="R2189">
        <v>2.0439999999999998E-3</v>
      </c>
      <c r="S2189">
        <v>2.0439999999999998E-3</v>
      </c>
      <c r="T2189">
        <v>2.0439999999999998E-3</v>
      </c>
      <c r="U2189">
        <v>2.0439999999999998E-3</v>
      </c>
      <c r="V2189">
        <v>2.0439999999999998E-3</v>
      </c>
      <c r="W2189">
        <v>2.0439999999999998E-3</v>
      </c>
      <c r="X2189">
        <v>2.0439999999999998E-3</v>
      </c>
      <c r="Y2189">
        <v>2.0439999999999998E-3</v>
      </c>
      <c r="Z2189">
        <v>2.0439999999999998E-3</v>
      </c>
      <c r="AA2189" t="s">
        <v>9333</v>
      </c>
      <c r="AB2189" t="s">
        <v>242</v>
      </c>
      <c r="AC2189" t="s">
        <v>3229</v>
      </c>
    </row>
    <row r="2190" spans="1:29" x14ac:dyDescent="0.25">
      <c r="A2190" t="s">
        <v>2761</v>
      </c>
      <c r="B2190" t="s">
        <v>252</v>
      </c>
      <c r="C2190" t="s">
        <v>352</v>
      </c>
      <c r="D2190" t="s">
        <v>3713</v>
      </c>
      <c r="E2190" t="s">
        <v>3761</v>
      </c>
      <c r="F2190">
        <v>10000000</v>
      </c>
      <c r="G2190" t="s">
        <v>9349</v>
      </c>
      <c r="H2190" t="s">
        <v>242</v>
      </c>
      <c r="I2190" t="s">
        <v>242</v>
      </c>
      <c r="J2190" t="s">
        <v>242</v>
      </c>
      <c r="K2190" t="s">
        <v>242</v>
      </c>
      <c r="L2190" t="s">
        <v>241</v>
      </c>
      <c r="M2190">
        <v>38.399299999999997</v>
      </c>
      <c r="N2190">
        <v>-122.8995</v>
      </c>
      <c r="O2190">
        <v>4.3333333000000002E-2</v>
      </c>
      <c r="P2190">
        <v>4.2999999999999997E-2</v>
      </c>
      <c r="Q2190">
        <v>4.3666666999999999E-2</v>
      </c>
      <c r="R2190">
        <v>4.7666667000000003E-2</v>
      </c>
      <c r="S2190">
        <v>5.3999999999999999E-2</v>
      </c>
      <c r="T2190">
        <v>6.5000000000000002E-2</v>
      </c>
      <c r="U2190">
        <v>6.5000000000000002E-2</v>
      </c>
      <c r="V2190">
        <v>7.2999999999999995E-2</v>
      </c>
      <c r="W2190">
        <v>6.9666667000000002E-2</v>
      </c>
      <c r="X2190">
        <v>5.7666666999999998E-2</v>
      </c>
      <c r="Y2190">
        <v>5.2999999999999999E-2</v>
      </c>
      <c r="Z2190">
        <v>4.4666667E-2</v>
      </c>
      <c r="AA2190" t="s">
        <v>9335</v>
      </c>
      <c r="AB2190" t="s">
        <v>242</v>
      </c>
      <c r="AC2190" t="s">
        <v>3229</v>
      </c>
    </row>
    <row r="2191" spans="1:29" x14ac:dyDescent="0.25">
      <c r="A2191" t="s">
        <v>2762</v>
      </c>
      <c r="B2191" t="s">
        <v>252</v>
      </c>
      <c r="C2191" t="s">
        <v>403</v>
      </c>
      <c r="D2191" t="s">
        <v>3713</v>
      </c>
      <c r="E2191" t="s">
        <v>3761</v>
      </c>
      <c r="F2191">
        <v>10000000</v>
      </c>
      <c r="G2191" t="s">
        <v>9349</v>
      </c>
      <c r="H2191" t="s">
        <v>242</v>
      </c>
      <c r="I2191" t="s">
        <v>242</v>
      </c>
      <c r="J2191" t="s">
        <v>242</v>
      </c>
      <c r="K2191" t="s">
        <v>242</v>
      </c>
      <c r="L2191" t="s">
        <v>241</v>
      </c>
      <c r="M2191">
        <v>38.449399999999997</v>
      </c>
      <c r="N2191">
        <v>-122.9816</v>
      </c>
      <c r="O2191">
        <v>3.3758000000000003E-2</v>
      </c>
      <c r="P2191">
        <v>3.3758000000000003E-2</v>
      </c>
      <c r="Q2191">
        <v>3.3758000000000003E-2</v>
      </c>
      <c r="R2191">
        <v>3.3758000000000003E-2</v>
      </c>
      <c r="S2191">
        <v>3.3758000000000003E-2</v>
      </c>
      <c r="T2191">
        <v>3.3758000000000003E-2</v>
      </c>
      <c r="U2191">
        <v>3.3758000000000003E-2</v>
      </c>
      <c r="V2191">
        <v>3.3758000000000003E-2</v>
      </c>
      <c r="W2191">
        <v>3.3758000000000003E-2</v>
      </c>
      <c r="X2191">
        <v>3.3758000000000003E-2</v>
      </c>
      <c r="Y2191">
        <v>3.3758000000000003E-2</v>
      </c>
      <c r="Z2191">
        <v>3.3758000000000003E-2</v>
      </c>
      <c r="AA2191" t="s">
        <v>9335</v>
      </c>
      <c r="AB2191" t="s">
        <v>242</v>
      </c>
      <c r="AC2191" t="s">
        <v>3229</v>
      </c>
    </row>
    <row r="2192" spans="1:29" x14ac:dyDescent="0.25">
      <c r="A2192" t="s">
        <v>2400</v>
      </c>
      <c r="B2192" t="s">
        <v>252</v>
      </c>
      <c r="C2192" t="s">
        <v>394</v>
      </c>
      <c r="D2192" t="s">
        <v>3713</v>
      </c>
      <c r="E2192" t="s">
        <v>3761</v>
      </c>
      <c r="F2192">
        <v>10000000</v>
      </c>
      <c r="G2192" t="s">
        <v>9349</v>
      </c>
      <c r="H2192" t="s">
        <v>242</v>
      </c>
      <c r="I2192" t="s">
        <v>242</v>
      </c>
      <c r="J2192" t="s">
        <v>242</v>
      </c>
      <c r="K2192" t="s">
        <v>242</v>
      </c>
      <c r="L2192" t="s">
        <v>241</v>
      </c>
      <c r="M2192">
        <v>38.589100000000002</v>
      </c>
      <c r="N2192">
        <v>-122.922</v>
      </c>
      <c r="O2192">
        <v>3.0214667000000001E-2</v>
      </c>
      <c r="P2192">
        <v>4.0280000000000003E-2</v>
      </c>
      <c r="Q2192">
        <v>4.0280000000000003E-2</v>
      </c>
      <c r="R2192">
        <v>4.0280000000000003E-2</v>
      </c>
      <c r="S2192">
        <v>0.31774999999999998</v>
      </c>
      <c r="T2192">
        <v>4.7449333000000003E-2</v>
      </c>
      <c r="U2192">
        <v>7.3701332999999994E-2</v>
      </c>
      <c r="V2192">
        <v>7.0249332999999997E-2</v>
      </c>
      <c r="W2192">
        <v>5.8022667E-2</v>
      </c>
      <c r="X2192">
        <v>5.1361333000000002E-2</v>
      </c>
      <c r="Y2192">
        <v>3.6253332999999999E-2</v>
      </c>
      <c r="Z2192">
        <v>9.8197667000000002E-2</v>
      </c>
      <c r="AA2192" t="s">
        <v>9333</v>
      </c>
      <c r="AB2192" t="s">
        <v>242</v>
      </c>
      <c r="AC2192" t="s">
        <v>3229</v>
      </c>
    </row>
    <row r="2193" spans="1:29" x14ac:dyDescent="0.25">
      <c r="A2193" t="s">
        <v>2764</v>
      </c>
      <c r="B2193" t="s">
        <v>252</v>
      </c>
      <c r="C2193" t="s">
        <v>323</v>
      </c>
      <c r="D2193" t="s">
        <v>3713</v>
      </c>
      <c r="E2193" t="s">
        <v>3761</v>
      </c>
      <c r="F2193">
        <v>10000000</v>
      </c>
      <c r="G2193" t="s">
        <v>9349</v>
      </c>
      <c r="H2193" t="s">
        <v>242</v>
      </c>
      <c r="I2193" t="s">
        <v>242</v>
      </c>
      <c r="J2193" t="s">
        <v>242</v>
      </c>
      <c r="K2193" t="s">
        <v>242</v>
      </c>
      <c r="L2193" t="s">
        <v>241</v>
      </c>
      <c r="M2193">
        <v>38.507800000000003</v>
      </c>
      <c r="N2193">
        <v>-122.73090000000001</v>
      </c>
      <c r="O2193">
        <v>0</v>
      </c>
      <c r="P2193">
        <v>0</v>
      </c>
      <c r="Q2193">
        <v>0</v>
      </c>
      <c r="R2193">
        <v>0</v>
      </c>
      <c r="S2193">
        <v>0.01</v>
      </c>
      <c r="T2193">
        <v>1.6666667E-2</v>
      </c>
      <c r="U2193">
        <v>1.6666667E-2</v>
      </c>
      <c r="V2193">
        <v>2.3333333000000001E-2</v>
      </c>
      <c r="W2193">
        <v>2.3333333000000001E-2</v>
      </c>
      <c r="X2193">
        <v>6.6666670000000003E-3</v>
      </c>
      <c r="Y2193">
        <v>0</v>
      </c>
      <c r="Z2193">
        <v>0</v>
      </c>
      <c r="AA2193" t="s">
        <v>9335</v>
      </c>
      <c r="AB2193" t="s">
        <v>242</v>
      </c>
      <c r="AC2193" t="s">
        <v>3229</v>
      </c>
    </row>
    <row r="2194" spans="1:29" x14ac:dyDescent="0.25">
      <c r="A2194" t="s">
        <v>2765</v>
      </c>
      <c r="B2194" t="s">
        <v>252</v>
      </c>
      <c r="C2194" t="s">
        <v>352</v>
      </c>
      <c r="D2194" t="s">
        <v>3713</v>
      </c>
      <c r="E2194" t="s">
        <v>3761</v>
      </c>
      <c r="F2194">
        <v>10000000</v>
      </c>
      <c r="G2194" t="s">
        <v>9349</v>
      </c>
      <c r="H2194" t="s">
        <v>242</v>
      </c>
      <c r="I2194" t="s">
        <v>242</v>
      </c>
      <c r="J2194" t="s">
        <v>242</v>
      </c>
      <c r="K2194" t="s">
        <v>242</v>
      </c>
      <c r="L2194" t="s">
        <v>241</v>
      </c>
      <c r="M2194">
        <v>38.384</v>
      </c>
      <c r="N2194">
        <v>-122.8903</v>
      </c>
      <c r="O2194">
        <v>5.2170539999999996E-3</v>
      </c>
      <c r="P2194">
        <v>5.600776E-3</v>
      </c>
      <c r="Q2194">
        <v>5.8510819999999996E-3</v>
      </c>
      <c r="R2194">
        <v>5.8001980000000003E-3</v>
      </c>
      <c r="S2194">
        <v>5.8309429999999999E-3</v>
      </c>
      <c r="T2194">
        <v>5.6004990000000001E-3</v>
      </c>
      <c r="U2194">
        <v>5.9841649999999996E-3</v>
      </c>
      <c r="V2194">
        <v>6.1378869999999999E-3</v>
      </c>
      <c r="W2194">
        <v>5.8923209999999998E-3</v>
      </c>
      <c r="X2194">
        <v>5.7232539999999997E-3</v>
      </c>
      <c r="Y2194">
        <v>5.8309429999999999E-3</v>
      </c>
      <c r="Z2194">
        <v>5.5239989999999999E-3</v>
      </c>
      <c r="AA2194" t="s">
        <v>9333</v>
      </c>
      <c r="AB2194" t="s">
        <v>242</v>
      </c>
      <c r="AC2194" t="s">
        <v>3229</v>
      </c>
    </row>
    <row r="2195" spans="1:29" x14ac:dyDescent="0.25">
      <c r="A2195" t="s">
        <v>2767</v>
      </c>
      <c r="B2195" t="s">
        <v>252</v>
      </c>
      <c r="C2195" t="s">
        <v>352</v>
      </c>
      <c r="D2195" t="s">
        <v>3713</v>
      </c>
      <c r="E2195" t="s">
        <v>3761</v>
      </c>
      <c r="F2195">
        <v>10000000</v>
      </c>
      <c r="G2195" t="s">
        <v>9349</v>
      </c>
      <c r="H2195" t="s">
        <v>242</v>
      </c>
      <c r="I2195" t="s">
        <v>242</v>
      </c>
      <c r="J2195" t="s">
        <v>242</v>
      </c>
      <c r="K2195" t="s">
        <v>242</v>
      </c>
      <c r="L2195" t="s">
        <v>241</v>
      </c>
      <c r="M2195">
        <v>38.383400000000002</v>
      </c>
      <c r="N2195">
        <v>-122.8901</v>
      </c>
      <c r="O2195">
        <v>4.1938510000000002E-3</v>
      </c>
      <c r="P2195">
        <v>4.6444440000000002E-3</v>
      </c>
      <c r="Q2195">
        <v>4.6239840000000003E-3</v>
      </c>
      <c r="R2195">
        <v>1.874174E-2</v>
      </c>
      <c r="S2195">
        <v>4.6649029999999998E-3</v>
      </c>
      <c r="T2195">
        <v>4.7978880000000002E-3</v>
      </c>
      <c r="U2195">
        <v>4.6751329999999997E-3</v>
      </c>
      <c r="V2195">
        <v>4.6649029999999998E-3</v>
      </c>
      <c r="W2195">
        <v>3.1149620000000002E-3</v>
      </c>
      <c r="X2195">
        <v>3.1661100000000002E-3</v>
      </c>
      <c r="Y2195">
        <v>3.2479470000000002E-3</v>
      </c>
      <c r="Z2195">
        <v>3.1558810000000001E-3</v>
      </c>
      <c r="AA2195" t="s">
        <v>9333</v>
      </c>
      <c r="AB2195" t="s">
        <v>242</v>
      </c>
      <c r="AC2195" t="s">
        <v>3229</v>
      </c>
    </row>
    <row r="2196" spans="1:29" x14ac:dyDescent="0.25">
      <c r="A2196" t="s">
        <v>2768</v>
      </c>
      <c r="B2196" t="s">
        <v>252</v>
      </c>
      <c r="C2196" t="s">
        <v>352</v>
      </c>
      <c r="D2196" t="s">
        <v>3713</v>
      </c>
      <c r="E2196" t="s">
        <v>3761</v>
      </c>
      <c r="F2196">
        <v>10000000</v>
      </c>
      <c r="G2196" t="s">
        <v>9349</v>
      </c>
      <c r="H2196" t="s">
        <v>242</v>
      </c>
      <c r="I2196" t="s">
        <v>242</v>
      </c>
      <c r="J2196" t="s">
        <v>242</v>
      </c>
      <c r="K2196" t="s">
        <v>242</v>
      </c>
      <c r="L2196" t="s">
        <v>241</v>
      </c>
      <c r="M2196">
        <v>38.378399999999999</v>
      </c>
      <c r="N2196">
        <v>-122.893</v>
      </c>
      <c r="O2196">
        <v>3.0699999999999998E-4</v>
      </c>
      <c r="P2196">
        <v>0</v>
      </c>
      <c r="Q2196">
        <v>1.1303667E-2</v>
      </c>
      <c r="R2196">
        <v>4.6954000000000003E-2</v>
      </c>
      <c r="S2196">
        <v>0.14154766699999999</v>
      </c>
      <c r="T2196">
        <v>0.48278799999999999</v>
      </c>
      <c r="U2196">
        <v>0.54037866700000003</v>
      </c>
      <c r="V2196">
        <v>0.52073899999999995</v>
      </c>
      <c r="W2196">
        <v>0.45993400000000001</v>
      </c>
      <c r="X2196">
        <v>0.43539299999999997</v>
      </c>
      <c r="Y2196">
        <v>0.152503</v>
      </c>
      <c r="Z2196">
        <v>5.2304000000000003E-2</v>
      </c>
      <c r="AA2196" t="s">
        <v>9335</v>
      </c>
      <c r="AB2196" t="s">
        <v>242</v>
      </c>
      <c r="AC2196" t="s">
        <v>3229</v>
      </c>
    </row>
    <row r="2197" spans="1:29" x14ac:dyDescent="0.25">
      <c r="A2197" t="s">
        <v>2769</v>
      </c>
      <c r="B2197" t="s">
        <v>252</v>
      </c>
      <c r="C2197" t="s">
        <v>323</v>
      </c>
      <c r="D2197" t="s">
        <v>3713</v>
      </c>
      <c r="E2197" t="s">
        <v>3761</v>
      </c>
      <c r="F2197">
        <v>10000000</v>
      </c>
      <c r="G2197" t="s">
        <v>9349</v>
      </c>
      <c r="H2197" t="s">
        <v>242</v>
      </c>
      <c r="I2197" t="s">
        <v>242</v>
      </c>
      <c r="J2197" t="s">
        <v>242</v>
      </c>
      <c r="K2197" t="s">
        <v>242</v>
      </c>
      <c r="L2197" t="s">
        <v>241</v>
      </c>
      <c r="M2197">
        <v>38.520000000000003</v>
      </c>
      <c r="N2197">
        <v>-122.6109</v>
      </c>
      <c r="O2197">
        <v>0</v>
      </c>
      <c r="P2197">
        <v>0</v>
      </c>
      <c r="Q2197">
        <v>0</v>
      </c>
      <c r="R2197">
        <v>7.8933300000000003E-4</v>
      </c>
      <c r="S2197">
        <v>1.5790000000000001E-3</v>
      </c>
      <c r="T2197">
        <v>1.5790000000000001E-3</v>
      </c>
      <c r="U2197">
        <v>1.5790000000000001E-3</v>
      </c>
      <c r="V2197">
        <v>1.5790000000000001E-3</v>
      </c>
      <c r="W2197">
        <v>1.5790000000000001E-3</v>
      </c>
      <c r="X2197">
        <v>7.8933300000000003E-4</v>
      </c>
      <c r="Y2197">
        <v>0</v>
      </c>
      <c r="Z2197">
        <v>0</v>
      </c>
      <c r="AA2197" t="s">
        <v>9347</v>
      </c>
      <c r="AB2197" t="s">
        <v>242</v>
      </c>
      <c r="AC2197" t="s">
        <v>3229</v>
      </c>
    </row>
    <row r="2198" spans="1:29" x14ac:dyDescent="0.25">
      <c r="A2198" t="s">
        <v>2771</v>
      </c>
      <c r="B2198" t="s">
        <v>252</v>
      </c>
      <c r="C2198" t="s">
        <v>352</v>
      </c>
      <c r="D2198" t="s">
        <v>3713</v>
      </c>
      <c r="E2198" t="s">
        <v>3761</v>
      </c>
      <c r="F2198">
        <v>10000000</v>
      </c>
      <c r="G2198" t="s">
        <v>9349</v>
      </c>
      <c r="H2198" t="s">
        <v>242</v>
      </c>
      <c r="I2198" t="s">
        <v>242</v>
      </c>
      <c r="J2198" t="s">
        <v>242</v>
      </c>
      <c r="K2198" t="s">
        <v>242</v>
      </c>
      <c r="L2198" t="s">
        <v>241</v>
      </c>
      <c r="M2198">
        <v>38.393799999999999</v>
      </c>
      <c r="N2198">
        <v>-122.88809999999999</v>
      </c>
      <c r="O2198">
        <v>1.3333332999999999E-2</v>
      </c>
      <c r="P2198">
        <v>1.3333332999999999E-2</v>
      </c>
      <c r="Q2198">
        <v>1.3333332999999999E-2</v>
      </c>
      <c r="R2198">
        <v>2.6666667000000002E-2</v>
      </c>
      <c r="S2198">
        <v>0.04</v>
      </c>
      <c r="T2198">
        <v>5.3333332999999997E-2</v>
      </c>
      <c r="U2198">
        <v>5.3333332999999997E-2</v>
      </c>
      <c r="V2198">
        <v>5.3333332999999997E-2</v>
      </c>
      <c r="W2198">
        <v>0.04</v>
      </c>
      <c r="X2198">
        <v>2.6666667000000002E-2</v>
      </c>
      <c r="Y2198">
        <v>2.6666667000000002E-2</v>
      </c>
      <c r="Z2198">
        <v>2.6666667000000002E-2</v>
      </c>
      <c r="AA2198" t="s">
        <v>9333</v>
      </c>
      <c r="AB2198" t="s">
        <v>242</v>
      </c>
      <c r="AC2198" t="s">
        <v>3229</v>
      </c>
    </row>
    <row r="2199" spans="1:29" x14ac:dyDescent="0.25">
      <c r="A2199" t="s">
        <v>2772</v>
      </c>
      <c r="B2199" t="s">
        <v>252</v>
      </c>
      <c r="C2199" t="s">
        <v>352</v>
      </c>
      <c r="D2199" t="s">
        <v>3713</v>
      </c>
      <c r="E2199" t="s">
        <v>3761</v>
      </c>
      <c r="F2199">
        <v>10000000</v>
      </c>
      <c r="G2199" t="s">
        <v>9349</v>
      </c>
      <c r="H2199" t="s">
        <v>242</v>
      </c>
      <c r="I2199" t="s">
        <v>242</v>
      </c>
      <c r="J2199" t="s">
        <v>242</v>
      </c>
      <c r="K2199" t="s">
        <v>242</v>
      </c>
      <c r="L2199" t="s">
        <v>241</v>
      </c>
      <c r="M2199">
        <v>38.393500000000003</v>
      </c>
      <c r="N2199">
        <v>-122.8891</v>
      </c>
      <c r="O2199">
        <v>0</v>
      </c>
      <c r="P2199">
        <v>0</v>
      </c>
      <c r="Q2199">
        <v>4.0899999999999998E-5</v>
      </c>
      <c r="R2199">
        <v>4.0899999999999998E-5</v>
      </c>
      <c r="S2199">
        <v>6.1299999999999999E-5</v>
      </c>
      <c r="T2199">
        <v>1.0217000000000001E-4</v>
      </c>
      <c r="U2199">
        <v>1.2283699999999999E-4</v>
      </c>
      <c r="V2199">
        <v>1.2283699999999999E-4</v>
      </c>
      <c r="W2199">
        <v>6.1299999999999999E-5</v>
      </c>
      <c r="X2199">
        <v>6.1299999999999999E-5</v>
      </c>
      <c r="Y2199">
        <v>4.0899999999999998E-5</v>
      </c>
      <c r="Z2199">
        <v>0</v>
      </c>
      <c r="AA2199" t="s">
        <v>9335</v>
      </c>
      <c r="AB2199" t="s">
        <v>242</v>
      </c>
      <c r="AC2199" t="s">
        <v>3229</v>
      </c>
    </row>
    <row r="2200" spans="1:29" x14ac:dyDescent="0.25">
      <c r="A2200" t="s">
        <v>2774</v>
      </c>
      <c r="B2200" t="s">
        <v>252</v>
      </c>
      <c r="C2200" t="s">
        <v>323</v>
      </c>
      <c r="D2200" t="s">
        <v>3713</v>
      </c>
      <c r="E2200" t="s">
        <v>3761</v>
      </c>
      <c r="F2200">
        <v>10000000</v>
      </c>
      <c r="G2200" t="s">
        <v>9349</v>
      </c>
      <c r="H2200" t="s">
        <v>242</v>
      </c>
      <c r="I2200" t="s">
        <v>242</v>
      </c>
      <c r="J2200" t="s">
        <v>242</v>
      </c>
      <c r="K2200" t="s">
        <v>242</v>
      </c>
      <c r="L2200" t="s">
        <v>241</v>
      </c>
      <c r="M2200">
        <v>38.518799999999999</v>
      </c>
      <c r="N2200">
        <v>-122.6096</v>
      </c>
      <c r="O2200">
        <v>3.4525E-2</v>
      </c>
      <c r="P2200">
        <v>3.4525E-2</v>
      </c>
      <c r="Q2200">
        <v>3.4525E-2</v>
      </c>
      <c r="R2200">
        <v>3.4525E-2</v>
      </c>
      <c r="S2200">
        <v>3.4525E-2</v>
      </c>
      <c r="T2200">
        <v>3.4525E-2</v>
      </c>
      <c r="U2200">
        <v>3.4525E-2</v>
      </c>
      <c r="V2200">
        <v>3.4525E-2</v>
      </c>
      <c r="W2200">
        <v>3.4525E-2</v>
      </c>
      <c r="X2200">
        <v>3.4525E-2</v>
      </c>
      <c r="Y2200">
        <v>3.4525E-2</v>
      </c>
      <c r="Z2200">
        <v>3.4525E-2</v>
      </c>
      <c r="AA2200" t="s">
        <v>9335</v>
      </c>
      <c r="AB2200" t="s">
        <v>242</v>
      </c>
      <c r="AC2200" t="s">
        <v>3229</v>
      </c>
    </row>
    <row r="2201" spans="1:29" x14ac:dyDescent="0.25">
      <c r="A2201" t="s">
        <v>2775</v>
      </c>
      <c r="B2201" t="s">
        <v>252</v>
      </c>
      <c r="C2201" t="s">
        <v>352</v>
      </c>
      <c r="D2201" t="s">
        <v>3713</v>
      </c>
      <c r="E2201" t="s">
        <v>3761</v>
      </c>
      <c r="F2201">
        <v>10000000</v>
      </c>
      <c r="G2201" t="s">
        <v>9349</v>
      </c>
      <c r="H2201" t="s">
        <v>242</v>
      </c>
      <c r="I2201" t="s">
        <v>242</v>
      </c>
      <c r="J2201" t="s">
        <v>242</v>
      </c>
      <c r="K2201" t="s">
        <v>242</v>
      </c>
      <c r="L2201" t="s">
        <v>241</v>
      </c>
      <c r="M2201">
        <v>38.3767</v>
      </c>
      <c r="N2201">
        <v>-122.89279999999999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 t="s">
        <v>9335</v>
      </c>
      <c r="AB2201" t="s">
        <v>242</v>
      </c>
      <c r="AC2201" t="s">
        <v>3229</v>
      </c>
    </row>
    <row r="2202" spans="1:29" x14ac:dyDescent="0.25">
      <c r="A2202" t="s">
        <v>1791</v>
      </c>
      <c r="B2202" t="s">
        <v>252</v>
      </c>
      <c r="C2202" t="s">
        <v>403</v>
      </c>
      <c r="D2202" t="s">
        <v>3713</v>
      </c>
      <c r="E2202" t="s">
        <v>3761</v>
      </c>
      <c r="F2202">
        <v>19050101</v>
      </c>
      <c r="G2202" t="s">
        <v>9348</v>
      </c>
      <c r="H2202" t="s">
        <v>242</v>
      </c>
      <c r="I2202" t="s">
        <v>241</v>
      </c>
      <c r="J2202" t="s">
        <v>242</v>
      </c>
      <c r="K2202" t="s">
        <v>242</v>
      </c>
      <c r="L2202" t="s">
        <v>242</v>
      </c>
      <c r="M2202">
        <v>38.430799999999998</v>
      </c>
      <c r="N2202">
        <v>-122.96469999999999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6.12855E-2</v>
      </c>
      <c r="U2202">
        <v>6.12855E-2</v>
      </c>
      <c r="V2202">
        <v>6.12855E-2</v>
      </c>
      <c r="W2202">
        <v>6.12855E-2</v>
      </c>
      <c r="X2202">
        <v>6.12855E-2</v>
      </c>
      <c r="Y2202">
        <v>0</v>
      </c>
      <c r="Z2202">
        <v>0</v>
      </c>
      <c r="AA2202" t="s">
        <v>9335</v>
      </c>
      <c r="AB2202" t="s">
        <v>242</v>
      </c>
      <c r="AC2202" t="s">
        <v>3229</v>
      </c>
    </row>
    <row r="2203" spans="1:29" x14ac:dyDescent="0.25">
      <c r="A2203" t="s">
        <v>2776</v>
      </c>
      <c r="B2203" t="s">
        <v>252</v>
      </c>
      <c r="C2203" t="s">
        <v>352</v>
      </c>
      <c r="D2203" t="s">
        <v>3713</v>
      </c>
      <c r="E2203" t="s">
        <v>3761</v>
      </c>
      <c r="F2203">
        <v>10000000</v>
      </c>
      <c r="G2203" t="s">
        <v>9349</v>
      </c>
      <c r="H2203" t="s">
        <v>242</v>
      </c>
      <c r="I2203" t="s">
        <v>242</v>
      </c>
      <c r="J2203" t="s">
        <v>242</v>
      </c>
      <c r="K2203" t="s">
        <v>242</v>
      </c>
      <c r="L2203" t="s">
        <v>241</v>
      </c>
      <c r="M2203">
        <v>38.434538000000003</v>
      </c>
      <c r="N2203">
        <v>-122.900131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5.1366670000000001E-3</v>
      </c>
      <c r="U2203">
        <v>5.396667E-3</v>
      </c>
      <c r="V2203">
        <v>5.396667E-3</v>
      </c>
      <c r="W2203">
        <v>6.0033329999999996E-3</v>
      </c>
      <c r="X2203">
        <v>1.0200000000000001E-3</v>
      </c>
      <c r="Y2203">
        <v>0</v>
      </c>
      <c r="Z2203">
        <v>0</v>
      </c>
      <c r="AA2203" t="s">
        <v>9335</v>
      </c>
      <c r="AB2203" t="s">
        <v>242</v>
      </c>
      <c r="AC2203" t="s">
        <v>3229</v>
      </c>
    </row>
    <row r="2204" spans="1:29" x14ac:dyDescent="0.25">
      <c r="A2204" t="s">
        <v>2808</v>
      </c>
      <c r="B2204" t="s">
        <v>252</v>
      </c>
      <c r="C2204" t="s">
        <v>329</v>
      </c>
      <c r="D2204" t="s">
        <v>3713</v>
      </c>
      <c r="E2204" t="s">
        <v>3761</v>
      </c>
      <c r="F2204">
        <v>10000000</v>
      </c>
      <c r="G2204" t="s">
        <v>9349</v>
      </c>
      <c r="H2204" t="s">
        <v>242</v>
      </c>
      <c r="I2204" t="s">
        <v>242</v>
      </c>
      <c r="J2204" t="s">
        <v>242</v>
      </c>
      <c r="K2204" t="s">
        <v>242</v>
      </c>
      <c r="L2204" t="s">
        <v>241</v>
      </c>
      <c r="M2204">
        <v>38.56</v>
      </c>
      <c r="N2204">
        <v>-123.16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 t="s">
        <v>9335</v>
      </c>
      <c r="AB2204" t="s">
        <v>242</v>
      </c>
      <c r="AC2204" t="s">
        <v>3229</v>
      </c>
    </row>
    <row r="2205" spans="1:29" x14ac:dyDescent="0.25">
      <c r="A2205" t="s">
        <v>2788</v>
      </c>
      <c r="B2205" t="s">
        <v>252</v>
      </c>
      <c r="C2205" t="s">
        <v>725</v>
      </c>
      <c r="D2205" t="s">
        <v>3713</v>
      </c>
      <c r="E2205" t="s">
        <v>3761</v>
      </c>
      <c r="F2205">
        <v>10000000</v>
      </c>
      <c r="G2205" t="s">
        <v>9349</v>
      </c>
      <c r="H2205" t="s">
        <v>242</v>
      </c>
      <c r="I2205" t="s">
        <v>242</v>
      </c>
      <c r="J2205" t="s">
        <v>242</v>
      </c>
      <c r="K2205" t="s">
        <v>242</v>
      </c>
      <c r="L2205" t="s">
        <v>241</v>
      </c>
      <c r="M2205">
        <v>38.476622999999996</v>
      </c>
      <c r="N2205">
        <v>-122.777047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 t="s">
        <v>9335</v>
      </c>
      <c r="AB2205" t="s">
        <v>242</v>
      </c>
      <c r="AC2205" t="s">
        <v>3229</v>
      </c>
    </row>
    <row r="2206" spans="1:29" x14ac:dyDescent="0.25">
      <c r="A2206" t="s">
        <v>2802</v>
      </c>
      <c r="B2206" t="s">
        <v>252</v>
      </c>
      <c r="C2206" t="s">
        <v>314</v>
      </c>
      <c r="D2206" t="s">
        <v>3713</v>
      </c>
      <c r="E2206" t="s">
        <v>3761</v>
      </c>
      <c r="F2206">
        <v>10000000</v>
      </c>
      <c r="G2206" t="s">
        <v>9349</v>
      </c>
      <c r="H2206" t="s">
        <v>242</v>
      </c>
      <c r="I2206" t="s">
        <v>242</v>
      </c>
      <c r="J2206" t="s">
        <v>242</v>
      </c>
      <c r="K2206" t="s">
        <v>242</v>
      </c>
      <c r="L2206" t="s">
        <v>241</v>
      </c>
      <c r="M2206">
        <v>38.798935</v>
      </c>
      <c r="N2206">
        <v>-123.04805709999999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 t="s">
        <v>9335</v>
      </c>
      <c r="AB2206" t="s">
        <v>242</v>
      </c>
      <c r="AC2206" t="s">
        <v>3229</v>
      </c>
    </row>
    <row r="2207" spans="1:29" x14ac:dyDescent="0.25">
      <c r="A2207" t="s">
        <v>2815</v>
      </c>
      <c r="B2207" t="s">
        <v>252</v>
      </c>
      <c r="C2207" t="s">
        <v>329</v>
      </c>
      <c r="D2207" t="s">
        <v>3713</v>
      </c>
      <c r="E2207" t="s">
        <v>3761</v>
      </c>
      <c r="F2207">
        <v>10000000</v>
      </c>
      <c r="G2207" t="s">
        <v>9349</v>
      </c>
      <c r="H2207" t="s">
        <v>242</v>
      </c>
      <c r="I2207" t="s">
        <v>242</v>
      </c>
      <c r="J2207" t="s">
        <v>242</v>
      </c>
      <c r="K2207" t="s">
        <v>242</v>
      </c>
      <c r="L2207" t="s">
        <v>241</v>
      </c>
      <c r="M2207">
        <v>38.535122999999999</v>
      </c>
      <c r="N2207">
        <v>-123.14657</v>
      </c>
      <c r="O2207">
        <v>0</v>
      </c>
      <c r="P2207">
        <v>3.3333333E-2</v>
      </c>
      <c r="Q2207">
        <v>5.2201333000000003E-2</v>
      </c>
      <c r="R2207">
        <v>5.2201333000000003E-2</v>
      </c>
      <c r="S2207">
        <v>5.2201333000000003E-2</v>
      </c>
      <c r="T2207">
        <v>5.2201333000000003E-2</v>
      </c>
      <c r="U2207">
        <v>5.2201333000000003E-2</v>
      </c>
      <c r="V2207">
        <v>5.2201333000000003E-2</v>
      </c>
      <c r="W2207">
        <v>5.2201333000000003E-2</v>
      </c>
      <c r="X2207">
        <v>5.2201333000000003E-2</v>
      </c>
      <c r="Y2207">
        <v>5.2201333000000003E-2</v>
      </c>
      <c r="Z2207">
        <v>0</v>
      </c>
      <c r="AA2207" t="s">
        <v>9335</v>
      </c>
      <c r="AB2207" t="s">
        <v>242</v>
      </c>
      <c r="AC2207" t="s">
        <v>3229</v>
      </c>
    </row>
    <row r="2208" spans="1:29" x14ac:dyDescent="0.25">
      <c r="A2208" t="s">
        <v>2853</v>
      </c>
      <c r="B2208" t="s">
        <v>252</v>
      </c>
      <c r="C2208" t="s">
        <v>329</v>
      </c>
      <c r="D2208" t="s">
        <v>3713</v>
      </c>
      <c r="E2208" t="s">
        <v>3761</v>
      </c>
      <c r="F2208">
        <v>10000000</v>
      </c>
      <c r="G2208" t="s">
        <v>9349</v>
      </c>
      <c r="H2208" t="s">
        <v>242</v>
      </c>
      <c r="I2208" t="s">
        <v>242</v>
      </c>
      <c r="J2208" t="s">
        <v>242</v>
      </c>
      <c r="K2208" t="s">
        <v>242</v>
      </c>
      <c r="L2208" t="s">
        <v>241</v>
      </c>
      <c r="M2208">
        <v>38.535122999999999</v>
      </c>
      <c r="N2208">
        <v>-123.14657</v>
      </c>
      <c r="O2208">
        <v>2.5000000000000001E-3</v>
      </c>
      <c r="P2208">
        <v>2.5000000000000001E-3</v>
      </c>
      <c r="Q2208">
        <v>2.5000000000000001E-3</v>
      </c>
      <c r="R2208">
        <v>2.5000000000000001E-3</v>
      </c>
      <c r="S2208">
        <v>2.5000000000000001E-3</v>
      </c>
      <c r="T2208">
        <v>2.5000000000000001E-3</v>
      </c>
      <c r="U2208">
        <v>2.5000000000000001E-3</v>
      </c>
      <c r="V2208">
        <v>2.5000000000000001E-3</v>
      </c>
      <c r="W2208">
        <v>2.5000000000000001E-3</v>
      </c>
      <c r="X2208">
        <v>2.5000000000000001E-3</v>
      </c>
      <c r="Y2208">
        <v>2.5000000000000001E-3</v>
      </c>
      <c r="Z2208">
        <v>2.5000000000000001E-3</v>
      </c>
      <c r="AA2208" t="s">
        <v>9335</v>
      </c>
      <c r="AB2208" t="s">
        <v>242</v>
      </c>
      <c r="AC2208" t="s">
        <v>3229</v>
      </c>
    </row>
    <row r="2209" spans="1:29" x14ac:dyDescent="0.25">
      <c r="A2209" t="s">
        <v>2813</v>
      </c>
      <c r="B2209" t="s">
        <v>252</v>
      </c>
      <c r="C2209" t="s">
        <v>352</v>
      </c>
      <c r="D2209" t="s">
        <v>3713</v>
      </c>
      <c r="E2209" t="s">
        <v>3761</v>
      </c>
      <c r="F2209">
        <v>10000000</v>
      </c>
      <c r="G2209" t="s">
        <v>9349</v>
      </c>
      <c r="H2209" t="s">
        <v>242</v>
      </c>
      <c r="I2209" t="s">
        <v>242</v>
      </c>
      <c r="J2209" t="s">
        <v>242</v>
      </c>
      <c r="K2209" t="s">
        <v>242</v>
      </c>
      <c r="L2209" t="s">
        <v>241</v>
      </c>
      <c r="M2209">
        <v>38.399650700000002</v>
      </c>
      <c r="N2209">
        <v>-122.8713609</v>
      </c>
      <c r="O2209">
        <v>0.06</v>
      </c>
      <c r="P2209">
        <v>0.15</v>
      </c>
      <c r="Q2209">
        <v>0.15</v>
      </c>
      <c r="R2209">
        <v>0.15</v>
      </c>
      <c r="S2209">
        <v>0.15</v>
      </c>
      <c r="T2209">
        <v>0.18</v>
      </c>
      <c r="U2209">
        <v>0.21</v>
      </c>
      <c r="V2209">
        <v>0.28000000000000003</v>
      </c>
      <c r="W2209">
        <v>0.28000000000000003</v>
      </c>
      <c r="X2209">
        <v>0.18</v>
      </c>
      <c r="Y2209">
        <v>0.15</v>
      </c>
      <c r="Z2209">
        <v>0.15</v>
      </c>
      <c r="AA2209" t="s">
        <v>9335</v>
      </c>
      <c r="AB2209" t="s">
        <v>242</v>
      </c>
      <c r="AC2209" t="s">
        <v>3229</v>
      </c>
    </row>
    <row r="2210" spans="1:29" x14ac:dyDescent="0.25">
      <c r="A2210" t="s">
        <v>2857</v>
      </c>
      <c r="B2210" t="s">
        <v>252</v>
      </c>
      <c r="C2210" t="s">
        <v>329</v>
      </c>
      <c r="D2210" t="s">
        <v>3713</v>
      </c>
      <c r="E2210" t="s">
        <v>3761</v>
      </c>
      <c r="F2210">
        <v>10000000</v>
      </c>
      <c r="G2210" t="s">
        <v>9349</v>
      </c>
      <c r="H2210" t="s">
        <v>242</v>
      </c>
      <c r="I2210" t="s">
        <v>242</v>
      </c>
      <c r="J2210" t="s">
        <v>242</v>
      </c>
      <c r="K2210" t="s">
        <v>242</v>
      </c>
      <c r="L2210" t="s">
        <v>241</v>
      </c>
      <c r="M2210">
        <v>38.528201000000003</v>
      </c>
      <c r="N2210">
        <v>-123.127084</v>
      </c>
      <c r="O2210">
        <v>1.53444E-3</v>
      </c>
      <c r="P2210">
        <v>3.0688899999999999E-3</v>
      </c>
      <c r="Q2210">
        <v>4.6033317999999997E-2</v>
      </c>
      <c r="R2210">
        <v>4.7567762E-2</v>
      </c>
      <c r="S2210">
        <v>7.3653308000000001E-2</v>
      </c>
      <c r="T2210">
        <v>8.5928859999999996E-2</v>
      </c>
      <c r="U2210">
        <v>8.8997748000000002E-2</v>
      </c>
      <c r="V2210">
        <v>8.8997748000000002E-2</v>
      </c>
      <c r="W2210">
        <v>7.6722196000000006E-2</v>
      </c>
      <c r="X2210">
        <v>6.1377756999999998E-2</v>
      </c>
      <c r="Y2210">
        <v>3.0688880000000002E-2</v>
      </c>
      <c r="Z2210">
        <v>3.0688899999999999E-3</v>
      </c>
      <c r="AA2210" t="s">
        <v>9335</v>
      </c>
      <c r="AB2210" t="s">
        <v>242</v>
      </c>
      <c r="AC2210" t="s">
        <v>3229</v>
      </c>
    </row>
    <row r="2211" spans="1:29" x14ac:dyDescent="0.25">
      <c r="A2211" t="s">
        <v>2817</v>
      </c>
      <c r="B2211" t="s">
        <v>252</v>
      </c>
      <c r="C2211" t="s">
        <v>323</v>
      </c>
      <c r="D2211" t="s">
        <v>3713</v>
      </c>
      <c r="E2211" t="s">
        <v>3761</v>
      </c>
      <c r="F2211">
        <v>10000000</v>
      </c>
      <c r="G2211" t="s">
        <v>9349</v>
      </c>
      <c r="H2211" t="s">
        <v>242</v>
      </c>
      <c r="I2211" t="s">
        <v>242</v>
      </c>
      <c r="J2211" t="s">
        <v>242</v>
      </c>
      <c r="K2211" t="s">
        <v>242</v>
      </c>
      <c r="L2211" t="s">
        <v>241</v>
      </c>
      <c r="M2211">
        <v>38.491641780000002</v>
      </c>
      <c r="N2211">
        <v>-122.8622505</v>
      </c>
      <c r="O2211">
        <v>0</v>
      </c>
      <c r="P2211">
        <v>0</v>
      </c>
      <c r="Q2211">
        <v>0</v>
      </c>
      <c r="R2211">
        <v>0</v>
      </c>
      <c r="S2211">
        <v>0.02</v>
      </c>
      <c r="T2211">
        <v>0.35666666699999999</v>
      </c>
      <c r="U2211">
        <v>1.2266666669999999</v>
      </c>
      <c r="V2211">
        <v>0.28333333300000002</v>
      </c>
      <c r="W2211">
        <v>0.53333333299999997</v>
      </c>
      <c r="X2211">
        <v>0.22666666699999999</v>
      </c>
      <c r="Y2211">
        <v>0</v>
      </c>
      <c r="Z2211">
        <v>0</v>
      </c>
      <c r="AA2211" t="s">
        <v>9335</v>
      </c>
      <c r="AB2211" t="s">
        <v>242</v>
      </c>
      <c r="AC2211" t="s">
        <v>3229</v>
      </c>
    </row>
    <row r="2212" spans="1:29" x14ac:dyDescent="0.25">
      <c r="A2212" t="s">
        <v>1775</v>
      </c>
      <c r="B2212" t="s">
        <v>252</v>
      </c>
      <c r="C2212" t="s">
        <v>394</v>
      </c>
      <c r="D2212" t="s">
        <v>3713</v>
      </c>
      <c r="E2212" t="s">
        <v>3761</v>
      </c>
      <c r="F2212">
        <v>19100101</v>
      </c>
      <c r="G2212" t="s">
        <v>9348</v>
      </c>
      <c r="H2212" t="s">
        <v>242</v>
      </c>
      <c r="I2212" t="s">
        <v>241</v>
      </c>
      <c r="J2212" t="s">
        <v>242</v>
      </c>
      <c r="K2212" t="s">
        <v>242</v>
      </c>
      <c r="L2212" t="s">
        <v>242</v>
      </c>
      <c r="M2212">
        <v>38.585417999999997</v>
      </c>
      <c r="N2212">
        <v>-122.94246</v>
      </c>
      <c r="O2212">
        <v>0.2</v>
      </c>
      <c r="P2212">
        <v>0.2</v>
      </c>
      <c r="Q2212">
        <v>0.2</v>
      </c>
      <c r="R2212">
        <v>0.2</v>
      </c>
      <c r="S2212">
        <v>0.27500000000000002</v>
      </c>
      <c r="T2212">
        <v>0.5</v>
      </c>
      <c r="U2212">
        <v>0.5</v>
      </c>
      <c r="V2212">
        <v>0.5</v>
      </c>
      <c r="W2212">
        <v>0.5</v>
      </c>
      <c r="X2212">
        <v>0.5</v>
      </c>
      <c r="Y2212">
        <v>0.5</v>
      </c>
      <c r="Z2212">
        <v>0.5</v>
      </c>
      <c r="AA2212" t="s">
        <v>9335</v>
      </c>
      <c r="AB2212" t="s">
        <v>242</v>
      </c>
      <c r="AC2212" t="s">
        <v>3229</v>
      </c>
    </row>
    <row r="2213" spans="1:29" x14ac:dyDescent="0.25">
      <c r="A2213" t="s">
        <v>2835</v>
      </c>
      <c r="B2213" t="s">
        <v>252</v>
      </c>
      <c r="C2213" t="s">
        <v>352</v>
      </c>
      <c r="D2213" t="s">
        <v>3713</v>
      </c>
      <c r="E2213" t="s">
        <v>3761</v>
      </c>
      <c r="F2213">
        <v>10000000</v>
      </c>
      <c r="G2213" t="s">
        <v>9349</v>
      </c>
      <c r="H2213" t="s">
        <v>242</v>
      </c>
      <c r="I2213" t="s">
        <v>242</v>
      </c>
      <c r="J2213" t="s">
        <v>242</v>
      </c>
      <c r="K2213" t="s">
        <v>242</v>
      </c>
      <c r="L2213" t="s">
        <v>241</v>
      </c>
      <c r="M2213">
        <v>38.41667004</v>
      </c>
      <c r="N2213">
        <v>-122.9185282</v>
      </c>
      <c r="O2213">
        <v>5.5239999999999997E-2</v>
      </c>
      <c r="P2213">
        <v>5.5239999999999997E-2</v>
      </c>
      <c r="Q2213">
        <v>5.5239999999999997E-2</v>
      </c>
      <c r="R2213">
        <v>5.5239999999999997E-2</v>
      </c>
      <c r="S2213">
        <v>5.5239999999999997E-2</v>
      </c>
      <c r="T2213">
        <v>5.5239999999999997E-2</v>
      </c>
      <c r="U2213">
        <v>5.5239999999999997E-2</v>
      </c>
      <c r="V2213">
        <v>5.5239999999999997E-2</v>
      </c>
      <c r="W2213">
        <v>5.5239999999999997E-2</v>
      </c>
      <c r="X2213">
        <v>5.5239999999999997E-2</v>
      </c>
      <c r="Y2213">
        <v>5.5239999999999997E-2</v>
      </c>
      <c r="Z2213">
        <v>5.5239999999999997E-2</v>
      </c>
      <c r="AA2213" t="s">
        <v>9335</v>
      </c>
      <c r="AB2213" t="s">
        <v>242</v>
      </c>
      <c r="AC2213" t="s">
        <v>3229</v>
      </c>
    </row>
    <row r="2214" spans="1:29" x14ac:dyDescent="0.25">
      <c r="A2214" t="s">
        <v>2840</v>
      </c>
      <c r="B2214" t="s">
        <v>252</v>
      </c>
      <c r="C2214" t="s">
        <v>323</v>
      </c>
      <c r="D2214" t="s">
        <v>3713</v>
      </c>
      <c r="E2214" t="s">
        <v>3761</v>
      </c>
      <c r="F2214">
        <v>10000000</v>
      </c>
      <c r="G2214" t="s">
        <v>9349</v>
      </c>
      <c r="H2214" t="s">
        <v>242</v>
      </c>
      <c r="I2214" t="s">
        <v>242</v>
      </c>
      <c r="J2214" t="s">
        <v>242</v>
      </c>
      <c r="K2214" t="s">
        <v>242</v>
      </c>
      <c r="L2214" t="s">
        <v>241</v>
      </c>
      <c r="M2214">
        <v>38.518749999999997</v>
      </c>
      <c r="N2214">
        <v>-122.6105556</v>
      </c>
      <c r="O2214">
        <v>6.1380000000000002E-3</v>
      </c>
      <c r="P2214">
        <v>6.1380000000000002E-3</v>
      </c>
      <c r="Q2214">
        <v>6.1380000000000002E-3</v>
      </c>
      <c r="R2214">
        <v>6.1380000000000002E-3</v>
      </c>
      <c r="S2214">
        <v>6.1380000000000002E-3</v>
      </c>
      <c r="T2214">
        <v>6.9049999999999997E-3</v>
      </c>
      <c r="U2214">
        <v>6.9049999999999997E-3</v>
      </c>
      <c r="V2214">
        <v>6.9049999999999997E-3</v>
      </c>
      <c r="W2214">
        <v>6.9049999999999997E-3</v>
      </c>
      <c r="X2214">
        <v>6.1380000000000002E-3</v>
      </c>
      <c r="Y2214">
        <v>6.1380000000000002E-3</v>
      </c>
      <c r="Z2214">
        <v>6.1380000000000002E-3</v>
      </c>
      <c r="AA2214" t="s">
        <v>9333</v>
      </c>
      <c r="AB2214" t="s">
        <v>242</v>
      </c>
      <c r="AC2214" t="s">
        <v>3229</v>
      </c>
    </row>
    <row r="2215" spans="1:29" x14ac:dyDescent="0.25">
      <c r="A2215" t="s">
        <v>2841</v>
      </c>
      <c r="B2215" t="s">
        <v>252</v>
      </c>
      <c r="C2215" t="s">
        <v>352</v>
      </c>
      <c r="D2215" t="s">
        <v>3713</v>
      </c>
      <c r="E2215" t="s">
        <v>3761</v>
      </c>
      <c r="F2215">
        <v>10000000</v>
      </c>
      <c r="G2215" t="s">
        <v>9349</v>
      </c>
      <c r="H2215" t="s">
        <v>242</v>
      </c>
      <c r="I2215" t="s">
        <v>242</v>
      </c>
      <c r="J2215" t="s">
        <v>242</v>
      </c>
      <c r="K2215" t="s">
        <v>242</v>
      </c>
      <c r="L2215" t="s">
        <v>241</v>
      </c>
      <c r="M2215">
        <v>38.427779999999998</v>
      </c>
      <c r="N2215">
        <v>-122.89386</v>
      </c>
      <c r="O2215">
        <v>0.5</v>
      </c>
      <c r="P2215">
        <v>0.5</v>
      </c>
      <c r="Q2215">
        <v>0.16666666699999999</v>
      </c>
      <c r="R2215">
        <v>0</v>
      </c>
      <c r="S2215">
        <v>8.3333332999999996E-2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 t="s">
        <v>9335</v>
      </c>
      <c r="AB2215" t="s">
        <v>242</v>
      </c>
      <c r="AC2215" t="s">
        <v>3229</v>
      </c>
    </row>
    <row r="2216" spans="1:29" x14ac:dyDescent="0.25">
      <c r="A2216" t="s">
        <v>2842</v>
      </c>
      <c r="B2216" t="s">
        <v>252</v>
      </c>
      <c r="C2216" t="s">
        <v>352</v>
      </c>
      <c r="D2216" t="s">
        <v>3713</v>
      </c>
      <c r="E2216" t="s">
        <v>3761</v>
      </c>
      <c r="F2216">
        <v>10000000</v>
      </c>
      <c r="G2216" t="s">
        <v>9349</v>
      </c>
      <c r="H2216" t="s">
        <v>242</v>
      </c>
      <c r="I2216" t="s">
        <v>242</v>
      </c>
      <c r="J2216" t="s">
        <v>242</v>
      </c>
      <c r="K2216" t="s">
        <v>242</v>
      </c>
      <c r="L2216" t="s">
        <v>241</v>
      </c>
      <c r="M2216">
        <v>38.429969999999997</v>
      </c>
      <c r="N2216">
        <v>-122.90472</v>
      </c>
      <c r="O2216">
        <v>0.41666666699999999</v>
      </c>
      <c r="P2216">
        <v>0.75</v>
      </c>
      <c r="Q2216">
        <v>0.33700000000000002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 t="s">
        <v>9335</v>
      </c>
      <c r="AB2216" t="s">
        <v>242</v>
      </c>
      <c r="AC2216" t="s">
        <v>3229</v>
      </c>
    </row>
    <row r="2217" spans="1:29" x14ac:dyDescent="0.25">
      <c r="A2217" t="s">
        <v>2849</v>
      </c>
      <c r="B2217" t="s">
        <v>252</v>
      </c>
      <c r="C2217" t="s">
        <v>378</v>
      </c>
      <c r="D2217" t="s">
        <v>3713</v>
      </c>
      <c r="E2217" t="s">
        <v>3761</v>
      </c>
      <c r="F2217">
        <v>10000000</v>
      </c>
      <c r="G2217" t="s">
        <v>9349</v>
      </c>
      <c r="H2217" t="s">
        <v>242</v>
      </c>
      <c r="I2217" t="s">
        <v>242</v>
      </c>
      <c r="J2217" t="s">
        <v>242</v>
      </c>
      <c r="K2217" t="s">
        <v>242</v>
      </c>
      <c r="L2217" t="s">
        <v>241</v>
      </c>
      <c r="M2217">
        <v>38.375222219999998</v>
      </c>
      <c r="N2217">
        <v>-122.60011110000001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 t="s">
        <v>9335</v>
      </c>
      <c r="AB2217" t="s">
        <v>242</v>
      </c>
      <c r="AC2217" t="s">
        <v>3229</v>
      </c>
    </row>
    <row r="2218" spans="1:29" x14ac:dyDescent="0.25">
      <c r="A2218" t="s">
        <v>2852</v>
      </c>
      <c r="B2218" t="s">
        <v>252</v>
      </c>
      <c r="C2218" t="s">
        <v>352</v>
      </c>
      <c r="D2218" t="s">
        <v>3713</v>
      </c>
      <c r="E2218" t="s">
        <v>3761</v>
      </c>
      <c r="F2218">
        <v>10000000</v>
      </c>
      <c r="G2218" t="s">
        <v>9349</v>
      </c>
      <c r="H2218" t="s">
        <v>242</v>
      </c>
      <c r="I2218" t="s">
        <v>242</v>
      </c>
      <c r="J2218" t="s">
        <v>242</v>
      </c>
      <c r="K2218" t="s">
        <v>242</v>
      </c>
      <c r="L2218" t="s">
        <v>241</v>
      </c>
      <c r="M2218">
        <v>38.392222220000001</v>
      </c>
      <c r="N2218">
        <v>-122.8875</v>
      </c>
      <c r="O2218">
        <v>4.8630000000000001E-3</v>
      </c>
      <c r="P2218">
        <v>9.3803329999999994E-3</v>
      </c>
      <c r="Q2218">
        <v>1.1362000000000001E-2</v>
      </c>
      <c r="R2218">
        <v>2.7400332999999999E-2</v>
      </c>
      <c r="S2218">
        <v>3.9353332999999997E-2</v>
      </c>
      <c r="T2218">
        <v>5.4626000000000001E-2</v>
      </c>
      <c r="U2218">
        <v>4.8825667000000003E-2</v>
      </c>
      <c r="V2218">
        <v>5.2026000000000003E-2</v>
      </c>
      <c r="W2218">
        <v>5.1496E-2</v>
      </c>
      <c r="X2218">
        <v>3.653E-2</v>
      </c>
      <c r="Y2218">
        <v>1.0014667E-2</v>
      </c>
      <c r="Z2218">
        <v>1.1978667E-2</v>
      </c>
      <c r="AA2218" t="s">
        <v>9335</v>
      </c>
      <c r="AB2218" t="s">
        <v>242</v>
      </c>
      <c r="AC2218" t="s">
        <v>3229</v>
      </c>
    </row>
    <row r="2219" spans="1:29" x14ac:dyDescent="0.25">
      <c r="A2219" t="s">
        <v>2868</v>
      </c>
      <c r="B2219" t="s">
        <v>252</v>
      </c>
      <c r="C2219" t="s">
        <v>329</v>
      </c>
      <c r="D2219" t="s">
        <v>3713</v>
      </c>
      <c r="E2219" t="s">
        <v>3761</v>
      </c>
      <c r="F2219">
        <v>10000000</v>
      </c>
      <c r="G2219" t="s">
        <v>9349</v>
      </c>
      <c r="H2219" t="s">
        <v>242</v>
      </c>
      <c r="I2219" t="s">
        <v>242</v>
      </c>
      <c r="J2219" t="s">
        <v>242</v>
      </c>
      <c r="K2219" t="s">
        <v>242</v>
      </c>
      <c r="L2219" t="s">
        <v>241</v>
      </c>
      <c r="M2219">
        <v>38.519841999999997</v>
      </c>
      <c r="N2219">
        <v>-123.129936</v>
      </c>
      <c r="O2219">
        <v>0</v>
      </c>
      <c r="P2219">
        <v>0</v>
      </c>
      <c r="Q2219">
        <v>0</v>
      </c>
      <c r="R2219">
        <v>1.534444E-3</v>
      </c>
      <c r="S2219">
        <v>7.6722179999999997E-3</v>
      </c>
      <c r="T2219">
        <v>1.5344437000000001E-2</v>
      </c>
      <c r="U2219">
        <v>3.3757759999999998E-2</v>
      </c>
      <c r="V2219">
        <v>3.3757759999999998E-2</v>
      </c>
      <c r="W2219">
        <v>3.3757759999999998E-2</v>
      </c>
      <c r="X2219">
        <v>3.3757759999999998E-2</v>
      </c>
      <c r="Y2219">
        <v>0</v>
      </c>
      <c r="Z2219">
        <v>0</v>
      </c>
      <c r="AA2219" t="s">
        <v>9333</v>
      </c>
      <c r="AB2219" t="s">
        <v>242</v>
      </c>
      <c r="AC2219" t="s">
        <v>3229</v>
      </c>
    </row>
    <row r="2220" spans="1:29" x14ac:dyDescent="0.25">
      <c r="A2220" t="s">
        <v>2854</v>
      </c>
      <c r="B2220" t="s">
        <v>252</v>
      </c>
      <c r="C2220" t="s">
        <v>323</v>
      </c>
      <c r="D2220" t="s">
        <v>3713</v>
      </c>
      <c r="E2220" t="s">
        <v>3761</v>
      </c>
      <c r="F2220">
        <v>10000000</v>
      </c>
      <c r="G2220" t="s">
        <v>9349</v>
      </c>
      <c r="H2220" t="s">
        <v>242</v>
      </c>
      <c r="I2220" t="s">
        <v>242</v>
      </c>
      <c r="J2220" t="s">
        <v>242</v>
      </c>
      <c r="K2220" t="s">
        <v>242</v>
      </c>
      <c r="L2220" t="s">
        <v>241</v>
      </c>
      <c r="M2220">
        <v>38.490250000000003</v>
      </c>
      <c r="N2220">
        <v>-122.63553330000001</v>
      </c>
      <c r="O2220">
        <v>1.6367333000000001E-2</v>
      </c>
      <c r="P2220">
        <v>1.6367333000000001E-2</v>
      </c>
      <c r="Q2220">
        <v>1.6367333000000001E-2</v>
      </c>
      <c r="R2220">
        <v>1.6367333000000001E-2</v>
      </c>
      <c r="S2220">
        <v>2.1482000000000001E-2</v>
      </c>
      <c r="T2220">
        <v>2.2505000000000001E-2</v>
      </c>
      <c r="U2220">
        <v>2.2505000000000001E-2</v>
      </c>
      <c r="V2220">
        <v>2.2505000000000001E-2</v>
      </c>
      <c r="W2220">
        <v>2.0459000000000001E-2</v>
      </c>
      <c r="X2220">
        <v>1.8924666999999999E-2</v>
      </c>
      <c r="Y2220">
        <v>1.6367333000000001E-2</v>
      </c>
      <c r="Z2220">
        <v>1.6367333000000001E-2</v>
      </c>
      <c r="AA2220" t="s">
        <v>9335</v>
      </c>
      <c r="AB2220" t="s">
        <v>242</v>
      </c>
      <c r="AC2220" t="s">
        <v>3229</v>
      </c>
    </row>
    <row r="2221" spans="1:29" x14ac:dyDescent="0.25">
      <c r="A2221" t="s">
        <v>2903</v>
      </c>
      <c r="B2221" t="s">
        <v>252</v>
      </c>
      <c r="C2221" t="s">
        <v>329</v>
      </c>
      <c r="D2221" t="s">
        <v>3713</v>
      </c>
      <c r="E2221" t="s">
        <v>3761</v>
      </c>
      <c r="F2221">
        <v>10000000</v>
      </c>
      <c r="G2221" t="s">
        <v>9349</v>
      </c>
      <c r="H2221" t="s">
        <v>242</v>
      </c>
      <c r="I2221" t="s">
        <v>242</v>
      </c>
      <c r="J2221" t="s">
        <v>242</v>
      </c>
      <c r="K2221" t="s">
        <v>242</v>
      </c>
      <c r="L2221" t="s">
        <v>241</v>
      </c>
      <c r="M2221">
        <v>38.520677999999997</v>
      </c>
      <c r="N2221">
        <v>-123.12858</v>
      </c>
      <c r="O2221">
        <v>0</v>
      </c>
      <c r="P2221">
        <v>0</v>
      </c>
      <c r="Q2221">
        <v>0</v>
      </c>
      <c r="R2221">
        <v>1.534444E-3</v>
      </c>
      <c r="S2221">
        <v>7.6722179999999997E-3</v>
      </c>
      <c r="T2221">
        <v>1.5344437000000001E-2</v>
      </c>
      <c r="U2221">
        <v>3.3757759999999998E-2</v>
      </c>
      <c r="V2221">
        <v>3.3757759999999998E-2</v>
      </c>
      <c r="W2221">
        <v>3.3757759999999998E-2</v>
      </c>
      <c r="X2221">
        <v>3.3757759999999998E-2</v>
      </c>
      <c r="Y2221">
        <v>0</v>
      </c>
      <c r="Z2221">
        <v>0</v>
      </c>
      <c r="AA2221" t="s">
        <v>9335</v>
      </c>
      <c r="AB2221" t="s">
        <v>242</v>
      </c>
      <c r="AC2221" t="s">
        <v>3229</v>
      </c>
    </row>
    <row r="2222" spans="1:29" x14ac:dyDescent="0.25">
      <c r="A2222" t="s">
        <v>1830</v>
      </c>
      <c r="B2222" t="s">
        <v>252</v>
      </c>
      <c r="C2222" t="s">
        <v>352</v>
      </c>
      <c r="D2222" t="s">
        <v>3713</v>
      </c>
      <c r="E2222" t="s">
        <v>3761</v>
      </c>
      <c r="F2222">
        <v>18760101</v>
      </c>
      <c r="G2222" t="s">
        <v>9348</v>
      </c>
      <c r="H2222" t="s">
        <v>242</v>
      </c>
      <c r="I2222" t="s">
        <v>241</v>
      </c>
      <c r="J2222" t="s">
        <v>242</v>
      </c>
      <c r="K2222" t="s">
        <v>242</v>
      </c>
      <c r="L2222" t="s">
        <v>242</v>
      </c>
      <c r="M2222">
        <v>38.463985000000001</v>
      </c>
      <c r="N2222">
        <v>-122.922991</v>
      </c>
      <c r="O2222">
        <v>6.6746666999999996E-2</v>
      </c>
      <c r="P2222">
        <v>7.6746667000000005E-2</v>
      </c>
      <c r="Q2222">
        <v>7.6746667000000005E-2</v>
      </c>
      <c r="R2222">
        <v>6.6746666999999996E-2</v>
      </c>
      <c r="S2222">
        <v>5.5079999999999997E-2</v>
      </c>
      <c r="T2222">
        <v>0</v>
      </c>
      <c r="U2222">
        <v>0</v>
      </c>
      <c r="V2222">
        <v>0</v>
      </c>
      <c r="W2222">
        <v>0</v>
      </c>
      <c r="X2222">
        <v>3.508E-2</v>
      </c>
      <c r="Y2222">
        <v>6.6746666999999996E-2</v>
      </c>
      <c r="Z2222">
        <v>6.6746666999999996E-2</v>
      </c>
      <c r="AA2222" t="s">
        <v>9335</v>
      </c>
      <c r="AB2222" t="s">
        <v>242</v>
      </c>
      <c r="AC2222" t="s">
        <v>3229</v>
      </c>
    </row>
    <row r="2223" spans="1:29" x14ac:dyDescent="0.25">
      <c r="A2223" t="s">
        <v>2907</v>
      </c>
      <c r="B2223" t="s">
        <v>252</v>
      </c>
      <c r="C2223" t="s">
        <v>585</v>
      </c>
      <c r="D2223" t="s">
        <v>3713</v>
      </c>
      <c r="E2223" t="s">
        <v>3761</v>
      </c>
      <c r="F2223">
        <v>10000000</v>
      </c>
      <c r="G2223" t="s">
        <v>9349</v>
      </c>
      <c r="H2223" t="s">
        <v>242</v>
      </c>
      <c r="I2223" t="s">
        <v>242</v>
      </c>
      <c r="J2223" t="s">
        <v>242</v>
      </c>
      <c r="K2223" t="s">
        <v>242</v>
      </c>
      <c r="L2223" t="s">
        <v>241</v>
      </c>
      <c r="M2223">
        <v>38.353453000000002</v>
      </c>
      <c r="N2223">
        <v>-122.825182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1.4999999999999999E-2</v>
      </c>
      <c r="U2223">
        <v>0.02</v>
      </c>
      <c r="V2223">
        <v>2.5000000000000001E-2</v>
      </c>
      <c r="W2223">
        <v>2.5000000000000001E-2</v>
      </c>
      <c r="X2223">
        <v>0.01</v>
      </c>
      <c r="Y2223">
        <v>0</v>
      </c>
      <c r="Z2223">
        <v>0</v>
      </c>
      <c r="AA2223" t="s">
        <v>9335</v>
      </c>
      <c r="AB2223" t="s">
        <v>242</v>
      </c>
      <c r="AC2223" t="s">
        <v>3229</v>
      </c>
    </row>
    <row r="2224" spans="1:29" x14ac:dyDescent="0.25">
      <c r="A2224" t="s">
        <v>2873</v>
      </c>
      <c r="B2224" t="s">
        <v>252</v>
      </c>
      <c r="C2224" t="s">
        <v>323</v>
      </c>
      <c r="D2224" t="s">
        <v>3713</v>
      </c>
      <c r="E2224" t="s">
        <v>3761</v>
      </c>
      <c r="F2224">
        <v>10000000</v>
      </c>
      <c r="G2224" t="s">
        <v>9349</v>
      </c>
      <c r="H2224" t="s">
        <v>242</v>
      </c>
      <c r="I2224" t="s">
        <v>242</v>
      </c>
      <c r="J2224" t="s">
        <v>242</v>
      </c>
      <c r="K2224" t="s">
        <v>242</v>
      </c>
      <c r="L2224" t="s">
        <v>241</v>
      </c>
      <c r="M2224">
        <v>38.533357780000003</v>
      </c>
      <c r="N2224">
        <v>-122.5917594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 t="s">
        <v>9346</v>
      </c>
      <c r="AB2224" t="s">
        <v>242</v>
      </c>
      <c r="AC2224" t="s">
        <v>3229</v>
      </c>
    </row>
    <row r="2225" spans="1:29" x14ac:dyDescent="0.25">
      <c r="A2225" t="s">
        <v>1766</v>
      </c>
      <c r="B2225" t="s">
        <v>252</v>
      </c>
      <c r="C2225" t="s">
        <v>352</v>
      </c>
      <c r="D2225" t="s">
        <v>3713</v>
      </c>
      <c r="E2225" t="s">
        <v>3761</v>
      </c>
      <c r="F2225">
        <v>19130101</v>
      </c>
      <c r="G2225" t="s">
        <v>9348</v>
      </c>
      <c r="H2225" t="s">
        <v>242</v>
      </c>
      <c r="I2225" t="s">
        <v>241</v>
      </c>
      <c r="J2225" t="s">
        <v>242</v>
      </c>
      <c r="K2225" t="s">
        <v>242</v>
      </c>
      <c r="L2225" t="s">
        <v>242</v>
      </c>
      <c r="M2225">
        <v>38.426614569999998</v>
      </c>
      <c r="N2225">
        <v>-122.8967128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 t="s">
        <v>9335</v>
      </c>
      <c r="AB2225" t="s">
        <v>242</v>
      </c>
      <c r="AC2225" t="s">
        <v>3229</v>
      </c>
    </row>
    <row r="2226" spans="1:29" x14ac:dyDescent="0.25">
      <c r="A2226" t="s">
        <v>1781</v>
      </c>
      <c r="B2226" t="s">
        <v>252</v>
      </c>
      <c r="C2226" t="s">
        <v>394</v>
      </c>
      <c r="D2226" t="s">
        <v>3713</v>
      </c>
      <c r="E2226" t="s">
        <v>3761</v>
      </c>
      <c r="F2226">
        <v>19080101</v>
      </c>
      <c r="G2226" t="s">
        <v>9348</v>
      </c>
      <c r="H2226" t="s">
        <v>242</v>
      </c>
      <c r="I2226" t="s">
        <v>241</v>
      </c>
      <c r="J2226" t="s">
        <v>242</v>
      </c>
      <c r="K2226" t="s">
        <v>242</v>
      </c>
      <c r="L2226" t="s">
        <v>242</v>
      </c>
      <c r="M2226">
        <v>38.586902000000002</v>
      </c>
      <c r="N2226">
        <v>-122.943189</v>
      </c>
      <c r="O2226">
        <v>0.06</v>
      </c>
      <c r="P2226">
        <v>0.06</v>
      </c>
      <c r="Q2226">
        <v>0.06</v>
      </c>
      <c r="R2226">
        <v>0.06</v>
      </c>
      <c r="S2226">
        <v>0.06</v>
      </c>
      <c r="T2226">
        <v>0.06</v>
      </c>
      <c r="U2226">
        <v>0.06</v>
      </c>
      <c r="V2226">
        <v>0.06</v>
      </c>
      <c r="W2226">
        <v>0.06</v>
      </c>
      <c r="X2226">
        <v>0.06</v>
      </c>
      <c r="Y2226">
        <v>0.06</v>
      </c>
      <c r="Z2226">
        <v>0.06</v>
      </c>
      <c r="AA2226" t="s">
        <v>9335</v>
      </c>
      <c r="AB2226" t="s">
        <v>242</v>
      </c>
      <c r="AC2226" t="s">
        <v>3229</v>
      </c>
    </row>
    <row r="2227" spans="1:29" x14ac:dyDescent="0.25">
      <c r="A2227" t="s">
        <v>2880</v>
      </c>
      <c r="B2227" t="s">
        <v>252</v>
      </c>
      <c r="C2227" t="s">
        <v>352</v>
      </c>
      <c r="D2227" t="s">
        <v>3713</v>
      </c>
      <c r="E2227" t="s">
        <v>3761</v>
      </c>
      <c r="F2227">
        <v>10000000</v>
      </c>
      <c r="G2227" t="s">
        <v>9349</v>
      </c>
      <c r="H2227" t="s">
        <v>242</v>
      </c>
      <c r="I2227" t="s">
        <v>242</v>
      </c>
      <c r="J2227" t="s">
        <v>242</v>
      </c>
      <c r="K2227" t="s">
        <v>242</v>
      </c>
      <c r="L2227" t="s">
        <v>241</v>
      </c>
      <c r="M2227">
        <v>38.546711000000002</v>
      </c>
      <c r="N2227">
        <v>-122.9599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 t="s">
        <v>9346</v>
      </c>
      <c r="AB2227" t="s">
        <v>242</v>
      </c>
      <c r="AC2227" t="s">
        <v>3229</v>
      </c>
    </row>
    <row r="2228" spans="1:29" x14ac:dyDescent="0.25">
      <c r="A2228" t="s">
        <v>2882</v>
      </c>
      <c r="B2228" t="s">
        <v>252</v>
      </c>
      <c r="C2228" t="s">
        <v>394</v>
      </c>
      <c r="D2228" t="s">
        <v>3713</v>
      </c>
      <c r="E2228" t="s">
        <v>3761</v>
      </c>
      <c r="F2228">
        <v>10000000</v>
      </c>
      <c r="G2228" t="s">
        <v>9349</v>
      </c>
      <c r="H2228" t="s">
        <v>242</v>
      </c>
      <c r="I2228" t="s">
        <v>242</v>
      </c>
      <c r="J2228" t="s">
        <v>242</v>
      </c>
      <c r="K2228" t="s">
        <v>242</v>
      </c>
      <c r="L2228" t="s">
        <v>241</v>
      </c>
      <c r="M2228">
        <v>38.567248399999997</v>
      </c>
      <c r="N2228">
        <v>-122.9641742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 t="s">
        <v>9333</v>
      </c>
      <c r="AB2228" t="s">
        <v>242</v>
      </c>
      <c r="AC2228" t="s">
        <v>3229</v>
      </c>
    </row>
    <row r="2229" spans="1:29" x14ac:dyDescent="0.25">
      <c r="A2229" t="s">
        <v>2887</v>
      </c>
      <c r="B2229" t="s">
        <v>252</v>
      </c>
      <c r="C2229" t="s">
        <v>323</v>
      </c>
      <c r="D2229" t="s">
        <v>3713</v>
      </c>
      <c r="E2229" t="s">
        <v>3761</v>
      </c>
      <c r="F2229">
        <v>10000000</v>
      </c>
      <c r="G2229" t="s">
        <v>9349</v>
      </c>
      <c r="H2229" t="s">
        <v>242</v>
      </c>
      <c r="I2229" t="s">
        <v>242</v>
      </c>
      <c r="J2229" t="s">
        <v>242</v>
      </c>
      <c r="K2229" t="s">
        <v>242</v>
      </c>
      <c r="L2229" t="s">
        <v>241</v>
      </c>
      <c r="M2229">
        <v>38.540100000000002</v>
      </c>
      <c r="N2229">
        <v>-122.6388</v>
      </c>
      <c r="O2229">
        <v>1.6525000000000001E-3</v>
      </c>
      <c r="P2229">
        <v>1.6525000000000001E-3</v>
      </c>
      <c r="Q2229">
        <v>1.6525000000000001E-3</v>
      </c>
      <c r="R2229">
        <v>2.9025000000000001E-3</v>
      </c>
      <c r="S2229">
        <v>2.9025000000000001E-3</v>
      </c>
      <c r="T2229">
        <v>2.9025000000000001E-3</v>
      </c>
      <c r="U2229">
        <v>2.9025000000000001E-3</v>
      </c>
      <c r="V2229">
        <v>2.9025000000000001E-3</v>
      </c>
      <c r="W2229">
        <v>2.9025000000000001E-3</v>
      </c>
      <c r="X2229">
        <v>2.9025000000000001E-3</v>
      </c>
      <c r="Y2229">
        <v>2.9025000000000001E-3</v>
      </c>
      <c r="Z2229">
        <v>2.9025000000000001E-3</v>
      </c>
      <c r="AA2229" t="s">
        <v>9333</v>
      </c>
      <c r="AB2229" t="s">
        <v>242</v>
      </c>
      <c r="AC2229" t="s">
        <v>3229</v>
      </c>
    </row>
    <row r="2230" spans="1:29" x14ac:dyDescent="0.25">
      <c r="A2230" t="s">
        <v>2889</v>
      </c>
      <c r="B2230" t="s">
        <v>252</v>
      </c>
      <c r="C2230" t="s">
        <v>486</v>
      </c>
      <c r="D2230" t="s">
        <v>3713</v>
      </c>
      <c r="E2230" t="s">
        <v>3761</v>
      </c>
      <c r="F2230">
        <v>10000000</v>
      </c>
      <c r="G2230" t="s">
        <v>9349</v>
      </c>
      <c r="H2230" t="s">
        <v>241</v>
      </c>
      <c r="I2230" t="s">
        <v>242</v>
      </c>
      <c r="J2230" t="s">
        <v>242</v>
      </c>
      <c r="K2230" t="s">
        <v>242</v>
      </c>
      <c r="L2230" t="s">
        <v>241</v>
      </c>
      <c r="M2230">
        <v>38.549444440000002</v>
      </c>
      <c r="N2230">
        <v>-122.86138889999999</v>
      </c>
      <c r="O2230">
        <v>0</v>
      </c>
      <c r="P2230">
        <v>0</v>
      </c>
      <c r="Q2230">
        <v>0</v>
      </c>
      <c r="R2230">
        <v>0.35</v>
      </c>
      <c r="S2230">
        <v>1.2090000000000001</v>
      </c>
      <c r="T2230">
        <v>2.2189999999999999</v>
      </c>
      <c r="U2230">
        <v>3.8650000000000002</v>
      </c>
      <c r="V2230">
        <v>1.7124999999999999</v>
      </c>
      <c r="W2230">
        <v>4.2</v>
      </c>
      <c r="X2230">
        <v>5.75</v>
      </c>
      <c r="Y2230">
        <v>0.55000000000000004</v>
      </c>
      <c r="Z2230">
        <v>0</v>
      </c>
      <c r="AA2230" t="s">
        <v>9335</v>
      </c>
      <c r="AB2230" t="s">
        <v>242</v>
      </c>
      <c r="AC2230" t="s">
        <v>3229</v>
      </c>
    </row>
    <row r="2231" spans="1:29" x14ac:dyDescent="0.25">
      <c r="A2231" t="s">
        <v>2891</v>
      </c>
      <c r="B2231" t="s">
        <v>252</v>
      </c>
      <c r="C2231" t="s">
        <v>352</v>
      </c>
      <c r="D2231" t="s">
        <v>3713</v>
      </c>
      <c r="E2231" t="s">
        <v>3761</v>
      </c>
      <c r="F2231">
        <v>10000000</v>
      </c>
      <c r="G2231" t="s">
        <v>9349</v>
      </c>
      <c r="H2231" t="s">
        <v>242</v>
      </c>
      <c r="I2231" t="s">
        <v>242</v>
      </c>
      <c r="J2231" t="s">
        <v>242</v>
      </c>
      <c r="K2231" t="s">
        <v>242</v>
      </c>
      <c r="L2231" t="s">
        <v>241</v>
      </c>
      <c r="M2231">
        <v>38.463563999999998</v>
      </c>
      <c r="N2231">
        <v>-122.923787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 t="s">
        <v>9346</v>
      </c>
      <c r="AB2231" t="s">
        <v>242</v>
      </c>
      <c r="AC2231" t="s">
        <v>3229</v>
      </c>
    </row>
    <row r="2232" spans="1:29" x14ac:dyDescent="0.25">
      <c r="A2232" t="s">
        <v>2897</v>
      </c>
      <c r="B2232" t="s">
        <v>252</v>
      </c>
      <c r="C2232" t="s">
        <v>352</v>
      </c>
      <c r="D2232" t="s">
        <v>3713</v>
      </c>
      <c r="E2232" t="s">
        <v>3761</v>
      </c>
      <c r="F2232">
        <v>10000000</v>
      </c>
      <c r="G2232" t="s">
        <v>9349</v>
      </c>
      <c r="H2232" t="s">
        <v>241</v>
      </c>
      <c r="I2232" t="s">
        <v>242</v>
      </c>
      <c r="J2232" t="s">
        <v>242</v>
      </c>
      <c r="K2232" t="s">
        <v>242</v>
      </c>
      <c r="L2232" t="s">
        <v>241</v>
      </c>
      <c r="M2232">
        <v>38.502130000000001</v>
      </c>
      <c r="N2232">
        <v>-122.8964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0.26</v>
      </c>
      <c r="Y2232">
        <v>0</v>
      </c>
      <c r="Z2232">
        <v>0</v>
      </c>
      <c r="AA2232" t="s">
        <v>9335</v>
      </c>
      <c r="AB2232" t="s">
        <v>242</v>
      </c>
      <c r="AC2232" t="s">
        <v>3229</v>
      </c>
    </row>
    <row r="2233" spans="1:29" x14ac:dyDescent="0.25">
      <c r="A2233" t="s">
        <v>2902</v>
      </c>
      <c r="B2233" t="s">
        <v>252</v>
      </c>
      <c r="C2233" t="s">
        <v>352</v>
      </c>
      <c r="D2233" t="s">
        <v>3713</v>
      </c>
      <c r="E2233" t="s">
        <v>3761</v>
      </c>
      <c r="F2233">
        <v>10000000</v>
      </c>
      <c r="G2233" t="s">
        <v>9349</v>
      </c>
      <c r="H2233" t="s">
        <v>242</v>
      </c>
      <c r="I2233" t="s">
        <v>242</v>
      </c>
      <c r="J2233" t="s">
        <v>242</v>
      </c>
      <c r="K2233" t="s">
        <v>242</v>
      </c>
      <c r="L2233" t="s">
        <v>241</v>
      </c>
      <c r="M2233">
        <v>38.436826050000001</v>
      </c>
      <c r="N2233">
        <v>-122.8968409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 t="s">
        <v>9343</v>
      </c>
      <c r="AB2233" t="s">
        <v>242</v>
      </c>
      <c r="AC2233" t="s">
        <v>3229</v>
      </c>
    </row>
    <row r="2234" spans="1:29" x14ac:dyDescent="0.25">
      <c r="A2234" t="s">
        <v>1818</v>
      </c>
      <c r="B2234" t="s">
        <v>252</v>
      </c>
      <c r="C2234" t="s">
        <v>329</v>
      </c>
      <c r="D2234" t="s">
        <v>3713</v>
      </c>
      <c r="E2234" t="s">
        <v>3761</v>
      </c>
      <c r="F2234">
        <v>18970101</v>
      </c>
      <c r="G2234" t="s">
        <v>9348</v>
      </c>
      <c r="H2234" t="s">
        <v>242</v>
      </c>
      <c r="I2234" t="s">
        <v>241</v>
      </c>
      <c r="J2234" t="s">
        <v>242</v>
      </c>
      <c r="K2234" t="s">
        <v>242</v>
      </c>
      <c r="L2234" t="s">
        <v>242</v>
      </c>
      <c r="M2234">
        <v>38.555399999999999</v>
      </c>
      <c r="N2234">
        <v>-123.10625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 t="s">
        <v>9333</v>
      </c>
      <c r="AB2234" t="s">
        <v>242</v>
      </c>
      <c r="AC2234" t="s">
        <v>3229</v>
      </c>
    </row>
    <row r="2235" spans="1:29" x14ac:dyDescent="0.25">
      <c r="A2235" t="s">
        <v>1820</v>
      </c>
      <c r="B2235" t="s">
        <v>252</v>
      </c>
      <c r="C2235" t="s">
        <v>329</v>
      </c>
      <c r="D2235" t="s">
        <v>3713</v>
      </c>
      <c r="E2235" t="s">
        <v>3761</v>
      </c>
      <c r="F2235">
        <v>18970101</v>
      </c>
      <c r="G2235" t="s">
        <v>9348</v>
      </c>
      <c r="H2235" t="s">
        <v>242</v>
      </c>
      <c r="I2235" t="s">
        <v>241</v>
      </c>
      <c r="J2235" t="s">
        <v>242</v>
      </c>
      <c r="K2235" t="s">
        <v>242</v>
      </c>
      <c r="L2235" t="s">
        <v>242</v>
      </c>
      <c r="M2235">
        <v>38.555399999999999</v>
      </c>
      <c r="N2235">
        <v>-123.10625</v>
      </c>
      <c r="O2235">
        <v>0.49268223799999999</v>
      </c>
      <c r="P2235">
        <v>0.49268223799999999</v>
      </c>
      <c r="Q2235">
        <v>0.49268223799999999</v>
      </c>
      <c r="R2235">
        <v>0.49268223799999999</v>
      </c>
      <c r="S2235">
        <v>0.49268223799999999</v>
      </c>
      <c r="T2235">
        <v>0.49268223799999999</v>
      </c>
      <c r="U2235">
        <v>0.96280815500000005</v>
      </c>
      <c r="V2235">
        <v>0.61169982599999995</v>
      </c>
      <c r="W2235">
        <v>0.21768231499999999</v>
      </c>
      <c r="X2235">
        <v>0.33076160599999999</v>
      </c>
      <c r="Y2235">
        <v>0.38367536099999999</v>
      </c>
      <c r="Z2235">
        <v>0.43110808299999998</v>
      </c>
      <c r="AA2235" t="s">
        <v>9333</v>
      </c>
      <c r="AB2235" t="s">
        <v>242</v>
      </c>
      <c r="AC2235" t="s">
        <v>3229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7A135-FDDD-4F84-9404-03FEA0F9F22B}">
  <dimension ref="A1:AD135"/>
  <sheetViews>
    <sheetView tabSelected="1" zoomScaleNormal="100" workbookViewId="0">
      <pane ySplit="1" topLeftCell="A2" activePane="bottomLeft" state="frozen"/>
      <selection pane="bottomLeft" activeCell="A124" sqref="A124"/>
    </sheetView>
  </sheetViews>
  <sheetFormatPr defaultRowHeight="15" x14ac:dyDescent="0.25"/>
  <cols>
    <col min="1" max="1" width="11.5703125" bestFit="1" customWidth="1"/>
    <col min="2" max="2" width="14.7109375" bestFit="1" customWidth="1"/>
    <col min="3" max="3" width="60.7109375" style="84" bestFit="1" customWidth="1"/>
    <col min="4" max="6" width="14.7109375" customWidth="1"/>
    <col min="7" max="7" width="14.7109375" style="84" customWidth="1"/>
    <col min="8" max="9" width="23.7109375" bestFit="1" customWidth="1"/>
    <col min="10" max="10" width="23.5703125" bestFit="1" customWidth="1"/>
    <col min="11" max="11" width="23.28515625" style="84" bestFit="1" customWidth="1"/>
    <col min="12" max="12" width="8.7109375" bestFit="1" customWidth="1"/>
    <col min="13" max="13" width="9.5703125" bestFit="1" customWidth="1"/>
    <col min="14" max="15" width="21.5703125" bestFit="1" customWidth="1"/>
    <col min="16" max="16" width="21.42578125" bestFit="1" customWidth="1"/>
    <col min="17" max="17" width="21" bestFit="1" customWidth="1"/>
    <col min="18" max="18" width="22" style="84" bestFit="1" customWidth="1"/>
    <col min="19" max="20" width="20.85546875" bestFit="1" customWidth="1"/>
    <col min="21" max="21" width="20.7109375" bestFit="1" customWidth="1"/>
    <col min="22" max="22" width="20.42578125" bestFit="1" customWidth="1"/>
    <col min="23" max="23" width="21.7109375" bestFit="1" customWidth="1"/>
    <col min="24" max="25" width="13.28515625" bestFit="1" customWidth="1"/>
    <col min="26" max="26" width="13.140625" bestFit="1" customWidth="1"/>
    <col min="27" max="27" width="12.7109375" style="84" bestFit="1" customWidth="1"/>
    <col min="29" max="29" width="9.85546875" bestFit="1" customWidth="1"/>
    <col min="30" max="30" width="14.5703125" bestFit="1" customWidth="1"/>
  </cols>
  <sheetData>
    <row r="1" spans="1:30" x14ac:dyDescent="0.25">
      <c r="A1" s="79" t="s">
        <v>1</v>
      </c>
      <c r="B1" s="79" t="s">
        <v>2</v>
      </c>
      <c r="C1" s="87" t="s">
        <v>3</v>
      </c>
      <c r="D1" s="79" t="s">
        <v>4</v>
      </c>
      <c r="E1" s="79" t="s">
        <v>5</v>
      </c>
      <c r="F1" s="79" t="s">
        <v>6</v>
      </c>
      <c r="G1" s="87" t="s">
        <v>7</v>
      </c>
      <c r="H1" s="79" t="s">
        <v>8</v>
      </c>
      <c r="I1" s="79" t="s">
        <v>9</v>
      </c>
      <c r="J1" s="79" t="s">
        <v>10</v>
      </c>
      <c r="K1" s="87" t="s">
        <v>11</v>
      </c>
      <c r="L1" s="79" t="s">
        <v>12</v>
      </c>
      <c r="M1" s="79" t="s">
        <v>13</v>
      </c>
      <c r="N1" s="79" t="s">
        <v>14</v>
      </c>
      <c r="O1" s="79" t="s">
        <v>15</v>
      </c>
      <c r="P1" s="79" t="s">
        <v>16</v>
      </c>
      <c r="Q1" s="79" t="s">
        <v>17</v>
      </c>
      <c r="R1" s="87" t="s">
        <v>18</v>
      </c>
      <c r="S1" s="79" t="s">
        <v>19</v>
      </c>
      <c r="T1" s="79" t="s">
        <v>20</v>
      </c>
      <c r="U1" s="79" t="s">
        <v>21</v>
      </c>
      <c r="V1" s="79" t="s">
        <v>22</v>
      </c>
      <c r="W1" s="79" t="s">
        <v>23</v>
      </c>
      <c r="X1" s="79" t="s">
        <v>24</v>
      </c>
      <c r="Y1" s="79" t="s">
        <v>25</v>
      </c>
      <c r="Z1" s="79" t="s">
        <v>26</v>
      </c>
      <c r="AA1" s="87" t="s">
        <v>27</v>
      </c>
      <c r="AB1" s="94" t="s">
        <v>28</v>
      </c>
      <c r="AC1" s="94" t="s">
        <v>29</v>
      </c>
      <c r="AD1" s="94" t="s">
        <v>30</v>
      </c>
    </row>
    <row r="2" spans="1:30" x14ac:dyDescent="0.25">
      <c r="A2" t="s">
        <v>35</v>
      </c>
      <c r="B2" t="str">
        <f>IF(ISERROR(VLOOKUP(A2, '8. Demand data categorization'!A:M,13,FALSE)),"ERROR",IF((VLOOKUP(A2, '8. Demand data categorization'!A:M,13,FALSE))="-","Riparian",IF(OR(VLOOKUP(A2, '8. Demand data categorization'!A:M,13,FALSE)="1971-1990",VLOOKUP(A2, '8. Demand data categorization'!A:M,13,FALSE)="1991-Present"),"1971-Present",VLOOKUP(A2, '8. Demand data categorization'!A:M,13,FALSE))))</f>
        <v>1960-1970</v>
      </c>
      <c r="C2" s="84" t="str">
        <f>VLOOKUP(A2,'12. eWRIMS_Export'!A:K,7,FALSE)</f>
        <v>ANDREW T NICOLL</v>
      </c>
      <c r="D2">
        <f>VLOOKUP(A2,'8. Demand data categorization'!A:AJ,30,FALSE)</f>
        <v>2.1</v>
      </c>
      <c r="E2">
        <f>VLOOKUP(A2,'8. Demand data categorization'!A:AJ,31,FALSE)</f>
        <v>1.6</v>
      </c>
      <c r="F2">
        <f>VLOOKUP(A2,'8. Demand data categorization'!A:AJ,32,FALSE)</f>
        <v>1.23</v>
      </c>
      <c r="G2" s="84">
        <f>VLOOKUP(A2,'8. Demand data categorization'!A:AJ,33,FALSE)</f>
        <v>1.1499999999999999</v>
      </c>
      <c r="H2" s="81">
        <f>IF(ISERROR(VLOOKUP($A2,'8. Demand data categorization'!$A:$AV,30,FALSE)),0,(VLOOKUP($A2,'8. Demand data categorization'!$A:$AV,30,FALSE))*(1-VLOOKUP($B2,'2. Forbearance thresholds'!$A$16:$F$25,3,FALSE)))</f>
        <v>1.8900000000000001</v>
      </c>
      <c r="I2" s="81">
        <f>IF(ISERROR(VLOOKUP($A2,'8. Demand data categorization'!$A:$AV,31,FALSE)),0,(VLOOKUP($A2,'8. Demand data categorization'!$A:$AV,31,FALSE))*(1-VLOOKUP($B2,'2. Forbearance thresholds'!$A$16:$F$25,4,FALSE)))</f>
        <v>4.5738063187205573E-2</v>
      </c>
      <c r="J2" s="81">
        <f>IF(ISERROR(VLOOKUP($A2,'8. Demand data categorization'!$A:$AV,32,FALSE)),0,(VLOOKUP($A2,'8. Demand data categorization'!$A:$AV,32,FALSE))*(1-VLOOKUP($B2,'2. Forbearance thresholds'!$A$16:$F$25,5,FALSE)))</f>
        <v>0</v>
      </c>
      <c r="K2" s="88">
        <f>IF(ISERROR(VLOOKUP($A2,'8. Demand data categorization'!$A:$AV,33,FALSE)),0,(VLOOKUP($A2,'8. Demand data categorization'!$A:$AV,33,FALSE))*(1-VLOOKUP($B2,'2. Forbearance thresholds'!$A$16:$F$25,6,FALSE)))</f>
        <v>0</v>
      </c>
      <c r="L2" s="1" t="str">
        <f>IF(ISERROR(VLOOKUP(A2,'11. TransferExport'!A:A,1,FALSE)),"N","Y")</f>
        <v>N</v>
      </c>
      <c r="M2" s="1" t="str">
        <f>IF(ISERROR(VLOOKUP(A2,'11. TransferExport'!B:B,1,FALSE)),"N","Y")</f>
        <v>N</v>
      </c>
      <c r="N2">
        <f>IF(L2="Y",-SUMIF('11. TransferExport'!A:A,A2,'11. TransferExport'!D:D),IF(M2="Y",SUMIF('11. TransferExport'!B:B,A2,'11. TransferExport'!D:D),0))</f>
        <v>0</v>
      </c>
      <c r="O2">
        <f>IF(L2="Y",-SUMIF('11. TransferExport'!A:A,A2,'11. TransferExport'!E:E),IF(M2="Y",SUMIF('11. TransferExport'!B:B,A2,'11. TransferExport'!E:E),0))</f>
        <v>0</v>
      </c>
      <c r="P2">
        <f>IF(L2="Y",-SUMIF('11. TransferExport'!A:A,A2,'11. TransferExport'!F:F),IF(M2="Y",SUMIF('11. TransferExport'!B:B,A2,'11. TransferExport'!F:F),0))</f>
        <v>0</v>
      </c>
      <c r="Q2">
        <f>IF(L2="Y",-SUMIF('11. TransferExport'!A:A,A2,'11. TransferExport'!G:G),IF(M2="Y",SUMIF('11. TransferExport'!B:B,A2,'11. TransferExport'!G:G),0))</f>
        <v>0</v>
      </c>
      <c r="R2" s="91">
        <f t="shared" ref="R2:R32" si="0">SUM(H2:K2)+SUM(N2:Q2)</f>
        <v>1.9357380631872056</v>
      </c>
      <c r="S2">
        <f>IF(L2="Y",-SUMIF('11. TransferExport'!$A:$A,$A2,'11. TransferExport'!L:L),IF(M2="Y",SUMIF('11. TransferExport'!$B:$B,$A2,'11. TransferExport'!L:L),0))</f>
        <v>0</v>
      </c>
      <c r="T2">
        <f>IF($L2="Y",-SUMIF('11. TransferExport'!$A:$A,$A2,'11. TransferExport'!M:M),IF($M2="Y",SUMIF('11. TransferExport'!$B:$B,$A2,'11. TransferExport'!M:M),0))</f>
        <v>0</v>
      </c>
      <c r="U2">
        <f>IF($L2="Y",-SUMIF('11. TransferExport'!$A:$A,$A2,'11. TransferExport'!N:N),IF($M2="Y",SUMIF('11. TransferExport'!$B:$B,$A2,'11. TransferExport'!N:N),0))</f>
        <v>0</v>
      </c>
      <c r="V2">
        <f>IF($L2="Y",-SUMIF('11. TransferExport'!$A:$A,$A2,'11. TransferExport'!O:O),IF($M2="Y",SUMIF('11. TransferExport'!$B:$B,$A2,'11. TransferExport'!O:O),0))</f>
        <v>0</v>
      </c>
      <c r="W2" s="90">
        <f t="shared" ref="W2:W32" si="1">SUM(H2:K2,S2:V2)</f>
        <v>1.9357380631872056</v>
      </c>
      <c r="X2" s="90">
        <f t="shared" ref="X2:X32" si="2">H2+S2</f>
        <v>1.8900000000000001</v>
      </c>
      <c r="Y2" s="90">
        <f t="shared" ref="Y2:Y32" si="3">I2+T2</f>
        <v>4.5738063187205573E-2</v>
      </c>
      <c r="Z2" s="90">
        <f t="shared" ref="Z2:Z32" si="4">J2+U2</f>
        <v>0</v>
      </c>
      <c r="AA2" s="91">
        <f t="shared" ref="AA2:AA32" si="5">K2+V2</f>
        <v>0</v>
      </c>
      <c r="AB2" s="96">
        <f>VLOOKUP(A2,'8. Demand data categorization'!A:N,3,FALSE)</f>
        <v>4</v>
      </c>
      <c r="AC2" s="95" t="str">
        <f>VLOOKUP(A2,'8. Demand data categorization'!A:N,14,FALSE)</f>
        <v>Y</v>
      </c>
      <c r="AD2" t="str">
        <f t="shared" ref="AD2:AD32" si="6">IF(B2="Riparian","Taking",IF(OR(B2="1971-Present",B2="1960-1970",B2="1957-1959",B2="1955-1956",B2="1953-1954",B2="1950-1952"),"Giving","No Change"))</f>
        <v>Giving</v>
      </c>
    </row>
    <row r="3" spans="1:30" x14ac:dyDescent="0.25">
      <c r="A3" s="107" t="s">
        <v>95</v>
      </c>
      <c r="B3" t="str">
        <f>IF(ISERROR(VLOOKUP(A3, '8. Demand data categorization'!A:M,13,FALSE)),"ERROR",IF((VLOOKUP(A3, '8. Demand data categorization'!A:M,13,FALSE))="-","Riparian",IF(OR(VLOOKUP(A3, '8. Demand data categorization'!A:M,13,FALSE)="1971-1990",VLOOKUP(A3, '8. Demand data categorization'!A:M,13,FALSE)="1991-Present"),"1971-Present",VLOOKUP(A3, '8. Demand data categorization'!A:M,13,FALSE))))</f>
        <v>1960-1970</v>
      </c>
      <c r="C3" s="84" t="str">
        <f>VLOOKUP(A3,'12. eWRIMS_Export'!A:K,7,FALSE)</f>
        <v>BARBARA R BANKE</v>
      </c>
      <c r="D3">
        <f>VLOOKUP(A3,'8. Demand data categorization'!A:AJ,30,FALSE)</f>
        <v>0</v>
      </c>
      <c r="E3">
        <f>VLOOKUP(A3,'8. Demand data categorization'!A:AJ,31,FALSE)</f>
        <v>0</v>
      </c>
      <c r="F3">
        <f>VLOOKUP(A3,'8. Demand data categorization'!A:AJ,32,FALSE)</f>
        <v>0</v>
      </c>
      <c r="G3" s="84">
        <f>VLOOKUP(A3,'8. Demand data categorization'!A:AJ,33,FALSE)</f>
        <v>0</v>
      </c>
      <c r="H3" s="80">
        <f>IF(ISERROR(VLOOKUP($A3,'8. Demand data categorization'!$A:$AV,30,FALSE)),0,(VLOOKUP($A3,'8. Demand data categorization'!$A:$AV,30,FALSE))*(1-VLOOKUP($B3,'2. Forbearance thresholds'!$A$16:$F$25,3,FALSE)))</f>
        <v>0</v>
      </c>
      <c r="I3" s="80">
        <f>IF(ISERROR(VLOOKUP($A3,'8. Demand data categorization'!$A:$AV,31,FALSE)),0,(VLOOKUP($A3,'8. Demand data categorization'!$A:$AV,31,FALSE))*(1-VLOOKUP($B3,'2. Forbearance thresholds'!$A$16:$F$25,4,FALSE)))</f>
        <v>0</v>
      </c>
      <c r="J3" s="80">
        <f>IF(ISERROR(VLOOKUP($A3,'8. Demand data categorization'!$A:$AV,32,FALSE)),0,(VLOOKUP($A3,'8. Demand data categorization'!$A:$AV,32,FALSE))*(1-VLOOKUP($B3,'2. Forbearance thresholds'!$A$16:$F$25,5,FALSE)))</f>
        <v>0</v>
      </c>
      <c r="K3" s="89">
        <f>IF(ISERROR(VLOOKUP($A3,'8. Demand data categorization'!$A:$AV,33,FALSE)),0,(VLOOKUP($A3,'8. Demand data categorization'!$A:$AV,33,FALSE))*(1-VLOOKUP($B3,'2. Forbearance thresholds'!$A$16:$F$25,6,FALSE)))</f>
        <v>0</v>
      </c>
      <c r="L3" s="1" t="str">
        <f>IF(ISERROR(VLOOKUP(A3,'11. TransferExport'!A:A,1,FALSE)),"N","Y")</f>
        <v>N</v>
      </c>
      <c r="M3" s="1" t="str">
        <f>IF(ISERROR(VLOOKUP(A3,'11. TransferExport'!B:B,1,FALSE)),"N","Y")</f>
        <v>N</v>
      </c>
      <c r="N3">
        <f>IF(L3="Y",-SUMIF('11. TransferExport'!A:A,A3,'11. TransferExport'!D:D),IF(M3="Y",SUMIF('11. TransferExport'!B:B,A3,'11. TransferExport'!D:D),0))</f>
        <v>0</v>
      </c>
      <c r="O3">
        <f>IF(L3="Y",-SUMIF('11. TransferExport'!A:A,A3,'11. TransferExport'!E:E),IF(M3="Y",SUMIF('11. TransferExport'!B:B,A3,'11. TransferExport'!E:E),0))</f>
        <v>0</v>
      </c>
      <c r="P3">
        <f>IF(L3="Y",-SUMIF('11. TransferExport'!A:A,A3,'11. TransferExport'!F:F),IF(M3="Y",SUMIF('11. TransferExport'!B:B,A3,'11. TransferExport'!F:F),0))</f>
        <v>0</v>
      </c>
      <c r="Q3">
        <f>IF(L3="Y",-SUMIF('11. TransferExport'!A:A,A3,'11. TransferExport'!G:G),IF(M3="Y",SUMIF('11. TransferExport'!B:B,A3,'11. TransferExport'!G:G),0))</f>
        <v>0</v>
      </c>
      <c r="R3" s="91">
        <f t="shared" si="0"/>
        <v>0</v>
      </c>
      <c r="S3">
        <f>IF(L3="Y",-SUMIF('11. TransferExport'!$A:$A,$A3,'11. TransferExport'!L:L),IF(M3="Y",SUMIF('11. TransferExport'!$B:$B,$A3,'11. TransferExport'!L:L),0))</f>
        <v>0</v>
      </c>
      <c r="T3">
        <f>IF($L3="Y",-SUMIF('11. TransferExport'!$A:$A,$A3,'11. TransferExport'!M:M),IF($M3="Y",SUMIF('11. TransferExport'!$B:$B,$A3,'11. TransferExport'!M:M),0))</f>
        <v>0</v>
      </c>
      <c r="U3">
        <f>IF($L3="Y",-SUMIF('11. TransferExport'!$A:$A,$A3,'11. TransferExport'!N:N),IF($M3="Y",SUMIF('11. TransferExport'!$B:$B,$A3,'11. TransferExport'!N:N),0))</f>
        <v>0</v>
      </c>
      <c r="V3">
        <f>IF($L3="Y",-SUMIF('11. TransferExport'!$A:$A,$A3,'11. TransferExport'!O:O),IF($M3="Y",SUMIF('11. TransferExport'!$B:$B,$A3,'11. TransferExport'!O:O),0))</f>
        <v>0</v>
      </c>
      <c r="W3" s="90">
        <f t="shared" si="1"/>
        <v>0</v>
      </c>
      <c r="X3" s="90">
        <f t="shared" si="2"/>
        <v>0</v>
      </c>
      <c r="Y3" s="90">
        <f t="shared" si="3"/>
        <v>0</v>
      </c>
      <c r="Z3" s="90">
        <f t="shared" si="4"/>
        <v>0</v>
      </c>
      <c r="AA3" s="91">
        <f t="shared" si="5"/>
        <v>0</v>
      </c>
      <c r="AB3" s="96">
        <f>VLOOKUP(A3,'8. Demand data categorization'!A:N,3,FALSE)</f>
        <v>12</v>
      </c>
      <c r="AC3" s="95" t="str">
        <f>VLOOKUP(A3,'8. Demand data categorization'!A:N,14,FALSE)</f>
        <v>N</v>
      </c>
      <c r="AD3" t="str">
        <f t="shared" si="6"/>
        <v>Giving</v>
      </c>
    </row>
    <row r="4" spans="1:30" x14ac:dyDescent="0.25">
      <c r="A4" s="107" t="s">
        <v>103</v>
      </c>
      <c r="B4" t="str">
        <f>IF(ISERROR(VLOOKUP(A4, '8. Demand data categorization'!A:M,13,FALSE)),"ERROR",IF((VLOOKUP(A4, '8. Demand data categorization'!A:M,13,FALSE))="-","Riparian",IF(OR(VLOOKUP(A4, '8. Demand data categorization'!A:M,13,FALSE)="1971-1990",VLOOKUP(A4, '8. Demand data categorization'!A:M,13,FALSE)="1991-Present"),"1971-Present",VLOOKUP(A4, '8. Demand data categorization'!A:M,13,FALSE))))</f>
        <v>1960-1970</v>
      </c>
      <c r="C4" s="84" t="str">
        <f>VLOOKUP(A4,'12. eWRIMS_Export'!A:K,7,FALSE)</f>
        <v>BECKSTOFFER RUSSIAN RIVER VINEYARDS</v>
      </c>
      <c r="D4">
        <f>VLOOKUP(A4,'8. Demand data categorization'!A:AJ,30,FALSE)</f>
        <v>7.03</v>
      </c>
      <c r="E4">
        <f>VLOOKUP(A4,'8. Demand data categorization'!A:AJ,31,FALSE)</f>
        <v>7.5</v>
      </c>
      <c r="F4">
        <f>VLOOKUP(A4,'8. Demand data categorization'!A:AJ,32,FALSE)</f>
        <v>4.2300000000000004</v>
      </c>
      <c r="G4" s="84">
        <f>VLOOKUP(A4,'8. Demand data categorization'!A:AJ,33,FALSE)</f>
        <v>0</v>
      </c>
      <c r="H4" s="80">
        <f>IF(ISERROR(VLOOKUP($A4,'8. Demand data categorization'!$A:$AV,30,FALSE)),0,(VLOOKUP($A4,'8. Demand data categorization'!$A:$AV,30,FALSE))*(1-VLOOKUP($B4,'2. Forbearance thresholds'!$A$16:$F$25,3,FALSE)))</f>
        <v>6.327</v>
      </c>
      <c r="I4" s="80">
        <f>IF(ISERROR(VLOOKUP($A4,'8. Demand data categorization'!$A:$AV,31,FALSE)),0,(VLOOKUP($A4,'8. Demand data categorization'!$A:$AV,31,FALSE))*(1-VLOOKUP($B4,'2. Forbearance thresholds'!$A$16:$F$25,4,FALSE)))</f>
        <v>0.2143971711900261</v>
      </c>
      <c r="J4" s="80">
        <f>IF(ISERROR(VLOOKUP($A4,'8. Demand data categorization'!$A:$AV,32,FALSE)),0,(VLOOKUP($A4,'8. Demand data categorization'!$A:$AV,32,FALSE))*(1-VLOOKUP($B4,'2. Forbearance thresholds'!$A$16:$F$25,5,FALSE)))</f>
        <v>0</v>
      </c>
      <c r="K4" s="89">
        <f>IF(ISERROR(VLOOKUP($A4,'8. Demand data categorization'!$A:$AV,33,FALSE)),0,(VLOOKUP($A4,'8. Demand data categorization'!$A:$AV,33,FALSE))*(1-VLOOKUP($B4,'2. Forbearance thresholds'!$A$16:$F$25,6,FALSE)))</f>
        <v>0</v>
      </c>
      <c r="L4" s="1" t="str">
        <f>IF(ISERROR(VLOOKUP(A4,'11. TransferExport'!A:A,1,FALSE)),"N","Y")</f>
        <v>N</v>
      </c>
      <c r="M4" s="1" t="str">
        <f>IF(ISERROR(VLOOKUP(A4,'11. TransferExport'!B:B,1,FALSE)),"N","Y")</f>
        <v>N</v>
      </c>
      <c r="N4">
        <f>IF(L4="Y",-SUMIF('11. TransferExport'!A:A,A4,'11. TransferExport'!D:D),IF(M4="Y",SUMIF('11. TransferExport'!B:B,A4,'11. TransferExport'!D:D),0))</f>
        <v>0</v>
      </c>
      <c r="O4">
        <f>IF(L4="Y",-SUMIF('11. TransferExport'!A:A,A4,'11. TransferExport'!E:E),IF(M4="Y",SUMIF('11. TransferExport'!B:B,A4,'11. TransferExport'!E:E),0))</f>
        <v>0</v>
      </c>
      <c r="P4">
        <f>IF(L4="Y",-SUMIF('11. TransferExport'!A:A,A4,'11. TransferExport'!F:F),IF(M4="Y",SUMIF('11. TransferExport'!B:B,A4,'11. TransferExport'!F:F),0))</f>
        <v>0</v>
      </c>
      <c r="Q4">
        <f>IF(L4="Y",-SUMIF('11. TransferExport'!A:A,A4,'11. TransferExport'!G:G),IF(M4="Y",SUMIF('11. TransferExport'!B:B,A4,'11. TransferExport'!G:G),0))</f>
        <v>0</v>
      </c>
      <c r="R4" s="91">
        <f t="shared" si="0"/>
        <v>6.5413971711900256</v>
      </c>
      <c r="S4">
        <f>IF(L4="Y",-SUMIF('11. TransferExport'!$A:$A,$A4,'11. TransferExport'!L:L),IF(M4="Y",SUMIF('11. TransferExport'!$B:$B,$A4,'11. TransferExport'!L:L),0))</f>
        <v>0</v>
      </c>
      <c r="T4">
        <f>IF($L4="Y",-SUMIF('11. TransferExport'!$A:$A,$A4,'11. TransferExport'!M:M),IF($M4="Y",SUMIF('11. TransferExport'!$B:$B,$A4,'11. TransferExport'!M:M),0))</f>
        <v>0</v>
      </c>
      <c r="U4">
        <f>IF($L4="Y",-SUMIF('11. TransferExport'!$A:$A,$A4,'11. TransferExport'!N:N),IF($M4="Y",SUMIF('11. TransferExport'!$B:$B,$A4,'11. TransferExport'!N:N),0))</f>
        <v>0</v>
      </c>
      <c r="V4">
        <f>IF($L4="Y",-SUMIF('11. TransferExport'!$A:$A,$A4,'11. TransferExport'!O:O),IF($M4="Y",SUMIF('11. TransferExport'!$B:$B,$A4,'11. TransferExport'!O:O),0))</f>
        <v>0</v>
      </c>
      <c r="W4" s="90">
        <f t="shared" si="1"/>
        <v>6.5413971711900256</v>
      </c>
      <c r="X4" s="90">
        <f t="shared" si="2"/>
        <v>6.327</v>
      </c>
      <c r="Y4" s="90">
        <f t="shared" si="3"/>
        <v>0.2143971711900261</v>
      </c>
      <c r="Z4" s="90">
        <f t="shared" si="4"/>
        <v>0</v>
      </c>
      <c r="AA4" s="91">
        <f t="shared" si="5"/>
        <v>0</v>
      </c>
      <c r="AB4" s="96">
        <f>VLOOKUP(A4,'8. Demand data categorization'!A:N,3,FALSE)</f>
        <v>4</v>
      </c>
      <c r="AC4" s="95" t="str">
        <f>VLOOKUP(A4,'8. Demand data categorization'!A:N,14,FALSE)</f>
        <v>Y</v>
      </c>
      <c r="AD4" t="str">
        <f t="shared" si="6"/>
        <v>Giving</v>
      </c>
    </row>
    <row r="5" spans="1:30" x14ac:dyDescent="0.25">
      <c r="A5" s="107" t="s">
        <v>125</v>
      </c>
      <c r="B5" t="str">
        <f>IF(ISERROR(VLOOKUP(A5, '8. Demand data categorization'!A:M,13,FALSE)),"ERROR",IF((VLOOKUP(A5, '8. Demand data categorization'!A:M,13,FALSE))="-","Riparian",IF(OR(VLOOKUP(A5, '8. Demand data categorization'!A:M,13,FALSE)="1971-1990",VLOOKUP(A5, '8. Demand data categorization'!A:M,13,FALSE)="1991-Present"),"1971-Present",VLOOKUP(A5, '8. Demand data categorization'!A:M,13,FALSE))))</f>
        <v>1971-Present</v>
      </c>
      <c r="C5" s="84" t="str">
        <f>VLOOKUP(A5,'12. eWRIMS_Export'!A:K,7,FALSE)</f>
        <v>BECKSTOFFER RUSSIAN RIVER VINEYARDS</v>
      </c>
      <c r="D5">
        <f>VLOOKUP(A5,'8. Demand data categorization'!A:AJ,30,FALSE)</f>
        <v>3.63</v>
      </c>
      <c r="E5">
        <f>VLOOKUP(A5,'8. Demand data categorization'!A:AJ,31,FALSE)</f>
        <v>3.8</v>
      </c>
      <c r="F5">
        <f>VLOOKUP(A5,'8. Demand data categorization'!A:AJ,32,FALSE)</f>
        <v>2.13</v>
      </c>
      <c r="G5" s="84">
        <f>VLOOKUP(A5,'8. Demand data categorization'!A:AJ,33,FALSE)</f>
        <v>0</v>
      </c>
      <c r="H5" s="80">
        <f>IF(ISERROR(VLOOKUP($A5,'8. Demand data categorization'!$A:$AV,30,FALSE)),0,(VLOOKUP($A5,'8. Demand data categorization'!$A:$AV,30,FALSE))*(1-VLOOKUP($B5,'2. Forbearance thresholds'!$A$16:$F$25,3,FALSE)))</f>
        <v>3.2669999999999999</v>
      </c>
      <c r="I5" s="80">
        <f>IF(ISERROR(VLOOKUP($A5,'8. Demand data categorization'!$A:$AV,31,FALSE)),0,(VLOOKUP($A5,'8. Demand data categorization'!$A:$AV,31,FALSE))*(1-VLOOKUP($B5,'2. Forbearance thresholds'!$A$16:$F$25,4,FALSE)))</f>
        <v>0.10862790006961322</v>
      </c>
      <c r="J5" s="80">
        <f>IF(ISERROR(VLOOKUP($A5,'8. Demand data categorization'!$A:$AV,32,FALSE)),0,(VLOOKUP($A5,'8. Demand data categorization'!$A:$AV,32,FALSE))*(1-VLOOKUP($B5,'2. Forbearance thresholds'!$A$16:$F$25,5,FALSE)))</f>
        <v>0</v>
      </c>
      <c r="K5" s="89">
        <f>IF(ISERROR(VLOOKUP($A5,'8. Demand data categorization'!$A:$AV,33,FALSE)),0,(VLOOKUP($A5,'8. Demand data categorization'!$A:$AV,33,FALSE))*(1-VLOOKUP($B5,'2. Forbearance thresholds'!$A$16:$F$25,6,FALSE)))</f>
        <v>0</v>
      </c>
      <c r="L5" s="1" t="str">
        <f>IF(ISERROR(VLOOKUP(A5,'11. TransferExport'!A:A,1,FALSE)),"N","Y")</f>
        <v>N</v>
      </c>
      <c r="M5" s="1" t="str">
        <f>IF(ISERROR(VLOOKUP(A5,'11. TransferExport'!B:B,1,FALSE)),"N","Y")</f>
        <v>N</v>
      </c>
      <c r="N5">
        <f>IF(L5="Y",-SUMIF('11. TransferExport'!A:A,A5,'11. TransferExport'!D:D),IF(M5="Y",SUMIF('11. TransferExport'!B:B,A5,'11. TransferExport'!D:D),0))</f>
        <v>0</v>
      </c>
      <c r="O5">
        <f>IF(L5="Y",-SUMIF('11. TransferExport'!A:A,A5,'11. TransferExport'!E:E),IF(M5="Y",SUMIF('11. TransferExport'!B:B,A5,'11. TransferExport'!E:E),0))</f>
        <v>0</v>
      </c>
      <c r="P5">
        <f>IF(L5="Y",-SUMIF('11. TransferExport'!A:A,A5,'11. TransferExport'!F:F),IF(M5="Y",SUMIF('11. TransferExport'!B:B,A5,'11. TransferExport'!F:F),0))</f>
        <v>0</v>
      </c>
      <c r="Q5">
        <f>IF(L5="Y",-SUMIF('11. TransferExport'!A:A,A5,'11. TransferExport'!G:G),IF(M5="Y",SUMIF('11. TransferExport'!B:B,A5,'11. TransferExport'!G:G),0))</f>
        <v>0</v>
      </c>
      <c r="R5" s="91">
        <f t="shared" si="0"/>
        <v>3.3756279000696132</v>
      </c>
      <c r="S5">
        <f>IF(L5="Y",-SUMIF('11. TransferExport'!$A:$A,$A5,'11. TransferExport'!L:L),IF(M5="Y",SUMIF('11. TransferExport'!$B:$B,$A5,'11. TransferExport'!L:L),0))</f>
        <v>0</v>
      </c>
      <c r="T5">
        <f>IF($L5="Y",-SUMIF('11. TransferExport'!$A:$A,$A5,'11. TransferExport'!M:M),IF($M5="Y",SUMIF('11. TransferExport'!$B:$B,$A5,'11. TransferExport'!M:M),0))</f>
        <v>0</v>
      </c>
      <c r="U5">
        <f>IF($L5="Y",-SUMIF('11. TransferExport'!$A:$A,$A5,'11. TransferExport'!N:N),IF($M5="Y",SUMIF('11. TransferExport'!$B:$B,$A5,'11. TransferExport'!N:N),0))</f>
        <v>0</v>
      </c>
      <c r="V5">
        <f>IF($L5="Y",-SUMIF('11. TransferExport'!$A:$A,$A5,'11. TransferExport'!O:O),IF($M5="Y",SUMIF('11. TransferExport'!$B:$B,$A5,'11. TransferExport'!O:O),0))</f>
        <v>0</v>
      </c>
      <c r="W5" s="90">
        <f t="shared" si="1"/>
        <v>3.3756279000696132</v>
      </c>
      <c r="X5" s="90">
        <f t="shared" si="2"/>
        <v>3.2669999999999999</v>
      </c>
      <c r="Y5" s="90">
        <f t="shared" si="3"/>
        <v>0.10862790006961322</v>
      </c>
      <c r="Z5" s="90">
        <f t="shared" si="4"/>
        <v>0</v>
      </c>
      <c r="AA5" s="91">
        <f t="shared" si="5"/>
        <v>0</v>
      </c>
      <c r="AB5" s="96">
        <f>VLOOKUP(A5,'8. Demand data categorization'!A:N,3,FALSE)</f>
        <v>4</v>
      </c>
      <c r="AC5" s="95" t="str">
        <f>VLOOKUP(A5,'8. Demand data categorization'!A:N,14,FALSE)</f>
        <v>Y</v>
      </c>
      <c r="AD5" t="str">
        <f t="shared" si="6"/>
        <v>Giving</v>
      </c>
    </row>
    <row r="6" spans="1:30" x14ac:dyDescent="0.25">
      <c r="A6" s="107" t="s">
        <v>126</v>
      </c>
      <c r="B6" t="str">
        <f>IF(ISERROR(VLOOKUP(A6, '8. Demand data categorization'!A:M,13,FALSE)),"ERROR",IF((VLOOKUP(A6, '8. Demand data categorization'!A:M,13,FALSE))="-","Riparian",IF(OR(VLOOKUP(A6, '8. Demand data categorization'!A:M,13,FALSE)="1971-1990",VLOOKUP(A6, '8. Demand data categorization'!A:M,13,FALSE)="1991-Present"),"1971-Present",VLOOKUP(A6, '8. Demand data categorization'!A:M,13,FALSE))))</f>
        <v>1950-1952</v>
      </c>
      <c r="C6" s="84" t="str">
        <f>VLOOKUP(A6,'12. eWRIMS_Export'!A:K,7,FALSE)</f>
        <v>BECKSTOFFER RUSSIAN RIVER VINEYARDS</v>
      </c>
      <c r="D6">
        <f>VLOOKUP(A6,'8. Demand data categorization'!A:AJ,30,FALSE)</f>
        <v>2.0499999999999998</v>
      </c>
      <c r="E6">
        <f>VLOOKUP(A6,'8. Demand data categorization'!A:AJ,31,FALSE)</f>
        <v>1.76</v>
      </c>
      <c r="F6">
        <f>VLOOKUP(A6,'8. Demand data categorization'!A:AJ,32,FALSE)</f>
        <v>5.12</v>
      </c>
      <c r="G6" s="84">
        <f>VLOOKUP(A6,'8. Demand data categorization'!A:AJ,33,FALSE)</f>
        <v>0.3</v>
      </c>
      <c r="H6" s="80">
        <f>IF(ISERROR(VLOOKUP($A6,'8. Demand data categorization'!$A:$AV,30,FALSE)),0,(VLOOKUP($A6,'8. Demand data categorization'!$A:$AV,30,FALSE))*(1-VLOOKUP($B6,'2. Forbearance thresholds'!$A$16:$F$25,3,FALSE)))</f>
        <v>1.845</v>
      </c>
      <c r="I6" s="80">
        <f>IF(ISERROR(VLOOKUP($A6,'8. Demand data categorization'!$A:$AV,31,FALSE)),0,(VLOOKUP($A6,'8. Demand data categorization'!$A:$AV,31,FALSE))*(1-VLOOKUP($B6,'2. Forbearance thresholds'!$A$16:$F$25,4,FALSE)))</f>
        <v>5.0311869505926123E-2</v>
      </c>
      <c r="J6" s="80">
        <f>IF(ISERROR(VLOOKUP($A6,'8. Demand data categorization'!$A:$AV,32,FALSE)),0,(VLOOKUP($A6,'8. Demand data categorization'!$A:$AV,32,FALSE))*(1-VLOOKUP($B6,'2. Forbearance thresholds'!$A$16:$F$25,5,FALSE)))</f>
        <v>0</v>
      </c>
      <c r="K6" s="89">
        <f>IF(ISERROR(VLOOKUP($A6,'8. Demand data categorization'!$A:$AV,33,FALSE)),0,(VLOOKUP($A6,'8. Demand data categorization'!$A:$AV,33,FALSE))*(1-VLOOKUP($B6,'2. Forbearance thresholds'!$A$16:$F$25,6,FALSE)))</f>
        <v>0</v>
      </c>
      <c r="L6" s="1" t="str">
        <f>IF(ISERROR(VLOOKUP(A6,'11. TransferExport'!A:A,1,FALSE)),"N","Y")</f>
        <v>N</v>
      </c>
      <c r="M6" s="1" t="str">
        <f>IF(ISERROR(VLOOKUP(A6,'11. TransferExport'!B:B,1,FALSE)),"N","Y")</f>
        <v>N</v>
      </c>
      <c r="N6">
        <f>IF(L6="Y",-SUMIF('11. TransferExport'!A:A,A6,'11. TransferExport'!D:D),IF(M6="Y",SUMIF('11. TransferExport'!B:B,A6,'11. TransferExport'!D:D),0))</f>
        <v>0</v>
      </c>
      <c r="O6">
        <f>IF(L6="Y",-SUMIF('11. TransferExport'!A:A,A6,'11. TransferExport'!E:E),IF(M6="Y",SUMIF('11. TransferExport'!B:B,A6,'11. TransferExport'!E:E),0))</f>
        <v>0</v>
      </c>
      <c r="P6">
        <f>IF(L6="Y",-SUMIF('11. TransferExport'!A:A,A6,'11. TransferExport'!F:F),IF(M6="Y",SUMIF('11. TransferExport'!B:B,A6,'11. TransferExport'!F:F),0))</f>
        <v>0</v>
      </c>
      <c r="Q6">
        <f>IF(L6="Y",-SUMIF('11. TransferExport'!A:A,A6,'11. TransferExport'!G:G),IF(M6="Y",SUMIF('11. TransferExport'!B:B,A6,'11. TransferExport'!G:G),0))</f>
        <v>0</v>
      </c>
      <c r="R6" s="91">
        <f t="shared" si="0"/>
        <v>1.8953118695059261</v>
      </c>
      <c r="S6">
        <f>IF(L6="Y",-SUMIF('11. TransferExport'!$A:$A,$A6,'11. TransferExport'!L:L),IF(M6="Y",SUMIF('11. TransferExport'!$B:$B,$A6,'11. TransferExport'!L:L),0))</f>
        <v>0</v>
      </c>
      <c r="T6">
        <f>IF($L6="Y",-SUMIF('11. TransferExport'!$A:$A,$A6,'11. TransferExport'!M:M),IF($M6="Y",SUMIF('11. TransferExport'!$B:$B,$A6,'11. TransferExport'!M:M),0))</f>
        <v>0</v>
      </c>
      <c r="U6">
        <f>IF($L6="Y",-SUMIF('11. TransferExport'!$A:$A,$A6,'11. TransferExport'!N:N),IF($M6="Y",SUMIF('11. TransferExport'!$B:$B,$A6,'11. TransferExport'!N:N),0))</f>
        <v>0</v>
      </c>
      <c r="V6">
        <f>IF($L6="Y",-SUMIF('11. TransferExport'!$A:$A,$A6,'11. TransferExport'!O:O),IF($M6="Y",SUMIF('11. TransferExport'!$B:$B,$A6,'11. TransferExport'!O:O),0))</f>
        <v>0</v>
      </c>
      <c r="W6" s="90">
        <f t="shared" si="1"/>
        <v>1.8953118695059261</v>
      </c>
      <c r="X6" s="90">
        <f t="shared" si="2"/>
        <v>1.845</v>
      </c>
      <c r="Y6" s="90">
        <f t="shared" si="3"/>
        <v>5.0311869505926123E-2</v>
      </c>
      <c r="Z6" s="90">
        <f t="shared" si="4"/>
        <v>0</v>
      </c>
      <c r="AA6" s="91">
        <f t="shared" si="5"/>
        <v>0</v>
      </c>
      <c r="AB6" s="96">
        <f>VLOOKUP(A6,'8. Demand data categorization'!A:N,3,FALSE)</f>
        <v>4</v>
      </c>
      <c r="AC6" s="95" t="str">
        <f>VLOOKUP(A6,'8. Demand data categorization'!A:N,14,FALSE)</f>
        <v>Y</v>
      </c>
      <c r="AD6" t="str">
        <f t="shared" si="6"/>
        <v>Giving</v>
      </c>
    </row>
    <row r="7" spans="1:30" x14ac:dyDescent="0.25">
      <c r="A7" s="107" t="s">
        <v>48</v>
      </c>
      <c r="B7" t="str">
        <f>IF(ISERROR(VLOOKUP(A7, '8. Demand data categorization'!A:M,13,FALSE)),"ERROR",IF((VLOOKUP(A7, '8. Demand data categorization'!A:M,13,FALSE))="-","Riparian",IF(OR(VLOOKUP(A7, '8. Demand data categorization'!A:M,13,FALSE)="1971-1990",VLOOKUP(A7, '8. Demand data categorization'!A:M,13,FALSE)="1991-Present"),"1971-Present",VLOOKUP(A7, '8. Demand data categorization'!A:M,13,FALSE))))</f>
        <v>Pre-1949 + 1949</v>
      </c>
      <c r="C7" s="84" t="str">
        <f>VLOOKUP(A7,'12. eWRIMS_Export'!A:K,7,FALSE)</f>
        <v>BECKSTOFFER VINEYARDS XI</v>
      </c>
      <c r="D7">
        <f>VLOOKUP(A7,'8. Demand data categorization'!A:AJ,30,FALSE)</f>
        <v>2.61</v>
      </c>
      <c r="E7">
        <f>VLOOKUP(A7,'8. Demand data categorization'!A:AJ,31,FALSE)</f>
        <v>2.16</v>
      </c>
      <c r="F7">
        <f>VLOOKUP(A7,'8. Demand data categorization'!A:AJ,32,FALSE)</f>
        <v>1.3</v>
      </c>
      <c r="G7" s="84">
        <f>VLOOKUP(A7,'8. Demand data categorization'!A:AJ,33,FALSE)</f>
        <v>0</v>
      </c>
      <c r="H7" s="80">
        <f>IF(ISERROR(VLOOKUP($A7,'8. Demand data categorization'!$A:$AV,30,FALSE)),0,(VLOOKUP($A7,'8. Demand data categorization'!$A:$AV,30,FALSE))*(1-VLOOKUP($B7,'2. Forbearance thresholds'!$A$16:$F$25,3,FALSE)))</f>
        <v>2.61</v>
      </c>
      <c r="I7" s="80">
        <f>IF(ISERROR(VLOOKUP($A7,'8. Demand data categorization'!$A:$AV,31,FALSE)),0,(VLOOKUP($A7,'8. Demand data categorization'!$A:$AV,31,FALSE))*(1-VLOOKUP($B7,'2. Forbearance thresholds'!$A$16:$F$25,4,FALSE)))</f>
        <v>6.1746385302727524E-2</v>
      </c>
      <c r="J7" s="80">
        <f>IF(ISERROR(VLOOKUP($A7,'8. Demand data categorization'!$A:$AV,32,FALSE)),0,(VLOOKUP($A7,'8. Demand data categorization'!$A:$AV,32,FALSE))*(1-VLOOKUP($B7,'2. Forbearance thresholds'!$A$16:$F$25,5,FALSE)))</f>
        <v>0</v>
      </c>
      <c r="K7" s="89">
        <f>IF(ISERROR(VLOOKUP($A7,'8. Demand data categorization'!$A:$AV,33,FALSE)),0,(VLOOKUP($A7,'8. Demand data categorization'!$A:$AV,33,FALSE))*(1-VLOOKUP($B7,'2. Forbearance thresholds'!$A$16:$F$25,6,FALSE)))</f>
        <v>0</v>
      </c>
      <c r="L7" s="1" t="str">
        <f>IF(ISERROR(VLOOKUP(A7,'11. TransferExport'!A:A,1,FALSE)),"N","Y")</f>
        <v>N</v>
      </c>
      <c r="M7" s="1" t="str">
        <f>IF(ISERROR(VLOOKUP(A7,'11. TransferExport'!B:B,1,FALSE)),"N","Y")</f>
        <v>N</v>
      </c>
      <c r="N7">
        <f>IF(L7="Y",-SUMIF('11. TransferExport'!A:A,A7,'11. TransferExport'!D:D),IF(M7="Y",SUMIF('11. TransferExport'!B:B,A7,'11. TransferExport'!D:D),0))</f>
        <v>0</v>
      </c>
      <c r="O7">
        <f>IF(L7="Y",-SUMIF('11. TransferExport'!A:A,A7,'11. TransferExport'!E:E),IF(M7="Y",SUMIF('11. TransferExport'!B:B,A7,'11. TransferExport'!E:E),0))</f>
        <v>0</v>
      </c>
      <c r="P7">
        <f>IF(L7="Y",-SUMIF('11. TransferExport'!A:A,A7,'11. TransferExport'!F:F),IF(M7="Y",SUMIF('11. TransferExport'!B:B,A7,'11. TransferExport'!F:F),0))</f>
        <v>0</v>
      </c>
      <c r="Q7">
        <f>IF(L7="Y",-SUMIF('11. TransferExport'!A:A,A7,'11. TransferExport'!G:G),IF(M7="Y",SUMIF('11. TransferExport'!B:B,A7,'11. TransferExport'!G:G),0))</f>
        <v>0</v>
      </c>
      <c r="R7" s="91">
        <f t="shared" si="0"/>
        <v>2.6717463853027272</v>
      </c>
      <c r="S7">
        <f>IF(L7="Y",-SUMIF('11. TransferExport'!$A:$A,$A7,'11. TransferExport'!L:L),IF(M7="Y",SUMIF('11. TransferExport'!$B:$B,$A7,'11. TransferExport'!L:L),0))</f>
        <v>0</v>
      </c>
      <c r="T7">
        <f>IF($L7="Y",-SUMIF('11. TransferExport'!$A:$A,$A7,'11. TransferExport'!M:M),IF($M7="Y",SUMIF('11. TransferExport'!$B:$B,$A7,'11. TransferExport'!M:M),0))</f>
        <v>0</v>
      </c>
      <c r="U7">
        <f>IF($L7="Y",-SUMIF('11. TransferExport'!$A:$A,$A7,'11. TransferExport'!N:N),IF($M7="Y",SUMIF('11. TransferExport'!$B:$B,$A7,'11. TransferExport'!N:N),0))</f>
        <v>0</v>
      </c>
      <c r="V7">
        <f>IF($L7="Y",-SUMIF('11. TransferExport'!$A:$A,$A7,'11. TransferExport'!O:O),IF($M7="Y",SUMIF('11. TransferExport'!$B:$B,$A7,'11. TransferExport'!O:O),0))</f>
        <v>0</v>
      </c>
      <c r="W7" s="90">
        <f t="shared" si="1"/>
        <v>2.6717463853027272</v>
      </c>
      <c r="X7" s="90">
        <f t="shared" si="2"/>
        <v>2.61</v>
      </c>
      <c r="Y7" s="90">
        <f t="shared" si="3"/>
        <v>6.1746385302727524E-2</v>
      </c>
      <c r="Z7" s="90">
        <f t="shared" si="4"/>
        <v>0</v>
      </c>
      <c r="AA7" s="91">
        <f t="shared" si="5"/>
        <v>0</v>
      </c>
      <c r="AB7" s="96">
        <f>VLOOKUP(A7,'8. Demand data categorization'!A:N,3,FALSE)</f>
        <v>5</v>
      </c>
      <c r="AC7" s="95" t="str">
        <f>VLOOKUP(A7,'8. Demand data categorization'!A:N,14,FALSE)</f>
        <v>Y</v>
      </c>
      <c r="AD7" t="str">
        <f t="shared" si="6"/>
        <v>No Change</v>
      </c>
    </row>
    <row r="8" spans="1:30" x14ac:dyDescent="0.25">
      <c r="A8" s="107" t="s">
        <v>127</v>
      </c>
      <c r="B8" t="str">
        <f>IF(ISERROR(VLOOKUP(A8, '8. Demand data categorization'!A:M,13,FALSE)),"ERROR",IF((VLOOKUP(A8, '8. Demand data categorization'!A:M,13,FALSE))="-","Riparian",IF(OR(VLOOKUP(A8, '8. Demand data categorization'!A:M,13,FALSE)="1971-1990",VLOOKUP(A8, '8. Demand data categorization'!A:M,13,FALSE)="1991-Present"),"1971-Present",VLOOKUP(A8, '8. Demand data categorization'!A:M,13,FALSE))))</f>
        <v>1955-1956</v>
      </c>
      <c r="C8" s="84" t="str">
        <f>VLOOKUP(A8,'12. eWRIMS_Export'!A:K,7,FALSE)</f>
        <v>BECKSTOFFER VINEYARDS XI</v>
      </c>
      <c r="D8">
        <f>VLOOKUP(A8,'8. Demand data categorization'!A:AJ,30,FALSE)</f>
        <v>2.87</v>
      </c>
      <c r="E8">
        <f>VLOOKUP(A8,'8. Demand data categorization'!A:AJ,31,FALSE)</f>
        <v>2.35</v>
      </c>
      <c r="F8">
        <f>VLOOKUP(A8,'8. Demand data categorization'!A:AJ,32,FALSE)</f>
        <v>1.38</v>
      </c>
      <c r="G8" s="84">
        <f>VLOOKUP(A8,'8. Demand data categorization'!A:AJ,33,FALSE)</f>
        <v>2.02</v>
      </c>
      <c r="H8" s="80">
        <f>IF(ISERROR(VLOOKUP($A8,'8. Demand data categorization'!$A:$AV,30,FALSE)),0,(VLOOKUP($A8,'8. Demand data categorization'!$A:$AV,30,FALSE))*(1-VLOOKUP($B8,'2. Forbearance thresholds'!$A$16:$F$25,3,FALSE)))</f>
        <v>2.5830000000000002</v>
      </c>
      <c r="I8" s="80">
        <f>IF(ISERROR(VLOOKUP($A8,'8. Demand data categorization'!$A:$AV,31,FALSE)),0,(VLOOKUP($A8,'8. Demand data categorization'!$A:$AV,31,FALSE))*(1-VLOOKUP($B8,'2. Forbearance thresholds'!$A$16:$F$25,4,FALSE)))</f>
        <v>6.7177780306208176E-2</v>
      </c>
      <c r="J8" s="80">
        <f>IF(ISERROR(VLOOKUP($A8,'8. Demand data categorization'!$A:$AV,32,FALSE)),0,(VLOOKUP($A8,'8. Demand data categorization'!$A:$AV,32,FALSE))*(1-VLOOKUP($B8,'2. Forbearance thresholds'!$A$16:$F$25,5,FALSE)))</f>
        <v>0</v>
      </c>
      <c r="K8" s="89">
        <f>IF(ISERROR(VLOOKUP($A8,'8. Demand data categorization'!$A:$AV,33,FALSE)),0,(VLOOKUP($A8,'8. Demand data categorization'!$A:$AV,33,FALSE))*(1-VLOOKUP($B8,'2. Forbearance thresholds'!$A$16:$F$25,6,FALSE)))</f>
        <v>0</v>
      </c>
      <c r="L8" s="1" t="str">
        <f>IF(ISERROR(VLOOKUP(A8,'11. TransferExport'!A:A,1,FALSE)),"N","Y")</f>
        <v>N</v>
      </c>
      <c r="M8" s="1" t="str">
        <f>IF(ISERROR(VLOOKUP(A8,'11. TransferExport'!B:B,1,FALSE)),"N","Y")</f>
        <v>N</v>
      </c>
      <c r="N8">
        <f>IF(L8="Y",-SUMIF('11. TransferExport'!A:A,A8,'11. TransferExport'!D:D),IF(M8="Y",SUMIF('11. TransferExport'!B:B,A8,'11. TransferExport'!D:D),0))</f>
        <v>0</v>
      </c>
      <c r="O8">
        <f>IF(L8="Y",-SUMIF('11. TransferExport'!A:A,A8,'11. TransferExport'!E:E),IF(M8="Y",SUMIF('11. TransferExport'!B:B,A8,'11. TransferExport'!E:E),0))</f>
        <v>0</v>
      </c>
      <c r="P8">
        <f>IF(L8="Y",-SUMIF('11. TransferExport'!A:A,A8,'11. TransferExport'!F:F),IF(M8="Y",SUMIF('11. TransferExport'!B:B,A8,'11. TransferExport'!F:F),0))</f>
        <v>0</v>
      </c>
      <c r="Q8">
        <f>IF(L8="Y",-SUMIF('11. TransferExport'!A:A,A8,'11. TransferExport'!G:G),IF(M8="Y",SUMIF('11. TransferExport'!B:B,A8,'11. TransferExport'!G:G),0))</f>
        <v>0</v>
      </c>
      <c r="R8" s="91">
        <f t="shared" si="0"/>
        <v>2.6501777803062083</v>
      </c>
      <c r="S8">
        <f>IF(L8="Y",-SUMIF('11. TransferExport'!$A:$A,$A8,'11. TransferExport'!L:L),IF(M8="Y",SUMIF('11. TransferExport'!$B:$B,$A8,'11. TransferExport'!L:L),0))</f>
        <v>0</v>
      </c>
      <c r="T8">
        <f>IF($L8="Y",-SUMIF('11. TransferExport'!$A:$A,$A8,'11. TransferExport'!M:M),IF($M8="Y",SUMIF('11. TransferExport'!$B:$B,$A8,'11. TransferExport'!M:M),0))</f>
        <v>0</v>
      </c>
      <c r="U8">
        <f>IF($L8="Y",-SUMIF('11. TransferExport'!$A:$A,$A8,'11. TransferExport'!N:N),IF($M8="Y",SUMIF('11. TransferExport'!$B:$B,$A8,'11. TransferExport'!N:N),0))</f>
        <v>0</v>
      </c>
      <c r="V8">
        <f>IF($L8="Y",-SUMIF('11. TransferExport'!$A:$A,$A8,'11. TransferExport'!O:O),IF($M8="Y",SUMIF('11. TransferExport'!$B:$B,$A8,'11. TransferExport'!O:O),0))</f>
        <v>0</v>
      </c>
      <c r="W8" s="90">
        <f t="shared" si="1"/>
        <v>2.6501777803062083</v>
      </c>
      <c r="X8" s="90">
        <f t="shared" si="2"/>
        <v>2.5830000000000002</v>
      </c>
      <c r="Y8" s="90">
        <f t="shared" si="3"/>
        <v>6.7177780306208176E-2</v>
      </c>
      <c r="Z8" s="90">
        <f t="shared" si="4"/>
        <v>0</v>
      </c>
      <c r="AA8" s="91">
        <f t="shared" si="5"/>
        <v>0</v>
      </c>
      <c r="AB8" s="96">
        <f>VLOOKUP(A8,'8. Demand data categorization'!A:N,3,FALSE)</f>
        <v>5</v>
      </c>
      <c r="AC8" s="95" t="str">
        <f>VLOOKUP(A8,'8. Demand data categorization'!A:N,14,FALSE)</f>
        <v>Y</v>
      </c>
      <c r="AD8" t="str">
        <f t="shared" si="6"/>
        <v>Giving</v>
      </c>
    </row>
    <row r="9" spans="1:30" x14ac:dyDescent="0.25">
      <c r="A9" s="107" t="s">
        <v>128</v>
      </c>
      <c r="B9" t="str">
        <f>IF(ISERROR(VLOOKUP(A9, '8. Demand data categorization'!A:M,13,FALSE)),"ERROR",IF((VLOOKUP(A9, '8. Demand data categorization'!A:M,13,FALSE))="-","Riparian",IF(OR(VLOOKUP(A9, '8. Demand data categorization'!A:M,13,FALSE)="1971-1990",VLOOKUP(A9, '8. Demand data categorization'!A:M,13,FALSE)="1991-Present"),"1971-Present",VLOOKUP(A9, '8. Demand data categorization'!A:M,13,FALSE))))</f>
        <v>1960-1970</v>
      </c>
      <c r="C9" s="84" t="str">
        <f>VLOOKUP(A9,'12. eWRIMS_Export'!A:K,7,FALSE)</f>
        <v>BECKSTOFFER VINEYARDS XV</v>
      </c>
      <c r="D9">
        <f>VLOOKUP(A9,'8. Demand data categorization'!A:AJ,30,FALSE)</f>
        <v>6.68</v>
      </c>
      <c r="E9">
        <f>VLOOKUP(A9,'8. Demand data categorization'!A:AJ,31,FALSE)</f>
        <v>6.57</v>
      </c>
      <c r="F9">
        <f>VLOOKUP(A9,'8. Demand data categorization'!A:AJ,32,FALSE)</f>
        <v>3.47</v>
      </c>
      <c r="G9" s="84">
        <f>VLOOKUP(A9,'8. Demand data categorization'!A:AJ,33,FALSE)</f>
        <v>0.72</v>
      </c>
      <c r="H9" s="80">
        <f>IF(ISERROR(VLOOKUP($A9,'8. Demand data categorization'!$A:$AV,30,FALSE)),0,(VLOOKUP($A9,'8. Demand data categorization'!$A:$AV,30,FALSE))*(1-VLOOKUP($B9,'2. Forbearance thresholds'!$A$16:$F$25,3,FALSE)))</f>
        <v>6.0119999999999996</v>
      </c>
      <c r="I9" s="80">
        <f>IF(ISERROR(VLOOKUP($A9,'8. Demand data categorization'!$A:$AV,31,FALSE)),0,(VLOOKUP($A9,'8. Demand data categorization'!$A:$AV,31,FALSE))*(1-VLOOKUP($B9,'2. Forbearance thresholds'!$A$16:$F$25,4,FALSE)))</f>
        <v>0.18781192196246288</v>
      </c>
      <c r="J9" s="80">
        <f>IF(ISERROR(VLOOKUP($A9,'8. Demand data categorization'!$A:$AV,32,FALSE)),0,(VLOOKUP($A9,'8. Demand data categorization'!$A:$AV,32,FALSE))*(1-VLOOKUP($B9,'2. Forbearance thresholds'!$A$16:$F$25,5,FALSE)))</f>
        <v>0</v>
      </c>
      <c r="K9" s="89">
        <f>IF(ISERROR(VLOOKUP($A9,'8. Demand data categorization'!$A:$AV,33,FALSE)),0,(VLOOKUP($A9,'8. Demand data categorization'!$A:$AV,33,FALSE))*(1-VLOOKUP($B9,'2. Forbearance thresholds'!$A$16:$F$25,6,FALSE)))</f>
        <v>0</v>
      </c>
      <c r="L9" s="1" t="str">
        <f>IF(ISERROR(VLOOKUP(A9,'11. TransferExport'!A:A,1,FALSE)),"N","Y")</f>
        <v>N</v>
      </c>
      <c r="M9" s="1" t="str">
        <f>IF(ISERROR(VLOOKUP(A9,'11. TransferExport'!B:B,1,FALSE)),"N","Y")</f>
        <v>N</v>
      </c>
      <c r="N9">
        <f>IF(L9="Y",-SUMIF('11. TransferExport'!A:A,A9,'11. TransferExport'!D:D),IF(M9="Y",SUMIF('11. TransferExport'!B:B,A9,'11. TransferExport'!D:D),0))</f>
        <v>0</v>
      </c>
      <c r="O9">
        <f>IF(L9="Y",-SUMIF('11. TransferExport'!A:A,A9,'11. TransferExport'!E:E),IF(M9="Y",SUMIF('11. TransferExport'!B:B,A9,'11. TransferExport'!E:E),0))</f>
        <v>0</v>
      </c>
      <c r="P9">
        <f>IF(L9="Y",-SUMIF('11. TransferExport'!A:A,A9,'11. TransferExport'!F:F),IF(M9="Y",SUMIF('11. TransferExport'!B:B,A9,'11. TransferExport'!F:F),0))</f>
        <v>0</v>
      </c>
      <c r="Q9">
        <f>IF(L9="Y",-SUMIF('11. TransferExport'!A:A,A9,'11. TransferExport'!G:G),IF(M9="Y",SUMIF('11. TransferExport'!B:B,A9,'11. TransferExport'!G:G),0))</f>
        <v>0</v>
      </c>
      <c r="R9" s="91">
        <f t="shared" si="0"/>
        <v>6.1998119219624623</v>
      </c>
      <c r="S9">
        <f>IF(L9="Y",-SUMIF('11. TransferExport'!$A:$A,$A9,'11. TransferExport'!L:L),IF(M9="Y",SUMIF('11. TransferExport'!$B:$B,$A9,'11. TransferExport'!L:L),0))</f>
        <v>0</v>
      </c>
      <c r="T9">
        <f>IF($L9="Y",-SUMIF('11. TransferExport'!$A:$A,$A9,'11. TransferExport'!M:M),IF($M9="Y",SUMIF('11. TransferExport'!$B:$B,$A9,'11. TransferExport'!M:M),0))</f>
        <v>0</v>
      </c>
      <c r="U9">
        <f>IF($L9="Y",-SUMIF('11. TransferExport'!$A:$A,$A9,'11. TransferExport'!N:N),IF($M9="Y",SUMIF('11. TransferExport'!$B:$B,$A9,'11. TransferExport'!N:N),0))</f>
        <v>0</v>
      </c>
      <c r="V9">
        <f>IF($L9="Y",-SUMIF('11. TransferExport'!$A:$A,$A9,'11. TransferExport'!O:O),IF($M9="Y",SUMIF('11. TransferExport'!$B:$B,$A9,'11. TransferExport'!O:O),0))</f>
        <v>0</v>
      </c>
      <c r="W9" s="90">
        <f t="shared" si="1"/>
        <v>6.1998119219624623</v>
      </c>
      <c r="X9" s="90">
        <f t="shared" si="2"/>
        <v>6.0119999999999996</v>
      </c>
      <c r="Y9" s="90">
        <f t="shared" si="3"/>
        <v>0.18781192196246288</v>
      </c>
      <c r="Z9" s="90">
        <f t="shared" si="4"/>
        <v>0</v>
      </c>
      <c r="AA9" s="91">
        <f t="shared" si="5"/>
        <v>0</v>
      </c>
      <c r="AB9" s="96">
        <f>VLOOKUP(A9,'8. Demand data categorization'!A:N,3,FALSE)</f>
        <v>4</v>
      </c>
      <c r="AC9" s="95" t="str">
        <f>VLOOKUP(A9,'8. Demand data categorization'!A:N,14,FALSE)</f>
        <v>Y</v>
      </c>
      <c r="AD9" t="str">
        <f t="shared" si="6"/>
        <v>Giving</v>
      </c>
    </row>
    <row r="10" spans="1:30" x14ac:dyDescent="0.25">
      <c r="A10" s="107" t="s">
        <v>162</v>
      </c>
      <c r="B10" t="str">
        <f>IF(ISERROR(VLOOKUP(A10, '8. Demand data categorization'!A:M,13,FALSE)),"ERROR",IF((VLOOKUP(A10, '8. Demand data categorization'!A:M,13,FALSE))="-","Riparian",IF(OR(VLOOKUP(A10, '8. Demand data categorization'!A:M,13,FALSE)="1971-1990",VLOOKUP(A10, '8. Demand data categorization'!A:M,13,FALSE)="1991-Present"),"1971-Present",VLOOKUP(A10, '8. Demand data categorization'!A:M,13,FALSE))))</f>
        <v>1960-1970</v>
      </c>
      <c r="C10" s="84" t="str">
        <f>VLOOKUP(A10,'12. eWRIMS_Export'!A:K,7,FALSE)</f>
        <v>BETTY JEAN GREEN</v>
      </c>
      <c r="D10">
        <f>VLOOKUP(A10,'8. Demand data categorization'!A:AJ,30,FALSE)</f>
        <v>0</v>
      </c>
      <c r="E10">
        <f>VLOOKUP(A10,'8. Demand data categorization'!A:AJ,31,FALSE)</f>
        <v>0</v>
      </c>
      <c r="F10">
        <f>VLOOKUP(A10,'8. Demand data categorization'!A:AJ,32,FALSE)</f>
        <v>0</v>
      </c>
      <c r="G10" s="84">
        <f>VLOOKUP(A10,'8. Demand data categorization'!A:AJ,33,FALSE)</f>
        <v>0</v>
      </c>
      <c r="H10" s="80">
        <f>IF(ISERROR(VLOOKUP($A10,'8. Demand data categorization'!$A:$AV,30,FALSE)),0,(VLOOKUP($A10,'8. Demand data categorization'!$A:$AV,30,FALSE))*(1-VLOOKUP($B10,'2. Forbearance thresholds'!$A$16:$F$25,3,FALSE)))</f>
        <v>0</v>
      </c>
      <c r="I10" s="80">
        <f>IF(ISERROR(VLOOKUP($A10,'8. Demand data categorization'!$A:$AV,31,FALSE)),0,(VLOOKUP($A10,'8. Demand data categorization'!$A:$AV,31,FALSE))*(1-VLOOKUP($B10,'2. Forbearance thresholds'!$A$16:$F$25,4,FALSE)))</f>
        <v>0</v>
      </c>
      <c r="J10" s="80">
        <f>IF(ISERROR(VLOOKUP($A10,'8. Demand data categorization'!$A:$AV,32,FALSE)),0,(VLOOKUP($A10,'8. Demand data categorization'!$A:$AV,32,FALSE))*(1-VLOOKUP($B10,'2. Forbearance thresholds'!$A$16:$F$25,5,FALSE)))</f>
        <v>0</v>
      </c>
      <c r="K10" s="89">
        <f>IF(ISERROR(VLOOKUP($A10,'8. Demand data categorization'!$A:$AV,33,FALSE)),0,(VLOOKUP($A10,'8. Demand data categorization'!$A:$AV,33,FALSE))*(1-VLOOKUP($B10,'2. Forbearance thresholds'!$A$16:$F$25,6,FALSE)))</f>
        <v>0</v>
      </c>
      <c r="L10" s="1" t="str">
        <f>IF(ISERROR(VLOOKUP(A10,'11. TransferExport'!A:A,1,FALSE)),"N","Y")</f>
        <v>N</v>
      </c>
      <c r="M10" s="1" t="str">
        <f>IF(ISERROR(VLOOKUP(A10,'11. TransferExport'!B:B,1,FALSE)),"N","Y")</f>
        <v>N</v>
      </c>
      <c r="N10">
        <f>IF(L10="Y",-SUMIF('11. TransferExport'!A:A,A10,'11. TransferExport'!D:D),IF(M10="Y",SUMIF('11. TransferExport'!B:B,A10,'11. TransferExport'!D:D),0))</f>
        <v>0</v>
      </c>
      <c r="O10">
        <f>IF(L10="Y",-SUMIF('11. TransferExport'!A:A,A10,'11. TransferExport'!E:E),IF(M10="Y",SUMIF('11. TransferExport'!B:B,A10,'11. TransferExport'!E:E),0))</f>
        <v>0</v>
      </c>
      <c r="P10">
        <f>IF(L10="Y",-SUMIF('11. TransferExport'!A:A,A10,'11. TransferExport'!F:F),IF(M10="Y",SUMIF('11. TransferExport'!B:B,A10,'11. TransferExport'!F:F),0))</f>
        <v>0</v>
      </c>
      <c r="Q10">
        <f>IF(L10="Y",-SUMIF('11. TransferExport'!A:A,A10,'11. TransferExport'!G:G),IF(M10="Y",SUMIF('11. TransferExport'!B:B,A10,'11. TransferExport'!G:G),0))</f>
        <v>0</v>
      </c>
      <c r="R10" s="91">
        <f t="shared" si="0"/>
        <v>0</v>
      </c>
      <c r="S10">
        <f>IF(L10="Y",-SUMIF('11. TransferExport'!$A:$A,$A10,'11. TransferExport'!L:L),IF(M10="Y",SUMIF('11. TransferExport'!$B:$B,$A10,'11. TransferExport'!L:L),0))</f>
        <v>0</v>
      </c>
      <c r="T10">
        <f>IF($L10="Y",-SUMIF('11. TransferExport'!$A:$A,$A10,'11. TransferExport'!M:M),IF($M10="Y",SUMIF('11. TransferExport'!$B:$B,$A10,'11. TransferExport'!M:M),0))</f>
        <v>0</v>
      </c>
      <c r="U10">
        <f>IF($L10="Y",-SUMIF('11. TransferExport'!$A:$A,$A10,'11. TransferExport'!N:N),IF($M10="Y",SUMIF('11. TransferExport'!$B:$B,$A10,'11. TransferExport'!N:N),0))</f>
        <v>0</v>
      </c>
      <c r="V10">
        <f>IF($L10="Y",-SUMIF('11. TransferExport'!$A:$A,$A10,'11. TransferExport'!O:O),IF($M10="Y",SUMIF('11. TransferExport'!$B:$B,$A10,'11. TransferExport'!O:O),0))</f>
        <v>0</v>
      </c>
      <c r="W10" s="90">
        <f t="shared" si="1"/>
        <v>0</v>
      </c>
      <c r="X10" s="90">
        <f t="shared" si="2"/>
        <v>0</v>
      </c>
      <c r="Y10" s="90">
        <f t="shared" si="3"/>
        <v>0</v>
      </c>
      <c r="Z10" s="90">
        <f t="shared" si="4"/>
        <v>0</v>
      </c>
      <c r="AA10" s="91">
        <f t="shared" si="5"/>
        <v>0</v>
      </c>
      <c r="AB10" s="96">
        <f>VLOOKUP(A10,'8. Demand data categorization'!A:N,3,FALSE)</f>
        <v>12</v>
      </c>
      <c r="AC10" s="95" t="str">
        <f>VLOOKUP(A10,'8. Demand data categorization'!A:N,14,FALSE)</f>
        <v>Y</v>
      </c>
      <c r="AD10" t="str">
        <f t="shared" si="6"/>
        <v>Giving</v>
      </c>
    </row>
    <row r="11" spans="1:30" x14ac:dyDescent="0.25">
      <c r="A11" s="107" t="s">
        <v>101</v>
      </c>
      <c r="B11" t="str">
        <f>IF(ISERROR(VLOOKUP(A11, '8. Demand data categorization'!A:M,13,FALSE)),"ERROR",IF((VLOOKUP(A11, '8. Demand data categorization'!A:M,13,FALSE))="-","Riparian",IF(OR(VLOOKUP(A11, '8. Demand data categorization'!A:M,13,FALSE)="1971-1990",VLOOKUP(A11, '8. Demand data categorization'!A:M,13,FALSE)="1991-Present"),"1971-Present",VLOOKUP(A11, '8. Demand data categorization'!A:M,13,FALSE))))</f>
        <v>1960-1970</v>
      </c>
      <c r="C11" s="84" t="str">
        <f>VLOOKUP(A11,'12. eWRIMS_Export'!A:K,7,FALSE)</f>
        <v>Campovida LLC</v>
      </c>
      <c r="D11">
        <f>VLOOKUP(A11,'8. Demand data categorization'!A:AJ,30,FALSE)</f>
        <v>2</v>
      </c>
      <c r="E11">
        <f>VLOOKUP(A11,'8. Demand data categorization'!A:AJ,31,FALSE)</f>
        <v>2</v>
      </c>
      <c r="F11">
        <f>VLOOKUP(A11,'8. Demand data categorization'!A:AJ,32,FALSE)</f>
        <v>2</v>
      </c>
      <c r="G11" s="84">
        <f>VLOOKUP(A11,'8. Demand data categorization'!A:AJ,33,FALSE)</f>
        <v>1</v>
      </c>
      <c r="H11" s="80">
        <f>IF(ISERROR(VLOOKUP($A11,'8. Demand data categorization'!$A:$AV,30,FALSE)),0,(VLOOKUP($A11,'8. Demand data categorization'!$A:$AV,30,FALSE))*(1-VLOOKUP($B11,'2. Forbearance thresholds'!$A$16:$F$25,3,FALSE)))</f>
        <v>1.8</v>
      </c>
      <c r="I11" s="80">
        <f>IF(ISERROR(VLOOKUP($A11,'8. Demand data categorization'!$A:$AV,31,FALSE)),0,(VLOOKUP($A11,'8. Demand data categorization'!$A:$AV,31,FALSE))*(1-VLOOKUP($B11,'2. Forbearance thresholds'!$A$16:$F$25,4,FALSE)))</f>
        <v>5.7172578984006961E-2</v>
      </c>
      <c r="J11" s="80">
        <f>IF(ISERROR(VLOOKUP($A11,'8. Demand data categorization'!$A:$AV,32,FALSE)),0,(VLOOKUP($A11,'8. Demand data categorization'!$A:$AV,32,FALSE))*(1-VLOOKUP($B11,'2. Forbearance thresholds'!$A$16:$F$25,5,FALSE)))</f>
        <v>0</v>
      </c>
      <c r="K11" s="89">
        <f>IF(ISERROR(VLOOKUP($A11,'8. Demand data categorization'!$A:$AV,33,FALSE)),0,(VLOOKUP($A11,'8. Demand data categorization'!$A:$AV,33,FALSE))*(1-VLOOKUP($B11,'2. Forbearance thresholds'!$A$16:$F$25,6,FALSE)))</f>
        <v>0</v>
      </c>
      <c r="L11" s="1" t="str">
        <f>IF(ISERROR(VLOOKUP(A11,'11. TransferExport'!A:A,1,FALSE)),"N","Y")</f>
        <v>N</v>
      </c>
      <c r="M11" s="1" t="str">
        <f>IF(ISERROR(VLOOKUP(A11,'11. TransferExport'!B:B,1,FALSE)),"N","Y")</f>
        <v>N</v>
      </c>
      <c r="N11">
        <f>IF(L11="Y",-SUMIF('11. TransferExport'!A:A,A11,'11. TransferExport'!D:D),IF(M11="Y",SUMIF('11. TransferExport'!B:B,A11,'11. TransferExport'!D:D),0))</f>
        <v>0</v>
      </c>
      <c r="O11">
        <f>IF(L11="Y",-SUMIF('11. TransferExport'!A:A,A11,'11. TransferExport'!E:E),IF(M11="Y",SUMIF('11. TransferExport'!B:B,A11,'11. TransferExport'!E:E),0))</f>
        <v>0</v>
      </c>
      <c r="P11">
        <f>IF(L11="Y",-SUMIF('11. TransferExport'!A:A,A11,'11. TransferExport'!F:F),IF(M11="Y",SUMIF('11. TransferExport'!B:B,A11,'11. TransferExport'!F:F),0))</f>
        <v>0</v>
      </c>
      <c r="Q11">
        <f>IF(L11="Y",-SUMIF('11. TransferExport'!A:A,A11,'11. TransferExport'!G:G),IF(M11="Y",SUMIF('11. TransferExport'!B:B,A11,'11. TransferExport'!G:G),0))</f>
        <v>0</v>
      </c>
      <c r="R11" s="91">
        <f t="shared" si="0"/>
        <v>1.857172578984007</v>
      </c>
      <c r="S11">
        <f>IF(L11="Y",-SUMIF('11. TransferExport'!$A:$A,$A11,'11. TransferExport'!L:L),IF(M11="Y",SUMIF('11. TransferExport'!$B:$B,$A11,'11. TransferExport'!L:L),0))</f>
        <v>0</v>
      </c>
      <c r="T11">
        <f>IF($L11="Y",-SUMIF('11. TransferExport'!$A:$A,$A11,'11. TransferExport'!M:M),IF($M11="Y",SUMIF('11. TransferExport'!$B:$B,$A11,'11. TransferExport'!M:M),0))</f>
        <v>0</v>
      </c>
      <c r="U11">
        <f>IF($L11="Y",-SUMIF('11. TransferExport'!$A:$A,$A11,'11. TransferExport'!N:N),IF($M11="Y",SUMIF('11. TransferExport'!$B:$B,$A11,'11. TransferExport'!N:N),0))</f>
        <v>0</v>
      </c>
      <c r="V11">
        <f>IF($L11="Y",-SUMIF('11. TransferExport'!$A:$A,$A11,'11. TransferExport'!O:O),IF($M11="Y",SUMIF('11. TransferExport'!$B:$B,$A11,'11. TransferExport'!O:O),0))</f>
        <v>0</v>
      </c>
      <c r="W11" s="90">
        <f t="shared" si="1"/>
        <v>1.857172578984007</v>
      </c>
      <c r="X11" s="90">
        <f t="shared" si="2"/>
        <v>1.8</v>
      </c>
      <c r="Y11" s="90">
        <f t="shared" si="3"/>
        <v>5.7172578984006961E-2</v>
      </c>
      <c r="Z11" s="90">
        <f t="shared" si="4"/>
        <v>0</v>
      </c>
      <c r="AA11" s="91">
        <f t="shared" si="5"/>
        <v>0</v>
      </c>
      <c r="AB11" s="96">
        <f>VLOOKUP(A11,'8. Demand data categorization'!A:N,3,FALSE)</f>
        <v>6</v>
      </c>
      <c r="AC11" s="95" t="str">
        <f>VLOOKUP(A11,'8. Demand data categorization'!A:N,14,FALSE)</f>
        <v>Y</v>
      </c>
      <c r="AD11" t="str">
        <f t="shared" si="6"/>
        <v>Giving</v>
      </c>
    </row>
    <row r="12" spans="1:30" x14ac:dyDescent="0.25">
      <c r="A12" s="107" t="s">
        <v>47</v>
      </c>
      <c r="B12" t="str">
        <f>IF(ISERROR(VLOOKUP(A12, '8. Demand data categorization'!A:M,13,FALSE)),"ERROR",IF((VLOOKUP(A12, '8. Demand data categorization'!A:M,13,FALSE))="-","Riparian",IF(OR(VLOOKUP(A12, '8. Demand data categorization'!A:M,13,FALSE)="1971-1990",VLOOKUP(A12, '8. Demand data categorization'!A:M,13,FALSE)="1991-Present"),"1971-Present",VLOOKUP(A12, '8. Demand data categorization'!A:M,13,FALSE))))</f>
        <v>Pre-1914</v>
      </c>
      <c r="C12" s="84" t="str">
        <f>VLOOKUP(A12,'12. eWRIMS_Export'!A:K,7,FALSE)</f>
        <v>CITY OF CLOVERDALE</v>
      </c>
      <c r="D12">
        <f>VLOOKUP(A12,'8. Demand data categorization'!A:AJ,30,FALSE)</f>
        <v>151.94999999999999</v>
      </c>
      <c r="E12">
        <f>VLOOKUP(A12,'8. Demand data categorization'!A:AJ,31,FALSE)</f>
        <v>150.22999999999999</v>
      </c>
      <c r="F12">
        <f>VLOOKUP(A12,'8. Demand data categorization'!A:AJ,32,FALSE)</f>
        <v>134.58000000000001</v>
      </c>
      <c r="G12" s="84">
        <f>VLOOKUP(A12,'8. Demand data categorization'!A:AJ,33,FALSE)</f>
        <v>113.34</v>
      </c>
      <c r="H12" s="80">
        <f>IF(ISERROR(VLOOKUP($A12,'8. Demand data categorization'!$A:$AV,30,FALSE)),0,(VLOOKUP($A12,'8. Demand data categorization'!$A:$AV,30,FALSE))*(1-VLOOKUP($B12,'2. Forbearance thresholds'!$A$16:$F$25,3,FALSE)))</f>
        <v>151.94999999999999</v>
      </c>
      <c r="I12" s="80">
        <f>IF(ISERROR(VLOOKUP($A12,'8. Demand data categorization'!$A:$AV,31,FALSE)),0,(VLOOKUP($A12,'8. Demand data categorization'!$A:$AV,31,FALSE))*(1-VLOOKUP($B12,'2. Forbearance thresholds'!$A$16:$F$25,4,FALSE)))</f>
        <v>120.184</v>
      </c>
      <c r="J12" s="80">
        <f>IF(ISERROR(VLOOKUP($A12,'8. Demand data categorization'!$A:$AV,32,FALSE)),0,(VLOOKUP($A12,'8. Demand data categorization'!$A:$AV,32,FALSE))*(1-VLOOKUP($B12,'2. Forbearance thresholds'!$A$16:$F$25,5,FALSE)))</f>
        <v>0</v>
      </c>
      <c r="K12" s="89">
        <f>IF(ISERROR(VLOOKUP($A12,'8. Demand data categorization'!$A:$AV,33,FALSE)),0,(VLOOKUP($A12,'8. Demand data categorization'!$A:$AV,33,FALSE))*(1-VLOOKUP($B12,'2. Forbearance thresholds'!$A$16:$F$25,6,FALSE)))</f>
        <v>0</v>
      </c>
      <c r="L12" s="1" t="str">
        <f>IF(ISERROR(VLOOKUP(A12,'11. TransferExport'!A:A,1,FALSE)),"N","Y")</f>
        <v>N</v>
      </c>
      <c r="M12" s="1" t="str">
        <f>IF(ISERROR(VLOOKUP(A12,'11. TransferExport'!B:B,1,FALSE)),"N","Y")</f>
        <v>N</v>
      </c>
      <c r="N12">
        <f>IF(L12="Y",-SUMIF('11. TransferExport'!A:A,A12,'11. TransferExport'!D:D),IF(M12="Y",SUMIF('11. TransferExport'!B:B,A12,'11. TransferExport'!D:D),0))</f>
        <v>0</v>
      </c>
      <c r="O12">
        <f>IF(L12="Y",-SUMIF('11. TransferExport'!A:A,A12,'11. TransferExport'!E:E),IF(M12="Y",SUMIF('11. TransferExport'!B:B,A12,'11. TransferExport'!E:E),0))</f>
        <v>0</v>
      </c>
      <c r="P12">
        <f>IF(L12="Y",-SUMIF('11. TransferExport'!A:A,A12,'11. TransferExport'!F:F),IF(M12="Y",SUMIF('11. TransferExport'!B:B,A12,'11. TransferExport'!F:F),0))</f>
        <v>0</v>
      </c>
      <c r="Q12">
        <f>IF(L12="Y",-SUMIF('11. TransferExport'!A:A,A12,'11. TransferExport'!G:G),IF(M12="Y",SUMIF('11. TransferExport'!B:B,A12,'11. TransferExport'!G:G),0))</f>
        <v>0</v>
      </c>
      <c r="R12" s="91">
        <f t="shared" si="0"/>
        <v>272.13400000000001</v>
      </c>
      <c r="S12">
        <f>IF(L12="Y",-SUMIF('11. TransferExport'!$A:$A,$A12,'11. TransferExport'!L:L),IF(M12="Y",SUMIF('11. TransferExport'!$B:$B,$A12,'11. TransferExport'!L:L),0))</f>
        <v>0</v>
      </c>
      <c r="T12">
        <f>IF($L12="Y",-SUMIF('11. TransferExport'!$A:$A,$A12,'11. TransferExport'!M:M),IF($M12="Y",SUMIF('11. TransferExport'!$B:$B,$A12,'11. TransferExport'!M:M),0))</f>
        <v>0</v>
      </c>
      <c r="U12">
        <f>IF($L12="Y",-SUMIF('11. TransferExport'!$A:$A,$A12,'11. TransferExport'!N:N),IF($M12="Y",SUMIF('11. TransferExport'!$B:$B,$A12,'11. TransferExport'!N:N),0))</f>
        <v>0</v>
      </c>
      <c r="V12">
        <f>IF($L12="Y",-SUMIF('11. TransferExport'!$A:$A,$A12,'11. TransferExport'!O:O),IF($M12="Y",SUMIF('11. TransferExport'!$B:$B,$A12,'11. TransferExport'!O:O),0))</f>
        <v>0</v>
      </c>
      <c r="W12" s="90">
        <f t="shared" si="1"/>
        <v>272.13400000000001</v>
      </c>
      <c r="X12" s="90">
        <f t="shared" si="2"/>
        <v>151.94999999999999</v>
      </c>
      <c r="Y12" s="90">
        <f t="shared" si="3"/>
        <v>120.184</v>
      </c>
      <c r="Z12" s="90">
        <f t="shared" si="4"/>
        <v>0</v>
      </c>
      <c r="AA12" s="91">
        <f t="shared" si="5"/>
        <v>0</v>
      </c>
      <c r="AB12" s="96">
        <f>VLOOKUP(A12,'8. Demand data categorization'!A:N,3,FALSE)</f>
        <v>9</v>
      </c>
      <c r="AC12" s="95" t="str">
        <f>VLOOKUP(A12,'8. Demand data categorization'!A:N,14,FALSE)</f>
        <v>Y</v>
      </c>
      <c r="AD12" t="str">
        <f t="shared" si="6"/>
        <v>No Change</v>
      </c>
    </row>
    <row r="13" spans="1:30" x14ac:dyDescent="0.25">
      <c r="A13" s="107" t="s">
        <v>54</v>
      </c>
      <c r="B13" t="str">
        <f>IF(ISERROR(VLOOKUP(A13, '8. Demand data categorization'!A:M,13,FALSE)),"ERROR",IF((VLOOKUP(A13, '8. Demand data categorization'!A:M,13,FALSE))="-","Riparian",IF(OR(VLOOKUP(A13, '8. Demand data categorization'!A:M,13,FALSE)="1971-1990",VLOOKUP(A13, '8. Demand data categorization'!A:M,13,FALSE)="1991-Present"),"1971-Present",VLOOKUP(A13, '8. Demand data categorization'!A:M,13,FALSE))))</f>
        <v>Pre-1949 + 1949</v>
      </c>
      <c r="C13" s="84" t="str">
        <f>VLOOKUP(A13,'12. eWRIMS_Export'!A:K,7,FALSE)</f>
        <v>CITY OF HEALDSBURG</v>
      </c>
      <c r="D13">
        <f>VLOOKUP(A13,'8. Demand data categorization'!A:AJ,30,FALSE)</f>
        <v>88.45</v>
      </c>
      <c r="E13">
        <f>VLOOKUP(A13,'8. Demand data categorization'!A:AJ,31,FALSE)</f>
        <v>89.86</v>
      </c>
      <c r="F13">
        <f>VLOOKUP(A13,'8. Demand data categorization'!A:AJ,32,FALSE)</f>
        <v>78.44</v>
      </c>
      <c r="G13" s="84">
        <f>VLOOKUP(A13,'8. Demand data categorization'!A:AJ,33,FALSE)</f>
        <v>69.19</v>
      </c>
      <c r="H13" s="80">
        <f>IF(ISERROR(VLOOKUP($A13,'8. Demand data categorization'!$A:$AV,30,FALSE)),0,(VLOOKUP($A13,'8. Demand data categorization'!$A:$AV,30,FALSE))*(1-VLOOKUP($B13,'2. Forbearance thresholds'!$A$16:$F$25,3,FALSE)))</f>
        <v>88.45</v>
      </c>
      <c r="I13" s="80">
        <f>IF(ISERROR(VLOOKUP($A13,'8. Demand data categorization'!$A:$AV,31,FALSE)),0,(VLOOKUP($A13,'8. Demand data categorization'!$A:$AV,31,FALSE))*(1-VLOOKUP($B13,'2. Forbearance thresholds'!$A$16:$F$25,4,FALSE)))</f>
        <v>2.5687639737514329</v>
      </c>
      <c r="J13" s="80">
        <f>IF(ISERROR(VLOOKUP($A13,'8. Demand data categorization'!$A:$AV,32,FALSE)),0,(VLOOKUP($A13,'8. Demand data categorization'!$A:$AV,32,FALSE))*(1-VLOOKUP($B13,'2. Forbearance thresholds'!$A$16:$F$25,5,FALSE)))</f>
        <v>0</v>
      </c>
      <c r="K13" s="89">
        <f>IF(ISERROR(VLOOKUP($A13,'8. Demand data categorization'!$A:$AV,33,FALSE)),0,(VLOOKUP($A13,'8. Demand data categorization'!$A:$AV,33,FALSE))*(1-VLOOKUP($B13,'2. Forbearance thresholds'!$A$16:$F$25,6,FALSE)))</f>
        <v>0</v>
      </c>
      <c r="L13" s="1" t="str">
        <f>IF(ISERROR(VLOOKUP(A13,'11. TransferExport'!A:A,1,FALSE)),"N","Y")</f>
        <v>N</v>
      </c>
      <c r="M13" s="1" t="str">
        <f>IF(ISERROR(VLOOKUP(A13,'11. TransferExport'!B:B,1,FALSE)),"N","Y")</f>
        <v>N</v>
      </c>
      <c r="N13">
        <f>IF(L13="Y",-SUMIF('11. TransferExport'!A:A,A13,'11. TransferExport'!D:D),IF(M13="Y",SUMIF('11. TransferExport'!B:B,A13,'11. TransferExport'!D:D),0))</f>
        <v>0</v>
      </c>
      <c r="O13">
        <f>IF(L13="Y",-SUMIF('11. TransferExport'!A:A,A13,'11. TransferExport'!E:E),IF(M13="Y",SUMIF('11. TransferExport'!B:B,A13,'11. TransferExport'!E:E),0))</f>
        <v>0</v>
      </c>
      <c r="P13">
        <f>IF(L13="Y",-SUMIF('11. TransferExport'!A:A,A13,'11. TransferExport'!F:F),IF(M13="Y",SUMIF('11. TransferExport'!B:B,A13,'11. TransferExport'!F:F),0))</f>
        <v>0</v>
      </c>
      <c r="Q13">
        <f>IF(L13="Y",-SUMIF('11. TransferExport'!A:A,A13,'11. TransferExport'!G:G),IF(M13="Y",SUMIF('11. TransferExport'!B:B,A13,'11. TransferExport'!G:G),0))</f>
        <v>0</v>
      </c>
      <c r="R13" s="91">
        <f t="shared" si="0"/>
        <v>91.018763973751433</v>
      </c>
      <c r="S13">
        <f>IF(L13="Y",-SUMIF('11. TransferExport'!$A:$A,$A13,'11. TransferExport'!L:L),IF(M13="Y",SUMIF('11. TransferExport'!$B:$B,$A13,'11. TransferExport'!L:L),0))</f>
        <v>0</v>
      </c>
      <c r="T13">
        <f>IF($L13="Y",-SUMIF('11. TransferExport'!$A:$A,$A13,'11. TransferExport'!M:M),IF($M13="Y",SUMIF('11. TransferExport'!$B:$B,$A13,'11. TransferExport'!M:M),0))</f>
        <v>0</v>
      </c>
      <c r="U13">
        <f>IF($L13="Y",-SUMIF('11. TransferExport'!$A:$A,$A13,'11. TransferExport'!N:N),IF($M13="Y",SUMIF('11. TransferExport'!$B:$B,$A13,'11. TransferExport'!N:N),0))</f>
        <v>0</v>
      </c>
      <c r="V13">
        <f>IF($L13="Y",-SUMIF('11. TransferExport'!$A:$A,$A13,'11. TransferExport'!O:O),IF($M13="Y",SUMIF('11. TransferExport'!$B:$B,$A13,'11. TransferExport'!O:O),0))</f>
        <v>0</v>
      </c>
      <c r="W13" s="90">
        <f t="shared" si="1"/>
        <v>91.018763973751433</v>
      </c>
      <c r="X13" s="90">
        <f t="shared" si="2"/>
        <v>88.45</v>
      </c>
      <c r="Y13" s="90">
        <f t="shared" si="3"/>
        <v>2.5687639737514329</v>
      </c>
      <c r="Z13" s="90">
        <f t="shared" si="4"/>
        <v>0</v>
      </c>
      <c r="AA13" s="91">
        <f t="shared" si="5"/>
        <v>0</v>
      </c>
      <c r="AB13" s="96">
        <f>VLOOKUP(A13,'8. Demand data categorization'!A:N,3,FALSE)</f>
        <v>12</v>
      </c>
      <c r="AC13" s="95" t="str">
        <f>VLOOKUP(A13,'8. Demand data categorization'!A:N,14,FALSE)</f>
        <v>Y</v>
      </c>
      <c r="AD13" t="str">
        <f t="shared" si="6"/>
        <v>No Change</v>
      </c>
    </row>
    <row r="14" spans="1:30" x14ac:dyDescent="0.25">
      <c r="A14" s="107" t="s">
        <v>150</v>
      </c>
      <c r="B14" t="str">
        <f>IF(ISERROR(VLOOKUP(A14, '8. Demand data categorization'!A:M,13,FALSE)),"ERROR",IF((VLOOKUP(A14, '8. Demand data categorization'!A:M,13,FALSE))="-","Riparian",IF(OR(VLOOKUP(A14, '8. Demand data categorization'!A:M,13,FALSE)="1971-1990",VLOOKUP(A14, '8. Demand data categorization'!A:M,13,FALSE)="1991-Present"),"1971-Present",VLOOKUP(A14, '8. Demand data categorization'!A:M,13,FALSE))))</f>
        <v>1955-1956</v>
      </c>
      <c r="C14" s="84" t="str">
        <f>VLOOKUP(A14,'12. eWRIMS_Export'!A:K,7,FALSE)</f>
        <v>CITY OF HEALDSBURG</v>
      </c>
      <c r="D14">
        <f>VLOOKUP(A14,'8. Demand data categorization'!A:AJ,30,FALSE)</f>
        <v>117.18</v>
      </c>
      <c r="E14">
        <f>VLOOKUP(A14,'8. Demand data categorization'!A:AJ,31,FALSE)</f>
        <v>126.86</v>
      </c>
      <c r="F14">
        <f>VLOOKUP(A14,'8. Demand data categorization'!A:AJ,32,FALSE)</f>
        <v>107.72</v>
      </c>
      <c r="G14" s="84">
        <f>VLOOKUP(A14,'8. Demand data categorization'!A:AJ,33,FALSE)</f>
        <v>103.25</v>
      </c>
      <c r="H14" s="80">
        <f>IF(ISERROR(VLOOKUP($A14,'8. Demand data categorization'!$A:$AV,30,FALSE)),0,(VLOOKUP($A14,'8. Demand data categorization'!$A:$AV,30,FALSE))*(1-VLOOKUP($B14,'2. Forbearance thresholds'!$A$16:$F$25,3,FALSE)))</f>
        <v>105.462</v>
      </c>
      <c r="I14" s="80">
        <f>IF(ISERROR(VLOOKUP($A14,'8. Demand data categorization'!$A:$AV,31,FALSE)),0,(VLOOKUP($A14,'8. Demand data categorization'!$A:$AV,31,FALSE))*(1-VLOOKUP($B14,'2. Forbearance thresholds'!$A$16:$F$25,4,FALSE)))</f>
        <v>3.6264566849555617</v>
      </c>
      <c r="J14" s="80">
        <f>IF(ISERROR(VLOOKUP($A14,'8. Demand data categorization'!$A:$AV,32,FALSE)),0,(VLOOKUP($A14,'8. Demand data categorization'!$A:$AV,32,FALSE))*(1-VLOOKUP($B14,'2. Forbearance thresholds'!$A$16:$F$25,5,FALSE)))</f>
        <v>0</v>
      </c>
      <c r="K14" s="89">
        <f>IF(ISERROR(VLOOKUP($A14,'8. Demand data categorization'!$A:$AV,33,FALSE)),0,(VLOOKUP($A14,'8. Demand data categorization'!$A:$AV,33,FALSE))*(1-VLOOKUP($B14,'2. Forbearance thresholds'!$A$16:$F$25,6,FALSE)))</f>
        <v>0</v>
      </c>
      <c r="L14" s="1" t="str">
        <f>IF(ISERROR(VLOOKUP(A14,'11. TransferExport'!A:A,1,FALSE)),"N","Y")</f>
        <v>N</v>
      </c>
      <c r="M14" s="1" t="str">
        <f>IF(ISERROR(VLOOKUP(A14,'11. TransferExport'!B:B,1,FALSE)),"N","Y")</f>
        <v>N</v>
      </c>
      <c r="N14">
        <f>IF(L14="Y",-SUMIF('11. TransferExport'!A:A,A14,'11. TransferExport'!D:D),IF(M14="Y",SUMIF('11. TransferExport'!B:B,A14,'11. TransferExport'!D:D),0))</f>
        <v>0</v>
      </c>
      <c r="O14">
        <f>IF(L14="Y",-SUMIF('11. TransferExport'!A:A,A14,'11. TransferExport'!E:E),IF(M14="Y",SUMIF('11. TransferExport'!B:B,A14,'11. TransferExport'!E:E),0))</f>
        <v>0</v>
      </c>
      <c r="P14">
        <f>IF(L14="Y",-SUMIF('11. TransferExport'!A:A,A14,'11. TransferExport'!F:F),IF(M14="Y",SUMIF('11. TransferExport'!B:B,A14,'11. TransferExport'!F:F),0))</f>
        <v>0</v>
      </c>
      <c r="Q14">
        <f>IF(L14="Y",-SUMIF('11. TransferExport'!A:A,A14,'11. TransferExport'!G:G),IF(M14="Y",SUMIF('11. TransferExport'!B:B,A14,'11. TransferExport'!G:G),0))</f>
        <v>0</v>
      </c>
      <c r="R14" s="91">
        <f t="shared" si="0"/>
        <v>109.08845668495556</v>
      </c>
      <c r="S14">
        <f>IF(L14="Y",-SUMIF('11. TransferExport'!$A:$A,$A14,'11. TransferExport'!L:L),IF(M14="Y",SUMIF('11. TransferExport'!$B:$B,$A14,'11. TransferExport'!L:L),0))</f>
        <v>0</v>
      </c>
      <c r="T14">
        <f>IF($L14="Y",-SUMIF('11. TransferExport'!$A:$A,$A14,'11. TransferExport'!M:M),IF($M14="Y",SUMIF('11. TransferExport'!$B:$B,$A14,'11. TransferExport'!M:M),0))</f>
        <v>0</v>
      </c>
      <c r="U14">
        <f>IF($L14="Y",-SUMIF('11. TransferExport'!$A:$A,$A14,'11. TransferExport'!N:N),IF($M14="Y",SUMIF('11. TransferExport'!$B:$B,$A14,'11. TransferExport'!N:N),0))</f>
        <v>0</v>
      </c>
      <c r="V14">
        <f>IF($L14="Y",-SUMIF('11. TransferExport'!$A:$A,$A14,'11. TransferExport'!O:O),IF($M14="Y",SUMIF('11. TransferExport'!$B:$B,$A14,'11. TransferExport'!O:O),0))</f>
        <v>0</v>
      </c>
      <c r="W14" s="90">
        <f t="shared" si="1"/>
        <v>109.08845668495556</v>
      </c>
      <c r="X14" s="90">
        <f t="shared" si="2"/>
        <v>105.462</v>
      </c>
      <c r="Y14" s="90">
        <f t="shared" si="3"/>
        <v>3.6264566849555617</v>
      </c>
      <c r="Z14" s="90">
        <f t="shared" si="4"/>
        <v>0</v>
      </c>
      <c r="AA14" s="91">
        <f t="shared" si="5"/>
        <v>0</v>
      </c>
      <c r="AB14" s="96">
        <f>VLOOKUP(A14,'8. Demand data categorization'!A:N,3,FALSE)</f>
        <v>12</v>
      </c>
      <c r="AC14" s="95" t="str">
        <f>VLOOKUP(A14,'8. Demand data categorization'!A:N,14,FALSE)</f>
        <v>Y</v>
      </c>
      <c r="AD14" t="str">
        <f t="shared" si="6"/>
        <v>Giving</v>
      </c>
    </row>
    <row r="15" spans="1:30" x14ac:dyDescent="0.25">
      <c r="A15" s="107" t="s">
        <v>107</v>
      </c>
      <c r="B15" t="str">
        <f>IF(ISERROR(VLOOKUP(A15, '8. Demand data categorization'!A:M,13,FALSE)),"ERROR",IF((VLOOKUP(A15, '8. Demand data categorization'!A:M,13,FALSE))="-","Riparian",IF(OR(VLOOKUP(A15, '8. Demand data categorization'!A:M,13,FALSE)="1971-1990",VLOOKUP(A15, '8. Demand data categorization'!A:M,13,FALSE)="1991-Present"),"1971-Present",VLOOKUP(A15, '8. Demand data categorization'!A:M,13,FALSE))))</f>
        <v>1957-1959</v>
      </c>
      <c r="C15" s="84" t="str">
        <f>VLOOKUP(A15,'12. eWRIMS_Export'!A:K,7,FALSE)</f>
        <v>CITY OF HEALDSBURG - FITCH MOUNTAIN</v>
      </c>
      <c r="D15">
        <f>VLOOKUP(A15,'8. Demand data categorization'!A:AJ,30,FALSE)</f>
        <v>7.22</v>
      </c>
      <c r="E15">
        <f>VLOOKUP(A15,'8. Demand data categorization'!A:AJ,31,FALSE)</f>
        <v>6.75</v>
      </c>
      <c r="F15">
        <f>VLOOKUP(A15,'8. Demand data categorization'!A:AJ,32,FALSE)</f>
        <v>6.9</v>
      </c>
      <c r="G15" s="84">
        <f>VLOOKUP(A15,'8. Demand data categorization'!A:AJ,33,FALSE)</f>
        <v>5.77</v>
      </c>
      <c r="H15" s="80">
        <f>IF(ISERROR(VLOOKUP($A15,'8. Demand data categorization'!$A:$AV,30,FALSE)),0,(VLOOKUP($A15,'8. Demand data categorization'!$A:$AV,30,FALSE))*(1-VLOOKUP($B15,'2. Forbearance thresholds'!$A$16:$F$25,3,FALSE)))</f>
        <v>6.4980000000000002</v>
      </c>
      <c r="I15" s="80">
        <f>IF(ISERROR(VLOOKUP($A15,'8. Demand data categorization'!$A:$AV,31,FALSE)),0,(VLOOKUP($A15,'8. Demand data categorization'!$A:$AV,31,FALSE))*(1-VLOOKUP($B15,'2. Forbearance thresholds'!$A$16:$F$25,4,FALSE)))</f>
        <v>0.19295745407102349</v>
      </c>
      <c r="J15" s="80">
        <f>IF(ISERROR(VLOOKUP($A15,'8. Demand data categorization'!$A:$AV,32,FALSE)),0,(VLOOKUP($A15,'8. Demand data categorization'!$A:$AV,32,FALSE))*(1-VLOOKUP($B15,'2. Forbearance thresholds'!$A$16:$F$25,5,FALSE)))</f>
        <v>0</v>
      </c>
      <c r="K15" s="89">
        <f>IF(ISERROR(VLOOKUP($A15,'8. Demand data categorization'!$A:$AV,33,FALSE)),0,(VLOOKUP($A15,'8. Demand data categorization'!$A:$AV,33,FALSE))*(1-VLOOKUP($B15,'2. Forbearance thresholds'!$A$16:$F$25,6,FALSE)))</f>
        <v>0</v>
      </c>
      <c r="L15" s="1" t="str">
        <f>IF(ISERROR(VLOOKUP(A15,'11. TransferExport'!A:A,1,FALSE)),"N","Y")</f>
        <v>N</v>
      </c>
      <c r="M15" s="1" t="str">
        <f>IF(ISERROR(VLOOKUP(A15,'11. TransferExport'!B:B,1,FALSE)),"N","Y")</f>
        <v>N</v>
      </c>
      <c r="N15">
        <f>IF(L15="Y",-SUMIF('11. TransferExport'!A:A,A15,'11. TransferExport'!D:D),IF(M15="Y",SUMIF('11. TransferExport'!B:B,A15,'11. TransferExport'!D:D),0))</f>
        <v>0</v>
      </c>
      <c r="O15">
        <f>IF(L15="Y",-SUMIF('11. TransferExport'!A:A,A15,'11. TransferExport'!E:E),IF(M15="Y",SUMIF('11. TransferExport'!B:B,A15,'11. TransferExport'!E:E),0))</f>
        <v>0</v>
      </c>
      <c r="P15">
        <f>IF(L15="Y",-SUMIF('11. TransferExport'!A:A,A15,'11. TransferExport'!F:F),IF(M15="Y",SUMIF('11. TransferExport'!B:B,A15,'11. TransferExport'!F:F),0))</f>
        <v>0</v>
      </c>
      <c r="Q15">
        <f>IF(L15="Y",-SUMIF('11. TransferExport'!A:A,A15,'11. TransferExport'!G:G),IF(M15="Y",SUMIF('11. TransferExport'!B:B,A15,'11. TransferExport'!G:G),0))</f>
        <v>0</v>
      </c>
      <c r="R15" s="91">
        <f t="shared" si="0"/>
        <v>6.6909574540710235</v>
      </c>
      <c r="S15">
        <f>IF(L15="Y",-SUMIF('11. TransferExport'!$A:$A,$A15,'11. TransferExport'!L:L),IF(M15="Y",SUMIF('11. TransferExport'!$B:$B,$A15,'11. TransferExport'!L:L),0))</f>
        <v>0</v>
      </c>
      <c r="T15">
        <f>IF($L15="Y",-SUMIF('11. TransferExport'!$A:$A,$A15,'11. TransferExport'!M:M),IF($M15="Y",SUMIF('11. TransferExport'!$B:$B,$A15,'11. TransferExport'!M:M),0))</f>
        <v>0</v>
      </c>
      <c r="U15">
        <f>IF($L15="Y",-SUMIF('11. TransferExport'!$A:$A,$A15,'11. TransferExport'!N:N),IF($M15="Y",SUMIF('11. TransferExport'!$B:$B,$A15,'11. TransferExport'!N:N),0))</f>
        <v>0</v>
      </c>
      <c r="V15">
        <f>IF($L15="Y",-SUMIF('11. TransferExport'!$A:$A,$A15,'11. TransferExport'!O:O),IF($M15="Y",SUMIF('11. TransferExport'!$B:$B,$A15,'11. TransferExport'!O:O),0))</f>
        <v>0</v>
      </c>
      <c r="W15" s="90">
        <f t="shared" si="1"/>
        <v>6.6909574540710235</v>
      </c>
      <c r="X15" s="90">
        <f t="shared" si="2"/>
        <v>6.4980000000000002</v>
      </c>
      <c r="Y15" s="90">
        <f t="shared" si="3"/>
        <v>0.19295745407102349</v>
      </c>
      <c r="Z15" s="90">
        <f t="shared" si="4"/>
        <v>0</v>
      </c>
      <c r="AA15" s="91">
        <f t="shared" si="5"/>
        <v>0</v>
      </c>
      <c r="AB15" s="96">
        <f>VLOOKUP(A15,'8. Demand data categorization'!A:N,3,FALSE)</f>
        <v>13</v>
      </c>
      <c r="AC15" s="95" t="str">
        <f>VLOOKUP(A15,'8. Demand data categorization'!A:N,14,FALSE)</f>
        <v>Y</v>
      </c>
      <c r="AD15" t="str">
        <f t="shared" si="6"/>
        <v>Giving</v>
      </c>
    </row>
    <row r="16" spans="1:30" x14ac:dyDescent="0.25">
      <c r="A16" s="107" t="s">
        <v>89</v>
      </c>
      <c r="B16" t="str">
        <f>IF(ISERROR(VLOOKUP(A16, '8. Demand data categorization'!A:M,13,FALSE)),"ERROR",IF((VLOOKUP(A16, '8. Demand data categorization'!A:M,13,FALSE))="-","Riparian",IF(OR(VLOOKUP(A16, '8. Demand data categorization'!A:M,13,FALSE)="1971-1990",VLOOKUP(A16, '8. Demand data categorization'!A:M,13,FALSE)="1991-Present"),"1971-Present",VLOOKUP(A16, '8. Demand data categorization'!A:M,13,FALSE))))</f>
        <v>1953-1954</v>
      </c>
      <c r="C16" s="84" t="str">
        <f>VLOOKUP(A16,'12. eWRIMS_Export'!A:K,7,FALSE)</f>
        <v>CITY OF UKIAH</v>
      </c>
      <c r="D16">
        <f>VLOOKUP(A16,'8. Demand data categorization'!A:AJ,30,FALSE)</f>
        <v>171.1</v>
      </c>
      <c r="E16">
        <f>VLOOKUP(A16,'8. Demand data categorization'!A:AJ,31,FALSE)</f>
        <v>176.46</v>
      </c>
      <c r="F16">
        <f>VLOOKUP(A16,'8. Demand data categorization'!A:AJ,32,FALSE)</f>
        <v>119.13</v>
      </c>
      <c r="G16" s="84">
        <f>VLOOKUP(A16,'8. Demand data categorization'!A:AJ,33,FALSE)</f>
        <v>57.8</v>
      </c>
      <c r="H16" s="80">
        <f>IF(ISERROR(VLOOKUP($A16,'8. Demand data categorization'!$A:$AV,30,FALSE)),0,(VLOOKUP($A16,'8. Demand data categorization'!$A:$AV,30,FALSE))*(1-VLOOKUP($B16,'2. Forbearance thresholds'!$A$16:$F$25,3,FALSE)))</f>
        <v>153.99</v>
      </c>
      <c r="I16" s="80">
        <f>IF(ISERROR(VLOOKUP($A16,'8. Demand data categorization'!$A:$AV,31,FALSE)),0,(VLOOKUP($A16,'8. Demand data categorization'!$A:$AV,31,FALSE))*(1-VLOOKUP($B16,'2. Forbearance thresholds'!$A$16:$F$25,4,FALSE)))</f>
        <v>5.0443366437589345</v>
      </c>
      <c r="J16" s="80">
        <f>IF(ISERROR(VLOOKUP($A16,'8. Demand data categorization'!$A:$AV,32,FALSE)),0,(VLOOKUP($A16,'8. Demand data categorization'!$A:$AV,32,FALSE))*(1-VLOOKUP($B16,'2. Forbearance thresholds'!$A$16:$F$25,5,FALSE)))</f>
        <v>0</v>
      </c>
      <c r="K16" s="89">
        <f>IF(ISERROR(VLOOKUP($A16,'8. Demand data categorization'!$A:$AV,33,FALSE)),0,(VLOOKUP($A16,'8. Demand data categorization'!$A:$AV,33,FALSE))*(1-VLOOKUP($B16,'2. Forbearance thresholds'!$A$16:$F$25,6,FALSE)))</f>
        <v>0</v>
      </c>
      <c r="L16" s="1" t="str">
        <f>IF(ISERROR(VLOOKUP(A16,'11. TransferExport'!A:A,1,FALSE)),"N","Y")</f>
        <v>N</v>
      </c>
      <c r="M16" s="1" t="str">
        <f>IF(ISERROR(VLOOKUP(A16,'11. TransferExport'!B:B,1,FALSE)),"N","Y")</f>
        <v>N</v>
      </c>
      <c r="N16">
        <f>IF(L16="Y",-SUMIF('11. TransferExport'!A:A,A16,'11. TransferExport'!D:D),IF(M16="Y",SUMIF('11. TransferExport'!B:B,A16,'11. TransferExport'!D:D),0))</f>
        <v>0</v>
      </c>
      <c r="O16">
        <f>IF(L16="Y",-SUMIF('11. TransferExport'!A:A,A16,'11. TransferExport'!E:E),IF(M16="Y",SUMIF('11. TransferExport'!B:B,A16,'11. TransferExport'!E:E),0))</f>
        <v>0</v>
      </c>
      <c r="P16">
        <f>IF(L16="Y",-SUMIF('11. TransferExport'!A:A,A16,'11. TransferExport'!F:F),IF(M16="Y",SUMIF('11. TransferExport'!B:B,A16,'11. TransferExport'!F:F),0))</f>
        <v>0</v>
      </c>
      <c r="Q16">
        <f>IF(L16="Y",-SUMIF('11. TransferExport'!A:A,A16,'11. TransferExport'!G:G),IF(M16="Y",SUMIF('11. TransferExport'!B:B,A16,'11. TransferExport'!G:G),0))</f>
        <v>0</v>
      </c>
      <c r="R16" s="91">
        <f t="shared" si="0"/>
        <v>159.03433664375893</v>
      </c>
      <c r="S16">
        <f>IF(L16="Y",-SUMIF('11. TransferExport'!$A:$A,$A16,'11. TransferExport'!L:L),IF(M16="Y",SUMIF('11. TransferExport'!$B:$B,$A16,'11. TransferExport'!L:L),0))</f>
        <v>0</v>
      </c>
      <c r="T16">
        <f>IF($L16="Y",-SUMIF('11. TransferExport'!$A:$A,$A16,'11. TransferExport'!M:M),IF($M16="Y",SUMIF('11. TransferExport'!$B:$B,$A16,'11. TransferExport'!M:M),0))</f>
        <v>0</v>
      </c>
      <c r="U16">
        <f>IF($L16="Y",-SUMIF('11. TransferExport'!$A:$A,$A16,'11. TransferExport'!N:N),IF($M16="Y",SUMIF('11. TransferExport'!$B:$B,$A16,'11. TransferExport'!N:N),0))</f>
        <v>0</v>
      </c>
      <c r="V16">
        <f>IF($L16="Y",-SUMIF('11. TransferExport'!$A:$A,$A16,'11. TransferExport'!O:O),IF($M16="Y",SUMIF('11. TransferExport'!$B:$B,$A16,'11. TransferExport'!O:O),0))</f>
        <v>0</v>
      </c>
      <c r="W16" s="90">
        <f t="shared" si="1"/>
        <v>159.03433664375893</v>
      </c>
      <c r="X16" s="90">
        <f t="shared" si="2"/>
        <v>153.99</v>
      </c>
      <c r="Y16" s="90">
        <f t="shared" si="3"/>
        <v>5.0443366437589345</v>
      </c>
      <c r="Z16" s="90">
        <f t="shared" si="4"/>
        <v>0</v>
      </c>
      <c r="AA16" s="91">
        <f t="shared" si="5"/>
        <v>0</v>
      </c>
      <c r="AB16" s="96">
        <f>VLOOKUP(A16,'8. Demand data categorization'!A:N,3,FALSE)</f>
        <v>4</v>
      </c>
      <c r="AC16" s="95" t="str">
        <f>VLOOKUP(A16,'8. Demand data categorization'!A:N,14,FALSE)</f>
        <v>Y</v>
      </c>
      <c r="AD16" t="str">
        <f t="shared" si="6"/>
        <v>Giving</v>
      </c>
    </row>
    <row r="17" spans="1:30" x14ac:dyDescent="0.25">
      <c r="A17" s="107" t="s">
        <v>90</v>
      </c>
      <c r="B17" t="str">
        <f>IF(ISERROR(VLOOKUP(A17, '8. Demand data categorization'!A:M,13,FALSE)),"ERROR",IF((VLOOKUP(A17, '8. Demand data categorization'!A:M,13,FALSE))="-","Riparian",IF(OR(VLOOKUP(A17, '8. Demand data categorization'!A:M,13,FALSE)="1971-1990",VLOOKUP(A17, '8. Demand data categorization'!A:M,13,FALSE)="1991-Present"),"1971-Present",VLOOKUP(A17, '8. Demand data categorization'!A:M,13,FALSE))))</f>
        <v>Pre-1914</v>
      </c>
      <c r="C17" s="84" t="str">
        <f>VLOOKUP(A17,'12. eWRIMS_Export'!A:K,7,FALSE)</f>
        <v>CITY OF UKIAH</v>
      </c>
      <c r="D17">
        <f>VLOOKUP(A17,'8. Demand data categorization'!A:AJ,30,FALSE)</f>
        <v>8.16</v>
      </c>
      <c r="E17">
        <f>VLOOKUP(A17,'8. Demand data categorization'!A:AJ,31,FALSE)</f>
        <v>0</v>
      </c>
      <c r="F17">
        <f>VLOOKUP(A17,'8. Demand data categorization'!A:AJ,32,FALSE)</f>
        <v>0</v>
      </c>
      <c r="G17" s="84">
        <f>VLOOKUP(A17,'8. Demand data categorization'!A:AJ,33,FALSE)</f>
        <v>13.06</v>
      </c>
      <c r="H17" s="80">
        <f>IF(ISERROR(VLOOKUP($A17,'8. Demand data categorization'!$A:$AV,30,FALSE)),0,(VLOOKUP($A17,'8. Demand data categorization'!$A:$AV,30,FALSE))*(1-VLOOKUP($B17,'2. Forbearance thresholds'!$A$16:$F$25,3,FALSE)))</f>
        <v>8.16</v>
      </c>
      <c r="I17" s="80">
        <f>IF(ISERROR(VLOOKUP($A17,'8. Demand data categorization'!$A:$AV,31,FALSE)),0,(VLOOKUP($A17,'8. Demand data categorization'!$A:$AV,31,FALSE))*(1-VLOOKUP($B17,'2. Forbearance thresholds'!$A$16:$F$25,4,FALSE)))</f>
        <v>0</v>
      </c>
      <c r="J17" s="80">
        <f>IF(ISERROR(VLOOKUP($A17,'8. Demand data categorization'!$A:$AV,32,FALSE)),0,(VLOOKUP($A17,'8. Demand data categorization'!$A:$AV,32,FALSE))*(1-VLOOKUP($B17,'2. Forbearance thresholds'!$A$16:$F$25,5,FALSE)))</f>
        <v>0</v>
      </c>
      <c r="K17" s="89">
        <f>IF(ISERROR(VLOOKUP($A17,'8. Demand data categorization'!$A:$AV,33,FALSE)),0,(VLOOKUP($A17,'8. Demand data categorization'!$A:$AV,33,FALSE))*(1-VLOOKUP($B17,'2. Forbearance thresholds'!$A$16:$F$25,6,FALSE)))</f>
        <v>0</v>
      </c>
      <c r="L17" s="1" t="str">
        <f>IF(ISERROR(VLOOKUP(A17,'11. TransferExport'!A:A,1,FALSE)),"N","Y")</f>
        <v>N</v>
      </c>
      <c r="M17" s="1" t="str">
        <f>IF(ISERROR(VLOOKUP(A17,'11. TransferExport'!B:B,1,FALSE)),"N","Y")</f>
        <v>N</v>
      </c>
      <c r="N17">
        <f>IF(L17="Y",-SUMIF('11. TransferExport'!A:A,A17,'11. TransferExport'!D:D),IF(M17="Y",SUMIF('11. TransferExport'!B:B,A17,'11. TransferExport'!D:D),0))</f>
        <v>0</v>
      </c>
      <c r="O17">
        <f>IF(L17="Y",-SUMIF('11. TransferExport'!A:A,A17,'11. TransferExport'!E:E),IF(M17="Y",SUMIF('11. TransferExport'!B:B,A17,'11. TransferExport'!E:E),0))</f>
        <v>0</v>
      </c>
      <c r="P17">
        <f>IF(L17="Y",-SUMIF('11. TransferExport'!A:A,A17,'11. TransferExport'!F:F),IF(M17="Y",SUMIF('11. TransferExport'!B:B,A17,'11. TransferExport'!F:F),0))</f>
        <v>0</v>
      </c>
      <c r="Q17">
        <f>IF(L17="Y",-SUMIF('11. TransferExport'!A:A,A17,'11. TransferExport'!G:G),IF(M17="Y",SUMIF('11. TransferExport'!B:B,A17,'11. TransferExport'!G:G),0))</f>
        <v>0</v>
      </c>
      <c r="R17" s="91">
        <f t="shared" si="0"/>
        <v>8.16</v>
      </c>
      <c r="S17">
        <f>IF(L17="Y",-SUMIF('11. TransferExport'!$A:$A,$A17,'11. TransferExport'!L:L),IF(M17="Y",SUMIF('11. TransferExport'!$B:$B,$A17,'11. TransferExport'!L:L),0))</f>
        <v>0</v>
      </c>
      <c r="T17">
        <f>IF($L17="Y",-SUMIF('11. TransferExport'!$A:$A,$A17,'11. TransferExport'!M:M),IF($M17="Y",SUMIF('11. TransferExport'!$B:$B,$A17,'11. TransferExport'!M:M),0))</f>
        <v>0</v>
      </c>
      <c r="U17">
        <f>IF($L17="Y",-SUMIF('11. TransferExport'!$A:$A,$A17,'11. TransferExport'!N:N),IF($M17="Y",SUMIF('11. TransferExport'!$B:$B,$A17,'11. TransferExport'!N:N),0))</f>
        <v>0</v>
      </c>
      <c r="V17">
        <f>IF($L17="Y",-SUMIF('11. TransferExport'!$A:$A,$A17,'11. TransferExport'!O:O),IF($M17="Y",SUMIF('11. TransferExport'!$B:$B,$A17,'11. TransferExport'!O:O),0))</f>
        <v>0</v>
      </c>
      <c r="W17" s="90">
        <f t="shared" si="1"/>
        <v>8.16</v>
      </c>
      <c r="X17" s="90">
        <f t="shared" si="2"/>
        <v>8.16</v>
      </c>
      <c r="Y17" s="90">
        <f t="shared" si="3"/>
        <v>0</v>
      </c>
      <c r="Z17" s="90">
        <f t="shared" si="4"/>
        <v>0</v>
      </c>
      <c r="AA17" s="91">
        <f t="shared" si="5"/>
        <v>0</v>
      </c>
      <c r="AB17" s="96">
        <f>VLOOKUP(A17,'8. Demand data categorization'!A:N,3,FALSE)</f>
        <v>4</v>
      </c>
      <c r="AC17" s="95" t="str">
        <f>VLOOKUP(A17,'8. Demand data categorization'!A:N,14,FALSE)</f>
        <v>Y</v>
      </c>
      <c r="AD17" t="str">
        <f t="shared" si="6"/>
        <v>No Change</v>
      </c>
    </row>
    <row r="18" spans="1:30" x14ac:dyDescent="0.25">
      <c r="A18" s="107" t="s">
        <v>91</v>
      </c>
      <c r="B18" t="str">
        <f>IF(ISERROR(VLOOKUP(A18, '8. Demand data categorization'!A:M,13,FALSE)),"ERROR",IF((VLOOKUP(A18, '8. Demand data categorization'!A:M,13,FALSE))="-","Riparian",IF(OR(VLOOKUP(A18, '8. Demand data categorization'!A:M,13,FALSE)="1971-1990",VLOOKUP(A18, '8. Demand data categorization'!A:M,13,FALSE)="1991-Present"),"1971-Present",VLOOKUP(A18, '8. Demand data categorization'!A:M,13,FALSE))))</f>
        <v>Pre-1914</v>
      </c>
      <c r="C18" s="84" t="str">
        <f>VLOOKUP(A18,'12. eWRIMS_Export'!A:K,7,FALSE)</f>
        <v>CITY OF UKIAH</v>
      </c>
      <c r="D18">
        <f>VLOOKUP(A18,'8. Demand data categorization'!A:AJ,30,FALSE)</f>
        <v>164.03</v>
      </c>
      <c r="E18">
        <f>VLOOKUP(A18,'8. Demand data categorization'!A:AJ,31,FALSE)</f>
        <v>172.2</v>
      </c>
      <c r="F18">
        <f>VLOOKUP(A18,'8. Demand data categorization'!A:AJ,32,FALSE)</f>
        <v>166.6</v>
      </c>
      <c r="G18" s="84">
        <f>VLOOKUP(A18,'8. Demand data categorization'!A:AJ,33,FALSE)</f>
        <v>159.1</v>
      </c>
      <c r="H18" s="80">
        <f>IF(ISERROR(VLOOKUP($A18,'8. Demand data categorization'!$A:$AV,30,FALSE)),0,(VLOOKUP($A18,'8. Demand data categorization'!$A:$AV,30,FALSE))*(1-VLOOKUP($B18,'2. Forbearance thresholds'!$A$16:$F$25,3,FALSE)))</f>
        <v>164.03</v>
      </c>
      <c r="I18" s="80">
        <f>IF(ISERROR(VLOOKUP($A18,'8. Demand data categorization'!$A:$AV,31,FALSE)),0,(VLOOKUP($A18,'8. Demand data categorization'!$A:$AV,31,FALSE))*(1-VLOOKUP($B18,'2. Forbearance thresholds'!$A$16:$F$25,4,FALSE)))</f>
        <v>137.76</v>
      </c>
      <c r="J18" s="80">
        <f>IF(ISERROR(VLOOKUP($A18,'8. Demand data categorization'!$A:$AV,32,FALSE)),0,(VLOOKUP($A18,'8. Demand data categorization'!$A:$AV,32,FALSE))*(1-VLOOKUP($B18,'2. Forbearance thresholds'!$A$16:$F$25,5,FALSE)))</f>
        <v>0</v>
      </c>
      <c r="K18" s="89">
        <f>IF(ISERROR(VLOOKUP($A18,'8. Demand data categorization'!$A:$AV,33,FALSE)),0,(VLOOKUP($A18,'8. Demand data categorization'!$A:$AV,33,FALSE))*(1-VLOOKUP($B18,'2. Forbearance thresholds'!$A$16:$F$25,6,FALSE)))</f>
        <v>0</v>
      </c>
      <c r="L18" s="1" t="str">
        <f>IF(ISERROR(VLOOKUP(A18,'11. TransferExport'!A:A,1,FALSE)),"N","Y")</f>
        <v>N</v>
      </c>
      <c r="M18" s="1" t="str">
        <f>IF(ISERROR(VLOOKUP(A18,'11. TransferExport'!B:B,1,FALSE)),"N","Y")</f>
        <v>N</v>
      </c>
      <c r="N18">
        <f>IF(L18="Y",-SUMIF('11. TransferExport'!A:A,A18,'11. TransferExport'!D:D),IF(M18="Y",SUMIF('11. TransferExport'!B:B,A18,'11. TransferExport'!D:D),0))</f>
        <v>0</v>
      </c>
      <c r="O18">
        <f>IF(L18="Y",-SUMIF('11. TransferExport'!A:A,A18,'11. TransferExport'!E:E),IF(M18="Y",SUMIF('11. TransferExport'!B:B,A18,'11. TransferExport'!E:E),0))</f>
        <v>0</v>
      </c>
      <c r="P18">
        <f>IF(L18="Y",-SUMIF('11. TransferExport'!A:A,A18,'11. TransferExport'!F:F),IF(M18="Y",SUMIF('11. TransferExport'!B:B,A18,'11. TransferExport'!F:F),0))</f>
        <v>0</v>
      </c>
      <c r="Q18">
        <f>IF(L18="Y",-SUMIF('11. TransferExport'!A:A,A18,'11. TransferExport'!G:G),IF(M18="Y",SUMIF('11. TransferExport'!B:B,A18,'11. TransferExport'!G:G),0))</f>
        <v>0</v>
      </c>
      <c r="R18" s="91">
        <f t="shared" si="0"/>
        <v>301.78999999999996</v>
      </c>
      <c r="S18">
        <f>IF(L18="Y",-SUMIF('11. TransferExport'!$A:$A,$A18,'11. TransferExport'!L:L),IF(M18="Y",SUMIF('11. TransferExport'!$B:$B,$A18,'11. TransferExport'!L:L),0))</f>
        <v>0</v>
      </c>
      <c r="T18">
        <f>IF($L18="Y",-SUMIF('11. TransferExport'!$A:$A,$A18,'11. TransferExport'!M:M),IF($M18="Y",SUMIF('11. TransferExport'!$B:$B,$A18,'11. TransferExport'!M:M),0))</f>
        <v>0</v>
      </c>
      <c r="U18">
        <f>IF($L18="Y",-SUMIF('11. TransferExport'!$A:$A,$A18,'11. TransferExport'!N:N),IF($M18="Y",SUMIF('11. TransferExport'!$B:$B,$A18,'11. TransferExport'!N:N),0))</f>
        <v>0</v>
      </c>
      <c r="V18">
        <f>IF($L18="Y",-SUMIF('11. TransferExport'!$A:$A,$A18,'11. TransferExport'!O:O),IF($M18="Y",SUMIF('11. TransferExport'!$B:$B,$A18,'11. TransferExport'!O:O),0))</f>
        <v>0</v>
      </c>
      <c r="W18" s="90">
        <f t="shared" si="1"/>
        <v>301.78999999999996</v>
      </c>
      <c r="X18" s="90">
        <f t="shared" si="2"/>
        <v>164.03</v>
      </c>
      <c r="Y18" s="90">
        <f t="shared" si="3"/>
        <v>137.76</v>
      </c>
      <c r="Z18" s="90">
        <f t="shared" si="4"/>
        <v>0</v>
      </c>
      <c r="AA18" s="91">
        <f t="shared" si="5"/>
        <v>0</v>
      </c>
      <c r="AB18" s="96">
        <f>VLOOKUP(A18,'8. Demand data categorization'!A:N,3,FALSE)</f>
        <v>4</v>
      </c>
      <c r="AC18" s="95" t="str">
        <f>VLOOKUP(A18,'8. Demand data categorization'!A:N,14,FALSE)</f>
        <v>Y</v>
      </c>
      <c r="AD18" t="str">
        <f t="shared" si="6"/>
        <v>No Change</v>
      </c>
    </row>
    <row r="19" spans="1:30" x14ac:dyDescent="0.25">
      <c r="A19" s="107" t="s">
        <v>81</v>
      </c>
      <c r="B19" t="str">
        <f>IF(ISERROR(VLOOKUP(A19, '8. Demand data categorization'!A:M,13,FALSE)),"ERROR",IF((VLOOKUP(A19, '8. Demand data categorization'!A:M,13,FALSE))="-","Riparian",IF(OR(VLOOKUP(A19, '8. Demand data categorization'!A:M,13,FALSE)="1971-1990",VLOOKUP(A19, '8. Demand data categorization'!A:M,13,FALSE)="1991-Present"),"1971-Present",VLOOKUP(A19, '8. Demand data categorization'!A:M,13,FALSE))))</f>
        <v>Riparian</v>
      </c>
      <c r="C19" s="84" t="str">
        <f>VLOOKUP(A19,'12. eWRIMS_Export'!A:K,7,FALSE)</f>
        <v>CREEKS END VINEYARD LLC</v>
      </c>
      <c r="D19">
        <f>VLOOKUP(A19,'8. Demand data categorization'!A:AJ,30,FALSE)</f>
        <v>0.68</v>
      </c>
      <c r="E19">
        <f>VLOOKUP(A19,'8. Demand data categorization'!A:AJ,31,FALSE)</f>
        <v>0.87</v>
      </c>
      <c r="F19">
        <f>VLOOKUP(A19,'8. Demand data categorization'!A:AJ,32,FALSE)</f>
        <v>0.38</v>
      </c>
      <c r="G19" s="84">
        <f>VLOOKUP(A19,'8. Demand data categorization'!A:AJ,33,FALSE)</f>
        <v>0.3</v>
      </c>
      <c r="H19" s="80">
        <f>IF(ISERROR(VLOOKUP($A19,'8. Demand data categorization'!$A:$AV,30,FALSE)),0,(VLOOKUP($A19,'8. Demand data categorization'!$A:$AV,30,FALSE))*(1-VLOOKUP($B19,'2. Forbearance thresholds'!$A$16:$F$25,3,FALSE)))</f>
        <v>0.52093429019959636</v>
      </c>
      <c r="I19" s="80">
        <f>IF(ISERROR(VLOOKUP($A19,'8. Demand data categorization'!$A:$AV,31,FALSE)),0,(VLOOKUP($A19,'8. Demand data categorization'!$A:$AV,31,FALSE))*(1-VLOOKUP($B19,'2. Forbearance thresholds'!$A$16:$F$25,4,FALSE)))</f>
        <v>2.487007185804303E-2</v>
      </c>
      <c r="J19" s="80">
        <f>IF(ISERROR(VLOOKUP($A19,'8. Demand data categorization'!$A:$AV,32,FALSE)),0,(VLOOKUP($A19,'8. Demand data categorization'!$A:$AV,32,FALSE))*(1-VLOOKUP($B19,'2. Forbearance thresholds'!$A$16:$F$25,5,FALSE)))</f>
        <v>0</v>
      </c>
      <c r="K19" s="89">
        <f>IF(ISERROR(VLOOKUP($A19,'8. Demand data categorization'!$A:$AV,33,FALSE)),0,(VLOOKUP($A19,'8. Demand data categorization'!$A:$AV,33,FALSE))*(1-VLOOKUP($B19,'2. Forbearance thresholds'!$A$16:$F$25,6,FALSE)))</f>
        <v>0</v>
      </c>
      <c r="L19" s="1" t="str">
        <f>IF(ISERROR(VLOOKUP(A19,'11. TransferExport'!A:A,1,FALSE)),"N","Y")</f>
        <v>N</v>
      </c>
      <c r="M19" s="1" t="str">
        <f>IF(ISERROR(VLOOKUP(A19,'11. TransferExport'!B:B,1,FALSE)),"N","Y")</f>
        <v>N</v>
      </c>
      <c r="N19">
        <f>IF(L19="Y",-SUMIF('11. TransferExport'!A:A,A19,'11. TransferExport'!D:D),IF(M19="Y",SUMIF('11. TransferExport'!B:B,A19,'11. TransferExport'!D:D),0))</f>
        <v>0</v>
      </c>
      <c r="O19">
        <f>IF(L19="Y",-SUMIF('11. TransferExport'!A:A,A19,'11. TransferExport'!E:E),IF(M19="Y",SUMIF('11. TransferExport'!B:B,A19,'11. TransferExport'!E:E),0))</f>
        <v>0</v>
      </c>
      <c r="P19">
        <f>IF(L19="Y",-SUMIF('11. TransferExport'!A:A,A19,'11. TransferExport'!F:F),IF(M19="Y",SUMIF('11. TransferExport'!B:B,A19,'11. TransferExport'!F:F),0))</f>
        <v>0</v>
      </c>
      <c r="Q19">
        <f>IF(L19="Y",-SUMIF('11. TransferExport'!A:A,A19,'11. TransferExport'!G:G),IF(M19="Y",SUMIF('11. TransferExport'!B:B,A19,'11. TransferExport'!G:G),0))</f>
        <v>0</v>
      </c>
      <c r="R19" s="91">
        <f t="shared" si="0"/>
        <v>0.54580436205763938</v>
      </c>
      <c r="S19">
        <f>IF(L19="Y",-SUMIF('11. TransferExport'!$A:$A,$A19,'11. TransferExport'!L:L),IF(M19="Y",SUMIF('11. TransferExport'!$B:$B,$A19,'11. TransferExport'!L:L),0))</f>
        <v>0</v>
      </c>
      <c r="T19">
        <f>IF($L19="Y",-SUMIF('11. TransferExport'!$A:$A,$A19,'11. TransferExport'!M:M),IF($M19="Y",SUMIF('11. TransferExport'!$B:$B,$A19,'11. TransferExport'!M:M),0))</f>
        <v>0</v>
      </c>
      <c r="U19">
        <f>IF($L19="Y",-SUMIF('11. TransferExport'!$A:$A,$A19,'11. TransferExport'!N:N),IF($M19="Y",SUMIF('11. TransferExport'!$B:$B,$A19,'11. TransferExport'!N:N),0))</f>
        <v>0</v>
      </c>
      <c r="V19">
        <f>IF($L19="Y",-SUMIF('11. TransferExport'!$A:$A,$A19,'11. TransferExport'!O:O),IF($M19="Y",SUMIF('11. TransferExport'!$B:$B,$A19,'11. TransferExport'!O:O),0))</f>
        <v>0</v>
      </c>
      <c r="W19" s="90">
        <f t="shared" si="1"/>
        <v>0.54580436205763938</v>
      </c>
      <c r="X19" s="90">
        <f t="shared" si="2"/>
        <v>0.52093429019959636</v>
      </c>
      <c r="Y19" s="90">
        <f t="shared" si="3"/>
        <v>2.487007185804303E-2</v>
      </c>
      <c r="Z19" s="90">
        <f t="shared" si="4"/>
        <v>0</v>
      </c>
      <c r="AA19" s="91">
        <f t="shared" si="5"/>
        <v>0</v>
      </c>
      <c r="AB19" s="96">
        <f>VLOOKUP(A19,'8. Demand data categorization'!A:N,3,FALSE)</f>
        <v>12</v>
      </c>
      <c r="AC19" s="95" t="str">
        <f>VLOOKUP(A19,'8. Demand data categorization'!A:N,14,FALSE)</f>
        <v>Y</v>
      </c>
      <c r="AD19" t="str">
        <f t="shared" si="6"/>
        <v>Taking</v>
      </c>
    </row>
    <row r="20" spans="1:30" x14ac:dyDescent="0.25">
      <c r="A20" s="107" t="s">
        <v>124</v>
      </c>
      <c r="B20" t="str">
        <f>IF(ISERROR(VLOOKUP(A20, '8. Demand data categorization'!A:M,13,FALSE)),"ERROR",IF((VLOOKUP(A20, '8. Demand data categorization'!A:M,13,FALSE))="-","Riparian",IF(OR(VLOOKUP(A20, '8. Demand data categorization'!A:M,13,FALSE)="1971-1990",VLOOKUP(A20, '8. Demand data categorization'!A:M,13,FALSE)="1991-Present"),"1971-Present",VLOOKUP(A20, '8. Demand data categorization'!A:M,13,FALSE))))</f>
        <v>1953-1954</v>
      </c>
      <c r="C20" s="84" t="str">
        <f>VLOOKUP(A20,'12. eWRIMS_Export'!A:K,7,FALSE)</f>
        <v>CREEKS END VINEYARD LLC</v>
      </c>
      <c r="D20">
        <f>VLOOKUP(A20,'8. Demand data categorization'!A:AJ,30,FALSE)</f>
        <v>2.12</v>
      </c>
      <c r="E20">
        <f>VLOOKUP(A20,'8. Demand data categorization'!A:AJ,31,FALSE)</f>
        <v>3.24</v>
      </c>
      <c r="F20">
        <f>VLOOKUP(A20,'8. Demand data categorization'!A:AJ,32,FALSE)</f>
        <v>2.2400000000000002</v>
      </c>
      <c r="G20" s="84">
        <f>VLOOKUP(A20,'8. Demand data categorization'!A:AJ,33,FALSE)</f>
        <v>1.76</v>
      </c>
      <c r="H20" s="80">
        <f>IF(ISERROR(VLOOKUP($A20,'8. Demand data categorization'!$A:$AV,30,FALSE)),0,(VLOOKUP($A20,'8. Demand data categorization'!$A:$AV,30,FALSE))*(1-VLOOKUP($B20,'2. Forbearance thresholds'!$A$16:$F$25,3,FALSE)))</f>
        <v>1.9080000000000001</v>
      </c>
      <c r="I20" s="80">
        <f>IF(ISERROR(VLOOKUP($A20,'8. Demand data categorization'!$A:$AV,31,FALSE)),0,(VLOOKUP($A20,'8. Demand data categorization'!$A:$AV,31,FALSE))*(1-VLOOKUP($B20,'2. Forbearance thresholds'!$A$16:$F$25,4,FALSE)))</f>
        <v>9.2619577954091287E-2</v>
      </c>
      <c r="J20" s="80">
        <f>IF(ISERROR(VLOOKUP($A20,'8. Demand data categorization'!$A:$AV,32,FALSE)),0,(VLOOKUP($A20,'8. Demand data categorization'!$A:$AV,32,FALSE))*(1-VLOOKUP($B20,'2. Forbearance thresholds'!$A$16:$F$25,5,FALSE)))</f>
        <v>0</v>
      </c>
      <c r="K20" s="89">
        <f>IF(ISERROR(VLOOKUP($A20,'8. Demand data categorization'!$A:$AV,33,FALSE)),0,(VLOOKUP($A20,'8. Demand data categorization'!$A:$AV,33,FALSE))*(1-VLOOKUP($B20,'2. Forbearance thresholds'!$A$16:$F$25,6,FALSE)))</f>
        <v>0</v>
      </c>
      <c r="L20" s="1" t="str">
        <f>IF(ISERROR(VLOOKUP(A20,'11. TransferExport'!A:A,1,FALSE)),"N","Y")</f>
        <v>N</v>
      </c>
      <c r="M20" s="1" t="str">
        <f>IF(ISERROR(VLOOKUP(A20,'11. TransferExport'!B:B,1,FALSE)),"N","Y")</f>
        <v>Y</v>
      </c>
      <c r="N20">
        <f>IF(L20="Y",-SUMIF('11. TransferExport'!A:A,A20,'11. TransferExport'!D:D),IF(M20="Y",SUMIF('11. TransferExport'!B:B,A20,'11. TransferExport'!D:D),0))</f>
        <v>1</v>
      </c>
      <c r="O20">
        <f>IF(L20="Y",-SUMIF('11. TransferExport'!A:A,A20,'11. TransferExport'!E:E),IF(M20="Y",SUMIF('11. TransferExport'!B:B,A20,'11. TransferExport'!E:E),0))</f>
        <v>1</v>
      </c>
      <c r="P20">
        <f>IF(L20="Y",-SUMIF('11. TransferExport'!A:A,A20,'11. TransferExport'!F:F),IF(M20="Y",SUMIF('11. TransferExport'!B:B,A20,'11. TransferExport'!F:F),0))</f>
        <v>1</v>
      </c>
      <c r="Q20">
        <f>IF(L20="Y",-SUMIF('11. TransferExport'!A:A,A20,'11. TransferExport'!G:G),IF(M20="Y",SUMIF('11. TransferExport'!B:B,A20,'11. TransferExport'!G:G),0))</f>
        <v>1</v>
      </c>
      <c r="R20" s="91">
        <f t="shared" si="0"/>
        <v>6.0006195779540921</v>
      </c>
      <c r="S20">
        <f>IF(L20="Y",-SUMIF('11. TransferExport'!$A:$A,$A20,'11. TransferExport'!L:L),IF(M20="Y",SUMIF('11. TransferExport'!$B:$B,$A20,'11. TransferExport'!L:L),0))</f>
        <v>1</v>
      </c>
      <c r="T20">
        <f>IF($L20="Y",-SUMIF('11. TransferExport'!$A:$A,$A20,'11. TransferExport'!M:M),IF($M20="Y",SUMIF('11. TransferExport'!$B:$B,$A20,'11. TransferExport'!M:M),0))</f>
        <v>0.8507279752820236</v>
      </c>
      <c r="U20">
        <f>IF($L20="Y",-SUMIF('11. TransferExport'!$A:$A,$A20,'11. TransferExport'!N:N),IF($M20="Y",SUMIF('11. TransferExport'!$B:$B,$A20,'11. TransferExport'!N:N),0))</f>
        <v>0</v>
      </c>
      <c r="V20">
        <f>IF($L20="Y",-SUMIF('11. TransferExport'!$A:$A,$A20,'11. TransferExport'!O:O),IF($M20="Y",SUMIF('11. TransferExport'!$B:$B,$A20,'11. TransferExport'!O:O),0))</f>
        <v>0</v>
      </c>
      <c r="W20" s="90">
        <f t="shared" si="1"/>
        <v>3.8513475532361152</v>
      </c>
      <c r="X20" s="90">
        <f t="shared" si="2"/>
        <v>2.9080000000000004</v>
      </c>
      <c r="Y20" s="90">
        <f t="shared" si="3"/>
        <v>0.94334755323611486</v>
      </c>
      <c r="Z20" s="90">
        <f t="shared" si="4"/>
        <v>0</v>
      </c>
      <c r="AA20" s="91">
        <f t="shared" si="5"/>
        <v>0</v>
      </c>
      <c r="AB20" s="96">
        <f>VLOOKUP(A20,'8. Demand data categorization'!A:N,3,FALSE)</f>
        <v>12</v>
      </c>
      <c r="AC20" s="95" t="str">
        <f>VLOOKUP(A20,'8. Demand data categorization'!A:N,14,FALSE)</f>
        <v>Y</v>
      </c>
      <c r="AD20" t="str">
        <f t="shared" si="6"/>
        <v>Giving</v>
      </c>
    </row>
    <row r="21" spans="1:30" x14ac:dyDescent="0.25">
      <c r="A21" s="107" t="s">
        <v>157</v>
      </c>
      <c r="B21" t="str">
        <f>IF(ISERROR(VLOOKUP(A21, '8. Demand data categorization'!A:M,13,FALSE)),"ERROR",IF((VLOOKUP(A21, '8. Demand data categorization'!A:M,13,FALSE))="-","Riparian",IF(OR(VLOOKUP(A21, '8. Demand data categorization'!A:M,13,FALSE)="1971-1990",VLOOKUP(A21, '8. Demand data categorization'!A:M,13,FALSE)="1991-Present"),"1971-Present",VLOOKUP(A21, '8. Demand data categorization'!A:M,13,FALSE))))</f>
        <v>Pre-1949 + 1949</v>
      </c>
      <c r="C21" s="84" t="str">
        <f>VLOOKUP(A21,'12. eWRIMS_Export'!A:K,7,FALSE)</f>
        <v>CREEKS END VINEYARD LLC</v>
      </c>
      <c r="D21">
        <f>VLOOKUP(A21,'8. Demand data categorization'!A:AJ,30,FALSE)</f>
        <v>1.41</v>
      </c>
      <c r="E21">
        <f>VLOOKUP(A21,'8. Demand data categorization'!A:AJ,31,FALSE)</f>
        <v>1.76</v>
      </c>
      <c r="F21">
        <f>VLOOKUP(A21,'8. Demand data categorization'!A:AJ,32,FALSE)</f>
        <v>1.18</v>
      </c>
      <c r="G21" s="84">
        <f>VLOOKUP(A21,'8. Demand data categorization'!A:AJ,33,FALSE)</f>
        <v>0.94</v>
      </c>
      <c r="H21" s="80">
        <f>IF(ISERROR(VLOOKUP($A21,'8. Demand data categorization'!$A:$AV,30,FALSE)),0,(VLOOKUP($A21,'8. Demand data categorization'!$A:$AV,30,FALSE))*(1-VLOOKUP($B21,'2. Forbearance thresholds'!$A$16:$F$25,3,FALSE)))</f>
        <v>1.41</v>
      </c>
      <c r="I21" s="80">
        <f>IF(ISERROR(VLOOKUP($A21,'8. Demand data categorization'!$A:$AV,31,FALSE)),0,(VLOOKUP($A21,'8. Demand data categorization'!$A:$AV,31,FALSE))*(1-VLOOKUP($B21,'2. Forbearance thresholds'!$A$16:$F$25,4,FALSE)))</f>
        <v>5.0311869505926123E-2</v>
      </c>
      <c r="J21" s="80">
        <f>IF(ISERROR(VLOOKUP($A21,'8. Demand data categorization'!$A:$AV,32,FALSE)),0,(VLOOKUP($A21,'8. Demand data categorization'!$A:$AV,32,FALSE))*(1-VLOOKUP($B21,'2. Forbearance thresholds'!$A$16:$F$25,5,FALSE)))</f>
        <v>0</v>
      </c>
      <c r="K21" s="89">
        <f>IF(ISERROR(VLOOKUP($A21,'8. Demand data categorization'!$A:$AV,33,FALSE)),0,(VLOOKUP($A21,'8. Demand data categorization'!$A:$AV,33,FALSE))*(1-VLOOKUP($B21,'2. Forbearance thresholds'!$A$16:$F$25,6,FALSE)))</f>
        <v>0</v>
      </c>
      <c r="L21" s="1" t="str">
        <f>IF(ISERROR(VLOOKUP(A21,'11. TransferExport'!A:A,1,FALSE)),"N","Y")</f>
        <v>N</v>
      </c>
      <c r="M21" s="1" t="str">
        <f>IF(ISERROR(VLOOKUP(A21,'11. TransferExport'!B:B,1,FALSE)),"N","Y")</f>
        <v>Y</v>
      </c>
      <c r="N21">
        <f>IF(L21="Y",-SUMIF('11. TransferExport'!A:A,A21,'11. TransferExport'!D:D),IF(M21="Y",SUMIF('11. TransferExport'!B:B,A21,'11. TransferExport'!D:D),0))</f>
        <v>0</v>
      </c>
      <c r="O21">
        <f>IF(L21="Y",-SUMIF('11. TransferExport'!A:A,A21,'11. TransferExport'!E:E),IF(M21="Y",SUMIF('11. TransferExport'!B:B,A21,'11. TransferExport'!E:E),0))</f>
        <v>4</v>
      </c>
      <c r="P21">
        <f>IF(L21="Y",-SUMIF('11. TransferExport'!A:A,A21,'11. TransferExport'!F:F),IF(M21="Y",SUMIF('11. TransferExport'!B:B,A21,'11. TransferExport'!F:F),0))</f>
        <v>4</v>
      </c>
      <c r="Q21">
        <f>IF(L21="Y",-SUMIF('11. TransferExport'!A:A,A21,'11. TransferExport'!G:G),IF(M21="Y",SUMIF('11. TransferExport'!B:B,A21,'11. TransferExport'!G:G),0))</f>
        <v>4</v>
      </c>
      <c r="R21" s="91">
        <f t="shared" si="0"/>
        <v>13.460311869505926</v>
      </c>
      <c r="S21">
        <f>IF(L21="Y",-SUMIF('11. TransferExport'!$A:$A,$A21,'11. TransferExport'!L:L),IF(M21="Y",SUMIF('11. TransferExport'!$B:$B,$A21,'11. TransferExport'!L:L),0))</f>
        <v>0</v>
      </c>
      <c r="T21">
        <f>IF($L21="Y",-SUMIF('11. TransferExport'!$A:$A,$A21,'11. TransferExport'!M:M),IF($M21="Y",SUMIF('11. TransferExport'!$B:$B,$A21,'11. TransferExport'!M:M),0))</f>
        <v>0.8507279752820236</v>
      </c>
      <c r="U21">
        <f>IF($L21="Y",-SUMIF('11. TransferExport'!$A:$A,$A21,'11. TransferExport'!N:N),IF($M21="Y",SUMIF('11. TransferExport'!$B:$B,$A21,'11. TransferExport'!N:N),0))</f>
        <v>0</v>
      </c>
      <c r="V21">
        <f>IF($L21="Y",-SUMIF('11. TransferExport'!$A:$A,$A21,'11. TransferExport'!O:O),IF($M21="Y",SUMIF('11. TransferExport'!$B:$B,$A21,'11. TransferExport'!O:O),0))</f>
        <v>0</v>
      </c>
      <c r="W21" s="90">
        <f t="shared" si="1"/>
        <v>2.3110398447879499</v>
      </c>
      <c r="X21" s="90">
        <f t="shared" si="2"/>
        <v>1.41</v>
      </c>
      <c r="Y21" s="90">
        <f t="shared" si="3"/>
        <v>0.90103984478794974</v>
      </c>
      <c r="Z21" s="90">
        <f t="shared" si="4"/>
        <v>0</v>
      </c>
      <c r="AA21" s="91">
        <f t="shared" si="5"/>
        <v>0</v>
      </c>
      <c r="AB21" s="96">
        <f>VLOOKUP(A21,'8. Demand data categorization'!A:N,3,FALSE)</f>
        <v>12</v>
      </c>
      <c r="AC21" s="95" t="str">
        <f>VLOOKUP(A21,'8. Demand data categorization'!A:N,14,FALSE)</f>
        <v>Y</v>
      </c>
      <c r="AD21" t="str">
        <f t="shared" si="6"/>
        <v>No Change</v>
      </c>
    </row>
    <row r="22" spans="1:30" x14ac:dyDescent="0.25">
      <c r="A22" s="107" t="s">
        <v>53</v>
      </c>
      <c r="B22" t="str">
        <f>IF(ISERROR(VLOOKUP(A22, '8. Demand data categorization'!A:M,13,FALSE)),"ERROR",IF((VLOOKUP(A22, '8. Demand data categorization'!A:M,13,FALSE))="-","Riparian",IF(OR(VLOOKUP(A22, '8. Demand data categorization'!A:M,13,FALSE)="1971-1990",VLOOKUP(A22, '8. Demand data categorization'!A:M,13,FALSE)="1991-Present"),"1971-Present",VLOOKUP(A22, '8. Demand data categorization'!A:M,13,FALSE))))</f>
        <v>1953-1954</v>
      </c>
      <c r="C22" s="84" t="str">
        <f>VLOOKUP(A22,'12. eWRIMS_Export'!A:K,7,FALSE)</f>
        <v>DAVID  C.  KOBALL</v>
      </c>
      <c r="D22">
        <f>VLOOKUP(A22,'8. Demand data categorization'!A:AJ,30,FALSE)</f>
        <v>5.86</v>
      </c>
      <c r="E22">
        <f>VLOOKUP(A22,'8. Demand data categorization'!A:AJ,31,FALSE)</f>
        <v>3.06</v>
      </c>
      <c r="F22">
        <f>VLOOKUP(A22,'8. Demand data categorization'!A:AJ,32,FALSE)</f>
        <v>0</v>
      </c>
      <c r="G22" s="84">
        <f>VLOOKUP(A22,'8. Demand data categorization'!A:AJ,33,FALSE)</f>
        <v>0</v>
      </c>
      <c r="H22" s="80">
        <f>IF(ISERROR(VLOOKUP($A22,'8. Demand data categorization'!$A:$AV,30,FALSE)),0,(VLOOKUP($A22,'8. Demand data categorization'!$A:$AV,30,FALSE))*(1-VLOOKUP($B22,'2. Forbearance thresholds'!$A$16:$F$25,3,FALSE)))</f>
        <v>5.274</v>
      </c>
      <c r="I22" s="80">
        <f>IF(ISERROR(VLOOKUP($A22,'8. Demand data categorization'!$A:$AV,31,FALSE)),0,(VLOOKUP($A22,'8. Demand data categorization'!$A:$AV,31,FALSE))*(1-VLOOKUP($B22,'2. Forbearance thresholds'!$A$16:$F$25,4,FALSE)))</f>
        <v>8.7474045845530646E-2</v>
      </c>
      <c r="J22" s="80">
        <f>IF(ISERROR(VLOOKUP($A22,'8. Demand data categorization'!$A:$AV,32,FALSE)),0,(VLOOKUP($A22,'8. Demand data categorization'!$A:$AV,32,FALSE))*(1-VLOOKUP($B22,'2. Forbearance thresholds'!$A$16:$F$25,5,FALSE)))</f>
        <v>0</v>
      </c>
      <c r="K22" s="89">
        <f>IF(ISERROR(VLOOKUP($A22,'8. Demand data categorization'!$A:$AV,33,FALSE)),0,(VLOOKUP($A22,'8. Demand data categorization'!$A:$AV,33,FALSE))*(1-VLOOKUP($B22,'2. Forbearance thresholds'!$A$16:$F$25,6,FALSE)))</f>
        <v>0</v>
      </c>
      <c r="L22" s="1" t="str">
        <f>IF(ISERROR(VLOOKUP(A22,'11. TransferExport'!A:A,1,FALSE)),"N","Y")</f>
        <v>N</v>
      </c>
      <c r="M22" s="1" t="str">
        <f>IF(ISERROR(VLOOKUP(A22,'11. TransferExport'!B:B,1,FALSE)),"N","Y")</f>
        <v>N</v>
      </c>
      <c r="N22">
        <f>IF(L22="Y",-SUMIF('11. TransferExport'!A:A,A22,'11. TransferExport'!D:D),IF(M22="Y",SUMIF('11. TransferExport'!B:B,A22,'11. TransferExport'!D:D),0))</f>
        <v>0</v>
      </c>
      <c r="O22">
        <f>IF(L22="Y",-SUMIF('11. TransferExport'!A:A,A22,'11. TransferExport'!E:E),IF(M22="Y",SUMIF('11. TransferExport'!B:B,A22,'11. TransferExport'!E:E),0))</f>
        <v>0</v>
      </c>
      <c r="P22">
        <f>IF(L22="Y",-SUMIF('11. TransferExport'!A:A,A22,'11. TransferExport'!F:F),IF(M22="Y",SUMIF('11. TransferExport'!B:B,A22,'11. TransferExport'!F:F),0))</f>
        <v>0</v>
      </c>
      <c r="Q22">
        <f>IF(L22="Y",-SUMIF('11. TransferExport'!A:A,A22,'11. TransferExport'!G:G),IF(M22="Y",SUMIF('11. TransferExport'!B:B,A22,'11. TransferExport'!G:G),0))</f>
        <v>0</v>
      </c>
      <c r="R22" s="91">
        <f t="shared" si="0"/>
        <v>5.3614740458455303</v>
      </c>
      <c r="S22">
        <f>IF(L22="Y",-SUMIF('11. TransferExport'!$A:$A,$A22,'11. TransferExport'!L:L),IF(M22="Y",SUMIF('11. TransferExport'!$B:$B,$A22,'11. TransferExport'!L:L),0))</f>
        <v>0</v>
      </c>
      <c r="T22">
        <f>IF($L22="Y",-SUMIF('11. TransferExport'!$A:$A,$A22,'11. TransferExport'!M:M),IF($M22="Y",SUMIF('11. TransferExport'!$B:$B,$A22,'11. TransferExport'!M:M),0))</f>
        <v>0</v>
      </c>
      <c r="U22">
        <f>IF($L22="Y",-SUMIF('11. TransferExport'!$A:$A,$A22,'11. TransferExport'!N:N),IF($M22="Y",SUMIF('11. TransferExport'!$B:$B,$A22,'11. TransferExport'!N:N),0))</f>
        <v>0</v>
      </c>
      <c r="V22">
        <f>IF($L22="Y",-SUMIF('11. TransferExport'!$A:$A,$A22,'11. TransferExport'!O:O),IF($M22="Y",SUMIF('11. TransferExport'!$B:$B,$A22,'11. TransferExport'!O:O),0))</f>
        <v>0</v>
      </c>
      <c r="W22" s="90">
        <f t="shared" si="1"/>
        <v>5.3614740458455303</v>
      </c>
      <c r="X22" s="90">
        <f t="shared" si="2"/>
        <v>5.274</v>
      </c>
      <c r="Y22" s="90">
        <f t="shared" si="3"/>
        <v>8.7474045845530646E-2</v>
      </c>
      <c r="Z22" s="90">
        <f t="shared" si="4"/>
        <v>0</v>
      </c>
      <c r="AA22" s="91">
        <f t="shared" si="5"/>
        <v>0</v>
      </c>
      <c r="AB22" s="96">
        <f>VLOOKUP(A22,'8. Demand data categorization'!A:N,3,FALSE)</f>
        <v>5</v>
      </c>
      <c r="AC22" s="95" t="str">
        <f>VLOOKUP(A22,'8. Demand data categorization'!A:N,14,FALSE)</f>
        <v>Y</v>
      </c>
      <c r="AD22" t="str">
        <f t="shared" si="6"/>
        <v>Giving</v>
      </c>
    </row>
    <row r="23" spans="1:30" x14ac:dyDescent="0.25">
      <c r="A23" s="107" t="s">
        <v>55</v>
      </c>
      <c r="B23" t="str">
        <f>IF(ISERROR(VLOOKUP(A23, '8. Demand data categorization'!A:M,13,FALSE)),"ERROR",IF((VLOOKUP(A23, '8. Demand data categorization'!A:M,13,FALSE))="-","Riparian",IF(OR(VLOOKUP(A23, '8. Demand data categorization'!A:M,13,FALSE)="1971-1990",VLOOKUP(A23, '8. Demand data categorization'!A:M,13,FALSE)="1991-Present"),"1971-Present",VLOOKUP(A23, '8. Demand data categorization'!A:M,13,FALSE))))</f>
        <v>Riparian</v>
      </c>
      <c r="C23" s="84" t="str">
        <f>VLOOKUP(A23,'12. eWRIMS_Export'!A:K,7,FALSE)</f>
        <v>DAVID  C.  KOBALL</v>
      </c>
      <c r="D23">
        <f>VLOOKUP(A23,'8. Demand data categorization'!A:AJ,30,FALSE)</f>
        <v>0</v>
      </c>
      <c r="E23">
        <f>VLOOKUP(A23,'8. Demand data categorization'!A:AJ,31,FALSE)</f>
        <v>0</v>
      </c>
      <c r="F23">
        <f>VLOOKUP(A23,'8. Demand data categorization'!A:AJ,32,FALSE)</f>
        <v>0</v>
      </c>
      <c r="G23" s="84">
        <f>VLOOKUP(A23,'8. Demand data categorization'!A:AJ,33,FALSE)</f>
        <v>0</v>
      </c>
      <c r="H23" s="80">
        <f>IF(ISERROR(VLOOKUP($A23,'8. Demand data categorization'!$A:$AV,30,FALSE)),0,(VLOOKUP($A23,'8. Demand data categorization'!$A:$AV,30,FALSE))*(1-VLOOKUP($B23,'2. Forbearance thresholds'!$A$16:$F$25,3,FALSE)))</f>
        <v>0</v>
      </c>
      <c r="I23" s="80">
        <f>IF(ISERROR(VLOOKUP($A23,'8. Demand data categorization'!$A:$AV,31,FALSE)),0,(VLOOKUP($A23,'8. Demand data categorization'!$A:$AV,31,FALSE))*(1-VLOOKUP($B23,'2. Forbearance thresholds'!$A$16:$F$25,4,FALSE)))</f>
        <v>0</v>
      </c>
      <c r="J23" s="80">
        <f>IF(ISERROR(VLOOKUP($A23,'8. Demand data categorization'!$A:$AV,32,FALSE)),0,(VLOOKUP($A23,'8. Demand data categorization'!$A:$AV,32,FALSE))*(1-VLOOKUP($B23,'2. Forbearance thresholds'!$A$16:$F$25,5,FALSE)))</f>
        <v>0</v>
      </c>
      <c r="K23" s="89">
        <f>IF(ISERROR(VLOOKUP($A23,'8. Demand data categorization'!$A:$AV,33,FALSE)),0,(VLOOKUP($A23,'8. Demand data categorization'!$A:$AV,33,FALSE))*(1-VLOOKUP($B23,'2. Forbearance thresholds'!$A$16:$F$25,6,FALSE)))</f>
        <v>0</v>
      </c>
      <c r="L23" s="1" t="str">
        <f>IF(ISERROR(VLOOKUP(A23,'11. TransferExport'!A:A,1,FALSE)),"N","Y")</f>
        <v>N</v>
      </c>
      <c r="M23" s="1" t="str">
        <f>IF(ISERROR(VLOOKUP(A23,'11. TransferExport'!B:B,1,FALSE)),"N","Y")</f>
        <v>N</v>
      </c>
      <c r="N23">
        <f>IF(L23="Y",-SUMIF('11. TransferExport'!A:A,A23,'11. TransferExport'!D:D),IF(M23="Y",SUMIF('11. TransferExport'!B:B,A23,'11. TransferExport'!D:D),0))</f>
        <v>0</v>
      </c>
      <c r="O23">
        <f>IF(L23="Y",-SUMIF('11. TransferExport'!A:A,A23,'11. TransferExport'!E:E),IF(M23="Y",SUMIF('11. TransferExport'!B:B,A23,'11. TransferExport'!E:E),0))</f>
        <v>0</v>
      </c>
      <c r="P23">
        <f>IF(L23="Y",-SUMIF('11. TransferExport'!A:A,A23,'11. TransferExport'!F:F),IF(M23="Y",SUMIF('11. TransferExport'!B:B,A23,'11. TransferExport'!F:F),0))</f>
        <v>0</v>
      </c>
      <c r="Q23">
        <f>IF(L23="Y",-SUMIF('11. TransferExport'!A:A,A23,'11. TransferExport'!G:G),IF(M23="Y",SUMIF('11. TransferExport'!B:B,A23,'11. TransferExport'!G:G),0))</f>
        <v>0</v>
      </c>
      <c r="R23" s="91">
        <f t="shared" si="0"/>
        <v>0</v>
      </c>
      <c r="S23">
        <f>IF(L23="Y",-SUMIF('11. TransferExport'!$A:$A,$A23,'11. TransferExport'!L:L),IF(M23="Y",SUMIF('11. TransferExport'!$B:$B,$A23,'11. TransferExport'!L:L),0))</f>
        <v>0</v>
      </c>
      <c r="T23">
        <f>IF($L23="Y",-SUMIF('11. TransferExport'!$A:$A,$A23,'11. TransferExport'!M:M),IF($M23="Y",SUMIF('11. TransferExport'!$B:$B,$A23,'11. TransferExport'!M:M),0))</f>
        <v>0</v>
      </c>
      <c r="U23">
        <f>IF($L23="Y",-SUMIF('11. TransferExport'!$A:$A,$A23,'11. TransferExport'!N:N),IF($M23="Y",SUMIF('11. TransferExport'!$B:$B,$A23,'11. TransferExport'!N:N),0))</f>
        <v>0</v>
      </c>
      <c r="V23">
        <f>IF($L23="Y",-SUMIF('11. TransferExport'!$A:$A,$A23,'11. TransferExport'!O:O),IF($M23="Y",SUMIF('11. TransferExport'!$B:$B,$A23,'11. TransferExport'!O:O),0))</f>
        <v>0</v>
      </c>
      <c r="W23" s="90">
        <f t="shared" si="1"/>
        <v>0</v>
      </c>
      <c r="X23" s="90">
        <f t="shared" si="2"/>
        <v>0</v>
      </c>
      <c r="Y23" s="90">
        <f t="shared" si="3"/>
        <v>0</v>
      </c>
      <c r="Z23" s="90">
        <f t="shared" si="4"/>
        <v>0</v>
      </c>
      <c r="AA23" s="91">
        <f t="shared" si="5"/>
        <v>0</v>
      </c>
      <c r="AB23" s="96">
        <f>VLOOKUP(A23,'8. Demand data categorization'!A:N,3,FALSE)</f>
        <v>5</v>
      </c>
      <c r="AC23" s="95" t="str">
        <f>VLOOKUP(A23,'8. Demand data categorization'!A:N,14,FALSE)</f>
        <v>Y</v>
      </c>
      <c r="AD23" t="str">
        <f t="shared" si="6"/>
        <v>Taking</v>
      </c>
    </row>
    <row r="24" spans="1:30" x14ac:dyDescent="0.25">
      <c r="A24" s="107" t="s">
        <v>105</v>
      </c>
      <c r="B24" t="str">
        <f>IF(ISERROR(VLOOKUP(A24, '8. Demand data categorization'!A:M,13,FALSE)),"ERROR",IF((VLOOKUP(A24, '8. Demand data categorization'!A:M,13,FALSE))="-","Riparian",IF(OR(VLOOKUP(A24, '8. Demand data categorization'!A:M,13,FALSE)="1971-1990",VLOOKUP(A24, '8. Demand data categorization'!A:M,13,FALSE)="1991-Present"),"1971-Present",VLOOKUP(A24, '8. Demand data categorization'!A:M,13,FALSE))))</f>
        <v>Riparian</v>
      </c>
      <c r="C24" s="84" t="s">
        <v>106</v>
      </c>
      <c r="D24">
        <f>VLOOKUP(A24,'8. Demand data categorization'!A:AJ,30,FALSE)</f>
        <v>0</v>
      </c>
      <c r="E24">
        <f>VLOOKUP(A24,'8. Demand data categorization'!A:AJ,31,FALSE)</f>
        <v>0</v>
      </c>
      <c r="F24">
        <f>VLOOKUP(A24,'8. Demand data categorization'!A:AJ,32,FALSE)</f>
        <v>0</v>
      </c>
      <c r="G24" s="84">
        <f>VLOOKUP(A24,'8. Demand data categorization'!A:AJ,33,FALSE)</f>
        <v>0</v>
      </c>
      <c r="H24" s="80">
        <f>IF(ISERROR(VLOOKUP($A24,'8. Demand data categorization'!$A:$AV,30,FALSE)),0,(VLOOKUP($A24,'8. Demand data categorization'!$A:$AV,30,FALSE))*(1-VLOOKUP($B24,'2. Forbearance thresholds'!$A$16:$F$25,3,FALSE)))</f>
        <v>0</v>
      </c>
      <c r="I24" s="80">
        <f>IF(ISERROR(VLOOKUP($A24,'8. Demand data categorization'!$A:$AV,31,FALSE)),0,(VLOOKUP($A24,'8. Demand data categorization'!$A:$AV,31,FALSE))*(1-VLOOKUP($B24,'2. Forbearance thresholds'!$A$16:$F$25,4,FALSE)))</f>
        <v>0</v>
      </c>
      <c r="J24" s="80">
        <f>IF(ISERROR(VLOOKUP($A24,'8. Demand data categorization'!$A:$AV,32,FALSE)),0,(VLOOKUP($A24,'8. Demand data categorization'!$A:$AV,32,FALSE))*(1-VLOOKUP($B24,'2. Forbearance thresholds'!$A$16:$F$25,5,FALSE)))</f>
        <v>0</v>
      </c>
      <c r="K24" s="89">
        <f>IF(ISERROR(VLOOKUP($A24,'8. Demand data categorization'!$A:$AV,33,FALSE)),0,(VLOOKUP($A24,'8. Demand data categorization'!$A:$AV,33,FALSE))*(1-VLOOKUP($B24,'2. Forbearance thresholds'!$A$16:$F$25,6,FALSE)))</f>
        <v>0</v>
      </c>
      <c r="L24" s="1" t="str">
        <f>IF(ISERROR(VLOOKUP(A24,'11. TransferExport'!A:A,1,FALSE)),"N","Y")</f>
        <v>N</v>
      </c>
      <c r="M24" s="1" t="str">
        <f>IF(ISERROR(VLOOKUP(A24,'11. TransferExport'!B:B,1,FALSE)),"N","Y")</f>
        <v>N</v>
      </c>
      <c r="N24">
        <f>IF(L24="Y",-SUMIF('11. TransferExport'!A:A,A24,'11. TransferExport'!D:D),IF(M24="Y",SUMIF('11. TransferExport'!B:B,A24,'11. TransferExport'!D:D),0))</f>
        <v>0</v>
      </c>
      <c r="O24">
        <f>IF(L24="Y",-SUMIF('11. TransferExport'!A:A,A24,'11. TransferExport'!E:E),IF(M24="Y",SUMIF('11. TransferExport'!B:B,A24,'11. TransferExport'!E:E),0))</f>
        <v>0</v>
      </c>
      <c r="P24">
        <f>IF(L24="Y",-SUMIF('11. TransferExport'!A:A,A24,'11. TransferExport'!F:F),IF(M24="Y",SUMIF('11. TransferExport'!B:B,A24,'11. TransferExport'!F:F),0))</f>
        <v>0</v>
      </c>
      <c r="Q24">
        <f>IF(L24="Y",-SUMIF('11. TransferExport'!A:A,A24,'11. TransferExport'!G:G),IF(M24="Y",SUMIF('11. TransferExport'!B:B,A24,'11. TransferExport'!G:G),0))</f>
        <v>0</v>
      </c>
      <c r="R24" s="91">
        <f t="shared" si="0"/>
        <v>0</v>
      </c>
      <c r="S24">
        <f>IF(L24="Y",-SUMIF('11. TransferExport'!$A:$A,$A24,'11. TransferExport'!L:L),IF(M24="Y",SUMIF('11. TransferExport'!$B:$B,$A24,'11. TransferExport'!L:L),0))</f>
        <v>0</v>
      </c>
      <c r="T24">
        <f>IF($L24="Y",-SUMIF('11. TransferExport'!$A:$A,$A24,'11. TransferExport'!M:M),IF($M24="Y",SUMIF('11. TransferExport'!$B:$B,$A24,'11. TransferExport'!M:M),0))</f>
        <v>0</v>
      </c>
      <c r="U24">
        <f>IF($L24="Y",-SUMIF('11. TransferExport'!$A:$A,$A24,'11. TransferExport'!N:N),IF($M24="Y",SUMIF('11. TransferExport'!$B:$B,$A24,'11. TransferExport'!N:N),0))</f>
        <v>0</v>
      </c>
      <c r="V24">
        <f>IF($L24="Y",-SUMIF('11. TransferExport'!$A:$A,$A24,'11. TransferExport'!O:O),IF($M24="Y",SUMIF('11. TransferExport'!$B:$B,$A24,'11. TransferExport'!O:O),0))</f>
        <v>0</v>
      </c>
      <c r="W24" s="90">
        <f t="shared" si="1"/>
        <v>0</v>
      </c>
      <c r="X24" s="90">
        <f t="shared" si="2"/>
        <v>0</v>
      </c>
      <c r="Y24" s="90">
        <f t="shared" si="3"/>
        <v>0</v>
      </c>
      <c r="Z24" s="90">
        <f t="shared" si="4"/>
        <v>0</v>
      </c>
      <c r="AA24" s="91">
        <f t="shared" si="5"/>
        <v>0</v>
      </c>
      <c r="AB24" s="96"/>
      <c r="AC24" s="95"/>
      <c r="AD24" t="str">
        <f t="shared" si="6"/>
        <v>Taking</v>
      </c>
    </row>
    <row r="25" spans="1:30" x14ac:dyDescent="0.25">
      <c r="A25" t="s">
        <v>41</v>
      </c>
      <c r="B25" t="str">
        <f>IF(ISERROR(VLOOKUP(A25, '8. Demand data categorization'!A:M,13,FALSE)),"ERROR",IF((VLOOKUP(A25, '8. Demand data categorization'!A:M,13,FALSE))="-","Riparian",IF(OR(VLOOKUP(A25, '8. Demand data categorization'!A:M,13,FALSE)="1971-1990",VLOOKUP(A25, '8. Demand data categorization'!A:M,13,FALSE)="1991-Present"),"1971-Present",VLOOKUP(A25, '8. Demand data categorization'!A:M,13,FALSE))))</f>
        <v>Riparian</v>
      </c>
      <c r="C25" s="84" t="str">
        <f>VLOOKUP(A25,'12. eWRIMS_Export'!A:K,7,FALSE)</f>
        <v>DE LORIMIER FAMILY LLC</v>
      </c>
      <c r="D25">
        <f>VLOOKUP(A25,'8. Demand data categorization'!A:AJ,30,FALSE)</f>
        <v>0</v>
      </c>
      <c r="E25">
        <f>VLOOKUP(A25,'8. Demand data categorization'!A:AJ,31,FALSE)</f>
        <v>0</v>
      </c>
      <c r="F25">
        <f>VLOOKUP(A25,'8. Demand data categorization'!A:AJ,32,FALSE)</f>
        <v>0</v>
      </c>
      <c r="G25" s="84">
        <f>VLOOKUP(A25,'8. Demand data categorization'!A:AJ,33,FALSE)</f>
        <v>0</v>
      </c>
      <c r="H25" s="80">
        <f>IF(ISERROR(VLOOKUP($A25,'8. Demand data categorization'!$A:$AV,30,FALSE)),0,(VLOOKUP($A25,'8. Demand data categorization'!$A:$AV,30,FALSE))*(1-VLOOKUP($B25,'2. Forbearance thresholds'!$A$16:$F$25,3,FALSE)))</f>
        <v>0</v>
      </c>
      <c r="I25" s="80">
        <f>IF(ISERROR(VLOOKUP($A25,'8. Demand data categorization'!$A:$AV,31,FALSE)),0,(VLOOKUP($A25,'8. Demand data categorization'!$A:$AV,31,FALSE))*(1-VLOOKUP($B25,'2. Forbearance thresholds'!$A$16:$F$25,4,FALSE)))</f>
        <v>0</v>
      </c>
      <c r="J25" s="80">
        <f>IF(ISERROR(VLOOKUP($A25,'8. Demand data categorization'!$A:$AV,32,FALSE)),0,(VLOOKUP($A25,'8. Demand data categorization'!$A:$AV,32,FALSE))*(1-VLOOKUP($B25,'2. Forbearance thresholds'!$A$16:$F$25,5,FALSE)))</f>
        <v>0</v>
      </c>
      <c r="K25" s="89">
        <f>IF(ISERROR(VLOOKUP($A25,'8. Demand data categorization'!$A:$AV,33,FALSE)),0,(VLOOKUP($A25,'8. Demand data categorization'!$A:$AV,33,FALSE))*(1-VLOOKUP($B25,'2. Forbearance thresholds'!$A$16:$F$25,6,FALSE)))</f>
        <v>0</v>
      </c>
      <c r="L25" s="1" t="str">
        <f>IF(ISERROR(VLOOKUP(A25,'11. TransferExport'!A:A,1,FALSE)),"N","Y")</f>
        <v>N</v>
      </c>
      <c r="M25" s="1" t="str">
        <f>IF(ISERROR(VLOOKUP(A25,'11. TransferExport'!B:B,1,FALSE)),"N","Y")</f>
        <v>N</v>
      </c>
      <c r="N25">
        <f>IF(L25="Y",-SUMIF('11. TransferExport'!A:A,A25,'11. TransferExport'!D:D),IF(M25="Y",SUMIF('11. TransferExport'!B:B,A25,'11. TransferExport'!D:D),0))</f>
        <v>0</v>
      </c>
      <c r="O25">
        <f>IF(L25="Y",-SUMIF('11. TransferExport'!A:A,A25,'11. TransferExport'!E:E),IF(M25="Y",SUMIF('11. TransferExport'!B:B,A25,'11. TransferExport'!E:E),0))</f>
        <v>0</v>
      </c>
      <c r="P25">
        <f>IF(L25="Y",-SUMIF('11. TransferExport'!A:A,A25,'11. TransferExport'!F:F),IF(M25="Y",SUMIF('11. TransferExport'!B:B,A25,'11. TransferExport'!F:F),0))</f>
        <v>0</v>
      </c>
      <c r="Q25">
        <f>IF(L25="Y",-SUMIF('11. TransferExport'!A:A,A25,'11. TransferExport'!G:G),IF(M25="Y",SUMIF('11. TransferExport'!B:B,A25,'11. TransferExport'!G:G),0))</f>
        <v>0</v>
      </c>
      <c r="R25" s="91">
        <f t="shared" si="0"/>
        <v>0</v>
      </c>
      <c r="S25">
        <f>IF(L25="Y",-SUMIF('11. TransferExport'!$A:$A,$A25,'11. TransferExport'!L:L),IF(M25="Y",SUMIF('11. TransferExport'!$B:$B,$A25,'11. TransferExport'!L:L),0))</f>
        <v>0</v>
      </c>
      <c r="T25">
        <f>IF($L25="Y",-SUMIF('11. TransferExport'!$A:$A,$A25,'11. TransferExport'!M:M),IF($M25="Y",SUMIF('11. TransferExport'!$B:$B,$A25,'11. TransferExport'!M:M),0))</f>
        <v>0</v>
      </c>
      <c r="U25">
        <f>IF($L25="Y",-SUMIF('11. TransferExport'!$A:$A,$A25,'11. TransferExport'!N:N),IF($M25="Y",SUMIF('11. TransferExport'!$B:$B,$A25,'11. TransferExport'!N:N),0))</f>
        <v>0</v>
      </c>
      <c r="V25">
        <f>IF($L25="Y",-SUMIF('11. TransferExport'!$A:$A,$A25,'11. TransferExport'!O:O),IF($M25="Y",SUMIF('11. TransferExport'!$B:$B,$A25,'11. TransferExport'!O:O),0))</f>
        <v>0</v>
      </c>
      <c r="W25" s="90">
        <f t="shared" si="1"/>
        <v>0</v>
      </c>
      <c r="X25" s="90">
        <f t="shared" si="2"/>
        <v>0</v>
      </c>
      <c r="Y25" s="90">
        <f t="shared" si="3"/>
        <v>0</v>
      </c>
      <c r="Z25" s="90">
        <f t="shared" si="4"/>
        <v>0</v>
      </c>
      <c r="AA25" s="91">
        <f t="shared" si="5"/>
        <v>0</v>
      </c>
      <c r="AB25" s="96">
        <f>VLOOKUP(A25,'8. Demand data categorization'!A:N,3,FALSE)</f>
        <v>10</v>
      </c>
      <c r="AC25" s="95" t="str">
        <f>VLOOKUP(A25,'8. Demand data categorization'!A:N,14,FALSE)</f>
        <v>Y</v>
      </c>
      <c r="AD25" t="str">
        <f t="shared" si="6"/>
        <v>Taking</v>
      </c>
    </row>
    <row r="26" spans="1:30" x14ac:dyDescent="0.25">
      <c r="A26" t="s">
        <v>42</v>
      </c>
      <c r="B26" t="str">
        <f>IF(ISERROR(VLOOKUP(A26, '8. Demand data categorization'!A:M,13,FALSE)),"ERROR",IF((VLOOKUP(A26, '8. Demand data categorization'!A:M,13,FALSE))="-","Riparian",IF(OR(VLOOKUP(A26, '8. Demand data categorization'!A:M,13,FALSE)="1971-1990",VLOOKUP(A26, '8. Demand data categorization'!A:M,13,FALSE)="1991-Present"),"1971-Present",VLOOKUP(A26, '8. Demand data categorization'!A:M,13,FALSE))))</f>
        <v>1950-1952</v>
      </c>
      <c r="C26" s="84" t="str">
        <f>VLOOKUP(A26,'12. eWRIMS_Export'!A:K,7,FALSE)</f>
        <v>DE LORIMIER FAMILY LLC</v>
      </c>
      <c r="D26">
        <f>VLOOKUP(A26,'8. Demand data categorization'!A:AJ,30,FALSE)</f>
        <v>0</v>
      </c>
      <c r="E26">
        <f>VLOOKUP(A26,'8. Demand data categorization'!A:AJ,31,FALSE)</f>
        <v>0</v>
      </c>
      <c r="F26">
        <f>VLOOKUP(A26,'8. Demand data categorization'!A:AJ,32,FALSE)</f>
        <v>0</v>
      </c>
      <c r="G26" s="84">
        <f>VLOOKUP(A26,'8. Demand data categorization'!A:AJ,33,FALSE)</f>
        <v>0</v>
      </c>
      <c r="H26" s="80">
        <f>IF(ISERROR(VLOOKUP($A26,'8. Demand data categorization'!$A:$AV,30,FALSE)),0,(VLOOKUP($A26,'8. Demand data categorization'!$A:$AV,30,FALSE))*(1-VLOOKUP($B26,'2. Forbearance thresholds'!$A$16:$F$25,3,FALSE)))</f>
        <v>0</v>
      </c>
      <c r="I26" s="80">
        <f>IF(ISERROR(VLOOKUP($A26,'8. Demand data categorization'!$A:$AV,31,FALSE)),0,(VLOOKUP($A26,'8. Demand data categorization'!$A:$AV,31,FALSE))*(1-VLOOKUP($B26,'2. Forbearance thresholds'!$A$16:$F$25,4,FALSE)))</f>
        <v>0</v>
      </c>
      <c r="J26" s="80">
        <f>IF(ISERROR(VLOOKUP($A26,'8. Demand data categorization'!$A:$AV,32,FALSE)),0,(VLOOKUP($A26,'8. Demand data categorization'!$A:$AV,32,FALSE))*(1-VLOOKUP($B26,'2. Forbearance thresholds'!$A$16:$F$25,5,FALSE)))</f>
        <v>0</v>
      </c>
      <c r="K26" s="89">
        <f>IF(ISERROR(VLOOKUP($A26,'8. Demand data categorization'!$A:$AV,33,FALSE)),0,(VLOOKUP($A26,'8. Demand data categorization'!$A:$AV,33,FALSE))*(1-VLOOKUP($B26,'2. Forbearance thresholds'!$A$16:$F$25,6,FALSE)))</f>
        <v>0</v>
      </c>
      <c r="L26" s="1" t="str">
        <f>IF(ISERROR(VLOOKUP(A26,'11. TransferExport'!A:A,1,FALSE)),"N","Y")</f>
        <v>N</v>
      </c>
      <c r="M26" s="1" t="str">
        <f>IF(ISERROR(VLOOKUP(A26,'11. TransferExport'!B:B,1,FALSE)),"N","Y")</f>
        <v>N</v>
      </c>
      <c r="N26">
        <f>IF(L26="Y",-SUMIF('11. TransferExport'!A:A,A26,'11. TransferExport'!D:D),IF(M26="Y",SUMIF('11. TransferExport'!B:B,A26,'11. TransferExport'!D:D),0))</f>
        <v>0</v>
      </c>
      <c r="O26">
        <f>IF(L26="Y",-SUMIF('11. TransferExport'!A:A,A26,'11. TransferExport'!E:E),IF(M26="Y",SUMIF('11. TransferExport'!B:B,A26,'11. TransferExport'!E:E),0))</f>
        <v>0</v>
      </c>
      <c r="P26">
        <f>IF(L26="Y",-SUMIF('11. TransferExport'!A:A,A26,'11. TransferExport'!F:F),IF(M26="Y",SUMIF('11. TransferExport'!B:B,A26,'11. TransferExport'!F:F),0))</f>
        <v>0</v>
      </c>
      <c r="Q26">
        <f>IF(L26="Y",-SUMIF('11. TransferExport'!A:A,A26,'11. TransferExport'!G:G),IF(M26="Y",SUMIF('11. TransferExport'!B:B,A26,'11. TransferExport'!G:G),0))</f>
        <v>0</v>
      </c>
      <c r="R26" s="91">
        <f t="shared" si="0"/>
        <v>0</v>
      </c>
      <c r="S26">
        <f>IF(L26="Y",-SUMIF('11. TransferExport'!$A:$A,$A26,'11. TransferExport'!L:L),IF(M26="Y",SUMIF('11. TransferExport'!$B:$B,$A26,'11. TransferExport'!L:L),0))</f>
        <v>0</v>
      </c>
      <c r="T26">
        <f>IF($L26="Y",-SUMIF('11. TransferExport'!$A:$A,$A26,'11. TransferExport'!M:M),IF($M26="Y",SUMIF('11. TransferExport'!$B:$B,$A26,'11. TransferExport'!M:M),0))</f>
        <v>0</v>
      </c>
      <c r="U26">
        <f>IF($L26="Y",-SUMIF('11. TransferExport'!$A:$A,$A26,'11. TransferExport'!N:N),IF($M26="Y",SUMIF('11. TransferExport'!$B:$B,$A26,'11. TransferExport'!N:N),0))</f>
        <v>0</v>
      </c>
      <c r="V26">
        <f>IF($L26="Y",-SUMIF('11. TransferExport'!$A:$A,$A26,'11. TransferExport'!O:O),IF($M26="Y",SUMIF('11. TransferExport'!$B:$B,$A26,'11. TransferExport'!O:O),0))</f>
        <v>0</v>
      </c>
      <c r="W26" s="90">
        <f t="shared" si="1"/>
        <v>0</v>
      </c>
      <c r="X26" s="90">
        <f t="shared" si="2"/>
        <v>0</v>
      </c>
      <c r="Y26" s="90">
        <f t="shared" si="3"/>
        <v>0</v>
      </c>
      <c r="Z26" s="90">
        <f t="shared" si="4"/>
        <v>0</v>
      </c>
      <c r="AA26" s="91">
        <f t="shared" si="5"/>
        <v>0</v>
      </c>
      <c r="AB26" s="96">
        <f>VLOOKUP(A26,'8. Demand data categorization'!A:N,3,FALSE)</f>
        <v>10</v>
      </c>
      <c r="AC26" s="95" t="str">
        <f>VLOOKUP(A26,'8. Demand data categorization'!A:N,14,FALSE)</f>
        <v>Y</v>
      </c>
      <c r="AD26" t="str">
        <f t="shared" si="6"/>
        <v>Giving</v>
      </c>
    </row>
    <row r="27" spans="1:30" x14ac:dyDescent="0.25">
      <c r="A27" s="107" t="s">
        <v>70</v>
      </c>
      <c r="B27" t="str">
        <f>IF(ISERROR(VLOOKUP(A27, '8. Demand data categorization'!A:M,13,FALSE)),"ERROR",IF((VLOOKUP(A27, '8. Demand data categorization'!A:M,13,FALSE))="-","Riparian",IF(OR(VLOOKUP(A27, '8. Demand data categorization'!A:M,13,FALSE)="1971-1990",VLOOKUP(A27, '8. Demand data categorization'!A:M,13,FALSE)="1991-Present"),"1971-Present",VLOOKUP(A27, '8. Demand data categorization'!A:M,13,FALSE))))</f>
        <v>1953-1954</v>
      </c>
      <c r="C27" s="84" t="str">
        <f>VLOOKUP(A27,'12. eWRIMS_Export'!A:K,7,FALSE)</f>
        <v>FIORE  TALARICO</v>
      </c>
      <c r="D27">
        <f>VLOOKUP(A27,'8. Demand data categorization'!A:AJ,30,FALSE)</f>
        <v>7.69</v>
      </c>
      <c r="E27">
        <f>VLOOKUP(A27,'8. Demand data categorization'!A:AJ,31,FALSE)</f>
        <v>2.2999999999999998</v>
      </c>
      <c r="F27">
        <f>VLOOKUP(A27,'8. Demand data categorization'!A:AJ,32,FALSE)</f>
        <v>1.39</v>
      </c>
      <c r="G27" s="84">
        <f>VLOOKUP(A27,'8. Demand data categorization'!A:AJ,33,FALSE)</f>
        <v>0</v>
      </c>
      <c r="H27" s="80">
        <f>IF(ISERROR(VLOOKUP($A27,'8. Demand data categorization'!$A:$AV,30,FALSE)),0,(VLOOKUP($A27,'8. Demand data categorization'!$A:$AV,30,FALSE))*(1-VLOOKUP($B27,'2. Forbearance thresholds'!$A$16:$F$25,3,FALSE)))</f>
        <v>6.9210000000000003</v>
      </c>
      <c r="I27" s="80">
        <f>IF(ISERROR(VLOOKUP($A27,'8. Demand data categorization'!$A:$AV,31,FALSE)),0,(VLOOKUP($A27,'8. Demand data categorization'!$A:$AV,31,FALSE))*(1-VLOOKUP($B27,'2. Forbearance thresholds'!$A$16:$F$25,4,FALSE)))</f>
        <v>6.5748465831607997E-2</v>
      </c>
      <c r="J27" s="80">
        <f>IF(ISERROR(VLOOKUP($A27,'8. Demand data categorization'!$A:$AV,32,FALSE)),0,(VLOOKUP($A27,'8. Demand data categorization'!$A:$AV,32,FALSE))*(1-VLOOKUP($B27,'2. Forbearance thresholds'!$A$16:$F$25,5,FALSE)))</f>
        <v>0</v>
      </c>
      <c r="K27" s="89">
        <f>IF(ISERROR(VLOOKUP($A27,'8. Demand data categorization'!$A:$AV,33,FALSE)),0,(VLOOKUP($A27,'8. Demand data categorization'!$A:$AV,33,FALSE))*(1-VLOOKUP($B27,'2. Forbearance thresholds'!$A$16:$F$25,6,FALSE)))</f>
        <v>0</v>
      </c>
      <c r="L27" s="1" t="str">
        <f>IF(ISERROR(VLOOKUP(A27,'11. TransferExport'!A:A,1,FALSE)),"N","Y")</f>
        <v>N</v>
      </c>
      <c r="M27" s="1" t="str">
        <f>IF(ISERROR(VLOOKUP(A27,'11. TransferExport'!B:B,1,FALSE)),"N","Y")</f>
        <v>N</v>
      </c>
      <c r="N27">
        <f>IF(L27="Y",-SUMIF('11. TransferExport'!A:A,A27,'11. TransferExport'!D:D),IF(M27="Y",SUMIF('11. TransferExport'!B:B,A27,'11. TransferExport'!D:D),0))</f>
        <v>0</v>
      </c>
      <c r="O27">
        <f>IF(L27="Y",-SUMIF('11. TransferExport'!A:A,A27,'11. TransferExport'!E:E),IF(M27="Y",SUMIF('11. TransferExport'!B:B,A27,'11. TransferExport'!E:E),0))</f>
        <v>0</v>
      </c>
      <c r="P27">
        <f>IF(L27="Y",-SUMIF('11. TransferExport'!A:A,A27,'11. TransferExport'!F:F),IF(M27="Y",SUMIF('11. TransferExport'!B:B,A27,'11. TransferExport'!F:F),0))</f>
        <v>0</v>
      </c>
      <c r="Q27">
        <f>IF(L27="Y",-SUMIF('11. TransferExport'!A:A,A27,'11. TransferExport'!G:G),IF(M27="Y",SUMIF('11. TransferExport'!B:B,A27,'11. TransferExport'!G:G),0))</f>
        <v>0</v>
      </c>
      <c r="R27" s="91">
        <f t="shared" si="0"/>
        <v>6.9867484658316084</v>
      </c>
      <c r="S27">
        <f>IF(L27="Y",-SUMIF('11. TransferExport'!$A:$A,$A27,'11. TransferExport'!L:L),IF(M27="Y",SUMIF('11. TransferExport'!$B:$B,$A27,'11. TransferExport'!L:L),0))</f>
        <v>0</v>
      </c>
      <c r="T27">
        <f>IF($L27="Y",-SUMIF('11. TransferExport'!$A:$A,$A27,'11. TransferExport'!M:M),IF($M27="Y",SUMIF('11. TransferExport'!$B:$B,$A27,'11. TransferExport'!M:M),0))</f>
        <v>0</v>
      </c>
      <c r="U27">
        <f>IF($L27="Y",-SUMIF('11. TransferExport'!$A:$A,$A27,'11. TransferExport'!N:N),IF($M27="Y",SUMIF('11. TransferExport'!$B:$B,$A27,'11. TransferExport'!N:N),0))</f>
        <v>0</v>
      </c>
      <c r="V27">
        <f>IF($L27="Y",-SUMIF('11. TransferExport'!$A:$A,$A27,'11. TransferExport'!O:O),IF($M27="Y",SUMIF('11. TransferExport'!$B:$B,$A27,'11. TransferExport'!O:O),0))</f>
        <v>0</v>
      </c>
      <c r="W27" s="90">
        <f t="shared" si="1"/>
        <v>6.9867484658316084</v>
      </c>
      <c r="X27" s="90">
        <f t="shared" si="2"/>
        <v>6.9210000000000003</v>
      </c>
      <c r="Y27" s="90">
        <f t="shared" si="3"/>
        <v>6.5748465831607997E-2</v>
      </c>
      <c r="Z27" s="90">
        <f t="shared" si="4"/>
        <v>0</v>
      </c>
      <c r="AA27" s="91">
        <f t="shared" si="5"/>
        <v>0</v>
      </c>
      <c r="AB27" s="96">
        <f>VLOOKUP(A27,'8. Demand data categorization'!A:N,3,FALSE)</f>
        <v>4</v>
      </c>
      <c r="AC27" s="95" t="str">
        <f>VLOOKUP(A27,'8. Demand data categorization'!A:N,14,FALSE)</f>
        <v>Y</v>
      </c>
      <c r="AD27" t="str">
        <f t="shared" si="6"/>
        <v>Giving</v>
      </c>
    </row>
    <row r="28" spans="1:30" x14ac:dyDescent="0.25">
      <c r="A28" s="107" t="s">
        <v>83</v>
      </c>
      <c r="B28" t="str">
        <f>IF(ISERROR(VLOOKUP(A28, '8. Demand data categorization'!A:M,13,FALSE)),"ERROR",IF((VLOOKUP(A28, '8. Demand data categorization'!A:M,13,FALSE))="-","Riparian",IF(OR(VLOOKUP(A28, '8. Demand data categorization'!A:M,13,FALSE)="1971-1990",VLOOKUP(A28, '8. Demand data categorization'!A:M,13,FALSE)="1991-Present"),"1971-Present",VLOOKUP(A28, '8. Demand data categorization'!A:M,13,FALSE))))</f>
        <v>Riparian</v>
      </c>
      <c r="C28" s="84" t="str">
        <f>VLOOKUP(A28,'12. eWRIMS_Export'!A:K,7,FALSE)</f>
        <v>FLIGHT RAIL CORPORATION</v>
      </c>
      <c r="D28">
        <f>VLOOKUP(A28,'8. Demand data categorization'!A:AJ,30,FALSE)</f>
        <v>7.63</v>
      </c>
      <c r="E28">
        <f>VLOOKUP(A28,'8. Demand data categorization'!A:AJ,31,FALSE)</f>
        <v>9.02</v>
      </c>
      <c r="F28">
        <f>VLOOKUP(A28,'8. Demand data categorization'!A:AJ,32,FALSE)</f>
        <v>3.95</v>
      </c>
      <c r="G28" s="84">
        <f>VLOOKUP(A28,'8. Demand data categorization'!A:AJ,33,FALSE)</f>
        <v>1.63</v>
      </c>
      <c r="H28" s="80">
        <f>IF(ISERROR(VLOOKUP($A28,'8. Demand data categorization'!$A:$AV,30,FALSE)),0,(VLOOKUP($A28,'8. Demand data categorization'!$A:$AV,30,FALSE))*(1-VLOOKUP($B28,'2. Forbearance thresholds'!$A$16:$F$25,3,FALSE)))</f>
        <v>5.8451891679748824</v>
      </c>
      <c r="I28" s="80">
        <f>IF(ISERROR(VLOOKUP($A28,'8. Demand data categorization'!$A:$AV,31,FALSE)),0,(VLOOKUP($A28,'8. Demand data categorization'!$A:$AV,31,FALSE))*(1-VLOOKUP($B28,'2. Forbearance thresholds'!$A$16:$F$25,4,FALSE)))</f>
        <v>0.25784833121787137</v>
      </c>
      <c r="J28" s="80">
        <f>IF(ISERROR(VLOOKUP($A28,'8. Demand data categorization'!$A:$AV,32,FALSE)),0,(VLOOKUP($A28,'8. Demand data categorization'!$A:$AV,32,FALSE))*(1-VLOOKUP($B28,'2. Forbearance thresholds'!$A$16:$F$25,5,FALSE)))</f>
        <v>0</v>
      </c>
      <c r="K28" s="89">
        <f>IF(ISERROR(VLOOKUP($A28,'8. Demand data categorization'!$A:$AV,33,FALSE)),0,(VLOOKUP($A28,'8. Demand data categorization'!$A:$AV,33,FALSE))*(1-VLOOKUP($B28,'2. Forbearance thresholds'!$A$16:$F$25,6,FALSE)))</f>
        <v>0</v>
      </c>
      <c r="L28" s="1" t="str">
        <f>IF(ISERROR(VLOOKUP(A28,'11. TransferExport'!A:A,1,FALSE)),"N","Y")</f>
        <v>N</v>
      </c>
      <c r="M28" s="1" t="str">
        <f>IF(ISERROR(VLOOKUP(A28,'11. TransferExport'!B:B,1,FALSE)),"N","Y")</f>
        <v>N</v>
      </c>
      <c r="N28">
        <f>IF(L28="Y",-SUMIF('11. TransferExport'!A:A,A28,'11. TransferExport'!D:D),IF(M28="Y",SUMIF('11. TransferExport'!B:B,A28,'11. TransferExport'!D:D),0))</f>
        <v>0</v>
      </c>
      <c r="O28">
        <f>IF(L28="Y",-SUMIF('11. TransferExport'!A:A,A28,'11. TransferExport'!E:E),IF(M28="Y",SUMIF('11. TransferExport'!B:B,A28,'11. TransferExport'!E:E),0))</f>
        <v>0</v>
      </c>
      <c r="P28">
        <f>IF(L28="Y",-SUMIF('11. TransferExport'!A:A,A28,'11. TransferExport'!F:F),IF(M28="Y",SUMIF('11. TransferExport'!B:B,A28,'11. TransferExport'!F:F),0))</f>
        <v>0</v>
      </c>
      <c r="Q28">
        <f>IF(L28="Y",-SUMIF('11. TransferExport'!A:A,A28,'11. TransferExport'!G:G),IF(M28="Y",SUMIF('11. TransferExport'!B:B,A28,'11. TransferExport'!G:G),0))</f>
        <v>0</v>
      </c>
      <c r="R28" s="91">
        <f t="shared" si="0"/>
        <v>6.1030374991927534</v>
      </c>
      <c r="S28">
        <f>IF(L28="Y",-SUMIF('11. TransferExport'!$A:$A,$A28,'11. TransferExport'!L:L),IF(M28="Y",SUMIF('11. TransferExport'!$B:$B,$A28,'11. TransferExport'!L:L),0))</f>
        <v>0</v>
      </c>
      <c r="T28">
        <f>IF($L28="Y",-SUMIF('11. TransferExport'!$A:$A,$A28,'11. TransferExport'!M:M),IF($M28="Y",SUMIF('11. TransferExport'!$B:$B,$A28,'11. TransferExport'!M:M),0))</f>
        <v>0</v>
      </c>
      <c r="U28">
        <f>IF($L28="Y",-SUMIF('11. TransferExport'!$A:$A,$A28,'11. TransferExport'!N:N),IF($M28="Y",SUMIF('11. TransferExport'!$B:$B,$A28,'11. TransferExport'!N:N),0))</f>
        <v>0</v>
      </c>
      <c r="V28">
        <f>IF($L28="Y",-SUMIF('11. TransferExport'!$A:$A,$A28,'11. TransferExport'!O:O),IF($M28="Y",SUMIF('11. TransferExport'!$B:$B,$A28,'11. TransferExport'!O:O),0))</f>
        <v>0</v>
      </c>
      <c r="W28" s="90">
        <f t="shared" si="1"/>
        <v>6.1030374991927534</v>
      </c>
      <c r="X28" s="90">
        <f t="shared" si="2"/>
        <v>5.8451891679748824</v>
      </c>
      <c r="Y28" s="90">
        <f t="shared" si="3"/>
        <v>0.25784833121787137</v>
      </c>
      <c r="Z28" s="90">
        <f t="shared" si="4"/>
        <v>0</v>
      </c>
      <c r="AA28" s="91">
        <f t="shared" si="5"/>
        <v>0</v>
      </c>
      <c r="AB28" s="96">
        <f>VLOOKUP(A28,'8. Demand data categorization'!A:N,3,FALSE)</f>
        <v>5</v>
      </c>
      <c r="AC28" s="95" t="str">
        <f>VLOOKUP(A28,'8. Demand data categorization'!A:N,14,FALSE)</f>
        <v>Y</v>
      </c>
      <c r="AD28" t="str">
        <f t="shared" si="6"/>
        <v>Taking</v>
      </c>
    </row>
    <row r="29" spans="1:30" x14ac:dyDescent="0.25">
      <c r="A29" s="107" t="s">
        <v>87</v>
      </c>
      <c r="B29" t="str">
        <f>IF(ISERROR(VLOOKUP(A29, '8. Demand data categorization'!A:M,13,FALSE)),"ERROR",IF((VLOOKUP(A29, '8. Demand data categorization'!A:M,13,FALSE))="-","Riparian",IF(OR(VLOOKUP(A29, '8. Demand data categorization'!A:M,13,FALSE)="1971-1990",VLOOKUP(A29, '8. Demand data categorization'!A:M,13,FALSE)="1991-Present"),"1971-Present",VLOOKUP(A29, '8. Demand data categorization'!A:M,13,FALSE))))</f>
        <v>1950-1952</v>
      </c>
      <c r="C29" s="84" t="str">
        <f>VLOOKUP(A29,'12. eWRIMS_Export'!A:K,7,FALSE)</f>
        <v>FLIGHT RAIL CORPORATION</v>
      </c>
      <c r="D29">
        <f>VLOOKUP(A29,'8. Demand data categorization'!A:AJ,30,FALSE)</f>
        <v>8.8800000000000008</v>
      </c>
      <c r="E29">
        <f>VLOOKUP(A29,'8. Demand data categorization'!A:AJ,31,FALSE)</f>
        <v>7.16</v>
      </c>
      <c r="F29">
        <f>VLOOKUP(A29,'8. Demand data categorization'!A:AJ,32,FALSE)</f>
        <v>2.89</v>
      </c>
      <c r="G29" s="84">
        <f>VLOOKUP(A29,'8. Demand data categorization'!A:AJ,33,FALSE)</f>
        <v>1.24</v>
      </c>
      <c r="H29" s="80">
        <f>IF(ISERROR(VLOOKUP($A29,'8. Demand data categorization'!$A:$AV,30,FALSE)),0,(VLOOKUP($A29,'8. Demand data categorization'!$A:$AV,30,FALSE))*(1-VLOOKUP($B29,'2. Forbearance thresholds'!$A$16:$F$25,3,FALSE)))</f>
        <v>7.9920000000000009</v>
      </c>
      <c r="I29" s="80">
        <f>IF(ISERROR(VLOOKUP($A29,'8. Demand data categorization'!$A:$AV,31,FALSE)),0,(VLOOKUP($A29,'8. Demand data categorization'!$A:$AV,31,FALSE))*(1-VLOOKUP($B29,'2. Forbearance thresholds'!$A$16:$F$25,4,FALSE)))</f>
        <v>0.20467783276274493</v>
      </c>
      <c r="J29" s="80">
        <f>IF(ISERROR(VLOOKUP($A29,'8. Demand data categorization'!$A:$AV,32,FALSE)),0,(VLOOKUP($A29,'8. Demand data categorization'!$A:$AV,32,FALSE))*(1-VLOOKUP($B29,'2. Forbearance thresholds'!$A$16:$F$25,5,FALSE)))</f>
        <v>0</v>
      </c>
      <c r="K29" s="89">
        <f>IF(ISERROR(VLOOKUP($A29,'8. Demand data categorization'!$A:$AV,33,FALSE)),0,(VLOOKUP($A29,'8. Demand data categorization'!$A:$AV,33,FALSE))*(1-VLOOKUP($B29,'2. Forbearance thresholds'!$A$16:$F$25,6,FALSE)))</f>
        <v>0</v>
      </c>
      <c r="L29" s="1" t="str">
        <f>IF(ISERROR(VLOOKUP(A29,'11. TransferExport'!A:A,1,FALSE)),"N","Y")</f>
        <v>N</v>
      </c>
      <c r="M29" s="1" t="str">
        <f>IF(ISERROR(VLOOKUP(A29,'11. TransferExport'!B:B,1,FALSE)),"N","Y")</f>
        <v>N</v>
      </c>
      <c r="N29">
        <f>IF(L29="Y",-SUMIF('11. TransferExport'!A:A,A29,'11. TransferExport'!D:D),IF(M29="Y",SUMIF('11. TransferExport'!B:B,A29,'11. TransferExport'!D:D),0))</f>
        <v>0</v>
      </c>
      <c r="O29">
        <f>IF(L29="Y",-SUMIF('11. TransferExport'!A:A,A29,'11. TransferExport'!E:E),IF(M29="Y",SUMIF('11. TransferExport'!B:B,A29,'11. TransferExport'!E:E),0))</f>
        <v>0</v>
      </c>
      <c r="P29">
        <f>IF(L29="Y",-SUMIF('11. TransferExport'!A:A,A29,'11. TransferExport'!F:F),IF(M29="Y",SUMIF('11. TransferExport'!B:B,A29,'11. TransferExport'!F:F),0))</f>
        <v>0</v>
      </c>
      <c r="Q29">
        <f>IF(L29="Y",-SUMIF('11. TransferExport'!A:A,A29,'11. TransferExport'!G:G),IF(M29="Y",SUMIF('11. TransferExport'!B:B,A29,'11. TransferExport'!G:G),0))</f>
        <v>0</v>
      </c>
      <c r="R29" s="91">
        <f t="shared" si="0"/>
        <v>8.1966778327627452</v>
      </c>
      <c r="S29">
        <f>IF(L29="Y",-SUMIF('11. TransferExport'!$A:$A,$A29,'11. TransferExport'!L:L),IF(M29="Y",SUMIF('11. TransferExport'!$B:$B,$A29,'11. TransferExport'!L:L),0))</f>
        <v>0</v>
      </c>
      <c r="T29">
        <f>IF($L29="Y",-SUMIF('11. TransferExport'!$A:$A,$A29,'11. TransferExport'!M:M),IF($M29="Y",SUMIF('11. TransferExport'!$B:$B,$A29,'11. TransferExport'!M:M),0))</f>
        <v>0</v>
      </c>
      <c r="U29">
        <f>IF($L29="Y",-SUMIF('11. TransferExport'!$A:$A,$A29,'11. TransferExport'!N:N),IF($M29="Y",SUMIF('11. TransferExport'!$B:$B,$A29,'11. TransferExport'!N:N),0))</f>
        <v>0</v>
      </c>
      <c r="V29">
        <f>IF($L29="Y",-SUMIF('11. TransferExport'!$A:$A,$A29,'11. TransferExport'!O:O),IF($M29="Y",SUMIF('11. TransferExport'!$B:$B,$A29,'11. TransferExport'!O:O),0))</f>
        <v>0</v>
      </c>
      <c r="W29" s="90">
        <f t="shared" si="1"/>
        <v>8.1966778327627452</v>
      </c>
      <c r="X29" s="90">
        <f t="shared" si="2"/>
        <v>7.9920000000000009</v>
      </c>
      <c r="Y29" s="90">
        <f t="shared" si="3"/>
        <v>0.20467783276274493</v>
      </c>
      <c r="Z29" s="90">
        <f t="shared" si="4"/>
        <v>0</v>
      </c>
      <c r="AA29" s="91">
        <f t="shared" si="5"/>
        <v>0</v>
      </c>
      <c r="AB29" s="96">
        <f>VLOOKUP(A29,'8. Demand data categorization'!A:N,3,FALSE)</f>
        <v>5</v>
      </c>
      <c r="AC29" s="95" t="str">
        <f>VLOOKUP(A29,'8. Demand data categorization'!A:N,14,FALSE)</f>
        <v>Y</v>
      </c>
      <c r="AD29" t="str">
        <f t="shared" si="6"/>
        <v>Giving</v>
      </c>
    </row>
    <row r="30" spans="1:30" x14ac:dyDescent="0.25">
      <c r="A30" s="107" t="s">
        <v>77</v>
      </c>
      <c r="B30" t="str">
        <f>IF(ISERROR(VLOOKUP(A30, '8. Demand data categorization'!A:M,13,FALSE)),"ERROR",IF((VLOOKUP(A30, '8. Demand data categorization'!A:M,13,FALSE))="-","Riparian",IF(OR(VLOOKUP(A30, '8. Demand data categorization'!A:M,13,FALSE)="1971-1990",VLOOKUP(A30, '8. Demand data categorization'!A:M,13,FALSE)="1991-Present"),"1971-Present",VLOOKUP(A30, '8. Demand data categorization'!A:M,13,FALSE))))</f>
        <v>1955-1956</v>
      </c>
      <c r="C30" s="84" t="str">
        <f>VLOOKUP(A30,'12. eWRIMS_Export'!A:K,7,FALSE)</f>
        <v>FOUNTAIN RANCH LLC</v>
      </c>
      <c r="D30">
        <f>VLOOKUP(A30,'8. Demand data categorization'!A:AJ,30,FALSE)</f>
        <v>41.32</v>
      </c>
      <c r="E30">
        <f>VLOOKUP(A30,'8. Demand data categorization'!A:AJ,31,FALSE)</f>
        <v>33.119999999999997</v>
      </c>
      <c r="F30">
        <f>VLOOKUP(A30,'8. Demand data categorization'!A:AJ,32,FALSE)</f>
        <v>38.659999999999997</v>
      </c>
      <c r="G30" s="84">
        <f>VLOOKUP(A30,'8. Demand data categorization'!A:AJ,33,FALSE)</f>
        <v>2.23</v>
      </c>
      <c r="H30" s="80">
        <f>IF(ISERROR(VLOOKUP($A30,'8. Demand data categorization'!$A:$AV,30,FALSE)),0,(VLOOKUP($A30,'8. Demand data categorization'!$A:$AV,30,FALSE))*(1-VLOOKUP($B30,'2. Forbearance thresholds'!$A$16:$F$25,3,FALSE)))</f>
        <v>37.188000000000002</v>
      </c>
      <c r="I30" s="80">
        <f>IF(ISERROR(VLOOKUP($A30,'8. Demand data categorization'!$A:$AV,31,FALSE)),0,(VLOOKUP($A30,'8. Demand data categorization'!$A:$AV,31,FALSE))*(1-VLOOKUP($B30,'2. Forbearance thresholds'!$A$16:$F$25,4,FALSE)))</f>
        <v>0.94677790797515515</v>
      </c>
      <c r="J30" s="80">
        <f>IF(ISERROR(VLOOKUP($A30,'8. Demand data categorization'!$A:$AV,32,FALSE)),0,(VLOOKUP($A30,'8. Demand data categorization'!$A:$AV,32,FALSE))*(1-VLOOKUP($B30,'2. Forbearance thresholds'!$A$16:$F$25,5,FALSE)))</f>
        <v>0</v>
      </c>
      <c r="K30" s="89">
        <f>IF(ISERROR(VLOOKUP($A30,'8. Demand data categorization'!$A:$AV,33,FALSE)),0,(VLOOKUP($A30,'8. Demand data categorization'!$A:$AV,33,FALSE))*(1-VLOOKUP($B30,'2. Forbearance thresholds'!$A$16:$F$25,6,FALSE)))</f>
        <v>0</v>
      </c>
      <c r="L30" s="1" t="str">
        <f>IF(ISERROR(VLOOKUP(A30,'11. TransferExport'!A:A,1,FALSE)),"N","Y")</f>
        <v>N</v>
      </c>
      <c r="M30" s="1" t="str">
        <f>IF(ISERROR(VLOOKUP(A30,'11. TransferExport'!B:B,1,FALSE)),"N","Y")</f>
        <v>N</v>
      </c>
      <c r="N30">
        <f>IF(L30="Y",-SUMIF('11. TransferExport'!A:A,A30,'11. TransferExport'!D:D),IF(M30="Y",SUMIF('11. TransferExport'!B:B,A30,'11. TransferExport'!D:D),0))</f>
        <v>0</v>
      </c>
      <c r="O30">
        <f>IF(L30="Y",-SUMIF('11. TransferExport'!A:A,A30,'11. TransferExport'!E:E),IF(M30="Y",SUMIF('11. TransferExport'!B:B,A30,'11. TransferExport'!E:E),0))</f>
        <v>0</v>
      </c>
      <c r="P30">
        <f>IF(L30="Y",-SUMIF('11. TransferExport'!A:A,A30,'11. TransferExport'!F:F),IF(M30="Y",SUMIF('11. TransferExport'!B:B,A30,'11. TransferExport'!F:F),0))</f>
        <v>0</v>
      </c>
      <c r="Q30">
        <f>IF(L30="Y",-SUMIF('11. TransferExport'!A:A,A30,'11. TransferExport'!G:G),IF(M30="Y",SUMIF('11. TransferExport'!B:B,A30,'11. TransferExport'!G:G),0))</f>
        <v>0</v>
      </c>
      <c r="R30" s="91">
        <f t="shared" si="0"/>
        <v>38.134777907975156</v>
      </c>
      <c r="S30">
        <f>IF(L30="Y",-SUMIF('11. TransferExport'!$A:$A,$A30,'11. TransferExport'!L:L),IF(M30="Y",SUMIF('11. TransferExport'!$B:$B,$A30,'11. TransferExport'!L:L),0))</f>
        <v>0</v>
      </c>
      <c r="T30">
        <f>IF($L30="Y",-SUMIF('11. TransferExport'!$A:$A,$A30,'11. TransferExport'!M:M),IF($M30="Y",SUMIF('11. TransferExport'!$B:$B,$A30,'11. TransferExport'!M:M),0))</f>
        <v>0</v>
      </c>
      <c r="U30">
        <f>IF($L30="Y",-SUMIF('11. TransferExport'!$A:$A,$A30,'11. TransferExport'!N:N),IF($M30="Y",SUMIF('11. TransferExport'!$B:$B,$A30,'11. TransferExport'!N:N),0))</f>
        <v>0</v>
      </c>
      <c r="V30">
        <f>IF($L30="Y",-SUMIF('11. TransferExport'!$A:$A,$A30,'11. TransferExport'!O:O),IF($M30="Y",SUMIF('11. TransferExport'!$B:$B,$A30,'11. TransferExport'!O:O),0))</f>
        <v>0</v>
      </c>
      <c r="W30" s="90">
        <f t="shared" si="1"/>
        <v>38.134777907975156</v>
      </c>
      <c r="X30" s="90">
        <f t="shared" si="2"/>
        <v>37.188000000000002</v>
      </c>
      <c r="Y30" s="90">
        <f t="shared" si="3"/>
        <v>0.94677790797515515</v>
      </c>
      <c r="Z30" s="90">
        <f t="shared" si="4"/>
        <v>0</v>
      </c>
      <c r="AA30" s="91">
        <f t="shared" si="5"/>
        <v>0</v>
      </c>
      <c r="AB30" s="96">
        <f>VLOOKUP(A30,'8. Demand data categorization'!A:N,3,FALSE)</f>
        <v>6</v>
      </c>
      <c r="AC30" s="95" t="str">
        <f>VLOOKUP(A30,'8. Demand data categorization'!A:N,14,FALSE)</f>
        <v>Y</v>
      </c>
      <c r="AD30" t="str">
        <f t="shared" si="6"/>
        <v>Giving</v>
      </c>
    </row>
    <row r="31" spans="1:30" x14ac:dyDescent="0.25">
      <c r="A31" s="107" t="s">
        <v>52</v>
      </c>
      <c r="B31" t="str">
        <f>IF(ISERROR(VLOOKUP(A31, '8. Demand data categorization'!A:M,13,FALSE)),"ERROR",IF((VLOOKUP(A31, '8. Demand data categorization'!A:M,13,FALSE))="-","Riparian",IF(OR(VLOOKUP(A31, '8. Demand data categorization'!A:M,13,FALSE)="1971-1990",VLOOKUP(A31, '8. Demand data categorization'!A:M,13,FALSE)="1991-Present"),"1971-Present",VLOOKUP(A31, '8. Demand data categorization'!A:M,13,FALSE))))</f>
        <v>Pre-1914</v>
      </c>
      <c r="C31" s="84" t="str">
        <f>VLOOKUP(A31,'12. eWRIMS_Export'!A:K,7,FALSE)</f>
        <v>GALLO VINEYARDS INC</v>
      </c>
      <c r="D31">
        <f>VLOOKUP(A31,'8. Demand data categorization'!A:AJ,30,FALSE)</f>
        <v>0</v>
      </c>
      <c r="E31">
        <f>VLOOKUP(A31,'8. Demand data categorization'!A:AJ,31,FALSE)</f>
        <v>0</v>
      </c>
      <c r="F31">
        <f>VLOOKUP(A31,'8. Demand data categorization'!A:AJ,32,FALSE)</f>
        <v>0</v>
      </c>
      <c r="G31" s="84">
        <f>VLOOKUP(A31,'8. Demand data categorization'!A:AJ,33,FALSE)</f>
        <v>0</v>
      </c>
      <c r="H31" s="80">
        <f>IF(ISERROR(VLOOKUP($A31,'8. Demand data categorization'!$A:$AV,30,FALSE)),0,(VLOOKUP($A31,'8. Demand data categorization'!$A:$AV,30,FALSE))*(1-VLOOKUP($B31,'2. Forbearance thresholds'!$A$16:$F$25,3,FALSE)))</f>
        <v>0</v>
      </c>
      <c r="I31" s="80">
        <f>IF(ISERROR(VLOOKUP($A31,'8. Demand data categorization'!$A:$AV,31,FALSE)),0,(VLOOKUP($A31,'8. Demand data categorization'!$A:$AV,31,FALSE))*(1-VLOOKUP($B31,'2. Forbearance thresholds'!$A$16:$F$25,4,FALSE)))</f>
        <v>0</v>
      </c>
      <c r="J31" s="80">
        <f>IF(ISERROR(VLOOKUP($A31,'8. Demand data categorization'!$A:$AV,32,FALSE)),0,(VLOOKUP($A31,'8. Demand data categorization'!$A:$AV,32,FALSE))*(1-VLOOKUP($B31,'2. Forbearance thresholds'!$A$16:$F$25,5,FALSE)))</f>
        <v>0</v>
      </c>
      <c r="K31" s="89">
        <f>IF(ISERROR(VLOOKUP($A31,'8. Demand data categorization'!$A:$AV,33,FALSE)),0,(VLOOKUP($A31,'8. Demand data categorization'!$A:$AV,33,FALSE))*(1-VLOOKUP($B31,'2. Forbearance thresholds'!$A$16:$F$25,6,FALSE)))</f>
        <v>0</v>
      </c>
      <c r="L31" s="1" t="str">
        <f>IF(ISERROR(VLOOKUP(A31,'11. TransferExport'!A:A,1,FALSE)),"N","Y")</f>
        <v>N</v>
      </c>
      <c r="M31" s="1" t="str">
        <f>IF(ISERROR(VLOOKUP(A31,'11. TransferExport'!B:B,1,FALSE)),"N","Y")</f>
        <v>N</v>
      </c>
      <c r="N31">
        <f>IF(L31="Y",-SUMIF('11. TransferExport'!A:A,A31,'11. TransferExport'!D:D),IF(M31="Y",SUMIF('11. TransferExport'!B:B,A31,'11. TransferExport'!D:D),0))</f>
        <v>0</v>
      </c>
      <c r="O31">
        <f>IF(L31="Y",-SUMIF('11. TransferExport'!A:A,A31,'11. TransferExport'!E:E),IF(M31="Y",SUMIF('11. TransferExport'!B:B,A31,'11. TransferExport'!E:E),0))</f>
        <v>0</v>
      </c>
      <c r="P31">
        <f>IF(L31="Y",-SUMIF('11. TransferExport'!A:A,A31,'11. TransferExport'!F:F),IF(M31="Y",SUMIF('11. TransferExport'!B:B,A31,'11. TransferExport'!F:F),0))</f>
        <v>0</v>
      </c>
      <c r="Q31">
        <f>IF(L31="Y",-SUMIF('11. TransferExport'!A:A,A31,'11. TransferExport'!G:G),IF(M31="Y",SUMIF('11. TransferExport'!B:B,A31,'11. TransferExport'!G:G),0))</f>
        <v>0</v>
      </c>
      <c r="R31" s="91">
        <f t="shared" si="0"/>
        <v>0</v>
      </c>
      <c r="S31">
        <f>IF(L31="Y",-SUMIF('11. TransferExport'!$A:$A,$A31,'11. TransferExport'!L:L),IF(M31="Y",SUMIF('11. TransferExport'!$B:$B,$A31,'11. TransferExport'!L:L),0))</f>
        <v>0</v>
      </c>
      <c r="T31">
        <f>IF($L31="Y",-SUMIF('11. TransferExport'!$A:$A,$A31,'11. TransferExport'!M:M),IF($M31="Y",SUMIF('11. TransferExport'!$B:$B,$A31,'11. TransferExport'!M:M),0))</f>
        <v>0</v>
      </c>
      <c r="U31">
        <f>IF($L31="Y",-SUMIF('11. TransferExport'!$A:$A,$A31,'11. TransferExport'!N:N),IF($M31="Y",SUMIF('11. TransferExport'!$B:$B,$A31,'11. TransferExport'!N:N),0))</f>
        <v>0</v>
      </c>
      <c r="V31">
        <f>IF($L31="Y",-SUMIF('11. TransferExport'!$A:$A,$A31,'11. TransferExport'!O:O),IF($M31="Y",SUMIF('11. TransferExport'!$B:$B,$A31,'11. TransferExport'!O:O),0))</f>
        <v>0</v>
      </c>
      <c r="W31" s="90">
        <f t="shared" si="1"/>
        <v>0</v>
      </c>
      <c r="X31" s="90">
        <f t="shared" si="2"/>
        <v>0</v>
      </c>
      <c r="Y31" s="90">
        <f t="shared" si="3"/>
        <v>0</v>
      </c>
      <c r="Z31" s="90">
        <f t="shared" si="4"/>
        <v>0</v>
      </c>
      <c r="AA31" s="91">
        <f t="shared" si="5"/>
        <v>0</v>
      </c>
      <c r="AB31" s="96">
        <f>VLOOKUP(A31,'8. Demand data categorization'!A:N,3,FALSE)</f>
        <v>9</v>
      </c>
      <c r="AC31" s="95" t="str">
        <f>VLOOKUP(A31,'8. Demand data categorization'!A:N,14,FALSE)</f>
        <v>Y</v>
      </c>
      <c r="AD31" t="str">
        <f t="shared" si="6"/>
        <v>No Change</v>
      </c>
    </row>
    <row r="32" spans="1:30" x14ac:dyDescent="0.25">
      <c r="A32" s="107" t="s">
        <v>63</v>
      </c>
      <c r="B32" t="str">
        <f>IF(ISERROR(VLOOKUP(A32, '8. Demand data categorization'!A:M,13,FALSE)),"ERROR",IF((VLOOKUP(A32, '8. Demand data categorization'!A:M,13,FALSE))="-","Riparian",IF(OR(VLOOKUP(A32, '8. Demand data categorization'!A:M,13,FALSE)="1971-1990",VLOOKUP(A32, '8. Demand data categorization'!A:M,13,FALSE)="1991-Present"),"1971-Present",VLOOKUP(A32, '8. Demand data categorization'!A:M,13,FALSE))))</f>
        <v>1971-Present</v>
      </c>
      <c r="C32" s="84" t="str">
        <f>VLOOKUP(A32,'12. eWRIMS_Export'!A:K,7,FALSE)</f>
        <v>GALLO VINEYARDS INC</v>
      </c>
      <c r="D32">
        <f>VLOOKUP(A32,'8. Demand data categorization'!A:AJ,30,FALSE)</f>
        <v>12.13</v>
      </c>
      <c r="E32">
        <f>VLOOKUP(A32,'8. Demand data categorization'!A:AJ,31,FALSE)</f>
        <v>18.73</v>
      </c>
      <c r="F32">
        <f>VLOOKUP(A32,'8. Demand data categorization'!A:AJ,32,FALSE)</f>
        <v>24.56</v>
      </c>
      <c r="G32" s="84">
        <f>VLOOKUP(A32,'8. Demand data categorization'!A:AJ,33,FALSE)</f>
        <v>22.36</v>
      </c>
      <c r="H32" s="80">
        <f>IF(ISERROR(VLOOKUP($A32,'8. Demand data categorization'!$A:$AV,30,FALSE)),0,(VLOOKUP($A32,'8. Demand data categorization'!$A:$AV,30,FALSE))*(1-VLOOKUP($B32,'2. Forbearance thresholds'!$A$16:$F$25,3,FALSE)))</f>
        <v>10.917000000000002</v>
      </c>
      <c r="I32" s="80">
        <f>IF(ISERROR(VLOOKUP($A32,'8. Demand data categorization'!$A:$AV,31,FALSE)),0,(VLOOKUP($A32,'8. Demand data categorization'!$A:$AV,31,FALSE))*(1-VLOOKUP($B32,'2. Forbearance thresholds'!$A$16:$F$25,4,FALSE)))</f>
        <v>0.53542120218522515</v>
      </c>
      <c r="J32" s="80">
        <f>IF(ISERROR(VLOOKUP($A32,'8. Demand data categorization'!$A:$AV,32,FALSE)),0,(VLOOKUP($A32,'8. Demand data categorization'!$A:$AV,32,FALSE))*(1-VLOOKUP($B32,'2. Forbearance thresholds'!$A$16:$F$25,5,FALSE)))</f>
        <v>0</v>
      </c>
      <c r="K32" s="89">
        <f>IF(ISERROR(VLOOKUP($A32,'8. Demand data categorization'!$A:$AV,33,FALSE)),0,(VLOOKUP($A32,'8. Demand data categorization'!$A:$AV,33,FALSE))*(1-VLOOKUP($B32,'2. Forbearance thresholds'!$A$16:$F$25,6,FALSE)))</f>
        <v>0</v>
      </c>
      <c r="L32" s="1" t="str">
        <f>IF(ISERROR(VLOOKUP(A32,'11. TransferExport'!A:A,1,FALSE)),"N","Y")</f>
        <v>N</v>
      </c>
      <c r="M32" s="1" t="str">
        <f>IF(ISERROR(VLOOKUP(A32,'11. TransferExport'!B:B,1,FALSE)),"N","Y")</f>
        <v>N</v>
      </c>
      <c r="N32">
        <f>IF(L32="Y",-SUMIF('11. TransferExport'!A:A,A32,'11. TransferExport'!D:D),IF(M32="Y",SUMIF('11. TransferExport'!B:B,A32,'11. TransferExport'!D:D),0))</f>
        <v>0</v>
      </c>
      <c r="O32">
        <f>IF(L32="Y",-SUMIF('11. TransferExport'!A:A,A32,'11. TransferExport'!E:E),IF(M32="Y",SUMIF('11. TransferExport'!B:B,A32,'11. TransferExport'!E:E),0))</f>
        <v>0</v>
      </c>
      <c r="P32">
        <f>IF(L32="Y",-SUMIF('11. TransferExport'!A:A,A32,'11. TransferExport'!F:F),IF(M32="Y",SUMIF('11. TransferExport'!B:B,A32,'11. TransferExport'!F:F),0))</f>
        <v>0</v>
      </c>
      <c r="Q32">
        <f>IF(L32="Y",-SUMIF('11. TransferExport'!A:A,A32,'11. TransferExport'!G:G),IF(M32="Y",SUMIF('11. TransferExport'!B:B,A32,'11. TransferExport'!G:G),0))</f>
        <v>0</v>
      </c>
      <c r="R32" s="91">
        <f t="shared" si="0"/>
        <v>11.452421202185226</v>
      </c>
      <c r="S32">
        <f>IF(L32="Y",-SUMIF('11. TransferExport'!$A:$A,$A32,'11. TransferExport'!L:L),IF(M32="Y",SUMIF('11. TransferExport'!$B:$B,$A32,'11. TransferExport'!L:L),0))</f>
        <v>0</v>
      </c>
      <c r="T32">
        <f>IF($L32="Y",-SUMIF('11. TransferExport'!$A:$A,$A32,'11. TransferExport'!M:M),IF($M32="Y",SUMIF('11. TransferExport'!$B:$B,$A32,'11. TransferExport'!M:M),0))</f>
        <v>0</v>
      </c>
      <c r="U32">
        <f>IF($L32="Y",-SUMIF('11. TransferExport'!$A:$A,$A32,'11. TransferExport'!N:N),IF($M32="Y",SUMIF('11. TransferExport'!$B:$B,$A32,'11. TransferExport'!N:N),0))</f>
        <v>0</v>
      </c>
      <c r="V32">
        <f>IF($L32="Y",-SUMIF('11. TransferExport'!$A:$A,$A32,'11. TransferExport'!O:O),IF($M32="Y",SUMIF('11. TransferExport'!$B:$B,$A32,'11. TransferExport'!O:O),0))</f>
        <v>0</v>
      </c>
      <c r="W32" s="90">
        <f t="shared" si="1"/>
        <v>11.452421202185226</v>
      </c>
      <c r="X32" s="90">
        <f t="shared" si="2"/>
        <v>10.917000000000002</v>
      </c>
      <c r="Y32" s="90">
        <f t="shared" si="3"/>
        <v>0.53542120218522515</v>
      </c>
      <c r="Z32" s="90">
        <f t="shared" si="4"/>
        <v>0</v>
      </c>
      <c r="AA32" s="91">
        <f t="shared" si="5"/>
        <v>0</v>
      </c>
      <c r="AB32" s="96">
        <f>VLOOKUP(A32,'8. Demand data categorization'!A:N,3,FALSE)</f>
        <v>9</v>
      </c>
      <c r="AC32" s="95" t="str">
        <f>VLOOKUP(A32,'8. Demand data categorization'!A:N,14,FALSE)</f>
        <v>Y</v>
      </c>
      <c r="AD32" t="str">
        <f t="shared" si="6"/>
        <v>Giving</v>
      </c>
    </row>
    <row r="33" spans="1:30" x14ac:dyDescent="0.25">
      <c r="A33" s="107" t="s">
        <v>64</v>
      </c>
      <c r="B33" t="str">
        <f>IF(ISERROR(VLOOKUP(A33, '8. Demand data categorization'!A:M,13,FALSE)),"ERROR",IF((VLOOKUP(A33, '8. Demand data categorization'!A:M,13,FALSE))="-","Riparian",IF(OR(VLOOKUP(A33, '8. Demand data categorization'!A:M,13,FALSE)="1971-1990",VLOOKUP(A33, '8. Demand data categorization'!A:M,13,FALSE)="1991-Present"),"1971-Present",VLOOKUP(A33, '8. Demand data categorization'!A:M,13,FALSE))))</f>
        <v>1971-Present</v>
      </c>
      <c r="C33" s="84" t="str">
        <f>VLOOKUP(A33,'12. eWRIMS_Export'!A:K,7,FALSE)</f>
        <v>GALLO VINEYARDS INC</v>
      </c>
      <c r="D33">
        <f>VLOOKUP(A33,'8. Demand data categorization'!A:AJ,30,FALSE)</f>
        <v>8.26</v>
      </c>
      <c r="E33">
        <f>VLOOKUP(A33,'8. Demand data categorization'!A:AJ,31,FALSE)</f>
        <v>0</v>
      </c>
      <c r="F33">
        <f>VLOOKUP(A33,'8. Demand data categorization'!A:AJ,32,FALSE)</f>
        <v>0</v>
      </c>
      <c r="G33" s="84">
        <f>VLOOKUP(A33,'8. Demand data categorization'!A:AJ,33,FALSE)</f>
        <v>0</v>
      </c>
      <c r="H33" s="80">
        <f>IF(ISERROR(VLOOKUP($A33,'8. Demand data categorization'!$A:$AV,30,FALSE)),0,(VLOOKUP($A33,'8. Demand data categorization'!$A:$AV,30,FALSE))*(1-VLOOKUP($B33,'2. Forbearance thresholds'!$A$16:$F$25,3,FALSE)))</f>
        <v>7.4340000000000002</v>
      </c>
      <c r="I33" s="80">
        <f>IF(ISERROR(VLOOKUP($A33,'8. Demand data categorization'!$A:$AV,31,FALSE)),0,(VLOOKUP($A33,'8. Demand data categorization'!$A:$AV,31,FALSE))*(1-VLOOKUP($B33,'2. Forbearance thresholds'!$A$16:$F$25,4,FALSE)))</f>
        <v>0</v>
      </c>
      <c r="J33" s="80">
        <f>IF(ISERROR(VLOOKUP($A33,'8. Demand data categorization'!$A:$AV,32,FALSE)),0,(VLOOKUP($A33,'8. Demand data categorization'!$A:$AV,32,FALSE))*(1-VLOOKUP($B33,'2. Forbearance thresholds'!$A$16:$F$25,5,FALSE)))</f>
        <v>0</v>
      </c>
      <c r="K33" s="89">
        <f>IF(ISERROR(VLOOKUP($A33,'8. Demand data categorization'!$A:$AV,33,FALSE)),0,(VLOOKUP($A33,'8. Demand data categorization'!$A:$AV,33,FALSE))*(1-VLOOKUP($B33,'2. Forbearance thresholds'!$A$16:$F$25,6,FALSE)))</f>
        <v>0</v>
      </c>
      <c r="L33" s="1" t="str">
        <f>IF(ISERROR(VLOOKUP(A33,'11. TransferExport'!A:A,1,FALSE)),"N","Y")</f>
        <v>N</v>
      </c>
      <c r="M33" s="1" t="str">
        <f>IF(ISERROR(VLOOKUP(A33,'11. TransferExport'!B:B,1,FALSE)),"N","Y")</f>
        <v>N</v>
      </c>
      <c r="N33">
        <f>IF(L33="Y",-SUMIF('11. TransferExport'!A:A,A33,'11. TransferExport'!D:D),IF(M33="Y",SUMIF('11. TransferExport'!B:B,A33,'11. TransferExport'!D:D),0))</f>
        <v>0</v>
      </c>
      <c r="O33">
        <f>IF(L33="Y",-SUMIF('11. TransferExport'!A:A,A33,'11. TransferExport'!E:E),IF(M33="Y",SUMIF('11. TransferExport'!B:B,A33,'11. TransferExport'!E:E),0))</f>
        <v>0</v>
      </c>
      <c r="P33">
        <f>IF(L33="Y",-SUMIF('11. TransferExport'!A:A,A33,'11. TransferExport'!F:F),IF(M33="Y",SUMIF('11. TransferExport'!B:B,A33,'11. TransferExport'!F:F),0))</f>
        <v>0</v>
      </c>
      <c r="Q33">
        <f>IF(L33="Y",-SUMIF('11. TransferExport'!A:A,A33,'11. TransferExport'!G:G),IF(M33="Y",SUMIF('11. TransferExport'!B:B,A33,'11. TransferExport'!G:G),0))</f>
        <v>0</v>
      </c>
      <c r="R33" s="91">
        <f t="shared" ref="R33:R64" si="7">SUM(H33:K33)+SUM(N33:Q33)</f>
        <v>7.4340000000000002</v>
      </c>
      <c r="S33">
        <f>IF(L33="Y",-SUMIF('11. TransferExport'!$A:$A,$A33,'11. TransferExport'!L:L),IF(M33="Y",SUMIF('11. TransferExport'!$B:$B,$A33,'11. TransferExport'!L:L),0))</f>
        <v>0</v>
      </c>
      <c r="T33">
        <f>IF($L33="Y",-SUMIF('11. TransferExport'!$A:$A,$A33,'11. TransferExport'!M:M),IF($M33="Y",SUMIF('11. TransferExport'!$B:$B,$A33,'11. TransferExport'!M:M),0))</f>
        <v>0</v>
      </c>
      <c r="U33">
        <f>IF($L33="Y",-SUMIF('11. TransferExport'!$A:$A,$A33,'11. TransferExport'!N:N),IF($M33="Y",SUMIF('11. TransferExport'!$B:$B,$A33,'11. TransferExport'!N:N),0))</f>
        <v>0</v>
      </c>
      <c r="V33">
        <f>IF($L33="Y",-SUMIF('11. TransferExport'!$A:$A,$A33,'11. TransferExport'!O:O),IF($M33="Y",SUMIF('11. TransferExport'!$B:$B,$A33,'11. TransferExport'!O:O),0))</f>
        <v>0</v>
      </c>
      <c r="W33" s="90">
        <f t="shared" ref="W33:W64" si="8">SUM(H33:K33,S33:V33)</f>
        <v>7.4340000000000002</v>
      </c>
      <c r="X33" s="90">
        <f t="shared" ref="X33:X64" si="9">H33+S33</f>
        <v>7.4340000000000002</v>
      </c>
      <c r="Y33" s="90">
        <f t="shared" ref="Y33:Y64" si="10">I33+T33</f>
        <v>0</v>
      </c>
      <c r="Z33" s="90">
        <f t="shared" ref="Z33:Z64" si="11">J33+U33</f>
        <v>0</v>
      </c>
      <c r="AA33" s="91">
        <f t="shared" ref="AA33:AA64" si="12">K33+V33</f>
        <v>0</v>
      </c>
      <c r="AB33" s="96">
        <f>VLOOKUP(A33,'8. Demand data categorization'!A:N,3,FALSE)</f>
        <v>9</v>
      </c>
      <c r="AC33" s="95" t="str">
        <f>VLOOKUP(A33,'8. Demand data categorization'!A:N,14,FALSE)</f>
        <v>Y</v>
      </c>
      <c r="AD33" t="str">
        <f t="shared" ref="AD33:AD64" si="13">IF(B33="Riparian","Taking",IF(OR(B33="1971-Present",B33="1960-1970",B33="1957-1959",B33="1955-1956",B33="1953-1954",B33="1950-1952"),"Giving","No Change"))</f>
        <v>Giving</v>
      </c>
    </row>
    <row r="34" spans="1:30" x14ac:dyDescent="0.25">
      <c r="A34" s="107" t="s">
        <v>65</v>
      </c>
      <c r="B34" t="str">
        <f>IF(ISERROR(VLOOKUP(A34, '8. Demand data categorization'!A:M,13,FALSE)),"ERROR",IF((VLOOKUP(A34, '8. Demand data categorization'!A:M,13,FALSE))="-","Riparian",IF(OR(VLOOKUP(A34, '8. Demand data categorization'!A:M,13,FALSE)="1971-1990",VLOOKUP(A34, '8. Demand data categorization'!A:M,13,FALSE)="1991-Present"),"1971-Present",VLOOKUP(A34, '8. Demand data categorization'!A:M,13,FALSE))))</f>
        <v>Riparian</v>
      </c>
      <c r="C34" s="84" t="str">
        <f>VLOOKUP(A34,'12. eWRIMS_Export'!A:K,7,FALSE)</f>
        <v>GALLO VINEYARDS INC</v>
      </c>
      <c r="D34">
        <f>VLOOKUP(A34,'8. Demand data categorization'!A:AJ,30,FALSE)</f>
        <v>13.96</v>
      </c>
      <c r="E34">
        <f>VLOOKUP(A34,'8. Demand data categorization'!A:AJ,31,FALSE)</f>
        <v>37.229999999999997</v>
      </c>
      <c r="F34">
        <f>VLOOKUP(A34,'8. Demand data categorization'!A:AJ,32,FALSE)</f>
        <v>37</v>
      </c>
      <c r="G34" s="84">
        <f>VLOOKUP(A34,'8. Demand data categorization'!A:AJ,33,FALSE)</f>
        <v>13.43</v>
      </c>
      <c r="H34" s="80">
        <f>IF(ISERROR(VLOOKUP($A34,'8. Demand data categorization'!$A:$AV,30,FALSE)),0,(VLOOKUP($A34,'8. Demand data categorization'!$A:$AV,30,FALSE))*(1-VLOOKUP($B34,'2. Forbearance thresholds'!$A$16:$F$25,3,FALSE)))</f>
        <v>10.694474545862301</v>
      </c>
      <c r="I34" s="80">
        <f>IF(ISERROR(VLOOKUP($A34,'8. Demand data categorization'!$A:$AV,31,FALSE)),0,(VLOOKUP($A34,'8. Demand data categorization'!$A:$AV,31,FALSE))*(1-VLOOKUP($B34,'2. Forbearance thresholds'!$A$16:$F$25,4,FALSE)))</f>
        <v>1.0642675577872895</v>
      </c>
      <c r="J34" s="80">
        <f>IF(ISERROR(VLOOKUP($A34,'8. Demand data categorization'!$A:$AV,32,FALSE)),0,(VLOOKUP($A34,'8. Demand data categorization'!$A:$AV,32,FALSE))*(1-VLOOKUP($B34,'2. Forbearance thresholds'!$A$16:$F$25,5,FALSE)))</f>
        <v>0</v>
      </c>
      <c r="K34" s="89">
        <f>IF(ISERROR(VLOOKUP($A34,'8. Demand data categorization'!$A:$AV,33,FALSE)),0,(VLOOKUP($A34,'8. Demand data categorization'!$A:$AV,33,FALSE))*(1-VLOOKUP($B34,'2. Forbearance thresholds'!$A$16:$F$25,6,FALSE)))</f>
        <v>0</v>
      </c>
      <c r="L34" s="1" t="str">
        <f>IF(ISERROR(VLOOKUP(A34,'11. TransferExport'!A:A,1,FALSE)),"N","Y")</f>
        <v>N</v>
      </c>
      <c r="M34" s="1" t="str">
        <f>IF(ISERROR(VLOOKUP(A34,'11. TransferExport'!B:B,1,FALSE)),"N","Y")</f>
        <v>N</v>
      </c>
      <c r="N34">
        <f>IF(L34="Y",-SUMIF('11. TransferExport'!A:A,A34,'11. TransferExport'!D:D),IF(M34="Y",SUMIF('11. TransferExport'!B:B,A34,'11. TransferExport'!D:D),0))</f>
        <v>0</v>
      </c>
      <c r="O34">
        <f>IF(L34="Y",-SUMIF('11. TransferExport'!A:A,A34,'11. TransferExport'!E:E),IF(M34="Y",SUMIF('11. TransferExport'!B:B,A34,'11. TransferExport'!E:E),0))</f>
        <v>0</v>
      </c>
      <c r="P34">
        <f>IF(L34="Y",-SUMIF('11. TransferExport'!A:A,A34,'11. TransferExport'!F:F),IF(M34="Y",SUMIF('11. TransferExport'!B:B,A34,'11. TransferExport'!F:F),0))</f>
        <v>0</v>
      </c>
      <c r="Q34">
        <f>IF(L34="Y",-SUMIF('11. TransferExport'!A:A,A34,'11. TransferExport'!G:G),IF(M34="Y",SUMIF('11. TransferExport'!B:B,A34,'11. TransferExport'!G:G),0))</f>
        <v>0</v>
      </c>
      <c r="R34" s="91">
        <f t="shared" si="7"/>
        <v>11.75874210364959</v>
      </c>
      <c r="S34">
        <f>IF(L34="Y",-SUMIF('11. TransferExport'!$A:$A,$A34,'11. TransferExport'!L:L),IF(M34="Y",SUMIF('11. TransferExport'!$B:$B,$A34,'11. TransferExport'!L:L),0))</f>
        <v>0</v>
      </c>
      <c r="T34">
        <f>IF($L34="Y",-SUMIF('11. TransferExport'!$A:$A,$A34,'11. TransferExport'!M:M),IF($M34="Y",SUMIF('11. TransferExport'!$B:$B,$A34,'11. TransferExport'!M:M),0))</f>
        <v>0</v>
      </c>
      <c r="U34">
        <f>IF($L34="Y",-SUMIF('11. TransferExport'!$A:$A,$A34,'11. TransferExport'!N:N),IF($M34="Y",SUMIF('11. TransferExport'!$B:$B,$A34,'11. TransferExport'!N:N),0))</f>
        <v>0</v>
      </c>
      <c r="V34">
        <f>IF($L34="Y",-SUMIF('11. TransferExport'!$A:$A,$A34,'11. TransferExport'!O:O),IF($M34="Y",SUMIF('11. TransferExport'!$B:$B,$A34,'11. TransferExport'!O:O),0))</f>
        <v>0</v>
      </c>
      <c r="W34" s="90">
        <f t="shared" si="8"/>
        <v>11.75874210364959</v>
      </c>
      <c r="X34" s="90">
        <f t="shared" si="9"/>
        <v>10.694474545862301</v>
      </c>
      <c r="Y34" s="90">
        <f t="shared" si="10"/>
        <v>1.0642675577872895</v>
      </c>
      <c r="Z34" s="90">
        <f t="shared" si="11"/>
        <v>0</v>
      </c>
      <c r="AA34" s="91">
        <f t="shared" si="12"/>
        <v>0</v>
      </c>
      <c r="AB34" s="96">
        <f>VLOOKUP(A34,'8. Demand data categorization'!A:N,3,FALSE)</f>
        <v>9</v>
      </c>
      <c r="AC34" s="95" t="str">
        <f>VLOOKUP(A34,'8. Demand data categorization'!A:N,14,FALSE)</f>
        <v>Y</v>
      </c>
      <c r="AD34" t="str">
        <f t="shared" si="13"/>
        <v>Taking</v>
      </c>
    </row>
    <row r="35" spans="1:30" x14ac:dyDescent="0.25">
      <c r="A35" t="s">
        <v>38</v>
      </c>
      <c r="B35" t="str">
        <f>IF(ISERROR(VLOOKUP(A35, '8. Demand data categorization'!A:M,13,FALSE)),"ERROR",IF((VLOOKUP(A35, '8. Demand data categorization'!A:M,13,FALSE))="-","Riparian",IF(OR(VLOOKUP(A35, '8. Demand data categorization'!A:M,13,FALSE)="1971-1990",VLOOKUP(A35, '8. Demand data categorization'!A:M,13,FALSE)="1991-Present"),"1971-Present",VLOOKUP(A35, '8. Demand data categorization'!A:M,13,FALSE))))</f>
        <v>1955-1956</v>
      </c>
      <c r="C35" s="84" t="str">
        <f>VLOOKUP(A35,'12. eWRIMS_Export'!A:K,7,FALSE)</f>
        <v>GLENN T MCGOURTY</v>
      </c>
      <c r="D35">
        <f>VLOOKUP(A35,'8. Demand data categorization'!A:AJ,30,FALSE)</f>
        <v>0.83</v>
      </c>
      <c r="E35">
        <f>VLOOKUP(A35,'8. Demand data categorization'!A:AJ,31,FALSE)</f>
        <v>1</v>
      </c>
      <c r="F35">
        <f>VLOOKUP(A35,'8. Demand data categorization'!A:AJ,32,FALSE)</f>
        <v>1</v>
      </c>
      <c r="G35" s="84">
        <f>VLOOKUP(A35,'8. Demand data categorization'!A:AJ,33,FALSE)</f>
        <v>1</v>
      </c>
      <c r="H35" s="81">
        <f>IF(ISERROR(VLOOKUP($A35,'8. Demand data categorization'!$A:$AV,30,FALSE)),0,(VLOOKUP($A35,'8. Demand data categorization'!$A:$AV,30,FALSE))*(1-VLOOKUP($B35,'2. Forbearance thresholds'!$A$16:$F$25,3,FALSE)))</f>
        <v>0.747</v>
      </c>
      <c r="I35" s="81">
        <f>IF(ISERROR(VLOOKUP($A35,'8. Demand data categorization'!$A:$AV,31,FALSE)),0,(VLOOKUP($A35,'8. Demand data categorization'!$A:$AV,31,FALSE))*(1-VLOOKUP($B35,'2. Forbearance thresholds'!$A$16:$F$25,4,FALSE)))</f>
        <v>2.858628949200348E-2</v>
      </c>
      <c r="J35" s="81">
        <f>IF(ISERROR(VLOOKUP($A35,'8. Demand data categorization'!$A:$AV,32,FALSE)),0,(VLOOKUP($A35,'8. Demand data categorization'!$A:$AV,32,FALSE))*(1-VLOOKUP($B35,'2. Forbearance thresholds'!$A$16:$F$25,5,FALSE)))</f>
        <v>0</v>
      </c>
      <c r="K35" s="88">
        <f>IF(ISERROR(VLOOKUP($A35,'8. Demand data categorization'!$A:$AV,33,FALSE)),0,(VLOOKUP($A35,'8. Demand data categorization'!$A:$AV,33,FALSE))*(1-VLOOKUP($B35,'2. Forbearance thresholds'!$A$16:$F$25,6,FALSE)))</f>
        <v>0</v>
      </c>
      <c r="L35" s="1" t="str">
        <f>IF(ISERROR(VLOOKUP(A35,'11. TransferExport'!A:A,1,FALSE)),"N","Y")</f>
        <v>N</v>
      </c>
      <c r="M35" s="1" t="str">
        <f>IF(ISERROR(VLOOKUP(A35,'11. TransferExport'!B:B,1,FALSE)),"N","Y")</f>
        <v>N</v>
      </c>
      <c r="N35">
        <f>IF(L35="Y",-SUMIF('11. TransferExport'!A:A,A35,'11. TransferExport'!D:D),IF(M35="Y",SUMIF('11. TransferExport'!B:B,A35,'11. TransferExport'!D:D),0))</f>
        <v>0</v>
      </c>
      <c r="O35">
        <f>IF(L35="Y",-SUMIF('11. TransferExport'!A:A,A35,'11. TransferExport'!E:E),IF(M35="Y",SUMIF('11. TransferExport'!B:B,A35,'11. TransferExport'!E:E),0))</f>
        <v>0</v>
      </c>
      <c r="P35">
        <f>IF(L35="Y",-SUMIF('11. TransferExport'!A:A,A35,'11. TransferExport'!F:F),IF(M35="Y",SUMIF('11. TransferExport'!B:B,A35,'11. TransferExport'!F:F),0))</f>
        <v>0</v>
      </c>
      <c r="Q35">
        <f>IF(L35="Y",-SUMIF('11. TransferExport'!A:A,A35,'11. TransferExport'!G:G),IF(M35="Y",SUMIF('11. TransferExport'!B:B,A35,'11. TransferExport'!G:G),0))</f>
        <v>0</v>
      </c>
      <c r="R35" s="91">
        <f t="shared" si="7"/>
        <v>0.77558628949200348</v>
      </c>
      <c r="S35">
        <f>IF(L35="Y",-SUMIF('11. TransferExport'!$A:$A,$A35,'11. TransferExport'!L:L),IF(M35="Y",SUMIF('11. TransferExport'!$B:$B,$A35,'11. TransferExport'!L:L),0))</f>
        <v>0</v>
      </c>
      <c r="T35">
        <f>IF($L35="Y",-SUMIF('11. TransferExport'!$A:$A,$A35,'11. TransferExport'!M:M),IF($M35="Y",SUMIF('11. TransferExport'!$B:$B,$A35,'11. TransferExport'!M:M),0))</f>
        <v>0</v>
      </c>
      <c r="U35">
        <f>IF($L35="Y",-SUMIF('11. TransferExport'!$A:$A,$A35,'11. TransferExport'!N:N),IF($M35="Y",SUMIF('11. TransferExport'!$B:$B,$A35,'11. TransferExport'!N:N),0))</f>
        <v>0</v>
      </c>
      <c r="V35">
        <f>IF($L35="Y",-SUMIF('11. TransferExport'!$A:$A,$A35,'11. TransferExport'!O:O),IF($M35="Y",SUMIF('11. TransferExport'!$B:$B,$A35,'11. TransferExport'!O:O),0))</f>
        <v>0</v>
      </c>
      <c r="W35" s="90">
        <f t="shared" si="8"/>
        <v>0.77558628949200348</v>
      </c>
      <c r="X35" s="90">
        <f t="shared" si="9"/>
        <v>0.747</v>
      </c>
      <c r="Y35" s="90">
        <f t="shared" si="10"/>
        <v>2.858628949200348E-2</v>
      </c>
      <c r="Z35" s="90">
        <f t="shared" si="11"/>
        <v>0</v>
      </c>
      <c r="AA35" s="91">
        <f t="shared" si="12"/>
        <v>0</v>
      </c>
      <c r="AB35" s="96">
        <f>VLOOKUP(A35,'8. Demand data categorization'!A:N,3,FALSE)</f>
        <v>5</v>
      </c>
      <c r="AC35" s="95" t="str">
        <f>VLOOKUP(A35,'8. Demand data categorization'!A:N,14,FALSE)</f>
        <v>Y</v>
      </c>
      <c r="AD35" t="str">
        <f t="shared" si="13"/>
        <v>Giving</v>
      </c>
    </row>
    <row r="36" spans="1:30" x14ac:dyDescent="0.25">
      <c r="A36" t="s">
        <v>39</v>
      </c>
      <c r="B36" t="str">
        <f>IF(ISERROR(VLOOKUP(A36, '8. Demand data categorization'!A:M,13,FALSE)),"ERROR",IF((VLOOKUP(A36, '8. Demand data categorization'!A:M,13,FALSE))="-","Riparian",IF(OR(VLOOKUP(A36, '8. Demand data categorization'!A:M,13,FALSE)="1971-1990",VLOOKUP(A36, '8. Demand data categorization'!A:M,13,FALSE)="1991-Present"),"1971-Present",VLOOKUP(A36, '8. Demand data categorization'!A:M,13,FALSE))))</f>
        <v>Riparian</v>
      </c>
      <c r="C36" s="84" t="str">
        <f>VLOOKUP(A36,'12. eWRIMS_Export'!A:K,7,FALSE)</f>
        <v>GLENN T MCGOURTY</v>
      </c>
      <c r="D36">
        <f>VLOOKUP(A36,'8. Demand data categorization'!A:AJ,30,FALSE)</f>
        <v>0</v>
      </c>
      <c r="E36">
        <f>VLOOKUP(A36,'8. Demand data categorization'!A:AJ,31,FALSE)</f>
        <v>0</v>
      </c>
      <c r="F36">
        <f>VLOOKUP(A36,'8. Demand data categorization'!A:AJ,32,FALSE)</f>
        <v>0</v>
      </c>
      <c r="G36" s="84">
        <f>VLOOKUP(A36,'8. Demand data categorization'!A:AJ,33,FALSE)</f>
        <v>0</v>
      </c>
      <c r="H36" s="80">
        <f>IF(ISERROR(VLOOKUP($A36,'8. Demand data categorization'!$A:$AV,30,FALSE)),0,(VLOOKUP($A36,'8. Demand data categorization'!$A:$AV,30,FALSE))*(1-VLOOKUP($B36,'2. Forbearance thresholds'!$A$16:$F$25,3,FALSE)))</f>
        <v>0</v>
      </c>
      <c r="I36" s="80">
        <f>IF(ISERROR(VLOOKUP($A36,'8. Demand data categorization'!$A:$AV,31,FALSE)),0,(VLOOKUP($A36,'8. Demand data categorization'!$A:$AV,31,FALSE))*(1-VLOOKUP($B36,'2. Forbearance thresholds'!$A$16:$F$25,4,FALSE)))</f>
        <v>0</v>
      </c>
      <c r="J36" s="80">
        <f>IF(ISERROR(VLOOKUP($A36,'8. Demand data categorization'!$A:$AV,32,FALSE)),0,(VLOOKUP($A36,'8. Demand data categorization'!$A:$AV,32,FALSE))*(1-VLOOKUP($B36,'2. Forbearance thresholds'!$A$16:$F$25,5,FALSE)))</f>
        <v>0</v>
      </c>
      <c r="K36" s="89">
        <f>IF(ISERROR(VLOOKUP($A36,'8. Demand data categorization'!$A:$AV,33,FALSE)),0,(VLOOKUP($A36,'8. Demand data categorization'!$A:$AV,33,FALSE))*(1-VLOOKUP($B36,'2. Forbearance thresholds'!$A$16:$F$25,6,FALSE)))</f>
        <v>0</v>
      </c>
      <c r="L36" s="1" t="str">
        <f>IF(ISERROR(VLOOKUP(A36,'11. TransferExport'!A:A,1,FALSE)),"N","Y")</f>
        <v>N</v>
      </c>
      <c r="M36" s="1" t="str">
        <f>IF(ISERROR(VLOOKUP(A36,'11. TransferExport'!B:B,1,FALSE)),"N","Y")</f>
        <v>N</v>
      </c>
      <c r="N36">
        <f>IF(L36="Y",-SUMIF('11. TransferExport'!A:A,A36,'11. TransferExport'!D:D),IF(M36="Y",SUMIF('11. TransferExport'!B:B,A36,'11. TransferExport'!D:D),0))</f>
        <v>0</v>
      </c>
      <c r="O36">
        <f>IF(L36="Y",-SUMIF('11. TransferExport'!A:A,A36,'11. TransferExport'!E:E),IF(M36="Y",SUMIF('11. TransferExport'!B:B,A36,'11. TransferExport'!E:E),0))</f>
        <v>0</v>
      </c>
      <c r="P36">
        <f>IF(L36="Y",-SUMIF('11. TransferExport'!A:A,A36,'11. TransferExport'!F:F),IF(M36="Y",SUMIF('11. TransferExport'!B:B,A36,'11. TransferExport'!F:F),0))</f>
        <v>0</v>
      </c>
      <c r="Q36">
        <f>IF(L36="Y",-SUMIF('11. TransferExport'!A:A,A36,'11. TransferExport'!G:G),IF(M36="Y",SUMIF('11. TransferExport'!B:B,A36,'11. TransferExport'!G:G),0))</f>
        <v>0</v>
      </c>
      <c r="R36" s="91">
        <f t="shared" si="7"/>
        <v>0</v>
      </c>
      <c r="S36">
        <f>IF(L36="Y",-SUMIF('11. TransferExport'!$A:$A,$A36,'11. TransferExport'!L:L),IF(M36="Y",SUMIF('11. TransferExport'!$B:$B,$A36,'11. TransferExport'!L:L),0))</f>
        <v>0</v>
      </c>
      <c r="T36">
        <f>IF($L36="Y",-SUMIF('11. TransferExport'!$A:$A,$A36,'11. TransferExport'!M:M),IF($M36="Y",SUMIF('11. TransferExport'!$B:$B,$A36,'11. TransferExport'!M:M),0))</f>
        <v>0</v>
      </c>
      <c r="U36">
        <f>IF($L36="Y",-SUMIF('11. TransferExport'!$A:$A,$A36,'11. TransferExport'!N:N),IF($M36="Y",SUMIF('11. TransferExport'!$B:$B,$A36,'11. TransferExport'!N:N),0))</f>
        <v>0</v>
      </c>
      <c r="V36">
        <f>IF($L36="Y",-SUMIF('11. TransferExport'!$A:$A,$A36,'11. TransferExport'!O:O),IF($M36="Y",SUMIF('11. TransferExport'!$B:$B,$A36,'11. TransferExport'!O:O),0))</f>
        <v>0</v>
      </c>
      <c r="W36" s="90">
        <f t="shared" si="8"/>
        <v>0</v>
      </c>
      <c r="X36" s="90">
        <f t="shared" si="9"/>
        <v>0</v>
      </c>
      <c r="Y36" s="90">
        <f t="shared" si="10"/>
        <v>0</v>
      </c>
      <c r="Z36" s="90">
        <f t="shared" si="11"/>
        <v>0</v>
      </c>
      <c r="AA36" s="91">
        <f t="shared" si="12"/>
        <v>0</v>
      </c>
      <c r="AB36" s="96">
        <f>VLOOKUP(A36,'8. Demand data categorization'!A:N,3,FALSE)</f>
        <v>5</v>
      </c>
      <c r="AC36" s="95" t="str">
        <f>VLOOKUP(A36,'8. Demand data categorization'!A:N,14,FALSE)</f>
        <v>Y</v>
      </c>
      <c r="AD36" t="str">
        <f t="shared" si="13"/>
        <v>Taking</v>
      </c>
    </row>
    <row r="37" spans="1:30" x14ac:dyDescent="0.25">
      <c r="A37" s="107" t="s">
        <v>56</v>
      </c>
      <c r="B37" t="str">
        <f>IF(ISERROR(VLOOKUP(A37, '8. Demand data categorization'!A:M,13,FALSE)),"ERROR",IF((VLOOKUP(A37, '8. Demand data categorization'!A:M,13,FALSE))="-","Riparian",IF(OR(VLOOKUP(A37, '8. Demand data categorization'!A:M,13,FALSE)="1971-1990",VLOOKUP(A37, '8. Demand data categorization'!A:M,13,FALSE)="1991-Present"),"1971-Present",VLOOKUP(A37, '8. Demand data categorization'!A:M,13,FALSE))))</f>
        <v>1957-1959</v>
      </c>
      <c r="C37" s="84" t="str">
        <f>VLOOKUP(A37,'12. eWRIMS_Export'!A:K,7,FALSE)</f>
        <v>HAIKU VINEYARDS LLC</v>
      </c>
      <c r="D37">
        <f>VLOOKUP(A37,'8. Demand data categorization'!A:AJ,30,FALSE)</f>
        <v>6.26</v>
      </c>
      <c r="E37">
        <f>VLOOKUP(A37,'8. Demand data categorization'!A:AJ,31,FALSE)</f>
        <v>0</v>
      </c>
      <c r="F37">
        <f>VLOOKUP(A37,'8. Demand data categorization'!A:AJ,32,FALSE)</f>
        <v>0</v>
      </c>
      <c r="G37" s="84">
        <f>VLOOKUP(A37,'8. Demand data categorization'!A:AJ,33,FALSE)</f>
        <v>0</v>
      </c>
      <c r="H37" s="80">
        <f>IF(ISERROR(VLOOKUP($A37,'8. Demand data categorization'!$A:$AV,30,FALSE)),0,(VLOOKUP($A37,'8. Demand data categorization'!$A:$AV,30,FALSE))*(1-VLOOKUP($B37,'2. Forbearance thresholds'!$A$16:$F$25,3,FALSE)))</f>
        <v>5.6340000000000003</v>
      </c>
      <c r="I37" s="80">
        <f>IF(ISERROR(VLOOKUP($A37,'8. Demand data categorization'!$A:$AV,31,FALSE)),0,(VLOOKUP($A37,'8. Demand data categorization'!$A:$AV,31,FALSE))*(1-VLOOKUP($B37,'2. Forbearance thresholds'!$A$16:$F$25,4,FALSE)))</f>
        <v>0</v>
      </c>
      <c r="J37" s="80">
        <f>IF(ISERROR(VLOOKUP($A37,'8. Demand data categorization'!$A:$AV,32,FALSE)),0,(VLOOKUP($A37,'8. Demand data categorization'!$A:$AV,32,FALSE))*(1-VLOOKUP($B37,'2. Forbearance thresholds'!$A$16:$F$25,5,FALSE)))</f>
        <v>0</v>
      </c>
      <c r="K37" s="89">
        <f>IF(ISERROR(VLOOKUP($A37,'8. Demand data categorization'!$A:$AV,33,FALSE)),0,(VLOOKUP($A37,'8. Demand data categorization'!$A:$AV,33,FALSE))*(1-VLOOKUP($B37,'2. Forbearance thresholds'!$A$16:$F$25,6,FALSE)))</f>
        <v>0</v>
      </c>
      <c r="L37" s="1" t="str">
        <f>IF(ISERROR(VLOOKUP(A37,'11. TransferExport'!A:A,1,FALSE)),"N","Y")</f>
        <v>N</v>
      </c>
      <c r="M37" s="1" t="str">
        <f>IF(ISERROR(VLOOKUP(A37,'11. TransferExport'!B:B,1,FALSE)),"N","Y")</f>
        <v>N</v>
      </c>
      <c r="N37">
        <f>IF(L37="Y",-SUMIF('11. TransferExport'!A:A,A37,'11. TransferExport'!D:D),IF(M37="Y",SUMIF('11. TransferExport'!B:B,A37,'11. TransferExport'!D:D),0))</f>
        <v>0</v>
      </c>
      <c r="O37">
        <f>IF(L37="Y",-SUMIF('11. TransferExport'!A:A,A37,'11. TransferExport'!E:E),IF(M37="Y",SUMIF('11. TransferExport'!B:B,A37,'11. TransferExport'!E:E),0))</f>
        <v>0</v>
      </c>
      <c r="P37">
        <f>IF(L37="Y",-SUMIF('11. TransferExport'!A:A,A37,'11. TransferExport'!F:F),IF(M37="Y",SUMIF('11. TransferExport'!B:B,A37,'11. TransferExport'!F:F),0))</f>
        <v>0</v>
      </c>
      <c r="Q37">
        <f>IF(L37="Y",-SUMIF('11. TransferExport'!A:A,A37,'11. TransferExport'!G:G),IF(M37="Y",SUMIF('11. TransferExport'!B:B,A37,'11. TransferExport'!G:G),0))</f>
        <v>0</v>
      </c>
      <c r="R37" s="91">
        <f t="shared" si="7"/>
        <v>5.6340000000000003</v>
      </c>
      <c r="S37">
        <f>IF(L37="Y",-SUMIF('11. TransferExport'!$A:$A,$A37,'11. TransferExport'!L:L),IF(M37="Y",SUMIF('11. TransferExport'!$B:$B,$A37,'11. TransferExport'!L:L),0))</f>
        <v>0</v>
      </c>
      <c r="T37">
        <f>IF($L37="Y",-SUMIF('11. TransferExport'!$A:$A,$A37,'11. TransferExport'!M:M),IF($M37="Y",SUMIF('11. TransferExport'!$B:$B,$A37,'11. TransferExport'!M:M),0))</f>
        <v>0</v>
      </c>
      <c r="U37">
        <f>IF($L37="Y",-SUMIF('11. TransferExport'!$A:$A,$A37,'11. TransferExport'!N:N),IF($M37="Y",SUMIF('11. TransferExport'!$B:$B,$A37,'11. TransferExport'!N:N),0))</f>
        <v>0</v>
      </c>
      <c r="V37">
        <f>IF($L37="Y",-SUMIF('11. TransferExport'!$A:$A,$A37,'11. TransferExport'!O:O),IF($M37="Y",SUMIF('11. TransferExport'!$B:$B,$A37,'11. TransferExport'!O:O),0))</f>
        <v>0</v>
      </c>
      <c r="W37" s="90">
        <f t="shared" si="8"/>
        <v>5.6340000000000003</v>
      </c>
      <c r="X37" s="90">
        <f t="shared" si="9"/>
        <v>5.6340000000000003</v>
      </c>
      <c r="Y37" s="90">
        <f t="shared" si="10"/>
        <v>0</v>
      </c>
      <c r="Z37" s="90">
        <f t="shared" si="11"/>
        <v>0</v>
      </c>
      <c r="AA37" s="91">
        <f t="shared" si="12"/>
        <v>0</v>
      </c>
      <c r="AB37" s="96">
        <f>VLOOKUP(A37,'8. Demand data categorization'!A:N,3,FALSE)</f>
        <v>5</v>
      </c>
      <c r="AC37" s="95" t="str">
        <f>VLOOKUP(A37,'8. Demand data categorization'!A:N,14,FALSE)</f>
        <v>Y</v>
      </c>
      <c r="AD37" t="str">
        <f t="shared" si="13"/>
        <v>Giving</v>
      </c>
    </row>
    <row r="38" spans="1:30" x14ac:dyDescent="0.25">
      <c r="A38" s="107" t="s">
        <v>57</v>
      </c>
      <c r="B38" t="str">
        <f>IF(ISERROR(VLOOKUP(A38, '8. Demand data categorization'!A:M,13,FALSE)),"ERROR",IF((VLOOKUP(A38, '8. Demand data categorization'!A:M,13,FALSE))="-","Riparian",IF(OR(VLOOKUP(A38, '8. Demand data categorization'!A:M,13,FALSE)="1971-1990",VLOOKUP(A38, '8. Demand data categorization'!A:M,13,FALSE)="1991-Present"),"1971-Present",VLOOKUP(A38, '8. Demand data categorization'!A:M,13,FALSE))))</f>
        <v>Riparian</v>
      </c>
      <c r="C38" s="84" t="str">
        <f>VLOOKUP(A38,'12. eWRIMS_Export'!A:K,7,FALSE)</f>
        <v>HAIKU VINEYARDS LLC</v>
      </c>
      <c r="D38">
        <f>VLOOKUP(A38,'8. Demand data categorization'!A:AJ,30,FALSE)</f>
        <v>0</v>
      </c>
      <c r="E38">
        <f>VLOOKUP(A38,'8. Demand data categorization'!A:AJ,31,FALSE)</f>
        <v>0</v>
      </c>
      <c r="F38">
        <f>VLOOKUP(A38,'8. Demand data categorization'!A:AJ,32,FALSE)</f>
        <v>0</v>
      </c>
      <c r="G38" s="84">
        <f>VLOOKUP(A38,'8. Demand data categorization'!A:AJ,33,FALSE)</f>
        <v>0</v>
      </c>
      <c r="H38" s="80">
        <f>IF(ISERROR(VLOOKUP($A38,'8. Demand data categorization'!$A:$AV,30,FALSE)),0,(VLOOKUP($A38,'8. Demand data categorization'!$A:$AV,30,FALSE))*(1-VLOOKUP($B38,'2. Forbearance thresholds'!$A$16:$F$25,3,FALSE)))</f>
        <v>0</v>
      </c>
      <c r="I38" s="80">
        <f>IF(ISERROR(VLOOKUP($A38,'8. Demand data categorization'!$A:$AV,31,FALSE)),0,(VLOOKUP($A38,'8. Demand data categorization'!$A:$AV,31,FALSE))*(1-VLOOKUP($B38,'2. Forbearance thresholds'!$A$16:$F$25,4,FALSE)))</f>
        <v>0</v>
      </c>
      <c r="J38" s="80">
        <f>IF(ISERROR(VLOOKUP($A38,'8. Demand data categorization'!$A:$AV,32,FALSE)),0,(VLOOKUP($A38,'8. Demand data categorization'!$A:$AV,32,FALSE))*(1-VLOOKUP($B38,'2. Forbearance thresholds'!$A$16:$F$25,5,FALSE)))</f>
        <v>0</v>
      </c>
      <c r="K38" s="89">
        <f>IF(ISERROR(VLOOKUP($A38,'8. Demand data categorization'!$A:$AV,33,FALSE)),0,(VLOOKUP($A38,'8. Demand data categorization'!$A:$AV,33,FALSE))*(1-VLOOKUP($B38,'2. Forbearance thresholds'!$A$16:$F$25,6,FALSE)))</f>
        <v>0</v>
      </c>
      <c r="L38" s="1" t="str">
        <f>IF(ISERROR(VLOOKUP(A38,'11. TransferExport'!A:A,1,FALSE)),"N","Y")</f>
        <v>N</v>
      </c>
      <c r="M38" s="1" t="str">
        <f>IF(ISERROR(VLOOKUP(A38,'11. TransferExport'!B:B,1,FALSE)),"N","Y")</f>
        <v>N</v>
      </c>
      <c r="N38">
        <f>IF(L38="Y",-SUMIF('11. TransferExport'!A:A,A38,'11. TransferExport'!D:D),IF(M38="Y",SUMIF('11. TransferExport'!B:B,A38,'11. TransferExport'!D:D),0))</f>
        <v>0</v>
      </c>
      <c r="O38">
        <f>IF(L38="Y",-SUMIF('11. TransferExport'!A:A,A38,'11. TransferExport'!E:E),IF(M38="Y",SUMIF('11. TransferExport'!B:B,A38,'11. TransferExport'!E:E),0))</f>
        <v>0</v>
      </c>
      <c r="P38">
        <f>IF(L38="Y",-SUMIF('11. TransferExport'!A:A,A38,'11. TransferExport'!F:F),IF(M38="Y",SUMIF('11. TransferExport'!B:B,A38,'11. TransferExport'!F:F),0))</f>
        <v>0</v>
      </c>
      <c r="Q38">
        <f>IF(L38="Y",-SUMIF('11. TransferExport'!A:A,A38,'11. TransferExport'!G:G),IF(M38="Y",SUMIF('11. TransferExport'!B:B,A38,'11. TransferExport'!G:G),0))</f>
        <v>0</v>
      </c>
      <c r="R38" s="91">
        <f t="shared" si="7"/>
        <v>0</v>
      </c>
      <c r="S38">
        <f>IF(L38="Y",-SUMIF('11. TransferExport'!$A:$A,$A38,'11. TransferExport'!L:L),IF(M38="Y",SUMIF('11. TransferExport'!$B:$B,$A38,'11. TransferExport'!L:L),0))</f>
        <v>0</v>
      </c>
      <c r="T38">
        <f>IF($L38="Y",-SUMIF('11. TransferExport'!$A:$A,$A38,'11. TransferExport'!M:M),IF($M38="Y",SUMIF('11. TransferExport'!$B:$B,$A38,'11. TransferExport'!M:M),0))</f>
        <v>0</v>
      </c>
      <c r="U38">
        <f>IF($L38="Y",-SUMIF('11. TransferExport'!$A:$A,$A38,'11. TransferExport'!N:N),IF($M38="Y",SUMIF('11. TransferExport'!$B:$B,$A38,'11. TransferExport'!N:N),0))</f>
        <v>0</v>
      </c>
      <c r="V38">
        <f>IF($L38="Y",-SUMIF('11. TransferExport'!$A:$A,$A38,'11. TransferExport'!O:O),IF($M38="Y",SUMIF('11. TransferExport'!$B:$B,$A38,'11. TransferExport'!O:O),0))</f>
        <v>0</v>
      </c>
      <c r="W38" s="90">
        <f t="shared" si="8"/>
        <v>0</v>
      </c>
      <c r="X38" s="90">
        <f t="shared" si="9"/>
        <v>0</v>
      </c>
      <c r="Y38" s="90">
        <f t="shared" si="10"/>
        <v>0</v>
      </c>
      <c r="Z38" s="90">
        <f t="shared" si="11"/>
        <v>0</v>
      </c>
      <c r="AA38" s="91">
        <f t="shared" si="12"/>
        <v>0</v>
      </c>
      <c r="AB38" s="96">
        <f>VLOOKUP(A38,'8. Demand data categorization'!A:N,3,FALSE)</f>
        <v>5</v>
      </c>
      <c r="AC38" s="95" t="str">
        <f>VLOOKUP(A38,'8. Demand data categorization'!A:N,14,FALSE)</f>
        <v>Y</v>
      </c>
      <c r="AD38" t="str">
        <f t="shared" si="13"/>
        <v>Taking</v>
      </c>
    </row>
    <row r="39" spans="1:30" x14ac:dyDescent="0.25">
      <c r="A39" s="107" t="s">
        <v>58</v>
      </c>
      <c r="B39" t="str">
        <f>IF(ISERROR(VLOOKUP(A39, '8. Demand data categorization'!A:M,13,FALSE)),"ERROR",IF((VLOOKUP(A39, '8. Demand data categorization'!A:M,13,FALSE))="-","Riparian",IF(OR(VLOOKUP(A39, '8. Demand data categorization'!A:M,13,FALSE)="1971-1990",VLOOKUP(A39, '8. Demand data categorization'!A:M,13,FALSE)="1991-Present"),"1971-Present",VLOOKUP(A39, '8. Demand data categorization'!A:M,13,FALSE))))</f>
        <v>1957-1959</v>
      </c>
      <c r="C39" s="84" t="str">
        <f>VLOOKUP(A39,'12. eWRIMS_Export'!A:K,7,FALSE)</f>
        <v>HAIKU VINEYARDS LLC</v>
      </c>
      <c r="D39">
        <f>VLOOKUP(A39,'8. Demand data categorization'!A:AJ,30,FALSE)</f>
        <v>7.96</v>
      </c>
      <c r="E39">
        <f>VLOOKUP(A39,'8. Demand data categorization'!A:AJ,31,FALSE)</f>
        <v>7.8</v>
      </c>
      <c r="F39">
        <f>VLOOKUP(A39,'8. Demand data categorization'!A:AJ,32,FALSE)</f>
        <v>1.03</v>
      </c>
      <c r="G39" s="84">
        <f>VLOOKUP(A39,'8. Demand data categorization'!A:AJ,33,FALSE)</f>
        <v>0</v>
      </c>
      <c r="H39" s="80">
        <f>IF(ISERROR(VLOOKUP($A39,'8. Demand data categorization'!$A:$AV,30,FALSE)),0,(VLOOKUP($A39,'8. Demand data categorization'!$A:$AV,30,FALSE))*(1-VLOOKUP($B39,'2. Forbearance thresholds'!$A$16:$F$25,3,FALSE)))</f>
        <v>7.1639999999999997</v>
      </c>
      <c r="I39" s="80">
        <f>IF(ISERROR(VLOOKUP($A39,'8. Demand data categorization'!$A:$AV,31,FALSE)),0,(VLOOKUP($A39,'8. Demand data categorization'!$A:$AV,31,FALSE))*(1-VLOOKUP($B39,'2. Forbearance thresholds'!$A$16:$F$25,4,FALSE)))</f>
        <v>0.22297305803762715</v>
      </c>
      <c r="J39" s="80">
        <f>IF(ISERROR(VLOOKUP($A39,'8. Demand data categorization'!$A:$AV,32,FALSE)),0,(VLOOKUP($A39,'8. Demand data categorization'!$A:$AV,32,FALSE))*(1-VLOOKUP($B39,'2. Forbearance thresholds'!$A$16:$F$25,5,FALSE)))</f>
        <v>0</v>
      </c>
      <c r="K39" s="89">
        <f>IF(ISERROR(VLOOKUP($A39,'8. Demand data categorization'!$A:$AV,33,FALSE)),0,(VLOOKUP($A39,'8. Demand data categorization'!$A:$AV,33,FALSE))*(1-VLOOKUP($B39,'2. Forbearance thresholds'!$A$16:$F$25,6,FALSE)))</f>
        <v>0</v>
      </c>
      <c r="L39" s="1" t="str">
        <f>IF(ISERROR(VLOOKUP(A39,'11. TransferExport'!A:A,1,FALSE)),"N","Y")</f>
        <v>N</v>
      </c>
      <c r="M39" s="1" t="str">
        <f>IF(ISERROR(VLOOKUP(A39,'11. TransferExport'!B:B,1,FALSE)),"N","Y")</f>
        <v>N</v>
      </c>
      <c r="N39">
        <f>IF(L39="Y",-SUMIF('11. TransferExport'!A:A,A39,'11. TransferExport'!D:D),IF(M39="Y",SUMIF('11. TransferExport'!B:B,A39,'11. TransferExport'!D:D),0))</f>
        <v>0</v>
      </c>
      <c r="O39">
        <f>IF(L39="Y",-SUMIF('11. TransferExport'!A:A,A39,'11. TransferExport'!E:E),IF(M39="Y",SUMIF('11. TransferExport'!B:B,A39,'11. TransferExport'!E:E),0))</f>
        <v>0</v>
      </c>
      <c r="P39">
        <f>IF(L39="Y",-SUMIF('11. TransferExport'!A:A,A39,'11. TransferExport'!F:F),IF(M39="Y",SUMIF('11. TransferExport'!B:B,A39,'11. TransferExport'!F:F),0))</f>
        <v>0</v>
      </c>
      <c r="Q39">
        <f>IF(L39="Y",-SUMIF('11. TransferExport'!A:A,A39,'11. TransferExport'!G:G),IF(M39="Y",SUMIF('11. TransferExport'!B:B,A39,'11. TransferExport'!G:G),0))</f>
        <v>0</v>
      </c>
      <c r="R39" s="91">
        <f t="shared" si="7"/>
        <v>7.3869730580376265</v>
      </c>
      <c r="S39">
        <f>IF(L39="Y",-SUMIF('11. TransferExport'!$A:$A,$A39,'11. TransferExport'!L:L),IF(M39="Y",SUMIF('11. TransferExport'!$B:$B,$A39,'11. TransferExport'!L:L),0))</f>
        <v>0</v>
      </c>
      <c r="T39">
        <f>IF($L39="Y",-SUMIF('11. TransferExport'!$A:$A,$A39,'11. TransferExport'!M:M),IF($M39="Y",SUMIF('11. TransferExport'!$B:$B,$A39,'11. TransferExport'!M:M),0))</f>
        <v>0</v>
      </c>
      <c r="U39">
        <f>IF($L39="Y",-SUMIF('11. TransferExport'!$A:$A,$A39,'11. TransferExport'!N:N),IF($M39="Y",SUMIF('11. TransferExport'!$B:$B,$A39,'11. TransferExport'!N:N),0))</f>
        <v>0</v>
      </c>
      <c r="V39">
        <f>IF($L39="Y",-SUMIF('11. TransferExport'!$A:$A,$A39,'11. TransferExport'!O:O),IF($M39="Y",SUMIF('11. TransferExport'!$B:$B,$A39,'11. TransferExport'!O:O),0))</f>
        <v>0</v>
      </c>
      <c r="W39" s="90">
        <f t="shared" si="8"/>
        <v>7.3869730580376265</v>
      </c>
      <c r="X39" s="90">
        <f t="shared" si="9"/>
        <v>7.1639999999999997</v>
      </c>
      <c r="Y39" s="90">
        <f t="shared" si="10"/>
        <v>0.22297305803762715</v>
      </c>
      <c r="Z39" s="90">
        <f t="shared" si="11"/>
        <v>0</v>
      </c>
      <c r="AA39" s="91">
        <f t="shared" si="12"/>
        <v>0</v>
      </c>
      <c r="AB39" s="96">
        <f>VLOOKUP(A39,'8. Demand data categorization'!A:N,3,FALSE)</f>
        <v>5</v>
      </c>
      <c r="AC39" s="95" t="str">
        <f>VLOOKUP(A39,'8. Demand data categorization'!A:N,14,FALSE)</f>
        <v>Y</v>
      </c>
      <c r="AD39" t="str">
        <f t="shared" si="13"/>
        <v>Giving</v>
      </c>
    </row>
    <row r="40" spans="1:30" x14ac:dyDescent="0.25">
      <c r="A40" s="107" t="s">
        <v>59</v>
      </c>
      <c r="B40" t="str">
        <f>IF(ISERROR(VLOOKUP(A40, '8. Demand data categorization'!A:M,13,FALSE)),"ERROR",IF((VLOOKUP(A40, '8. Demand data categorization'!A:M,13,FALSE))="-","Riparian",IF(OR(VLOOKUP(A40, '8. Demand data categorization'!A:M,13,FALSE)="1971-1990",VLOOKUP(A40, '8. Demand data categorization'!A:M,13,FALSE)="1991-Present"),"1971-Present",VLOOKUP(A40, '8. Demand data categorization'!A:M,13,FALSE))))</f>
        <v>Riparian</v>
      </c>
      <c r="C40" s="84" t="str">
        <f>VLOOKUP(A40,'12. eWRIMS_Export'!A:K,7,FALSE)</f>
        <v>HAIKU VINEYARDS LLC</v>
      </c>
      <c r="D40">
        <f>VLOOKUP(A40,'8. Demand data categorization'!A:AJ,30,FALSE)</f>
        <v>3.13</v>
      </c>
      <c r="E40">
        <f>VLOOKUP(A40,'8. Demand data categorization'!A:AJ,31,FALSE)</f>
        <v>3.06</v>
      </c>
      <c r="F40">
        <f>VLOOKUP(A40,'8. Demand data categorization'!A:AJ,32,FALSE)</f>
        <v>0.66</v>
      </c>
      <c r="G40" s="84">
        <f>VLOOKUP(A40,'8. Demand data categorization'!A:AJ,33,FALSE)</f>
        <v>0.5</v>
      </c>
      <c r="H40" s="80">
        <f>IF(ISERROR(VLOOKUP($A40,'8. Demand data categorization'!$A:$AV,30,FALSE)),0,(VLOOKUP($A40,'8. Demand data categorization'!$A:$AV,30,FALSE))*(1-VLOOKUP($B40,'2. Forbearance thresholds'!$A$16:$F$25,3,FALSE)))</f>
        <v>2.3978298945952008</v>
      </c>
      <c r="I40" s="80">
        <f>IF(ISERROR(VLOOKUP($A40,'8. Demand data categorization'!$A:$AV,31,FALSE)),0,(VLOOKUP($A40,'8. Demand data categorization'!$A:$AV,31,FALSE))*(1-VLOOKUP($B40,'2. Forbearance thresholds'!$A$16:$F$25,4,FALSE)))</f>
        <v>8.7474045845530646E-2</v>
      </c>
      <c r="J40" s="80">
        <f>IF(ISERROR(VLOOKUP($A40,'8. Demand data categorization'!$A:$AV,32,FALSE)),0,(VLOOKUP($A40,'8. Demand data categorization'!$A:$AV,32,FALSE))*(1-VLOOKUP($B40,'2. Forbearance thresholds'!$A$16:$F$25,5,FALSE)))</f>
        <v>0</v>
      </c>
      <c r="K40" s="89">
        <f>IF(ISERROR(VLOOKUP($A40,'8. Demand data categorization'!$A:$AV,33,FALSE)),0,(VLOOKUP($A40,'8. Demand data categorization'!$A:$AV,33,FALSE))*(1-VLOOKUP($B40,'2. Forbearance thresholds'!$A$16:$F$25,6,FALSE)))</f>
        <v>0</v>
      </c>
      <c r="L40" s="1" t="str">
        <f>IF(ISERROR(VLOOKUP(A40,'11. TransferExport'!A:A,1,FALSE)),"N","Y")</f>
        <v>N</v>
      </c>
      <c r="M40" s="1" t="str">
        <f>IF(ISERROR(VLOOKUP(A40,'11. TransferExport'!B:B,1,FALSE)),"N","Y")</f>
        <v>N</v>
      </c>
      <c r="N40">
        <f>IF(L40="Y",-SUMIF('11. TransferExport'!A:A,A40,'11. TransferExport'!D:D),IF(M40="Y",SUMIF('11. TransferExport'!B:B,A40,'11. TransferExport'!D:D),0))</f>
        <v>0</v>
      </c>
      <c r="O40">
        <f>IF(L40="Y",-SUMIF('11. TransferExport'!A:A,A40,'11. TransferExport'!E:E),IF(M40="Y",SUMIF('11. TransferExport'!B:B,A40,'11. TransferExport'!E:E),0))</f>
        <v>0</v>
      </c>
      <c r="P40">
        <f>IF(L40="Y",-SUMIF('11. TransferExport'!A:A,A40,'11. TransferExport'!F:F),IF(M40="Y",SUMIF('11. TransferExport'!B:B,A40,'11. TransferExport'!F:F),0))</f>
        <v>0</v>
      </c>
      <c r="Q40">
        <f>IF(L40="Y",-SUMIF('11. TransferExport'!A:A,A40,'11. TransferExport'!G:G),IF(M40="Y",SUMIF('11. TransferExport'!B:B,A40,'11. TransferExport'!G:G),0))</f>
        <v>0</v>
      </c>
      <c r="R40" s="91">
        <f t="shared" si="7"/>
        <v>2.4853039404407316</v>
      </c>
      <c r="S40">
        <f>IF(L40="Y",-SUMIF('11. TransferExport'!$A:$A,$A40,'11. TransferExport'!L:L),IF(M40="Y",SUMIF('11. TransferExport'!$B:$B,$A40,'11. TransferExport'!L:L),0))</f>
        <v>0</v>
      </c>
      <c r="T40">
        <f>IF($L40="Y",-SUMIF('11. TransferExport'!$A:$A,$A40,'11. TransferExport'!M:M),IF($M40="Y",SUMIF('11. TransferExport'!$B:$B,$A40,'11. TransferExport'!M:M),0))</f>
        <v>0</v>
      </c>
      <c r="U40">
        <f>IF($L40="Y",-SUMIF('11. TransferExport'!$A:$A,$A40,'11. TransferExport'!N:N),IF($M40="Y",SUMIF('11. TransferExport'!$B:$B,$A40,'11. TransferExport'!N:N),0))</f>
        <v>0</v>
      </c>
      <c r="V40">
        <f>IF($L40="Y",-SUMIF('11. TransferExport'!$A:$A,$A40,'11. TransferExport'!O:O),IF($M40="Y",SUMIF('11. TransferExport'!$B:$B,$A40,'11. TransferExport'!O:O),0))</f>
        <v>0</v>
      </c>
      <c r="W40" s="90">
        <f t="shared" si="8"/>
        <v>2.4853039404407316</v>
      </c>
      <c r="X40" s="90">
        <f t="shared" si="9"/>
        <v>2.3978298945952008</v>
      </c>
      <c r="Y40" s="90">
        <f t="shared" si="10"/>
        <v>8.7474045845530646E-2</v>
      </c>
      <c r="Z40" s="90">
        <f t="shared" si="11"/>
        <v>0</v>
      </c>
      <c r="AA40" s="91">
        <f t="shared" si="12"/>
        <v>0</v>
      </c>
      <c r="AB40" s="96">
        <f>VLOOKUP(A40,'8. Demand data categorization'!A:N,3,FALSE)</f>
        <v>5</v>
      </c>
      <c r="AC40" s="95" t="str">
        <f>VLOOKUP(A40,'8. Demand data categorization'!A:N,14,FALSE)</f>
        <v>Y</v>
      </c>
      <c r="AD40" t="str">
        <f t="shared" si="13"/>
        <v>Taking</v>
      </c>
    </row>
    <row r="41" spans="1:30" x14ac:dyDescent="0.25">
      <c r="A41" s="107" t="s">
        <v>60</v>
      </c>
      <c r="B41" t="str">
        <f>IF(ISERROR(VLOOKUP(A41, '8. Demand data categorization'!A:M,13,FALSE)),"ERROR",IF((VLOOKUP(A41, '8. Demand data categorization'!A:M,13,FALSE))="-","Riparian",IF(OR(VLOOKUP(A41, '8. Demand data categorization'!A:M,13,FALSE)="1971-1990",VLOOKUP(A41, '8. Demand data categorization'!A:M,13,FALSE)="1991-Present"),"1971-Present",VLOOKUP(A41, '8. Demand data categorization'!A:M,13,FALSE))))</f>
        <v>Riparian</v>
      </c>
      <c r="C41" s="84" t="str">
        <f>VLOOKUP(A41,'12. eWRIMS_Export'!A:K,7,FALSE)</f>
        <v>HAIKU VINEYARDS LLC</v>
      </c>
      <c r="D41">
        <f>VLOOKUP(A41,'8. Demand data categorization'!A:AJ,30,FALSE)</f>
        <v>0</v>
      </c>
      <c r="E41">
        <f>VLOOKUP(A41,'8. Demand data categorization'!A:AJ,31,FALSE)</f>
        <v>0</v>
      </c>
      <c r="F41">
        <f>VLOOKUP(A41,'8. Demand data categorization'!A:AJ,32,FALSE)</f>
        <v>0</v>
      </c>
      <c r="G41" s="84">
        <f>VLOOKUP(A41,'8. Demand data categorization'!A:AJ,33,FALSE)</f>
        <v>0</v>
      </c>
      <c r="H41" s="80">
        <f>IF(ISERROR(VLOOKUP($A41,'8. Demand data categorization'!$A:$AV,30,FALSE)),0,(VLOOKUP($A41,'8. Demand data categorization'!$A:$AV,30,FALSE))*(1-VLOOKUP($B41,'2. Forbearance thresholds'!$A$16:$F$25,3,FALSE)))</f>
        <v>0</v>
      </c>
      <c r="I41" s="80">
        <f>IF(ISERROR(VLOOKUP($A41,'8. Demand data categorization'!$A:$AV,31,FALSE)),0,(VLOOKUP($A41,'8. Demand data categorization'!$A:$AV,31,FALSE))*(1-VLOOKUP($B41,'2. Forbearance thresholds'!$A$16:$F$25,4,FALSE)))</f>
        <v>0</v>
      </c>
      <c r="J41" s="80">
        <f>IF(ISERROR(VLOOKUP($A41,'8. Demand data categorization'!$A:$AV,32,FALSE)),0,(VLOOKUP($A41,'8. Demand data categorization'!$A:$AV,32,FALSE))*(1-VLOOKUP($B41,'2. Forbearance thresholds'!$A$16:$F$25,5,FALSE)))</f>
        <v>0</v>
      </c>
      <c r="K41" s="89">
        <f>IF(ISERROR(VLOOKUP($A41,'8. Demand data categorization'!$A:$AV,33,FALSE)),0,(VLOOKUP($A41,'8. Demand data categorization'!$A:$AV,33,FALSE))*(1-VLOOKUP($B41,'2. Forbearance thresholds'!$A$16:$F$25,6,FALSE)))</f>
        <v>0</v>
      </c>
      <c r="L41" s="1" t="str">
        <f>IF(ISERROR(VLOOKUP(A41,'11. TransferExport'!A:A,1,FALSE)),"N","Y")</f>
        <v>N</v>
      </c>
      <c r="M41" s="1" t="str">
        <f>IF(ISERROR(VLOOKUP(A41,'11. TransferExport'!B:B,1,FALSE)),"N","Y")</f>
        <v>N</v>
      </c>
      <c r="N41">
        <f>IF(L41="Y",-SUMIF('11. TransferExport'!A:A,A41,'11. TransferExport'!D:D),IF(M41="Y",SUMIF('11. TransferExport'!B:B,A41,'11. TransferExport'!D:D),0))</f>
        <v>0</v>
      </c>
      <c r="O41">
        <f>IF(L41="Y",-SUMIF('11. TransferExport'!A:A,A41,'11. TransferExport'!E:E),IF(M41="Y",SUMIF('11. TransferExport'!B:B,A41,'11. TransferExport'!E:E),0))</f>
        <v>0</v>
      </c>
      <c r="P41">
        <f>IF(L41="Y",-SUMIF('11. TransferExport'!A:A,A41,'11. TransferExport'!F:F),IF(M41="Y",SUMIF('11. TransferExport'!B:B,A41,'11. TransferExport'!F:F),0))</f>
        <v>0</v>
      </c>
      <c r="Q41">
        <f>IF(L41="Y",-SUMIF('11. TransferExport'!A:A,A41,'11. TransferExport'!G:G),IF(M41="Y",SUMIF('11. TransferExport'!B:B,A41,'11. TransferExport'!G:G),0))</f>
        <v>0</v>
      </c>
      <c r="R41" s="91">
        <f t="shared" si="7"/>
        <v>0</v>
      </c>
      <c r="S41">
        <f>IF(L41="Y",-SUMIF('11. TransferExport'!$A:$A,$A41,'11. TransferExport'!L:L),IF(M41="Y",SUMIF('11. TransferExport'!$B:$B,$A41,'11. TransferExport'!L:L),0))</f>
        <v>0</v>
      </c>
      <c r="T41">
        <f>IF($L41="Y",-SUMIF('11. TransferExport'!$A:$A,$A41,'11. TransferExport'!M:M),IF($M41="Y",SUMIF('11. TransferExport'!$B:$B,$A41,'11. TransferExport'!M:M),0))</f>
        <v>0</v>
      </c>
      <c r="U41">
        <f>IF($L41="Y",-SUMIF('11. TransferExport'!$A:$A,$A41,'11. TransferExport'!N:N),IF($M41="Y",SUMIF('11. TransferExport'!$B:$B,$A41,'11. TransferExport'!N:N),0))</f>
        <v>0</v>
      </c>
      <c r="V41">
        <f>IF($L41="Y",-SUMIF('11. TransferExport'!$A:$A,$A41,'11. TransferExport'!O:O),IF($M41="Y",SUMIF('11. TransferExport'!$B:$B,$A41,'11. TransferExport'!O:O),0))</f>
        <v>0</v>
      </c>
      <c r="W41" s="90">
        <f t="shared" si="8"/>
        <v>0</v>
      </c>
      <c r="X41" s="90">
        <f t="shared" si="9"/>
        <v>0</v>
      </c>
      <c r="Y41" s="90">
        <f t="shared" si="10"/>
        <v>0</v>
      </c>
      <c r="Z41" s="90">
        <f t="shared" si="11"/>
        <v>0</v>
      </c>
      <c r="AA41" s="91">
        <f t="shared" si="12"/>
        <v>0</v>
      </c>
      <c r="AB41" s="96">
        <f>VLOOKUP(A41,'8. Demand data categorization'!A:N,3,FALSE)</f>
        <v>5</v>
      </c>
      <c r="AC41" s="95" t="str">
        <f>VLOOKUP(A41,'8. Demand data categorization'!A:N,14,FALSE)</f>
        <v>Y</v>
      </c>
      <c r="AD41" t="str">
        <f t="shared" si="13"/>
        <v>Taking</v>
      </c>
    </row>
    <row r="42" spans="1:30" ht="14.25" customHeight="1" x14ac:dyDescent="0.25">
      <c r="A42" s="107" t="s">
        <v>144</v>
      </c>
      <c r="B42" t="str">
        <f>IF(ISERROR(VLOOKUP(A42, '8. Demand data categorization'!A:M,13,FALSE)),"ERROR",IF((VLOOKUP(A42, '8. Demand data categorization'!A:M,13,FALSE))="-","Riparian",IF(OR(VLOOKUP(A42, '8. Demand data categorization'!A:M,13,FALSE)="1971-1990",VLOOKUP(A42, '8. Demand data categorization'!A:M,13,FALSE)="1991-Present"),"1971-Present",VLOOKUP(A42, '8. Demand data categorization'!A:M,13,FALSE))))</f>
        <v>1953-1954</v>
      </c>
      <c r="C42" s="84" t="str">
        <f>VLOOKUP(A42,'12. eWRIMS_Export'!A:K,7,FALSE)</f>
        <v>HILDRETH FARMS INCORPORATED</v>
      </c>
      <c r="D42">
        <f>VLOOKUP(A42,'8. Demand data categorization'!A:AJ,30,FALSE)</f>
        <v>9.2799999999999994</v>
      </c>
      <c r="E42">
        <f>VLOOKUP(A42,'8. Demand data categorization'!A:AJ,31,FALSE)</f>
        <v>6.83</v>
      </c>
      <c r="F42">
        <f>VLOOKUP(A42,'8. Demand data categorization'!A:AJ,32,FALSE)</f>
        <v>4.7300000000000004</v>
      </c>
      <c r="G42" s="84">
        <f>VLOOKUP(A42,'8. Demand data categorization'!A:AJ,33,FALSE)</f>
        <v>0</v>
      </c>
      <c r="H42" s="80">
        <f>IF(ISERROR(VLOOKUP($A42,'8. Demand data categorization'!$A:$AV,30,FALSE)),0,(VLOOKUP($A42,'8. Demand data categorization'!$A:$AV,30,FALSE))*(1-VLOOKUP($B42,'2. Forbearance thresholds'!$A$16:$F$25,3,FALSE)))</f>
        <v>8.3520000000000003</v>
      </c>
      <c r="I42" s="80">
        <f>IF(ISERROR(VLOOKUP($A42,'8. Demand data categorization'!$A:$AV,31,FALSE)),0,(VLOOKUP($A42,'8. Demand data categorization'!$A:$AV,31,FALSE))*(1-VLOOKUP($B42,'2. Forbearance thresholds'!$A$16:$F$25,4,FALSE)))</f>
        <v>0.19524435723038377</v>
      </c>
      <c r="J42" s="80">
        <f>IF(ISERROR(VLOOKUP($A42,'8. Demand data categorization'!$A:$AV,32,FALSE)),0,(VLOOKUP($A42,'8. Demand data categorization'!$A:$AV,32,FALSE))*(1-VLOOKUP($B42,'2. Forbearance thresholds'!$A$16:$F$25,5,FALSE)))</f>
        <v>0</v>
      </c>
      <c r="K42" s="89">
        <f>IF(ISERROR(VLOOKUP($A42,'8. Demand data categorization'!$A:$AV,33,FALSE)),0,(VLOOKUP($A42,'8. Demand data categorization'!$A:$AV,33,FALSE))*(1-VLOOKUP($B42,'2. Forbearance thresholds'!$A$16:$F$25,6,FALSE)))</f>
        <v>0</v>
      </c>
      <c r="L42" s="1" t="str">
        <f>IF(ISERROR(VLOOKUP(A42,'11. TransferExport'!A:A,1,FALSE)),"N","Y")</f>
        <v>Y</v>
      </c>
      <c r="M42" s="1" t="str">
        <f>IF(ISERROR(VLOOKUP(A42,'11. TransferExport'!B:B,1,FALSE)),"N","Y")</f>
        <v>N</v>
      </c>
      <c r="N42">
        <f>IF(L42="Y",-SUMIF('11. TransferExport'!A:A,A42,'11. TransferExport'!D:D),IF(M42="Y",SUMIF('11. TransferExport'!B:B,A42,'11. TransferExport'!D:D),0))</f>
        <v>-9.2799999999999994</v>
      </c>
      <c r="O42">
        <f>IF(L42="Y",-SUMIF('11. TransferExport'!A:A,A42,'11. TransferExport'!E:E),IF(M42="Y",SUMIF('11. TransferExport'!B:B,A42,'11. TransferExport'!E:E),0))</f>
        <v>-6.83</v>
      </c>
      <c r="P42">
        <f>IF(L42="Y",-SUMIF('11. TransferExport'!A:A,A42,'11. TransferExport'!F:F),IF(M42="Y",SUMIF('11. TransferExport'!B:B,A42,'11. TransferExport'!F:F),0))</f>
        <v>-4.7300000000000004</v>
      </c>
      <c r="Q42">
        <f>IF(L42="Y",-SUMIF('11. TransferExport'!A:A,A42,'11. TransferExport'!G:G),IF(M42="Y",SUMIF('11. TransferExport'!B:B,A42,'11. TransferExport'!G:G),0))</f>
        <v>0</v>
      </c>
      <c r="R42" s="91">
        <f t="shared" si="7"/>
        <v>-12.292755642769615</v>
      </c>
      <c r="S42">
        <f>IF(L42="Y",-SUMIF('11. TransferExport'!$A:$A,$A42,'11. TransferExport'!L:L),IF(M42="Y",SUMIF('11. TransferExport'!$B:$B,$A42,'11. TransferExport'!L:L),0))</f>
        <v>-8.3520000000000003</v>
      </c>
      <c r="T42">
        <f>IF($L42="Y",-SUMIF('11. TransferExport'!$A:$A,$A42,'11. TransferExport'!M:M),IF($M42="Y",SUMIF('11. TransferExport'!$B:$B,$A42,'11. TransferExport'!M:M),0))</f>
        <v>-0.19524435723038377</v>
      </c>
      <c r="U42">
        <f>IF($L42="Y",-SUMIF('11. TransferExport'!$A:$A,$A42,'11. TransferExport'!N:N),IF($M42="Y",SUMIF('11. TransferExport'!$B:$B,$A42,'11. TransferExport'!N:N),0))</f>
        <v>0</v>
      </c>
      <c r="V42">
        <f>IF($L42="Y",-SUMIF('11. TransferExport'!$A:$A,$A42,'11. TransferExport'!O:O),IF($M42="Y",SUMIF('11. TransferExport'!$B:$B,$A42,'11. TransferExport'!O:O),0))</f>
        <v>0</v>
      </c>
      <c r="W42" s="90">
        <f t="shared" si="8"/>
        <v>8.0491169285323849E-16</v>
      </c>
      <c r="X42" s="90">
        <f t="shared" si="9"/>
        <v>0</v>
      </c>
      <c r="Y42" s="90">
        <f t="shared" si="10"/>
        <v>0</v>
      </c>
      <c r="Z42" s="90">
        <f t="shared" si="11"/>
        <v>0</v>
      </c>
      <c r="AA42" s="91">
        <f t="shared" si="12"/>
        <v>0</v>
      </c>
      <c r="AB42" s="96">
        <f>VLOOKUP(A42,'8. Demand data categorization'!A:N,3,FALSE)</f>
        <v>4</v>
      </c>
      <c r="AC42" s="95" t="str">
        <f>VLOOKUP(A42,'8. Demand data categorization'!A:N,14,FALSE)</f>
        <v>Y</v>
      </c>
      <c r="AD42" t="str">
        <f t="shared" si="13"/>
        <v>Giving</v>
      </c>
    </row>
    <row r="43" spans="1:30" x14ac:dyDescent="0.25">
      <c r="A43" s="107" t="s">
        <v>145</v>
      </c>
      <c r="B43" t="str">
        <f>IF(ISERROR(VLOOKUP(A43, '8. Demand data categorization'!A:M,13,FALSE)),"ERROR",IF((VLOOKUP(A43, '8. Demand data categorization'!A:M,13,FALSE))="-","Riparian",IF(OR(VLOOKUP(A43, '8. Demand data categorization'!A:M,13,FALSE)="1971-1990",VLOOKUP(A43, '8. Demand data categorization'!A:M,13,FALSE)="1991-Present"),"1971-Present",VLOOKUP(A43, '8. Demand data categorization'!A:M,13,FALSE))))</f>
        <v>1960-1970</v>
      </c>
      <c r="C43" s="84" t="str">
        <f>VLOOKUP(A43,'12. eWRIMS_Export'!A:K,7,FALSE)</f>
        <v>HILDRETH FARMS INCORPORATED</v>
      </c>
      <c r="D43">
        <f>VLOOKUP(A43,'8. Demand data categorization'!A:AJ,30,FALSE)</f>
        <v>4.5599999999999996</v>
      </c>
      <c r="E43">
        <f>VLOOKUP(A43,'8. Demand data categorization'!A:AJ,31,FALSE)</f>
        <v>3.5</v>
      </c>
      <c r="F43">
        <f>VLOOKUP(A43,'8. Demand data categorization'!A:AJ,32,FALSE)</f>
        <v>2.46</v>
      </c>
      <c r="G43" s="84">
        <f>VLOOKUP(A43,'8. Demand data categorization'!A:AJ,33,FALSE)</f>
        <v>0</v>
      </c>
      <c r="H43" s="80">
        <f>IF(ISERROR(VLOOKUP($A43,'8. Demand data categorization'!$A:$AV,30,FALSE)),0,(VLOOKUP($A43,'8. Demand data categorization'!$A:$AV,30,FALSE))*(1-VLOOKUP($B43,'2. Forbearance thresholds'!$A$16:$F$25,3,FALSE)))</f>
        <v>4.1040000000000001</v>
      </c>
      <c r="I43" s="80">
        <f>IF(ISERROR(VLOOKUP($A43,'8. Demand data categorization'!$A:$AV,31,FALSE)),0,(VLOOKUP($A43,'8. Demand data categorization'!$A:$AV,31,FALSE))*(1-VLOOKUP($B43,'2. Forbearance thresholds'!$A$16:$F$25,4,FALSE)))</f>
        <v>0.10005201322201218</v>
      </c>
      <c r="J43" s="80">
        <f>IF(ISERROR(VLOOKUP($A43,'8. Demand data categorization'!$A:$AV,32,FALSE)),0,(VLOOKUP($A43,'8. Demand data categorization'!$A:$AV,32,FALSE))*(1-VLOOKUP($B43,'2. Forbearance thresholds'!$A$16:$F$25,5,FALSE)))</f>
        <v>0</v>
      </c>
      <c r="K43" s="89">
        <f>IF(ISERROR(VLOOKUP($A43,'8. Demand data categorization'!$A:$AV,33,FALSE)),0,(VLOOKUP($A43,'8. Demand data categorization'!$A:$AV,33,FALSE))*(1-VLOOKUP($B43,'2. Forbearance thresholds'!$A$16:$F$25,6,FALSE)))</f>
        <v>0</v>
      </c>
      <c r="L43" s="1" t="str">
        <f>IF(ISERROR(VLOOKUP(A43,'11. TransferExport'!A:A,1,FALSE)),"N","Y")</f>
        <v>Y</v>
      </c>
      <c r="M43" s="1" t="str">
        <f>IF(ISERROR(VLOOKUP(A43,'11. TransferExport'!B:B,1,FALSE)),"N","Y")</f>
        <v>N</v>
      </c>
      <c r="N43">
        <f>IF(L43="Y",-SUMIF('11. TransferExport'!A:A,A43,'11. TransferExport'!D:D),IF(M43="Y",SUMIF('11. TransferExport'!B:B,A43,'11. TransferExport'!D:D),0))</f>
        <v>-4.57</v>
      </c>
      <c r="O43">
        <f>IF(L43="Y",-SUMIF('11. TransferExport'!A:A,A43,'11. TransferExport'!E:E),IF(M43="Y",SUMIF('11. TransferExport'!B:B,A43,'11. TransferExport'!E:E),0))</f>
        <v>-3.5</v>
      </c>
      <c r="P43">
        <f>IF(L43="Y",-SUMIF('11. TransferExport'!A:A,A43,'11. TransferExport'!F:F),IF(M43="Y",SUMIF('11. TransferExport'!B:B,A43,'11. TransferExport'!F:F),0))</f>
        <v>-2.4700000000000002</v>
      </c>
      <c r="Q43">
        <f>IF(L43="Y",-SUMIF('11. TransferExport'!A:A,A43,'11. TransferExport'!G:G),IF(M43="Y",SUMIF('11. TransferExport'!B:B,A43,'11. TransferExport'!G:G),0))</f>
        <v>0</v>
      </c>
      <c r="R43" s="91">
        <f t="shared" si="7"/>
        <v>-6.3359479867779882</v>
      </c>
      <c r="S43">
        <f>IF(L43="Y",-SUMIF('11. TransferExport'!$A:$A,$A43,'11. TransferExport'!L:L),IF(M43="Y",SUMIF('11. TransferExport'!$B:$B,$A43,'11. TransferExport'!L:L),0))</f>
        <v>-4.1040000000000001</v>
      </c>
      <c r="T43">
        <f>IF($L43="Y",-SUMIF('11. TransferExport'!$A:$A,$A43,'11. TransferExport'!M:M),IF($M43="Y",SUMIF('11. TransferExport'!$B:$B,$A43,'11. TransferExport'!M:M),0))</f>
        <v>-0.10005201322201218</v>
      </c>
      <c r="U43">
        <f>IF($L43="Y",-SUMIF('11. TransferExport'!$A:$A,$A43,'11. TransferExport'!N:N),IF($M43="Y",SUMIF('11. TransferExport'!$B:$B,$A43,'11. TransferExport'!N:N),0))</f>
        <v>0</v>
      </c>
      <c r="V43">
        <f>IF($L43="Y",-SUMIF('11. TransferExport'!$A:$A,$A43,'11. TransferExport'!O:O),IF($M43="Y",SUMIF('11. TransferExport'!$B:$B,$A43,'11. TransferExport'!O:O),0))</f>
        <v>0</v>
      </c>
      <c r="W43" s="90">
        <f t="shared" si="8"/>
        <v>4.4408920985006262E-16</v>
      </c>
      <c r="X43" s="90">
        <f t="shared" si="9"/>
        <v>0</v>
      </c>
      <c r="Y43" s="90">
        <f t="shared" si="10"/>
        <v>0</v>
      </c>
      <c r="Z43" s="90">
        <f t="shared" si="11"/>
        <v>0</v>
      </c>
      <c r="AA43" s="91">
        <f t="shared" si="12"/>
        <v>0</v>
      </c>
      <c r="AB43" s="96">
        <f>VLOOKUP(A43,'8. Demand data categorization'!A:N,3,FALSE)</f>
        <v>4</v>
      </c>
      <c r="AC43" s="95" t="str">
        <f>VLOOKUP(A43,'8. Demand data categorization'!A:N,14,FALSE)</f>
        <v>Y</v>
      </c>
      <c r="AD43" t="str">
        <f t="shared" si="13"/>
        <v>Giving</v>
      </c>
    </row>
    <row r="44" spans="1:30" x14ac:dyDescent="0.25">
      <c r="A44" s="107" t="s">
        <v>146</v>
      </c>
      <c r="B44" t="str">
        <f>IF(ISERROR(VLOOKUP(A44, '8. Demand data categorization'!A:M,13,FALSE)),"ERROR",IF((VLOOKUP(A44, '8. Demand data categorization'!A:M,13,FALSE))="-","Riparian",IF(OR(VLOOKUP(A44, '8. Demand data categorization'!A:M,13,FALSE)="1971-1990",VLOOKUP(A44, '8. Demand data categorization'!A:M,13,FALSE)="1991-Present"),"1971-Present",VLOOKUP(A44, '8. Demand data categorization'!A:M,13,FALSE))))</f>
        <v>1960-1970</v>
      </c>
      <c r="C44" s="84" t="str">
        <f>VLOOKUP(A44,'12. eWRIMS_Export'!A:K,7,FALSE)</f>
        <v>HILDRETH FARMS INCORPORATED</v>
      </c>
      <c r="D44">
        <f>VLOOKUP(A44,'8. Demand data categorization'!A:AJ,30,FALSE)</f>
        <v>17.18</v>
      </c>
      <c r="E44">
        <f>VLOOKUP(A44,'8. Demand data categorization'!A:AJ,31,FALSE)</f>
        <v>14.07</v>
      </c>
      <c r="F44">
        <f>VLOOKUP(A44,'8. Demand data categorization'!A:AJ,32,FALSE)</f>
        <v>9.15</v>
      </c>
      <c r="G44" s="84">
        <f>VLOOKUP(A44,'8. Demand data categorization'!A:AJ,33,FALSE)</f>
        <v>4.8899999999999997</v>
      </c>
      <c r="H44" s="80">
        <f>IF(ISERROR(VLOOKUP($A44,'8. Demand data categorization'!$A:$AV,30,FALSE)),0,(VLOOKUP($A44,'8. Demand data categorization'!$A:$AV,30,FALSE))*(1-VLOOKUP($B44,'2. Forbearance thresholds'!$A$16:$F$25,3,FALSE)))</f>
        <v>15.462</v>
      </c>
      <c r="I44" s="80">
        <f>IF(ISERROR(VLOOKUP($A44,'8. Demand data categorization'!$A:$AV,31,FALSE)),0,(VLOOKUP($A44,'8. Demand data categorization'!$A:$AV,31,FALSE))*(1-VLOOKUP($B44,'2. Forbearance thresholds'!$A$16:$F$25,4,FALSE)))</f>
        <v>0.40220909315248898</v>
      </c>
      <c r="J44" s="80">
        <f>IF(ISERROR(VLOOKUP($A44,'8. Demand data categorization'!$A:$AV,32,FALSE)),0,(VLOOKUP($A44,'8. Demand data categorization'!$A:$AV,32,FALSE))*(1-VLOOKUP($B44,'2. Forbearance thresholds'!$A$16:$F$25,5,FALSE)))</f>
        <v>0</v>
      </c>
      <c r="K44" s="89">
        <f>IF(ISERROR(VLOOKUP($A44,'8. Demand data categorization'!$A:$AV,33,FALSE)),0,(VLOOKUP($A44,'8. Demand data categorization'!$A:$AV,33,FALSE))*(1-VLOOKUP($B44,'2. Forbearance thresholds'!$A$16:$F$25,6,FALSE)))</f>
        <v>0</v>
      </c>
      <c r="L44" s="1" t="str">
        <f>IF(ISERROR(VLOOKUP(A44,'11. TransferExport'!A:A,1,FALSE)),"N","Y")</f>
        <v>N</v>
      </c>
      <c r="M44" s="1" t="str">
        <f>IF(ISERROR(VLOOKUP(A44,'11. TransferExport'!B:B,1,FALSE)),"N","Y")</f>
        <v>Y</v>
      </c>
      <c r="N44">
        <f>IF(L44="Y",-SUMIF('11. TransferExport'!A:A,A44,'11. TransferExport'!D:D),IF(M44="Y",SUMIF('11. TransferExport'!B:B,A44,'11. TransferExport'!D:D),0))</f>
        <v>4.57</v>
      </c>
      <c r="O44">
        <f>IF(L44="Y",-SUMIF('11. TransferExport'!A:A,A44,'11. TransferExport'!E:E),IF(M44="Y",SUMIF('11. TransferExport'!B:B,A44,'11. TransferExport'!E:E),0))</f>
        <v>3.5</v>
      </c>
      <c r="P44">
        <f>IF(L44="Y",-SUMIF('11. TransferExport'!A:A,A44,'11. TransferExport'!F:F),IF(M44="Y",SUMIF('11. TransferExport'!B:B,A44,'11. TransferExport'!F:F),0))</f>
        <v>2.4700000000000002</v>
      </c>
      <c r="Q44">
        <f>IF(L44="Y",-SUMIF('11. TransferExport'!A:A,A44,'11. TransferExport'!G:G),IF(M44="Y",SUMIF('11. TransferExport'!B:B,A44,'11. TransferExport'!G:G),0))</f>
        <v>0</v>
      </c>
      <c r="R44" s="91">
        <f t="shared" si="7"/>
        <v>26.404209093152488</v>
      </c>
      <c r="S44">
        <f>IF(L44="Y",-SUMIF('11. TransferExport'!$A:$A,$A44,'11. TransferExport'!L:L),IF(M44="Y",SUMIF('11. TransferExport'!$B:$B,$A44,'11. TransferExport'!L:L),0))</f>
        <v>4.1040000000000001</v>
      </c>
      <c r="T44">
        <f>IF($L44="Y",-SUMIF('11. TransferExport'!$A:$A,$A44,'11. TransferExport'!M:M),IF($M44="Y",SUMIF('11. TransferExport'!$B:$B,$A44,'11. TransferExport'!M:M),0))</f>
        <v>0.10005201322201218</v>
      </c>
      <c r="U44">
        <f>IF($L44="Y",-SUMIF('11. TransferExport'!$A:$A,$A44,'11. TransferExport'!N:N),IF($M44="Y",SUMIF('11. TransferExport'!$B:$B,$A44,'11. TransferExport'!N:N),0))</f>
        <v>0</v>
      </c>
      <c r="V44">
        <f>IF($L44="Y",-SUMIF('11. TransferExport'!$A:$A,$A44,'11. TransferExport'!O:O),IF($M44="Y",SUMIF('11. TransferExport'!$B:$B,$A44,'11. TransferExport'!O:O),0))</f>
        <v>0</v>
      </c>
      <c r="W44" s="90">
        <f t="shared" si="8"/>
        <v>20.0682611063745</v>
      </c>
      <c r="X44" s="90">
        <f t="shared" si="9"/>
        <v>19.565999999999999</v>
      </c>
      <c r="Y44" s="90">
        <f t="shared" si="10"/>
        <v>0.50226110637450117</v>
      </c>
      <c r="Z44" s="90">
        <f t="shared" si="11"/>
        <v>0</v>
      </c>
      <c r="AA44" s="91">
        <f t="shared" si="12"/>
        <v>0</v>
      </c>
      <c r="AB44" s="96">
        <f>VLOOKUP(A44,'8. Demand data categorization'!A:N,3,FALSE)</f>
        <v>4</v>
      </c>
      <c r="AC44" s="95" t="str">
        <f>VLOOKUP(A44,'8. Demand data categorization'!A:N,14,FALSE)</f>
        <v>Y</v>
      </c>
      <c r="AD44" t="str">
        <f t="shared" si="13"/>
        <v>Giving</v>
      </c>
    </row>
    <row r="45" spans="1:30" x14ac:dyDescent="0.25">
      <c r="A45" s="107" t="s">
        <v>147</v>
      </c>
      <c r="B45" t="str">
        <f>IF(ISERROR(VLOOKUP(A45, '8. Demand data categorization'!A:M,13,FALSE)),"ERROR",IF((VLOOKUP(A45, '8. Demand data categorization'!A:M,13,FALSE))="-","Riparian",IF(OR(VLOOKUP(A45, '8. Demand data categorization'!A:M,13,FALSE)="1971-1990",VLOOKUP(A45, '8. Demand data categorization'!A:M,13,FALSE)="1991-Present"),"1971-Present",VLOOKUP(A45, '8. Demand data categorization'!A:M,13,FALSE))))</f>
        <v>1953-1954</v>
      </c>
      <c r="C45" s="84" t="str">
        <f>VLOOKUP(A45,'12. eWRIMS_Export'!A:K,7,FALSE)</f>
        <v>HILDRETH FARMS INCORPORATED</v>
      </c>
      <c r="D45">
        <f>VLOOKUP(A45,'8. Demand data categorization'!A:AJ,30,FALSE)</f>
        <v>0.26</v>
      </c>
      <c r="E45">
        <f>VLOOKUP(A45,'8. Demand data categorization'!A:AJ,31,FALSE)</f>
        <v>0</v>
      </c>
      <c r="F45">
        <f>VLOOKUP(A45,'8. Demand data categorization'!A:AJ,32,FALSE)</f>
        <v>0</v>
      </c>
      <c r="G45" s="84">
        <f>VLOOKUP(A45,'8. Demand data categorization'!A:AJ,33,FALSE)</f>
        <v>0</v>
      </c>
      <c r="H45" s="80">
        <f>IF(ISERROR(VLOOKUP($A45,'8. Demand data categorization'!$A:$AV,30,FALSE)),0,(VLOOKUP($A45,'8. Demand data categorization'!$A:$AV,30,FALSE))*(1-VLOOKUP($B45,'2. Forbearance thresholds'!$A$16:$F$25,3,FALSE)))</f>
        <v>0.23400000000000001</v>
      </c>
      <c r="I45" s="80">
        <f>IF(ISERROR(VLOOKUP($A45,'8. Demand data categorization'!$A:$AV,31,FALSE)),0,(VLOOKUP($A45,'8. Demand data categorization'!$A:$AV,31,FALSE))*(1-VLOOKUP($B45,'2. Forbearance thresholds'!$A$16:$F$25,4,FALSE)))</f>
        <v>0</v>
      </c>
      <c r="J45" s="80">
        <f>IF(ISERROR(VLOOKUP($A45,'8. Demand data categorization'!$A:$AV,32,FALSE)),0,(VLOOKUP($A45,'8. Demand data categorization'!$A:$AV,32,FALSE))*(1-VLOOKUP($B45,'2. Forbearance thresholds'!$A$16:$F$25,5,FALSE)))</f>
        <v>0</v>
      </c>
      <c r="K45" s="89">
        <f>IF(ISERROR(VLOOKUP($A45,'8. Demand data categorization'!$A:$AV,33,FALSE)),0,(VLOOKUP($A45,'8. Demand data categorization'!$A:$AV,33,FALSE))*(1-VLOOKUP($B45,'2. Forbearance thresholds'!$A$16:$F$25,6,FALSE)))</f>
        <v>0</v>
      </c>
      <c r="L45" s="1" t="str">
        <f>IF(ISERROR(VLOOKUP(A45,'11. TransferExport'!A:A,1,FALSE)),"N","Y")</f>
        <v>N</v>
      </c>
      <c r="M45" s="1" t="str">
        <f>IF(ISERROR(VLOOKUP(A45,'11. TransferExport'!B:B,1,FALSE)),"N","Y")</f>
        <v>Y</v>
      </c>
      <c r="N45">
        <f>IF(L45="Y",-SUMIF('11. TransferExport'!A:A,A45,'11. TransferExport'!D:D),IF(M45="Y",SUMIF('11. TransferExport'!B:B,A45,'11. TransferExport'!D:D),0))</f>
        <v>24.13</v>
      </c>
      <c r="O45">
        <f>IF(L45="Y",-SUMIF('11. TransferExport'!A:A,A45,'11. TransferExport'!E:E),IF(M45="Y",SUMIF('11. TransferExport'!B:B,A45,'11. TransferExport'!E:E),0))</f>
        <v>15.15</v>
      </c>
      <c r="P45">
        <f>IF(L45="Y",-SUMIF('11. TransferExport'!A:A,A45,'11. TransferExport'!F:F),IF(M45="Y",SUMIF('11. TransferExport'!B:B,A45,'11. TransferExport'!F:F),0))</f>
        <v>11.190000000000001</v>
      </c>
      <c r="Q45">
        <f>IF(L45="Y",-SUMIF('11. TransferExport'!A:A,A45,'11. TransferExport'!G:G),IF(M45="Y",SUMIF('11. TransferExport'!B:B,A45,'11. TransferExport'!G:G),0))</f>
        <v>0</v>
      </c>
      <c r="R45" s="91">
        <f t="shared" si="7"/>
        <v>50.704000000000001</v>
      </c>
      <c r="S45">
        <f>IF(L45="Y",-SUMIF('11. TransferExport'!$A:$A,$A45,'11. TransferExport'!L:L),IF(M45="Y",SUMIF('11. TransferExport'!$B:$B,$A45,'11. TransferExport'!L:L),0))</f>
        <v>23.192</v>
      </c>
      <c r="T45">
        <f>IF($L45="Y",-SUMIF('11. TransferExport'!$A:$A,$A45,'11. TransferExport'!M:M),IF($M45="Y",SUMIF('11. TransferExport'!$B:$B,$A45,'11. TransferExport'!M:M),0))</f>
        <v>0.43279642290893272</v>
      </c>
      <c r="U45">
        <f>IF($L45="Y",-SUMIF('11. TransferExport'!$A:$A,$A45,'11. TransferExport'!N:N),IF($M45="Y",SUMIF('11. TransferExport'!$B:$B,$A45,'11. TransferExport'!N:N),0))</f>
        <v>0</v>
      </c>
      <c r="V45">
        <f>IF($L45="Y",-SUMIF('11. TransferExport'!$A:$A,$A45,'11. TransferExport'!O:O),IF($M45="Y",SUMIF('11. TransferExport'!$B:$B,$A45,'11. TransferExport'!O:O),0))</f>
        <v>0</v>
      </c>
      <c r="W45" s="90">
        <f t="shared" si="8"/>
        <v>23.858796422908934</v>
      </c>
      <c r="X45" s="90">
        <f t="shared" si="9"/>
        <v>23.426000000000002</v>
      </c>
      <c r="Y45" s="90">
        <f t="shared" si="10"/>
        <v>0.43279642290893272</v>
      </c>
      <c r="Z45" s="90">
        <f t="shared" si="11"/>
        <v>0</v>
      </c>
      <c r="AA45" s="91">
        <f t="shared" si="12"/>
        <v>0</v>
      </c>
      <c r="AB45" s="96">
        <f>VLOOKUP(A45,'8. Demand data categorization'!A:N,3,FALSE)</f>
        <v>4</v>
      </c>
      <c r="AC45" s="95" t="str">
        <f>VLOOKUP(A45,'8. Demand data categorization'!A:N,14,FALSE)</f>
        <v>Y</v>
      </c>
      <c r="AD45" t="str">
        <f t="shared" si="13"/>
        <v>Giving</v>
      </c>
    </row>
    <row r="46" spans="1:30" x14ac:dyDescent="0.25">
      <c r="A46" s="107" t="s">
        <v>155</v>
      </c>
      <c r="B46" t="str">
        <f>IF(ISERROR(VLOOKUP(A46, '8. Demand data categorization'!A:M,13,FALSE)),"ERROR",IF((VLOOKUP(A46, '8. Demand data categorization'!A:M,13,FALSE))="-","Riparian",IF(OR(VLOOKUP(A46, '8. Demand data categorization'!A:M,13,FALSE)="1971-1990",VLOOKUP(A46, '8. Demand data categorization'!A:M,13,FALSE)="1991-Present"),"1971-Present",VLOOKUP(A46, '8. Demand data categorization'!A:M,13,FALSE))))</f>
        <v>1960-1970</v>
      </c>
      <c r="C46" s="84" t="str">
        <f>VLOOKUP(A46,'12. eWRIMS_Export'!A:K,7,FALSE)</f>
        <v>HILDRETH FARMS INCORPORATED</v>
      </c>
      <c r="D46">
        <f>VLOOKUP(A46,'8. Demand data categorization'!A:AJ,30,FALSE)</f>
        <v>15.36</v>
      </c>
      <c r="E46">
        <f>VLOOKUP(A46,'8. Demand data categorization'!A:AJ,31,FALSE)</f>
        <v>14.25</v>
      </c>
      <c r="F46">
        <f>VLOOKUP(A46,'8. Demand data categorization'!A:AJ,32,FALSE)</f>
        <v>8.9</v>
      </c>
      <c r="G46" s="84">
        <f>VLOOKUP(A46,'8. Demand data categorization'!A:AJ,33,FALSE)</f>
        <v>3.96</v>
      </c>
      <c r="H46" s="80">
        <f>IF(ISERROR(VLOOKUP($A46,'8. Demand data categorization'!$A:$AV,30,FALSE)),0,(VLOOKUP($A46,'8. Demand data categorization'!$A:$AV,30,FALSE))*(1-VLOOKUP($B46,'2. Forbearance thresholds'!$A$16:$F$25,3,FALSE)))</f>
        <v>13.824</v>
      </c>
      <c r="I46" s="80">
        <f>IF(ISERROR(VLOOKUP($A46,'8. Demand data categorization'!$A:$AV,31,FALSE)),0,(VLOOKUP($A46,'8. Demand data categorization'!$A:$AV,31,FALSE))*(1-VLOOKUP($B46,'2. Forbearance thresholds'!$A$16:$F$25,4,FALSE)))</f>
        <v>0.4073546252610496</v>
      </c>
      <c r="J46" s="80">
        <f>IF(ISERROR(VLOOKUP($A46,'8. Demand data categorization'!$A:$AV,32,FALSE)),0,(VLOOKUP($A46,'8. Demand data categorization'!$A:$AV,32,FALSE))*(1-VLOOKUP($B46,'2. Forbearance thresholds'!$A$16:$F$25,5,FALSE)))</f>
        <v>0</v>
      </c>
      <c r="K46" s="89">
        <f>IF(ISERROR(VLOOKUP($A46,'8. Demand data categorization'!$A:$AV,33,FALSE)),0,(VLOOKUP($A46,'8. Demand data categorization'!$A:$AV,33,FALSE))*(1-VLOOKUP($B46,'2. Forbearance thresholds'!$A$16:$F$25,6,FALSE)))</f>
        <v>0</v>
      </c>
      <c r="L46" s="1" t="str">
        <f>IF(ISERROR(VLOOKUP(A46,'11. TransferExport'!A:A,1,FALSE)),"N","Y")</f>
        <v>N</v>
      </c>
      <c r="M46" s="1" t="str">
        <f>IF(ISERROR(VLOOKUP(A46,'11. TransferExport'!B:B,1,FALSE)),"N","Y")</f>
        <v>N</v>
      </c>
      <c r="N46">
        <f>IF(L46="Y",-SUMIF('11. TransferExport'!A:A,A46,'11. TransferExport'!D:D),IF(M46="Y",SUMIF('11. TransferExport'!B:B,A46,'11. TransferExport'!D:D),0))</f>
        <v>0</v>
      </c>
      <c r="O46">
        <f>IF(L46="Y",-SUMIF('11. TransferExport'!A:A,A46,'11. TransferExport'!E:E),IF(M46="Y",SUMIF('11. TransferExport'!B:B,A46,'11. TransferExport'!E:E),0))</f>
        <v>0</v>
      </c>
      <c r="P46">
        <f>IF(L46="Y",-SUMIF('11. TransferExport'!A:A,A46,'11. TransferExport'!F:F),IF(M46="Y",SUMIF('11. TransferExport'!B:B,A46,'11. TransferExport'!F:F),0))</f>
        <v>0</v>
      </c>
      <c r="Q46">
        <f>IF(L46="Y",-SUMIF('11. TransferExport'!A:A,A46,'11. TransferExport'!G:G),IF(M46="Y",SUMIF('11. TransferExport'!B:B,A46,'11. TransferExport'!G:G),0))</f>
        <v>0</v>
      </c>
      <c r="R46" s="91">
        <f t="shared" si="7"/>
        <v>14.23135462526105</v>
      </c>
      <c r="S46">
        <f>IF(L46="Y",-SUMIF('11. TransferExport'!$A:$A,$A46,'11. TransferExport'!L:L),IF(M46="Y",SUMIF('11. TransferExport'!$B:$B,$A46,'11. TransferExport'!L:L),0))</f>
        <v>0</v>
      </c>
      <c r="T46">
        <f>IF($L46="Y",-SUMIF('11. TransferExport'!$A:$A,$A46,'11. TransferExport'!M:M),IF($M46="Y",SUMIF('11. TransferExport'!$B:$B,$A46,'11. TransferExport'!M:M),0))</f>
        <v>0</v>
      </c>
      <c r="U46">
        <f>IF($L46="Y",-SUMIF('11. TransferExport'!$A:$A,$A46,'11. TransferExport'!N:N),IF($M46="Y",SUMIF('11. TransferExport'!$B:$B,$A46,'11. TransferExport'!N:N),0))</f>
        <v>0</v>
      </c>
      <c r="V46">
        <f>IF($L46="Y",-SUMIF('11. TransferExport'!$A:$A,$A46,'11. TransferExport'!O:O),IF($M46="Y",SUMIF('11. TransferExport'!$B:$B,$A46,'11. TransferExport'!O:O),0))</f>
        <v>0</v>
      </c>
      <c r="W46" s="90">
        <f t="shared" si="8"/>
        <v>14.23135462526105</v>
      </c>
      <c r="X46" s="90">
        <f t="shared" si="9"/>
        <v>13.824</v>
      </c>
      <c r="Y46" s="90">
        <f t="shared" si="10"/>
        <v>0.4073546252610496</v>
      </c>
      <c r="Z46" s="90">
        <f t="shared" si="11"/>
        <v>0</v>
      </c>
      <c r="AA46" s="91">
        <f t="shared" si="12"/>
        <v>0</v>
      </c>
      <c r="AB46" s="96">
        <f>VLOOKUP(A46,'8. Demand data categorization'!A:N,3,FALSE)</f>
        <v>4</v>
      </c>
      <c r="AC46" s="95" t="str">
        <f>VLOOKUP(A46,'8. Demand data categorization'!A:N,14,FALSE)</f>
        <v>Y</v>
      </c>
      <c r="AD46" t="str">
        <f t="shared" si="13"/>
        <v>Giving</v>
      </c>
    </row>
    <row r="47" spans="1:30" x14ac:dyDescent="0.25">
      <c r="A47" s="107" t="s">
        <v>115</v>
      </c>
      <c r="B47" t="str">
        <f>IF(ISERROR(VLOOKUP(A47, '8. Demand data categorization'!A:M,13,FALSE)),"ERROR",IF((VLOOKUP(A47, '8. Demand data categorization'!A:M,13,FALSE))="-","Riparian",IF(OR(VLOOKUP(A47, '8. Demand data categorization'!A:M,13,FALSE)="1971-1990",VLOOKUP(A47, '8. Demand data categorization'!A:M,13,FALSE)="1991-Present"),"1971-Present",VLOOKUP(A47, '8. Demand data categorization'!A:M,13,FALSE))))</f>
        <v>Riparian</v>
      </c>
      <c r="C47" s="84" t="str">
        <f>VLOOKUP(A47,'12. eWRIMS_Export'!A:K,7,FALSE)</f>
        <v>HOOT OWL CREEK VINEYARDS</v>
      </c>
      <c r="D47">
        <f>VLOOKUP(A47,'8. Demand data categorization'!A:AJ,30,FALSE)</f>
        <v>9.26</v>
      </c>
      <c r="E47">
        <f>VLOOKUP(A47,'8. Demand data categorization'!A:AJ,31,FALSE)</f>
        <v>16.43</v>
      </c>
      <c r="F47">
        <f>VLOOKUP(A47,'8. Demand data categorization'!A:AJ,32,FALSE)</f>
        <v>16.73</v>
      </c>
      <c r="G47" s="84">
        <f>VLOOKUP(A47,'8. Demand data categorization'!A:AJ,33,FALSE)</f>
        <v>17.559999999999999</v>
      </c>
      <c r="H47" s="80">
        <f>IF(ISERROR(VLOOKUP($A47,'8. Demand data categorization'!$A:$AV,30,FALSE)),0,(VLOOKUP($A47,'8. Demand data categorization'!$A:$AV,30,FALSE))*(1-VLOOKUP($B47,'2. Forbearance thresholds'!$A$16:$F$25,3,FALSE)))</f>
        <v>7.0938993047768557</v>
      </c>
      <c r="I47" s="80">
        <f>IF(ISERROR(VLOOKUP($A47,'8. Demand data categorization'!$A:$AV,31,FALSE)),0,(VLOOKUP($A47,'8. Demand data categorization'!$A:$AV,31,FALSE))*(1-VLOOKUP($B47,'2. Forbearance thresholds'!$A$16:$F$25,4,FALSE)))</f>
        <v>0.46967273635361717</v>
      </c>
      <c r="J47" s="80">
        <f>IF(ISERROR(VLOOKUP($A47,'8. Demand data categorization'!$A:$AV,32,FALSE)),0,(VLOOKUP($A47,'8. Demand data categorization'!$A:$AV,32,FALSE))*(1-VLOOKUP($B47,'2. Forbearance thresholds'!$A$16:$F$25,5,FALSE)))</f>
        <v>0</v>
      </c>
      <c r="K47" s="89">
        <f>IF(ISERROR(VLOOKUP($A47,'8. Demand data categorization'!$A:$AV,33,FALSE)),0,(VLOOKUP($A47,'8. Demand data categorization'!$A:$AV,33,FALSE))*(1-VLOOKUP($B47,'2. Forbearance thresholds'!$A$16:$F$25,6,FALSE)))</f>
        <v>0</v>
      </c>
      <c r="L47" s="1" t="str">
        <f>IF(ISERROR(VLOOKUP(A47,'11. TransferExport'!A:A,1,FALSE)),"N","Y")</f>
        <v>N</v>
      </c>
      <c r="M47" s="1" t="str">
        <f>IF(ISERROR(VLOOKUP(A47,'11. TransferExport'!B:B,1,FALSE)),"N","Y")</f>
        <v>Y</v>
      </c>
      <c r="N47">
        <f>IF(L47="Y",-SUMIF('11. TransferExport'!A:A,A47,'11. TransferExport'!D:D),IF(M47="Y",SUMIF('11. TransferExport'!B:B,A47,'11. TransferExport'!D:D),0))</f>
        <v>2.61</v>
      </c>
      <c r="O47">
        <f>IF(L47="Y",-SUMIF('11. TransferExport'!A:A,A47,'11. TransferExport'!E:E),IF(M47="Y",SUMIF('11. TransferExport'!B:B,A47,'11. TransferExport'!E:E),0))</f>
        <v>9.2799999999999994</v>
      </c>
      <c r="P47">
        <f>IF(L47="Y",-SUMIF('11. TransferExport'!A:A,A47,'11. TransferExport'!F:F),IF(M47="Y",SUMIF('11. TransferExport'!B:B,A47,'11. TransferExport'!F:F),0))</f>
        <v>0</v>
      </c>
      <c r="Q47">
        <f>IF(L47="Y",-SUMIF('11. TransferExport'!A:A,A47,'11. TransferExport'!G:G),IF(M47="Y",SUMIF('11. TransferExport'!B:B,A47,'11. TransferExport'!G:G),0))</f>
        <v>0</v>
      </c>
      <c r="R47" s="91">
        <f t="shared" si="7"/>
        <v>19.453572041130471</v>
      </c>
      <c r="S47">
        <f>IF(L47="Y",-SUMIF('11. TransferExport'!$A:$A,$A47,'11. TransferExport'!L:L),IF(M47="Y",SUMIF('11. TransferExport'!$B:$B,$A47,'11. TransferExport'!L:L),0))</f>
        <v>2.61</v>
      </c>
      <c r="T47">
        <f>IF($L47="Y",-SUMIF('11. TransferExport'!$A:$A,$A47,'11. TransferExport'!M:M),IF($M47="Y",SUMIF('11. TransferExport'!$B:$B,$A47,'11. TransferExport'!M:M),0))</f>
        <v>0.8507279752820236</v>
      </c>
      <c r="U47">
        <f>IF($L47="Y",-SUMIF('11. TransferExport'!$A:$A,$A47,'11. TransferExport'!N:N),IF($M47="Y",SUMIF('11. TransferExport'!$B:$B,$A47,'11. TransferExport'!N:N),0))</f>
        <v>0</v>
      </c>
      <c r="V47">
        <f>IF($L47="Y",-SUMIF('11. TransferExport'!$A:$A,$A47,'11. TransferExport'!O:O),IF($M47="Y",SUMIF('11. TransferExport'!$B:$B,$A47,'11. TransferExport'!O:O),0))</f>
        <v>0</v>
      </c>
      <c r="W47" s="90">
        <f t="shared" si="8"/>
        <v>11.024300016412496</v>
      </c>
      <c r="X47" s="90">
        <f t="shared" si="9"/>
        <v>9.703899304776856</v>
      </c>
      <c r="Y47" s="90">
        <f t="shared" si="10"/>
        <v>1.3204007116356409</v>
      </c>
      <c r="Z47" s="90">
        <f t="shared" si="11"/>
        <v>0</v>
      </c>
      <c r="AA47" s="91">
        <f t="shared" si="12"/>
        <v>0</v>
      </c>
      <c r="AB47" s="96">
        <f>VLOOKUP(A47,'8. Demand data categorization'!A:N,3,FALSE)</f>
        <v>12</v>
      </c>
      <c r="AC47" s="95" t="str">
        <f>VLOOKUP(A47,'8. Demand data categorization'!A:N,14,FALSE)</f>
        <v>Y</v>
      </c>
      <c r="AD47" t="str">
        <f t="shared" si="13"/>
        <v>Taking</v>
      </c>
    </row>
    <row r="48" spans="1:30" x14ac:dyDescent="0.25">
      <c r="A48" s="107" t="s">
        <v>164</v>
      </c>
      <c r="B48" t="str">
        <f>IF(ISERROR(VLOOKUP(A48, '8. Demand data categorization'!A:M,13,FALSE)),"ERROR",IF((VLOOKUP(A48, '8. Demand data categorization'!A:M,13,FALSE))="-","Riparian",IF(OR(VLOOKUP(A48, '8. Demand data categorization'!A:M,13,FALSE)="1971-1990",VLOOKUP(A48, '8. Demand data categorization'!A:M,13,FALSE)="1991-Present"),"1971-Present",VLOOKUP(A48, '8. Demand data categorization'!A:M,13,FALSE))))</f>
        <v>Riparian</v>
      </c>
      <c r="C48" s="84" t="str">
        <f>VLOOKUP(A48,'12. eWRIMS_Export'!A:K,7,FALSE)</f>
        <v>HOOT OWL CREEK VINEYARDS</v>
      </c>
      <c r="D48">
        <f>VLOOKUP(A48,'8. Demand data categorization'!A:AJ,30,FALSE)</f>
        <v>0</v>
      </c>
      <c r="E48">
        <f>VLOOKUP(A48,'8. Demand data categorization'!A:AJ,31,FALSE)</f>
        <v>0</v>
      </c>
      <c r="F48">
        <f>VLOOKUP(A48,'8. Demand data categorization'!A:AJ,32,FALSE)</f>
        <v>0</v>
      </c>
      <c r="G48" s="84">
        <f>VLOOKUP(A48,'8. Demand data categorization'!A:AJ,33,FALSE)</f>
        <v>4.33</v>
      </c>
      <c r="H48" s="80">
        <f>IF(ISERROR(VLOOKUP($A48,'8. Demand data categorization'!$A:$AV,30,FALSE)),0,(VLOOKUP($A48,'8. Demand data categorization'!$A:$AV,30,FALSE))*(1-VLOOKUP($B48,'2. Forbearance thresholds'!$A$16:$F$25,3,FALSE)))</f>
        <v>0</v>
      </c>
      <c r="I48" s="80">
        <f>IF(ISERROR(VLOOKUP($A48,'8. Demand data categorization'!$A:$AV,31,FALSE)),0,(VLOOKUP($A48,'8. Demand data categorization'!$A:$AV,31,FALSE))*(1-VLOOKUP($B48,'2. Forbearance thresholds'!$A$16:$F$25,4,FALSE)))</f>
        <v>0</v>
      </c>
      <c r="J48" s="80">
        <f>IF(ISERROR(VLOOKUP($A48,'8. Demand data categorization'!$A:$AV,32,FALSE)),0,(VLOOKUP($A48,'8. Demand data categorization'!$A:$AV,32,FALSE))*(1-VLOOKUP($B48,'2. Forbearance thresholds'!$A$16:$F$25,5,FALSE)))</f>
        <v>0</v>
      </c>
      <c r="K48" s="89">
        <f>IF(ISERROR(VLOOKUP($A48,'8. Demand data categorization'!$A:$AV,33,FALSE)),0,(VLOOKUP($A48,'8. Demand data categorization'!$A:$AV,33,FALSE))*(1-VLOOKUP($B48,'2. Forbearance thresholds'!$A$16:$F$25,6,FALSE)))</f>
        <v>0</v>
      </c>
      <c r="L48" s="1" t="str">
        <f>IF(ISERROR(VLOOKUP(A48,'11. TransferExport'!A:A,1,FALSE)),"N","Y")</f>
        <v>N</v>
      </c>
      <c r="M48" s="1" t="str">
        <f>IF(ISERROR(VLOOKUP(A48,'11. TransferExport'!B:B,1,FALSE)),"N","Y")</f>
        <v>N</v>
      </c>
      <c r="N48">
        <f>IF(L48="Y",-SUMIF('11. TransferExport'!A:A,A48,'11. TransferExport'!D:D),IF(M48="Y",SUMIF('11. TransferExport'!B:B,A48,'11. TransferExport'!D:D),0))</f>
        <v>0</v>
      </c>
      <c r="O48">
        <f>IF(L48="Y",-SUMIF('11. TransferExport'!A:A,A48,'11. TransferExport'!E:E),IF(M48="Y",SUMIF('11. TransferExport'!B:B,A48,'11. TransferExport'!E:E),0))</f>
        <v>0</v>
      </c>
      <c r="P48">
        <f>IF(L48="Y",-SUMIF('11. TransferExport'!A:A,A48,'11. TransferExport'!F:F),IF(M48="Y",SUMIF('11. TransferExport'!B:B,A48,'11. TransferExport'!F:F),0))</f>
        <v>0</v>
      </c>
      <c r="Q48">
        <f>IF(L48="Y",-SUMIF('11. TransferExport'!A:A,A48,'11. TransferExport'!G:G),IF(M48="Y",SUMIF('11. TransferExport'!B:B,A48,'11. TransferExport'!G:G),0))</f>
        <v>0</v>
      </c>
      <c r="R48" s="91">
        <f t="shared" si="7"/>
        <v>0</v>
      </c>
      <c r="S48">
        <f>IF(L48="Y",-SUMIF('11. TransferExport'!$A:$A,$A48,'11. TransferExport'!L:L),IF(M48="Y",SUMIF('11. TransferExport'!$B:$B,$A48,'11. TransferExport'!L:L),0))</f>
        <v>0</v>
      </c>
      <c r="T48">
        <f>IF($L48="Y",-SUMIF('11. TransferExport'!$A:$A,$A48,'11. TransferExport'!M:M),IF($M48="Y",SUMIF('11. TransferExport'!$B:$B,$A48,'11. TransferExport'!M:M),0))</f>
        <v>0</v>
      </c>
      <c r="U48">
        <f>IF($L48="Y",-SUMIF('11. TransferExport'!$A:$A,$A48,'11. TransferExport'!N:N),IF($M48="Y",SUMIF('11. TransferExport'!$B:$B,$A48,'11. TransferExport'!N:N),0))</f>
        <v>0</v>
      </c>
      <c r="V48">
        <f>IF($L48="Y",-SUMIF('11. TransferExport'!$A:$A,$A48,'11. TransferExport'!O:O),IF($M48="Y",SUMIF('11. TransferExport'!$B:$B,$A48,'11. TransferExport'!O:O),0))</f>
        <v>0</v>
      </c>
      <c r="W48" s="90">
        <f t="shared" si="8"/>
        <v>0</v>
      </c>
      <c r="X48" s="90">
        <f t="shared" si="9"/>
        <v>0</v>
      </c>
      <c r="Y48" s="90">
        <f t="shared" si="10"/>
        <v>0</v>
      </c>
      <c r="Z48" s="90">
        <f t="shared" si="11"/>
        <v>0</v>
      </c>
      <c r="AA48" s="91">
        <f t="shared" si="12"/>
        <v>0</v>
      </c>
      <c r="AB48" s="96">
        <f>VLOOKUP(A48,'8. Demand data categorization'!A:N,3,FALSE)</f>
        <v>12</v>
      </c>
      <c r="AC48" s="95" t="str">
        <f>VLOOKUP(A48,'8. Demand data categorization'!A:N,14,FALSE)</f>
        <v>Y</v>
      </c>
      <c r="AD48" t="str">
        <f t="shared" si="13"/>
        <v>Taking</v>
      </c>
    </row>
    <row r="49" spans="1:30" x14ac:dyDescent="0.25">
      <c r="A49" s="86" t="s">
        <v>169</v>
      </c>
      <c r="B49" t="str">
        <f>IF(ISERROR(VLOOKUP(A49, '8. Demand data categorization'!A:M,13,FALSE)),"ERROR",IF((VLOOKUP(A49, '8. Demand data categorization'!A:M,13,FALSE))="-","Riparian",IF(OR(VLOOKUP(A49, '8. Demand data categorization'!A:M,13,FALSE)="1971-1990",VLOOKUP(A49, '8. Demand data categorization'!A:M,13,FALSE)="1991-Present"),"1971-Present",VLOOKUP(A49, '8. Demand data categorization'!A:M,13,FALSE))))</f>
        <v>Riparian</v>
      </c>
      <c r="C49" s="84" t="str">
        <f>VLOOKUP(A49,'12. eWRIMS_Export'!A:K,7,FALSE)</f>
        <v>HOOT OWL CREEK VINEYARDS</v>
      </c>
      <c r="D49">
        <f>VLOOKUP(A49,'8. Demand data categorization'!A:AJ,30,FALSE)</f>
        <v>0</v>
      </c>
      <c r="E49">
        <f>VLOOKUP(A49,'8. Demand data categorization'!A:AJ,31,FALSE)</f>
        <v>0</v>
      </c>
      <c r="F49">
        <f>VLOOKUP(A49,'8. Demand data categorization'!A:AJ,32,FALSE)</f>
        <v>2.9</v>
      </c>
      <c r="G49" s="84">
        <f>VLOOKUP(A49,'8. Demand data categorization'!A:AJ,33,FALSE)</f>
        <v>10.16</v>
      </c>
      <c r="H49" s="80">
        <f>IF(ISERROR(VLOOKUP($A49,'8. Demand data categorization'!$A:$AV,30,FALSE)),0,(VLOOKUP($A49,'8. Demand data categorization'!$A:$AV,30,FALSE))*(1-VLOOKUP($B49,'2. Forbearance thresholds'!$A$16:$F$25,3,FALSE)))</f>
        <v>0</v>
      </c>
      <c r="I49" s="80">
        <f>IF(ISERROR(VLOOKUP($A49,'8. Demand data categorization'!$A:$AV,31,FALSE)),0,(VLOOKUP($A49,'8. Demand data categorization'!$A:$AV,31,FALSE))*(1-VLOOKUP($B49,'2. Forbearance thresholds'!$A$16:$F$25,4,FALSE)))</f>
        <v>0</v>
      </c>
      <c r="J49" s="80">
        <f>IF(ISERROR(VLOOKUP($A49,'8. Demand data categorization'!$A:$AV,32,FALSE)),0,(VLOOKUP($A49,'8. Demand data categorization'!$A:$AV,32,FALSE))*(1-VLOOKUP($B49,'2. Forbearance thresholds'!$A$16:$F$25,5,FALSE)))</f>
        <v>0</v>
      </c>
      <c r="K49" s="89">
        <f>IF(ISERROR(VLOOKUP($A49,'8. Demand data categorization'!$A:$AV,33,FALSE)),0,(VLOOKUP($A49,'8. Demand data categorization'!$A:$AV,33,FALSE))*(1-VLOOKUP($B49,'2. Forbearance thresholds'!$A$16:$F$25,6,FALSE)))</f>
        <v>0</v>
      </c>
      <c r="L49" s="1" t="str">
        <f>IF(ISERROR(VLOOKUP(A49,'11. TransferExport'!A:A,1,FALSE)),"N","Y")</f>
        <v>N</v>
      </c>
      <c r="M49" s="1" t="str">
        <f>IF(ISERROR(VLOOKUP(A49,'11. TransferExport'!B:B,1,FALSE)),"N","Y")</f>
        <v>N</v>
      </c>
      <c r="N49">
        <f>IF(L49="Y",-SUMIF('11. TransferExport'!A:A,A49,'11. TransferExport'!D:D),IF(M49="Y",SUMIF('11. TransferExport'!B:B,A49,'11. TransferExport'!D:D),0))</f>
        <v>0</v>
      </c>
      <c r="O49">
        <f>IF(L49="Y",-SUMIF('11. TransferExport'!A:A,A49,'11. TransferExport'!E:E),IF(M49="Y",SUMIF('11. TransferExport'!B:B,A49,'11. TransferExport'!E:E),0))</f>
        <v>0</v>
      </c>
      <c r="P49">
        <f>IF(L49="Y",-SUMIF('11. TransferExport'!A:A,A49,'11. TransferExport'!F:F),IF(M49="Y",SUMIF('11. TransferExport'!B:B,A49,'11. TransferExport'!F:F),0))</f>
        <v>0</v>
      </c>
      <c r="Q49">
        <f>IF(L49="Y",-SUMIF('11. TransferExport'!A:A,A49,'11. TransferExport'!G:G),IF(M49="Y",SUMIF('11. TransferExport'!B:B,A49,'11. TransferExport'!G:G),0))</f>
        <v>0</v>
      </c>
      <c r="R49" s="91">
        <f t="shared" si="7"/>
        <v>0</v>
      </c>
      <c r="S49">
        <f>IF(L49="Y",-SUMIF('11. TransferExport'!$A:$A,$A49,'11. TransferExport'!L:L),IF(M49="Y",SUMIF('11. TransferExport'!$B:$B,$A49,'11. TransferExport'!L:L),0))</f>
        <v>0</v>
      </c>
      <c r="T49">
        <f>IF($L49="Y",-SUMIF('11. TransferExport'!$A:$A,$A49,'11. TransferExport'!M:M),IF($M49="Y",SUMIF('11. TransferExport'!$B:$B,$A49,'11. TransferExport'!M:M),0))</f>
        <v>0</v>
      </c>
      <c r="U49">
        <f>IF($L49="Y",-SUMIF('11. TransferExport'!$A:$A,$A49,'11. TransferExport'!N:N),IF($M49="Y",SUMIF('11. TransferExport'!$B:$B,$A49,'11. TransferExport'!N:N),0))</f>
        <v>0</v>
      </c>
      <c r="V49">
        <f>IF($L49="Y",-SUMIF('11. TransferExport'!$A:$A,$A49,'11. TransferExport'!O:O),IF($M49="Y",SUMIF('11. TransferExport'!$B:$B,$A49,'11. TransferExport'!O:O),0))</f>
        <v>0</v>
      </c>
      <c r="W49" s="90">
        <f t="shared" si="8"/>
        <v>0</v>
      </c>
      <c r="X49" s="90">
        <f t="shared" si="9"/>
        <v>0</v>
      </c>
      <c r="Y49" s="90">
        <f t="shared" si="10"/>
        <v>0</v>
      </c>
      <c r="Z49" s="90">
        <f t="shared" si="11"/>
        <v>0</v>
      </c>
      <c r="AA49" s="91">
        <f t="shared" si="12"/>
        <v>0</v>
      </c>
      <c r="AB49" s="96">
        <f>VLOOKUP(A49,'8. Demand data categorization'!A:N,3,FALSE)</f>
        <v>12</v>
      </c>
      <c r="AC49" s="95" t="str">
        <f>VLOOKUP(A49,'8. Demand data categorization'!A:N,14,FALSE)</f>
        <v>Y</v>
      </c>
      <c r="AD49" t="str">
        <f t="shared" si="13"/>
        <v>Taking</v>
      </c>
    </row>
    <row r="50" spans="1:30" x14ac:dyDescent="0.25">
      <c r="A50" s="107" t="s">
        <v>62</v>
      </c>
      <c r="B50" t="str">
        <f>IF(ISERROR(VLOOKUP(A50, '8. Demand data categorization'!A:M,13,FALSE)),"ERROR",IF((VLOOKUP(A50, '8. Demand data categorization'!A:M,13,FALSE))="-","Riparian",IF(OR(VLOOKUP(A50, '8. Demand data categorization'!A:M,13,FALSE)="1971-1990",VLOOKUP(A50, '8. Demand data categorization'!A:M,13,FALSE)="1991-Present"),"1971-Present",VLOOKUP(A50, '8. Demand data categorization'!A:M,13,FALSE))))</f>
        <v>1960-1970</v>
      </c>
      <c r="C50" s="84" t="str">
        <f>VLOOKUP(A50,'12. eWRIMS_Export'!A:K,7,FALSE)</f>
        <v>HOPLAND LAND MANAGEMENT LLC</v>
      </c>
      <c r="D50">
        <f>VLOOKUP(A50,'8. Demand data categorization'!A:AJ,30,FALSE)</f>
        <v>2.04</v>
      </c>
      <c r="E50">
        <f>VLOOKUP(A50,'8. Demand data categorization'!A:AJ,31,FALSE)</f>
        <v>2.2999999999999998</v>
      </c>
      <c r="F50">
        <f>VLOOKUP(A50,'8. Demand data categorization'!A:AJ,32,FALSE)</f>
        <v>1.23</v>
      </c>
      <c r="G50" s="84">
        <f>VLOOKUP(A50,'8. Demand data categorization'!A:AJ,33,FALSE)</f>
        <v>0.33</v>
      </c>
      <c r="H50" s="80">
        <f>IF(ISERROR(VLOOKUP($A50,'8. Demand data categorization'!$A:$AV,30,FALSE)),0,(VLOOKUP($A50,'8. Demand data categorization'!$A:$AV,30,FALSE))*(1-VLOOKUP($B50,'2. Forbearance thresholds'!$A$16:$F$25,3,FALSE)))</f>
        <v>1.8360000000000001</v>
      </c>
      <c r="I50" s="80">
        <f>IF(ISERROR(VLOOKUP($A50,'8. Demand data categorization'!$A:$AV,31,FALSE)),0,(VLOOKUP($A50,'8. Demand data categorization'!$A:$AV,31,FALSE))*(1-VLOOKUP($B50,'2. Forbearance thresholds'!$A$16:$F$25,4,FALSE)))</f>
        <v>6.5748465831607997E-2</v>
      </c>
      <c r="J50" s="80">
        <f>IF(ISERROR(VLOOKUP($A50,'8. Demand data categorization'!$A:$AV,32,FALSE)),0,(VLOOKUP($A50,'8. Demand data categorization'!$A:$AV,32,FALSE))*(1-VLOOKUP($B50,'2. Forbearance thresholds'!$A$16:$F$25,5,FALSE)))</f>
        <v>0</v>
      </c>
      <c r="K50" s="89">
        <f>IF(ISERROR(VLOOKUP($A50,'8. Demand data categorization'!$A:$AV,33,FALSE)),0,(VLOOKUP($A50,'8. Demand data categorization'!$A:$AV,33,FALSE))*(1-VLOOKUP($B50,'2. Forbearance thresholds'!$A$16:$F$25,6,FALSE)))</f>
        <v>0</v>
      </c>
      <c r="L50" s="1" t="str">
        <f>IF(ISERROR(VLOOKUP(A50,'11. TransferExport'!A:A,1,FALSE)),"N","Y")</f>
        <v>N</v>
      </c>
      <c r="M50" s="1" t="str">
        <f>IF(ISERROR(VLOOKUP(A50,'11. TransferExport'!B:B,1,FALSE)),"N","Y")</f>
        <v>N</v>
      </c>
      <c r="N50">
        <f>IF(L50="Y",-SUMIF('11. TransferExport'!A:A,A50,'11. TransferExport'!D:D),IF(M50="Y",SUMIF('11. TransferExport'!B:B,A50,'11. TransferExport'!D:D),0))</f>
        <v>0</v>
      </c>
      <c r="O50">
        <f>IF(L50="Y",-SUMIF('11. TransferExport'!A:A,A50,'11. TransferExport'!E:E),IF(M50="Y",SUMIF('11. TransferExport'!B:B,A50,'11. TransferExport'!E:E),0))</f>
        <v>0</v>
      </c>
      <c r="P50">
        <f>IF(L50="Y",-SUMIF('11. TransferExport'!A:A,A50,'11. TransferExport'!F:F),IF(M50="Y",SUMIF('11. TransferExport'!B:B,A50,'11. TransferExport'!F:F),0))</f>
        <v>0</v>
      </c>
      <c r="Q50">
        <f>IF(L50="Y",-SUMIF('11. TransferExport'!A:A,A50,'11. TransferExport'!G:G),IF(M50="Y",SUMIF('11. TransferExport'!B:B,A50,'11. TransferExport'!G:G),0))</f>
        <v>0</v>
      </c>
      <c r="R50" s="91">
        <f t="shared" si="7"/>
        <v>1.9017484658316082</v>
      </c>
      <c r="S50">
        <f>IF(L50="Y",-SUMIF('11. TransferExport'!$A:$A,$A50,'11. TransferExport'!L:L),IF(M50="Y",SUMIF('11. TransferExport'!$B:$B,$A50,'11. TransferExport'!L:L),0))</f>
        <v>0</v>
      </c>
      <c r="T50">
        <f>IF($L50="Y",-SUMIF('11. TransferExport'!$A:$A,$A50,'11. TransferExport'!M:M),IF($M50="Y",SUMIF('11. TransferExport'!$B:$B,$A50,'11. TransferExport'!M:M),0))</f>
        <v>0</v>
      </c>
      <c r="U50">
        <f>IF($L50="Y",-SUMIF('11. TransferExport'!$A:$A,$A50,'11. TransferExport'!N:N),IF($M50="Y",SUMIF('11. TransferExport'!$B:$B,$A50,'11. TransferExport'!N:N),0))</f>
        <v>0</v>
      </c>
      <c r="V50">
        <f>IF($L50="Y",-SUMIF('11. TransferExport'!$A:$A,$A50,'11. TransferExport'!O:O),IF($M50="Y",SUMIF('11. TransferExport'!$B:$B,$A50,'11. TransferExport'!O:O),0))</f>
        <v>0</v>
      </c>
      <c r="W50" s="90">
        <f t="shared" si="8"/>
        <v>1.9017484658316082</v>
      </c>
      <c r="X50" s="90">
        <f t="shared" si="9"/>
        <v>1.8360000000000001</v>
      </c>
      <c r="Y50" s="90">
        <f t="shared" si="10"/>
        <v>6.5748465831607997E-2</v>
      </c>
      <c r="Z50" s="90">
        <f t="shared" si="11"/>
        <v>0</v>
      </c>
      <c r="AA50" s="91">
        <f t="shared" si="12"/>
        <v>0</v>
      </c>
      <c r="AB50" s="96">
        <f>VLOOKUP(A50,'8. Demand data categorization'!A:N,3,FALSE)</f>
        <v>6</v>
      </c>
      <c r="AC50" s="95" t="str">
        <f>VLOOKUP(A50,'8. Demand data categorization'!A:N,14,FALSE)</f>
        <v>Y</v>
      </c>
      <c r="AD50" t="str">
        <f t="shared" si="13"/>
        <v>Giving</v>
      </c>
    </row>
    <row r="51" spans="1:30" x14ac:dyDescent="0.25">
      <c r="A51" s="107" t="s">
        <v>151</v>
      </c>
      <c r="B51" t="str">
        <f>IF(ISERROR(VLOOKUP(A51, '8. Demand data categorization'!A:M,13,FALSE)),"ERROR",IF((VLOOKUP(A51, '8. Demand data categorization'!A:M,13,FALSE))="-","Riparian",IF(OR(VLOOKUP(A51, '8. Demand data categorization'!A:M,13,FALSE)="1971-1990",VLOOKUP(A51, '8. Demand data categorization'!A:M,13,FALSE)="1991-Present"),"1971-Present",VLOOKUP(A51, '8. Demand data categorization'!A:M,13,FALSE))))</f>
        <v>Riparian</v>
      </c>
      <c r="C51" s="84" t="s">
        <v>152</v>
      </c>
      <c r="D51">
        <f>VLOOKUP(A51,'8. Demand data categorization'!A:AJ,30,FALSE)</f>
        <v>0.08</v>
      </c>
      <c r="E51">
        <f>VLOOKUP(A51,'8. Demand data categorization'!A:AJ,31,FALSE)</f>
        <v>0.6333333333333333</v>
      </c>
      <c r="F51">
        <f>VLOOKUP(A51,'8. Demand data categorization'!A:AJ,32,FALSE)</f>
        <v>4.5999999999999996</v>
      </c>
      <c r="G51" s="84">
        <f>VLOOKUP(A51,'8. Demand data categorization'!A:AJ,33,FALSE)</f>
        <v>2.0666666666666669</v>
      </c>
      <c r="H51" s="80">
        <f>IF(ISERROR(VLOOKUP($A51,'8. Demand data categorization'!$A:$AV,30,FALSE)),0,(VLOOKUP($A51,'8. Demand data categorization'!$A:$AV,30,FALSE))*(1-VLOOKUP($B51,'2. Forbearance thresholds'!$A$16:$F$25,3,FALSE)))</f>
        <v>6.1286387082305452E-2</v>
      </c>
      <c r="I51" s="80">
        <f>IF(ISERROR(VLOOKUP($A51,'8. Demand data categorization'!$A:$AV,31,FALSE)),0,(VLOOKUP($A51,'8. Demand data categorization'!$A:$AV,31,FALSE))*(1-VLOOKUP($B51,'2. Forbearance thresholds'!$A$16:$F$25,4,FALSE)))</f>
        <v>1.8104650011602202E-2</v>
      </c>
      <c r="J51" s="80">
        <f>IF(ISERROR(VLOOKUP($A51,'8. Demand data categorization'!$A:$AV,32,FALSE)),0,(VLOOKUP($A51,'8. Demand data categorization'!$A:$AV,32,FALSE))*(1-VLOOKUP($B51,'2. Forbearance thresholds'!$A$16:$F$25,5,FALSE)))</f>
        <v>0</v>
      </c>
      <c r="K51" s="89">
        <f>IF(ISERROR(VLOOKUP($A51,'8. Demand data categorization'!$A:$AV,33,FALSE)),0,(VLOOKUP($A51,'8. Demand data categorization'!$A:$AV,33,FALSE))*(1-VLOOKUP($B51,'2. Forbearance thresholds'!$A$16:$F$25,6,FALSE)))</f>
        <v>0</v>
      </c>
      <c r="L51" s="1" t="str">
        <f>IF(ISERROR(VLOOKUP(A51,'11. TransferExport'!A:A,1,FALSE)),"N","Y")</f>
        <v>N</v>
      </c>
      <c r="M51" s="1" t="str">
        <f>IF(ISERROR(VLOOKUP(A51,'11. TransferExport'!B:B,1,FALSE)),"N","Y")</f>
        <v>N</v>
      </c>
      <c r="N51">
        <f>IF(L51="Y",-SUMIF('11. TransferExport'!A:A,A51,'11. TransferExport'!D:D),IF(M51="Y",SUMIF('11. TransferExport'!B:B,A51,'11. TransferExport'!D:D),0))</f>
        <v>0</v>
      </c>
      <c r="O51">
        <f>IF(L51="Y",-SUMIF('11. TransferExport'!A:A,A51,'11. TransferExport'!E:E),IF(M51="Y",SUMIF('11. TransferExport'!B:B,A51,'11. TransferExport'!E:E),0))</f>
        <v>0</v>
      </c>
      <c r="P51">
        <f>IF(L51="Y",-SUMIF('11. TransferExport'!A:A,A51,'11. TransferExport'!F:F),IF(M51="Y",SUMIF('11. TransferExport'!B:B,A51,'11. TransferExport'!F:F),0))</f>
        <v>0</v>
      </c>
      <c r="Q51">
        <f>IF(L51="Y",-SUMIF('11. TransferExport'!A:A,A51,'11. TransferExport'!G:G),IF(M51="Y",SUMIF('11. TransferExport'!B:B,A51,'11. TransferExport'!G:G),0))</f>
        <v>0</v>
      </c>
      <c r="R51" s="91">
        <f t="shared" si="7"/>
        <v>7.9391037093907657E-2</v>
      </c>
      <c r="S51">
        <f>IF(L51="Y",-SUMIF('11. TransferExport'!$A:$A,$A51,'11. TransferExport'!L:L),IF(M51="Y",SUMIF('11. TransferExport'!$B:$B,$A51,'11. TransferExport'!L:L),0))</f>
        <v>0</v>
      </c>
      <c r="T51">
        <f>IF($L51="Y",-SUMIF('11. TransferExport'!$A:$A,$A51,'11. TransferExport'!M:M),IF($M51="Y",SUMIF('11. TransferExport'!$B:$B,$A51,'11. TransferExport'!M:M),0))</f>
        <v>0</v>
      </c>
      <c r="U51">
        <f>IF($L51="Y",-SUMIF('11. TransferExport'!$A:$A,$A51,'11. TransferExport'!N:N),IF($M51="Y",SUMIF('11. TransferExport'!$B:$B,$A51,'11. TransferExport'!N:N),0))</f>
        <v>0</v>
      </c>
      <c r="V51">
        <f>IF($L51="Y",-SUMIF('11. TransferExport'!$A:$A,$A51,'11. TransferExport'!O:O),IF($M51="Y",SUMIF('11. TransferExport'!$B:$B,$A51,'11. TransferExport'!O:O),0))</f>
        <v>0</v>
      </c>
      <c r="W51" s="90">
        <f t="shared" si="8"/>
        <v>7.9391037093907657E-2</v>
      </c>
      <c r="X51" s="90">
        <f t="shared" si="9"/>
        <v>6.1286387082305452E-2</v>
      </c>
      <c r="Y51" s="90">
        <f t="shared" si="10"/>
        <v>1.8104650011602202E-2</v>
      </c>
      <c r="Z51" s="90">
        <f t="shared" si="11"/>
        <v>0</v>
      </c>
      <c r="AA51" s="91">
        <f t="shared" si="12"/>
        <v>0</v>
      </c>
      <c r="AB51" s="96"/>
      <c r="AC51" s="95"/>
      <c r="AD51" t="str">
        <f t="shared" si="13"/>
        <v>Taking</v>
      </c>
    </row>
    <row r="52" spans="1:30" x14ac:dyDescent="0.25">
      <c r="A52" s="107" t="s">
        <v>49</v>
      </c>
      <c r="B52" t="str">
        <f>IF(ISERROR(VLOOKUP(A52, '8. Demand data categorization'!A:M,13,FALSE)),"ERROR",IF((VLOOKUP(A52, '8. Demand data categorization'!A:M,13,FALSE))="-","Riparian",IF(OR(VLOOKUP(A52, '8. Demand data categorization'!A:M,13,FALSE)="1971-1990",VLOOKUP(A52, '8. Demand data categorization'!A:M,13,FALSE)="1991-Present"),"1971-Present",VLOOKUP(A52, '8. Demand data categorization'!A:M,13,FALSE))))</f>
        <v>1953-1954</v>
      </c>
      <c r="C52" s="84" t="str">
        <f>VLOOKUP(A52,'12. eWRIMS_Export'!A:K,7,FALSE)</f>
        <v>JACKSON FAMILY INVESTMENTS III</v>
      </c>
      <c r="D52">
        <f>VLOOKUP(A52,'8. Demand data categorization'!A:AJ,30,FALSE)</f>
        <v>0</v>
      </c>
      <c r="E52">
        <f>VLOOKUP(A52,'8. Demand data categorization'!A:AJ,31,FALSE)</f>
        <v>0</v>
      </c>
      <c r="F52">
        <f>VLOOKUP(A52,'8. Demand data categorization'!A:AJ,32,FALSE)</f>
        <v>0</v>
      </c>
      <c r="G52" s="84">
        <f>VLOOKUP(A52,'8. Demand data categorization'!A:AJ,33,FALSE)</f>
        <v>0</v>
      </c>
      <c r="H52" s="80">
        <f>IF(ISERROR(VLOOKUP($A52,'8. Demand data categorization'!$A:$AV,30,FALSE)),0,(VLOOKUP($A52,'8. Demand data categorization'!$A:$AV,30,FALSE))*(1-VLOOKUP($B52,'2. Forbearance thresholds'!$A$16:$F$25,3,FALSE)))</f>
        <v>0</v>
      </c>
      <c r="I52" s="80">
        <f>IF(ISERROR(VLOOKUP($A52,'8. Demand data categorization'!$A:$AV,31,FALSE)),0,(VLOOKUP($A52,'8. Demand data categorization'!$A:$AV,31,FALSE))*(1-VLOOKUP($B52,'2. Forbearance thresholds'!$A$16:$F$25,4,FALSE)))</f>
        <v>0</v>
      </c>
      <c r="J52" s="80">
        <f>IF(ISERROR(VLOOKUP($A52,'8. Demand data categorization'!$A:$AV,32,FALSE)),0,(VLOOKUP($A52,'8. Demand data categorization'!$A:$AV,32,FALSE))*(1-VLOOKUP($B52,'2. Forbearance thresholds'!$A$16:$F$25,5,FALSE)))</f>
        <v>0</v>
      </c>
      <c r="K52" s="89">
        <f>IF(ISERROR(VLOOKUP($A52,'8. Demand data categorization'!$A:$AV,33,FALSE)),0,(VLOOKUP($A52,'8. Demand data categorization'!$A:$AV,33,FALSE))*(1-VLOOKUP($B52,'2. Forbearance thresholds'!$A$16:$F$25,6,FALSE)))</f>
        <v>0</v>
      </c>
      <c r="L52" s="1" t="str">
        <f>IF(ISERROR(VLOOKUP(A52,'11. TransferExport'!A:A,1,FALSE)),"N","Y")</f>
        <v>N</v>
      </c>
      <c r="M52" s="1" t="str">
        <f>IF(ISERROR(VLOOKUP(A52,'11. TransferExport'!B:B,1,FALSE)),"N","Y")</f>
        <v>Y</v>
      </c>
      <c r="N52">
        <f>IF(L52="Y",-SUMIF('11. TransferExport'!A:A,A52,'11. TransferExport'!D:D),IF(M52="Y",SUMIF('11. TransferExport'!B:B,A52,'11. TransferExport'!D:D),0))</f>
        <v>4.4800000000000004</v>
      </c>
      <c r="O52">
        <f>IF(L52="Y",-SUMIF('11. TransferExport'!A:A,A52,'11. TransferExport'!E:E),IF(M52="Y",SUMIF('11. TransferExport'!B:B,A52,'11. TransferExport'!E:E),0))</f>
        <v>6.55</v>
      </c>
      <c r="P52">
        <f>IF(L52="Y",-SUMIF('11. TransferExport'!A:A,A52,'11. TransferExport'!F:F),IF(M52="Y",SUMIF('11. TransferExport'!B:B,A52,'11. TransferExport'!F:F),0))</f>
        <v>6.38</v>
      </c>
      <c r="Q52">
        <f>IF(L52="Y",-SUMIF('11. TransferExport'!A:A,A52,'11. TransferExport'!G:G),IF(M52="Y",SUMIF('11. TransferExport'!B:B,A52,'11. TransferExport'!G:G),0))</f>
        <v>0</v>
      </c>
      <c r="R52" s="91">
        <f t="shared" si="7"/>
        <v>17.41</v>
      </c>
      <c r="S52">
        <f>IF(L52="Y",-SUMIF('11. TransferExport'!$A:$A,$A52,'11. TransferExport'!L:L),IF(M52="Y",SUMIF('11. TransferExport'!$B:$B,$A52,'11. TransferExport'!L:L),0))</f>
        <v>4.4800000000000004</v>
      </c>
      <c r="T52">
        <f>IF($L52="Y",-SUMIF('11. TransferExport'!$A:$A,$A52,'11. TransferExport'!M:M),IF($M52="Y",SUMIF('11. TransferExport'!$B:$B,$A52,'11. TransferExport'!M:M),0))</f>
        <v>0.1872401961726228</v>
      </c>
      <c r="U52">
        <f>IF($L52="Y",-SUMIF('11. TransferExport'!$A:$A,$A52,'11. TransferExport'!N:N),IF($M52="Y",SUMIF('11. TransferExport'!$B:$B,$A52,'11. TransferExport'!N:N),0))</f>
        <v>0</v>
      </c>
      <c r="V52">
        <f>IF($L52="Y",-SUMIF('11. TransferExport'!$A:$A,$A52,'11. TransferExport'!O:O),IF($M52="Y",SUMIF('11. TransferExport'!$B:$B,$A52,'11. TransferExport'!O:O),0))</f>
        <v>0</v>
      </c>
      <c r="W52" s="90">
        <f t="shared" si="8"/>
        <v>4.6672401961726235</v>
      </c>
      <c r="X52" s="90">
        <f t="shared" si="9"/>
        <v>4.4800000000000004</v>
      </c>
      <c r="Y52" s="90">
        <f t="shared" si="10"/>
        <v>0.1872401961726228</v>
      </c>
      <c r="Z52" s="90">
        <f t="shared" si="11"/>
        <v>0</v>
      </c>
      <c r="AA52" s="91">
        <f t="shared" si="12"/>
        <v>0</v>
      </c>
      <c r="AB52" s="96">
        <f>VLOOKUP(A52,'8. Demand data categorization'!A:N,3,FALSE)</f>
        <v>12</v>
      </c>
      <c r="AC52" s="95" t="str">
        <f>VLOOKUP(A52,'8. Demand data categorization'!A:N,14,FALSE)</f>
        <v>Y</v>
      </c>
      <c r="AD52" t="str">
        <f t="shared" si="13"/>
        <v>Giving</v>
      </c>
    </row>
    <row r="53" spans="1:30" x14ac:dyDescent="0.25">
      <c r="A53" s="107" t="s">
        <v>104</v>
      </c>
      <c r="B53" t="str">
        <f>IF(ISERROR(VLOOKUP(A53, '8. Demand data categorization'!A:M,13,FALSE)),"ERROR",IF((VLOOKUP(A53, '8. Demand data categorization'!A:M,13,FALSE))="-","Riparian",IF(OR(VLOOKUP(A53, '8. Demand data categorization'!A:M,13,FALSE)="1971-1990",VLOOKUP(A53, '8. Demand data categorization'!A:M,13,FALSE)="1991-Present"),"1971-Present",VLOOKUP(A53, '8. Demand data categorization'!A:M,13,FALSE))))</f>
        <v>1971-Present</v>
      </c>
      <c r="C53" s="84" t="str">
        <f>VLOOKUP(A53,'12. eWRIMS_Export'!A:K,7,FALSE)</f>
        <v>JACKSON FAMILY INVESTMENTS III</v>
      </c>
      <c r="D53">
        <f>VLOOKUP(A53,'8. Demand data categorization'!A:AJ,30,FALSE)</f>
        <v>1.68</v>
      </c>
      <c r="E53">
        <f>VLOOKUP(A53,'8. Demand data categorization'!A:AJ,31,FALSE)</f>
        <v>1.7</v>
      </c>
      <c r="F53">
        <f>VLOOKUP(A53,'8. Demand data categorization'!A:AJ,32,FALSE)</f>
        <v>1.23</v>
      </c>
      <c r="G53" s="84">
        <f>VLOOKUP(A53,'8. Demand data categorization'!A:AJ,33,FALSE)</f>
        <v>7.0000000000000007E-2</v>
      </c>
      <c r="H53" s="80">
        <f>IF(ISERROR(VLOOKUP($A53,'8. Demand data categorization'!$A:$AV,30,FALSE)),0,(VLOOKUP($A53,'8. Demand data categorization'!$A:$AV,30,FALSE))*(1-VLOOKUP($B53,'2. Forbearance thresholds'!$A$16:$F$25,3,FALSE)))</f>
        <v>1.512</v>
      </c>
      <c r="I53" s="80">
        <f>IF(ISERROR(VLOOKUP($A53,'8. Demand data categorization'!$A:$AV,31,FALSE)),0,(VLOOKUP($A53,'8. Demand data categorization'!$A:$AV,31,FALSE))*(1-VLOOKUP($B53,'2. Forbearance thresholds'!$A$16:$F$25,4,FALSE)))</f>
        <v>4.8596692136405918E-2</v>
      </c>
      <c r="J53" s="80">
        <f>IF(ISERROR(VLOOKUP($A53,'8. Demand data categorization'!$A:$AV,32,FALSE)),0,(VLOOKUP($A53,'8. Demand data categorization'!$A:$AV,32,FALSE))*(1-VLOOKUP($B53,'2. Forbearance thresholds'!$A$16:$F$25,5,FALSE)))</f>
        <v>0</v>
      </c>
      <c r="K53" s="89">
        <f>IF(ISERROR(VLOOKUP($A53,'8. Demand data categorization'!$A:$AV,33,FALSE)),0,(VLOOKUP($A53,'8. Demand data categorization'!$A:$AV,33,FALSE))*(1-VLOOKUP($B53,'2. Forbearance thresholds'!$A$16:$F$25,6,FALSE)))</f>
        <v>0</v>
      </c>
      <c r="L53" s="1" t="str">
        <f>IF(ISERROR(VLOOKUP(A53,'11. TransferExport'!A:A,1,FALSE)),"N","Y")</f>
        <v>N</v>
      </c>
      <c r="M53" s="1" t="str">
        <f>IF(ISERROR(VLOOKUP(A53,'11. TransferExport'!B:B,1,FALSE)),"N","Y")</f>
        <v>N</v>
      </c>
      <c r="N53">
        <f>IF(L53="Y",-SUMIF('11. TransferExport'!A:A,A53,'11. TransferExport'!D:D),IF(M53="Y",SUMIF('11. TransferExport'!B:B,A53,'11. TransferExport'!D:D),0))</f>
        <v>0</v>
      </c>
      <c r="O53">
        <f>IF(L53="Y",-SUMIF('11. TransferExport'!A:A,A53,'11. TransferExport'!E:E),IF(M53="Y",SUMIF('11. TransferExport'!B:B,A53,'11. TransferExport'!E:E),0))</f>
        <v>0</v>
      </c>
      <c r="P53">
        <f>IF(L53="Y",-SUMIF('11. TransferExport'!A:A,A53,'11. TransferExport'!F:F),IF(M53="Y",SUMIF('11. TransferExport'!B:B,A53,'11. TransferExport'!F:F),0))</f>
        <v>0</v>
      </c>
      <c r="Q53">
        <f>IF(L53="Y",-SUMIF('11. TransferExport'!A:A,A53,'11. TransferExport'!G:G),IF(M53="Y",SUMIF('11. TransferExport'!B:B,A53,'11. TransferExport'!G:G),0))</f>
        <v>0</v>
      </c>
      <c r="R53" s="91">
        <f t="shared" si="7"/>
        <v>1.5605966921364058</v>
      </c>
      <c r="S53">
        <f>IF(L53="Y",-SUMIF('11. TransferExport'!$A:$A,$A53,'11. TransferExport'!L:L),IF(M53="Y",SUMIF('11. TransferExport'!$B:$B,$A53,'11. TransferExport'!L:L),0))</f>
        <v>0</v>
      </c>
      <c r="T53">
        <f>IF($L53="Y",-SUMIF('11. TransferExport'!$A:$A,$A53,'11. TransferExport'!M:M),IF($M53="Y",SUMIF('11. TransferExport'!$B:$B,$A53,'11. TransferExport'!M:M),0))</f>
        <v>0</v>
      </c>
      <c r="U53">
        <f>IF($L53="Y",-SUMIF('11. TransferExport'!$A:$A,$A53,'11. TransferExport'!N:N),IF($M53="Y",SUMIF('11. TransferExport'!$B:$B,$A53,'11. TransferExport'!N:N),0))</f>
        <v>0</v>
      </c>
      <c r="V53">
        <f>IF($L53="Y",-SUMIF('11. TransferExport'!$A:$A,$A53,'11. TransferExport'!O:O),IF($M53="Y",SUMIF('11. TransferExport'!$B:$B,$A53,'11. TransferExport'!O:O),0))</f>
        <v>0</v>
      </c>
      <c r="W53" s="90">
        <f t="shared" si="8"/>
        <v>1.5605966921364058</v>
      </c>
      <c r="X53" s="90">
        <f t="shared" si="9"/>
        <v>1.512</v>
      </c>
      <c r="Y53" s="90">
        <f t="shared" si="10"/>
        <v>4.8596692136405918E-2</v>
      </c>
      <c r="Z53" s="90">
        <f t="shared" si="11"/>
        <v>0</v>
      </c>
      <c r="AA53" s="91">
        <f t="shared" si="12"/>
        <v>0</v>
      </c>
      <c r="AB53" s="96">
        <f>VLOOKUP(A53,'8. Demand data categorization'!A:N,3,FALSE)</f>
        <v>12</v>
      </c>
      <c r="AC53" s="95" t="str">
        <f>VLOOKUP(A53,'8. Demand data categorization'!A:N,14,FALSE)</f>
        <v>Y</v>
      </c>
      <c r="AD53" t="str">
        <f t="shared" si="13"/>
        <v>Giving</v>
      </c>
    </row>
    <row r="54" spans="1:30" x14ac:dyDescent="0.25">
      <c r="A54" s="107" t="s">
        <v>45</v>
      </c>
      <c r="B54" t="str">
        <f>IF(ISERROR(VLOOKUP(A54, '8. Demand data categorization'!A:M,13,FALSE)),"ERROR",IF((VLOOKUP(A54, '8. Demand data categorization'!A:M,13,FALSE))="-","Riparian",IF(OR(VLOOKUP(A54, '8. Demand data categorization'!A:M,13,FALSE)="1971-1990",VLOOKUP(A54, '8. Demand data categorization'!A:M,13,FALSE)="1991-Present"),"1971-Present",VLOOKUP(A54, '8. Demand data categorization'!A:M,13,FALSE))))</f>
        <v>Pre-1949 + 1949</v>
      </c>
      <c r="C54" s="84" t="str">
        <f>VLOOKUP(A54,'12. eWRIMS_Export'!A:K,7,FALSE)</f>
        <v>JACKSON FAMILY INVESTMENTS III, LLC</v>
      </c>
      <c r="D54">
        <f>VLOOKUP(A54,'8. Demand data categorization'!A:AJ,30,FALSE)</f>
        <v>4.4800000000000004</v>
      </c>
      <c r="E54">
        <f>VLOOKUP(A54,'8. Demand data categorization'!A:AJ,31,FALSE)</f>
        <v>6.55</v>
      </c>
      <c r="F54">
        <f>VLOOKUP(A54,'8. Demand data categorization'!A:AJ,32,FALSE)</f>
        <v>6.38</v>
      </c>
      <c r="G54" s="84">
        <f>VLOOKUP(A54,'8. Demand data categorization'!A:AJ,33,FALSE)</f>
        <v>0.45</v>
      </c>
      <c r="H54" s="80">
        <f>IF(ISERROR(VLOOKUP($A54,'8. Demand data categorization'!$A:$AV,30,FALSE)),0,(VLOOKUP($A54,'8. Demand data categorization'!$A:$AV,30,FALSE))*(1-VLOOKUP($B54,'2. Forbearance thresholds'!$A$16:$F$25,3,FALSE)))</f>
        <v>4.4800000000000004</v>
      </c>
      <c r="I54" s="80">
        <f>IF(ISERROR(VLOOKUP($A54,'8. Demand data categorization'!$A:$AV,31,FALSE)),0,(VLOOKUP($A54,'8. Demand data categorization'!$A:$AV,31,FALSE))*(1-VLOOKUP($B54,'2. Forbearance thresholds'!$A$16:$F$25,4,FALSE)))</f>
        <v>0.1872401961726228</v>
      </c>
      <c r="J54" s="80">
        <f>IF(ISERROR(VLOOKUP($A54,'8. Demand data categorization'!$A:$AV,32,FALSE)),0,(VLOOKUP($A54,'8. Demand data categorization'!$A:$AV,32,FALSE))*(1-VLOOKUP($B54,'2. Forbearance thresholds'!$A$16:$F$25,5,FALSE)))</f>
        <v>0</v>
      </c>
      <c r="K54" s="89">
        <f>IF(ISERROR(VLOOKUP($A54,'8. Demand data categorization'!$A:$AV,33,FALSE)),0,(VLOOKUP($A54,'8. Demand data categorization'!$A:$AV,33,FALSE))*(1-VLOOKUP($B54,'2. Forbearance thresholds'!$A$16:$F$25,6,FALSE)))</f>
        <v>0</v>
      </c>
      <c r="L54" s="1" t="str">
        <f>IF(ISERROR(VLOOKUP(A54,'11. TransferExport'!A:A,1,FALSE)),"N","Y")</f>
        <v>Y</v>
      </c>
      <c r="M54" s="1" t="str">
        <f>IF(ISERROR(VLOOKUP(A54,'11. TransferExport'!B:B,1,FALSE)),"N","Y")</f>
        <v>N</v>
      </c>
      <c r="N54">
        <f>IF(L54="Y",-SUMIF('11. TransferExport'!A:A,A54,'11. TransferExport'!D:D),IF(M54="Y",SUMIF('11. TransferExport'!B:B,A54,'11. TransferExport'!D:D),0))</f>
        <v>-4.4800000000000004</v>
      </c>
      <c r="O54">
        <f>IF(L54="Y",-SUMIF('11. TransferExport'!A:A,A54,'11. TransferExport'!E:E),IF(M54="Y",SUMIF('11. TransferExport'!B:B,A54,'11. TransferExport'!E:E),0))</f>
        <v>-6.55</v>
      </c>
      <c r="P54">
        <f>IF(L54="Y",-SUMIF('11. TransferExport'!A:A,A54,'11. TransferExport'!F:F),IF(M54="Y",SUMIF('11. TransferExport'!B:B,A54,'11. TransferExport'!F:F),0))</f>
        <v>-6.38</v>
      </c>
      <c r="Q54">
        <f>IF(L54="Y",-SUMIF('11. TransferExport'!A:A,A54,'11. TransferExport'!G:G),IF(M54="Y",SUMIF('11. TransferExport'!B:B,A54,'11. TransferExport'!G:G),0))</f>
        <v>0</v>
      </c>
      <c r="R54" s="91">
        <f t="shared" si="7"/>
        <v>-12.742759803827376</v>
      </c>
      <c r="S54">
        <f>IF(L54="Y",-SUMIF('11. TransferExport'!$A:$A,$A54,'11. TransferExport'!L:L),IF(M54="Y",SUMIF('11. TransferExport'!$B:$B,$A54,'11. TransferExport'!L:L),0))</f>
        <v>-4.4800000000000004</v>
      </c>
      <c r="T54">
        <f>IF($L54="Y",-SUMIF('11. TransferExport'!$A:$A,$A54,'11. TransferExport'!M:M),IF($M54="Y",SUMIF('11. TransferExport'!$B:$B,$A54,'11. TransferExport'!M:M),0))</f>
        <v>-0.1872401961726228</v>
      </c>
      <c r="U54">
        <f>IF($L54="Y",-SUMIF('11. TransferExport'!$A:$A,$A54,'11. TransferExport'!N:N),IF($M54="Y",SUMIF('11. TransferExport'!$B:$B,$A54,'11. TransferExport'!N:N),0))</f>
        <v>0</v>
      </c>
      <c r="V54">
        <f>IF($L54="Y",-SUMIF('11. TransferExport'!$A:$A,$A54,'11. TransferExport'!O:O),IF($M54="Y",SUMIF('11. TransferExport'!$B:$B,$A54,'11. TransferExport'!O:O),0))</f>
        <v>0</v>
      </c>
      <c r="W54" s="90">
        <f t="shared" si="8"/>
        <v>3.0531133177191805E-16</v>
      </c>
      <c r="X54" s="90">
        <f t="shared" si="9"/>
        <v>0</v>
      </c>
      <c r="Y54" s="90">
        <f t="shared" si="10"/>
        <v>0</v>
      </c>
      <c r="Z54" s="90">
        <f t="shared" si="11"/>
        <v>0</v>
      </c>
      <c r="AA54" s="91">
        <f t="shared" si="12"/>
        <v>0</v>
      </c>
      <c r="AB54" s="96">
        <f>VLOOKUP(A54,'8. Demand data categorization'!A:N,3,FALSE)</f>
        <v>10</v>
      </c>
      <c r="AC54" s="95" t="str">
        <f>VLOOKUP(A54,'8. Demand data categorization'!A:N,14,FALSE)</f>
        <v>Y</v>
      </c>
      <c r="AD54" t="str">
        <f t="shared" si="13"/>
        <v>No Change</v>
      </c>
    </row>
    <row r="55" spans="1:30" x14ac:dyDescent="0.25">
      <c r="A55" s="107" t="s">
        <v>94</v>
      </c>
      <c r="B55" t="str">
        <f>IF(ISERROR(VLOOKUP(A55, '8. Demand data categorization'!A:M,13,FALSE)),"ERROR",IF((VLOOKUP(A55, '8. Demand data categorization'!A:M,13,FALSE))="-","Riparian",IF(OR(VLOOKUP(A55, '8. Demand data categorization'!A:M,13,FALSE)="1971-1990",VLOOKUP(A55, '8. Demand data categorization'!A:M,13,FALSE)="1991-Present"),"1971-Present",VLOOKUP(A55, '8. Demand data categorization'!A:M,13,FALSE))))</f>
        <v>1960-1970</v>
      </c>
      <c r="C55" s="84" t="str">
        <f>VLOOKUP(A55,'12. eWRIMS_Export'!A:K,7,FALSE)</f>
        <v>JACKSON FAMILY INVESTMENTS III, LLC</v>
      </c>
      <c r="D55">
        <f>VLOOKUP(A55,'8. Demand data categorization'!A:AJ,30,FALSE)</f>
        <v>0</v>
      </c>
      <c r="E55">
        <f>VLOOKUP(A55,'8. Demand data categorization'!A:AJ,31,FALSE)</f>
        <v>0</v>
      </c>
      <c r="F55">
        <f>VLOOKUP(A55,'8. Demand data categorization'!A:AJ,32,FALSE)</f>
        <v>0</v>
      </c>
      <c r="G55" s="84">
        <f>VLOOKUP(A55,'8. Demand data categorization'!A:AJ,33,FALSE)</f>
        <v>0</v>
      </c>
      <c r="H55" s="80">
        <f>IF(ISERROR(VLOOKUP($A55,'8. Demand data categorization'!$A:$AV,30,FALSE)),0,(VLOOKUP($A55,'8. Demand data categorization'!$A:$AV,30,FALSE))*(1-VLOOKUP($B55,'2. Forbearance thresholds'!$A$16:$F$25,3,FALSE)))</f>
        <v>0</v>
      </c>
      <c r="I55" s="80">
        <f>IF(ISERROR(VLOOKUP($A55,'8. Demand data categorization'!$A:$AV,31,FALSE)),0,(VLOOKUP($A55,'8. Demand data categorization'!$A:$AV,31,FALSE))*(1-VLOOKUP($B55,'2. Forbearance thresholds'!$A$16:$F$25,4,FALSE)))</f>
        <v>0</v>
      </c>
      <c r="J55" s="80">
        <f>IF(ISERROR(VLOOKUP($A55,'8. Demand data categorization'!$A:$AV,32,FALSE)),0,(VLOOKUP($A55,'8. Demand data categorization'!$A:$AV,32,FALSE))*(1-VLOOKUP($B55,'2. Forbearance thresholds'!$A$16:$F$25,5,FALSE)))</f>
        <v>0</v>
      </c>
      <c r="K55" s="89">
        <f>IF(ISERROR(VLOOKUP($A55,'8. Demand data categorization'!$A:$AV,33,FALSE)),0,(VLOOKUP($A55,'8. Demand data categorization'!$A:$AV,33,FALSE))*(1-VLOOKUP($B55,'2. Forbearance thresholds'!$A$16:$F$25,6,FALSE)))</f>
        <v>0</v>
      </c>
      <c r="L55" s="1" t="str">
        <f>IF(ISERROR(VLOOKUP(A55,'11. TransferExport'!A:A,1,FALSE)),"N","Y")</f>
        <v>N</v>
      </c>
      <c r="M55" s="1" t="str">
        <f>IF(ISERROR(VLOOKUP(A55,'11. TransferExport'!B:B,1,FALSE)),"N","Y")</f>
        <v>N</v>
      </c>
      <c r="N55">
        <f>IF(L55="Y",-SUMIF('11. TransferExport'!A:A,A55,'11. TransferExport'!D:D),IF(M55="Y",SUMIF('11. TransferExport'!B:B,A55,'11. TransferExport'!D:D),0))</f>
        <v>0</v>
      </c>
      <c r="O55">
        <f>IF(L55="Y",-SUMIF('11. TransferExport'!A:A,A55,'11. TransferExport'!E:E),IF(M55="Y",SUMIF('11. TransferExport'!B:B,A55,'11. TransferExport'!E:E),0))</f>
        <v>0</v>
      </c>
      <c r="P55">
        <f>IF(L55="Y",-SUMIF('11. TransferExport'!A:A,A55,'11. TransferExport'!F:F),IF(M55="Y",SUMIF('11. TransferExport'!B:B,A55,'11. TransferExport'!F:F),0))</f>
        <v>0</v>
      </c>
      <c r="Q55">
        <f>IF(L55="Y",-SUMIF('11. TransferExport'!A:A,A55,'11. TransferExport'!G:G),IF(M55="Y",SUMIF('11. TransferExport'!B:B,A55,'11. TransferExport'!G:G),0))</f>
        <v>0</v>
      </c>
      <c r="R55" s="91">
        <f t="shared" si="7"/>
        <v>0</v>
      </c>
      <c r="S55">
        <f>IF(L55="Y",-SUMIF('11. TransferExport'!$A:$A,$A55,'11. TransferExport'!L:L),IF(M55="Y",SUMIF('11. TransferExport'!$B:$B,$A55,'11. TransferExport'!L:L),0))</f>
        <v>0</v>
      </c>
      <c r="T55">
        <f>IF($L55="Y",-SUMIF('11. TransferExport'!$A:$A,$A55,'11. TransferExport'!M:M),IF($M55="Y",SUMIF('11. TransferExport'!$B:$B,$A55,'11. TransferExport'!M:M),0))</f>
        <v>0</v>
      </c>
      <c r="U55">
        <f>IF($L55="Y",-SUMIF('11. TransferExport'!$A:$A,$A55,'11. TransferExport'!N:N),IF($M55="Y",SUMIF('11. TransferExport'!$B:$B,$A55,'11. TransferExport'!N:N),0))</f>
        <v>0</v>
      </c>
      <c r="V55">
        <f>IF($L55="Y",-SUMIF('11. TransferExport'!$A:$A,$A55,'11. TransferExport'!O:O),IF($M55="Y",SUMIF('11. TransferExport'!$B:$B,$A55,'11. TransferExport'!O:O),0))</f>
        <v>0</v>
      </c>
      <c r="W55" s="90">
        <f t="shared" si="8"/>
        <v>0</v>
      </c>
      <c r="X55" s="90">
        <f t="shared" si="9"/>
        <v>0</v>
      </c>
      <c r="Y55" s="90">
        <f t="shared" si="10"/>
        <v>0</v>
      </c>
      <c r="Z55" s="90">
        <f t="shared" si="11"/>
        <v>0</v>
      </c>
      <c r="AA55" s="91">
        <f t="shared" si="12"/>
        <v>0</v>
      </c>
      <c r="AB55" s="96">
        <f>VLOOKUP(A55,'8. Demand data categorization'!A:N,3,FALSE)</f>
        <v>12</v>
      </c>
      <c r="AC55" s="95" t="str">
        <f>VLOOKUP(A55,'8. Demand data categorization'!A:N,14,FALSE)</f>
        <v>N</v>
      </c>
      <c r="AD55" t="str">
        <f t="shared" si="13"/>
        <v>Giving</v>
      </c>
    </row>
    <row r="56" spans="1:30" x14ac:dyDescent="0.25">
      <c r="A56" s="107" t="s">
        <v>96</v>
      </c>
      <c r="B56" t="str">
        <f>IF(ISERROR(VLOOKUP(A56, '8. Demand data categorization'!A:M,13,FALSE)),"ERROR",IF((VLOOKUP(A56, '8. Demand data categorization'!A:M,13,FALSE))="-","Riparian",IF(OR(VLOOKUP(A56, '8. Demand data categorization'!A:M,13,FALSE)="1971-1990",VLOOKUP(A56, '8. Demand data categorization'!A:M,13,FALSE)="1991-Present"),"1971-Present",VLOOKUP(A56, '8. Demand data categorization'!A:M,13,FALSE))))</f>
        <v>1950-1952</v>
      </c>
      <c r="C56" s="84" t="str">
        <f>VLOOKUP(A56,'12. eWRIMS_Export'!A:K,7,FALSE)</f>
        <v>JACKSON FAMILY INVESTMENTS III, LLC</v>
      </c>
      <c r="D56">
        <f>VLOOKUP(A56,'8. Demand data categorization'!A:AJ,30,FALSE)</f>
        <v>0</v>
      </c>
      <c r="E56">
        <f>VLOOKUP(A56,'8. Demand data categorization'!A:AJ,31,FALSE)</f>
        <v>0</v>
      </c>
      <c r="F56">
        <f>VLOOKUP(A56,'8. Demand data categorization'!A:AJ,32,FALSE)</f>
        <v>0</v>
      </c>
      <c r="G56" s="84">
        <f>VLOOKUP(A56,'8. Demand data categorization'!A:AJ,33,FALSE)</f>
        <v>0</v>
      </c>
      <c r="H56" s="80">
        <f>IF(ISERROR(VLOOKUP($A56,'8. Demand data categorization'!$A:$AV,30,FALSE)),0,(VLOOKUP($A56,'8. Demand data categorization'!$A:$AV,30,FALSE))*(1-VLOOKUP($B56,'2. Forbearance thresholds'!$A$16:$F$25,3,FALSE)))</f>
        <v>0</v>
      </c>
      <c r="I56" s="80">
        <f>IF(ISERROR(VLOOKUP($A56,'8. Demand data categorization'!$A:$AV,31,FALSE)),0,(VLOOKUP($A56,'8. Demand data categorization'!$A:$AV,31,FALSE))*(1-VLOOKUP($B56,'2. Forbearance thresholds'!$A$16:$F$25,4,FALSE)))</f>
        <v>0</v>
      </c>
      <c r="J56" s="80">
        <f>IF(ISERROR(VLOOKUP($A56,'8. Demand data categorization'!$A:$AV,32,FALSE)),0,(VLOOKUP($A56,'8. Demand data categorization'!$A:$AV,32,FALSE))*(1-VLOOKUP($B56,'2. Forbearance thresholds'!$A$16:$F$25,5,FALSE)))</f>
        <v>0</v>
      </c>
      <c r="K56" s="89">
        <f>IF(ISERROR(VLOOKUP($A56,'8. Demand data categorization'!$A:$AV,33,FALSE)),0,(VLOOKUP($A56,'8. Demand data categorization'!$A:$AV,33,FALSE))*(1-VLOOKUP($B56,'2. Forbearance thresholds'!$A$16:$F$25,6,FALSE)))</f>
        <v>0</v>
      </c>
      <c r="L56" s="1" t="str">
        <f>IF(ISERROR(VLOOKUP(A56,'11. TransferExport'!A:A,1,FALSE)),"N","Y")</f>
        <v>N</v>
      </c>
      <c r="M56" s="1" t="str">
        <f>IF(ISERROR(VLOOKUP(A56,'11. TransferExport'!B:B,1,FALSE)),"N","Y")</f>
        <v>N</v>
      </c>
      <c r="N56">
        <f>IF(L56="Y",-SUMIF('11. TransferExport'!A:A,A56,'11. TransferExport'!D:D),IF(M56="Y",SUMIF('11. TransferExport'!B:B,A56,'11. TransferExport'!D:D),0))</f>
        <v>0</v>
      </c>
      <c r="O56">
        <f>IF(L56="Y",-SUMIF('11. TransferExport'!A:A,A56,'11. TransferExport'!E:E),IF(M56="Y",SUMIF('11. TransferExport'!B:B,A56,'11. TransferExport'!E:E),0))</f>
        <v>0</v>
      </c>
      <c r="P56">
        <f>IF(L56="Y",-SUMIF('11. TransferExport'!A:A,A56,'11. TransferExport'!F:F),IF(M56="Y",SUMIF('11. TransferExport'!B:B,A56,'11. TransferExport'!F:F),0))</f>
        <v>0</v>
      </c>
      <c r="Q56">
        <f>IF(L56="Y",-SUMIF('11. TransferExport'!A:A,A56,'11. TransferExport'!G:G),IF(M56="Y",SUMIF('11. TransferExport'!B:B,A56,'11. TransferExport'!G:G),0))</f>
        <v>0</v>
      </c>
      <c r="R56" s="91">
        <f t="shared" si="7"/>
        <v>0</v>
      </c>
      <c r="S56">
        <f>IF(L56="Y",-SUMIF('11. TransferExport'!$A:$A,$A56,'11. TransferExport'!L:L),IF(M56="Y",SUMIF('11. TransferExport'!$B:$B,$A56,'11. TransferExport'!L:L),0))</f>
        <v>0</v>
      </c>
      <c r="T56">
        <f>IF($L56="Y",-SUMIF('11. TransferExport'!$A:$A,$A56,'11. TransferExport'!M:M),IF($M56="Y",SUMIF('11. TransferExport'!$B:$B,$A56,'11. TransferExport'!M:M),0))</f>
        <v>0</v>
      </c>
      <c r="U56">
        <f>IF($L56="Y",-SUMIF('11. TransferExport'!$A:$A,$A56,'11. TransferExport'!N:N),IF($M56="Y",SUMIF('11. TransferExport'!$B:$B,$A56,'11. TransferExport'!N:N),0))</f>
        <v>0</v>
      </c>
      <c r="V56">
        <f>IF($L56="Y",-SUMIF('11. TransferExport'!$A:$A,$A56,'11. TransferExport'!O:O),IF($M56="Y",SUMIF('11. TransferExport'!$B:$B,$A56,'11. TransferExport'!O:O),0))</f>
        <v>0</v>
      </c>
      <c r="W56" s="90">
        <f t="shared" si="8"/>
        <v>0</v>
      </c>
      <c r="X56" s="90">
        <f t="shared" si="9"/>
        <v>0</v>
      </c>
      <c r="Y56" s="90">
        <f t="shared" si="10"/>
        <v>0</v>
      </c>
      <c r="Z56" s="90">
        <f t="shared" si="11"/>
        <v>0</v>
      </c>
      <c r="AA56" s="91">
        <f t="shared" si="12"/>
        <v>0</v>
      </c>
      <c r="AB56" s="96">
        <f>VLOOKUP(A56,'8. Demand data categorization'!A:N,3,FALSE)</f>
        <v>12</v>
      </c>
      <c r="AC56" s="95" t="str">
        <f>VLOOKUP(A56,'8. Demand data categorization'!A:N,14,FALSE)</f>
        <v>N</v>
      </c>
      <c r="AD56" t="str">
        <f t="shared" si="13"/>
        <v>Giving</v>
      </c>
    </row>
    <row r="57" spans="1:30" x14ac:dyDescent="0.25">
      <c r="A57" s="107" t="s">
        <v>116</v>
      </c>
      <c r="B57" t="str">
        <f>IF(ISERROR(VLOOKUP(A57, '8. Demand data categorization'!A:M,13,FALSE)),"ERROR",IF((VLOOKUP(A57, '8. Demand data categorization'!A:M,13,FALSE))="-","Riparian",IF(OR(VLOOKUP(A57, '8. Demand data categorization'!A:M,13,FALSE)="1971-1990",VLOOKUP(A57, '8. Demand data categorization'!A:M,13,FALSE)="1991-Present"),"1971-Present",VLOOKUP(A57, '8. Demand data categorization'!A:M,13,FALSE))))</f>
        <v>Riparian</v>
      </c>
      <c r="C57" s="84" t="str">
        <f>VLOOKUP(A57,'12. eWRIMS_Export'!A:K,7,FALSE)</f>
        <v>JACKSON FAMILY INVESTMENTS III, LLC</v>
      </c>
      <c r="D57">
        <f>VLOOKUP(A57,'8. Demand data categorization'!A:AJ,30,FALSE)</f>
        <v>0</v>
      </c>
      <c r="E57">
        <f>VLOOKUP(A57,'8. Demand data categorization'!A:AJ,31,FALSE)</f>
        <v>0</v>
      </c>
      <c r="F57">
        <f>VLOOKUP(A57,'8. Demand data categorization'!A:AJ,32,FALSE)</f>
        <v>0</v>
      </c>
      <c r="G57" s="84">
        <f>VLOOKUP(A57,'8. Demand data categorization'!A:AJ,33,FALSE)</f>
        <v>0</v>
      </c>
      <c r="H57" s="80">
        <f>IF(ISERROR(VLOOKUP($A57,'8. Demand data categorization'!$A:$AV,30,FALSE)),0,(VLOOKUP($A57,'8. Demand data categorization'!$A:$AV,30,FALSE))*(1-VLOOKUP($B57,'2. Forbearance thresholds'!$A$16:$F$25,3,FALSE)))</f>
        <v>0</v>
      </c>
      <c r="I57" s="80">
        <f>IF(ISERROR(VLOOKUP($A57,'8. Demand data categorization'!$A:$AV,31,FALSE)),0,(VLOOKUP($A57,'8. Demand data categorization'!$A:$AV,31,FALSE))*(1-VLOOKUP($B57,'2. Forbearance thresholds'!$A$16:$F$25,4,FALSE)))</f>
        <v>0</v>
      </c>
      <c r="J57" s="80">
        <f>IF(ISERROR(VLOOKUP($A57,'8. Demand data categorization'!$A:$AV,32,FALSE)),0,(VLOOKUP($A57,'8. Demand data categorization'!$A:$AV,32,FALSE))*(1-VLOOKUP($B57,'2. Forbearance thresholds'!$A$16:$F$25,5,FALSE)))</f>
        <v>0</v>
      </c>
      <c r="K57" s="89">
        <f>IF(ISERROR(VLOOKUP($A57,'8. Demand data categorization'!$A:$AV,33,FALSE)),0,(VLOOKUP($A57,'8. Demand data categorization'!$A:$AV,33,FALSE))*(1-VLOOKUP($B57,'2. Forbearance thresholds'!$A$16:$F$25,6,FALSE)))</f>
        <v>0</v>
      </c>
      <c r="L57" s="1" t="str">
        <f>IF(ISERROR(VLOOKUP(A57,'11. TransferExport'!A:A,1,FALSE)),"N","Y")</f>
        <v>N</v>
      </c>
      <c r="M57" s="1" t="str">
        <f>IF(ISERROR(VLOOKUP(A57,'11. TransferExport'!B:B,1,FALSE)),"N","Y")</f>
        <v>N</v>
      </c>
      <c r="N57">
        <f>IF(L57="Y",-SUMIF('11. TransferExport'!A:A,A57,'11. TransferExport'!D:D),IF(M57="Y",SUMIF('11. TransferExport'!B:B,A57,'11. TransferExport'!D:D),0))</f>
        <v>0</v>
      </c>
      <c r="O57">
        <f>IF(L57="Y",-SUMIF('11. TransferExport'!A:A,A57,'11. TransferExport'!E:E),IF(M57="Y",SUMIF('11. TransferExport'!B:B,A57,'11. TransferExport'!E:E),0))</f>
        <v>0</v>
      </c>
      <c r="P57">
        <f>IF(L57="Y",-SUMIF('11. TransferExport'!A:A,A57,'11. TransferExport'!F:F),IF(M57="Y",SUMIF('11. TransferExport'!B:B,A57,'11. TransferExport'!F:F),0))</f>
        <v>0</v>
      </c>
      <c r="Q57">
        <f>IF(L57="Y",-SUMIF('11. TransferExport'!A:A,A57,'11. TransferExport'!G:G),IF(M57="Y",SUMIF('11. TransferExport'!B:B,A57,'11. TransferExport'!G:G),0))</f>
        <v>0</v>
      </c>
      <c r="R57" s="91">
        <f t="shared" si="7"/>
        <v>0</v>
      </c>
      <c r="S57">
        <f>IF(L57="Y",-SUMIF('11. TransferExport'!$A:$A,$A57,'11. TransferExport'!L:L),IF(M57="Y",SUMIF('11. TransferExport'!$B:$B,$A57,'11. TransferExport'!L:L),0))</f>
        <v>0</v>
      </c>
      <c r="T57">
        <f>IF($L57="Y",-SUMIF('11. TransferExport'!$A:$A,$A57,'11. TransferExport'!M:M),IF($M57="Y",SUMIF('11. TransferExport'!$B:$B,$A57,'11. TransferExport'!M:M),0))</f>
        <v>0</v>
      </c>
      <c r="U57">
        <f>IF($L57="Y",-SUMIF('11. TransferExport'!$A:$A,$A57,'11. TransferExport'!N:N),IF($M57="Y",SUMIF('11. TransferExport'!$B:$B,$A57,'11. TransferExport'!N:N),0))</f>
        <v>0</v>
      </c>
      <c r="V57">
        <f>IF($L57="Y",-SUMIF('11. TransferExport'!$A:$A,$A57,'11. TransferExport'!O:O),IF($M57="Y",SUMIF('11. TransferExport'!$B:$B,$A57,'11. TransferExport'!O:O),0))</f>
        <v>0</v>
      </c>
      <c r="W57" s="90">
        <f t="shared" si="8"/>
        <v>0</v>
      </c>
      <c r="X57" s="90">
        <f t="shared" si="9"/>
        <v>0</v>
      </c>
      <c r="Y57" s="90">
        <f t="shared" si="10"/>
        <v>0</v>
      </c>
      <c r="Z57" s="90">
        <f t="shared" si="11"/>
        <v>0</v>
      </c>
      <c r="AA57" s="91">
        <f t="shared" si="12"/>
        <v>0</v>
      </c>
      <c r="AB57" s="96">
        <f>VLOOKUP(A57,'8. Demand data categorization'!A:N,3,FALSE)</f>
        <v>12</v>
      </c>
      <c r="AC57" s="95" t="str">
        <f>VLOOKUP(A57,'8. Demand data categorization'!A:N,14,FALSE)</f>
        <v>N</v>
      </c>
      <c r="AD57" t="str">
        <f t="shared" si="13"/>
        <v>Taking</v>
      </c>
    </row>
    <row r="58" spans="1:30" x14ac:dyDescent="0.25">
      <c r="A58" s="107" t="s">
        <v>117</v>
      </c>
      <c r="B58" t="str">
        <f>IF(ISERROR(VLOOKUP(A58, '8. Demand data categorization'!A:M,13,FALSE)),"ERROR",IF((VLOOKUP(A58, '8. Demand data categorization'!A:M,13,FALSE))="-","Riparian",IF(OR(VLOOKUP(A58, '8. Demand data categorization'!A:M,13,FALSE)="1971-1990",VLOOKUP(A58, '8. Demand data categorization'!A:M,13,FALSE)="1991-Present"),"1971-Present",VLOOKUP(A58, '8. Demand data categorization'!A:M,13,FALSE))))</f>
        <v>1950-1952</v>
      </c>
      <c r="C58" s="84" t="str">
        <f>VLOOKUP(A58,'12. eWRIMS_Export'!A:K,7,FALSE)</f>
        <v>JACKSON FAMILY INVESTMENTS III, LLC</v>
      </c>
      <c r="D58">
        <f>VLOOKUP(A58,'8. Demand data categorization'!A:AJ,30,FALSE)</f>
        <v>0</v>
      </c>
      <c r="E58">
        <f>VLOOKUP(A58,'8. Demand data categorization'!A:AJ,31,FALSE)</f>
        <v>0</v>
      </c>
      <c r="F58">
        <f>VLOOKUP(A58,'8. Demand data categorization'!A:AJ,32,FALSE)</f>
        <v>0</v>
      </c>
      <c r="G58" s="84">
        <f>VLOOKUP(A58,'8. Demand data categorization'!A:AJ,33,FALSE)</f>
        <v>0</v>
      </c>
      <c r="H58" s="80">
        <f>IF(ISERROR(VLOOKUP($A58,'8. Demand data categorization'!$A:$AV,30,FALSE)),0,(VLOOKUP($A58,'8. Demand data categorization'!$A:$AV,30,FALSE))*(1-VLOOKUP($B58,'2. Forbearance thresholds'!$A$16:$F$25,3,FALSE)))</f>
        <v>0</v>
      </c>
      <c r="I58" s="80">
        <f>IF(ISERROR(VLOOKUP($A58,'8. Demand data categorization'!$A:$AV,31,FALSE)),0,(VLOOKUP($A58,'8. Demand data categorization'!$A:$AV,31,FALSE))*(1-VLOOKUP($B58,'2. Forbearance thresholds'!$A$16:$F$25,4,FALSE)))</f>
        <v>0</v>
      </c>
      <c r="J58" s="80">
        <f>IF(ISERROR(VLOOKUP($A58,'8. Demand data categorization'!$A:$AV,32,FALSE)),0,(VLOOKUP($A58,'8. Demand data categorization'!$A:$AV,32,FALSE))*(1-VLOOKUP($B58,'2. Forbearance thresholds'!$A$16:$F$25,5,FALSE)))</f>
        <v>0</v>
      </c>
      <c r="K58" s="89">
        <f>IF(ISERROR(VLOOKUP($A58,'8. Demand data categorization'!$A:$AV,33,FALSE)),0,(VLOOKUP($A58,'8. Demand data categorization'!$A:$AV,33,FALSE))*(1-VLOOKUP($B58,'2. Forbearance thresholds'!$A$16:$F$25,6,FALSE)))</f>
        <v>0</v>
      </c>
      <c r="L58" s="1" t="str">
        <f>IF(ISERROR(VLOOKUP(A58,'11. TransferExport'!A:A,1,FALSE)),"N","Y")</f>
        <v>N</v>
      </c>
      <c r="M58" s="1" t="str">
        <f>IF(ISERROR(VLOOKUP(A58,'11. TransferExport'!B:B,1,FALSE)),"N","Y")</f>
        <v>N</v>
      </c>
      <c r="N58">
        <f>IF(L58="Y",-SUMIF('11. TransferExport'!A:A,A58,'11. TransferExport'!D:D),IF(M58="Y",SUMIF('11. TransferExport'!B:B,A58,'11. TransferExport'!D:D),0))</f>
        <v>0</v>
      </c>
      <c r="O58">
        <f>IF(L58="Y",-SUMIF('11. TransferExport'!A:A,A58,'11. TransferExport'!E:E),IF(M58="Y",SUMIF('11. TransferExport'!B:B,A58,'11. TransferExport'!E:E),0))</f>
        <v>0</v>
      </c>
      <c r="P58">
        <f>IF(L58="Y",-SUMIF('11. TransferExport'!A:A,A58,'11. TransferExport'!F:F),IF(M58="Y",SUMIF('11. TransferExport'!B:B,A58,'11. TransferExport'!F:F),0))</f>
        <v>0</v>
      </c>
      <c r="Q58">
        <f>IF(L58="Y",-SUMIF('11. TransferExport'!A:A,A58,'11. TransferExport'!G:G),IF(M58="Y",SUMIF('11. TransferExport'!B:B,A58,'11. TransferExport'!G:G),0))</f>
        <v>0</v>
      </c>
      <c r="R58" s="91">
        <f t="shared" si="7"/>
        <v>0</v>
      </c>
      <c r="S58">
        <f>IF(L58="Y",-SUMIF('11. TransferExport'!$A:$A,$A58,'11. TransferExport'!L:L),IF(M58="Y",SUMIF('11. TransferExport'!$B:$B,$A58,'11. TransferExport'!L:L),0))</f>
        <v>0</v>
      </c>
      <c r="T58">
        <f>IF($L58="Y",-SUMIF('11. TransferExport'!$A:$A,$A58,'11. TransferExport'!M:M),IF($M58="Y",SUMIF('11. TransferExport'!$B:$B,$A58,'11. TransferExport'!M:M),0))</f>
        <v>0</v>
      </c>
      <c r="U58">
        <f>IF($L58="Y",-SUMIF('11. TransferExport'!$A:$A,$A58,'11. TransferExport'!N:N),IF($M58="Y",SUMIF('11. TransferExport'!$B:$B,$A58,'11. TransferExport'!N:N),0))</f>
        <v>0</v>
      </c>
      <c r="V58">
        <f>IF($L58="Y",-SUMIF('11. TransferExport'!$A:$A,$A58,'11. TransferExport'!O:O),IF($M58="Y",SUMIF('11. TransferExport'!$B:$B,$A58,'11. TransferExport'!O:O),0))</f>
        <v>0</v>
      </c>
      <c r="W58" s="90">
        <f t="shared" si="8"/>
        <v>0</v>
      </c>
      <c r="X58" s="90">
        <f t="shared" si="9"/>
        <v>0</v>
      </c>
      <c r="Y58" s="90">
        <f t="shared" si="10"/>
        <v>0</v>
      </c>
      <c r="Z58" s="90">
        <f t="shared" si="11"/>
        <v>0</v>
      </c>
      <c r="AA58" s="91">
        <f t="shared" si="12"/>
        <v>0</v>
      </c>
      <c r="AB58" s="96">
        <f>VLOOKUP(A58,'8. Demand data categorization'!A:N,3,FALSE)</f>
        <v>12</v>
      </c>
      <c r="AC58" s="95" t="str">
        <f>VLOOKUP(A58,'8. Demand data categorization'!A:N,14,FALSE)</f>
        <v>N</v>
      </c>
      <c r="AD58" t="str">
        <f t="shared" si="13"/>
        <v>Giving</v>
      </c>
    </row>
    <row r="59" spans="1:30" x14ac:dyDescent="0.25">
      <c r="A59" s="107" t="s">
        <v>119</v>
      </c>
      <c r="B59" t="str">
        <f>IF(ISERROR(VLOOKUP(A59, '8. Demand data categorization'!A:M,13,FALSE)),"ERROR",IF((VLOOKUP(A59, '8. Demand data categorization'!A:M,13,FALSE))="-","Riparian",IF(OR(VLOOKUP(A59, '8. Demand data categorization'!A:M,13,FALSE)="1971-1990",VLOOKUP(A59, '8. Demand data categorization'!A:M,13,FALSE)="1991-Present"),"1971-Present",VLOOKUP(A59, '8. Demand data categorization'!A:M,13,FALSE))))</f>
        <v>1971-Present</v>
      </c>
      <c r="C59" s="84" t="str">
        <f>VLOOKUP(A59,'12. eWRIMS_Export'!A:K,7,FALSE)</f>
        <v>JACKSON FAMILY INVESTMENTS III, LLC</v>
      </c>
      <c r="D59">
        <f>VLOOKUP(A59,'8. Demand data categorization'!A:AJ,30,FALSE)</f>
        <v>0</v>
      </c>
      <c r="E59">
        <f>VLOOKUP(A59,'8. Demand data categorization'!A:AJ,31,FALSE)</f>
        <v>0</v>
      </c>
      <c r="F59">
        <f>VLOOKUP(A59,'8. Demand data categorization'!A:AJ,32,FALSE)</f>
        <v>0</v>
      </c>
      <c r="G59" s="84">
        <f>VLOOKUP(A59,'8. Demand data categorization'!A:AJ,33,FALSE)</f>
        <v>0</v>
      </c>
      <c r="H59" s="80">
        <f>IF(ISERROR(VLOOKUP($A59,'8. Demand data categorization'!$A:$AV,30,FALSE)),0,(VLOOKUP($A59,'8. Demand data categorization'!$A:$AV,30,FALSE))*(1-VLOOKUP($B59,'2. Forbearance thresholds'!$A$16:$F$25,3,FALSE)))</f>
        <v>0</v>
      </c>
      <c r="I59" s="80">
        <f>IF(ISERROR(VLOOKUP($A59,'8. Demand data categorization'!$A:$AV,31,FALSE)),0,(VLOOKUP($A59,'8. Demand data categorization'!$A:$AV,31,FALSE))*(1-VLOOKUP($B59,'2. Forbearance thresholds'!$A$16:$F$25,4,FALSE)))</f>
        <v>0</v>
      </c>
      <c r="J59" s="80">
        <f>IF(ISERROR(VLOOKUP($A59,'8. Demand data categorization'!$A:$AV,32,FALSE)),0,(VLOOKUP($A59,'8. Demand data categorization'!$A:$AV,32,FALSE))*(1-VLOOKUP($B59,'2. Forbearance thresholds'!$A$16:$F$25,5,FALSE)))</f>
        <v>0</v>
      </c>
      <c r="K59" s="89">
        <f>IF(ISERROR(VLOOKUP($A59,'8. Demand data categorization'!$A:$AV,33,FALSE)),0,(VLOOKUP($A59,'8. Demand data categorization'!$A:$AV,33,FALSE))*(1-VLOOKUP($B59,'2. Forbearance thresholds'!$A$16:$F$25,6,FALSE)))</f>
        <v>0</v>
      </c>
      <c r="L59" s="1" t="str">
        <f>IF(ISERROR(VLOOKUP(A59,'11. TransferExport'!A:A,1,FALSE)),"N","Y")</f>
        <v>N</v>
      </c>
      <c r="M59" s="1" t="str">
        <f>IF(ISERROR(VLOOKUP(A59,'11. TransferExport'!B:B,1,FALSE)),"N","Y")</f>
        <v>N</v>
      </c>
      <c r="N59">
        <f>IF(L59="Y",-SUMIF('11. TransferExport'!A:A,A59,'11. TransferExport'!D:D),IF(M59="Y",SUMIF('11. TransferExport'!B:B,A59,'11. TransferExport'!D:D),0))</f>
        <v>0</v>
      </c>
      <c r="O59">
        <f>IF(L59="Y",-SUMIF('11. TransferExport'!A:A,A59,'11. TransferExport'!E:E),IF(M59="Y",SUMIF('11. TransferExport'!B:B,A59,'11. TransferExport'!E:E),0))</f>
        <v>0</v>
      </c>
      <c r="P59">
        <f>IF(L59="Y",-SUMIF('11. TransferExport'!A:A,A59,'11. TransferExport'!F:F),IF(M59="Y",SUMIF('11. TransferExport'!B:B,A59,'11. TransferExport'!F:F),0))</f>
        <v>0</v>
      </c>
      <c r="Q59">
        <f>IF(L59="Y",-SUMIF('11. TransferExport'!A:A,A59,'11. TransferExport'!G:G),IF(M59="Y",SUMIF('11. TransferExport'!B:B,A59,'11. TransferExport'!G:G),0))</f>
        <v>0</v>
      </c>
      <c r="R59" s="91">
        <f t="shared" si="7"/>
        <v>0</v>
      </c>
      <c r="S59">
        <f>IF(L59="Y",-SUMIF('11. TransferExport'!$A:$A,$A59,'11. TransferExport'!L:L),IF(M59="Y",SUMIF('11. TransferExport'!$B:$B,$A59,'11. TransferExport'!L:L),0))</f>
        <v>0</v>
      </c>
      <c r="T59">
        <f>IF($L59="Y",-SUMIF('11. TransferExport'!$A:$A,$A59,'11. TransferExport'!M:M),IF($M59="Y",SUMIF('11. TransferExport'!$B:$B,$A59,'11. TransferExport'!M:M),0))</f>
        <v>0</v>
      </c>
      <c r="U59">
        <f>IF($L59="Y",-SUMIF('11. TransferExport'!$A:$A,$A59,'11. TransferExport'!N:N),IF($M59="Y",SUMIF('11. TransferExport'!$B:$B,$A59,'11. TransferExport'!N:N),0))</f>
        <v>0</v>
      </c>
      <c r="V59">
        <f>IF($L59="Y",-SUMIF('11. TransferExport'!$A:$A,$A59,'11. TransferExport'!O:O),IF($M59="Y",SUMIF('11. TransferExport'!$B:$B,$A59,'11. TransferExport'!O:O),0))</f>
        <v>0</v>
      </c>
      <c r="W59" s="90">
        <f t="shared" si="8"/>
        <v>0</v>
      </c>
      <c r="X59" s="90">
        <f t="shared" si="9"/>
        <v>0</v>
      </c>
      <c r="Y59" s="90">
        <f t="shared" si="10"/>
        <v>0</v>
      </c>
      <c r="Z59" s="90">
        <f t="shared" si="11"/>
        <v>0</v>
      </c>
      <c r="AA59" s="91">
        <f t="shared" si="12"/>
        <v>0</v>
      </c>
      <c r="AB59" s="96">
        <f>VLOOKUP(A59,'8. Demand data categorization'!A:N,3,FALSE)</f>
        <v>12</v>
      </c>
      <c r="AC59" s="95" t="str">
        <f>VLOOKUP(A59,'8. Demand data categorization'!A:N,14,FALSE)</f>
        <v>N</v>
      </c>
      <c r="AD59" t="str">
        <f t="shared" si="13"/>
        <v>Giving</v>
      </c>
    </row>
    <row r="60" spans="1:30" x14ac:dyDescent="0.25">
      <c r="A60" s="107" t="s">
        <v>121</v>
      </c>
      <c r="B60" t="str">
        <f>IF(ISERROR(VLOOKUP(A60, '8. Demand data categorization'!A:M,13,FALSE)),"ERROR",IF((VLOOKUP(A60, '8. Demand data categorization'!A:M,13,FALSE))="-","Riparian",IF(OR(VLOOKUP(A60, '8. Demand data categorization'!A:M,13,FALSE)="1971-1990",VLOOKUP(A60, '8. Demand data categorization'!A:M,13,FALSE)="1991-Present"),"1971-Present",VLOOKUP(A60, '8. Demand data categorization'!A:M,13,FALSE))))</f>
        <v>Pre-1949 + 1949</v>
      </c>
      <c r="C60" s="84" t="str">
        <f>VLOOKUP(A60,'12. eWRIMS_Export'!A:K,7,FALSE)</f>
        <v>JAMES D MILOVINA</v>
      </c>
      <c r="D60">
        <f>VLOOKUP(A60,'8. Demand data categorization'!A:AJ,30,FALSE)</f>
        <v>4.01</v>
      </c>
      <c r="E60">
        <f>VLOOKUP(A60,'8. Demand data categorization'!A:AJ,31,FALSE)</f>
        <v>3.15</v>
      </c>
      <c r="F60">
        <f>VLOOKUP(A60,'8. Demand data categorization'!A:AJ,32,FALSE)</f>
        <v>0</v>
      </c>
      <c r="G60" s="84">
        <f>VLOOKUP(A60,'8. Demand data categorization'!A:AJ,33,FALSE)</f>
        <v>0</v>
      </c>
      <c r="H60" s="80">
        <f>IF(ISERROR(VLOOKUP($A60,'8. Demand data categorization'!$A:$AV,30,FALSE)),0,(VLOOKUP($A60,'8. Demand data categorization'!$A:$AV,30,FALSE))*(1-VLOOKUP($B60,'2. Forbearance thresholds'!$A$16:$F$25,3,FALSE)))</f>
        <v>4.01</v>
      </c>
      <c r="I60" s="80">
        <f>IF(ISERROR(VLOOKUP($A60,'8. Demand data categorization'!$A:$AV,31,FALSE)),0,(VLOOKUP($A60,'8. Demand data categorization'!$A:$AV,31,FALSE))*(1-VLOOKUP($B60,'2. Forbearance thresholds'!$A$16:$F$25,4,FALSE)))</f>
        <v>9.0046811899810966E-2</v>
      </c>
      <c r="J60" s="80">
        <f>IF(ISERROR(VLOOKUP($A60,'8. Demand data categorization'!$A:$AV,32,FALSE)),0,(VLOOKUP($A60,'8. Demand data categorization'!$A:$AV,32,FALSE))*(1-VLOOKUP($B60,'2. Forbearance thresholds'!$A$16:$F$25,5,FALSE)))</f>
        <v>0</v>
      </c>
      <c r="K60" s="89">
        <f>IF(ISERROR(VLOOKUP($A60,'8. Demand data categorization'!$A:$AV,33,FALSE)),0,(VLOOKUP($A60,'8. Demand data categorization'!$A:$AV,33,FALSE))*(1-VLOOKUP($B60,'2. Forbearance thresholds'!$A$16:$F$25,6,FALSE)))</f>
        <v>0</v>
      </c>
      <c r="L60" s="1" t="str">
        <f>IF(ISERROR(VLOOKUP(A60,'11. TransferExport'!A:A,1,FALSE)),"N","Y")</f>
        <v>Y</v>
      </c>
      <c r="M60" s="1" t="str">
        <f>IF(ISERROR(VLOOKUP(A60,'11. TransferExport'!B:B,1,FALSE)),"N","Y")</f>
        <v>N</v>
      </c>
      <c r="N60">
        <f>IF(L60="Y",-SUMIF('11. TransferExport'!A:A,A60,'11. TransferExport'!D:D),IF(M60="Y",SUMIF('11. TransferExport'!B:B,A60,'11. TransferExport'!D:D),0))</f>
        <v>-4.01</v>
      </c>
      <c r="O60">
        <f>IF(L60="Y",-SUMIF('11. TransferExport'!A:A,A60,'11. TransferExport'!E:E),IF(M60="Y",SUMIF('11. TransferExport'!B:B,A60,'11. TransferExport'!E:E),0))</f>
        <v>-3.15</v>
      </c>
      <c r="P60">
        <f>IF(L60="Y",-SUMIF('11. TransferExport'!A:A,A60,'11. TransferExport'!F:F),IF(M60="Y",SUMIF('11. TransferExport'!B:B,A60,'11. TransferExport'!F:F),0))</f>
        <v>0</v>
      </c>
      <c r="Q60">
        <f>IF(L60="Y",-SUMIF('11. TransferExport'!A:A,A60,'11. TransferExport'!G:G),IF(M60="Y",SUMIF('11. TransferExport'!B:B,A60,'11. TransferExport'!G:G),0))</f>
        <v>0</v>
      </c>
      <c r="R60" s="91">
        <f t="shared" si="7"/>
        <v>-3.0599531881001898</v>
      </c>
      <c r="S60">
        <f>IF(L60="Y",-SUMIF('11. TransferExport'!$A:$A,$A60,'11. TransferExport'!L:L),IF(M60="Y",SUMIF('11. TransferExport'!$B:$B,$A60,'11. TransferExport'!L:L),0))</f>
        <v>-4.01</v>
      </c>
      <c r="T60">
        <f>IF($L60="Y",-SUMIF('11. TransferExport'!$A:$A,$A60,'11. TransferExport'!M:M),IF($M60="Y",SUMIF('11. TransferExport'!$B:$B,$A60,'11. TransferExport'!M:M),0))</f>
        <v>-9.0046811899810966E-2</v>
      </c>
      <c r="U60">
        <f>IF($L60="Y",-SUMIF('11. TransferExport'!$A:$A,$A60,'11. TransferExport'!N:N),IF($M60="Y",SUMIF('11. TransferExport'!$B:$B,$A60,'11. TransferExport'!N:N),0))</f>
        <v>0</v>
      </c>
      <c r="V60">
        <f>IF($L60="Y",-SUMIF('11. TransferExport'!$A:$A,$A60,'11. TransferExport'!O:O),IF($M60="Y",SUMIF('11. TransferExport'!$B:$B,$A60,'11. TransferExport'!O:O),0))</f>
        <v>0</v>
      </c>
      <c r="W60" s="90">
        <f t="shared" si="8"/>
        <v>-4.0245584642661925E-16</v>
      </c>
      <c r="X60" s="90">
        <f t="shared" si="9"/>
        <v>0</v>
      </c>
      <c r="Y60" s="90">
        <f t="shared" si="10"/>
        <v>0</v>
      </c>
      <c r="Z60" s="90">
        <f t="shared" si="11"/>
        <v>0</v>
      </c>
      <c r="AA60" s="91">
        <f t="shared" si="12"/>
        <v>0</v>
      </c>
      <c r="AB60" s="96">
        <f>VLOOKUP(A60,'8. Demand data categorization'!A:N,3,FALSE)</f>
        <v>5</v>
      </c>
      <c r="AC60" s="95" t="str">
        <f>VLOOKUP(A60,'8. Demand data categorization'!A:N,14,FALSE)</f>
        <v>Y</v>
      </c>
      <c r="AD60" t="str">
        <f t="shared" si="13"/>
        <v>No Change</v>
      </c>
    </row>
    <row r="61" spans="1:30" x14ac:dyDescent="0.25">
      <c r="A61" s="107" t="s">
        <v>61</v>
      </c>
      <c r="B61" t="str">
        <f>IF(ISERROR(VLOOKUP(A61, '8. Demand data categorization'!A:M,13,FALSE)),"ERROR",IF((VLOOKUP(A61, '8. Demand data categorization'!A:M,13,FALSE))="-","Riparian",IF(OR(VLOOKUP(A61, '8. Demand data categorization'!A:M,13,FALSE)="1971-1990",VLOOKUP(A61, '8. Demand data categorization'!A:M,13,FALSE)="1991-Present"),"1971-Present",VLOOKUP(A61, '8. Demand data categorization'!A:M,13,FALSE))))</f>
        <v>Pre-1949 + 1949</v>
      </c>
      <c r="C61" s="84" t="str">
        <f>VLOOKUP(A61,'12. eWRIMS_Export'!A:K,7,FALSE)</f>
        <v>JEFFERY S HOROWITZ</v>
      </c>
      <c r="D61">
        <f>VLOOKUP(A61,'8. Demand data categorization'!A:AJ,30,FALSE)</f>
        <v>1.2</v>
      </c>
      <c r="E61">
        <f>VLOOKUP(A61,'8. Demand data categorization'!A:AJ,31,FALSE)</f>
        <v>1.4</v>
      </c>
      <c r="F61">
        <f>VLOOKUP(A61,'8. Demand data categorization'!A:AJ,32,FALSE)</f>
        <v>1.1000000000000001</v>
      </c>
      <c r="G61" s="84">
        <f>VLOOKUP(A61,'8. Demand data categorization'!A:AJ,33,FALSE)</f>
        <v>0.6</v>
      </c>
      <c r="H61" s="80">
        <f>IF(ISERROR(VLOOKUP($A61,'8. Demand data categorization'!$A:$AV,30,FALSE)),0,(VLOOKUP($A61,'8. Demand data categorization'!$A:$AV,30,FALSE))*(1-VLOOKUP($B61,'2. Forbearance thresholds'!$A$16:$F$25,3,FALSE)))</f>
        <v>1.2</v>
      </c>
      <c r="I61" s="80">
        <f>IF(ISERROR(VLOOKUP($A61,'8. Demand data categorization'!$A:$AV,31,FALSE)),0,(VLOOKUP($A61,'8. Demand data categorization'!$A:$AV,31,FALSE))*(1-VLOOKUP($B61,'2. Forbearance thresholds'!$A$16:$F$25,4,FALSE)))</f>
        <v>4.0020805288804868E-2</v>
      </c>
      <c r="J61" s="80">
        <f>IF(ISERROR(VLOOKUP($A61,'8. Demand data categorization'!$A:$AV,32,FALSE)),0,(VLOOKUP($A61,'8. Demand data categorization'!$A:$AV,32,FALSE))*(1-VLOOKUP($B61,'2. Forbearance thresholds'!$A$16:$F$25,5,FALSE)))</f>
        <v>0</v>
      </c>
      <c r="K61" s="89">
        <f>IF(ISERROR(VLOOKUP($A61,'8. Demand data categorization'!$A:$AV,33,FALSE)),0,(VLOOKUP($A61,'8. Demand data categorization'!$A:$AV,33,FALSE))*(1-VLOOKUP($B61,'2. Forbearance thresholds'!$A$16:$F$25,6,FALSE)))</f>
        <v>0</v>
      </c>
      <c r="L61" s="1" t="str">
        <f>IF(ISERROR(VLOOKUP(A61,'11. TransferExport'!A:A,1,FALSE)),"N","Y")</f>
        <v>N</v>
      </c>
      <c r="M61" s="1" t="str">
        <f>IF(ISERROR(VLOOKUP(A61,'11. TransferExport'!B:B,1,FALSE)),"N","Y")</f>
        <v>N</v>
      </c>
      <c r="N61">
        <f>IF(L61="Y",-SUMIF('11. TransferExport'!A:A,A61,'11. TransferExport'!D:D),IF(M61="Y",SUMIF('11. TransferExport'!B:B,A61,'11. TransferExport'!D:D),0))</f>
        <v>0</v>
      </c>
      <c r="O61">
        <f>IF(L61="Y",-SUMIF('11. TransferExport'!A:A,A61,'11. TransferExport'!E:E),IF(M61="Y",SUMIF('11. TransferExport'!B:B,A61,'11. TransferExport'!E:E),0))</f>
        <v>0</v>
      </c>
      <c r="P61">
        <f>IF(L61="Y",-SUMIF('11. TransferExport'!A:A,A61,'11. TransferExport'!F:F),IF(M61="Y",SUMIF('11. TransferExport'!B:B,A61,'11. TransferExport'!F:F),0))</f>
        <v>0</v>
      </c>
      <c r="Q61">
        <f>IF(L61="Y",-SUMIF('11. TransferExport'!A:A,A61,'11. TransferExport'!G:G),IF(M61="Y",SUMIF('11. TransferExport'!B:B,A61,'11. TransferExport'!G:G),0))</f>
        <v>0</v>
      </c>
      <c r="R61" s="91">
        <f t="shared" si="7"/>
        <v>1.2400208052888049</v>
      </c>
      <c r="S61">
        <f>IF(L61="Y",-SUMIF('11. TransferExport'!$A:$A,$A61,'11. TransferExport'!L:L),IF(M61="Y",SUMIF('11. TransferExport'!$B:$B,$A61,'11. TransferExport'!L:L),0))</f>
        <v>0</v>
      </c>
      <c r="T61">
        <f>IF($L61="Y",-SUMIF('11. TransferExport'!$A:$A,$A61,'11. TransferExport'!M:M),IF($M61="Y",SUMIF('11. TransferExport'!$B:$B,$A61,'11. TransferExport'!M:M),0))</f>
        <v>0</v>
      </c>
      <c r="U61">
        <f>IF($L61="Y",-SUMIF('11. TransferExport'!$A:$A,$A61,'11. TransferExport'!N:N),IF($M61="Y",SUMIF('11. TransferExport'!$B:$B,$A61,'11. TransferExport'!N:N),0))</f>
        <v>0</v>
      </c>
      <c r="V61">
        <f>IF($L61="Y",-SUMIF('11. TransferExport'!$A:$A,$A61,'11. TransferExport'!O:O),IF($M61="Y",SUMIF('11. TransferExport'!$B:$B,$A61,'11. TransferExport'!O:O),0))</f>
        <v>0</v>
      </c>
      <c r="W61" s="90">
        <f t="shared" si="8"/>
        <v>1.2400208052888049</v>
      </c>
      <c r="X61" s="90">
        <f t="shared" si="9"/>
        <v>1.2</v>
      </c>
      <c r="Y61" s="90">
        <f t="shared" si="10"/>
        <v>4.0020805288804868E-2</v>
      </c>
      <c r="Z61" s="90">
        <f t="shared" si="11"/>
        <v>0</v>
      </c>
      <c r="AA61" s="91">
        <f t="shared" si="12"/>
        <v>0</v>
      </c>
      <c r="AB61" s="96">
        <f>VLOOKUP(A61,'8. Demand data categorization'!A:N,3,FALSE)</f>
        <v>12</v>
      </c>
      <c r="AC61" s="95" t="str">
        <f>VLOOKUP(A61,'8. Demand data categorization'!A:N,14,FALSE)</f>
        <v>Y</v>
      </c>
      <c r="AD61" t="str">
        <f t="shared" si="13"/>
        <v>No Change</v>
      </c>
    </row>
    <row r="62" spans="1:30" x14ac:dyDescent="0.25">
      <c r="A62" s="107" t="s">
        <v>66</v>
      </c>
      <c r="B62" t="str">
        <f>IF(ISERROR(VLOOKUP(A62, '8. Demand data categorization'!A:M,13,FALSE)),"ERROR",IF((VLOOKUP(A62, '8. Demand data categorization'!A:M,13,FALSE))="-","Riparian",IF(OR(VLOOKUP(A62, '8. Demand data categorization'!A:M,13,FALSE)="1971-1990",VLOOKUP(A62, '8. Demand data categorization'!A:M,13,FALSE)="1991-Present"),"1971-Present",VLOOKUP(A62, '8. Demand data categorization'!A:M,13,FALSE))))</f>
        <v>Pre-1949 + 1949</v>
      </c>
      <c r="C62" s="84" t="str">
        <f>VLOOKUP(A62,'12. eWRIMS_Export'!A:K,7,FALSE)</f>
        <v>JEFFERY S HOROWITZ</v>
      </c>
      <c r="D62">
        <f>VLOOKUP(A62,'8. Demand data categorization'!A:AJ,30,FALSE)</f>
        <v>5.0599999999999996</v>
      </c>
      <c r="E62">
        <f>VLOOKUP(A62,'8. Demand data categorization'!A:AJ,31,FALSE)</f>
        <v>6</v>
      </c>
      <c r="F62">
        <f>VLOOKUP(A62,'8. Demand data categorization'!A:AJ,32,FALSE)</f>
        <v>4.63</v>
      </c>
      <c r="G62" s="84">
        <f>VLOOKUP(A62,'8. Demand data categorization'!A:AJ,33,FALSE)</f>
        <v>2.46</v>
      </c>
      <c r="H62" s="80">
        <f>IF(ISERROR(VLOOKUP($A62,'8. Demand data categorization'!$A:$AV,30,FALSE)),0,(VLOOKUP($A62,'8. Demand data categorization'!$A:$AV,30,FALSE))*(1-VLOOKUP($B62,'2. Forbearance thresholds'!$A$16:$F$25,3,FALSE)))</f>
        <v>5.0599999999999996</v>
      </c>
      <c r="I62" s="80">
        <f>IF(ISERROR(VLOOKUP($A62,'8. Demand data categorization'!$A:$AV,31,FALSE)),0,(VLOOKUP($A62,'8. Demand data categorization'!$A:$AV,31,FALSE))*(1-VLOOKUP($B62,'2. Forbearance thresholds'!$A$16:$F$25,4,FALSE)))</f>
        <v>0.17151773695202088</v>
      </c>
      <c r="J62" s="80">
        <f>IF(ISERROR(VLOOKUP($A62,'8. Demand data categorization'!$A:$AV,32,FALSE)),0,(VLOOKUP($A62,'8. Demand data categorization'!$A:$AV,32,FALSE))*(1-VLOOKUP($B62,'2. Forbearance thresholds'!$A$16:$F$25,5,FALSE)))</f>
        <v>0</v>
      </c>
      <c r="K62" s="89">
        <f>IF(ISERROR(VLOOKUP($A62,'8. Demand data categorization'!$A:$AV,33,FALSE)),0,(VLOOKUP($A62,'8. Demand data categorization'!$A:$AV,33,FALSE))*(1-VLOOKUP($B62,'2. Forbearance thresholds'!$A$16:$F$25,6,FALSE)))</f>
        <v>0</v>
      </c>
      <c r="L62" s="1" t="str">
        <f>IF(ISERROR(VLOOKUP(A62,'11. TransferExport'!A:A,1,FALSE)),"N","Y")</f>
        <v>N</v>
      </c>
      <c r="M62" s="1" t="str">
        <f>IF(ISERROR(VLOOKUP(A62,'11. TransferExport'!B:B,1,FALSE)),"N","Y")</f>
        <v>N</v>
      </c>
      <c r="N62">
        <f>IF(L62="Y",-SUMIF('11. TransferExport'!A:A,A62,'11. TransferExport'!D:D),IF(M62="Y",SUMIF('11. TransferExport'!B:B,A62,'11. TransferExport'!D:D),0))</f>
        <v>0</v>
      </c>
      <c r="O62">
        <f>IF(L62="Y",-SUMIF('11. TransferExport'!A:A,A62,'11. TransferExport'!E:E),IF(M62="Y",SUMIF('11. TransferExport'!B:B,A62,'11. TransferExport'!E:E),0))</f>
        <v>0</v>
      </c>
      <c r="P62">
        <f>IF(L62="Y",-SUMIF('11. TransferExport'!A:A,A62,'11. TransferExport'!F:F),IF(M62="Y",SUMIF('11. TransferExport'!B:B,A62,'11. TransferExport'!F:F),0))</f>
        <v>0</v>
      </c>
      <c r="Q62">
        <f>IF(L62="Y",-SUMIF('11. TransferExport'!A:A,A62,'11. TransferExport'!G:G),IF(M62="Y",SUMIF('11. TransferExport'!B:B,A62,'11. TransferExport'!G:G),0))</f>
        <v>0</v>
      </c>
      <c r="R62" s="91">
        <f t="shared" si="7"/>
        <v>5.2315177369520205</v>
      </c>
      <c r="S62">
        <f>IF(L62="Y",-SUMIF('11. TransferExport'!$A:$A,$A62,'11. TransferExport'!L:L),IF(M62="Y",SUMIF('11. TransferExport'!$B:$B,$A62,'11. TransferExport'!L:L),0))</f>
        <v>0</v>
      </c>
      <c r="T62">
        <f>IF($L62="Y",-SUMIF('11. TransferExport'!$A:$A,$A62,'11. TransferExport'!M:M),IF($M62="Y",SUMIF('11. TransferExport'!$B:$B,$A62,'11. TransferExport'!M:M),0))</f>
        <v>0</v>
      </c>
      <c r="U62">
        <f>IF($L62="Y",-SUMIF('11. TransferExport'!$A:$A,$A62,'11. TransferExport'!N:N),IF($M62="Y",SUMIF('11. TransferExport'!$B:$B,$A62,'11. TransferExport'!N:N),0))</f>
        <v>0</v>
      </c>
      <c r="V62">
        <f>IF($L62="Y",-SUMIF('11. TransferExport'!$A:$A,$A62,'11. TransferExport'!O:O),IF($M62="Y",SUMIF('11. TransferExport'!$B:$B,$A62,'11. TransferExport'!O:O),0))</f>
        <v>0</v>
      </c>
      <c r="W62" s="90">
        <f t="shared" si="8"/>
        <v>5.2315177369520205</v>
      </c>
      <c r="X62" s="90">
        <f t="shared" si="9"/>
        <v>5.0599999999999996</v>
      </c>
      <c r="Y62" s="90">
        <f t="shared" si="10"/>
        <v>0.17151773695202088</v>
      </c>
      <c r="Z62" s="90">
        <f t="shared" si="11"/>
        <v>0</v>
      </c>
      <c r="AA62" s="91">
        <f t="shared" si="12"/>
        <v>0</v>
      </c>
      <c r="AB62" s="96">
        <f>VLOOKUP(A62,'8. Demand data categorization'!A:N,3,FALSE)</f>
        <v>12</v>
      </c>
      <c r="AC62" s="95" t="str">
        <f>VLOOKUP(A62,'8. Demand data categorization'!A:N,14,FALSE)</f>
        <v>Y</v>
      </c>
      <c r="AD62" t="str">
        <f t="shared" si="13"/>
        <v>No Change</v>
      </c>
    </row>
    <row r="63" spans="1:30" x14ac:dyDescent="0.25">
      <c r="A63" s="107" t="s">
        <v>67</v>
      </c>
      <c r="B63" t="str">
        <f>IF(ISERROR(VLOOKUP(A63, '8. Demand data categorization'!A:M,13,FALSE)),"ERROR",IF((VLOOKUP(A63, '8. Demand data categorization'!A:M,13,FALSE))="-","Riparian",IF(OR(VLOOKUP(A63, '8. Demand data categorization'!A:M,13,FALSE)="1971-1990",VLOOKUP(A63, '8. Demand data categorization'!A:M,13,FALSE)="1991-Present"),"1971-Present",VLOOKUP(A63, '8. Demand data categorization'!A:M,13,FALSE))))</f>
        <v>1971-Present</v>
      </c>
      <c r="C63" s="84" t="str">
        <f>VLOOKUP(A63,'12. eWRIMS_Export'!A:K,7,FALSE)</f>
        <v>JEFFERY S HOROWITZ</v>
      </c>
      <c r="D63">
        <f>VLOOKUP(A63,'8. Demand data categorization'!A:AJ,30,FALSE)</f>
        <v>3.03</v>
      </c>
      <c r="E63">
        <f>VLOOKUP(A63,'8. Demand data categorization'!A:AJ,31,FALSE)</f>
        <v>3.56</v>
      </c>
      <c r="F63">
        <f>VLOOKUP(A63,'8. Demand data categorization'!A:AJ,32,FALSE)</f>
        <v>2.73</v>
      </c>
      <c r="G63" s="84">
        <f>VLOOKUP(A63,'8. Demand data categorization'!A:AJ,33,FALSE)</f>
        <v>1.46</v>
      </c>
      <c r="H63" s="80">
        <f>IF(ISERROR(VLOOKUP($A63,'8. Demand data categorization'!$A:$AV,30,FALSE)),0,(VLOOKUP($A63,'8. Demand data categorization'!$A:$AV,30,FALSE))*(1-VLOOKUP($B63,'2. Forbearance thresholds'!$A$16:$F$25,3,FALSE)))</f>
        <v>2.7269999999999999</v>
      </c>
      <c r="I63" s="80">
        <f>IF(ISERROR(VLOOKUP($A63,'8. Demand data categorization'!$A:$AV,31,FALSE)),0,(VLOOKUP($A63,'8. Demand data categorization'!$A:$AV,31,FALSE))*(1-VLOOKUP($B63,'2. Forbearance thresholds'!$A$16:$F$25,4,FALSE)))</f>
        <v>0.10176719059153239</v>
      </c>
      <c r="J63" s="80">
        <f>IF(ISERROR(VLOOKUP($A63,'8. Demand data categorization'!$A:$AV,32,FALSE)),0,(VLOOKUP($A63,'8. Demand data categorization'!$A:$AV,32,FALSE))*(1-VLOOKUP($B63,'2. Forbearance thresholds'!$A$16:$F$25,5,FALSE)))</f>
        <v>0</v>
      </c>
      <c r="K63" s="89">
        <f>IF(ISERROR(VLOOKUP($A63,'8. Demand data categorization'!$A:$AV,33,FALSE)),0,(VLOOKUP($A63,'8. Demand data categorization'!$A:$AV,33,FALSE))*(1-VLOOKUP($B63,'2. Forbearance thresholds'!$A$16:$F$25,6,FALSE)))</f>
        <v>0</v>
      </c>
      <c r="L63" s="1" t="str">
        <f>IF(ISERROR(VLOOKUP(A63,'11. TransferExport'!A:A,1,FALSE)),"N","Y")</f>
        <v>N</v>
      </c>
      <c r="M63" s="1" t="str">
        <f>IF(ISERROR(VLOOKUP(A63,'11. TransferExport'!B:B,1,FALSE)),"N","Y")</f>
        <v>N</v>
      </c>
      <c r="N63">
        <f>IF(L63="Y",-SUMIF('11. TransferExport'!A:A,A63,'11. TransferExport'!D:D),IF(M63="Y",SUMIF('11. TransferExport'!B:B,A63,'11. TransferExport'!D:D),0))</f>
        <v>0</v>
      </c>
      <c r="O63">
        <f>IF(L63="Y",-SUMIF('11. TransferExport'!A:A,A63,'11. TransferExport'!E:E),IF(M63="Y",SUMIF('11. TransferExport'!B:B,A63,'11. TransferExport'!E:E),0))</f>
        <v>0</v>
      </c>
      <c r="P63">
        <f>IF(L63="Y",-SUMIF('11. TransferExport'!A:A,A63,'11. TransferExport'!F:F),IF(M63="Y",SUMIF('11. TransferExport'!B:B,A63,'11. TransferExport'!F:F),0))</f>
        <v>0</v>
      </c>
      <c r="Q63">
        <f>IF(L63="Y",-SUMIF('11. TransferExport'!A:A,A63,'11. TransferExport'!G:G),IF(M63="Y",SUMIF('11. TransferExport'!B:B,A63,'11. TransferExport'!G:G),0))</f>
        <v>0</v>
      </c>
      <c r="R63" s="91">
        <f t="shared" si="7"/>
        <v>2.8287671905915324</v>
      </c>
      <c r="S63">
        <f>IF(L63="Y",-SUMIF('11. TransferExport'!$A:$A,$A63,'11. TransferExport'!L:L),IF(M63="Y",SUMIF('11. TransferExport'!$B:$B,$A63,'11. TransferExport'!L:L),0))</f>
        <v>0</v>
      </c>
      <c r="T63">
        <f>IF($L63="Y",-SUMIF('11. TransferExport'!$A:$A,$A63,'11. TransferExport'!M:M),IF($M63="Y",SUMIF('11. TransferExport'!$B:$B,$A63,'11. TransferExport'!M:M),0))</f>
        <v>0</v>
      </c>
      <c r="U63">
        <f>IF($L63="Y",-SUMIF('11. TransferExport'!$A:$A,$A63,'11. TransferExport'!N:N),IF($M63="Y",SUMIF('11. TransferExport'!$B:$B,$A63,'11. TransferExport'!N:N),0))</f>
        <v>0</v>
      </c>
      <c r="V63">
        <f>IF($L63="Y",-SUMIF('11. TransferExport'!$A:$A,$A63,'11. TransferExport'!O:O),IF($M63="Y",SUMIF('11. TransferExport'!$B:$B,$A63,'11. TransferExport'!O:O),0))</f>
        <v>0</v>
      </c>
      <c r="W63" s="90">
        <f t="shared" si="8"/>
        <v>2.8287671905915324</v>
      </c>
      <c r="X63" s="90">
        <f t="shared" si="9"/>
        <v>2.7269999999999999</v>
      </c>
      <c r="Y63" s="90">
        <f t="shared" si="10"/>
        <v>0.10176719059153239</v>
      </c>
      <c r="Z63" s="90">
        <f t="shared" si="11"/>
        <v>0</v>
      </c>
      <c r="AA63" s="91">
        <f t="shared" si="12"/>
        <v>0</v>
      </c>
      <c r="AB63" s="96">
        <f>VLOOKUP(A63,'8. Demand data categorization'!A:N,3,FALSE)</f>
        <v>12</v>
      </c>
      <c r="AC63" s="95" t="str">
        <f>VLOOKUP(A63,'8. Demand data categorization'!A:N,14,FALSE)</f>
        <v>Y</v>
      </c>
      <c r="AD63" t="str">
        <f t="shared" si="13"/>
        <v>Giving</v>
      </c>
    </row>
    <row r="64" spans="1:30" x14ac:dyDescent="0.25">
      <c r="A64" s="107" t="s">
        <v>68</v>
      </c>
      <c r="B64" t="str">
        <f>IF(ISERROR(VLOOKUP(A64, '8. Demand data categorization'!A:M,13,FALSE)),"ERROR",IF((VLOOKUP(A64, '8. Demand data categorization'!A:M,13,FALSE))="-","Riparian",IF(OR(VLOOKUP(A64, '8. Demand data categorization'!A:M,13,FALSE)="1971-1990",VLOOKUP(A64, '8. Demand data categorization'!A:M,13,FALSE)="1991-Present"),"1971-Present",VLOOKUP(A64, '8. Demand data categorization'!A:M,13,FALSE))))</f>
        <v>Riparian</v>
      </c>
      <c r="C64" s="84" t="str">
        <f>VLOOKUP(A64,'12. eWRIMS_Export'!A:K,7,FALSE)</f>
        <v>JEFFERY S HOROWITZ</v>
      </c>
      <c r="D64">
        <f>VLOOKUP(A64,'8. Demand data categorization'!A:AJ,30,FALSE)</f>
        <v>14</v>
      </c>
      <c r="E64">
        <f>VLOOKUP(A64,'8. Demand data categorization'!A:AJ,31,FALSE)</f>
        <v>16.46</v>
      </c>
      <c r="F64">
        <f>VLOOKUP(A64,'8. Demand data categorization'!A:AJ,32,FALSE)</f>
        <v>12.7</v>
      </c>
      <c r="G64" s="84">
        <f>VLOOKUP(A64,'8. Demand data categorization'!A:AJ,33,FALSE)</f>
        <v>6.83</v>
      </c>
      <c r="H64" s="80">
        <f>IF(ISERROR(VLOOKUP($A64,'8. Demand data categorization'!$A:$AV,30,FALSE)),0,(VLOOKUP($A64,'8. Demand data categorization'!$A:$AV,30,FALSE))*(1-VLOOKUP($B64,'2. Forbearance thresholds'!$A$16:$F$25,3,FALSE)))</f>
        <v>10.725117739403453</v>
      </c>
      <c r="I64" s="80">
        <f>IF(ISERROR(VLOOKUP($A64,'8. Demand data categorization'!$A:$AV,31,FALSE)),0,(VLOOKUP($A64,'8. Demand data categorization'!$A:$AV,31,FALSE))*(1-VLOOKUP($B64,'2. Forbearance thresholds'!$A$16:$F$25,4,FALSE)))</f>
        <v>0.47053032503837733</v>
      </c>
      <c r="J64" s="80">
        <f>IF(ISERROR(VLOOKUP($A64,'8. Demand data categorization'!$A:$AV,32,FALSE)),0,(VLOOKUP($A64,'8. Demand data categorization'!$A:$AV,32,FALSE))*(1-VLOOKUP($B64,'2. Forbearance thresholds'!$A$16:$F$25,5,FALSE)))</f>
        <v>0</v>
      </c>
      <c r="K64" s="89">
        <f>IF(ISERROR(VLOOKUP($A64,'8. Demand data categorization'!$A:$AV,33,FALSE)),0,(VLOOKUP($A64,'8. Demand data categorization'!$A:$AV,33,FALSE))*(1-VLOOKUP($B64,'2. Forbearance thresholds'!$A$16:$F$25,6,FALSE)))</f>
        <v>0</v>
      </c>
      <c r="L64" s="1" t="str">
        <f>IF(ISERROR(VLOOKUP(A64,'11. TransferExport'!A:A,1,FALSE)),"N","Y")</f>
        <v>N</v>
      </c>
      <c r="M64" s="1" t="str">
        <f>IF(ISERROR(VLOOKUP(A64,'11. TransferExport'!B:B,1,FALSE)),"N","Y")</f>
        <v>N</v>
      </c>
      <c r="N64">
        <f>IF(L64="Y",-SUMIF('11. TransferExport'!A:A,A64,'11. TransferExport'!D:D),IF(M64="Y",SUMIF('11. TransferExport'!B:B,A64,'11. TransferExport'!D:D),0))</f>
        <v>0</v>
      </c>
      <c r="O64">
        <f>IF(L64="Y",-SUMIF('11. TransferExport'!A:A,A64,'11. TransferExport'!E:E),IF(M64="Y",SUMIF('11. TransferExport'!B:B,A64,'11. TransferExport'!E:E),0))</f>
        <v>0</v>
      </c>
      <c r="P64">
        <f>IF(L64="Y",-SUMIF('11. TransferExport'!A:A,A64,'11. TransferExport'!F:F),IF(M64="Y",SUMIF('11. TransferExport'!B:B,A64,'11. TransferExport'!F:F),0))</f>
        <v>0</v>
      </c>
      <c r="Q64">
        <f>IF(L64="Y",-SUMIF('11. TransferExport'!A:A,A64,'11. TransferExport'!G:G),IF(M64="Y",SUMIF('11. TransferExport'!B:B,A64,'11. TransferExport'!G:G),0))</f>
        <v>0</v>
      </c>
      <c r="R64" s="91">
        <f t="shared" si="7"/>
        <v>11.19564806444183</v>
      </c>
      <c r="S64">
        <f>IF(L64="Y",-SUMIF('11. TransferExport'!$A:$A,$A64,'11. TransferExport'!L:L),IF(M64="Y",SUMIF('11. TransferExport'!$B:$B,$A64,'11. TransferExport'!L:L),0))</f>
        <v>0</v>
      </c>
      <c r="T64">
        <f>IF($L64="Y",-SUMIF('11. TransferExport'!$A:$A,$A64,'11. TransferExport'!M:M),IF($M64="Y",SUMIF('11. TransferExport'!$B:$B,$A64,'11. TransferExport'!M:M),0))</f>
        <v>0</v>
      </c>
      <c r="U64">
        <f>IF($L64="Y",-SUMIF('11. TransferExport'!$A:$A,$A64,'11. TransferExport'!N:N),IF($M64="Y",SUMIF('11. TransferExport'!$B:$B,$A64,'11. TransferExport'!N:N),0))</f>
        <v>0</v>
      </c>
      <c r="V64">
        <f>IF($L64="Y",-SUMIF('11. TransferExport'!$A:$A,$A64,'11. TransferExport'!O:O),IF($M64="Y",SUMIF('11. TransferExport'!$B:$B,$A64,'11. TransferExport'!O:O),0))</f>
        <v>0</v>
      </c>
      <c r="W64" s="90">
        <f t="shared" si="8"/>
        <v>11.19564806444183</v>
      </c>
      <c r="X64" s="90">
        <f t="shared" si="9"/>
        <v>10.725117739403453</v>
      </c>
      <c r="Y64" s="90">
        <f t="shared" si="10"/>
        <v>0.47053032503837733</v>
      </c>
      <c r="Z64" s="90">
        <f t="shared" si="11"/>
        <v>0</v>
      </c>
      <c r="AA64" s="91">
        <f t="shared" si="12"/>
        <v>0</v>
      </c>
      <c r="AB64" s="96">
        <f>VLOOKUP(A64,'8. Demand data categorization'!A:N,3,FALSE)</f>
        <v>12</v>
      </c>
      <c r="AC64" s="95" t="str">
        <f>VLOOKUP(A64,'8. Demand data categorization'!A:N,14,FALSE)</f>
        <v>Y</v>
      </c>
      <c r="AD64" t="str">
        <f t="shared" si="13"/>
        <v>Taking</v>
      </c>
    </row>
    <row r="65" spans="1:30" x14ac:dyDescent="0.25">
      <c r="A65" s="107" t="s">
        <v>69</v>
      </c>
      <c r="B65" t="str">
        <f>IF(ISERROR(VLOOKUP(A65, '8. Demand data categorization'!A:M,13,FALSE)),"ERROR",IF((VLOOKUP(A65, '8. Demand data categorization'!A:M,13,FALSE))="-","Riparian",IF(OR(VLOOKUP(A65, '8. Demand data categorization'!A:M,13,FALSE)="1971-1990",VLOOKUP(A65, '8. Demand data categorization'!A:M,13,FALSE)="1991-Present"),"1971-Present",VLOOKUP(A65, '8. Demand data categorization'!A:M,13,FALSE))))</f>
        <v>Pre-1949 + 1949</v>
      </c>
      <c r="C65" s="84" t="str">
        <f>VLOOKUP(A65,'12. eWRIMS_Export'!A:K,7,FALSE)</f>
        <v>JEFFERY S HOROWITZ</v>
      </c>
      <c r="D65">
        <f>VLOOKUP(A65,'8. Demand data categorization'!A:AJ,30,FALSE)</f>
        <v>0</v>
      </c>
      <c r="E65">
        <f>VLOOKUP(A65,'8. Demand data categorization'!A:AJ,31,FALSE)</f>
        <v>0</v>
      </c>
      <c r="F65">
        <f>VLOOKUP(A65,'8. Demand data categorization'!A:AJ,32,FALSE)</f>
        <v>0</v>
      </c>
      <c r="G65" s="84">
        <f>VLOOKUP(A65,'8. Demand data categorization'!A:AJ,33,FALSE)</f>
        <v>0</v>
      </c>
      <c r="H65" s="80">
        <f>IF(ISERROR(VLOOKUP($A65,'8. Demand data categorization'!$A:$AV,30,FALSE)),0,(VLOOKUP($A65,'8. Demand data categorization'!$A:$AV,30,FALSE))*(1-VLOOKUP($B65,'2. Forbearance thresholds'!$A$16:$F$25,3,FALSE)))</f>
        <v>0</v>
      </c>
      <c r="I65" s="80">
        <f>IF(ISERROR(VLOOKUP($A65,'8. Demand data categorization'!$A:$AV,31,FALSE)),0,(VLOOKUP($A65,'8. Demand data categorization'!$A:$AV,31,FALSE))*(1-VLOOKUP($B65,'2. Forbearance thresholds'!$A$16:$F$25,4,FALSE)))</f>
        <v>0</v>
      </c>
      <c r="J65" s="80">
        <f>IF(ISERROR(VLOOKUP($A65,'8. Demand data categorization'!$A:$AV,32,FALSE)),0,(VLOOKUP($A65,'8. Demand data categorization'!$A:$AV,32,FALSE))*(1-VLOOKUP($B65,'2. Forbearance thresholds'!$A$16:$F$25,5,FALSE)))</f>
        <v>0</v>
      </c>
      <c r="K65" s="89">
        <f>IF(ISERROR(VLOOKUP($A65,'8. Demand data categorization'!$A:$AV,33,FALSE)),0,(VLOOKUP($A65,'8. Demand data categorization'!$A:$AV,33,FALSE))*(1-VLOOKUP($B65,'2. Forbearance thresholds'!$A$16:$F$25,6,FALSE)))</f>
        <v>0</v>
      </c>
      <c r="L65" s="1" t="str">
        <f>IF(ISERROR(VLOOKUP(A65,'11. TransferExport'!A:A,1,FALSE)),"N","Y")</f>
        <v>N</v>
      </c>
      <c r="M65" s="1" t="str">
        <f>IF(ISERROR(VLOOKUP(A65,'11. TransferExport'!B:B,1,FALSE)),"N","Y")</f>
        <v>N</v>
      </c>
      <c r="N65">
        <f>IF(L65="Y",-SUMIF('11. TransferExport'!A:A,A65,'11. TransferExport'!D:D),IF(M65="Y",SUMIF('11. TransferExport'!B:B,A65,'11. TransferExport'!D:D),0))</f>
        <v>0</v>
      </c>
      <c r="O65">
        <f>IF(L65="Y",-SUMIF('11. TransferExport'!A:A,A65,'11. TransferExport'!E:E),IF(M65="Y",SUMIF('11. TransferExport'!B:B,A65,'11. TransferExport'!E:E),0))</f>
        <v>0</v>
      </c>
      <c r="P65">
        <f>IF(L65="Y",-SUMIF('11. TransferExport'!A:A,A65,'11. TransferExport'!F:F),IF(M65="Y",SUMIF('11. TransferExport'!B:B,A65,'11. TransferExport'!F:F),0))</f>
        <v>0</v>
      </c>
      <c r="Q65">
        <f>IF(L65="Y",-SUMIF('11. TransferExport'!A:A,A65,'11. TransferExport'!G:G),IF(M65="Y",SUMIF('11. TransferExport'!B:B,A65,'11. TransferExport'!G:G),0))</f>
        <v>0</v>
      </c>
      <c r="R65" s="91">
        <f t="shared" ref="R65:R95" si="14">SUM(H65:K65)+SUM(N65:Q65)</f>
        <v>0</v>
      </c>
      <c r="S65">
        <f>IF(L65="Y",-SUMIF('11. TransferExport'!$A:$A,$A65,'11. TransferExport'!L:L),IF(M65="Y",SUMIF('11. TransferExport'!$B:$B,$A65,'11. TransferExport'!L:L),0))</f>
        <v>0</v>
      </c>
      <c r="T65">
        <f>IF($L65="Y",-SUMIF('11. TransferExport'!$A:$A,$A65,'11. TransferExport'!M:M),IF($M65="Y",SUMIF('11. TransferExport'!$B:$B,$A65,'11. TransferExport'!M:M),0))</f>
        <v>0</v>
      </c>
      <c r="U65">
        <f>IF($L65="Y",-SUMIF('11. TransferExport'!$A:$A,$A65,'11. TransferExport'!N:N),IF($M65="Y",SUMIF('11. TransferExport'!$B:$B,$A65,'11. TransferExport'!N:N),0))</f>
        <v>0</v>
      </c>
      <c r="V65">
        <f>IF($L65="Y",-SUMIF('11. TransferExport'!$A:$A,$A65,'11. TransferExport'!O:O),IF($M65="Y",SUMIF('11. TransferExport'!$B:$B,$A65,'11. TransferExport'!O:O),0))</f>
        <v>0</v>
      </c>
      <c r="W65" s="90">
        <f t="shared" ref="W65:W95" si="15">SUM(H65:K65,S65:V65)</f>
        <v>0</v>
      </c>
      <c r="X65" s="90">
        <f t="shared" ref="X65:X95" si="16">H65+S65</f>
        <v>0</v>
      </c>
      <c r="Y65" s="90">
        <f t="shared" ref="Y65:Y95" si="17">I65+T65</f>
        <v>0</v>
      </c>
      <c r="Z65" s="90">
        <f t="shared" ref="Z65:Z95" si="18">J65+U65</f>
        <v>0</v>
      </c>
      <c r="AA65" s="91">
        <f t="shared" ref="AA65:AA95" si="19">K65+V65</f>
        <v>0</v>
      </c>
      <c r="AB65" s="96">
        <f>VLOOKUP(A65,'8. Demand data categorization'!A:N,3,FALSE)</f>
        <v>12</v>
      </c>
      <c r="AC65" s="95" t="str">
        <f>VLOOKUP(A65,'8. Demand data categorization'!A:N,14,FALSE)</f>
        <v>Y</v>
      </c>
      <c r="AD65" t="str">
        <f t="shared" ref="AD65:AD95" si="20">IF(B65="Riparian","Taking",IF(OR(B65="1971-Present",B65="1960-1970",B65="1957-1959",B65="1955-1956",B65="1953-1954",B65="1950-1952"),"Giving","No Change"))</f>
        <v>No Change</v>
      </c>
    </row>
    <row r="66" spans="1:30" x14ac:dyDescent="0.25">
      <c r="A66" s="107" t="s">
        <v>153</v>
      </c>
      <c r="B66" t="str">
        <f>IF(ISERROR(VLOOKUP(A66, '8. Demand data categorization'!A:M,13,FALSE)),"ERROR",IF((VLOOKUP(A66, '8. Demand data categorization'!A:M,13,FALSE))="-","Riparian",IF(OR(VLOOKUP(A66, '8. Demand data categorization'!A:M,13,FALSE)="1971-1990",VLOOKUP(A66, '8. Demand data categorization'!A:M,13,FALSE)="1991-Present"),"1971-Present",VLOOKUP(A66, '8. Demand data categorization'!A:M,13,FALSE))))</f>
        <v>1960-1970</v>
      </c>
      <c r="C66" s="84" t="str">
        <f>VLOOKUP(A66,'12. eWRIMS_Export'!A:K,7,FALSE)</f>
        <v>JOHN H. THOMAS AND WENDY M. THOMAS TRUST</v>
      </c>
      <c r="D66">
        <f>VLOOKUP(A66,'8. Demand data categorization'!A:AJ,30,FALSE)</f>
        <v>28.12</v>
      </c>
      <c r="E66">
        <f>VLOOKUP(A66,'8. Demand data categorization'!A:AJ,31,FALSE)</f>
        <v>22.45</v>
      </c>
      <c r="F66">
        <f>VLOOKUP(A66,'8. Demand data categorization'!A:AJ,32,FALSE)</f>
        <v>0</v>
      </c>
      <c r="G66" s="84">
        <f>VLOOKUP(A66,'8. Demand data categorization'!A:AJ,33,FALSE)</f>
        <v>0</v>
      </c>
      <c r="H66" s="80">
        <f>IF(ISERROR(VLOOKUP($A66,'8. Demand data categorization'!$A:$AV,30,FALSE)),0,(VLOOKUP($A66,'8. Demand data categorization'!$A:$AV,30,FALSE))*(1-VLOOKUP($B66,'2. Forbearance thresholds'!$A$16:$F$25,3,FALSE)))</f>
        <v>25.308</v>
      </c>
      <c r="I66" s="80">
        <f>IF(ISERROR(VLOOKUP($A66,'8. Demand data categorization'!$A:$AV,31,FALSE)),0,(VLOOKUP($A66,'8. Demand data categorization'!$A:$AV,31,FALSE))*(1-VLOOKUP($B66,'2. Forbearance thresholds'!$A$16:$F$25,4,FALSE)))</f>
        <v>0.64176219909547816</v>
      </c>
      <c r="J66" s="80">
        <f>IF(ISERROR(VLOOKUP($A66,'8. Demand data categorization'!$A:$AV,32,FALSE)),0,(VLOOKUP($A66,'8. Demand data categorization'!$A:$AV,32,FALSE))*(1-VLOOKUP($B66,'2. Forbearance thresholds'!$A$16:$F$25,5,FALSE)))</f>
        <v>0</v>
      </c>
      <c r="K66" s="89">
        <f>IF(ISERROR(VLOOKUP($A66,'8. Demand data categorization'!$A:$AV,33,FALSE)),0,(VLOOKUP($A66,'8. Demand data categorization'!$A:$AV,33,FALSE))*(1-VLOOKUP($B66,'2. Forbearance thresholds'!$A$16:$F$25,6,FALSE)))</f>
        <v>0</v>
      </c>
      <c r="L66" s="1" t="str">
        <f>IF(ISERROR(VLOOKUP(A66,'11. TransferExport'!A:A,1,FALSE)),"N","Y")</f>
        <v>Y</v>
      </c>
      <c r="M66" s="1" t="str">
        <f>IF(ISERROR(VLOOKUP(A66,'11. TransferExport'!B:B,1,FALSE)),"N","Y")</f>
        <v>N</v>
      </c>
      <c r="N66">
        <f>IF(L66="Y",-SUMIF('11. TransferExport'!A:A,A66,'11. TransferExport'!D:D),IF(M66="Y",SUMIF('11. TransferExport'!B:B,A66,'11. TransferExport'!D:D),0))</f>
        <v>-25.308</v>
      </c>
      <c r="O66">
        <f>IF(L66="Y",-SUMIF('11. TransferExport'!A:A,A66,'11. TransferExport'!E:E),IF(M66="Y",SUMIF('11. TransferExport'!B:B,A66,'11. TransferExport'!E:E),0))</f>
        <v>-0.64176219909547783</v>
      </c>
      <c r="P66">
        <f>IF(L66="Y",-SUMIF('11. TransferExport'!A:A,A66,'11. TransferExport'!F:F),IF(M66="Y",SUMIF('11. TransferExport'!B:B,A66,'11. TransferExport'!F:F),0))</f>
        <v>0</v>
      </c>
      <c r="Q66">
        <f>IF(L66="Y",-SUMIF('11. TransferExport'!A:A,A66,'11. TransferExport'!G:G),IF(M66="Y",SUMIF('11. TransferExport'!B:B,A66,'11. TransferExport'!G:G),0))</f>
        <v>0</v>
      </c>
      <c r="R66" s="91">
        <f t="shared" si="14"/>
        <v>0</v>
      </c>
      <c r="S66">
        <f>IF(L66="Y",-SUMIF('11. TransferExport'!$A:$A,$A66,'11. TransferExport'!L:L),IF(M66="Y",SUMIF('11. TransferExport'!$B:$B,$A66,'11. TransferExport'!L:L),0))</f>
        <v>-25.308</v>
      </c>
      <c r="T66">
        <f>IF($L66="Y",-SUMIF('11. TransferExport'!$A:$A,$A66,'11. TransferExport'!M:M),IF($M66="Y",SUMIF('11. TransferExport'!$B:$B,$A66,'11. TransferExport'!M:M),0))</f>
        <v>3.7164756018090439</v>
      </c>
      <c r="U66">
        <f>IF($L66="Y",-SUMIF('11. TransferExport'!$A:$A,$A66,'11. TransferExport'!N:N),IF($M66="Y",SUMIF('11. TransferExport'!$B:$B,$A66,'11. TransferExport'!N:N),0))</f>
        <v>0</v>
      </c>
      <c r="V66">
        <f>IF($L66="Y",-SUMIF('11. TransferExport'!$A:$A,$A66,'11. TransferExport'!O:O),IF($M66="Y",SUMIF('11. TransferExport'!$B:$B,$A66,'11. TransferExport'!O:O),0))</f>
        <v>0</v>
      </c>
      <c r="W66" s="90">
        <f t="shared" si="15"/>
        <v>4.3582378009045222</v>
      </c>
      <c r="X66" s="90">
        <f t="shared" si="16"/>
        <v>0</v>
      </c>
      <c r="Y66" s="90">
        <f t="shared" si="17"/>
        <v>4.3582378009045222</v>
      </c>
      <c r="Z66" s="90">
        <f t="shared" si="18"/>
        <v>0</v>
      </c>
      <c r="AA66" s="91">
        <f t="shared" si="19"/>
        <v>0</v>
      </c>
      <c r="AB66" s="96">
        <f>VLOOKUP(A66,'8. Demand data categorization'!A:N,3,FALSE)</f>
        <v>4</v>
      </c>
      <c r="AC66" s="95" t="str">
        <f>VLOOKUP(A66,'8. Demand data categorization'!A:N,14,FALSE)</f>
        <v>Y</v>
      </c>
      <c r="AD66" t="str">
        <f t="shared" si="20"/>
        <v>Giving</v>
      </c>
    </row>
    <row r="67" spans="1:30" x14ac:dyDescent="0.25">
      <c r="A67" s="107" t="s">
        <v>71</v>
      </c>
      <c r="B67" t="str">
        <f>IF(ISERROR(VLOOKUP(A67, '8. Demand data categorization'!A:M,13,FALSE)),"ERROR",IF((VLOOKUP(A67, '8. Demand data categorization'!A:M,13,FALSE))="-","Riparian",IF(OR(VLOOKUP(A67, '8. Demand data categorization'!A:M,13,FALSE)="1971-1990",VLOOKUP(A67, '8. Demand data categorization'!A:M,13,FALSE)="1991-Present"),"1971-Present",VLOOKUP(A67, '8. Demand data categorization'!A:M,13,FALSE))))</f>
        <v>1950-1952</v>
      </c>
      <c r="C67" s="84" t="str">
        <f>VLOOKUP(A67,'12. eWRIMS_Export'!A:K,7,FALSE)</f>
        <v>JOHN HALL THOMAS</v>
      </c>
      <c r="D67">
        <f>VLOOKUP(A67,'8. Demand data categorization'!A:AJ,30,FALSE)</f>
        <v>4.95</v>
      </c>
      <c r="E67">
        <f>VLOOKUP(A67,'8. Demand data categorization'!A:AJ,31,FALSE)</f>
        <v>4.33</v>
      </c>
      <c r="F67">
        <f>VLOOKUP(A67,'8. Demand data categorization'!A:AJ,32,FALSE)</f>
        <v>0</v>
      </c>
      <c r="G67" s="84">
        <f>VLOOKUP(A67,'8. Demand data categorization'!A:AJ,33,FALSE)</f>
        <v>0</v>
      </c>
      <c r="H67" s="80">
        <f>IF(ISERROR(VLOOKUP($A67,'8. Demand data categorization'!$A:$AV,30,FALSE)),0,(VLOOKUP($A67,'8. Demand data categorization'!$A:$AV,30,FALSE))*(1-VLOOKUP($B67,'2. Forbearance thresholds'!$A$16:$F$25,3,FALSE)))</f>
        <v>4.4550000000000001</v>
      </c>
      <c r="I67" s="80">
        <f>IF(ISERROR(VLOOKUP($A67,'8. Demand data categorization'!$A:$AV,31,FALSE)),0,(VLOOKUP($A67,'8. Demand data categorization'!$A:$AV,31,FALSE))*(1-VLOOKUP($B67,'2. Forbearance thresholds'!$A$16:$F$25,4,FALSE)))</f>
        <v>0.12377863350037507</v>
      </c>
      <c r="J67" s="80">
        <f>IF(ISERROR(VLOOKUP($A67,'8. Demand data categorization'!$A:$AV,32,FALSE)),0,(VLOOKUP($A67,'8. Demand data categorization'!$A:$AV,32,FALSE))*(1-VLOOKUP($B67,'2. Forbearance thresholds'!$A$16:$F$25,5,FALSE)))</f>
        <v>0</v>
      </c>
      <c r="K67" s="89">
        <f>IF(ISERROR(VLOOKUP($A67,'8. Demand data categorization'!$A:$AV,33,FALSE)),0,(VLOOKUP($A67,'8. Demand data categorization'!$A:$AV,33,FALSE))*(1-VLOOKUP($B67,'2. Forbearance thresholds'!$A$16:$F$25,6,FALSE)))</f>
        <v>0</v>
      </c>
      <c r="L67" s="1" t="str">
        <f>IF(ISERROR(VLOOKUP(A67,'11. TransferExport'!A:A,1,FALSE)),"N","Y")</f>
        <v>N</v>
      </c>
      <c r="M67" s="1" t="str">
        <f>IF(ISERROR(VLOOKUP(A67,'11. TransferExport'!B:B,1,FALSE)),"N","Y")</f>
        <v>Y</v>
      </c>
      <c r="N67">
        <f>IF(L67="Y",-SUMIF('11. TransferExport'!A:A,A67,'11. TransferExport'!D:D),IF(M67="Y",SUMIF('11. TransferExport'!B:B,A67,'11. TransferExport'!D:D),0))</f>
        <v>5</v>
      </c>
      <c r="O67">
        <f>IF(L67="Y",-SUMIF('11. TransferExport'!A:A,A67,'11. TransferExport'!E:E),IF(M67="Y",SUMIF('11. TransferExport'!B:B,A67,'11. TransferExport'!E:E),0))</f>
        <v>5</v>
      </c>
      <c r="P67">
        <f>IF(L67="Y",-SUMIF('11. TransferExport'!A:A,A67,'11. TransferExport'!F:F),IF(M67="Y",SUMIF('11. TransferExport'!B:B,A67,'11. TransferExport'!F:F),0))</f>
        <v>0</v>
      </c>
      <c r="Q67">
        <f>IF(L67="Y",-SUMIF('11. TransferExport'!A:A,A67,'11. TransferExport'!G:G),IF(M67="Y",SUMIF('11. TransferExport'!B:B,A67,'11. TransferExport'!G:G),0))</f>
        <v>0</v>
      </c>
      <c r="R67" s="91">
        <f t="shared" si="14"/>
        <v>14.578778633500376</v>
      </c>
      <c r="S67">
        <f>IF(L67="Y",-SUMIF('11. TransferExport'!$A:$A,$A67,'11. TransferExport'!L:L),IF(M67="Y",SUMIF('11. TransferExport'!$B:$B,$A67,'11. TransferExport'!L:L),0))</f>
        <v>5</v>
      </c>
      <c r="T67">
        <f>IF($L67="Y",-SUMIF('11. TransferExport'!$A:$A,$A67,'11. TransferExport'!M:M),IF($M67="Y",SUMIF('11. TransferExport'!$B:$B,$A67,'11. TransferExport'!M:M),0))</f>
        <v>0.64176219909547816</v>
      </c>
      <c r="U67">
        <f>IF($L67="Y",-SUMIF('11. TransferExport'!$A:$A,$A67,'11. TransferExport'!N:N),IF($M67="Y",SUMIF('11. TransferExport'!$B:$B,$A67,'11. TransferExport'!N:N),0))</f>
        <v>0</v>
      </c>
      <c r="V67">
        <f>IF($L67="Y",-SUMIF('11. TransferExport'!$A:$A,$A67,'11. TransferExport'!O:O),IF($M67="Y",SUMIF('11. TransferExport'!$B:$B,$A67,'11. TransferExport'!O:O),0))</f>
        <v>0</v>
      </c>
      <c r="W67" s="90">
        <f t="shared" si="15"/>
        <v>10.220540832595853</v>
      </c>
      <c r="X67" s="90">
        <f t="shared" si="16"/>
        <v>9.4550000000000001</v>
      </c>
      <c r="Y67" s="90">
        <f t="shared" si="17"/>
        <v>0.76554083259585326</v>
      </c>
      <c r="Z67" s="90">
        <f t="shared" si="18"/>
        <v>0</v>
      </c>
      <c r="AA67" s="91">
        <f t="shared" si="19"/>
        <v>0</v>
      </c>
      <c r="AB67" s="96">
        <f>VLOOKUP(A67,'8. Demand data categorization'!A:N,3,FALSE)</f>
        <v>4</v>
      </c>
      <c r="AC67" s="95" t="str">
        <f>VLOOKUP(A67,'8. Demand data categorization'!A:N,14,FALSE)</f>
        <v>Y</v>
      </c>
      <c r="AD67" t="str">
        <f t="shared" si="20"/>
        <v>Giving</v>
      </c>
    </row>
    <row r="68" spans="1:30" x14ac:dyDescent="0.25">
      <c r="A68" s="107" t="s">
        <v>108</v>
      </c>
      <c r="B68" t="str">
        <f>IF(ISERROR(VLOOKUP(A68, '8. Demand data categorization'!A:M,13,FALSE)),"ERROR",IF((VLOOKUP(A68, '8. Demand data categorization'!A:M,13,FALSE))="-","Riparian",IF(OR(VLOOKUP(A68, '8. Demand data categorization'!A:M,13,FALSE)="1971-1990",VLOOKUP(A68, '8. Demand data categorization'!A:M,13,FALSE)="1991-Present"),"1971-Present",VLOOKUP(A68, '8. Demand data categorization'!A:M,13,FALSE))))</f>
        <v>Riparian</v>
      </c>
      <c r="C68" s="84" t="s">
        <v>109</v>
      </c>
      <c r="D68">
        <f>VLOOKUP(A68,'8. Demand data categorization'!A:AJ,30,FALSE)</f>
        <v>0</v>
      </c>
      <c r="E68">
        <f>VLOOKUP(A68,'8. Demand data categorization'!A:AJ,31,FALSE)</f>
        <v>0</v>
      </c>
      <c r="F68">
        <f>VLOOKUP(A68,'8. Demand data categorization'!A:AJ,32,FALSE)</f>
        <v>0</v>
      </c>
      <c r="G68" s="84">
        <f>VLOOKUP(A68,'8. Demand data categorization'!A:AJ,33,FALSE)</f>
        <v>0</v>
      </c>
      <c r="H68" s="80">
        <f>IF(ISERROR(VLOOKUP($A68,'8. Demand data categorization'!$A:$AV,30,FALSE)),0,(VLOOKUP($A68,'8. Demand data categorization'!$A:$AV,30,FALSE))*(1-VLOOKUP($B68,'2. Forbearance thresholds'!$A$16:$F$25,3,FALSE)))</f>
        <v>0</v>
      </c>
      <c r="I68" s="80">
        <f>IF(ISERROR(VLOOKUP($A68,'8. Demand data categorization'!$A:$AV,31,FALSE)),0,(VLOOKUP($A68,'8. Demand data categorization'!$A:$AV,31,FALSE))*(1-VLOOKUP($B68,'2. Forbearance thresholds'!$A$16:$F$25,4,FALSE)))</f>
        <v>0</v>
      </c>
      <c r="J68" s="80">
        <f>IF(ISERROR(VLOOKUP($A68,'8. Demand data categorization'!$A:$AV,32,FALSE)),0,(VLOOKUP($A68,'8. Demand data categorization'!$A:$AV,32,FALSE))*(1-VLOOKUP($B68,'2. Forbearance thresholds'!$A$16:$F$25,5,FALSE)))</f>
        <v>0</v>
      </c>
      <c r="K68" s="89">
        <f>IF(ISERROR(VLOOKUP($A68,'8. Demand data categorization'!$A:$AV,33,FALSE)),0,(VLOOKUP($A68,'8. Demand data categorization'!$A:$AV,33,FALSE))*(1-VLOOKUP($B68,'2. Forbearance thresholds'!$A$16:$F$25,6,FALSE)))</f>
        <v>0</v>
      </c>
      <c r="L68" s="1" t="str">
        <f>IF(ISERROR(VLOOKUP(A68,'11. TransferExport'!A:A,1,FALSE)),"N","Y")</f>
        <v>Y</v>
      </c>
      <c r="M68" s="1" t="str">
        <f>IF(ISERROR(VLOOKUP(A68,'11. TransferExport'!B:B,1,FALSE)),"N","Y")</f>
        <v>N</v>
      </c>
      <c r="N68">
        <f>IF(L68="Y",-SUMIF('11. TransferExport'!A:A,A68,'11. TransferExport'!D:D),IF(M68="Y",SUMIF('11. TransferExport'!B:B,A68,'11. TransferExport'!D:D),0))</f>
        <v>0</v>
      </c>
      <c r="O68">
        <f>IF(L68="Y",-SUMIF('11. TransferExport'!A:A,A68,'11. TransferExport'!E:E),IF(M68="Y",SUMIF('11. TransferExport'!B:B,A68,'11. TransferExport'!E:E),0))</f>
        <v>0</v>
      </c>
      <c r="P68">
        <f>IF(L68="Y",-SUMIF('11. TransferExport'!A:A,A68,'11. TransferExport'!F:F),IF(M68="Y",SUMIF('11. TransferExport'!B:B,A68,'11. TransferExport'!F:F),0))</f>
        <v>0</v>
      </c>
      <c r="Q68">
        <f>IF(L68="Y",-SUMIF('11. TransferExport'!A:A,A68,'11. TransferExport'!G:G),IF(M68="Y",SUMIF('11. TransferExport'!B:B,A68,'11. TransferExport'!G:G),0))</f>
        <v>0</v>
      </c>
      <c r="R68" s="91">
        <f t="shared" si="14"/>
        <v>0</v>
      </c>
      <c r="S68">
        <f>IF(L68="Y",-SUMIF('11. TransferExport'!$A:$A,$A68,'11. TransferExport'!L:L),IF(M68="Y",SUMIF('11. TransferExport'!$B:$B,$A68,'11. TransferExport'!L:L),0))</f>
        <v>0</v>
      </c>
      <c r="T68">
        <f>IF($L68="Y",-SUMIF('11. TransferExport'!$A:$A,$A68,'11. TransferExport'!M:M),IF($M68="Y",SUMIF('11. TransferExport'!$B:$B,$A68,'11. TransferExport'!M:M),0))</f>
        <v>0</v>
      </c>
      <c r="U68">
        <f>IF($L68="Y",-SUMIF('11. TransferExport'!$A:$A,$A68,'11. TransferExport'!N:N),IF($M68="Y",SUMIF('11. TransferExport'!$B:$B,$A68,'11. TransferExport'!N:N),0))</f>
        <v>0</v>
      </c>
      <c r="V68">
        <f>IF($L68="Y",-SUMIF('11. TransferExport'!$A:$A,$A68,'11. TransferExport'!O:O),IF($M68="Y",SUMIF('11. TransferExport'!$B:$B,$A68,'11. TransferExport'!O:O),0))</f>
        <v>0</v>
      </c>
      <c r="W68" s="90">
        <f t="shared" si="15"/>
        <v>0</v>
      </c>
      <c r="X68" s="90">
        <f t="shared" si="16"/>
        <v>0</v>
      </c>
      <c r="Y68" s="90">
        <f t="shared" si="17"/>
        <v>0</v>
      </c>
      <c r="Z68" s="90">
        <f t="shared" si="18"/>
        <v>0</v>
      </c>
      <c r="AA68" s="91">
        <f t="shared" si="19"/>
        <v>0</v>
      </c>
      <c r="AB68" s="96"/>
      <c r="AC68" s="95"/>
      <c r="AD68" t="str">
        <f t="shared" si="20"/>
        <v>Taking</v>
      </c>
    </row>
    <row r="69" spans="1:30" x14ac:dyDescent="0.25">
      <c r="A69" s="107" t="s">
        <v>154</v>
      </c>
      <c r="B69" t="str">
        <f>IF(ISERROR(VLOOKUP(A69, '8. Demand data categorization'!A:M,13,FALSE)),"ERROR",IF((VLOOKUP(A69, '8. Demand data categorization'!A:M,13,FALSE))="-","Riparian",IF(OR(VLOOKUP(A69, '8. Demand data categorization'!A:M,13,FALSE)="1971-1990",VLOOKUP(A69, '8. Demand data categorization'!A:M,13,FALSE)="1991-Present"),"1971-Present",VLOOKUP(A69, '8. Demand data categorization'!A:M,13,FALSE))))</f>
        <v>Riparian</v>
      </c>
      <c r="C69" s="84" t="s">
        <v>109</v>
      </c>
      <c r="D69">
        <f>VLOOKUP(A69,'8. Demand data categorization'!A:AJ,30,FALSE)</f>
        <v>0</v>
      </c>
      <c r="E69">
        <f>VLOOKUP(A69,'8. Demand data categorization'!A:AJ,31,FALSE)</f>
        <v>0</v>
      </c>
      <c r="F69">
        <f>VLOOKUP(A69,'8. Demand data categorization'!A:AJ,32,FALSE)</f>
        <v>0</v>
      </c>
      <c r="G69" s="84">
        <f>VLOOKUP(A69,'8. Demand data categorization'!A:AJ,33,FALSE)</f>
        <v>0</v>
      </c>
      <c r="H69" s="80">
        <f>IF(ISERROR(VLOOKUP($A69,'8. Demand data categorization'!$A:$AV,30,FALSE)),0,(VLOOKUP($A69,'8. Demand data categorization'!$A:$AV,30,FALSE))*(1-VLOOKUP($B69,'2. Forbearance thresholds'!$A$16:$F$25,3,FALSE)))</f>
        <v>0</v>
      </c>
      <c r="I69" s="80">
        <f>IF(ISERROR(VLOOKUP($A69,'8. Demand data categorization'!$A:$AV,31,FALSE)),0,(VLOOKUP($A69,'8. Demand data categorization'!$A:$AV,31,FALSE))*(1-VLOOKUP($B69,'2. Forbearance thresholds'!$A$16:$F$25,4,FALSE)))</f>
        <v>0</v>
      </c>
      <c r="J69" s="80">
        <f>IF(ISERROR(VLOOKUP($A69,'8. Demand data categorization'!$A:$AV,32,FALSE)),0,(VLOOKUP($A69,'8. Demand data categorization'!$A:$AV,32,FALSE))*(1-VLOOKUP($B69,'2. Forbearance thresholds'!$A$16:$F$25,5,FALSE)))</f>
        <v>0</v>
      </c>
      <c r="K69" s="89">
        <f>IF(ISERROR(VLOOKUP($A69,'8. Demand data categorization'!$A:$AV,33,FALSE)),0,(VLOOKUP($A69,'8. Demand data categorization'!$A:$AV,33,FALSE))*(1-VLOOKUP($B69,'2. Forbearance thresholds'!$A$16:$F$25,6,FALSE)))</f>
        <v>0</v>
      </c>
      <c r="L69" s="1" t="str">
        <f>IF(ISERROR(VLOOKUP(A69,'11. TransferExport'!A:A,1,FALSE)),"N","Y")</f>
        <v>Y</v>
      </c>
      <c r="M69" s="1" t="str">
        <f>IF(ISERROR(VLOOKUP(A69,'11. TransferExport'!B:B,1,FALSE)),"N","Y")</f>
        <v>N</v>
      </c>
      <c r="N69">
        <f>IF(L69="Y",-SUMIF('11. TransferExport'!A:A,A69,'11. TransferExport'!D:D),IF(M69="Y",SUMIF('11. TransferExport'!B:B,A69,'11. TransferExport'!D:D),0))</f>
        <v>0</v>
      </c>
      <c r="O69">
        <f>IF(L69="Y",-SUMIF('11. TransferExport'!A:A,A69,'11. TransferExport'!E:E),IF(M69="Y",SUMIF('11. TransferExport'!B:B,A69,'11. TransferExport'!E:E),0))</f>
        <v>0</v>
      </c>
      <c r="P69">
        <f>IF(L69="Y",-SUMIF('11. TransferExport'!A:A,A69,'11. TransferExport'!F:F),IF(M69="Y",SUMIF('11. TransferExport'!B:B,A69,'11. TransferExport'!F:F),0))</f>
        <v>0</v>
      </c>
      <c r="Q69">
        <f>IF(L69="Y",-SUMIF('11. TransferExport'!A:A,A69,'11. TransferExport'!G:G),IF(M69="Y",SUMIF('11. TransferExport'!B:B,A69,'11. TransferExport'!G:G),0))</f>
        <v>0</v>
      </c>
      <c r="R69" s="91">
        <f t="shared" si="14"/>
        <v>0</v>
      </c>
      <c r="S69">
        <f>IF(L69="Y",-SUMIF('11. TransferExport'!$A:$A,$A69,'11. TransferExport'!L:L),IF(M69="Y",SUMIF('11. TransferExport'!$B:$B,$A69,'11. TransferExport'!L:L),0))</f>
        <v>0</v>
      </c>
      <c r="T69">
        <f>IF($L69="Y",-SUMIF('11. TransferExport'!$A:$A,$A69,'11. TransferExport'!M:M),IF($M69="Y",SUMIF('11. TransferExport'!$B:$B,$A69,'11. TransferExport'!M:M),0))</f>
        <v>0</v>
      </c>
      <c r="U69">
        <f>IF($L69="Y",-SUMIF('11. TransferExport'!$A:$A,$A69,'11. TransferExport'!N:N),IF($M69="Y",SUMIF('11. TransferExport'!$B:$B,$A69,'11. TransferExport'!N:N),0))</f>
        <v>0</v>
      </c>
      <c r="V69">
        <f>IF($L69="Y",-SUMIF('11. TransferExport'!$A:$A,$A69,'11. TransferExport'!O:O),IF($M69="Y",SUMIF('11. TransferExport'!$B:$B,$A69,'11. TransferExport'!O:O),0))</f>
        <v>0</v>
      </c>
      <c r="W69" s="90">
        <f t="shared" si="15"/>
        <v>0</v>
      </c>
      <c r="X69" s="90">
        <f t="shared" si="16"/>
        <v>0</v>
      </c>
      <c r="Y69" s="90">
        <f t="shared" si="17"/>
        <v>0</v>
      </c>
      <c r="Z69" s="90">
        <f t="shared" si="18"/>
        <v>0</v>
      </c>
      <c r="AA69" s="91">
        <f t="shared" si="19"/>
        <v>0</v>
      </c>
      <c r="AB69" s="96"/>
      <c r="AC69" s="95"/>
      <c r="AD69" t="str">
        <f t="shared" si="20"/>
        <v>Taking</v>
      </c>
    </row>
    <row r="70" spans="1:30" x14ac:dyDescent="0.25">
      <c r="A70" s="107" t="s">
        <v>100</v>
      </c>
      <c r="B70" t="str">
        <f>IF(ISERROR(VLOOKUP(A70, '8. Demand data categorization'!A:M,13,FALSE)),"ERROR",IF((VLOOKUP(A70, '8. Demand data categorization'!A:M,13,FALSE))="-","Riparian",IF(OR(VLOOKUP(A70, '8. Demand data categorization'!A:M,13,FALSE)="1971-1990",VLOOKUP(A70, '8. Demand data categorization'!A:M,13,FALSE)="1991-Present"),"1971-Present",VLOOKUP(A70, '8. Demand data categorization'!A:M,13,FALSE))))</f>
        <v>1953-1954</v>
      </c>
      <c r="C70" s="84" t="str">
        <f>VLOOKUP(A70,'12. eWRIMS_Export'!A:K,7,FALSE)</f>
        <v>KL BARR, LLC</v>
      </c>
      <c r="D70">
        <f>VLOOKUP(A70,'8. Demand data categorization'!A:AJ,30,FALSE)</f>
        <v>1.59</v>
      </c>
      <c r="E70">
        <f>VLOOKUP(A70,'8. Demand data categorization'!A:AJ,31,FALSE)</f>
        <v>1.89</v>
      </c>
      <c r="F70">
        <f>VLOOKUP(A70,'8. Demand data categorization'!A:AJ,32,FALSE)</f>
        <v>1.1599999999999999</v>
      </c>
      <c r="G70" s="84">
        <f>VLOOKUP(A70,'8. Demand data categorization'!A:AJ,33,FALSE)</f>
        <v>0.87</v>
      </c>
      <c r="H70" s="80">
        <f>IF(ISERROR(VLOOKUP($A70,'8. Demand data categorization'!$A:$AV,30,FALSE)),0,(VLOOKUP($A70,'8. Demand data categorization'!$A:$AV,30,FALSE))*(1-VLOOKUP($B70,'2. Forbearance thresholds'!$A$16:$F$25,3,FALSE)))</f>
        <v>1.431</v>
      </c>
      <c r="I70" s="80">
        <f>IF(ISERROR(VLOOKUP($A70,'8. Demand data categorization'!$A:$AV,31,FALSE)),0,(VLOOKUP($A70,'8. Demand data categorization'!$A:$AV,31,FALSE))*(1-VLOOKUP($B70,'2. Forbearance thresholds'!$A$16:$F$25,4,FALSE)))</f>
        <v>5.4028087139886577E-2</v>
      </c>
      <c r="J70" s="80">
        <f>IF(ISERROR(VLOOKUP($A70,'8. Demand data categorization'!$A:$AV,32,FALSE)),0,(VLOOKUP($A70,'8. Demand data categorization'!$A:$AV,32,FALSE))*(1-VLOOKUP($B70,'2. Forbearance thresholds'!$A$16:$F$25,5,FALSE)))</f>
        <v>0</v>
      </c>
      <c r="K70" s="89">
        <f>IF(ISERROR(VLOOKUP($A70,'8. Demand data categorization'!$A:$AV,33,FALSE)),0,(VLOOKUP($A70,'8. Demand data categorization'!$A:$AV,33,FALSE))*(1-VLOOKUP($B70,'2. Forbearance thresholds'!$A$16:$F$25,6,FALSE)))</f>
        <v>0</v>
      </c>
      <c r="L70" s="1" t="str">
        <f>IF(ISERROR(VLOOKUP(A70,'11. TransferExport'!A:A,1,FALSE)),"N","Y")</f>
        <v>N</v>
      </c>
      <c r="M70" s="1" t="str">
        <f>IF(ISERROR(VLOOKUP(A70,'11. TransferExport'!B:B,1,FALSE)),"N","Y")</f>
        <v>N</v>
      </c>
      <c r="N70">
        <f>IF(L70="Y",-SUMIF('11. TransferExport'!A:A,A70,'11. TransferExport'!D:D),IF(M70="Y",SUMIF('11. TransferExport'!B:B,A70,'11. TransferExport'!D:D),0))</f>
        <v>0</v>
      </c>
      <c r="O70">
        <f>IF(L70="Y",-SUMIF('11. TransferExport'!A:A,A70,'11. TransferExport'!E:E),IF(M70="Y",SUMIF('11. TransferExport'!B:B,A70,'11. TransferExport'!E:E),0))</f>
        <v>0</v>
      </c>
      <c r="P70">
        <f>IF(L70="Y",-SUMIF('11. TransferExport'!A:A,A70,'11. TransferExport'!F:F),IF(M70="Y",SUMIF('11. TransferExport'!B:B,A70,'11. TransferExport'!F:F),0))</f>
        <v>0</v>
      </c>
      <c r="Q70">
        <f>IF(L70="Y",-SUMIF('11. TransferExport'!A:A,A70,'11. TransferExport'!G:G),IF(M70="Y",SUMIF('11. TransferExport'!B:B,A70,'11. TransferExport'!G:G),0))</f>
        <v>0</v>
      </c>
      <c r="R70" s="91">
        <f t="shared" si="14"/>
        <v>1.4850280871398867</v>
      </c>
      <c r="S70">
        <f>IF(L70="Y",-SUMIF('11. TransferExport'!$A:$A,$A70,'11. TransferExport'!L:L),IF(M70="Y",SUMIF('11. TransferExport'!$B:$B,$A70,'11. TransferExport'!L:L),0))</f>
        <v>0</v>
      </c>
      <c r="T70">
        <f>IF($L70="Y",-SUMIF('11. TransferExport'!$A:$A,$A70,'11. TransferExport'!M:M),IF($M70="Y",SUMIF('11. TransferExport'!$B:$B,$A70,'11. TransferExport'!M:M),0))</f>
        <v>0</v>
      </c>
      <c r="U70">
        <f>IF($L70="Y",-SUMIF('11. TransferExport'!$A:$A,$A70,'11. TransferExport'!N:N),IF($M70="Y",SUMIF('11. TransferExport'!$B:$B,$A70,'11. TransferExport'!N:N),0))</f>
        <v>0</v>
      </c>
      <c r="V70">
        <f>IF($L70="Y",-SUMIF('11. TransferExport'!$A:$A,$A70,'11. TransferExport'!O:O),IF($M70="Y",SUMIF('11. TransferExport'!$B:$B,$A70,'11. TransferExport'!O:O),0))</f>
        <v>0</v>
      </c>
      <c r="W70" s="90">
        <f t="shared" si="15"/>
        <v>1.4850280871398867</v>
      </c>
      <c r="X70" s="90">
        <f t="shared" si="16"/>
        <v>1.431</v>
      </c>
      <c r="Y70" s="90">
        <f t="shared" si="17"/>
        <v>5.4028087139886577E-2</v>
      </c>
      <c r="Z70" s="90">
        <f t="shared" si="18"/>
        <v>0</v>
      </c>
      <c r="AA70" s="91">
        <f t="shared" si="19"/>
        <v>0</v>
      </c>
      <c r="AB70" s="96">
        <f>VLOOKUP(A70,'8. Demand data categorization'!A:N,3,FALSE)</f>
        <v>9</v>
      </c>
      <c r="AC70" s="95" t="str">
        <f>VLOOKUP(A70,'8. Demand data categorization'!A:N,14,FALSE)</f>
        <v>Y</v>
      </c>
      <c r="AD70" t="str">
        <f t="shared" si="20"/>
        <v>Giving</v>
      </c>
    </row>
    <row r="71" spans="1:30" x14ac:dyDescent="0.25">
      <c r="A71" s="107" t="s">
        <v>46</v>
      </c>
      <c r="B71" t="str">
        <f>IF(ISERROR(VLOOKUP(A71, '8. Demand data categorization'!A:M,13,FALSE)),"ERROR",IF((VLOOKUP(A71, '8. Demand data categorization'!A:M,13,FALSE))="-","Riparian",IF(OR(VLOOKUP(A71, '8. Demand data categorization'!A:M,13,FALSE)="1971-1990",VLOOKUP(A71, '8. Demand data categorization'!A:M,13,FALSE)="1991-Present"),"1971-Present",VLOOKUP(A71, '8. Demand data categorization'!A:M,13,FALSE))))</f>
        <v>1960-1970</v>
      </c>
      <c r="C71" s="84" t="str">
        <f>VLOOKUP(A71,'12. eWRIMS_Export'!A:K,7,FALSE)</f>
        <v>MARY A GOLDEN TRUSTEE</v>
      </c>
      <c r="D71">
        <f>VLOOKUP(A71,'8. Demand data categorization'!A:AJ,30,FALSE)</f>
        <v>5</v>
      </c>
      <c r="E71">
        <f>VLOOKUP(A71,'8. Demand data categorization'!A:AJ,31,FALSE)</f>
        <v>2.2400000000000002</v>
      </c>
      <c r="F71">
        <f>VLOOKUP(A71,'8. Demand data categorization'!A:AJ,32,FALSE)</f>
        <v>4.74</v>
      </c>
      <c r="G71" s="84">
        <f>VLOOKUP(A71,'8. Demand data categorization'!A:AJ,33,FALSE)</f>
        <v>0.1</v>
      </c>
      <c r="H71" s="80">
        <f>IF(ISERROR(VLOOKUP($A71,'8. Demand data categorization'!$A:$AV,30,FALSE)),0,(VLOOKUP($A71,'8. Demand data categorization'!$A:$AV,30,FALSE))*(1-VLOOKUP($B71,'2. Forbearance thresholds'!$A$16:$F$25,3,FALSE)))</f>
        <v>4.5</v>
      </c>
      <c r="I71" s="80">
        <f>IF(ISERROR(VLOOKUP($A71,'8. Demand data categorization'!$A:$AV,31,FALSE)),0,(VLOOKUP($A71,'8. Demand data categorization'!$A:$AV,31,FALSE))*(1-VLOOKUP($B71,'2. Forbearance thresholds'!$A$16:$F$25,4,FALSE)))</f>
        <v>6.4033288462087806E-2</v>
      </c>
      <c r="J71" s="80">
        <f>IF(ISERROR(VLOOKUP($A71,'8. Demand data categorization'!$A:$AV,32,FALSE)),0,(VLOOKUP($A71,'8. Demand data categorization'!$A:$AV,32,FALSE))*(1-VLOOKUP($B71,'2. Forbearance thresholds'!$A$16:$F$25,5,FALSE)))</f>
        <v>0</v>
      </c>
      <c r="K71" s="89">
        <f>IF(ISERROR(VLOOKUP($A71,'8. Demand data categorization'!$A:$AV,33,FALSE)),0,(VLOOKUP($A71,'8. Demand data categorization'!$A:$AV,33,FALSE))*(1-VLOOKUP($B71,'2. Forbearance thresholds'!$A$16:$F$25,6,FALSE)))</f>
        <v>0</v>
      </c>
      <c r="L71" s="1" t="str">
        <f>IF(ISERROR(VLOOKUP(A71,'11. TransferExport'!A:A,1,FALSE)),"N","Y")</f>
        <v>N</v>
      </c>
      <c r="M71" s="1" t="str">
        <f>IF(ISERROR(VLOOKUP(A71,'11. TransferExport'!B:B,1,FALSE)),"N","Y")</f>
        <v>N</v>
      </c>
      <c r="N71">
        <f>IF(L71="Y",-SUMIF('11. TransferExport'!A:A,A71,'11. TransferExport'!D:D),IF(M71="Y",SUMIF('11. TransferExport'!B:B,A71,'11. TransferExport'!D:D),0))</f>
        <v>0</v>
      </c>
      <c r="O71">
        <f>IF(L71="Y",-SUMIF('11. TransferExport'!A:A,A71,'11. TransferExport'!E:E),IF(M71="Y",SUMIF('11. TransferExport'!B:B,A71,'11. TransferExport'!E:E),0))</f>
        <v>0</v>
      </c>
      <c r="P71">
        <f>IF(L71="Y",-SUMIF('11. TransferExport'!A:A,A71,'11. TransferExport'!F:F),IF(M71="Y",SUMIF('11. TransferExport'!B:B,A71,'11. TransferExport'!F:F),0))</f>
        <v>0</v>
      </c>
      <c r="Q71">
        <f>IF(L71="Y",-SUMIF('11. TransferExport'!A:A,A71,'11. TransferExport'!G:G),IF(M71="Y",SUMIF('11. TransferExport'!B:B,A71,'11. TransferExport'!G:G),0))</f>
        <v>0</v>
      </c>
      <c r="R71" s="91">
        <f t="shared" si="14"/>
        <v>4.5640332884620882</v>
      </c>
      <c r="S71">
        <f>IF(L71="Y",-SUMIF('11. TransferExport'!$A:$A,$A71,'11. TransferExport'!L:L),IF(M71="Y",SUMIF('11. TransferExport'!$B:$B,$A71,'11. TransferExport'!L:L),0))</f>
        <v>0</v>
      </c>
      <c r="T71">
        <f>IF($L71="Y",-SUMIF('11. TransferExport'!$A:$A,$A71,'11. TransferExport'!M:M),IF($M71="Y",SUMIF('11. TransferExport'!$B:$B,$A71,'11. TransferExport'!M:M),0))</f>
        <v>0</v>
      </c>
      <c r="U71">
        <f>IF($L71="Y",-SUMIF('11. TransferExport'!$A:$A,$A71,'11. TransferExport'!N:N),IF($M71="Y",SUMIF('11. TransferExport'!$B:$B,$A71,'11. TransferExport'!N:N),0))</f>
        <v>0</v>
      </c>
      <c r="V71">
        <f>IF($L71="Y",-SUMIF('11. TransferExport'!$A:$A,$A71,'11. TransferExport'!O:O),IF($M71="Y",SUMIF('11. TransferExport'!$B:$B,$A71,'11. TransferExport'!O:O),0))</f>
        <v>0</v>
      </c>
      <c r="W71" s="90">
        <f t="shared" si="15"/>
        <v>4.5640332884620882</v>
      </c>
      <c r="X71" s="90">
        <f t="shared" si="16"/>
        <v>4.5</v>
      </c>
      <c r="Y71" s="90">
        <f t="shared" si="17"/>
        <v>6.4033288462087806E-2</v>
      </c>
      <c r="Z71" s="90">
        <f t="shared" si="18"/>
        <v>0</v>
      </c>
      <c r="AA71" s="91">
        <f t="shared" si="19"/>
        <v>0</v>
      </c>
      <c r="AB71" s="96">
        <f>VLOOKUP(A71,'8. Demand data categorization'!A:N,3,FALSE)</f>
        <v>4</v>
      </c>
      <c r="AC71" s="95" t="str">
        <f>VLOOKUP(A71,'8. Demand data categorization'!A:N,14,FALSE)</f>
        <v>Y</v>
      </c>
      <c r="AD71" t="str">
        <f t="shared" si="20"/>
        <v>Giving</v>
      </c>
    </row>
    <row r="72" spans="1:30" x14ac:dyDescent="0.25">
      <c r="A72" t="s">
        <v>31</v>
      </c>
      <c r="B72" t="str">
        <f>IF(ISERROR(VLOOKUP(A72, '8. Demand data categorization'!A:M,13,FALSE)),"ERROR",IF((VLOOKUP(A72, '8. Demand data categorization'!A:M,13,FALSE))="-","Riparian",IF(OR(VLOOKUP(A72, '8. Demand data categorization'!A:M,13,FALSE)="1971-1990",VLOOKUP(A72, '8. Demand data categorization'!A:M,13,FALSE)="1991-Present"),"1971-Present",VLOOKUP(A72, '8. Demand data categorization'!A:M,13,FALSE))))</f>
        <v>RRFCD-1949</v>
      </c>
      <c r="C72" s="84" t="str">
        <f>VLOOKUP(A72,'12. eWRIMS_Export'!A:K,7,FALSE)</f>
        <v>MENDOCINO COUNTY RUSSIAN RIVER FC &amp; WCI DISTRICT</v>
      </c>
      <c r="D72">
        <f>VLOOKUP(A72,'8. Demand data categorization'!A:AJ,30,FALSE)</f>
        <v>992.43</v>
      </c>
      <c r="E72">
        <f>VLOOKUP(A72,'8. Demand data categorization'!A:AJ,31,FALSE)</f>
        <v>1228.9100000000001</v>
      </c>
      <c r="F72">
        <f>VLOOKUP(A72,'8. Demand data categorization'!A:AJ,32,FALSE)</f>
        <v>833.22</v>
      </c>
      <c r="G72" s="84">
        <f>VLOOKUP(A72,'8. Demand data categorization'!A:AJ,33,FALSE)</f>
        <v>522.38</v>
      </c>
      <c r="H72" s="81">
        <f>IF(ISERROR(VLOOKUP($A72,'8. Demand data categorization'!$A:$AV,30,FALSE)),0,(VLOOKUP($A72,'8. Demand data categorization'!$A:$AV,30,FALSE))*(1-VLOOKUP($B72,'2. Forbearance thresholds'!$A$16:$F$25,3,FALSE)))</f>
        <v>992.43</v>
      </c>
      <c r="I72" s="81">
        <f>IF(ISERROR(VLOOKUP($A72,'8. Demand data categorization'!$A:$AV,31,FALSE)),0,(VLOOKUP($A72,'8. Demand data categorization'!$A:$AV,31,FALSE))*(1-VLOOKUP($B72,'2. Forbearance thresholds'!$A$16:$F$25,4,FALSE)))</f>
        <v>35.129977019617996</v>
      </c>
      <c r="J72" s="81">
        <f>IF(ISERROR(VLOOKUP($A72,'8. Demand data categorization'!$A:$AV,32,FALSE)),0,(VLOOKUP($A72,'8. Demand data categorization'!$A:$AV,32,FALSE))*(1-VLOOKUP($B72,'2. Forbearance thresholds'!$A$16:$F$25,5,FALSE)))</f>
        <v>0</v>
      </c>
      <c r="K72" s="88">
        <f>IF(ISERROR(VLOOKUP($A72,'8. Demand data categorization'!$A:$AV,33,FALSE)),0,(VLOOKUP($A72,'8. Demand data categorization'!$A:$AV,33,FALSE))*(1-VLOOKUP($B72,'2. Forbearance thresholds'!$A$16:$F$25,6,FALSE)))</f>
        <v>0</v>
      </c>
      <c r="L72" s="1" t="str">
        <f>IF(ISERROR(VLOOKUP(A72,'11. TransferExport'!A:A,1,FALSE)),"N","Y")</f>
        <v>N</v>
      </c>
      <c r="M72" s="1" t="str">
        <f>IF(ISERROR(VLOOKUP(A72,'11. TransferExport'!B:B,1,FALSE)),"N","Y")</f>
        <v>N</v>
      </c>
      <c r="N72">
        <f>IF(L72="Y",-SUMIF('11. TransferExport'!A:A,A72,'11. TransferExport'!D:D),IF(M72="Y",SUMIF('11. TransferExport'!B:B,A72,'11. TransferExport'!D:D),0))</f>
        <v>0</v>
      </c>
      <c r="O72">
        <f>IF(L72="Y",-SUMIF('11. TransferExport'!A:A,A72,'11. TransferExport'!E:E),IF(M72="Y",SUMIF('11. TransferExport'!B:B,A72,'11. TransferExport'!E:E),0))</f>
        <v>0</v>
      </c>
      <c r="P72">
        <f>IF(L72="Y",-SUMIF('11. TransferExport'!A:A,A72,'11. TransferExport'!F:F),IF(M72="Y",SUMIF('11. TransferExport'!B:B,A72,'11. TransferExport'!F:F),0))</f>
        <v>0</v>
      </c>
      <c r="Q72">
        <f>IF(L72="Y",-SUMIF('11. TransferExport'!A:A,A72,'11. TransferExport'!G:G),IF(M72="Y",SUMIF('11. TransferExport'!B:B,A72,'11. TransferExport'!G:G),0))</f>
        <v>0</v>
      </c>
      <c r="R72" s="91">
        <f t="shared" si="14"/>
        <v>1027.5599770196179</v>
      </c>
      <c r="S72">
        <f>IF($L72="Y",-SUMIF('11. TransferExport'!$A:$A,$A72,'11. TransferExport'!L:L),IF($M72="Y",SUMIF('11. TransferExport'!$B:$B,$A72,'11. TransferExport'!L:L),0))</f>
        <v>0</v>
      </c>
      <c r="T72">
        <f>IF($L72="Y",-SUMIF('11. TransferExport'!$A:$A,$A72,'11. TransferExport'!M:M),IF($M72="Y",SUMIF('11. TransferExport'!$B:$B,$A72,'11. TransferExport'!M:M),0))</f>
        <v>0</v>
      </c>
      <c r="U72">
        <f>IF($L72="Y",-SUMIF('11. TransferExport'!$A:$A,$A72,'11. TransferExport'!N:N),IF($M72="Y",SUMIF('11. TransferExport'!$B:$B,$A72,'11. TransferExport'!N:N),0))</f>
        <v>0</v>
      </c>
      <c r="V72">
        <f>IF($L72="Y",-SUMIF('11. TransferExport'!$A:$A,$A72,'11. TransferExport'!O:O),IF($M72="Y",SUMIF('11. TransferExport'!$B:$B,$A72,'11. TransferExport'!O:O),0))</f>
        <v>0</v>
      </c>
      <c r="W72" s="90">
        <f t="shared" si="15"/>
        <v>1027.5599770196179</v>
      </c>
      <c r="X72" s="90">
        <f t="shared" si="16"/>
        <v>992.43</v>
      </c>
      <c r="Y72" s="90">
        <f t="shared" si="17"/>
        <v>35.129977019617996</v>
      </c>
      <c r="Z72" s="90">
        <f t="shared" si="18"/>
        <v>0</v>
      </c>
      <c r="AA72" s="91">
        <f t="shared" si="19"/>
        <v>0</v>
      </c>
      <c r="AB72" s="96">
        <f>VLOOKUP(A72,'8. Demand data categorization'!A:N,3,FALSE)</f>
        <v>3</v>
      </c>
      <c r="AC72" s="95" t="str">
        <f>VLOOKUP(A72,'8. Demand data categorization'!A:N,14,FALSE)</f>
        <v>Y</v>
      </c>
      <c r="AD72" t="str">
        <f t="shared" si="20"/>
        <v>No Change</v>
      </c>
    </row>
    <row r="73" spans="1:30" x14ac:dyDescent="0.25">
      <c r="A73" s="107" t="s">
        <v>76</v>
      </c>
      <c r="B73" t="str">
        <f>IF(ISERROR(VLOOKUP(A73, '8. Demand data categorization'!A:M,13,FALSE)),"ERROR",IF((VLOOKUP(A73, '8. Demand data categorization'!A:M,13,FALSE))="-","Riparian",IF(OR(VLOOKUP(A73, '8. Demand data categorization'!A:M,13,FALSE)="1971-1990",VLOOKUP(A73, '8. Demand data categorization'!A:M,13,FALSE)="1991-Present"),"1971-Present",VLOOKUP(A73, '8. Demand data categorization'!A:M,13,FALSE))))</f>
        <v>Pre-1949 + 1949</v>
      </c>
      <c r="C73" s="84" t="str">
        <f>VLOOKUP(A73,'12. eWRIMS_Export'!A:K,7,FALSE)</f>
        <v>MICHAEL L HILDRETH</v>
      </c>
      <c r="D73">
        <f>VLOOKUP(A73,'8. Demand data categorization'!A:AJ,30,FALSE)</f>
        <v>14.84</v>
      </c>
      <c r="E73">
        <f>VLOOKUP(A73,'8. Demand data categorization'!A:AJ,31,FALSE)</f>
        <v>8.31</v>
      </c>
      <c r="F73">
        <f>VLOOKUP(A73,'8. Demand data categorization'!A:AJ,32,FALSE)</f>
        <v>6.16</v>
      </c>
      <c r="G73" s="84">
        <f>VLOOKUP(A73,'8. Demand data categorization'!A:AJ,33,FALSE)</f>
        <v>0</v>
      </c>
      <c r="H73" s="80">
        <f>IF(ISERROR(VLOOKUP($A73,'8. Demand data categorization'!$A:$AV,30,FALSE)),0,(VLOOKUP($A73,'8. Demand data categorization'!$A:$AV,30,FALSE))*(1-VLOOKUP($B73,'2. Forbearance thresholds'!$A$16:$F$25,3,FALSE)))</f>
        <v>14.84</v>
      </c>
      <c r="I73" s="80">
        <f>IF(ISERROR(VLOOKUP($A73,'8. Demand data categorization'!$A:$AV,31,FALSE)),0,(VLOOKUP($A73,'8. Demand data categorization'!$A:$AV,31,FALSE))*(1-VLOOKUP($B73,'2. Forbearance thresholds'!$A$16:$F$25,4,FALSE)))</f>
        <v>0.23755206567854895</v>
      </c>
      <c r="J73" s="80">
        <f>IF(ISERROR(VLOOKUP($A73,'8. Demand data categorization'!$A:$AV,32,FALSE)),0,(VLOOKUP($A73,'8. Demand data categorization'!$A:$AV,32,FALSE))*(1-VLOOKUP($B73,'2. Forbearance thresholds'!$A$16:$F$25,5,FALSE)))</f>
        <v>0</v>
      </c>
      <c r="K73" s="89">
        <f>IF(ISERROR(VLOOKUP($A73,'8. Demand data categorization'!$A:$AV,33,FALSE)),0,(VLOOKUP($A73,'8. Demand data categorization'!$A:$AV,33,FALSE))*(1-VLOOKUP($B73,'2. Forbearance thresholds'!$A$16:$F$25,6,FALSE)))</f>
        <v>0</v>
      </c>
      <c r="L73" s="1" t="str">
        <f>IF(ISERROR(VLOOKUP(A73,'11. TransferExport'!A:A,1,FALSE)),"N","Y")</f>
        <v>Y</v>
      </c>
      <c r="M73" s="1" t="str">
        <f>IF(ISERROR(VLOOKUP(A73,'11. TransferExport'!B:B,1,FALSE)),"N","Y")</f>
        <v>N</v>
      </c>
      <c r="N73">
        <f>IF(L73="Y",-SUMIF('11. TransferExport'!A:A,A73,'11. TransferExport'!D:D),IF(M73="Y",SUMIF('11. TransferExport'!B:B,A73,'11. TransferExport'!D:D),0))</f>
        <v>-14.85</v>
      </c>
      <c r="O73">
        <f>IF(L73="Y",-SUMIF('11. TransferExport'!A:A,A73,'11. TransferExport'!E:E),IF(M73="Y",SUMIF('11. TransferExport'!B:B,A73,'11. TransferExport'!E:E),0))</f>
        <v>-8.32</v>
      </c>
      <c r="P73">
        <f>IF(L73="Y",-SUMIF('11. TransferExport'!A:A,A73,'11. TransferExport'!F:F),IF(M73="Y",SUMIF('11. TransferExport'!B:B,A73,'11. TransferExport'!F:F),0))</f>
        <v>-6.46</v>
      </c>
      <c r="Q73">
        <f>IF(L73="Y",-SUMIF('11. TransferExport'!A:A,A73,'11. TransferExport'!G:G),IF(M73="Y",SUMIF('11. TransferExport'!B:B,A73,'11. TransferExport'!G:G),0))</f>
        <v>0</v>
      </c>
      <c r="R73" s="91">
        <f t="shared" si="14"/>
        <v>-14.552447934321453</v>
      </c>
      <c r="S73">
        <f>IF(L73="Y",-SUMIF('11. TransferExport'!$A:$A,$A73,'11. TransferExport'!L:L),IF(M73="Y",SUMIF('11. TransferExport'!$B:$B,$A73,'11. TransferExport'!L:L),0))</f>
        <v>-14.84</v>
      </c>
      <c r="T73">
        <f>IF($L73="Y",-SUMIF('11. TransferExport'!$A:$A,$A73,'11. TransferExport'!M:M),IF($M73="Y",SUMIF('11. TransferExport'!$B:$B,$A73,'11. TransferExport'!M:M),0))</f>
        <v>-0.23755206567854895</v>
      </c>
      <c r="U73">
        <f>IF($L73="Y",-SUMIF('11. TransferExport'!$A:$A,$A73,'11. TransferExport'!N:N),IF($M73="Y",SUMIF('11. TransferExport'!$B:$B,$A73,'11. TransferExport'!N:N),0))</f>
        <v>0</v>
      </c>
      <c r="V73">
        <f>IF($L73="Y",-SUMIF('11. TransferExport'!$A:$A,$A73,'11. TransferExport'!O:O),IF($M73="Y",SUMIF('11. TransferExport'!$B:$B,$A73,'11. TransferExport'!O:O),0))</f>
        <v>0</v>
      </c>
      <c r="W73" s="90">
        <f t="shared" si="15"/>
        <v>7.4940054162198066E-16</v>
      </c>
      <c r="X73" s="90">
        <f t="shared" si="16"/>
        <v>0</v>
      </c>
      <c r="Y73" s="90">
        <f t="shared" si="17"/>
        <v>0</v>
      </c>
      <c r="Z73" s="90">
        <f t="shared" si="18"/>
        <v>0</v>
      </c>
      <c r="AA73" s="91">
        <f t="shared" si="19"/>
        <v>0</v>
      </c>
      <c r="AB73" s="96">
        <f>VLOOKUP(A73,'8. Demand data categorization'!A:N,3,FALSE)</f>
        <v>4</v>
      </c>
      <c r="AC73" s="95" t="str">
        <f>VLOOKUP(A73,'8. Demand data categorization'!A:N,14,FALSE)</f>
        <v>Y</v>
      </c>
      <c r="AD73" t="str">
        <f t="shared" si="20"/>
        <v>No Change</v>
      </c>
    </row>
    <row r="74" spans="1:30" x14ac:dyDescent="0.25">
      <c r="A74" s="107" t="s">
        <v>86</v>
      </c>
      <c r="B74" t="str">
        <f>IF(ISERROR(VLOOKUP(A74, '8. Demand data categorization'!A:M,13,FALSE)),"ERROR",IF((VLOOKUP(A74, '8. Demand data categorization'!A:M,13,FALSE))="-","Riparian",IF(OR(VLOOKUP(A74, '8. Demand data categorization'!A:M,13,FALSE)="1971-1990",VLOOKUP(A74, '8. Demand data categorization'!A:M,13,FALSE)="1991-Present"),"1971-Present",VLOOKUP(A74, '8. Demand data categorization'!A:M,13,FALSE))))</f>
        <v>Pre-1949 + 1949</v>
      </c>
      <c r="C74" s="84" t="str">
        <f>VLOOKUP(A74,'12. eWRIMS_Export'!A:K,7,FALSE)</f>
        <v>MILLVIEW COUNTY WATER DISTRICT</v>
      </c>
      <c r="D74">
        <f>VLOOKUP(A74,'8. Demand data categorization'!A:AJ,30,FALSE)</f>
        <v>4.8600000000000003</v>
      </c>
      <c r="E74">
        <f>VLOOKUP(A74,'8. Demand data categorization'!A:AJ,31,FALSE)</f>
        <v>2.2599999999999998</v>
      </c>
      <c r="F74">
        <f>VLOOKUP(A74,'8. Demand data categorization'!A:AJ,32,FALSE)</f>
        <v>0</v>
      </c>
      <c r="G74" s="84">
        <f>VLOOKUP(A74,'8. Demand data categorization'!A:AJ,33,FALSE)</f>
        <v>0</v>
      </c>
      <c r="H74" s="80">
        <f>IF(ISERROR(VLOOKUP($A74,'8. Demand data categorization'!$A:$AV,30,FALSE)),0,(VLOOKUP($A74,'8. Demand data categorization'!$A:$AV,30,FALSE))*(1-VLOOKUP($B74,'2. Forbearance thresholds'!$A$16:$F$25,3,FALSE)))</f>
        <v>4.8600000000000003</v>
      </c>
      <c r="I74" s="80">
        <f>IF(ISERROR(VLOOKUP($A74,'8. Demand data categorization'!$A:$AV,31,FALSE)),0,(VLOOKUP($A74,'8. Demand data categorization'!$A:$AV,31,FALSE))*(1-VLOOKUP($B74,'2. Forbearance thresholds'!$A$16:$F$25,4,FALSE)))</f>
        <v>6.4605014251927856E-2</v>
      </c>
      <c r="J74" s="80">
        <f>IF(ISERROR(VLOOKUP($A74,'8. Demand data categorization'!$A:$AV,32,FALSE)),0,(VLOOKUP($A74,'8. Demand data categorization'!$A:$AV,32,FALSE))*(1-VLOOKUP($B74,'2. Forbearance thresholds'!$A$16:$F$25,5,FALSE)))</f>
        <v>0</v>
      </c>
      <c r="K74" s="89">
        <f>IF(ISERROR(VLOOKUP($A74,'8. Demand data categorization'!$A:$AV,33,FALSE)),0,(VLOOKUP($A74,'8. Demand data categorization'!$A:$AV,33,FALSE))*(1-VLOOKUP($B74,'2. Forbearance thresholds'!$A$16:$F$25,6,FALSE)))</f>
        <v>0</v>
      </c>
      <c r="L74" s="1" t="str">
        <f>IF(ISERROR(VLOOKUP(A74,'11. TransferExport'!A:A,1,FALSE)),"N","Y")</f>
        <v>N</v>
      </c>
      <c r="M74" s="1" t="str">
        <f>IF(ISERROR(VLOOKUP(A74,'11. TransferExport'!B:B,1,FALSE)),"N","Y")</f>
        <v>N</v>
      </c>
      <c r="N74">
        <f>IF(L74="Y",-SUMIF('11. TransferExport'!A:A,A74,'11. TransferExport'!D:D),IF(M74="Y",SUMIF('11. TransferExport'!B:B,A74,'11. TransferExport'!D:D),0))</f>
        <v>0</v>
      </c>
      <c r="O74">
        <f>IF(L74="Y",-SUMIF('11. TransferExport'!A:A,A74,'11. TransferExport'!E:E),IF(M74="Y",SUMIF('11. TransferExport'!B:B,A74,'11. TransferExport'!E:E),0))</f>
        <v>0</v>
      </c>
      <c r="P74">
        <f>IF(L74="Y",-SUMIF('11. TransferExport'!A:A,A74,'11. TransferExport'!F:F),IF(M74="Y",SUMIF('11. TransferExport'!B:B,A74,'11. TransferExport'!F:F),0))</f>
        <v>0</v>
      </c>
      <c r="Q74">
        <f>IF(L74="Y",-SUMIF('11. TransferExport'!A:A,A74,'11. TransferExport'!G:G),IF(M74="Y",SUMIF('11. TransferExport'!B:B,A74,'11. TransferExport'!G:G),0))</f>
        <v>0</v>
      </c>
      <c r="R74" s="91">
        <f t="shared" si="14"/>
        <v>4.9246050142519282</v>
      </c>
      <c r="S74">
        <f>IF(L74="Y",-SUMIF('11. TransferExport'!$A:$A,$A74,'11. TransferExport'!L:L),IF(M74="Y",SUMIF('11. TransferExport'!$B:$B,$A74,'11. TransferExport'!L:L),0))</f>
        <v>0</v>
      </c>
      <c r="T74">
        <f>IF($L74="Y",-SUMIF('11. TransferExport'!$A:$A,$A74,'11. TransferExport'!M:M),IF($M74="Y",SUMIF('11. TransferExport'!$B:$B,$A74,'11. TransferExport'!M:M),0))</f>
        <v>0</v>
      </c>
      <c r="U74">
        <f>IF($L74="Y",-SUMIF('11. TransferExport'!$A:$A,$A74,'11. TransferExport'!N:N),IF($M74="Y",SUMIF('11. TransferExport'!$B:$B,$A74,'11. TransferExport'!N:N),0))</f>
        <v>0</v>
      </c>
      <c r="V74">
        <f>IF($L74="Y",-SUMIF('11. TransferExport'!$A:$A,$A74,'11. TransferExport'!O:O),IF($M74="Y",SUMIF('11. TransferExport'!$B:$B,$A74,'11. TransferExport'!O:O),0))</f>
        <v>0</v>
      </c>
      <c r="W74" s="90">
        <f t="shared" si="15"/>
        <v>4.9246050142519282</v>
      </c>
      <c r="X74" s="90">
        <f t="shared" si="16"/>
        <v>4.8600000000000003</v>
      </c>
      <c r="Y74" s="90">
        <f t="shared" si="17"/>
        <v>6.4605014251927856E-2</v>
      </c>
      <c r="Z74" s="90">
        <f t="shared" si="18"/>
        <v>0</v>
      </c>
      <c r="AA74" s="91">
        <f t="shared" si="19"/>
        <v>0</v>
      </c>
      <c r="AB74" s="96">
        <f>VLOOKUP(A74,'8. Demand data categorization'!A:N,3,FALSE)</f>
        <v>4</v>
      </c>
      <c r="AC74" s="95" t="str">
        <f>VLOOKUP(A74,'8. Demand data categorization'!A:N,14,FALSE)</f>
        <v>Y</v>
      </c>
      <c r="AD74" t="str">
        <f t="shared" si="20"/>
        <v>No Change</v>
      </c>
    </row>
    <row r="75" spans="1:30" x14ac:dyDescent="0.25">
      <c r="A75" s="107" t="s">
        <v>133</v>
      </c>
      <c r="B75" t="str">
        <f>IF(ISERROR(VLOOKUP(A75, '8. Demand data categorization'!A:M,13,FALSE)),"ERROR",IF((VLOOKUP(A75, '8. Demand data categorization'!A:M,13,FALSE))="-","Riparian",IF(OR(VLOOKUP(A75, '8. Demand data categorization'!A:M,13,FALSE)="1971-1990",VLOOKUP(A75, '8. Demand data categorization'!A:M,13,FALSE)="1991-Present"),"1971-Present",VLOOKUP(A75, '8. Demand data categorization'!A:M,13,FALSE))))</f>
        <v>1960-1970</v>
      </c>
      <c r="C75" s="84" t="str">
        <f>VLOOKUP(A75,'12. eWRIMS_Export'!A:K,7,FALSE)</f>
        <v>MILLVIEW COUNTY WATER DISTRICT</v>
      </c>
      <c r="D75">
        <f>VLOOKUP(A75,'8. Demand data categorization'!A:AJ,30,FALSE)</f>
        <v>0</v>
      </c>
      <c r="E75">
        <f>VLOOKUP(A75,'8. Demand data categorization'!A:AJ,31,FALSE)</f>
        <v>0</v>
      </c>
      <c r="F75">
        <f>VLOOKUP(A75,'8. Demand data categorization'!A:AJ,32,FALSE)</f>
        <v>0</v>
      </c>
      <c r="G75" s="84">
        <f>VLOOKUP(A75,'8. Demand data categorization'!A:AJ,33,FALSE)</f>
        <v>0</v>
      </c>
      <c r="H75" s="80">
        <f>IF(ISERROR(VLOOKUP($A75,'8. Demand data categorization'!$A:$AV,30,FALSE)),0,(VLOOKUP($A75,'8. Demand data categorization'!$A:$AV,30,FALSE))*(1-VLOOKUP($B75,'2. Forbearance thresholds'!$A$16:$F$25,3,FALSE)))</f>
        <v>0</v>
      </c>
      <c r="I75" s="80">
        <f>IF(ISERROR(VLOOKUP($A75,'8. Demand data categorization'!$A:$AV,31,FALSE)),0,(VLOOKUP($A75,'8. Demand data categorization'!$A:$AV,31,FALSE))*(1-VLOOKUP($B75,'2. Forbearance thresholds'!$A$16:$F$25,4,FALSE)))</f>
        <v>0</v>
      </c>
      <c r="J75" s="80">
        <f>IF(ISERROR(VLOOKUP($A75,'8. Demand data categorization'!$A:$AV,32,FALSE)),0,(VLOOKUP($A75,'8. Demand data categorization'!$A:$AV,32,FALSE))*(1-VLOOKUP($B75,'2. Forbearance thresholds'!$A$16:$F$25,5,FALSE)))</f>
        <v>0</v>
      </c>
      <c r="K75" s="89">
        <f>IF(ISERROR(VLOOKUP($A75,'8. Demand data categorization'!$A:$AV,33,FALSE)),0,(VLOOKUP($A75,'8. Demand data categorization'!$A:$AV,33,FALSE))*(1-VLOOKUP($B75,'2. Forbearance thresholds'!$A$16:$F$25,6,FALSE)))</f>
        <v>0</v>
      </c>
      <c r="L75" s="1" t="str">
        <f>IF(ISERROR(VLOOKUP(A75,'11. TransferExport'!A:A,1,FALSE)),"N","Y")</f>
        <v>N</v>
      </c>
      <c r="M75" s="1" t="str">
        <f>IF(ISERROR(VLOOKUP(A75,'11. TransferExport'!B:B,1,FALSE)),"N","Y")</f>
        <v>N</v>
      </c>
      <c r="N75">
        <f>IF(L75="Y",-SUMIF('11. TransferExport'!A:A,A75,'11. TransferExport'!D:D),IF(M75="Y",SUMIF('11. TransferExport'!B:B,A75,'11. TransferExport'!D:D),0))</f>
        <v>0</v>
      </c>
      <c r="O75">
        <f>IF(L75="Y",-SUMIF('11. TransferExport'!A:A,A75,'11. TransferExport'!E:E),IF(M75="Y",SUMIF('11. TransferExport'!B:B,A75,'11. TransferExport'!E:E),0))</f>
        <v>0</v>
      </c>
      <c r="P75">
        <f>IF(L75="Y",-SUMIF('11. TransferExport'!A:A,A75,'11. TransferExport'!F:F),IF(M75="Y",SUMIF('11. TransferExport'!B:B,A75,'11. TransferExport'!F:F),0))</f>
        <v>0</v>
      </c>
      <c r="Q75">
        <f>IF(L75="Y",-SUMIF('11. TransferExport'!A:A,A75,'11. TransferExport'!G:G),IF(M75="Y",SUMIF('11. TransferExport'!B:B,A75,'11. TransferExport'!G:G),0))</f>
        <v>0</v>
      </c>
      <c r="R75" s="91">
        <f t="shared" si="14"/>
        <v>0</v>
      </c>
      <c r="S75">
        <f>IF(L75="Y",-SUMIF('11. TransferExport'!$A:$A,$A75,'11. TransferExport'!L:L),IF(M75="Y",SUMIF('11. TransferExport'!$B:$B,$A75,'11. TransferExport'!L:L),0))</f>
        <v>0</v>
      </c>
      <c r="T75">
        <f>IF($L75="Y",-SUMIF('11. TransferExport'!$A:$A,$A75,'11. TransferExport'!M:M),IF($M75="Y",SUMIF('11. TransferExport'!$B:$B,$A75,'11. TransferExport'!M:M),0))</f>
        <v>0</v>
      </c>
      <c r="U75">
        <f>IF($L75="Y",-SUMIF('11. TransferExport'!$A:$A,$A75,'11. TransferExport'!N:N),IF($M75="Y",SUMIF('11. TransferExport'!$B:$B,$A75,'11. TransferExport'!N:N),0))</f>
        <v>0</v>
      </c>
      <c r="V75">
        <f>IF($L75="Y",-SUMIF('11. TransferExport'!$A:$A,$A75,'11. TransferExport'!O:O),IF($M75="Y",SUMIF('11. TransferExport'!$B:$B,$A75,'11. TransferExport'!O:O),0))</f>
        <v>0</v>
      </c>
      <c r="W75" s="90">
        <f t="shared" si="15"/>
        <v>0</v>
      </c>
      <c r="X75" s="90">
        <f t="shared" si="16"/>
        <v>0</v>
      </c>
      <c r="Y75" s="90">
        <f t="shared" si="17"/>
        <v>0</v>
      </c>
      <c r="Z75" s="90">
        <f t="shared" si="18"/>
        <v>0</v>
      </c>
      <c r="AA75" s="91">
        <f t="shared" si="19"/>
        <v>0</v>
      </c>
      <c r="AB75" s="96">
        <f>VLOOKUP(A75,'8. Demand data categorization'!A:N,3,FALSE)</f>
        <v>4</v>
      </c>
      <c r="AC75" s="95" t="str">
        <f>VLOOKUP(A75,'8. Demand data categorization'!A:N,14,FALSE)</f>
        <v>Y</v>
      </c>
      <c r="AD75" t="str">
        <f t="shared" si="20"/>
        <v>Giving</v>
      </c>
    </row>
    <row r="76" spans="1:30" x14ac:dyDescent="0.25">
      <c r="A76" s="107" t="s">
        <v>134</v>
      </c>
      <c r="B76" t="str">
        <f>IF(ISERROR(VLOOKUP(A76, '8. Demand data categorization'!A:M,13,FALSE)),"ERROR",IF((VLOOKUP(A76, '8. Demand data categorization'!A:M,13,FALSE))="-","Riparian",IF(OR(VLOOKUP(A76, '8. Demand data categorization'!A:M,13,FALSE)="1971-1990",VLOOKUP(A76, '8. Demand data categorization'!A:M,13,FALSE)="1991-Present"),"1971-Present",VLOOKUP(A76, '8. Demand data categorization'!A:M,13,FALSE))))</f>
        <v>1971-Present</v>
      </c>
      <c r="C76" s="84" t="str">
        <f>VLOOKUP(A76,'12. eWRIMS_Export'!A:K,7,FALSE)</f>
        <v>MILLVIEW COUNTY WATER DISTRICT</v>
      </c>
      <c r="D76">
        <f>VLOOKUP(A76,'8. Demand data categorization'!A:AJ,30,FALSE)</f>
        <v>0</v>
      </c>
      <c r="E76">
        <f>VLOOKUP(A76,'8. Demand data categorization'!A:AJ,31,FALSE)</f>
        <v>0</v>
      </c>
      <c r="F76">
        <f>VLOOKUP(A76,'8. Demand data categorization'!A:AJ,32,FALSE)</f>
        <v>0</v>
      </c>
      <c r="G76" s="84">
        <f>VLOOKUP(A76,'8. Demand data categorization'!A:AJ,33,FALSE)</f>
        <v>0</v>
      </c>
      <c r="H76" s="80">
        <f>IF(ISERROR(VLOOKUP($A76,'8. Demand data categorization'!$A:$AV,30,FALSE)),0,(VLOOKUP($A76,'8. Demand data categorization'!$A:$AV,30,FALSE))*(1-VLOOKUP($B76,'2. Forbearance thresholds'!$A$16:$F$25,3,FALSE)))</f>
        <v>0</v>
      </c>
      <c r="I76" s="80">
        <f>IF(ISERROR(VLOOKUP($A76,'8. Demand data categorization'!$A:$AV,31,FALSE)),0,(VLOOKUP($A76,'8. Demand data categorization'!$A:$AV,31,FALSE))*(1-VLOOKUP($B76,'2. Forbearance thresholds'!$A$16:$F$25,4,FALSE)))</f>
        <v>0</v>
      </c>
      <c r="J76" s="80">
        <f>IF(ISERROR(VLOOKUP($A76,'8. Demand data categorization'!$A:$AV,32,FALSE)),0,(VLOOKUP($A76,'8. Demand data categorization'!$A:$AV,32,FALSE))*(1-VLOOKUP($B76,'2. Forbearance thresholds'!$A$16:$F$25,5,FALSE)))</f>
        <v>0</v>
      </c>
      <c r="K76" s="89">
        <f>IF(ISERROR(VLOOKUP($A76,'8. Demand data categorization'!$A:$AV,33,FALSE)),0,(VLOOKUP($A76,'8. Demand data categorization'!$A:$AV,33,FALSE))*(1-VLOOKUP($B76,'2. Forbearance thresholds'!$A$16:$F$25,6,FALSE)))</f>
        <v>0</v>
      </c>
      <c r="L76" s="1" t="str">
        <f>IF(ISERROR(VLOOKUP(A76,'11. TransferExport'!A:A,1,FALSE)),"N","Y")</f>
        <v>N</v>
      </c>
      <c r="M76" s="1" t="str">
        <f>IF(ISERROR(VLOOKUP(A76,'11. TransferExport'!B:B,1,FALSE)),"N","Y")</f>
        <v>N</v>
      </c>
      <c r="N76">
        <f>IF(L76="Y",-SUMIF('11. TransferExport'!A:A,A76,'11. TransferExport'!D:D),IF(M76="Y",SUMIF('11. TransferExport'!B:B,A76,'11. TransferExport'!D:D),0))</f>
        <v>0</v>
      </c>
      <c r="O76">
        <f>IF(L76="Y",-SUMIF('11. TransferExport'!A:A,A76,'11. TransferExport'!E:E),IF(M76="Y",SUMIF('11. TransferExport'!B:B,A76,'11. TransferExport'!E:E),0))</f>
        <v>0</v>
      </c>
      <c r="P76">
        <f>IF(L76="Y",-SUMIF('11. TransferExport'!A:A,A76,'11. TransferExport'!F:F),IF(M76="Y",SUMIF('11. TransferExport'!B:B,A76,'11. TransferExport'!F:F),0))</f>
        <v>0</v>
      </c>
      <c r="Q76">
        <f>IF(L76="Y",-SUMIF('11. TransferExport'!A:A,A76,'11. TransferExport'!G:G),IF(M76="Y",SUMIF('11. TransferExport'!B:B,A76,'11. TransferExport'!G:G),0))</f>
        <v>0</v>
      </c>
      <c r="R76" s="91">
        <f t="shared" si="14"/>
        <v>0</v>
      </c>
      <c r="S76">
        <f>IF(L76="Y",-SUMIF('11. TransferExport'!$A:$A,$A76,'11. TransferExport'!L:L),IF(M76="Y",SUMIF('11. TransferExport'!$B:$B,$A76,'11. TransferExport'!L:L),0))</f>
        <v>0</v>
      </c>
      <c r="T76">
        <f>IF($L76="Y",-SUMIF('11. TransferExport'!$A:$A,$A76,'11. TransferExport'!M:M),IF($M76="Y",SUMIF('11. TransferExport'!$B:$B,$A76,'11. TransferExport'!M:M),0))</f>
        <v>0</v>
      </c>
      <c r="U76">
        <f>IF($L76="Y",-SUMIF('11. TransferExport'!$A:$A,$A76,'11. TransferExport'!N:N),IF($M76="Y",SUMIF('11. TransferExport'!$B:$B,$A76,'11. TransferExport'!N:N),0))</f>
        <v>0</v>
      </c>
      <c r="V76">
        <f>IF($L76="Y",-SUMIF('11. TransferExport'!$A:$A,$A76,'11. TransferExport'!O:O),IF($M76="Y",SUMIF('11. TransferExport'!$B:$B,$A76,'11. TransferExport'!O:O),0))</f>
        <v>0</v>
      </c>
      <c r="W76" s="90">
        <f t="shared" si="15"/>
        <v>0</v>
      </c>
      <c r="X76" s="90">
        <f t="shared" si="16"/>
        <v>0</v>
      </c>
      <c r="Y76" s="90">
        <f t="shared" si="17"/>
        <v>0</v>
      </c>
      <c r="Z76" s="90">
        <f t="shared" si="18"/>
        <v>0</v>
      </c>
      <c r="AA76" s="91">
        <f t="shared" si="19"/>
        <v>0</v>
      </c>
      <c r="AB76" s="96">
        <f>VLOOKUP(A76,'8. Demand data categorization'!A:N,3,FALSE)</f>
        <v>4</v>
      </c>
      <c r="AC76" s="95" t="str">
        <f>VLOOKUP(A76,'8. Demand data categorization'!A:N,14,FALSE)</f>
        <v>Y</v>
      </c>
      <c r="AD76" t="str">
        <f t="shared" si="20"/>
        <v>Giving</v>
      </c>
    </row>
    <row r="77" spans="1:30" x14ac:dyDescent="0.25">
      <c r="A77" s="107" t="s">
        <v>135</v>
      </c>
      <c r="B77" t="str">
        <f>IF(ISERROR(VLOOKUP(A77, '8. Demand data categorization'!A:M,13,FALSE)),"ERROR",IF((VLOOKUP(A77, '8. Demand data categorization'!A:M,13,FALSE))="-","Riparian",IF(OR(VLOOKUP(A77, '8. Demand data categorization'!A:M,13,FALSE)="1971-1990",VLOOKUP(A77, '8. Demand data categorization'!A:M,13,FALSE)="1991-Present"),"1971-Present",VLOOKUP(A77, '8. Demand data categorization'!A:M,13,FALSE))))</f>
        <v>Riparian</v>
      </c>
      <c r="C77" s="84" t="str">
        <f>VLOOKUP(A77,'12. eWRIMS_Export'!A:K,7,FALSE)</f>
        <v>MILLVIEW COUNTY WATER DISTRICT</v>
      </c>
      <c r="D77">
        <f>VLOOKUP(A77,'8. Demand data categorization'!A:AJ,30,FALSE)</f>
        <v>19.21</v>
      </c>
      <c r="E77">
        <f>VLOOKUP(A77,'8. Demand data categorization'!A:AJ,31,FALSE)</f>
        <v>10.119999999999999</v>
      </c>
      <c r="F77">
        <f>VLOOKUP(A77,'8. Demand data categorization'!A:AJ,32,FALSE)</f>
        <v>10.119999999999999</v>
      </c>
      <c r="G77" s="84">
        <f>VLOOKUP(A77,'8. Demand data categorization'!A:AJ,33,FALSE)</f>
        <v>0</v>
      </c>
      <c r="H77" s="80">
        <f>IF(ISERROR(VLOOKUP($A77,'8. Demand data categorization'!$A:$AV,30,FALSE)),0,(VLOOKUP($A77,'8. Demand data categorization'!$A:$AV,30,FALSE))*(1-VLOOKUP($B77,'2. Forbearance thresholds'!$A$16:$F$25,3,FALSE)))</f>
        <v>14.716393698138596</v>
      </c>
      <c r="I77" s="80">
        <f>IF(ISERROR(VLOOKUP($A77,'8. Demand data categorization'!$A:$AV,31,FALSE)),0,(VLOOKUP($A77,'8. Demand data categorization'!$A:$AV,31,FALSE))*(1-VLOOKUP($B77,'2. Forbearance thresholds'!$A$16:$F$25,4,FALSE)))</f>
        <v>0.28929324965907521</v>
      </c>
      <c r="J77" s="80">
        <f>IF(ISERROR(VLOOKUP($A77,'8. Demand data categorization'!$A:$AV,32,FALSE)),0,(VLOOKUP($A77,'8. Demand data categorization'!$A:$AV,32,FALSE))*(1-VLOOKUP($B77,'2. Forbearance thresholds'!$A$16:$F$25,5,FALSE)))</f>
        <v>0</v>
      </c>
      <c r="K77" s="89">
        <f>IF(ISERROR(VLOOKUP($A77,'8. Demand data categorization'!$A:$AV,33,FALSE)),0,(VLOOKUP($A77,'8. Demand data categorization'!$A:$AV,33,FALSE))*(1-VLOOKUP($B77,'2. Forbearance thresholds'!$A$16:$F$25,6,FALSE)))</f>
        <v>0</v>
      </c>
      <c r="L77" s="1" t="str">
        <f>IF(ISERROR(VLOOKUP(A77,'11. TransferExport'!A:A,1,FALSE)),"N","Y")</f>
        <v>N</v>
      </c>
      <c r="M77" s="1" t="str">
        <f>IF(ISERROR(VLOOKUP(A77,'11. TransferExport'!B:B,1,FALSE)),"N","Y")</f>
        <v>N</v>
      </c>
      <c r="N77">
        <f>IF(L77="Y",-SUMIF('11. TransferExport'!A:A,A77,'11. TransferExport'!D:D),IF(M77="Y",SUMIF('11. TransferExport'!B:B,A77,'11. TransferExport'!D:D),0))</f>
        <v>0</v>
      </c>
      <c r="O77">
        <f>IF(L77="Y",-SUMIF('11. TransferExport'!A:A,A77,'11. TransferExport'!E:E),IF(M77="Y",SUMIF('11. TransferExport'!B:B,A77,'11. TransferExport'!E:E),0))</f>
        <v>0</v>
      </c>
      <c r="P77">
        <f>IF(L77="Y",-SUMIF('11. TransferExport'!A:A,A77,'11. TransferExport'!F:F),IF(M77="Y",SUMIF('11. TransferExport'!B:B,A77,'11. TransferExport'!F:F),0))</f>
        <v>0</v>
      </c>
      <c r="Q77">
        <f>IF(L77="Y",-SUMIF('11. TransferExport'!A:A,A77,'11. TransferExport'!G:G),IF(M77="Y",SUMIF('11. TransferExport'!B:B,A77,'11. TransferExport'!G:G),0))</f>
        <v>0</v>
      </c>
      <c r="R77" s="91">
        <f t="shared" si="14"/>
        <v>15.00568694779767</v>
      </c>
      <c r="S77">
        <f>IF(L77="Y",-SUMIF('11. TransferExport'!$A:$A,$A77,'11. TransferExport'!L:L),IF(M77="Y",SUMIF('11. TransferExport'!$B:$B,$A77,'11. TransferExport'!L:L),0))</f>
        <v>0</v>
      </c>
      <c r="T77">
        <f>IF($L77="Y",-SUMIF('11. TransferExport'!$A:$A,$A77,'11. TransferExport'!M:M),IF($M77="Y",SUMIF('11. TransferExport'!$B:$B,$A77,'11. TransferExport'!M:M),0))</f>
        <v>0</v>
      </c>
      <c r="U77">
        <f>IF($L77="Y",-SUMIF('11. TransferExport'!$A:$A,$A77,'11. TransferExport'!N:N),IF($M77="Y",SUMIF('11. TransferExport'!$B:$B,$A77,'11. TransferExport'!N:N),0))</f>
        <v>0</v>
      </c>
      <c r="V77">
        <f>IF($L77="Y",-SUMIF('11. TransferExport'!$A:$A,$A77,'11. TransferExport'!O:O),IF($M77="Y",SUMIF('11. TransferExport'!$B:$B,$A77,'11. TransferExport'!O:O),0))</f>
        <v>0</v>
      </c>
      <c r="W77" s="90">
        <f t="shared" si="15"/>
        <v>15.00568694779767</v>
      </c>
      <c r="X77" s="90">
        <f t="shared" si="16"/>
        <v>14.716393698138596</v>
      </c>
      <c r="Y77" s="90">
        <f t="shared" si="17"/>
        <v>0.28929324965907521</v>
      </c>
      <c r="Z77" s="90">
        <f t="shared" si="18"/>
        <v>0</v>
      </c>
      <c r="AA77" s="91">
        <f t="shared" si="19"/>
        <v>0</v>
      </c>
      <c r="AB77" s="96">
        <f>VLOOKUP(A77,'8. Demand data categorization'!A:N,3,FALSE)</f>
        <v>4</v>
      </c>
      <c r="AC77" s="95" t="str">
        <f>VLOOKUP(A77,'8. Demand data categorization'!A:N,14,FALSE)</f>
        <v>Y</v>
      </c>
      <c r="AD77" t="str">
        <f t="shared" si="20"/>
        <v>Taking</v>
      </c>
    </row>
    <row r="78" spans="1:30" x14ac:dyDescent="0.25">
      <c r="A78" s="107" t="s">
        <v>158</v>
      </c>
      <c r="B78" t="str">
        <f>IF(ISERROR(VLOOKUP(A78, '8. Demand data categorization'!A:M,13,FALSE)),"ERROR",IF((VLOOKUP(A78, '8. Demand data categorization'!A:M,13,FALSE))="-","Riparian",IF(OR(VLOOKUP(A78, '8. Demand data categorization'!A:M,13,FALSE)="1971-1990",VLOOKUP(A78, '8. Demand data categorization'!A:M,13,FALSE)="1991-Present"),"1971-Present",VLOOKUP(A78, '8. Demand data categorization'!A:M,13,FALSE))))</f>
        <v>1957-1959</v>
      </c>
      <c r="C78" s="84" t="str">
        <f>VLOOKUP(A78,'12. eWRIMS_Export'!A:K,7,FALSE)</f>
        <v>MILLVIEW COUNTY WATER DISTRICT</v>
      </c>
      <c r="D78">
        <f>VLOOKUP(A78,'8. Demand data categorization'!A:AJ,30,FALSE)</f>
        <v>0</v>
      </c>
      <c r="E78">
        <f>VLOOKUP(A78,'8. Demand data categorization'!A:AJ,31,FALSE)</f>
        <v>0</v>
      </c>
      <c r="F78">
        <f>VLOOKUP(A78,'8. Demand data categorization'!A:AJ,32,FALSE)</f>
        <v>0</v>
      </c>
      <c r="G78" s="84">
        <f>VLOOKUP(A78,'8. Demand data categorization'!A:AJ,33,FALSE)</f>
        <v>0</v>
      </c>
      <c r="H78" s="80">
        <f>IF(ISERROR(VLOOKUP($A78,'8. Demand data categorization'!$A:$AV,30,FALSE)),0,(VLOOKUP($A78,'8. Demand data categorization'!$A:$AV,30,FALSE))*(1-VLOOKUP($B78,'2. Forbearance thresholds'!$A$16:$F$25,3,FALSE)))</f>
        <v>0</v>
      </c>
      <c r="I78" s="80">
        <f>IF(ISERROR(VLOOKUP($A78,'8. Demand data categorization'!$A:$AV,31,FALSE)),0,(VLOOKUP($A78,'8. Demand data categorization'!$A:$AV,31,FALSE))*(1-VLOOKUP($B78,'2. Forbearance thresholds'!$A$16:$F$25,4,FALSE)))</f>
        <v>0</v>
      </c>
      <c r="J78" s="80">
        <f>IF(ISERROR(VLOOKUP($A78,'8. Demand data categorization'!$A:$AV,32,FALSE)),0,(VLOOKUP($A78,'8. Demand data categorization'!$A:$AV,32,FALSE))*(1-VLOOKUP($B78,'2. Forbearance thresholds'!$A$16:$F$25,5,FALSE)))</f>
        <v>0</v>
      </c>
      <c r="K78" s="89">
        <f>IF(ISERROR(VLOOKUP($A78,'8. Demand data categorization'!$A:$AV,33,FALSE)),0,(VLOOKUP($A78,'8. Demand data categorization'!$A:$AV,33,FALSE))*(1-VLOOKUP($B78,'2. Forbearance thresholds'!$A$16:$F$25,6,FALSE)))</f>
        <v>0</v>
      </c>
      <c r="L78" s="1" t="str">
        <f>IF(ISERROR(VLOOKUP(A78,'11. TransferExport'!A:A,1,FALSE)),"N","Y")</f>
        <v>N</v>
      </c>
      <c r="M78" s="1" t="str">
        <f>IF(ISERROR(VLOOKUP(A78,'11. TransferExport'!B:B,1,FALSE)),"N","Y")</f>
        <v>N</v>
      </c>
      <c r="N78">
        <f>IF(L78="Y",-SUMIF('11. TransferExport'!A:A,A78,'11. TransferExport'!D:D),IF(M78="Y",SUMIF('11. TransferExport'!B:B,A78,'11. TransferExport'!D:D),0))</f>
        <v>0</v>
      </c>
      <c r="O78">
        <f>IF(L78="Y",-SUMIF('11. TransferExport'!A:A,A78,'11. TransferExport'!E:E),IF(M78="Y",SUMIF('11. TransferExport'!B:B,A78,'11. TransferExport'!E:E),0))</f>
        <v>0</v>
      </c>
      <c r="P78">
        <f>IF(L78="Y",-SUMIF('11. TransferExport'!A:A,A78,'11. TransferExport'!F:F),IF(M78="Y",SUMIF('11. TransferExport'!B:B,A78,'11. TransferExport'!F:F),0))</f>
        <v>0</v>
      </c>
      <c r="Q78">
        <f>IF(L78="Y",-SUMIF('11. TransferExport'!A:A,A78,'11. TransferExport'!G:G),IF(M78="Y",SUMIF('11. TransferExport'!B:B,A78,'11. TransferExport'!G:G),0))</f>
        <v>0</v>
      </c>
      <c r="R78" s="91">
        <f t="shared" si="14"/>
        <v>0</v>
      </c>
      <c r="S78">
        <f>IF(L78="Y",-SUMIF('11. TransferExport'!$A:$A,$A78,'11. TransferExport'!L:L),IF(M78="Y",SUMIF('11. TransferExport'!$B:$B,$A78,'11. TransferExport'!L:L),0))</f>
        <v>0</v>
      </c>
      <c r="T78">
        <f>IF($L78="Y",-SUMIF('11. TransferExport'!$A:$A,$A78,'11. TransferExport'!M:M),IF($M78="Y",SUMIF('11. TransferExport'!$B:$B,$A78,'11. TransferExport'!M:M),0))</f>
        <v>0</v>
      </c>
      <c r="U78">
        <f>IF($L78="Y",-SUMIF('11. TransferExport'!$A:$A,$A78,'11. TransferExport'!N:N),IF($M78="Y",SUMIF('11. TransferExport'!$B:$B,$A78,'11. TransferExport'!N:N),0))</f>
        <v>0</v>
      </c>
      <c r="V78">
        <f>IF($L78="Y",-SUMIF('11. TransferExport'!$A:$A,$A78,'11. TransferExport'!O:O),IF($M78="Y",SUMIF('11. TransferExport'!$B:$B,$A78,'11. TransferExport'!O:O),0))</f>
        <v>0</v>
      </c>
      <c r="W78" s="90">
        <f t="shared" si="15"/>
        <v>0</v>
      </c>
      <c r="X78" s="90">
        <f t="shared" si="16"/>
        <v>0</v>
      </c>
      <c r="Y78" s="90">
        <f t="shared" si="17"/>
        <v>0</v>
      </c>
      <c r="Z78" s="90">
        <f t="shared" si="18"/>
        <v>0</v>
      </c>
      <c r="AA78" s="91">
        <f t="shared" si="19"/>
        <v>0</v>
      </c>
      <c r="AB78" s="96">
        <f>VLOOKUP(A78,'8. Demand data categorization'!A:N,3,FALSE)</f>
        <v>4</v>
      </c>
      <c r="AC78" s="95" t="str">
        <f>VLOOKUP(A78,'8. Demand data categorization'!A:N,14,FALSE)</f>
        <v>Y</v>
      </c>
      <c r="AD78" t="str">
        <f t="shared" si="20"/>
        <v>Giving</v>
      </c>
    </row>
    <row r="79" spans="1:30" x14ac:dyDescent="0.25">
      <c r="A79" s="107" t="s">
        <v>92</v>
      </c>
      <c r="B79" t="str">
        <f>IF(ISERROR(VLOOKUP(A79, '8. Demand data categorization'!A:M,13,FALSE)),"ERROR",IF((VLOOKUP(A79, '8. Demand data categorization'!A:M,13,FALSE))="-","Riparian",IF(OR(VLOOKUP(A79, '8. Demand data categorization'!A:M,13,FALSE)="1971-1990",VLOOKUP(A79, '8. Demand data categorization'!A:M,13,FALSE)="1991-Present"),"1971-Present",VLOOKUP(A79, '8. Demand data categorization'!A:M,13,FALSE))))</f>
        <v>1957-1959</v>
      </c>
      <c r="C79" s="84" t="str">
        <f>VLOOKUP(A79,'12. eWRIMS_Export'!A:K,7,FALSE)</f>
        <v>MILOVINA VINEYARDS</v>
      </c>
      <c r="D79">
        <f>VLOOKUP(A79,'8. Demand data categorization'!A:AJ,30,FALSE)</f>
        <v>0.7</v>
      </c>
      <c r="E79">
        <f>VLOOKUP(A79,'8. Demand data categorization'!A:AJ,31,FALSE)</f>
        <v>0.33</v>
      </c>
      <c r="F79">
        <f>VLOOKUP(A79,'8. Demand data categorization'!A:AJ,32,FALSE)</f>
        <v>0.3</v>
      </c>
      <c r="G79" s="84">
        <f>VLOOKUP(A79,'8. Demand data categorization'!A:AJ,33,FALSE)</f>
        <v>0</v>
      </c>
      <c r="H79" s="80">
        <f>IF(ISERROR(VLOOKUP($A79,'8. Demand data categorization'!$A:$AV,30,FALSE)),0,(VLOOKUP($A79,'8. Demand data categorization'!$A:$AV,30,FALSE))*(1-VLOOKUP($B79,'2. Forbearance thresholds'!$A$16:$F$25,3,FALSE)))</f>
        <v>0.63</v>
      </c>
      <c r="I79" s="80">
        <f>IF(ISERROR(VLOOKUP($A79,'8. Demand data categorization'!$A:$AV,31,FALSE)),0,(VLOOKUP($A79,'8. Demand data categorization'!$A:$AV,31,FALSE))*(1-VLOOKUP($B79,'2. Forbearance thresholds'!$A$16:$F$25,4,FALSE)))</f>
        <v>9.4334755323611484E-3</v>
      </c>
      <c r="J79" s="80">
        <f>IF(ISERROR(VLOOKUP($A79,'8. Demand data categorization'!$A:$AV,32,FALSE)),0,(VLOOKUP($A79,'8. Demand data categorization'!$A:$AV,32,FALSE))*(1-VLOOKUP($B79,'2. Forbearance thresholds'!$A$16:$F$25,5,FALSE)))</f>
        <v>0</v>
      </c>
      <c r="K79" s="89">
        <f>IF(ISERROR(VLOOKUP($A79,'8. Demand data categorization'!$A:$AV,33,FALSE)),0,(VLOOKUP($A79,'8. Demand data categorization'!$A:$AV,33,FALSE))*(1-VLOOKUP($B79,'2. Forbearance thresholds'!$A$16:$F$25,6,FALSE)))</f>
        <v>0</v>
      </c>
      <c r="L79" s="1" t="str">
        <f>IF(ISERROR(VLOOKUP(A79,'11. TransferExport'!A:A,1,FALSE)),"N","Y")</f>
        <v>N</v>
      </c>
      <c r="M79" s="1" t="str">
        <f>IF(ISERROR(VLOOKUP(A79,'11. TransferExport'!B:B,1,FALSE)),"N","Y")</f>
        <v>Y</v>
      </c>
      <c r="N79">
        <f>IF(L79="Y",-SUMIF('11. TransferExport'!A:A,A79,'11. TransferExport'!D:D),IF(M79="Y",SUMIF('11. TransferExport'!B:B,A79,'11. TransferExport'!D:D),0))</f>
        <v>48.09</v>
      </c>
      <c r="O79">
        <f>IF(L79="Y",-SUMIF('11. TransferExport'!A:A,A79,'11. TransferExport'!E:E),IF(M79="Y",SUMIF('11. TransferExport'!B:B,A79,'11. TransferExport'!E:E),0))</f>
        <v>58.15</v>
      </c>
      <c r="P79">
        <f>IF(L79="Y",-SUMIF('11. TransferExport'!A:A,A79,'11. TransferExport'!F:F),IF(M79="Y",SUMIF('11. TransferExport'!B:B,A79,'11. TransferExport'!F:F),0))</f>
        <v>34.85</v>
      </c>
      <c r="Q79">
        <f>IF(L79="Y",-SUMIF('11. TransferExport'!A:A,A79,'11. TransferExport'!G:G),IF(M79="Y",SUMIF('11. TransferExport'!B:B,A79,'11. TransferExport'!G:G),0))</f>
        <v>11.48</v>
      </c>
      <c r="R79" s="91">
        <f t="shared" si="14"/>
        <v>153.20943347553236</v>
      </c>
      <c r="S79">
        <f>IF(L79="Y",-SUMIF('11. TransferExport'!$A:$A,$A79,'11. TransferExport'!L:L),IF(M79="Y",SUMIF('11. TransferExport'!$B:$B,$A79,'11. TransferExport'!L:L),0))</f>
        <v>45.519000000000005</v>
      </c>
      <c r="T79">
        <f>IF($L79="Y",-SUMIF('11. TransferExport'!$A:$A,$A79,'11. TransferExport'!M:M),IF($M79="Y",SUMIF('11. TransferExport'!$B:$B,$A79,'11. TransferExport'!M:M),0))</f>
        <v>1.6620068710650824</v>
      </c>
      <c r="U79">
        <f>IF($L79="Y",-SUMIF('11. TransferExport'!$A:$A,$A79,'11. TransferExport'!N:N),IF($M79="Y",SUMIF('11. TransferExport'!$B:$B,$A79,'11. TransferExport'!N:N),0))</f>
        <v>0</v>
      </c>
      <c r="V79">
        <f>IF($L79="Y",-SUMIF('11. TransferExport'!$A:$A,$A79,'11. TransferExport'!O:O),IF($M79="Y",SUMIF('11. TransferExport'!$B:$B,$A79,'11. TransferExport'!O:O),0))</f>
        <v>0</v>
      </c>
      <c r="W79" s="90">
        <f t="shared" si="15"/>
        <v>47.820440346597451</v>
      </c>
      <c r="X79" s="90">
        <f t="shared" si="16"/>
        <v>46.149000000000008</v>
      </c>
      <c r="Y79" s="90">
        <f t="shared" si="17"/>
        <v>1.6714403465974434</v>
      </c>
      <c r="Z79" s="90">
        <f t="shared" si="18"/>
        <v>0</v>
      </c>
      <c r="AA79" s="91">
        <f t="shared" si="19"/>
        <v>0</v>
      </c>
      <c r="AB79" s="96">
        <f>VLOOKUP(A79,'8. Demand data categorization'!A:N,3,FALSE)</f>
        <v>6</v>
      </c>
      <c r="AC79" s="95" t="str">
        <f>VLOOKUP(A79,'8. Demand data categorization'!A:N,14,FALSE)</f>
        <v>Y</v>
      </c>
      <c r="AD79" t="str">
        <f t="shared" si="20"/>
        <v>Giving</v>
      </c>
    </row>
    <row r="80" spans="1:30" x14ac:dyDescent="0.25">
      <c r="A80" s="107" t="s">
        <v>114</v>
      </c>
      <c r="B80" t="str">
        <f>IF(ISERROR(VLOOKUP(A80, '8. Demand data categorization'!A:M,13,FALSE)),"ERROR",IF((VLOOKUP(A80, '8. Demand data categorization'!A:M,13,FALSE))="-","Riparian",IF(OR(VLOOKUP(A80, '8. Demand data categorization'!A:M,13,FALSE)="1971-1990",VLOOKUP(A80, '8. Demand data categorization'!A:M,13,FALSE)="1991-Present"),"1971-Present",VLOOKUP(A80, '8. Demand data categorization'!A:M,13,FALSE))))</f>
        <v>1950-1952</v>
      </c>
      <c r="C80" s="84" t="str">
        <f>VLOOKUP(A80,'12. eWRIMS_Export'!A:K,7,FALSE)</f>
        <v>MILOVINA VINEYARDS</v>
      </c>
      <c r="D80">
        <f>VLOOKUP(A80,'8. Demand data categorization'!A:AJ,30,FALSE)</f>
        <v>25.71</v>
      </c>
      <c r="E80">
        <f>VLOOKUP(A80,'8. Demand data categorization'!A:AJ,31,FALSE)</f>
        <v>27.79</v>
      </c>
      <c r="F80">
        <f>VLOOKUP(A80,'8. Demand data categorization'!A:AJ,32,FALSE)</f>
        <v>19.010000000000002</v>
      </c>
      <c r="G80" s="84">
        <f>VLOOKUP(A80,'8. Demand data categorization'!A:AJ,33,FALSE)</f>
        <v>6.96</v>
      </c>
      <c r="H80" s="80">
        <f>IF(ISERROR(VLOOKUP($A80,'8. Demand data categorization'!$A:$AV,30,FALSE)),0,(VLOOKUP($A80,'8. Demand data categorization'!$A:$AV,30,FALSE))*(1-VLOOKUP($B80,'2. Forbearance thresholds'!$A$16:$F$25,3,FALSE)))</f>
        <v>23.139000000000003</v>
      </c>
      <c r="I80" s="80">
        <f>IF(ISERROR(VLOOKUP($A80,'8. Demand data categorization'!$A:$AV,31,FALSE)),0,(VLOOKUP($A80,'8. Demand data categorization'!$A:$AV,31,FALSE))*(1-VLOOKUP($B80,'2. Forbearance thresholds'!$A$16:$F$25,4,FALSE)))</f>
        <v>0.79441298498277668</v>
      </c>
      <c r="J80" s="80">
        <f>IF(ISERROR(VLOOKUP($A80,'8. Demand data categorization'!$A:$AV,32,FALSE)),0,(VLOOKUP($A80,'8. Demand data categorization'!$A:$AV,32,FALSE))*(1-VLOOKUP($B80,'2. Forbearance thresholds'!$A$16:$F$25,5,FALSE)))</f>
        <v>0</v>
      </c>
      <c r="K80" s="89">
        <f>IF(ISERROR(VLOOKUP($A80,'8. Demand data categorization'!$A:$AV,33,FALSE)),0,(VLOOKUP($A80,'8. Demand data categorization'!$A:$AV,33,FALSE))*(1-VLOOKUP($B80,'2. Forbearance thresholds'!$A$16:$F$25,6,FALSE)))</f>
        <v>0</v>
      </c>
      <c r="L80" s="1" t="str">
        <f>IF(ISERROR(VLOOKUP(A80,'11. TransferExport'!A:A,1,FALSE)),"N","Y")</f>
        <v>Y</v>
      </c>
      <c r="M80" s="1" t="str">
        <f>IF(ISERROR(VLOOKUP(A80,'11. TransferExport'!B:B,1,FALSE)),"N","Y")</f>
        <v>N</v>
      </c>
      <c r="N80">
        <f>IF(L80="Y",-SUMIF('11. TransferExport'!A:A,A80,'11. TransferExport'!D:D),IF(M80="Y",SUMIF('11. TransferExport'!B:B,A80,'11. TransferExport'!D:D),0))</f>
        <v>-25.71</v>
      </c>
      <c r="O80">
        <f>IF(L80="Y",-SUMIF('11. TransferExport'!A:A,A80,'11. TransferExport'!E:E),IF(M80="Y",SUMIF('11. TransferExport'!B:B,A80,'11. TransferExport'!E:E),0))</f>
        <v>-27.8</v>
      </c>
      <c r="P80">
        <f>IF(L80="Y",-SUMIF('11. TransferExport'!A:A,A80,'11. TransferExport'!F:F),IF(M80="Y",SUMIF('11. TransferExport'!B:B,A80,'11. TransferExport'!F:F),0))</f>
        <v>-19.010000000000002</v>
      </c>
      <c r="Q80">
        <f>IF(L80="Y",-SUMIF('11. TransferExport'!A:A,A80,'11. TransferExport'!G:G),IF(M80="Y",SUMIF('11. TransferExport'!B:B,A80,'11. TransferExport'!G:G),0))</f>
        <v>-6.97</v>
      </c>
      <c r="R80" s="91">
        <f t="shared" si="14"/>
        <v>-55.556587015017229</v>
      </c>
      <c r="S80">
        <f>IF(L80="Y",-SUMIF('11. TransferExport'!$A:$A,$A80,'11. TransferExport'!L:L),IF(M80="Y",SUMIF('11. TransferExport'!$B:$B,$A80,'11. TransferExport'!L:L),0))</f>
        <v>-23.139000000000003</v>
      </c>
      <c r="T80">
        <f>IF($L80="Y",-SUMIF('11. TransferExport'!$A:$A,$A80,'11. TransferExport'!M:M),IF($M80="Y",SUMIF('11. TransferExport'!$B:$B,$A80,'11. TransferExport'!M:M),0))</f>
        <v>-0.79441298498277668</v>
      </c>
      <c r="U80">
        <f>IF($L80="Y",-SUMIF('11. TransferExport'!$A:$A,$A80,'11. TransferExport'!N:N),IF($M80="Y",SUMIF('11. TransferExport'!$B:$B,$A80,'11. TransferExport'!N:N),0))</f>
        <v>0</v>
      </c>
      <c r="V80">
        <f>IF($L80="Y",-SUMIF('11. TransferExport'!$A:$A,$A80,'11. TransferExport'!O:O),IF($M80="Y",SUMIF('11. TransferExport'!$B:$B,$A80,'11. TransferExport'!O:O),0))</f>
        <v>0</v>
      </c>
      <c r="W80" s="90">
        <f t="shared" si="15"/>
        <v>7.7715611723760958E-16</v>
      </c>
      <c r="X80" s="90">
        <f t="shared" si="16"/>
        <v>0</v>
      </c>
      <c r="Y80" s="90">
        <f t="shared" si="17"/>
        <v>0</v>
      </c>
      <c r="Z80" s="90">
        <f t="shared" si="18"/>
        <v>0</v>
      </c>
      <c r="AA80" s="91">
        <f t="shared" si="19"/>
        <v>0</v>
      </c>
      <c r="AB80" s="96">
        <f>VLOOKUP(A80,'8. Demand data categorization'!A:N,3,FALSE)</f>
        <v>6</v>
      </c>
      <c r="AC80" s="95" t="str">
        <f>VLOOKUP(A80,'8. Demand data categorization'!A:N,14,FALSE)</f>
        <v>Y</v>
      </c>
      <c r="AD80" t="str">
        <f t="shared" si="20"/>
        <v>Giving</v>
      </c>
    </row>
    <row r="81" spans="1:30" x14ac:dyDescent="0.25">
      <c r="A81" s="107" t="s">
        <v>160</v>
      </c>
      <c r="B81" t="str">
        <f>IF(ISERROR(VLOOKUP(A81, '8. Demand data categorization'!A:M,13,FALSE)),"ERROR",IF((VLOOKUP(A81, '8. Demand data categorization'!A:M,13,FALSE))="-","Riparian",IF(OR(VLOOKUP(A81, '8. Demand data categorization'!A:M,13,FALSE)="1971-1990",VLOOKUP(A81, '8. Demand data categorization'!A:M,13,FALSE)="1991-Present"),"1971-Present",VLOOKUP(A81, '8. Demand data categorization'!A:M,13,FALSE))))</f>
        <v>Pre-1949 + 1949</v>
      </c>
      <c r="C81" s="84" t="str">
        <f>VLOOKUP(A81,'12. eWRIMS_Export'!A:K,7,FALSE)</f>
        <v>MILOVINA VINEYARDS</v>
      </c>
      <c r="D81">
        <f>VLOOKUP(A81,'8. Demand data categorization'!A:AJ,30,FALSE)</f>
        <v>18.37</v>
      </c>
      <c r="E81">
        <f>VLOOKUP(A81,'8. Demand data categorization'!A:AJ,31,FALSE)</f>
        <v>27.2</v>
      </c>
      <c r="F81">
        <f>VLOOKUP(A81,'8. Demand data categorization'!A:AJ,32,FALSE)</f>
        <v>15.83</v>
      </c>
      <c r="G81" s="84">
        <f>VLOOKUP(A81,'8. Demand data categorization'!A:AJ,33,FALSE)</f>
        <v>4.5</v>
      </c>
      <c r="H81" s="80">
        <f>IF(ISERROR(VLOOKUP($A81,'8. Demand data categorization'!$A:$AV,30,FALSE)),0,(VLOOKUP($A81,'8. Demand data categorization'!$A:$AV,30,FALSE))*(1-VLOOKUP($B81,'2. Forbearance thresholds'!$A$16:$F$25,3,FALSE)))</f>
        <v>18.37</v>
      </c>
      <c r="I81" s="80">
        <f>IF(ISERROR(VLOOKUP($A81,'8. Demand data categorization'!$A:$AV,31,FALSE)),0,(VLOOKUP($A81,'8. Demand data categorization'!$A:$AV,31,FALSE))*(1-VLOOKUP($B81,'2. Forbearance thresholds'!$A$16:$F$25,4,FALSE)))</f>
        <v>0.77754707418249469</v>
      </c>
      <c r="J81" s="80">
        <f>IF(ISERROR(VLOOKUP($A81,'8. Demand data categorization'!$A:$AV,32,FALSE)),0,(VLOOKUP($A81,'8. Demand data categorization'!$A:$AV,32,FALSE))*(1-VLOOKUP($B81,'2. Forbearance thresholds'!$A$16:$F$25,5,FALSE)))</f>
        <v>0</v>
      </c>
      <c r="K81" s="89">
        <f>IF(ISERROR(VLOOKUP($A81,'8. Demand data categorization'!$A:$AV,33,FALSE)),0,(VLOOKUP($A81,'8. Demand data categorization'!$A:$AV,33,FALSE))*(1-VLOOKUP($B81,'2. Forbearance thresholds'!$A$16:$F$25,6,FALSE)))</f>
        <v>0</v>
      </c>
      <c r="L81" s="1" t="str">
        <f>IF(ISERROR(VLOOKUP(A81,'11. TransferExport'!A:A,1,FALSE)),"N","Y")</f>
        <v>Y</v>
      </c>
      <c r="M81" s="1" t="str">
        <f>IF(ISERROR(VLOOKUP(A81,'11. TransferExport'!B:B,1,FALSE)),"N","Y")</f>
        <v>N</v>
      </c>
      <c r="N81">
        <f>IF(L81="Y",-SUMIF('11. TransferExport'!A:A,A81,'11. TransferExport'!D:D),IF(M81="Y",SUMIF('11. TransferExport'!B:B,A81,'11. TransferExport'!D:D),0))</f>
        <v>-18.37</v>
      </c>
      <c r="O81">
        <f>IF(L81="Y",-SUMIF('11. TransferExport'!A:A,A81,'11. TransferExport'!E:E),IF(M81="Y",SUMIF('11. TransferExport'!B:B,A81,'11. TransferExport'!E:E),0))</f>
        <v>-27.2</v>
      </c>
      <c r="P81">
        <f>IF(L81="Y",-SUMIF('11. TransferExport'!A:A,A81,'11. TransferExport'!F:F),IF(M81="Y",SUMIF('11. TransferExport'!B:B,A81,'11. TransferExport'!F:F),0))</f>
        <v>-15.84</v>
      </c>
      <c r="Q81">
        <f>IF(L81="Y",-SUMIF('11. TransferExport'!A:A,A81,'11. TransferExport'!G:G),IF(M81="Y",SUMIF('11. TransferExport'!B:B,A81,'11. TransferExport'!G:G),0))</f>
        <v>-4.51</v>
      </c>
      <c r="R81" s="91">
        <f t="shared" si="14"/>
        <v>-46.772452925817504</v>
      </c>
      <c r="S81">
        <f>IF(L81="Y",-SUMIF('11. TransferExport'!$A:$A,$A81,'11. TransferExport'!L:L),IF(M81="Y",SUMIF('11. TransferExport'!$B:$B,$A81,'11. TransferExport'!L:L),0))</f>
        <v>-18.37</v>
      </c>
      <c r="T81">
        <f>IF($L81="Y",-SUMIF('11. TransferExport'!$A:$A,$A81,'11. TransferExport'!M:M),IF($M81="Y",SUMIF('11. TransferExport'!$B:$B,$A81,'11. TransferExport'!M:M),0))</f>
        <v>-0.77754707418249469</v>
      </c>
      <c r="U81">
        <f>IF($L81="Y",-SUMIF('11. TransferExport'!$A:$A,$A81,'11. TransferExport'!N:N),IF($M81="Y",SUMIF('11. TransferExport'!$B:$B,$A81,'11. TransferExport'!N:N),0))</f>
        <v>0</v>
      </c>
      <c r="V81">
        <f>IF($L81="Y",-SUMIF('11. TransferExport'!$A:$A,$A81,'11. TransferExport'!O:O),IF($M81="Y",SUMIF('11. TransferExport'!$B:$B,$A81,'11. TransferExport'!O:O),0))</f>
        <v>0</v>
      </c>
      <c r="W81" s="90">
        <f t="shared" si="15"/>
        <v>-1.4432899320127035E-15</v>
      </c>
      <c r="X81" s="90">
        <f t="shared" si="16"/>
        <v>0</v>
      </c>
      <c r="Y81" s="90">
        <f t="shared" si="17"/>
        <v>0</v>
      </c>
      <c r="Z81" s="90">
        <f t="shared" si="18"/>
        <v>0</v>
      </c>
      <c r="AA81" s="91">
        <f t="shared" si="19"/>
        <v>0</v>
      </c>
      <c r="AB81" s="96">
        <f>VLOOKUP(A81,'8. Demand data categorization'!A:N,3,FALSE)</f>
        <v>6</v>
      </c>
      <c r="AC81" s="95" t="str">
        <f>VLOOKUP(A81,'8. Demand data categorization'!A:N,14,FALSE)</f>
        <v>Y</v>
      </c>
      <c r="AD81" t="str">
        <f t="shared" si="20"/>
        <v>No Change</v>
      </c>
    </row>
    <row r="82" spans="1:30" x14ac:dyDescent="0.25">
      <c r="A82" s="107" t="s">
        <v>88</v>
      </c>
      <c r="B82" t="str">
        <f>IF(ISERROR(VLOOKUP(A82, '8. Demand data categorization'!A:M,13,FALSE)),"ERROR",IF((VLOOKUP(A82, '8. Demand data categorization'!A:M,13,FALSE))="-","Riparian",IF(OR(VLOOKUP(A82, '8. Demand data categorization'!A:M,13,FALSE)="1971-1990",VLOOKUP(A82, '8. Demand data categorization'!A:M,13,FALSE)="1991-Present"),"1971-Present",VLOOKUP(A82, '8. Demand data categorization'!A:M,13,FALSE))))</f>
        <v>Riparian</v>
      </c>
      <c r="C82" s="84" t="str">
        <f>VLOOKUP(A82,'12. eWRIMS_Export'!A:K,7,FALSE)</f>
        <v>MURPHY VINEYARDS</v>
      </c>
      <c r="D82">
        <f>VLOOKUP(A82,'8. Demand data categorization'!A:AJ,30,FALSE)</f>
        <v>0</v>
      </c>
      <c r="E82">
        <f>VLOOKUP(A82,'8. Demand data categorization'!A:AJ,31,FALSE)</f>
        <v>0</v>
      </c>
      <c r="F82">
        <f>VLOOKUP(A82,'8. Demand data categorization'!A:AJ,32,FALSE)</f>
        <v>0</v>
      </c>
      <c r="G82" s="84">
        <f>VLOOKUP(A82,'8. Demand data categorization'!A:AJ,33,FALSE)</f>
        <v>0</v>
      </c>
      <c r="H82" s="80">
        <f>IF(ISERROR(VLOOKUP($A82,'8. Demand data categorization'!$A:$AV,30,FALSE)),0,(VLOOKUP($A82,'8. Demand data categorization'!$A:$AV,30,FALSE))*(1-VLOOKUP($B82,'2. Forbearance thresholds'!$A$16:$F$25,3,FALSE)))</f>
        <v>0</v>
      </c>
      <c r="I82" s="80">
        <f>IF(ISERROR(VLOOKUP($A82,'8. Demand data categorization'!$A:$AV,31,FALSE)),0,(VLOOKUP($A82,'8. Demand data categorization'!$A:$AV,31,FALSE))*(1-VLOOKUP($B82,'2. Forbearance thresholds'!$A$16:$F$25,4,FALSE)))</f>
        <v>0</v>
      </c>
      <c r="J82" s="80">
        <f>IF(ISERROR(VLOOKUP($A82,'8. Demand data categorization'!$A:$AV,32,FALSE)),0,(VLOOKUP($A82,'8. Demand data categorization'!$A:$AV,32,FALSE))*(1-VLOOKUP($B82,'2. Forbearance thresholds'!$A$16:$F$25,5,FALSE)))</f>
        <v>0</v>
      </c>
      <c r="K82" s="89">
        <f>IF(ISERROR(VLOOKUP($A82,'8. Demand data categorization'!$A:$AV,33,FALSE)),0,(VLOOKUP($A82,'8. Demand data categorization'!$A:$AV,33,FALSE))*(1-VLOOKUP($B82,'2. Forbearance thresholds'!$A$16:$F$25,6,FALSE)))</f>
        <v>0</v>
      </c>
      <c r="L82" s="1" t="str">
        <f>IF(ISERROR(VLOOKUP(A82,'11. TransferExport'!A:A,1,FALSE)),"N","Y")</f>
        <v>N</v>
      </c>
      <c r="M82" s="1" t="str">
        <f>IF(ISERROR(VLOOKUP(A82,'11. TransferExport'!B:B,1,FALSE)),"N","Y")</f>
        <v>N</v>
      </c>
      <c r="N82">
        <f>IF(L82="Y",-SUMIF('11. TransferExport'!A:A,A82,'11. TransferExport'!D:D),IF(M82="Y",SUMIF('11. TransferExport'!B:B,A82,'11. TransferExport'!D:D),0))</f>
        <v>0</v>
      </c>
      <c r="O82">
        <f>IF(L82="Y",-SUMIF('11. TransferExport'!A:A,A82,'11. TransferExport'!E:E),IF(M82="Y",SUMIF('11. TransferExport'!B:B,A82,'11. TransferExport'!E:E),0))</f>
        <v>0</v>
      </c>
      <c r="P82">
        <f>IF(L82="Y",-SUMIF('11. TransferExport'!A:A,A82,'11. TransferExport'!F:F),IF(M82="Y",SUMIF('11. TransferExport'!B:B,A82,'11. TransferExport'!F:F),0))</f>
        <v>0</v>
      </c>
      <c r="Q82">
        <f>IF(L82="Y",-SUMIF('11. TransferExport'!A:A,A82,'11. TransferExport'!G:G),IF(M82="Y",SUMIF('11. TransferExport'!B:B,A82,'11. TransferExport'!G:G),0))</f>
        <v>0</v>
      </c>
      <c r="R82" s="91">
        <f t="shared" si="14"/>
        <v>0</v>
      </c>
      <c r="S82">
        <f>IF(L82="Y",-SUMIF('11. TransferExport'!$A:$A,$A82,'11. TransferExport'!L:L),IF(M82="Y",SUMIF('11. TransferExport'!$B:$B,$A82,'11. TransferExport'!L:L),0))</f>
        <v>0</v>
      </c>
      <c r="T82">
        <f>IF($L82="Y",-SUMIF('11. TransferExport'!$A:$A,$A82,'11. TransferExport'!M:M),IF($M82="Y",SUMIF('11. TransferExport'!$B:$B,$A82,'11. TransferExport'!M:M),0))</f>
        <v>0</v>
      </c>
      <c r="U82">
        <f>IF($L82="Y",-SUMIF('11. TransferExport'!$A:$A,$A82,'11. TransferExport'!N:N),IF($M82="Y",SUMIF('11. TransferExport'!$B:$B,$A82,'11. TransferExport'!N:N),0))</f>
        <v>0</v>
      </c>
      <c r="V82">
        <f>IF($L82="Y",-SUMIF('11. TransferExport'!$A:$A,$A82,'11. TransferExport'!O:O),IF($M82="Y",SUMIF('11. TransferExport'!$B:$B,$A82,'11. TransferExport'!O:O),0))</f>
        <v>0</v>
      </c>
      <c r="W82" s="90">
        <f t="shared" si="15"/>
        <v>0</v>
      </c>
      <c r="X82" s="90">
        <f t="shared" si="16"/>
        <v>0</v>
      </c>
      <c r="Y82" s="90">
        <f t="shared" si="17"/>
        <v>0</v>
      </c>
      <c r="Z82" s="90">
        <f t="shared" si="18"/>
        <v>0</v>
      </c>
      <c r="AA82" s="91">
        <f t="shared" si="19"/>
        <v>0</v>
      </c>
      <c r="AB82" s="96">
        <f>VLOOKUP(A82,'8. Demand data categorization'!A:N,3,FALSE)</f>
        <v>10</v>
      </c>
      <c r="AC82" s="95" t="str">
        <f>VLOOKUP(A82,'8. Demand data categorization'!A:N,14,FALSE)</f>
        <v>Y</v>
      </c>
      <c r="AD82" t="str">
        <f t="shared" si="20"/>
        <v>Taking</v>
      </c>
    </row>
    <row r="83" spans="1:30" x14ac:dyDescent="0.25">
      <c r="A83" s="107" t="s">
        <v>136</v>
      </c>
      <c r="B83" t="str">
        <f>IF(ISERROR(VLOOKUP(A83, '8. Demand data categorization'!A:M,13,FALSE)),"ERROR",IF((VLOOKUP(A83, '8. Demand data categorization'!A:M,13,FALSE))="-","Riparian",IF(OR(VLOOKUP(A83, '8. Demand data categorization'!A:M,13,FALSE)="1971-1990",VLOOKUP(A83, '8. Demand data categorization'!A:M,13,FALSE)="1991-Present"),"1971-Present",VLOOKUP(A83, '8. Demand data categorization'!A:M,13,FALSE))))</f>
        <v>Riparian</v>
      </c>
      <c r="C83" s="84" t="str">
        <f>VLOOKUP(A83,'12. eWRIMS_Export'!A:K,7,FALSE)</f>
        <v>MURPHY VINEYARDS</v>
      </c>
      <c r="D83">
        <f>VLOOKUP(A83,'8. Demand data categorization'!A:AJ,30,FALSE)</f>
        <v>0</v>
      </c>
      <c r="E83">
        <f>VLOOKUP(A83,'8. Demand data categorization'!A:AJ,31,FALSE)</f>
        <v>0</v>
      </c>
      <c r="F83">
        <f>VLOOKUP(A83,'8. Demand data categorization'!A:AJ,32,FALSE)</f>
        <v>0</v>
      </c>
      <c r="G83" s="84">
        <f>VLOOKUP(A83,'8. Demand data categorization'!A:AJ,33,FALSE)</f>
        <v>0</v>
      </c>
      <c r="H83" s="80">
        <f>IF(ISERROR(VLOOKUP($A83,'8. Demand data categorization'!$A:$AV,30,FALSE)),0,(VLOOKUP($A83,'8. Demand data categorization'!$A:$AV,30,FALSE))*(1-VLOOKUP($B83,'2. Forbearance thresholds'!$A$16:$F$25,3,FALSE)))</f>
        <v>0</v>
      </c>
      <c r="I83" s="80">
        <f>IF(ISERROR(VLOOKUP($A83,'8. Demand data categorization'!$A:$AV,31,FALSE)),0,(VLOOKUP($A83,'8. Demand data categorization'!$A:$AV,31,FALSE))*(1-VLOOKUP($B83,'2. Forbearance thresholds'!$A$16:$F$25,4,FALSE)))</f>
        <v>0</v>
      </c>
      <c r="J83" s="80">
        <f>IF(ISERROR(VLOOKUP($A83,'8. Demand data categorization'!$A:$AV,32,FALSE)),0,(VLOOKUP($A83,'8. Demand data categorization'!$A:$AV,32,FALSE))*(1-VLOOKUP($B83,'2. Forbearance thresholds'!$A$16:$F$25,5,FALSE)))</f>
        <v>0</v>
      </c>
      <c r="K83" s="89">
        <f>IF(ISERROR(VLOOKUP($A83,'8. Demand data categorization'!$A:$AV,33,FALSE)),0,(VLOOKUP($A83,'8. Demand data categorization'!$A:$AV,33,FALSE))*(1-VLOOKUP($B83,'2. Forbearance thresholds'!$A$16:$F$25,6,FALSE)))</f>
        <v>0</v>
      </c>
      <c r="L83" s="1" t="str">
        <f>IF(ISERROR(VLOOKUP(A83,'11. TransferExport'!A:A,1,FALSE)),"N","Y")</f>
        <v>N</v>
      </c>
      <c r="M83" s="1" t="str">
        <f>IF(ISERROR(VLOOKUP(A83,'11. TransferExport'!B:B,1,FALSE)),"N","Y")</f>
        <v>N</v>
      </c>
      <c r="N83">
        <f>IF(L83="Y",-SUMIF('11. TransferExport'!A:A,A83,'11. TransferExport'!D:D),IF(M83="Y",SUMIF('11. TransferExport'!B:B,A83,'11. TransferExport'!D:D),0))</f>
        <v>0</v>
      </c>
      <c r="O83">
        <f>IF(L83="Y",-SUMIF('11. TransferExport'!A:A,A83,'11. TransferExport'!E:E),IF(M83="Y",SUMIF('11. TransferExport'!B:B,A83,'11. TransferExport'!E:E),0))</f>
        <v>0</v>
      </c>
      <c r="P83">
        <f>IF(L83="Y",-SUMIF('11. TransferExport'!A:A,A83,'11. TransferExport'!F:F),IF(M83="Y",SUMIF('11. TransferExport'!B:B,A83,'11. TransferExport'!F:F),0))</f>
        <v>0</v>
      </c>
      <c r="Q83">
        <f>IF(L83="Y",-SUMIF('11. TransferExport'!A:A,A83,'11. TransferExport'!G:G),IF(M83="Y",SUMIF('11. TransferExport'!B:B,A83,'11. TransferExport'!G:G),0))</f>
        <v>0</v>
      </c>
      <c r="R83" s="91">
        <f t="shared" si="14"/>
        <v>0</v>
      </c>
      <c r="S83">
        <f>IF(L83="Y",-SUMIF('11. TransferExport'!$A:$A,$A83,'11. TransferExport'!L:L),IF(M83="Y",SUMIF('11. TransferExport'!$B:$B,$A83,'11. TransferExport'!L:L),0))</f>
        <v>0</v>
      </c>
      <c r="T83">
        <f>IF($L83="Y",-SUMIF('11. TransferExport'!$A:$A,$A83,'11. TransferExport'!M:M),IF($M83="Y",SUMIF('11. TransferExport'!$B:$B,$A83,'11. TransferExport'!M:M),0))</f>
        <v>0</v>
      </c>
      <c r="U83">
        <f>IF($L83="Y",-SUMIF('11. TransferExport'!$A:$A,$A83,'11. TransferExport'!N:N),IF($M83="Y",SUMIF('11. TransferExport'!$B:$B,$A83,'11. TransferExport'!N:N),0))</f>
        <v>0</v>
      </c>
      <c r="V83">
        <f>IF($L83="Y",-SUMIF('11. TransferExport'!$A:$A,$A83,'11. TransferExport'!O:O),IF($M83="Y",SUMIF('11. TransferExport'!$B:$B,$A83,'11. TransferExport'!O:O),0))</f>
        <v>0</v>
      </c>
      <c r="W83" s="90">
        <f t="shared" si="15"/>
        <v>0</v>
      </c>
      <c r="X83" s="90">
        <f t="shared" si="16"/>
        <v>0</v>
      </c>
      <c r="Y83" s="90">
        <f t="shared" si="17"/>
        <v>0</v>
      </c>
      <c r="Z83" s="90">
        <f t="shared" si="18"/>
        <v>0</v>
      </c>
      <c r="AA83" s="91">
        <f t="shared" si="19"/>
        <v>0</v>
      </c>
      <c r="AB83" s="96">
        <f>VLOOKUP(A83,'8. Demand data categorization'!A:N,3,FALSE)</f>
        <v>10</v>
      </c>
      <c r="AC83" s="95" t="str">
        <f>VLOOKUP(A83,'8. Demand data categorization'!A:N,14,FALSE)</f>
        <v>Y</v>
      </c>
      <c r="AD83" t="str">
        <f t="shared" si="20"/>
        <v>Taking</v>
      </c>
    </row>
    <row r="84" spans="1:30" x14ac:dyDescent="0.25">
      <c r="A84" s="107" t="s">
        <v>137</v>
      </c>
      <c r="B84" t="str">
        <f>IF(ISERROR(VLOOKUP(A84, '8. Demand data categorization'!A:M,13,FALSE)),"ERROR",IF((VLOOKUP(A84, '8. Demand data categorization'!A:M,13,FALSE))="-","Riparian",IF(OR(VLOOKUP(A84, '8. Demand data categorization'!A:M,13,FALSE)="1971-1990",VLOOKUP(A84, '8. Demand data categorization'!A:M,13,FALSE)="1991-Present"),"1971-Present",VLOOKUP(A84, '8. Demand data categorization'!A:M,13,FALSE))))</f>
        <v>Riparian</v>
      </c>
      <c r="C84" s="84" t="str">
        <f>VLOOKUP(A84,'12. eWRIMS_Export'!A:K,7,FALSE)</f>
        <v>MURPHY VINEYARDS</v>
      </c>
      <c r="D84">
        <f>VLOOKUP(A84,'8. Demand data categorization'!A:AJ,30,FALSE)</f>
        <v>0</v>
      </c>
      <c r="E84">
        <f>VLOOKUP(A84,'8. Demand data categorization'!A:AJ,31,FALSE)</f>
        <v>0</v>
      </c>
      <c r="F84">
        <f>VLOOKUP(A84,'8. Demand data categorization'!A:AJ,32,FALSE)</f>
        <v>0</v>
      </c>
      <c r="G84" s="84">
        <f>VLOOKUP(A84,'8. Demand data categorization'!A:AJ,33,FALSE)</f>
        <v>0</v>
      </c>
      <c r="H84" s="80">
        <f>IF(ISERROR(VLOOKUP($A84,'8. Demand data categorization'!$A:$AV,30,FALSE)),0,(VLOOKUP($A84,'8. Demand data categorization'!$A:$AV,30,FALSE))*(1-VLOOKUP($B84,'2. Forbearance thresholds'!$A$16:$F$25,3,FALSE)))</f>
        <v>0</v>
      </c>
      <c r="I84" s="80">
        <f>IF(ISERROR(VLOOKUP($A84,'8. Demand data categorization'!$A:$AV,31,FALSE)),0,(VLOOKUP($A84,'8. Demand data categorization'!$A:$AV,31,FALSE))*(1-VLOOKUP($B84,'2. Forbearance thresholds'!$A$16:$F$25,4,FALSE)))</f>
        <v>0</v>
      </c>
      <c r="J84" s="80">
        <f>IF(ISERROR(VLOOKUP($A84,'8. Demand data categorization'!$A:$AV,32,FALSE)),0,(VLOOKUP($A84,'8. Demand data categorization'!$A:$AV,32,FALSE))*(1-VLOOKUP($B84,'2. Forbearance thresholds'!$A$16:$F$25,5,FALSE)))</f>
        <v>0</v>
      </c>
      <c r="K84" s="89">
        <f>IF(ISERROR(VLOOKUP($A84,'8. Demand data categorization'!$A:$AV,33,FALSE)),0,(VLOOKUP($A84,'8. Demand data categorization'!$A:$AV,33,FALSE))*(1-VLOOKUP($B84,'2. Forbearance thresholds'!$A$16:$F$25,6,FALSE)))</f>
        <v>0</v>
      </c>
      <c r="L84" s="1" t="str">
        <f>IF(ISERROR(VLOOKUP(A84,'11. TransferExport'!A:A,1,FALSE)),"N","Y")</f>
        <v>N</v>
      </c>
      <c r="M84" s="1" t="str">
        <f>IF(ISERROR(VLOOKUP(A84,'11. TransferExport'!B:B,1,FALSE)),"N","Y")</f>
        <v>N</v>
      </c>
      <c r="N84">
        <f>IF(L84="Y",-SUMIF('11. TransferExport'!A:A,A84,'11. TransferExport'!D:D),IF(M84="Y",SUMIF('11. TransferExport'!B:B,A84,'11. TransferExport'!D:D),0))</f>
        <v>0</v>
      </c>
      <c r="O84">
        <f>IF(L84="Y",-SUMIF('11. TransferExport'!A:A,A84,'11. TransferExport'!E:E),IF(M84="Y",SUMIF('11. TransferExport'!B:B,A84,'11. TransferExport'!E:E),0))</f>
        <v>0</v>
      </c>
      <c r="P84">
        <f>IF(L84="Y",-SUMIF('11. TransferExport'!A:A,A84,'11. TransferExport'!F:F),IF(M84="Y",SUMIF('11. TransferExport'!B:B,A84,'11. TransferExport'!F:F),0))</f>
        <v>0</v>
      </c>
      <c r="Q84">
        <f>IF(L84="Y",-SUMIF('11. TransferExport'!A:A,A84,'11. TransferExport'!G:G),IF(M84="Y",SUMIF('11. TransferExport'!B:B,A84,'11. TransferExport'!G:G),0))</f>
        <v>0</v>
      </c>
      <c r="R84" s="91">
        <f t="shared" si="14"/>
        <v>0</v>
      </c>
      <c r="S84">
        <f>IF(L84="Y",-SUMIF('11. TransferExport'!$A:$A,$A84,'11. TransferExport'!L:L),IF(M84="Y",SUMIF('11. TransferExport'!$B:$B,$A84,'11. TransferExport'!L:L),0))</f>
        <v>0</v>
      </c>
      <c r="T84">
        <f>IF($L84="Y",-SUMIF('11. TransferExport'!$A:$A,$A84,'11. TransferExport'!M:M),IF($M84="Y",SUMIF('11. TransferExport'!$B:$B,$A84,'11. TransferExport'!M:M),0))</f>
        <v>0</v>
      </c>
      <c r="U84">
        <f>IF($L84="Y",-SUMIF('11. TransferExport'!$A:$A,$A84,'11. TransferExport'!N:N),IF($M84="Y",SUMIF('11. TransferExport'!$B:$B,$A84,'11. TransferExport'!N:N),0))</f>
        <v>0</v>
      </c>
      <c r="V84">
        <f>IF($L84="Y",-SUMIF('11. TransferExport'!$A:$A,$A84,'11. TransferExport'!O:O),IF($M84="Y",SUMIF('11. TransferExport'!$B:$B,$A84,'11. TransferExport'!O:O),0))</f>
        <v>0</v>
      </c>
      <c r="W84" s="90">
        <f t="shared" si="15"/>
        <v>0</v>
      </c>
      <c r="X84" s="90">
        <f t="shared" si="16"/>
        <v>0</v>
      </c>
      <c r="Y84" s="90">
        <f t="shared" si="17"/>
        <v>0</v>
      </c>
      <c r="Z84" s="90">
        <f t="shared" si="18"/>
        <v>0</v>
      </c>
      <c r="AA84" s="91">
        <f t="shared" si="19"/>
        <v>0</v>
      </c>
      <c r="AB84" s="96">
        <f>VLOOKUP(A84,'8. Demand data categorization'!A:N,3,FALSE)</f>
        <v>10</v>
      </c>
      <c r="AC84" s="95" t="str">
        <f>VLOOKUP(A84,'8. Demand data categorization'!A:N,14,FALSE)</f>
        <v>Y</v>
      </c>
      <c r="AD84" t="str">
        <f t="shared" si="20"/>
        <v>Taking</v>
      </c>
    </row>
    <row r="85" spans="1:30" x14ac:dyDescent="0.25">
      <c r="A85" s="107" t="s">
        <v>138</v>
      </c>
      <c r="B85" t="str">
        <f>IF(ISERROR(VLOOKUP(A85, '8. Demand data categorization'!A:M,13,FALSE)),"ERROR",IF((VLOOKUP(A85, '8. Demand data categorization'!A:M,13,FALSE))="-","Riparian",IF(OR(VLOOKUP(A85, '8. Demand data categorization'!A:M,13,FALSE)="1971-1990",VLOOKUP(A85, '8. Demand data categorization'!A:M,13,FALSE)="1991-Present"),"1971-Present",VLOOKUP(A85, '8. Demand data categorization'!A:M,13,FALSE))))</f>
        <v>Riparian</v>
      </c>
      <c r="C85" s="84" t="str">
        <f>VLOOKUP(A85,'12. eWRIMS_Export'!A:K,7,FALSE)</f>
        <v>MURPHY VINEYARDS</v>
      </c>
      <c r="D85">
        <f>VLOOKUP(A85,'8. Demand data categorization'!A:AJ,30,FALSE)</f>
        <v>0</v>
      </c>
      <c r="E85">
        <f>VLOOKUP(A85,'8. Demand data categorization'!A:AJ,31,FALSE)</f>
        <v>0</v>
      </c>
      <c r="F85">
        <f>VLOOKUP(A85,'8. Demand data categorization'!A:AJ,32,FALSE)</f>
        <v>0</v>
      </c>
      <c r="G85" s="84">
        <f>VLOOKUP(A85,'8. Demand data categorization'!A:AJ,33,FALSE)</f>
        <v>0</v>
      </c>
      <c r="H85" s="80">
        <f>IF(ISERROR(VLOOKUP($A85,'8. Demand data categorization'!$A:$AV,30,FALSE)),0,(VLOOKUP($A85,'8. Demand data categorization'!$A:$AV,30,FALSE))*(1-VLOOKUP($B85,'2. Forbearance thresholds'!$A$16:$F$25,3,FALSE)))</f>
        <v>0</v>
      </c>
      <c r="I85" s="80">
        <f>IF(ISERROR(VLOOKUP($A85,'8. Demand data categorization'!$A:$AV,31,FALSE)),0,(VLOOKUP($A85,'8. Demand data categorization'!$A:$AV,31,FALSE))*(1-VLOOKUP($B85,'2. Forbearance thresholds'!$A$16:$F$25,4,FALSE)))</f>
        <v>0</v>
      </c>
      <c r="J85" s="80">
        <f>IF(ISERROR(VLOOKUP($A85,'8. Demand data categorization'!$A:$AV,32,FALSE)),0,(VLOOKUP($A85,'8. Demand data categorization'!$A:$AV,32,FALSE))*(1-VLOOKUP($B85,'2. Forbearance thresholds'!$A$16:$F$25,5,FALSE)))</f>
        <v>0</v>
      </c>
      <c r="K85" s="89">
        <f>IF(ISERROR(VLOOKUP($A85,'8. Demand data categorization'!$A:$AV,33,FALSE)),0,(VLOOKUP($A85,'8. Demand data categorization'!$A:$AV,33,FALSE))*(1-VLOOKUP($B85,'2. Forbearance thresholds'!$A$16:$F$25,6,FALSE)))</f>
        <v>0</v>
      </c>
      <c r="L85" s="1" t="str">
        <f>IF(ISERROR(VLOOKUP(A85,'11. TransferExport'!A:A,1,FALSE)),"N","Y")</f>
        <v>N</v>
      </c>
      <c r="M85" s="1" t="str">
        <f>IF(ISERROR(VLOOKUP(A85,'11. TransferExport'!B:B,1,FALSE)),"N","Y")</f>
        <v>N</v>
      </c>
      <c r="N85">
        <f>IF(L85="Y",-SUMIF('11. TransferExport'!A:A,A85,'11. TransferExport'!D:D),IF(M85="Y",SUMIF('11. TransferExport'!B:B,A85,'11. TransferExport'!D:D),0))</f>
        <v>0</v>
      </c>
      <c r="O85">
        <f>IF(L85="Y",-SUMIF('11. TransferExport'!A:A,A85,'11. TransferExport'!E:E),IF(M85="Y",SUMIF('11. TransferExport'!B:B,A85,'11. TransferExport'!E:E),0))</f>
        <v>0</v>
      </c>
      <c r="P85">
        <f>IF(L85="Y",-SUMIF('11. TransferExport'!A:A,A85,'11. TransferExport'!F:F),IF(M85="Y",SUMIF('11. TransferExport'!B:B,A85,'11. TransferExport'!F:F),0))</f>
        <v>0</v>
      </c>
      <c r="Q85">
        <f>IF(L85="Y",-SUMIF('11. TransferExport'!A:A,A85,'11. TransferExport'!G:G),IF(M85="Y",SUMIF('11. TransferExport'!B:B,A85,'11. TransferExport'!G:G),0))</f>
        <v>0</v>
      </c>
      <c r="R85" s="91">
        <f t="shared" si="14"/>
        <v>0</v>
      </c>
      <c r="S85">
        <f>IF(L85="Y",-SUMIF('11. TransferExport'!$A:$A,$A85,'11. TransferExport'!L:L),IF(M85="Y",SUMIF('11. TransferExport'!$B:$B,$A85,'11. TransferExport'!L:L),0))</f>
        <v>0</v>
      </c>
      <c r="T85">
        <f>IF($L85="Y",-SUMIF('11. TransferExport'!$A:$A,$A85,'11. TransferExport'!M:M),IF($M85="Y",SUMIF('11. TransferExport'!$B:$B,$A85,'11. TransferExport'!M:M),0))</f>
        <v>0</v>
      </c>
      <c r="U85">
        <f>IF($L85="Y",-SUMIF('11. TransferExport'!$A:$A,$A85,'11. TransferExport'!N:N),IF($M85="Y",SUMIF('11. TransferExport'!$B:$B,$A85,'11. TransferExport'!N:N),0))</f>
        <v>0</v>
      </c>
      <c r="V85">
        <f>IF($L85="Y",-SUMIF('11. TransferExport'!$A:$A,$A85,'11. TransferExport'!O:O),IF($M85="Y",SUMIF('11. TransferExport'!$B:$B,$A85,'11. TransferExport'!O:O),0))</f>
        <v>0</v>
      </c>
      <c r="W85" s="90">
        <f t="shared" si="15"/>
        <v>0</v>
      </c>
      <c r="X85" s="90">
        <f t="shared" si="16"/>
        <v>0</v>
      </c>
      <c r="Y85" s="90">
        <f t="shared" si="17"/>
        <v>0</v>
      </c>
      <c r="Z85" s="90">
        <f t="shared" si="18"/>
        <v>0</v>
      </c>
      <c r="AA85" s="91">
        <f t="shared" si="19"/>
        <v>0</v>
      </c>
      <c r="AB85" s="96">
        <f>VLOOKUP(A85,'8. Demand data categorization'!A:N,3,FALSE)</f>
        <v>10</v>
      </c>
      <c r="AC85" s="95" t="str">
        <f>VLOOKUP(A85,'8. Demand data categorization'!A:N,14,FALSE)</f>
        <v>Y</v>
      </c>
      <c r="AD85" t="str">
        <f t="shared" si="20"/>
        <v>Taking</v>
      </c>
    </row>
    <row r="86" spans="1:30" x14ac:dyDescent="0.25">
      <c r="A86" s="107" t="s">
        <v>139</v>
      </c>
      <c r="B86" t="str">
        <f>IF(ISERROR(VLOOKUP(A86, '8. Demand data categorization'!A:M,13,FALSE)),"ERROR",IF((VLOOKUP(A86, '8. Demand data categorization'!A:M,13,FALSE))="-","Riparian",IF(OR(VLOOKUP(A86, '8. Demand data categorization'!A:M,13,FALSE)="1971-1990",VLOOKUP(A86, '8. Demand data categorization'!A:M,13,FALSE)="1991-Present"),"1971-Present",VLOOKUP(A86, '8. Demand data categorization'!A:M,13,FALSE))))</f>
        <v>Riparian</v>
      </c>
      <c r="C86" s="84" t="str">
        <f>VLOOKUP(A86,'12. eWRIMS_Export'!A:K,7,FALSE)</f>
        <v>MURPHY VINEYARDS</v>
      </c>
      <c r="D86">
        <f>VLOOKUP(A86,'8. Demand data categorization'!A:AJ,30,FALSE)</f>
        <v>4.33</v>
      </c>
      <c r="E86">
        <f>VLOOKUP(A86,'8. Demand data categorization'!A:AJ,31,FALSE)</f>
        <v>4</v>
      </c>
      <c r="F86">
        <f>VLOOKUP(A86,'8. Demand data categorization'!A:AJ,32,FALSE)</f>
        <v>3.33</v>
      </c>
      <c r="G86" s="84">
        <f>VLOOKUP(A86,'8. Demand data categorization'!A:AJ,33,FALSE)</f>
        <v>2.66</v>
      </c>
      <c r="H86" s="80">
        <f>IF(ISERROR(VLOOKUP($A86,'8. Demand data categorization'!$A:$AV,30,FALSE)),0,(VLOOKUP($A86,'8. Demand data categorization'!$A:$AV,30,FALSE))*(1-VLOOKUP($B86,'2. Forbearance thresholds'!$A$16:$F$25,3,FALSE)))</f>
        <v>3.3171257008297825</v>
      </c>
      <c r="I86" s="80">
        <f>IF(ISERROR(VLOOKUP($A86,'8. Demand data categorization'!$A:$AV,31,FALSE)),0,(VLOOKUP($A86,'8. Demand data categorization'!$A:$AV,31,FALSE))*(1-VLOOKUP($B86,'2. Forbearance thresholds'!$A$16:$F$25,4,FALSE)))</f>
        <v>0.11434515796801392</v>
      </c>
      <c r="J86" s="80">
        <f>IF(ISERROR(VLOOKUP($A86,'8. Demand data categorization'!$A:$AV,32,FALSE)),0,(VLOOKUP($A86,'8. Demand data categorization'!$A:$AV,32,FALSE))*(1-VLOOKUP($B86,'2. Forbearance thresholds'!$A$16:$F$25,5,FALSE)))</f>
        <v>0</v>
      </c>
      <c r="K86" s="89">
        <f>IF(ISERROR(VLOOKUP($A86,'8. Demand data categorization'!$A:$AV,33,FALSE)),0,(VLOOKUP($A86,'8. Demand data categorization'!$A:$AV,33,FALSE))*(1-VLOOKUP($B86,'2. Forbearance thresholds'!$A$16:$F$25,6,FALSE)))</f>
        <v>0</v>
      </c>
      <c r="L86" s="1" t="str">
        <f>IF(ISERROR(VLOOKUP(A86,'11. TransferExport'!A:A,1,FALSE)),"N","Y")</f>
        <v>N</v>
      </c>
      <c r="M86" s="1" t="str">
        <f>IF(ISERROR(VLOOKUP(A86,'11. TransferExport'!B:B,1,FALSE)),"N","Y")</f>
        <v>N</v>
      </c>
      <c r="N86">
        <f>IF(L86="Y",-SUMIF('11. TransferExport'!A:A,A86,'11. TransferExport'!D:D),IF(M86="Y",SUMIF('11. TransferExport'!B:B,A86,'11. TransferExport'!D:D),0))</f>
        <v>0</v>
      </c>
      <c r="O86">
        <f>IF(L86="Y",-SUMIF('11. TransferExport'!A:A,A86,'11. TransferExport'!E:E),IF(M86="Y",SUMIF('11. TransferExport'!B:B,A86,'11. TransferExport'!E:E),0))</f>
        <v>0</v>
      </c>
      <c r="P86">
        <f>IF(L86="Y",-SUMIF('11. TransferExport'!A:A,A86,'11. TransferExport'!F:F),IF(M86="Y",SUMIF('11. TransferExport'!B:B,A86,'11. TransferExport'!F:F),0))</f>
        <v>0</v>
      </c>
      <c r="Q86">
        <f>IF(L86="Y",-SUMIF('11. TransferExport'!A:A,A86,'11. TransferExport'!G:G),IF(M86="Y",SUMIF('11. TransferExport'!B:B,A86,'11. TransferExport'!G:G),0))</f>
        <v>0</v>
      </c>
      <c r="R86" s="91">
        <f t="shared" si="14"/>
        <v>3.4314708587977965</v>
      </c>
      <c r="S86">
        <f>IF(L86="Y",-SUMIF('11. TransferExport'!$A:$A,$A86,'11. TransferExport'!L:L),IF(M86="Y",SUMIF('11. TransferExport'!$B:$B,$A86,'11. TransferExport'!L:L),0))</f>
        <v>0</v>
      </c>
      <c r="T86">
        <f>IF($L86="Y",-SUMIF('11. TransferExport'!$A:$A,$A86,'11. TransferExport'!M:M),IF($M86="Y",SUMIF('11. TransferExport'!$B:$B,$A86,'11. TransferExport'!M:M),0))</f>
        <v>0</v>
      </c>
      <c r="U86">
        <f>IF($L86="Y",-SUMIF('11. TransferExport'!$A:$A,$A86,'11. TransferExport'!N:N),IF($M86="Y",SUMIF('11. TransferExport'!$B:$B,$A86,'11. TransferExport'!N:N),0))</f>
        <v>0</v>
      </c>
      <c r="V86">
        <f>IF($L86="Y",-SUMIF('11. TransferExport'!$A:$A,$A86,'11. TransferExport'!O:O),IF($M86="Y",SUMIF('11. TransferExport'!$B:$B,$A86,'11. TransferExport'!O:O),0))</f>
        <v>0</v>
      </c>
      <c r="W86" s="90">
        <f t="shared" si="15"/>
        <v>3.4314708587977965</v>
      </c>
      <c r="X86" s="90">
        <f t="shared" si="16"/>
        <v>3.3171257008297825</v>
      </c>
      <c r="Y86" s="90">
        <f t="shared" si="17"/>
        <v>0.11434515796801392</v>
      </c>
      <c r="Z86" s="90">
        <f t="shared" si="18"/>
        <v>0</v>
      </c>
      <c r="AA86" s="91">
        <f t="shared" si="19"/>
        <v>0</v>
      </c>
      <c r="AB86" s="96">
        <f>VLOOKUP(A86,'8. Demand data categorization'!A:N,3,FALSE)</f>
        <v>10</v>
      </c>
      <c r="AC86" s="95" t="str">
        <f>VLOOKUP(A86,'8. Demand data categorization'!A:N,14,FALSE)</f>
        <v>Y</v>
      </c>
      <c r="AD86" t="str">
        <f t="shared" si="20"/>
        <v>Taking</v>
      </c>
    </row>
    <row r="87" spans="1:30" x14ac:dyDescent="0.25">
      <c r="A87" s="107" t="s">
        <v>140</v>
      </c>
      <c r="B87" t="str">
        <f>IF(ISERROR(VLOOKUP(A87, '8. Demand data categorization'!A:M,13,FALSE)),"ERROR",IF((VLOOKUP(A87, '8. Demand data categorization'!A:M,13,FALSE))="-","Riparian",IF(OR(VLOOKUP(A87, '8. Demand data categorization'!A:M,13,FALSE)="1971-1990",VLOOKUP(A87, '8. Demand data categorization'!A:M,13,FALSE)="1991-Present"),"1971-Present",VLOOKUP(A87, '8. Demand data categorization'!A:M,13,FALSE))))</f>
        <v>Riparian</v>
      </c>
      <c r="C87" s="84" t="str">
        <f>VLOOKUP(A87,'12. eWRIMS_Export'!A:K,7,FALSE)</f>
        <v>MURPHY VINEYARDS</v>
      </c>
      <c r="D87">
        <f>VLOOKUP(A87,'8. Demand data categorization'!A:AJ,30,FALSE)</f>
        <v>0</v>
      </c>
      <c r="E87">
        <f>VLOOKUP(A87,'8. Demand data categorization'!A:AJ,31,FALSE)</f>
        <v>0</v>
      </c>
      <c r="F87">
        <f>VLOOKUP(A87,'8. Demand data categorization'!A:AJ,32,FALSE)</f>
        <v>0</v>
      </c>
      <c r="G87" s="84">
        <f>VLOOKUP(A87,'8. Demand data categorization'!A:AJ,33,FALSE)</f>
        <v>0</v>
      </c>
      <c r="H87" s="80">
        <f>IF(ISERROR(VLOOKUP($A87,'8. Demand data categorization'!$A:$AV,30,FALSE)),0,(VLOOKUP($A87,'8. Demand data categorization'!$A:$AV,30,FALSE))*(1-VLOOKUP($B87,'2. Forbearance thresholds'!$A$16:$F$25,3,FALSE)))</f>
        <v>0</v>
      </c>
      <c r="I87" s="80">
        <f>IF(ISERROR(VLOOKUP($A87,'8. Demand data categorization'!$A:$AV,31,FALSE)),0,(VLOOKUP($A87,'8. Demand data categorization'!$A:$AV,31,FALSE))*(1-VLOOKUP($B87,'2. Forbearance thresholds'!$A$16:$F$25,4,FALSE)))</f>
        <v>0</v>
      </c>
      <c r="J87" s="80">
        <f>IF(ISERROR(VLOOKUP($A87,'8. Demand data categorization'!$A:$AV,32,FALSE)),0,(VLOOKUP($A87,'8. Demand data categorization'!$A:$AV,32,FALSE))*(1-VLOOKUP($B87,'2. Forbearance thresholds'!$A$16:$F$25,5,FALSE)))</f>
        <v>0</v>
      </c>
      <c r="K87" s="89">
        <f>IF(ISERROR(VLOOKUP($A87,'8. Demand data categorization'!$A:$AV,33,FALSE)),0,(VLOOKUP($A87,'8. Demand data categorization'!$A:$AV,33,FALSE))*(1-VLOOKUP($B87,'2. Forbearance thresholds'!$A$16:$F$25,6,FALSE)))</f>
        <v>0</v>
      </c>
      <c r="L87" s="1" t="str">
        <f>IF(ISERROR(VLOOKUP(A87,'11. TransferExport'!A:A,1,FALSE)),"N","Y")</f>
        <v>N</v>
      </c>
      <c r="M87" s="1" t="str">
        <f>IF(ISERROR(VLOOKUP(A87,'11. TransferExport'!B:B,1,FALSE)),"N","Y")</f>
        <v>N</v>
      </c>
      <c r="N87">
        <f>IF(L87="Y",-SUMIF('11. TransferExport'!A:A,A87,'11. TransferExport'!D:D),IF(M87="Y",SUMIF('11. TransferExport'!B:B,A87,'11. TransferExport'!D:D),0))</f>
        <v>0</v>
      </c>
      <c r="O87">
        <f>IF(L87="Y",-SUMIF('11. TransferExport'!A:A,A87,'11. TransferExport'!E:E),IF(M87="Y",SUMIF('11. TransferExport'!B:B,A87,'11. TransferExport'!E:E),0))</f>
        <v>0</v>
      </c>
      <c r="P87">
        <f>IF(L87="Y",-SUMIF('11. TransferExport'!A:A,A87,'11. TransferExport'!F:F),IF(M87="Y",SUMIF('11. TransferExport'!B:B,A87,'11. TransferExport'!F:F),0))</f>
        <v>0</v>
      </c>
      <c r="Q87">
        <f>IF(L87="Y",-SUMIF('11. TransferExport'!A:A,A87,'11. TransferExport'!G:G),IF(M87="Y",SUMIF('11. TransferExport'!B:B,A87,'11. TransferExport'!G:G),0))</f>
        <v>0</v>
      </c>
      <c r="R87" s="91">
        <f t="shared" si="14"/>
        <v>0</v>
      </c>
      <c r="S87">
        <f>IF(L87="Y",-SUMIF('11. TransferExport'!$A:$A,$A87,'11. TransferExport'!L:L),IF(M87="Y",SUMIF('11. TransferExport'!$B:$B,$A87,'11. TransferExport'!L:L),0))</f>
        <v>0</v>
      </c>
      <c r="T87">
        <f>IF($L87="Y",-SUMIF('11. TransferExport'!$A:$A,$A87,'11. TransferExport'!M:M),IF($M87="Y",SUMIF('11. TransferExport'!$B:$B,$A87,'11. TransferExport'!M:M),0))</f>
        <v>0</v>
      </c>
      <c r="U87">
        <f>IF($L87="Y",-SUMIF('11. TransferExport'!$A:$A,$A87,'11. TransferExport'!N:N),IF($M87="Y",SUMIF('11. TransferExport'!$B:$B,$A87,'11. TransferExport'!N:N),0))</f>
        <v>0</v>
      </c>
      <c r="V87">
        <f>IF($L87="Y",-SUMIF('11. TransferExport'!$A:$A,$A87,'11. TransferExport'!O:O),IF($M87="Y",SUMIF('11. TransferExport'!$B:$B,$A87,'11. TransferExport'!O:O),0))</f>
        <v>0</v>
      </c>
      <c r="W87" s="90">
        <f t="shared" si="15"/>
        <v>0</v>
      </c>
      <c r="X87" s="90">
        <f t="shared" si="16"/>
        <v>0</v>
      </c>
      <c r="Y87" s="90">
        <f t="shared" si="17"/>
        <v>0</v>
      </c>
      <c r="Z87" s="90">
        <f t="shared" si="18"/>
        <v>0</v>
      </c>
      <c r="AA87" s="91">
        <f t="shared" si="19"/>
        <v>0</v>
      </c>
      <c r="AB87" s="96">
        <f>VLOOKUP(A87,'8. Demand data categorization'!A:N,3,FALSE)</f>
        <v>10</v>
      </c>
      <c r="AC87" s="95" t="str">
        <f>VLOOKUP(A87,'8. Demand data categorization'!A:N,14,FALSE)</f>
        <v>Y</v>
      </c>
      <c r="AD87" t="str">
        <f t="shared" si="20"/>
        <v>Taking</v>
      </c>
    </row>
    <row r="88" spans="1:30" x14ac:dyDescent="0.25">
      <c r="A88" s="107" t="s">
        <v>159</v>
      </c>
      <c r="B88" t="str">
        <f>IF(ISERROR(VLOOKUP(A88, '8. Demand data categorization'!A:M,13,FALSE)),"ERROR",IF((VLOOKUP(A88, '8. Demand data categorization'!A:M,13,FALSE))="-","Riparian",IF(OR(VLOOKUP(A88, '8. Demand data categorization'!A:M,13,FALSE)="1971-1990",VLOOKUP(A88, '8. Demand data categorization'!A:M,13,FALSE)="1991-Present"),"1971-Present",VLOOKUP(A88, '8. Demand data categorization'!A:M,13,FALSE))))</f>
        <v>Riparian</v>
      </c>
      <c r="C88" s="84" t="str">
        <f>VLOOKUP(A88,'12. eWRIMS_Export'!A:K,7,FALSE)</f>
        <v>MURPHY VINEYARDS</v>
      </c>
      <c r="D88">
        <f>VLOOKUP(A88,'8. Demand data categorization'!A:AJ,30,FALSE)</f>
        <v>0</v>
      </c>
      <c r="E88">
        <f>VLOOKUP(A88,'8. Demand data categorization'!A:AJ,31,FALSE)</f>
        <v>0</v>
      </c>
      <c r="F88">
        <f>VLOOKUP(A88,'8. Demand data categorization'!A:AJ,32,FALSE)</f>
        <v>0</v>
      </c>
      <c r="G88" s="84">
        <f>VLOOKUP(A88,'8. Demand data categorization'!A:AJ,33,FALSE)</f>
        <v>0</v>
      </c>
      <c r="H88" s="80">
        <f>IF(ISERROR(VLOOKUP($A88,'8. Demand data categorization'!$A:$AV,30,FALSE)),0,(VLOOKUP($A88,'8. Demand data categorization'!$A:$AV,30,FALSE))*(1-VLOOKUP($B88,'2. Forbearance thresholds'!$A$16:$F$25,3,FALSE)))</f>
        <v>0</v>
      </c>
      <c r="I88" s="80">
        <f>IF(ISERROR(VLOOKUP($A88,'8. Demand data categorization'!$A:$AV,31,FALSE)),0,(VLOOKUP($A88,'8. Demand data categorization'!$A:$AV,31,FALSE))*(1-VLOOKUP($B88,'2. Forbearance thresholds'!$A$16:$F$25,4,FALSE)))</f>
        <v>0</v>
      </c>
      <c r="J88" s="80">
        <f>IF(ISERROR(VLOOKUP($A88,'8. Demand data categorization'!$A:$AV,32,FALSE)),0,(VLOOKUP($A88,'8. Demand data categorization'!$A:$AV,32,FALSE))*(1-VLOOKUP($B88,'2. Forbearance thresholds'!$A$16:$F$25,5,FALSE)))</f>
        <v>0</v>
      </c>
      <c r="K88" s="89">
        <f>IF(ISERROR(VLOOKUP($A88,'8. Demand data categorization'!$A:$AV,33,FALSE)),0,(VLOOKUP($A88,'8. Demand data categorization'!$A:$AV,33,FALSE))*(1-VLOOKUP($B88,'2. Forbearance thresholds'!$A$16:$F$25,6,FALSE)))</f>
        <v>0</v>
      </c>
      <c r="L88" s="1" t="str">
        <f>IF(ISERROR(VLOOKUP(A88,'11. TransferExport'!A:A,1,FALSE)),"N","Y")</f>
        <v>N</v>
      </c>
      <c r="M88" s="1" t="str">
        <f>IF(ISERROR(VLOOKUP(A88,'11. TransferExport'!B:B,1,FALSE)),"N","Y")</f>
        <v>N</v>
      </c>
      <c r="N88">
        <f>IF(L88="Y",-SUMIF('11. TransferExport'!A:A,A88,'11. TransferExport'!D:D),IF(M88="Y",SUMIF('11. TransferExport'!B:B,A88,'11. TransferExport'!D:D),0))</f>
        <v>0</v>
      </c>
      <c r="O88">
        <f>IF(L88="Y",-SUMIF('11. TransferExport'!A:A,A88,'11. TransferExport'!E:E),IF(M88="Y",SUMIF('11. TransferExport'!B:B,A88,'11. TransferExport'!E:E),0))</f>
        <v>0</v>
      </c>
      <c r="P88">
        <f>IF(L88="Y",-SUMIF('11. TransferExport'!A:A,A88,'11. TransferExport'!F:F),IF(M88="Y",SUMIF('11. TransferExport'!B:B,A88,'11. TransferExport'!F:F),0))</f>
        <v>0</v>
      </c>
      <c r="Q88">
        <f>IF(L88="Y",-SUMIF('11. TransferExport'!A:A,A88,'11. TransferExport'!G:G),IF(M88="Y",SUMIF('11. TransferExport'!B:B,A88,'11. TransferExport'!G:G),0))</f>
        <v>0</v>
      </c>
      <c r="R88" s="91">
        <f t="shared" si="14"/>
        <v>0</v>
      </c>
      <c r="S88">
        <f>IF(L88="Y",-SUMIF('11. TransferExport'!$A:$A,$A88,'11. TransferExport'!L:L),IF(M88="Y",SUMIF('11. TransferExport'!$B:$B,$A88,'11. TransferExport'!L:L),0))</f>
        <v>0</v>
      </c>
      <c r="T88">
        <f>IF($L88="Y",-SUMIF('11. TransferExport'!$A:$A,$A88,'11. TransferExport'!M:M),IF($M88="Y",SUMIF('11. TransferExport'!$B:$B,$A88,'11. TransferExport'!M:M),0))</f>
        <v>0</v>
      </c>
      <c r="U88">
        <f>IF($L88="Y",-SUMIF('11. TransferExport'!$A:$A,$A88,'11. TransferExport'!N:N),IF($M88="Y",SUMIF('11. TransferExport'!$B:$B,$A88,'11. TransferExport'!N:N),0))</f>
        <v>0</v>
      </c>
      <c r="V88">
        <f>IF($L88="Y",-SUMIF('11. TransferExport'!$A:$A,$A88,'11. TransferExport'!O:O),IF($M88="Y",SUMIF('11. TransferExport'!$B:$B,$A88,'11. TransferExport'!O:O),0))</f>
        <v>0</v>
      </c>
      <c r="W88" s="90">
        <f t="shared" si="15"/>
        <v>0</v>
      </c>
      <c r="X88" s="90">
        <f t="shared" si="16"/>
        <v>0</v>
      </c>
      <c r="Y88" s="90">
        <f t="shared" si="17"/>
        <v>0</v>
      </c>
      <c r="Z88" s="90">
        <f t="shared" si="18"/>
        <v>0</v>
      </c>
      <c r="AA88" s="91">
        <f t="shared" si="19"/>
        <v>0</v>
      </c>
      <c r="AB88" s="96">
        <f>VLOOKUP(A88,'8. Demand data categorization'!A:N,3,FALSE)</f>
        <v>10</v>
      </c>
      <c r="AC88" s="95" t="str">
        <f>VLOOKUP(A88,'8. Demand data categorization'!A:N,14,FALSE)</f>
        <v>Y</v>
      </c>
      <c r="AD88" t="str">
        <f t="shared" si="20"/>
        <v>Taking</v>
      </c>
    </row>
    <row r="89" spans="1:30" x14ac:dyDescent="0.25">
      <c r="A89" t="s">
        <v>36</v>
      </c>
      <c r="B89" t="str">
        <f>IF(ISERROR(VLOOKUP(A89, '8. Demand data categorization'!A:M,13,FALSE)),"ERROR",IF((VLOOKUP(A89, '8. Demand data categorization'!A:M,13,FALSE))="-","Riparian",IF(OR(VLOOKUP(A89, '8. Demand data categorization'!A:M,13,FALSE)="1971-1990",VLOOKUP(A89, '8. Demand data categorization'!A:M,13,FALSE)="1991-Present"),"1971-Present",VLOOKUP(A89, '8. Demand data categorization'!A:M,13,FALSE))))</f>
        <v>1971-Present</v>
      </c>
      <c r="C89" s="84" t="str">
        <f>VLOOKUP(A89,'12. eWRIMS_Export'!A:K,7,FALSE)</f>
        <v>NATHAN  BUTI</v>
      </c>
      <c r="D89">
        <f>VLOOKUP(A89,'8. Demand data categorization'!A:AJ,30,FALSE)</f>
        <v>0.59</v>
      </c>
      <c r="E89">
        <f>VLOOKUP(A89,'8. Demand data categorization'!A:AJ,31,FALSE)</f>
        <v>0.71</v>
      </c>
      <c r="F89">
        <f>VLOOKUP(A89,'8. Demand data categorization'!A:AJ,32,FALSE)</f>
        <v>0.56999999999999995</v>
      </c>
      <c r="G89" s="84">
        <f>VLOOKUP(A89,'8. Demand data categorization'!A:AJ,33,FALSE)</f>
        <v>0.37</v>
      </c>
      <c r="H89" s="81">
        <f>IF(ISERROR(VLOOKUP($A89,'8. Demand data categorization'!$A:$AV,30,FALSE)),0,(VLOOKUP($A89,'8. Demand data categorization'!$A:$AV,30,FALSE))*(1-VLOOKUP($B89,'2. Forbearance thresholds'!$A$16:$F$25,3,FALSE)))</f>
        <v>0.53100000000000003</v>
      </c>
      <c r="I89" s="81">
        <f>IF(ISERROR(VLOOKUP($A89,'8. Demand data categorization'!$A:$AV,31,FALSE)),0,(VLOOKUP($A89,'8. Demand data categorization'!$A:$AV,31,FALSE))*(1-VLOOKUP($B89,'2. Forbearance thresholds'!$A$16:$F$25,4,FALSE)))</f>
        <v>2.0296265539322469E-2</v>
      </c>
      <c r="J89" s="81">
        <f>IF(ISERROR(VLOOKUP($A89,'8. Demand data categorization'!$A:$AV,32,FALSE)),0,(VLOOKUP($A89,'8. Demand data categorization'!$A:$AV,32,FALSE))*(1-VLOOKUP($B89,'2. Forbearance thresholds'!$A$16:$F$25,5,FALSE)))</f>
        <v>0</v>
      </c>
      <c r="K89" s="88">
        <f>IF(ISERROR(VLOOKUP($A89,'8. Demand data categorization'!$A:$AV,33,FALSE)),0,(VLOOKUP($A89,'8. Demand data categorization'!$A:$AV,33,FALSE))*(1-VLOOKUP($B89,'2. Forbearance thresholds'!$A$16:$F$25,6,FALSE)))</f>
        <v>0</v>
      </c>
      <c r="L89" s="1" t="str">
        <f>IF(ISERROR(VLOOKUP(A89,'11. TransferExport'!A:A,1,FALSE)),"N","Y")</f>
        <v>N</v>
      </c>
      <c r="M89" s="1" t="str">
        <f>IF(ISERROR(VLOOKUP(A89,'11. TransferExport'!B:B,1,FALSE)),"N","Y")</f>
        <v>N</v>
      </c>
      <c r="N89">
        <f>IF(L89="Y",-SUMIF('11. TransferExport'!A:A,A89,'11. TransferExport'!D:D),IF(M89="Y",SUMIF('11. TransferExport'!B:B,A89,'11. TransferExport'!D:D),0))</f>
        <v>0</v>
      </c>
      <c r="O89">
        <f>IF(L89="Y",-SUMIF('11. TransferExport'!A:A,A89,'11. TransferExport'!E:E),IF(M89="Y",SUMIF('11. TransferExport'!B:B,A89,'11. TransferExport'!E:E),0))</f>
        <v>0</v>
      </c>
      <c r="P89">
        <f>IF(L89="Y",-SUMIF('11. TransferExport'!A:A,A89,'11. TransferExport'!F:F),IF(M89="Y",SUMIF('11. TransferExport'!B:B,A89,'11. TransferExport'!F:F),0))</f>
        <v>0</v>
      </c>
      <c r="Q89">
        <f>IF(L89="Y",-SUMIF('11. TransferExport'!A:A,A89,'11. TransferExport'!G:G),IF(M89="Y",SUMIF('11. TransferExport'!B:B,A89,'11. TransferExport'!G:G),0))</f>
        <v>0</v>
      </c>
      <c r="R89" s="91">
        <f t="shared" si="14"/>
        <v>0.55129626553932254</v>
      </c>
      <c r="S89">
        <f>IF(L89="Y",-SUMIF('11. TransferExport'!$A:$A,$A89,'11. TransferExport'!L:L),IF(M89="Y",SUMIF('11. TransferExport'!$B:$B,$A89,'11. TransferExport'!L:L),0))</f>
        <v>0</v>
      </c>
      <c r="T89">
        <f>IF($L89="Y",-SUMIF('11. TransferExport'!$A:$A,$A89,'11. TransferExport'!M:M),IF($M89="Y",SUMIF('11. TransferExport'!$B:$B,$A89,'11. TransferExport'!M:M),0))</f>
        <v>0</v>
      </c>
      <c r="U89">
        <f>IF($L89="Y",-SUMIF('11. TransferExport'!$A:$A,$A89,'11. TransferExport'!N:N),IF($M89="Y",SUMIF('11. TransferExport'!$B:$B,$A89,'11. TransferExport'!N:N),0))</f>
        <v>0</v>
      </c>
      <c r="V89">
        <f>IF($L89="Y",-SUMIF('11. TransferExport'!$A:$A,$A89,'11. TransferExport'!O:O),IF($M89="Y",SUMIF('11. TransferExport'!$B:$B,$A89,'11. TransferExport'!O:O),0))</f>
        <v>0</v>
      </c>
      <c r="W89" s="90">
        <f t="shared" si="15"/>
        <v>0.55129626553932254</v>
      </c>
      <c r="X89" s="90">
        <f t="shared" si="16"/>
        <v>0.53100000000000003</v>
      </c>
      <c r="Y89" s="90">
        <f t="shared" si="17"/>
        <v>2.0296265539322469E-2</v>
      </c>
      <c r="Z89" s="90">
        <f t="shared" si="18"/>
        <v>0</v>
      </c>
      <c r="AA89" s="91">
        <f t="shared" si="19"/>
        <v>0</v>
      </c>
      <c r="AB89" s="96">
        <f>VLOOKUP(A89,'8. Demand data categorization'!A:N,3,FALSE)</f>
        <v>9</v>
      </c>
      <c r="AC89" s="95" t="str">
        <f>VLOOKUP(A89,'8. Demand data categorization'!A:N,14,FALSE)</f>
        <v>Y</v>
      </c>
      <c r="AD89" t="str">
        <f t="shared" si="20"/>
        <v>Giving</v>
      </c>
    </row>
    <row r="90" spans="1:30" x14ac:dyDescent="0.25">
      <c r="A90" t="s">
        <v>37</v>
      </c>
      <c r="B90" t="str">
        <f>IF(ISERROR(VLOOKUP(A90, '8. Demand data categorization'!A:M,13,FALSE)),"ERROR",IF((VLOOKUP(A90, '8. Demand data categorization'!A:M,13,FALSE))="-","Riparian",IF(OR(VLOOKUP(A90, '8. Demand data categorization'!A:M,13,FALSE)="1971-1990",VLOOKUP(A90, '8. Demand data categorization'!A:M,13,FALSE)="1991-Present"),"1971-Present",VLOOKUP(A90, '8. Demand data categorization'!A:M,13,FALSE))))</f>
        <v>Riparian</v>
      </c>
      <c r="C90" s="84" t="str">
        <f>VLOOKUP(A90,'12. eWRIMS_Export'!A:K,7,FALSE)</f>
        <v>NATHAN  BUTI</v>
      </c>
      <c r="D90">
        <f>VLOOKUP(A90,'8. Demand data categorization'!A:AJ,30,FALSE)</f>
        <v>0.2</v>
      </c>
      <c r="E90">
        <f>VLOOKUP(A90,'8. Demand data categorization'!A:AJ,31,FALSE)</f>
        <v>0.19</v>
      </c>
      <c r="F90">
        <f>VLOOKUP(A90,'8. Demand data categorization'!A:AJ,32,FALSE)</f>
        <v>0.16</v>
      </c>
      <c r="G90" s="84">
        <f>VLOOKUP(A90,'8. Demand data categorization'!A:AJ,33,FALSE)</f>
        <v>0.13</v>
      </c>
      <c r="H90" s="81">
        <f>IF(ISERROR(VLOOKUP($A90,'8. Demand data categorization'!$A:$AV,30,FALSE)),0,(VLOOKUP($A90,'8. Demand data categorization'!$A:$AV,30,FALSE))*(1-VLOOKUP($B90,'2. Forbearance thresholds'!$A$16:$F$25,3,FALSE)))</f>
        <v>0.15321596770576362</v>
      </c>
      <c r="I90" s="81">
        <f>IF(ISERROR(VLOOKUP($A90,'8. Demand data categorization'!$A:$AV,31,FALSE)),0,(VLOOKUP($A90,'8. Demand data categorization'!$A:$AV,31,FALSE))*(1-VLOOKUP($B90,'2. Forbearance thresholds'!$A$16:$F$25,4,FALSE)))</f>
        <v>5.4313950034806614E-3</v>
      </c>
      <c r="J90" s="81">
        <f>IF(ISERROR(VLOOKUP($A90,'8. Demand data categorization'!$A:$AV,32,FALSE)),0,(VLOOKUP($A90,'8. Demand data categorization'!$A:$AV,32,FALSE))*(1-VLOOKUP($B90,'2. Forbearance thresholds'!$A$16:$F$25,5,FALSE)))</f>
        <v>0</v>
      </c>
      <c r="K90" s="88">
        <f>IF(ISERROR(VLOOKUP($A90,'8. Demand data categorization'!$A:$AV,33,FALSE)),0,(VLOOKUP($A90,'8. Demand data categorization'!$A:$AV,33,FALSE))*(1-VLOOKUP($B90,'2. Forbearance thresholds'!$A$16:$F$25,6,FALSE)))</f>
        <v>0</v>
      </c>
      <c r="L90" s="1" t="str">
        <f>IF(ISERROR(VLOOKUP(A90,'11. TransferExport'!A:A,1,FALSE)),"N","Y")</f>
        <v>N</v>
      </c>
      <c r="M90" s="1" t="str">
        <f>IF(ISERROR(VLOOKUP(A90,'11. TransferExport'!B:B,1,FALSE)),"N","Y")</f>
        <v>N</v>
      </c>
      <c r="N90">
        <f>IF(L90="Y",-SUMIF('11. TransferExport'!A:A,A90,'11. TransferExport'!D:D),IF(M90="Y",SUMIF('11. TransferExport'!B:B,A90,'11. TransferExport'!D:D),0))</f>
        <v>0</v>
      </c>
      <c r="O90">
        <f>IF(L90="Y",-SUMIF('11. TransferExport'!A:A,A90,'11. TransferExport'!E:E),IF(M90="Y",SUMIF('11. TransferExport'!B:B,A90,'11. TransferExport'!E:E),0))</f>
        <v>0</v>
      </c>
      <c r="P90">
        <f>IF(L90="Y",-SUMIF('11. TransferExport'!A:A,A90,'11. TransferExport'!F:F),IF(M90="Y",SUMIF('11. TransferExport'!B:B,A90,'11. TransferExport'!F:F),0))</f>
        <v>0</v>
      </c>
      <c r="Q90">
        <f>IF(L90="Y",-SUMIF('11. TransferExport'!A:A,A90,'11. TransferExport'!G:G),IF(M90="Y",SUMIF('11. TransferExport'!B:B,A90,'11. TransferExport'!G:G),0))</f>
        <v>0</v>
      </c>
      <c r="R90" s="91">
        <f t="shared" si="14"/>
        <v>0.15864736270924429</v>
      </c>
      <c r="S90">
        <f>IF(L90="Y",-SUMIF('11. TransferExport'!$A:$A,$A90,'11. TransferExport'!L:L),IF(M90="Y",SUMIF('11. TransferExport'!$B:$B,$A90,'11. TransferExport'!L:L),0))</f>
        <v>0</v>
      </c>
      <c r="T90">
        <f>IF($L90="Y",-SUMIF('11. TransferExport'!$A:$A,$A90,'11. TransferExport'!M:M),IF($M90="Y",SUMIF('11. TransferExport'!$B:$B,$A90,'11. TransferExport'!M:M),0))</f>
        <v>0</v>
      </c>
      <c r="U90">
        <f>IF($L90="Y",-SUMIF('11. TransferExport'!$A:$A,$A90,'11. TransferExport'!N:N),IF($M90="Y",SUMIF('11. TransferExport'!$B:$B,$A90,'11. TransferExport'!N:N),0))</f>
        <v>0</v>
      </c>
      <c r="V90">
        <f>IF($L90="Y",-SUMIF('11. TransferExport'!$A:$A,$A90,'11. TransferExport'!O:O),IF($M90="Y",SUMIF('11. TransferExport'!$B:$B,$A90,'11. TransferExport'!O:O),0))</f>
        <v>0</v>
      </c>
      <c r="W90" s="90">
        <f t="shared" si="15"/>
        <v>0.15864736270924429</v>
      </c>
      <c r="X90" s="90">
        <f t="shared" si="16"/>
        <v>0.15321596770576362</v>
      </c>
      <c r="Y90" s="90">
        <f t="shared" si="17"/>
        <v>5.4313950034806614E-3</v>
      </c>
      <c r="Z90" s="90">
        <f t="shared" si="18"/>
        <v>0</v>
      </c>
      <c r="AA90" s="91">
        <f t="shared" si="19"/>
        <v>0</v>
      </c>
      <c r="AB90" s="96">
        <f>VLOOKUP(A90,'8. Demand data categorization'!A:N,3,FALSE)</f>
        <v>9</v>
      </c>
      <c r="AC90" s="95" t="str">
        <f>VLOOKUP(A90,'8. Demand data categorization'!A:N,14,FALSE)</f>
        <v>Y</v>
      </c>
      <c r="AD90" t="str">
        <f t="shared" si="20"/>
        <v>Taking</v>
      </c>
    </row>
    <row r="91" spans="1:30" x14ac:dyDescent="0.25">
      <c r="A91" s="107" t="s">
        <v>74</v>
      </c>
      <c r="B91" t="str">
        <f>IF(ISERROR(VLOOKUP(A91, '8. Demand data categorization'!A:M,13,FALSE)),"ERROR",IF((VLOOKUP(A91, '8. Demand data categorization'!A:M,13,FALSE))="-","Riparian",IF(OR(VLOOKUP(A91, '8. Demand data categorization'!A:M,13,FALSE)="1971-1990",VLOOKUP(A91, '8. Demand data categorization'!A:M,13,FALSE)="1991-Present"),"1971-Present",VLOOKUP(A91, '8. Demand data categorization'!A:M,13,FALSE))))</f>
        <v>1957-1959</v>
      </c>
      <c r="C91" s="84" t="str">
        <f>VLOOKUP(A91,'12. eWRIMS_Export'!A:K,7,FALSE)</f>
        <v>NELSON &amp; SONS A CORPORATION</v>
      </c>
      <c r="D91">
        <f>VLOOKUP(A91,'8. Demand data categorization'!A:AJ,30,FALSE)</f>
        <v>0</v>
      </c>
      <c r="E91">
        <f>VLOOKUP(A91,'8. Demand data categorization'!A:AJ,31,FALSE)</f>
        <v>0</v>
      </c>
      <c r="F91">
        <f>VLOOKUP(A91,'8. Demand data categorization'!A:AJ,32,FALSE)</f>
        <v>0</v>
      </c>
      <c r="G91" s="84">
        <f>VLOOKUP(A91,'8. Demand data categorization'!A:AJ,33,FALSE)</f>
        <v>0</v>
      </c>
      <c r="H91" s="80">
        <f>IF(ISERROR(VLOOKUP($A91,'8. Demand data categorization'!$A:$AV,30,FALSE)),0,(VLOOKUP($A91,'8. Demand data categorization'!$A:$AV,30,FALSE))*(1-VLOOKUP($B91,'2. Forbearance thresholds'!$A$16:$F$25,3,FALSE)))</f>
        <v>0</v>
      </c>
      <c r="I91" s="80">
        <f>IF(ISERROR(VLOOKUP($A91,'8. Demand data categorization'!$A:$AV,31,FALSE)),0,(VLOOKUP($A91,'8. Demand data categorization'!$A:$AV,31,FALSE))*(1-VLOOKUP($B91,'2. Forbearance thresholds'!$A$16:$F$25,4,FALSE)))</f>
        <v>0</v>
      </c>
      <c r="J91" s="80">
        <f>IF(ISERROR(VLOOKUP($A91,'8. Demand data categorization'!$A:$AV,32,FALSE)),0,(VLOOKUP($A91,'8. Demand data categorization'!$A:$AV,32,FALSE))*(1-VLOOKUP($B91,'2. Forbearance thresholds'!$A$16:$F$25,5,FALSE)))</f>
        <v>0</v>
      </c>
      <c r="K91" s="89">
        <f>IF(ISERROR(VLOOKUP($A91,'8. Demand data categorization'!$A:$AV,33,FALSE)),0,(VLOOKUP($A91,'8. Demand data categorization'!$A:$AV,33,FALSE))*(1-VLOOKUP($B91,'2. Forbearance thresholds'!$A$16:$F$25,6,FALSE)))</f>
        <v>0</v>
      </c>
      <c r="L91" s="1" t="str">
        <f>IF(ISERROR(VLOOKUP(A91,'11. TransferExport'!A:A,1,FALSE)),"N","Y")</f>
        <v>N</v>
      </c>
      <c r="M91" s="1" t="str">
        <f>IF(ISERROR(VLOOKUP(A91,'11. TransferExport'!B:B,1,FALSE)),"N","Y")</f>
        <v>N</v>
      </c>
      <c r="N91">
        <f>IF(L91="Y",-SUMIF('11. TransferExport'!A:A,A91,'11. TransferExport'!D:D),IF(M91="Y",SUMIF('11. TransferExport'!B:B,A91,'11. TransferExport'!D:D),0))</f>
        <v>0</v>
      </c>
      <c r="O91">
        <f>IF(L91="Y",-SUMIF('11. TransferExport'!A:A,A91,'11. TransferExport'!E:E),IF(M91="Y",SUMIF('11. TransferExport'!B:B,A91,'11. TransferExport'!E:E),0))</f>
        <v>0</v>
      </c>
      <c r="P91">
        <f>IF(L91="Y",-SUMIF('11. TransferExport'!A:A,A91,'11. TransferExport'!F:F),IF(M91="Y",SUMIF('11. TransferExport'!B:B,A91,'11. TransferExport'!F:F),0))</f>
        <v>0</v>
      </c>
      <c r="Q91">
        <f>IF(L91="Y",-SUMIF('11. TransferExport'!A:A,A91,'11. TransferExport'!G:G),IF(M91="Y",SUMIF('11. TransferExport'!B:B,A91,'11. TransferExport'!G:G),0))</f>
        <v>0</v>
      </c>
      <c r="R91" s="91">
        <f t="shared" si="14"/>
        <v>0</v>
      </c>
      <c r="S91">
        <f>IF(L91="Y",-SUMIF('11. TransferExport'!$A:$A,$A91,'11. TransferExport'!L:L),IF(M91="Y",SUMIF('11. TransferExport'!$B:$B,$A91,'11. TransferExport'!L:L),0))</f>
        <v>0</v>
      </c>
      <c r="T91">
        <f>IF($L91="Y",-SUMIF('11. TransferExport'!$A:$A,$A91,'11. TransferExport'!M:M),IF($M91="Y",SUMIF('11. TransferExport'!$B:$B,$A91,'11. TransferExport'!M:M),0))</f>
        <v>0</v>
      </c>
      <c r="U91">
        <f>IF($L91="Y",-SUMIF('11. TransferExport'!$A:$A,$A91,'11. TransferExport'!N:N),IF($M91="Y",SUMIF('11. TransferExport'!$B:$B,$A91,'11. TransferExport'!N:N),0))</f>
        <v>0</v>
      </c>
      <c r="V91">
        <f>IF($L91="Y",-SUMIF('11. TransferExport'!$A:$A,$A91,'11. TransferExport'!O:O),IF($M91="Y",SUMIF('11. TransferExport'!$B:$B,$A91,'11. TransferExport'!O:O),0))</f>
        <v>0</v>
      </c>
      <c r="W91" s="90">
        <f t="shared" si="15"/>
        <v>0</v>
      </c>
      <c r="X91" s="90">
        <f t="shared" si="16"/>
        <v>0</v>
      </c>
      <c r="Y91" s="90">
        <f t="shared" si="17"/>
        <v>0</v>
      </c>
      <c r="Z91" s="90">
        <f t="shared" si="18"/>
        <v>0</v>
      </c>
      <c r="AA91" s="91">
        <f t="shared" si="19"/>
        <v>0</v>
      </c>
      <c r="AB91" s="96">
        <f>VLOOKUP(A91,'8. Demand data categorization'!A:N,3,FALSE)</f>
        <v>5</v>
      </c>
      <c r="AC91" s="95" t="str">
        <f>VLOOKUP(A91,'8. Demand data categorization'!A:N,14,FALSE)</f>
        <v>Y</v>
      </c>
      <c r="AD91" t="str">
        <f t="shared" si="20"/>
        <v>Giving</v>
      </c>
    </row>
    <row r="92" spans="1:30" x14ac:dyDescent="0.25">
      <c r="A92" s="107" t="s">
        <v>75</v>
      </c>
      <c r="B92" t="str">
        <f>IF(ISERROR(VLOOKUP(A92, '8. Demand data categorization'!A:M,13,FALSE)),"ERROR",IF((VLOOKUP(A92, '8. Demand data categorization'!A:M,13,FALSE))="-","Riparian",IF(OR(VLOOKUP(A92, '8. Demand data categorization'!A:M,13,FALSE)="1971-1990",VLOOKUP(A92, '8. Demand data categorization'!A:M,13,FALSE)="1991-Present"),"1971-Present",VLOOKUP(A92, '8. Demand data categorization'!A:M,13,FALSE))))</f>
        <v>1971-Present</v>
      </c>
      <c r="C92" s="84" t="str">
        <f>VLOOKUP(A92,'12. eWRIMS_Export'!A:K,7,FALSE)</f>
        <v>NELSON &amp; SONS A CORPORATION</v>
      </c>
      <c r="D92">
        <f>VLOOKUP(A92,'8. Demand data categorization'!A:AJ,30,FALSE)</f>
        <v>0</v>
      </c>
      <c r="E92">
        <f>VLOOKUP(A92,'8. Demand data categorization'!A:AJ,31,FALSE)</f>
        <v>0</v>
      </c>
      <c r="F92">
        <f>VLOOKUP(A92,'8. Demand data categorization'!A:AJ,32,FALSE)</f>
        <v>0</v>
      </c>
      <c r="G92" s="84">
        <f>VLOOKUP(A92,'8. Demand data categorization'!A:AJ,33,FALSE)</f>
        <v>0</v>
      </c>
      <c r="H92" s="80">
        <f>IF(ISERROR(VLOOKUP($A92,'8. Demand data categorization'!$A:$AV,30,FALSE)),0,(VLOOKUP($A92,'8. Demand data categorization'!$A:$AV,30,FALSE))*(1-VLOOKUP($B92,'2. Forbearance thresholds'!$A$16:$F$25,3,FALSE)))</f>
        <v>0</v>
      </c>
      <c r="I92" s="80">
        <f>IF(ISERROR(VLOOKUP($A92,'8. Demand data categorization'!$A:$AV,31,FALSE)),0,(VLOOKUP($A92,'8. Demand data categorization'!$A:$AV,31,FALSE))*(1-VLOOKUP($B92,'2. Forbearance thresholds'!$A$16:$F$25,4,FALSE)))</f>
        <v>0</v>
      </c>
      <c r="J92" s="80">
        <f>IF(ISERROR(VLOOKUP($A92,'8. Demand data categorization'!$A:$AV,32,FALSE)),0,(VLOOKUP($A92,'8. Demand data categorization'!$A:$AV,32,FALSE))*(1-VLOOKUP($B92,'2. Forbearance thresholds'!$A$16:$F$25,5,FALSE)))</f>
        <v>0</v>
      </c>
      <c r="K92" s="89">
        <f>IF(ISERROR(VLOOKUP($A92,'8. Demand data categorization'!$A:$AV,33,FALSE)),0,(VLOOKUP($A92,'8. Demand data categorization'!$A:$AV,33,FALSE))*(1-VLOOKUP($B92,'2. Forbearance thresholds'!$A$16:$F$25,6,FALSE)))</f>
        <v>0</v>
      </c>
      <c r="L92" s="1" t="str">
        <f>IF(ISERROR(VLOOKUP(A92,'11. TransferExport'!A:A,1,FALSE)),"N","Y")</f>
        <v>N</v>
      </c>
      <c r="M92" s="1" t="str">
        <f>IF(ISERROR(VLOOKUP(A92,'11. TransferExport'!B:B,1,FALSE)),"N","Y")</f>
        <v>N</v>
      </c>
      <c r="N92">
        <f>IF(L92="Y",-SUMIF('11. TransferExport'!A:A,A92,'11. TransferExport'!D:D),IF(M92="Y",SUMIF('11. TransferExport'!B:B,A92,'11. TransferExport'!D:D),0))</f>
        <v>0</v>
      </c>
      <c r="O92">
        <f>IF(L92="Y",-SUMIF('11. TransferExport'!A:A,A92,'11. TransferExport'!E:E),IF(M92="Y",SUMIF('11. TransferExport'!B:B,A92,'11. TransferExport'!E:E),0))</f>
        <v>0</v>
      </c>
      <c r="P92">
        <f>IF(L92="Y",-SUMIF('11. TransferExport'!A:A,A92,'11. TransferExport'!F:F),IF(M92="Y",SUMIF('11. TransferExport'!B:B,A92,'11. TransferExport'!F:F),0))</f>
        <v>0</v>
      </c>
      <c r="Q92">
        <f>IF(L92="Y",-SUMIF('11. TransferExport'!A:A,A92,'11. TransferExport'!G:G),IF(M92="Y",SUMIF('11. TransferExport'!B:B,A92,'11. TransferExport'!G:G),0))</f>
        <v>0</v>
      </c>
      <c r="R92" s="91">
        <f t="shared" si="14"/>
        <v>0</v>
      </c>
      <c r="S92">
        <f>IF(L92="Y",-SUMIF('11. TransferExport'!$A:$A,$A92,'11. TransferExport'!L:L),IF(M92="Y",SUMIF('11. TransferExport'!$B:$B,$A92,'11. TransferExport'!L:L),0))</f>
        <v>0</v>
      </c>
      <c r="T92">
        <f>IF($L92="Y",-SUMIF('11. TransferExport'!$A:$A,$A92,'11. TransferExport'!M:M),IF($M92="Y",SUMIF('11. TransferExport'!$B:$B,$A92,'11. TransferExport'!M:M),0))</f>
        <v>0</v>
      </c>
      <c r="U92">
        <f>IF($L92="Y",-SUMIF('11. TransferExport'!$A:$A,$A92,'11. TransferExport'!N:N),IF($M92="Y",SUMIF('11. TransferExport'!$B:$B,$A92,'11. TransferExport'!N:N),0))</f>
        <v>0</v>
      </c>
      <c r="V92">
        <f>IF($L92="Y",-SUMIF('11. TransferExport'!$A:$A,$A92,'11. TransferExport'!O:O),IF($M92="Y",SUMIF('11. TransferExport'!$B:$B,$A92,'11. TransferExport'!O:O),0))</f>
        <v>0</v>
      </c>
      <c r="W92" s="90">
        <f t="shared" si="15"/>
        <v>0</v>
      </c>
      <c r="X92" s="90">
        <f t="shared" si="16"/>
        <v>0</v>
      </c>
      <c r="Y92" s="90">
        <f t="shared" si="17"/>
        <v>0</v>
      </c>
      <c r="Z92" s="90">
        <f t="shared" si="18"/>
        <v>0</v>
      </c>
      <c r="AA92" s="91">
        <f t="shared" si="19"/>
        <v>0</v>
      </c>
      <c r="AB92" s="96">
        <f>VLOOKUP(A92,'8. Demand data categorization'!A:N,3,FALSE)</f>
        <v>5</v>
      </c>
      <c r="AC92" s="95" t="str">
        <f>VLOOKUP(A92,'8. Demand data categorization'!A:N,14,FALSE)</f>
        <v>Y</v>
      </c>
      <c r="AD92" t="str">
        <f t="shared" si="20"/>
        <v>Giving</v>
      </c>
    </row>
    <row r="93" spans="1:30" x14ac:dyDescent="0.25">
      <c r="A93" s="107" t="s">
        <v>110</v>
      </c>
      <c r="B93" t="str">
        <f>IF(ISERROR(VLOOKUP(A93, '8. Demand data categorization'!A:M,13,FALSE)),"ERROR",IF((VLOOKUP(A93, '8. Demand data categorization'!A:M,13,FALSE))="-","Riparian",IF(OR(VLOOKUP(A93, '8. Demand data categorization'!A:M,13,FALSE)="1971-1990",VLOOKUP(A93, '8. Demand data categorization'!A:M,13,FALSE)="1991-Present"),"1971-Present",VLOOKUP(A93, '8. Demand data categorization'!A:M,13,FALSE))))</f>
        <v>Pre-1949 + 1949</v>
      </c>
      <c r="C93" s="84" t="str">
        <f>VLOOKUP(A93,'12. eWRIMS_Export'!A:K,7,FALSE)</f>
        <v>ORRS CREEK VINEYARDS LP</v>
      </c>
      <c r="D93">
        <f>VLOOKUP(A93,'8. Demand data categorization'!A:AJ,30,FALSE)</f>
        <v>16.329999999999998</v>
      </c>
      <c r="E93">
        <f>VLOOKUP(A93,'8. Demand data categorization'!A:AJ,31,FALSE)</f>
        <v>10.46</v>
      </c>
      <c r="F93">
        <f>VLOOKUP(A93,'8. Demand data categorization'!A:AJ,32,FALSE)</f>
        <v>0</v>
      </c>
      <c r="G93" s="84">
        <f>VLOOKUP(A93,'8. Demand data categorization'!A:AJ,33,FALSE)</f>
        <v>0</v>
      </c>
      <c r="H93" s="80">
        <f>IF(ISERROR(VLOOKUP($A93,'8. Demand data categorization'!$A:$AV,30,FALSE)),0,(VLOOKUP($A93,'8. Demand data categorization'!$A:$AV,30,FALSE))*(1-VLOOKUP($B93,'2. Forbearance thresholds'!$A$16:$F$25,3,FALSE)))</f>
        <v>16.329999999999998</v>
      </c>
      <c r="I93" s="80">
        <f>IF(ISERROR(VLOOKUP($A93,'8. Demand data categorization'!$A:$AV,31,FALSE)),0,(VLOOKUP($A93,'8. Demand data categorization'!$A:$AV,31,FALSE))*(1-VLOOKUP($B93,'2. Forbearance thresholds'!$A$16:$F$25,4,FALSE)))</f>
        <v>0.29901258808635645</v>
      </c>
      <c r="J93" s="80">
        <f>IF(ISERROR(VLOOKUP($A93,'8. Demand data categorization'!$A:$AV,32,FALSE)),0,(VLOOKUP($A93,'8. Demand data categorization'!$A:$AV,32,FALSE))*(1-VLOOKUP($B93,'2. Forbearance thresholds'!$A$16:$F$25,5,FALSE)))</f>
        <v>0</v>
      </c>
      <c r="K93" s="89">
        <f>IF(ISERROR(VLOOKUP($A93,'8. Demand data categorization'!$A:$AV,33,FALSE)),0,(VLOOKUP($A93,'8. Demand data categorization'!$A:$AV,33,FALSE))*(1-VLOOKUP($B93,'2. Forbearance thresholds'!$A$16:$F$25,6,FALSE)))</f>
        <v>0</v>
      </c>
      <c r="L93" s="1" t="str">
        <f>IF(ISERROR(VLOOKUP(A93,'11. TransferExport'!A:A,1,FALSE)),"N","Y")</f>
        <v>Y</v>
      </c>
      <c r="M93" s="1" t="str">
        <f>IF(ISERROR(VLOOKUP(A93,'11. TransferExport'!B:B,1,FALSE)),"N","Y")</f>
        <v>N</v>
      </c>
      <c r="N93">
        <f>IF(L93="Y",-SUMIF('11. TransferExport'!A:A,A93,'11. TransferExport'!D:D),IF(M93="Y",SUMIF('11. TransferExport'!B:B,A93,'11. TransferExport'!D:D),0))</f>
        <v>-7</v>
      </c>
      <c r="O93">
        <f>IF(L93="Y",-SUMIF('11. TransferExport'!A:A,A93,'11. TransferExport'!E:E),IF(M93="Y",SUMIF('11. TransferExport'!B:B,A93,'11. TransferExport'!E:E),0))</f>
        <v>-11</v>
      </c>
      <c r="P93">
        <f>IF(L93="Y",-SUMIF('11. TransferExport'!A:A,A93,'11. TransferExport'!F:F),IF(M93="Y",SUMIF('11. TransferExport'!B:B,A93,'11. TransferExport'!F:F),0))</f>
        <v>-4</v>
      </c>
      <c r="Q93">
        <f>IF(L93="Y",-SUMIF('11. TransferExport'!A:A,A93,'11. TransferExport'!G:G),IF(M93="Y",SUMIF('11. TransferExport'!B:B,A93,'11. TransferExport'!G:G),0))</f>
        <v>0</v>
      </c>
      <c r="R93" s="91">
        <f t="shared" si="14"/>
        <v>-5.3709874119136458</v>
      </c>
      <c r="S93">
        <f>IF(L93="Y",-SUMIF('11. TransferExport'!$A:$A,$A93,'11. TransferExport'!L:L),IF(M93="Y",SUMIF('11. TransferExport'!$B:$B,$A93,'11. TransferExport'!L:L),0))</f>
        <v>-7</v>
      </c>
      <c r="T93">
        <f>IF($L93="Y",-SUMIF('11. TransferExport'!$A:$A,$A93,'11. TransferExport'!M:M),IF($M93="Y",SUMIF('11. TransferExport'!$B:$B,$A93,'11. TransferExport'!M:M),0))</f>
        <v>-0.29901258808635645</v>
      </c>
      <c r="U93">
        <f>IF($L93="Y",-SUMIF('11. TransferExport'!$A:$A,$A93,'11. TransferExport'!N:N),IF($M93="Y",SUMIF('11. TransferExport'!$B:$B,$A93,'11. TransferExport'!N:N),0))</f>
        <v>0</v>
      </c>
      <c r="V93">
        <f>IF($L93="Y",-SUMIF('11. TransferExport'!$A:$A,$A93,'11. TransferExport'!O:O),IF($M93="Y",SUMIF('11. TransferExport'!$B:$B,$A93,'11. TransferExport'!O:O),0))</f>
        <v>0</v>
      </c>
      <c r="W93" s="90">
        <f t="shared" si="15"/>
        <v>9.3299999999999983</v>
      </c>
      <c r="X93" s="90">
        <f t="shared" si="16"/>
        <v>9.3299999999999983</v>
      </c>
      <c r="Y93" s="90">
        <f t="shared" si="17"/>
        <v>0</v>
      </c>
      <c r="Z93" s="90">
        <f t="shared" si="18"/>
        <v>0</v>
      </c>
      <c r="AA93" s="91">
        <f t="shared" si="19"/>
        <v>0</v>
      </c>
      <c r="AB93" s="96">
        <f>VLOOKUP(A93,'8. Demand data categorization'!A:N,3,FALSE)</f>
        <v>4</v>
      </c>
      <c r="AC93" s="95" t="str">
        <f>VLOOKUP(A93,'8. Demand data categorization'!A:N,14,FALSE)</f>
        <v>Y</v>
      </c>
      <c r="AD93" t="str">
        <f t="shared" si="20"/>
        <v>No Change</v>
      </c>
    </row>
    <row r="94" spans="1:30" x14ac:dyDescent="0.25">
      <c r="A94" s="107" t="s">
        <v>112</v>
      </c>
      <c r="B94" t="str">
        <f>IF(ISERROR(VLOOKUP(A94, '8. Demand data categorization'!A:M,13,FALSE)),"ERROR",IF((VLOOKUP(A94, '8. Demand data categorization'!A:M,13,FALSE))="-","Riparian",IF(OR(VLOOKUP(A94, '8. Demand data categorization'!A:M,13,FALSE)="1971-1990",VLOOKUP(A94, '8. Demand data categorization'!A:M,13,FALSE)="1991-Present"),"1971-Present",VLOOKUP(A94, '8. Demand data categorization'!A:M,13,FALSE))))</f>
        <v>Pre-1949 + 1949</v>
      </c>
      <c r="C94" s="84" t="str">
        <f>VLOOKUP(A94,'12. eWRIMS_Export'!A:K,7,FALSE)</f>
        <v>ORRS CREEK VINEYARDS LP</v>
      </c>
      <c r="D94">
        <f>VLOOKUP(A94,'8. Demand data categorization'!A:AJ,30,FALSE)</f>
        <v>18.309999999999999</v>
      </c>
      <c r="E94">
        <f>VLOOKUP(A94,'8. Demand data categorization'!A:AJ,31,FALSE)</f>
        <v>43.33</v>
      </c>
      <c r="F94">
        <f>VLOOKUP(A94,'8. Demand data categorization'!A:AJ,32,FALSE)</f>
        <v>20.100000000000001</v>
      </c>
      <c r="G94" s="84">
        <f>VLOOKUP(A94,'8. Demand data categorization'!A:AJ,33,FALSE)</f>
        <v>0</v>
      </c>
      <c r="H94" s="80">
        <f>IF(ISERROR(VLOOKUP($A94,'8. Demand data categorization'!$A:$AV,30,FALSE)),0,(VLOOKUP($A94,'8. Demand data categorization'!$A:$AV,30,FALSE))*(1-VLOOKUP($B94,'2. Forbearance thresholds'!$A$16:$F$25,3,FALSE)))</f>
        <v>18.309999999999999</v>
      </c>
      <c r="I94" s="80">
        <f>IF(ISERROR(VLOOKUP($A94,'8. Demand data categorization'!$A:$AV,31,FALSE)),0,(VLOOKUP($A94,'8. Demand data categorization'!$A:$AV,31,FALSE))*(1-VLOOKUP($B94,'2. Forbearance thresholds'!$A$16:$F$25,4,FALSE)))</f>
        <v>1.2386439236885107</v>
      </c>
      <c r="J94" s="80">
        <f>IF(ISERROR(VLOOKUP($A94,'8. Demand data categorization'!$A:$AV,32,FALSE)),0,(VLOOKUP($A94,'8. Demand data categorization'!$A:$AV,32,FALSE))*(1-VLOOKUP($B94,'2. Forbearance thresholds'!$A$16:$F$25,5,FALSE)))</f>
        <v>0</v>
      </c>
      <c r="K94" s="89">
        <f>IF(ISERROR(VLOOKUP($A94,'8. Demand data categorization'!$A:$AV,33,FALSE)),0,(VLOOKUP($A94,'8. Demand data categorization'!$A:$AV,33,FALSE))*(1-VLOOKUP($B94,'2. Forbearance thresholds'!$A$16:$F$25,6,FALSE)))</f>
        <v>0</v>
      </c>
      <c r="L94" s="1" t="str">
        <f>IF(ISERROR(VLOOKUP(A94,'11. TransferExport'!A:A,1,FALSE)),"N","Y")</f>
        <v>Y</v>
      </c>
      <c r="M94" s="1" t="str">
        <f>IF(ISERROR(VLOOKUP(A94,'11. TransferExport'!B:B,1,FALSE)),"N","Y")</f>
        <v>N</v>
      </c>
      <c r="N94">
        <f>IF(L94="Y",-SUMIF('11. TransferExport'!A:A,A94,'11. TransferExport'!D:D),IF(M94="Y",SUMIF('11. TransferExport'!B:B,A94,'11. TransferExport'!D:D),0))</f>
        <v>-12</v>
      </c>
      <c r="O94">
        <f>IF(L94="Y",-SUMIF('11. TransferExport'!A:A,A94,'11. TransferExport'!E:E),IF(M94="Y",SUMIF('11. TransferExport'!B:B,A94,'11. TransferExport'!E:E),0))</f>
        <v>-29</v>
      </c>
      <c r="P94">
        <f>IF(L94="Y",-SUMIF('11. TransferExport'!A:A,A94,'11. TransferExport'!F:F),IF(M94="Y",SUMIF('11. TransferExport'!B:B,A94,'11. TransferExport'!F:F),0))</f>
        <v>-15</v>
      </c>
      <c r="Q94">
        <f>IF(L94="Y",-SUMIF('11. TransferExport'!A:A,A94,'11. TransferExport'!G:G),IF(M94="Y",SUMIF('11. TransferExport'!B:B,A94,'11. TransferExport'!G:G),0))</f>
        <v>0</v>
      </c>
      <c r="R94" s="91">
        <f t="shared" si="14"/>
        <v>-36.451356076311491</v>
      </c>
      <c r="S94">
        <f>IF(L94="Y",-SUMIF('11. TransferExport'!$A:$A,$A94,'11. TransferExport'!L:L),IF(M94="Y",SUMIF('11. TransferExport'!$B:$B,$A94,'11. TransferExport'!L:L),0))</f>
        <v>-12</v>
      </c>
      <c r="T94">
        <f>IF($L94="Y",-SUMIF('11. TransferExport'!$A:$A,$A94,'11. TransferExport'!M:M),IF($M94="Y",SUMIF('11. TransferExport'!$B:$B,$A94,'11. TransferExport'!M:M),0))</f>
        <v>-1.2386439236885107</v>
      </c>
      <c r="U94">
        <f>IF($L94="Y",-SUMIF('11. TransferExport'!$A:$A,$A94,'11. TransferExport'!N:N),IF($M94="Y",SUMIF('11. TransferExport'!$B:$B,$A94,'11. TransferExport'!N:N),0))</f>
        <v>0</v>
      </c>
      <c r="V94">
        <f>IF($L94="Y",-SUMIF('11. TransferExport'!$A:$A,$A94,'11. TransferExport'!O:O),IF($M94="Y",SUMIF('11. TransferExport'!$B:$B,$A94,'11. TransferExport'!O:O),0))</f>
        <v>0</v>
      </c>
      <c r="W94" s="90">
        <f t="shared" si="15"/>
        <v>6.3099999999999987</v>
      </c>
      <c r="X94" s="90">
        <f t="shared" si="16"/>
        <v>6.3099999999999987</v>
      </c>
      <c r="Y94" s="90">
        <f t="shared" si="17"/>
        <v>0</v>
      </c>
      <c r="Z94" s="90">
        <f t="shared" si="18"/>
        <v>0</v>
      </c>
      <c r="AA94" s="91">
        <f t="shared" si="19"/>
        <v>0</v>
      </c>
      <c r="AB94" s="96">
        <f>VLOOKUP(A94,'8. Demand data categorization'!A:N,3,FALSE)</f>
        <v>4</v>
      </c>
      <c r="AC94" s="95" t="str">
        <f>VLOOKUP(A94,'8. Demand data categorization'!A:N,14,FALSE)</f>
        <v>Y</v>
      </c>
      <c r="AD94" t="str">
        <f t="shared" si="20"/>
        <v>No Change</v>
      </c>
    </row>
    <row r="95" spans="1:30" x14ac:dyDescent="0.25">
      <c r="A95" t="s">
        <v>34</v>
      </c>
      <c r="B95" t="str">
        <f>IF(ISERROR(VLOOKUP(A95, '8. Demand data categorization'!A:M,13,FALSE)),"ERROR",IF((VLOOKUP(A95, '8. Demand data categorization'!A:M,13,FALSE))="-","Riparian",IF(OR(VLOOKUP(A95, '8. Demand data categorization'!A:M,13,FALSE)="1971-1990",VLOOKUP(A95, '8. Demand data categorization'!A:M,13,FALSE)="1991-Present"),"1971-Present",VLOOKUP(A95, '8. Demand data categorization'!A:M,13,FALSE))))</f>
        <v>1971-Present</v>
      </c>
      <c r="C95" s="84" t="str">
        <f>VLOOKUP(A95,'12. eWRIMS_Export'!A:K,7,FALSE)</f>
        <v>PALOMINO LAKES MUTUAL WATER COMPANY, INC.</v>
      </c>
      <c r="D95">
        <f>VLOOKUP(A95,'8. Demand data categorization'!A:AJ,30,FALSE)</f>
        <v>2.33</v>
      </c>
      <c r="E95">
        <f>VLOOKUP(A95,'8. Demand data categorization'!A:AJ,31,FALSE)</f>
        <v>2.2999999999999998</v>
      </c>
      <c r="F95">
        <f>VLOOKUP(A95,'8. Demand data categorization'!A:AJ,32,FALSE)</f>
        <v>2.36</v>
      </c>
      <c r="G95" s="84">
        <f>VLOOKUP(A95,'8. Demand data categorization'!A:AJ,33,FALSE)</f>
        <v>2.2599999999999998</v>
      </c>
      <c r="H95" s="81">
        <f>IF(ISERROR(VLOOKUP($A95,'8. Demand data categorization'!$A:$AV,30,FALSE)),0,(VLOOKUP($A95,'8. Demand data categorization'!$A:$AV,30,FALSE))*(1-VLOOKUP($B95,'2. Forbearance thresholds'!$A$16:$F$25,3,FALSE)))</f>
        <v>2.097</v>
      </c>
      <c r="I95" s="81">
        <f>IF(ISERROR(VLOOKUP($A95,'8. Demand data categorization'!$A:$AV,31,FALSE)),0,(VLOOKUP($A95,'8. Demand data categorization'!$A:$AV,31,FALSE))*(1-VLOOKUP($B95,'2. Forbearance thresholds'!$A$16:$F$25,4,FALSE)))</f>
        <v>6.5748465831607997E-2</v>
      </c>
      <c r="J95" s="81">
        <f>IF(ISERROR(VLOOKUP($A95,'8. Demand data categorization'!$A:$AV,32,FALSE)),0,(VLOOKUP($A95,'8. Demand data categorization'!$A:$AV,32,FALSE))*(1-VLOOKUP($B95,'2. Forbearance thresholds'!$A$16:$F$25,5,FALSE)))</f>
        <v>0</v>
      </c>
      <c r="K95" s="88">
        <f>IF(ISERROR(VLOOKUP($A95,'8. Demand data categorization'!$A:$AV,33,FALSE)),0,(VLOOKUP($A95,'8. Demand data categorization'!$A:$AV,33,FALSE))*(1-VLOOKUP($B95,'2. Forbearance thresholds'!$A$16:$F$25,6,FALSE)))</f>
        <v>0</v>
      </c>
      <c r="L95" s="1" t="str">
        <f>IF(ISERROR(VLOOKUP(A95,'11. TransferExport'!A:A,1,FALSE)),"N","Y")</f>
        <v>N</v>
      </c>
      <c r="M95" s="1" t="str">
        <f>IF(ISERROR(VLOOKUP(A95,'11. TransferExport'!B:B,1,FALSE)),"N","Y")</f>
        <v>N</v>
      </c>
      <c r="N95">
        <f>IF(L95="Y",-SUMIF('11. TransferExport'!A:A,A95,'11. TransferExport'!D:D),IF(M95="Y",SUMIF('11. TransferExport'!B:B,A95,'11. TransferExport'!D:D),0))</f>
        <v>0</v>
      </c>
      <c r="O95">
        <f>IF(L95="Y",-SUMIF('11. TransferExport'!A:A,A95,'11. TransferExport'!E:E),IF(M95="Y",SUMIF('11. TransferExport'!B:B,A95,'11. TransferExport'!E:E),0))</f>
        <v>0</v>
      </c>
      <c r="P95">
        <f>IF(L95="Y",-SUMIF('11. TransferExport'!A:A,A95,'11. TransferExport'!F:F),IF(M95="Y",SUMIF('11. TransferExport'!B:B,A95,'11. TransferExport'!F:F),0))</f>
        <v>0</v>
      </c>
      <c r="Q95">
        <f>IF(L95="Y",-SUMIF('11. TransferExport'!A:A,A95,'11. TransferExport'!G:G),IF(M95="Y",SUMIF('11. TransferExport'!B:B,A95,'11. TransferExport'!G:G),0))</f>
        <v>0</v>
      </c>
      <c r="R95" s="91">
        <f t="shared" si="14"/>
        <v>2.1627484658316081</v>
      </c>
      <c r="S95">
        <f>IF(L95="Y",-SUMIF('11. TransferExport'!$A:$A,$A95,'11. TransferExport'!L:L),IF(M95="Y",SUMIF('11. TransferExport'!$B:$B,$A95,'11. TransferExport'!L:L),0))</f>
        <v>0</v>
      </c>
      <c r="T95">
        <f>IF($L95="Y",-SUMIF('11. TransferExport'!$A:$A,$A95,'11. TransferExport'!M:M),IF($M95="Y",SUMIF('11. TransferExport'!$B:$B,$A95,'11. TransferExport'!M:M),0))</f>
        <v>0</v>
      </c>
      <c r="U95">
        <f>IF($L95="Y",-SUMIF('11. TransferExport'!$A:$A,$A95,'11. TransferExport'!N:N),IF($M95="Y",SUMIF('11. TransferExport'!$B:$B,$A95,'11. TransferExport'!N:N),0))</f>
        <v>0</v>
      </c>
      <c r="V95">
        <f>IF($L95="Y",-SUMIF('11. TransferExport'!$A:$A,$A95,'11. TransferExport'!O:O),IF($M95="Y",SUMIF('11. TransferExport'!$B:$B,$A95,'11. TransferExport'!O:O),0))</f>
        <v>0</v>
      </c>
      <c r="W95" s="90">
        <f t="shared" si="15"/>
        <v>2.1627484658316081</v>
      </c>
      <c r="X95" s="90">
        <f t="shared" si="16"/>
        <v>2.097</v>
      </c>
      <c r="Y95" s="90">
        <f t="shared" si="17"/>
        <v>6.5748465831607997E-2</v>
      </c>
      <c r="Z95" s="90">
        <f t="shared" si="18"/>
        <v>0</v>
      </c>
      <c r="AA95" s="91">
        <f t="shared" si="19"/>
        <v>0</v>
      </c>
      <c r="AB95" s="96">
        <f>VLOOKUP(A95,'8. Demand data categorization'!A:N,3,FALSE)</f>
        <v>9</v>
      </c>
      <c r="AC95" s="95" t="str">
        <f>VLOOKUP(A95,'8. Demand data categorization'!A:N,14,FALSE)</f>
        <v>Y</v>
      </c>
      <c r="AD95" t="str">
        <f t="shared" si="20"/>
        <v>Giving</v>
      </c>
    </row>
    <row r="96" spans="1:30" x14ac:dyDescent="0.25">
      <c r="A96" t="s">
        <v>32</v>
      </c>
      <c r="B96" t="str">
        <f>IF(ISERROR(VLOOKUP(A96, '8. Demand data categorization'!A:M,13,FALSE)),"ERROR",IF((VLOOKUP(A96, '8. Demand data categorization'!A:M,13,FALSE))="-","Riparian",IF(OR(VLOOKUP(A96, '8. Demand data categorization'!A:M,13,FALSE)="1971-1990",VLOOKUP(A96, '8. Demand data categorization'!A:M,13,FALSE)="1991-Present"),"1971-Present",VLOOKUP(A96, '8. Demand data categorization'!A:M,13,FALSE))))</f>
        <v>Riparian</v>
      </c>
      <c r="C96" s="84" t="str">
        <f>VLOOKUP(A96,'12. eWRIMS_Export'!A:K,7,FALSE)</f>
        <v>Peter   Buckley</v>
      </c>
      <c r="D96">
        <f>VLOOKUP(A96,'8. Demand data categorization'!A:AJ,30,FALSE)</f>
        <v>6.56</v>
      </c>
      <c r="E96">
        <f>VLOOKUP(A96,'8. Demand data categorization'!A:AJ,31,FALSE)</f>
        <v>7.02</v>
      </c>
      <c r="F96">
        <f>VLOOKUP(A96,'8. Demand data categorization'!A:AJ,32,FALSE)</f>
        <v>4.42</v>
      </c>
      <c r="G96" s="84">
        <f>VLOOKUP(A96,'8. Demand data categorization'!A:AJ,33,FALSE)</f>
        <v>3.29</v>
      </c>
      <c r="H96" s="81">
        <f>IF(ISERROR(VLOOKUP($A96,'8. Demand data categorization'!$A:$AV,30,FALSE)),0,(VLOOKUP($A96,'8. Demand data categorization'!$A:$AV,30,FALSE))*(1-VLOOKUP($B96,'2. Forbearance thresholds'!$A$16:$F$25,3,FALSE)))</f>
        <v>5.0254837407490465</v>
      </c>
      <c r="I96" s="81">
        <f>IF(ISERROR(VLOOKUP($A96,'8. Demand data categorization'!$A:$AV,31,FALSE)),0,(VLOOKUP($A96,'8. Demand data categorization'!$A:$AV,31,FALSE))*(1-VLOOKUP($B96,'2. Forbearance thresholds'!$A$16:$F$25,4,FALSE)))</f>
        <v>0.20067575223386441</v>
      </c>
      <c r="J96" s="81">
        <f>IF(ISERROR(VLOOKUP($A96,'8. Demand data categorization'!$A:$AV,32,FALSE)),0,(VLOOKUP($A96,'8. Demand data categorization'!$A:$AV,32,FALSE))*(1-VLOOKUP($B96,'2. Forbearance thresholds'!$A$16:$F$25,5,FALSE)))</f>
        <v>0</v>
      </c>
      <c r="K96" s="88">
        <f>IF(ISERROR(VLOOKUP($A96,'8. Demand data categorization'!$A:$AV,33,FALSE)),0,(VLOOKUP($A96,'8. Demand data categorization'!$A:$AV,33,FALSE))*(1-VLOOKUP($B96,'2. Forbearance thresholds'!$A$16:$F$25,6,FALSE)))</f>
        <v>0</v>
      </c>
      <c r="L96" s="1" t="str">
        <f>IF(ISERROR(VLOOKUP(A96,'11. TransferExport'!A:A,1,FALSE)),"N","Y")</f>
        <v>N</v>
      </c>
      <c r="M96" s="1" t="str">
        <f>IF(ISERROR(VLOOKUP(A96,'11. TransferExport'!B:B,1,FALSE)),"N","Y")</f>
        <v>N</v>
      </c>
      <c r="N96">
        <f>IF(L96="Y",-SUMIF('11. TransferExport'!A:A,A96,'11. TransferExport'!D:D),IF(M96="Y",SUMIF('11. TransferExport'!B:B,A96,'11. TransferExport'!D:D),0))</f>
        <v>0</v>
      </c>
      <c r="O96">
        <f>IF(L96="Y",-SUMIF('11. TransferExport'!A:A,A96,'11. TransferExport'!E:E),IF(M96="Y",SUMIF('11. TransferExport'!B:B,A96,'11. TransferExport'!E:E),0))</f>
        <v>0</v>
      </c>
      <c r="P96">
        <f>IF(L96="Y",-SUMIF('11. TransferExport'!A:A,A96,'11. TransferExport'!F:F),IF(M96="Y",SUMIF('11. TransferExport'!B:B,A96,'11. TransferExport'!F:F),0))</f>
        <v>0</v>
      </c>
      <c r="Q96">
        <f>IF(L96="Y",-SUMIF('11. TransferExport'!A:A,A96,'11. TransferExport'!G:G),IF(M96="Y",SUMIF('11. TransferExport'!B:B,A96,'11. TransferExport'!G:G),0))</f>
        <v>0</v>
      </c>
      <c r="R96" s="91">
        <f t="shared" ref="R96:R127" si="21">SUM(H96:K96)+SUM(N96:Q96)</f>
        <v>5.2261594929829105</v>
      </c>
      <c r="S96">
        <f>IF(L96="Y",-SUMIF('11. TransferExport'!$A:$A,$A96,'11. TransferExport'!L:L),IF(M96="Y",SUMIF('11. TransferExport'!$B:$B,$A96,'11. TransferExport'!L:L),0))</f>
        <v>0</v>
      </c>
      <c r="T96">
        <f>IF($L96="Y",-SUMIF('11. TransferExport'!$A:$A,$A96,'11. TransferExport'!M:M),IF($M96="Y",SUMIF('11. TransferExport'!$B:$B,$A96,'11. TransferExport'!M:M),0))</f>
        <v>0</v>
      </c>
      <c r="U96">
        <f>IF($L96="Y",-SUMIF('11. TransferExport'!$A:$A,$A96,'11. TransferExport'!N:N),IF($M96="Y",SUMIF('11. TransferExport'!$B:$B,$A96,'11. TransferExport'!N:N),0))</f>
        <v>0</v>
      </c>
      <c r="V96">
        <f>IF($L96="Y",-SUMIF('11. TransferExport'!$A:$A,$A96,'11. TransferExport'!O:O),IF($M96="Y",SUMIF('11. TransferExport'!$B:$B,$A96,'11. TransferExport'!O:O),0))</f>
        <v>0</v>
      </c>
      <c r="W96" s="90">
        <f t="shared" ref="W96:W127" si="22">SUM(H96:K96,S96:V96)</f>
        <v>5.2261594929829105</v>
      </c>
      <c r="X96" s="90">
        <f t="shared" ref="X96:X127" si="23">H96+S96</f>
        <v>5.0254837407490465</v>
      </c>
      <c r="Y96" s="90">
        <f t="shared" ref="Y96:Y127" si="24">I96+T96</f>
        <v>0.20067575223386441</v>
      </c>
      <c r="Z96" s="90">
        <f t="shared" ref="Z96:Z127" si="25">J96+U96</f>
        <v>0</v>
      </c>
      <c r="AA96" s="91">
        <f t="shared" ref="AA96:AA127" si="26">K96+V96</f>
        <v>0</v>
      </c>
      <c r="AB96" s="96">
        <f>VLOOKUP(A96,'8. Demand data categorization'!A:N,3,FALSE)</f>
        <v>12</v>
      </c>
      <c r="AC96" s="95" t="str">
        <f>VLOOKUP(A96,'8. Demand data categorization'!A:N,14,FALSE)</f>
        <v>Y</v>
      </c>
      <c r="AD96" t="str">
        <f t="shared" ref="AD96:AD127" si="27">IF(B96="Riparian","Taking",IF(OR(B96="1971-Present",B96="1960-1970",B96="1957-1959",B96="1955-1956",B96="1953-1954",B96="1950-1952"),"Giving","No Change"))</f>
        <v>Taking</v>
      </c>
    </row>
    <row r="97" spans="1:30" x14ac:dyDescent="0.25">
      <c r="A97" t="s">
        <v>33</v>
      </c>
      <c r="B97" t="str">
        <f>IF(ISERROR(VLOOKUP(A97, '8. Demand data categorization'!A:M,13,FALSE)),"ERROR",IF((VLOOKUP(A97, '8. Demand data categorization'!A:M,13,FALSE))="-","Riparian",IF(OR(VLOOKUP(A97, '8. Demand data categorization'!A:M,13,FALSE)="1971-1990",VLOOKUP(A97, '8. Demand data categorization'!A:M,13,FALSE)="1991-Present"),"1971-Present",VLOOKUP(A97, '8. Demand data categorization'!A:M,13,FALSE))))</f>
        <v>Riparian</v>
      </c>
      <c r="C97" s="84" t="str">
        <f>VLOOKUP(A97,'12. eWRIMS_Export'!A:K,7,FALSE)</f>
        <v>Peter   Buckley</v>
      </c>
      <c r="D97">
        <f>VLOOKUP(A97,'8. Demand data categorization'!A:AJ,30,FALSE)</f>
        <v>6.32</v>
      </c>
      <c r="E97">
        <f>VLOOKUP(A97,'8. Demand data categorization'!A:AJ,31,FALSE)</f>
        <v>4.82</v>
      </c>
      <c r="F97">
        <f>VLOOKUP(A97,'8. Demand data categorization'!A:AJ,32,FALSE)</f>
        <v>3.59</v>
      </c>
      <c r="G97" s="84">
        <f>VLOOKUP(A97,'8. Demand data categorization'!A:AJ,33,FALSE)</f>
        <v>1.19</v>
      </c>
      <c r="H97" s="81">
        <f>IF(ISERROR(VLOOKUP($A97,'8. Demand data categorization'!$A:$AV,30,FALSE)),0,(VLOOKUP($A97,'8. Demand data categorization'!$A:$AV,30,FALSE))*(1-VLOOKUP($B97,'2. Forbearance thresholds'!$A$16:$F$25,3,FALSE)))</f>
        <v>4.8416245795021311</v>
      </c>
      <c r="I97" s="81">
        <f>IF(ISERROR(VLOOKUP($A97,'8. Demand data categorization'!$A:$AV,31,FALSE)),0,(VLOOKUP($A97,'8. Demand data categorization'!$A:$AV,31,FALSE))*(1-VLOOKUP($B97,'2. Forbearance thresholds'!$A$16:$F$25,4,FALSE)))</f>
        <v>0.13778591535145679</v>
      </c>
      <c r="J97" s="81">
        <f>IF(ISERROR(VLOOKUP($A97,'8. Demand data categorization'!$A:$AV,32,FALSE)),0,(VLOOKUP($A97,'8. Demand data categorization'!$A:$AV,32,FALSE))*(1-VLOOKUP($B97,'2. Forbearance thresholds'!$A$16:$F$25,5,FALSE)))</f>
        <v>0</v>
      </c>
      <c r="K97" s="88">
        <f>IF(ISERROR(VLOOKUP($A97,'8. Demand data categorization'!$A:$AV,33,FALSE)),0,(VLOOKUP($A97,'8. Demand data categorization'!$A:$AV,33,FALSE))*(1-VLOOKUP($B97,'2. Forbearance thresholds'!$A$16:$F$25,6,FALSE)))</f>
        <v>0</v>
      </c>
      <c r="L97" s="1" t="str">
        <f>IF(ISERROR(VLOOKUP(A97,'11. TransferExport'!A:A,1,FALSE)),"N","Y")</f>
        <v>N</v>
      </c>
      <c r="M97" s="1" t="str">
        <f>IF(ISERROR(VLOOKUP(A97,'11. TransferExport'!B:B,1,FALSE)),"N","Y")</f>
        <v>N</v>
      </c>
      <c r="N97">
        <f>IF(L97="Y",-SUMIF('11. TransferExport'!A:A,A97,'11. TransferExport'!D:D),IF(M97="Y",SUMIF('11. TransferExport'!B:B,A97,'11. TransferExport'!D:D),0))</f>
        <v>0</v>
      </c>
      <c r="O97">
        <f>IF(L97="Y",-SUMIF('11. TransferExport'!A:A,A97,'11. TransferExport'!E:E),IF(M97="Y",SUMIF('11. TransferExport'!B:B,A97,'11. TransferExport'!E:E),0))</f>
        <v>0</v>
      </c>
      <c r="P97">
        <f>IF(L97="Y",-SUMIF('11. TransferExport'!A:A,A97,'11. TransferExport'!F:F),IF(M97="Y",SUMIF('11. TransferExport'!B:B,A97,'11. TransferExport'!F:F),0))</f>
        <v>0</v>
      </c>
      <c r="Q97">
        <f>IF(L97="Y",-SUMIF('11. TransferExport'!A:A,A97,'11. TransferExport'!G:G),IF(M97="Y",SUMIF('11. TransferExport'!B:B,A97,'11. TransferExport'!G:G),0))</f>
        <v>0</v>
      </c>
      <c r="R97" s="91">
        <f t="shared" si="21"/>
        <v>4.979410494853588</v>
      </c>
      <c r="S97">
        <f>IF(L97="Y",-SUMIF('11. TransferExport'!$A:$A,$A97,'11. TransferExport'!L:L),IF(M97="Y",SUMIF('11. TransferExport'!$B:$B,$A97,'11. TransferExport'!L:L),0))</f>
        <v>0</v>
      </c>
      <c r="T97">
        <f>IF($L97="Y",-SUMIF('11. TransferExport'!$A:$A,$A97,'11. TransferExport'!M:M),IF($M97="Y",SUMIF('11. TransferExport'!$B:$B,$A97,'11. TransferExport'!M:M),0))</f>
        <v>0</v>
      </c>
      <c r="U97">
        <f>IF($L97="Y",-SUMIF('11. TransferExport'!$A:$A,$A97,'11. TransferExport'!N:N),IF($M97="Y",SUMIF('11. TransferExport'!$B:$B,$A97,'11. TransferExport'!N:N),0))</f>
        <v>0</v>
      </c>
      <c r="V97">
        <f>IF($L97="Y",-SUMIF('11. TransferExport'!$A:$A,$A97,'11. TransferExport'!O:O),IF($M97="Y",SUMIF('11. TransferExport'!$B:$B,$A97,'11. TransferExport'!O:O),0))</f>
        <v>0</v>
      </c>
      <c r="W97" s="90">
        <f t="shared" si="22"/>
        <v>4.979410494853588</v>
      </c>
      <c r="X97" s="90">
        <f t="shared" si="23"/>
        <v>4.8416245795021311</v>
      </c>
      <c r="Y97" s="90">
        <f t="shared" si="24"/>
        <v>0.13778591535145679</v>
      </c>
      <c r="Z97" s="90">
        <f t="shared" si="25"/>
        <v>0</v>
      </c>
      <c r="AA97" s="91">
        <f t="shared" si="26"/>
        <v>0</v>
      </c>
      <c r="AB97" s="96">
        <f>VLOOKUP(A97,'8. Demand data categorization'!A:N,3,FALSE)</f>
        <v>10</v>
      </c>
      <c r="AC97" s="95" t="str">
        <f>VLOOKUP(A97,'8. Demand data categorization'!A:N,14,FALSE)</f>
        <v>N</v>
      </c>
      <c r="AD97" t="str">
        <f t="shared" si="27"/>
        <v>Taking</v>
      </c>
    </row>
    <row r="98" spans="1:30" x14ac:dyDescent="0.25">
      <c r="A98" s="107" t="s">
        <v>123</v>
      </c>
      <c r="B98" t="str">
        <f>IF(ISERROR(VLOOKUP(A98, '8. Demand data categorization'!A:M,13,FALSE)),"ERROR",IF((VLOOKUP(A98, '8. Demand data categorization'!A:M,13,FALSE))="-","Riparian",IF(OR(VLOOKUP(A98, '8. Demand data categorization'!A:M,13,FALSE)="1971-1990",VLOOKUP(A98, '8. Demand data categorization'!A:M,13,FALSE)="1991-Present"),"1971-Present",VLOOKUP(A98, '8. Demand data categorization'!A:M,13,FALSE))))</f>
        <v>Riparian</v>
      </c>
      <c r="C98" s="84" t="str">
        <f>VLOOKUP(A98,'12. eWRIMS_Export'!A:K,7,FALSE)</f>
        <v>RAWAH VINEYARDS LLC</v>
      </c>
      <c r="D98">
        <f>VLOOKUP(A98,'8. Demand data categorization'!A:AJ,30,FALSE)</f>
        <v>0</v>
      </c>
      <c r="E98">
        <f>VLOOKUP(A98,'8. Demand data categorization'!A:AJ,31,FALSE)</f>
        <v>0</v>
      </c>
      <c r="F98">
        <f>VLOOKUP(A98,'8. Demand data categorization'!A:AJ,32,FALSE)</f>
        <v>0</v>
      </c>
      <c r="G98" s="84">
        <f>VLOOKUP(A98,'8. Demand data categorization'!A:AJ,33,FALSE)</f>
        <v>0</v>
      </c>
      <c r="H98" s="80">
        <f>IF(ISERROR(VLOOKUP($A98,'8. Demand data categorization'!$A:$AV,30,FALSE)),0,(VLOOKUP($A98,'8. Demand data categorization'!$A:$AV,30,FALSE))*(1-VLOOKUP($B98,'2. Forbearance thresholds'!$A$16:$F$25,3,FALSE)))</f>
        <v>0</v>
      </c>
      <c r="I98" s="80">
        <f>IF(ISERROR(VLOOKUP($A98,'8. Demand data categorization'!$A:$AV,31,FALSE)),0,(VLOOKUP($A98,'8. Demand data categorization'!$A:$AV,31,FALSE))*(1-VLOOKUP($B98,'2. Forbearance thresholds'!$A$16:$F$25,4,FALSE)))</f>
        <v>0</v>
      </c>
      <c r="J98" s="80">
        <f>IF(ISERROR(VLOOKUP($A98,'8. Demand data categorization'!$A:$AV,32,FALSE)),0,(VLOOKUP($A98,'8. Demand data categorization'!$A:$AV,32,FALSE))*(1-VLOOKUP($B98,'2. Forbearance thresholds'!$A$16:$F$25,5,FALSE)))</f>
        <v>0</v>
      </c>
      <c r="K98" s="89">
        <f>IF(ISERROR(VLOOKUP($A98,'8. Demand data categorization'!$A:$AV,33,FALSE)),0,(VLOOKUP($A98,'8. Demand data categorization'!$A:$AV,33,FALSE))*(1-VLOOKUP($B98,'2. Forbearance thresholds'!$A$16:$F$25,6,FALSE)))</f>
        <v>0</v>
      </c>
      <c r="L98" s="1" t="str">
        <f>IF(ISERROR(VLOOKUP(A98,'11. TransferExport'!A:A,1,FALSE)),"N","Y")</f>
        <v>N</v>
      </c>
      <c r="M98" s="1" t="str">
        <f>IF(ISERROR(VLOOKUP(A98,'11. TransferExport'!B:B,1,FALSE)),"N","Y")</f>
        <v>N</v>
      </c>
      <c r="N98">
        <f>IF(L98="Y",-SUMIF('11. TransferExport'!A:A,A98,'11. TransferExport'!D:D),IF(M98="Y",SUMIF('11. TransferExport'!B:B,A98,'11. TransferExport'!D:D),0))</f>
        <v>0</v>
      </c>
      <c r="O98">
        <f>IF(L98="Y",-SUMIF('11. TransferExport'!A:A,A98,'11. TransferExport'!E:E),IF(M98="Y",SUMIF('11. TransferExport'!B:B,A98,'11. TransferExport'!E:E),0))</f>
        <v>0</v>
      </c>
      <c r="P98">
        <f>IF(L98="Y",-SUMIF('11. TransferExport'!A:A,A98,'11. TransferExport'!F:F),IF(M98="Y",SUMIF('11. TransferExport'!B:B,A98,'11. TransferExport'!F:F),0))</f>
        <v>0</v>
      </c>
      <c r="Q98">
        <f>IF(L98="Y",-SUMIF('11. TransferExport'!A:A,A98,'11. TransferExport'!G:G),IF(M98="Y",SUMIF('11. TransferExport'!B:B,A98,'11. TransferExport'!G:G),0))</f>
        <v>0</v>
      </c>
      <c r="R98" s="91">
        <f t="shared" si="21"/>
        <v>0</v>
      </c>
      <c r="S98">
        <f>IF(L98="Y",-SUMIF('11. TransferExport'!$A:$A,$A98,'11. TransferExport'!L:L),IF(M98="Y",SUMIF('11. TransferExport'!$B:$B,$A98,'11. TransferExport'!L:L),0))</f>
        <v>0</v>
      </c>
      <c r="T98">
        <f>IF($L98="Y",-SUMIF('11. TransferExport'!$A:$A,$A98,'11. TransferExport'!M:M),IF($M98="Y",SUMIF('11. TransferExport'!$B:$B,$A98,'11. TransferExport'!M:M),0))</f>
        <v>0</v>
      </c>
      <c r="U98">
        <f>IF($L98="Y",-SUMIF('11. TransferExport'!$A:$A,$A98,'11. TransferExport'!N:N),IF($M98="Y",SUMIF('11. TransferExport'!$B:$B,$A98,'11. TransferExport'!N:N),0))</f>
        <v>0</v>
      </c>
      <c r="V98">
        <f>IF($L98="Y",-SUMIF('11. TransferExport'!$A:$A,$A98,'11. TransferExport'!O:O),IF($M98="Y",SUMIF('11. TransferExport'!$B:$B,$A98,'11. TransferExport'!O:O),0))</f>
        <v>0</v>
      </c>
      <c r="W98" s="90">
        <f t="shared" si="22"/>
        <v>0</v>
      </c>
      <c r="X98" s="90">
        <f t="shared" si="23"/>
        <v>0</v>
      </c>
      <c r="Y98" s="90">
        <f t="shared" si="24"/>
        <v>0</v>
      </c>
      <c r="Z98" s="90">
        <f t="shared" si="25"/>
        <v>0</v>
      </c>
      <c r="AA98" s="91">
        <f t="shared" si="26"/>
        <v>0</v>
      </c>
      <c r="AB98" s="96">
        <f>VLOOKUP(A98,'8. Demand data categorization'!A:N,3,FALSE)</f>
        <v>12</v>
      </c>
      <c r="AC98" s="95" t="str">
        <f>VLOOKUP(A98,'8. Demand data categorization'!A:N,14,FALSE)</f>
        <v>N</v>
      </c>
      <c r="AD98" t="str">
        <f t="shared" si="27"/>
        <v>Taking</v>
      </c>
    </row>
    <row r="99" spans="1:30" x14ac:dyDescent="0.25">
      <c r="A99" s="107" t="s">
        <v>156</v>
      </c>
      <c r="B99" t="str">
        <f>IF(ISERROR(VLOOKUP(A99, '8. Demand data categorization'!A:M,13,FALSE)),"ERROR",IF((VLOOKUP(A99, '8. Demand data categorization'!A:M,13,FALSE))="-","Riparian",IF(OR(VLOOKUP(A99, '8. Demand data categorization'!A:M,13,FALSE)="1971-1990",VLOOKUP(A99, '8. Demand data categorization'!A:M,13,FALSE)="1991-Present"),"1971-Present",VLOOKUP(A99, '8. Demand data categorization'!A:M,13,FALSE))))</f>
        <v>1971-Present</v>
      </c>
      <c r="C99" s="84" t="str">
        <f>VLOOKUP(A99,'12. eWRIMS_Export'!A:K,7,FALSE)</f>
        <v>RAWAH VINEYARDS LLC</v>
      </c>
      <c r="D99">
        <f>VLOOKUP(A99,'8. Demand data categorization'!A:AJ,30,FALSE)</f>
        <v>0</v>
      </c>
      <c r="E99">
        <f>VLOOKUP(A99,'8. Demand data categorization'!A:AJ,31,FALSE)</f>
        <v>0</v>
      </c>
      <c r="F99">
        <f>VLOOKUP(A99,'8. Demand data categorization'!A:AJ,32,FALSE)</f>
        <v>0</v>
      </c>
      <c r="G99" s="84">
        <f>VLOOKUP(A99,'8. Demand data categorization'!A:AJ,33,FALSE)</f>
        <v>0</v>
      </c>
      <c r="H99" s="80">
        <f>IF(ISERROR(VLOOKUP($A99,'8. Demand data categorization'!$A:$AV,30,FALSE)),0,(VLOOKUP($A99,'8. Demand data categorization'!$A:$AV,30,FALSE))*(1-VLOOKUP($B99,'2. Forbearance thresholds'!$A$16:$F$25,3,FALSE)))</f>
        <v>0</v>
      </c>
      <c r="I99" s="80">
        <f>IF(ISERROR(VLOOKUP($A99,'8. Demand data categorization'!$A:$AV,31,FALSE)),0,(VLOOKUP($A99,'8. Demand data categorization'!$A:$AV,31,FALSE))*(1-VLOOKUP($B99,'2. Forbearance thresholds'!$A$16:$F$25,4,FALSE)))</f>
        <v>0</v>
      </c>
      <c r="J99" s="80">
        <f>IF(ISERROR(VLOOKUP($A99,'8. Demand data categorization'!$A:$AV,32,FALSE)),0,(VLOOKUP($A99,'8. Demand data categorization'!$A:$AV,32,FALSE))*(1-VLOOKUP($B99,'2. Forbearance thresholds'!$A$16:$F$25,5,FALSE)))</f>
        <v>0</v>
      </c>
      <c r="K99" s="89">
        <f>IF(ISERROR(VLOOKUP($A99,'8. Demand data categorization'!$A:$AV,33,FALSE)),0,(VLOOKUP($A99,'8. Demand data categorization'!$A:$AV,33,FALSE))*(1-VLOOKUP($B99,'2. Forbearance thresholds'!$A$16:$F$25,6,FALSE)))</f>
        <v>0</v>
      </c>
      <c r="L99" s="1" t="str">
        <f>IF(ISERROR(VLOOKUP(A99,'11. TransferExport'!A:A,1,FALSE)),"N","Y")</f>
        <v>N</v>
      </c>
      <c r="M99" s="1" t="str">
        <f>IF(ISERROR(VLOOKUP(A99,'11. TransferExport'!B:B,1,FALSE)),"N","Y")</f>
        <v>N</v>
      </c>
      <c r="N99">
        <f>IF(L99="Y",-SUMIF('11. TransferExport'!A:A,A99,'11. TransferExport'!D:D),IF(M99="Y",SUMIF('11. TransferExport'!B:B,A99,'11. TransferExport'!D:D),0))</f>
        <v>0</v>
      </c>
      <c r="O99">
        <f>IF(L99="Y",-SUMIF('11. TransferExport'!A:A,A99,'11. TransferExport'!E:E),IF(M99="Y",SUMIF('11. TransferExport'!B:B,A99,'11. TransferExport'!E:E),0))</f>
        <v>0</v>
      </c>
      <c r="P99">
        <f>IF(L99="Y",-SUMIF('11. TransferExport'!A:A,A99,'11. TransferExport'!F:F),IF(M99="Y",SUMIF('11. TransferExport'!B:B,A99,'11. TransferExport'!F:F),0))</f>
        <v>0</v>
      </c>
      <c r="Q99">
        <f>IF(L99="Y",-SUMIF('11. TransferExport'!A:A,A99,'11. TransferExport'!G:G),IF(M99="Y",SUMIF('11. TransferExport'!B:B,A99,'11. TransferExport'!G:G),0))</f>
        <v>0</v>
      </c>
      <c r="R99" s="91">
        <f t="shared" si="21"/>
        <v>0</v>
      </c>
      <c r="S99">
        <f>IF(L99="Y",-SUMIF('11. TransferExport'!$A:$A,$A99,'11. TransferExport'!L:L),IF(M99="Y",SUMIF('11. TransferExport'!$B:$B,$A99,'11. TransferExport'!L:L),0))</f>
        <v>0</v>
      </c>
      <c r="T99">
        <f>IF($L99="Y",-SUMIF('11. TransferExport'!$A:$A,$A99,'11. TransferExport'!M:M),IF($M99="Y",SUMIF('11. TransferExport'!$B:$B,$A99,'11. TransferExport'!M:M),0))</f>
        <v>0</v>
      </c>
      <c r="U99">
        <f>IF($L99="Y",-SUMIF('11. TransferExport'!$A:$A,$A99,'11. TransferExport'!N:N),IF($M99="Y",SUMIF('11. TransferExport'!$B:$B,$A99,'11. TransferExport'!N:N),0))</f>
        <v>0</v>
      </c>
      <c r="V99">
        <f>IF($L99="Y",-SUMIF('11. TransferExport'!$A:$A,$A99,'11. TransferExport'!O:O),IF($M99="Y",SUMIF('11. TransferExport'!$B:$B,$A99,'11. TransferExport'!O:O),0))</f>
        <v>0</v>
      </c>
      <c r="W99" s="90">
        <f t="shared" si="22"/>
        <v>0</v>
      </c>
      <c r="X99" s="90">
        <f t="shared" si="23"/>
        <v>0</v>
      </c>
      <c r="Y99" s="90">
        <f t="shared" si="24"/>
        <v>0</v>
      </c>
      <c r="Z99" s="90">
        <f t="shared" si="25"/>
        <v>0</v>
      </c>
      <c r="AA99" s="91">
        <f t="shared" si="26"/>
        <v>0</v>
      </c>
      <c r="AB99" s="96">
        <f>VLOOKUP(A99,'8. Demand data categorization'!A:N,3,FALSE)</f>
        <v>12</v>
      </c>
      <c r="AC99" s="95" t="str">
        <f>VLOOKUP(A99,'8. Demand data categorization'!A:N,14,FALSE)</f>
        <v>N</v>
      </c>
      <c r="AD99" t="str">
        <f t="shared" si="27"/>
        <v>Giving</v>
      </c>
    </row>
    <row r="100" spans="1:30" x14ac:dyDescent="0.25">
      <c r="A100" s="107" t="s">
        <v>84</v>
      </c>
      <c r="B100" t="str">
        <f>IF(ISERROR(VLOOKUP(A100, '8. Demand data categorization'!A:M,13,FALSE)),"ERROR",IF((VLOOKUP(A100, '8. Demand data categorization'!A:M,13,FALSE))="-","Riparian",IF(OR(VLOOKUP(A100, '8. Demand data categorization'!A:M,13,FALSE)="1971-1990",VLOOKUP(A100, '8. Demand data categorization'!A:M,13,FALSE)="1991-Present"),"1971-Present",VLOOKUP(A100, '8. Demand data categorization'!A:M,13,FALSE))))</f>
        <v>1971-Present</v>
      </c>
      <c r="C100" s="84" t="str">
        <f>VLOOKUP(A100,'12. eWRIMS_Export'!A:K,7,FALSE)</f>
        <v>REDWOOD VALLEY COUNTY WATER DISTRICT</v>
      </c>
      <c r="D100">
        <f>VLOOKUP(A100,'8. Demand data categorization'!A:AJ,30,FALSE)</f>
        <v>0</v>
      </c>
      <c r="E100">
        <f>VLOOKUP(A100,'8. Demand data categorization'!A:AJ,31,FALSE)</f>
        <v>0</v>
      </c>
      <c r="F100">
        <f>VLOOKUP(A100,'8. Demand data categorization'!A:AJ,32,FALSE)</f>
        <v>0</v>
      </c>
      <c r="G100" s="84">
        <f>VLOOKUP(A100,'8. Demand data categorization'!A:AJ,33,FALSE)</f>
        <v>0</v>
      </c>
      <c r="H100" s="80">
        <f>IF(ISERROR(VLOOKUP($A100,'8. Demand data categorization'!$A:$AV,30,FALSE)),0,(VLOOKUP($A100,'8. Demand data categorization'!$A:$AV,30,FALSE))*(1-VLOOKUP($B100,'2. Forbearance thresholds'!$A$16:$F$25,3,FALSE)))</f>
        <v>0</v>
      </c>
      <c r="I100" s="80">
        <f>IF(ISERROR(VLOOKUP($A100,'8. Demand data categorization'!$A:$AV,31,FALSE)),0,(VLOOKUP($A100,'8. Demand data categorization'!$A:$AV,31,FALSE))*(1-VLOOKUP($B100,'2. Forbearance thresholds'!$A$16:$F$25,4,FALSE)))</f>
        <v>0</v>
      </c>
      <c r="J100" s="80">
        <f>IF(ISERROR(VLOOKUP($A100,'8. Demand data categorization'!$A:$AV,32,FALSE)),0,(VLOOKUP($A100,'8. Demand data categorization'!$A:$AV,32,FALSE))*(1-VLOOKUP($B100,'2. Forbearance thresholds'!$A$16:$F$25,5,FALSE)))</f>
        <v>0</v>
      </c>
      <c r="K100" s="89">
        <f>IF(ISERROR(VLOOKUP($A100,'8. Demand data categorization'!$A:$AV,33,FALSE)),0,(VLOOKUP($A100,'8. Demand data categorization'!$A:$AV,33,FALSE))*(1-VLOOKUP($B100,'2. Forbearance thresholds'!$A$16:$F$25,6,FALSE)))</f>
        <v>0</v>
      </c>
      <c r="L100" s="1" t="str">
        <f>IF(ISERROR(VLOOKUP(A100,'11. TransferExport'!A:A,1,FALSE)),"N","Y")</f>
        <v>N</v>
      </c>
      <c r="M100" s="1" t="str">
        <f>IF(ISERROR(VLOOKUP(A100,'11. TransferExport'!B:B,1,FALSE)),"N","Y")</f>
        <v>N</v>
      </c>
      <c r="N100">
        <f>IF(L100="Y",-SUMIF('11. TransferExport'!A:A,A100,'11. TransferExport'!D:D),IF(M100="Y",SUMIF('11. TransferExport'!B:B,A100,'11. TransferExport'!D:D),0))</f>
        <v>0</v>
      </c>
      <c r="O100">
        <f>IF(L100="Y",-SUMIF('11. TransferExport'!A:A,A100,'11. TransferExport'!E:E),IF(M100="Y",SUMIF('11. TransferExport'!B:B,A100,'11. TransferExport'!E:E),0))</f>
        <v>0</v>
      </c>
      <c r="P100">
        <f>IF(L100="Y",-SUMIF('11. TransferExport'!A:A,A100,'11. TransferExport'!F:F),IF(M100="Y",SUMIF('11. TransferExport'!B:B,A100,'11. TransferExport'!F:F),0))</f>
        <v>0</v>
      </c>
      <c r="Q100">
        <f>IF(L100="Y",-SUMIF('11. TransferExport'!A:A,A100,'11. TransferExport'!G:G),IF(M100="Y",SUMIF('11. TransferExport'!B:B,A100,'11. TransferExport'!G:G),0))</f>
        <v>0</v>
      </c>
      <c r="R100" s="91">
        <f t="shared" si="21"/>
        <v>0</v>
      </c>
      <c r="S100">
        <f>IF(L100="Y",-SUMIF('11. TransferExport'!$A:$A,$A100,'11. TransferExport'!L:L),IF(M100="Y",SUMIF('11. TransferExport'!$B:$B,$A100,'11. TransferExport'!L:L),0))</f>
        <v>0</v>
      </c>
      <c r="T100">
        <f>IF($L100="Y",-SUMIF('11. TransferExport'!$A:$A,$A100,'11. TransferExport'!M:M),IF($M100="Y",SUMIF('11. TransferExport'!$B:$B,$A100,'11. TransferExport'!M:M),0))</f>
        <v>0</v>
      </c>
      <c r="U100">
        <f>IF($L100="Y",-SUMIF('11. TransferExport'!$A:$A,$A100,'11. TransferExport'!N:N),IF($M100="Y",SUMIF('11. TransferExport'!$B:$B,$A100,'11. TransferExport'!N:N),0))</f>
        <v>0</v>
      </c>
      <c r="V100">
        <f>IF($L100="Y",-SUMIF('11. TransferExport'!$A:$A,$A100,'11. TransferExport'!O:O),IF($M100="Y",SUMIF('11. TransferExport'!$B:$B,$A100,'11. TransferExport'!O:O),0))</f>
        <v>0</v>
      </c>
      <c r="W100" s="90">
        <f t="shared" si="22"/>
        <v>0</v>
      </c>
      <c r="X100" s="90">
        <f t="shared" si="23"/>
        <v>0</v>
      </c>
      <c r="Y100" s="90">
        <f t="shared" si="24"/>
        <v>0</v>
      </c>
      <c r="Z100" s="90">
        <f t="shared" si="25"/>
        <v>0</v>
      </c>
      <c r="AA100" s="91">
        <f t="shared" si="26"/>
        <v>0</v>
      </c>
      <c r="AB100" s="96">
        <f>VLOOKUP(A100,'8. Demand data categorization'!A:N,3,FALSE)</f>
        <v>3</v>
      </c>
      <c r="AC100" s="95" t="str">
        <f>VLOOKUP(A100,'8. Demand data categorization'!A:N,14,FALSE)</f>
        <v>Y</v>
      </c>
      <c r="AD100" t="str">
        <f t="shared" si="27"/>
        <v>Giving</v>
      </c>
    </row>
    <row r="101" spans="1:30" x14ac:dyDescent="0.25">
      <c r="A101" s="107" t="s">
        <v>82</v>
      </c>
      <c r="B101" t="str">
        <f>IF(ISERROR(VLOOKUP(A101, '8. Demand data categorization'!A:M,13,FALSE)),"ERROR",IF((VLOOKUP(A101, '8. Demand data categorization'!A:M,13,FALSE))="-","Riparian",IF(OR(VLOOKUP(A101, '8. Demand data categorization'!A:M,13,FALSE)="1971-1990",VLOOKUP(A101, '8. Demand data categorization'!A:M,13,FALSE)="1991-Present"),"1971-Present",VLOOKUP(A101, '8. Demand data categorization'!A:M,13,FALSE))))</f>
        <v>Riparian</v>
      </c>
      <c r="C101" s="84" t="str">
        <f>VLOOKUP(A101,'12. eWRIMS_Export'!A:K,7,FALSE)</f>
        <v>RICHARD  LAMALFA</v>
      </c>
      <c r="D101">
        <f>VLOOKUP(A101,'8. Demand data categorization'!A:AJ,30,FALSE)</f>
        <v>1.49</v>
      </c>
      <c r="E101">
        <f>VLOOKUP(A101,'8. Demand data categorization'!A:AJ,31,FALSE)</f>
        <v>2.1</v>
      </c>
      <c r="F101">
        <f>VLOOKUP(A101,'8. Demand data categorization'!A:AJ,32,FALSE)</f>
        <v>2.38</v>
      </c>
      <c r="G101" s="84">
        <f>VLOOKUP(A101,'8. Demand data categorization'!A:AJ,33,FALSE)</f>
        <v>6.13</v>
      </c>
      <c r="H101" s="80">
        <f>IF(ISERROR(VLOOKUP($A101,'8. Demand data categorization'!$A:$AV,30,FALSE)),0,(VLOOKUP($A101,'8. Demand data categorization'!$A:$AV,30,FALSE))*(1-VLOOKUP($B101,'2. Forbearance thresholds'!$A$16:$F$25,3,FALSE)))</f>
        <v>1.141458959407939</v>
      </c>
      <c r="I101" s="80">
        <f>IF(ISERROR(VLOOKUP($A101,'8. Demand data categorization'!$A:$AV,31,FALSE)),0,(VLOOKUP($A101,'8. Demand data categorization'!$A:$AV,31,FALSE))*(1-VLOOKUP($B101,'2. Forbearance thresholds'!$A$16:$F$25,4,FALSE)))</f>
        <v>6.0031207933207313E-2</v>
      </c>
      <c r="J101" s="80">
        <f>IF(ISERROR(VLOOKUP($A101,'8. Demand data categorization'!$A:$AV,32,FALSE)),0,(VLOOKUP($A101,'8. Demand data categorization'!$A:$AV,32,FALSE))*(1-VLOOKUP($B101,'2. Forbearance thresholds'!$A$16:$F$25,5,FALSE)))</f>
        <v>0</v>
      </c>
      <c r="K101" s="89">
        <f>IF(ISERROR(VLOOKUP($A101,'8. Demand data categorization'!$A:$AV,33,FALSE)),0,(VLOOKUP($A101,'8. Demand data categorization'!$A:$AV,33,FALSE))*(1-VLOOKUP($B101,'2. Forbearance thresholds'!$A$16:$F$25,6,FALSE)))</f>
        <v>0</v>
      </c>
      <c r="L101" s="1" t="str">
        <f>IF(ISERROR(VLOOKUP(A101,'11. TransferExport'!A:A,1,FALSE)),"N","Y")</f>
        <v>N</v>
      </c>
      <c r="M101" s="1" t="str">
        <f>IF(ISERROR(VLOOKUP(A101,'11. TransferExport'!B:B,1,FALSE)),"N","Y")</f>
        <v>N</v>
      </c>
      <c r="N101">
        <f>IF(L101="Y",-SUMIF('11. TransferExport'!A:A,A101,'11. TransferExport'!D:D),IF(M101="Y",SUMIF('11. TransferExport'!B:B,A101,'11. TransferExport'!D:D),0))</f>
        <v>0</v>
      </c>
      <c r="O101">
        <f>IF(L101="Y",-SUMIF('11. TransferExport'!A:A,A101,'11. TransferExport'!E:E),IF(M101="Y",SUMIF('11. TransferExport'!B:B,A101,'11. TransferExport'!E:E),0))</f>
        <v>0</v>
      </c>
      <c r="P101">
        <f>IF(L101="Y",-SUMIF('11. TransferExport'!A:A,A101,'11. TransferExport'!F:F),IF(M101="Y",SUMIF('11. TransferExport'!B:B,A101,'11. TransferExport'!F:F),0))</f>
        <v>0</v>
      </c>
      <c r="Q101">
        <f>IF(L101="Y",-SUMIF('11. TransferExport'!A:A,A101,'11. TransferExport'!G:G),IF(M101="Y",SUMIF('11. TransferExport'!B:B,A101,'11. TransferExport'!G:G),0))</f>
        <v>0</v>
      </c>
      <c r="R101" s="91">
        <f t="shared" si="21"/>
        <v>1.2014901673411462</v>
      </c>
      <c r="S101">
        <f>IF(L101="Y",-SUMIF('11. TransferExport'!$A:$A,$A101,'11. TransferExport'!L:L),IF(M101="Y",SUMIF('11. TransferExport'!$B:$B,$A101,'11. TransferExport'!L:L),0))</f>
        <v>0</v>
      </c>
      <c r="T101">
        <f>IF($L101="Y",-SUMIF('11. TransferExport'!$A:$A,$A101,'11. TransferExport'!M:M),IF($M101="Y",SUMIF('11. TransferExport'!$B:$B,$A101,'11. TransferExport'!M:M),0))</f>
        <v>0</v>
      </c>
      <c r="U101">
        <f>IF($L101="Y",-SUMIF('11. TransferExport'!$A:$A,$A101,'11. TransferExport'!N:N),IF($M101="Y",SUMIF('11. TransferExport'!$B:$B,$A101,'11. TransferExport'!N:N),0))</f>
        <v>0</v>
      </c>
      <c r="V101">
        <f>IF($L101="Y",-SUMIF('11. TransferExport'!$A:$A,$A101,'11. TransferExport'!O:O),IF($M101="Y",SUMIF('11. TransferExport'!$B:$B,$A101,'11. TransferExport'!O:O),0))</f>
        <v>0</v>
      </c>
      <c r="W101" s="90">
        <f t="shared" si="22"/>
        <v>1.2014901673411462</v>
      </c>
      <c r="X101" s="90">
        <f t="shared" si="23"/>
        <v>1.141458959407939</v>
      </c>
      <c r="Y101" s="90">
        <f t="shared" si="24"/>
        <v>6.0031207933207313E-2</v>
      </c>
      <c r="Z101" s="90">
        <f t="shared" si="25"/>
        <v>0</v>
      </c>
      <c r="AA101" s="91">
        <f t="shared" si="26"/>
        <v>0</v>
      </c>
      <c r="AB101" s="96">
        <f>VLOOKUP(A101,'8. Demand data categorization'!A:N,3,FALSE)</f>
        <v>2</v>
      </c>
      <c r="AC101" s="95" t="str">
        <f>VLOOKUP(A101,'8. Demand data categorization'!A:N,14,FALSE)</f>
        <v>N</v>
      </c>
      <c r="AD101" t="str">
        <f t="shared" si="27"/>
        <v>Taking</v>
      </c>
    </row>
    <row r="102" spans="1:30" x14ac:dyDescent="0.25">
      <c r="A102" s="107" t="s">
        <v>85</v>
      </c>
      <c r="B102" t="str">
        <f>IF(ISERROR(VLOOKUP(A102, '8. Demand data categorization'!A:M,13,FALSE)),"ERROR",IF((VLOOKUP(A102, '8. Demand data categorization'!A:M,13,FALSE))="-","Riparian",IF(OR(VLOOKUP(A102, '8. Demand data categorization'!A:M,13,FALSE)="1971-1990",VLOOKUP(A102, '8. Demand data categorization'!A:M,13,FALSE)="1991-Present"),"1971-Present",VLOOKUP(A102, '8. Demand data categorization'!A:M,13,FALSE))))</f>
        <v>1960-1970</v>
      </c>
      <c r="C102" s="84" t="str">
        <f>VLOOKUP(A102,'12. eWRIMS_Export'!A:K,7,FALSE)</f>
        <v>RIVER ESTATES MUTUAL WATER CORP</v>
      </c>
      <c r="D102">
        <f>VLOOKUP(A102,'8. Demand data categorization'!A:AJ,30,FALSE)</f>
        <v>0</v>
      </c>
      <c r="E102">
        <f>VLOOKUP(A102,'8. Demand data categorization'!A:AJ,31,FALSE)</f>
        <v>0</v>
      </c>
      <c r="F102">
        <f>VLOOKUP(A102,'8. Demand data categorization'!A:AJ,32,FALSE)</f>
        <v>0</v>
      </c>
      <c r="G102" s="84">
        <f>VLOOKUP(A102,'8. Demand data categorization'!A:AJ,33,FALSE)</f>
        <v>0</v>
      </c>
      <c r="H102" s="80">
        <f>IF(ISERROR(VLOOKUP($A102,'8. Demand data categorization'!$A:$AV,30,FALSE)),0,(VLOOKUP($A102,'8. Demand data categorization'!$A:$AV,30,FALSE))*(1-VLOOKUP($B102,'2. Forbearance thresholds'!$A$16:$F$25,3,FALSE)))</f>
        <v>0</v>
      </c>
      <c r="I102" s="80">
        <f>IF(ISERROR(VLOOKUP($A102,'8. Demand data categorization'!$A:$AV,31,FALSE)),0,(VLOOKUP($A102,'8. Demand data categorization'!$A:$AV,31,FALSE))*(1-VLOOKUP($B102,'2. Forbearance thresholds'!$A$16:$F$25,4,FALSE)))</f>
        <v>0</v>
      </c>
      <c r="J102" s="80">
        <f>IF(ISERROR(VLOOKUP($A102,'8. Demand data categorization'!$A:$AV,32,FALSE)),0,(VLOOKUP($A102,'8. Demand data categorization'!$A:$AV,32,FALSE))*(1-VLOOKUP($B102,'2. Forbearance thresholds'!$A$16:$F$25,5,FALSE)))</f>
        <v>0</v>
      </c>
      <c r="K102" s="89">
        <f>IF(ISERROR(VLOOKUP($A102,'8. Demand data categorization'!$A:$AV,33,FALSE)),0,(VLOOKUP($A102,'8. Demand data categorization'!$A:$AV,33,FALSE))*(1-VLOOKUP($B102,'2. Forbearance thresholds'!$A$16:$F$25,6,FALSE)))</f>
        <v>0</v>
      </c>
      <c r="L102" s="1" t="str">
        <f>IF(ISERROR(VLOOKUP(A102,'11. TransferExport'!A:A,1,FALSE)),"N","Y")</f>
        <v>N</v>
      </c>
      <c r="M102" s="1" t="str">
        <f>IF(ISERROR(VLOOKUP(A102,'11. TransferExport'!B:B,1,FALSE)),"N","Y")</f>
        <v>N</v>
      </c>
      <c r="N102">
        <f>IF(L102="Y",-SUMIF('11. TransferExport'!A:A,A102,'11. TransferExport'!D:D),IF(M102="Y",SUMIF('11. TransferExport'!B:B,A102,'11. TransferExport'!D:D),0))</f>
        <v>0</v>
      </c>
      <c r="O102">
        <f>IF(L102="Y",-SUMIF('11. TransferExport'!A:A,A102,'11. TransferExport'!E:E),IF(M102="Y",SUMIF('11. TransferExport'!B:B,A102,'11. TransferExport'!E:E),0))</f>
        <v>0</v>
      </c>
      <c r="P102">
        <f>IF(L102="Y",-SUMIF('11. TransferExport'!A:A,A102,'11. TransferExport'!F:F),IF(M102="Y",SUMIF('11. TransferExport'!B:B,A102,'11. TransferExport'!F:F),0))</f>
        <v>0</v>
      </c>
      <c r="Q102">
        <f>IF(L102="Y",-SUMIF('11. TransferExport'!A:A,A102,'11. TransferExport'!G:G),IF(M102="Y",SUMIF('11. TransferExport'!B:B,A102,'11. TransferExport'!G:G),0))</f>
        <v>0</v>
      </c>
      <c r="R102" s="91">
        <f t="shared" si="21"/>
        <v>0</v>
      </c>
      <c r="S102">
        <f>IF(L102="Y",-SUMIF('11. TransferExport'!$A:$A,$A102,'11. TransferExport'!L:L),IF(M102="Y",SUMIF('11. TransferExport'!$B:$B,$A102,'11. TransferExport'!L:L),0))</f>
        <v>0</v>
      </c>
      <c r="T102">
        <f>IF($L102="Y",-SUMIF('11. TransferExport'!$A:$A,$A102,'11. TransferExport'!M:M),IF($M102="Y",SUMIF('11. TransferExport'!$B:$B,$A102,'11. TransferExport'!M:M),0))</f>
        <v>0</v>
      </c>
      <c r="U102">
        <f>IF($L102="Y",-SUMIF('11. TransferExport'!$A:$A,$A102,'11. TransferExport'!N:N),IF($M102="Y",SUMIF('11. TransferExport'!$B:$B,$A102,'11. TransferExport'!N:N),0))</f>
        <v>0</v>
      </c>
      <c r="V102">
        <f>IF($L102="Y",-SUMIF('11. TransferExport'!$A:$A,$A102,'11. TransferExport'!O:O),IF($M102="Y",SUMIF('11. TransferExport'!$B:$B,$A102,'11. TransferExport'!O:O),0))</f>
        <v>0</v>
      </c>
      <c r="W102" s="90">
        <f t="shared" si="22"/>
        <v>0</v>
      </c>
      <c r="X102" s="90">
        <f t="shared" si="23"/>
        <v>0</v>
      </c>
      <c r="Y102" s="90">
        <f t="shared" si="24"/>
        <v>0</v>
      </c>
      <c r="Z102" s="90">
        <f t="shared" si="25"/>
        <v>0</v>
      </c>
      <c r="AA102" s="91">
        <f t="shared" si="26"/>
        <v>0</v>
      </c>
      <c r="AB102" s="96">
        <f>VLOOKUP(A102,'8. Demand data categorization'!A:N,3,FALSE)</f>
        <v>5</v>
      </c>
      <c r="AC102" s="95" t="str">
        <f>VLOOKUP(A102,'8. Demand data categorization'!A:N,14,FALSE)</f>
        <v>Y</v>
      </c>
      <c r="AD102" t="str">
        <f t="shared" si="27"/>
        <v>Giving</v>
      </c>
    </row>
    <row r="103" spans="1:30" x14ac:dyDescent="0.25">
      <c r="A103" s="107" t="s">
        <v>97</v>
      </c>
      <c r="B103" t="str">
        <f>IF(ISERROR(VLOOKUP(A103, '8. Demand data categorization'!A:M,13,FALSE)),"ERROR",IF((VLOOKUP(A103, '8. Demand data categorization'!A:M,13,FALSE))="-","Riparian",IF(OR(VLOOKUP(A103, '8. Demand data categorization'!A:M,13,FALSE)="1971-1990",VLOOKUP(A103, '8. Demand data categorization'!A:M,13,FALSE)="1991-Present"),"1971-Present",VLOOKUP(A103, '8. Demand data categorization'!A:M,13,FALSE))))</f>
        <v>Riparian</v>
      </c>
      <c r="C103" s="84" t="str">
        <f>VLOOKUP(A103,'12. eWRIMS_Export'!A:K,7,FALSE)</f>
        <v>ROBERT  ROSETTI</v>
      </c>
      <c r="D103">
        <f>VLOOKUP(A103,'8. Demand data categorization'!A:AJ,30,FALSE)</f>
        <v>0</v>
      </c>
      <c r="E103">
        <f>VLOOKUP(A103,'8. Demand data categorization'!A:AJ,31,FALSE)</f>
        <v>0</v>
      </c>
      <c r="F103">
        <f>VLOOKUP(A103,'8. Demand data categorization'!A:AJ,32,FALSE)</f>
        <v>0</v>
      </c>
      <c r="G103" s="84">
        <f>VLOOKUP(A103,'8. Demand data categorization'!A:AJ,33,FALSE)</f>
        <v>0</v>
      </c>
      <c r="H103" s="80">
        <f>IF(ISERROR(VLOOKUP($A103,'8. Demand data categorization'!$A:$AV,30,FALSE)),0,(VLOOKUP($A103,'8. Demand data categorization'!$A:$AV,30,FALSE))*(1-VLOOKUP($B103,'2. Forbearance thresholds'!$A$16:$F$25,3,FALSE)))</f>
        <v>0</v>
      </c>
      <c r="I103" s="80">
        <f>IF(ISERROR(VLOOKUP($A103,'8. Demand data categorization'!$A:$AV,31,FALSE)),0,(VLOOKUP($A103,'8. Demand data categorization'!$A:$AV,31,FALSE))*(1-VLOOKUP($B103,'2. Forbearance thresholds'!$A$16:$F$25,4,FALSE)))</f>
        <v>0</v>
      </c>
      <c r="J103" s="80">
        <f>IF(ISERROR(VLOOKUP($A103,'8. Demand data categorization'!$A:$AV,32,FALSE)),0,(VLOOKUP($A103,'8. Demand data categorization'!$A:$AV,32,FALSE))*(1-VLOOKUP($B103,'2. Forbearance thresholds'!$A$16:$F$25,5,FALSE)))</f>
        <v>0</v>
      </c>
      <c r="K103" s="89">
        <f>IF(ISERROR(VLOOKUP($A103,'8. Demand data categorization'!$A:$AV,33,FALSE)),0,(VLOOKUP($A103,'8. Demand data categorization'!$A:$AV,33,FALSE))*(1-VLOOKUP($B103,'2. Forbearance thresholds'!$A$16:$F$25,6,FALSE)))</f>
        <v>0</v>
      </c>
      <c r="L103" s="1" t="str">
        <f>IF(ISERROR(VLOOKUP(A103,'11. TransferExport'!A:A,1,FALSE)),"N","Y")</f>
        <v>N</v>
      </c>
      <c r="M103" s="1" t="str">
        <f>IF(ISERROR(VLOOKUP(A103,'11. TransferExport'!B:B,1,FALSE)),"N","Y")</f>
        <v>N</v>
      </c>
      <c r="N103">
        <f>IF(L103="Y",-SUMIF('11. TransferExport'!A:A,A103,'11. TransferExport'!D:D),IF(M103="Y",SUMIF('11. TransferExport'!B:B,A103,'11. TransferExport'!D:D),0))</f>
        <v>0</v>
      </c>
      <c r="O103">
        <f>IF(L103="Y",-SUMIF('11. TransferExport'!A:A,A103,'11. TransferExport'!E:E),IF(M103="Y",SUMIF('11. TransferExport'!B:B,A103,'11. TransferExport'!E:E),0))</f>
        <v>0</v>
      </c>
      <c r="P103">
        <f>IF(L103="Y",-SUMIF('11. TransferExport'!A:A,A103,'11. TransferExport'!F:F),IF(M103="Y",SUMIF('11. TransferExport'!B:B,A103,'11. TransferExport'!F:F),0))</f>
        <v>0</v>
      </c>
      <c r="Q103">
        <f>IF(L103="Y",-SUMIF('11. TransferExport'!A:A,A103,'11. TransferExport'!G:G),IF(M103="Y",SUMIF('11. TransferExport'!B:B,A103,'11. TransferExport'!G:G),0))</f>
        <v>0</v>
      </c>
      <c r="R103" s="91">
        <f t="shared" si="21"/>
        <v>0</v>
      </c>
      <c r="S103">
        <f>IF(L103="Y",-SUMIF('11. TransferExport'!$A:$A,$A103,'11. TransferExport'!L:L),IF(M103="Y",SUMIF('11. TransferExport'!$B:$B,$A103,'11. TransferExport'!L:L),0))</f>
        <v>0</v>
      </c>
      <c r="T103">
        <f>IF($L103="Y",-SUMIF('11. TransferExport'!$A:$A,$A103,'11. TransferExport'!M:M),IF($M103="Y",SUMIF('11. TransferExport'!$B:$B,$A103,'11. TransferExport'!M:M),0))</f>
        <v>0</v>
      </c>
      <c r="U103">
        <f>IF($L103="Y",-SUMIF('11. TransferExport'!$A:$A,$A103,'11. TransferExport'!N:N),IF($M103="Y",SUMIF('11. TransferExport'!$B:$B,$A103,'11. TransferExport'!N:N),0))</f>
        <v>0</v>
      </c>
      <c r="V103">
        <f>IF($L103="Y",-SUMIF('11. TransferExport'!$A:$A,$A103,'11. TransferExport'!O:O),IF($M103="Y",SUMIF('11. TransferExport'!$B:$B,$A103,'11. TransferExport'!O:O),0))</f>
        <v>0</v>
      </c>
      <c r="W103" s="90">
        <f t="shared" si="22"/>
        <v>0</v>
      </c>
      <c r="X103" s="90">
        <f t="shared" si="23"/>
        <v>0</v>
      </c>
      <c r="Y103" s="90">
        <f t="shared" si="24"/>
        <v>0</v>
      </c>
      <c r="Z103" s="90">
        <f t="shared" si="25"/>
        <v>0</v>
      </c>
      <c r="AA103" s="91">
        <f t="shared" si="26"/>
        <v>0</v>
      </c>
      <c r="AB103" s="96">
        <f>VLOOKUP(A103,'8. Demand data categorization'!A:N,3,FALSE)</f>
        <v>6</v>
      </c>
      <c r="AC103" s="95" t="str">
        <f>VLOOKUP(A103,'8. Demand data categorization'!A:N,14,FALSE)</f>
        <v>Y</v>
      </c>
      <c r="AD103" t="str">
        <f t="shared" si="27"/>
        <v>Taking</v>
      </c>
    </row>
    <row r="104" spans="1:30" x14ac:dyDescent="0.25">
      <c r="A104" s="107" t="s">
        <v>118</v>
      </c>
      <c r="B104" t="str">
        <f>IF(ISERROR(VLOOKUP(A104, '8. Demand data categorization'!A:M,13,FALSE)),"ERROR",IF((VLOOKUP(A104, '8. Demand data categorization'!A:M,13,FALSE))="-","Riparian",IF(OR(VLOOKUP(A104, '8. Demand data categorization'!A:M,13,FALSE)="1971-1990",VLOOKUP(A104, '8. Demand data categorization'!A:M,13,FALSE)="1991-Present"),"1971-Present",VLOOKUP(A104, '8. Demand data categorization'!A:M,13,FALSE))))</f>
        <v>Riparian</v>
      </c>
      <c r="C104" s="84" t="str">
        <f>VLOOKUP(A104,'12. eWRIMS_Export'!A:K,7,FALSE)</f>
        <v>ROBERT  ROSETTI</v>
      </c>
      <c r="D104">
        <f>VLOOKUP(A104,'8. Demand data categorization'!A:AJ,30,FALSE)</f>
        <v>9.57</v>
      </c>
      <c r="E104">
        <f>VLOOKUP(A104,'8. Demand data categorization'!A:AJ,31,FALSE)</f>
        <v>4.1100000000000003</v>
      </c>
      <c r="F104">
        <f>VLOOKUP(A104,'8. Demand data categorization'!A:AJ,32,FALSE)</f>
        <v>5.92</v>
      </c>
      <c r="G104" s="84">
        <f>VLOOKUP(A104,'8. Demand data categorization'!A:AJ,33,FALSE)</f>
        <v>0</v>
      </c>
      <c r="H104" s="80">
        <f>IF(ISERROR(VLOOKUP($A104,'8. Demand data categorization'!$A:$AV,30,FALSE)),0,(VLOOKUP($A104,'8. Demand data categorization'!$A:$AV,30,FALSE))*(1-VLOOKUP($B104,'2. Forbearance thresholds'!$A$16:$F$25,3,FALSE)))</f>
        <v>7.3313840547207896</v>
      </c>
      <c r="I104" s="80">
        <f>IF(ISERROR(VLOOKUP($A104,'8. Demand data categorization'!$A:$AV,31,FALSE)),0,(VLOOKUP($A104,'8. Demand data categorization'!$A:$AV,31,FALSE))*(1-VLOOKUP($B104,'2. Forbearance thresholds'!$A$16:$F$25,4,FALSE)))</f>
        <v>0.11748964981213432</v>
      </c>
      <c r="J104" s="80">
        <f>IF(ISERROR(VLOOKUP($A104,'8. Demand data categorization'!$A:$AV,32,FALSE)),0,(VLOOKUP($A104,'8. Demand data categorization'!$A:$AV,32,FALSE))*(1-VLOOKUP($B104,'2. Forbearance thresholds'!$A$16:$F$25,5,FALSE)))</f>
        <v>0</v>
      </c>
      <c r="K104" s="89">
        <f>IF(ISERROR(VLOOKUP($A104,'8. Demand data categorization'!$A:$AV,33,FALSE)),0,(VLOOKUP($A104,'8. Demand data categorization'!$A:$AV,33,FALSE))*(1-VLOOKUP($B104,'2. Forbearance thresholds'!$A$16:$F$25,6,FALSE)))</f>
        <v>0</v>
      </c>
      <c r="L104" s="1" t="str">
        <f>IF(ISERROR(VLOOKUP(A104,'11. TransferExport'!A:A,1,FALSE)),"N","Y")</f>
        <v>N</v>
      </c>
      <c r="M104" s="1" t="str">
        <f>IF(ISERROR(VLOOKUP(A104,'11. TransferExport'!B:B,1,FALSE)),"N","Y")</f>
        <v>N</v>
      </c>
      <c r="N104">
        <f>IF(L104="Y",-SUMIF('11. TransferExport'!A:A,A104,'11. TransferExport'!D:D),IF(M104="Y",SUMIF('11. TransferExport'!B:B,A104,'11. TransferExport'!D:D),0))</f>
        <v>0</v>
      </c>
      <c r="O104">
        <f>IF(L104="Y",-SUMIF('11. TransferExport'!A:A,A104,'11. TransferExport'!E:E),IF(M104="Y",SUMIF('11. TransferExport'!B:B,A104,'11. TransferExport'!E:E),0))</f>
        <v>0</v>
      </c>
      <c r="P104">
        <f>IF(L104="Y",-SUMIF('11. TransferExport'!A:A,A104,'11. TransferExport'!F:F),IF(M104="Y",SUMIF('11. TransferExport'!B:B,A104,'11. TransferExport'!F:F),0))</f>
        <v>0</v>
      </c>
      <c r="Q104">
        <f>IF(L104="Y",-SUMIF('11. TransferExport'!A:A,A104,'11. TransferExport'!G:G),IF(M104="Y",SUMIF('11. TransferExport'!B:B,A104,'11. TransferExport'!G:G),0))</f>
        <v>0</v>
      </c>
      <c r="R104" s="91">
        <f t="shared" si="21"/>
        <v>7.4488737045329243</v>
      </c>
      <c r="S104">
        <f>IF(L104="Y",-SUMIF('11. TransferExport'!$A:$A,$A104,'11. TransferExport'!L:L),IF(M104="Y",SUMIF('11. TransferExport'!$B:$B,$A104,'11. TransferExport'!L:L),0))</f>
        <v>0</v>
      </c>
      <c r="T104">
        <f>IF($L104="Y",-SUMIF('11. TransferExport'!$A:$A,$A104,'11. TransferExport'!M:M),IF($M104="Y",SUMIF('11. TransferExport'!$B:$B,$A104,'11. TransferExport'!M:M),0))</f>
        <v>0</v>
      </c>
      <c r="U104">
        <f>IF($L104="Y",-SUMIF('11. TransferExport'!$A:$A,$A104,'11. TransferExport'!N:N),IF($M104="Y",SUMIF('11. TransferExport'!$B:$B,$A104,'11. TransferExport'!N:N),0))</f>
        <v>0</v>
      </c>
      <c r="V104">
        <f>IF($L104="Y",-SUMIF('11. TransferExport'!$A:$A,$A104,'11. TransferExport'!O:O),IF($M104="Y",SUMIF('11. TransferExport'!$B:$B,$A104,'11. TransferExport'!O:O),0))</f>
        <v>0</v>
      </c>
      <c r="W104" s="90">
        <f t="shared" si="22"/>
        <v>7.4488737045329243</v>
      </c>
      <c r="X104" s="90">
        <f t="shared" si="23"/>
        <v>7.3313840547207896</v>
      </c>
      <c r="Y104" s="90">
        <f t="shared" si="24"/>
        <v>0.11748964981213432</v>
      </c>
      <c r="Z104" s="90">
        <f t="shared" si="25"/>
        <v>0</v>
      </c>
      <c r="AA104" s="91">
        <f t="shared" si="26"/>
        <v>0</v>
      </c>
      <c r="AB104" s="96">
        <f>VLOOKUP(A104,'8. Demand data categorization'!A:N,3,FALSE)</f>
        <v>6</v>
      </c>
      <c r="AC104" s="95" t="str">
        <f>VLOOKUP(A104,'8. Demand data categorization'!A:N,14,FALSE)</f>
        <v>Y</v>
      </c>
      <c r="AD104" t="str">
        <f t="shared" si="27"/>
        <v>Taking</v>
      </c>
    </row>
    <row r="105" spans="1:30" x14ac:dyDescent="0.25">
      <c r="A105" s="107" t="s">
        <v>120</v>
      </c>
      <c r="B105" t="str">
        <f>IF(ISERROR(VLOOKUP(A105, '8. Demand data categorization'!A:M,13,FALSE)),"ERROR",IF((VLOOKUP(A105, '8. Demand data categorization'!A:M,13,FALSE))="-","Riparian",IF(OR(VLOOKUP(A105, '8. Demand data categorization'!A:M,13,FALSE)="1971-1990",VLOOKUP(A105, '8. Demand data categorization'!A:M,13,FALSE)="1991-Present"),"1971-Present",VLOOKUP(A105, '8. Demand data categorization'!A:M,13,FALSE))))</f>
        <v>Riparian</v>
      </c>
      <c r="C105" s="84" t="str">
        <f>VLOOKUP(A105,'12. eWRIMS_Export'!A:K,7,FALSE)</f>
        <v>ROBERT  ROSETTI</v>
      </c>
      <c r="D105">
        <f>VLOOKUP(A105,'8. Demand data categorization'!A:AJ,30,FALSE)</f>
        <v>1.4166666666666667</v>
      </c>
      <c r="E105">
        <f>VLOOKUP(A105,'8. Demand data categorization'!A:AJ,31,FALSE)</f>
        <v>0.84</v>
      </c>
      <c r="F105">
        <f>VLOOKUP(A105,'8. Demand data categorization'!A:AJ,32,FALSE)</f>
        <v>0.70000000000000007</v>
      </c>
      <c r="G105" s="84">
        <f>VLOOKUP(A105,'8. Demand data categorization'!A:AJ,33,FALSE)</f>
        <v>0</v>
      </c>
      <c r="H105" s="80">
        <f>IF(ISERROR(VLOOKUP($A105,'8. Demand data categorization'!$A:$AV,30,FALSE)),0,(VLOOKUP($A105,'8. Demand data categorization'!$A:$AV,30,FALSE))*(1-VLOOKUP($B105,'2. Forbearance thresholds'!$A$16:$F$25,3,FALSE)))</f>
        <v>1.0852797712491591</v>
      </c>
      <c r="I105" s="80">
        <f>IF(ISERROR(VLOOKUP($A105,'8. Demand data categorization'!$A:$AV,31,FALSE)),0,(VLOOKUP($A105,'8. Demand data categorization'!$A:$AV,31,FALSE))*(1-VLOOKUP($B105,'2. Forbearance thresholds'!$A$16:$F$25,4,FALSE)))</f>
        <v>2.4012483173282924E-2</v>
      </c>
      <c r="J105" s="80">
        <f>IF(ISERROR(VLOOKUP($A105,'8. Demand data categorization'!$A:$AV,32,FALSE)),0,(VLOOKUP($A105,'8. Demand data categorization'!$A:$AV,32,FALSE))*(1-VLOOKUP($B105,'2. Forbearance thresholds'!$A$16:$F$25,5,FALSE)))</f>
        <v>0</v>
      </c>
      <c r="K105" s="89">
        <f>IF(ISERROR(VLOOKUP($A105,'8. Demand data categorization'!$A:$AV,33,FALSE)),0,(VLOOKUP($A105,'8. Demand data categorization'!$A:$AV,33,FALSE))*(1-VLOOKUP($B105,'2. Forbearance thresholds'!$A$16:$F$25,6,FALSE)))</f>
        <v>0</v>
      </c>
      <c r="L105" s="1" t="str">
        <f>IF(ISERROR(VLOOKUP(A105,'11. TransferExport'!A:A,1,FALSE)),"N","Y")</f>
        <v>N</v>
      </c>
      <c r="M105" s="1" t="str">
        <f>IF(ISERROR(VLOOKUP(A105,'11. TransferExport'!B:B,1,FALSE)),"N","Y")</f>
        <v>N</v>
      </c>
      <c r="N105">
        <f>IF(L105="Y",-SUMIF('11. TransferExport'!A:A,A105,'11. TransferExport'!D:D),IF(M105="Y",SUMIF('11. TransferExport'!B:B,A105,'11. TransferExport'!D:D),0))</f>
        <v>0</v>
      </c>
      <c r="O105">
        <f>IF(L105="Y",-SUMIF('11. TransferExport'!A:A,A105,'11. TransferExport'!E:E),IF(M105="Y",SUMIF('11. TransferExport'!B:B,A105,'11. TransferExport'!E:E),0))</f>
        <v>0</v>
      </c>
      <c r="P105">
        <f>IF(L105="Y",-SUMIF('11. TransferExport'!A:A,A105,'11. TransferExport'!F:F),IF(M105="Y",SUMIF('11. TransferExport'!B:B,A105,'11. TransferExport'!F:F),0))</f>
        <v>0</v>
      </c>
      <c r="Q105">
        <f>IF(L105="Y",-SUMIF('11. TransferExport'!A:A,A105,'11. TransferExport'!G:G),IF(M105="Y",SUMIF('11. TransferExport'!B:B,A105,'11. TransferExport'!G:G),0))</f>
        <v>0</v>
      </c>
      <c r="R105" s="91">
        <f t="shared" si="21"/>
        <v>1.1092922544224419</v>
      </c>
      <c r="S105">
        <f>IF(L105="Y",-SUMIF('11. TransferExport'!$A:$A,$A105,'11. TransferExport'!L:L),IF(M105="Y",SUMIF('11. TransferExport'!$B:$B,$A105,'11. TransferExport'!L:L),0))</f>
        <v>0</v>
      </c>
      <c r="T105">
        <f>IF($L105="Y",-SUMIF('11. TransferExport'!$A:$A,$A105,'11. TransferExport'!M:M),IF($M105="Y",SUMIF('11. TransferExport'!$B:$B,$A105,'11. TransferExport'!M:M),0))</f>
        <v>0</v>
      </c>
      <c r="U105">
        <f>IF($L105="Y",-SUMIF('11. TransferExport'!$A:$A,$A105,'11. TransferExport'!N:N),IF($M105="Y",SUMIF('11. TransferExport'!$B:$B,$A105,'11. TransferExport'!N:N),0))</f>
        <v>0</v>
      </c>
      <c r="V105">
        <f>IF($L105="Y",-SUMIF('11. TransferExport'!$A:$A,$A105,'11. TransferExport'!O:O),IF($M105="Y",SUMIF('11. TransferExport'!$B:$B,$A105,'11. TransferExport'!O:O),0))</f>
        <v>0</v>
      </c>
      <c r="W105" s="90">
        <f t="shared" si="22"/>
        <v>1.1092922544224419</v>
      </c>
      <c r="X105" s="90">
        <f t="shared" si="23"/>
        <v>1.0852797712491591</v>
      </c>
      <c r="Y105" s="90">
        <f t="shared" si="24"/>
        <v>2.4012483173282924E-2</v>
      </c>
      <c r="Z105" s="90">
        <f t="shared" si="25"/>
        <v>0</v>
      </c>
      <c r="AA105" s="91">
        <f t="shared" si="26"/>
        <v>0</v>
      </c>
      <c r="AB105" s="96"/>
      <c r="AC105" s="95"/>
      <c r="AD105" t="str">
        <f t="shared" si="27"/>
        <v>Taking</v>
      </c>
    </row>
    <row r="106" spans="1:30" x14ac:dyDescent="0.25">
      <c r="A106" s="107" t="s">
        <v>167</v>
      </c>
      <c r="B106" t="str">
        <f>IF(ISERROR(VLOOKUP(A106, '8. Demand data categorization'!A:M,13,FALSE)),"ERROR",IF((VLOOKUP(A106, '8. Demand data categorization'!A:M,13,FALSE))="-","Riparian",IF(OR(VLOOKUP(A106, '8. Demand data categorization'!A:M,13,FALSE)="1971-1990",VLOOKUP(A106, '8. Demand data categorization'!A:M,13,FALSE)="1991-Present"),"1971-Present",VLOOKUP(A106, '8. Demand data categorization'!A:M,13,FALSE))))</f>
        <v>Riparian</v>
      </c>
      <c r="C106" s="84" t="str">
        <f>VLOOKUP(A106,'12. eWRIMS_Export'!A:K,7,FALSE)</f>
        <v>ROBERT  ROSETTI</v>
      </c>
      <c r="D106">
        <f>VLOOKUP(A106,'8. Demand data categorization'!A:AJ,30,FALSE)</f>
        <v>1.3</v>
      </c>
      <c r="E106">
        <f>VLOOKUP(A106,'8. Demand data categorization'!A:AJ,31,FALSE)</f>
        <v>1.25</v>
      </c>
      <c r="F106">
        <f>VLOOKUP(A106,'8. Demand data categorization'!A:AJ,32,FALSE)</f>
        <v>1.06</v>
      </c>
      <c r="G106" s="84">
        <f>VLOOKUP(A106,'8. Demand data categorization'!A:AJ,33,FALSE)</f>
        <v>0.45</v>
      </c>
      <c r="H106" s="80">
        <f>IF(ISERROR(VLOOKUP($A106,'8. Demand data categorization'!$A:$AV,30,FALSE)),0,(VLOOKUP($A106,'8. Demand data categorization'!$A:$AV,30,FALSE))*(1-VLOOKUP($B106,'2. Forbearance thresholds'!$A$16:$F$25,3,FALSE)))</f>
        <v>0.99590379008746355</v>
      </c>
      <c r="I106" s="80">
        <f>IF(ISERROR(VLOOKUP($A106,'8. Demand data categorization'!$A:$AV,31,FALSE)),0,(VLOOKUP($A106,'8. Demand data categorization'!$A:$AV,31,FALSE))*(1-VLOOKUP($B106,'2. Forbearance thresholds'!$A$16:$F$25,4,FALSE)))</f>
        <v>3.5732861865004351E-2</v>
      </c>
      <c r="J106" s="80">
        <f>IF(ISERROR(VLOOKUP($A106,'8. Demand data categorization'!$A:$AV,32,FALSE)),0,(VLOOKUP($A106,'8. Demand data categorization'!$A:$AV,32,FALSE))*(1-VLOOKUP($B106,'2. Forbearance thresholds'!$A$16:$F$25,5,FALSE)))</f>
        <v>0</v>
      </c>
      <c r="K106" s="89">
        <f>IF(ISERROR(VLOOKUP($A106,'8. Demand data categorization'!$A:$AV,33,FALSE)),0,(VLOOKUP($A106,'8. Demand data categorization'!$A:$AV,33,FALSE))*(1-VLOOKUP($B106,'2. Forbearance thresholds'!$A$16:$F$25,6,FALSE)))</f>
        <v>0</v>
      </c>
      <c r="L106" s="1" t="str">
        <f>IF(ISERROR(VLOOKUP(A106,'11. TransferExport'!A:A,1,FALSE)),"N","Y")</f>
        <v>N</v>
      </c>
      <c r="M106" s="1" t="str">
        <f>IF(ISERROR(VLOOKUP(A106,'11. TransferExport'!B:B,1,FALSE)),"N","Y")</f>
        <v>Y</v>
      </c>
      <c r="N106">
        <f>IF(L106="Y",-SUMIF('11. TransferExport'!A:A,A106,'11. TransferExport'!D:D),IF(M106="Y",SUMIF('11. TransferExport'!B:B,A106,'11. TransferExport'!D:D),0))</f>
        <v>2</v>
      </c>
      <c r="O106">
        <f>IF(L106="Y",-SUMIF('11. TransferExport'!A:A,A106,'11. TransferExport'!E:E),IF(M106="Y",SUMIF('11. TransferExport'!B:B,A106,'11. TransferExport'!E:E),0))</f>
        <v>2</v>
      </c>
      <c r="P106">
        <f>IF(L106="Y",-SUMIF('11. TransferExport'!A:A,A106,'11. TransferExport'!F:F),IF(M106="Y",SUMIF('11. TransferExport'!B:B,A106,'11. TransferExport'!F:F),0))</f>
        <v>1.5</v>
      </c>
      <c r="Q106">
        <f>IF(L106="Y",-SUMIF('11. TransferExport'!A:A,A106,'11. TransferExport'!G:G),IF(M106="Y",SUMIF('11. TransferExport'!B:B,A106,'11. TransferExport'!G:G),0))</f>
        <v>0</v>
      </c>
      <c r="R106" s="91">
        <f t="shared" si="21"/>
        <v>6.5316366519524678</v>
      </c>
      <c r="S106">
        <f>IF(L106="Y",-SUMIF('11. TransferExport'!$A:$A,$A106,'11. TransferExport'!L:L),IF(M106="Y",SUMIF('11. TransferExport'!$B:$B,$A106,'11. TransferExport'!L:L),0))</f>
        <v>2</v>
      </c>
      <c r="T106">
        <f>IF($L106="Y",-SUMIF('11. TransferExport'!$A:$A,$A106,'11. TransferExport'!M:M),IF($M106="Y",SUMIF('11. TransferExport'!$B:$B,$A106,'11. TransferExport'!M:M),0))</f>
        <v>0.15779631799585919</v>
      </c>
      <c r="U106">
        <f>IF($L106="Y",-SUMIF('11. TransferExport'!$A:$A,$A106,'11. TransferExport'!N:N),IF($M106="Y",SUMIF('11. TransferExport'!$B:$B,$A106,'11. TransferExport'!N:N),0))</f>
        <v>0</v>
      </c>
      <c r="V106">
        <f>IF($L106="Y",-SUMIF('11. TransferExport'!$A:$A,$A106,'11. TransferExport'!O:O),IF($M106="Y",SUMIF('11. TransferExport'!$B:$B,$A106,'11. TransferExport'!O:O),0))</f>
        <v>0</v>
      </c>
      <c r="W106" s="90">
        <f t="shared" si="22"/>
        <v>3.189432969948327</v>
      </c>
      <c r="X106" s="90">
        <f t="shared" si="23"/>
        <v>2.9959037900874637</v>
      </c>
      <c r="Y106" s="90">
        <f t="shared" si="24"/>
        <v>0.19352917986086354</v>
      </c>
      <c r="Z106" s="90">
        <f t="shared" si="25"/>
        <v>0</v>
      </c>
      <c r="AA106" s="91">
        <f t="shared" si="26"/>
        <v>0</v>
      </c>
      <c r="AB106" s="96">
        <f>VLOOKUP(A106,'8. Demand data categorization'!A:N,3,FALSE)</f>
        <v>6</v>
      </c>
      <c r="AC106" s="95" t="str">
        <f>VLOOKUP(A106,'8. Demand data categorization'!A:N,14,FALSE)</f>
        <v>Y</v>
      </c>
      <c r="AD106" t="str">
        <f t="shared" si="27"/>
        <v>Taking</v>
      </c>
    </row>
    <row r="107" spans="1:30" x14ac:dyDescent="0.25">
      <c r="A107" s="107" t="s">
        <v>168</v>
      </c>
      <c r="B107" t="str">
        <f>IF(ISERROR(VLOOKUP(A107, '8. Demand data categorization'!A:M,13,FALSE)),"ERROR",IF((VLOOKUP(A107, '8. Demand data categorization'!A:M,13,FALSE))="-","Riparian",IF(OR(VLOOKUP(A107, '8. Demand data categorization'!A:M,13,FALSE)="1971-1990",VLOOKUP(A107, '8. Demand data categorization'!A:M,13,FALSE)="1991-Present"),"1971-Present",VLOOKUP(A107, '8. Demand data categorization'!A:M,13,FALSE))))</f>
        <v>1950-1952</v>
      </c>
      <c r="C107" s="84" t="str">
        <f>VLOOKUP(A107,'12. eWRIMS_Export'!A:K,7,FALSE)</f>
        <v>ROBERT  ROSETTI</v>
      </c>
      <c r="D107">
        <f>VLOOKUP(A107,'8. Demand data categorization'!A:AJ,30,FALSE)</f>
        <v>12.33</v>
      </c>
      <c r="E107">
        <f>VLOOKUP(A107,'8. Demand data categorization'!A:AJ,31,FALSE)</f>
        <v>5.52</v>
      </c>
      <c r="F107">
        <f>VLOOKUP(A107,'8. Demand data categorization'!A:AJ,32,FALSE)</f>
        <v>7.83</v>
      </c>
      <c r="G107" s="84">
        <f>VLOOKUP(A107,'8. Demand data categorization'!A:AJ,33,FALSE)</f>
        <v>0.35</v>
      </c>
      <c r="H107" s="80">
        <f>IF(ISERROR(VLOOKUP($A107,'8. Demand data categorization'!$A:$AV,30,FALSE)),0,(VLOOKUP($A107,'8. Demand data categorization'!$A:$AV,30,FALSE))*(1-VLOOKUP($B107,'2. Forbearance thresholds'!$A$16:$F$25,3,FALSE)))</f>
        <v>11.097</v>
      </c>
      <c r="I107" s="80">
        <f>IF(ISERROR(VLOOKUP($A107,'8. Demand data categorization'!$A:$AV,31,FALSE)),0,(VLOOKUP($A107,'8. Demand data categorization'!$A:$AV,31,FALSE))*(1-VLOOKUP($B107,'2. Forbearance thresholds'!$A$16:$F$25,4,FALSE)))</f>
        <v>0.15779631799585919</v>
      </c>
      <c r="J107" s="80">
        <f>IF(ISERROR(VLOOKUP($A107,'8. Demand data categorization'!$A:$AV,32,FALSE)),0,(VLOOKUP($A107,'8. Demand data categorization'!$A:$AV,32,FALSE))*(1-VLOOKUP($B107,'2. Forbearance thresholds'!$A$16:$F$25,5,FALSE)))</f>
        <v>0</v>
      </c>
      <c r="K107" s="89">
        <f>IF(ISERROR(VLOOKUP($A107,'8. Demand data categorization'!$A:$AV,33,FALSE)),0,(VLOOKUP($A107,'8. Demand data categorization'!$A:$AV,33,FALSE))*(1-VLOOKUP($B107,'2. Forbearance thresholds'!$A$16:$F$25,6,FALSE)))</f>
        <v>0</v>
      </c>
      <c r="L107" s="1" t="str">
        <f>IF(ISERROR(VLOOKUP(A107,'11. TransferExport'!A:A,1,FALSE)),"N","Y")</f>
        <v>Y</v>
      </c>
      <c r="M107" s="1" t="str">
        <f>IF(ISERROR(VLOOKUP(A107,'11. TransferExport'!B:B,1,FALSE)),"N","Y")</f>
        <v>N</v>
      </c>
      <c r="N107">
        <f>IF(L107="Y",-SUMIF('11. TransferExport'!A:A,A107,'11. TransferExport'!D:D),IF(M107="Y",SUMIF('11. TransferExport'!B:B,A107,'11. TransferExport'!D:D),0))</f>
        <v>-2</v>
      </c>
      <c r="O107">
        <f>IF(L107="Y",-SUMIF('11. TransferExport'!A:A,A107,'11. TransferExport'!E:E),IF(M107="Y",SUMIF('11. TransferExport'!B:B,A107,'11. TransferExport'!E:E),0))</f>
        <v>-2</v>
      </c>
      <c r="P107">
        <f>IF(L107="Y",-SUMIF('11. TransferExport'!A:A,A107,'11. TransferExport'!F:F),IF(M107="Y",SUMIF('11. TransferExport'!B:B,A107,'11. TransferExport'!F:F),0))</f>
        <v>-1.5</v>
      </c>
      <c r="Q107">
        <f>IF(L107="Y",-SUMIF('11. TransferExport'!A:A,A107,'11. TransferExport'!G:G),IF(M107="Y",SUMIF('11. TransferExport'!B:B,A107,'11. TransferExport'!G:G),0))</f>
        <v>0</v>
      </c>
      <c r="R107" s="91">
        <f t="shared" si="21"/>
        <v>5.7547963179958579</v>
      </c>
      <c r="S107">
        <f>IF(L107="Y",-SUMIF('11. TransferExport'!$A:$A,$A107,'11. TransferExport'!L:L),IF(M107="Y",SUMIF('11. TransferExport'!$B:$B,$A107,'11. TransferExport'!L:L),0))</f>
        <v>-2</v>
      </c>
      <c r="T107">
        <f>IF($L107="Y",-SUMIF('11. TransferExport'!$A:$A,$A107,'11. TransferExport'!M:M),IF($M107="Y",SUMIF('11. TransferExport'!$B:$B,$A107,'11. TransferExport'!M:M),0))</f>
        <v>-0.15779631799585919</v>
      </c>
      <c r="U107">
        <f>IF($L107="Y",-SUMIF('11. TransferExport'!$A:$A,$A107,'11. TransferExport'!N:N),IF($M107="Y",SUMIF('11. TransferExport'!$B:$B,$A107,'11. TransferExport'!N:N),0))</f>
        <v>0</v>
      </c>
      <c r="V107">
        <f>IF($L107="Y",-SUMIF('11. TransferExport'!$A:$A,$A107,'11. TransferExport'!O:O),IF($M107="Y",SUMIF('11. TransferExport'!$B:$B,$A107,'11. TransferExport'!O:O),0))</f>
        <v>0</v>
      </c>
      <c r="W107" s="90">
        <f t="shared" si="22"/>
        <v>9.0969999999999995</v>
      </c>
      <c r="X107" s="90">
        <f t="shared" si="23"/>
        <v>9.0969999999999995</v>
      </c>
      <c r="Y107" s="90">
        <f t="shared" si="24"/>
        <v>0</v>
      </c>
      <c r="Z107" s="90">
        <f t="shared" si="25"/>
        <v>0</v>
      </c>
      <c r="AA107" s="91">
        <f t="shared" si="26"/>
        <v>0</v>
      </c>
      <c r="AB107" s="96">
        <f>VLOOKUP(A107,'8. Demand data categorization'!A:N,3,FALSE)</f>
        <v>6</v>
      </c>
      <c r="AC107" s="95" t="str">
        <f>VLOOKUP(A107,'8. Demand data categorization'!A:N,14,FALSE)</f>
        <v>Y</v>
      </c>
      <c r="AD107" t="str">
        <f t="shared" si="27"/>
        <v>Giving</v>
      </c>
    </row>
    <row r="108" spans="1:30" x14ac:dyDescent="0.25">
      <c r="A108" s="107" t="s">
        <v>93</v>
      </c>
      <c r="B108" t="str">
        <f>IF(ISERROR(VLOOKUP(A108, '8. Demand data categorization'!A:M,13,FALSE)),"ERROR",IF((VLOOKUP(A108, '8. Demand data categorization'!A:M,13,FALSE))="-","Riparian",IF(OR(VLOOKUP(A108, '8. Demand data categorization'!A:M,13,FALSE)="1971-1990",VLOOKUP(A108, '8. Demand data categorization'!A:M,13,FALSE)="1991-Present"),"1971-Present",VLOOKUP(A108, '8. Demand data categorization'!A:M,13,FALSE))))</f>
        <v>1950-1952</v>
      </c>
      <c r="C108" s="84" t="str">
        <f>VLOOKUP(A108,'12. eWRIMS_Export'!A:K,7,FALSE)</f>
        <v>RUSSELL H GREEN JR</v>
      </c>
      <c r="D108">
        <f>VLOOKUP(A108,'8. Demand data categorization'!A:AJ,30,FALSE)</f>
        <v>0</v>
      </c>
      <c r="E108">
        <f>VLOOKUP(A108,'8. Demand data categorization'!A:AJ,31,FALSE)</f>
        <v>0</v>
      </c>
      <c r="F108">
        <f>VLOOKUP(A108,'8. Demand data categorization'!A:AJ,32,FALSE)</f>
        <v>0</v>
      </c>
      <c r="G108" s="84">
        <f>VLOOKUP(A108,'8. Demand data categorization'!A:AJ,33,FALSE)</f>
        <v>0</v>
      </c>
      <c r="H108" s="80">
        <f>IF(ISERROR(VLOOKUP($A108,'8. Demand data categorization'!$A:$AV,30,FALSE)),0,(VLOOKUP($A108,'8. Demand data categorization'!$A:$AV,30,FALSE))*(1-VLOOKUP($B108,'2. Forbearance thresholds'!$A$16:$F$25,3,FALSE)))</f>
        <v>0</v>
      </c>
      <c r="I108" s="80">
        <f>IF(ISERROR(VLOOKUP($A108,'8. Demand data categorization'!$A:$AV,31,FALSE)),0,(VLOOKUP($A108,'8. Demand data categorization'!$A:$AV,31,FALSE))*(1-VLOOKUP($B108,'2. Forbearance thresholds'!$A$16:$F$25,4,FALSE)))</f>
        <v>0</v>
      </c>
      <c r="J108" s="80">
        <f>IF(ISERROR(VLOOKUP($A108,'8. Demand data categorization'!$A:$AV,32,FALSE)),0,(VLOOKUP($A108,'8. Demand data categorization'!$A:$AV,32,FALSE))*(1-VLOOKUP($B108,'2. Forbearance thresholds'!$A$16:$F$25,5,FALSE)))</f>
        <v>0</v>
      </c>
      <c r="K108" s="89">
        <f>IF(ISERROR(VLOOKUP($A108,'8. Demand data categorization'!$A:$AV,33,FALSE)),0,(VLOOKUP($A108,'8. Demand data categorization'!$A:$AV,33,FALSE))*(1-VLOOKUP($B108,'2. Forbearance thresholds'!$A$16:$F$25,6,FALSE)))</f>
        <v>0</v>
      </c>
      <c r="L108" s="1" t="str">
        <f>IF(ISERROR(VLOOKUP(A108,'11. TransferExport'!A:A,1,FALSE)),"N","Y")</f>
        <v>N</v>
      </c>
      <c r="M108" s="1" t="str">
        <f>IF(ISERROR(VLOOKUP(A108,'11. TransferExport'!B:B,1,FALSE)),"N","Y")</f>
        <v>N</v>
      </c>
      <c r="N108">
        <f>IF(L108="Y",-SUMIF('11. TransferExport'!A:A,A108,'11. TransferExport'!D:D),IF(M108="Y",SUMIF('11. TransferExport'!B:B,A108,'11. TransferExport'!D:D),0))</f>
        <v>0</v>
      </c>
      <c r="O108">
        <f>IF(L108="Y",-SUMIF('11. TransferExport'!A:A,A108,'11. TransferExport'!E:E),IF(M108="Y",SUMIF('11. TransferExport'!B:B,A108,'11. TransferExport'!E:E),0))</f>
        <v>0</v>
      </c>
      <c r="P108">
        <f>IF(L108="Y",-SUMIF('11. TransferExport'!A:A,A108,'11. TransferExport'!F:F),IF(M108="Y",SUMIF('11. TransferExport'!B:B,A108,'11. TransferExport'!F:F),0))</f>
        <v>0</v>
      </c>
      <c r="Q108">
        <f>IF(L108="Y",-SUMIF('11. TransferExport'!A:A,A108,'11. TransferExport'!G:G),IF(M108="Y",SUMIF('11. TransferExport'!B:B,A108,'11. TransferExport'!G:G),0))</f>
        <v>0</v>
      </c>
      <c r="R108" s="91">
        <f t="shared" si="21"/>
        <v>0</v>
      </c>
      <c r="S108">
        <f>IF(L108="Y",-SUMIF('11. TransferExport'!$A:$A,$A108,'11. TransferExport'!L:L),IF(M108="Y",SUMIF('11. TransferExport'!$B:$B,$A108,'11. TransferExport'!L:L),0))</f>
        <v>0</v>
      </c>
      <c r="T108">
        <f>IF($L108="Y",-SUMIF('11. TransferExport'!$A:$A,$A108,'11. TransferExport'!M:M),IF($M108="Y",SUMIF('11. TransferExport'!$B:$B,$A108,'11. TransferExport'!M:M),0))</f>
        <v>0</v>
      </c>
      <c r="U108">
        <f>IF($L108="Y",-SUMIF('11. TransferExport'!$A:$A,$A108,'11. TransferExport'!N:N),IF($M108="Y",SUMIF('11. TransferExport'!$B:$B,$A108,'11. TransferExport'!N:N),0))</f>
        <v>0</v>
      </c>
      <c r="V108">
        <f>IF($L108="Y",-SUMIF('11. TransferExport'!$A:$A,$A108,'11. TransferExport'!O:O),IF($M108="Y",SUMIF('11. TransferExport'!$B:$B,$A108,'11. TransferExport'!O:O),0))</f>
        <v>0</v>
      </c>
      <c r="W108" s="90">
        <f t="shared" si="22"/>
        <v>0</v>
      </c>
      <c r="X108" s="90">
        <f t="shared" si="23"/>
        <v>0</v>
      </c>
      <c r="Y108" s="90">
        <f t="shared" si="24"/>
        <v>0</v>
      </c>
      <c r="Z108" s="90">
        <f t="shared" si="25"/>
        <v>0</v>
      </c>
      <c r="AA108" s="91">
        <f t="shared" si="26"/>
        <v>0</v>
      </c>
      <c r="AB108" s="96">
        <f>VLOOKUP(A108,'8. Demand data categorization'!A:N,3,FALSE)</f>
        <v>12</v>
      </c>
      <c r="AC108" s="95" t="str">
        <f>VLOOKUP(A108,'8. Demand data categorization'!A:N,14,FALSE)</f>
        <v>N</v>
      </c>
      <c r="AD108" t="str">
        <f t="shared" si="27"/>
        <v>Giving</v>
      </c>
    </row>
    <row r="109" spans="1:30" x14ac:dyDescent="0.25">
      <c r="A109" s="107" t="s">
        <v>122</v>
      </c>
      <c r="B109" t="str">
        <f>IF(ISERROR(VLOOKUP(A109, '8. Demand data categorization'!A:M,13,FALSE)),"ERROR",IF((VLOOKUP(A109, '8. Demand data categorization'!A:M,13,FALSE))="-","Riparian",IF(OR(VLOOKUP(A109, '8. Demand data categorization'!A:M,13,FALSE)="1971-1990",VLOOKUP(A109, '8. Demand data categorization'!A:M,13,FALSE)="1991-Present"),"1971-Present",VLOOKUP(A109, '8. Demand data categorization'!A:M,13,FALSE))))</f>
        <v>1960-1970</v>
      </c>
      <c r="C109" s="84" t="str">
        <f>VLOOKUP(A109,'12. eWRIMS_Export'!A:K,7,FALSE)</f>
        <v>RUSSELL H GREEN JR</v>
      </c>
      <c r="D109">
        <f>VLOOKUP(A109,'8. Demand data categorization'!A:AJ,30,FALSE)</f>
        <v>0</v>
      </c>
      <c r="E109">
        <f>VLOOKUP(A109,'8. Demand data categorization'!A:AJ,31,FALSE)</f>
        <v>0</v>
      </c>
      <c r="F109">
        <f>VLOOKUP(A109,'8. Demand data categorization'!A:AJ,32,FALSE)</f>
        <v>0</v>
      </c>
      <c r="G109" s="84">
        <f>VLOOKUP(A109,'8. Demand data categorization'!A:AJ,33,FALSE)</f>
        <v>0</v>
      </c>
      <c r="H109" s="80">
        <f>IF(ISERROR(VLOOKUP($A109,'8. Demand data categorization'!$A:$AV,30,FALSE)),0,(VLOOKUP($A109,'8. Demand data categorization'!$A:$AV,30,FALSE))*(1-VLOOKUP($B109,'2. Forbearance thresholds'!$A$16:$F$25,3,FALSE)))</f>
        <v>0</v>
      </c>
      <c r="I109" s="80">
        <f>IF(ISERROR(VLOOKUP($A109,'8. Demand data categorization'!$A:$AV,31,FALSE)),0,(VLOOKUP($A109,'8. Demand data categorization'!$A:$AV,31,FALSE))*(1-VLOOKUP($B109,'2. Forbearance thresholds'!$A$16:$F$25,4,FALSE)))</f>
        <v>0</v>
      </c>
      <c r="J109" s="80">
        <f>IF(ISERROR(VLOOKUP($A109,'8. Demand data categorization'!$A:$AV,32,FALSE)),0,(VLOOKUP($A109,'8. Demand data categorization'!$A:$AV,32,FALSE))*(1-VLOOKUP($B109,'2. Forbearance thresholds'!$A$16:$F$25,5,FALSE)))</f>
        <v>0</v>
      </c>
      <c r="K109" s="89">
        <f>IF(ISERROR(VLOOKUP($A109,'8. Demand data categorization'!$A:$AV,33,FALSE)),0,(VLOOKUP($A109,'8. Demand data categorization'!$A:$AV,33,FALSE))*(1-VLOOKUP($B109,'2. Forbearance thresholds'!$A$16:$F$25,6,FALSE)))</f>
        <v>0</v>
      </c>
      <c r="L109" s="1" t="str">
        <f>IF(ISERROR(VLOOKUP(A109,'11. TransferExport'!A:A,1,FALSE)),"N","Y")</f>
        <v>N</v>
      </c>
      <c r="M109" s="1" t="str">
        <f>IF(ISERROR(VLOOKUP(A109,'11. TransferExport'!B:B,1,FALSE)),"N","Y")</f>
        <v>N</v>
      </c>
      <c r="N109">
        <f>IF(L109="Y",-SUMIF('11. TransferExport'!A:A,A109,'11. TransferExport'!D:D),IF(M109="Y",SUMIF('11. TransferExport'!B:B,A109,'11. TransferExport'!D:D),0))</f>
        <v>0</v>
      </c>
      <c r="O109">
        <f>IF(L109="Y",-SUMIF('11. TransferExport'!A:A,A109,'11. TransferExport'!E:E),IF(M109="Y",SUMIF('11. TransferExport'!B:B,A109,'11. TransferExport'!E:E),0))</f>
        <v>0</v>
      </c>
      <c r="P109">
        <f>IF(L109="Y",-SUMIF('11. TransferExport'!A:A,A109,'11. TransferExport'!F:F),IF(M109="Y",SUMIF('11. TransferExport'!B:B,A109,'11. TransferExport'!F:F),0))</f>
        <v>0</v>
      </c>
      <c r="Q109">
        <f>IF(L109="Y",-SUMIF('11. TransferExport'!A:A,A109,'11. TransferExport'!G:G),IF(M109="Y",SUMIF('11. TransferExport'!B:B,A109,'11. TransferExport'!G:G),0))</f>
        <v>0</v>
      </c>
      <c r="R109" s="91">
        <f t="shared" si="21"/>
        <v>0</v>
      </c>
      <c r="S109">
        <f>IF(L109="Y",-SUMIF('11. TransferExport'!$A:$A,$A109,'11. TransferExport'!L:L),IF(M109="Y",SUMIF('11. TransferExport'!$B:$B,$A109,'11. TransferExport'!L:L),0))</f>
        <v>0</v>
      </c>
      <c r="T109">
        <f>IF($L109="Y",-SUMIF('11. TransferExport'!$A:$A,$A109,'11. TransferExport'!M:M),IF($M109="Y",SUMIF('11. TransferExport'!$B:$B,$A109,'11. TransferExport'!M:M),0))</f>
        <v>0</v>
      </c>
      <c r="U109">
        <f>IF($L109="Y",-SUMIF('11. TransferExport'!$A:$A,$A109,'11. TransferExport'!N:N),IF($M109="Y",SUMIF('11. TransferExport'!$B:$B,$A109,'11. TransferExport'!N:N),0))</f>
        <v>0</v>
      </c>
      <c r="V109">
        <f>IF($L109="Y",-SUMIF('11. TransferExport'!$A:$A,$A109,'11. TransferExport'!O:O),IF($M109="Y",SUMIF('11. TransferExport'!$B:$B,$A109,'11. TransferExport'!O:O),0))</f>
        <v>0</v>
      </c>
      <c r="W109" s="90">
        <f t="shared" si="22"/>
        <v>0</v>
      </c>
      <c r="X109" s="90">
        <f t="shared" si="23"/>
        <v>0</v>
      </c>
      <c r="Y109" s="90">
        <f t="shared" si="24"/>
        <v>0</v>
      </c>
      <c r="Z109" s="90">
        <f t="shared" si="25"/>
        <v>0</v>
      </c>
      <c r="AA109" s="91">
        <f t="shared" si="26"/>
        <v>0</v>
      </c>
      <c r="AB109" s="96">
        <f>VLOOKUP(A109,'8. Demand data categorization'!A:N,3,FALSE)</f>
        <v>12</v>
      </c>
      <c r="AC109" s="95" t="str">
        <f>VLOOKUP(A109,'8. Demand data categorization'!A:N,14,FALSE)</f>
        <v>Y</v>
      </c>
      <c r="AD109" t="str">
        <f t="shared" si="27"/>
        <v>Giving</v>
      </c>
    </row>
    <row r="110" spans="1:30" x14ac:dyDescent="0.25">
      <c r="A110" s="107" t="s">
        <v>161</v>
      </c>
      <c r="B110" t="str">
        <f>IF(ISERROR(VLOOKUP(A110, '8. Demand data categorization'!A:M,13,FALSE)),"ERROR",IF((VLOOKUP(A110, '8. Demand data categorization'!A:M,13,FALSE))="-","Riparian",IF(OR(VLOOKUP(A110, '8. Demand data categorization'!A:M,13,FALSE)="1971-1990",VLOOKUP(A110, '8. Demand data categorization'!A:M,13,FALSE)="1991-Present"),"1971-Present",VLOOKUP(A110, '8. Demand data categorization'!A:M,13,FALSE))))</f>
        <v>Pre-1949 + 1949</v>
      </c>
      <c r="C110" s="84" t="str">
        <f>VLOOKUP(A110,'12. eWRIMS_Export'!A:K,7,FALSE)</f>
        <v>RUSSELL H GREEN JR</v>
      </c>
      <c r="D110">
        <f>VLOOKUP(A110,'8. Demand data categorization'!A:AJ,30,FALSE)</f>
        <v>6.1333333330000004</v>
      </c>
      <c r="E110">
        <f>VLOOKUP(A110,'8. Demand data categorization'!A:AJ,31,FALSE)</f>
        <v>6.733333333</v>
      </c>
      <c r="F110">
        <f>VLOOKUP(A110,'8. Demand data categorization'!A:AJ,32,FALSE)</f>
        <v>2.733333333</v>
      </c>
      <c r="G110" s="84">
        <f>VLOOKUP(A110,'8. Demand data categorization'!A:AJ,33,FALSE)</f>
        <v>0</v>
      </c>
      <c r="H110" s="80">
        <f>IF(ISERROR(VLOOKUP($A110,'8. Demand data categorization'!$A:$AV,30,FALSE)),0,(VLOOKUP($A110,'8. Demand data categorization'!$A:$AV,30,FALSE))*(1-VLOOKUP($B110,'2. Forbearance thresholds'!$A$16:$F$25,3,FALSE)))</f>
        <v>6.1333333330000004</v>
      </c>
      <c r="I110" s="80">
        <f>IF(ISERROR(VLOOKUP($A110,'8. Demand data categorization'!$A:$AV,31,FALSE)),0,(VLOOKUP($A110,'8. Demand data categorization'!$A:$AV,31,FALSE))*(1-VLOOKUP($B110,'2. Forbearance thresholds'!$A$16:$F$25,4,FALSE)))</f>
        <v>0.19248101590329467</v>
      </c>
      <c r="J110" s="80">
        <f>IF(ISERROR(VLOOKUP($A110,'8. Demand data categorization'!$A:$AV,32,FALSE)),0,(VLOOKUP($A110,'8. Demand data categorization'!$A:$AV,32,FALSE))*(1-VLOOKUP($B110,'2. Forbearance thresholds'!$A$16:$F$25,5,FALSE)))</f>
        <v>0</v>
      </c>
      <c r="K110" s="89">
        <f>IF(ISERROR(VLOOKUP($A110,'8. Demand data categorization'!$A:$AV,33,FALSE)),0,(VLOOKUP($A110,'8. Demand data categorization'!$A:$AV,33,FALSE))*(1-VLOOKUP($B110,'2. Forbearance thresholds'!$A$16:$F$25,6,FALSE)))</f>
        <v>0</v>
      </c>
      <c r="L110" s="1" t="str">
        <f>IF(ISERROR(VLOOKUP(A110,'11. TransferExport'!A:A,1,FALSE)),"N","Y")</f>
        <v>N</v>
      </c>
      <c r="M110" s="1" t="str">
        <f>IF(ISERROR(VLOOKUP(A110,'11. TransferExport'!B:B,1,FALSE)),"N","Y")</f>
        <v>Y</v>
      </c>
      <c r="N110">
        <f>IF(L110="Y",-SUMIF('11. TransferExport'!A:A,A110,'11. TransferExport'!D:D),IF(M110="Y",SUMIF('11. TransferExport'!B:B,A110,'11. TransferExport'!D:D),0))</f>
        <v>2</v>
      </c>
      <c r="O110">
        <f>IF(L110="Y",-SUMIF('11. TransferExport'!A:A,A110,'11. TransferExport'!E:E),IF(M110="Y",SUMIF('11. TransferExport'!B:B,A110,'11. TransferExport'!E:E),0))</f>
        <v>0</v>
      </c>
      <c r="P110">
        <f>IF(L110="Y",-SUMIF('11. TransferExport'!A:A,A110,'11. TransferExport'!F:F),IF(M110="Y",SUMIF('11. TransferExport'!B:B,A110,'11. TransferExport'!F:F),0))</f>
        <v>0</v>
      </c>
      <c r="Q110">
        <f>IF(L110="Y",-SUMIF('11. TransferExport'!A:A,A110,'11. TransferExport'!G:G),IF(M110="Y",SUMIF('11. TransferExport'!B:B,A110,'11. TransferExport'!G:G),0))</f>
        <v>0</v>
      </c>
      <c r="R110" s="91">
        <f t="shared" si="21"/>
        <v>8.325814348903295</v>
      </c>
      <c r="S110">
        <f>IF(L110="Y",-SUMIF('11. TransferExport'!$A:$A,$A110,'11. TransferExport'!L:L),IF(M110="Y",SUMIF('11. TransferExport'!$B:$B,$A110,'11. TransferExport'!L:L),0))</f>
        <v>2</v>
      </c>
      <c r="T110">
        <f>IF($L110="Y",-SUMIF('11. TransferExport'!$A:$A,$A110,'11. TransferExport'!M:M),IF($M110="Y",SUMIF('11. TransferExport'!$B:$B,$A110,'11. TransferExport'!M:M),0))</f>
        <v>0</v>
      </c>
      <c r="U110">
        <f>IF($L110="Y",-SUMIF('11. TransferExport'!$A:$A,$A110,'11. TransferExport'!N:N),IF($M110="Y",SUMIF('11. TransferExport'!$B:$B,$A110,'11. TransferExport'!N:N),0))</f>
        <v>0</v>
      </c>
      <c r="V110">
        <f>IF($L110="Y",-SUMIF('11. TransferExport'!$A:$A,$A110,'11. TransferExport'!O:O),IF($M110="Y",SUMIF('11. TransferExport'!$B:$B,$A110,'11. TransferExport'!O:O),0))</f>
        <v>0</v>
      </c>
      <c r="W110" s="90">
        <f t="shared" si="22"/>
        <v>8.325814348903295</v>
      </c>
      <c r="X110" s="90">
        <f t="shared" si="23"/>
        <v>8.1333333329999995</v>
      </c>
      <c r="Y110" s="90">
        <f t="shared" si="24"/>
        <v>0.19248101590329467</v>
      </c>
      <c r="Z110" s="90">
        <f t="shared" si="25"/>
        <v>0</v>
      </c>
      <c r="AA110" s="91">
        <f t="shared" si="26"/>
        <v>0</v>
      </c>
      <c r="AB110" s="96">
        <f>VLOOKUP(A110,'8. Demand data categorization'!A:N,3,FALSE)</f>
        <v>16</v>
      </c>
      <c r="AC110" s="95" t="str">
        <f>VLOOKUP(A110,'8. Demand data categorization'!A:N,14,FALSE)</f>
        <v>N</v>
      </c>
      <c r="AD110" t="str">
        <f t="shared" si="27"/>
        <v>No Change</v>
      </c>
    </row>
    <row r="111" spans="1:30" x14ac:dyDescent="0.25">
      <c r="A111" s="107" t="s">
        <v>163</v>
      </c>
      <c r="B111" t="str">
        <f>IF(ISERROR(VLOOKUP(A111, '8. Demand data categorization'!A:M,13,FALSE)),"ERROR",IF((VLOOKUP(A111, '8. Demand data categorization'!A:M,13,FALSE))="-","Riparian",IF(OR(VLOOKUP(A111, '8. Demand data categorization'!A:M,13,FALSE)="1971-1990",VLOOKUP(A111, '8. Demand data categorization'!A:M,13,FALSE)="1991-Present"),"1971-Present",VLOOKUP(A111, '8. Demand data categorization'!A:M,13,FALSE))))</f>
        <v>1971-Present</v>
      </c>
      <c r="C111" s="84" t="str">
        <f>VLOOKUP(A111,'12. eWRIMS_Export'!A:K,7,FALSE)</f>
        <v>RUSSELL H GREEN JR</v>
      </c>
      <c r="D111">
        <f>VLOOKUP(A111,'8. Demand data categorization'!A:AJ,30,FALSE)</f>
        <v>23.36</v>
      </c>
      <c r="E111">
        <f>VLOOKUP(A111,'8. Demand data categorization'!A:AJ,31,FALSE)</f>
        <v>29.76</v>
      </c>
      <c r="F111">
        <f>VLOOKUP(A111,'8. Demand data categorization'!A:AJ,32,FALSE)</f>
        <v>13.9</v>
      </c>
      <c r="G111" s="84">
        <f>VLOOKUP(A111,'8. Demand data categorization'!A:AJ,33,FALSE)</f>
        <v>12.13</v>
      </c>
      <c r="H111" s="80">
        <f>IF(ISERROR(VLOOKUP($A111,'8. Demand data categorization'!$A:$AV,30,FALSE)),0,(VLOOKUP($A111,'8. Demand data categorization'!$A:$AV,30,FALSE))*(1-VLOOKUP($B111,'2. Forbearance thresholds'!$A$16:$F$25,3,FALSE)))</f>
        <v>21.024000000000001</v>
      </c>
      <c r="I111" s="80">
        <f>IF(ISERROR(VLOOKUP($A111,'8. Demand data categorization'!$A:$AV,31,FALSE)),0,(VLOOKUP($A111,'8. Demand data categorization'!$A:$AV,31,FALSE))*(1-VLOOKUP($B111,'2. Forbearance thresholds'!$A$16:$F$25,4,FALSE)))</f>
        <v>0.8507279752820236</v>
      </c>
      <c r="J111" s="80">
        <f>IF(ISERROR(VLOOKUP($A111,'8. Demand data categorization'!$A:$AV,32,FALSE)),0,(VLOOKUP($A111,'8. Demand data categorization'!$A:$AV,32,FALSE))*(1-VLOOKUP($B111,'2. Forbearance thresholds'!$A$16:$F$25,5,FALSE)))</f>
        <v>0</v>
      </c>
      <c r="K111" s="89">
        <f>IF(ISERROR(VLOOKUP($A111,'8. Demand data categorization'!$A:$AV,33,FALSE)),0,(VLOOKUP($A111,'8. Demand data categorization'!$A:$AV,33,FALSE))*(1-VLOOKUP($B111,'2. Forbearance thresholds'!$A$16:$F$25,6,FALSE)))</f>
        <v>0</v>
      </c>
      <c r="L111" s="1" t="str">
        <f>IF(ISERROR(VLOOKUP(A111,'11. TransferExport'!A:A,1,FALSE)),"N","Y")</f>
        <v>Y</v>
      </c>
      <c r="M111" s="1" t="str">
        <f>IF(ISERROR(VLOOKUP(A111,'11. TransferExport'!B:B,1,FALSE)),"N","Y")</f>
        <v>N</v>
      </c>
      <c r="N111">
        <f>IF(L111="Y",-SUMIF('11. TransferExport'!A:A,A111,'11. TransferExport'!D:D),IF(M111="Y",SUMIF('11. TransferExport'!B:B,A111,'11. TransferExport'!D:D),0))</f>
        <v>-12.61</v>
      </c>
      <c r="O111">
        <f>IF(L111="Y",-SUMIF('11. TransferExport'!A:A,A111,'11. TransferExport'!E:E),IF(M111="Y",SUMIF('11. TransferExport'!B:B,A111,'11. TransferExport'!E:E),0))</f>
        <v>-19.049999999999997</v>
      </c>
      <c r="P111">
        <f>IF(L111="Y",-SUMIF('11. TransferExport'!A:A,A111,'11. TransferExport'!F:F),IF(M111="Y",SUMIF('11. TransferExport'!B:B,A111,'11. TransferExport'!F:F),0))</f>
        <v>-6.67</v>
      </c>
      <c r="Q111">
        <f>IF(L111="Y",-SUMIF('11. TransferExport'!A:A,A111,'11. TransferExport'!G:G),IF(M111="Y",SUMIF('11. TransferExport'!B:B,A111,'11. TransferExport'!G:G),0))</f>
        <v>-5.8</v>
      </c>
      <c r="R111" s="91">
        <f t="shared" si="21"/>
        <v>-22.255272024717971</v>
      </c>
      <c r="S111">
        <f>IF(L111="Y",-SUMIF('11. TransferExport'!$A:$A,$A111,'11. TransferExport'!L:L),IF(M111="Y",SUMIF('11. TransferExport'!$B:$B,$A111,'11. TransferExport'!L:L),0))</f>
        <v>-12.61</v>
      </c>
      <c r="T111">
        <f>IF($L111="Y",-SUMIF('11. TransferExport'!$A:$A,$A111,'11. TransferExport'!M:M),IF($M111="Y",SUMIF('11. TransferExport'!$B:$B,$A111,'11. TransferExport'!M:M),0))</f>
        <v>-3.4029119011280944</v>
      </c>
      <c r="U111">
        <f>IF($L111="Y",-SUMIF('11. TransferExport'!$A:$A,$A111,'11. TransferExport'!N:N),IF($M111="Y",SUMIF('11. TransferExport'!$B:$B,$A111,'11. TransferExport'!N:N),0))</f>
        <v>0</v>
      </c>
      <c r="V111">
        <f>IF($L111="Y",-SUMIF('11. TransferExport'!$A:$A,$A111,'11. TransferExport'!O:O),IF($M111="Y",SUMIF('11. TransferExport'!$B:$B,$A111,'11. TransferExport'!O:O),0))</f>
        <v>0</v>
      </c>
      <c r="W111" s="90">
        <f t="shared" si="22"/>
        <v>5.8618160741539302</v>
      </c>
      <c r="X111" s="90">
        <f t="shared" si="23"/>
        <v>8.4140000000000015</v>
      </c>
      <c r="Y111" s="90">
        <f t="shared" si="24"/>
        <v>-2.5521839258460708</v>
      </c>
      <c r="Z111" s="90">
        <f t="shared" si="25"/>
        <v>0</v>
      </c>
      <c r="AA111" s="91">
        <f t="shared" si="26"/>
        <v>0</v>
      </c>
      <c r="AB111" s="96">
        <f>VLOOKUP(A111,'8. Demand data categorization'!A:N,3,FALSE)</f>
        <v>12</v>
      </c>
      <c r="AC111" s="95" t="str">
        <f>VLOOKUP(A111,'8. Demand data categorization'!A:N,14,FALSE)</f>
        <v>Y</v>
      </c>
      <c r="AD111" t="str">
        <f t="shared" si="27"/>
        <v>Giving</v>
      </c>
    </row>
    <row r="112" spans="1:30" x14ac:dyDescent="0.25">
      <c r="A112" s="107" t="s">
        <v>165</v>
      </c>
      <c r="B112" t="str">
        <f>IF(ISERROR(VLOOKUP(A112, '8. Demand data categorization'!A:M,13,FALSE)),"ERROR",IF((VLOOKUP(A112, '8. Demand data categorization'!A:M,13,FALSE))="-","Riparian",IF(OR(VLOOKUP(A112, '8. Demand data categorization'!A:M,13,FALSE)="1971-1990",VLOOKUP(A112, '8. Demand data categorization'!A:M,13,FALSE)="1991-Present"),"1971-Present",VLOOKUP(A112, '8. Demand data categorization'!A:M,13,FALSE))))</f>
        <v>1971-Present</v>
      </c>
      <c r="C112" s="84" t="str">
        <f>VLOOKUP(A112,'12. eWRIMS_Export'!A:K,7,FALSE)</f>
        <v>RUSSELL H GREEN JR</v>
      </c>
      <c r="D112">
        <f>VLOOKUP(A112,'8. Demand data categorization'!A:AJ,30,FALSE)</f>
        <v>0</v>
      </c>
      <c r="E112">
        <f>VLOOKUP(A112,'8. Demand data categorization'!A:AJ,31,FALSE)</f>
        <v>0</v>
      </c>
      <c r="F112">
        <f>VLOOKUP(A112,'8. Demand data categorization'!A:AJ,32,FALSE)</f>
        <v>0</v>
      </c>
      <c r="G112" s="84">
        <f>VLOOKUP(A112,'8. Demand data categorization'!A:AJ,33,FALSE)</f>
        <v>0</v>
      </c>
      <c r="H112" s="80">
        <f>IF(ISERROR(VLOOKUP($A112,'8. Demand data categorization'!$A:$AV,30,FALSE)),0,(VLOOKUP($A112,'8. Demand data categorization'!$A:$AV,30,FALSE))*(1-VLOOKUP($B112,'2. Forbearance thresholds'!$A$16:$F$25,3,FALSE)))</f>
        <v>0</v>
      </c>
      <c r="I112" s="80">
        <f>IF(ISERROR(VLOOKUP($A112,'8. Demand data categorization'!$A:$AV,31,FALSE)),0,(VLOOKUP($A112,'8. Demand data categorization'!$A:$AV,31,FALSE))*(1-VLOOKUP($B112,'2. Forbearance thresholds'!$A$16:$F$25,4,FALSE)))</f>
        <v>0</v>
      </c>
      <c r="J112" s="80">
        <f>IF(ISERROR(VLOOKUP($A112,'8. Demand data categorization'!$A:$AV,32,FALSE)),0,(VLOOKUP($A112,'8. Demand data categorization'!$A:$AV,32,FALSE))*(1-VLOOKUP($B112,'2. Forbearance thresholds'!$A$16:$F$25,5,FALSE)))</f>
        <v>0</v>
      </c>
      <c r="K112" s="89">
        <f>IF(ISERROR(VLOOKUP($A112,'8. Demand data categorization'!$A:$AV,33,FALSE)),0,(VLOOKUP($A112,'8. Demand data categorization'!$A:$AV,33,FALSE))*(1-VLOOKUP($B112,'2. Forbearance thresholds'!$A$16:$F$25,6,FALSE)))</f>
        <v>0</v>
      </c>
      <c r="L112" s="1" t="str">
        <f>IF(ISERROR(VLOOKUP(A112,'11. TransferExport'!A:A,1,FALSE)),"N","Y")</f>
        <v>N</v>
      </c>
      <c r="M112" s="1" t="str">
        <f>IF(ISERROR(VLOOKUP(A112,'11. TransferExport'!B:B,1,FALSE)),"N","Y")</f>
        <v>N</v>
      </c>
      <c r="N112">
        <f>IF(L112="Y",-SUMIF('11. TransferExport'!A:A,A112,'11. TransferExport'!D:D),IF(M112="Y",SUMIF('11. TransferExport'!B:B,A112,'11. TransferExport'!D:D),0))</f>
        <v>0</v>
      </c>
      <c r="O112">
        <f>IF(L112="Y",-SUMIF('11. TransferExport'!A:A,A112,'11. TransferExport'!E:E),IF(M112="Y",SUMIF('11. TransferExport'!B:B,A112,'11. TransferExport'!E:E),0))</f>
        <v>0</v>
      </c>
      <c r="P112">
        <f>IF(L112="Y",-SUMIF('11. TransferExport'!A:A,A112,'11. TransferExport'!F:F),IF(M112="Y",SUMIF('11. TransferExport'!B:B,A112,'11. TransferExport'!F:F),0))</f>
        <v>0</v>
      </c>
      <c r="Q112">
        <f>IF(L112="Y",-SUMIF('11. TransferExport'!A:A,A112,'11. TransferExport'!G:G),IF(M112="Y",SUMIF('11. TransferExport'!B:B,A112,'11. TransferExport'!G:G),0))</f>
        <v>0</v>
      </c>
      <c r="R112" s="91">
        <f t="shared" si="21"/>
        <v>0</v>
      </c>
      <c r="S112">
        <f>IF(L112="Y",-SUMIF('11. TransferExport'!$A:$A,$A112,'11. TransferExport'!L:L),IF(M112="Y",SUMIF('11. TransferExport'!$B:$B,$A112,'11. TransferExport'!L:L),0))</f>
        <v>0</v>
      </c>
      <c r="T112">
        <f>IF($L112="Y",-SUMIF('11. TransferExport'!$A:$A,$A112,'11. TransferExport'!M:M),IF($M112="Y",SUMIF('11. TransferExport'!$B:$B,$A112,'11. TransferExport'!M:M),0))</f>
        <v>0</v>
      </c>
      <c r="U112">
        <f>IF($L112="Y",-SUMIF('11. TransferExport'!$A:$A,$A112,'11. TransferExport'!N:N),IF($M112="Y",SUMIF('11. TransferExport'!$B:$B,$A112,'11. TransferExport'!N:N),0))</f>
        <v>0</v>
      </c>
      <c r="V112">
        <f>IF($L112="Y",-SUMIF('11. TransferExport'!$A:$A,$A112,'11. TransferExport'!O:O),IF($M112="Y",SUMIF('11. TransferExport'!$B:$B,$A112,'11. TransferExport'!O:O),0))</f>
        <v>0</v>
      </c>
      <c r="W112" s="90">
        <f t="shared" si="22"/>
        <v>0</v>
      </c>
      <c r="X112" s="90">
        <f t="shared" si="23"/>
        <v>0</v>
      </c>
      <c r="Y112" s="90">
        <f t="shared" si="24"/>
        <v>0</v>
      </c>
      <c r="Z112" s="90">
        <f t="shared" si="25"/>
        <v>0</v>
      </c>
      <c r="AA112" s="91">
        <f t="shared" si="26"/>
        <v>0</v>
      </c>
      <c r="AB112" s="96">
        <f>VLOOKUP(A112,'8. Demand data categorization'!A:N,3,FALSE)</f>
        <v>12</v>
      </c>
      <c r="AC112" s="95" t="str">
        <f>VLOOKUP(A112,'8. Demand data categorization'!A:N,14,FALSE)</f>
        <v>N</v>
      </c>
      <c r="AD112" t="str">
        <f t="shared" si="27"/>
        <v>Giving</v>
      </c>
    </row>
    <row r="113" spans="1:30" x14ac:dyDescent="0.25">
      <c r="A113" s="107" t="s">
        <v>166</v>
      </c>
      <c r="B113" t="str">
        <f>IF(ISERROR(VLOOKUP(A113, '8. Demand data categorization'!A:M,13,FALSE)),"ERROR",IF((VLOOKUP(A113, '8. Demand data categorization'!A:M,13,FALSE))="-","Riparian",IF(OR(VLOOKUP(A113, '8. Demand data categorization'!A:M,13,FALSE)="1971-1990",VLOOKUP(A113, '8. Demand data categorization'!A:M,13,FALSE)="1991-Present"),"1971-Present",VLOOKUP(A113, '8. Demand data categorization'!A:M,13,FALSE))))</f>
        <v>1971-Present</v>
      </c>
      <c r="C113" s="84" t="str">
        <f>VLOOKUP(A113,'12. eWRIMS_Export'!A:K,7,FALSE)</f>
        <v>RUSSELL H GREEN JR</v>
      </c>
      <c r="D113">
        <f>VLOOKUP(A113,'8. Demand data categorization'!A:AJ,30,FALSE)</f>
        <v>0</v>
      </c>
      <c r="E113">
        <f>VLOOKUP(A113,'8. Demand data categorization'!A:AJ,31,FALSE)</f>
        <v>0</v>
      </c>
      <c r="F113">
        <f>VLOOKUP(A113,'8. Demand data categorization'!A:AJ,32,FALSE)</f>
        <v>0</v>
      </c>
      <c r="G113" s="84">
        <f>VLOOKUP(A113,'8. Demand data categorization'!A:AJ,33,FALSE)</f>
        <v>1.23</v>
      </c>
      <c r="H113" s="80">
        <f>IF(ISERROR(VLOOKUP($A113,'8. Demand data categorization'!$A:$AV,30,FALSE)),0,(VLOOKUP($A113,'8. Demand data categorization'!$A:$AV,30,FALSE))*(1-VLOOKUP($B113,'2. Forbearance thresholds'!$A$16:$F$25,3,FALSE)))</f>
        <v>0</v>
      </c>
      <c r="I113" s="80">
        <f>IF(ISERROR(VLOOKUP($A113,'8. Demand data categorization'!$A:$AV,31,FALSE)),0,(VLOOKUP($A113,'8. Demand data categorization'!$A:$AV,31,FALSE))*(1-VLOOKUP($B113,'2. Forbearance thresholds'!$A$16:$F$25,4,FALSE)))</f>
        <v>0</v>
      </c>
      <c r="J113" s="80">
        <f>IF(ISERROR(VLOOKUP($A113,'8. Demand data categorization'!$A:$AV,32,FALSE)),0,(VLOOKUP($A113,'8. Demand data categorization'!$A:$AV,32,FALSE))*(1-VLOOKUP($B113,'2. Forbearance thresholds'!$A$16:$F$25,5,FALSE)))</f>
        <v>0</v>
      </c>
      <c r="K113" s="89">
        <f>IF(ISERROR(VLOOKUP($A113,'8. Demand data categorization'!$A:$AV,33,FALSE)),0,(VLOOKUP($A113,'8. Demand data categorization'!$A:$AV,33,FALSE))*(1-VLOOKUP($B113,'2. Forbearance thresholds'!$A$16:$F$25,6,FALSE)))</f>
        <v>0</v>
      </c>
      <c r="L113" s="1" t="str">
        <f>IF(ISERROR(VLOOKUP(A113,'11. TransferExport'!A:A,1,FALSE)),"N","Y")</f>
        <v>N</v>
      </c>
      <c r="M113" s="1" t="str">
        <f>IF(ISERROR(VLOOKUP(A113,'11. TransferExport'!B:B,1,FALSE)),"N","Y")</f>
        <v>Y</v>
      </c>
      <c r="N113">
        <f>IF(L113="Y",-SUMIF('11. TransferExport'!A:A,A113,'11. TransferExport'!D:D),IF(M113="Y",SUMIF('11. TransferExport'!B:B,A113,'11. TransferExport'!D:D),0))</f>
        <v>7</v>
      </c>
      <c r="O113">
        <f>IF(L113="Y",-SUMIF('11. TransferExport'!A:A,A113,'11. TransferExport'!E:E),IF(M113="Y",SUMIF('11. TransferExport'!B:B,A113,'11. TransferExport'!E:E),0))</f>
        <v>4.7699999999999996</v>
      </c>
      <c r="P113">
        <f>IF(L113="Y",-SUMIF('11. TransferExport'!A:A,A113,'11. TransferExport'!F:F),IF(M113="Y",SUMIF('11. TransferExport'!B:B,A113,'11. TransferExport'!F:F),0))</f>
        <v>1.67</v>
      </c>
      <c r="Q113">
        <f>IF(L113="Y",-SUMIF('11. TransferExport'!A:A,A113,'11. TransferExport'!G:G),IF(M113="Y",SUMIF('11. TransferExport'!B:B,A113,'11. TransferExport'!G:G),0))</f>
        <v>0.8</v>
      </c>
      <c r="R113" s="91">
        <f t="shared" si="21"/>
        <v>14.24</v>
      </c>
      <c r="S113">
        <f>IF(L113="Y",-SUMIF('11. TransferExport'!$A:$A,$A113,'11. TransferExport'!L:L),IF(M113="Y",SUMIF('11. TransferExport'!$B:$B,$A113,'11. TransferExport'!L:L),0))</f>
        <v>7</v>
      </c>
      <c r="T113">
        <f>IF($L113="Y",-SUMIF('11. TransferExport'!$A:$A,$A113,'11. TransferExport'!M:M),IF($M113="Y",SUMIF('11. TransferExport'!$B:$B,$A113,'11. TransferExport'!M:M),0))</f>
        <v>0.8507279752820236</v>
      </c>
      <c r="U113">
        <f>IF($L113="Y",-SUMIF('11. TransferExport'!$A:$A,$A113,'11. TransferExport'!N:N),IF($M113="Y",SUMIF('11. TransferExport'!$B:$B,$A113,'11. TransferExport'!N:N),0))</f>
        <v>0</v>
      </c>
      <c r="V113">
        <f>IF($L113="Y",-SUMIF('11. TransferExport'!$A:$A,$A113,'11. TransferExport'!O:O),IF($M113="Y",SUMIF('11. TransferExport'!$B:$B,$A113,'11. TransferExport'!O:O),0))</f>
        <v>0</v>
      </c>
      <c r="W113" s="90">
        <f t="shared" si="22"/>
        <v>7.8507279752820232</v>
      </c>
      <c r="X113" s="90">
        <f t="shared" si="23"/>
        <v>7</v>
      </c>
      <c r="Y113" s="90">
        <f t="shared" si="24"/>
        <v>0.8507279752820236</v>
      </c>
      <c r="Z113" s="90">
        <f t="shared" si="25"/>
        <v>0</v>
      </c>
      <c r="AA113" s="91">
        <f t="shared" si="26"/>
        <v>0</v>
      </c>
      <c r="AB113" s="96">
        <f>VLOOKUP(A113,'8. Demand data categorization'!A:N,3,FALSE)</f>
        <v>12</v>
      </c>
      <c r="AC113" s="95" t="str">
        <f>VLOOKUP(A113,'8. Demand data categorization'!A:N,14,FALSE)</f>
        <v>N</v>
      </c>
      <c r="AD113" t="str">
        <f t="shared" si="27"/>
        <v>Giving</v>
      </c>
    </row>
    <row r="114" spans="1:30" x14ac:dyDescent="0.25">
      <c r="A114" s="107" t="s">
        <v>80</v>
      </c>
      <c r="B114" t="str">
        <f>IF(ISERROR(VLOOKUP(A114, '8. Demand data categorization'!A:M,13,FALSE)),"ERROR",IF((VLOOKUP(A114, '8. Demand data categorization'!A:M,13,FALSE))="-","Riparian",IF(OR(VLOOKUP(A114, '8. Demand data categorization'!A:M,13,FALSE)="1971-1990",VLOOKUP(A114, '8. Demand data categorization'!A:M,13,FALSE)="1991-Present"),"1971-Present",VLOOKUP(A114, '8. Demand data categorization'!A:M,13,FALSE))))</f>
        <v>Riparian</v>
      </c>
      <c r="C114" s="84" t="str">
        <f>VLOOKUP(A114,'12. eWRIMS_Export'!A:K,7,FALSE)</f>
        <v>SILVER OAK WINE CELLARS, LP</v>
      </c>
      <c r="D114">
        <f>VLOOKUP(A114,'8. Demand data categorization'!A:AJ,30,FALSE)</f>
        <v>1.5</v>
      </c>
      <c r="E114">
        <f>VLOOKUP(A114,'8. Demand data categorization'!A:AJ,31,FALSE)</f>
        <v>2.74</v>
      </c>
      <c r="F114">
        <f>VLOOKUP(A114,'8. Demand data categorization'!A:AJ,32,FALSE)</f>
        <v>2.5299999999999998</v>
      </c>
      <c r="G114" s="84">
        <f>VLOOKUP(A114,'8. Demand data categorization'!A:AJ,33,FALSE)</f>
        <v>1.83</v>
      </c>
      <c r="H114" s="80">
        <f>IF(ISERROR(VLOOKUP($A114,'8. Demand data categorization'!$A:$AV,30,FALSE)),0,(VLOOKUP($A114,'8. Demand data categorization'!$A:$AV,30,FALSE))*(1-VLOOKUP($B114,'2. Forbearance thresholds'!$A$16:$F$25,3,FALSE)))</f>
        <v>1.1491197577932271</v>
      </c>
      <c r="I114" s="80">
        <f>IF(ISERROR(VLOOKUP($A114,'8. Demand data categorization'!$A:$AV,31,FALSE)),0,(VLOOKUP($A114,'8. Demand data categorization'!$A:$AV,31,FALSE))*(1-VLOOKUP($B114,'2. Forbearance thresholds'!$A$16:$F$25,4,FALSE)))</f>
        <v>7.8326433208089546E-2</v>
      </c>
      <c r="J114" s="80">
        <f>IF(ISERROR(VLOOKUP($A114,'8. Demand data categorization'!$A:$AV,32,FALSE)),0,(VLOOKUP($A114,'8. Demand data categorization'!$A:$AV,32,FALSE))*(1-VLOOKUP($B114,'2. Forbearance thresholds'!$A$16:$F$25,5,FALSE)))</f>
        <v>0</v>
      </c>
      <c r="K114" s="89">
        <f>IF(ISERROR(VLOOKUP($A114,'8. Demand data categorization'!$A:$AV,33,FALSE)),0,(VLOOKUP($A114,'8. Demand data categorization'!$A:$AV,33,FALSE))*(1-VLOOKUP($B114,'2. Forbearance thresholds'!$A$16:$F$25,6,FALSE)))</f>
        <v>0</v>
      </c>
      <c r="L114" s="1" t="str">
        <f>IF(ISERROR(VLOOKUP(A114,'11. TransferExport'!A:A,1,FALSE)),"N","Y")</f>
        <v>N</v>
      </c>
      <c r="M114" s="1" t="str">
        <f>IF(ISERROR(VLOOKUP(A114,'11. TransferExport'!B:B,1,FALSE)),"N","Y")</f>
        <v>N</v>
      </c>
      <c r="N114">
        <f>IF(L114="Y",-SUMIF('11. TransferExport'!A:A,A114,'11. TransferExport'!D:D),IF(M114="Y",SUMIF('11. TransferExport'!B:B,A114,'11. TransferExport'!D:D),0))</f>
        <v>0</v>
      </c>
      <c r="O114">
        <f>IF(L114="Y",-SUMIF('11. TransferExport'!A:A,A114,'11. TransferExport'!E:E),IF(M114="Y",SUMIF('11. TransferExport'!B:B,A114,'11. TransferExport'!E:E),0))</f>
        <v>0</v>
      </c>
      <c r="P114">
        <f>IF(L114="Y",-SUMIF('11. TransferExport'!A:A,A114,'11. TransferExport'!F:F),IF(M114="Y",SUMIF('11. TransferExport'!B:B,A114,'11. TransferExport'!F:F),0))</f>
        <v>0</v>
      </c>
      <c r="Q114">
        <f>IF(L114="Y",-SUMIF('11. TransferExport'!A:A,A114,'11. TransferExport'!G:G),IF(M114="Y",SUMIF('11. TransferExport'!B:B,A114,'11. TransferExport'!G:G),0))</f>
        <v>0</v>
      </c>
      <c r="R114" s="91">
        <f t="shared" si="21"/>
        <v>1.2274461910013166</v>
      </c>
      <c r="S114">
        <f>IF(L114="Y",-SUMIF('11. TransferExport'!$A:$A,$A114,'11. TransferExport'!L:L),IF(M114="Y",SUMIF('11. TransferExport'!$B:$B,$A114,'11. TransferExport'!L:L),0))</f>
        <v>0</v>
      </c>
      <c r="T114">
        <f>IF($L114="Y",-SUMIF('11. TransferExport'!$A:$A,$A114,'11. TransferExport'!M:M),IF($M114="Y",SUMIF('11. TransferExport'!$B:$B,$A114,'11. TransferExport'!M:M),0))</f>
        <v>0</v>
      </c>
      <c r="U114">
        <f>IF($L114="Y",-SUMIF('11. TransferExport'!$A:$A,$A114,'11. TransferExport'!N:N),IF($M114="Y",SUMIF('11. TransferExport'!$B:$B,$A114,'11. TransferExport'!N:N),0))</f>
        <v>0</v>
      </c>
      <c r="V114">
        <f>IF($L114="Y",-SUMIF('11. TransferExport'!$A:$A,$A114,'11. TransferExport'!O:O),IF($M114="Y",SUMIF('11. TransferExport'!$B:$B,$A114,'11. TransferExport'!O:O),0))</f>
        <v>0</v>
      </c>
      <c r="W114" s="90">
        <f t="shared" si="22"/>
        <v>1.2274461910013166</v>
      </c>
      <c r="X114" s="90">
        <f t="shared" si="23"/>
        <v>1.1491197577932271</v>
      </c>
      <c r="Y114" s="90">
        <f t="shared" si="24"/>
        <v>7.8326433208089546E-2</v>
      </c>
      <c r="Z114" s="90">
        <f t="shared" si="25"/>
        <v>0</v>
      </c>
      <c r="AA114" s="91">
        <f t="shared" si="26"/>
        <v>0</v>
      </c>
      <c r="AB114" s="96">
        <f>VLOOKUP(A114,'8. Demand data categorization'!A:N,3,FALSE)</f>
        <v>12</v>
      </c>
      <c r="AC114" s="95" t="str">
        <f>VLOOKUP(A114,'8. Demand data categorization'!A:N,14,FALSE)</f>
        <v>Y</v>
      </c>
      <c r="AD114" t="str">
        <f t="shared" si="27"/>
        <v>Taking</v>
      </c>
    </row>
    <row r="115" spans="1:30" x14ac:dyDescent="0.25">
      <c r="A115" s="107" t="s">
        <v>44</v>
      </c>
      <c r="B115" t="str">
        <f>IF(ISERROR(VLOOKUP(A115, '8. Demand data categorization'!A:M,13,FALSE)),"ERROR",IF((VLOOKUP(A115, '8. Demand data categorization'!A:M,13,FALSE))="-","Riparian",IF(OR(VLOOKUP(A115, '8. Demand data categorization'!A:M,13,FALSE)="1971-1990",VLOOKUP(A115, '8. Demand data categorization'!A:M,13,FALSE)="1991-Present"),"1971-Present",VLOOKUP(A115, '8. Demand data categorization'!A:M,13,FALSE))))</f>
        <v>1971-Present</v>
      </c>
      <c r="C115" s="84" t="str">
        <f>VLOOKUP(A115,'12. eWRIMS_Export'!A:K,7,FALSE)</f>
        <v>STUHLMULLER VINEYARD PROPERTIES CALIF LIMITED PARTNERSHIP</v>
      </c>
      <c r="D115">
        <f>VLOOKUP(A115,'8. Demand data categorization'!A:AJ,30,FALSE)</f>
        <v>0</v>
      </c>
      <c r="E115">
        <f>VLOOKUP(A115,'8. Demand data categorization'!A:AJ,31,FALSE)</f>
        <v>0</v>
      </c>
      <c r="F115">
        <f>VLOOKUP(A115,'8. Demand data categorization'!A:AJ,32,FALSE)</f>
        <v>0</v>
      </c>
      <c r="G115" s="84">
        <f>VLOOKUP(A115,'8. Demand data categorization'!A:AJ,33,FALSE)</f>
        <v>0</v>
      </c>
      <c r="H115" s="80">
        <f>IF(ISERROR(VLOOKUP($A115,'8. Demand data categorization'!$A:$AV,30,FALSE)),0,(VLOOKUP($A115,'8. Demand data categorization'!$A:$AV,30,FALSE))*(1-VLOOKUP($B115,'2. Forbearance thresholds'!$A$16:$F$25,3,FALSE)))</f>
        <v>0</v>
      </c>
      <c r="I115" s="80">
        <f>IF(ISERROR(VLOOKUP($A115,'8. Demand data categorization'!$A:$AV,31,FALSE)),0,(VLOOKUP($A115,'8. Demand data categorization'!$A:$AV,31,FALSE))*(1-VLOOKUP($B115,'2. Forbearance thresholds'!$A$16:$F$25,4,FALSE)))</f>
        <v>0</v>
      </c>
      <c r="J115" s="80">
        <f>IF(ISERROR(VLOOKUP($A115,'8. Demand data categorization'!$A:$AV,32,FALSE)),0,(VLOOKUP($A115,'8. Demand data categorization'!$A:$AV,32,FALSE))*(1-VLOOKUP($B115,'2. Forbearance thresholds'!$A$16:$F$25,5,FALSE)))</f>
        <v>0</v>
      </c>
      <c r="K115" s="89">
        <f>IF(ISERROR(VLOOKUP($A115,'8. Demand data categorization'!$A:$AV,33,FALSE)),0,(VLOOKUP($A115,'8. Demand data categorization'!$A:$AV,33,FALSE))*(1-VLOOKUP($B115,'2. Forbearance thresholds'!$A$16:$F$25,6,FALSE)))</f>
        <v>0</v>
      </c>
      <c r="L115" s="1" t="str">
        <f>IF(ISERROR(VLOOKUP(A115,'11. TransferExport'!A:A,1,FALSE)),"N","Y")</f>
        <v>N</v>
      </c>
      <c r="M115" s="1" t="str">
        <f>IF(ISERROR(VLOOKUP(A115,'11. TransferExport'!B:B,1,FALSE)),"N","Y")</f>
        <v>N</v>
      </c>
      <c r="N115">
        <f>IF(L115="Y",-SUMIF('11. TransferExport'!A:A,A115,'11. TransferExport'!D:D),IF(M115="Y",SUMIF('11. TransferExport'!B:B,A115,'11. TransferExport'!D:D),0))</f>
        <v>0</v>
      </c>
      <c r="O115">
        <f>IF(L115="Y",-SUMIF('11. TransferExport'!A:A,A115,'11. TransferExport'!E:E),IF(M115="Y",SUMIF('11. TransferExport'!B:B,A115,'11. TransferExport'!E:E),0))</f>
        <v>0</v>
      </c>
      <c r="P115">
        <f>IF(L115="Y",-SUMIF('11. TransferExport'!A:A,A115,'11. TransferExport'!F:F),IF(M115="Y",SUMIF('11. TransferExport'!B:B,A115,'11. TransferExport'!F:F),0))</f>
        <v>0</v>
      </c>
      <c r="Q115">
        <f>IF(L115="Y",-SUMIF('11. TransferExport'!A:A,A115,'11. TransferExport'!G:G),IF(M115="Y",SUMIF('11. TransferExport'!B:B,A115,'11. TransferExport'!G:G),0))</f>
        <v>0</v>
      </c>
      <c r="R115" s="91">
        <f t="shared" si="21"/>
        <v>0</v>
      </c>
      <c r="S115">
        <f>IF(L115="Y",-SUMIF('11. TransferExport'!$A:$A,$A115,'11. TransferExport'!L:L),IF(M115="Y",SUMIF('11. TransferExport'!$B:$B,$A115,'11. TransferExport'!L:L),0))</f>
        <v>0</v>
      </c>
      <c r="T115">
        <f>IF($L115="Y",-SUMIF('11. TransferExport'!$A:$A,$A115,'11. TransferExport'!M:M),IF($M115="Y",SUMIF('11. TransferExport'!$B:$B,$A115,'11. TransferExport'!M:M),0))</f>
        <v>0</v>
      </c>
      <c r="U115">
        <f>IF($L115="Y",-SUMIF('11. TransferExport'!$A:$A,$A115,'11. TransferExport'!N:N),IF($M115="Y",SUMIF('11. TransferExport'!$B:$B,$A115,'11. TransferExport'!N:N),0))</f>
        <v>0</v>
      </c>
      <c r="V115">
        <f>IF($L115="Y",-SUMIF('11. TransferExport'!$A:$A,$A115,'11. TransferExport'!O:O),IF($M115="Y",SUMIF('11. TransferExport'!$B:$B,$A115,'11. TransferExport'!O:O),0))</f>
        <v>0</v>
      </c>
      <c r="W115" s="90">
        <f t="shared" si="22"/>
        <v>0</v>
      </c>
      <c r="X115" s="90">
        <f t="shared" si="23"/>
        <v>0</v>
      </c>
      <c r="Y115" s="90">
        <f t="shared" si="24"/>
        <v>0</v>
      </c>
      <c r="Z115" s="90">
        <f t="shared" si="25"/>
        <v>0</v>
      </c>
      <c r="AA115" s="91">
        <f t="shared" si="26"/>
        <v>0</v>
      </c>
      <c r="AB115" s="96">
        <f>VLOOKUP(A115,'8. Demand data categorization'!A:N,3,FALSE)</f>
        <v>12</v>
      </c>
      <c r="AC115" s="95" t="str">
        <f>VLOOKUP(A115,'8. Demand data categorization'!A:N,14,FALSE)</f>
        <v>Y</v>
      </c>
      <c r="AD115" t="str">
        <f t="shared" si="27"/>
        <v>Giving</v>
      </c>
    </row>
    <row r="116" spans="1:30" x14ac:dyDescent="0.25">
      <c r="A116" s="107" t="s">
        <v>102</v>
      </c>
      <c r="B116" t="str">
        <f>IF(ISERROR(VLOOKUP(A116, '8. Demand data categorization'!A:M,13,FALSE)),"ERROR",IF((VLOOKUP(A116, '8. Demand data categorization'!A:M,13,FALSE))="-","Riparian",IF(OR(VLOOKUP(A116, '8. Demand data categorization'!A:M,13,FALSE)="1971-1990",VLOOKUP(A116, '8. Demand data categorization'!A:M,13,FALSE)="1991-Present"),"1971-Present",VLOOKUP(A116, '8. Demand data categorization'!A:M,13,FALSE))))</f>
        <v>1971-Present</v>
      </c>
      <c r="C116" s="84" t="str">
        <f>VLOOKUP(A116,'12. eWRIMS_Export'!A:K,7,FALSE)</f>
        <v>STUHLMULLER VINEYARD PROPERTIES CALIF LIMITED PARTNERSHIP</v>
      </c>
      <c r="D116">
        <f>VLOOKUP(A116,'8. Demand data categorization'!A:AJ,30,FALSE)</f>
        <v>2.5299999999999998</v>
      </c>
      <c r="E116">
        <f>VLOOKUP(A116,'8. Demand data categorization'!A:AJ,31,FALSE)</f>
        <v>5.43</v>
      </c>
      <c r="F116">
        <f>VLOOKUP(A116,'8. Demand data categorization'!A:AJ,32,FALSE)</f>
        <v>7.5</v>
      </c>
      <c r="G116" s="84">
        <f>VLOOKUP(A116,'8. Demand data categorization'!A:AJ,33,FALSE)</f>
        <v>2.4300000000000002</v>
      </c>
      <c r="H116" s="80">
        <f>IF(ISERROR(VLOOKUP($A116,'8. Demand data categorization'!$A:$AV,30,FALSE)),0,(VLOOKUP($A116,'8. Demand data categorization'!$A:$AV,30,FALSE))*(1-VLOOKUP($B116,'2. Forbearance thresholds'!$A$16:$F$25,3,FALSE)))</f>
        <v>2.2769999999999997</v>
      </c>
      <c r="I116" s="80">
        <f>IF(ISERROR(VLOOKUP($A116,'8. Demand data categorization'!$A:$AV,31,FALSE)),0,(VLOOKUP($A116,'8. Demand data categorization'!$A:$AV,31,FALSE))*(1-VLOOKUP($B116,'2. Forbearance thresholds'!$A$16:$F$25,4,FALSE)))</f>
        <v>0.15522355194157889</v>
      </c>
      <c r="J116" s="80">
        <f>IF(ISERROR(VLOOKUP($A116,'8. Demand data categorization'!$A:$AV,32,FALSE)),0,(VLOOKUP($A116,'8. Demand data categorization'!$A:$AV,32,FALSE))*(1-VLOOKUP($B116,'2. Forbearance thresholds'!$A$16:$F$25,5,FALSE)))</f>
        <v>0</v>
      </c>
      <c r="K116" s="89">
        <f>IF(ISERROR(VLOOKUP($A116,'8. Demand data categorization'!$A:$AV,33,FALSE)),0,(VLOOKUP($A116,'8. Demand data categorization'!$A:$AV,33,FALSE))*(1-VLOOKUP($B116,'2. Forbearance thresholds'!$A$16:$F$25,6,FALSE)))</f>
        <v>0</v>
      </c>
      <c r="L116" s="1" t="str">
        <f>IF(ISERROR(VLOOKUP(A116,'11. TransferExport'!A:A,1,FALSE)),"N","Y")</f>
        <v>N</v>
      </c>
      <c r="M116" s="1" t="str">
        <f>IF(ISERROR(VLOOKUP(A116,'11. TransferExport'!B:B,1,FALSE)),"N","Y")</f>
        <v>N</v>
      </c>
      <c r="N116">
        <f>IF(L116="Y",-SUMIF('11. TransferExport'!A:A,A116,'11. TransferExport'!D:D),IF(M116="Y",SUMIF('11. TransferExport'!B:B,A116,'11. TransferExport'!D:D),0))</f>
        <v>0</v>
      </c>
      <c r="O116">
        <f>IF(L116="Y",-SUMIF('11. TransferExport'!A:A,A116,'11. TransferExport'!E:E),IF(M116="Y",SUMIF('11. TransferExport'!B:B,A116,'11. TransferExport'!E:E),0))</f>
        <v>0</v>
      </c>
      <c r="P116">
        <f>IF(L116="Y",-SUMIF('11. TransferExport'!A:A,A116,'11. TransferExport'!F:F),IF(M116="Y",SUMIF('11. TransferExport'!B:B,A116,'11. TransferExport'!F:F),0))</f>
        <v>0</v>
      </c>
      <c r="Q116">
        <f>IF(L116="Y",-SUMIF('11. TransferExport'!A:A,A116,'11. TransferExport'!G:G),IF(M116="Y",SUMIF('11. TransferExport'!B:B,A116,'11. TransferExport'!G:G),0))</f>
        <v>0</v>
      </c>
      <c r="R116" s="91">
        <f t="shared" si="21"/>
        <v>2.4322235519415787</v>
      </c>
      <c r="S116">
        <f>IF(L116="Y",-SUMIF('11. TransferExport'!$A:$A,$A116,'11. TransferExport'!L:L),IF(M116="Y",SUMIF('11. TransferExport'!$B:$B,$A116,'11. TransferExport'!L:L),0))</f>
        <v>0</v>
      </c>
      <c r="T116">
        <f>IF($L116="Y",-SUMIF('11. TransferExport'!$A:$A,$A116,'11. TransferExport'!M:M),IF($M116="Y",SUMIF('11. TransferExport'!$B:$B,$A116,'11. TransferExport'!M:M),0))</f>
        <v>0</v>
      </c>
      <c r="U116">
        <f>IF($L116="Y",-SUMIF('11. TransferExport'!$A:$A,$A116,'11. TransferExport'!N:N),IF($M116="Y",SUMIF('11. TransferExport'!$B:$B,$A116,'11. TransferExport'!N:N),0))</f>
        <v>0</v>
      </c>
      <c r="V116">
        <f>IF($L116="Y",-SUMIF('11. TransferExport'!$A:$A,$A116,'11. TransferExport'!O:O),IF($M116="Y",SUMIF('11. TransferExport'!$B:$B,$A116,'11. TransferExport'!O:O),0))</f>
        <v>0</v>
      </c>
      <c r="W116" s="90">
        <f t="shared" si="22"/>
        <v>2.4322235519415787</v>
      </c>
      <c r="X116" s="90">
        <f t="shared" si="23"/>
        <v>2.2769999999999997</v>
      </c>
      <c r="Y116" s="90">
        <f t="shared" si="24"/>
        <v>0.15522355194157889</v>
      </c>
      <c r="Z116" s="90">
        <f t="shared" si="25"/>
        <v>0</v>
      </c>
      <c r="AA116" s="91">
        <f t="shared" si="26"/>
        <v>0</v>
      </c>
      <c r="AB116" s="96">
        <f>VLOOKUP(A116,'8. Demand data categorization'!A:N,3,FALSE)</f>
        <v>12</v>
      </c>
      <c r="AC116" s="95" t="str">
        <f>VLOOKUP(A116,'8. Demand data categorization'!A:N,14,FALSE)</f>
        <v>Y</v>
      </c>
      <c r="AD116" t="str">
        <f t="shared" si="27"/>
        <v>Giving</v>
      </c>
    </row>
    <row r="117" spans="1:30" x14ac:dyDescent="0.25">
      <c r="A117" s="107" t="s">
        <v>50</v>
      </c>
      <c r="B117" t="str">
        <f>IF(ISERROR(VLOOKUP(A117, '8. Demand data categorization'!A:M,13,FALSE)),"ERROR",IF((VLOOKUP(A117, '8. Demand data categorization'!A:M,13,FALSE))="-","Riparian",IF(OR(VLOOKUP(A117, '8. Demand data categorization'!A:M,13,FALSE)="1971-1990",VLOOKUP(A117, '8. Demand data categorization'!A:M,13,FALSE)="1991-Present"),"1971-Present",VLOOKUP(A117, '8. Demand data categorization'!A:M,13,FALSE))))</f>
        <v>1971-Present</v>
      </c>
      <c r="C117" s="84" t="str">
        <f>VLOOKUP(A117,'12. eWRIMS_Export'!A:K,7,FALSE)</f>
        <v>SUTTER HOME WINERY INC</v>
      </c>
      <c r="D117">
        <f>VLOOKUP(A117,'8. Demand data categorization'!A:AJ,30,FALSE)</f>
        <v>0</v>
      </c>
      <c r="E117">
        <f>VLOOKUP(A117,'8. Demand data categorization'!A:AJ,31,FALSE)</f>
        <v>0</v>
      </c>
      <c r="F117">
        <f>VLOOKUP(A117,'8. Demand data categorization'!A:AJ,32,FALSE)</f>
        <v>0</v>
      </c>
      <c r="G117" s="84">
        <f>VLOOKUP(A117,'8. Demand data categorization'!A:AJ,33,FALSE)</f>
        <v>3.333333E-3</v>
      </c>
      <c r="H117" s="80">
        <f>IF(ISERROR(VLOOKUP($A117,'8. Demand data categorization'!$A:$AV,30,FALSE)),0,(VLOOKUP($A117,'8. Demand data categorization'!$A:$AV,30,FALSE))*(1-VLOOKUP($B117,'2. Forbearance thresholds'!$A$16:$F$25,3,FALSE)))</f>
        <v>0</v>
      </c>
      <c r="I117" s="80">
        <f>IF(ISERROR(VLOOKUP($A117,'8. Demand data categorization'!$A:$AV,31,FALSE)),0,(VLOOKUP($A117,'8. Demand data categorization'!$A:$AV,31,FALSE))*(1-VLOOKUP($B117,'2. Forbearance thresholds'!$A$16:$F$25,4,FALSE)))</f>
        <v>0</v>
      </c>
      <c r="J117" s="80">
        <f>IF(ISERROR(VLOOKUP($A117,'8. Demand data categorization'!$A:$AV,32,FALSE)),0,(VLOOKUP($A117,'8. Demand data categorization'!$A:$AV,32,FALSE))*(1-VLOOKUP($B117,'2. Forbearance thresholds'!$A$16:$F$25,5,FALSE)))</f>
        <v>0</v>
      </c>
      <c r="K117" s="89">
        <f>IF(ISERROR(VLOOKUP($A117,'8. Demand data categorization'!$A:$AV,33,FALSE)),0,(VLOOKUP($A117,'8. Demand data categorization'!$A:$AV,33,FALSE))*(1-VLOOKUP($B117,'2. Forbearance thresholds'!$A$16:$F$25,6,FALSE)))</f>
        <v>0</v>
      </c>
      <c r="L117" s="1" t="str">
        <f>IF(ISERROR(VLOOKUP(A117,'11. TransferExport'!A:A,1,FALSE)),"N","Y")</f>
        <v>N</v>
      </c>
      <c r="M117" s="1" t="str">
        <f>IF(ISERROR(VLOOKUP(A117,'11. TransferExport'!B:B,1,FALSE)),"N","Y")</f>
        <v>N</v>
      </c>
      <c r="N117">
        <f>IF(L117="Y",-SUMIF('11. TransferExport'!A:A,A117,'11. TransferExport'!D:D),IF(M117="Y",SUMIF('11. TransferExport'!B:B,A117,'11. TransferExport'!D:D),0))</f>
        <v>0</v>
      </c>
      <c r="O117">
        <f>IF(L117="Y",-SUMIF('11. TransferExport'!A:A,A117,'11. TransferExport'!E:E),IF(M117="Y",SUMIF('11. TransferExport'!B:B,A117,'11. TransferExport'!E:E),0))</f>
        <v>0</v>
      </c>
      <c r="P117">
        <f>IF(L117="Y",-SUMIF('11. TransferExport'!A:A,A117,'11. TransferExport'!F:F),IF(M117="Y",SUMIF('11. TransferExport'!B:B,A117,'11. TransferExport'!F:F),0))</f>
        <v>0</v>
      </c>
      <c r="Q117">
        <f>IF(L117="Y",-SUMIF('11. TransferExport'!A:A,A117,'11. TransferExport'!G:G),IF(M117="Y",SUMIF('11. TransferExport'!B:B,A117,'11. TransferExport'!G:G),0))</f>
        <v>0</v>
      </c>
      <c r="R117" s="91">
        <f t="shared" si="21"/>
        <v>0</v>
      </c>
      <c r="S117">
        <f>IF(L117="Y",-SUMIF('11. TransferExport'!$A:$A,$A117,'11. TransferExport'!L:L),IF(M117="Y",SUMIF('11. TransferExport'!$B:$B,$A117,'11. TransferExport'!L:L),0))</f>
        <v>0</v>
      </c>
      <c r="T117">
        <f>IF($L117="Y",-SUMIF('11. TransferExport'!$A:$A,$A117,'11. TransferExport'!M:M),IF($M117="Y",SUMIF('11. TransferExport'!$B:$B,$A117,'11. TransferExport'!M:M),0))</f>
        <v>0</v>
      </c>
      <c r="U117">
        <f>IF($L117="Y",-SUMIF('11. TransferExport'!$A:$A,$A117,'11. TransferExport'!N:N),IF($M117="Y",SUMIF('11. TransferExport'!$B:$B,$A117,'11. TransferExport'!N:N),0))</f>
        <v>0</v>
      </c>
      <c r="V117">
        <f>IF($L117="Y",-SUMIF('11. TransferExport'!$A:$A,$A117,'11. TransferExport'!O:O),IF($M117="Y",SUMIF('11. TransferExport'!$B:$B,$A117,'11. TransferExport'!O:O),0))</f>
        <v>0</v>
      </c>
      <c r="W117" s="90">
        <f t="shared" si="22"/>
        <v>0</v>
      </c>
      <c r="X117" s="90">
        <f t="shared" si="23"/>
        <v>0</v>
      </c>
      <c r="Y117" s="90">
        <f t="shared" si="24"/>
        <v>0</v>
      </c>
      <c r="Z117" s="90">
        <f t="shared" si="25"/>
        <v>0</v>
      </c>
      <c r="AA117" s="91">
        <f t="shared" si="26"/>
        <v>0</v>
      </c>
      <c r="AB117" s="96">
        <f>VLOOKUP(A117,'8. Demand data categorization'!A:N,3,FALSE)</f>
        <v>9</v>
      </c>
      <c r="AC117" s="95" t="str">
        <f>VLOOKUP(A117,'8. Demand data categorization'!A:N,14,FALSE)</f>
        <v>Y</v>
      </c>
      <c r="AD117" t="str">
        <f t="shared" si="27"/>
        <v>Giving</v>
      </c>
    </row>
    <row r="118" spans="1:30" x14ac:dyDescent="0.25">
      <c r="A118" s="107" t="s">
        <v>129</v>
      </c>
      <c r="B118" t="str">
        <f>IF(ISERROR(VLOOKUP(A118, '8. Demand data categorization'!A:M,13,FALSE)),"ERROR",IF((VLOOKUP(A118, '8. Demand data categorization'!A:M,13,FALSE))="-","Riparian",IF(OR(VLOOKUP(A118, '8. Demand data categorization'!A:M,13,FALSE)="1971-1990",VLOOKUP(A118, '8. Demand data categorization'!A:M,13,FALSE)="1991-Present"),"1971-Present",VLOOKUP(A118, '8. Demand data categorization'!A:M,13,FALSE))))</f>
        <v>Riparian</v>
      </c>
      <c r="C118" s="84" t="str">
        <f>VLOOKUP(A118,'12. eWRIMS_Export'!A:K,7,FALSE)</f>
        <v>SUTTER HOME WINERY INC</v>
      </c>
      <c r="D118">
        <f>VLOOKUP(A118,'8. Demand data categorization'!A:AJ,30,FALSE)</f>
        <v>0</v>
      </c>
      <c r="E118">
        <f>VLOOKUP(A118,'8. Demand data categorization'!A:AJ,31,FALSE)</f>
        <v>0</v>
      </c>
      <c r="F118">
        <f>VLOOKUP(A118,'8. Demand data categorization'!A:AJ,32,FALSE)</f>
        <v>0</v>
      </c>
      <c r="G118" s="84">
        <f>VLOOKUP(A118,'8. Demand data categorization'!A:AJ,33,FALSE)</f>
        <v>0</v>
      </c>
      <c r="H118" s="80">
        <f>IF(ISERROR(VLOOKUP($A118,'8. Demand data categorization'!$A:$AV,30,FALSE)),0,(VLOOKUP($A118,'8. Demand data categorization'!$A:$AV,30,FALSE))*(1-VLOOKUP($B118,'2. Forbearance thresholds'!$A$16:$F$25,3,FALSE)))</f>
        <v>0</v>
      </c>
      <c r="I118" s="80">
        <f>IF(ISERROR(VLOOKUP($A118,'8. Demand data categorization'!$A:$AV,31,FALSE)),0,(VLOOKUP($A118,'8. Demand data categorization'!$A:$AV,31,FALSE))*(1-VLOOKUP($B118,'2. Forbearance thresholds'!$A$16:$F$25,4,FALSE)))</f>
        <v>0</v>
      </c>
      <c r="J118" s="80">
        <f>IF(ISERROR(VLOOKUP($A118,'8. Demand data categorization'!$A:$AV,32,FALSE)),0,(VLOOKUP($A118,'8. Demand data categorization'!$A:$AV,32,FALSE))*(1-VLOOKUP($B118,'2. Forbearance thresholds'!$A$16:$F$25,5,FALSE)))</f>
        <v>0</v>
      </c>
      <c r="K118" s="89">
        <f>IF(ISERROR(VLOOKUP($A118,'8. Demand data categorization'!$A:$AV,33,FALSE)),0,(VLOOKUP($A118,'8. Demand data categorization'!$A:$AV,33,FALSE))*(1-VLOOKUP($B118,'2. Forbearance thresholds'!$A$16:$F$25,6,FALSE)))</f>
        <v>0</v>
      </c>
      <c r="L118" s="1" t="str">
        <f>IF(ISERROR(VLOOKUP(A118,'11. TransferExport'!A:A,1,FALSE)),"N","Y")</f>
        <v>N</v>
      </c>
      <c r="M118" s="1" t="str">
        <f>IF(ISERROR(VLOOKUP(A118,'11. TransferExport'!B:B,1,FALSE)),"N","Y")</f>
        <v>N</v>
      </c>
      <c r="N118">
        <f>IF(L118="Y",-SUMIF('11. TransferExport'!A:A,A118,'11. TransferExport'!D:D),IF(M118="Y",SUMIF('11. TransferExport'!B:B,A118,'11. TransferExport'!D:D),0))</f>
        <v>0</v>
      </c>
      <c r="O118">
        <f>IF(L118="Y",-SUMIF('11. TransferExport'!A:A,A118,'11. TransferExport'!E:E),IF(M118="Y",SUMIF('11. TransferExport'!B:B,A118,'11. TransferExport'!E:E),0))</f>
        <v>0</v>
      </c>
      <c r="P118">
        <f>IF(L118="Y",-SUMIF('11. TransferExport'!A:A,A118,'11. TransferExport'!F:F),IF(M118="Y",SUMIF('11. TransferExport'!B:B,A118,'11. TransferExport'!F:F),0))</f>
        <v>0</v>
      </c>
      <c r="Q118">
        <f>IF(L118="Y",-SUMIF('11. TransferExport'!A:A,A118,'11. TransferExport'!G:G),IF(M118="Y",SUMIF('11. TransferExport'!B:B,A118,'11. TransferExport'!G:G),0))</f>
        <v>0</v>
      </c>
      <c r="R118" s="91">
        <f t="shared" si="21"/>
        <v>0</v>
      </c>
      <c r="S118">
        <f>IF(L118="Y",-SUMIF('11. TransferExport'!$A:$A,$A118,'11. TransferExport'!L:L),IF(M118="Y",SUMIF('11. TransferExport'!$B:$B,$A118,'11. TransferExport'!L:L),0))</f>
        <v>0</v>
      </c>
      <c r="T118">
        <f>IF($L118="Y",-SUMIF('11. TransferExport'!$A:$A,$A118,'11. TransferExport'!M:M),IF($M118="Y",SUMIF('11. TransferExport'!$B:$B,$A118,'11. TransferExport'!M:M),0))</f>
        <v>0</v>
      </c>
      <c r="U118">
        <f>IF($L118="Y",-SUMIF('11. TransferExport'!$A:$A,$A118,'11. TransferExport'!N:N),IF($M118="Y",SUMIF('11. TransferExport'!$B:$B,$A118,'11. TransferExport'!N:N),0))</f>
        <v>0</v>
      </c>
      <c r="V118">
        <f>IF($L118="Y",-SUMIF('11. TransferExport'!$A:$A,$A118,'11. TransferExport'!O:O),IF($M118="Y",SUMIF('11. TransferExport'!$B:$B,$A118,'11. TransferExport'!O:O),0))</f>
        <v>0</v>
      </c>
      <c r="W118" s="90">
        <f t="shared" si="22"/>
        <v>0</v>
      </c>
      <c r="X118" s="90">
        <f t="shared" si="23"/>
        <v>0</v>
      </c>
      <c r="Y118" s="90">
        <f t="shared" si="24"/>
        <v>0</v>
      </c>
      <c r="Z118" s="90">
        <f t="shared" si="25"/>
        <v>0</v>
      </c>
      <c r="AA118" s="91">
        <f t="shared" si="26"/>
        <v>0</v>
      </c>
      <c r="AB118" s="96">
        <f>VLOOKUP(A118,'8. Demand data categorization'!A:N,3,FALSE)</f>
        <v>9</v>
      </c>
      <c r="AC118" s="95" t="str">
        <f>VLOOKUP(A118,'8. Demand data categorization'!A:N,14,FALSE)</f>
        <v>Y</v>
      </c>
      <c r="AD118" t="str">
        <f t="shared" si="27"/>
        <v>Taking</v>
      </c>
    </row>
    <row r="119" spans="1:30" x14ac:dyDescent="0.25">
      <c r="A119" s="107" t="s">
        <v>130</v>
      </c>
      <c r="B119" t="str">
        <f>IF(ISERROR(VLOOKUP(A119, '8. Demand data categorization'!A:M,13,FALSE)),"ERROR",IF((VLOOKUP(A119, '8. Demand data categorization'!A:M,13,FALSE))="-","Riparian",IF(OR(VLOOKUP(A119, '8. Demand data categorization'!A:M,13,FALSE)="1971-1990",VLOOKUP(A119, '8. Demand data categorization'!A:M,13,FALSE)="1991-Present"),"1971-Present",VLOOKUP(A119, '8. Demand data categorization'!A:M,13,FALSE))))</f>
        <v>Pre-1949 + 1949</v>
      </c>
      <c r="C119" s="84" t="str">
        <f>VLOOKUP(A119,'12. eWRIMS_Export'!A:K,7,FALSE)</f>
        <v>SUTTER HOME WINERY INC</v>
      </c>
      <c r="D119">
        <f>VLOOKUP(A119,'8. Demand data categorization'!A:AJ,30,FALSE)</f>
        <v>0.26</v>
      </c>
      <c r="E119">
        <f>VLOOKUP(A119,'8. Demand data categorization'!A:AJ,31,FALSE)</f>
        <v>3.26</v>
      </c>
      <c r="F119">
        <f>VLOOKUP(A119,'8. Demand data categorization'!A:AJ,32,FALSE)</f>
        <v>2.13</v>
      </c>
      <c r="G119" s="84">
        <f>VLOOKUP(A119,'8. Demand data categorization'!A:AJ,33,FALSE)</f>
        <v>0</v>
      </c>
      <c r="H119" s="80">
        <f>IF(ISERROR(VLOOKUP($A119,'8. Demand data categorization'!$A:$AV,30,FALSE)),0,(VLOOKUP($A119,'8. Demand data categorization'!$A:$AV,30,FALSE))*(1-VLOOKUP($B119,'2. Forbearance thresholds'!$A$16:$F$25,3,FALSE)))</f>
        <v>0.26</v>
      </c>
      <c r="I119" s="80">
        <f>IF(ISERROR(VLOOKUP($A119,'8. Demand data categorization'!$A:$AV,31,FALSE)),0,(VLOOKUP($A119,'8. Demand data categorization'!$A:$AV,31,FALSE))*(1-VLOOKUP($B119,'2. Forbearance thresholds'!$A$16:$F$25,4,FALSE)))</f>
        <v>9.3191303743931336E-2</v>
      </c>
      <c r="J119" s="80">
        <f>IF(ISERROR(VLOOKUP($A119,'8. Demand data categorization'!$A:$AV,32,FALSE)),0,(VLOOKUP($A119,'8. Demand data categorization'!$A:$AV,32,FALSE))*(1-VLOOKUP($B119,'2. Forbearance thresholds'!$A$16:$F$25,5,FALSE)))</f>
        <v>0</v>
      </c>
      <c r="K119" s="89">
        <f>IF(ISERROR(VLOOKUP($A119,'8. Demand data categorization'!$A:$AV,33,FALSE)),0,(VLOOKUP($A119,'8. Demand data categorization'!$A:$AV,33,FALSE))*(1-VLOOKUP($B119,'2. Forbearance thresholds'!$A$16:$F$25,6,FALSE)))</f>
        <v>0</v>
      </c>
      <c r="L119" s="1" t="str">
        <f>IF(ISERROR(VLOOKUP(A119,'11. TransferExport'!A:A,1,FALSE)),"N","Y")</f>
        <v>N</v>
      </c>
      <c r="M119" s="1" t="str">
        <f>IF(ISERROR(VLOOKUP(A119,'11. TransferExport'!B:B,1,FALSE)),"N","Y")</f>
        <v>N</v>
      </c>
      <c r="N119">
        <f>IF(L119="Y",-SUMIF('11. TransferExport'!A:A,A119,'11. TransferExport'!D:D),IF(M119="Y",SUMIF('11. TransferExport'!B:B,A119,'11. TransferExport'!D:D),0))</f>
        <v>0</v>
      </c>
      <c r="O119">
        <f>IF(L119="Y",-SUMIF('11. TransferExport'!A:A,A119,'11. TransferExport'!E:E),IF(M119="Y",SUMIF('11. TransferExport'!B:B,A119,'11. TransferExport'!E:E),0))</f>
        <v>0</v>
      </c>
      <c r="P119">
        <f>IF(L119="Y",-SUMIF('11. TransferExport'!A:A,A119,'11. TransferExport'!F:F),IF(M119="Y",SUMIF('11. TransferExport'!B:B,A119,'11. TransferExport'!F:F),0))</f>
        <v>0</v>
      </c>
      <c r="Q119">
        <f>IF(L119="Y",-SUMIF('11. TransferExport'!A:A,A119,'11. TransferExport'!G:G),IF(M119="Y",SUMIF('11. TransferExport'!B:B,A119,'11. TransferExport'!G:G),0))</f>
        <v>0</v>
      </c>
      <c r="R119" s="91">
        <f t="shared" si="21"/>
        <v>0.35319130374393137</v>
      </c>
      <c r="S119">
        <f>IF(L119="Y",-SUMIF('11. TransferExport'!$A:$A,$A119,'11. TransferExport'!L:L),IF(M119="Y",SUMIF('11. TransferExport'!$B:$B,$A119,'11. TransferExport'!L:L),0))</f>
        <v>0</v>
      </c>
      <c r="T119">
        <f>IF($L119="Y",-SUMIF('11. TransferExport'!$A:$A,$A119,'11. TransferExport'!M:M),IF($M119="Y",SUMIF('11. TransferExport'!$B:$B,$A119,'11. TransferExport'!M:M),0))</f>
        <v>0</v>
      </c>
      <c r="U119">
        <f>IF($L119="Y",-SUMIF('11. TransferExport'!$A:$A,$A119,'11. TransferExport'!N:N),IF($M119="Y",SUMIF('11. TransferExport'!$B:$B,$A119,'11. TransferExport'!N:N),0))</f>
        <v>0</v>
      </c>
      <c r="V119">
        <f>IF($L119="Y",-SUMIF('11. TransferExport'!$A:$A,$A119,'11. TransferExport'!O:O),IF($M119="Y",SUMIF('11. TransferExport'!$B:$B,$A119,'11. TransferExport'!O:O),0))</f>
        <v>0</v>
      </c>
      <c r="W119" s="90">
        <f t="shared" si="22"/>
        <v>0.35319130374393137</v>
      </c>
      <c r="X119" s="90">
        <f t="shared" si="23"/>
        <v>0.26</v>
      </c>
      <c r="Y119" s="90">
        <f t="shared" si="24"/>
        <v>9.3191303743931336E-2</v>
      </c>
      <c r="Z119" s="90">
        <f t="shared" si="25"/>
        <v>0</v>
      </c>
      <c r="AA119" s="91">
        <f t="shared" si="26"/>
        <v>0</v>
      </c>
      <c r="AB119" s="96">
        <f>VLOOKUP(A119,'8. Demand data categorization'!A:N,3,FALSE)</f>
        <v>9</v>
      </c>
      <c r="AC119" s="95" t="str">
        <f>VLOOKUP(A119,'8. Demand data categorization'!A:N,14,FALSE)</f>
        <v>Y</v>
      </c>
      <c r="AD119" t="str">
        <f t="shared" si="27"/>
        <v>No Change</v>
      </c>
    </row>
    <row r="120" spans="1:30" x14ac:dyDescent="0.25">
      <c r="A120" s="107" t="s">
        <v>131</v>
      </c>
      <c r="B120" t="str">
        <f>IF(ISERROR(VLOOKUP(A120, '8. Demand data categorization'!A:M,13,FALSE)),"ERROR",IF((VLOOKUP(A120, '8. Demand data categorization'!A:M,13,FALSE))="-","Riparian",IF(OR(VLOOKUP(A120, '8. Demand data categorization'!A:M,13,FALSE)="1971-1990",VLOOKUP(A120, '8. Demand data categorization'!A:M,13,FALSE)="1991-Present"),"1971-Present",VLOOKUP(A120, '8. Demand data categorization'!A:M,13,FALSE))))</f>
        <v>Riparian</v>
      </c>
      <c r="C120" s="84" t="str">
        <f>VLOOKUP(A120,'12. eWRIMS_Export'!A:K,7,FALSE)</f>
        <v>SUTTER HOME WINERY INC</v>
      </c>
      <c r="D120">
        <f>VLOOKUP(A120,'8. Demand data categorization'!A:AJ,30,FALSE)</f>
        <v>0</v>
      </c>
      <c r="E120">
        <f>VLOOKUP(A120,'8. Demand data categorization'!A:AJ,31,FALSE)</f>
        <v>0</v>
      </c>
      <c r="F120">
        <f>VLOOKUP(A120,'8. Demand data categorization'!A:AJ,32,FALSE)</f>
        <v>0</v>
      </c>
      <c r="G120" s="84">
        <f>VLOOKUP(A120,'8. Demand data categorization'!A:AJ,33,FALSE)</f>
        <v>0.2</v>
      </c>
      <c r="H120" s="80">
        <f>IF(ISERROR(VLOOKUP($A120,'8. Demand data categorization'!$A:$AV,30,FALSE)),0,(VLOOKUP($A120,'8. Demand data categorization'!$A:$AV,30,FALSE))*(1-VLOOKUP($B120,'2. Forbearance thresholds'!$A$16:$F$25,3,FALSE)))</f>
        <v>0</v>
      </c>
      <c r="I120" s="80">
        <f>IF(ISERROR(VLOOKUP($A120,'8. Demand data categorization'!$A:$AV,31,FALSE)),0,(VLOOKUP($A120,'8. Demand data categorization'!$A:$AV,31,FALSE))*(1-VLOOKUP($B120,'2. Forbearance thresholds'!$A$16:$F$25,4,FALSE)))</f>
        <v>0</v>
      </c>
      <c r="J120" s="80">
        <f>IF(ISERROR(VLOOKUP($A120,'8. Demand data categorization'!$A:$AV,32,FALSE)),0,(VLOOKUP($A120,'8. Demand data categorization'!$A:$AV,32,FALSE))*(1-VLOOKUP($B120,'2. Forbearance thresholds'!$A$16:$F$25,5,FALSE)))</f>
        <v>0</v>
      </c>
      <c r="K120" s="89">
        <f>IF(ISERROR(VLOOKUP($A120,'8. Demand data categorization'!$A:$AV,33,FALSE)),0,(VLOOKUP($A120,'8. Demand data categorization'!$A:$AV,33,FALSE))*(1-VLOOKUP($B120,'2. Forbearance thresholds'!$A$16:$F$25,6,FALSE)))</f>
        <v>0</v>
      </c>
      <c r="L120" s="1" t="str">
        <f>IF(ISERROR(VLOOKUP(A120,'11. TransferExport'!A:A,1,FALSE)),"N","Y")</f>
        <v>N</v>
      </c>
      <c r="M120" s="1" t="str">
        <f>IF(ISERROR(VLOOKUP(A120,'11. TransferExport'!B:B,1,FALSE)),"N","Y")</f>
        <v>N</v>
      </c>
      <c r="N120">
        <f>IF(L120="Y",-SUMIF('11. TransferExport'!A:A,A120,'11. TransferExport'!D:D),IF(M120="Y",SUMIF('11. TransferExport'!B:B,A120,'11. TransferExport'!D:D),0))</f>
        <v>0</v>
      </c>
      <c r="O120">
        <f>IF(L120="Y",-SUMIF('11. TransferExport'!A:A,A120,'11. TransferExport'!E:E),IF(M120="Y",SUMIF('11. TransferExport'!B:B,A120,'11. TransferExport'!E:E),0))</f>
        <v>0</v>
      </c>
      <c r="P120">
        <f>IF(L120="Y",-SUMIF('11. TransferExport'!A:A,A120,'11. TransferExport'!F:F),IF(M120="Y",SUMIF('11. TransferExport'!B:B,A120,'11. TransferExport'!F:F),0))</f>
        <v>0</v>
      </c>
      <c r="Q120">
        <f>IF(L120="Y",-SUMIF('11. TransferExport'!A:A,A120,'11. TransferExport'!G:G),IF(M120="Y",SUMIF('11. TransferExport'!B:B,A120,'11. TransferExport'!G:G),0))</f>
        <v>0</v>
      </c>
      <c r="R120" s="91">
        <f t="shared" si="21"/>
        <v>0</v>
      </c>
      <c r="S120">
        <f>IF(L120="Y",-SUMIF('11. TransferExport'!$A:$A,$A120,'11. TransferExport'!L:L),IF(M120="Y",SUMIF('11. TransferExport'!$B:$B,$A120,'11. TransferExport'!L:L),0))</f>
        <v>0</v>
      </c>
      <c r="T120">
        <f>IF($L120="Y",-SUMIF('11. TransferExport'!$A:$A,$A120,'11. TransferExport'!M:M),IF($M120="Y",SUMIF('11. TransferExport'!$B:$B,$A120,'11. TransferExport'!M:M),0))</f>
        <v>0</v>
      </c>
      <c r="U120">
        <f>IF($L120="Y",-SUMIF('11. TransferExport'!$A:$A,$A120,'11. TransferExport'!N:N),IF($M120="Y",SUMIF('11. TransferExport'!$B:$B,$A120,'11. TransferExport'!N:N),0))</f>
        <v>0</v>
      </c>
      <c r="V120">
        <f>IF($L120="Y",-SUMIF('11. TransferExport'!$A:$A,$A120,'11. TransferExport'!O:O),IF($M120="Y",SUMIF('11. TransferExport'!$B:$B,$A120,'11. TransferExport'!O:O),0))</f>
        <v>0</v>
      </c>
      <c r="W120" s="90">
        <f t="shared" si="22"/>
        <v>0</v>
      </c>
      <c r="X120" s="90">
        <f t="shared" si="23"/>
        <v>0</v>
      </c>
      <c r="Y120" s="90">
        <f t="shared" si="24"/>
        <v>0</v>
      </c>
      <c r="Z120" s="90">
        <f t="shared" si="25"/>
        <v>0</v>
      </c>
      <c r="AA120" s="91">
        <f t="shared" si="26"/>
        <v>0</v>
      </c>
      <c r="AB120" s="96">
        <f>VLOOKUP(A120,'8. Demand data categorization'!A:N,3,FALSE)</f>
        <v>9</v>
      </c>
      <c r="AC120" s="95" t="str">
        <f>VLOOKUP(A120,'8. Demand data categorization'!A:N,14,FALSE)</f>
        <v>Y</v>
      </c>
      <c r="AD120" t="str">
        <f t="shared" si="27"/>
        <v>Taking</v>
      </c>
    </row>
    <row r="121" spans="1:30" x14ac:dyDescent="0.25">
      <c r="A121" s="107" t="s">
        <v>132</v>
      </c>
      <c r="B121" t="str">
        <f>IF(ISERROR(VLOOKUP(A121, '8. Demand data categorization'!A:M,13,FALSE)),"ERROR",IF((VLOOKUP(A121, '8. Demand data categorization'!A:M,13,FALSE))="-","Riparian",IF(OR(VLOOKUP(A121, '8. Demand data categorization'!A:M,13,FALSE)="1971-1990",VLOOKUP(A121, '8. Demand data categorization'!A:M,13,FALSE)="1991-Present"),"1971-Present",VLOOKUP(A121, '8. Demand data categorization'!A:M,13,FALSE))))</f>
        <v>Riparian</v>
      </c>
      <c r="C121" s="84" t="str">
        <f>VLOOKUP(A121,'12. eWRIMS_Export'!A:K,7,FALSE)</f>
        <v>SUTTER HOME WINERY INC</v>
      </c>
      <c r="D121">
        <f>VLOOKUP(A121,'8. Demand data categorization'!A:AJ,30,FALSE)</f>
        <v>3.8</v>
      </c>
      <c r="E121">
        <f>VLOOKUP(A121,'8. Demand data categorization'!A:AJ,31,FALSE)</f>
        <v>6.2</v>
      </c>
      <c r="F121">
        <f>VLOOKUP(A121,'8. Demand data categorization'!A:AJ,32,FALSE)</f>
        <v>3.33</v>
      </c>
      <c r="G121" s="84">
        <f>VLOOKUP(A121,'8. Demand data categorization'!A:AJ,33,FALSE)</f>
        <v>0.36</v>
      </c>
      <c r="H121" s="80">
        <f>IF(ISERROR(VLOOKUP($A121,'8. Demand data categorization'!$A:$AV,30,FALSE)),0,(VLOOKUP($A121,'8. Demand data categorization'!$A:$AV,30,FALSE))*(1-VLOOKUP($B121,'2. Forbearance thresholds'!$A$16:$F$25,3,FALSE)))</f>
        <v>2.9111033864095086</v>
      </c>
      <c r="I121" s="80">
        <f>IF(ISERROR(VLOOKUP($A121,'8. Demand data categorization'!$A:$AV,31,FALSE)),0,(VLOOKUP($A121,'8. Demand data categorization'!$A:$AV,31,FALSE))*(1-VLOOKUP($B121,'2. Forbearance thresholds'!$A$16:$F$25,4,FALSE)))</f>
        <v>0.17723499485042157</v>
      </c>
      <c r="J121" s="80">
        <f>IF(ISERROR(VLOOKUP($A121,'8. Demand data categorization'!$A:$AV,32,FALSE)),0,(VLOOKUP($A121,'8. Demand data categorization'!$A:$AV,32,FALSE))*(1-VLOOKUP($B121,'2. Forbearance thresholds'!$A$16:$F$25,5,FALSE)))</f>
        <v>0</v>
      </c>
      <c r="K121" s="89">
        <f>IF(ISERROR(VLOOKUP($A121,'8. Demand data categorization'!$A:$AV,33,FALSE)),0,(VLOOKUP($A121,'8. Demand data categorization'!$A:$AV,33,FALSE))*(1-VLOOKUP($B121,'2. Forbearance thresholds'!$A$16:$F$25,6,FALSE)))</f>
        <v>0</v>
      </c>
      <c r="L121" s="1" t="str">
        <f>IF(ISERROR(VLOOKUP(A121,'11. TransferExport'!A:A,1,FALSE)),"N","Y")</f>
        <v>N</v>
      </c>
      <c r="M121" s="1" t="str">
        <f>IF(ISERROR(VLOOKUP(A121,'11. TransferExport'!B:B,1,FALSE)),"N","Y")</f>
        <v>N</v>
      </c>
      <c r="N121">
        <f>IF(L121="Y",-SUMIF('11. TransferExport'!A:A,A121,'11. TransferExport'!D:D),IF(M121="Y",SUMIF('11. TransferExport'!B:B,A121,'11. TransferExport'!D:D),0))</f>
        <v>0</v>
      </c>
      <c r="O121">
        <f>IF(L121="Y",-SUMIF('11. TransferExport'!A:A,A121,'11. TransferExport'!E:E),IF(M121="Y",SUMIF('11. TransferExport'!B:B,A121,'11. TransferExport'!E:E),0))</f>
        <v>0</v>
      </c>
      <c r="P121">
        <f>IF(L121="Y",-SUMIF('11. TransferExport'!A:A,A121,'11. TransferExport'!F:F),IF(M121="Y",SUMIF('11. TransferExport'!B:B,A121,'11. TransferExport'!F:F),0))</f>
        <v>0</v>
      </c>
      <c r="Q121">
        <f>IF(L121="Y",-SUMIF('11. TransferExport'!A:A,A121,'11. TransferExport'!G:G),IF(M121="Y",SUMIF('11. TransferExport'!B:B,A121,'11. TransferExport'!G:G),0))</f>
        <v>0</v>
      </c>
      <c r="R121" s="91">
        <f t="shared" si="21"/>
        <v>3.0883383812599301</v>
      </c>
      <c r="S121">
        <f>IF(L121="Y",-SUMIF('11. TransferExport'!$A:$A,$A121,'11. TransferExport'!L:L),IF(M121="Y",SUMIF('11. TransferExport'!$B:$B,$A121,'11. TransferExport'!L:L),0))</f>
        <v>0</v>
      </c>
      <c r="T121">
        <f>IF($L121="Y",-SUMIF('11. TransferExport'!$A:$A,$A121,'11. TransferExport'!M:M),IF($M121="Y",SUMIF('11. TransferExport'!$B:$B,$A121,'11. TransferExport'!M:M),0))</f>
        <v>0</v>
      </c>
      <c r="U121">
        <f>IF($L121="Y",-SUMIF('11. TransferExport'!$A:$A,$A121,'11. TransferExport'!N:N),IF($M121="Y",SUMIF('11. TransferExport'!$B:$B,$A121,'11. TransferExport'!N:N),0))</f>
        <v>0</v>
      </c>
      <c r="V121">
        <f>IF($L121="Y",-SUMIF('11. TransferExport'!$A:$A,$A121,'11. TransferExport'!O:O),IF($M121="Y",SUMIF('11. TransferExport'!$B:$B,$A121,'11. TransferExport'!O:O),0))</f>
        <v>0</v>
      </c>
      <c r="W121" s="90">
        <f t="shared" si="22"/>
        <v>3.0883383812599301</v>
      </c>
      <c r="X121" s="90">
        <f t="shared" si="23"/>
        <v>2.9111033864095086</v>
      </c>
      <c r="Y121" s="90">
        <f t="shared" si="24"/>
        <v>0.17723499485042157</v>
      </c>
      <c r="Z121" s="90">
        <f t="shared" si="25"/>
        <v>0</v>
      </c>
      <c r="AA121" s="91">
        <f t="shared" si="26"/>
        <v>0</v>
      </c>
      <c r="AB121" s="96">
        <f>VLOOKUP(A121,'8. Demand data categorization'!A:N,3,FALSE)</f>
        <v>9</v>
      </c>
      <c r="AC121" s="95" t="str">
        <f>VLOOKUP(A121,'8. Demand data categorization'!A:N,14,FALSE)</f>
        <v>Y</v>
      </c>
      <c r="AD121" t="str">
        <f t="shared" si="27"/>
        <v>Taking</v>
      </c>
    </row>
    <row r="122" spans="1:30" x14ac:dyDescent="0.25">
      <c r="A122" s="107" t="s">
        <v>148</v>
      </c>
      <c r="B122" t="str">
        <f>IF(ISERROR(VLOOKUP(A122, '8. Demand data categorization'!A:M,13,FALSE)),"ERROR",IF((VLOOKUP(A122, '8. Demand data categorization'!A:M,13,FALSE))="-","Riparian",IF(OR(VLOOKUP(A122, '8. Demand data categorization'!A:M,13,FALSE)="1971-1990",VLOOKUP(A122, '8. Demand data categorization'!A:M,13,FALSE)="1991-Present"),"1971-Present",VLOOKUP(A122, '8. Demand data categorization'!A:M,13,FALSE))))</f>
        <v>1950-1952</v>
      </c>
      <c r="C122" s="84" t="str">
        <f>VLOOKUP(A122,'12. eWRIMS_Export'!A:K,7,FALSE)</f>
        <v>SUTTER HOME WINERY INC</v>
      </c>
      <c r="D122">
        <f>VLOOKUP(A122,'8. Demand data categorization'!A:AJ,30,FALSE)</f>
        <v>1.2</v>
      </c>
      <c r="E122">
        <f>VLOOKUP(A122,'8. Demand data categorization'!A:AJ,31,FALSE)</f>
        <v>1.86</v>
      </c>
      <c r="F122">
        <f>VLOOKUP(A122,'8. Demand data categorization'!A:AJ,32,FALSE)</f>
        <v>0.53</v>
      </c>
      <c r="G122" s="84">
        <f>VLOOKUP(A122,'8. Demand data categorization'!A:AJ,33,FALSE)</f>
        <v>0.03</v>
      </c>
      <c r="H122" s="80">
        <f>IF(ISERROR(VLOOKUP($A122,'8. Demand data categorization'!$A:$AV,30,FALSE)),0,(VLOOKUP($A122,'8. Demand data categorization'!$A:$AV,30,FALSE))*(1-VLOOKUP($B122,'2. Forbearance thresholds'!$A$16:$F$25,3,FALSE)))</f>
        <v>1.08</v>
      </c>
      <c r="I122" s="80">
        <f>IF(ISERROR(VLOOKUP($A122,'8. Demand data categorization'!$A:$AV,31,FALSE)),0,(VLOOKUP($A122,'8. Demand data categorization'!$A:$AV,31,FALSE))*(1-VLOOKUP($B122,'2. Forbearance thresholds'!$A$16:$F$25,4,FALSE)))</f>
        <v>5.3170498455126475E-2</v>
      </c>
      <c r="J122" s="80">
        <f>IF(ISERROR(VLOOKUP($A122,'8. Demand data categorization'!$A:$AV,32,FALSE)),0,(VLOOKUP($A122,'8. Demand data categorization'!$A:$AV,32,FALSE))*(1-VLOOKUP($B122,'2. Forbearance thresholds'!$A$16:$F$25,5,FALSE)))</f>
        <v>0</v>
      </c>
      <c r="K122" s="89">
        <f>IF(ISERROR(VLOOKUP($A122,'8. Demand data categorization'!$A:$AV,33,FALSE)),0,(VLOOKUP($A122,'8. Demand data categorization'!$A:$AV,33,FALSE))*(1-VLOOKUP($B122,'2. Forbearance thresholds'!$A$16:$F$25,6,FALSE)))</f>
        <v>0</v>
      </c>
      <c r="L122" s="1" t="str">
        <f>IF(ISERROR(VLOOKUP(A122,'11. TransferExport'!A:A,1,FALSE)),"N","Y")</f>
        <v>N</v>
      </c>
      <c r="M122" s="1" t="str">
        <f>IF(ISERROR(VLOOKUP(A122,'11. TransferExport'!B:B,1,FALSE)),"N","Y")</f>
        <v>N</v>
      </c>
      <c r="N122">
        <f>IF(L122="Y",-SUMIF('11. TransferExport'!A:A,A122,'11. TransferExport'!D:D),IF(M122="Y",SUMIF('11. TransferExport'!B:B,A122,'11. TransferExport'!D:D),0))</f>
        <v>0</v>
      </c>
      <c r="O122">
        <f>IF(L122="Y",-SUMIF('11. TransferExport'!A:A,A122,'11. TransferExport'!E:E),IF(M122="Y",SUMIF('11. TransferExport'!B:B,A122,'11. TransferExport'!E:E),0))</f>
        <v>0</v>
      </c>
      <c r="P122">
        <f>IF(L122="Y",-SUMIF('11. TransferExport'!A:A,A122,'11. TransferExport'!F:F),IF(M122="Y",SUMIF('11. TransferExport'!B:B,A122,'11. TransferExport'!F:F),0))</f>
        <v>0</v>
      </c>
      <c r="Q122">
        <f>IF(L122="Y",-SUMIF('11. TransferExport'!A:A,A122,'11. TransferExport'!G:G),IF(M122="Y",SUMIF('11. TransferExport'!B:B,A122,'11. TransferExport'!G:G),0))</f>
        <v>0</v>
      </c>
      <c r="R122" s="91">
        <f t="shared" si="21"/>
        <v>1.1331704984551265</v>
      </c>
      <c r="S122">
        <f>IF(L122="Y",-SUMIF('11. TransferExport'!$A:$A,$A122,'11. TransferExport'!L:L),IF(M122="Y",SUMIF('11. TransferExport'!$B:$B,$A122,'11. TransferExport'!L:L),0))</f>
        <v>0</v>
      </c>
      <c r="T122">
        <f>IF($L122="Y",-SUMIF('11. TransferExport'!$A:$A,$A122,'11. TransferExport'!M:M),IF($M122="Y",SUMIF('11. TransferExport'!$B:$B,$A122,'11. TransferExport'!M:M),0))</f>
        <v>0</v>
      </c>
      <c r="U122">
        <f>IF($L122="Y",-SUMIF('11. TransferExport'!$A:$A,$A122,'11. TransferExport'!N:N),IF($M122="Y",SUMIF('11. TransferExport'!$B:$B,$A122,'11. TransferExport'!N:N),0))</f>
        <v>0</v>
      </c>
      <c r="V122">
        <f>IF($L122="Y",-SUMIF('11. TransferExport'!$A:$A,$A122,'11. TransferExport'!O:O),IF($M122="Y",SUMIF('11. TransferExport'!$B:$B,$A122,'11. TransferExport'!O:O),0))</f>
        <v>0</v>
      </c>
      <c r="W122" s="90">
        <f t="shared" si="22"/>
        <v>1.1331704984551265</v>
      </c>
      <c r="X122" s="90">
        <f t="shared" si="23"/>
        <v>1.08</v>
      </c>
      <c r="Y122" s="90">
        <f t="shared" si="24"/>
        <v>5.3170498455126475E-2</v>
      </c>
      <c r="Z122" s="90">
        <f t="shared" si="25"/>
        <v>0</v>
      </c>
      <c r="AA122" s="91">
        <f t="shared" si="26"/>
        <v>0</v>
      </c>
      <c r="AB122" s="96">
        <f>VLOOKUP(A122,'8. Demand data categorization'!A:N,3,FALSE)</f>
        <v>9</v>
      </c>
      <c r="AC122" s="95" t="str">
        <f>VLOOKUP(A122,'8. Demand data categorization'!A:N,14,FALSE)</f>
        <v>Y</v>
      </c>
      <c r="AD122" t="str">
        <f t="shared" si="27"/>
        <v>Giving</v>
      </c>
    </row>
    <row r="123" spans="1:30" x14ac:dyDescent="0.25">
      <c r="A123" s="107" t="s">
        <v>43</v>
      </c>
      <c r="B123" t="str">
        <f>IF(ISERROR(VLOOKUP(A123, '8. Demand data categorization'!A:M,13,FALSE)),"ERROR",IF((VLOOKUP(A123, '8. Demand data categorization'!A:M,13,FALSE))="-","Riparian",IF(OR(VLOOKUP(A123, '8. Demand data categorization'!A:M,13,FALSE)="1971-1990",VLOOKUP(A123, '8. Demand data categorization'!A:M,13,FALSE)="1991-Present"),"1971-Present",VLOOKUP(A123, '8. Demand data categorization'!A:M,13,FALSE))))</f>
        <v>1960-1970</v>
      </c>
      <c r="C123" s="84" t="str">
        <f>VLOOKUP(A123,'12. eWRIMS_Export'!A:K,7,FALSE)</f>
        <v>Thornhill Vineyard Properties, LLC</v>
      </c>
      <c r="D123">
        <f>VLOOKUP(A123,'8. Demand data categorization'!A:AJ,30,FALSE)</f>
        <v>33.64</v>
      </c>
      <c r="E123">
        <f>VLOOKUP(A123,'8. Demand data categorization'!A:AJ,31,FALSE)</f>
        <v>0</v>
      </c>
      <c r="F123">
        <f>VLOOKUP(A123,'8. Demand data categorization'!A:AJ,32,FALSE)</f>
        <v>0</v>
      </c>
      <c r="G123" s="84">
        <f>VLOOKUP(A123,'8. Demand data categorization'!A:AJ,33,FALSE)</f>
        <v>0</v>
      </c>
      <c r="H123" s="80">
        <f>IF(ISERROR(VLOOKUP($A123,'8. Demand data categorization'!$A:$AV,30,FALSE)),0,(VLOOKUP($A123,'8. Demand data categorization'!$A:$AV,30,FALSE))*(1-VLOOKUP($B123,'2. Forbearance thresholds'!$A$16:$F$25,3,FALSE)))</f>
        <v>30.276</v>
      </c>
      <c r="I123" s="80">
        <f>IF(ISERROR(VLOOKUP($A123,'8. Demand data categorization'!$A:$AV,31,FALSE)),0,(VLOOKUP($A123,'8. Demand data categorization'!$A:$AV,31,FALSE))*(1-VLOOKUP($B123,'2. Forbearance thresholds'!$A$16:$F$25,4,FALSE)))</f>
        <v>0</v>
      </c>
      <c r="J123" s="80">
        <f>IF(ISERROR(VLOOKUP($A123,'8. Demand data categorization'!$A:$AV,32,FALSE)),0,(VLOOKUP($A123,'8. Demand data categorization'!$A:$AV,32,FALSE))*(1-VLOOKUP($B123,'2. Forbearance thresholds'!$A$16:$F$25,5,FALSE)))</f>
        <v>0</v>
      </c>
      <c r="K123" s="89">
        <f>IF(ISERROR(VLOOKUP($A123,'8. Demand data categorization'!$A:$AV,33,FALSE)),0,(VLOOKUP($A123,'8. Demand data categorization'!$A:$AV,33,FALSE))*(1-VLOOKUP($B123,'2. Forbearance thresholds'!$A$16:$F$25,6,FALSE)))</f>
        <v>0</v>
      </c>
      <c r="L123" s="1" t="str">
        <f>IF(ISERROR(VLOOKUP(A123,'11. TransferExport'!A:A,1,FALSE)),"N","Y")</f>
        <v>N</v>
      </c>
      <c r="M123" s="1" t="str">
        <f>IF(ISERROR(VLOOKUP(A123,'11. TransferExport'!B:B,1,FALSE)),"N","Y")</f>
        <v>N</v>
      </c>
      <c r="N123">
        <f>IF(L123="Y",-SUMIF('11. TransferExport'!A:A,A123,'11. TransferExport'!D:D),IF(M123="Y",SUMIF('11. TransferExport'!B:B,A123,'11. TransferExport'!D:D),0))</f>
        <v>0</v>
      </c>
      <c r="O123">
        <f>IF(L123="Y",-SUMIF('11. TransferExport'!A:A,A123,'11. TransferExport'!E:E),IF(M123="Y",SUMIF('11. TransferExport'!B:B,A123,'11. TransferExport'!E:E),0))</f>
        <v>0</v>
      </c>
      <c r="P123">
        <f>IF(L123="Y",-SUMIF('11. TransferExport'!A:A,A123,'11. TransferExport'!F:F),IF(M123="Y",SUMIF('11. TransferExport'!B:B,A123,'11. TransferExport'!F:F),0))</f>
        <v>0</v>
      </c>
      <c r="Q123">
        <f>IF(L123="Y",-SUMIF('11. TransferExport'!A:A,A123,'11. TransferExport'!G:G),IF(M123="Y",SUMIF('11. TransferExport'!B:B,A123,'11. TransferExport'!G:G),0))</f>
        <v>0</v>
      </c>
      <c r="R123" s="91">
        <f t="shared" si="21"/>
        <v>30.276</v>
      </c>
      <c r="S123">
        <f>IF(L123="Y",-SUMIF('11. TransferExport'!$A:$A,$A123,'11. TransferExport'!L:L),IF(M123="Y",SUMIF('11. TransferExport'!$B:$B,$A123,'11. TransferExport'!L:L),0))</f>
        <v>0</v>
      </c>
      <c r="T123">
        <f>IF($L123="Y",-SUMIF('11. TransferExport'!$A:$A,$A123,'11. TransferExport'!M:M),IF($M123="Y",SUMIF('11. TransferExport'!$B:$B,$A123,'11. TransferExport'!M:M),0))</f>
        <v>0</v>
      </c>
      <c r="U123">
        <f>IF($L123="Y",-SUMIF('11. TransferExport'!$A:$A,$A123,'11. TransferExport'!N:N),IF($M123="Y",SUMIF('11. TransferExport'!$B:$B,$A123,'11. TransferExport'!N:N),0))</f>
        <v>0</v>
      </c>
      <c r="V123">
        <f>IF($L123="Y",-SUMIF('11. TransferExport'!$A:$A,$A123,'11. TransferExport'!O:O),IF($M123="Y",SUMIF('11. TransferExport'!$B:$B,$A123,'11. TransferExport'!O:O),0))</f>
        <v>0</v>
      </c>
      <c r="W123" s="90">
        <f t="shared" si="22"/>
        <v>30.276</v>
      </c>
      <c r="X123" s="90">
        <f t="shared" si="23"/>
        <v>30.276</v>
      </c>
      <c r="Y123" s="90">
        <f t="shared" si="24"/>
        <v>0</v>
      </c>
      <c r="Z123" s="90">
        <f t="shared" si="25"/>
        <v>0</v>
      </c>
      <c r="AA123" s="91">
        <f t="shared" si="26"/>
        <v>0</v>
      </c>
      <c r="AB123" s="96">
        <f>VLOOKUP(A123,'8. Demand data categorization'!A:N,3,FALSE)</f>
        <v>5</v>
      </c>
      <c r="AC123" s="95" t="str">
        <f>VLOOKUP(A123,'8. Demand data categorization'!A:N,14,FALSE)</f>
        <v>Y</v>
      </c>
      <c r="AD123" t="str">
        <f t="shared" si="27"/>
        <v>Giving</v>
      </c>
    </row>
    <row r="124" spans="1:30" x14ac:dyDescent="0.25">
      <c r="A124" s="107" t="s">
        <v>78</v>
      </c>
      <c r="B124" t="str">
        <f>IF(ISERROR(VLOOKUP(A124, '8. Demand data categorization'!A:M,13,FALSE)),"ERROR",IF((VLOOKUP(A124, '8. Demand data categorization'!A:M,13,FALSE))="-","Riparian",IF(OR(VLOOKUP(A124, '8. Demand data categorization'!A:M,13,FALSE)="1971-1990",VLOOKUP(A124, '8. Demand data categorization'!A:M,13,FALSE)="1991-Present"),"1971-Present",VLOOKUP(A124, '8. Demand data categorization'!A:M,13,FALSE))))</f>
        <v>1950-1952</v>
      </c>
      <c r="C124" s="84" t="str">
        <f>VLOOKUP(A124,'12. eWRIMS_Export'!A:K,7,FALSE)</f>
        <v>TPWC INC</v>
      </c>
      <c r="D124">
        <f>VLOOKUP(A124,'8. Demand data categorization'!A:AJ,30,FALSE)</f>
        <v>1.43</v>
      </c>
      <c r="E124">
        <f>VLOOKUP(A124,'8. Demand data categorization'!A:AJ,31,FALSE)</f>
        <v>1.46</v>
      </c>
      <c r="F124">
        <f>VLOOKUP(A124,'8. Demand data categorization'!A:AJ,32,FALSE)</f>
        <v>1.43</v>
      </c>
      <c r="G124" s="84">
        <f>VLOOKUP(A124,'8. Demand data categorization'!A:AJ,33,FALSE)</f>
        <v>0.5</v>
      </c>
      <c r="H124" s="80">
        <f>IF(ISERROR(VLOOKUP($A124,'8. Demand data categorization'!$A:$AV,30,FALSE)),0,(VLOOKUP($A124,'8. Demand data categorization'!$A:$AV,30,FALSE))*(1-VLOOKUP($B124,'2. Forbearance thresholds'!$A$16:$F$25,3,FALSE)))</f>
        <v>1.2869999999999999</v>
      </c>
      <c r="I124" s="80">
        <f>IF(ISERROR(VLOOKUP($A124,'8. Demand data categorization'!$A:$AV,31,FALSE)),0,(VLOOKUP($A124,'8. Demand data categorization'!$A:$AV,31,FALSE))*(1-VLOOKUP($B124,'2. Forbearance thresholds'!$A$16:$F$25,4,FALSE)))</f>
        <v>4.173598265832508E-2</v>
      </c>
      <c r="J124" s="80">
        <f>IF(ISERROR(VLOOKUP($A124,'8. Demand data categorization'!$A:$AV,32,FALSE)),0,(VLOOKUP($A124,'8. Demand data categorization'!$A:$AV,32,FALSE))*(1-VLOOKUP($B124,'2. Forbearance thresholds'!$A$16:$F$25,5,FALSE)))</f>
        <v>0</v>
      </c>
      <c r="K124" s="89">
        <f>IF(ISERROR(VLOOKUP($A124,'8. Demand data categorization'!$A:$AV,33,FALSE)),0,(VLOOKUP($A124,'8. Demand data categorization'!$A:$AV,33,FALSE))*(1-VLOOKUP($B124,'2. Forbearance thresholds'!$A$16:$F$25,6,FALSE)))</f>
        <v>0</v>
      </c>
      <c r="L124" s="1" t="str">
        <f>IF(ISERROR(VLOOKUP(A124,'11. TransferExport'!A:A,1,FALSE)),"N","Y")</f>
        <v>N</v>
      </c>
      <c r="M124" s="1" t="str">
        <f>IF(ISERROR(VLOOKUP(A124,'11. TransferExport'!B:B,1,FALSE)),"N","Y")</f>
        <v>N</v>
      </c>
      <c r="N124">
        <f>IF(L124="Y",-SUMIF('11. TransferExport'!A:A,A124,'11. TransferExport'!D:D),IF(M124="Y",SUMIF('11. TransferExport'!B:B,A124,'11. TransferExport'!D:D),0))</f>
        <v>0</v>
      </c>
      <c r="O124">
        <f>IF(L124="Y",-SUMIF('11. TransferExport'!A:A,A124,'11. TransferExport'!E:E),IF(M124="Y",SUMIF('11. TransferExport'!B:B,A124,'11. TransferExport'!E:E),0))</f>
        <v>0</v>
      </c>
      <c r="P124">
        <f>IF(L124="Y",-SUMIF('11. TransferExport'!A:A,A124,'11. TransferExport'!F:F),IF(M124="Y",SUMIF('11. TransferExport'!B:B,A124,'11. TransferExport'!F:F),0))</f>
        <v>0</v>
      </c>
      <c r="Q124">
        <f>IF(L124="Y",-SUMIF('11. TransferExport'!A:A,A124,'11. TransferExport'!G:G),IF(M124="Y",SUMIF('11. TransferExport'!B:B,A124,'11. TransferExport'!G:G),0))</f>
        <v>0</v>
      </c>
      <c r="R124" s="91">
        <f t="shared" si="21"/>
        <v>1.3287359826583249</v>
      </c>
      <c r="S124">
        <f>IF(L124="Y",-SUMIF('11. TransferExport'!$A:$A,$A124,'11. TransferExport'!L:L),IF(M124="Y",SUMIF('11. TransferExport'!$B:$B,$A124,'11. TransferExport'!L:L),0))</f>
        <v>0</v>
      </c>
      <c r="T124">
        <f>IF($L124="Y",-SUMIF('11. TransferExport'!$A:$A,$A124,'11. TransferExport'!M:M),IF($M124="Y",SUMIF('11. TransferExport'!$B:$B,$A124,'11. TransferExport'!M:M),0))</f>
        <v>0</v>
      </c>
      <c r="U124">
        <f>IF($L124="Y",-SUMIF('11. TransferExport'!$A:$A,$A124,'11. TransferExport'!N:N),IF($M124="Y",SUMIF('11. TransferExport'!$B:$B,$A124,'11. TransferExport'!N:N),0))</f>
        <v>0</v>
      </c>
      <c r="V124">
        <f>IF($L124="Y",-SUMIF('11. TransferExport'!$A:$A,$A124,'11. TransferExport'!O:O),IF($M124="Y",SUMIF('11. TransferExport'!$B:$B,$A124,'11. TransferExport'!O:O),0))</f>
        <v>0</v>
      </c>
      <c r="W124" s="90">
        <f t="shared" si="22"/>
        <v>1.3287359826583249</v>
      </c>
      <c r="X124" s="90">
        <f t="shared" si="23"/>
        <v>1.2869999999999999</v>
      </c>
      <c r="Y124" s="90">
        <f t="shared" si="24"/>
        <v>4.173598265832508E-2</v>
      </c>
      <c r="Z124" s="90">
        <f t="shared" si="25"/>
        <v>0</v>
      </c>
      <c r="AA124" s="91">
        <f t="shared" si="26"/>
        <v>0</v>
      </c>
      <c r="AB124" s="96">
        <f>VLOOKUP(A124,'8. Demand data categorization'!A:N,3,FALSE)</f>
        <v>10</v>
      </c>
      <c r="AC124" s="95" t="str">
        <f>VLOOKUP(A124,'8. Demand data categorization'!A:N,14,FALSE)</f>
        <v>Y</v>
      </c>
      <c r="AD124" t="str">
        <f t="shared" si="27"/>
        <v>Giving</v>
      </c>
    </row>
    <row r="125" spans="1:30" x14ac:dyDescent="0.25">
      <c r="A125" s="107" t="s">
        <v>141</v>
      </c>
      <c r="B125" t="str">
        <f>IF(ISERROR(VLOOKUP(A125, '8. Demand data categorization'!A:M,13,FALSE)),"ERROR",IF((VLOOKUP(A125, '8. Demand data categorization'!A:M,13,FALSE))="-","Riparian",IF(OR(VLOOKUP(A125, '8. Demand data categorization'!A:M,13,FALSE)="1971-1990",VLOOKUP(A125, '8. Demand data categorization'!A:M,13,FALSE)="1991-Present"),"1971-Present",VLOOKUP(A125, '8. Demand data categorization'!A:M,13,FALSE))))</f>
        <v>1971-Present</v>
      </c>
      <c r="C125" s="84" t="str">
        <f>VLOOKUP(A125,'12. eWRIMS_Export'!A:K,7,FALSE)</f>
        <v>TPWC INC</v>
      </c>
      <c r="D125">
        <f>VLOOKUP(A125,'8. Demand data categorization'!A:AJ,30,FALSE)</f>
        <v>0.63</v>
      </c>
      <c r="E125">
        <f>VLOOKUP(A125,'8. Demand data categorization'!A:AJ,31,FALSE)</f>
        <v>0</v>
      </c>
      <c r="F125">
        <f>VLOOKUP(A125,'8. Demand data categorization'!A:AJ,32,FALSE)</f>
        <v>0</v>
      </c>
      <c r="G125" s="84">
        <f>VLOOKUP(A125,'8. Demand data categorization'!A:AJ,33,FALSE)</f>
        <v>0</v>
      </c>
      <c r="H125" s="80">
        <f>IF(ISERROR(VLOOKUP($A125,'8. Demand data categorization'!$A:$AV,30,FALSE)),0,(VLOOKUP($A125,'8. Demand data categorization'!$A:$AV,30,FALSE))*(1-VLOOKUP($B125,'2. Forbearance thresholds'!$A$16:$F$25,3,FALSE)))</f>
        <v>0.56700000000000006</v>
      </c>
      <c r="I125" s="80">
        <f>IF(ISERROR(VLOOKUP($A125,'8. Demand data categorization'!$A:$AV,31,FALSE)),0,(VLOOKUP($A125,'8. Demand data categorization'!$A:$AV,31,FALSE))*(1-VLOOKUP($B125,'2. Forbearance thresholds'!$A$16:$F$25,4,FALSE)))</f>
        <v>0</v>
      </c>
      <c r="J125" s="80">
        <f>IF(ISERROR(VLOOKUP($A125,'8. Demand data categorization'!$A:$AV,32,FALSE)),0,(VLOOKUP($A125,'8. Demand data categorization'!$A:$AV,32,FALSE))*(1-VLOOKUP($B125,'2. Forbearance thresholds'!$A$16:$F$25,5,FALSE)))</f>
        <v>0</v>
      </c>
      <c r="K125" s="89">
        <f>IF(ISERROR(VLOOKUP($A125,'8. Demand data categorization'!$A:$AV,33,FALSE)),0,(VLOOKUP($A125,'8. Demand data categorization'!$A:$AV,33,FALSE))*(1-VLOOKUP($B125,'2. Forbearance thresholds'!$A$16:$F$25,6,FALSE)))</f>
        <v>0</v>
      </c>
      <c r="L125" s="1" t="str">
        <f>IF(ISERROR(VLOOKUP(A125,'11. TransferExport'!A:A,1,FALSE)),"N","Y")</f>
        <v>N</v>
      </c>
      <c r="M125" s="1" t="str">
        <f>IF(ISERROR(VLOOKUP(A125,'11. TransferExport'!B:B,1,FALSE)),"N","Y")</f>
        <v>N</v>
      </c>
      <c r="N125">
        <f>IF(L125="Y",-SUMIF('11. TransferExport'!A:A,A125,'11. TransferExport'!D:D),IF(M125="Y",SUMIF('11. TransferExport'!B:B,A125,'11. TransferExport'!D:D),0))</f>
        <v>0</v>
      </c>
      <c r="O125">
        <f>IF(L125="Y",-SUMIF('11. TransferExport'!A:A,A125,'11. TransferExport'!E:E),IF(M125="Y",SUMIF('11. TransferExport'!B:B,A125,'11. TransferExport'!E:E),0))</f>
        <v>0</v>
      </c>
      <c r="P125">
        <f>IF(L125="Y",-SUMIF('11. TransferExport'!A:A,A125,'11. TransferExport'!F:F),IF(M125="Y",SUMIF('11. TransferExport'!B:B,A125,'11. TransferExport'!F:F),0))</f>
        <v>0</v>
      </c>
      <c r="Q125">
        <f>IF(L125="Y",-SUMIF('11. TransferExport'!A:A,A125,'11. TransferExport'!G:G),IF(M125="Y",SUMIF('11. TransferExport'!B:B,A125,'11. TransferExport'!G:G),0))</f>
        <v>0</v>
      </c>
      <c r="R125" s="91">
        <f t="shared" si="21"/>
        <v>0.56700000000000006</v>
      </c>
      <c r="S125">
        <f>IF(L125="Y",-SUMIF('11. TransferExport'!$A:$A,$A125,'11. TransferExport'!L:L),IF(M125="Y",SUMIF('11. TransferExport'!$B:$B,$A125,'11. TransferExport'!L:L),0))</f>
        <v>0</v>
      </c>
      <c r="T125">
        <f>IF($L125="Y",-SUMIF('11. TransferExport'!$A:$A,$A125,'11. TransferExport'!M:M),IF($M125="Y",SUMIF('11. TransferExport'!$B:$B,$A125,'11. TransferExport'!M:M),0))</f>
        <v>0</v>
      </c>
      <c r="U125">
        <f>IF($L125="Y",-SUMIF('11. TransferExport'!$A:$A,$A125,'11. TransferExport'!N:N),IF($M125="Y",SUMIF('11. TransferExport'!$B:$B,$A125,'11. TransferExport'!N:N),0))</f>
        <v>0</v>
      </c>
      <c r="V125">
        <f>IF($L125="Y",-SUMIF('11. TransferExport'!$A:$A,$A125,'11. TransferExport'!O:O),IF($M125="Y",SUMIF('11. TransferExport'!$B:$B,$A125,'11. TransferExport'!O:O),0))</f>
        <v>0</v>
      </c>
      <c r="W125" s="90">
        <f t="shared" si="22"/>
        <v>0.56700000000000006</v>
      </c>
      <c r="X125" s="90">
        <f t="shared" si="23"/>
        <v>0.56700000000000006</v>
      </c>
      <c r="Y125" s="90">
        <f t="shared" si="24"/>
        <v>0</v>
      </c>
      <c r="Z125" s="90">
        <f t="shared" si="25"/>
        <v>0</v>
      </c>
      <c r="AA125" s="91">
        <f t="shared" si="26"/>
        <v>0</v>
      </c>
      <c r="AB125" s="96">
        <f>VLOOKUP(A125,'8. Demand data categorization'!A:N,3,FALSE)</f>
        <v>10</v>
      </c>
      <c r="AC125" s="95" t="str">
        <f>VLOOKUP(A125,'8. Demand data categorization'!A:N,14,FALSE)</f>
        <v>Y</v>
      </c>
      <c r="AD125" t="str">
        <f t="shared" si="27"/>
        <v>Giving</v>
      </c>
    </row>
    <row r="126" spans="1:30" x14ac:dyDescent="0.25">
      <c r="A126" s="107" t="s">
        <v>142</v>
      </c>
      <c r="B126" t="str">
        <f>IF(ISERROR(VLOOKUP(A126, '8. Demand data categorization'!A:M,13,FALSE)),"ERROR",IF((VLOOKUP(A126, '8. Demand data categorization'!A:M,13,FALSE))="-","Riparian",IF(OR(VLOOKUP(A126, '8. Demand data categorization'!A:M,13,FALSE)="1971-1990",VLOOKUP(A126, '8. Demand data categorization'!A:M,13,FALSE)="1991-Present"),"1971-Present",VLOOKUP(A126, '8. Demand data categorization'!A:M,13,FALSE))))</f>
        <v>Riparian</v>
      </c>
      <c r="C126" s="84" t="str">
        <f>VLOOKUP(A126,'12. eWRIMS_Export'!A:K,7,FALSE)</f>
        <v>TPWC INC</v>
      </c>
      <c r="D126">
        <f>VLOOKUP(A126,'8. Demand data categorization'!A:AJ,30,FALSE)</f>
        <v>0.56000000000000005</v>
      </c>
      <c r="E126">
        <f>VLOOKUP(A126,'8. Demand data categorization'!A:AJ,31,FALSE)</f>
        <v>1.46</v>
      </c>
      <c r="F126">
        <f>VLOOKUP(A126,'8. Demand data categorization'!A:AJ,32,FALSE)</f>
        <v>1.1299999999999999</v>
      </c>
      <c r="G126" s="84">
        <f>VLOOKUP(A126,'8. Demand data categorization'!A:AJ,33,FALSE)</f>
        <v>0.2</v>
      </c>
      <c r="H126" s="80">
        <f>IF(ISERROR(VLOOKUP($A126,'8. Demand data categorization'!$A:$AV,30,FALSE)),0,(VLOOKUP($A126,'8. Demand data categorization'!$A:$AV,30,FALSE))*(1-VLOOKUP($B126,'2. Forbearance thresholds'!$A$16:$F$25,3,FALSE)))</f>
        <v>0.42900470957613818</v>
      </c>
      <c r="I126" s="80">
        <f>IF(ISERROR(VLOOKUP($A126,'8. Demand data categorization'!$A:$AV,31,FALSE)),0,(VLOOKUP($A126,'8. Demand data categorization'!$A:$AV,31,FALSE))*(1-VLOOKUP($B126,'2. Forbearance thresholds'!$A$16:$F$25,4,FALSE)))</f>
        <v>4.173598265832508E-2</v>
      </c>
      <c r="J126" s="80">
        <f>IF(ISERROR(VLOOKUP($A126,'8. Demand data categorization'!$A:$AV,32,FALSE)),0,(VLOOKUP($A126,'8. Demand data categorization'!$A:$AV,32,FALSE))*(1-VLOOKUP($B126,'2. Forbearance thresholds'!$A$16:$F$25,5,FALSE)))</f>
        <v>0</v>
      </c>
      <c r="K126" s="89">
        <f>IF(ISERROR(VLOOKUP($A126,'8. Demand data categorization'!$A:$AV,33,FALSE)),0,(VLOOKUP($A126,'8. Demand data categorization'!$A:$AV,33,FALSE))*(1-VLOOKUP($B126,'2. Forbearance thresholds'!$A$16:$F$25,6,FALSE)))</f>
        <v>0</v>
      </c>
      <c r="L126" s="1" t="str">
        <f>IF(ISERROR(VLOOKUP(A126,'11. TransferExport'!A:A,1,FALSE)),"N","Y")</f>
        <v>N</v>
      </c>
      <c r="M126" s="1" t="str">
        <f>IF(ISERROR(VLOOKUP(A126,'11. TransferExport'!B:B,1,FALSE)),"N","Y")</f>
        <v>N</v>
      </c>
      <c r="N126">
        <f>IF(L126="Y",-SUMIF('11. TransferExport'!A:A,A126,'11. TransferExport'!D:D),IF(M126="Y",SUMIF('11. TransferExport'!B:B,A126,'11. TransferExport'!D:D),0))</f>
        <v>0</v>
      </c>
      <c r="O126">
        <f>IF(L126="Y",-SUMIF('11. TransferExport'!A:A,A126,'11. TransferExport'!E:E),IF(M126="Y",SUMIF('11. TransferExport'!B:B,A126,'11. TransferExport'!E:E),0))</f>
        <v>0</v>
      </c>
      <c r="P126">
        <f>IF(L126="Y",-SUMIF('11. TransferExport'!A:A,A126,'11. TransferExport'!F:F),IF(M126="Y",SUMIF('11. TransferExport'!B:B,A126,'11. TransferExport'!F:F),0))</f>
        <v>0</v>
      </c>
      <c r="Q126">
        <f>IF(L126="Y",-SUMIF('11. TransferExport'!A:A,A126,'11. TransferExport'!G:G),IF(M126="Y",SUMIF('11. TransferExport'!B:B,A126,'11. TransferExport'!G:G),0))</f>
        <v>0</v>
      </c>
      <c r="R126" s="91">
        <f t="shared" si="21"/>
        <v>0.47074069223446324</v>
      </c>
      <c r="S126">
        <f>IF(L126="Y",-SUMIF('11. TransferExport'!$A:$A,$A126,'11. TransferExport'!L:L),IF(M126="Y",SUMIF('11. TransferExport'!$B:$B,$A126,'11. TransferExport'!L:L),0))</f>
        <v>0</v>
      </c>
      <c r="T126">
        <f>IF($L126="Y",-SUMIF('11. TransferExport'!$A:$A,$A126,'11. TransferExport'!M:M),IF($M126="Y",SUMIF('11. TransferExport'!$B:$B,$A126,'11. TransferExport'!M:M),0))</f>
        <v>0</v>
      </c>
      <c r="U126">
        <f>IF($L126="Y",-SUMIF('11. TransferExport'!$A:$A,$A126,'11. TransferExport'!N:N),IF($M126="Y",SUMIF('11. TransferExport'!$B:$B,$A126,'11. TransferExport'!N:N),0))</f>
        <v>0</v>
      </c>
      <c r="V126">
        <f>IF($L126="Y",-SUMIF('11. TransferExport'!$A:$A,$A126,'11. TransferExport'!O:O),IF($M126="Y",SUMIF('11. TransferExport'!$B:$B,$A126,'11. TransferExport'!O:O),0))</f>
        <v>0</v>
      </c>
      <c r="W126" s="90">
        <f t="shared" si="22"/>
        <v>0.47074069223446324</v>
      </c>
      <c r="X126" s="90">
        <f t="shared" si="23"/>
        <v>0.42900470957613818</v>
      </c>
      <c r="Y126" s="90">
        <f t="shared" si="24"/>
        <v>4.173598265832508E-2</v>
      </c>
      <c r="Z126" s="90">
        <f t="shared" si="25"/>
        <v>0</v>
      </c>
      <c r="AA126" s="91">
        <f t="shared" si="26"/>
        <v>0</v>
      </c>
      <c r="AB126" s="96">
        <f>VLOOKUP(A126,'8. Demand data categorization'!A:N,3,FALSE)</f>
        <v>10</v>
      </c>
      <c r="AC126" s="95" t="str">
        <f>VLOOKUP(A126,'8. Demand data categorization'!A:N,14,FALSE)</f>
        <v>Y</v>
      </c>
      <c r="AD126" t="str">
        <f t="shared" si="27"/>
        <v>Taking</v>
      </c>
    </row>
    <row r="127" spans="1:30" x14ac:dyDescent="0.25">
      <c r="A127" s="107" t="s">
        <v>143</v>
      </c>
      <c r="B127" t="str">
        <f>IF(ISERROR(VLOOKUP(A127, '8. Demand data categorization'!A:M,13,FALSE)),"ERROR",IF((VLOOKUP(A127, '8. Demand data categorization'!A:M,13,FALSE))="-","Riparian",IF(OR(VLOOKUP(A127, '8. Demand data categorization'!A:M,13,FALSE)="1971-1990",VLOOKUP(A127, '8. Demand data categorization'!A:M,13,FALSE)="1991-Present"),"1971-Present",VLOOKUP(A127, '8. Demand data categorization'!A:M,13,FALSE))))</f>
        <v>Riparian</v>
      </c>
      <c r="C127" s="84" t="str">
        <f>VLOOKUP(A127,'12. eWRIMS_Export'!A:K,7,FALSE)</f>
        <v>TPWC INC</v>
      </c>
      <c r="D127">
        <f>VLOOKUP(A127,'8. Demand data categorization'!A:AJ,30,FALSE)</f>
        <v>0.1</v>
      </c>
      <c r="E127">
        <f>VLOOKUP(A127,'8. Demand data categorization'!A:AJ,31,FALSE)</f>
        <v>0.1</v>
      </c>
      <c r="F127">
        <f>VLOOKUP(A127,'8. Demand data categorization'!A:AJ,32,FALSE)</f>
        <v>0.1</v>
      </c>
      <c r="G127" s="84">
        <f>VLOOKUP(A127,'8. Demand data categorization'!A:AJ,33,FALSE)</f>
        <v>0.1</v>
      </c>
      <c r="H127" s="80">
        <f>IF(ISERROR(VLOOKUP($A127,'8. Demand data categorization'!$A:$AV,30,FALSE)),0,(VLOOKUP($A127,'8. Demand data categorization'!$A:$AV,30,FALSE))*(1-VLOOKUP($B127,'2. Forbearance thresholds'!$A$16:$F$25,3,FALSE)))</f>
        <v>7.6607983852881811E-2</v>
      </c>
      <c r="I127" s="80">
        <f>IF(ISERROR(VLOOKUP($A127,'8. Demand data categorization'!$A:$AV,31,FALSE)),0,(VLOOKUP($A127,'8. Demand data categorization'!$A:$AV,31,FALSE))*(1-VLOOKUP($B127,'2. Forbearance thresholds'!$A$16:$F$25,4,FALSE)))</f>
        <v>2.8586289492003483E-3</v>
      </c>
      <c r="J127" s="80">
        <f>IF(ISERROR(VLOOKUP($A127,'8. Demand data categorization'!$A:$AV,32,FALSE)),0,(VLOOKUP($A127,'8. Demand data categorization'!$A:$AV,32,FALSE))*(1-VLOOKUP($B127,'2. Forbearance thresholds'!$A$16:$F$25,5,FALSE)))</f>
        <v>0</v>
      </c>
      <c r="K127" s="89">
        <f>IF(ISERROR(VLOOKUP($A127,'8. Demand data categorization'!$A:$AV,33,FALSE)),0,(VLOOKUP($A127,'8. Demand data categorization'!$A:$AV,33,FALSE))*(1-VLOOKUP($B127,'2. Forbearance thresholds'!$A$16:$F$25,6,FALSE)))</f>
        <v>0</v>
      </c>
      <c r="L127" s="1" t="str">
        <f>IF(ISERROR(VLOOKUP(A127,'11. TransferExport'!A:A,1,FALSE)),"N","Y")</f>
        <v>N</v>
      </c>
      <c r="M127" s="1" t="str">
        <f>IF(ISERROR(VLOOKUP(A127,'11. TransferExport'!B:B,1,FALSE)),"N","Y")</f>
        <v>N</v>
      </c>
      <c r="N127">
        <f>IF(L127="Y",-SUMIF('11. TransferExport'!A:A,A127,'11. TransferExport'!D:D),IF(M127="Y",SUMIF('11. TransferExport'!B:B,A127,'11. TransferExport'!D:D),0))</f>
        <v>0</v>
      </c>
      <c r="O127">
        <f>IF(L127="Y",-SUMIF('11. TransferExport'!A:A,A127,'11. TransferExport'!E:E),IF(M127="Y",SUMIF('11. TransferExport'!B:B,A127,'11. TransferExport'!E:E),0))</f>
        <v>0</v>
      </c>
      <c r="P127">
        <f>IF(L127="Y",-SUMIF('11. TransferExport'!A:A,A127,'11. TransferExport'!F:F),IF(M127="Y",SUMIF('11. TransferExport'!B:B,A127,'11. TransferExport'!F:F),0))</f>
        <v>0</v>
      </c>
      <c r="Q127">
        <f>IF(L127="Y",-SUMIF('11. TransferExport'!A:A,A127,'11. TransferExport'!G:G),IF(M127="Y",SUMIF('11. TransferExport'!B:B,A127,'11. TransferExport'!G:G),0))</f>
        <v>0</v>
      </c>
      <c r="R127" s="91">
        <f t="shared" si="21"/>
        <v>7.9466612802082157E-2</v>
      </c>
      <c r="S127">
        <f>IF(L127="Y",-SUMIF('11. TransferExport'!$A:$A,$A127,'11. TransferExport'!L:L),IF(M127="Y",SUMIF('11. TransferExport'!$B:$B,$A127,'11. TransferExport'!L:L),0))</f>
        <v>0</v>
      </c>
      <c r="T127">
        <f>IF($L127="Y",-SUMIF('11. TransferExport'!$A:$A,$A127,'11. TransferExport'!M:M),IF($M127="Y",SUMIF('11. TransferExport'!$B:$B,$A127,'11. TransferExport'!M:M),0))</f>
        <v>0</v>
      </c>
      <c r="U127">
        <f>IF($L127="Y",-SUMIF('11. TransferExport'!$A:$A,$A127,'11. TransferExport'!N:N),IF($M127="Y",SUMIF('11. TransferExport'!$B:$B,$A127,'11. TransferExport'!N:N),0))</f>
        <v>0</v>
      </c>
      <c r="V127">
        <f>IF($L127="Y",-SUMIF('11. TransferExport'!$A:$A,$A127,'11. TransferExport'!O:O),IF($M127="Y",SUMIF('11. TransferExport'!$B:$B,$A127,'11. TransferExport'!O:O),0))</f>
        <v>0</v>
      </c>
      <c r="W127" s="90">
        <f t="shared" si="22"/>
        <v>7.9466612802082157E-2</v>
      </c>
      <c r="X127" s="90">
        <f t="shared" si="23"/>
        <v>7.6607983852881811E-2</v>
      </c>
      <c r="Y127" s="90">
        <f t="shared" si="24"/>
        <v>2.8586289492003483E-3</v>
      </c>
      <c r="Z127" s="90">
        <f t="shared" si="25"/>
        <v>0</v>
      </c>
      <c r="AA127" s="91">
        <f t="shared" si="26"/>
        <v>0</v>
      </c>
      <c r="AB127" s="96">
        <f>VLOOKUP(A127,'8. Demand data categorization'!A:N,3,FALSE)</f>
        <v>10</v>
      </c>
      <c r="AC127" s="95" t="str">
        <f>VLOOKUP(A127,'8. Demand data categorization'!A:N,14,FALSE)</f>
        <v>Y</v>
      </c>
      <c r="AD127" t="str">
        <f t="shared" si="27"/>
        <v>Taking</v>
      </c>
    </row>
    <row r="128" spans="1:30" x14ac:dyDescent="0.25">
      <c r="A128" s="107" t="s">
        <v>73</v>
      </c>
      <c r="B128" t="str">
        <f>IF(ISERROR(VLOOKUP(A128, '8. Demand data categorization'!A:M,13,FALSE)),"ERROR",IF((VLOOKUP(A128, '8. Demand data categorization'!A:M,13,FALSE))="-","Riparian",IF(OR(VLOOKUP(A128, '8. Demand data categorization'!A:M,13,FALSE)="1971-1990",VLOOKUP(A128, '8. Demand data categorization'!A:M,13,FALSE)="1991-Present"),"1971-Present",VLOOKUP(A128, '8. Demand data categorization'!A:M,13,FALSE))))</f>
        <v>1971-Present</v>
      </c>
      <c r="C128" s="84" t="str">
        <f>VLOOKUP(A128,'12. eWRIMS_Export'!A:K,7,FALSE)</f>
        <v>WARNECKE RANCH &amp; VINEYARD, LIMITED PARTNERSHIP</v>
      </c>
      <c r="D128">
        <f>VLOOKUP(A128,'8. Demand data categorization'!A:AJ,30,FALSE)</f>
        <v>13.81</v>
      </c>
      <c r="E128">
        <f>VLOOKUP(A128,'8. Demand data categorization'!A:AJ,31,FALSE)</f>
        <v>13.34</v>
      </c>
      <c r="F128">
        <f>VLOOKUP(A128,'8. Demand data categorization'!A:AJ,32,FALSE)</f>
        <v>7.01</v>
      </c>
      <c r="G128" s="84">
        <f>VLOOKUP(A128,'8. Demand data categorization'!A:AJ,33,FALSE)</f>
        <v>4.8499999999999996</v>
      </c>
      <c r="H128" s="80">
        <f>IF(ISERROR(VLOOKUP($A128,'8. Demand data categorization'!$A:$AV,30,FALSE)),0,(VLOOKUP($A128,'8. Demand data categorization'!$A:$AV,30,FALSE))*(1-VLOOKUP($B128,'2. Forbearance thresholds'!$A$16:$F$25,3,FALSE)))</f>
        <v>12.429</v>
      </c>
      <c r="I128" s="80">
        <f>IF(ISERROR(VLOOKUP($A128,'8. Demand data categorization'!$A:$AV,31,FALSE)),0,(VLOOKUP($A128,'8. Demand data categorization'!$A:$AV,31,FALSE))*(1-VLOOKUP($B128,'2. Forbearance thresholds'!$A$16:$F$25,4,FALSE)))</f>
        <v>0.38134110182332642</v>
      </c>
      <c r="J128" s="80">
        <f>IF(ISERROR(VLOOKUP($A128,'8. Demand data categorization'!$A:$AV,32,FALSE)),0,(VLOOKUP($A128,'8. Demand data categorization'!$A:$AV,32,FALSE))*(1-VLOOKUP($B128,'2. Forbearance thresholds'!$A$16:$F$25,5,FALSE)))</f>
        <v>0</v>
      </c>
      <c r="K128" s="89">
        <f>IF(ISERROR(VLOOKUP($A128,'8. Demand data categorization'!$A:$AV,33,FALSE)),0,(VLOOKUP($A128,'8. Demand data categorization'!$A:$AV,33,FALSE))*(1-VLOOKUP($B128,'2. Forbearance thresholds'!$A$16:$F$25,6,FALSE)))</f>
        <v>0</v>
      </c>
      <c r="L128" s="1" t="str">
        <f>IF(ISERROR(VLOOKUP(A128,'11. TransferExport'!A:A,1,FALSE)),"N","Y")</f>
        <v>N</v>
      </c>
      <c r="M128" s="1" t="str">
        <f>IF(ISERROR(VLOOKUP(A128,'11. TransferExport'!B:B,1,FALSE)),"N","Y")</f>
        <v>N</v>
      </c>
      <c r="N128">
        <f>IF(L128="Y",-SUMIF('11. TransferExport'!A:A,A128,'11. TransferExport'!D:D),IF(M128="Y",SUMIF('11. TransferExport'!B:B,A128,'11. TransferExport'!D:D),0))</f>
        <v>0</v>
      </c>
      <c r="O128">
        <f>IF(L128="Y",-SUMIF('11. TransferExport'!A:A,A128,'11. TransferExport'!E:E),IF(M128="Y",SUMIF('11. TransferExport'!B:B,A128,'11. TransferExport'!E:E),0))</f>
        <v>0</v>
      </c>
      <c r="P128">
        <f>IF(L128="Y",-SUMIF('11. TransferExport'!A:A,A128,'11. TransferExport'!F:F),IF(M128="Y",SUMIF('11. TransferExport'!B:B,A128,'11. TransferExport'!F:F),0))</f>
        <v>0</v>
      </c>
      <c r="Q128">
        <f>IF(L128="Y",-SUMIF('11. TransferExport'!A:A,A128,'11. TransferExport'!G:G),IF(M128="Y",SUMIF('11. TransferExport'!B:B,A128,'11. TransferExport'!G:G),0))</f>
        <v>0</v>
      </c>
      <c r="R128" s="91">
        <f t="shared" ref="R128:R159" si="28">SUM(H128:K128)+SUM(N128:Q128)</f>
        <v>12.810341101823326</v>
      </c>
      <c r="S128">
        <f>IF(L128="Y",-SUMIF('11. TransferExport'!$A:$A,$A128,'11. TransferExport'!L:L),IF(M128="Y",SUMIF('11. TransferExport'!$B:$B,$A128,'11. TransferExport'!L:L),0))</f>
        <v>0</v>
      </c>
      <c r="T128">
        <f>IF($L128="Y",-SUMIF('11. TransferExport'!$A:$A,$A128,'11. TransferExport'!M:M),IF($M128="Y",SUMIF('11. TransferExport'!$B:$B,$A128,'11. TransferExport'!M:M),0))</f>
        <v>0</v>
      </c>
      <c r="U128">
        <f>IF($L128="Y",-SUMIF('11. TransferExport'!$A:$A,$A128,'11. TransferExport'!N:N),IF($M128="Y",SUMIF('11. TransferExport'!$B:$B,$A128,'11. TransferExport'!N:N),0))</f>
        <v>0</v>
      </c>
      <c r="V128">
        <f>IF($L128="Y",-SUMIF('11. TransferExport'!$A:$A,$A128,'11. TransferExport'!O:O),IF($M128="Y",SUMIF('11. TransferExport'!$B:$B,$A128,'11. TransferExport'!O:O),0))</f>
        <v>0</v>
      </c>
      <c r="W128" s="90">
        <f t="shared" ref="W128:W159" si="29">SUM(H128:K128,S128:V128)</f>
        <v>12.810341101823326</v>
      </c>
      <c r="X128" s="90">
        <f t="shared" ref="X128:X135" si="30">H128+S128</f>
        <v>12.429</v>
      </c>
      <c r="Y128" s="90">
        <f t="shared" ref="Y128:Y135" si="31">I128+T128</f>
        <v>0.38134110182332642</v>
      </c>
      <c r="Z128" s="90">
        <f t="shared" ref="Z128:Z135" si="32">J128+U128</f>
        <v>0</v>
      </c>
      <c r="AA128" s="91">
        <f t="shared" ref="AA128:AA135" si="33">K128+V128</f>
        <v>0</v>
      </c>
      <c r="AB128" s="96">
        <f>VLOOKUP(A128,'8. Demand data categorization'!A:N,3,FALSE)</f>
        <v>12</v>
      </c>
      <c r="AC128" s="95" t="str">
        <f>VLOOKUP(A128,'8. Demand data categorization'!A:N,14,FALSE)</f>
        <v>Y</v>
      </c>
      <c r="AD128" t="str">
        <f t="shared" ref="AD128:AD135" si="34">IF(B128="Riparian","Taking",IF(OR(B128="1971-Present",B128="1960-1970",B128="1957-1959",B128="1955-1956",B128="1953-1954",B128="1950-1952"),"Giving","No Change"))</f>
        <v>Giving</v>
      </c>
    </row>
    <row r="129" spans="1:30" x14ac:dyDescent="0.25">
      <c r="A129" s="107" t="s">
        <v>113</v>
      </c>
      <c r="B129" t="str">
        <f>IF(ISERROR(VLOOKUP(A129, '8. Demand data categorization'!A:M,13,FALSE)),"ERROR",IF((VLOOKUP(A129, '8. Demand data categorization'!A:M,13,FALSE))="-","Riparian",IF(OR(VLOOKUP(A129, '8. Demand data categorization'!A:M,13,FALSE)="1971-1990",VLOOKUP(A129, '8. Demand data categorization'!A:M,13,FALSE)="1991-Present"),"1971-Present",VLOOKUP(A129, '8. Demand data categorization'!A:M,13,FALSE))))</f>
        <v>1950-1952</v>
      </c>
      <c r="C129" s="84" t="str">
        <f>VLOOKUP(A129,'12. eWRIMS_Export'!A:K,7,FALSE)</f>
        <v>WARNECKE RANCH &amp; VINEYARD, LIMITED PARTNERSHIP</v>
      </c>
      <c r="D129">
        <f>VLOOKUP(A129,'8. Demand data categorization'!A:AJ,30,FALSE)</f>
        <v>7.37</v>
      </c>
      <c r="E129">
        <f>VLOOKUP(A129,'8. Demand data categorization'!A:AJ,31,FALSE)</f>
        <v>8.91</v>
      </c>
      <c r="F129">
        <f>VLOOKUP(A129,'8. Demand data categorization'!A:AJ,32,FALSE)</f>
        <v>4.55</v>
      </c>
      <c r="G129" s="84">
        <f>VLOOKUP(A129,'8. Demand data categorization'!A:AJ,33,FALSE)</f>
        <v>1.64</v>
      </c>
      <c r="H129" s="80">
        <f>IF(ISERROR(VLOOKUP($A129,'8. Demand data categorization'!$A:$AV,30,FALSE)),0,(VLOOKUP($A129,'8. Demand data categorization'!$A:$AV,30,FALSE))*(1-VLOOKUP($B129,'2. Forbearance thresholds'!$A$16:$F$25,3,FALSE)))</f>
        <v>6.633</v>
      </c>
      <c r="I129" s="80">
        <f>IF(ISERROR(VLOOKUP($A129,'8. Demand data categorization'!$A:$AV,31,FALSE)),0,(VLOOKUP($A129,'8. Demand data categorization'!$A:$AV,31,FALSE))*(1-VLOOKUP($B129,'2. Forbearance thresholds'!$A$16:$F$25,4,FALSE)))</f>
        <v>0.25470383937375102</v>
      </c>
      <c r="J129" s="80">
        <f>IF(ISERROR(VLOOKUP($A129,'8. Demand data categorization'!$A:$AV,32,FALSE)),0,(VLOOKUP($A129,'8. Demand data categorization'!$A:$AV,32,FALSE))*(1-VLOOKUP($B129,'2. Forbearance thresholds'!$A$16:$F$25,5,FALSE)))</f>
        <v>0</v>
      </c>
      <c r="K129" s="89">
        <f>IF(ISERROR(VLOOKUP($A129,'8. Demand data categorization'!$A:$AV,33,FALSE)),0,(VLOOKUP($A129,'8. Demand data categorization'!$A:$AV,33,FALSE))*(1-VLOOKUP($B129,'2. Forbearance thresholds'!$A$16:$F$25,6,FALSE)))</f>
        <v>0</v>
      </c>
      <c r="L129" s="1" t="str">
        <f>IF(ISERROR(VLOOKUP(A129,'11. TransferExport'!A:A,1,FALSE)),"N","Y")</f>
        <v>N</v>
      </c>
      <c r="M129" s="1" t="str">
        <f>IF(ISERROR(VLOOKUP(A129,'11. TransferExport'!B:B,1,FALSE)),"N","Y")</f>
        <v>N</v>
      </c>
      <c r="N129">
        <f>IF(L129="Y",-SUMIF('11. TransferExport'!A:A,A129,'11. TransferExport'!D:D),IF(M129="Y",SUMIF('11. TransferExport'!B:B,A129,'11. TransferExport'!D:D),0))</f>
        <v>0</v>
      </c>
      <c r="O129">
        <f>IF(L129="Y",-SUMIF('11. TransferExport'!A:A,A129,'11. TransferExport'!E:E),IF(M129="Y",SUMIF('11. TransferExport'!B:B,A129,'11. TransferExport'!E:E),0))</f>
        <v>0</v>
      </c>
      <c r="P129">
        <f>IF(L129="Y",-SUMIF('11. TransferExport'!A:A,A129,'11. TransferExport'!F:F),IF(M129="Y",SUMIF('11. TransferExport'!B:B,A129,'11. TransferExport'!F:F),0))</f>
        <v>0</v>
      </c>
      <c r="Q129">
        <f>IF(L129="Y",-SUMIF('11. TransferExport'!A:A,A129,'11. TransferExport'!G:G),IF(M129="Y",SUMIF('11. TransferExport'!B:B,A129,'11. TransferExport'!G:G),0))</f>
        <v>0</v>
      </c>
      <c r="R129" s="91">
        <f t="shared" si="28"/>
        <v>6.8877038393737511</v>
      </c>
      <c r="S129">
        <f>IF(L129="Y",-SUMIF('11. TransferExport'!$A:$A,$A129,'11. TransferExport'!L:L),IF(M129="Y",SUMIF('11. TransferExport'!$B:$B,$A129,'11. TransferExport'!L:L),0))</f>
        <v>0</v>
      </c>
      <c r="T129">
        <f>IF($L129="Y",-SUMIF('11. TransferExport'!$A:$A,$A129,'11. TransferExport'!M:M),IF($M129="Y",SUMIF('11. TransferExport'!$B:$B,$A129,'11. TransferExport'!M:M),0))</f>
        <v>0</v>
      </c>
      <c r="U129">
        <f>IF($L129="Y",-SUMIF('11. TransferExport'!$A:$A,$A129,'11. TransferExport'!N:N),IF($M129="Y",SUMIF('11. TransferExport'!$B:$B,$A129,'11. TransferExport'!N:N),0))</f>
        <v>0</v>
      </c>
      <c r="V129">
        <f>IF($L129="Y",-SUMIF('11. TransferExport'!$A:$A,$A129,'11. TransferExport'!O:O),IF($M129="Y",SUMIF('11. TransferExport'!$B:$B,$A129,'11. TransferExport'!O:O),0))</f>
        <v>0</v>
      </c>
      <c r="W129" s="90">
        <f t="shared" si="29"/>
        <v>6.8877038393737511</v>
      </c>
      <c r="X129" s="90">
        <f t="shared" si="30"/>
        <v>6.633</v>
      </c>
      <c r="Y129" s="90">
        <f t="shared" si="31"/>
        <v>0.25470383937375102</v>
      </c>
      <c r="Z129" s="90">
        <f t="shared" si="32"/>
        <v>0</v>
      </c>
      <c r="AA129" s="91">
        <f t="shared" si="33"/>
        <v>0</v>
      </c>
      <c r="AB129" s="96">
        <f>VLOOKUP(A129,'8. Demand data categorization'!A:N,3,FALSE)</f>
        <v>12</v>
      </c>
      <c r="AC129" s="95" t="str">
        <f>VLOOKUP(A129,'8. Demand data categorization'!A:N,14,FALSE)</f>
        <v>Y</v>
      </c>
      <c r="AD129" t="str">
        <f t="shared" si="34"/>
        <v>Giving</v>
      </c>
    </row>
    <row r="130" spans="1:30" x14ac:dyDescent="0.25">
      <c r="A130" s="107" t="s">
        <v>111</v>
      </c>
      <c r="B130" t="str">
        <f>IF(ISERROR(VLOOKUP(A130, '8. Demand data categorization'!A:M,13,FALSE)),"ERROR",IF((VLOOKUP(A130, '8. Demand data categorization'!A:M,13,FALSE))="-","Riparian",IF(OR(VLOOKUP(A130, '8. Demand data categorization'!A:M,13,FALSE)="1971-1990",VLOOKUP(A130, '8. Demand data categorization'!A:M,13,FALSE)="1991-Present"),"1971-Present",VLOOKUP(A130, '8. Demand data categorization'!A:M,13,FALSE))))</f>
        <v>Riparian</v>
      </c>
      <c r="C130" s="84" t="str">
        <f>VLOOKUP(A130,'12. eWRIMS_Export'!A:K,7,FALSE)</f>
        <v>WARNECKE RANCH AND VINEYARD, LIMITED PARTNERSHIP</v>
      </c>
      <c r="D130">
        <f>VLOOKUP(A130,'8. Demand data categorization'!A:AJ,30,FALSE)</f>
        <v>13.81</v>
      </c>
      <c r="E130">
        <f>VLOOKUP(A130,'8. Demand data categorization'!A:AJ,31,FALSE)</f>
        <v>13.34</v>
      </c>
      <c r="F130">
        <f>VLOOKUP(A130,'8. Demand data categorization'!A:AJ,32,FALSE)</f>
        <v>7.01</v>
      </c>
      <c r="G130" s="84">
        <f>VLOOKUP(A130,'8. Demand data categorization'!A:AJ,33,FALSE)</f>
        <v>4.8499999999999996</v>
      </c>
      <c r="H130" s="80">
        <f>IF(ISERROR(VLOOKUP($A130,'8. Demand data categorization'!$A:$AV,30,FALSE)),0,(VLOOKUP($A130,'8. Demand data categorization'!$A:$AV,30,FALSE))*(1-VLOOKUP($B130,'2. Forbearance thresholds'!$A$16:$F$25,3,FALSE)))</f>
        <v>10.579562570082979</v>
      </c>
      <c r="I130" s="80">
        <f>IF(ISERROR(VLOOKUP($A130,'8. Demand data categorization'!$A:$AV,31,FALSE)),0,(VLOOKUP($A130,'8. Demand data categorization'!$A:$AV,31,FALSE))*(1-VLOOKUP($B130,'2. Forbearance thresholds'!$A$16:$F$25,4,FALSE)))</f>
        <v>0.38134110182332642</v>
      </c>
      <c r="J130" s="80">
        <f>IF(ISERROR(VLOOKUP($A130,'8. Demand data categorization'!$A:$AV,32,FALSE)),0,(VLOOKUP($A130,'8. Demand data categorization'!$A:$AV,32,FALSE))*(1-VLOOKUP($B130,'2. Forbearance thresholds'!$A$16:$F$25,5,FALSE)))</f>
        <v>0</v>
      </c>
      <c r="K130" s="89">
        <f>IF(ISERROR(VLOOKUP($A130,'8. Demand data categorization'!$A:$AV,33,FALSE)),0,(VLOOKUP($A130,'8. Demand data categorization'!$A:$AV,33,FALSE))*(1-VLOOKUP($B130,'2. Forbearance thresholds'!$A$16:$F$25,6,FALSE)))</f>
        <v>0</v>
      </c>
      <c r="L130" s="1" t="str">
        <f>IF(ISERROR(VLOOKUP(A130,'11. TransferExport'!A:A,1,FALSE)),"N","Y")</f>
        <v>N</v>
      </c>
      <c r="M130" s="1" t="str">
        <f>IF(ISERROR(VLOOKUP(A130,'11. TransferExport'!B:B,1,FALSE)),"N","Y")</f>
        <v>N</v>
      </c>
      <c r="N130">
        <f>IF(L130="Y",-SUMIF('11. TransferExport'!A:A,A130,'11. TransferExport'!D:D),IF(M130="Y",SUMIF('11. TransferExport'!B:B,A130,'11. TransferExport'!D:D),0))</f>
        <v>0</v>
      </c>
      <c r="O130">
        <f>IF(L130="Y",-SUMIF('11. TransferExport'!A:A,A130,'11. TransferExport'!E:E),IF(M130="Y",SUMIF('11. TransferExport'!B:B,A130,'11. TransferExport'!E:E),0))</f>
        <v>0</v>
      </c>
      <c r="P130">
        <f>IF(L130="Y",-SUMIF('11. TransferExport'!A:A,A130,'11. TransferExport'!F:F),IF(M130="Y",SUMIF('11. TransferExport'!B:B,A130,'11. TransferExport'!F:F),0))</f>
        <v>0</v>
      </c>
      <c r="Q130">
        <f>IF(L130="Y",-SUMIF('11. TransferExport'!A:A,A130,'11. TransferExport'!G:G),IF(M130="Y",SUMIF('11. TransferExport'!B:B,A130,'11. TransferExport'!G:G),0))</f>
        <v>0</v>
      </c>
      <c r="R130" s="91">
        <f t="shared" si="28"/>
        <v>10.960903671906305</v>
      </c>
      <c r="S130">
        <f>IF(L130="Y",-SUMIF('11. TransferExport'!$A:$A,$A130,'11. TransferExport'!L:L),IF(M130="Y",SUMIF('11. TransferExport'!$B:$B,$A130,'11. TransferExport'!L:L),0))</f>
        <v>0</v>
      </c>
      <c r="T130">
        <f>IF($L130="Y",-SUMIF('11. TransferExport'!$A:$A,$A130,'11. TransferExport'!M:M),IF($M130="Y",SUMIF('11. TransferExport'!$B:$B,$A130,'11. TransferExport'!M:M),0))</f>
        <v>0</v>
      </c>
      <c r="U130">
        <f>IF($L130="Y",-SUMIF('11. TransferExport'!$A:$A,$A130,'11. TransferExport'!N:N),IF($M130="Y",SUMIF('11. TransferExport'!$B:$B,$A130,'11. TransferExport'!N:N),0))</f>
        <v>0</v>
      </c>
      <c r="V130">
        <f>IF($L130="Y",-SUMIF('11. TransferExport'!$A:$A,$A130,'11. TransferExport'!O:O),IF($M130="Y",SUMIF('11. TransferExport'!$B:$B,$A130,'11. TransferExport'!O:O),0))</f>
        <v>0</v>
      </c>
      <c r="W130" s="90">
        <f t="shared" si="29"/>
        <v>10.960903671906305</v>
      </c>
      <c r="X130" s="90">
        <f t="shared" si="30"/>
        <v>10.579562570082979</v>
      </c>
      <c r="Y130" s="90">
        <f t="shared" si="31"/>
        <v>0.38134110182332642</v>
      </c>
      <c r="Z130" s="90">
        <f t="shared" si="32"/>
        <v>0</v>
      </c>
      <c r="AA130" s="91">
        <f t="shared" si="33"/>
        <v>0</v>
      </c>
      <c r="AB130" s="96">
        <f>VLOOKUP(A130,'8. Demand data categorization'!A:N,3,FALSE)</f>
        <v>12</v>
      </c>
      <c r="AC130" s="95" t="str">
        <f>VLOOKUP(A130,'8. Demand data categorization'!A:N,14,FALSE)</f>
        <v>Y</v>
      </c>
      <c r="AD130" t="str">
        <f t="shared" si="34"/>
        <v>Taking</v>
      </c>
    </row>
    <row r="131" spans="1:30" x14ac:dyDescent="0.25">
      <c r="A131" s="107" t="s">
        <v>72</v>
      </c>
      <c r="B131" t="str">
        <f>IF(ISERROR(VLOOKUP(A131, '8. Demand data categorization'!A:M,13,FALSE)),"ERROR",IF((VLOOKUP(A131, '8. Demand data categorization'!A:M,13,FALSE))="-","Riparian",IF(OR(VLOOKUP(A131, '8. Demand data categorization'!A:M,13,FALSE)="1971-1990",VLOOKUP(A131, '8. Demand data categorization'!A:M,13,FALSE)="1991-Present"),"1971-Present",VLOOKUP(A131, '8. Demand data categorization'!A:M,13,FALSE))))</f>
        <v>Pre-1949 + 1949</v>
      </c>
      <c r="C131" s="84" t="str">
        <f>VLOOKUP(A131,'12. eWRIMS_Export'!A:K,7,FALSE)</f>
        <v>WILLIAM C PAULI</v>
      </c>
      <c r="D131">
        <f>VLOOKUP(A131,'8. Demand data categorization'!A:AJ,30,FALSE)</f>
        <v>10.19</v>
      </c>
      <c r="E131">
        <f>VLOOKUP(A131,'8. Demand data categorization'!A:AJ,31,FALSE)</f>
        <v>19.45</v>
      </c>
      <c r="F131">
        <f>VLOOKUP(A131,'8. Demand data categorization'!A:AJ,32,FALSE)</f>
        <v>21.71</v>
      </c>
      <c r="G131" s="84">
        <f>VLOOKUP(A131,'8. Demand data categorization'!A:AJ,33,FALSE)</f>
        <v>9.6</v>
      </c>
      <c r="H131" s="80">
        <f>IF(ISERROR(VLOOKUP($A131,'8. Demand data categorization'!$A:$AV,30,FALSE)),0,(VLOOKUP($A131,'8. Demand data categorization'!$A:$AV,30,FALSE))*(1-VLOOKUP($B131,'2. Forbearance thresholds'!$A$16:$F$25,3,FALSE)))</f>
        <v>10.19</v>
      </c>
      <c r="I131" s="80">
        <f>IF(ISERROR(VLOOKUP($A131,'8. Demand data categorization'!$A:$AV,31,FALSE)),0,(VLOOKUP($A131,'8. Demand data categorization'!$A:$AV,31,FALSE))*(1-VLOOKUP($B131,'2. Forbearance thresholds'!$A$16:$F$25,4,FALSE)))</f>
        <v>0.55600333061946772</v>
      </c>
      <c r="J131" s="80">
        <f>IF(ISERROR(VLOOKUP($A131,'8. Demand data categorization'!$A:$AV,32,FALSE)),0,(VLOOKUP($A131,'8. Demand data categorization'!$A:$AV,32,FALSE))*(1-VLOOKUP($B131,'2. Forbearance thresholds'!$A$16:$F$25,5,FALSE)))</f>
        <v>0</v>
      </c>
      <c r="K131" s="89">
        <f>IF(ISERROR(VLOOKUP($A131,'8. Demand data categorization'!$A:$AV,33,FALSE)),0,(VLOOKUP($A131,'8. Demand data categorization'!$A:$AV,33,FALSE))*(1-VLOOKUP($B131,'2. Forbearance thresholds'!$A$16:$F$25,6,FALSE)))</f>
        <v>0</v>
      </c>
      <c r="L131" s="1" t="str">
        <f>IF(ISERROR(VLOOKUP(A131,'11. TransferExport'!A:A,1,FALSE)),"N","Y")</f>
        <v>Y</v>
      </c>
      <c r="M131" s="1" t="str">
        <f>IF(ISERROR(VLOOKUP(A131,'11. TransferExport'!B:B,1,FALSE)),"N","Y")</f>
        <v>N</v>
      </c>
      <c r="N131">
        <f>IF(L131="Y",-SUMIF('11. TransferExport'!A:A,A131,'11. TransferExport'!D:D),IF(M131="Y",SUMIF('11. TransferExport'!B:B,A131,'11. TransferExport'!D:D),0))</f>
        <v>-12</v>
      </c>
      <c r="O131">
        <f>IF(L131="Y",-SUMIF('11. TransferExport'!A:A,A131,'11. TransferExport'!E:E),IF(M131="Y",SUMIF('11. TransferExport'!B:B,A131,'11. TransferExport'!E:E),0))</f>
        <v>-17</v>
      </c>
      <c r="P131">
        <f>IF(L131="Y",-SUMIF('11. TransferExport'!A:A,A131,'11. TransferExport'!F:F),IF(M131="Y",SUMIF('11. TransferExport'!B:B,A131,'11. TransferExport'!F:F),0))</f>
        <v>-16</v>
      </c>
      <c r="Q131">
        <f>IF(L131="Y",-SUMIF('11. TransferExport'!A:A,A131,'11. TransferExport'!G:G),IF(M131="Y",SUMIF('11. TransferExport'!B:B,A131,'11. TransferExport'!G:G),0))</f>
        <v>-5</v>
      </c>
      <c r="R131" s="91">
        <f t="shared" si="28"/>
        <v>-39.253996669380534</v>
      </c>
      <c r="S131">
        <f>IF(L131="Y",-SUMIF('11. TransferExport'!$A:$A,$A131,'11. TransferExport'!L:L),IF(M131="Y",SUMIF('11. TransferExport'!$B:$B,$A131,'11. TransferExport'!L:L),0))</f>
        <v>0</v>
      </c>
      <c r="T131">
        <f>IF($L131="Y",-SUMIF('11. TransferExport'!$A:$A,$A131,'11. TransferExport'!M:M),IF($M131="Y",SUMIF('11. TransferExport'!$B:$B,$A131,'11. TransferExport'!M:M),0))</f>
        <v>0</v>
      </c>
      <c r="U131">
        <f>IF($L131="Y",-SUMIF('11. TransferExport'!$A:$A,$A131,'11. TransferExport'!N:N),IF($M131="Y",SUMIF('11. TransferExport'!$B:$B,$A131,'11. TransferExport'!N:N),0))</f>
        <v>0</v>
      </c>
      <c r="V131">
        <f>IF($L131="Y",-SUMIF('11. TransferExport'!$A:$A,$A131,'11. TransferExport'!O:O),IF($M131="Y",SUMIF('11. TransferExport'!$B:$B,$A131,'11. TransferExport'!O:O),0))</f>
        <v>0</v>
      </c>
      <c r="W131" s="90">
        <f t="shared" si="29"/>
        <v>10.746003330619468</v>
      </c>
      <c r="X131" s="90">
        <f t="shared" si="30"/>
        <v>10.19</v>
      </c>
      <c r="Y131" s="90">
        <f t="shared" si="31"/>
        <v>0.55600333061946772</v>
      </c>
      <c r="Z131" s="90">
        <f t="shared" si="32"/>
        <v>0</v>
      </c>
      <c r="AA131" s="91">
        <f t="shared" si="33"/>
        <v>0</v>
      </c>
      <c r="AB131" s="96">
        <f>VLOOKUP(A131,'8. Demand data categorization'!A:N,3,FALSE)</f>
        <v>2</v>
      </c>
      <c r="AC131" s="95" t="str">
        <f>VLOOKUP(A131,'8. Demand data categorization'!A:N,14,FALSE)</f>
        <v>N</v>
      </c>
      <c r="AD131" t="str">
        <f t="shared" si="34"/>
        <v>No Change</v>
      </c>
    </row>
    <row r="132" spans="1:30" x14ac:dyDescent="0.25">
      <c r="A132" s="107" t="s">
        <v>51</v>
      </c>
      <c r="B132" t="str">
        <f>IF(ISERROR(VLOOKUP(A132, '8. Demand data categorization'!A:M,13,FALSE)),"ERROR",IF((VLOOKUP(A132, '8. Demand data categorization'!A:M,13,FALSE))="-","Riparian",IF(OR(VLOOKUP(A132, '8. Demand data categorization'!A:M,13,FALSE)="1971-1990",VLOOKUP(A132, '8. Demand data categorization'!A:M,13,FALSE)="1991-Present"),"1971-Present",VLOOKUP(A132, '8. Demand data categorization'!A:M,13,FALSE))))</f>
        <v>1953-1954</v>
      </c>
      <c r="C132" s="84" t="str">
        <f>VLOOKUP(A132,'12. eWRIMS_Export'!A:K,7,FALSE)</f>
        <v>WILLOW COUNTY WATER DISTRICT</v>
      </c>
      <c r="D132">
        <f>VLOOKUP(A132,'8. Demand data categorization'!A:AJ,30,FALSE)</f>
        <v>61.46</v>
      </c>
      <c r="E132">
        <f>VLOOKUP(A132,'8. Demand data categorization'!A:AJ,31,FALSE)</f>
        <v>61.46</v>
      </c>
      <c r="F132">
        <f>VLOOKUP(A132,'8. Demand data categorization'!A:AJ,32,FALSE)</f>
        <v>59.11</v>
      </c>
      <c r="G132" s="84">
        <f>VLOOKUP(A132,'8. Demand data categorization'!A:AJ,33,FALSE)</f>
        <v>57.03</v>
      </c>
      <c r="H132" s="80">
        <f>IF(ISERROR(VLOOKUP($A132,'8. Demand data categorization'!$A:$AV,30,FALSE)),0,(VLOOKUP($A132,'8. Demand data categorization'!$A:$AV,30,FALSE))*(1-VLOOKUP($B132,'2. Forbearance thresholds'!$A$16:$F$25,3,FALSE)))</f>
        <v>55.314</v>
      </c>
      <c r="I132" s="80">
        <f>IF(ISERROR(VLOOKUP($A132,'8. Demand data categorization'!$A:$AV,31,FALSE)),0,(VLOOKUP($A132,'8. Demand data categorization'!$A:$AV,31,FALSE))*(1-VLOOKUP($B132,'2. Forbearance thresholds'!$A$16:$F$25,4,FALSE)))</f>
        <v>1.7569133521785338</v>
      </c>
      <c r="J132" s="80">
        <f>IF(ISERROR(VLOOKUP($A132,'8. Demand data categorization'!$A:$AV,32,FALSE)),0,(VLOOKUP($A132,'8. Demand data categorization'!$A:$AV,32,FALSE))*(1-VLOOKUP($B132,'2. Forbearance thresholds'!$A$16:$F$25,5,FALSE)))</f>
        <v>0</v>
      </c>
      <c r="K132" s="89">
        <f>IF(ISERROR(VLOOKUP($A132,'8. Demand data categorization'!$A:$AV,33,FALSE)),0,(VLOOKUP($A132,'8. Demand data categorization'!$A:$AV,33,FALSE))*(1-VLOOKUP($B132,'2. Forbearance thresholds'!$A$16:$F$25,6,FALSE)))</f>
        <v>0</v>
      </c>
      <c r="L132" s="1" t="str">
        <f>IF(ISERROR(VLOOKUP(A132,'11. TransferExport'!A:A,1,FALSE)),"N","Y")</f>
        <v>N</v>
      </c>
      <c r="M132" s="1" t="str">
        <f>IF(ISERROR(VLOOKUP(A132,'11. TransferExport'!B:B,1,FALSE)),"N","Y")</f>
        <v>N</v>
      </c>
      <c r="N132">
        <f>IF(L132="Y",-SUMIF('11. TransferExport'!A:A,A132,'11. TransferExport'!D:D),IF(M132="Y",SUMIF('11. TransferExport'!B:B,A132,'11. TransferExport'!D:D),0))</f>
        <v>0</v>
      </c>
      <c r="O132">
        <f>IF(L132="Y",-SUMIF('11. TransferExport'!A:A,A132,'11. TransferExport'!E:E),IF(M132="Y",SUMIF('11. TransferExport'!B:B,A132,'11. TransferExport'!E:E),0))</f>
        <v>0</v>
      </c>
      <c r="P132">
        <f>IF(L132="Y",-SUMIF('11. TransferExport'!A:A,A132,'11. TransferExport'!F:F),IF(M132="Y",SUMIF('11. TransferExport'!B:B,A132,'11. TransferExport'!F:F),0))</f>
        <v>0</v>
      </c>
      <c r="Q132">
        <f>IF(L132="Y",-SUMIF('11. TransferExport'!A:A,A132,'11. TransferExport'!G:G),IF(M132="Y",SUMIF('11. TransferExport'!B:B,A132,'11. TransferExport'!G:G),0))</f>
        <v>0</v>
      </c>
      <c r="R132" s="91">
        <f t="shared" si="28"/>
        <v>57.070913352178536</v>
      </c>
      <c r="S132">
        <f>IF(L132="Y",-SUMIF('11. TransferExport'!$A:$A,$A132,'11. TransferExport'!L:L),IF(M132="Y",SUMIF('11. TransferExport'!$B:$B,$A132,'11. TransferExport'!L:L),0))</f>
        <v>0</v>
      </c>
      <c r="T132">
        <f>IF($L132="Y",-SUMIF('11. TransferExport'!$A:$A,$A132,'11. TransferExport'!M:M),IF($M132="Y",SUMIF('11. TransferExport'!$B:$B,$A132,'11. TransferExport'!M:M),0))</f>
        <v>0</v>
      </c>
      <c r="U132">
        <f>IF($L132="Y",-SUMIF('11. TransferExport'!$A:$A,$A132,'11. TransferExport'!N:N),IF($M132="Y",SUMIF('11. TransferExport'!$B:$B,$A132,'11. TransferExport'!N:N),0))</f>
        <v>0</v>
      </c>
      <c r="V132">
        <f>IF($L132="Y",-SUMIF('11. TransferExport'!$A:$A,$A132,'11. TransferExport'!O:O),IF($M132="Y",SUMIF('11. TransferExport'!$B:$B,$A132,'11. TransferExport'!O:O),0))</f>
        <v>0</v>
      </c>
      <c r="W132" s="90">
        <f t="shared" si="29"/>
        <v>57.070913352178536</v>
      </c>
      <c r="X132" s="90">
        <f t="shared" si="30"/>
        <v>55.314</v>
      </c>
      <c r="Y132" s="90">
        <f t="shared" si="31"/>
        <v>1.7569133521785338</v>
      </c>
      <c r="Z132" s="90">
        <f t="shared" si="32"/>
        <v>0</v>
      </c>
      <c r="AA132" s="91">
        <f t="shared" si="33"/>
        <v>0</v>
      </c>
      <c r="AB132" s="96">
        <f>VLOOKUP(A132,'8. Demand data categorization'!A:N,3,FALSE)</f>
        <v>5</v>
      </c>
      <c r="AC132" s="95" t="str">
        <f>VLOOKUP(A132,'8. Demand data categorization'!A:N,14,FALSE)</f>
        <v>Y</v>
      </c>
      <c r="AD132" t="str">
        <f t="shared" si="34"/>
        <v>Giving</v>
      </c>
    </row>
    <row r="133" spans="1:30" x14ac:dyDescent="0.25">
      <c r="A133" s="107" t="s">
        <v>149</v>
      </c>
      <c r="B133" t="str">
        <f>IF(ISERROR(VLOOKUP(A133, '8. Demand data categorization'!A:M,13,FALSE)),"ERROR",IF((VLOOKUP(A133, '8. Demand data categorization'!A:M,13,FALSE))="-","Riparian",IF(OR(VLOOKUP(A133, '8. Demand data categorization'!A:M,13,FALSE)="1971-1990",VLOOKUP(A133, '8. Demand data categorization'!A:M,13,FALSE)="1991-Present"),"1971-Present",VLOOKUP(A133, '8. Demand data categorization'!A:M,13,FALSE))))</f>
        <v>1955-1956</v>
      </c>
      <c r="C133" s="84" t="str">
        <f>VLOOKUP(A133,'12. eWRIMS_Export'!A:K,7,FALSE)</f>
        <v>WILLOW COUNTY WATER DISTRICT</v>
      </c>
      <c r="D133">
        <f>VLOOKUP(A133,'8. Demand data categorization'!A:AJ,30,FALSE)</f>
        <v>0</v>
      </c>
      <c r="E133">
        <f>VLOOKUP(A133,'8. Demand data categorization'!A:AJ,31,FALSE)</f>
        <v>0</v>
      </c>
      <c r="F133">
        <f>VLOOKUP(A133,'8. Demand data categorization'!A:AJ,32,FALSE)</f>
        <v>0</v>
      </c>
      <c r="G133" s="84">
        <f>VLOOKUP(A133,'8. Demand data categorization'!A:AJ,33,FALSE)</f>
        <v>0</v>
      </c>
      <c r="H133" s="80">
        <f>IF(ISERROR(VLOOKUP($A133,'8. Demand data categorization'!$A:$AV,30,FALSE)),0,(VLOOKUP($A133,'8. Demand data categorization'!$A:$AV,30,FALSE))*(1-VLOOKUP($B133,'2. Forbearance thresholds'!$A$16:$F$25,3,FALSE)))</f>
        <v>0</v>
      </c>
      <c r="I133" s="80">
        <f>IF(ISERROR(VLOOKUP($A133,'8. Demand data categorization'!$A:$AV,31,FALSE)),0,(VLOOKUP($A133,'8. Demand data categorization'!$A:$AV,31,FALSE))*(1-VLOOKUP($B133,'2. Forbearance thresholds'!$A$16:$F$25,4,FALSE)))</f>
        <v>0</v>
      </c>
      <c r="J133" s="80">
        <f>IF(ISERROR(VLOOKUP($A133,'8. Demand data categorization'!$A:$AV,32,FALSE)),0,(VLOOKUP($A133,'8. Demand data categorization'!$A:$AV,32,FALSE))*(1-VLOOKUP($B133,'2. Forbearance thresholds'!$A$16:$F$25,5,FALSE)))</f>
        <v>0</v>
      </c>
      <c r="K133" s="89">
        <f>IF(ISERROR(VLOOKUP($A133,'8. Demand data categorization'!$A:$AV,33,FALSE)),0,(VLOOKUP($A133,'8. Demand data categorization'!$A:$AV,33,FALSE))*(1-VLOOKUP($B133,'2. Forbearance thresholds'!$A$16:$F$25,6,FALSE)))</f>
        <v>0</v>
      </c>
      <c r="L133" s="1" t="str">
        <f>IF(ISERROR(VLOOKUP(A133,'11. TransferExport'!A:A,1,FALSE)),"N","Y")</f>
        <v>N</v>
      </c>
      <c r="M133" s="1" t="str">
        <f>IF(ISERROR(VLOOKUP(A133,'11. TransferExport'!B:B,1,FALSE)),"N","Y")</f>
        <v>N</v>
      </c>
      <c r="N133">
        <f>IF(L133="Y",-SUMIF('11. TransferExport'!A:A,A133,'11. TransferExport'!D:D),IF(M133="Y",SUMIF('11. TransferExport'!B:B,A133,'11. TransferExport'!D:D),0))</f>
        <v>0</v>
      </c>
      <c r="O133">
        <f>IF(L133="Y",-SUMIF('11. TransferExport'!A:A,A133,'11. TransferExport'!E:E),IF(M133="Y",SUMIF('11. TransferExport'!B:B,A133,'11. TransferExport'!E:E),0))</f>
        <v>0</v>
      </c>
      <c r="P133">
        <f>IF(L133="Y",-SUMIF('11. TransferExport'!A:A,A133,'11. TransferExport'!F:F),IF(M133="Y",SUMIF('11. TransferExport'!B:B,A133,'11. TransferExport'!F:F),0))</f>
        <v>0</v>
      </c>
      <c r="Q133">
        <f>IF(L133="Y",-SUMIF('11. TransferExport'!A:A,A133,'11. TransferExport'!G:G),IF(M133="Y",SUMIF('11. TransferExport'!B:B,A133,'11. TransferExport'!G:G),0))</f>
        <v>0</v>
      </c>
      <c r="R133" s="91">
        <f t="shared" si="28"/>
        <v>0</v>
      </c>
      <c r="S133">
        <f>IF(L133="Y",-SUMIF('11. TransferExport'!$A:$A,$A133,'11. TransferExport'!L:L),IF(M133="Y",SUMIF('11. TransferExport'!$B:$B,$A133,'11. TransferExport'!L:L),0))</f>
        <v>0</v>
      </c>
      <c r="T133">
        <f>IF($L133="Y",-SUMIF('11. TransferExport'!$A:$A,$A133,'11. TransferExport'!M:M),IF($M133="Y",SUMIF('11. TransferExport'!$B:$B,$A133,'11. TransferExport'!M:M),0))</f>
        <v>0</v>
      </c>
      <c r="U133">
        <f>IF($L133="Y",-SUMIF('11. TransferExport'!$A:$A,$A133,'11. TransferExport'!N:N),IF($M133="Y",SUMIF('11. TransferExport'!$B:$B,$A133,'11. TransferExport'!N:N),0))</f>
        <v>0</v>
      </c>
      <c r="V133">
        <f>IF($L133="Y",-SUMIF('11. TransferExport'!$A:$A,$A133,'11. TransferExport'!O:O),IF($M133="Y",SUMIF('11. TransferExport'!$B:$B,$A133,'11. TransferExport'!O:O),0))</f>
        <v>0</v>
      </c>
      <c r="W133" s="90">
        <f t="shared" si="29"/>
        <v>0</v>
      </c>
      <c r="X133" s="90">
        <f t="shared" si="30"/>
        <v>0</v>
      </c>
      <c r="Y133" s="90">
        <f t="shared" si="31"/>
        <v>0</v>
      </c>
      <c r="Z133" s="90">
        <f t="shared" si="32"/>
        <v>0</v>
      </c>
      <c r="AA133" s="91">
        <f t="shared" si="33"/>
        <v>0</v>
      </c>
      <c r="AB133" s="96">
        <f>VLOOKUP(A133,'8. Demand data categorization'!A:N,3,FALSE)</f>
        <v>4</v>
      </c>
      <c r="AC133" s="95" t="str">
        <f>VLOOKUP(A133,'8. Demand data categorization'!A:N,14,FALSE)</f>
        <v>Y</v>
      </c>
      <c r="AD133" t="str">
        <f t="shared" si="34"/>
        <v>Giving</v>
      </c>
    </row>
    <row r="134" spans="1:30" x14ac:dyDescent="0.25">
      <c r="A134" s="107" t="s">
        <v>79</v>
      </c>
      <c r="B134" t="str">
        <f>IF(ISERROR(VLOOKUP(A134, '8. Demand data categorization'!A:M,13,FALSE)),"ERROR",IF((VLOOKUP(A134, '8. Demand data categorization'!A:M,13,FALSE))="-","Riparian",IF(OR(VLOOKUP(A134, '8. Demand data categorization'!A:M,13,FALSE)="1971-1990",VLOOKUP(A134, '8. Demand data categorization'!A:M,13,FALSE)="1991-Present"),"1971-Present",VLOOKUP(A134, '8. Demand data categorization'!A:M,13,FALSE))))</f>
        <v>1950-1952</v>
      </c>
      <c r="C134" s="84" t="str">
        <f>VLOOKUP(A134,'12. eWRIMS_Export'!A:K,7,FALSE)</f>
        <v>YELLOW GEYSERVILLE III LLC</v>
      </c>
      <c r="D134">
        <f>VLOOKUP(A134,'8. Demand data categorization'!A:AJ,30,FALSE)</f>
        <v>4.53</v>
      </c>
      <c r="E134">
        <f>VLOOKUP(A134,'8. Demand data categorization'!A:AJ,31,FALSE)</f>
        <v>5</v>
      </c>
      <c r="F134">
        <f>VLOOKUP(A134,'8. Demand data categorization'!A:AJ,32,FALSE)</f>
        <v>6.4</v>
      </c>
      <c r="G134" s="84">
        <f>VLOOKUP(A134,'8. Demand data categorization'!A:AJ,33,FALSE)</f>
        <v>0.16</v>
      </c>
      <c r="H134" s="80">
        <f>IF(ISERROR(VLOOKUP($A134,'8. Demand data categorization'!$A:$AV,30,FALSE)),0,(VLOOKUP($A134,'8. Demand data categorization'!$A:$AV,30,FALSE))*(1-VLOOKUP($B134,'2. Forbearance thresholds'!$A$16:$F$25,3,FALSE)))</f>
        <v>4.077</v>
      </c>
      <c r="I134" s="80">
        <f>IF(ISERROR(VLOOKUP($A134,'8. Demand data categorization'!$A:$AV,31,FALSE)),0,(VLOOKUP($A134,'8. Demand data categorization'!$A:$AV,31,FALSE))*(1-VLOOKUP($B134,'2. Forbearance thresholds'!$A$16:$F$25,4,FALSE)))</f>
        <v>0.1429314474600174</v>
      </c>
      <c r="J134" s="80">
        <f>IF(ISERROR(VLOOKUP($A134,'8. Demand data categorization'!$A:$AV,32,FALSE)),0,(VLOOKUP($A134,'8. Demand data categorization'!$A:$AV,32,FALSE))*(1-VLOOKUP($B134,'2. Forbearance thresholds'!$A$16:$F$25,5,FALSE)))</f>
        <v>0</v>
      </c>
      <c r="K134" s="89">
        <f>IF(ISERROR(VLOOKUP($A134,'8. Demand data categorization'!$A:$AV,33,FALSE)),0,(VLOOKUP($A134,'8. Demand data categorization'!$A:$AV,33,FALSE))*(1-VLOOKUP($B134,'2. Forbearance thresholds'!$A$16:$F$25,6,FALSE)))</f>
        <v>0</v>
      </c>
      <c r="L134" s="1" t="str">
        <f>IF(ISERROR(VLOOKUP(A134,'11. TransferExport'!A:A,1,FALSE)),"N","Y")</f>
        <v>N</v>
      </c>
      <c r="M134" s="1" t="str">
        <f>IF(ISERROR(VLOOKUP(A134,'11. TransferExport'!B:B,1,FALSE)),"N","Y")</f>
        <v>N</v>
      </c>
      <c r="N134">
        <f>IF(L134="Y",-SUMIF('11. TransferExport'!A:A,A134,'11. TransferExport'!D:D),IF(M134="Y",SUMIF('11. TransferExport'!B:B,A134,'11. TransferExport'!D:D),0))</f>
        <v>0</v>
      </c>
      <c r="O134">
        <f>IF(L134="Y",-SUMIF('11. TransferExport'!A:A,A134,'11. TransferExport'!E:E),IF(M134="Y",SUMIF('11. TransferExport'!B:B,A134,'11. TransferExport'!E:E),0))</f>
        <v>0</v>
      </c>
      <c r="P134">
        <f>IF(L134="Y",-SUMIF('11. TransferExport'!A:A,A134,'11. TransferExport'!F:F),IF(M134="Y",SUMIF('11. TransferExport'!B:B,A134,'11. TransferExport'!F:F),0))</f>
        <v>0</v>
      </c>
      <c r="Q134">
        <f>IF(L134="Y",-SUMIF('11. TransferExport'!A:A,A134,'11. TransferExport'!G:G),IF(M134="Y",SUMIF('11. TransferExport'!B:B,A134,'11. TransferExport'!G:G),0))</f>
        <v>0</v>
      </c>
      <c r="R134" s="91">
        <f t="shared" si="28"/>
        <v>4.2199314474600174</v>
      </c>
      <c r="S134">
        <f>IF(L134="Y",-SUMIF('11. TransferExport'!$A:$A,$A134,'11. TransferExport'!L:L),IF(M134="Y",SUMIF('11. TransferExport'!$B:$B,$A134,'11. TransferExport'!L:L),0))</f>
        <v>0</v>
      </c>
      <c r="T134">
        <f>IF($L134="Y",-SUMIF('11. TransferExport'!$A:$A,$A134,'11. TransferExport'!M:M),IF($M134="Y",SUMIF('11. TransferExport'!$B:$B,$A134,'11. TransferExport'!M:M),0))</f>
        <v>0</v>
      </c>
      <c r="U134">
        <f>IF($L134="Y",-SUMIF('11. TransferExport'!$A:$A,$A134,'11. TransferExport'!N:N),IF($M134="Y",SUMIF('11. TransferExport'!$B:$B,$A134,'11. TransferExport'!N:N),0))</f>
        <v>0</v>
      </c>
      <c r="V134">
        <f>IF($L134="Y",-SUMIF('11. TransferExport'!$A:$A,$A134,'11. TransferExport'!O:O),IF($M134="Y",SUMIF('11. TransferExport'!$B:$B,$A134,'11. TransferExport'!O:O),0))</f>
        <v>0</v>
      </c>
      <c r="W134" s="90">
        <f t="shared" si="29"/>
        <v>4.2199314474600174</v>
      </c>
      <c r="X134" s="90">
        <f t="shared" si="30"/>
        <v>4.077</v>
      </c>
      <c r="Y134" s="90">
        <f t="shared" si="31"/>
        <v>0.1429314474600174</v>
      </c>
      <c r="Z134" s="90">
        <f t="shared" si="32"/>
        <v>0</v>
      </c>
      <c r="AA134" s="91">
        <f t="shared" si="33"/>
        <v>0</v>
      </c>
      <c r="AB134" s="96">
        <f>VLOOKUP(A134,'8. Demand data categorization'!A:N,3,FALSE)</f>
        <v>10</v>
      </c>
      <c r="AC134" s="95" t="str">
        <f>VLOOKUP(A134,'8. Demand data categorization'!A:N,14,FALSE)</f>
        <v>Y</v>
      </c>
      <c r="AD134" t="str">
        <f t="shared" si="34"/>
        <v>Giving</v>
      </c>
    </row>
    <row r="135" spans="1:30" x14ac:dyDescent="0.25">
      <c r="A135" s="107" t="s">
        <v>98</v>
      </c>
      <c r="B135" t="str">
        <f>IF(ISERROR(VLOOKUP(A135, '8. Demand data categorization'!A:M,13,FALSE)),"ERROR",IF((VLOOKUP(A135, '8. Demand data categorization'!A:M,13,FALSE))="-","Riparian",IF(OR(VLOOKUP(A135, '8. Demand data categorization'!A:M,13,FALSE)="1971-1990",VLOOKUP(A135, '8. Demand data categorization'!A:M,13,FALSE)="1991-Present"),"1971-Present",VLOOKUP(A135, '8. Demand data categorization'!A:M,13,FALSE))))</f>
        <v>Riparian</v>
      </c>
      <c r="C135" s="84" t="str">
        <f>VLOOKUP(A135,'12. eWRIMS_Export'!A:K,7,FALSE)</f>
        <v>YELLOW GEYSERVILLE III LLC</v>
      </c>
      <c r="D135">
        <f>VLOOKUP(A135,'8. Demand data categorization'!A:AJ,30,FALSE)</f>
        <v>0</v>
      </c>
      <c r="E135">
        <f>VLOOKUP(A135,'8. Demand data categorization'!A:AJ,31,FALSE)</f>
        <v>0</v>
      </c>
      <c r="F135">
        <f>VLOOKUP(A135,'8. Demand data categorization'!A:AJ,32,FALSE)</f>
        <v>0</v>
      </c>
      <c r="G135" s="84">
        <f>VLOOKUP(A135,'8. Demand data categorization'!A:AJ,33,FALSE)</f>
        <v>0</v>
      </c>
      <c r="H135" s="80">
        <f>IF(ISERROR(VLOOKUP($A135,'8. Demand data categorization'!$A:$AV,30,FALSE)),0,(VLOOKUP($A135,'8. Demand data categorization'!$A:$AV,30,FALSE))*(1-VLOOKUP($B135,'2. Forbearance thresholds'!$A$16:$F$25,3,FALSE)))</f>
        <v>0</v>
      </c>
      <c r="I135" s="80">
        <f>IF(ISERROR(VLOOKUP($A135,'8. Demand data categorization'!$A:$AV,31,FALSE)),0,(VLOOKUP($A135,'8. Demand data categorization'!$A:$AV,31,FALSE))*(1-VLOOKUP($B135,'2. Forbearance thresholds'!$A$16:$F$25,4,FALSE)))</f>
        <v>0</v>
      </c>
      <c r="J135" s="80">
        <f>IF(ISERROR(VLOOKUP($A135,'8. Demand data categorization'!$A:$AV,32,FALSE)),0,(VLOOKUP($A135,'8. Demand data categorization'!$A:$AV,32,FALSE))*(1-VLOOKUP($B135,'2. Forbearance thresholds'!$A$16:$F$25,5,FALSE)))</f>
        <v>0</v>
      </c>
      <c r="K135" s="89">
        <f>IF(ISERROR(VLOOKUP($A135,'8. Demand data categorization'!$A:$AV,33,FALSE)),0,(VLOOKUP($A135,'8. Demand data categorization'!$A:$AV,33,FALSE))*(1-VLOOKUP($B135,'2. Forbearance thresholds'!$A$16:$F$25,6,FALSE)))</f>
        <v>0</v>
      </c>
      <c r="L135" s="1" t="str">
        <f>IF(ISERROR(VLOOKUP(A135,'11. TransferExport'!A:A,1,FALSE)),"N","Y")</f>
        <v>N</v>
      </c>
      <c r="M135" s="1" t="str">
        <f>IF(ISERROR(VLOOKUP(A135,'11. TransferExport'!B:B,1,FALSE)),"N","Y")</f>
        <v>N</v>
      </c>
      <c r="N135">
        <f>IF(L135="Y",-SUMIF('11. TransferExport'!A:A,A135,'11. TransferExport'!D:D),IF(M135="Y",SUMIF('11. TransferExport'!B:B,A135,'11. TransferExport'!D:D),0))</f>
        <v>0</v>
      </c>
      <c r="O135">
        <f>IF(L135="Y",-SUMIF('11. TransferExport'!A:A,A135,'11. TransferExport'!E:E),IF(M135="Y",SUMIF('11. TransferExport'!B:B,A135,'11. TransferExport'!E:E),0))</f>
        <v>0</v>
      </c>
      <c r="P135">
        <f>IF(L135="Y",-SUMIF('11. TransferExport'!A:A,A135,'11. TransferExport'!F:F),IF(M135="Y",SUMIF('11. TransferExport'!B:B,A135,'11. TransferExport'!F:F),0))</f>
        <v>0</v>
      </c>
      <c r="Q135">
        <f>IF(L135="Y",-SUMIF('11. TransferExport'!A:A,A135,'11. TransferExport'!G:G),IF(M135="Y",SUMIF('11. TransferExport'!B:B,A135,'11. TransferExport'!G:G),0))</f>
        <v>0</v>
      </c>
      <c r="R135" s="91">
        <f t="shared" si="28"/>
        <v>0</v>
      </c>
      <c r="S135">
        <f>IF(L135="Y",-SUMIF('11. TransferExport'!$A:$A,$A135,'11. TransferExport'!L:L),IF(M135="Y",SUMIF('11. TransferExport'!$B:$B,$A135,'11. TransferExport'!L:L),0))</f>
        <v>0</v>
      </c>
      <c r="T135">
        <f>IF($L135="Y",-SUMIF('11. TransferExport'!$A:$A,$A135,'11. TransferExport'!M:M),IF($M135="Y",SUMIF('11. TransferExport'!$B:$B,$A135,'11. TransferExport'!M:M),0))</f>
        <v>0</v>
      </c>
      <c r="U135">
        <f>IF($L135="Y",-SUMIF('11. TransferExport'!$A:$A,$A135,'11. TransferExport'!N:N),IF($M135="Y",SUMIF('11. TransferExport'!$B:$B,$A135,'11. TransferExport'!N:N),0))</f>
        <v>0</v>
      </c>
      <c r="V135">
        <f>IF($L135="Y",-SUMIF('11. TransferExport'!$A:$A,$A135,'11. TransferExport'!O:O),IF($M135="Y",SUMIF('11. TransferExport'!$B:$B,$A135,'11. TransferExport'!O:O),0))</f>
        <v>0</v>
      </c>
      <c r="W135" s="90">
        <f t="shared" si="29"/>
        <v>0</v>
      </c>
      <c r="X135" s="90">
        <f t="shared" si="30"/>
        <v>0</v>
      </c>
      <c r="Y135" s="90">
        <f t="shared" si="31"/>
        <v>0</v>
      </c>
      <c r="Z135" s="90">
        <f t="shared" si="32"/>
        <v>0</v>
      </c>
      <c r="AA135" s="91">
        <f t="shared" si="33"/>
        <v>0</v>
      </c>
      <c r="AB135" s="96"/>
      <c r="AC135" s="95"/>
      <c r="AD135" t="str">
        <f t="shared" si="34"/>
        <v>Taking</v>
      </c>
    </row>
  </sheetData>
  <sortState xmlns:xlrd2="http://schemas.microsoft.com/office/spreadsheetml/2017/richdata2" ref="A2:AD135">
    <sortCondition ref="C1:C135"/>
  </sortState>
  <phoneticPr fontId="14" type="noConversion"/>
  <conditionalFormatting sqref="B1:G1048576">
    <cfRule type="cellIs" dxfId="38" priority="4" operator="equal">
      <formula>"ERROR"</formula>
    </cfRule>
  </conditionalFormatting>
  <conditionalFormatting sqref="A1:A1048576">
    <cfRule type="duplicateValues" dxfId="37" priority="3"/>
  </conditionalFormatting>
  <conditionalFormatting sqref="W1:AA45 R1:R1048576 W47:AA110">
    <cfRule type="cellIs" dxfId="36" priority="2" operator="lessThan">
      <formula>0</formula>
    </cfRule>
  </conditionalFormatting>
  <conditionalFormatting sqref="X46:AA46 X111:AA112 AD1 W113:AA1048576">
    <cfRule type="cellIs" dxfId="35" priority="1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DC4DC-7007-4D01-AA2F-117800D9A0C7}">
  <dimension ref="A1:F41"/>
  <sheetViews>
    <sheetView workbookViewId="0">
      <selection activeCell="E16" sqref="E16:F25"/>
    </sheetView>
  </sheetViews>
  <sheetFormatPr defaultRowHeight="15" x14ac:dyDescent="0.25"/>
  <cols>
    <col min="1" max="1" width="23.28515625" customWidth="1"/>
    <col min="2" max="2" width="12.42578125" customWidth="1"/>
    <col min="3" max="3" width="13.140625" customWidth="1"/>
    <col min="4" max="4" width="13.5703125" customWidth="1"/>
    <col min="5" max="5" width="13.42578125" customWidth="1"/>
    <col min="11" max="11" width="33.7109375" bestFit="1" customWidth="1"/>
    <col min="12" max="12" width="22.5703125" customWidth="1"/>
  </cols>
  <sheetData>
    <row r="1" spans="1:6" x14ac:dyDescent="0.25">
      <c r="A1" s="108" t="s">
        <v>170</v>
      </c>
      <c r="B1" s="109"/>
      <c r="C1" s="109"/>
      <c r="D1" s="109"/>
      <c r="E1" s="109"/>
      <c r="F1" s="110"/>
    </row>
    <row r="2" spans="1:6" ht="30" x14ac:dyDescent="0.25">
      <c r="A2" s="51" t="s">
        <v>171</v>
      </c>
      <c r="B2" s="30" t="s">
        <v>172</v>
      </c>
      <c r="C2" s="30" t="s">
        <v>173</v>
      </c>
      <c r="D2" s="30" t="s">
        <v>174</v>
      </c>
      <c r="E2" s="30" t="s">
        <v>175</v>
      </c>
      <c r="F2" s="30" t="s">
        <v>176</v>
      </c>
    </row>
    <row r="3" spans="1:6" x14ac:dyDescent="0.25">
      <c r="A3" s="31" t="s">
        <v>177</v>
      </c>
      <c r="B3" s="71" t="s">
        <v>178</v>
      </c>
      <c r="C3" s="71">
        <f>SUMIF('1. Sharing Summary'!B:B,A3,'1. Sharing Summary'!D:D)</f>
        <v>118.90666666666668</v>
      </c>
      <c r="D3" s="71">
        <f>SUMIF('1. Sharing Summary'!B:B,A3,'1. Sharing Summary'!E:E)</f>
        <v>141.99333333333334</v>
      </c>
      <c r="E3" s="71">
        <f>SUMIF('1. Sharing Summary'!B:B,A3,'1. Sharing Summary'!F:F)</f>
        <v>124.7</v>
      </c>
      <c r="F3" s="71">
        <f>SUMIF('1. Sharing Summary'!B:B,A3,'1. Sharing Summary'!G:G)</f>
        <v>78.196666666666658</v>
      </c>
    </row>
    <row r="4" spans="1:6" x14ac:dyDescent="0.25">
      <c r="A4" s="31" t="s">
        <v>179</v>
      </c>
      <c r="B4" s="71" t="s">
        <v>178</v>
      </c>
      <c r="C4" s="71">
        <f>SUMIF('1. Sharing Summary'!B:B,A4,'1. Sharing Summary'!D:D)</f>
        <v>324.14</v>
      </c>
      <c r="D4" s="71">
        <f>SUMIF('1. Sharing Summary'!B:B,A4,'1. Sharing Summary'!E:E)</f>
        <v>322.42999999999995</v>
      </c>
      <c r="E4" s="71">
        <f>SUMIF('1. Sharing Summary'!B:B,A4,'1. Sharing Summary'!F:F)</f>
        <v>301.18</v>
      </c>
      <c r="F4" s="71">
        <f>SUMIF('1. Sharing Summary'!B:B,A4,'1. Sharing Summary'!G:G)</f>
        <v>285.5</v>
      </c>
    </row>
    <row r="5" spans="1:6" x14ac:dyDescent="0.25">
      <c r="A5" s="31" t="s">
        <v>180</v>
      </c>
      <c r="B5" s="71" t="s">
        <v>178</v>
      </c>
      <c r="C5" s="71">
        <f>SUMIF('1. Sharing Summary'!B:B,A5,'1. Sharing Summary'!D:D)</f>
        <v>196.51333333299999</v>
      </c>
      <c r="D5" s="71">
        <f>SUMIF('1. Sharing Summary'!B:B,A5,'1. Sharing Summary'!E:E)</f>
        <v>231.88333333299997</v>
      </c>
      <c r="E5" s="71">
        <f>SUMIF('1. Sharing Summary'!B:B,A5,'1. Sharing Summary'!F:F)</f>
        <v>161.69333333299997</v>
      </c>
      <c r="F5" s="71">
        <f>SUMIF('1. Sharing Summary'!B:B,A5,'1. Sharing Summary'!G:G)</f>
        <v>87.739999999999981</v>
      </c>
    </row>
    <row r="6" spans="1:6" x14ac:dyDescent="0.25">
      <c r="A6" s="31" t="s">
        <v>181</v>
      </c>
      <c r="B6" s="71" t="s">
        <v>178</v>
      </c>
      <c r="C6" s="71">
        <f>SUMIF('1. Sharing Summary'!B:B,A6,'1. Sharing Summary'!D:D)</f>
        <v>992.43</v>
      </c>
      <c r="D6" s="71">
        <f>SUMIF('1. Sharing Summary'!B:B,A6,'1. Sharing Summary'!E:E)</f>
        <v>1228.9100000000001</v>
      </c>
      <c r="E6" s="71">
        <f>SUMIF('1. Sharing Summary'!B:B,A6,'1. Sharing Summary'!F:F)</f>
        <v>833.22</v>
      </c>
      <c r="F6" s="71">
        <f>SUMIF('1. Sharing Summary'!B:B,A6,'1. Sharing Summary'!G:G)</f>
        <v>522.38</v>
      </c>
    </row>
    <row r="7" spans="1:6" x14ac:dyDescent="0.25">
      <c r="A7" s="31" t="s">
        <v>182</v>
      </c>
      <c r="B7" s="71" t="s">
        <v>178</v>
      </c>
      <c r="C7" s="71">
        <f>SUMIF('1. Sharing Summary'!B:B,A7,'1. Sharing Summary'!D:D)</f>
        <v>68.45</v>
      </c>
      <c r="D7" s="71">
        <f>SUMIF('1. Sharing Summary'!B:B,A7,'1. Sharing Summary'!E:E)</f>
        <v>63.790000000000006</v>
      </c>
      <c r="E7" s="71">
        <f>SUMIF('1. Sharing Summary'!B:B,A7,'1. Sharing Summary'!F:F)</f>
        <v>47.76</v>
      </c>
      <c r="F7" s="71">
        <f>SUMIF('1. Sharing Summary'!B:B,A7,'1. Sharing Summary'!G:G)</f>
        <v>11.18</v>
      </c>
    </row>
    <row r="8" spans="1:6" x14ac:dyDescent="0.25">
      <c r="A8" s="31" t="s">
        <v>183</v>
      </c>
      <c r="B8" s="71" t="s">
        <v>178</v>
      </c>
      <c r="C8" s="71">
        <f>SUMIF('1. Sharing Summary'!B:B,A8,'1. Sharing Summary'!D:D)</f>
        <v>259.36</v>
      </c>
      <c r="D8" s="71">
        <f>SUMIF('1. Sharing Summary'!B:B,A8,'1. Sharing Summary'!E:E)</f>
        <v>255.24000000000004</v>
      </c>
      <c r="E8" s="71">
        <f>SUMIF('1. Sharing Summary'!B:B,A8,'1. Sharing Summary'!F:F)</f>
        <v>187.76</v>
      </c>
      <c r="F8" s="71">
        <f>SUMIF('1. Sharing Summary'!B:B,A8,'1. Sharing Summary'!G:G)</f>
        <v>117.46</v>
      </c>
    </row>
    <row r="9" spans="1:6" x14ac:dyDescent="0.25">
      <c r="A9" s="31" t="s">
        <v>184</v>
      </c>
      <c r="B9" s="71" t="s">
        <v>178</v>
      </c>
      <c r="C9" s="71">
        <f>SUMIF('1. Sharing Summary'!B:B,A9,'1. Sharing Summary'!D:D)</f>
        <v>162.20000000000002</v>
      </c>
      <c r="D9" s="71">
        <f>SUMIF('1. Sharing Summary'!B:B,A9,'1. Sharing Summary'!E:E)</f>
        <v>163.33000000000001</v>
      </c>
      <c r="E9" s="71">
        <f>SUMIF('1. Sharing Summary'!B:B,A9,'1. Sharing Summary'!F:F)</f>
        <v>148.76</v>
      </c>
      <c r="F9" s="71">
        <f>SUMIF('1. Sharing Summary'!B:B,A9,'1. Sharing Summary'!G:G)</f>
        <v>108.5</v>
      </c>
    </row>
    <row r="10" spans="1:6" x14ac:dyDescent="0.25">
      <c r="A10" s="31" t="s">
        <v>185</v>
      </c>
      <c r="B10" s="71" t="s">
        <v>178</v>
      </c>
      <c r="C10" s="71">
        <f>SUMIF('1. Sharing Summary'!B:B,A10,'1. Sharing Summary'!D:D)</f>
        <v>22.14</v>
      </c>
      <c r="D10" s="71">
        <f>SUMIF('1. Sharing Summary'!B:B,A10,'1. Sharing Summary'!E:E)</f>
        <v>14.88</v>
      </c>
      <c r="E10" s="71">
        <f>SUMIF('1. Sharing Summary'!B:B,A10,'1. Sharing Summary'!F:F)</f>
        <v>8.23</v>
      </c>
      <c r="F10" s="71">
        <f>SUMIF('1. Sharing Summary'!B:B,A10,'1. Sharing Summary'!G:G)</f>
        <v>5.77</v>
      </c>
    </row>
    <row r="11" spans="1:6" x14ac:dyDescent="0.25">
      <c r="A11" s="31" t="s">
        <v>186</v>
      </c>
      <c r="B11" s="71" t="s">
        <v>178</v>
      </c>
      <c r="C11" s="71">
        <f>SUMIF('1. Sharing Summary'!B:B,A11,'1. Sharing Summary'!D:D)</f>
        <v>123.71</v>
      </c>
      <c r="D11" s="71">
        <f>SUMIF('1. Sharing Summary'!B:B,A11,'1. Sharing Summary'!E:E)</f>
        <v>76.47999999999999</v>
      </c>
      <c r="E11" s="71">
        <f>SUMIF('1. Sharing Summary'!B:B,A11,'1. Sharing Summary'!F:F)</f>
        <v>37.409999999999997</v>
      </c>
      <c r="F11" s="71">
        <f>SUMIF('1. Sharing Summary'!B:B,A11,'1. Sharing Summary'!G:G)</f>
        <v>12.149999999999999</v>
      </c>
    </row>
    <row r="12" spans="1:6" x14ac:dyDescent="0.25">
      <c r="A12" s="31" t="s">
        <v>187</v>
      </c>
      <c r="B12" s="71" t="s">
        <v>178</v>
      </c>
      <c r="C12" s="71">
        <f>SUMIF('1. Sharing Summary'!B:B,A12,'1. Sharing Summary'!D:D)</f>
        <v>71.98</v>
      </c>
      <c r="D12" s="71">
        <f>SUMIF('1. Sharing Summary'!B:B,A12,'1. Sharing Summary'!E:E)</f>
        <v>79.330000000000013</v>
      </c>
      <c r="E12" s="71">
        <f>SUMIF('1. Sharing Summary'!B:B,A12,'1. Sharing Summary'!F:F)</f>
        <v>61.989999999999995</v>
      </c>
      <c r="F12" s="71">
        <f>SUMIF('1. Sharing Summary'!B:B,A12,'1. Sharing Summary'!G:G)</f>
        <v>47.163333333000004</v>
      </c>
    </row>
    <row r="14" spans="1:6" x14ac:dyDescent="0.25">
      <c r="A14" s="108" t="s">
        <v>188</v>
      </c>
      <c r="B14" s="109"/>
      <c r="C14" s="109"/>
      <c r="D14" s="109"/>
      <c r="E14" s="109"/>
      <c r="F14" s="110"/>
    </row>
    <row r="15" spans="1:6" ht="30" x14ac:dyDescent="0.25">
      <c r="A15" s="51" t="s">
        <v>171</v>
      </c>
      <c r="B15" s="30" t="s">
        <v>172</v>
      </c>
      <c r="C15" s="30" t="s">
        <v>173</v>
      </c>
      <c r="D15" s="30" t="s">
        <v>174</v>
      </c>
      <c r="E15" s="30" t="s">
        <v>175</v>
      </c>
      <c r="F15" s="30" t="s">
        <v>176</v>
      </c>
    </row>
    <row r="16" spans="1:6" x14ac:dyDescent="0.25">
      <c r="A16" s="49" t="s">
        <v>177</v>
      </c>
      <c r="B16" s="61" t="s">
        <v>178</v>
      </c>
      <c r="C16" s="61">
        <f>1-C41/C3</f>
        <v>0.23392016147118189</v>
      </c>
      <c r="D16" s="61">
        <f>1-D41/(SUM(D3,D5:D12))</f>
        <v>0.97141371050799652</v>
      </c>
      <c r="E16" s="61">
        <v>1</v>
      </c>
      <c r="F16" s="61">
        <v>1</v>
      </c>
    </row>
    <row r="17" spans="1:6" x14ac:dyDescent="0.25">
      <c r="A17" s="31" t="s">
        <v>179</v>
      </c>
      <c r="B17" s="60" t="s">
        <v>178</v>
      </c>
      <c r="C17" s="60">
        <v>0</v>
      </c>
      <c r="D17" s="60">
        <v>0.2</v>
      </c>
      <c r="E17" s="61">
        <v>1</v>
      </c>
      <c r="F17" s="61">
        <v>1</v>
      </c>
    </row>
    <row r="18" spans="1:6" ht="15.75" thickBot="1" x14ac:dyDescent="0.3">
      <c r="A18" s="31" t="s">
        <v>180</v>
      </c>
      <c r="B18" s="60" t="s">
        <v>178</v>
      </c>
      <c r="C18" s="60">
        <v>0</v>
      </c>
      <c r="D18" s="60">
        <f>$D$16</f>
        <v>0.97141371050799652</v>
      </c>
      <c r="E18" s="61">
        <v>1</v>
      </c>
      <c r="F18" s="61">
        <v>1</v>
      </c>
    </row>
    <row r="19" spans="1:6" ht="15.75" thickBot="1" x14ac:dyDescent="0.3">
      <c r="A19" s="31" t="s">
        <v>181</v>
      </c>
      <c r="B19" s="60" t="s">
        <v>178</v>
      </c>
      <c r="C19" s="60">
        <v>0</v>
      </c>
      <c r="D19" s="60">
        <f t="shared" ref="D19:D25" si="0">$D$16</f>
        <v>0.97141371050799652</v>
      </c>
      <c r="E19" s="61">
        <v>1</v>
      </c>
      <c r="F19" s="61">
        <v>1</v>
      </c>
    </row>
    <row r="20" spans="1:6" ht="15.75" thickBot="1" x14ac:dyDescent="0.3">
      <c r="A20" s="31" t="s">
        <v>182</v>
      </c>
      <c r="B20" s="60" t="s">
        <v>178</v>
      </c>
      <c r="C20" s="60">
        <v>0.1</v>
      </c>
      <c r="D20" s="60">
        <f t="shared" si="0"/>
        <v>0.97141371050799652</v>
      </c>
      <c r="E20" s="61">
        <v>1</v>
      </c>
      <c r="F20" s="61">
        <v>1</v>
      </c>
    </row>
    <row r="21" spans="1:6" ht="15.75" thickBot="1" x14ac:dyDescent="0.3">
      <c r="A21" s="31" t="s">
        <v>183</v>
      </c>
      <c r="B21" s="60" t="s">
        <v>178</v>
      </c>
      <c r="C21" s="60">
        <v>0.1</v>
      </c>
      <c r="D21" s="60">
        <f t="shared" si="0"/>
        <v>0.97141371050799652</v>
      </c>
      <c r="E21" s="61">
        <v>1</v>
      </c>
      <c r="F21" s="61">
        <v>1</v>
      </c>
    </row>
    <row r="22" spans="1:6" ht="15.75" thickBot="1" x14ac:dyDescent="0.3">
      <c r="A22" s="31" t="s">
        <v>184</v>
      </c>
      <c r="B22" s="60" t="s">
        <v>178</v>
      </c>
      <c r="C22" s="60">
        <v>0.1</v>
      </c>
      <c r="D22" s="60">
        <f t="shared" si="0"/>
        <v>0.97141371050799652</v>
      </c>
      <c r="E22" s="61">
        <v>1</v>
      </c>
      <c r="F22" s="61">
        <v>1</v>
      </c>
    </row>
    <row r="23" spans="1:6" ht="15.75" thickBot="1" x14ac:dyDescent="0.3">
      <c r="A23" s="31" t="s">
        <v>185</v>
      </c>
      <c r="B23" s="60" t="s">
        <v>178</v>
      </c>
      <c r="C23" s="60">
        <v>0.1</v>
      </c>
      <c r="D23" s="60">
        <f t="shared" si="0"/>
        <v>0.97141371050799652</v>
      </c>
      <c r="E23" s="61">
        <v>1</v>
      </c>
      <c r="F23" s="61">
        <v>1</v>
      </c>
    </row>
    <row r="24" spans="1:6" ht="15.75" thickBot="1" x14ac:dyDescent="0.3">
      <c r="A24" s="31" t="s">
        <v>186</v>
      </c>
      <c r="B24" s="60" t="s">
        <v>178</v>
      </c>
      <c r="C24" s="60">
        <v>0.1</v>
      </c>
      <c r="D24" s="60">
        <f t="shared" si="0"/>
        <v>0.97141371050799652</v>
      </c>
      <c r="E24" s="61">
        <v>1</v>
      </c>
      <c r="F24" s="61">
        <v>1</v>
      </c>
    </row>
    <row r="25" spans="1:6" ht="15.75" thickBot="1" x14ac:dyDescent="0.3">
      <c r="A25" s="31" t="s">
        <v>187</v>
      </c>
      <c r="B25" s="60" t="s">
        <v>178</v>
      </c>
      <c r="C25" s="60">
        <v>0.1</v>
      </c>
      <c r="D25" s="60">
        <f t="shared" si="0"/>
        <v>0.97141371050799652</v>
      </c>
      <c r="E25" s="61">
        <v>1</v>
      </c>
      <c r="F25" s="61">
        <v>1</v>
      </c>
    </row>
    <row r="26" spans="1:6" ht="15.75" thickBot="1" x14ac:dyDescent="0.3"/>
    <row r="27" spans="1:6" ht="15" customHeight="1" x14ac:dyDescent="0.25">
      <c r="A27" s="108" t="s">
        <v>190</v>
      </c>
      <c r="B27" s="109"/>
      <c r="C27" s="109"/>
      <c r="D27" s="109"/>
      <c r="E27" s="109"/>
      <c r="F27" s="110"/>
    </row>
    <row r="28" spans="1:6" ht="30" x14ac:dyDescent="0.25">
      <c r="A28" s="54" t="s">
        <v>171</v>
      </c>
      <c r="B28" s="72" t="s">
        <v>172</v>
      </c>
      <c r="C28" s="72" t="s">
        <v>173</v>
      </c>
      <c r="D28" s="72" t="s">
        <v>174</v>
      </c>
      <c r="E28" s="72" t="s">
        <v>175</v>
      </c>
      <c r="F28" s="72" t="s">
        <v>176</v>
      </c>
    </row>
    <row r="29" spans="1:6" x14ac:dyDescent="0.25">
      <c r="A29" s="73" t="s">
        <v>177</v>
      </c>
      <c r="B29" s="74" t="s">
        <v>178</v>
      </c>
      <c r="C29" s="74" t="s">
        <v>178</v>
      </c>
      <c r="D29" s="74" t="s">
        <v>178</v>
      </c>
      <c r="E29" s="74" t="s">
        <v>178</v>
      </c>
      <c r="F29" s="74" t="s">
        <v>178</v>
      </c>
    </row>
    <row r="30" spans="1:6" ht="15.75" thickBot="1" x14ac:dyDescent="0.3">
      <c r="A30" s="31" t="s">
        <v>179</v>
      </c>
      <c r="B30" s="41" t="s">
        <v>178</v>
      </c>
      <c r="C30" s="41">
        <f>C17*C4</f>
        <v>0</v>
      </c>
      <c r="D30" s="41">
        <f>D17*D4</f>
        <v>64.48599999999999</v>
      </c>
      <c r="E30" s="41" t="s">
        <v>178</v>
      </c>
      <c r="F30" s="41" t="s">
        <v>178</v>
      </c>
    </row>
    <row r="31" spans="1:6" ht="15.75" thickBot="1" x14ac:dyDescent="0.3">
      <c r="A31" s="31" t="s">
        <v>180</v>
      </c>
      <c r="B31" s="74" t="s">
        <v>178</v>
      </c>
      <c r="C31" s="41">
        <f t="shared" ref="C31:C37" si="1">C18*C5</f>
        <v>0</v>
      </c>
      <c r="D31" s="41" t="s">
        <v>178</v>
      </c>
      <c r="E31" s="41" t="s">
        <v>178</v>
      </c>
      <c r="F31" s="41" t="s">
        <v>178</v>
      </c>
    </row>
    <row r="32" spans="1:6" ht="15.75" thickBot="1" x14ac:dyDescent="0.3">
      <c r="A32" s="31" t="s">
        <v>181</v>
      </c>
      <c r="B32" s="74" t="s">
        <v>178</v>
      </c>
      <c r="C32" s="41">
        <f t="shared" si="1"/>
        <v>0</v>
      </c>
      <c r="D32" s="41" t="s">
        <v>178</v>
      </c>
      <c r="E32" s="41" t="s">
        <v>178</v>
      </c>
      <c r="F32" s="41" t="s">
        <v>178</v>
      </c>
    </row>
    <row r="33" spans="1:6" ht="15.75" thickBot="1" x14ac:dyDescent="0.3">
      <c r="A33" s="31" t="s">
        <v>182</v>
      </c>
      <c r="B33" s="74" t="s">
        <v>178</v>
      </c>
      <c r="C33" s="41">
        <f t="shared" si="1"/>
        <v>6.8450000000000006</v>
      </c>
      <c r="D33" s="41" t="s">
        <v>178</v>
      </c>
      <c r="E33" s="41" t="s">
        <v>178</v>
      </c>
      <c r="F33" s="41" t="s">
        <v>178</v>
      </c>
    </row>
    <row r="34" spans="1:6" ht="15.75" thickBot="1" x14ac:dyDescent="0.3">
      <c r="A34" s="31" t="s">
        <v>183</v>
      </c>
      <c r="B34" s="74" t="s">
        <v>178</v>
      </c>
      <c r="C34" s="41">
        <f t="shared" si="1"/>
        <v>25.936000000000003</v>
      </c>
      <c r="D34" s="41" t="s">
        <v>178</v>
      </c>
      <c r="E34" s="41" t="s">
        <v>178</v>
      </c>
      <c r="F34" s="41" t="s">
        <v>178</v>
      </c>
    </row>
    <row r="35" spans="1:6" ht="15.75" thickBot="1" x14ac:dyDescent="0.3">
      <c r="A35" s="31" t="s">
        <v>184</v>
      </c>
      <c r="B35" s="74" t="s">
        <v>178</v>
      </c>
      <c r="C35" s="41">
        <f t="shared" si="1"/>
        <v>16.220000000000002</v>
      </c>
      <c r="D35" s="41" t="s">
        <v>178</v>
      </c>
      <c r="E35" s="41" t="s">
        <v>178</v>
      </c>
      <c r="F35" s="41" t="s">
        <v>178</v>
      </c>
    </row>
    <row r="36" spans="1:6" ht="15.75" thickBot="1" x14ac:dyDescent="0.3">
      <c r="A36" s="31" t="s">
        <v>185</v>
      </c>
      <c r="B36" s="74" t="s">
        <v>178</v>
      </c>
      <c r="C36" s="41">
        <f t="shared" si="1"/>
        <v>2.214</v>
      </c>
      <c r="D36" s="41" t="s">
        <v>178</v>
      </c>
      <c r="E36" s="41" t="s">
        <v>178</v>
      </c>
      <c r="F36" s="41" t="s">
        <v>178</v>
      </c>
    </row>
    <row r="37" spans="1:6" ht="15.75" thickBot="1" x14ac:dyDescent="0.3">
      <c r="A37" s="31" t="s">
        <v>186</v>
      </c>
      <c r="B37" s="74" t="s">
        <v>178</v>
      </c>
      <c r="C37" s="41">
        <f t="shared" si="1"/>
        <v>12.371</v>
      </c>
      <c r="D37" s="41" t="s">
        <v>178</v>
      </c>
      <c r="E37" s="41" t="s">
        <v>178</v>
      </c>
      <c r="F37" s="41" t="s">
        <v>178</v>
      </c>
    </row>
    <row r="38" spans="1:6" ht="15.75" thickBot="1" x14ac:dyDescent="0.3">
      <c r="A38" s="75" t="s">
        <v>187</v>
      </c>
      <c r="B38" s="76" t="s">
        <v>178</v>
      </c>
      <c r="C38" s="41">
        <f>C25*C12</f>
        <v>7.1980000000000004</v>
      </c>
      <c r="D38" s="41" t="s">
        <v>178</v>
      </c>
      <c r="E38" s="41" t="s">
        <v>178</v>
      </c>
      <c r="F38" s="41" t="s">
        <v>178</v>
      </c>
    </row>
    <row r="39" spans="1:6" ht="15.75" thickBot="1" x14ac:dyDescent="0.3">
      <c r="A39" s="69" t="s">
        <v>191</v>
      </c>
      <c r="B39" s="70" t="s">
        <v>178</v>
      </c>
      <c r="C39" s="70" t="s">
        <v>178</v>
      </c>
      <c r="D39" s="70" t="s">
        <v>178</v>
      </c>
      <c r="E39" s="70" t="s">
        <v>178</v>
      </c>
      <c r="F39" s="70" t="s">
        <v>178</v>
      </c>
    </row>
    <row r="40" spans="1:6" ht="15.75" thickBot="1" x14ac:dyDescent="0.3">
      <c r="A40" s="31" t="s">
        <v>192</v>
      </c>
      <c r="B40" s="97" t="s">
        <v>178</v>
      </c>
      <c r="C40" s="101">
        <v>20.308</v>
      </c>
      <c r="D40" s="101">
        <v>0</v>
      </c>
      <c r="E40" s="101">
        <v>0</v>
      </c>
      <c r="F40" s="101">
        <v>0</v>
      </c>
    </row>
    <row r="41" spans="1:6" ht="15.75" thickBot="1" x14ac:dyDescent="0.3">
      <c r="A41" s="77" t="s">
        <v>193</v>
      </c>
      <c r="B41" s="78">
        <f>SUM(B29:B39)</f>
        <v>0</v>
      </c>
      <c r="C41" s="78">
        <f>SUM(C29:C40)</f>
        <v>91.092000000000013</v>
      </c>
      <c r="D41" s="78">
        <f>SUM(D29:D40)</f>
        <v>64.48599999999999</v>
      </c>
      <c r="E41" s="78" t="s">
        <v>189</v>
      </c>
      <c r="F41" s="78" t="s">
        <v>189</v>
      </c>
    </row>
  </sheetData>
  <mergeCells count="3">
    <mergeCell ref="A27:F27"/>
    <mergeCell ref="A14:F14"/>
    <mergeCell ref="A1:F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D5EF8-1F6E-48A5-8A8C-4D0F113900EE}">
  <dimension ref="A1:P40"/>
  <sheetViews>
    <sheetView zoomScale="112" zoomScaleNormal="115" workbookViewId="0">
      <selection activeCell="D42" sqref="D42"/>
    </sheetView>
  </sheetViews>
  <sheetFormatPr defaultColWidth="15.42578125" defaultRowHeight="15" x14ac:dyDescent="0.25"/>
  <cols>
    <col min="1" max="1" width="28" customWidth="1"/>
    <col min="2" max="2" width="16.85546875" customWidth="1"/>
    <col min="3" max="3" width="14.42578125" customWidth="1"/>
    <col min="4" max="4" width="15.7109375" customWidth="1"/>
    <col min="5" max="5" width="17.140625" customWidth="1"/>
    <col min="7" max="7" width="3.42578125" customWidth="1"/>
    <col min="8" max="8" width="28.28515625" bestFit="1" customWidth="1"/>
    <col min="14" max="14" width="31.5703125" customWidth="1"/>
    <col min="15" max="17" width="12" bestFit="1" customWidth="1"/>
    <col min="18" max="18" width="12.5703125" customWidth="1"/>
  </cols>
  <sheetData>
    <row r="1" spans="1:13" ht="16.5" thickBot="1" x14ac:dyDescent="0.3">
      <c r="A1" s="28" t="s">
        <v>194</v>
      </c>
      <c r="H1" s="28" t="s">
        <v>195</v>
      </c>
    </row>
    <row r="2" spans="1:13" ht="15.75" thickBot="1" x14ac:dyDescent="0.3">
      <c r="A2" s="111" t="s">
        <v>170</v>
      </c>
      <c r="B2" s="112"/>
      <c r="C2" s="112"/>
      <c r="D2" s="112"/>
      <c r="E2" s="112"/>
      <c r="F2" s="113"/>
      <c r="H2" s="111" t="s">
        <v>196</v>
      </c>
      <c r="I2" s="112"/>
      <c r="J2" s="112"/>
      <c r="K2" s="112"/>
      <c r="L2" s="112"/>
      <c r="M2" s="113"/>
    </row>
    <row r="3" spans="1:13" x14ac:dyDescent="0.25">
      <c r="A3" s="29"/>
      <c r="B3" s="30" t="s">
        <v>172</v>
      </c>
      <c r="C3" s="30" t="s">
        <v>173</v>
      </c>
      <c r="D3" s="30" t="s">
        <v>174</v>
      </c>
      <c r="E3" s="30" t="s">
        <v>175</v>
      </c>
      <c r="F3" s="30" t="s">
        <v>176</v>
      </c>
      <c r="H3" s="29"/>
      <c r="I3" s="30" t="s">
        <v>172</v>
      </c>
      <c r="J3" s="30" t="s">
        <v>173</v>
      </c>
      <c r="K3" s="30" t="s">
        <v>174</v>
      </c>
      <c r="L3" s="30" t="s">
        <v>175</v>
      </c>
      <c r="M3" s="30" t="s">
        <v>176</v>
      </c>
    </row>
    <row r="4" spans="1:13" x14ac:dyDescent="0.25">
      <c r="A4" s="31" t="s">
        <v>177</v>
      </c>
      <c r="B4" s="32">
        <f>'7. Demand type &amp; reach'!B25</f>
        <v>475.92562416768556</v>
      </c>
      <c r="C4" s="32">
        <f>'7. Demand type &amp; reach'!C25</f>
        <v>652.98894833535212</v>
      </c>
      <c r="D4" s="32">
        <f>'7. Demand type &amp; reach'!D25</f>
        <v>739.81089533701822</v>
      </c>
      <c r="E4" s="32">
        <f>'7. Demand type &amp; reach'!E25</f>
        <v>582.8506371696858</v>
      </c>
      <c r="F4" s="32">
        <f>'7. Demand type &amp; reach'!F25</f>
        <v>281.05665767932584</v>
      </c>
      <c r="H4" s="31" t="s">
        <v>177</v>
      </c>
      <c r="I4" s="33">
        <f>B4/30/1.98347</f>
        <v>7.9981988496202039</v>
      </c>
      <c r="J4" s="33">
        <f t="shared" ref="I4:M17" si="0">C4/30/1.98347</f>
        <v>10.973847992581218</v>
      </c>
      <c r="K4" s="33">
        <f t="shared" si="0"/>
        <v>12.432939836700633</v>
      </c>
      <c r="L4" s="33">
        <f t="shared" si="0"/>
        <v>9.7951340692437299</v>
      </c>
      <c r="M4" s="33">
        <f>F4/30/1.98347</f>
        <v>4.7233158333514131</v>
      </c>
    </row>
    <row r="5" spans="1:13" x14ac:dyDescent="0.25">
      <c r="A5" s="31" t="s">
        <v>179</v>
      </c>
      <c r="B5" s="32">
        <f>'7. Demand type &amp; reach'!B21</f>
        <v>312.21153433300003</v>
      </c>
      <c r="C5" s="32">
        <f>'7. Demand type &amp; reach'!C21</f>
        <v>407.34</v>
      </c>
      <c r="D5" s="32">
        <f>'7. Demand type &amp; reach'!D21</f>
        <v>400.92999999999989</v>
      </c>
      <c r="E5" s="32">
        <f>'7. Demand type &amp; reach'!E21</f>
        <v>356.18153433299989</v>
      </c>
      <c r="F5" s="32">
        <f>'7. Demand type &amp; reach'!F21</f>
        <v>309.07999999999993</v>
      </c>
      <c r="H5" s="31" t="s">
        <v>179</v>
      </c>
      <c r="I5" s="33">
        <f t="shared" si="0"/>
        <v>5.2468911273845</v>
      </c>
      <c r="J5" s="33">
        <f t="shared" si="0"/>
        <v>6.8455787080218</v>
      </c>
      <c r="K5" s="33">
        <f t="shared" si="0"/>
        <v>6.7378550385603662</v>
      </c>
      <c r="L5" s="33">
        <f t="shared" si="0"/>
        <v>5.9858318054218094</v>
      </c>
      <c r="M5" s="33">
        <f t="shared" si="0"/>
        <v>5.1942639246707349</v>
      </c>
    </row>
    <row r="6" spans="1:13" x14ac:dyDescent="0.25">
      <c r="A6" s="31" t="s">
        <v>180</v>
      </c>
      <c r="B6" s="32">
        <f>'7. Demand type &amp; reach'!B23+'7. Demand type &amp; reach'!B9</f>
        <v>303.07505466700007</v>
      </c>
      <c r="C6" s="32">
        <f>'7. Demand type &amp; reach'!C23+'7. Demand type &amp; reach'!C9</f>
        <v>253.34464566666671</v>
      </c>
      <c r="D6" s="32">
        <f>'7. Demand type &amp; reach'!D23+'7. Demand type &amp; reach'!D9</f>
        <v>255.30469666666664</v>
      </c>
      <c r="E6" s="32">
        <f>'7. Demand type &amp; reach'!E23+'7. Demand type &amp; reach'!E9</f>
        <v>189.7327420003333</v>
      </c>
      <c r="F6" s="32">
        <f>'7. Demand type &amp; reach'!F23+'7. Demand type &amp; reach'!F9</f>
        <v>66.591201999999996</v>
      </c>
      <c r="H6" s="31" t="s">
        <v>180</v>
      </c>
      <c r="I6" s="33">
        <f t="shared" si="0"/>
        <v>5.0933474276058295</v>
      </c>
      <c r="J6" s="33">
        <f t="shared" si="0"/>
        <v>4.2575998236536092</v>
      </c>
      <c r="K6" s="33">
        <f t="shared" si="0"/>
        <v>4.290539587468202</v>
      </c>
      <c r="L6" s="33">
        <f t="shared" si="0"/>
        <v>3.188565863534333</v>
      </c>
      <c r="M6" s="33">
        <f t="shared" si="0"/>
        <v>1.1191027509028788</v>
      </c>
    </row>
    <row r="7" spans="1:13" x14ac:dyDescent="0.25">
      <c r="A7" s="31" t="s">
        <v>197</v>
      </c>
      <c r="B7" s="32">
        <f>'7. Demand type &amp; reach'!B18+'7. Demand type &amp; reach'!B19</f>
        <v>444.88</v>
      </c>
      <c r="C7" s="32">
        <f>'7. Demand type &amp; reach'!C18+'7. Demand type &amp; reach'!C19</f>
        <v>992.43</v>
      </c>
      <c r="D7" s="32">
        <f>'7. Demand type &amp; reach'!D18+'7. Demand type &amp; reach'!D19</f>
        <v>1228.9100000000001</v>
      </c>
      <c r="E7" s="32">
        <f>'7. Demand type &amp; reach'!E18+'7. Demand type &amp; reach'!E19</f>
        <v>833.22</v>
      </c>
      <c r="F7" s="32">
        <f>'7. Demand type &amp; reach'!F18+'7. Demand type &amp; reach'!F19</f>
        <v>1114.71</v>
      </c>
      <c r="H7" s="31" t="s">
        <v>197</v>
      </c>
      <c r="I7" s="33">
        <f t="shared" si="0"/>
        <v>7.476459605304508</v>
      </c>
      <c r="J7" s="33">
        <f t="shared" si="0"/>
        <v>16.678346534104371</v>
      </c>
      <c r="K7" s="33">
        <f t="shared" si="0"/>
        <v>20.652526464562946</v>
      </c>
      <c r="L7" s="33">
        <f t="shared" si="0"/>
        <v>14.002732584813483</v>
      </c>
      <c r="M7" s="33">
        <f t="shared" si="0"/>
        <v>18.733330980554282</v>
      </c>
    </row>
    <row r="8" spans="1:13" x14ac:dyDescent="0.25">
      <c r="A8" s="31" t="s">
        <v>182</v>
      </c>
      <c r="B8" s="32">
        <f>'7. Demand type &amp; reach'!B13</f>
        <v>256.97077733400005</v>
      </c>
      <c r="C8" s="32">
        <f>'7. Demand type &amp; reach'!C13</f>
        <v>322.9611920000001</v>
      </c>
      <c r="D8" s="32">
        <f>'7. Demand type &amp; reach'!D13</f>
        <v>267.14078266700011</v>
      </c>
      <c r="E8" s="32">
        <f>'7. Demand type &amp; reach'!E13</f>
        <v>182.48077733400004</v>
      </c>
      <c r="F8" s="32">
        <f>'7. Demand type &amp; reach'!F13</f>
        <v>106.07065466699999</v>
      </c>
      <c r="H8" s="31" t="s">
        <v>182</v>
      </c>
      <c r="I8" s="33">
        <f t="shared" si="0"/>
        <v>4.3185390138494668</v>
      </c>
      <c r="J8" s="33">
        <f t="shared" si="0"/>
        <v>5.4275451943647601</v>
      </c>
      <c r="K8" s="33">
        <f t="shared" si="0"/>
        <v>4.4894516960511979</v>
      </c>
      <c r="L8" s="33">
        <f t="shared" si="0"/>
        <v>3.0666925024326059</v>
      </c>
      <c r="M8" s="33">
        <f t="shared" si="0"/>
        <v>1.782577245383091</v>
      </c>
    </row>
    <row r="9" spans="1:13" x14ac:dyDescent="0.25">
      <c r="A9" s="31" t="s">
        <v>183</v>
      </c>
      <c r="B9" s="32">
        <f>'7. Demand type &amp; reach'!B14</f>
        <v>419.03300066599996</v>
      </c>
      <c r="C9" s="32">
        <f>'7. Demand type &amp; reach'!C14</f>
        <v>474.13266266599999</v>
      </c>
      <c r="D9" s="32">
        <f>'7. Demand type &amp; reach'!D14</f>
        <v>271.82676333299997</v>
      </c>
      <c r="E9" s="32">
        <f>'7. Demand type &amp; reach'!E14</f>
        <v>210.33171609999997</v>
      </c>
      <c r="F9" s="32">
        <f>'7. Demand type &amp; reach'!F14</f>
        <v>133.11799116633333</v>
      </c>
      <c r="H9" s="31" t="s">
        <v>183</v>
      </c>
      <c r="I9" s="33">
        <f t="shared" si="0"/>
        <v>7.0420861867669613</v>
      </c>
      <c r="J9" s="33">
        <f t="shared" si="0"/>
        <v>7.9680671191733001</v>
      </c>
      <c r="K9" s="33">
        <f t="shared" si="0"/>
        <v>4.5682022471224668</v>
      </c>
      <c r="L9" s="33">
        <f t="shared" si="0"/>
        <v>3.5347432546664845</v>
      </c>
      <c r="M9" s="33">
        <f t="shared" si="0"/>
        <v>2.2371230077647311</v>
      </c>
    </row>
    <row r="10" spans="1:13" x14ac:dyDescent="0.25">
      <c r="A10" s="31" t="s">
        <v>184</v>
      </c>
      <c r="B10" s="32">
        <f>'7. Demand type &amp; reach'!B17</f>
        <v>1544.66</v>
      </c>
      <c r="C10" s="32">
        <f>'7. Demand type &amp; reach'!C17</f>
        <v>1771</v>
      </c>
      <c r="D10" s="32">
        <f>'7. Demand type &amp; reach'!D17</f>
        <v>1811.66</v>
      </c>
      <c r="E10" s="32">
        <f>'7. Demand type &amp; reach'!E17</f>
        <v>1246</v>
      </c>
      <c r="F10" s="32">
        <f>'7. Demand type &amp; reach'!F17</f>
        <v>825</v>
      </c>
      <c r="H10" s="31" t="s">
        <v>184</v>
      </c>
      <c r="I10" s="33">
        <f>B10/30/1.98347</f>
        <v>25.958883505506343</v>
      </c>
      <c r="J10" s="33">
        <f t="shared" si="0"/>
        <v>29.762655010327016</v>
      </c>
      <c r="K10" s="33">
        <f t="shared" si="0"/>
        <v>30.445969269344467</v>
      </c>
      <c r="L10" s="33">
        <f t="shared" si="0"/>
        <v>20.939733564577903</v>
      </c>
      <c r="M10" s="33">
        <f t="shared" si="0"/>
        <v>13.864590843320039</v>
      </c>
    </row>
    <row r="11" spans="1:13" x14ac:dyDescent="0.25">
      <c r="A11" s="31" t="s">
        <v>185</v>
      </c>
      <c r="B11" s="32">
        <f>'7. Demand type &amp; reach'!B16</f>
        <v>146.42000000000002</v>
      </c>
      <c r="C11" s="32">
        <f>'7. Demand type &amp; reach'!C16</f>
        <v>176.14</v>
      </c>
      <c r="D11" s="32">
        <f>'7. Demand type &amp; reach'!D16</f>
        <v>207.13000000000002</v>
      </c>
      <c r="E11" s="32">
        <f>'7. Demand type &amp; reach'!E16</f>
        <v>150.07</v>
      </c>
      <c r="F11" s="32">
        <f>'7. Demand type &amp; reach'!F16</f>
        <v>89.2</v>
      </c>
      <c r="H11" s="31" t="s">
        <v>185</v>
      </c>
      <c r="I11" s="33">
        <f t="shared" si="0"/>
        <v>2.4606707773077825</v>
      </c>
      <c r="J11" s="33">
        <f t="shared" si="0"/>
        <v>2.9601321589604748</v>
      </c>
      <c r="K11" s="33">
        <f t="shared" si="0"/>
        <v>3.4809366077295518</v>
      </c>
      <c r="L11" s="33">
        <f t="shared" si="0"/>
        <v>2.5220110883115616</v>
      </c>
      <c r="M11" s="33">
        <f t="shared" si="0"/>
        <v>1.4990563675444213</v>
      </c>
    </row>
    <row r="12" spans="1:13" x14ac:dyDescent="0.25">
      <c r="A12" s="31" t="s">
        <v>186</v>
      </c>
      <c r="B12" s="32">
        <f>'7. Demand type &amp; reach'!B12</f>
        <v>181.35331199999999</v>
      </c>
      <c r="C12" s="32">
        <f>'7. Demand type &amp; reach'!C12</f>
        <v>85.161966000000007</v>
      </c>
      <c r="D12" s="32">
        <f>'7. Demand type &amp; reach'!D12</f>
        <v>78.451680667000005</v>
      </c>
      <c r="E12" s="32">
        <f>'7. Demand type &amp; reach'!E12</f>
        <v>66.331319667000002</v>
      </c>
      <c r="F12" s="32">
        <f>'7. Demand type &amp; reach'!F12</f>
        <v>41.661300000000004</v>
      </c>
      <c r="H12" s="31" t="s">
        <v>186</v>
      </c>
      <c r="I12" s="33">
        <f t="shared" si="0"/>
        <v>3.0477448108617722</v>
      </c>
      <c r="J12" s="33">
        <f t="shared" si="0"/>
        <v>1.4311949260639185</v>
      </c>
      <c r="K12" s="33">
        <f t="shared" si="0"/>
        <v>1.3184247920227345</v>
      </c>
      <c r="L12" s="33">
        <f t="shared" si="0"/>
        <v>1.1147352815520275</v>
      </c>
      <c r="M12" s="33">
        <f t="shared" si="0"/>
        <v>0.70014167091007173</v>
      </c>
    </row>
    <row r="13" spans="1:13" x14ac:dyDescent="0.25">
      <c r="A13" s="31" t="s">
        <v>187</v>
      </c>
      <c r="B13" s="32">
        <f>'7. Demand type &amp; reach'!B11+'7. Demand type &amp; reach'!B10</f>
        <v>619.23952133333341</v>
      </c>
      <c r="C13" s="32">
        <f>'7. Demand type &amp; reach'!C11+'7. Demand type &amp; reach'!C10</f>
        <v>630.75829999999996</v>
      </c>
      <c r="D13" s="32">
        <f>'7. Demand type &amp; reach'!D11+'7. Demand type &amp; reach'!D10</f>
        <v>552.53000000000009</v>
      </c>
      <c r="E13" s="32">
        <f>'7. Demand type &amp; reach'!E11+'7. Demand type &amp; reach'!E10</f>
        <v>490.3</v>
      </c>
      <c r="F13" s="32">
        <f>'7. Demand type &amp; reach'!F11+'7. Demand type &amp; reach'!F10</f>
        <v>262.66919999999999</v>
      </c>
      <c r="H13" s="31" t="s">
        <v>187</v>
      </c>
      <c r="I13" s="33">
        <f t="shared" si="0"/>
        <v>10.406669814909113</v>
      </c>
      <c r="J13" s="33">
        <f t="shared" si="0"/>
        <v>10.600249394579533</v>
      </c>
      <c r="K13" s="33">
        <f t="shared" si="0"/>
        <v>9.2855786407995424</v>
      </c>
      <c r="L13" s="33">
        <f t="shared" si="0"/>
        <v>8.2397683520967462</v>
      </c>
      <c r="M13" s="33">
        <f t="shared" si="0"/>
        <v>4.4143042244147876</v>
      </c>
    </row>
    <row r="14" spans="1:13" ht="15.75" thickBot="1" x14ac:dyDescent="0.3">
      <c r="A14" s="31"/>
      <c r="B14" s="32"/>
      <c r="C14" s="32"/>
      <c r="D14" s="32"/>
      <c r="E14" s="32"/>
      <c r="F14" s="32"/>
      <c r="H14" s="31"/>
      <c r="I14" s="33"/>
      <c r="J14" s="33"/>
      <c r="K14" s="33"/>
      <c r="L14" s="33"/>
      <c r="M14" s="33"/>
    </row>
    <row r="15" spans="1:13" x14ac:dyDescent="0.25">
      <c r="A15" s="114" t="s">
        <v>198</v>
      </c>
      <c r="B15" s="115"/>
      <c r="C15" s="115"/>
      <c r="D15" s="115"/>
      <c r="E15" s="115"/>
      <c r="F15" s="116"/>
      <c r="H15" s="114" t="s">
        <v>199</v>
      </c>
      <c r="I15" s="115"/>
      <c r="J15" s="115"/>
      <c r="K15" s="115"/>
      <c r="L15" s="115"/>
      <c r="M15" s="116"/>
    </row>
    <row r="16" spans="1:13" x14ac:dyDescent="0.25">
      <c r="A16" s="31" t="s">
        <v>179</v>
      </c>
      <c r="B16" s="34">
        <f>B5</f>
        <v>312.21153433300003</v>
      </c>
      <c r="C16" s="34">
        <f>C5</f>
        <v>407.34</v>
      </c>
      <c r="D16" s="34">
        <f>D5</f>
        <v>400.92999999999989</v>
      </c>
      <c r="E16" s="34">
        <f>E5</f>
        <v>356.18153433299989</v>
      </c>
      <c r="F16" s="34">
        <f>F5</f>
        <v>309.07999999999993</v>
      </c>
      <c r="G16" s="12"/>
      <c r="H16" s="49" t="s">
        <v>179</v>
      </c>
      <c r="I16" s="46">
        <f t="shared" si="0"/>
        <v>5.2468911273845</v>
      </c>
      <c r="J16" s="46">
        <f t="shared" si="0"/>
        <v>6.8455787080218</v>
      </c>
      <c r="K16" s="46">
        <f t="shared" si="0"/>
        <v>6.7378550385603662</v>
      </c>
      <c r="L16" s="46">
        <f t="shared" si="0"/>
        <v>5.9858318054218094</v>
      </c>
      <c r="M16" s="46">
        <f t="shared" si="0"/>
        <v>5.1942639246707349</v>
      </c>
    </row>
    <row r="17" spans="1:16" x14ac:dyDescent="0.25">
      <c r="A17" s="31" t="s">
        <v>180</v>
      </c>
      <c r="B17" s="34">
        <f t="shared" ref="B17:F24" si="1">B16+B6</f>
        <v>615.28658900000005</v>
      </c>
      <c r="C17" s="34">
        <f t="shared" si="1"/>
        <v>660.68464566666671</v>
      </c>
      <c r="D17" s="34">
        <f t="shared" si="1"/>
        <v>656.23469666666654</v>
      </c>
      <c r="E17" s="34">
        <f t="shared" si="1"/>
        <v>545.91427633333319</v>
      </c>
      <c r="F17" s="34">
        <f t="shared" si="1"/>
        <v>375.67120199999994</v>
      </c>
      <c r="G17" s="12"/>
      <c r="H17" s="49" t="s">
        <v>180</v>
      </c>
      <c r="I17" s="46">
        <f>B17/30/1.98347</f>
        <v>10.340238554990329</v>
      </c>
      <c r="J17" s="46">
        <f t="shared" si="0"/>
        <v>11.103178531675409</v>
      </c>
      <c r="K17" s="46">
        <f t="shared" si="0"/>
        <v>11.028394626028568</v>
      </c>
      <c r="L17" s="46">
        <f t="shared" si="0"/>
        <v>9.1743976689561411</v>
      </c>
      <c r="M17" s="46">
        <f t="shared" si="0"/>
        <v>6.3133666755736142</v>
      </c>
    </row>
    <row r="18" spans="1:16" x14ac:dyDescent="0.25">
      <c r="A18" s="31" t="s">
        <v>197</v>
      </c>
      <c r="B18" s="34">
        <f t="shared" si="1"/>
        <v>1060.1665889999999</v>
      </c>
      <c r="C18" s="34">
        <f t="shared" si="1"/>
        <v>1653.1146456666665</v>
      </c>
      <c r="D18" s="34">
        <f t="shared" si="1"/>
        <v>1885.1446966666667</v>
      </c>
      <c r="E18" s="34">
        <f t="shared" si="1"/>
        <v>1379.1342763333332</v>
      </c>
      <c r="F18" s="34">
        <f t="shared" si="1"/>
        <v>1490.381202</v>
      </c>
      <c r="G18" s="12"/>
      <c r="H18" s="49" t="s">
        <v>197</v>
      </c>
      <c r="I18" s="46">
        <f t="shared" ref="I18:M24" si="2">B18/30/1.98347</f>
        <v>17.816698160294834</v>
      </c>
      <c r="J18" s="46">
        <f t="shared" si="2"/>
        <v>27.781525065779778</v>
      </c>
      <c r="K18" s="46">
        <f t="shared" si="2"/>
        <v>31.680921090591518</v>
      </c>
      <c r="L18" s="46">
        <f t="shared" si="2"/>
        <v>23.177130253769626</v>
      </c>
      <c r="M18" s="46">
        <f t="shared" si="2"/>
        <v>25.046697656127897</v>
      </c>
    </row>
    <row r="19" spans="1:16" x14ac:dyDescent="0.25">
      <c r="A19" s="31" t="s">
        <v>182</v>
      </c>
      <c r="B19" s="34">
        <f t="shared" si="1"/>
        <v>1317.137366334</v>
      </c>
      <c r="C19" s="34">
        <f t="shared" si="1"/>
        <v>1976.0758376666668</v>
      </c>
      <c r="D19" s="34">
        <f t="shared" si="1"/>
        <v>2152.2854793336669</v>
      </c>
      <c r="E19" s="34">
        <f t="shared" si="1"/>
        <v>1561.6150536673333</v>
      </c>
      <c r="F19" s="34">
        <f t="shared" si="1"/>
        <v>1596.4518566669999</v>
      </c>
      <c r="G19" s="12"/>
      <c r="H19" s="49" t="s">
        <v>182</v>
      </c>
      <c r="I19" s="46">
        <f t="shared" si="2"/>
        <v>22.135237174144301</v>
      </c>
      <c r="J19" s="46">
        <f t="shared" si="2"/>
        <v>33.209070260144536</v>
      </c>
      <c r="K19" s="46">
        <f t="shared" si="2"/>
        <v>36.170372786642716</v>
      </c>
      <c r="L19" s="46">
        <f t="shared" si="2"/>
        <v>26.243822756202231</v>
      </c>
      <c r="M19" s="46">
        <f t="shared" si="2"/>
        <v>26.829274901510985</v>
      </c>
    </row>
    <row r="20" spans="1:16" x14ac:dyDescent="0.25">
      <c r="A20" s="31" t="s">
        <v>183</v>
      </c>
      <c r="B20" s="34">
        <f t="shared" si="1"/>
        <v>1736.1703669999999</v>
      </c>
      <c r="C20" s="34">
        <f t="shared" si="1"/>
        <v>2450.2085003326665</v>
      </c>
      <c r="D20" s="34">
        <f t="shared" si="1"/>
        <v>2424.112242666667</v>
      </c>
      <c r="E20" s="34">
        <f t="shared" si="1"/>
        <v>1771.9467697673333</v>
      </c>
      <c r="F20" s="34">
        <f t="shared" si="1"/>
        <v>1729.5698478333331</v>
      </c>
      <c r="G20" s="12"/>
      <c r="H20" s="49" t="s">
        <v>183</v>
      </c>
      <c r="I20" s="46">
        <f t="shared" si="2"/>
        <v>29.177323360911263</v>
      </c>
      <c r="J20" s="46">
        <f t="shared" si="2"/>
        <v>41.177137379317834</v>
      </c>
      <c r="K20" s="46">
        <f t="shared" si="2"/>
        <v>40.73857503376518</v>
      </c>
      <c r="L20" s="46">
        <f t="shared" si="2"/>
        <v>29.778566010868719</v>
      </c>
      <c r="M20" s="46">
        <f t="shared" si="2"/>
        <v>29.066397909275715</v>
      </c>
    </row>
    <row r="21" spans="1:16" x14ac:dyDescent="0.25">
      <c r="A21" s="31" t="s">
        <v>184</v>
      </c>
      <c r="B21" s="34">
        <f t="shared" si="1"/>
        <v>3280.830367</v>
      </c>
      <c r="C21" s="34">
        <f t="shared" si="1"/>
        <v>4221.2085003326665</v>
      </c>
      <c r="D21" s="34">
        <f t="shared" si="1"/>
        <v>4235.7722426666669</v>
      </c>
      <c r="E21" s="34">
        <f t="shared" si="1"/>
        <v>3017.9467697673335</v>
      </c>
      <c r="F21" s="34">
        <f t="shared" si="1"/>
        <v>2554.5698478333334</v>
      </c>
      <c r="G21" s="12"/>
      <c r="H21" s="49" t="s">
        <v>184</v>
      </c>
      <c r="I21" s="46">
        <f t="shared" si="2"/>
        <v>55.136206866417609</v>
      </c>
      <c r="J21" s="46">
        <f t="shared" si="2"/>
        <v>70.93979238964485</v>
      </c>
      <c r="K21" s="46">
        <f t="shared" si="2"/>
        <v>71.184544303109647</v>
      </c>
      <c r="L21" s="46">
        <f t="shared" si="2"/>
        <v>50.718299575446622</v>
      </c>
      <c r="M21" s="46">
        <f t="shared" si="2"/>
        <v>42.930988752595759</v>
      </c>
    </row>
    <row r="22" spans="1:16" x14ac:dyDescent="0.25">
      <c r="A22" s="31" t="s">
        <v>185</v>
      </c>
      <c r="B22" s="34">
        <f t="shared" si="1"/>
        <v>3427.2503670000001</v>
      </c>
      <c r="C22" s="34">
        <f t="shared" si="1"/>
        <v>4397.3485003326668</v>
      </c>
      <c r="D22" s="34">
        <f t="shared" si="1"/>
        <v>4442.902242666667</v>
      </c>
      <c r="E22" s="34">
        <f t="shared" si="1"/>
        <v>3168.0167697673337</v>
      </c>
      <c r="F22" s="34">
        <f t="shared" si="1"/>
        <v>2643.7698478333332</v>
      </c>
      <c r="G22" s="12"/>
      <c r="H22" s="49" t="s">
        <v>185</v>
      </c>
      <c r="I22" s="46">
        <f t="shared" si="2"/>
        <v>57.596877643725385</v>
      </c>
      <c r="J22" s="46">
        <f t="shared" si="2"/>
        <v>73.899924548605341</v>
      </c>
      <c r="K22" s="46">
        <f t="shared" si="2"/>
        <v>74.665480910839207</v>
      </c>
      <c r="L22" s="46">
        <f t="shared" si="2"/>
        <v>53.240310663758187</v>
      </c>
      <c r="M22" s="46">
        <f t="shared" si="2"/>
        <v>44.430045120140178</v>
      </c>
    </row>
    <row r="23" spans="1:16" x14ac:dyDescent="0.25">
      <c r="A23" s="31" t="s">
        <v>186</v>
      </c>
      <c r="B23" s="34">
        <f t="shared" si="1"/>
        <v>3608.6036790000003</v>
      </c>
      <c r="C23" s="34">
        <f t="shared" si="1"/>
        <v>4482.5104663326665</v>
      </c>
      <c r="D23" s="34">
        <f t="shared" si="1"/>
        <v>4521.3539233336669</v>
      </c>
      <c r="E23" s="34">
        <f t="shared" si="1"/>
        <v>3234.3480894343338</v>
      </c>
      <c r="F23" s="34">
        <f t="shared" si="1"/>
        <v>2685.4311478333334</v>
      </c>
      <c r="G23" s="12"/>
      <c r="H23" s="49" t="s">
        <v>186</v>
      </c>
      <c r="I23" s="46">
        <f t="shared" si="2"/>
        <v>60.644622454587164</v>
      </c>
      <c r="J23" s="46">
        <f t="shared" si="2"/>
        <v>75.331119474669251</v>
      </c>
      <c r="K23" s="46">
        <f t="shared" si="2"/>
        <v>75.983905702861932</v>
      </c>
      <c r="L23" s="46">
        <f t="shared" si="2"/>
        <v>54.355045945310216</v>
      </c>
      <c r="M23" s="46">
        <f t="shared" si="2"/>
        <v>45.130186791050249</v>
      </c>
    </row>
    <row r="24" spans="1:16" x14ac:dyDescent="0.25">
      <c r="A24" s="31" t="s">
        <v>187</v>
      </c>
      <c r="B24" s="34">
        <f t="shared" si="1"/>
        <v>4227.8432003333337</v>
      </c>
      <c r="C24" s="34">
        <f t="shared" si="1"/>
        <v>5113.2687663326669</v>
      </c>
      <c r="D24" s="34">
        <f t="shared" si="1"/>
        <v>5073.8839233336666</v>
      </c>
      <c r="E24" s="34">
        <f t="shared" si="1"/>
        <v>3724.648089434334</v>
      </c>
      <c r="F24" s="34">
        <f t="shared" si="1"/>
        <v>2948.1003478333332</v>
      </c>
      <c r="G24" s="12"/>
      <c r="H24" s="49" t="s">
        <v>187</v>
      </c>
      <c r="I24" s="46">
        <f t="shared" si="2"/>
        <v>71.051292269496273</v>
      </c>
      <c r="J24" s="46">
        <f t="shared" si="2"/>
        <v>85.931368869248786</v>
      </c>
      <c r="K24" s="46">
        <f t="shared" si="2"/>
        <v>85.269484343661475</v>
      </c>
      <c r="L24" s="46">
        <f t="shared" si="2"/>
        <v>62.594814297406963</v>
      </c>
      <c r="M24" s="46">
        <f t="shared" si="2"/>
        <v>49.544491015465034</v>
      </c>
    </row>
    <row r="25" spans="1:16" x14ac:dyDescent="0.25">
      <c r="A25" s="35"/>
      <c r="B25" s="36"/>
      <c r="C25" s="36"/>
      <c r="D25" s="36"/>
      <c r="E25" s="36"/>
      <c r="F25" s="36"/>
      <c r="H25" s="35"/>
      <c r="I25" s="37"/>
      <c r="J25" s="37"/>
      <c r="K25" s="37"/>
      <c r="L25" s="37"/>
      <c r="M25" s="37"/>
    </row>
    <row r="26" spans="1:16" x14ac:dyDescent="0.25">
      <c r="N26" s="38"/>
    </row>
    <row r="27" spans="1:16" ht="15.75" thickBot="1" x14ac:dyDescent="0.3">
      <c r="A27" s="111" t="s">
        <v>200</v>
      </c>
      <c r="B27" s="112"/>
      <c r="C27" s="112"/>
      <c r="D27" s="112"/>
      <c r="E27" s="112"/>
      <c r="F27" s="113"/>
      <c r="H27" s="111" t="s">
        <v>201</v>
      </c>
      <c r="I27" s="112"/>
      <c r="J27" s="112"/>
      <c r="K27" s="112"/>
      <c r="L27" s="112"/>
      <c r="M27" s="113"/>
    </row>
    <row r="28" spans="1:16" ht="15.75" thickBot="1" x14ac:dyDescent="0.3">
      <c r="A28" s="29"/>
      <c r="B28" s="30" t="s">
        <v>172</v>
      </c>
      <c r="C28" s="30" t="s">
        <v>173</v>
      </c>
      <c r="D28" s="30" t="s">
        <v>174</v>
      </c>
      <c r="E28" s="30" t="s">
        <v>175</v>
      </c>
      <c r="F28" s="30" t="s">
        <v>176</v>
      </c>
      <c r="H28" s="29"/>
      <c r="I28" s="30" t="s">
        <v>172</v>
      </c>
      <c r="J28" s="30" t="s">
        <v>173</v>
      </c>
      <c r="K28" s="30" t="s">
        <v>174</v>
      </c>
      <c r="L28" s="30" t="s">
        <v>175</v>
      </c>
      <c r="M28" s="30" t="s">
        <v>176</v>
      </c>
    </row>
    <row r="29" spans="1:16" x14ac:dyDescent="0.25">
      <c r="A29" s="31" t="s">
        <v>202</v>
      </c>
      <c r="B29" s="39">
        <f>'5. Supply (No precip forecast)'!Y7</f>
        <v>3255.7299387600001</v>
      </c>
      <c r="C29" s="39">
        <f>'5. Supply (No precip forecast)'!Y8</f>
        <v>433.1133455690001</v>
      </c>
      <c r="D29" s="39">
        <f>'5. Supply (No precip forecast)'!Y9</f>
        <v>236.57503219700001</v>
      </c>
      <c r="E29" s="39">
        <f>'5. Supply (No precip forecast)'!Y10</f>
        <v>163.78207987100004</v>
      </c>
      <c r="F29" s="39">
        <f>'5. Supply (No precip forecast)'!Y11</f>
        <v>129.82039248600003</v>
      </c>
      <c r="H29" s="31" t="s">
        <v>202</v>
      </c>
      <c r="I29" s="41">
        <f>B29/30/1.98347</f>
        <v>54.714379996672498</v>
      </c>
      <c r="J29" s="41">
        <f t="shared" ref="J29:M29" si="3">C29/30/1.98347</f>
        <v>7.278714333449293</v>
      </c>
      <c r="K29" s="41">
        <f t="shared" si="3"/>
        <v>3.9757770001899031</v>
      </c>
      <c r="L29" s="41">
        <f t="shared" si="3"/>
        <v>2.7524503331871255</v>
      </c>
      <c r="M29" s="41">
        <f t="shared" si="3"/>
        <v>2.1817049999243756</v>
      </c>
    </row>
    <row r="30" spans="1:16" x14ac:dyDescent="0.25">
      <c r="A30" s="31" t="s">
        <v>203</v>
      </c>
      <c r="B30" s="39">
        <f>1.98347*30*I30</f>
        <v>5355.3689999999997</v>
      </c>
      <c r="C30" s="39">
        <f>1.98347*31*J30</f>
        <v>5533.8813000000009</v>
      </c>
      <c r="D30" s="39">
        <f>1.98347*31*K30</f>
        <v>1100.6275029999999</v>
      </c>
      <c r="E30" s="39" t="e">
        <f>1.98347*30*L30</f>
        <v>#VALUE!</v>
      </c>
      <c r="F30" s="39" t="e">
        <f>1.98347*30*M30</f>
        <v>#VALUE!</v>
      </c>
      <c r="G30" s="1"/>
      <c r="H30" s="31" t="s">
        <v>203</v>
      </c>
      <c r="I30" s="47">
        <v>90</v>
      </c>
      <c r="J30" s="47">
        <v>90</v>
      </c>
      <c r="K30" s="47">
        <v>17.899999999999999</v>
      </c>
      <c r="L30" s="47" t="s">
        <v>189</v>
      </c>
      <c r="M30" s="62" t="s">
        <v>189</v>
      </c>
      <c r="N30" s="63" t="s">
        <v>204</v>
      </c>
      <c r="O30" s="64"/>
      <c r="P30" s="65"/>
    </row>
    <row r="31" spans="1:16" x14ac:dyDescent="0.25">
      <c r="A31" s="31" t="s">
        <v>205</v>
      </c>
      <c r="B31" s="39">
        <f>'6. ET calcs'!G2</f>
        <v>1313.35</v>
      </c>
      <c r="C31" s="39">
        <f>'6. ET calcs'!H2</f>
        <v>1376.2</v>
      </c>
      <c r="D31" s="39">
        <f>'6. ET calcs'!I2</f>
        <v>1157.55</v>
      </c>
      <c r="E31" s="39">
        <f>'6. ET calcs'!J2</f>
        <v>858.58</v>
      </c>
      <c r="F31" s="39">
        <f>'6. ET calcs'!K2</f>
        <v>497.28</v>
      </c>
      <c r="H31" s="31" t="s">
        <v>206</v>
      </c>
      <c r="I31" s="41">
        <f>B31/30/1.98347</f>
        <v>22.071588344332572</v>
      </c>
      <c r="J31" s="41">
        <f>C31/30/1.98347</f>
        <v>23.127818083123685</v>
      </c>
      <c r="K31" s="41">
        <f>D31/30/1.98347</f>
        <v>19.45328137052741</v>
      </c>
      <c r="L31" s="41">
        <f>E31/30/1.98347</f>
        <v>14.428921704554812</v>
      </c>
      <c r="M31" s="41">
        <f>F31/30/1.98347</f>
        <v>8.3570711934135637</v>
      </c>
      <c r="N31" s="106" t="s">
        <v>207</v>
      </c>
    </row>
    <row r="32" spans="1:16" x14ac:dyDescent="0.25">
      <c r="A32" s="31" t="s">
        <v>208</v>
      </c>
      <c r="B32" s="39">
        <v>178.5</v>
      </c>
      <c r="C32" s="39">
        <v>184.4</v>
      </c>
      <c r="D32" s="39">
        <v>184.4</v>
      </c>
      <c r="E32" s="39">
        <v>178.5</v>
      </c>
      <c r="F32" s="39">
        <v>178.5</v>
      </c>
      <c r="H32" s="31" t="s">
        <v>208</v>
      </c>
      <c r="I32" s="41">
        <f t="shared" ref="I32:M34" si="4">B32/30/1.98347</f>
        <v>2.9997932915546994</v>
      </c>
      <c r="J32" s="41">
        <f t="shared" si="4"/>
        <v>3.0989461230402608</v>
      </c>
      <c r="K32" s="41">
        <f t="shared" si="4"/>
        <v>3.0989461230402608</v>
      </c>
      <c r="L32" s="41">
        <f t="shared" si="4"/>
        <v>2.9997932915546994</v>
      </c>
      <c r="M32" s="41">
        <f t="shared" si="4"/>
        <v>2.9997932915546994</v>
      </c>
      <c r="N32" s="48"/>
    </row>
    <row r="33" spans="1:13" ht="15.75" customHeight="1" thickBot="1" x14ac:dyDescent="0.3">
      <c r="A33" s="111" t="s">
        <v>209</v>
      </c>
      <c r="B33" s="112"/>
      <c r="C33" s="112"/>
      <c r="D33" s="112"/>
      <c r="E33" s="112"/>
      <c r="F33" s="113"/>
      <c r="H33" s="111" t="s">
        <v>209</v>
      </c>
      <c r="I33" s="112"/>
      <c r="J33" s="112"/>
      <c r="K33" s="112"/>
      <c r="L33" s="112"/>
      <c r="M33" s="113"/>
    </row>
    <row r="34" spans="1:13" x14ac:dyDescent="0.25">
      <c r="A34" s="31" t="s">
        <v>202</v>
      </c>
      <c r="B34" s="41">
        <f>'6. ET calcs'!G9</f>
        <v>2817.9466054266668</v>
      </c>
      <c r="C34" s="40">
        <f>'6. ET calcs'!H9</f>
        <v>0</v>
      </c>
      <c r="D34" s="40">
        <f>'6. ET calcs'!I9</f>
        <v>0</v>
      </c>
      <c r="E34" s="40">
        <f>'6. ET calcs'!J9</f>
        <v>0</v>
      </c>
      <c r="F34" s="40">
        <f>'6. ET calcs'!K9</f>
        <v>0</v>
      </c>
      <c r="H34" s="31" t="s">
        <v>202</v>
      </c>
      <c r="I34" s="41">
        <f t="shared" si="4"/>
        <v>47.357183881894976</v>
      </c>
      <c r="J34" s="41">
        <f t="shared" ref="J34:J35" si="5">C34/30/1.98347</f>
        <v>0</v>
      </c>
      <c r="K34" s="41">
        <f t="shared" ref="K34:K35" si="6">D34/30/1.98347</f>
        <v>0</v>
      </c>
      <c r="L34" s="41">
        <f t="shared" ref="L34:L35" si="7">E34/30/1.98347</f>
        <v>0</v>
      </c>
      <c r="M34" s="41">
        <f t="shared" ref="M34:M35" si="8">F34/30/1.98347</f>
        <v>0</v>
      </c>
    </row>
    <row r="35" spans="1:13" x14ac:dyDescent="0.25">
      <c r="A35" s="31" t="s">
        <v>203</v>
      </c>
      <c r="B35" s="42">
        <f>'6. ET calcs'!G10</f>
        <v>4917.5856666666659</v>
      </c>
      <c r="C35" s="42">
        <f>'6. ET calcs'!H10</f>
        <v>5062.3379727845004</v>
      </c>
      <c r="D35" s="42">
        <f>'6. ET calcs'!I10</f>
        <v>640.14001909850003</v>
      </c>
      <c r="E35" s="42" t="e">
        <f>'6. ET calcs'!J10</f>
        <v>#VALUE!</v>
      </c>
      <c r="F35" s="42" t="e">
        <f>'6. ET calcs'!K10</f>
        <v>#VALUE!</v>
      </c>
      <c r="H35" s="31" t="s">
        <v>203</v>
      </c>
      <c r="I35" s="41">
        <f>B35/30/1.98347</f>
        <v>82.642803885222449</v>
      </c>
      <c r="J35" s="41">
        <f t="shared" si="5"/>
        <v>85.075448125162808</v>
      </c>
      <c r="K35" s="41">
        <f t="shared" si="6"/>
        <v>10.757914481497913</v>
      </c>
      <c r="L35" s="41" t="e">
        <f t="shared" si="7"/>
        <v>#VALUE!</v>
      </c>
      <c r="M35" s="41" t="e">
        <f t="shared" si="8"/>
        <v>#VALUE!</v>
      </c>
    </row>
    <row r="36" spans="1:13" ht="15.75" thickBot="1" x14ac:dyDescent="0.3">
      <c r="A36" s="111" t="s">
        <v>210</v>
      </c>
      <c r="B36" s="112"/>
      <c r="C36" s="112"/>
      <c r="D36" s="112"/>
      <c r="E36" s="112"/>
      <c r="F36" s="113"/>
      <c r="H36" s="111" t="s">
        <v>210</v>
      </c>
      <c r="I36" s="112"/>
      <c r="J36" s="112"/>
      <c r="K36" s="112"/>
      <c r="L36" s="112"/>
      <c r="M36" s="113"/>
    </row>
    <row r="37" spans="1:13" x14ac:dyDescent="0.25">
      <c r="A37" s="49" t="s">
        <v>202</v>
      </c>
      <c r="B37" s="71">
        <f>IF(B34-(B32/2)&lt;0,0,B34-(B32/2))</f>
        <v>2728.6966054266668</v>
      </c>
      <c r="C37" s="71">
        <f t="shared" ref="C37:F37" si="9">IF(C34-(C32/2)&lt;0,0,C34-(C32/2))</f>
        <v>0</v>
      </c>
      <c r="D37" s="71">
        <f t="shared" si="9"/>
        <v>0</v>
      </c>
      <c r="E37" s="71">
        <f t="shared" si="9"/>
        <v>0</v>
      </c>
      <c r="F37" s="71">
        <f t="shared" si="9"/>
        <v>0</v>
      </c>
      <c r="G37" s="12"/>
      <c r="H37" s="49" t="s">
        <v>202</v>
      </c>
      <c r="I37" s="71">
        <f>I34</f>
        <v>47.357183881894976</v>
      </c>
      <c r="J37" s="71">
        <f t="shared" ref="J37:M37" si="10">J34</f>
        <v>0</v>
      </c>
      <c r="K37" s="71">
        <f t="shared" si="10"/>
        <v>0</v>
      </c>
      <c r="L37" s="71">
        <f t="shared" si="10"/>
        <v>0</v>
      </c>
      <c r="M37" s="71">
        <f t="shared" si="10"/>
        <v>0</v>
      </c>
    </row>
    <row r="38" spans="1:13" x14ac:dyDescent="0.25">
      <c r="A38" s="49" t="s">
        <v>203</v>
      </c>
      <c r="B38" s="85">
        <f>IF(B34=0,B35-B32,B35-(B32/2))</f>
        <v>4828.3356666666659</v>
      </c>
      <c r="C38" s="85">
        <f>IF(C34=0,C35-C32,C35-(C32/2))</f>
        <v>4877.9379727845007</v>
      </c>
      <c r="D38" s="85">
        <f t="shared" ref="D38:F38" si="11">IF(D34=0,D35-D32,D35-(D32/2))</f>
        <v>455.74001909850006</v>
      </c>
      <c r="E38" s="85" t="e">
        <f t="shared" si="11"/>
        <v>#VALUE!</v>
      </c>
      <c r="F38" s="85" t="e">
        <f t="shared" si="11"/>
        <v>#VALUE!</v>
      </c>
      <c r="G38" s="12"/>
      <c r="H38" s="49" t="s">
        <v>203</v>
      </c>
      <c r="I38" s="71">
        <f>I35-I32</f>
        <v>79.643010593667753</v>
      </c>
      <c r="J38" s="71">
        <f>J35-J32</f>
        <v>81.976502002122544</v>
      </c>
      <c r="K38" s="71">
        <f>K35-K32</f>
        <v>7.6589683584576527</v>
      </c>
      <c r="L38" s="71" t="e">
        <f>L35-L32</f>
        <v>#VALUE!</v>
      </c>
      <c r="M38" s="71" t="e">
        <f>M35-M32</f>
        <v>#VALUE!</v>
      </c>
    </row>
    <row r="39" spans="1:13" x14ac:dyDescent="0.25">
      <c r="B39" s="44"/>
      <c r="C39" s="7"/>
    </row>
    <row r="40" spans="1:13" x14ac:dyDescent="0.25">
      <c r="B40" s="45"/>
    </row>
  </sheetData>
  <mergeCells count="10">
    <mergeCell ref="A2:F2"/>
    <mergeCell ref="H2:M2"/>
    <mergeCell ref="A15:F15"/>
    <mergeCell ref="H15:M15"/>
    <mergeCell ref="A27:F27"/>
    <mergeCell ref="A33:F33"/>
    <mergeCell ref="A36:F36"/>
    <mergeCell ref="H27:M27"/>
    <mergeCell ref="H33:M33"/>
    <mergeCell ref="H36:M36"/>
  </mergeCells>
  <conditionalFormatting sqref="B16:B24">
    <cfRule type="cellIs" dxfId="34" priority="29" operator="greaterThan">
      <formula>$B$38+$B$37</formula>
    </cfRule>
  </conditionalFormatting>
  <conditionalFormatting sqref="C16:C24">
    <cfRule type="cellIs" dxfId="33" priority="28" operator="greaterThan">
      <formula>$C$37+$C$38</formula>
    </cfRule>
  </conditionalFormatting>
  <conditionalFormatting sqref="D16:D24">
    <cfRule type="cellIs" dxfId="32" priority="27" operator="greaterThan">
      <formula>$D$37+$D$38</formula>
    </cfRule>
  </conditionalFormatting>
  <conditionalFormatting sqref="E16:E24">
    <cfRule type="cellIs" dxfId="31" priority="26" operator="greaterThan">
      <formula>$E$37+$E$38</formula>
    </cfRule>
  </conditionalFormatting>
  <conditionalFormatting sqref="F16:F24">
    <cfRule type="cellIs" dxfId="30" priority="25" operator="greaterThan">
      <formula>$F$37+$F$38</formula>
    </cfRule>
  </conditionalFormatting>
  <conditionalFormatting sqref="I16:I24">
    <cfRule type="cellIs" dxfId="29" priority="24" operator="greaterThan">
      <formula>$I$37+$I$38</formula>
    </cfRule>
  </conditionalFormatting>
  <conditionalFormatting sqref="J16:J24">
    <cfRule type="cellIs" dxfId="28" priority="23" operator="greaterThan">
      <formula>$J$37+$J$38</formula>
    </cfRule>
  </conditionalFormatting>
  <conditionalFormatting sqref="K16:K24">
    <cfRule type="cellIs" dxfId="27" priority="22" operator="greaterThan">
      <formula>$K$37+$K$38</formula>
    </cfRule>
  </conditionalFormatting>
  <conditionalFormatting sqref="L16:L24">
    <cfRule type="cellIs" dxfId="26" priority="21" operator="greaterThan">
      <formula>$L$37+$L$38</formula>
    </cfRule>
  </conditionalFormatting>
  <conditionalFormatting sqref="M16:M24">
    <cfRule type="cellIs" dxfId="25" priority="20" operator="greaterThan">
      <formula>$M$37+$M$38</formula>
    </cfRule>
  </conditionalFormatting>
  <conditionalFormatting sqref="B4">
    <cfRule type="expression" dxfId="24" priority="13">
      <formula>B37=0</formula>
    </cfRule>
    <cfRule type="expression" dxfId="23" priority="19">
      <formula>B4&gt;B37</formula>
    </cfRule>
  </conditionalFormatting>
  <conditionalFormatting sqref="C4">
    <cfRule type="cellIs" dxfId="22" priority="8" operator="greaterThan">
      <formula>$C$37</formula>
    </cfRule>
    <cfRule type="expression" dxfId="21" priority="17">
      <formula>C4&gt;C37</formula>
    </cfRule>
  </conditionalFormatting>
  <conditionalFormatting sqref="D4">
    <cfRule type="cellIs" dxfId="20" priority="6" operator="greaterThan">
      <formula>$D$37</formula>
    </cfRule>
    <cfRule type="expression" dxfId="19" priority="16">
      <formula>D4&gt;D37</formula>
    </cfRule>
  </conditionalFormatting>
  <conditionalFormatting sqref="E4">
    <cfRule type="cellIs" dxfId="18" priority="7" operator="greaterThan">
      <formula>$E$37</formula>
    </cfRule>
    <cfRule type="expression" dxfId="17" priority="10">
      <formula>E37=0</formula>
    </cfRule>
    <cfRule type="expression" dxfId="16" priority="15">
      <formula>E4&gt;E37</formula>
    </cfRule>
  </conditionalFormatting>
  <conditionalFormatting sqref="F4">
    <cfRule type="cellIs" dxfId="15" priority="5" operator="greaterThan">
      <formula>F37</formula>
    </cfRule>
    <cfRule type="expression" dxfId="14" priority="14">
      <formula>F4&gt;F37</formula>
    </cfRule>
  </conditionalFormatting>
  <conditionalFormatting sqref="I4:M4">
    <cfRule type="cellIs" dxfId="13" priority="1" operator="greaterThan">
      <formula>I37</formula>
    </cfRule>
    <cfRule type="expression" dxfId="12" priority="2">
      <formula>I4&gt;I37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33E5F-F140-4E10-B019-D259DC932CAF}">
  <dimension ref="A1:P40"/>
  <sheetViews>
    <sheetView zoomScale="115" zoomScaleNormal="115" workbookViewId="0"/>
  </sheetViews>
  <sheetFormatPr defaultColWidth="15.42578125" defaultRowHeight="15" x14ac:dyDescent="0.25"/>
  <cols>
    <col min="1" max="1" width="28" customWidth="1"/>
    <col min="2" max="2" width="16.85546875" customWidth="1"/>
    <col min="3" max="3" width="14.42578125" customWidth="1"/>
    <col min="4" max="4" width="15.7109375" customWidth="1"/>
    <col min="5" max="5" width="17.140625" customWidth="1"/>
    <col min="7" max="7" width="3.42578125" customWidth="1"/>
    <col min="8" max="8" width="28.28515625" bestFit="1" customWidth="1"/>
    <col min="14" max="14" width="31.5703125" customWidth="1"/>
    <col min="15" max="17" width="12" bestFit="1" customWidth="1"/>
    <col min="18" max="18" width="12.5703125" customWidth="1"/>
  </cols>
  <sheetData>
    <row r="1" spans="1:13" ht="16.5" thickBot="1" x14ac:dyDescent="0.3">
      <c r="A1" s="28" t="s">
        <v>211</v>
      </c>
      <c r="H1" s="28" t="s">
        <v>212</v>
      </c>
    </row>
    <row r="2" spans="1:13" ht="15.75" thickBot="1" x14ac:dyDescent="0.3">
      <c r="A2" s="111" t="s">
        <v>170</v>
      </c>
      <c r="B2" s="112"/>
      <c r="C2" s="112"/>
      <c r="D2" s="112"/>
      <c r="E2" s="112"/>
      <c r="F2" s="113"/>
      <c r="H2" s="111" t="s">
        <v>196</v>
      </c>
      <c r="I2" s="112"/>
      <c r="J2" s="112"/>
      <c r="K2" s="112"/>
      <c r="L2" s="112"/>
      <c r="M2" s="113"/>
    </row>
    <row r="3" spans="1:13" ht="15.75" thickBot="1" x14ac:dyDescent="0.3">
      <c r="A3" s="29"/>
      <c r="B3" s="30" t="s">
        <v>172</v>
      </c>
      <c r="C3" s="30" t="s">
        <v>173</v>
      </c>
      <c r="D3" s="30" t="s">
        <v>174</v>
      </c>
      <c r="E3" s="30" t="s">
        <v>175</v>
      </c>
      <c r="F3" s="30" t="s">
        <v>176</v>
      </c>
      <c r="H3" s="29"/>
      <c r="I3" s="30" t="s">
        <v>172</v>
      </c>
      <c r="J3" s="30" t="s">
        <v>173</v>
      </c>
      <c r="K3" s="30" t="s">
        <v>174</v>
      </c>
      <c r="L3" s="30" t="s">
        <v>175</v>
      </c>
      <c r="M3" s="30" t="s">
        <v>176</v>
      </c>
    </row>
    <row r="4" spans="1:13" ht="15.75" thickBot="1" x14ac:dyDescent="0.3">
      <c r="A4" s="31" t="s">
        <v>177</v>
      </c>
      <c r="B4" s="32">
        <f>'7. Demand type &amp; reach'!B25</f>
        <v>475.92562416768556</v>
      </c>
      <c r="C4" s="32">
        <f>'7. Demand type &amp; reach'!C25</f>
        <v>652.98894833535212</v>
      </c>
      <c r="D4" s="32">
        <f>'7. Demand type &amp; reach'!D25</f>
        <v>739.81089533701822</v>
      </c>
      <c r="E4" s="32">
        <f>'7. Demand type &amp; reach'!E25</f>
        <v>582.8506371696858</v>
      </c>
      <c r="F4" s="32">
        <f>'7. Demand type &amp; reach'!F25</f>
        <v>281.05665767932584</v>
      </c>
      <c r="H4" s="31" t="s">
        <v>177</v>
      </c>
      <c r="I4" s="33">
        <f>B4/30/1.98347</f>
        <v>7.9981988496202039</v>
      </c>
      <c r="J4" s="33">
        <f t="shared" ref="I4:M17" si="0">C4/30/1.98347</f>
        <v>10.973847992581218</v>
      </c>
      <c r="K4" s="33">
        <f t="shared" si="0"/>
        <v>12.432939836700633</v>
      </c>
      <c r="L4" s="33">
        <f t="shared" si="0"/>
        <v>9.7951340692437299</v>
      </c>
      <c r="M4" s="33">
        <f>F4/30/1.98347</f>
        <v>4.7233158333514131</v>
      </c>
    </row>
    <row r="5" spans="1:13" ht="15.75" thickBot="1" x14ac:dyDescent="0.3">
      <c r="A5" s="31" t="s">
        <v>179</v>
      </c>
      <c r="B5" s="32">
        <f>'7. Demand type &amp; reach'!B21</f>
        <v>312.21153433300003</v>
      </c>
      <c r="C5" s="32">
        <f>'7. Demand type &amp; reach'!C21</f>
        <v>407.34</v>
      </c>
      <c r="D5" s="32">
        <f>'7. Demand type &amp; reach'!D21</f>
        <v>400.92999999999989</v>
      </c>
      <c r="E5" s="32">
        <f>'7. Demand type &amp; reach'!E21</f>
        <v>356.18153433299989</v>
      </c>
      <c r="F5" s="32">
        <f>'7. Demand type &amp; reach'!F21</f>
        <v>309.07999999999993</v>
      </c>
      <c r="H5" s="31" t="s">
        <v>179</v>
      </c>
      <c r="I5" s="33">
        <f t="shared" si="0"/>
        <v>5.2468911273845</v>
      </c>
      <c r="J5" s="33">
        <f t="shared" si="0"/>
        <v>6.8455787080218</v>
      </c>
      <c r="K5" s="33">
        <f t="shared" si="0"/>
        <v>6.7378550385603662</v>
      </c>
      <c r="L5" s="33">
        <f t="shared" si="0"/>
        <v>5.9858318054218094</v>
      </c>
      <c r="M5" s="33">
        <f t="shared" si="0"/>
        <v>5.1942639246707349</v>
      </c>
    </row>
    <row r="6" spans="1:13" ht="15.75" thickBot="1" x14ac:dyDescent="0.3">
      <c r="A6" s="31" t="s">
        <v>180</v>
      </c>
      <c r="B6" s="32">
        <f>'7. Demand type &amp; reach'!B23+'7. Demand type &amp; reach'!B9</f>
        <v>303.07505466700007</v>
      </c>
      <c r="C6" s="32">
        <f>'7. Demand type &amp; reach'!C23+'7. Demand type &amp; reach'!C9</f>
        <v>253.34464566666671</v>
      </c>
      <c r="D6" s="32">
        <f>'7. Demand type &amp; reach'!D23+'7. Demand type &amp; reach'!D9</f>
        <v>255.30469666666664</v>
      </c>
      <c r="E6" s="32">
        <f>'7. Demand type &amp; reach'!E23+'7. Demand type &amp; reach'!E9</f>
        <v>189.7327420003333</v>
      </c>
      <c r="F6" s="32">
        <f>'7. Demand type &amp; reach'!F23+'7. Demand type &amp; reach'!F9</f>
        <v>66.591201999999996</v>
      </c>
      <c r="H6" s="31" t="s">
        <v>180</v>
      </c>
      <c r="I6" s="33">
        <f t="shared" si="0"/>
        <v>5.0933474276058295</v>
      </c>
      <c r="J6" s="33">
        <f t="shared" si="0"/>
        <v>4.2575998236536092</v>
      </c>
      <c r="K6" s="33">
        <f t="shared" si="0"/>
        <v>4.290539587468202</v>
      </c>
      <c r="L6" s="33">
        <f t="shared" si="0"/>
        <v>3.188565863534333</v>
      </c>
      <c r="M6" s="33">
        <f t="shared" si="0"/>
        <v>1.1191027509028788</v>
      </c>
    </row>
    <row r="7" spans="1:13" ht="15.75" thickBot="1" x14ac:dyDescent="0.3">
      <c r="A7" s="31" t="s">
        <v>197</v>
      </c>
      <c r="B7" s="32">
        <f>'7. Demand type &amp; reach'!B18+'7. Demand type &amp; reach'!B19</f>
        <v>444.88</v>
      </c>
      <c r="C7" s="32">
        <f>'7. Demand type &amp; reach'!C18+'7. Demand type &amp; reach'!C19</f>
        <v>992.43</v>
      </c>
      <c r="D7" s="32">
        <f>'7. Demand type &amp; reach'!D18+'7. Demand type &amp; reach'!D19</f>
        <v>1228.9100000000001</v>
      </c>
      <c r="E7" s="32">
        <f>'7. Demand type &amp; reach'!E18+'7. Demand type &amp; reach'!E19</f>
        <v>833.22</v>
      </c>
      <c r="F7" s="32">
        <f>'7. Demand type &amp; reach'!F18+'7. Demand type &amp; reach'!F19</f>
        <v>1114.71</v>
      </c>
      <c r="H7" s="31" t="s">
        <v>197</v>
      </c>
      <c r="I7" s="33">
        <f t="shared" si="0"/>
        <v>7.476459605304508</v>
      </c>
      <c r="J7" s="33">
        <f t="shared" si="0"/>
        <v>16.678346534104371</v>
      </c>
      <c r="K7" s="33">
        <f t="shared" si="0"/>
        <v>20.652526464562946</v>
      </c>
      <c r="L7" s="33">
        <f t="shared" si="0"/>
        <v>14.002732584813483</v>
      </c>
      <c r="M7" s="33">
        <f t="shared" si="0"/>
        <v>18.733330980554282</v>
      </c>
    </row>
    <row r="8" spans="1:13" ht="15.75" thickBot="1" x14ac:dyDescent="0.3">
      <c r="A8" s="31" t="s">
        <v>182</v>
      </c>
      <c r="B8" s="32">
        <f>'7. Demand type &amp; reach'!B13</f>
        <v>256.97077733400005</v>
      </c>
      <c r="C8" s="32">
        <f>'7. Demand type &amp; reach'!C13</f>
        <v>322.9611920000001</v>
      </c>
      <c r="D8" s="32">
        <f>'7. Demand type &amp; reach'!D13</f>
        <v>267.14078266700011</v>
      </c>
      <c r="E8" s="32">
        <f>'7. Demand type &amp; reach'!E13</f>
        <v>182.48077733400004</v>
      </c>
      <c r="F8" s="32">
        <f>'7. Demand type &amp; reach'!F13</f>
        <v>106.07065466699999</v>
      </c>
      <c r="H8" s="31" t="s">
        <v>182</v>
      </c>
      <c r="I8" s="33">
        <f t="shared" si="0"/>
        <v>4.3185390138494668</v>
      </c>
      <c r="J8" s="33">
        <f t="shared" si="0"/>
        <v>5.4275451943647601</v>
      </c>
      <c r="K8" s="33">
        <f t="shared" si="0"/>
        <v>4.4894516960511979</v>
      </c>
      <c r="L8" s="33">
        <f t="shared" si="0"/>
        <v>3.0666925024326059</v>
      </c>
      <c r="M8" s="33">
        <f t="shared" si="0"/>
        <v>1.782577245383091</v>
      </c>
    </row>
    <row r="9" spans="1:13" ht="15.75" thickBot="1" x14ac:dyDescent="0.3">
      <c r="A9" s="31" t="s">
        <v>183</v>
      </c>
      <c r="B9" s="32">
        <f>'7. Demand type &amp; reach'!B14</f>
        <v>419.03300066599996</v>
      </c>
      <c r="C9" s="32">
        <f>'7. Demand type &amp; reach'!C14</f>
        <v>474.13266266599999</v>
      </c>
      <c r="D9" s="32">
        <f>'7. Demand type &amp; reach'!D14</f>
        <v>271.82676333299997</v>
      </c>
      <c r="E9" s="32">
        <f>'7. Demand type &amp; reach'!E14</f>
        <v>210.33171609999997</v>
      </c>
      <c r="F9" s="32">
        <f>'7. Demand type &amp; reach'!F14</f>
        <v>133.11799116633333</v>
      </c>
      <c r="H9" s="31" t="s">
        <v>183</v>
      </c>
      <c r="I9" s="33">
        <f t="shared" si="0"/>
        <v>7.0420861867669613</v>
      </c>
      <c r="J9" s="33">
        <f t="shared" si="0"/>
        <v>7.9680671191733001</v>
      </c>
      <c r="K9" s="33">
        <f t="shared" si="0"/>
        <v>4.5682022471224668</v>
      </c>
      <c r="L9" s="33">
        <f t="shared" si="0"/>
        <v>3.5347432546664845</v>
      </c>
      <c r="M9" s="33">
        <f t="shared" si="0"/>
        <v>2.2371230077647311</v>
      </c>
    </row>
    <row r="10" spans="1:13" ht="15.75" thickBot="1" x14ac:dyDescent="0.3">
      <c r="A10" s="31" t="s">
        <v>184</v>
      </c>
      <c r="B10" s="32">
        <f>'7. Demand type &amp; reach'!B17</f>
        <v>1544.66</v>
      </c>
      <c r="C10" s="32">
        <f>'7. Demand type &amp; reach'!C17</f>
        <v>1771</v>
      </c>
      <c r="D10" s="32">
        <f>'7. Demand type &amp; reach'!D17</f>
        <v>1811.66</v>
      </c>
      <c r="E10" s="32">
        <f>'7. Demand type &amp; reach'!E17</f>
        <v>1246</v>
      </c>
      <c r="F10" s="32">
        <f>'7. Demand type &amp; reach'!F17</f>
        <v>825</v>
      </c>
      <c r="H10" s="31" t="s">
        <v>184</v>
      </c>
      <c r="I10" s="33">
        <f>B10/30/1.98347</f>
        <v>25.958883505506343</v>
      </c>
      <c r="J10" s="33">
        <f t="shared" si="0"/>
        <v>29.762655010327016</v>
      </c>
      <c r="K10" s="33">
        <f t="shared" si="0"/>
        <v>30.445969269344467</v>
      </c>
      <c r="L10" s="33">
        <f t="shared" si="0"/>
        <v>20.939733564577903</v>
      </c>
      <c r="M10" s="33">
        <f t="shared" si="0"/>
        <v>13.864590843320039</v>
      </c>
    </row>
    <row r="11" spans="1:13" ht="15.75" thickBot="1" x14ac:dyDescent="0.3">
      <c r="A11" s="31" t="s">
        <v>185</v>
      </c>
      <c r="B11" s="32">
        <f>'7. Demand type &amp; reach'!B16</f>
        <v>146.42000000000002</v>
      </c>
      <c r="C11" s="32">
        <f>'7. Demand type &amp; reach'!C16</f>
        <v>176.14</v>
      </c>
      <c r="D11" s="32">
        <f>'7. Demand type &amp; reach'!D16</f>
        <v>207.13000000000002</v>
      </c>
      <c r="E11" s="32">
        <f>'7. Demand type &amp; reach'!E16</f>
        <v>150.07</v>
      </c>
      <c r="F11" s="32">
        <f>'7. Demand type &amp; reach'!F16</f>
        <v>89.2</v>
      </c>
      <c r="H11" s="31" t="s">
        <v>185</v>
      </c>
      <c r="I11" s="33">
        <f t="shared" si="0"/>
        <v>2.4606707773077825</v>
      </c>
      <c r="J11" s="33">
        <f t="shared" si="0"/>
        <v>2.9601321589604748</v>
      </c>
      <c r="K11" s="33">
        <f t="shared" si="0"/>
        <v>3.4809366077295518</v>
      </c>
      <c r="L11" s="33">
        <f t="shared" si="0"/>
        <v>2.5220110883115616</v>
      </c>
      <c r="M11" s="33">
        <f t="shared" si="0"/>
        <v>1.4990563675444213</v>
      </c>
    </row>
    <row r="12" spans="1:13" ht="15.75" thickBot="1" x14ac:dyDescent="0.3">
      <c r="A12" s="31" t="s">
        <v>186</v>
      </c>
      <c r="B12" s="32">
        <f>'7. Demand type &amp; reach'!B12</f>
        <v>181.35331199999999</v>
      </c>
      <c r="C12" s="32">
        <f>'7. Demand type &amp; reach'!C12</f>
        <v>85.161966000000007</v>
      </c>
      <c r="D12" s="32">
        <f>'7. Demand type &amp; reach'!D12</f>
        <v>78.451680667000005</v>
      </c>
      <c r="E12" s="32">
        <f>'7. Demand type &amp; reach'!E12</f>
        <v>66.331319667000002</v>
      </c>
      <c r="F12" s="32">
        <f>'7. Demand type &amp; reach'!F12</f>
        <v>41.661300000000004</v>
      </c>
      <c r="H12" s="31" t="s">
        <v>186</v>
      </c>
      <c r="I12" s="33">
        <f t="shared" si="0"/>
        <v>3.0477448108617722</v>
      </c>
      <c r="J12" s="33">
        <f t="shared" si="0"/>
        <v>1.4311949260639185</v>
      </c>
      <c r="K12" s="33">
        <f t="shared" si="0"/>
        <v>1.3184247920227345</v>
      </c>
      <c r="L12" s="33">
        <f t="shared" si="0"/>
        <v>1.1147352815520275</v>
      </c>
      <c r="M12" s="33">
        <f t="shared" si="0"/>
        <v>0.70014167091007173</v>
      </c>
    </row>
    <row r="13" spans="1:13" ht="15.75" thickBot="1" x14ac:dyDescent="0.3">
      <c r="A13" s="31" t="s">
        <v>187</v>
      </c>
      <c r="B13" s="32">
        <f>'7. Demand type &amp; reach'!B11+'7. Demand type &amp; reach'!B10</f>
        <v>619.23952133333341</v>
      </c>
      <c r="C13" s="32">
        <f>'7. Demand type &amp; reach'!C11+'7. Demand type &amp; reach'!C10</f>
        <v>630.75829999999996</v>
      </c>
      <c r="D13" s="32">
        <f>'7. Demand type &amp; reach'!D11+'7. Demand type &amp; reach'!D10</f>
        <v>552.53000000000009</v>
      </c>
      <c r="E13" s="32">
        <f>'7. Demand type &amp; reach'!E11+'7. Demand type &amp; reach'!E10</f>
        <v>490.3</v>
      </c>
      <c r="F13" s="32">
        <f>'7. Demand type &amp; reach'!F11+'7. Demand type &amp; reach'!F10</f>
        <v>262.66919999999999</v>
      </c>
      <c r="H13" s="31" t="s">
        <v>187</v>
      </c>
      <c r="I13" s="33">
        <f t="shared" si="0"/>
        <v>10.406669814909113</v>
      </c>
      <c r="J13" s="33">
        <f t="shared" si="0"/>
        <v>10.600249394579533</v>
      </c>
      <c r="K13" s="33">
        <f t="shared" si="0"/>
        <v>9.2855786407995424</v>
      </c>
      <c r="L13" s="33">
        <f t="shared" si="0"/>
        <v>8.2397683520967462</v>
      </c>
      <c r="M13" s="33">
        <f t="shared" si="0"/>
        <v>4.4143042244147876</v>
      </c>
    </row>
    <row r="14" spans="1:13" ht="15.75" thickBot="1" x14ac:dyDescent="0.3">
      <c r="A14" s="31"/>
      <c r="B14" s="32"/>
      <c r="C14" s="32"/>
      <c r="D14" s="32"/>
      <c r="E14" s="32"/>
      <c r="F14" s="32"/>
      <c r="H14" s="31"/>
      <c r="I14" s="33"/>
      <c r="J14" s="33"/>
      <c r="K14" s="33"/>
      <c r="L14" s="33"/>
      <c r="M14" s="33"/>
    </row>
    <row r="15" spans="1:13" ht="15.75" thickBot="1" x14ac:dyDescent="0.3">
      <c r="A15" s="114" t="s">
        <v>198</v>
      </c>
      <c r="B15" s="115"/>
      <c r="C15" s="115"/>
      <c r="D15" s="115"/>
      <c r="E15" s="115"/>
      <c r="F15" s="116"/>
      <c r="H15" s="114" t="s">
        <v>199</v>
      </c>
      <c r="I15" s="115"/>
      <c r="J15" s="115"/>
      <c r="K15" s="115"/>
      <c r="L15" s="115"/>
      <c r="M15" s="116"/>
    </row>
    <row r="16" spans="1:13" ht="15.75" thickBot="1" x14ac:dyDescent="0.3">
      <c r="A16" s="31" t="s">
        <v>179</v>
      </c>
      <c r="B16" s="34">
        <f>B5</f>
        <v>312.21153433300003</v>
      </c>
      <c r="C16" s="34">
        <f>C5</f>
        <v>407.34</v>
      </c>
      <c r="D16" s="34">
        <f>D5</f>
        <v>400.92999999999989</v>
      </c>
      <c r="E16" s="34">
        <f>E5</f>
        <v>356.18153433299989</v>
      </c>
      <c r="F16" s="34">
        <f>F5</f>
        <v>309.07999999999993</v>
      </c>
      <c r="G16" s="12"/>
      <c r="H16" s="49" t="s">
        <v>179</v>
      </c>
      <c r="I16" s="46">
        <f t="shared" si="0"/>
        <v>5.2468911273845</v>
      </c>
      <c r="J16" s="46">
        <f t="shared" si="0"/>
        <v>6.8455787080218</v>
      </c>
      <c r="K16" s="46">
        <f t="shared" si="0"/>
        <v>6.7378550385603662</v>
      </c>
      <c r="L16" s="46">
        <f t="shared" si="0"/>
        <v>5.9858318054218094</v>
      </c>
      <c r="M16" s="46">
        <f t="shared" si="0"/>
        <v>5.1942639246707349</v>
      </c>
    </row>
    <row r="17" spans="1:16" ht="15.75" thickBot="1" x14ac:dyDescent="0.3">
      <c r="A17" s="31" t="s">
        <v>180</v>
      </c>
      <c r="B17" s="34">
        <f t="shared" ref="B17:F24" si="1">B16+B6</f>
        <v>615.28658900000005</v>
      </c>
      <c r="C17" s="34">
        <f t="shared" si="1"/>
        <v>660.68464566666671</v>
      </c>
      <c r="D17" s="34">
        <f t="shared" si="1"/>
        <v>656.23469666666654</v>
      </c>
      <c r="E17" s="34">
        <f t="shared" si="1"/>
        <v>545.91427633333319</v>
      </c>
      <c r="F17" s="34">
        <f t="shared" si="1"/>
        <v>375.67120199999994</v>
      </c>
      <c r="G17" s="12"/>
      <c r="H17" s="49" t="s">
        <v>180</v>
      </c>
      <c r="I17" s="46">
        <f>B17/30/1.98347</f>
        <v>10.340238554990329</v>
      </c>
      <c r="J17" s="46">
        <f t="shared" si="0"/>
        <v>11.103178531675409</v>
      </c>
      <c r="K17" s="46">
        <f t="shared" si="0"/>
        <v>11.028394626028568</v>
      </c>
      <c r="L17" s="46">
        <f t="shared" si="0"/>
        <v>9.1743976689561411</v>
      </c>
      <c r="M17" s="46">
        <f t="shared" si="0"/>
        <v>6.3133666755736142</v>
      </c>
    </row>
    <row r="18" spans="1:16" ht="15.75" thickBot="1" x14ac:dyDescent="0.3">
      <c r="A18" s="31" t="s">
        <v>197</v>
      </c>
      <c r="B18" s="34">
        <f t="shared" si="1"/>
        <v>1060.1665889999999</v>
      </c>
      <c r="C18" s="34">
        <f t="shared" si="1"/>
        <v>1653.1146456666665</v>
      </c>
      <c r="D18" s="34">
        <f t="shared" si="1"/>
        <v>1885.1446966666667</v>
      </c>
      <c r="E18" s="34">
        <f t="shared" si="1"/>
        <v>1379.1342763333332</v>
      </c>
      <c r="F18" s="34">
        <f t="shared" si="1"/>
        <v>1490.381202</v>
      </c>
      <c r="G18" s="12"/>
      <c r="H18" s="49" t="s">
        <v>197</v>
      </c>
      <c r="I18" s="46">
        <f t="shared" ref="I18:M24" si="2">B18/30/1.98347</f>
        <v>17.816698160294834</v>
      </c>
      <c r="J18" s="46">
        <f t="shared" si="2"/>
        <v>27.781525065779778</v>
      </c>
      <c r="K18" s="46">
        <f t="shared" si="2"/>
        <v>31.680921090591518</v>
      </c>
      <c r="L18" s="46">
        <f t="shared" si="2"/>
        <v>23.177130253769626</v>
      </c>
      <c r="M18" s="46">
        <f t="shared" si="2"/>
        <v>25.046697656127897</v>
      </c>
    </row>
    <row r="19" spans="1:16" ht="15.75" thickBot="1" x14ac:dyDescent="0.3">
      <c r="A19" s="31" t="s">
        <v>182</v>
      </c>
      <c r="B19" s="34">
        <f t="shared" si="1"/>
        <v>1317.137366334</v>
      </c>
      <c r="C19" s="34">
        <f t="shared" si="1"/>
        <v>1976.0758376666668</v>
      </c>
      <c r="D19" s="34">
        <f t="shared" si="1"/>
        <v>2152.2854793336669</v>
      </c>
      <c r="E19" s="34">
        <f t="shared" si="1"/>
        <v>1561.6150536673333</v>
      </c>
      <c r="F19" s="34">
        <f t="shared" si="1"/>
        <v>1596.4518566669999</v>
      </c>
      <c r="G19" s="12"/>
      <c r="H19" s="49" t="s">
        <v>182</v>
      </c>
      <c r="I19" s="46">
        <f t="shared" si="2"/>
        <v>22.135237174144301</v>
      </c>
      <c r="J19" s="46">
        <f t="shared" si="2"/>
        <v>33.209070260144536</v>
      </c>
      <c r="K19" s="46">
        <f t="shared" si="2"/>
        <v>36.170372786642716</v>
      </c>
      <c r="L19" s="46">
        <f t="shared" si="2"/>
        <v>26.243822756202231</v>
      </c>
      <c r="M19" s="46">
        <f t="shared" si="2"/>
        <v>26.829274901510985</v>
      </c>
    </row>
    <row r="20" spans="1:16" ht="15.75" thickBot="1" x14ac:dyDescent="0.3">
      <c r="A20" s="31" t="s">
        <v>183</v>
      </c>
      <c r="B20" s="34">
        <f t="shared" si="1"/>
        <v>1736.1703669999999</v>
      </c>
      <c r="C20" s="34">
        <f t="shared" si="1"/>
        <v>2450.2085003326665</v>
      </c>
      <c r="D20" s="34">
        <f t="shared" si="1"/>
        <v>2424.112242666667</v>
      </c>
      <c r="E20" s="34">
        <f t="shared" si="1"/>
        <v>1771.9467697673333</v>
      </c>
      <c r="F20" s="34">
        <f t="shared" si="1"/>
        <v>1729.5698478333331</v>
      </c>
      <c r="G20" s="12"/>
      <c r="H20" s="49" t="s">
        <v>183</v>
      </c>
      <c r="I20" s="46">
        <f t="shared" si="2"/>
        <v>29.177323360911263</v>
      </c>
      <c r="J20" s="46">
        <f t="shared" si="2"/>
        <v>41.177137379317834</v>
      </c>
      <c r="K20" s="46">
        <f t="shared" si="2"/>
        <v>40.73857503376518</v>
      </c>
      <c r="L20" s="46">
        <f t="shared" si="2"/>
        <v>29.778566010868719</v>
      </c>
      <c r="M20" s="46">
        <f t="shared" si="2"/>
        <v>29.066397909275715</v>
      </c>
    </row>
    <row r="21" spans="1:16" ht="15.75" thickBot="1" x14ac:dyDescent="0.3">
      <c r="A21" s="31" t="s">
        <v>184</v>
      </c>
      <c r="B21" s="34">
        <f t="shared" si="1"/>
        <v>3280.830367</v>
      </c>
      <c r="C21" s="34">
        <f t="shared" si="1"/>
        <v>4221.2085003326665</v>
      </c>
      <c r="D21" s="34">
        <f t="shared" si="1"/>
        <v>4235.7722426666669</v>
      </c>
      <c r="E21" s="34">
        <f t="shared" si="1"/>
        <v>3017.9467697673335</v>
      </c>
      <c r="F21" s="34">
        <f t="shared" si="1"/>
        <v>2554.5698478333334</v>
      </c>
      <c r="G21" s="12"/>
      <c r="H21" s="49" t="s">
        <v>184</v>
      </c>
      <c r="I21" s="46">
        <f t="shared" si="2"/>
        <v>55.136206866417609</v>
      </c>
      <c r="J21" s="46">
        <f t="shared" si="2"/>
        <v>70.93979238964485</v>
      </c>
      <c r="K21" s="46">
        <f t="shared" si="2"/>
        <v>71.184544303109647</v>
      </c>
      <c r="L21" s="46">
        <f t="shared" si="2"/>
        <v>50.718299575446622</v>
      </c>
      <c r="M21" s="46">
        <f t="shared" si="2"/>
        <v>42.930988752595759</v>
      </c>
    </row>
    <row r="22" spans="1:16" ht="15.75" thickBot="1" x14ac:dyDescent="0.3">
      <c r="A22" s="31" t="s">
        <v>185</v>
      </c>
      <c r="B22" s="34">
        <f t="shared" si="1"/>
        <v>3427.2503670000001</v>
      </c>
      <c r="C22" s="34">
        <f t="shared" si="1"/>
        <v>4397.3485003326668</v>
      </c>
      <c r="D22" s="34">
        <f t="shared" si="1"/>
        <v>4442.902242666667</v>
      </c>
      <c r="E22" s="34">
        <f t="shared" si="1"/>
        <v>3168.0167697673337</v>
      </c>
      <c r="F22" s="34">
        <f t="shared" si="1"/>
        <v>2643.7698478333332</v>
      </c>
      <c r="G22" s="12"/>
      <c r="H22" s="49" t="s">
        <v>185</v>
      </c>
      <c r="I22" s="46">
        <f t="shared" si="2"/>
        <v>57.596877643725385</v>
      </c>
      <c r="J22" s="46">
        <f t="shared" si="2"/>
        <v>73.899924548605341</v>
      </c>
      <c r="K22" s="46">
        <f t="shared" si="2"/>
        <v>74.665480910839207</v>
      </c>
      <c r="L22" s="46">
        <f t="shared" si="2"/>
        <v>53.240310663758187</v>
      </c>
      <c r="M22" s="46">
        <f t="shared" si="2"/>
        <v>44.430045120140178</v>
      </c>
    </row>
    <row r="23" spans="1:16" ht="15.75" thickBot="1" x14ac:dyDescent="0.3">
      <c r="A23" s="31" t="s">
        <v>186</v>
      </c>
      <c r="B23" s="34">
        <f t="shared" si="1"/>
        <v>3608.6036790000003</v>
      </c>
      <c r="C23" s="34">
        <f t="shared" si="1"/>
        <v>4482.5104663326665</v>
      </c>
      <c r="D23" s="34">
        <f t="shared" si="1"/>
        <v>4521.3539233336669</v>
      </c>
      <c r="E23" s="34">
        <f t="shared" si="1"/>
        <v>3234.3480894343338</v>
      </c>
      <c r="F23" s="34">
        <f t="shared" si="1"/>
        <v>2685.4311478333334</v>
      </c>
      <c r="G23" s="12"/>
      <c r="H23" s="49" t="s">
        <v>186</v>
      </c>
      <c r="I23" s="46">
        <f t="shared" si="2"/>
        <v>60.644622454587164</v>
      </c>
      <c r="J23" s="46">
        <f t="shared" si="2"/>
        <v>75.331119474669251</v>
      </c>
      <c r="K23" s="46">
        <f t="shared" si="2"/>
        <v>75.983905702861932</v>
      </c>
      <c r="L23" s="46">
        <f t="shared" si="2"/>
        <v>54.355045945310216</v>
      </c>
      <c r="M23" s="46">
        <f t="shared" si="2"/>
        <v>45.130186791050249</v>
      </c>
    </row>
    <row r="24" spans="1:16" ht="15.75" thickBot="1" x14ac:dyDescent="0.3">
      <c r="A24" s="31" t="s">
        <v>187</v>
      </c>
      <c r="B24" s="34">
        <f t="shared" si="1"/>
        <v>4227.8432003333337</v>
      </c>
      <c r="C24" s="34">
        <f t="shared" si="1"/>
        <v>5113.2687663326669</v>
      </c>
      <c r="D24" s="34">
        <f t="shared" si="1"/>
        <v>5073.8839233336666</v>
      </c>
      <c r="E24" s="34">
        <f t="shared" si="1"/>
        <v>3724.648089434334</v>
      </c>
      <c r="F24" s="34">
        <f t="shared" si="1"/>
        <v>2948.1003478333332</v>
      </c>
      <c r="G24" s="12"/>
      <c r="H24" s="49" t="s">
        <v>187</v>
      </c>
      <c r="I24" s="46">
        <f t="shared" si="2"/>
        <v>71.051292269496273</v>
      </c>
      <c r="J24" s="46">
        <f t="shared" si="2"/>
        <v>85.931368869248786</v>
      </c>
      <c r="K24" s="46">
        <f t="shared" si="2"/>
        <v>85.269484343661475</v>
      </c>
      <c r="L24" s="46">
        <f t="shared" si="2"/>
        <v>62.594814297406963</v>
      </c>
      <c r="M24" s="46">
        <f t="shared" si="2"/>
        <v>49.544491015465034</v>
      </c>
    </row>
    <row r="25" spans="1:16" x14ac:dyDescent="0.25">
      <c r="A25" s="35"/>
      <c r="B25" s="36"/>
      <c r="C25" s="36"/>
      <c r="D25" s="36"/>
      <c r="E25" s="36"/>
      <c r="F25" s="36"/>
      <c r="H25" s="35"/>
      <c r="I25" s="37"/>
      <c r="J25" s="37"/>
      <c r="K25" s="37"/>
      <c r="L25" s="37"/>
      <c r="M25" s="37"/>
    </row>
    <row r="26" spans="1:16" ht="15.75" thickBot="1" x14ac:dyDescent="0.3">
      <c r="N26" s="38"/>
    </row>
    <row r="27" spans="1:16" ht="15.75" thickBot="1" x14ac:dyDescent="0.3">
      <c r="A27" s="111" t="s">
        <v>200</v>
      </c>
      <c r="B27" s="112"/>
      <c r="C27" s="112"/>
      <c r="D27" s="112"/>
      <c r="E27" s="112"/>
      <c r="F27" s="113"/>
      <c r="H27" s="111" t="s">
        <v>201</v>
      </c>
      <c r="I27" s="112"/>
      <c r="J27" s="112"/>
      <c r="K27" s="112"/>
      <c r="L27" s="112"/>
      <c r="M27" s="113"/>
    </row>
    <row r="28" spans="1:16" ht="15.75" thickBot="1" x14ac:dyDescent="0.3">
      <c r="A28" s="29"/>
      <c r="B28" s="30" t="s">
        <v>172</v>
      </c>
      <c r="C28" s="30" t="s">
        <v>173</v>
      </c>
      <c r="D28" s="30" t="s">
        <v>174</v>
      </c>
      <c r="E28" s="30" t="s">
        <v>175</v>
      </c>
      <c r="F28" s="30" t="s">
        <v>176</v>
      </c>
      <c r="H28" s="29"/>
      <c r="I28" s="30" t="s">
        <v>172</v>
      </c>
      <c r="J28" s="30" t="s">
        <v>173</v>
      </c>
      <c r="K28" s="30" t="s">
        <v>174</v>
      </c>
      <c r="L28" s="30" t="s">
        <v>175</v>
      </c>
      <c r="M28" s="30" t="s">
        <v>176</v>
      </c>
    </row>
    <row r="29" spans="1:16" ht="15.75" thickBot="1" x14ac:dyDescent="0.3">
      <c r="A29" s="31" t="s">
        <v>202</v>
      </c>
      <c r="B29" s="39">
        <f>'5. Supply (No precip forecast)'!Y7</f>
        <v>3255.7299387600001</v>
      </c>
      <c r="C29" s="39">
        <f>'5. Supply (No precip forecast)'!Y8</f>
        <v>433.1133455690001</v>
      </c>
      <c r="D29" s="39">
        <f>'5. Supply (No precip forecast)'!Y9</f>
        <v>236.57503219700001</v>
      </c>
      <c r="E29" s="39">
        <f>'5. Supply (No precip forecast)'!Y10</f>
        <v>163.78207987100004</v>
      </c>
      <c r="F29" s="39">
        <f>'5. Supply (No precip forecast)'!Y11</f>
        <v>129.82039248600003</v>
      </c>
      <c r="H29" s="31" t="s">
        <v>202</v>
      </c>
      <c r="I29" s="41">
        <f>B29/30/1.98347</f>
        <v>54.714379996672498</v>
      </c>
      <c r="J29" s="41">
        <f t="shared" ref="J29:M29" si="3">C29/30/1.98347</f>
        <v>7.278714333449293</v>
      </c>
      <c r="K29" s="41">
        <f t="shared" si="3"/>
        <v>3.9757770001899031</v>
      </c>
      <c r="L29" s="41">
        <f t="shared" si="3"/>
        <v>2.7524503331871255</v>
      </c>
      <c r="M29" s="41">
        <f t="shared" si="3"/>
        <v>2.1817049999243756</v>
      </c>
    </row>
    <row r="30" spans="1:16" ht="15.75" thickBot="1" x14ac:dyDescent="0.3">
      <c r="A30" s="31" t="s">
        <v>203</v>
      </c>
      <c r="B30" s="39">
        <f>1.98347*30*I30</f>
        <v>4760.3280000000004</v>
      </c>
      <c r="C30" s="39">
        <f>1.98347*31*J30</f>
        <v>922.31355000000008</v>
      </c>
      <c r="D30" s="39">
        <f>1.98347*31*K30</f>
        <v>922.31355000000008</v>
      </c>
      <c r="E30" s="39">
        <f t="shared" ref="E30" si="4">1.98347*30*L30</f>
        <v>1904.1312</v>
      </c>
      <c r="F30" s="39">
        <f>1.98347*30*M30</f>
        <v>2380.1640000000002</v>
      </c>
      <c r="G30" s="1"/>
      <c r="H30" s="31" t="s">
        <v>203</v>
      </c>
      <c r="I30" s="47">
        <v>80</v>
      </c>
      <c r="J30" s="47">
        <v>15</v>
      </c>
      <c r="K30" s="47">
        <v>15</v>
      </c>
      <c r="L30" s="47">
        <v>32</v>
      </c>
      <c r="M30" s="52">
        <v>40</v>
      </c>
      <c r="N30" s="63" t="s">
        <v>204</v>
      </c>
      <c r="O30" s="64"/>
      <c r="P30" s="65"/>
    </row>
    <row r="31" spans="1:16" ht="15.75" thickBot="1" x14ac:dyDescent="0.3">
      <c r="A31" s="31" t="s">
        <v>205</v>
      </c>
      <c r="B31" s="39">
        <f>'6. ET calcs'!G2</f>
        <v>1313.35</v>
      </c>
      <c r="C31" s="39">
        <f>'6. ET calcs'!H2</f>
        <v>1376.2</v>
      </c>
      <c r="D31" s="39">
        <f>'6. ET calcs'!I2</f>
        <v>1157.55</v>
      </c>
      <c r="E31" s="39">
        <f>'6. ET calcs'!J2</f>
        <v>858.58</v>
      </c>
      <c r="F31" s="39">
        <f>'6. ET calcs'!K2</f>
        <v>497.28</v>
      </c>
      <c r="H31" s="31" t="s">
        <v>206</v>
      </c>
      <c r="I31" s="41">
        <f>B31/30/1.98347</f>
        <v>22.071588344332572</v>
      </c>
      <c r="J31" s="41">
        <f>C31/30/1.98347</f>
        <v>23.127818083123685</v>
      </c>
      <c r="K31" s="41">
        <f>D31/30/1.98347</f>
        <v>19.45328137052741</v>
      </c>
      <c r="L31" s="41">
        <f>E31/30/1.98347</f>
        <v>14.428921704554812</v>
      </c>
      <c r="M31" s="41">
        <f>F31/30/1.98347</f>
        <v>8.3570711934135637</v>
      </c>
    </row>
    <row r="32" spans="1:16" ht="15.75" thickBot="1" x14ac:dyDescent="0.3">
      <c r="A32" s="31" t="s">
        <v>208</v>
      </c>
      <c r="B32" s="39">
        <v>178.5</v>
      </c>
      <c r="C32" s="39">
        <v>184.4</v>
      </c>
      <c r="D32" s="39">
        <v>184.4</v>
      </c>
      <c r="E32" s="39">
        <v>178.5</v>
      </c>
      <c r="F32" s="39">
        <v>178.5</v>
      </c>
      <c r="H32" s="31" t="s">
        <v>208</v>
      </c>
      <c r="I32" s="41">
        <f t="shared" ref="I32:M35" si="5">B32/30/1.98347</f>
        <v>2.9997932915546994</v>
      </c>
      <c r="J32" s="41">
        <f t="shared" si="5"/>
        <v>3.0989461230402608</v>
      </c>
      <c r="K32" s="41">
        <f t="shared" si="5"/>
        <v>3.0989461230402608</v>
      </c>
      <c r="L32" s="41">
        <f t="shared" si="5"/>
        <v>2.9997932915546994</v>
      </c>
      <c r="M32" s="41">
        <f t="shared" si="5"/>
        <v>2.9997932915546994</v>
      </c>
      <c r="N32" s="48"/>
    </row>
    <row r="33" spans="1:13" ht="15.75" customHeight="1" thickBot="1" x14ac:dyDescent="0.3">
      <c r="A33" s="111" t="s">
        <v>209</v>
      </c>
      <c r="B33" s="112"/>
      <c r="C33" s="112"/>
      <c r="D33" s="112"/>
      <c r="E33" s="112"/>
      <c r="F33" s="113"/>
      <c r="H33" s="111" t="s">
        <v>209</v>
      </c>
      <c r="I33" s="112"/>
      <c r="J33" s="112"/>
      <c r="K33" s="112"/>
      <c r="L33" s="112"/>
      <c r="M33" s="113"/>
    </row>
    <row r="34" spans="1:13" ht="15.75" thickBot="1" x14ac:dyDescent="0.3">
      <c r="A34" s="31" t="s">
        <v>202</v>
      </c>
      <c r="B34" s="41">
        <f>'6. ET calcs'!G20</f>
        <v>2817.9466054266668</v>
      </c>
      <c r="C34" s="41">
        <f>'6. ET calcs'!H20</f>
        <v>0</v>
      </c>
      <c r="D34" s="41">
        <f>'6. ET calcs'!I20</f>
        <v>0</v>
      </c>
      <c r="E34" s="41">
        <f>'6. ET calcs'!J20</f>
        <v>0</v>
      </c>
      <c r="F34" s="41">
        <f>'6. ET calcs'!K20</f>
        <v>0</v>
      </c>
      <c r="H34" s="31" t="s">
        <v>202</v>
      </c>
      <c r="I34" s="41">
        <f t="shared" si="5"/>
        <v>47.357183881894976</v>
      </c>
      <c r="J34" s="41">
        <f t="shared" si="5"/>
        <v>0</v>
      </c>
      <c r="K34" s="41">
        <f t="shared" si="5"/>
        <v>0</v>
      </c>
      <c r="L34" s="41">
        <f t="shared" si="5"/>
        <v>0</v>
      </c>
      <c r="M34" s="41">
        <f t="shared" si="5"/>
        <v>0</v>
      </c>
    </row>
    <row r="35" spans="1:13" ht="15.75" thickBot="1" x14ac:dyDescent="0.3">
      <c r="A35" s="31" t="s">
        <v>203</v>
      </c>
      <c r="B35" s="42">
        <f>'6. ET calcs'!G21</f>
        <v>4322.5446666666667</v>
      </c>
      <c r="C35" s="42">
        <f>'6. ET calcs'!H21</f>
        <v>450.77022278450011</v>
      </c>
      <c r="D35" s="42">
        <f>'6. ET calcs'!I21</f>
        <v>461.82606609850018</v>
      </c>
      <c r="E35" s="42">
        <f>'6. ET calcs'!J21</f>
        <v>1556.7322399355</v>
      </c>
      <c r="F35" s="42">
        <f>'6. ET calcs'!K21</f>
        <v>2196.4341962430003</v>
      </c>
      <c r="H35" s="31" t="s">
        <v>203</v>
      </c>
      <c r="I35" s="41">
        <f>B35/30/1.98347</f>
        <v>72.642803885222463</v>
      </c>
      <c r="J35" s="41">
        <f t="shared" si="5"/>
        <v>7.5754481251628052</v>
      </c>
      <c r="K35" s="41">
        <f t="shared" si="5"/>
        <v>7.7612478148312496</v>
      </c>
      <c r="L35" s="41">
        <f t="shared" si="5"/>
        <v>26.161764314316155</v>
      </c>
      <c r="M35" s="41">
        <f t="shared" si="5"/>
        <v>36.912316903255416</v>
      </c>
    </row>
    <row r="36" spans="1:13" ht="15.75" thickBot="1" x14ac:dyDescent="0.3">
      <c r="A36" s="111" t="s">
        <v>210</v>
      </c>
      <c r="B36" s="112"/>
      <c r="C36" s="112"/>
      <c r="D36" s="112"/>
      <c r="E36" s="112"/>
      <c r="F36" s="113"/>
      <c r="H36" s="111" t="s">
        <v>210</v>
      </c>
      <c r="I36" s="112"/>
      <c r="J36" s="112"/>
      <c r="K36" s="112"/>
      <c r="L36" s="112"/>
      <c r="M36" s="113"/>
    </row>
    <row r="37" spans="1:13" ht="15.75" thickBot="1" x14ac:dyDescent="0.3">
      <c r="A37" s="31" t="s">
        <v>202</v>
      </c>
      <c r="B37" s="53">
        <f>IF(B34-(B32/2)&lt;0,0,B34-(B32/2))</f>
        <v>2728.6966054266668</v>
      </c>
      <c r="C37" s="53">
        <f t="shared" ref="C37:F37" si="6">IF(C34-(C32/2)&lt;0,0,C34-(C32/2))</f>
        <v>0</v>
      </c>
      <c r="D37" s="53">
        <f t="shared" si="6"/>
        <v>0</v>
      </c>
      <c r="E37" s="53">
        <f t="shared" si="6"/>
        <v>0</v>
      </c>
      <c r="F37" s="53">
        <f t="shared" si="6"/>
        <v>0</v>
      </c>
      <c r="H37" s="31" t="s">
        <v>202</v>
      </c>
      <c r="I37" s="53">
        <f>I34</f>
        <v>47.357183881894976</v>
      </c>
      <c r="J37" s="53">
        <f t="shared" ref="J37:M37" si="7">J34</f>
        <v>0</v>
      </c>
      <c r="K37" s="53">
        <f t="shared" si="7"/>
        <v>0</v>
      </c>
      <c r="L37" s="53">
        <f t="shared" si="7"/>
        <v>0</v>
      </c>
      <c r="M37" s="53">
        <f t="shared" si="7"/>
        <v>0</v>
      </c>
    </row>
    <row r="38" spans="1:13" ht="15.75" thickBot="1" x14ac:dyDescent="0.3">
      <c r="A38" s="49" t="s">
        <v>203</v>
      </c>
      <c r="B38" s="43">
        <f>IF(B34=0,B35-B32,B35-(B32/2))</f>
        <v>4233.2946666666667</v>
      </c>
      <c r="C38" s="43">
        <f>IF(C34=0,C35-C32,C35-(C32/2))</f>
        <v>266.37022278450013</v>
      </c>
      <c r="D38" s="43">
        <f>IF(D34=0,D35-D32,D35-(D32/2))</f>
        <v>277.4260660985002</v>
      </c>
      <c r="E38" s="43">
        <f t="shared" ref="E38:F38" si="8">IF(E34=0,E35-E32,E35-(E32/2))</f>
        <v>1378.2322399355</v>
      </c>
      <c r="F38" s="43">
        <f t="shared" si="8"/>
        <v>2017.9341962430003</v>
      </c>
      <c r="G38" s="12"/>
      <c r="H38" s="49" t="s">
        <v>203</v>
      </c>
      <c r="I38" s="53">
        <f>I35-I32</f>
        <v>69.643010593667768</v>
      </c>
      <c r="J38" s="53">
        <f>J35-J32</f>
        <v>4.4765020021225439</v>
      </c>
      <c r="K38" s="53">
        <f>K35-K32</f>
        <v>4.6623016917909883</v>
      </c>
      <c r="L38" s="53">
        <f>L35-L32</f>
        <v>23.161971022761456</v>
      </c>
      <c r="M38" s="53">
        <f>M35-M32</f>
        <v>33.912523611700713</v>
      </c>
    </row>
    <row r="39" spans="1:13" x14ac:dyDescent="0.25">
      <c r="B39" s="44"/>
      <c r="C39" s="7"/>
    </row>
    <row r="40" spans="1:13" x14ac:dyDescent="0.25">
      <c r="B40" s="45"/>
    </row>
  </sheetData>
  <mergeCells count="10">
    <mergeCell ref="A33:F33"/>
    <mergeCell ref="H33:M33"/>
    <mergeCell ref="A36:F36"/>
    <mergeCell ref="H36:M36"/>
    <mergeCell ref="A2:F2"/>
    <mergeCell ref="H2:M2"/>
    <mergeCell ref="A15:F15"/>
    <mergeCell ref="H15:M15"/>
    <mergeCell ref="A27:F27"/>
    <mergeCell ref="H27:M27"/>
  </mergeCells>
  <conditionalFormatting sqref="B16:B24">
    <cfRule type="cellIs" dxfId="11" priority="10" operator="greaterThan">
      <formula>$B$38+$B$37</formula>
    </cfRule>
  </conditionalFormatting>
  <conditionalFormatting sqref="C16:C24">
    <cfRule type="cellIs" dxfId="10" priority="9" operator="greaterThan">
      <formula>$C$37+$C$38</formula>
    </cfRule>
  </conditionalFormatting>
  <conditionalFormatting sqref="D16:D24">
    <cfRule type="cellIs" dxfId="9" priority="8" operator="greaterThan">
      <formula>$D$37+$D$38</formula>
    </cfRule>
  </conditionalFormatting>
  <conditionalFormatting sqref="E16:E24">
    <cfRule type="cellIs" dxfId="8" priority="7" operator="greaterThan">
      <formula>$E$37+$E$38</formula>
    </cfRule>
  </conditionalFormatting>
  <conditionalFormatting sqref="F16:F24">
    <cfRule type="cellIs" dxfId="7" priority="6" operator="greaterThan">
      <formula>$F$37+$F$38</formula>
    </cfRule>
  </conditionalFormatting>
  <conditionalFormatting sqref="I16:I24">
    <cfRule type="cellIs" dxfId="6" priority="5" operator="greaterThan">
      <formula>$I$37+$I$38</formula>
    </cfRule>
  </conditionalFormatting>
  <conditionalFormatting sqref="J16:J24">
    <cfRule type="cellIs" dxfId="5" priority="4" operator="greaterThan">
      <formula>$J$37+$J$38</formula>
    </cfRule>
  </conditionalFormatting>
  <conditionalFormatting sqref="K16:K24">
    <cfRule type="cellIs" dxfId="4" priority="3" operator="greaterThan">
      <formula>$K$37+$K$38</formula>
    </cfRule>
  </conditionalFormatting>
  <conditionalFormatting sqref="L16:L24">
    <cfRule type="cellIs" dxfId="3" priority="2" operator="greaterThan">
      <formula>$L$37+$L$38</formula>
    </cfRule>
  </conditionalFormatting>
  <conditionalFormatting sqref="M16:M24">
    <cfRule type="cellIs" dxfId="2" priority="1" operator="greaterThan">
      <formula>$M$37+$M$38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EBDCD-90F4-4FCF-B58D-6541322DFAD6}">
  <dimension ref="A1:Y11"/>
  <sheetViews>
    <sheetView workbookViewId="0"/>
  </sheetViews>
  <sheetFormatPr defaultRowHeight="15" x14ac:dyDescent="0.25"/>
  <cols>
    <col min="1" max="1" width="9.7109375" bestFit="1" customWidth="1"/>
    <col min="24" max="24" width="10.85546875" bestFit="1" customWidth="1"/>
  </cols>
  <sheetData>
    <row r="1" spans="1:25" x14ac:dyDescent="0.25">
      <c r="A1" t="s">
        <v>213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</row>
    <row r="2" spans="1:25" x14ac:dyDescent="0.25">
      <c r="A2" s="50">
        <v>44562</v>
      </c>
      <c r="B2">
        <v>15889.37982</v>
      </c>
      <c r="C2">
        <v>13401.63241</v>
      </c>
      <c r="D2">
        <v>1590.4632710000001</v>
      </c>
      <c r="E2">
        <v>5112.1757429999998</v>
      </c>
      <c r="F2">
        <v>10219.134959999999</v>
      </c>
      <c r="G2">
        <v>19731.361209999999</v>
      </c>
      <c r="H2">
        <v>1891.456827</v>
      </c>
      <c r="I2">
        <v>5153.6699360000002</v>
      </c>
      <c r="J2">
        <v>5687.659729</v>
      </c>
      <c r="K2">
        <v>3126.96029</v>
      </c>
      <c r="L2">
        <v>6408.1353719999997</v>
      </c>
      <c r="M2">
        <v>6500.6840819999998</v>
      </c>
      <c r="N2">
        <v>252.81506970000001</v>
      </c>
      <c r="O2">
        <v>4070.71515</v>
      </c>
      <c r="P2">
        <v>1321.4373009999999</v>
      </c>
      <c r="Q2">
        <v>5352.6913160000004</v>
      </c>
      <c r="R2">
        <v>2221.5062349999998</v>
      </c>
      <c r="S2">
        <v>9470.2758620000004</v>
      </c>
      <c r="T2">
        <v>2271.8070339999999</v>
      </c>
      <c r="U2">
        <v>10862.03709</v>
      </c>
      <c r="V2">
        <v>11615.06148</v>
      </c>
      <c r="W2">
        <v>17228.420419999999</v>
      </c>
    </row>
    <row r="3" spans="1:25" x14ac:dyDescent="0.25">
      <c r="A3" s="50">
        <v>44593</v>
      </c>
      <c r="B3">
        <v>2023.7939449999999</v>
      </c>
      <c r="C3">
        <v>2766.7026340000002</v>
      </c>
      <c r="D3">
        <v>296.95917800000001</v>
      </c>
      <c r="E3">
        <v>635.92031669999994</v>
      </c>
      <c r="F3">
        <v>2108.0715850000001</v>
      </c>
      <c r="G3">
        <v>3653.2542199999998</v>
      </c>
      <c r="H3">
        <v>314.97503599999999</v>
      </c>
      <c r="I3">
        <v>946.90461110000001</v>
      </c>
      <c r="J3">
        <v>1084.6407349999999</v>
      </c>
      <c r="K3">
        <v>572.38382220000005</v>
      </c>
      <c r="L3">
        <v>1470.108295</v>
      </c>
      <c r="M3">
        <v>1273.9232770000001</v>
      </c>
      <c r="N3">
        <v>28.414397829999999</v>
      </c>
      <c r="O3">
        <v>810.21972640000001</v>
      </c>
      <c r="P3">
        <v>276.92216409999997</v>
      </c>
      <c r="Q3">
        <v>988.33731590000002</v>
      </c>
      <c r="R3">
        <v>465.70288820000002</v>
      </c>
      <c r="S3">
        <v>1823.9196730000001</v>
      </c>
      <c r="T3">
        <v>324.94792319999999</v>
      </c>
      <c r="U3">
        <v>1787.9196930000001</v>
      </c>
      <c r="V3">
        <v>2121.856702</v>
      </c>
      <c r="W3">
        <v>3290.9932589999999</v>
      </c>
    </row>
    <row r="4" spans="1:25" x14ac:dyDescent="0.25">
      <c r="A4" s="50">
        <v>44621</v>
      </c>
      <c r="B4">
        <v>969.46856579999996</v>
      </c>
      <c r="C4">
        <v>1087.2926339999999</v>
      </c>
      <c r="D4">
        <v>117.5691925</v>
      </c>
      <c r="E4">
        <v>635.92428359999997</v>
      </c>
      <c r="F4">
        <v>822.19988520000004</v>
      </c>
      <c r="G4">
        <v>1508.9644719999999</v>
      </c>
      <c r="H4">
        <v>116.501689</v>
      </c>
      <c r="I4">
        <v>542.30251620000001</v>
      </c>
      <c r="J4">
        <v>630.68593940000005</v>
      </c>
      <c r="K4">
        <v>268.74035029999999</v>
      </c>
      <c r="L4">
        <v>593.23802579999995</v>
      </c>
      <c r="M4">
        <v>520.56368499999996</v>
      </c>
      <c r="N4">
        <v>19.438997740000001</v>
      </c>
      <c r="O4">
        <v>361.06294489999999</v>
      </c>
      <c r="P4">
        <v>103.2072829</v>
      </c>
      <c r="Q4">
        <v>429.32009799999997</v>
      </c>
      <c r="R4">
        <v>246.7813539</v>
      </c>
      <c r="S4">
        <v>700.91862860000003</v>
      </c>
      <c r="T4">
        <v>158.5090051</v>
      </c>
      <c r="U4">
        <v>2603.1099949999998</v>
      </c>
      <c r="V4">
        <v>860.61573220000002</v>
      </c>
      <c r="W4">
        <v>1683.866857</v>
      </c>
    </row>
    <row r="5" spans="1:25" x14ac:dyDescent="0.25">
      <c r="A5" s="50">
        <v>44652</v>
      </c>
      <c r="B5">
        <v>3132.4604519999998</v>
      </c>
      <c r="C5">
        <v>1742.625172</v>
      </c>
      <c r="D5">
        <v>240.4949441</v>
      </c>
      <c r="E5">
        <v>2506.8125260000002</v>
      </c>
      <c r="F5">
        <v>1353.934473</v>
      </c>
      <c r="G5">
        <v>2630.8944430000001</v>
      </c>
      <c r="H5">
        <v>182.13808320000001</v>
      </c>
      <c r="I5">
        <v>949.21535359999996</v>
      </c>
      <c r="J5">
        <v>1124.4132750000001</v>
      </c>
      <c r="K5">
        <v>398.02490840000002</v>
      </c>
      <c r="L5">
        <v>667.0290602</v>
      </c>
      <c r="M5">
        <v>539.33921199999997</v>
      </c>
      <c r="N5">
        <v>36.540674420000002</v>
      </c>
      <c r="O5">
        <v>426.26357080000002</v>
      </c>
      <c r="P5">
        <v>99.502359330000004</v>
      </c>
      <c r="Q5">
        <v>528.67012690000001</v>
      </c>
      <c r="R5">
        <v>338.79254379999998</v>
      </c>
      <c r="S5">
        <v>972.46162200000003</v>
      </c>
      <c r="T5">
        <v>356.31531109999997</v>
      </c>
      <c r="U5">
        <v>5515.0185000000001</v>
      </c>
      <c r="V5">
        <v>1731.2896410000001</v>
      </c>
      <c r="W5">
        <v>2247.251675</v>
      </c>
    </row>
    <row r="6" spans="1:25" x14ac:dyDescent="0.25">
      <c r="A6" s="50">
        <v>44682</v>
      </c>
      <c r="B6">
        <v>850.5377211</v>
      </c>
      <c r="C6">
        <v>462.61264199999999</v>
      </c>
      <c r="D6">
        <v>67.713682329999997</v>
      </c>
      <c r="E6">
        <v>546.53127419999998</v>
      </c>
      <c r="F6">
        <v>330.77932499999997</v>
      </c>
      <c r="G6">
        <v>668.04459680000002</v>
      </c>
      <c r="H6">
        <v>45.861991690000004</v>
      </c>
      <c r="I6">
        <v>127.415931</v>
      </c>
      <c r="J6">
        <v>213.7962478</v>
      </c>
      <c r="K6">
        <v>60.493851530000001</v>
      </c>
      <c r="L6">
        <v>136.18663699999999</v>
      </c>
      <c r="M6">
        <v>100.0136979</v>
      </c>
      <c r="N6">
        <v>5.7157853340000004</v>
      </c>
      <c r="O6">
        <v>90.899058199999999</v>
      </c>
      <c r="P6">
        <v>17.200453490000001</v>
      </c>
      <c r="Q6">
        <v>94.646626420000004</v>
      </c>
      <c r="R6">
        <v>59.178017529999998</v>
      </c>
      <c r="S6">
        <v>172.84949320000001</v>
      </c>
      <c r="T6">
        <v>51.886781810000002</v>
      </c>
      <c r="U6">
        <v>1920.613836</v>
      </c>
      <c r="V6">
        <v>422.03877970000002</v>
      </c>
      <c r="W6">
        <v>771.26040869999997</v>
      </c>
      <c r="Y6" t="s">
        <v>214</v>
      </c>
    </row>
    <row r="7" spans="1:25" x14ac:dyDescent="0.25">
      <c r="A7" s="50">
        <v>44713</v>
      </c>
      <c r="B7">
        <v>581.41257759999996</v>
      </c>
      <c r="C7">
        <v>390.84078</v>
      </c>
      <c r="D7">
        <v>47.947610390000001</v>
      </c>
      <c r="E7">
        <v>458.97297450000002</v>
      </c>
      <c r="F7">
        <v>242.95325679999999</v>
      </c>
      <c r="G7">
        <v>535.69557759999998</v>
      </c>
      <c r="H7">
        <v>48.673758759999998</v>
      </c>
      <c r="I7">
        <v>238.67491200000001</v>
      </c>
      <c r="J7">
        <v>274.488248</v>
      </c>
      <c r="K7">
        <v>112.8989141</v>
      </c>
      <c r="L7">
        <v>174.32519479999999</v>
      </c>
      <c r="M7">
        <v>137.8779418</v>
      </c>
      <c r="N7">
        <v>10.96819241</v>
      </c>
      <c r="O7">
        <v>116.4461518</v>
      </c>
      <c r="P7">
        <v>26.046134649999999</v>
      </c>
      <c r="Q7">
        <v>165.1318114</v>
      </c>
      <c r="R7">
        <v>81.003328019999998</v>
      </c>
      <c r="S7">
        <v>218.78229469999999</v>
      </c>
      <c r="T7">
        <v>67.017087669999995</v>
      </c>
      <c r="U7">
        <v>748.15893359999995</v>
      </c>
      <c r="V7">
        <v>363.25864619999999</v>
      </c>
      <c r="W7">
        <v>678.55897130000005</v>
      </c>
      <c r="X7" t="s">
        <v>172</v>
      </c>
      <c r="Y7">
        <f>SUM(B7:N7)</f>
        <v>3255.7299387600001</v>
      </c>
    </row>
    <row r="8" spans="1:25" x14ac:dyDescent="0.25">
      <c r="A8" s="50">
        <v>44743</v>
      </c>
      <c r="B8">
        <v>81.234402279999998</v>
      </c>
      <c r="C8">
        <v>53.837524559999999</v>
      </c>
      <c r="D8">
        <v>8.1011658600000001</v>
      </c>
      <c r="E8">
        <v>40.834886969999999</v>
      </c>
      <c r="F8">
        <v>38.51145021</v>
      </c>
      <c r="G8">
        <v>84.485507960000007</v>
      </c>
      <c r="H8">
        <v>8.1453377370000002</v>
      </c>
      <c r="I8">
        <v>26.623721119999999</v>
      </c>
      <c r="J8">
        <v>32.234759400000002</v>
      </c>
      <c r="K8">
        <v>14.270074920000001</v>
      </c>
      <c r="L8">
        <v>21.736649379999999</v>
      </c>
      <c r="M8">
        <v>21.615657710000001</v>
      </c>
      <c r="N8">
        <v>1.4822074620000001</v>
      </c>
      <c r="O8">
        <v>17.54081695</v>
      </c>
      <c r="P8">
        <v>4.2489100950000003</v>
      </c>
      <c r="Q8">
        <v>23.333937769999999</v>
      </c>
      <c r="R8">
        <v>12.063861230000001</v>
      </c>
      <c r="S8">
        <v>30.0824961</v>
      </c>
      <c r="T8">
        <v>9.9131847129999997</v>
      </c>
      <c r="U8">
        <v>108.0673795</v>
      </c>
      <c r="V8">
        <v>52.757525139999998</v>
      </c>
      <c r="W8">
        <v>246.15656089999999</v>
      </c>
      <c r="X8" t="s">
        <v>173</v>
      </c>
      <c r="Y8">
        <f t="shared" ref="Y8:Y10" si="0">SUM(B8:N8)</f>
        <v>433.1133455690001</v>
      </c>
    </row>
    <row r="9" spans="1:25" x14ac:dyDescent="0.25">
      <c r="A9" s="50">
        <v>44774</v>
      </c>
      <c r="B9">
        <v>43.548472279999999</v>
      </c>
      <c r="C9">
        <v>29.117537949999999</v>
      </c>
      <c r="D9">
        <v>4.4294058649999997</v>
      </c>
      <c r="E9">
        <v>20.508881450000001</v>
      </c>
      <c r="F9">
        <v>21.422864430000001</v>
      </c>
      <c r="G9">
        <v>45.887776799999997</v>
      </c>
      <c r="H9">
        <v>4.3516935109999997</v>
      </c>
      <c r="I9">
        <v>15.0545373</v>
      </c>
      <c r="J9">
        <v>18.16342818</v>
      </c>
      <c r="K9">
        <v>8.1970864690000003</v>
      </c>
      <c r="L9">
        <v>11.896258019999999</v>
      </c>
      <c r="M9">
        <v>13.08316647</v>
      </c>
      <c r="N9">
        <v>0.91392347200000001</v>
      </c>
      <c r="O9">
        <v>9.8102426200000004</v>
      </c>
      <c r="P9">
        <v>2.5773209179999998</v>
      </c>
      <c r="Q9">
        <v>13.664918220000001</v>
      </c>
      <c r="R9">
        <v>6.6542839989999996</v>
      </c>
      <c r="S9">
        <v>16.31880108</v>
      </c>
      <c r="T9">
        <v>5.739011767</v>
      </c>
      <c r="U9">
        <v>43.892207630000001</v>
      </c>
      <c r="V9">
        <v>25.68474642</v>
      </c>
      <c r="W9">
        <v>185.62304</v>
      </c>
      <c r="X9" t="s">
        <v>174</v>
      </c>
      <c r="Y9">
        <f t="shared" si="0"/>
        <v>236.57503219700001</v>
      </c>
    </row>
    <row r="10" spans="1:25" x14ac:dyDescent="0.25">
      <c r="A10" s="50">
        <v>44805</v>
      </c>
      <c r="B10">
        <v>29.296446939999999</v>
      </c>
      <c r="C10">
        <v>20.118137860000001</v>
      </c>
      <c r="D10">
        <v>2.9968049880000001</v>
      </c>
      <c r="E10">
        <v>13.82934788</v>
      </c>
      <c r="F10">
        <v>14.91291754</v>
      </c>
      <c r="G10">
        <v>31.621867170000002</v>
      </c>
      <c r="H10">
        <v>2.916295941</v>
      </c>
      <c r="I10">
        <v>10.83172967</v>
      </c>
      <c r="J10">
        <v>12.645811330000001</v>
      </c>
      <c r="K10">
        <v>5.964353794</v>
      </c>
      <c r="L10">
        <v>8.3321607760000003</v>
      </c>
      <c r="M10">
        <v>9.6372840360000005</v>
      </c>
      <c r="N10">
        <v>0.678921946</v>
      </c>
      <c r="O10">
        <v>6.7898541730000002</v>
      </c>
      <c r="P10">
        <v>1.8930634369999999</v>
      </c>
      <c r="Q10">
        <v>9.8251186449999999</v>
      </c>
      <c r="R10">
        <v>4.5855644580000003</v>
      </c>
      <c r="S10">
        <v>11.292093059999999</v>
      </c>
      <c r="T10">
        <v>4.06147218</v>
      </c>
      <c r="U10">
        <v>25.567324989999999</v>
      </c>
      <c r="V10">
        <v>16.842635510000001</v>
      </c>
      <c r="W10">
        <v>139.6422384</v>
      </c>
      <c r="X10" t="s">
        <v>175</v>
      </c>
      <c r="Y10">
        <f t="shared" si="0"/>
        <v>163.78207987100004</v>
      </c>
    </row>
    <row r="11" spans="1:25" x14ac:dyDescent="0.25">
      <c r="A11" s="50">
        <v>44835</v>
      </c>
      <c r="B11">
        <v>22.700020760000001</v>
      </c>
      <c r="C11">
        <v>15.95423929</v>
      </c>
      <c r="D11">
        <v>2.328653284</v>
      </c>
      <c r="E11">
        <v>10.815663560000001</v>
      </c>
      <c r="F11">
        <v>11.872258029999999</v>
      </c>
      <c r="G11">
        <v>25.062135189999999</v>
      </c>
      <c r="H11">
        <v>2.2532020849999999</v>
      </c>
      <c r="I11">
        <v>8.7709043399999995</v>
      </c>
      <c r="J11">
        <v>10.042308609999999</v>
      </c>
      <c r="K11">
        <v>4.8806651250000002</v>
      </c>
      <c r="L11">
        <v>6.664736886</v>
      </c>
      <c r="M11">
        <v>7.9154337290000001</v>
      </c>
      <c r="N11">
        <v>0.56017159699999997</v>
      </c>
      <c r="O11">
        <v>5.39242022</v>
      </c>
      <c r="P11">
        <v>1.553929737</v>
      </c>
      <c r="Q11">
        <v>7.9735493999999996</v>
      </c>
      <c r="R11">
        <v>3.6325666270000001</v>
      </c>
      <c r="S11">
        <v>8.9531852329999992</v>
      </c>
      <c r="T11">
        <v>3.2468412170000001</v>
      </c>
      <c r="U11">
        <v>18.45222141</v>
      </c>
      <c r="V11">
        <v>13.029414429999999</v>
      </c>
      <c r="W11">
        <v>107.41283439999999</v>
      </c>
      <c r="X11" t="s">
        <v>176</v>
      </c>
      <c r="Y11">
        <f>SUM(B11:N11)</f>
        <v>129.82039248600003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939C6-BEB1-4FF2-88EE-DAB1EF2AC57E}">
  <dimension ref="A1:M21"/>
  <sheetViews>
    <sheetView workbookViewId="0"/>
  </sheetViews>
  <sheetFormatPr defaultRowHeight="15" x14ac:dyDescent="0.25"/>
  <cols>
    <col min="1" max="1" width="31.28515625" bestFit="1" customWidth="1"/>
    <col min="7" max="7" width="11.5703125" bestFit="1" customWidth="1"/>
  </cols>
  <sheetData>
    <row r="1" spans="1:13" x14ac:dyDescent="0.25">
      <c r="B1" t="s">
        <v>215</v>
      </c>
      <c r="C1" t="s">
        <v>216</v>
      </c>
      <c r="D1" t="s">
        <v>217</v>
      </c>
      <c r="E1" t="s">
        <v>218</v>
      </c>
      <c r="F1" t="s">
        <v>219</v>
      </c>
      <c r="G1" t="s">
        <v>220</v>
      </c>
      <c r="H1" t="s">
        <v>221</v>
      </c>
      <c r="I1" t="s">
        <v>222</v>
      </c>
      <c r="J1" t="s">
        <v>223</v>
      </c>
      <c r="K1" t="s">
        <v>224</v>
      </c>
      <c r="L1" t="s">
        <v>225</v>
      </c>
      <c r="M1" t="s">
        <v>226</v>
      </c>
    </row>
    <row r="2" spans="1:13" x14ac:dyDescent="0.25">
      <c r="A2" t="s">
        <v>227</v>
      </c>
      <c r="B2">
        <v>241.49</v>
      </c>
      <c r="C2">
        <v>365.55</v>
      </c>
      <c r="D2">
        <v>592.30999999999995</v>
      </c>
      <c r="E2">
        <v>908.79</v>
      </c>
      <c r="F2">
        <v>1204.82</v>
      </c>
      <c r="G2">
        <v>1313.35</v>
      </c>
      <c r="H2">
        <v>1376.2</v>
      </c>
      <c r="I2">
        <v>1157.55</v>
      </c>
      <c r="J2">
        <v>858.58</v>
      </c>
      <c r="K2">
        <v>497.28</v>
      </c>
      <c r="L2">
        <v>263.27999999999997</v>
      </c>
      <c r="M2">
        <v>156.93</v>
      </c>
    </row>
    <row r="3" spans="1:13" x14ac:dyDescent="0.25">
      <c r="A3" t="s">
        <v>228</v>
      </c>
      <c r="B3" s="38">
        <f>B2/3</f>
        <v>80.49666666666667</v>
      </c>
      <c r="C3" s="38">
        <f t="shared" ref="C3:M3" si="0">C2/3</f>
        <v>121.85000000000001</v>
      </c>
      <c r="D3" s="38">
        <f t="shared" si="0"/>
        <v>197.43666666666664</v>
      </c>
      <c r="E3" s="38">
        <f t="shared" si="0"/>
        <v>302.93</v>
      </c>
      <c r="F3" s="38">
        <f t="shared" si="0"/>
        <v>401.60666666666663</v>
      </c>
      <c r="G3" s="38">
        <f>G2/3</f>
        <v>437.7833333333333</v>
      </c>
      <c r="H3" s="38">
        <f t="shared" si="0"/>
        <v>458.73333333333335</v>
      </c>
      <c r="I3" s="38">
        <f t="shared" si="0"/>
        <v>385.84999999999997</v>
      </c>
      <c r="J3" s="38">
        <f t="shared" si="0"/>
        <v>286.19333333333333</v>
      </c>
      <c r="K3" s="38">
        <f t="shared" si="0"/>
        <v>165.76</v>
      </c>
      <c r="L3" s="38">
        <f t="shared" si="0"/>
        <v>87.759999999999991</v>
      </c>
      <c r="M3" s="38">
        <f t="shared" si="0"/>
        <v>52.31</v>
      </c>
    </row>
    <row r="4" spans="1:13" x14ac:dyDescent="0.25">
      <c r="A4" t="s">
        <v>229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3" x14ac:dyDescent="0.25">
      <c r="A5" t="s">
        <v>230</v>
      </c>
      <c r="B5" t="s">
        <v>178</v>
      </c>
      <c r="C5" t="s">
        <v>178</v>
      </c>
      <c r="D5" t="s">
        <v>178</v>
      </c>
      <c r="E5" t="s">
        <v>178</v>
      </c>
      <c r="F5" t="s">
        <v>178</v>
      </c>
      <c r="G5" s="56">
        <f>'3. Supply analysis (Actual)'!B29</f>
        <v>3255.7299387600001</v>
      </c>
      <c r="H5" s="56">
        <f>'3. Supply analysis (Actual)'!C29</f>
        <v>433.1133455690001</v>
      </c>
      <c r="I5" s="56">
        <f>'3. Supply analysis (Actual)'!D29</f>
        <v>236.57503219700001</v>
      </c>
      <c r="J5" s="56">
        <f>'3. Supply analysis (Actual)'!E29</f>
        <v>163.78207987100004</v>
      </c>
      <c r="K5" s="56">
        <f>'3. Supply analysis (Actual)'!F29</f>
        <v>129.82039248600003</v>
      </c>
      <c r="L5" t="s">
        <v>178</v>
      </c>
      <c r="M5" t="s">
        <v>178</v>
      </c>
    </row>
    <row r="6" spans="1:13" x14ac:dyDescent="0.25">
      <c r="A6" t="s">
        <v>231</v>
      </c>
      <c r="B6" t="s">
        <v>178</v>
      </c>
      <c r="C6" t="s">
        <v>178</v>
      </c>
      <c r="D6" t="s">
        <v>178</v>
      </c>
      <c r="E6" t="s">
        <v>178</v>
      </c>
      <c r="F6" t="s">
        <v>178</v>
      </c>
      <c r="G6" s="56">
        <f>'3. Supply analysis (Actual)'!B30</f>
        <v>5355.3689999999997</v>
      </c>
      <c r="H6" s="56">
        <f>'3. Supply analysis (Actual)'!C30</f>
        <v>5533.8813000000009</v>
      </c>
      <c r="I6" s="56">
        <f>'3. Supply analysis (Actual)'!D30</f>
        <v>1100.6275029999999</v>
      </c>
      <c r="J6" s="56" t="e">
        <f>'3. Supply analysis (Actual)'!E30</f>
        <v>#VALUE!</v>
      </c>
      <c r="K6" s="56" t="e">
        <f>'3. Supply analysis (Actual)'!F30</f>
        <v>#VALUE!</v>
      </c>
      <c r="L6" t="s">
        <v>178</v>
      </c>
      <c r="M6" t="s">
        <v>178</v>
      </c>
    </row>
    <row r="8" spans="1:13" x14ac:dyDescent="0.25">
      <c r="A8" s="57" t="s">
        <v>232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</row>
    <row r="9" spans="1:13" x14ac:dyDescent="0.25">
      <c r="A9" s="59" t="s">
        <v>202</v>
      </c>
      <c r="B9" s="59" t="s">
        <v>178</v>
      </c>
      <c r="C9" s="59" t="s">
        <v>178</v>
      </c>
      <c r="D9" s="59" t="s">
        <v>178</v>
      </c>
      <c r="E9" s="59" t="s">
        <v>178</v>
      </c>
      <c r="F9" s="59" t="s">
        <v>178</v>
      </c>
      <c r="G9" s="58">
        <f>IF(G5-G3&lt;0,0,G5-G3)</f>
        <v>2817.9466054266668</v>
      </c>
      <c r="H9" s="58">
        <f t="shared" ref="H9:K9" si="1">IF(H5-H3&lt;0,0,H5-H3)</f>
        <v>0</v>
      </c>
      <c r="I9" s="58">
        <f t="shared" si="1"/>
        <v>0</v>
      </c>
      <c r="J9" s="58">
        <f t="shared" si="1"/>
        <v>0</v>
      </c>
      <c r="K9" s="58">
        <f t="shared" si="1"/>
        <v>0</v>
      </c>
      <c r="L9" s="59" t="s">
        <v>178</v>
      </c>
      <c r="M9" s="59" t="s">
        <v>178</v>
      </c>
    </row>
    <row r="10" spans="1:13" x14ac:dyDescent="0.25">
      <c r="A10" s="59" t="s">
        <v>231</v>
      </c>
      <c r="B10" s="59" t="s">
        <v>178</v>
      </c>
      <c r="C10" s="59" t="s">
        <v>178</v>
      </c>
      <c r="D10" s="59" t="s">
        <v>178</v>
      </c>
      <c r="E10" s="59" t="s">
        <v>178</v>
      </c>
      <c r="F10" s="59" t="s">
        <v>178</v>
      </c>
      <c r="G10" s="58">
        <f>IF(G5-G3&lt;0,(G6-G3)+((G5-G3)/2),G6-G3)</f>
        <v>4917.5856666666659</v>
      </c>
      <c r="H10" s="58">
        <f t="shared" ref="H10:K10" si="2">IF(H5-H3&lt;0,(H6-H3)+((H5-H3)/2),H6-H3)</f>
        <v>5062.3379727845004</v>
      </c>
      <c r="I10" s="58">
        <f t="shared" si="2"/>
        <v>640.14001909850003</v>
      </c>
      <c r="J10" s="58" t="e">
        <f t="shared" si="2"/>
        <v>#VALUE!</v>
      </c>
      <c r="K10" s="58" t="e">
        <f t="shared" si="2"/>
        <v>#VALUE!</v>
      </c>
      <c r="L10" s="59" t="s">
        <v>178</v>
      </c>
      <c r="M10" s="59" t="s">
        <v>178</v>
      </c>
    </row>
    <row r="12" spans="1:13" x14ac:dyDescent="0.25">
      <c r="G12" s="55"/>
    </row>
    <row r="14" spans="1:13" x14ac:dyDescent="0.25">
      <c r="A14" s="57" t="s">
        <v>233</v>
      </c>
    </row>
    <row r="15" spans="1:13" x14ac:dyDescent="0.25">
      <c r="A15" t="s">
        <v>229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</row>
    <row r="16" spans="1:13" x14ac:dyDescent="0.25">
      <c r="A16" t="s">
        <v>230</v>
      </c>
      <c r="B16" t="s">
        <v>178</v>
      </c>
      <c r="C16" t="s">
        <v>178</v>
      </c>
      <c r="D16" t="s">
        <v>178</v>
      </c>
      <c r="E16" t="s">
        <v>178</v>
      </c>
      <c r="F16" t="s">
        <v>178</v>
      </c>
      <c r="G16" s="56">
        <f>'4. Supply analysis(WorkingCopy)'!B29</f>
        <v>3255.7299387600001</v>
      </c>
      <c r="H16" s="56">
        <f>'4. Supply analysis(WorkingCopy)'!C29</f>
        <v>433.1133455690001</v>
      </c>
      <c r="I16" s="56">
        <f>'4. Supply analysis(WorkingCopy)'!D29</f>
        <v>236.57503219700001</v>
      </c>
      <c r="J16" s="56">
        <f>'4. Supply analysis(WorkingCopy)'!E29</f>
        <v>163.78207987100004</v>
      </c>
      <c r="K16" s="56">
        <f>'4. Supply analysis(WorkingCopy)'!F29</f>
        <v>129.82039248600003</v>
      </c>
      <c r="L16" t="s">
        <v>178</v>
      </c>
      <c r="M16" t="s">
        <v>178</v>
      </c>
    </row>
    <row r="17" spans="1:13" x14ac:dyDescent="0.25">
      <c r="A17" t="s">
        <v>231</v>
      </c>
      <c r="B17" t="s">
        <v>178</v>
      </c>
      <c r="C17" t="s">
        <v>178</v>
      </c>
      <c r="D17" t="s">
        <v>178</v>
      </c>
      <c r="E17" t="s">
        <v>178</v>
      </c>
      <c r="F17" t="s">
        <v>178</v>
      </c>
      <c r="G17" s="56">
        <f>'4. Supply analysis(WorkingCopy)'!B30</f>
        <v>4760.3280000000004</v>
      </c>
      <c r="H17" s="56">
        <f>'4. Supply analysis(WorkingCopy)'!C30</f>
        <v>922.31355000000008</v>
      </c>
      <c r="I17" s="56">
        <f>'4. Supply analysis(WorkingCopy)'!D30</f>
        <v>922.31355000000008</v>
      </c>
      <c r="J17" s="56">
        <f>'4. Supply analysis(WorkingCopy)'!E30</f>
        <v>1904.1312</v>
      </c>
      <c r="K17" s="56">
        <f>'4. Supply analysis(WorkingCopy)'!F30</f>
        <v>2380.1640000000002</v>
      </c>
      <c r="L17" t="s">
        <v>178</v>
      </c>
      <c r="M17" t="s">
        <v>178</v>
      </c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x14ac:dyDescent="0.25">
      <c r="A19" s="66" t="s">
        <v>232</v>
      </c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</row>
    <row r="20" spans="1:13" x14ac:dyDescent="0.25">
      <c r="A20" s="67" t="s">
        <v>202</v>
      </c>
      <c r="B20" s="67" t="s">
        <v>178</v>
      </c>
      <c r="C20" s="67" t="s">
        <v>178</v>
      </c>
      <c r="D20" s="67" t="s">
        <v>178</v>
      </c>
      <c r="E20" s="67" t="s">
        <v>178</v>
      </c>
      <c r="F20" s="67" t="s">
        <v>178</v>
      </c>
      <c r="G20" s="68">
        <f>IF(G5-G3&lt;0,0,G5-G3)</f>
        <v>2817.9466054266668</v>
      </c>
      <c r="H20" s="68">
        <f>IF(H5-H3&lt;0,0,H5-H3)</f>
        <v>0</v>
      </c>
      <c r="I20" s="68">
        <f>IF(I5-I3&lt;0,0,I5-I3)</f>
        <v>0</v>
      </c>
      <c r="J20" s="68">
        <f>IF(J5-J3&lt;0,0,J5-J3)</f>
        <v>0</v>
      </c>
      <c r="K20" s="68">
        <f>IF(K5-K3&lt;0,0,K5-K3)</f>
        <v>0</v>
      </c>
      <c r="L20" s="67" t="s">
        <v>178</v>
      </c>
      <c r="M20" s="67" t="s">
        <v>178</v>
      </c>
    </row>
    <row r="21" spans="1:13" x14ac:dyDescent="0.25">
      <c r="A21" s="67" t="s">
        <v>231</v>
      </c>
      <c r="B21" s="67" t="s">
        <v>178</v>
      </c>
      <c r="C21" s="67" t="s">
        <v>178</v>
      </c>
      <c r="D21" s="67" t="s">
        <v>178</v>
      </c>
      <c r="E21" s="67" t="s">
        <v>178</v>
      </c>
      <c r="F21" s="67" t="s">
        <v>178</v>
      </c>
      <c r="G21" s="68">
        <f>IF(G16-G3&lt;0,(G17-G3)+((G16-G3)/2),G17-G3)</f>
        <v>4322.5446666666667</v>
      </c>
      <c r="H21" s="68">
        <f>IF(H16-H3&lt;0,(H17-H3)+((H16-H3)/2),H17-H3)</f>
        <v>450.77022278450011</v>
      </c>
      <c r="I21" s="68">
        <f>IF(I16-I3&lt;0,(I17-I3)+((I16-I3)/2),I17-I3)</f>
        <v>461.82606609850018</v>
      </c>
      <c r="J21" s="68">
        <f>IF(J16-J3&lt;0,(J17-J3)+((J16-J3)/2),J17-J3)</f>
        <v>1556.7322399355</v>
      </c>
      <c r="K21" s="68">
        <f>IF(K16-K3&lt;0,(K17-K3)+((K16-K3)/2),K17-K3)</f>
        <v>2196.4341962430003</v>
      </c>
      <c r="L21" s="67" t="s">
        <v>178</v>
      </c>
      <c r="M21" s="67" t="s">
        <v>178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0E637-AE0A-4DB0-BE1D-25157B84B4B3}">
  <dimension ref="A1:R25"/>
  <sheetViews>
    <sheetView zoomScaleNormal="100" workbookViewId="0"/>
  </sheetViews>
  <sheetFormatPr defaultRowHeight="15" x14ac:dyDescent="0.25"/>
  <cols>
    <col min="1" max="1" width="20.42578125" bestFit="1" customWidth="1"/>
    <col min="2" max="2" width="22.28515625" bestFit="1" customWidth="1"/>
    <col min="3" max="3" width="22.140625" bestFit="1" customWidth="1"/>
    <col min="4" max="4" width="21.7109375" bestFit="1" customWidth="1"/>
    <col min="5" max="5" width="20.5703125" bestFit="1" customWidth="1"/>
    <col min="6" max="6" width="21" bestFit="1" customWidth="1"/>
    <col min="7" max="7" width="22.140625" customWidth="1"/>
    <col min="8" max="8" width="13.28515625" bestFit="1" customWidth="1"/>
    <col min="9" max="9" width="26.28515625" bestFit="1" customWidth="1"/>
    <col min="11" max="11" width="13.28515625" bestFit="1" customWidth="1"/>
    <col min="12" max="12" width="26.28515625" bestFit="1" customWidth="1"/>
    <col min="14" max="14" width="14.5703125" bestFit="1" customWidth="1"/>
    <col min="15" max="15" width="7.140625" bestFit="1" customWidth="1"/>
    <col min="17" max="17" width="25.140625" bestFit="1" customWidth="1"/>
    <col min="18" max="18" width="7.140625" bestFit="1" customWidth="1"/>
  </cols>
  <sheetData>
    <row r="1" spans="1:18" ht="18.75" x14ac:dyDescent="0.3">
      <c r="A1" s="6" t="s">
        <v>234</v>
      </c>
      <c r="H1" s="6" t="s">
        <v>235</v>
      </c>
      <c r="K1" s="6" t="s">
        <v>236</v>
      </c>
      <c r="N1" s="6" t="s">
        <v>237</v>
      </c>
      <c r="Q1" s="6" t="s">
        <v>238</v>
      </c>
    </row>
    <row r="3" spans="1:18" x14ac:dyDescent="0.25">
      <c r="A3" s="92" t="s">
        <v>239</v>
      </c>
      <c r="B3" t="s">
        <v>240</v>
      </c>
      <c r="H3" s="92" t="s">
        <v>239</v>
      </c>
      <c r="I3" t="s">
        <v>241</v>
      </c>
      <c r="K3" s="92" t="s">
        <v>239</v>
      </c>
      <c r="L3" t="s">
        <v>242</v>
      </c>
      <c r="N3" s="92" t="s">
        <v>239</v>
      </c>
      <c r="O3" t="s">
        <v>240</v>
      </c>
      <c r="Q3" s="92" t="s">
        <v>239</v>
      </c>
      <c r="R3" t="s">
        <v>240</v>
      </c>
    </row>
    <row r="4" spans="1:18" x14ac:dyDescent="0.25">
      <c r="N4" s="92" t="s">
        <v>243</v>
      </c>
      <c r="O4" t="s">
        <v>241</v>
      </c>
      <c r="Q4" s="92" t="s">
        <v>244</v>
      </c>
      <c r="R4" t="s">
        <v>241</v>
      </c>
    </row>
    <row r="5" spans="1:18" x14ac:dyDescent="0.25">
      <c r="A5" s="92" t="s">
        <v>245</v>
      </c>
      <c r="B5" t="s">
        <v>246</v>
      </c>
      <c r="C5" t="s">
        <v>247</v>
      </c>
      <c r="D5" t="s">
        <v>248</v>
      </c>
      <c r="E5" t="s">
        <v>249</v>
      </c>
      <c r="F5" t="s">
        <v>250</v>
      </c>
      <c r="H5" s="92" t="s">
        <v>245</v>
      </c>
      <c r="I5" t="s">
        <v>251</v>
      </c>
      <c r="K5" s="92" t="s">
        <v>245</v>
      </c>
      <c r="L5" t="s">
        <v>251</v>
      </c>
    </row>
    <row r="6" spans="1:18" x14ac:dyDescent="0.25">
      <c r="A6" s="2" t="s">
        <v>252</v>
      </c>
      <c r="B6" s="5">
        <v>4343.9942215730043</v>
      </c>
      <c r="C6" s="5">
        <v>2444.7383520439989</v>
      </c>
      <c r="D6" s="5">
        <v>934.04579436000029</v>
      </c>
      <c r="E6" s="5">
        <v>778.32701230500061</v>
      </c>
      <c r="F6" s="5">
        <v>647.816870376</v>
      </c>
      <c r="G6" s="5"/>
      <c r="H6" s="2" t="s">
        <v>252</v>
      </c>
      <c r="I6" s="5">
        <v>10346.574036299618</v>
      </c>
      <c r="K6" s="2" t="s">
        <v>252</v>
      </c>
      <c r="L6" s="5">
        <v>1440.7664799982933</v>
      </c>
      <c r="N6" s="92" t="s">
        <v>245</v>
      </c>
      <c r="O6" t="s">
        <v>253</v>
      </c>
      <c r="Q6" s="92" t="s">
        <v>245</v>
      </c>
      <c r="R6" t="s">
        <v>253</v>
      </c>
    </row>
    <row r="7" spans="1:18" x14ac:dyDescent="0.25">
      <c r="A7" s="2" t="s">
        <v>254</v>
      </c>
      <c r="B7" s="5">
        <v>4707.6932806340192</v>
      </c>
      <c r="C7" s="5">
        <v>5770.9731115010327</v>
      </c>
      <c r="D7" s="5">
        <v>5819.2583538366971</v>
      </c>
      <c r="E7" s="5">
        <v>4311.6587441040228</v>
      </c>
      <c r="F7" s="5">
        <v>3235.7271330126623</v>
      </c>
      <c r="G7" s="5"/>
      <c r="H7" s="2" t="s">
        <v>254</v>
      </c>
      <c r="I7" s="5">
        <v>15725.732399239334</v>
      </c>
      <c r="K7" s="2" t="s">
        <v>254</v>
      </c>
      <c r="L7" s="5">
        <v>9312.5915739390312</v>
      </c>
      <c r="N7" s="2" t="s">
        <v>252</v>
      </c>
      <c r="O7" s="5">
        <v>63</v>
      </c>
      <c r="Q7" s="2" t="s">
        <v>252</v>
      </c>
      <c r="R7" s="5">
        <v>465</v>
      </c>
    </row>
    <row r="8" spans="1:18" x14ac:dyDescent="0.25">
      <c r="A8" s="3" t="s">
        <v>255</v>
      </c>
      <c r="B8" s="5">
        <v>3897.5696774663338</v>
      </c>
      <c r="C8" s="5">
        <v>4666.0759281656665</v>
      </c>
      <c r="D8" s="5">
        <v>4632.4691724996665</v>
      </c>
      <c r="E8" s="5">
        <v>3346.7370079343327</v>
      </c>
      <c r="F8" s="5">
        <v>2627.5701173333323</v>
      </c>
      <c r="G8" s="5"/>
      <c r="H8" s="3" t="s">
        <v>255</v>
      </c>
      <c r="I8" s="5">
        <v>11771.672712240668</v>
      </c>
      <c r="K8" s="3" t="s">
        <v>255</v>
      </c>
      <c r="L8" s="5">
        <v>8307.8592610546675</v>
      </c>
      <c r="N8" s="2" t="s">
        <v>254</v>
      </c>
      <c r="O8" s="5">
        <v>179</v>
      </c>
      <c r="Q8" s="2" t="s">
        <v>254</v>
      </c>
      <c r="R8" s="5">
        <v>908</v>
      </c>
    </row>
    <row r="9" spans="1:18" x14ac:dyDescent="0.25">
      <c r="A9" s="4" t="s">
        <v>182</v>
      </c>
      <c r="B9" s="5">
        <v>281.08861000000007</v>
      </c>
      <c r="C9" s="5">
        <v>208.77641066666672</v>
      </c>
      <c r="D9" s="5">
        <v>209.25641066666665</v>
      </c>
      <c r="E9" s="5">
        <v>163.8431773333333</v>
      </c>
      <c r="F9" s="5">
        <v>48.570844000000001</v>
      </c>
      <c r="G9" s="5"/>
      <c r="H9" s="3" t="s">
        <v>256</v>
      </c>
      <c r="I9" s="5">
        <v>1585.2088693333328</v>
      </c>
      <c r="K9" s="3" t="s">
        <v>256</v>
      </c>
      <c r="L9" s="5">
        <v>138.49699826299999</v>
      </c>
      <c r="N9" s="3" t="s">
        <v>255</v>
      </c>
      <c r="O9" s="5">
        <v>136</v>
      </c>
      <c r="Q9" s="3" t="s">
        <v>255</v>
      </c>
      <c r="R9" s="5">
        <v>550</v>
      </c>
    </row>
    <row r="10" spans="1:18" x14ac:dyDescent="0.25">
      <c r="A10" s="4" t="s">
        <v>183</v>
      </c>
      <c r="B10" s="5">
        <v>344.4995213333334</v>
      </c>
      <c r="C10" s="5">
        <v>374.59829999999999</v>
      </c>
      <c r="D10" s="5">
        <v>299.94000000000005</v>
      </c>
      <c r="E10" s="5">
        <v>259.29000000000002</v>
      </c>
      <c r="F10" s="5">
        <v>135.67919999999998</v>
      </c>
      <c r="G10" s="5"/>
      <c r="H10" s="3" t="s">
        <v>257</v>
      </c>
      <c r="I10" s="5">
        <v>87.1933333333333</v>
      </c>
      <c r="K10" s="3" t="s">
        <v>257</v>
      </c>
      <c r="L10" s="5">
        <v>54.705795004333332</v>
      </c>
      <c r="N10" s="3" t="s">
        <v>256</v>
      </c>
      <c r="O10" s="5">
        <v>3</v>
      </c>
      <c r="Q10" s="3" t="s">
        <v>256</v>
      </c>
      <c r="R10" s="5">
        <v>24</v>
      </c>
    </row>
    <row r="11" spans="1:18" x14ac:dyDescent="0.25">
      <c r="A11" s="4" t="s">
        <v>184</v>
      </c>
      <c r="B11" s="5">
        <v>274.74000000000007</v>
      </c>
      <c r="C11" s="5">
        <v>256.16000000000003</v>
      </c>
      <c r="D11" s="5">
        <v>252.59000000000006</v>
      </c>
      <c r="E11" s="5">
        <v>231.01</v>
      </c>
      <c r="F11" s="5">
        <v>126.99</v>
      </c>
      <c r="G11" s="5"/>
      <c r="H11" s="3" t="s">
        <v>177</v>
      </c>
      <c r="I11" s="5">
        <v>2281.6574843319995</v>
      </c>
      <c r="K11" s="3" t="s">
        <v>177</v>
      </c>
      <c r="L11" s="5">
        <v>811.52951961703161</v>
      </c>
      <c r="N11" s="3" t="s">
        <v>257</v>
      </c>
      <c r="O11" s="5">
        <v>1</v>
      </c>
      <c r="Q11" s="3" t="s">
        <v>257</v>
      </c>
      <c r="R11" s="5">
        <v>12</v>
      </c>
    </row>
    <row r="12" spans="1:18" x14ac:dyDescent="0.25">
      <c r="A12" s="4" t="s">
        <v>185</v>
      </c>
      <c r="B12" s="5">
        <v>181.35331199999999</v>
      </c>
      <c r="C12" s="5">
        <v>85.161966000000007</v>
      </c>
      <c r="D12" s="5">
        <v>78.451680667000005</v>
      </c>
      <c r="E12" s="5">
        <v>66.331319667000002</v>
      </c>
      <c r="F12" s="5">
        <v>41.661300000000004</v>
      </c>
      <c r="G12" s="5"/>
      <c r="N12" s="3" t="s">
        <v>177</v>
      </c>
      <c r="O12" s="5">
        <v>39</v>
      </c>
      <c r="Q12" s="3" t="s">
        <v>177</v>
      </c>
      <c r="R12" s="5">
        <v>322</v>
      </c>
    </row>
    <row r="13" spans="1:18" x14ac:dyDescent="0.25">
      <c r="A13" s="4" t="s">
        <v>186</v>
      </c>
      <c r="B13" s="5">
        <v>256.97077733400005</v>
      </c>
      <c r="C13" s="5">
        <v>322.9611920000001</v>
      </c>
      <c r="D13" s="5">
        <v>267.14078266700011</v>
      </c>
      <c r="E13" s="5">
        <v>182.48077733400004</v>
      </c>
      <c r="F13" s="5">
        <v>106.07065466699999</v>
      </c>
      <c r="G13" s="5"/>
    </row>
    <row r="14" spans="1:18" x14ac:dyDescent="0.25">
      <c r="A14" s="4" t="s">
        <v>258</v>
      </c>
      <c r="B14" s="5">
        <v>419.03300066599996</v>
      </c>
      <c r="C14" s="5">
        <v>474.13266266599999</v>
      </c>
      <c r="D14" s="5">
        <v>271.82676333299997</v>
      </c>
      <c r="E14" s="5">
        <v>210.33171609999997</v>
      </c>
      <c r="F14" s="5">
        <v>133.11799116633333</v>
      </c>
      <c r="G14" s="5"/>
    </row>
    <row r="15" spans="1:18" x14ac:dyDescent="0.25">
      <c r="A15" s="4" t="s">
        <v>259</v>
      </c>
      <c r="B15" s="5">
        <v>3.9244561330000001</v>
      </c>
      <c r="C15" s="5">
        <v>4.7153968330000007</v>
      </c>
      <c r="D15" s="5">
        <v>5.5635351659999994</v>
      </c>
      <c r="E15" s="5">
        <v>4.1600175000000004</v>
      </c>
      <c r="F15" s="5">
        <v>6.5701274999999999</v>
      </c>
      <c r="G15" s="5"/>
    </row>
    <row r="16" spans="1:18" x14ac:dyDescent="0.25">
      <c r="A16" s="4" t="s">
        <v>180</v>
      </c>
      <c r="B16" s="5">
        <v>146.42000000000002</v>
      </c>
      <c r="C16" s="5">
        <v>176.14</v>
      </c>
      <c r="D16" s="5">
        <v>207.13000000000002</v>
      </c>
      <c r="E16" s="5">
        <v>150.07</v>
      </c>
      <c r="F16" s="5">
        <v>89.2</v>
      </c>
      <c r="G16" s="5"/>
    </row>
    <row r="17" spans="1:7" x14ac:dyDescent="0.25">
      <c r="A17" s="4" t="s">
        <v>260</v>
      </c>
      <c r="B17" s="5">
        <v>1544.66</v>
      </c>
      <c r="C17" s="5">
        <v>1771</v>
      </c>
      <c r="D17" s="5">
        <v>1811.66</v>
      </c>
      <c r="E17" s="5">
        <v>1246</v>
      </c>
      <c r="F17" s="5">
        <v>825</v>
      </c>
      <c r="G17" s="5"/>
    </row>
    <row r="18" spans="1:7" x14ac:dyDescent="0.25">
      <c r="A18" s="4" t="s">
        <v>181</v>
      </c>
      <c r="B18" s="5">
        <v>444.88</v>
      </c>
      <c r="C18" s="5">
        <v>992.43</v>
      </c>
      <c r="D18" s="5">
        <v>1228.9100000000001</v>
      </c>
      <c r="E18" s="5">
        <v>833.22</v>
      </c>
      <c r="F18" s="5">
        <v>522.38</v>
      </c>
      <c r="G18" s="5"/>
    </row>
    <row r="19" spans="1:7" x14ac:dyDescent="0.25">
      <c r="A19" s="4" t="s">
        <v>261</v>
      </c>
      <c r="B19" s="5">
        <v>0</v>
      </c>
      <c r="C19" s="5">
        <v>0</v>
      </c>
      <c r="D19" s="5">
        <v>0</v>
      </c>
      <c r="E19" s="5">
        <v>0</v>
      </c>
      <c r="F19" s="5">
        <v>592.33000000000004</v>
      </c>
      <c r="G19" s="5"/>
    </row>
    <row r="20" spans="1:7" x14ac:dyDescent="0.25">
      <c r="A20" s="3" t="s">
        <v>256</v>
      </c>
      <c r="B20" s="5">
        <v>312.21153433300003</v>
      </c>
      <c r="C20" s="5">
        <v>407.34</v>
      </c>
      <c r="D20" s="5">
        <v>400.92999999999989</v>
      </c>
      <c r="E20" s="5">
        <v>356.18153433299989</v>
      </c>
      <c r="F20" s="5">
        <v>309.07999999999993</v>
      </c>
    </row>
    <row r="21" spans="1:7" x14ac:dyDescent="0.25">
      <c r="A21" s="4" t="s">
        <v>179</v>
      </c>
      <c r="B21" s="5">
        <v>312.21153433300003</v>
      </c>
      <c r="C21" s="5">
        <v>407.34</v>
      </c>
      <c r="D21" s="5">
        <v>400.92999999999989</v>
      </c>
      <c r="E21" s="5">
        <v>356.18153433299989</v>
      </c>
      <c r="F21" s="5">
        <v>309.07999999999993</v>
      </c>
    </row>
    <row r="22" spans="1:7" x14ac:dyDescent="0.25">
      <c r="A22" s="3" t="s">
        <v>257</v>
      </c>
      <c r="B22" s="5">
        <v>21.986444667000001</v>
      </c>
      <c r="C22" s="5">
        <v>44.568234999999994</v>
      </c>
      <c r="D22" s="5">
        <v>46.04828599999999</v>
      </c>
      <c r="E22" s="5">
        <v>25.889564667000002</v>
      </c>
      <c r="F22" s="5">
        <v>18.020357999999998</v>
      </c>
    </row>
    <row r="23" spans="1:7" x14ac:dyDescent="0.25">
      <c r="A23" s="4" t="s">
        <v>180</v>
      </c>
      <c r="B23" s="5">
        <v>21.986444667000001</v>
      </c>
      <c r="C23" s="5">
        <v>44.568234999999994</v>
      </c>
      <c r="D23" s="5">
        <v>46.04828599999999</v>
      </c>
      <c r="E23" s="5">
        <v>25.889564667000002</v>
      </c>
      <c r="F23" s="5">
        <v>18.020357999999998</v>
      </c>
    </row>
    <row r="24" spans="1:7" x14ac:dyDescent="0.25">
      <c r="A24" s="3" t="s">
        <v>177</v>
      </c>
      <c r="B24" s="5">
        <v>475.92562416768556</v>
      </c>
      <c r="C24" s="5">
        <v>652.98894833535212</v>
      </c>
      <c r="D24" s="5">
        <v>739.81089533701822</v>
      </c>
      <c r="E24" s="5">
        <v>582.8506371696858</v>
      </c>
      <c r="F24" s="5">
        <v>281.05665767932584</v>
      </c>
    </row>
    <row r="25" spans="1:7" x14ac:dyDescent="0.25">
      <c r="A25" s="4" t="s">
        <v>178</v>
      </c>
      <c r="B25" s="5">
        <v>475.92562416768556</v>
      </c>
      <c r="C25" s="5">
        <v>652.98894833535212</v>
      </c>
      <c r="D25" s="5">
        <v>739.81089533701822</v>
      </c>
      <c r="E25" s="5">
        <v>582.8506371696858</v>
      </c>
      <c r="F25" s="5">
        <v>281.05665767932584</v>
      </c>
    </row>
  </sheetData>
  <pageMargins left="0.7" right="0.7" top="0.75" bottom="0.75" header="0.3" footer="0.3"/>
  <pageSetup orientation="portrait" r:id="rId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7B630-CECF-49F6-80A8-966F272094F9}">
  <dimension ref="A1:AV241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9.140625" defaultRowHeight="15" x14ac:dyDescent="0.25"/>
  <cols>
    <col min="1" max="1" width="26.5703125" style="9" bestFit="1" customWidth="1"/>
    <col min="2" max="2" width="34" style="9" bestFit="1" customWidth="1"/>
    <col min="3" max="3" width="13.85546875" style="9" customWidth="1"/>
    <col min="4" max="4" width="14.7109375" style="8" bestFit="1" customWidth="1"/>
    <col min="5" max="5" width="16.7109375" style="8" bestFit="1" customWidth="1"/>
    <col min="6" max="6" width="22.7109375" style="8" bestFit="1" customWidth="1"/>
    <col min="7" max="7" width="23.28515625" style="8" bestFit="1" customWidth="1"/>
    <col min="8" max="9" width="23.28515625" style="8" customWidth="1"/>
    <col min="10" max="10" width="25.28515625" style="8" bestFit="1" customWidth="1"/>
    <col min="11" max="13" width="13.85546875" style="8" customWidth="1"/>
    <col min="14" max="14" width="15.28515625" style="9" bestFit="1" customWidth="1"/>
    <col min="15" max="15" width="20.140625" style="9" bestFit="1" customWidth="1"/>
    <col min="16" max="17" width="13.85546875" style="9" bestFit="1" customWidth="1"/>
    <col min="18" max="18" width="15.140625" style="9" bestFit="1" customWidth="1"/>
    <col min="19" max="19" width="14.140625" style="12" bestFit="1" customWidth="1"/>
    <col min="20" max="20" width="19.140625" style="12" bestFit="1" customWidth="1"/>
    <col min="21" max="21" width="19.28515625" style="12" bestFit="1" customWidth="1"/>
    <col min="22" max="22" width="29.7109375" style="12" bestFit="1" customWidth="1"/>
    <col min="23" max="23" width="29.7109375" style="12" customWidth="1"/>
    <col min="24" max="24" width="17.42578125" style="12" bestFit="1" customWidth="1"/>
    <col min="25" max="25" width="17.140625" style="12" bestFit="1" customWidth="1"/>
    <col min="26" max="26" width="18.140625" style="12" bestFit="1" customWidth="1"/>
    <col min="27" max="27" width="17.5703125" style="12" bestFit="1" customWidth="1"/>
    <col min="28" max="28" width="18" style="12" bestFit="1" customWidth="1"/>
    <col min="29" max="29" width="17.42578125" style="12" bestFit="1" customWidth="1"/>
    <col min="30" max="30" width="16.85546875" style="12" bestFit="1" customWidth="1"/>
    <col min="31" max="31" width="17.85546875" style="12" bestFit="1" customWidth="1"/>
    <col min="32" max="32" width="17.140625" style="12" bestFit="1" customWidth="1"/>
    <col min="33" max="33" width="17.5703125" style="12" bestFit="1" customWidth="1"/>
    <col min="34" max="34" width="18.140625" style="12" bestFit="1" customWidth="1"/>
    <col min="35" max="35" width="17.42578125" style="12" bestFit="1" customWidth="1"/>
    <col min="36" max="36" width="19.7109375" style="12" bestFit="1" customWidth="1"/>
    <col min="37" max="37" width="23.42578125" style="12" bestFit="1" customWidth="1"/>
    <col min="38" max="38" width="23.42578125" style="12" customWidth="1"/>
    <col min="39" max="39" width="23.42578125" style="13" customWidth="1"/>
    <col min="40" max="40" width="29.85546875" style="12" bestFit="1" customWidth="1"/>
    <col min="41" max="41" width="25.85546875" style="12" bestFit="1" customWidth="1"/>
    <col min="42" max="42" width="24" style="12" bestFit="1" customWidth="1"/>
    <col min="43" max="43" width="21" style="12" bestFit="1" customWidth="1"/>
    <col min="44" max="44" width="13.28515625" style="9" customWidth="1"/>
    <col min="45" max="45" width="15.140625" style="12" bestFit="1" customWidth="1"/>
    <col min="46" max="46" width="12" style="12" bestFit="1" customWidth="1"/>
    <col min="47" max="47" width="13.42578125" style="12" bestFit="1" customWidth="1"/>
    <col min="48" max="48" width="51.28515625" style="12" bestFit="1" customWidth="1"/>
    <col min="49" max="16384" width="9.140625" style="12"/>
  </cols>
  <sheetData>
    <row r="1" spans="1:48" x14ac:dyDescent="0.25">
      <c r="A1" s="9" t="s">
        <v>262</v>
      </c>
      <c r="B1" s="10" t="s">
        <v>263</v>
      </c>
      <c r="C1" s="9" t="s">
        <v>264</v>
      </c>
      <c r="D1" s="8" t="s">
        <v>265</v>
      </c>
      <c r="E1" s="8" t="s">
        <v>266</v>
      </c>
      <c r="F1" s="8" t="s">
        <v>267</v>
      </c>
      <c r="G1" s="8" t="s">
        <v>268</v>
      </c>
      <c r="H1" s="8" t="s">
        <v>269</v>
      </c>
      <c r="I1" s="8" t="s">
        <v>270</v>
      </c>
      <c r="J1" s="8" t="s">
        <v>271</v>
      </c>
      <c r="K1" s="8" t="s">
        <v>272</v>
      </c>
      <c r="L1" s="8" t="s">
        <v>273</v>
      </c>
      <c r="M1" s="8" t="s">
        <v>2</v>
      </c>
      <c r="N1" s="10" t="s">
        <v>239</v>
      </c>
      <c r="O1" s="10" t="s">
        <v>274</v>
      </c>
      <c r="P1" s="10" t="s">
        <v>275</v>
      </c>
      <c r="Q1" s="10" t="s">
        <v>276</v>
      </c>
      <c r="R1" s="10" t="s">
        <v>277</v>
      </c>
      <c r="S1" s="10" t="s">
        <v>278</v>
      </c>
      <c r="T1" s="11" t="s">
        <v>243</v>
      </c>
      <c r="U1" s="9" t="s">
        <v>279</v>
      </c>
      <c r="V1" s="9" t="s">
        <v>244</v>
      </c>
      <c r="W1" s="9" t="s">
        <v>280</v>
      </c>
      <c r="X1" s="12" t="s">
        <v>281</v>
      </c>
      <c r="Y1" s="12" t="s">
        <v>282</v>
      </c>
      <c r="Z1" s="12" t="s">
        <v>283</v>
      </c>
      <c r="AA1" s="12" t="s">
        <v>284</v>
      </c>
      <c r="AB1" s="12" t="s">
        <v>285</v>
      </c>
      <c r="AC1" s="12" t="s">
        <v>286</v>
      </c>
      <c r="AD1" s="12" t="s">
        <v>287</v>
      </c>
      <c r="AE1" s="12" t="s">
        <v>288</v>
      </c>
      <c r="AF1" s="12" t="s">
        <v>289</v>
      </c>
      <c r="AG1" s="12" t="s">
        <v>290</v>
      </c>
      <c r="AH1" s="12" t="s">
        <v>291</v>
      </c>
      <c r="AI1" s="12" t="s">
        <v>292</v>
      </c>
      <c r="AJ1" s="12" t="s">
        <v>293</v>
      </c>
      <c r="AK1" s="12" t="s">
        <v>294</v>
      </c>
      <c r="AL1" s="12" t="s">
        <v>295</v>
      </c>
      <c r="AM1" s="13" t="s">
        <v>296</v>
      </c>
      <c r="AN1" s="12" t="s">
        <v>297</v>
      </c>
      <c r="AO1" s="12" t="s">
        <v>298</v>
      </c>
      <c r="AP1" s="12" t="s">
        <v>299</v>
      </c>
      <c r="AQ1" s="12" t="s">
        <v>300</v>
      </c>
      <c r="AR1" s="9" t="s">
        <v>301</v>
      </c>
      <c r="AS1" s="12" t="s">
        <v>302</v>
      </c>
      <c r="AT1" s="12" t="s">
        <v>303</v>
      </c>
      <c r="AU1" s="12" t="s">
        <v>304</v>
      </c>
      <c r="AV1" s="12" t="s">
        <v>305</v>
      </c>
    </row>
    <row r="2" spans="1:48" x14ac:dyDescent="0.25">
      <c r="A2" s="14" t="s">
        <v>306</v>
      </c>
      <c r="B2" s="10">
        <v>20200203</v>
      </c>
      <c r="C2" s="9">
        <v>11</v>
      </c>
      <c r="D2" s="8" t="str">
        <f t="shared" ref="D2:D65" si="0">IF(OR(C2=4,C2=5,C2=6),"Y","N")</f>
        <v>N</v>
      </c>
      <c r="E2" s="8" t="str">
        <f t="shared" ref="E2:E65" si="1">IF(AND(C2&gt;6,C2&lt;14),"Y","N")</f>
        <v>Y</v>
      </c>
      <c r="F2" s="8" t="str">
        <f t="shared" ref="F2:F65" si="2">IF(C2&lt;14,"Y","N")</f>
        <v>Y</v>
      </c>
      <c r="G2" s="8" t="str">
        <f t="shared" ref="G2:G65" si="3">IF(OR(C2=1,AND(C2&gt;3,C2&lt;14)),"Y","N")</f>
        <v>Y</v>
      </c>
      <c r="H2" s="8" t="str">
        <f t="shared" ref="H2:H65" si="4">IF(C2&lt;14,"Upper","Lower")</f>
        <v>Upper</v>
      </c>
      <c r="I2" s="8" t="str">
        <f t="shared" ref="I2:I65" si="5">IF(G2="Y","West Fork and Below Lake","Outside")</f>
        <v>West Fork and Below Lake</v>
      </c>
      <c r="J2" s="8" t="str">
        <f t="shared" ref="J2:J65" si="6">IF(D2="Y", "Mendocino (d/s of lake)", IF(E2="Y", "Sonoma (d/s of Clov. Gage)","Outside"))</f>
        <v>Sonoma (d/s of Clov. Gage)</v>
      </c>
      <c r="K2" s="8" t="str">
        <f t="shared" ref="K2:K65" si="7">IF(P2="Y","pre-1914",IF(Q2="Y","Pre-1949",IF(R2="Y","Post-1949",IF(S2="Y","Riparian","Unknown"))))</f>
        <v>Post-1949</v>
      </c>
      <c r="L2" s="8">
        <f t="shared" ref="L2:L65" si="8">_xlfn.NUMBERVALUE(LEFT(B2,4))</f>
        <v>2020</v>
      </c>
      <c r="M2" s="8" t="str">
        <f>IF(L2=1949,"1949",IF(AND(L2&gt;1949,L2&lt;1953),"1950-1952",IF(AND(L2&gt;1952,L2&lt;1955),"1953-1954",IF(AND(L2&gt;1954,L2&lt;1957),"1955-1956",IF(AND(L2&gt;1956,L2&lt;1960),"1957-1959",IF(AND(L2&gt;1959,L2&lt;1971),"1960-1970",IF(AND(L2&gt;1970,L2&lt;1991),"1971-1990",IF(L2&gt;1990,"1991-present","-"))))))))</f>
        <v>1991-present</v>
      </c>
      <c r="N2" s="10" t="s">
        <v>242</v>
      </c>
      <c r="O2" s="10" t="s">
        <v>241</v>
      </c>
      <c r="P2" s="10" t="s">
        <v>242</v>
      </c>
      <c r="Q2" s="10" t="s">
        <v>242</v>
      </c>
      <c r="R2" s="10" t="s">
        <v>241</v>
      </c>
      <c r="S2" s="10" t="s">
        <v>242</v>
      </c>
      <c r="T2" s="10" t="s">
        <v>241</v>
      </c>
      <c r="U2" s="10" t="s">
        <v>241</v>
      </c>
      <c r="V2" s="10" t="s">
        <v>241</v>
      </c>
      <c r="W2" s="10" t="s">
        <v>242</v>
      </c>
      <c r="X2" s="15">
        <f>IF(ISERROR(VLOOKUP($A2,'13. Updated Demand'!A:Z,15,FALSE)),0,VLOOKUP($A2,'13. Updated Demand'!A:Z,15,FALSE))</f>
        <v>0</v>
      </c>
      <c r="Y2" s="16">
        <f>IF(ISERROR(VLOOKUP($A2,'13. Updated Demand'!A:Z,16,FALSE)),0,VLOOKUP($A2,'13. Updated Demand'!A:Z,16,FALSE))</f>
        <v>0</v>
      </c>
      <c r="Z2" s="16">
        <f>IF(ISERROR(VLOOKUP($A2,'13. Updated Demand'!A:Z,17,FALSE)),0,VLOOKUP($A2,'13. Updated Demand'!A:Z,17,FALSE))</f>
        <v>0</v>
      </c>
      <c r="AA2" s="16">
        <f>IF(ISERROR(VLOOKUP($A2,'13. Updated Demand'!A:Z,18,FALSE)),0,VLOOKUP($A2,'13. Updated Demand'!A:Z,18,FALSE))</f>
        <v>0</v>
      </c>
      <c r="AB2" s="16">
        <f>IF(ISERROR(VLOOKUP($A2,'13. Updated Demand'!A:Z,19,FALSE)),0,VLOOKUP($A2,'13. Updated Demand'!A:Z,19,FALSE))</f>
        <v>0</v>
      </c>
      <c r="AC2" s="16">
        <f>IF(ISERROR(VLOOKUP($A2,'13. Updated Demand'!A:Z,20,FALSE)),0,VLOOKUP($A2,'13. Updated Demand'!A:Z,20,FALSE))</f>
        <v>0</v>
      </c>
      <c r="AD2" s="16">
        <f>IF(ISERROR(VLOOKUP($A2,'13. Updated Demand'!A:Z,21,FALSE)),0,VLOOKUP($A2,'13. Updated Demand'!A:Z,21,FALSE))</f>
        <v>0</v>
      </c>
      <c r="AE2" s="16">
        <f>IF(ISERROR(VLOOKUP($A2,'13. Updated Demand'!A:Z,22,FALSE)),0,VLOOKUP($A2,'13. Updated Demand'!A:Z,22,FALSE))</f>
        <v>0</v>
      </c>
      <c r="AF2" s="16">
        <f>IF(ISERROR(VLOOKUP($A2,'13. Updated Demand'!A:Z,23,FALSE)),0,VLOOKUP($A2,'13. Updated Demand'!A:Z,23,FALSE))</f>
        <v>0</v>
      </c>
      <c r="AG2" s="16">
        <f>IF(ISERROR(VLOOKUP($A2,'13. Updated Demand'!A:Z,24,FALSE)),0,VLOOKUP($A2,'13. Updated Demand'!A:Z,24,FALSE))</f>
        <v>0</v>
      </c>
      <c r="AH2" s="16">
        <f>IF(ISERROR(VLOOKUP($A2,'13. Updated Demand'!A:Z,25,FALSE)),0,VLOOKUP($A2,'13. Updated Demand'!A:Z,25,FALSE))</f>
        <v>0</v>
      </c>
      <c r="AI2" s="16">
        <f>IF(ISERROR(VLOOKUP($A2,'13. Updated Demand'!A:Z,26,FALSE)),0,VLOOKUP($A2,'13. Updated Demand'!A:Z,26,FALSE))</f>
        <v>0</v>
      </c>
      <c r="AJ2" s="16">
        <f>SUM(X2:AI2)</f>
        <v>0</v>
      </c>
      <c r="AK2" s="16">
        <v>0</v>
      </c>
      <c r="AL2" s="16">
        <f t="shared" ref="AL2:AL65" si="9">AK2/152/1.983471</f>
        <v>0</v>
      </c>
      <c r="AM2" s="17">
        <v>0</v>
      </c>
      <c r="AN2" s="16"/>
      <c r="AO2" s="16"/>
      <c r="AP2" s="16">
        <v>198</v>
      </c>
      <c r="AQ2" s="16" t="s">
        <v>307</v>
      </c>
      <c r="AR2" s="9" t="s">
        <v>308</v>
      </c>
      <c r="AS2" s="12">
        <v>0</v>
      </c>
      <c r="AT2" s="16">
        <v>38.634395019999999</v>
      </c>
      <c r="AU2" s="16">
        <v>-122.66351720999999</v>
      </c>
      <c r="AV2" s="16" t="s">
        <v>309</v>
      </c>
    </row>
    <row r="3" spans="1:48" x14ac:dyDescent="0.25">
      <c r="A3" s="18" t="s">
        <v>310</v>
      </c>
      <c r="B3" s="10">
        <v>20200203</v>
      </c>
      <c r="C3" s="9">
        <v>12</v>
      </c>
      <c r="D3" s="8" t="str">
        <f t="shared" si="0"/>
        <v>N</v>
      </c>
      <c r="E3" s="8" t="str">
        <f t="shared" si="1"/>
        <v>Y</v>
      </c>
      <c r="F3" s="8" t="str">
        <f t="shared" si="2"/>
        <v>Y</v>
      </c>
      <c r="G3" s="8" t="str">
        <f t="shared" si="3"/>
        <v>Y</v>
      </c>
      <c r="H3" s="8" t="str">
        <f t="shared" si="4"/>
        <v>Upper</v>
      </c>
      <c r="I3" s="8" t="str">
        <f t="shared" si="5"/>
        <v>West Fork and Below Lake</v>
      </c>
      <c r="J3" s="8" t="str">
        <f t="shared" si="6"/>
        <v>Sonoma (d/s of Clov. Gage)</v>
      </c>
      <c r="K3" s="8" t="str">
        <f t="shared" si="7"/>
        <v>Post-1949</v>
      </c>
      <c r="L3" s="8">
        <f t="shared" si="8"/>
        <v>2020</v>
      </c>
      <c r="M3" s="8" t="str">
        <f t="shared" ref="M3:M66" si="10">IF(L3=1949,"1949",IF(AND(L3&gt;1949,L3&lt;1953),"1950-1952",IF(AND(L3&gt;1952,L3&lt;1955),"1953-1954",IF(AND(L3&gt;1954,L3&lt;1957),"1955-1956",IF(AND(L3&gt;1956,L3&lt;1960),"1957-1959",IF(AND(L3&gt;1959,L3&lt;1971),"1960-1970",IF(AND(L3&gt;1970,L3&lt;1991),"1971-1990",IF(L3&gt;1990,"1991-present","-"))))))))</f>
        <v>1991-present</v>
      </c>
      <c r="N3" s="10" t="s">
        <v>242</v>
      </c>
      <c r="O3" s="10" t="s">
        <v>241</v>
      </c>
      <c r="P3" s="10" t="s">
        <v>242</v>
      </c>
      <c r="Q3" s="10" t="s">
        <v>242</v>
      </c>
      <c r="R3" s="10" t="s">
        <v>241</v>
      </c>
      <c r="S3" s="10" t="s">
        <v>242</v>
      </c>
      <c r="T3" s="10" t="s">
        <v>241</v>
      </c>
      <c r="U3" s="10" t="s">
        <v>241</v>
      </c>
      <c r="V3" s="10" t="s">
        <v>241</v>
      </c>
      <c r="W3" s="10" t="s">
        <v>242</v>
      </c>
      <c r="X3" s="15">
        <f>IF(ISERROR(VLOOKUP($A3,'13. Updated Demand'!A:Z,15,FALSE)),0,VLOOKUP($A3,'13. Updated Demand'!A:Z,15,FALSE))</f>
        <v>0</v>
      </c>
      <c r="Y3" s="16">
        <f>IF(ISERROR(VLOOKUP($A3,'13. Updated Demand'!A:Z,16,FALSE)),0,VLOOKUP($A3,'13. Updated Demand'!A:Z,16,FALSE))</f>
        <v>0</v>
      </c>
      <c r="Z3" s="16">
        <f>IF(ISERROR(VLOOKUP($A3,'13. Updated Demand'!A:Z,17,FALSE)),0,VLOOKUP($A3,'13. Updated Demand'!A:Z,17,FALSE))</f>
        <v>0</v>
      </c>
      <c r="AA3" s="16">
        <f>IF(ISERROR(VLOOKUP($A3,'13. Updated Demand'!A:Z,18,FALSE)),0,VLOOKUP($A3,'13. Updated Demand'!A:Z,18,FALSE))</f>
        <v>0</v>
      </c>
      <c r="AB3" s="16">
        <f>IF(ISERROR(VLOOKUP($A3,'13. Updated Demand'!A:Z,19,FALSE)),0,VLOOKUP($A3,'13. Updated Demand'!A:Z,19,FALSE))</f>
        <v>0</v>
      </c>
      <c r="AC3" s="16">
        <f>IF(ISERROR(VLOOKUP($A3,'13. Updated Demand'!A:Z,20,FALSE)),0,VLOOKUP($A3,'13. Updated Demand'!A:Z,20,FALSE))</f>
        <v>0</v>
      </c>
      <c r="AD3" s="16">
        <f>IF(ISERROR(VLOOKUP($A3,'13. Updated Demand'!A:Z,21,FALSE)),0,VLOOKUP($A3,'13. Updated Demand'!A:Z,21,FALSE))</f>
        <v>0</v>
      </c>
      <c r="AE3" s="16">
        <f>IF(ISERROR(VLOOKUP($A3,'13. Updated Demand'!A:Z,22,FALSE)),0,VLOOKUP($A3,'13. Updated Demand'!A:Z,22,FALSE))</f>
        <v>0</v>
      </c>
      <c r="AF3" s="16">
        <f>IF(ISERROR(VLOOKUP($A3,'13. Updated Demand'!A:Z,23,FALSE)),0,VLOOKUP($A3,'13. Updated Demand'!A:Z,23,FALSE))</f>
        <v>0</v>
      </c>
      <c r="AG3" s="16">
        <f>IF(ISERROR(VLOOKUP($A3,'13. Updated Demand'!A:Z,24,FALSE)),0,VLOOKUP($A3,'13. Updated Demand'!A:Z,24,FALSE))</f>
        <v>0</v>
      </c>
      <c r="AH3" s="16">
        <f>IF(ISERROR(VLOOKUP($A3,'13. Updated Demand'!A:Z,25,FALSE)),0,VLOOKUP($A3,'13. Updated Demand'!A:Z,25,FALSE))</f>
        <v>0</v>
      </c>
      <c r="AI3" s="16">
        <f>IF(ISERROR(VLOOKUP($A3,'13. Updated Demand'!A:Z,26,FALSE)),0,VLOOKUP($A3,'13. Updated Demand'!A:Z,26,FALSE))</f>
        <v>0</v>
      </c>
      <c r="AJ3" s="16">
        <f t="shared" ref="AJ3:AJ15" si="11">SUM(X3:AI3)</f>
        <v>0</v>
      </c>
      <c r="AK3" s="19">
        <v>0</v>
      </c>
      <c r="AL3" s="16">
        <f t="shared" si="9"/>
        <v>0</v>
      </c>
      <c r="AM3" s="17">
        <v>0</v>
      </c>
      <c r="AN3" s="19"/>
      <c r="AO3" s="19"/>
      <c r="AP3" s="19">
        <v>355</v>
      </c>
      <c r="AQ3" s="19" t="s">
        <v>307</v>
      </c>
      <c r="AR3" s="9" t="s">
        <v>311</v>
      </c>
      <c r="AS3" s="12">
        <v>0</v>
      </c>
      <c r="AT3" s="19">
        <v>38.632337130000003</v>
      </c>
      <c r="AU3" s="19">
        <v>-122.66132055999999</v>
      </c>
      <c r="AV3" s="19" t="s">
        <v>312</v>
      </c>
    </row>
    <row r="4" spans="1:48" x14ac:dyDescent="0.25">
      <c r="A4" s="18" t="s">
        <v>313</v>
      </c>
      <c r="B4" s="10">
        <v>20200224</v>
      </c>
      <c r="C4" s="9">
        <v>22</v>
      </c>
      <c r="D4" s="8" t="str">
        <f t="shared" si="0"/>
        <v>N</v>
      </c>
      <c r="E4" s="8" t="str">
        <f t="shared" si="1"/>
        <v>N</v>
      </c>
      <c r="F4" s="8" t="str">
        <f t="shared" si="2"/>
        <v>N</v>
      </c>
      <c r="G4" s="8" t="str">
        <f t="shared" si="3"/>
        <v>N</v>
      </c>
      <c r="H4" s="8" t="str">
        <f t="shared" si="4"/>
        <v>Lower</v>
      </c>
      <c r="I4" s="8" t="str">
        <f t="shared" si="5"/>
        <v>Outside</v>
      </c>
      <c r="J4" s="8" t="str">
        <f t="shared" si="6"/>
        <v>Outside</v>
      </c>
      <c r="K4" s="8" t="str">
        <f t="shared" si="7"/>
        <v>Post-1949</v>
      </c>
      <c r="L4" s="8">
        <f t="shared" si="8"/>
        <v>2020</v>
      </c>
      <c r="M4" s="8" t="str">
        <f t="shared" si="10"/>
        <v>1991-present</v>
      </c>
      <c r="N4" s="10" t="s">
        <v>242</v>
      </c>
      <c r="O4" s="10" t="s">
        <v>242</v>
      </c>
      <c r="P4" s="10" t="s">
        <v>242</v>
      </c>
      <c r="Q4" s="10" t="s">
        <v>242</v>
      </c>
      <c r="R4" s="10" t="s">
        <v>241</v>
      </c>
      <c r="S4" s="10" t="s">
        <v>242</v>
      </c>
      <c r="T4" s="10" t="s">
        <v>241</v>
      </c>
      <c r="U4" s="10" t="s">
        <v>241</v>
      </c>
      <c r="V4" s="10" t="s">
        <v>241</v>
      </c>
      <c r="W4" s="10" t="s">
        <v>242</v>
      </c>
      <c r="X4" s="15">
        <f>IF(ISERROR(VLOOKUP($A4,'13. Updated Demand'!A:Z,15,FALSE)),0,VLOOKUP($A4,'13. Updated Demand'!A:Z,15,FALSE))</f>
        <v>0</v>
      </c>
      <c r="Y4" s="16">
        <f>IF(ISERROR(VLOOKUP($A4,'13. Updated Demand'!A:Z,16,FALSE)),0,VLOOKUP($A4,'13. Updated Demand'!A:Z,16,FALSE))</f>
        <v>0</v>
      </c>
      <c r="Z4" s="16">
        <f>IF(ISERROR(VLOOKUP($A4,'13. Updated Demand'!A:Z,17,FALSE)),0,VLOOKUP($A4,'13. Updated Demand'!A:Z,17,FALSE))</f>
        <v>0</v>
      </c>
      <c r="AA4" s="16">
        <f>IF(ISERROR(VLOOKUP($A4,'13. Updated Demand'!A:Z,18,FALSE)),0,VLOOKUP($A4,'13. Updated Demand'!A:Z,18,FALSE))</f>
        <v>0</v>
      </c>
      <c r="AB4" s="16">
        <f>IF(ISERROR(VLOOKUP($A4,'13. Updated Demand'!A:Z,19,FALSE)),0,VLOOKUP($A4,'13. Updated Demand'!A:Z,19,FALSE))</f>
        <v>0</v>
      </c>
      <c r="AC4" s="16">
        <f>IF(ISERROR(VLOOKUP($A4,'13. Updated Demand'!A:Z,20,FALSE)),0,VLOOKUP($A4,'13. Updated Demand'!A:Z,20,FALSE))</f>
        <v>0</v>
      </c>
      <c r="AD4" s="16">
        <f>IF(ISERROR(VLOOKUP($A4,'13. Updated Demand'!A:Z,21,FALSE)),0,VLOOKUP($A4,'13. Updated Demand'!A:Z,21,FALSE))</f>
        <v>0</v>
      </c>
      <c r="AE4" s="16">
        <f>IF(ISERROR(VLOOKUP($A4,'13. Updated Demand'!A:Z,22,FALSE)),0,VLOOKUP($A4,'13. Updated Demand'!A:Z,22,FALSE))</f>
        <v>0</v>
      </c>
      <c r="AF4" s="16">
        <f>IF(ISERROR(VLOOKUP($A4,'13. Updated Demand'!A:Z,23,FALSE)),0,VLOOKUP($A4,'13. Updated Demand'!A:Z,23,FALSE))</f>
        <v>0</v>
      </c>
      <c r="AG4" s="16">
        <f>IF(ISERROR(VLOOKUP($A4,'13. Updated Demand'!A:Z,24,FALSE)),0,VLOOKUP($A4,'13. Updated Demand'!A:Z,24,FALSE))</f>
        <v>0</v>
      </c>
      <c r="AH4" s="16">
        <f>IF(ISERROR(VLOOKUP($A4,'13. Updated Demand'!A:Z,25,FALSE)),0,VLOOKUP($A4,'13. Updated Demand'!A:Z,25,FALSE))</f>
        <v>0</v>
      </c>
      <c r="AI4" s="16">
        <f>IF(ISERROR(VLOOKUP($A4,'13. Updated Demand'!A:Z,26,FALSE)),0,VLOOKUP($A4,'13. Updated Demand'!A:Z,26,FALSE))</f>
        <v>0</v>
      </c>
      <c r="AJ4" s="16">
        <f t="shared" si="11"/>
        <v>0</v>
      </c>
      <c r="AK4" s="19">
        <v>0</v>
      </c>
      <c r="AL4" s="16">
        <f t="shared" si="9"/>
        <v>0</v>
      </c>
      <c r="AM4" s="17">
        <v>0</v>
      </c>
      <c r="AN4" s="19"/>
      <c r="AO4" s="19"/>
      <c r="AP4" s="19">
        <v>0.31</v>
      </c>
      <c r="AQ4" s="19" t="s">
        <v>307</v>
      </c>
      <c r="AR4" s="9" t="s">
        <v>314</v>
      </c>
      <c r="AS4" s="12">
        <v>0</v>
      </c>
      <c r="AT4" s="19">
        <v>38.912207000000002</v>
      </c>
      <c r="AU4" s="19">
        <v>-123.210528</v>
      </c>
      <c r="AV4" s="19" t="s">
        <v>315</v>
      </c>
    </row>
    <row r="5" spans="1:48" x14ac:dyDescent="0.25">
      <c r="A5" s="18" t="s">
        <v>316</v>
      </c>
      <c r="B5" s="10">
        <v>20200914</v>
      </c>
      <c r="C5" s="9">
        <v>1</v>
      </c>
      <c r="D5" s="8" t="str">
        <f t="shared" si="0"/>
        <v>N</v>
      </c>
      <c r="E5" s="8" t="str">
        <f t="shared" si="1"/>
        <v>N</v>
      </c>
      <c r="F5" s="8" t="str">
        <f t="shared" si="2"/>
        <v>Y</v>
      </c>
      <c r="G5" s="8" t="str">
        <f t="shared" si="3"/>
        <v>Y</v>
      </c>
      <c r="H5" s="8" t="str">
        <f t="shared" si="4"/>
        <v>Upper</v>
      </c>
      <c r="I5" s="8" t="str">
        <f t="shared" si="5"/>
        <v>West Fork and Below Lake</v>
      </c>
      <c r="J5" s="8" t="str">
        <f t="shared" si="6"/>
        <v>Outside</v>
      </c>
      <c r="K5" s="8" t="str">
        <f t="shared" si="7"/>
        <v>Post-1949</v>
      </c>
      <c r="L5" s="8">
        <f t="shared" si="8"/>
        <v>2020</v>
      </c>
      <c r="M5" s="8" t="str">
        <f t="shared" si="10"/>
        <v>1991-present</v>
      </c>
      <c r="N5" s="10" t="s">
        <v>242</v>
      </c>
      <c r="O5" s="10" t="s">
        <v>241</v>
      </c>
      <c r="P5" s="10" t="s">
        <v>242</v>
      </c>
      <c r="Q5" s="10" t="s">
        <v>242</v>
      </c>
      <c r="R5" s="10" t="s">
        <v>241</v>
      </c>
      <c r="S5" s="10" t="s">
        <v>242</v>
      </c>
      <c r="T5" s="10" t="s">
        <v>241</v>
      </c>
      <c r="U5" s="10" t="s">
        <v>241</v>
      </c>
      <c r="V5" s="10" t="s">
        <v>241</v>
      </c>
      <c r="W5" s="10" t="s">
        <v>242</v>
      </c>
      <c r="X5" s="15">
        <f>IF(ISERROR(VLOOKUP($A5,'13. Updated Demand'!A:Z,15,FALSE)),0,VLOOKUP($A5,'13. Updated Demand'!A:Z,15,FALSE))</f>
        <v>0</v>
      </c>
      <c r="Y5" s="16">
        <f>IF(ISERROR(VLOOKUP($A5,'13. Updated Demand'!A:Z,16,FALSE)),0,VLOOKUP($A5,'13. Updated Demand'!A:Z,16,FALSE))</f>
        <v>0</v>
      </c>
      <c r="Z5" s="16">
        <f>IF(ISERROR(VLOOKUP($A5,'13. Updated Demand'!A:Z,17,FALSE)),0,VLOOKUP($A5,'13. Updated Demand'!A:Z,17,FALSE))</f>
        <v>0</v>
      </c>
      <c r="AA5" s="16">
        <f>IF(ISERROR(VLOOKUP($A5,'13. Updated Demand'!A:Z,18,FALSE)),0,VLOOKUP($A5,'13. Updated Demand'!A:Z,18,FALSE))</f>
        <v>0</v>
      </c>
      <c r="AB5" s="16">
        <f>IF(ISERROR(VLOOKUP($A5,'13. Updated Demand'!A:Z,19,FALSE)),0,VLOOKUP($A5,'13. Updated Demand'!A:Z,19,FALSE))</f>
        <v>0</v>
      </c>
      <c r="AC5" s="16">
        <f>IF(ISERROR(VLOOKUP($A5,'13. Updated Demand'!A:Z,20,FALSE)),0,VLOOKUP($A5,'13. Updated Demand'!A:Z,20,FALSE))</f>
        <v>0</v>
      </c>
      <c r="AD5" s="16">
        <f>IF(ISERROR(VLOOKUP($A5,'13. Updated Demand'!A:Z,21,FALSE)),0,VLOOKUP($A5,'13. Updated Demand'!A:Z,21,FALSE))</f>
        <v>0</v>
      </c>
      <c r="AE5" s="16">
        <f>IF(ISERROR(VLOOKUP($A5,'13. Updated Demand'!A:Z,22,FALSE)),0,VLOOKUP($A5,'13. Updated Demand'!A:Z,22,FALSE))</f>
        <v>0</v>
      </c>
      <c r="AF5" s="16">
        <f>IF(ISERROR(VLOOKUP($A5,'13. Updated Demand'!A:Z,23,FALSE)),0,VLOOKUP($A5,'13. Updated Demand'!A:Z,23,FALSE))</f>
        <v>0</v>
      </c>
      <c r="AG5" s="16">
        <f>IF(ISERROR(VLOOKUP($A5,'13. Updated Demand'!A:Z,24,FALSE)),0,VLOOKUP($A5,'13. Updated Demand'!A:Z,24,FALSE))</f>
        <v>0</v>
      </c>
      <c r="AH5" s="16">
        <f>IF(ISERROR(VLOOKUP($A5,'13. Updated Demand'!A:Z,25,FALSE)),0,VLOOKUP($A5,'13. Updated Demand'!A:Z,25,FALSE))</f>
        <v>0</v>
      </c>
      <c r="AI5" s="16">
        <f>IF(ISERROR(VLOOKUP($A5,'13. Updated Demand'!A:Z,26,FALSE)),0,VLOOKUP($A5,'13. Updated Demand'!A:Z,26,FALSE))</f>
        <v>0</v>
      </c>
      <c r="AJ5" s="16">
        <f t="shared" si="11"/>
        <v>0</v>
      </c>
      <c r="AK5" s="19">
        <v>0</v>
      </c>
      <c r="AL5" s="16">
        <f t="shared" si="9"/>
        <v>0</v>
      </c>
      <c r="AM5" s="17">
        <v>0</v>
      </c>
      <c r="AN5" s="19"/>
      <c r="AO5" s="19"/>
      <c r="AP5" s="19">
        <v>0.09</v>
      </c>
      <c r="AQ5" s="19" t="s">
        <v>307</v>
      </c>
      <c r="AR5" s="9" t="s">
        <v>317</v>
      </c>
      <c r="AS5" s="12">
        <v>0</v>
      </c>
      <c r="AT5" s="19">
        <v>39.217272999999999</v>
      </c>
      <c r="AU5" s="19">
        <v>-123.31689900000001</v>
      </c>
      <c r="AV5" s="19" t="s">
        <v>315</v>
      </c>
    </row>
    <row r="6" spans="1:48" x14ac:dyDescent="0.25">
      <c r="A6" s="18" t="s">
        <v>318</v>
      </c>
      <c r="B6" s="10">
        <v>20190318</v>
      </c>
      <c r="C6" s="9">
        <v>6</v>
      </c>
      <c r="D6" s="8" t="str">
        <f t="shared" si="0"/>
        <v>Y</v>
      </c>
      <c r="E6" s="8" t="str">
        <f t="shared" si="1"/>
        <v>N</v>
      </c>
      <c r="F6" s="8" t="str">
        <f t="shared" si="2"/>
        <v>Y</v>
      </c>
      <c r="G6" s="8" t="str">
        <f t="shared" si="3"/>
        <v>Y</v>
      </c>
      <c r="H6" s="8" t="str">
        <f t="shared" si="4"/>
        <v>Upper</v>
      </c>
      <c r="I6" s="8" t="str">
        <f t="shared" si="5"/>
        <v>West Fork and Below Lake</v>
      </c>
      <c r="J6" s="8" t="str">
        <f t="shared" si="6"/>
        <v>Mendocino (d/s of lake)</v>
      </c>
      <c r="K6" s="8" t="str">
        <f t="shared" si="7"/>
        <v>Post-1949</v>
      </c>
      <c r="L6" s="8">
        <f t="shared" si="8"/>
        <v>2019</v>
      </c>
      <c r="M6" s="8" t="str">
        <f t="shared" si="10"/>
        <v>1991-present</v>
      </c>
      <c r="N6" s="10" t="s">
        <v>242</v>
      </c>
      <c r="O6" s="10" t="s">
        <v>241</v>
      </c>
      <c r="P6" s="10" t="s">
        <v>242</v>
      </c>
      <c r="Q6" s="10" t="s">
        <v>242</v>
      </c>
      <c r="R6" s="10" t="s">
        <v>241</v>
      </c>
      <c r="S6" s="10" t="s">
        <v>242</v>
      </c>
      <c r="T6" s="10" t="s">
        <v>241</v>
      </c>
      <c r="U6" s="10" t="s">
        <v>241</v>
      </c>
      <c r="V6" s="10" t="s">
        <v>241</v>
      </c>
      <c r="W6" s="10" t="s">
        <v>242</v>
      </c>
      <c r="X6" s="15">
        <f>IF(ISERROR(VLOOKUP($A6,'13. Updated Demand'!A:Z,15,FALSE)),0,VLOOKUP($A6,'13. Updated Demand'!A:Z,15,FALSE))</f>
        <v>0</v>
      </c>
      <c r="Y6" s="16">
        <f>IF(ISERROR(VLOOKUP($A6,'13. Updated Demand'!A:Z,16,FALSE)),0,VLOOKUP($A6,'13. Updated Demand'!A:Z,16,FALSE))</f>
        <v>0</v>
      </c>
      <c r="Z6" s="16">
        <f>IF(ISERROR(VLOOKUP($A6,'13. Updated Demand'!A:Z,17,FALSE)),0,VLOOKUP($A6,'13. Updated Demand'!A:Z,17,FALSE))</f>
        <v>0</v>
      </c>
      <c r="AA6" s="16">
        <f>IF(ISERROR(VLOOKUP($A6,'13. Updated Demand'!A:Z,18,FALSE)),0,VLOOKUP($A6,'13. Updated Demand'!A:Z,18,FALSE))</f>
        <v>0</v>
      </c>
      <c r="AB6" s="16">
        <f>IF(ISERROR(VLOOKUP($A6,'13. Updated Demand'!A:Z,19,FALSE)),0,VLOOKUP($A6,'13. Updated Demand'!A:Z,19,FALSE))</f>
        <v>0</v>
      </c>
      <c r="AC6" s="16">
        <f>IF(ISERROR(VLOOKUP($A6,'13. Updated Demand'!A:Z,20,FALSE)),0,VLOOKUP($A6,'13. Updated Demand'!A:Z,20,FALSE))</f>
        <v>0</v>
      </c>
      <c r="AD6" s="16">
        <f>IF(ISERROR(VLOOKUP($A6,'13. Updated Demand'!A:Z,21,FALSE)),0,VLOOKUP($A6,'13. Updated Demand'!A:Z,21,FALSE))</f>
        <v>0</v>
      </c>
      <c r="AE6" s="16">
        <f>IF(ISERROR(VLOOKUP($A6,'13. Updated Demand'!A:Z,22,FALSE)),0,VLOOKUP($A6,'13. Updated Demand'!A:Z,22,FALSE))</f>
        <v>0</v>
      </c>
      <c r="AF6" s="16">
        <f>IF(ISERROR(VLOOKUP($A6,'13. Updated Demand'!A:Z,23,FALSE)),0,VLOOKUP($A6,'13. Updated Demand'!A:Z,23,FALSE))</f>
        <v>0</v>
      </c>
      <c r="AG6" s="16">
        <f>IF(ISERROR(VLOOKUP($A6,'13. Updated Demand'!A:Z,24,FALSE)),0,VLOOKUP($A6,'13. Updated Demand'!A:Z,24,FALSE))</f>
        <v>0</v>
      </c>
      <c r="AH6" s="16">
        <f>IF(ISERROR(VLOOKUP($A6,'13. Updated Demand'!A:Z,25,FALSE)),0,VLOOKUP($A6,'13. Updated Demand'!A:Z,25,FALSE))</f>
        <v>0</v>
      </c>
      <c r="AI6" s="16">
        <f>IF(ISERROR(VLOOKUP($A6,'13. Updated Demand'!A:Z,26,FALSE)),0,VLOOKUP($A6,'13. Updated Demand'!A:Z,26,FALSE))</f>
        <v>0</v>
      </c>
      <c r="AJ6" s="16">
        <f t="shared" si="11"/>
        <v>0</v>
      </c>
      <c r="AK6" s="19">
        <v>0</v>
      </c>
      <c r="AL6" s="16">
        <f t="shared" si="9"/>
        <v>0</v>
      </c>
      <c r="AM6" s="17">
        <v>0</v>
      </c>
      <c r="AN6" s="19"/>
      <c r="AO6" s="19"/>
      <c r="AP6" s="19">
        <v>2.21</v>
      </c>
      <c r="AQ6" s="19" t="s">
        <v>307</v>
      </c>
      <c r="AR6" s="9" t="s">
        <v>319</v>
      </c>
      <c r="AS6" s="12">
        <v>0</v>
      </c>
      <c r="AT6" s="19">
        <v>39.001160400000003</v>
      </c>
      <c r="AU6" s="19">
        <v>-123.15878709</v>
      </c>
      <c r="AV6" s="19" t="s">
        <v>320</v>
      </c>
    </row>
    <row r="7" spans="1:48" x14ac:dyDescent="0.25">
      <c r="A7" s="18" t="s">
        <v>321</v>
      </c>
      <c r="B7" s="10">
        <v>20190402</v>
      </c>
      <c r="C7" s="9">
        <v>6</v>
      </c>
      <c r="D7" s="8" t="str">
        <f t="shared" si="0"/>
        <v>Y</v>
      </c>
      <c r="E7" s="8" t="str">
        <f t="shared" si="1"/>
        <v>N</v>
      </c>
      <c r="F7" s="8" t="str">
        <f t="shared" si="2"/>
        <v>Y</v>
      </c>
      <c r="G7" s="8" t="str">
        <f t="shared" si="3"/>
        <v>Y</v>
      </c>
      <c r="H7" s="8" t="str">
        <f t="shared" si="4"/>
        <v>Upper</v>
      </c>
      <c r="I7" s="8" t="str">
        <f t="shared" si="5"/>
        <v>West Fork and Below Lake</v>
      </c>
      <c r="J7" s="8" t="str">
        <f t="shared" si="6"/>
        <v>Mendocino (d/s of lake)</v>
      </c>
      <c r="K7" s="8" t="str">
        <f t="shared" si="7"/>
        <v>Post-1949</v>
      </c>
      <c r="L7" s="8">
        <f t="shared" si="8"/>
        <v>2019</v>
      </c>
      <c r="M7" s="8" t="str">
        <f t="shared" si="10"/>
        <v>1991-present</v>
      </c>
      <c r="N7" s="10" t="s">
        <v>242</v>
      </c>
      <c r="O7" s="10" t="s">
        <v>241</v>
      </c>
      <c r="P7" s="10" t="s">
        <v>242</v>
      </c>
      <c r="Q7" s="10" t="s">
        <v>242</v>
      </c>
      <c r="R7" s="10" t="s">
        <v>241</v>
      </c>
      <c r="S7" s="10" t="s">
        <v>242</v>
      </c>
      <c r="T7" s="10" t="s">
        <v>241</v>
      </c>
      <c r="U7" s="10" t="s">
        <v>241</v>
      </c>
      <c r="V7" s="10" t="s">
        <v>241</v>
      </c>
      <c r="W7" s="10" t="s">
        <v>242</v>
      </c>
      <c r="X7" s="15">
        <f>IF(ISERROR(VLOOKUP($A7,'13. Updated Demand'!A:Z,15,FALSE)),0,VLOOKUP($A7,'13. Updated Demand'!A:Z,15,FALSE))</f>
        <v>0</v>
      </c>
      <c r="Y7" s="16">
        <f>IF(ISERROR(VLOOKUP($A7,'13. Updated Demand'!A:Z,16,FALSE)),0,VLOOKUP($A7,'13. Updated Demand'!A:Z,16,FALSE))</f>
        <v>0</v>
      </c>
      <c r="Z7" s="16">
        <f>IF(ISERROR(VLOOKUP($A7,'13. Updated Demand'!A:Z,17,FALSE)),0,VLOOKUP($A7,'13. Updated Demand'!A:Z,17,FALSE))</f>
        <v>0</v>
      </c>
      <c r="AA7" s="16">
        <f>IF(ISERROR(VLOOKUP($A7,'13. Updated Demand'!A:Z,18,FALSE)),0,VLOOKUP($A7,'13. Updated Demand'!A:Z,18,FALSE))</f>
        <v>0</v>
      </c>
      <c r="AB7" s="16">
        <f>IF(ISERROR(VLOOKUP($A7,'13. Updated Demand'!A:Z,19,FALSE)),0,VLOOKUP($A7,'13. Updated Demand'!A:Z,19,FALSE))</f>
        <v>0</v>
      </c>
      <c r="AC7" s="16">
        <f>IF(ISERROR(VLOOKUP($A7,'13. Updated Demand'!A:Z,20,FALSE)),0,VLOOKUP($A7,'13. Updated Demand'!A:Z,20,FALSE))</f>
        <v>0</v>
      </c>
      <c r="AD7" s="16">
        <f>IF(ISERROR(VLOOKUP($A7,'13. Updated Demand'!A:Z,21,FALSE)),0,VLOOKUP($A7,'13. Updated Demand'!A:Z,21,FALSE))</f>
        <v>0</v>
      </c>
      <c r="AE7" s="16">
        <f>IF(ISERROR(VLOOKUP($A7,'13. Updated Demand'!A:Z,22,FALSE)),0,VLOOKUP($A7,'13. Updated Demand'!A:Z,22,FALSE))</f>
        <v>0</v>
      </c>
      <c r="AF7" s="16">
        <f>IF(ISERROR(VLOOKUP($A7,'13. Updated Demand'!A:Z,23,FALSE)),0,VLOOKUP($A7,'13. Updated Demand'!A:Z,23,FALSE))</f>
        <v>0</v>
      </c>
      <c r="AG7" s="16">
        <f>IF(ISERROR(VLOOKUP($A7,'13. Updated Demand'!A:Z,24,FALSE)),0,VLOOKUP($A7,'13. Updated Demand'!A:Z,24,FALSE))</f>
        <v>0</v>
      </c>
      <c r="AH7" s="16">
        <f>IF(ISERROR(VLOOKUP($A7,'13. Updated Demand'!A:Z,25,FALSE)),0,VLOOKUP($A7,'13. Updated Demand'!A:Z,25,FALSE))</f>
        <v>0</v>
      </c>
      <c r="AI7" s="16">
        <f>IF(ISERROR(VLOOKUP($A7,'13. Updated Demand'!A:Z,26,FALSE)),0,VLOOKUP($A7,'13. Updated Demand'!A:Z,26,FALSE))</f>
        <v>0</v>
      </c>
      <c r="AJ7" s="16">
        <f t="shared" si="11"/>
        <v>0</v>
      </c>
      <c r="AK7" s="19">
        <v>0</v>
      </c>
      <c r="AL7" s="16">
        <f t="shared" si="9"/>
        <v>0</v>
      </c>
      <c r="AM7" s="17">
        <v>0</v>
      </c>
      <c r="AN7" s="19"/>
      <c r="AO7" s="19"/>
      <c r="AP7" s="19">
        <v>0</v>
      </c>
      <c r="AQ7" s="19" t="s">
        <v>307</v>
      </c>
      <c r="AR7" s="9" t="s">
        <v>319</v>
      </c>
      <c r="AS7" s="12">
        <v>0</v>
      </c>
      <c r="AT7" s="19">
        <v>39.001353690000002</v>
      </c>
      <c r="AU7" s="19">
        <v>-123.17047483</v>
      </c>
      <c r="AV7" s="19" t="s">
        <v>320</v>
      </c>
    </row>
    <row r="8" spans="1:48" x14ac:dyDescent="0.25">
      <c r="A8" s="18" t="s">
        <v>322</v>
      </c>
      <c r="B8" s="10">
        <v>20190715</v>
      </c>
      <c r="C8" s="9">
        <v>23</v>
      </c>
      <c r="D8" s="8" t="str">
        <f t="shared" si="0"/>
        <v>N</v>
      </c>
      <c r="E8" s="8" t="str">
        <f t="shared" si="1"/>
        <v>N</v>
      </c>
      <c r="F8" s="8" t="str">
        <f t="shared" si="2"/>
        <v>N</v>
      </c>
      <c r="G8" s="8" t="str">
        <f t="shared" si="3"/>
        <v>N</v>
      </c>
      <c r="H8" s="8" t="str">
        <f t="shared" si="4"/>
        <v>Lower</v>
      </c>
      <c r="I8" s="8" t="str">
        <f t="shared" si="5"/>
        <v>Outside</v>
      </c>
      <c r="J8" s="8" t="str">
        <f t="shared" si="6"/>
        <v>Outside</v>
      </c>
      <c r="K8" s="8" t="str">
        <f t="shared" si="7"/>
        <v>Post-1949</v>
      </c>
      <c r="L8" s="8">
        <f t="shared" si="8"/>
        <v>2019</v>
      </c>
      <c r="M8" s="8" t="str">
        <f t="shared" si="10"/>
        <v>1991-present</v>
      </c>
      <c r="N8" s="10" t="s">
        <v>242</v>
      </c>
      <c r="O8" s="10" t="s">
        <v>242</v>
      </c>
      <c r="P8" s="10" t="s">
        <v>242</v>
      </c>
      <c r="Q8" s="10" t="s">
        <v>242</v>
      </c>
      <c r="R8" s="10" t="s">
        <v>241</v>
      </c>
      <c r="S8" s="10" t="s">
        <v>242</v>
      </c>
      <c r="T8" s="10" t="s">
        <v>241</v>
      </c>
      <c r="U8" s="10" t="s">
        <v>241</v>
      </c>
      <c r="V8" s="10" t="s">
        <v>241</v>
      </c>
      <c r="W8" s="10" t="s">
        <v>242</v>
      </c>
      <c r="X8" s="15">
        <f>IF(ISERROR(VLOOKUP($A8,'13. Updated Demand'!A:Z,15,FALSE)),0,VLOOKUP($A8,'13. Updated Demand'!A:Z,15,FALSE))</f>
        <v>0</v>
      </c>
      <c r="Y8" s="16">
        <f>IF(ISERROR(VLOOKUP($A8,'13. Updated Demand'!A:Z,16,FALSE)),0,VLOOKUP($A8,'13. Updated Demand'!A:Z,16,FALSE))</f>
        <v>0</v>
      </c>
      <c r="Z8" s="16">
        <f>IF(ISERROR(VLOOKUP($A8,'13. Updated Demand'!A:Z,17,FALSE)),0,VLOOKUP($A8,'13. Updated Demand'!A:Z,17,FALSE))</f>
        <v>0</v>
      </c>
      <c r="AA8" s="16">
        <f>IF(ISERROR(VLOOKUP($A8,'13. Updated Demand'!A:Z,18,FALSE)),0,VLOOKUP($A8,'13. Updated Demand'!A:Z,18,FALSE))</f>
        <v>0</v>
      </c>
      <c r="AB8" s="16">
        <f>IF(ISERROR(VLOOKUP($A8,'13. Updated Demand'!A:Z,19,FALSE)),0,VLOOKUP($A8,'13. Updated Demand'!A:Z,19,FALSE))</f>
        <v>0</v>
      </c>
      <c r="AC8" s="16">
        <f>IF(ISERROR(VLOOKUP($A8,'13. Updated Demand'!A:Z,20,FALSE)),0,VLOOKUP($A8,'13. Updated Demand'!A:Z,20,FALSE))</f>
        <v>0</v>
      </c>
      <c r="AD8" s="16">
        <f>IF(ISERROR(VLOOKUP($A8,'13. Updated Demand'!A:Z,21,FALSE)),0,VLOOKUP($A8,'13. Updated Demand'!A:Z,21,FALSE))</f>
        <v>0</v>
      </c>
      <c r="AE8" s="16">
        <f>IF(ISERROR(VLOOKUP($A8,'13. Updated Demand'!A:Z,22,FALSE)),0,VLOOKUP($A8,'13. Updated Demand'!A:Z,22,FALSE))</f>
        <v>0</v>
      </c>
      <c r="AF8" s="16">
        <f>IF(ISERROR(VLOOKUP($A8,'13. Updated Demand'!A:Z,23,FALSE)),0,VLOOKUP($A8,'13. Updated Demand'!A:Z,23,FALSE))</f>
        <v>0</v>
      </c>
      <c r="AG8" s="16">
        <f>IF(ISERROR(VLOOKUP($A8,'13. Updated Demand'!A:Z,24,FALSE)),0,VLOOKUP($A8,'13. Updated Demand'!A:Z,24,FALSE))</f>
        <v>0</v>
      </c>
      <c r="AH8" s="16">
        <f>IF(ISERROR(VLOOKUP($A8,'13. Updated Demand'!A:Z,25,FALSE)),0,VLOOKUP($A8,'13. Updated Demand'!A:Z,25,FALSE))</f>
        <v>0</v>
      </c>
      <c r="AI8" s="16">
        <f>IF(ISERROR(VLOOKUP($A8,'13. Updated Demand'!A:Z,26,FALSE)),0,VLOOKUP($A8,'13. Updated Demand'!A:Z,26,FALSE))</f>
        <v>0</v>
      </c>
      <c r="AJ8" s="16">
        <f t="shared" si="11"/>
        <v>0</v>
      </c>
      <c r="AK8" s="19">
        <v>0</v>
      </c>
      <c r="AL8" s="16">
        <f t="shared" si="9"/>
        <v>0</v>
      </c>
      <c r="AM8" s="17">
        <v>0</v>
      </c>
      <c r="AN8" s="19"/>
      <c r="AO8" s="19"/>
      <c r="AP8" s="19">
        <v>0</v>
      </c>
      <c r="AQ8" s="19" t="s">
        <v>307</v>
      </c>
      <c r="AR8" s="9" t="s">
        <v>323</v>
      </c>
      <c r="AS8" s="12">
        <v>0</v>
      </c>
      <c r="AT8" s="19">
        <v>38.547800000000002</v>
      </c>
      <c r="AU8" s="19">
        <v>-122.6559</v>
      </c>
      <c r="AV8" s="19" t="s">
        <v>320</v>
      </c>
    </row>
    <row r="9" spans="1:48" x14ac:dyDescent="0.25">
      <c r="A9" s="18" t="s">
        <v>324</v>
      </c>
      <c r="B9" s="10">
        <v>20190723</v>
      </c>
      <c r="C9" s="9">
        <v>23</v>
      </c>
      <c r="D9" s="8" t="str">
        <f t="shared" si="0"/>
        <v>N</v>
      </c>
      <c r="E9" s="8" t="str">
        <f t="shared" si="1"/>
        <v>N</v>
      </c>
      <c r="F9" s="8" t="str">
        <f t="shared" si="2"/>
        <v>N</v>
      </c>
      <c r="G9" s="8" t="str">
        <f t="shared" si="3"/>
        <v>N</v>
      </c>
      <c r="H9" s="8" t="str">
        <f t="shared" si="4"/>
        <v>Lower</v>
      </c>
      <c r="I9" s="8" t="str">
        <f t="shared" si="5"/>
        <v>Outside</v>
      </c>
      <c r="J9" s="8" t="str">
        <f t="shared" si="6"/>
        <v>Outside</v>
      </c>
      <c r="K9" s="8" t="str">
        <f t="shared" si="7"/>
        <v>Post-1949</v>
      </c>
      <c r="L9" s="8">
        <f t="shared" si="8"/>
        <v>2019</v>
      </c>
      <c r="M9" s="8" t="str">
        <f t="shared" si="10"/>
        <v>1991-present</v>
      </c>
      <c r="N9" s="10" t="s">
        <v>242</v>
      </c>
      <c r="O9" s="10" t="s">
        <v>242</v>
      </c>
      <c r="P9" s="10" t="s">
        <v>242</v>
      </c>
      <c r="Q9" s="10" t="s">
        <v>242</v>
      </c>
      <c r="R9" s="10" t="s">
        <v>241</v>
      </c>
      <c r="S9" s="10" t="s">
        <v>242</v>
      </c>
      <c r="T9" s="10" t="s">
        <v>241</v>
      </c>
      <c r="U9" s="10" t="s">
        <v>241</v>
      </c>
      <c r="V9" s="10" t="s">
        <v>241</v>
      </c>
      <c r="W9" s="10" t="s">
        <v>242</v>
      </c>
      <c r="X9" s="15">
        <f>IF(ISERROR(VLOOKUP($A9,'13. Updated Demand'!A:Z,15,FALSE)),0,VLOOKUP($A9,'13. Updated Demand'!A:Z,15,FALSE))</f>
        <v>0</v>
      </c>
      <c r="Y9" s="16">
        <f>IF(ISERROR(VLOOKUP($A9,'13. Updated Demand'!A:Z,16,FALSE)),0,VLOOKUP($A9,'13. Updated Demand'!A:Z,16,FALSE))</f>
        <v>0</v>
      </c>
      <c r="Z9" s="16">
        <f>IF(ISERROR(VLOOKUP($A9,'13. Updated Demand'!A:Z,17,FALSE)),0,VLOOKUP($A9,'13. Updated Demand'!A:Z,17,FALSE))</f>
        <v>0</v>
      </c>
      <c r="AA9" s="16">
        <f>IF(ISERROR(VLOOKUP($A9,'13. Updated Demand'!A:Z,18,FALSE)),0,VLOOKUP($A9,'13. Updated Demand'!A:Z,18,FALSE))</f>
        <v>0</v>
      </c>
      <c r="AB9" s="16">
        <f>IF(ISERROR(VLOOKUP($A9,'13. Updated Demand'!A:Z,19,FALSE)),0,VLOOKUP($A9,'13. Updated Demand'!A:Z,19,FALSE))</f>
        <v>0</v>
      </c>
      <c r="AC9" s="16">
        <f>IF(ISERROR(VLOOKUP($A9,'13. Updated Demand'!A:Z,20,FALSE)),0,VLOOKUP($A9,'13. Updated Demand'!A:Z,20,FALSE))</f>
        <v>0</v>
      </c>
      <c r="AD9" s="16">
        <f>IF(ISERROR(VLOOKUP($A9,'13. Updated Demand'!A:Z,21,FALSE)),0,VLOOKUP($A9,'13. Updated Demand'!A:Z,21,FALSE))</f>
        <v>0</v>
      </c>
      <c r="AE9" s="16">
        <f>IF(ISERROR(VLOOKUP($A9,'13. Updated Demand'!A:Z,22,FALSE)),0,VLOOKUP($A9,'13. Updated Demand'!A:Z,22,FALSE))</f>
        <v>0</v>
      </c>
      <c r="AF9" s="16">
        <f>IF(ISERROR(VLOOKUP($A9,'13. Updated Demand'!A:Z,23,FALSE)),0,VLOOKUP($A9,'13. Updated Demand'!A:Z,23,FALSE))</f>
        <v>0</v>
      </c>
      <c r="AG9" s="16">
        <f>IF(ISERROR(VLOOKUP($A9,'13. Updated Demand'!A:Z,24,FALSE)),0,VLOOKUP($A9,'13. Updated Demand'!A:Z,24,FALSE))</f>
        <v>0</v>
      </c>
      <c r="AH9" s="16">
        <f>IF(ISERROR(VLOOKUP($A9,'13. Updated Demand'!A:Z,25,FALSE)),0,VLOOKUP($A9,'13. Updated Demand'!A:Z,25,FALSE))</f>
        <v>0</v>
      </c>
      <c r="AI9" s="16">
        <f>IF(ISERROR(VLOOKUP($A9,'13. Updated Demand'!A:Z,26,FALSE)),0,VLOOKUP($A9,'13. Updated Demand'!A:Z,26,FALSE))</f>
        <v>0</v>
      </c>
      <c r="AJ9" s="16">
        <f t="shared" si="11"/>
        <v>0</v>
      </c>
      <c r="AK9" s="19">
        <v>0</v>
      </c>
      <c r="AL9" s="16">
        <f t="shared" si="9"/>
        <v>0</v>
      </c>
      <c r="AM9" s="17">
        <v>0</v>
      </c>
      <c r="AN9" s="19"/>
      <c r="AO9" s="19"/>
      <c r="AP9" s="19">
        <v>0</v>
      </c>
      <c r="AQ9" s="19" t="s">
        <v>307</v>
      </c>
      <c r="AR9" s="9" t="s">
        <v>323</v>
      </c>
      <c r="AS9" s="12">
        <v>0</v>
      </c>
      <c r="AT9" s="19">
        <v>38.547800000000002</v>
      </c>
      <c r="AU9" s="19">
        <v>-122.6559</v>
      </c>
      <c r="AV9" s="19" t="s">
        <v>320</v>
      </c>
    </row>
    <row r="10" spans="1:48" x14ac:dyDescent="0.25">
      <c r="A10" s="18" t="s">
        <v>325</v>
      </c>
      <c r="B10" s="10">
        <v>20191018</v>
      </c>
      <c r="C10" s="9">
        <v>3</v>
      </c>
      <c r="D10" s="8" t="str">
        <f t="shared" si="0"/>
        <v>N</v>
      </c>
      <c r="E10" s="8" t="str">
        <f t="shared" si="1"/>
        <v>N</v>
      </c>
      <c r="F10" s="8" t="str">
        <f t="shared" si="2"/>
        <v>Y</v>
      </c>
      <c r="G10" s="8" t="str">
        <f t="shared" si="3"/>
        <v>N</v>
      </c>
      <c r="H10" s="8" t="str">
        <f t="shared" si="4"/>
        <v>Upper</v>
      </c>
      <c r="I10" s="8" t="str">
        <f t="shared" si="5"/>
        <v>Outside</v>
      </c>
      <c r="J10" s="8" t="str">
        <f t="shared" si="6"/>
        <v>Outside</v>
      </c>
      <c r="K10" s="8" t="str">
        <f t="shared" si="7"/>
        <v>Post-1949</v>
      </c>
      <c r="L10" s="8">
        <f t="shared" si="8"/>
        <v>2019</v>
      </c>
      <c r="M10" s="8" t="str">
        <f t="shared" si="10"/>
        <v>1991-present</v>
      </c>
      <c r="N10" s="10" t="s">
        <v>242</v>
      </c>
      <c r="O10" s="10" t="s">
        <v>241</v>
      </c>
      <c r="P10" s="10" t="s">
        <v>242</v>
      </c>
      <c r="Q10" s="10" t="s">
        <v>242</v>
      </c>
      <c r="R10" s="10" t="s">
        <v>241</v>
      </c>
      <c r="S10" s="10" t="s">
        <v>242</v>
      </c>
      <c r="T10" s="10" t="s">
        <v>241</v>
      </c>
      <c r="U10" s="10" t="s">
        <v>241</v>
      </c>
      <c r="V10" s="10" t="s">
        <v>241</v>
      </c>
      <c r="W10" s="10" t="s">
        <v>242</v>
      </c>
      <c r="X10" s="15">
        <f>IF(ISERROR(VLOOKUP($A10,'13. Updated Demand'!A:Z,15,FALSE)),0,VLOOKUP($A10,'13. Updated Demand'!A:Z,15,FALSE))</f>
        <v>0</v>
      </c>
      <c r="Y10" s="16">
        <f>IF(ISERROR(VLOOKUP($A10,'13. Updated Demand'!A:Z,16,FALSE)),0,VLOOKUP($A10,'13. Updated Demand'!A:Z,16,FALSE))</f>
        <v>0</v>
      </c>
      <c r="Z10" s="16">
        <f>IF(ISERROR(VLOOKUP($A10,'13. Updated Demand'!A:Z,17,FALSE)),0,VLOOKUP($A10,'13. Updated Demand'!A:Z,17,FALSE))</f>
        <v>0</v>
      </c>
      <c r="AA10" s="16">
        <f>IF(ISERROR(VLOOKUP($A10,'13. Updated Demand'!A:Z,18,FALSE)),0,VLOOKUP($A10,'13. Updated Demand'!A:Z,18,FALSE))</f>
        <v>0</v>
      </c>
      <c r="AB10" s="16">
        <f>IF(ISERROR(VLOOKUP($A10,'13. Updated Demand'!A:Z,19,FALSE)),0,VLOOKUP($A10,'13. Updated Demand'!A:Z,19,FALSE))</f>
        <v>0</v>
      </c>
      <c r="AC10" s="16">
        <f>IF(ISERROR(VLOOKUP($A10,'13. Updated Demand'!A:Z,20,FALSE)),0,VLOOKUP($A10,'13. Updated Demand'!A:Z,20,FALSE))</f>
        <v>0</v>
      </c>
      <c r="AD10" s="16">
        <f>IF(ISERROR(VLOOKUP($A10,'13. Updated Demand'!A:Z,21,FALSE)),0,VLOOKUP($A10,'13. Updated Demand'!A:Z,21,FALSE))</f>
        <v>0</v>
      </c>
      <c r="AE10" s="16">
        <f>IF(ISERROR(VLOOKUP($A10,'13. Updated Demand'!A:Z,22,FALSE)),0,VLOOKUP($A10,'13. Updated Demand'!A:Z,22,FALSE))</f>
        <v>0</v>
      </c>
      <c r="AF10" s="16">
        <f>IF(ISERROR(VLOOKUP($A10,'13. Updated Demand'!A:Z,23,FALSE)),0,VLOOKUP($A10,'13. Updated Demand'!A:Z,23,FALSE))</f>
        <v>0</v>
      </c>
      <c r="AG10" s="16">
        <f>IF(ISERROR(VLOOKUP($A10,'13. Updated Demand'!A:Z,24,FALSE)),0,VLOOKUP($A10,'13. Updated Demand'!A:Z,24,FALSE))</f>
        <v>0</v>
      </c>
      <c r="AH10" s="16">
        <f>IF(ISERROR(VLOOKUP($A10,'13. Updated Demand'!A:Z,25,FALSE)),0,VLOOKUP($A10,'13. Updated Demand'!A:Z,25,FALSE))</f>
        <v>0</v>
      </c>
      <c r="AI10" s="16">
        <f>IF(ISERROR(VLOOKUP($A10,'13. Updated Demand'!A:Z,26,FALSE)),0,VLOOKUP($A10,'13. Updated Demand'!A:Z,26,FALSE))</f>
        <v>0</v>
      </c>
      <c r="AJ10" s="16">
        <f t="shared" si="11"/>
        <v>0</v>
      </c>
      <c r="AK10" s="19">
        <v>0</v>
      </c>
      <c r="AL10" s="16">
        <f t="shared" si="9"/>
        <v>0</v>
      </c>
      <c r="AM10" s="17">
        <v>0</v>
      </c>
      <c r="AN10" s="19"/>
      <c r="AO10" s="19"/>
      <c r="AP10" s="19">
        <v>0.17</v>
      </c>
      <c r="AQ10" s="19" t="s">
        <v>307</v>
      </c>
      <c r="AR10" s="9" t="s">
        <v>326</v>
      </c>
      <c r="AS10" s="12">
        <v>3.4039024194010059E-4</v>
      </c>
      <c r="AT10" s="19">
        <v>39.2532</v>
      </c>
      <c r="AU10" s="19">
        <v>-123.14579999999999</v>
      </c>
      <c r="AV10" s="19" t="s">
        <v>315</v>
      </c>
    </row>
    <row r="11" spans="1:48" x14ac:dyDescent="0.25">
      <c r="A11" s="18" t="s">
        <v>327</v>
      </c>
      <c r="B11" s="10">
        <v>20190917</v>
      </c>
      <c r="C11" s="9">
        <v>12</v>
      </c>
      <c r="D11" s="8" t="str">
        <f t="shared" si="0"/>
        <v>N</v>
      </c>
      <c r="E11" s="8" t="str">
        <f t="shared" si="1"/>
        <v>Y</v>
      </c>
      <c r="F11" s="8" t="str">
        <f t="shared" si="2"/>
        <v>Y</v>
      </c>
      <c r="G11" s="8" t="str">
        <f t="shared" si="3"/>
        <v>Y</v>
      </c>
      <c r="H11" s="8" t="str">
        <f t="shared" si="4"/>
        <v>Upper</v>
      </c>
      <c r="I11" s="8" t="str">
        <f t="shared" si="5"/>
        <v>West Fork and Below Lake</v>
      </c>
      <c r="J11" s="8" t="str">
        <f t="shared" si="6"/>
        <v>Sonoma (d/s of Clov. Gage)</v>
      </c>
      <c r="K11" s="8" t="str">
        <f t="shared" si="7"/>
        <v>Post-1949</v>
      </c>
      <c r="L11" s="8">
        <f t="shared" si="8"/>
        <v>2019</v>
      </c>
      <c r="M11" s="8" t="str">
        <f t="shared" si="10"/>
        <v>1991-present</v>
      </c>
      <c r="N11" s="10" t="s">
        <v>242</v>
      </c>
      <c r="O11" s="10" t="s">
        <v>241</v>
      </c>
      <c r="P11" s="10" t="s">
        <v>242</v>
      </c>
      <c r="Q11" s="10" t="s">
        <v>242</v>
      </c>
      <c r="R11" s="10" t="s">
        <v>241</v>
      </c>
      <c r="S11" s="10" t="s">
        <v>242</v>
      </c>
      <c r="T11" s="10" t="s">
        <v>242</v>
      </c>
      <c r="U11" s="10" t="s">
        <v>242</v>
      </c>
      <c r="V11" s="10" t="s">
        <v>241</v>
      </c>
      <c r="W11" s="10" t="s">
        <v>242</v>
      </c>
      <c r="X11" s="15">
        <f>IF(ISERROR(VLOOKUP($A11,'13. Updated Demand'!A:Z,15,FALSE)),0,VLOOKUP($A11,'13. Updated Demand'!A:Z,15,FALSE))</f>
        <v>1.83</v>
      </c>
      <c r="Y11" s="16">
        <f>IF(ISERROR(VLOOKUP($A11,'13. Updated Demand'!A:Z,16,FALSE)),0,VLOOKUP($A11,'13. Updated Demand'!A:Z,16,FALSE))</f>
        <v>1.83</v>
      </c>
      <c r="Z11" s="16">
        <f>IF(ISERROR(VLOOKUP($A11,'13. Updated Demand'!A:Z,17,FALSE)),0,VLOOKUP($A11,'13. Updated Demand'!A:Z,17,FALSE))</f>
        <v>1.83</v>
      </c>
      <c r="AA11" s="16">
        <f>IF(ISERROR(VLOOKUP($A11,'13. Updated Demand'!A:Z,18,FALSE)),0,VLOOKUP($A11,'13. Updated Demand'!A:Z,18,FALSE))</f>
        <v>0</v>
      </c>
      <c r="AB11" s="16">
        <f>IF(ISERROR(VLOOKUP($A11,'13. Updated Demand'!A:Z,19,FALSE)),0,VLOOKUP($A11,'13. Updated Demand'!A:Z,19,FALSE))</f>
        <v>0</v>
      </c>
      <c r="AC11" s="16">
        <f>IF(ISERROR(VLOOKUP($A11,'13. Updated Demand'!A:Z,20,FALSE)),0,VLOOKUP($A11,'13. Updated Demand'!A:Z,20,FALSE))</f>
        <v>0</v>
      </c>
      <c r="AD11" s="16">
        <f>IF(ISERROR(VLOOKUP($A11,'13. Updated Demand'!A:Z,21,FALSE)),0,VLOOKUP($A11,'13. Updated Demand'!A:Z,21,FALSE))</f>
        <v>0</v>
      </c>
      <c r="AE11" s="16">
        <f>IF(ISERROR(VLOOKUP($A11,'13. Updated Demand'!A:Z,22,FALSE)),0,VLOOKUP($A11,'13. Updated Demand'!A:Z,22,FALSE))</f>
        <v>0</v>
      </c>
      <c r="AF11" s="16">
        <f>IF(ISERROR(VLOOKUP($A11,'13. Updated Demand'!A:Z,23,FALSE)),0,VLOOKUP($A11,'13. Updated Demand'!A:Z,23,FALSE))</f>
        <v>0</v>
      </c>
      <c r="AG11" s="16">
        <f>IF(ISERROR(VLOOKUP($A11,'13. Updated Demand'!A:Z,24,FALSE)),0,VLOOKUP($A11,'13. Updated Demand'!A:Z,24,FALSE))</f>
        <v>1.83</v>
      </c>
      <c r="AH11" s="16">
        <f>IF(ISERROR(VLOOKUP($A11,'13. Updated Demand'!A:Z,25,FALSE)),0,VLOOKUP($A11,'13. Updated Demand'!A:Z,25,FALSE))</f>
        <v>1.83</v>
      </c>
      <c r="AI11" s="16">
        <f>IF(ISERROR(VLOOKUP($A11,'13. Updated Demand'!A:Z,26,FALSE)),0,VLOOKUP($A11,'13. Updated Demand'!A:Z,26,FALSE))</f>
        <v>1.83</v>
      </c>
      <c r="AJ11" s="16">
        <f t="shared" si="11"/>
        <v>10.98</v>
      </c>
      <c r="AK11" s="19">
        <v>0</v>
      </c>
      <c r="AL11" s="16">
        <f t="shared" si="9"/>
        <v>0</v>
      </c>
      <c r="AM11" s="17">
        <v>0.99818181818181817</v>
      </c>
      <c r="AN11" s="19"/>
      <c r="AO11" s="19"/>
      <c r="AP11" s="19">
        <v>11</v>
      </c>
      <c r="AQ11" s="19" t="s">
        <v>307</v>
      </c>
      <c r="AR11" s="9" t="s">
        <v>311</v>
      </c>
      <c r="AS11" s="12">
        <v>0</v>
      </c>
      <c r="AT11" s="19">
        <v>38.66852128</v>
      </c>
      <c r="AU11" s="19">
        <v>-122.80176406</v>
      </c>
      <c r="AV11" s="19" t="s">
        <v>320</v>
      </c>
    </row>
    <row r="12" spans="1:48" x14ac:dyDescent="0.25">
      <c r="A12" s="18" t="s">
        <v>328</v>
      </c>
      <c r="B12" s="10">
        <v>20190115</v>
      </c>
      <c r="C12" s="9">
        <v>20</v>
      </c>
      <c r="D12" s="8" t="str">
        <f t="shared" si="0"/>
        <v>N</v>
      </c>
      <c r="E12" s="8" t="str">
        <f t="shared" si="1"/>
        <v>N</v>
      </c>
      <c r="F12" s="8" t="str">
        <f t="shared" si="2"/>
        <v>N</v>
      </c>
      <c r="G12" s="8" t="str">
        <f t="shared" si="3"/>
        <v>N</v>
      </c>
      <c r="H12" s="8" t="str">
        <f t="shared" si="4"/>
        <v>Lower</v>
      </c>
      <c r="I12" s="8" t="str">
        <f t="shared" si="5"/>
        <v>Outside</v>
      </c>
      <c r="J12" s="8" t="str">
        <f t="shared" si="6"/>
        <v>Outside</v>
      </c>
      <c r="K12" s="8" t="str">
        <f t="shared" si="7"/>
        <v>Post-1949</v>
      </c>
      <c r="L12" s="8">
        <f t="shared" si="8"/>
        <v>2019</v>
      </c>
      <c r="M12" s="8" t="str">
        <f t="shared" si="10"/>
        <v>1991-present</v>
      </c>
      <c r="N12" s="10" t="s">
        <v>242</v>
      </c>
      <c r="O12" s="10" t="s">
        <v>242</v>
      </c>
      <c r="P12" s="10" t="s">
        <v>242</v>
      </c>
      <c r="Q12" s="10" t="s">
        <v>242</v>
      </c>
      <c r="R12" s="10" t="s">
        <v>241</v>
      </c>
      <c r="S12" s="10" t="s">
        <v>242</v>
      </c>
      <c r="T12" s="10" t="s">
        <v>242</v>
      </c>
      <c r="U12" s="10" t="s">
        <v>242</v>
      </c>
      <c r="V12" s="10" t="s">
        <v>241</v>
      </c>
      <c r="W12" s="10" t="s">
        <v>242</v>
      </c>
      <c r="X12" s="15">
        <f>IF(ISERROR(VLOOKUP($A12,'13. Updated Demand'!A:Z,15,FALSE)),0,VLOOKUP($A12,'13. Updated Demand'!A:Z,15,FALSE))</f>
        <v>3.9896000000000001E-2</v>
      </c>
      <c r="Y12" s="16">
        <f>IF(ISERROR(VLOOKUP($A12,'13. Updated Demand'!A:Z,16,FALSE)),0,VLOOKUP($A12,'13. Updated Demand'!A:Z,16,FALSE))</f>
        <v>3.9896000000000001E-2</v>
      </c>
      <c r="Z12" s="16">
        <f>IF(ISERROR(VLOOKUP($A12,'13. Updated Demand'!A:Z,17,FALSE)),0,VLOOKUP($A12,'13. Updated Demand'!A:Z,17,FALSE))</f>
        <v>4.9103000000000001E-2</v>
      </c>
      <c r="AA12" s="16">
        <f>IF(ISERROR(VLOOKUP($A12,'13. Updated Demand'!A:Z,18,FALSE)),0,VLOOKUP($A12,'13. Updated Demand'!A:Z,18,FALSE))</f>
        <v>0</v>
      </c>
      <c r="AB12" s="16">
        <f>IF(ISERROR(VLOOKUP($A12,'13. Updated Demand'!A:Z,19,FALSE)),0,VLOOKUP($A12,'13. Updated Demand'!A:Z,19,FALSE))</f>
        <v>0</v>
      </c>
      <c r="AC12" s="16">
        <f>IF(ISERROR(VLOOKUP($A12,'13. Updated Demand'!A:Z,20,FALSE)),0,VLOOKUP($A12,'13. Updated Demand'!A:Z,20,FALSE))</f>
        <v>0</v>
      </c>
      <c r="AD12" s="16">
        <f>IF(ISERROR(VLOOKUP($A12,'13. Updated Demand'!A:Z,21,FALSE)),0,VLOOKUP($A12,'13. Updated Demand'!A:Z,21,FALSE))</f>
        <v>0</v>
      </c>
      <c r="AE12" s="16">
        <f>IF(ISERROR(VLOOKUP($A12,'13. Updated Demand'!A:Z,22,FALSE)),0,VLOOKUP($A12,'13. Updated Demand'!A:Z,22,FALSE))</f>
        <v>0</v>
      </c>
      <c r="AF12" s="16">
        <f>IF(ISERROR(VLOOKUP($A12,'13. Updated Demand'!A:Z,23,FALSE)),0,VLOOKUP($A12,'13. Updated Demand'!A:Z,23,FALSE))</f>
        <v>0</v>
      </c>
      <c r="AG12" s="16">
        <f>IF(ISERROR(VLOOKUP($A12,'13. Updated Demand'!A:Z,24,FALSE)),0,VLOOKUP($A12,'13. Updated Demand'!A:Z,24,FALSE))</f>
        <v>0</v>
      </c>
      <c r="AH12" s="16">
        <f>IF(ISERROR(VLOOKUP($A12,'13. Updated Demand'!A:Z,25,FALSE)),0,VLOOKUP($A12,'13. Updated Demand'!A:Z,25,FALSE))</f>
        <v>1.8412999999999999E-2</v>
      </c>
      <c r="AI12" s="16">
        <f>IF(ISERROR(VLOOKUP($A12,'13. Updated Demand'!A:Z,26,FALSE)),0,VLOOKUP($A12,'13. Updated Demand'!A:Z,26,FALSE))</f>
        <v>1.8412999999999999E-2</v>
      </c>
      <c r="AJ12" s="16">
        <f t="shared" si="11"/>
        <v>0.16572100000000001</v>
      </c>
      <c r="AK12" s="19">
        <v>0</v>
      </c>
      <c r="AL12" s="16">
        <f t="shared" si="9"/>
        <v>0</v>
      </c>
      <c r="AM12" s="17">
        <v>0.33820612244897963</v>
      </c>
      <c r="AN12" s="19"/>
      <c r="AO12" s="19"/>
      <c r="AP12" s="19">
        <v>0.49</v>
      </c>
      <c r="AQ12" s="19" t="s">
        <v>307</v>
      </c>
      <c r="AR12" s="9" t="s">
        <v>329</v>
      </c>
      <c r="AS12" s="12">
        <v>0</v>
      </c>
      <c r="AT12" s="19">
        <v>38.528201000000003</v>
      </c>
      <c r="AU12" s="19">
        <v>-123.127062</v>
      </c>
      <c r="AV12" s="19" t="s">
        <v>315</v>
      </c>
    </row>
    <row r="13" spans="1:48" x14ac:dyDescent="0.25">
      <c r="A13" s="18" t="s">
        <v>330</v>
      </c>
      <c r="B13" s="10">
        <v>20190405</v>
      </c>
      <c r="C13" s="9">
        <v>4</v>
      </c>
      <c r="D13" s="8" t="str">
        <f t="shared" si="0"/>
        <v>Y</v>
      </c>
      <c r="E13" s="8" t="str">
        <f t="shared" si="1"/>
        <v>N</v>
      </c>
      <c r="F13" s="8" t="str">
        <f t="shared" si="2"/>
        <v>Y</v>
      </c>
      <c r="G13" s="8" t="str">
        <f t="shared" si="3"/>
        <v>Y</v>
      </c>
      <c r="H13" s="8" t="str">
        <f t="shared" si="4"/>
        <v>Upper</v>
      </c>
      <c r="I13" s="8" t="str">
        <f t="shared" si="5"/>
        <v>West Fork and Below Lake</v>
      </c>
      <c r="J13" s="8" t="str">
        <f t="shared" si="6"/>
        <v>Mendocino (d/s of lake)</v>
      </c>
      <c r="K13" s="8" t="str">
        <f t="shared" si="7"/>
        <v>Post-1949</v>
      </c>
      <c r="L13" s="8">
        <f t="shared" si="8"/>
        <v>2019</v>
      </c>
      <c r="M13" s="8" t="str">
        <f t="shared" si="10"/>
        <v>1991-present</v>
      </c>
      <c r="N13" s="10" t="s">
        <v>242</v>
      </c>
      <c r="O13" s="10" t="s">
        <v>241</v>
      </c>
      <c r="P13" s="10" t="s">
        <v>242</v>
      </c>
      <c r="Q13" s="10" t="s">
        <v>242</v>
      </c>
      <c r="R13" s="10" t="s">
        <v>241</v>
      </c>
      <c r="S13" s="10" t="s">
        <v>242</v>
      </c>
      <c r="T13" s="10" t="s">
        <v>241</v>
      </c>
      <c r="U13" s="10" t="s">
        <v>241</v>
      </c>
      <c r="V13" s="10" t="s">
        <v>241</v>
      </c>
      <c r="W13" s="10" t="s">
        <v>242</v>
      </c>
      <c r="X13" s="15">
        <f>IF(ISERROR(VLOOKUP($A13,'13. Updated Demand'!A:Z,15,FALSE)),0,VLOOKUP($A13,'13. Updated Demand'!A:Z,15,FALSE))</f>
        <v>0</v>
      </c>
      <c r="Y13" s="16">
        <f>IF(ISERROR(VLOOKUP($A13,'13. Updated Demand'!A:Z,16,FALSE)),0,VLOOKUP($A13,'13. Updated Demand'!A:Z,16,FALSE))</f>
        <v>0</v>
      </c>
      <c r="Z13" s="16">
        <f>IF(ISERROR(VLOOKUP($A13,'13. Updated Demand'!A:Z,17,FALSE)),0,VLOOKUP($A13,'13. Updated Demand'!A:Z,17,FALSE))</f>
        <v>0</v>
      </c>
      <c r="AA13" s="16">
        <f>IF(ISERROR(VLOOKUP($A13,'13. Updated Demand'!A:Z,18,FALSE)),0,VLOOKUP($A13,'13. Updated Demand'!A:Z,18,FALSE))</f>
        <v>0</v>
      </c>
      <c r="AB13" s="16">
        <f>IF(ISERROR(VLOOKUP($A13,'13. Updated Demand'!A:Z,19,FALSE)),0,VLOOKUP($A13,'13. Updated Demand'!A:Z,19,FALSE))</f>
        <v>0</v>
      </c>
      <c r="AC13" s="16">
        <f>IF(ISERROR(VLOOKUP($A13,'13. Updated Demand'!A:Z,20,FALSE)),0,VLOOKUP($A13,'13. Updated Demand'!A:Z,20,FALSE))</f>
        <v>0</v>
      </c>
      <c r="AD13" s="16">
        <f>IF(ISERROR(VLOOKUP($A13,'13. Updated Demand'!A:Z,21,FALSE)),0,VLOOKUP($A13,'13. Updated Demand'!A:Z,21,FALSE))</f>
        <v>0</v>
      </c>
      <c r="AE13" s="16">
        <f>IF(ISERROR(VLOOKUP($A13,'13. Updated Demand'!A:Z,22,FALSE)),0,VLOOKUP($A13,'13. Updated Demand'!A:Z,22,FALSE))</f>
        <v>0</v>
      </c>
      <c r="AF13" s="16">
        <f>IF(ISERROR(VLOOKUP($A13,'13. Updated Demand'!A:Z,23,FALSE)),0,VLOOKUP($A13,'13. Updated Demand'!A:Z,23,FALSE))</f>
        <v>0</v>
      </c>
      <c r="AG13" s="16">
        <f>IF(ISERROR(VLOOKUP($A13,'13. Updated Demand'!A:Z,24,FALSE)),0,VLOOKUP($A13,'13. Updated Demand'!A:Z,24,FALSE))</f>
        <v>0</v>
      </c>
      <c r="AH13" s="16">
        <f>IF(ISERROR(VLOOKUP($A13,'13. Updated Demand'!A:Z,25,FALSE)),0,VLOOKUP($A13,'13. Updated Demand'!A:Z,25,FALSE))</f>
        <v>0</v>
      </c>
      <c r="AI13" s="16">
        <f>IF(ISERROR(VLOOKUP($A13,'13. Updated Demand'!A:Z,26,FALSE)),0,VLOOKUP($A13,'13. Updated Demand'!A:Z,26,FALSE))</f>
        <v>0</v>
      </c>
      <c r="AJ13" s="16">
        <f t="shared" si="11"/>
        <v>0</v>
      </c>
      <c r="AK13" s="19">
        <v>0</v>
      </c>
      <c r="AL13" s="16">
        <f t="shared" si="9"/>
        <v>0</v>
      </c>
      <c r="AM13" s="17">
        <v>0</v>
      </c>
      <c r="AN13" s="19"/>
      <c r="AO13" s="19"/>
      <c r="AP13" s="19">
        <v>0.81</v>
      </c>
      <c r="AQ13" s="19" t="s">
        <v>307</v>
      </c>
      <c r="AR13" s="9" t="s">
        <v>331</v>
      </c>
      <c r="AS13" s="12">
        <v>0</v>
      </c>
      <c r="AT13" s="19">
        <v>39.174968</v>
      </c>
      <c r="AU13" s="19">
        <v>-123.27254000000001</v>
      </c>
      <c r="AV13" s="19" t="s">
        <v>320</v>
      </c>
    </row>
    <row r="14" spans="1:48" x14ac:dyDescent="0.25">
      <c r="A14" s="18" t="s">
        <v>332</v>
      </c>
      <c r="B14" s="10">
        <v>20190514</v>
      </c>
      <c r="C14" s="9">
        <v>5</v>
      </c>
      <c r="D14" s="8" t="str">
        <f t="shared" si="0"/>
        <v>Y</v>
      </c>
      <c r="E14" s="8" t="str">
        <f t="shared" si="1"/>
        <v>N</v>
      </c>
      <c r="F14" s="8" t="str">
        <f t="shared" si="2"/>
        <v>Y</v>
      </c>
      <c r="G14" s="8" t="str">
        <f t="shared" si="3"/>
        <v>Y</v>
      </c>
      <c r="H14" s="8" t="str">
        <f t="shared" si="4"/>
        <v>Upper</v>
      </c>
      <c r="I14" s="8" t="str">
        <f t="shared" si="5"/>
        <v>West Fork and Below Lake</v>
      </c>
      <c r="J14" s="8" t="str">
        <f t="shared" si="6"/>
        <v>Mendocino (d/s of lake)</v>
      </c>
      <c r="K14" s="8" t="str">
        <f t="shared" si="7"/>
        <v>Post-1949</v>
      </c>
      <c r="L14" s="8">
        <f t="shared" si="8"/>
        <v>2019</v>
      </c>
      <c r="M14" s="8" t="str">
        <f t="shared" si="10"/>
        <v>1991-present</v>
      </c>
      <c r="N14" s="10" t="s">
        <v>242</v>
      </c>
      <c r="O14" s="10" t="s">
        <v>241</v>
      </c>
      <c r="P14" s="10" t="s">
        <v>242</v>
      </c>
      <c r="Q14" s="10" t="s">
        <v>242</v>
      </c>
      <c r="R14" s="10" t="s">
        <v>241</v>
      </c>
      <c r="S14" s="10" t="s">
        <v>242</v>
      </c>
      <c r="T14" s="10" t="s">
        <v>241</v>
      </c>
      <c r="U14" s="10" t="s">
        <v>241</v>
      </c>
      <c r="V14" s="10" t="s">
        <v>241</v>
      </c>
      <c r="W14" s="10" t="s">
        <v>242</v>
      </c>
      <c r="X14" s="15">
        <f>IF(ISERROR(VLOOKUP($A14,'13. Updated Demand'!A:Z,15,FALSE)),0,VLOOKUP($A14,'13. Updated Demand'!A:Z,15,FALSE))</f>
        <v>0</v>
      </c>
      <c r="Y14" s="16">
        <f>IF(ISERROR(VLOOKUP($A14,'13. Updated Demand'!A:Z,16,FALSE)),0,VLOOKUP($A14,'13. Updated Demand'!A:Z,16,FALSE))</f>
        <v>0</v>
      </c>
      <c r="Z14" s="16">
        <f>IF(ISERROR(VLOOKUP($A14,'13. Updated Demand'!A:Z,17,FALSE)),0,VLOOKUP($A14,'13. Updated Demand'!A:Z,17,FALSE))</f>
        <v>0</v>
      </c>
      <c r="AA14" s="16">
        <f>IF(ISERROR(VLOOKUP($A14,'13. Updated Demand'!A:Z,18,FALSE)),0,VLOOKUP($A14,'13. Updated Demand'!A:Z,18,FALSE))</f>
        <v>0</v>
      </c>
      <c r="AB14" s="16">
        <f>IF(ISERROR(VLOOKUP($A14,'13. Updated Demand'!A:Z,19,FALSE)),0,VLOOKUP($A14,'13. Updated Demand'!A:Z,19,FALSE))</f>
        <v>0</v>
      </c>
      <c r="AC14" s="16">
        <f>IF(ISERROR(VLOOKUP($A14,'13. Updated Demand'!A:Z,20,FALSE)),0,VLOOKUP($A14,'13. Updated Demand'!A:Z,20,FALSE))</f>
        <v>0</v>
      </c>
      <c r="AD14" s="16">
        <f>IF(ISERROR(VLOOKUP($A14,'13. Updated Demand'!A:Z,21,FALSE)),0,VLOOKUP($A14,'13. Updated Demand'!A:Z,21,FALSE))</f>
        <v>0</v>
      </c>
      <c r="AE14" s="16">
        <f>IF(ISERROR(VLOOKUP($A14,'13. Updated Demand'!A:Z,22,FALSE)),0,VLOOKUP($A14,'13. Updated Demand'!A:Z,22,FALSE))</f>
        <v>0</v>
      </c>
      <c r="AF14" s="16">
        <f>IF(ISERROR(VLOOKUP($A14,'13. Updated Demand'!A:Z,23,FALSE)),0,VLOOKUP($A14,'13. Updated Demand'!A:Z,23,FALSE))</f>
        <v>0</v>
      </c>
      <c r="AG14" s="16">
        <f>IF(ISERROR(VLOOKUP($A14,'13. Updated Demand'!A:Z,24,FALSE)),0,VLOOKUP($A14,'13. Updated Demand'!A:Z,24,FALSE))</f>
        <v>0</v>
      </c>
      <c r="AH14" s="16">
        <f>IF(ISERROR(VLOOKUP($A14,'13. Updated Demand'!A:Z,25,FALSE)),0,VLOOKUP($A14,'13. Updated Demand'!A:Z,25,FALSE))</f>
        <v>0</v>
      </c>
      <c r="AI14" s="16">
        <f>IF(ISERROR(VLOOKUP($A14,'13. Updated Demand'!A:Z,26,FALSE)),0,VLOOKUP($A14,'13. Updated Demand'!A:Z,26,FALSE))</f>
        <v>0</v>
      </c>
      <c r="AJ14" s="16">
        <f t="shared" si="11"/>
        <v>0</v>
      </c>
      <c r="AK14" s="19">
        <v>0</v>
      </c>
      <c r="AL14" s="16">
        <f t="shared" si="9"/>
        <v>0</v>
      </c>
      <c r="AM14" s="17">
        <v>0</v>
      </c>
      <c r="AN14" s="19"/>
      <c r="AO14" s="19"/>
      <c r="AP14" s="19">
        <v>0.15</v>
      </c>
      <c r="AQ14" s="19" t="s">
        <v>307</v>
      </c>
      <c r="AR14" s="9" t="s">
        <v>333</v>
      </c>
      <c r="AS14" s="12">
        <v>0</v>
      </c>
      <c r="AT14" s="19">
        <v>39.125711000000003</v>
      </c>
      <c r="AU14" s="19">
        <v>-123.27431900000001</v>
      </c>
      <c r="AV14" s="19" t="s">
        <v>315</v>
      </c>
    </row>
    <row r="15" spans="1:48" x14ac:dyDescent="0.25">
      <c r="A15" s="18" t="s">
        <v>334</v>
      </c>
      <c r="B15" s="10">
        <v>20190412</v>
      </c>
      <c r="C15" s="9">
        <v>1</v>
      </c>
      <c r="D15" s="8" t="str">
        <f t="shared" si="0"/>
        <v>N</v>
      </c>
      <c r="E15" s="8" t="str">
        <f t="shared" si="1"/>
        <v>N</v>
      </c>
      <c r="F15" s="8" t="str">
        <f t="shared" si="2"/>
        <v>Y</v>
      </c>
      <c r="G15" s="8" t="str">
        <f t="shared" si="3"/>
        <v>Y</v>
      </c>
      <c r="H15" s="8" t="str">
        <f t="shared" si="4"/>
        <v>Upper</v>
      </c>
      <c r="I15" s="8" t="str">
        <f t="shared" si="5"/>
        <v>West Fork and Below Lake</v>
      </c>
      <c r="J15" s="8" t="str">
        <f t="shared" si="6"/>
        <v>Outside</v>
      </c>
      <c r="K15" s="8" t="str">
        <f t="shared" si="7"/>
        <v>Post-1949</v>
      </c>
      <c r="L15" s="8">
        <f t="shared" si="8"/>
        <v>2019</v>
      </c>
      <c r="M15" s="8" t="str">
        <f t="shared" si="10"/>
        <v>1991-present</v>
      </c>
      <c r="N15" s="10" t="s">
        <v>242</v>
      </c>
      <c r="O15" s="10" t="s">
        <v>241</v>
      </c>
      <c r="P15" s="10" t="s">
        <v>242</v>
      </c>
      <c r="Q15" s="10" t="s">
        <v>242</v>
      </c>
      <c r="R15" s="10" t="s">
        <v>241</v>
      </c>
      <c r="S15" s="10" t="s">
        <v>242</v>
      </c>
      <c r="T15" s="10" t="s">
        <v>242</v>
      </c>
      <c r="U15" s="10" t="s">
        <v>242</v>
      </c>
      <c r="V15" s="10" t="s">
        <v>241</v>
      </c>
      <c r="W15" s="10" t="s">
        <v>242</v>
      </c>
      <c r="X15" s="15">
        <f>IF(ISERROR(VLOOKUP($A15,'13. Updated Demand'!A:Z,15,FALSE)),0,VLOOKUP($A15,'13. Updated Demand'!A:Z,15,FALSE))</f>
        <v>0.04</v>
      </c>
      <c r="Y15" s="16">
        <f>IF(ISERROR(VLOOKUP($A15,'13. Updated Demand'!A:Z,16,FALSE)),0,VLOOKUP($A15,'13. Updated Demand'!A:Z,16,FALSE))</f>
        <v>0.04</v>
      </c>
      <c r="Z15" s="16">
        <f>IF(ISERROR(VLOOKUP($A15,'13. Updated Demand'!A:Z,17,FALSE)),0,VLOOKUP($A15,'13. Updated Demand'!A:Z,17,FALSE))</f>
        <v>0.03</v>
      </c>
      <c r="AA15" s="16">
        <f>IF(ISERROR(VLOOKUP($A15,'13. Updated Demand'!A:Z,18,FALSE)),0,VLOOKUP($A15,'13. Updated Demand'!A:Z,18,FALSE))</f>
        <v>0</v>
      </c>
      <c r="AB15" s="16">
        <f>IF(ISERROR(VLOOKUP($A15,'13. Updated Demand'!A:Z,19,FALSE)),0,VLOOKUP($A15,'13. Updated Demand'!A:Z,19,FALSE))</f>
        <v>0</v>
      </c>
      <c r="AC15" s="16">
        <f>IF(ISERROR(VLOOKUP($A15,'13. Updated Demand'!A:Z,20,FALSE)),0,VLOOKUP($A15,'13. Updated Demand'!A:Z,20,FALSE))</f>
        <v>0</v>
      </c>
      <c r="AD15" s="16">
        <f>IF(ISERROR(VLOOKUP($A15,'13. Updated Demand'!A:Z,21,FALSE)),0,VLOOKUP($A15,'13. Updated Demand'!A:Z,21,FALSE))</f>
        <v>0</v>
      </c>
      <c r="AE15" s="16">
        <f>IF(ISERROR(VLOOKUP($A15,'13. Updated Demand'!A:Z,22,FALSE)),0,VLOOKUP($A15,'13. Updated Demand'!A:Z,22,FALSE))</f>
        <v>0</v>
      </c>
      <c r="AF15" s="16">
        <f>IF(ISERROR(VLOOKUP($A15,'13. Updated Demand'!A:Z,23,FALSE)),0,VLOOKUP($A15,'13. Updated Demand'!A:Z,23,FALSE))</f>
        <v>0</v>
      </c>
      <c r="AG15" s="16">
        <f>IF(ISERROR(VLOOKUP($A15,'13. Updated Demand'!A:Z,24,FALSE)),0,VLOOKUP($A15,'13. Updated Demand'!A:Z,24,FALSE))</f>
        <v>0</v>
      </c>
      <c r="AH15" s="16">
        <f>IF(ISERROR(VLOOKUP($A15,'13. Updated Demand'!A:Z,25,FALSE)),0,VLOOKUP($A15,'13. Updated Demand'!A:Z,25,FALSE))</f>
        <v>0.04</v>
      </c>
      <c r="AI15" s="16">
        <f>IF(ISERROR(VLOOKUP($A15,'13. Updated Demand'!A:Z,26,FALSE)),0,VLOOKUP($A15,'13. Updated Demand'!A:Z,26,FALSE))</f>
        <v>0.04</v>
      </c>
      <c r="AJ15" s="16">
        <f t="shared" si="11"/>
        <v>0.19</v>
      </c>
      <c r="AK15" s="19">
        <v>0</v>
      </c>
      <c r="AL15" s="16">
        <f t="shared" si="9"/>
        <v>0</v>
      </c>
      <c r="AM15" s="17">
        <v>0.30688831168831171</v>
      </c>
      <c r="AN15" s="19"/>
      <c r="AO15" s="19"/>
      <c r="AP15" s="19">
        <v>0.77</v>
      </c>
      <c r="AQ15" s="19" t="s">
        <v>307</v>
      </c>
      <c r="AR15" s="9" t="s">
        <v>317</v>
      </c>
      <c r="AS15" s="12">
        <v>0</v>
      </c>
      <c r="AT15" s="19">
        <v>39.347493999999998</v>
      </c>
      <c r="AU15" s="19">
        <v>-123.379389</v>
      </c>
      <c r="AV15" s="19" t="s">
        <v>315</v>
      </c>
    </row>
    <row r="16" spans="1:48" x14ac:dyDescent="0.25">
      <c r="A16" s="18" t="s">
        <v>335</v>
      </c>
      <c r="B16" s="10">
        <v>20191018</v>
      </c>
      <c r="C16" s="9">
        <v>4</v>
      </c>
      <c r="D16" s="8" t="str">
        <f t="shared" si="0"/>
        <v>Y</v>
      </c>
      <c r="E16" s="8" t="str">
        <f t="shared" si="1"/>
        <v>N</v>
      </c>
      <c r="F16" s="8" t="str">
        <f t="shared" si="2"/>
        <v>Y</v>
      </c>
      <c r="G16" s="8" t="str">
        <f t="shared" si="3"/>
        <v>Y</v>
      </c>
      <c r="H16" s="8" t="str">
        <f t="shared" si="4"/>
        <v>Upper</v>
      </c>
      <c r="I16" s="8" t="str">
        <f t="shared" si="5"/>
        <v>West Fork and Below Lake</v>
      </c>
      <c r="J16" s="8" t="str">
        <f t="shared" si="6"/>
        <v>Mendocino (d/s of lake)</v>
      </c>
      <c r="K16" s="8" t="str">
        <f t="shared" si="7"/>
        <v>Post-1949</v>
      </c>
      <c r="L16" s="8">
        <f t="shared" si="8"/>
        <v>2019</v>
      </c>
      <c r="M16" s="8" t="str">
        <f t="shared" si="10"/>
        <v>1991-present</v>
      </c>
      <c r="N16" s="10" t="s">
        <v>241</v>
      </c>
      <c r="O16" s="10" t="s">
        <v>241</v>
      </c>
      <c r="P16" s="10" t="s">
        <v>242</v>
      </c>
      <c r="Q16" s="10" t="s">
        <v>242</v>
      </c>
      <c r="R16" s="10" t="s">
        <v>241</v>
      </c>
      <c r="S16" s="10" t="s">
        <v>242</v>
      </c>
      <c r="T16" s="10" t="s">
        <v>242</v>
      </c>
      <c r="U16" s="10" t="s">
        <v>241</v>
      </c>
      <c r="V16" s="10" t="s">
        <v>241</v>
      </c>
      <c r="W16" s="10" t="s">
        <v>242</v>
      </c>
      <c r="X16" s="15">
        <f>IF(ISERROR(VLOOKUP($A16,'13. Updated Demand'!A:Z,15,FALSE)),0,VLOOKUP($A16,'13. Updated Demand'!A:Z,15,FALSE))</f>
        <v>0</v>
      </c>
      <c r="Y16" s="16">
        <f>IF(ISERROR(VLOOKUP($A16,'13. Updated Demand'!A:Z,16,FALSE)),0,VLOOKUP($A16,'13. Updated Demand'!A:Z,16,FALSE))</f>
        <v>0</v>
      </c>
      <c r="Z16" s="16">
        <f>IF(ISERROR(VLOOKUP($A16,'13. Updated Demand'!A:Z,17,FALSE)),0,VLOOKUP($A16,'13. Updated Demand'!A:Z,17,FALSE))</f>
        <v>0</v>
      </c>
      <c r="AA16" s="16">
        <f>IF(ISERROR(VLOOKUP($A16,'13. Updated Demand'!A:Z,18,FALSE)),0,VLOOKUP($A16,'13. Updated Demand'!A:Z,18,FALSE))</f>
        <v>0</v>
      </c>
      <c r="AB16" s="16">
        <f>IF(ISERROR(VLOOKUP($A16,'13. Updated Demand'!A:Z,19,FALSE)),0,VLOOKUP($A16,'13. Updated Demand'!A:Z,19,FALSE))</f>
        <v>0</v>
      </c>
      <c r="AC16" s="16">
        <f>IF(ISERROR(VLOOKUP($A16,'13. Updated Demand'!A:Z,20,FALSE)),0,VLOOKUP($A16,'13. Updated Demand'!A:Z,20,FALSE))</f>
        <v>0</v>
      </c>
      <c r="AD16" s="16">
        <f>IF(ISERROR(VLOOKUP($A16,'13. Updated Demand'!A:Z,21,FALSE)),0,VLOOKUP($A16,'13. Updated Demand'!A:Z,21,FALSE))</f>
        <v>0</v>
      </c>
      <c r="AE16" s="16">
        <f>IF(ISERROR(VLOOKUP($A16,'13. Updated Demand'!A:Z,22,FALSE)),0,VLOOKUP($A16,'13. Updated Demand'!A:Z,22,FALSE))</f>
        <v>0</v>
      </c>
      <c r="AF16" s="16">
        <f>IF(ISERROR(VLOOKUP($A16,'13. Updated Demand'!A:Z,23,FALSE)),0,VLOOKUP($A16,'13. Updated Demand'!A:Z,23,FALSE))</f>
        <v>0</v>
      </c>
      <c r="AG16" s="16">
        <f>IF(ISERROR(VLOOKUP($A16,'13. Updated Demand'!A:Z,24,FALSE)),0,VLOOKUP($A16,'13. Updated Demand'!A:Z,24,FALSE))</f>
        <v>0</v>
      </c>
      <c r="AH16" s="16">
        <f>IF(ISERROR(VLOOKUP($A16,'13. Updated Demand'!A:Z,25,FALSE)),0,VLOOKUP($A16,'13. Updated Demand'!A:Z,25,FALSE))</f>
        <v>0</v>
      </c>
      <c r="AI16" s="16">
        <f>IF(ISERROR(VLOOKUP($A16,'13. Updated Demand'!A:Z,26,FALSE)),0,VLOOKUP($A16,'13. Updated Demand'!A:Z,26,FALSE))</f>
        <v>0</v>
      </c>
      <c r="AJ16" s="16">
        <f t="shared" ref="AJ16:AJ79" si="12">SUM(X16:AI16)</f>
        <v>0</v>
      </c>
      <c r="AK16" s="19">
        <v>0</v>
      </c>
      <c r="AL16" s="16">
        <f t="shared" si="9"/>
        <v>0</v>
      </c>
      <c r="AM16" s="17">
        <v>0</v>
      </c>
      <c r="AN16" s="19"/>
      <c r="AO16" s="19"/>
      <c r="AP16" s="19">
        <v>1.55</v>
      </c>
      <c r="AQ16" s="19" t="s">
        <v>307</v>
      </c>
      <c r="AR16" s="9" t="s">
        <v>331</v>
      </c>
      <c r="AS16" s="12">
        <v>0</v>
      </c>
      <c r="AT16" s="19">
        <v>39.189916459999999</v>
      </c>
      <c r="AU16" s="19">
        <v>-123.19674611000001</v>
      </c>
      <c r="AV16" s="19" t="s">
        <v>336</v>
      </c>
    </row>
    <row r="17" spans="1:48" x14ac:dyDescent="0.25">
      <c r="A17" s="18" t="s">
        <v>337</v>
      </c>
      <c r="B17" s="10">
        <v>20190606</v>
      </c>
      <c r="C17" s="9">
        <v>6</v>
      </c>
      <c r="D17" s="8" t="str">
        <f t="shared" si="0"/>
        <v>Y</v>
      </c>
      <c r="E17" s="8" t="str">
        <f t="shared" si="1"/>
        <v>N</v>
      </c>
      <c r="F17" s="8" t="str">
        <f t="shared" si="2"/>
        <v>Y</v>
      </c>
      <c r="G17" s="8" t="str">
        <f t="shared" si="3"/>
        <v>Y</v>
      </c>
      <c r="H17" s="8" t="str">
        <f t="shared" si="4"/>
        <v>Upper</v>
      </c>
      <c r="I17" s="8" t="str">
        <f t="shared" si="5"/>
        <v>West Fork and Below Lake</v>
      </c>
      <c r="J17" s="8" t="str">
        <f t="shared" si="6"/>
        <v>Mendocino (d/s of lake)</v>
      </c>
      <c r="K17" s="8" t="str">
        <f t="shared" si="7"/>
        <v>Post-1949</v>
      </c>
      <c r="L17" s="8">
        <f t="shared" si="8"/>
        <v>2019</v>
      </c>
      <c r="M17" s="8" t="str">
        <f t="shared" si="10"/>
        <v>1991-present</v>
      </c>
      <c r="N17" s="10" t="s">
        <v>242</v>
      </c>
      <c r="O17" s="10" t="s">
        <v>241</v>
      </c>
      <c r="P17" s="10" t="s">
        <v>242</v>
      </c>
      <c r="Q17" s="10" t="s">
        <v>242</v>
      </c>
      <c r="R17" s="10" t="s">
        <v>241</v>
      </c>
      <c r="S17" s="10" t="s">
        <v>242</v>
      </c>
      <c r="T17" s="10" t="s">
        <v>242</v>
      </c>
      <c r="U17" s="10" t="s">
        <v>242</v>
      </c>
      <c r="V17" s="10" t="s">
        <v>242</v>
      </c>
      <c r="W17" s="10" t="s">
        <v>242</v>
      </c>
      <c r="X17" s="15">
        <f>IF(ISERROR(VLOOKUP($A17,'13. Updated Demand'!A:Z,15,FALSE)),0,VLOOKUP($A17,'13. Updated Demand'!A:Z,15,FALSE))</f>
        <v>0.04</v>
      </c>
      <c r="Y17" s="16">
        <f>IF(ISERROR(VLOOKUP($A17,'13. Updated Demand'!A:Z,16,FALSE)),0,VLOOKUP($A17,'13. Updated Demand'!A:Z,16,FALSE))</f>
        <v>0.04</v>
      </c>
      <c r="Z17" s="16">
        <f>IF(ISERROR(VLOOKUP($A17,'13. Updated Demand'!A:Z,17,FALSE)),0,VLOOKUP($A17,'13. Updated Demand'!A:Z,17,FALSE))</f>
        <v>0.04</v>
      </c>
      <c r="AA17" s="16">
        <f>IF(ISERROR(VLOOKUP($A17,'13. Updated Demand'!A:Z,18,FALSE)),0,VLOOKUP($A17,'13. Updated Demand'!A:Z,18,FALSE))</f>
        <v>0.03</v>
      </c>
      <c r="AB17" s="16">
        <f>IF(ISERROR(VLOOKUP($A17,'13. Updated Demand'!A:Z,19,FALSE)),0,VLOOKUP($A17,'13. Updated Demand'!A:Z,19,FALSE))</f>
        <v>0.03</v>
      </c>
      <c r="AC17" s="16">
        <f>IF(ISERROR(VLOOKUP($A17,'13. Updated Demand'!A:Z,20,FALSE)),0,VLOOKUP($A17,'13. Updated Demand'!A:Z,20,FALSE))</f>
        <v>0.03</v>
      </c>
      <c r="AD17" s="16">
        <f>IF(ISERROR(VLOOKUP($A17,'13. Updated Demand'!A:Z,21,FALSE)),0,VLOOKUP($A17,'13. Updated Demand'!A:Z,21,FALSE))</f>
        <v>0</v>
      </c>
      <c r="AE17" s="16">
        <f>IF(ISERROR(VLOOKUP($A17,'13. Updated Demand'!A:Z,22,FALSE)),0,VLOOKUP($A17,'13. Updated Demand'!A:Z,22,FALSE))</f>
        <v>0</v>
      </c>
      <c r="AF17" s="16">
        <f>IF(ISERROR(VLOOKUP($A17,'13. Updated Demand'!A:Z,23,FALSE)),0,VLOOKUP($A17,'13. Updated Demand'!A:Z,23,FALSE))</f>
        <v>0</v>
      </c>
      <c r="AG17" s="16">
        <f>IF(ISERROR(VLOOKUP($A17,'13. Updated Demand'!A:Z,24,FALSE)),0,VLOOKUP($A17,'13. Updated Demand'!A:Z,24,FALSE))</f>
        <v>0</v>
      </c>
      <c r="AH17" s="16">
        <f>IF(ISERROR(VLOOKUP($A17,'13. Updated Demand'!A:Z,25,FALSE)),0,VLOOKUP($A17,'13. Updated Demand'!A:Z,25,FALSE))</f>
        <v>0</v>
      </c>
      <c r="AI17" s="16">
        <f>IF(ISERROR(VLOOKUP($A17,'13. Updated Demand'!A:Z,26,FALSE)),0,VLOOKUP($A17,'13. Updated Demand'!A:Z,26,FALSE))</f>
        <v>0</v>
      </c>
      <c r="AJ17" s="16">
        <f t="shared" si="12"/>
        <v>0.21</v>
      </c>
      <c r="AK17" s="19">
        <v>6.1378000000000002E-2</v>
      </c>
      <c r="AL17" s="16">
        <f t="shared" si="9"/>
        <v>2.0358383438877977E-4</v>
      </c>
      <c r="AM17" s="17">
        <v>0.95902499999999991</v>
      </c>
      <c r="AN17" s="19"/>
      <c r="AO17" s="19"/>
      <c r="AP17" s="19">
        <v>0.24</v>
      </c>
      <c r="AQ17" s="19" t="s">
        <v>307</v>
      </c>
      <c r="AR17" s="9" t="s">
        <v>319</v>
      </c>
      <c r="AS17" s="12">
        <v>0</v>
      </c>
      <c r="AT17" s="19">
        <v>38.97987303</v>
      </c>
      <c r="AU17" s="19">
        <v>-123.20351872000001</v>
      </c>
      <c r="AV17" s="19" t="s">
        <v>315</v>
      </c>
    </row>
    <row r="18" spans="1:48" x14ac:dyDescent="0.25">
      <c r="A18" s="18" t="s">
        <v>338</v>
      </c>
      <c r="B18" s="10">
        <v>20190614</v>
      </c>
      <c r="C18" s="9">
        <v>23</v>
      </c>
      <c r="D18" s="8" t="str">
        <f t="shared" si="0"/>
        <v>N</v>
      </c>
      <c r="E18" s="8" t="str">
        <f t="shared" si="1"/>
        <v>N</v>
      </c>
      <c r="F18" s="8" t="str">
        <f t="shared" si="2"/>
        <v>N</v>
      </c>
      <c r="G18" s="8" t="str">
        <f t="shared" si="3"/>
        <v>N</v>
      </c>
      <c r="H18" s="8" t="str">
        <f t="shared" si="4"/>
        <v>Lower</v>
      </c>
      <c r="I18" s="8" t="str">
        <f t="shared" si="5"/>
        <v>Outside</v>
      </c>
      <c r="J18" s="8" t="str">
        <f t="shared" si="6"/>
        <v>Outside</v>
      </c>
      <c r="K18" s="8" t="str">
        <f t="shared" si="7"/>
        <v>Post-1949</v>
      </c>
      <c r="L18" s="8">
        <f t="shared" si="8"/>
        <v>2019</v>
      </c>
      <c r="M18" s="8" t="str">
        <f t="shared" si="10"/>
        <v>1991-present</v>
      </c>
      <c r="N18" s="10" t="s">
        <v>242</v>
      </c>
      <c r="O18" s="10" t="s">
        <v>242</v>
      </c>
      <c r="P18" s="10" t="s">
        <v>242</v>
      </c>
      <c r="Q18" s="10" t="s">
        <v>242</v>
      </c>
      <c r="R18" s="10" t="s">
        <v>241</v>
      </c>
      <c r="S18" s="10" t="s">
        <v>242</v>
      </c>
      <c r="T18" s="10" t="s">
        <v>242</v>
      </c>
      <c r="U18" s="10" t="s">
        <v>241</v>
      </c>
      <c r="V18" s="10" t="s">
        <v>241</v>
      </c>
      <c r="W18" s="10" t="s">
        <v>242</v>
      </c>
      <c r="X18" s="15">
        <f>IF(ISERROR(VLOOKUP($A18,'13. Updated Demand'!A:Z,15,FALSE)),0,VLOOKUP($A18,'13. Updated Demand'!A:Z,15,FALSE))</f>
        <v>0</v>
      </c>
      <c r="Y18" s="16">
        <f>IF(ISERROR(VLOOKUP($A18,'13. Updated Demand'!A:Z,16,FALSE)),0,VLOOKUP($A18,'13. Updated Demand'!A:Z,16,FALSE))</f>
        <v>0</v>
      </c>
      <c r="Z18" s="16">
        <f>IF(ISERROR(VLOOKUP($A18,'13. Updated Demand'!A:Z,17,FALSE)),0,VLOOKUP($A18,'13. Updated Demand'!A:Z,17,FALSE))</f>
        <v>0</v>
      </c>
      <c r="AA18" s="16">
        <f>IF(ISERROR(VLOOKUP($A18,'13. Updated Demand'!A:Z,18,FALSE)),0,VLOOKUP($A18,'13. Updated Demand'!A:Z,18,FALSE))</f>
        <v>0</v>
      </c>
      <c r="AB18" s="16">
        <f>IF(ISERROR(VLOOKUP($A18,'13. Updated Demand'!A:Z,19,FALSE)),0,VLOOKUP($A18,'13. Updated Demand'!A:Z,19,FALSE))</f>
        <v>0</v>
      </c>
      <c r="AC18" s="16">
        <f>IF(ISERROR(VLOOKUP($A18,'13. Updated Demand'!A:Z,20,FALSE)),0,VLOOKUP($A18,'13. Updated Demand'!A:Z,20,FALSE))</f>
        <v>0</v>
      </c>
      <c r="AD18" s="16">
        <f>IF(ISERROR(VLOOKUP($A18,'13. Updated Demand'!A:Z,21,FALSE)),0,VLOOKUP($A18,'13. Updated Demand'!A:Z,21,FALSE))</f>
        <v>0</v>
      </c>
      <c r="AE18" s="16">
        <f>IF(ISERROR(VLOOKUP($A18,'13. Updated Demand'!A:Z,22,FALSE)),0,VLOOKUP($A18,'13. Updated Demand'!A:Z,22,FALSE))</f>
        <v>0</v>
      </c>
      <c r="AF18" s="16">
        <f>IF(ISERROR(VLOOKUP($A18,'13. Updated Demand'!A:Z,23,FALSE)),0,VLOOKUP($A18,'13. Updated Demand'!A:Z,23,FALSE))</f>
        <v>0</v>
      </c>
      <c r="AG18" s="16">
        <f>IF(ISERROR(VLOOKUP($A18,'13. Updated Demand'!A:Z,24,FALSE)),0,VLOOKUP($A18,'13. Updated Demand'!A:Z,24,FALSE))</f>
        <v>0</v>
      </c>
      <c r="AH18" s="16">
        <f>IF(ISERROR(VLOOKUP($A18,'13. Updated Demand'!A:Z,25,FALSE)),0,VLOOKUP($A18,'13. Updated Demand'!A:Z,25,FALSE))</f>
        <v>0</v>
      </c>
      <c r="AI18" s="16">
        <f>IF(ISERROR(VLOOKUP($A18,'13. Updated Demand'!A:Z,26,FALSE)),0,VLOOKUP($A18,'13. Updated Demand'!A:Z,26,FALSE))</f>
        <v>0</v>
      </c>
      <c r="AJ18" s="16">
        <f t="shared" si="12"/>
        <v>0</v>
      </c>
      <c r="AK18" s="19">
        <v>0</v>
      </c>
      <c r="AL18" s="16">
        <f t="shared" si="9"/>
        <v>0</v>
      </c>
      <c r="AM18" s="17">
        <v>0</v>
      </c>
      <c r="AN18" s="19"/>
      <c r="AO18" s="19"/>
      <c r="AP18" s="19">
        <v>2.92</v>
      </c>
      <c r="AQ18" s="19" t="s">
        <v>307</v>
      </c>
      <c r="AR18" s="9" t="s">
        <v>323</v>
      </c>
      <c r="AS18" s="12">
        <v>0</v>
      </c>
      <c r="AT18" s="19">
        <v>38.561892919999998</v>
      </c>
      <c r="AU18" s="19">
        <v>-122.73984754999999</v>
      </c>
      <c r="AV18" s="19" t="s">
        <v>320</v>
      </c>
    </row>
    <row r="19" spans="1:48" x14ac:dyDescent="0.25">
      <c r="A19" s="18" t="s">
        <v>339</v>
      </c>
      <c r="B19" s="10">
        <v>20190708</v>
      </c>
      <c r="C19" s="9">
        <v>6</v>
      </c>
      <c r="D19" s="8" t="str">
        <f t="shared" si="0"/>
        <v>Y</v>
      </c>
      <c r="E19" s="8" t="str">
        <f t="shared" si="1"/>
        <v>N</v>
      </c>
      <c r="F19" s="8" t="str">
        <f t="shared" si="2"/>
        <v>Y</v>
      </c>
      <c r="G19" s="8" t="str">
        <f t="shared" si="3"/>
        <v>Y</v>
      </c>
      <c r="H19" s="8" t="str">
        <f t="shared" si="4"/>
        <v>Upper</v>
      </c>
      <c r="I19" s="8" t="str">
        <f t="shared" si="5"/>
        <v>West Fork and Below Lake</v>
      </c>
      <c r="J19" s="8" t="str">
        <f t="shared" si="6"/>
        <v>Mendocino (d/s of lake)</v>
      </c>
      <c r="K19" s="8" t="str">
        <f t="shared" si="7"/>
        <v>Post-1949</v>
      </c>
      <c r="L19" s="8">
        <f t="shared" si="8"/>
        <v>2019</v>
      </c>
      <c r="M19" s="8" t="str">
        <f t="shared" si="10"/>
        <v>1991-present</v>
      </c>
      <c r="N19" s="10" t="s">
        <v>242</v>
      </c>
      <c r="O19" s="10" t="s">
        <v>241</v>
      </c>
      <c r="P19" s="10" t="s">
        <v>242</v>
      </c>
      <c r="Q19" s="10" t="s">
        <v>242</v>
      </c>
      <c r="R19" s="10" t="s">
        <v>241</v>
      </c>
      <c r="S19" s="10" t="s">
        <v>242</v>
      </c>
      <c r="T19" s="10" t="s">
        <v>242</v>
      </c>
      <c r="U19" s="10" t="s">
        <v>242</v>
      </c>
      <c r="V19" s="10" t="s">
        <v>242</v>
      </c>
      <c r="W19" s="10" t="s">
        <v>242</v>
      </c>
      <c r="X19" s="15">
        <f>IF(ISERROR(VLOOKUP($A19,'13. Updated Demand'!A:Z,15,FALSE)),0,VLOOKUP($A19,'13. Updated Demand'!A:Z,15,FALSE))</f>
        <v>0.65</v>
      </c>
      <c r="Y19" s="16">
        <f>IF(ISERROR(VLOOKUP($A19,'13. Updated Demand'!A:Z,16,FALSE)),0,VLOOKUP($A19,'13. Updated Demand'!A:Z,16,FALSE))</f>
        <v>1.28</v>
      </c>
      <c r="Z19" s="16">
        <f>IF(ISERROR(VLOOKUP($A19,'13. Updated Demand'!A:Z,17,FALSE)),0,VLOOKUP($A19,'13. Updated Demand'!A:Z,17,FALSE))</f>
        <v>0.43</v>
      </c>
      <c r="AA19" s="16">
        <f>IF(ISERROR(VLOOKUP($A19,'13. Updated Demand'!A:Z,18,FALSE)),0,VLOOKUP($A19,'13. Updated Demand'!A:Z,18,FALSE))</f>
        <v>0.04</v>
      </c>
      <c r="AB19" s="16">
        <f>IF(ISERROR(VLOOKUP($A19,'13. Updated Demand'!A:Z,19,FALSE)),0,VLOOKUP($A19,'13. Updated Demand'!A:Z,19,FALSE))</f>
        <v>0.3</v>
      </c>
      <c r="AC19" s="16">
        <f>IF(ISERROR(VLOOKUP($A19,'13. Updated Demand'!A:Z,20,FALSE)),0,VLOOKUP($A19,'13. Updated Demand'!A:Z,20,FALSE))</f>
        <v>0.02</v>
      </c>
      <c r="AD19" s="16">
        <f>IF(ISERROR(VLOOKUP($A19,'13. Updated Demand'!A:Z,21,FALSE)),0,VLOOKUP($A19,'13. Updated Demand'!A:Z,21,FALSE))</f>
        <v>0</v>
      </c>
      <c r="AE19" s="16">
        <f>IF(ISERROR(VLOOKUP($A19,'13. Updated Demand'!A:Z,22,FALSE)),0,VLOOKUP($A19,'13. Updated Demand'!A:Z,22,FALSE))</f>
        <v>0</v>
      </c>
      <c r="AF19" s="16">
        <f>IF(ISERROR(VLOOKUP($A19,'13. Updated Demand'!A:Z,23,FALSE)),0,VLOOKUP($A19,'13. Updated Demand'!A:Z,23,FALSE))</f>
        <v>0</v>
      </c>
      <c r="AG19" s="16">
        <f>IF(ISERROR(VLOOKUP($A19,'13. Updated Demand'!A:Z,24,FALSE)),0,VLOOKUP($A19,'13. Updated Demand'!A:Z,24,FALSE))</f>
        <v>0.08</v>
      </c>
      <c r="AH19" s="16">
        <f>IF(ISERROR(VLOOKUP($A19,'13. Updated Demand'!A:Z,25,FALSE)),0,VLOOKUP($A19,'13. Updated Demand'!A:Z,25,FALSE))</f>
        <v>0.28999999999999998</v>
      </c>
      <c r="AI19" s="16">
        <f>IF(ISERROR(VLOOKUP($A19,'13. Updated Demand'!A:Z,26,FALSE)),0,VLOOKUP($A19,'13. Updated Demand'!A:Z,26,FALSE))</f>
        <v>0.67</v>
      </c>
      <c r="AJ19" s="16">
        <f t="shared" si="12"/>
        <v>3.7600000000000002</v>
      </c>
      <c r="AK19" s="19">
        <v>0.32300000000000001</v>
      </c>
      <c r="AL19" s="16">
        <f t="shared" si="9"/>
        <v>1.0713542068424495E-3</v>
      </c>
      <c r="AM19" s="17">
        <v>0.97680412371134029</v>
      </c>
      <c r="AN19" s="19"/>
      <c r="AO19" s="19"/>
      <c r="AP19" s="19">
        <v>3.88</v>
      </c>
      <c r="AQ19" s="19" t="s">
        <v>307</v>
      </c>
      <c r="AR19" s="9" t="s">
        <v>319</v>
      </c>
      <c r="AS19" s="12">
        <v>0</v>
      </c>
      <c r="AT19" s="19">
        <v>39.003914999999999</v>
      </c>
      <c r="AU19" s="19">
        <v>-123.17153999999999</v>
      </c>
      <c r="AV19" s="19" t="s">
        <v>320</v>
      </c>
    </row>
    <row r="20" spans="1:48" x14ac:dyDescent="0.25">
      <c r="A20" s="18" t="s">
        <v>340</v>
      </c>
      <c r="B20" s="10">
        <v>20190717</v>
      </c>
      <c r="C20" s="9">
        <v>6</v>
      </c>
      <c r="D20" s="8" t="str">
        <f t="shared" si="0"/>
        <v>Y</v>
      </c>
      <c r="E20" s="8" t="str">
        <f t="shared" si="1"/>
        <v>N</v>
      </c>
      <c r="F20" s="8" t="str">
        <f t="shared" si="2"/>
        <v>Y</v>
      </c>
      <c r="G20" s="8" t="str">
        <f t="shared" si="3"/>
        <v>Y</v>
      </c>
      <c r="H20" s="8" t="str">
        <f t="shared" si="4"/>
        <v>Upper</v>
      </c>
      <c r="I20" s="8" t="str">
        <f t="shared" si="5"/>
        <v>West Fork and Below Lake</v>
      </c>
      <c r="J20" s="8" t="str">
        <f t="shared" si="6"/>
        <v>Mendocino (d/s of lake)</v>
      </c>
      <c r="K20" s="8" t="str">
        <f t="shared" si="7"/>
        <v>Post-1949</v>
      </c>
      <c r="L20" s="8">
        <f t="shared" si="8"/>
        <v>2019</v>
      </c>
      <c r="M20" s="8" t="str">
        <f t="shared" si="10"/>
        <v>1991-present</v>
      </c>
      <c r="N20" s="10" t="s">
        <v>242</v>
      </c>
      <c r="O20" s="10" t="s">
        <v>241</v>
      </c>
      <c r="P20" s="10" t="s">
        <v>242</v>
      </c>
      <c r="Q20" s="10" t="s">
        <v>242</v>
      </c>
      <c r="R20" s="10" t="s">
        <v>241</v>
      </c>
      <c r="S20" s="10" t="s">
        <v>242</v>
      </c>
      <c r="T20" s="10" t="s">
        <v>242</v>
      </c>
      <c r="U20" s="10" t="s">
        <v>241</v>
      </c>
      <c r="V20" s="10" t="s">
        <v>241</v>
      </c>
      <c r="W20" s="10" t="s">
        <v>242</v>
      </c>
      <c r="X20" s="15">
        <f>IF(ISERROR(VLOOKUP($A20,'13. Updated Demand'!A:Z,15,FALSE)),0,VLOOKUP($A20,'13. Updated Demand'!A:Z,15,FALSE))</f>
        <v>0</v>
      </c>
      <c r="Y20" s="16">
        <f>IF(ISERROR(VLOOKUP($A20,'13. Updated Demand'!A:Z,16,FALSE)),0,VLOOKUP($A20,'13. Updated Demand'!A:Z,16,FALSE))</f>
        <v>0</v>
      </c>
      <c r="Z20" s="16">
        <f>IF(ISERROR(VLOOKUP($A20,'13. Updated Demand'!A:Z,17,FALSE)),0,VLOOKUP($A20,'13. Updated Demand'!A:Z,17,FALSE))</f>
        <v>0</v>
      </c>
      <c r="AA20" s="16">
        <f>IF(ISERROR(VLOOKUP($A20,'13. Updated Demand'!A:Z,18,FALSE)),0,VLOOKUP($A20,'13. Updated Demand'!A:Z,18,FALSE))</f>
        <v>0</v>
      </c>
      <c r="AB20" s="16">
        <f>IF(ISERROR(VLOOKUP($A20,'13. Updated Demand'!A:Z,19,FALSE)),0,VLOOKUP($A20,'13. Updated Demand'!A:Z,19,FALSE))</f>
        <v>0</v>
      </c>
      <c r="AC20" s="16">
        <f>IF(ISERROR(VLOOKUP($A20,'13. Updated Demand'!A:Z,20,FALSE)),0,VLOOKUP($A20,'13. Updated Demand'!A:Z,20,FALSE))</f>
        <v>0</v>
      </c>
      <c r="AD20" s="16">
        <f>IF(ISERROR(VLOOKUP($A20,'13. Updated Demand'!A:Z,21,FALSE)),0,VLOOKUP($A20,'13. Updated Demand'!A:Z,21,FALSE))</f>
        <v>0</v>
      </c>
      <c r="AE20" s="16">
        <f>IF(ISERROR(VLOOKUP($A20,'13. Updated Demand'!A:Z,22,FALSE)),0,VLOOKUP($A20,'13. Updated Demand'!A:Z,22,FALSE))</f>
        <v>0</v>
      </c>
      <c r="AF20" s="16">
        <f>IF(ISERROR(VLOOKUP($A20,'13. Updated Demand'!A:Z,23,FALSE)),0,VLOOKUP($A20,'13. Updated Demand'!A:Z,23,FALSE))</f>
        <v>0</v>
      </c>
      <c r="AG20" s="16">
        <f>IF(ISERROR(VLOOKUP($A20,'13. Updated Demand'!A:Z,24,FALSE)),0,VLOOKUP($A20,'13. Updated Demand'!A:Z,24,FALSE))</f>
        <v>0</v>
      </c>
      <c r="AH20" s="16">
        <f>IF(ISERROR(VLOOKUP($A20,'13. Updated Demand'!A:Z,25,FALSE)),0,VLOOKUP($A20,'13. Updated Demand'!A:Z,25,FALSE))</f>
        <v>0</v>
      </c>
      <c r="AI20" s="16">
        <f>IF(ISERROR(VLOOKUP($A20,'13. Updated Demand'!A:Z,26,FALSE)),0,VLOOKUP($A20,'13. Updated Demand'!A:Z,26,FALSE))</f>
        <v>0</v>
      </c>
      <c r="AJ20" s="16">
        <f t="shared" si="12"/>
        <v>0</v>
      </c>
      <c r="AK20" s="19">
        <v>0</v>
      </c>
      <c r="AL20" s="16">
        <f t="shared" si="9"/>
        <v>0</v>
      </c>
      <c r="AM20" s="17">
        <v>0</v>
      </c>
      <c r="AN20" s="19"/>
      <c r="AO20" s="19"/>
      <c r="AP20" s="19">
        <v>3.2</v>
      </c>
      <c r="AQ20" s="19" t="s">
        <v>307</v>
      </c>
      <c r="AR20" s="9" t="s">
        <v>319</v>
      </c>
      <c r="AS20" s="12">
        <v>0</v>
      </c>
      <c r="AT20" s="19">
        <v>38.996706000000003</v>
      </c>
      <c r="AU20" s="19">
        <v>-123.155591</v>
      </c>
      <c r="AV20" s="19" t="s">
        <v>320</v>
      </c>
    </row>
    <row r="21" spans="1:48" x14ac:dyDescent="0.25">
      <c r="A21" s="18" t="s">
        <v>341</v>
      </c>
      <c r="B21" s="10">
        <v>20190909</v>
      </c>
      <c r="C21" s="9">
        <v>1</v>
      </c>
      <c r="D21" s="8" t="str">
        <f t="shared" si="0"/>
        <v>N</v>
      </c>
      <c r="E21" s="8" t="str">
        <f t="shared" si="1"/>
        <v>N</v>
      </c>
      <c r="F21" s="8" t="str">
        <f t="shared" si="2"/>
        <v>Y</v>
      </c>
      <c r="G21" s="8" t="str">
        <f t="shared" si="3"/>
        <v>Y</v>
      </c>
      <c r="H21" s="8" t="str">
        <f t="shared" si="4"/>
        <v>Upper</v>
      </c>
      <c r="I21" s="8" t="str">
        <f t="shared" si="5"/>
        <v>West Fork and Below Lake</v>
      </c>
      <c r="J21" s="8" t="str">
        <f t="shared" si="6"/>
        <v>Outside</v>
      </c>
      <c r="K21" s="8" t="str">
        <f t="shared" si="7"/>
        <v>Post-1949</v>
      </c>
      <c r="L21" s="8">
        <f t="shared" si="8"/>
        <v>2019</v>
      </c>
      <c r="M21" s="8" t="str">
        <f t="shared" si="10"/>
        <v>1991-present</v>
      </c>
      <c r="N21" s="10" t="s">
        <v>242</v>
      </c>
      <c r="O21" s="10" t="s">
        <v>241</v>
      </c>
      <c r="P21" s="10" t="s">
        <v>242</v>
      </c>
      <c r="Q21" s="10" t="s">
        <v>242</v>
      </c>
      <c r="R21" s="10" t="s">
        <v>241</v>
      </c>
      <c r="S21" s="10" t="s">
        <v>242</v>
      </c>
      <c r="T21" s="10" t="s">
        <v>241</v>
      </c>
      <c r="U21" s="10" t="s">
        <v>241</v>
      </c>
      <c r="V21" s="10" t="s">
        <v>241</v>
      </c>
      <c r="W21" s="10" t="s">
        <v>242</v>
      </c>
      <c r="X21" s="15">
        <f>IF(ISERROR(VLOOKUP($A21,'13. Updated Demand'!A:Z,15,FALSE)),0,VLOOKUP($A21,'13. Updated Demand'!A:Z,15,FALSE))</f>
        <v>0</v>
      </c>
      <c r="Y21" s="16">
        <f>IF(ISERROR(VLOOKUP($A21,'13. Updated Demand'!A:Z,16,FALSE)),0,VLOOKUP($A21,'13. Updated Demand'!A:Z,16,FALSE))</f>
        <v>0</v>
      </c>
      <c r="Z21" s="16">
        <f>IF(ISERROR(VLOOKUP($A21,'13. Updated Demand'!A:Z,17,FALSE)),0,VLOOKUP($A21,'13. Updated Demand'!A:Z,17,FALSE))</f>
        <v>0</v>
      </c>
      <c r="AA21" s="16">
        <f>IF(ISERROR(VLOOKUP($A21,'13. Updated Demand'!A:Z,18,FALSE)),0,VLOOKUP($A21,'13. Updated Demand'!A:Z,18,FALSE))</f>
        <v>0</v>
      </c>
      <c r="AB21" s="16">
        <f>IF(ISERROR(VLOOKUP($A21,'13. Updated Demand'!A:Z,19,FALSE)),0,VLOOKUP($A21,'13. Updated Demand'!A:Z,19,FALSE))</f>
        <v>0</v>
      </c>
      <c r="AC21" s="16">
        <f>IF(ISERROR(VLOOKUP($A21,'13. Updated Demand'!A:Z,20,FALSE)),0,VLOOKUP($A21,'13. Updated Demand'!A:Z,20,FALSE))</f>
        <v>0</v>
      </c>
      <c r="AD21" s="16">
        <f>IF(ISERROR(VLOOKUP($A21,'13. Updated Demand'!A:Z,21,FALSE)),0,VLOOKUP($A21,'13. Updated Demand'!A:Z,21,FALSE))</f>
        <v>0</v>
      </c>
      <c r="AE21" s="16">
        <f>IF(ISERROR(VLOOKUP($A21,'13. Updated Demand'!A:Z,22,FALSE)),0,VLOOKUP($A21,'13. Updated Demand'!A:Z,22,FALSE))</f>
        <v>0</v>
      </c>
      <c r="AF21" s="16">
        <f>IF(ISERROR(VLOOKUP($A21,'13. Updated Demand'!A:Z,23,FALSE)),0,VLOOKUP($A21,'13. Updated Demand'!A:Z,23,FALSE))</f>
        <v>0</v>
      </c>
      <c r="AG21" s="16">
        <f>IF(ISERROR(VLOOKUP($A21,'13. Updated Demand'!A:Z,24,FALSE)),0,VLOOKUP($A21,'13. Updated Demand'!A:Z,24,FALSE))</f>
        <v>0</v>
      </c>
      <c r="AH21" s="16">
        <f>IF(ISERROR(VLOOKUP($A21,'13. Updated Demand'!A:Z,25,FALSE)),0,VLOOKUP($A21,'13. Updated Demand'!A:Z,25,FALSE))</f>
        <v>0</v>
      </c>
      <c r="AI21" s="16">
        <f>IF(ISERROR(VLOOKUP($A21,'13. Updated Demand'!A:Z,26,FALSE)),0,VLOOKUP($A21,'13. Updated Demand'!A:Z,26,FALSE))</f>
        <v>0</v>
      </c>
      <c r="AJ21" s="16">
        <f t="shared" si="12"/>
        <v>0</v>
      </c>
      <c r="AK21" s="19">
        <v>0</v>
      </c>
      <c r="AL21" s="16">
        <f t="shared" si="9"/>
        <v>0</v>
      </c>
      <c r="AM21" s="17">
        <v>0</v>
      </c>
      <c r="AN21" s="19"/>
      <c r="AO21" s="19"/>
      <c r="AP21" s="19">
        <v>0.32</v>
      </c>
      <c r="AQ21" s="19" t="s">
        <v>307</v>
      </c>
      <c r="AR21" s="9" t="s">
        <v>317</v>
      </c>
      <c r="AS21" s="12">
        <v>0</v>
      </c>
      <c r="AT21" s="19">
        <v>39.257707000000003</v>
      </c>
      <c r="AU21" s="19">
        <v>-123.303014</v>
      </c>
      <c r="AV21" s="19" t="s">
        <v>320</v>
      </c>
    </row>
    <row r="22" spans="1:48" x14ac:dyDescent="0.25">
      <c r="A22" s="18" t="s">
        <v>342</v>
      </c>
      <c r="B22" s="10">
        <v>20190725</v>
      </c>
      <c r="C22" s="9">
        <v>6</v>
      </c>
      <c r="D22" s="8" t="str">
        <f t="shared" si="0"/>
        <v>Y</v>
      </c>
      <c r="E22" s="8" t="str">
        <f t="shared" si="1"/>
        <v>N</v>
      </c>
      <c r="F22" s="8" t="str">
        <f t="shared" si="2"/>
        <v>Y</v>
      </c>
      <c r="G22" s="8" t="str">
        <f t="shared" si="3"/>
        <v>Y</v>
      </c>
      <c r="H22" s="8" t="str">
        <f t="shared" si="4"/>
        <v>Upper</v>
      </c>
      <c r="I22" s="8" t="str">
        <f t="shared" si="5"/>
        <v>West Fork and Below Lake</v>
      </c>
      <c r="J22" s="8" t="str">
        <f t="shared" si="6"/>
        <v>Mendocino (d/s of lake)</v>
      </c>
      <c r="K22" s="8" t="str">
        <f t="shared" si="7"/>
        <v>Post-1949</v>
      </c>
      <c r="L22" s="8">
        <f t="shared" si="8"/>
        <v>2019</v>
      </c>
      <c r="M22" s="8" t="str">
        <f t="shared" si="10"/>
        <v>1991-present</v>
      </c>
      <c r="N22" s="10" t="s">
        <v>242</v>
      </c>
      <c r="O22" s="10" t="s">
        <v>241</v>
      </c>
      <c r="P22" s="10" t="s">
        <v>242</v>
      </c>
      <c r="Q22" s="10" t="s">
        <v>242</v>
      </c>
      <c r="R22" s="10" t="s">
        <v>241</v>
      </c>
      <c r="S22" s="10" t="s">
        <v>242</v>
      </c>
      <c r="T22" s="10" t="s">
        <v>241</v>
      </c>
      <c r="U22" s="10" t="s">
        <v>241</v>
      </c>
      <c r="V22" s="10" t="s">
        <v>241</v>
      </c>
      <c r="W22" s="10" t="s">
        <v>242</v>
      </c>
      <c r="X22" s="15">
        <f>IF(ISERROR(VLOOKUP($A22,'13. Updated Demand'!A:Z,15,FALSE)),0,VLOOKUP($A22,'13. Updated Demand'!A:Z,15,FALSE))</f>
        <v>0</v>
      </c>
      <c r="Y22" s="16">
        <f>IF(ISERROR(VLOOKUP($A22,'13. Updated Demand'!A:Z,16,FALSE)),0,VLOOKUP($A22,'13. Updated Demand'!A:Z,16,FALSE))</f>
        <v>0</v>
      </c>
      <c r="Z22" s="16">
        <f>IF(ISERROR(VLOOKUP($A22,'13. Updated Demand'!A:Z,17,FALSE)),0,VLOOKUP($A22,'13. Updated Demand'!A:Z,17,FALSE))</f>
        <v>0</v>
      </c>
      <c r="AA22" s="16">
        <f>IF(ISERROR(VLOOKUP($A22,'13. Updated Demand'!A:Z,18,FALSE)),0,VLOOKUP($A22,'13. Updated Demand'!A:Z,18,FALSE))</f>
        <v>0</v>
      </c>
      <c r="AB22" s="16">
        <f>IF(ISERROR(VLOOKUP($A22,'13. Updated Demand'!A:Z,19,FALSE)),0,VLOOKUP($A22,'13. Updated Demand'!A:Z,19,FALSE))</f>
        <v>0</v>
      </c>
      <c r="AC22" s="16">
        <f>IF(ISERROR(VLOOKUP($A22,'13. Updated Demand'!A:Z,20,FALSE)),0,VLOOKUP($A22,'13. Updated Demand'!A:Z,20,FALSE))</f>
        <v>0</v>
      </c>
      <c r="AD22" s="16">
        <f>IF(ISERROR(VLOOKUP($A22,'13. Updated Demand'!A:Z,21,FALSE)),0,VLOOKUP($A22,'13. Updated Demand'!A:Z,21,FALSE))</f>
        <v>0</v>
      </c>
      <c r="AE22" s="16">
        <f>IF(ISERROR(VLOOKUP($A22,'13. Updated Demand'!A:Z,22,FALSE)),0,VLOOKUP($A22,'13. Updated Demand'!A:Z,22,FALSE))</f>
        <v>0</v>
      </c>
      <c r="AF22" s="16">
        <f>IF(ISERROR(VLOOKUP($A22,'13. Updated Demand'!A:Z,23,FALSE)),0,VLOOKUP($A22,'13. Updated Demand'!A:Z,23,FALSE))</f>
        <v>0</v>
      </c>
      <c r="AG22" s="16">
        <f>IF(ISERROR(VLOOKUP($A22,'13. Updated Demand'!A:Z,24,FALSE)),0,VLOOKUP($A22,'13. Updated Demand'!A:Z,24,FALSE))</f>
        <v>0</v>
      </c>
      <c r="AH22" s="16">
        <f>IF(ISERROR(VLOOKUP($A22,'13. Updated Demand'!A:Z,25,FALSE)),0,VLOOKUP($A22,'13. Updated Demand'!A:Z,25,FALSE))</f>
        <v>0</v>
      </c>
      <c r="AI22" s="16">
        <f>IF(ISERROR(VLOOKUP($A22,'13. Updated Demand'!A:Z,26,FALSE)),0,VLOOKUP($A22,'13. Updated Demand'!A:Z,26,FALSE))</f>
        <v>0</v>
      </c>
      <c r="AJ22" s="16">
        <f t="shared" si="12"/>
        <v>0</v>
      </c>
      <c r="AK22" s="19">
        <v>0</v>
      </c>
      <c r="AL22" s="16">
        <f t="shared" si="9"/>
        <v>0</v>
      </c>
      <c r="AM22" s="17">
        <v>0</v>
      </c>
      <c r="AN22" s="19"/>
      <c r="AO22" s="19"/>
      <c r="AP22" s="19">
        <v>0.13</v>
      </c>
      <c r="AQ22" s="19" t="s">
        <v>307</v>
      </c>
      <c r="AR22" s="9" t="s">
        <v>319</v>
      </c>
      <c r="AS22" s="12">
        <v>0</v>
      </c>
      <c r="AT22" s="19">
        <v>38.971871999999998</v>
      </c>
      <c r="AU22" s="19">
        <v>-123.18401</v>
      </c>
      <c r="AV22" s="19" t="s">
        <v>315</v>
      </c>
    </row>
    <row r="23" spans="1:48" x14ac:dyDescent="0.25">
      <c r="A23" s="18" t="s">
        <v>343</v>
      </c>
      <c r="B23" s="10">
        <v>20190808</v>
      </c>
      <c r="C23" s="9">
        <v>6</v>
      </c>
      <c r="D23" s="8" t="str">
        <f t="shared" si="0"/>
        <v>Y</v>
      </c>
      <c r="E23" s="8" t="str">
        <f t="shared" si="1"/>
        <v>N</v>
      </c>
      <c r="F23" s="8" t="str">
        <f t="shared" si="2"/>
        <v>Y</v>
      </c>
      <c r="G23" s="8" t="str">
        <f t="shared" si="3"/>
        <v>Y</v>
      </c>
      <c r="H23" s="8" t="str">
        <f t="shared" si="4"/>
        <v>Upper</v>
      </c>
      <c r="I23" s="8" t="str">
        <f t="shared" si="5"/>
        <v>West Fork and Below Lake</v>
      </c>
      <c r="J23" s="8" t="str">
        <f t="shared" si="6"/>
        <v>Mendocino (d/s of lake)</v>
      </c>
      <c r="K23" s="8" t="str">
        <f t="shared" si="7"/>
        <v>Post-1949</v>
      </c>
      <c r="L23" s="8">
        <f t="shared" si="8"/>
        <v>2019</v>
      </c>
      <c r="M23" s="8" t="str">
        <f t="shared" si="10"/>
        <v>1991-present</v>
      </c>
      <c r="N23" s="10" t="s">
        <v>242</v>
      </c>
      <c r="O23" s="10" t="s">
        <v>241</v>
      </c>
      <c r="P23" s="10" t="s">
        <v>242</v>
      </c>
      <c r="Q23" s="10" t="s">
        <v>242</v>
      </c>
      <c r="R23" s="10" t="s">
        <v>241</v>
      </c>
      <c r="S23" s="10" t="s">
        <v>242</v>
      </c>
      <c r="T23" s="10" t="s">
        <v>241</v>
      </c>
      <c r="U23" s="10" t="s">
        <v>241</v>
      </c>
      <c r="V23" s="10" t="s">
        <v>241</v>
      </c>
      <c r="W23" s="10" t="s">
        <v>242</v>
      </c>
      <c r="X23" s="15">
        <f>IF(ISERROR(VLOOKUP($A23,'13. Updated Demand'!A:Z,15,FALSE)),0,VLOOKUP($A23,'13. Updated Demand'!A:Z,15,FALSE))</f>
        <v>0</v>
      </c>
      <c r="Y23" s="16">
        <f>IF(ISERROR(VLOOKUP($A23,'13. Updated Demand'!A:Z,16,FALSE)),0,VLOOKUP($A23,'13. Updated Demand'!A:Z,16,FALSE))</f>
        <v>0</v>
      </c>
      <c r="Z23" s="16">
        <f>IF(ISERROR(VLOOKUP($A23,'13. Updated Demand'!A:Z,17,FALSE)),0,VLOOKUP($A23,'13. Updated Demand'!A:Z,17,FALSE))</f>
        <v>0</v>
      </c>
      <c r="AA23" s="16">
        <f>IF(ISERROR(VLOOKUP($A23,'13. Updated Demand'!A:Z,18,FALSE)),0,VLOOKUP($A23,'13. Updated Demand'!A:Z,18,FALSE))</f>
        <v>0</v>
      </c>
      <c r="AB23" s="16">
        <f>IF(ISERROR(VLOOKUP($A23,'13. Updated Demand'!A:Z,19,FALSE)),0,VLOOKUP($A23,'13. Updated Demand'!A:Z,19,FALSE))</f>
        <v>0</v>
      </c>
      <c r="AC23" s="16">
        <f>IF(ISERROR(VLOOKUP($A23,'13. Updated Demand'!A:Z,20,FALSE)),0,VLOOKUP($A23,'13. Updated Demand'!A:Z,20,FALSE))</f>
        <v>0</v>
      </c>
      <c r="AD23" s="16">
        <f>IF(ISERROR(VLOOKUP($A23,'13. Updated Demand'!A:Z,21,FALSE)),0,VLOOKUP($A23,'13. Updated Demand'!A:Z,21,FALSE))</f>
        <v>0</v>
      </c>
      <c r="AE23" s="16">
        <f>IF(ISERROR(VLOOKUP($A23,'13. Updated Demand'!A:Z,22,FALSE)),0,VLOOKUP($A23,'13. Updated Demand'!A:Z,22,FALSE))</f>
        <v>0</v>
      </c>
      <c r="AF23" s="16">
        <f>IF(ISERROR(VLOOKUP($A23,'13. Updated Demand'!A:Z,23,FALSE)),0,VLOOKUP($A23,'13. Updated Demand'!A:Z,23,FALSE))</f>
        <v>0</v>
      </c>
      <c r="AG23" s="16">
        <f>IF(ISERROR(VLOOKUP($A23,'13. Updated Demand'!A:Z,24,FALSE)),0,VLOOKUP($A23,'13. Updated Demand'!A:Z,24,FALSE))</f>
        <v>0</v>
      </c>
      <c r="AH23" s="16">
        <f>IF(ISERROR(VLOOKUP($A23,'13. Updated Demand'!A:Z,25,FALSE)),0,VLOOKUP($A23,'13. Updated Demand'!A:Z,25,FALSE))</f>
        <v>0</v>
      </c>
      <c r="AI23" s="16">
        <f>IF(ISERROR(VLOOKUP($A23,'13. Updated Demand'!A:Z,26,FALSE)),0,VLOOKUP($A23,'13. Updated Demand'!A:Z,26,FALSE))</f>
        <v>0</v>
      </c>
      <c r="AJ23" s="16">
        <f t="shared" si="12"/>
        <v>0</v>
      </c>
      <c r="AK23" s="19">
        <v>0</v>
      </c>
      <c r="AL23" s="16">
        <f t="shared" si="9"/>
        <v>0</v>
      </c>
      <c r="AM23" s="17">
        <v>0</v>
      </c>
      <c r="AN23" s="19"/>
      <c r="AO23" s="19"/>
      <c r="AP23" s="19">
        <v>0.82</v>
      </c>
      <c r="AQ23" s="19" t="s">
        <v>307</v>
      </c>
      <c r="AR23" s="9" t="s">
        <v>319</v>
      </c>
      <c r="AS23" s="12">
        <v>0</v>
      </c>
      <c r="AT23" s="19">
        <v>39.000889000000001</v>
      </c>
      <c r="AU23" s="19">
        <v>-123.196552</v>
      </c>
      <c r="AV23" s="19" t="s">
        <v>315</v>
      </c>
    </row>
    <row r="24" spans="1:48" x14ac:dyDescent="0.25">
      <c r="A24" s="18" t="s">
        <v>344</v>
      </c>
      <c r="B24" s="10">
        <v>20190927</v>
      </c>
      <c r="C24" s="9">
        <v>1</v>
      </c>
      <c r="D24" s="8" t="str">
        <f t="shared" si="0"/>
        <v>N</v>
      </c>
      <c r="E24" s="8" t="str">
        <f t="shared" si="1"/>
        <v>N</v>
      </c>
      <c r="F24" s="8" t="str">
        <f t="shared" si="2"/>
        <v>Y</v>
      </c>
      <c r="G24" s="8" t="str">
        <f t="shared" si="3"/>
        <v>Y</v>
      </c>
      <c r="H24" s="8" t="str">
        <f t="shared" si="4"/>
        <v>Upper</v>
      </c>
      <c r="I24" s="8" t="str">
        <f t="shared" si="5"/>
        <v>West Fork and Below Lake</v>
      </c>
      <c r="J24" s="8" t="str">
        <f t="shared" si="6"/>
        <v>Outside</v>
      </c>
      <c r="K24" s="8" t="str">
        <f t="shared" si="7"/>
        <v>Post-1949</v>
      </c>
      <c r="L24" s="8">
        <f t="shared" si="8"/>
        <v>2019</v>
      </c>
      <c r="M24" s="8" t="str">
        <f t="shared" si="10"/>
        <v>1991-present</v>
      </c>
      <c r="N24" s="10" t="s">
        <v>242</v>
      </c>
      <c r="O24" s="10" t="s">
        <v>241</v>
      </c>
      <c r="P24" s="10" t="s">
        <v>242</v>
      </c>
      <c r="Q24" s="10" t="s">
        <v>242</v>
      </c>
      <c r="R24" s="10" t="s">
        <v>241</v>
      </c>
      <c r="S24" s="10" t="s">
        <v>242</v>
      </c>
      <c r="T24" s="10" t="s">
        <v>241</v>
      </c>
      <c r="U24" s="10" t="s">
        <v>241</v>
      </c>
      <c r="V24" s="10" t="s">
        <v>241</v>
      </c>
      <c r="W24" s="10" t="s">
        <v>242</v>
      </c>
      <c r="X24" s="15">
        <f>IF(ISERROR(VLOOKUP($A24,'13. Updated Demand'!A:Z,15,FALSE)),0,VLOOKUP($A24,'13. Updated Demand'!A:Z,15,FALSE))</f>
        <v>0</v>
      </c>
      <c r="Y24" s="16">
        <f>IF(ISERROR(VLOOKUP($A24,'13. Updated Demand'!A:Z,16,FALSE)),0,VLOOKUP($A24,'13. Updated Demand'!A:Z,16,FALSE))</f>
        <v>0</v>
      </c>
      <c r="Z24" s="16">
        <f>IF(ISERROR(VLOOKUP($A24,'13. Updated Demand'!A:Z,17,FALSE)),0,VLOOKUP($A24,'13. Updated Demand'!A:Z,17,FALSE))</f>
        <v>0</v>
      </c>
      <c r="AA24" s="16">
        <f>IF(ISERROR(VLOOKUP($A24,'13. Updated Demand'!A:Z,18,FALSE)),0,VLOOKUP($A24,'13. Updated Demand'!A:Z,18,FALSE))</f>
        <v>0</v>
      </c>
      <c r="AB24" s="16">
        <f>IF(ISERROR(VLOOKUP($A24,'13. Updated Demand'!A:Z,19,FALSE)),0,VLOOKUP($A24,'13. Updated Demand'!A:Z,19,FALSE))</f>
        <v>0</v>
      </c>
      <c r="AC24" s="16">
        <f>IF(ISERROR(VLOOKUP($A24,'13. Updated Demand'!A:Z,20,FALSE)),0,VLOOKUP($A24,'13. Updated Demand'!A:Z,20,FALSE))</f>
        <v>0</v>
      </c>
      <c r="AD24" s="16">
        <f>IF(ISERROR(VLOOKUP($A24,'13. Updated Demand'!A:Z,21,FALSE)),0,VLOOKUP($A24,'13. Updated Demand'!A:Z,21,FALSE))</f>
        <v>0</v>
      </c>
      <c r="AE24" s="16">
        <f>IF(ISERROR(VLOOKUP($A24,'13. Updated Demand'!A:Z,22,FALSE)),0,VLOOKUP($A24,'13. Updated Demand'!A:Z,22,FALSE))</f>
        <v>0</v>
      </c>
      <c r="AF24" s="16">
        <f>IF(ISERROR(VLOOKUP($A24,'13. Updated Demand'!A:Z,23,FALSE)),0,VLOOKUP($A24,'13. Updated Demand'!A:Z,23,FALSE))</f>
        <v>0</v>
      </c>
      <c r="AG24" s="16">
        <f>IF(ISERROR(VLOOKUP($A24,'13. Updated Demand'!A:Z,24,FALSE)),0,VLOOKUP($A24,'13. Updated Demand'!A:Z,24,FALSE))</f>
        <v>0</v>
      </c>
      <c r="AH24" s="16">
        <f>IF(ISERROR(VLOOKUP($A24,'13. Updated Demand'!A:Z,25,FALSE)),0,VLOOKUP($A24,'13. Updated Demand'!A:Z,25,FALSE))</f>
        <v>0</v>
      </c>
      <c r="AI24" s="16">
        <f>IF(ISERROR(VLOOKUP($A24,'13. Updated Demand'!A:Z,26,FALSE)),0,VLOOKUP($A24,'13. Updated Demand'!A:Z,26,FALSE))</f>
        <v>0</v>
      </c>
      <c r="AJ24" s="16">
        <f t="shared" si="12"/>
        <v>0</v>
      </c>
      <c r="AK24" s="19">
        <v>0</v>
      </c>
      <c r="AL24" s="16">
        <f t="shared" si="9"/>
        <v>0</v>
      </c>
      <c r="AM24" s="17">
        <v>0</v>
      </c>
      <c r="AN24" s="19"/>
      <c r="AO24" s="19"/>
      <c r="AP24" s="19">
        <v>0.68</v>
      </c>
      <c r="AQ24" s="19" t="s">
        <v>307</v>
      </c>
      <c r="AR24" s="9" t="s">
        <v>317</v>
      </c>
      <c r="AS24" s="12">
        <v>0</v>
      </c>
      <c r="AT24" s="19">
        <v>39.34239754</v>
      </c>
      <c r="AU24" s="19">
        <v>-123.3694131</v>
      </c>
      <c r="AV24" s="19" t="s">
        <v>315</v>
      </c>
    </row>
    <row r="25" spans="1:48" x14ac:dyDescent="0.25">
      <c r="A25" s="18" t="s">
        <v>345</v>
      </c>
      <c r="B25" s="10">
        <v>20190920</v>
      </c>
      <c r="C25" s="9">
        <v>22</v>
      </c>
      <c r="D25" s="8" t="str">
        <f t="shared" si="0"/>
        <v>N</v>
      </c>
      <c r="E25" s="8" t="str">
        <f t="shared" si="1"/>
        <v>N</v>
      </c>
      <c r="F25" s="8" t="str">
        <f t="shared" si="2"/>
        <v>N</v>
      </c>
      <c r="G25" s="8" t="str">
        <f t="shared" si="3"/>
        <v>N</v>
      </c>
      <c r="H25" s="8" t="str">
        <f t="shared" si="4"/>
        <v>Lower</v>
      </c>
      <c r="I25" s="8" t="str">
        <f t="shared" si="5"/>
        <v>Outside</v>
      </c>
      <c r="J25" s="8" t="str">
        <f t="shared" si="6"/>
        <v>Outside</v>
      </c>
      <c r="K25" s="8" t="str">
        <f t="shared" si="7"/>
        <v>Post-1949</v>
      </c>
      <c r="L25" s="8">
        <f t="shared" si="8"/>
        <v>2019</v>
      </c>
      <c r="M25" s="8" t="str">
        <f t="shared" si="10"/>
        <v>1991-present</v>
      </c>
      <c r="N25" s="10" t="s">
        <v>242</v>
      </c>
      <c r="O25" s="10" t="s">
        <v>242</v>
      </c>
      <c r="P25" s="10" t="s">
        <v>242</v>
      </c>
      <c r="Q25" s="10" t="s">
        <v>242</v>
      </c>
      <c r="R25" s="10" t="s">
        <v>241</v>
      </c>
      <c r="S25" s="10" t="s">
        <v>242</v>
      </c>
      <c r="T25" s="10" t="s">
        <v>241</v>
      </c>
      <c r="U25" s="10" t="s">
        <v>241</v>
      </c>
      <c r="V25" s="10" t="s">
        <v>241</v>
      </c>
      <c r="W25" s="10" t="s">
        <v>242</v>
      </c>
      <c r="X25" s="15">
        <f>IF(ISERROR(VLOOKUP($A25,'13. Updated Demand'!A:Z,15,FALSE)),0,VLOOKUP($A25,'13. Updated Demand'!A:Z,15,FALSE))</f>
        <v>0</v>
      </c>
      <c r="Y25" s="16">
        <f>IF(ISERROR(VLOOKUP($A25,'13. Updated Demand'!A:Z,16,FALSE)),0,VLOOKUP($A25,'13. Updated Demand'!A:Z,16,FALSE))</f>
        <v>0</v>
      </c>
      <c r="Z25" s="16">
        <f>IF(ISERROR(VLOOKUP($A25,'13. Updated Demand'!A:Z,17,FALSE)),0,VLOOKUP($A25,'13. Updated Demand'!A:Z,17,FALSE))</f>
        <v>0</v>
      </c>
      <c r="AA25" s="16">
        <f>IF(ISERROR(VLOOKUP($A25,'13. Updated Demand'!A:Z,18,FALSE)),0,VLOOKUP($A25,'13. Updated Demand'!A:Z,18,FALSE))</f>
        <v>0</v>
      </c>
      <c r="AB25" s="16">
        <f>IF(ISERROR(VLOOKUP($A25,'13. Updated Demand'!A:Z,19,FALSE)),0,VLOOKUP($A25,'13. Updated Demand'!A:Z,19,FALSE))</f>
        <v>0</v>
      </c>
      <c r="AC25" s="16">
        <f>IF(ISERROR(VLOOKUP($A25,'13. Updated Demand'!A:Z,20,FALSE)),0,VLOOKUP($A25,'13. Updated Demand'!A:Z,20,FALSE))</f>
        <v>0</v>
      </c>
      <c r="AD25" s="16">
        <f>IF(ISERROR(VLOOKUP($A25,'13. Updated Demand'!A:Z,21,FALSE)),0,VLOOKUP($A25,'13. Updated Demand'!A:Z,21,FALSE))</f>
        <v>0</v>
      </c>
      <c r="AE25" s="16">
        <f>IF(ISERROR(VLOOKUP($A25,'13. Updated Demand'!A:Z,22,FALSE)),0,VLOOKUP($A25,'13. Updated Demand'!A:Z,22,FALSE))</f>
        <v>0</v>
      </c>
      <c r="AF25" s="16">
        <f>IF(ISERROR(VLOOKUP($A25,'13. Updated Demand'!A:Z,23,FALSE)),0,VLOOKUP($A25,'13. Updated Demand'!A:Z,23,FALSE))</f>
        <v>0</v>
      </c>
      <c r="AG25" s="16">
        <f>IF(ISERROR(VLOOKUP($A25,'13. Updated Demand'!A:Z,24,FALSE)),0,VLOOKUP($A25,'13. Updated Demand'!A:Z,24,FALSE))</f>
        <v>0</v>
      </c>
      <c r="AH25" s="16">
        <f>IF(ISERROR(VLOOKUP($A25,'13. Updated Demand'!A:Z,25,FALSE)),0,VLOOKUP($A25,'13. Updated Demand'!A:Z,25,FALSE))</f>
        <v>0</v>
      </c>
      <c r="AI25" s="16">
        <f>IF(ISERROR(VLOOKUP($A25,'13. Updated Demand'!A:Z,26,FALSE)),0,VLOOKUP($A25,'13. Updated Demand'!A:Z,26,FALSE))</f>
        <v>0</v>
      </c>
      <c r="AJ25" s="16">
        <f t="shared" si="12"/>
        <v>0</v>
      </c>
      <c r="AK25" s="19">
        <v>0</v>
      </c>
      <c r="AL25" s="16">
        <f t="shared" si="9"/>
        <v>0</v>
      </c>
      <c r="AM25" s="17">
        <v>0</v>
      </c>
      <c r="AN25" s="19"/>
      <c r="AO25" s="19"/>
      <c r="AP25" s="19">
        <v>0.03</v>
      </c>
      <c r="AQ25" s="19" t="s">
        <v>307</v>
      </c>
      <c r="AR25" s="9" t="s">
        <v>314</v>
      </c>
      <c r="AS25" s="12">
        <v>0</v>
      </c>
      <c r="AT25" s="19">
        <v>38.915869000000001</v>
      </c>
      <c r="AU25" s="19">
        <v>-123.16694699999999</v>
      </c>
      <c r="AV25" s="19" t="s">
        <v>315</v>
      </c>
    </row>
    <row r="26" spans="1:48" x14ac:dyDescent="0.25">
      <c r="A26" s="18" t="s">
        <v>346</v>
      </c>
      <c r="B26" s="10">
        <v>20190318</v>
      </c>
      <c r="C26" s="9">
        <v>6</v>
      </c>
      <c r="D26" s="8" t="str">
        <f t="shared" si="0"/>
        <v>Y</v>
      </c>
      <c r="E26" s="8" t="str">
        <f t="shared" si="1"/>
        <v>N</v>
      </c>
      <c r="F26" s="8" t="str">
        <f t="shared" si="2"/>
        <v>Y</v>
      </c>
      <c r="G26" s="8" t="str">
        <f t="shared" si="3"/>
        <v>Y</v>
      </c>
      <c r="H26" s="8" t="str">
        <f t="shared" si="4"/>
        <v>Upper</v>
      </c>
      <c r="I26" s="8" t="str">
        <f t="shared" si="5"/>
        <v>West Fork and Below Lake</v>
      </c>
      <c r="J26" s="8" t="str">
        <f t="shared" si="6"/>
        <v>Mendocino (d/s of lake)</v>
      </c>
      <c r="K26" s="8" t="str">
        <f t="shared" si="7"/>
        <v>Post-1949</v>
      </c>
      <c r="L26" s="8">
        <f t="shared" si="8"/>
        <v>2019</v>
      </c>
      <c r="M26" s="8" t="str">
        <f t="shared" si="10"/>
        <v>1991-present</v>
      </c>
      <c r="N26" s="10" t="s">
        <v>242</v>
      </c>
      <c r="O26" s="10" t="s">
        <v>241</v>
      </c>
      <c r="P26" s="10" t="s">
        <v>242</v>
      </c>
      <c r="Q26" s="10" t="s">
        <v>242</v>
      </c>
      <c r="R26" s="10" t="s">
        <v>241</v>
      </c>
      <c r="S26" s="10" t="s">
        <v>242</v>
      </c>
      <c r="T26" s="10" t="s">
        <v>241</v>
      </c>
      <c r="U26" s="10" t="s">
        <v>241</v>
      </c>
      <c r="V26" s="10" t="s">
        <v>241</v>
      </c>
      <c r="W26" s="10" t="s">
        <v>242</v>
      </c>
      <c r="X26" s="15">
        <f>IF(ISERROR(VLOOKUP($A26,'13. Updated Demand'!A:Z,15,FALSE)),0,VLOOKUP($A26,'13. Updated Demand'!A:Z,15,FALSE))</f>
        <v>0</v>
      </c>
      <c r="Y26" s="16">
        <f>IF(ISERROR(VLOOKUP($A26,'13. Updated Demand'!A:Z,16,FALSE)),0,VLOOKUP($A26,'13. Updated Demand'!A:Z,16,FALSE))</f>
        <v>0</v>
      </c>
      <c r="Z26" s="16">
        <f>IF(ISERROR(VLOOKUP($A26,'13. Updated Demand'!A:Z,17,FALSE)),0,VLOOKUP($A26,'13. Updated Demand'!A:Z,17,FALSE))</f>
        <v>0</v>
      </c>
      <c r="AA26" s="16">
        <f>IF(ISERROR(VLOOKUP($A26,'13. Updated Demand'!A:Z,18,FALSE)),0,VLOOKUP($A26,'13. Updated Demand'!A:Z,18,FALSE))</f>
        <v>0</v>
      </c>
      <c r="AB26" s="16">
        <f>IF(ISERROR(VLOOKUP($A26,'13. Updated Demand'!A:Z,19,FALSE)),0,VLOOKUP($A26,'13. Updated Demand'!A:Z,19,FALSE))</f>
        <v>0</v>
      </c>
      <c r="AC26" s="16">
        <f>IF(ISERROR(VLOOKUP($A26,'13. Updated Demand'!A:Z,20,FALSE)),0,VLOOKUP($A26,'13. Updated Demand'!A:Z,20,FALSE))</f>
        <v>0</v>
      </c>
      <c r="AD26" s="16">
        <f>IF(ISERROR(VLOOKUP($A26,'13. Updated Demand'!A:Z,21,FALSE)),0,VLOOKUP($A26,'13. Updated Demand'!A:Z,21,FALSE))</f>
        <v>0</v>
      </c>
      <c r="AE26" s="16">
        <f>IF(ISERROR(VLOOKUP($A26,'13. Updated Demand'!A:Z,22,FALSE)),0,VLOOKUP($A26,'13. Updated Demand'!A:Z,22,FALSE))</f>
        <v>0</v>
      </c>
      <c r="AF26" s="16">
        <f>IF(ISERROR(VLOOKUP($A26,'13. Updated Demand'!A:Z,23,FALSE)),0,VLOOKUP($A26,'13. Updated Demand'!A:Z,23,FALSE))</f>
        <v>0</v>
      </c>
      <c r="AG26" s="16">
        <f>IF(ISERROR(VLOOKUP($A26,'13. Updated Demand'!A:Z,24,FALSE)),0,VLOOKUP($A26,'13. Updated Demand'!A:Z,24,FALSE))</f>
        <v>0</v>
      </c>
      <c r="AH26" s="16">
        <f>IF(ISERROR(VLOOKUP($A26,'13. Updated Demand'!A:Z,25,FALSE)),0,VLOOKUP($A26,'13. Updated Demand'!A:Z,25,FALSE))</f>
        <v>0</v>
      </c>
      <c r="AI26" s="16">
        <f>IF(ISERROR(VLOOKUP($A26,'13. Updated Demand'!A:Z,26,FALSE)),0,VLOOKUP($A26,'13. Updated Demand'!A:Z,26,FALSE))</f>
        <v>0</v>
      </c>
      <c r="AJ26" s="16">
        <f t="shared" si="12"/>
        <v>0</v>
      </c>
      <c r="AK26" s="19">
        <v>0</v>
      </c>
      <c r="AL26" s="16">
        <f t="shared" si="9"/>
        <v>0</v>
      </c>
      <c r="AM26" s="17">
        <v>0</v>
      </c>
      <c r="AN26" s="19"/>
      <c r="AO26" s="19"/>
      <c r="AP26" s="19">
        <v>4.5</v>
      </c>
      <c r="AQ26" s="19" t="s">
        <v>307</v>
      </c>
      <c r="AR26" s="9" t="s">
        <v>319</v>
      </c>
      <c r="AS26" s="12">
        <v>0</v>
      </c>
      <c r="AT26" s="19">
        <v>39.00358825</v>
      </c>
      <c r="AU26" s="19">
        <v>-123.15593604999999</v>
      </c>
      <c r="AV26" s="19" t="s">
        <v>320</v>
      </c>
    </row>
    <row r="27" spans="1:48" x14ac:dyDescent="0.25">
      <c r="A27" s="18" t="s">
        <v>347</v>
      </c>
      <c r="B27" s="10">
        <v>20190301</v>
      </c>
      <c r="C27" s="9">
        <v>2</v>
      </c>
      <c r="D27" s="8" t="str">
        <f t="shared" si="0"/>
        <v>N</v>
      </c>
      <c r="E27" s="8" t="str">
        <f t="shared" si="1"/>
        <v>N</v>
      </c>
      <c r="F27" s="8" t="str">
        <f t="shared" si="2"/>
        <v>Y</v>
      </c>
      <c r="G27" s="8" t="str">
        <f t="shared" si="3"/>
        <v>N</v>
      </c>
      <c r="H27" s="8" t="str">
        <f t="shared" si="4"/>
        <v>Upper</v>
      </c>
      <c r="I27" s="8" t="str">
        <f t="shared" si="5"/>
        <v>Outside</v>
      </c>
      <c r="J27" s="8" t="str">
        <f t="shared" si="6"/>
        <v>Outside</v>
      </c>
      <c r="K27" s="8" t="str">
        <f t="shared" si="7"/>
        <v>Post-1949</v>
      </c>
      <c r="L27" s="8">
        <f t="shared" si="8"/>
        <v>2019</v>
      </c>
      <c r="M27" s="8" t="str">
        <f t="shared" si="10"/>
        <v>1991-present</v>
      </c>
      <c r="N27" s="10" t="s">
        <v>242</v>
      </c>
      <c r="O27" s="10" t="s">
        <v>241</v>
      </c>
      <c r="P27" s="10" t="s">
        <v>242</v>
      </c>
      <c r="Q27" s="10" t="s">
        <v>242</v>
      </c>
      <c r="R27" s="10" t="s">
        <v>241</v>
      </c>
      <c r="S27" s="10" t="s">
        <v>242</v>
      </c>
      <c r="T27" s="10" t="s">
        <v>241</v>
      </c>
      <c r="U27" s="10" t="s">
        <v>241</v>
      </c>
      <c r="V27" s="10" t="s">
        <v>241</v>
      </c>
      <c r="W27" s="10" t="s">
        <v>242</v>
      </c>
      <c r="X27" s="15">
        <f>IF(ISERROR(VLOOKUP($A27,'13. Updated Demand'!A:Z,15,FALSE)),0,VLOOKUP($A27,'13. Updated Demand'!A:Z,15,FALSE))</f>
        <v>0</v>
      </c>
      <c r="Y27" s="16">
        <f>IF(ISERROR(VLOOKUP($A27,'13. Updated Demand'!A:Z,16,FALSE)),0,VLOOKUP($A27,'13. Updated Demand'!A:Z,16,FALSE))</f>
        <v>0</v>
      </c>
      <c r="Z27" s="16">
        <f>IF(ISERROR(VLOOKUP($A27,'13. Updated Demand'!A:Z,17,FALSE)),0,VLOOKUP($A27,'13. Updated Demand'!A:Z,17,FALSE))</f>
        <v>0</v>
      </c>
      <c r="AA27" s="16">
        <f>IF(ISERROR(VLOOKUP($A27,'13. Updated Demand'!A:Z,18,FALSE)),0,VLOOKUP($A27,'13. Updated Demand'!A:Z,18,FALSE))</f>
        <v>0</v>
      </c>
      <c r="AB27" s="16">
        <f>IF(ISERROR(VLOOKUP($A27,'13. Updated Demand'!A:Z,19,FALSE)),0,VLOOKUP($A27,'13. Updated Demand'!A:Z,19,FALSE))</f>
        <v>0</v>
      </c>
      <c r="AC27" s="16">
        <f>IF(ISERROR(VLOOKUP($A27,'13. Updated Demand'!A:Z,20,FALSE)),0,VLOOKUP($A27,'13. Updated Demand'!A:Z,20,FALSE))</f>
        <v>0</v>
      </c>
      <c r="AD27" s="16">
        <f>IF(ISERROR(VLOOKUP($A27,'13. Updated Demand'!A:Z,21,FALSE)),0,VLOOKUP($A27,'13. Updated Demand'!A:Z,21,FALSE))</f>
        <v>0</v>
      </c>
      <c r="AE27" s="16">
        <f>IF(ISERROR(VLOOKUP($A27,'13. Updated Demand'!A:Z,22,FALSE)),0,VLOOKUP($A27,'13. Updated Demand'!A:Z,22,FALSE))</f>
        <v>0</v>
      </c>
      <c r="AF27" s="16">
        <f>IF(ISERROR(VLOOKUP($A27,'13. Updated Demand'!A:Z,23,FALSE)),0,VLOOKUP($A27,'13. Updated Demand'!A:Z,23,FALSE))</f>
        <v>0</v>
      </c>
      <c r="AG27" s="16">
        <f>IF(ISERROR(VLOOKUP($A27,'13. Updated Demand'!A:Z,24,FALSE)),0,VLOOKUP($A27,'13. Updated Demand'!A:Z,24,FALSE))</f>
        <v>0</v>
      </c>
      <c r="AH27" s="16">
        <f>IF(ISERROR(VLOOKUP($A27,'13. Updated Demand'!A:Z,25,FALSE)),0,VLOOKUP($A27,'13. Updated Demand'!A:Z,25,FALSE))</f>
        <v>0</v>
      </c>
      <c r="AI27" s="16">
        <f>IF(ISERROR(VLOOKUP($A27,'13. Updated Demand'!A:Z,26,FALSE)),0,VLOOKUP($A27,'13. Updated Demand'!A:Z,26,FALSE))</f>
        <v>0</v>
      </c>
      <c r="AJ27" s="16">
        <f t="shared" si="12"/>
        <v>0</v>
      </c>
      <c r="AK27" s="19">
        <v>0</v>
      </c>
      <c r="AL27" s="16">
        <f t="shared" si="9"/>
        <v>0</v>
      </c>
      <c r="AM27" s="17">
        <v>0</v>
      </c>
      <c r="AN27" s="19"/>
      <c r="AO27" s="19"/>
      <c r="AP27" s="19">
        <v>0.67</v>
      </c>
      <c r="AQ27" s="19" t="s">
        <v>307</v>
      </c>
      <c r="AR27" s="9" t="s">
        <v>348</v>
      </c>
      <c r="AS27" s="12">
        <v>3.4039024194010059E-4</v>
      </c>
      <c r="AT27" s="19">
        <v>39.219659999999998</v>
      </c>
      <c r="AU27" s="19">
        <v>-123.0791</v>
      </c>
      <c r="AV27" s="19" t="s">
        <v>320</v>
      </c>
    </row>
    <row r="28" spans="1:48" x14ac:dyDescent="0.25">
      <c r="A28" s="18" t="s">
        <v>349</v>
      </c>
      <c r="B28" s="10">
        <v>20180110</v>
      </c>
      <c r="C28" s="9">
        <v>6</v>
      </c>
      <c r="D28" s="8" t="str">
        <f t="shared" si="0"/>
        <v>Y</v>
      </c>
      <c r="E28" s="8" t="str">
        <f t="shared" si="1"/>
        <v>N</v>
      </c>
      <c r="F28" s="8" t="str">
        <f t="shared" si="2"/>
        <v>Y</v>
      </c>
      <c r="G28" s="8" t="str">
        <f t="shared" si="3"/>
        <v>Y</v>
      </c>
      <c r="H28" s="8" t="str">
        <f t="shared" si="4"/>
        <v>Upper</v>
      </c>
      <c r="I28" s="8" t="str">
        <f t="shared" si="5"/>
        <v>West Fork and Below Lake</v>
      </c>
      <c r="J28" s="8" t="str">
        <f t="shared" si="6"/>
        <v>Mendocino (d/s of lake)</v>
      </c>
      <c r="K28" s="8" t="str">
        <f t="shared" si="7"/>
        <v>Post-1949</v>
      </c>
      <c r="L28" s="8">
        <f t="shared" si="8"/>
        <v>2018</v>
      </c>
      <c r="M28" s="8" t="str">
        <f t="shared" si="10"/>
        <v>1991-present</v>
      </c>
      <c r="N28" s="10" t="s">
        <v>242</v>
      </c>
      <c r="O28" s="10" t="s">
        <v>241</v>
      </c>
      <c r="P28" s="10" t="s">
        <v>242</v>
      </c>
      <c r="Q28" s="10" t="s">
        <v>242</v>
      </c>
      <c r="R28" s="10" t="s">
        <v>241</v>
      </c>
      <c r="S28" s="10" t="s">
        <v>242</v>
      </c>
      <c r="T28" s="10" t="s">
        <v>241</v>
      </c>
      <c r="U28" s="10" t="s">
        <v>241</v>
      </c>
      <c r="V28" s="10" t="s">
        <v>241</v>
      </c>
      <c r="W28" s="10" t="s">
        <v>242</v>
      </c>
      <c r="X28" s="15">
        <f>IF(ISERROR(VLOOKUP($A28,'13. Updated Demand'!A:Z,15,FALSE)),0,VLOOKUP($A28,'13. Updated Demand'!A:Z,15,FALSE))</f>
        <v>0</v>
      </c>
      <c r="Y28" s="16">
        <f>IF(ISERROR(VLOOKUP($A28,'13. Updated Demand'!A:Z,16,FALSE)),0,VLOOKUP($A28,'13. Updated Demand'!A:Z,16,FALSE))</f>
        <v>0</v>
      </c>
      <c r="Z28" s="16">
        <f>IF(ISERROR(VLOOKUP($A28,'13. Updated Demand'!A:Z,17,FALSE)),0,VLOOKUP($A28,'13. Updated Demand'!A:Z,17,FALSE))</f>
        <v>0</v>
      </c>
      <c r="AA28" s="16">
        <f>IF(ISERROR(VLOOKUP($A28,'13. Updated Demand'!A:Z,18,FALSE)),0,VLOOKUP($A28,'13. Updated Demand'!A:Z,18,FALSE))</f>
        <v>0</v>
      </c>
      <c r="AB28" s="16">
        <f>IF(ISERROR(VLOOKUP($A28,'13. Updated Demand'!A:Z,19,FALSE)),0,VLOOKUP($A28,'13. Updated Demand'!A:Z,19,FALSE))</f>
        <v>0</v>
      </c>
      <c r="AC28" s="16">
        <f>IF(ISERROR(VLOOKUP($A28,'13. Updated Demand'!A:Z,20,FALSE)),0,VLOOKUP($A28,'13. Updated Demand'!A:Z,20,FALSE))</f>
        <v>0</v>
      </c>
      <c r="AD28" s="16">
        <f>IF(ISERROR(VLOOKUP($A28,'13. Updated Demand'!A:Z,21,FALSE)),0,VLOOKUP($A28,'13. Updated Demand'!A:Z,21,FALSE))</f>
        <v>0</v>
      </c>
      <c r="AE28" s="16">
        <f>IF(ISERROR(VLOOKUP($A28,'13. Updated Demand'!A:Z,22,FALSE)),0,VLOOKUP($A28,'13. Updated Demand'!A:Z,22,FALSE))</f>
        <v>0</v>
      </c>
      <c r="AF28" s="16">
        <f>IF(ISERROR(VLOOKUP($A28,'13. Updated Demand'!A:Z,23,FALSE)),0,VLOOKUP($A28,'13. Updated Demand'!A:Z,23,FALSE))</f>
        <v>0</v>
      </c>
      <c r="AG28" s="16">
        <f>IF(ISERROR(VLOOKUP($A28,'13. Updated Demand'!A:Z,24,FALSE)),0,VLOOKUP($A28,'13. Updated Demand'!A:Z,24,FALSE))</f>
        <v>0</v>
      </c>
      <c r="AH28" s="16">
        <f>IF(ISERROR(VLOOKUP($A28,'13. Updated Demand'!A:Z,25,FALSE)),0,VLOOKUP($A28,'13. Updated Demand'!A:Z,25,FALSE))</f>
        <v>0</v>
      </c>
      <c r="AI28" s="16">
        <f>IF(ISERROR(VLOOKUP($A28,'13. Updated Demand'!A:Z,26,FALSE)),0,VLOOKUP($A28,'13. Updated Demand'!A:Z,26,FALSE))</f>
        <v>0</v>
      </c>
      <c r="AJ28" s="16">
        <f t="shared" si="12"/>
        <v>0</v>
      </c>
      <c r="AK28" s="19">
        <v>0</v>
      </c>
      <c r="AL28" s="16">
        <f t="shared" si="9"/>
        <v>0</v>
      </c>
      <c r="AM28" s="17">
        <v>0</v>
      </c>
      <c r="AN28" s="19"/>
      <c r="AO28" s="19"/>
      <c r="AP28" s="19">
        <v>72.8</v>
      </c>
      <c r="AQ28" s="19" t="s">
        <v>307</v>
      </c>
      <c r="AR28" s="9" t="s">
        <v>319</v>
      </c>
      <c r="AS28" s="12">
        <v>0</v>
      </c>
      <c r="AT28" s="19">
        <v>38.919958700000002</v>
      </c>
      <c r="AU28" s="19">
        <v>-122.97420030000001</v>
      </c>
      <c r="AV28" s="19" t="s">
        <v>350</v>
      </c>
    </row>
    <row r="29" spans="1:48" x14ac:dyDescent="0.25">
      <c r="A29" s="18" t="s">
        <v>351</v>
      </c>
      <c r="B29" s="10">
        <v>20180615</v>
      </c>
      <c r="C29" s="9">
        <v>18</v>
      </c>
      <c r="D29" s="8" t="str">
        <f t="shared" si="0"/>
        <v>N</v>
      </c>
      <c r="E29" s="8" t="str">
        <f t="shared" si="1"/>
        <v>N</v>
      </c>
      <c r="F29" s="8" t="str">
        <f t="shared" si="2"/>
        <v>N</v>
      </c>
      <c r="G29" s="8" t="str">
        <f t="shared" si="3"/>
        <v>N</v>
      </c>
      <c r="H29" s="8" t="str">
        <f t="shared" si="4"/>
        <v>Lower</v>
      </c>
      <c r="I29" s="8" t="str">
        <f t="shared" si="5"/>
        <v>Outside</v>
      </c>
      <c r="J29" s="8" t="str">
        <f t="shared" si="6"/>
        <v>Outside</v>
      </c>
      <c r="K29" s="8" t="str">
        <f t="shared" si="7"/>
        <v>Post-1949</v>
      </c>
      <c r="L29" s="8">
        <f t="shared" si="8"/>
        <v>2018</v>
      </c>
      <c r="M29" s="8" t="str">
        <f t="shared" si="10"/>
        <v>1991-present</v>
      </c>
      <c r="N29" s="10" t="s">
        <v>242</v>
      </c>
      <c r="O29" s="10" t="s">
        <v>242</v>
      </c>
      <c r="P29" s="10" t="s">
        <v>242</v>
      </c>
      <c r="Q29" s="10" t="s">
        <v>242</v>
      </c>
      <c r="R29" s="10" t="s">
        <v>241</v>
      </c>
      <c r="S29" s="10" t="s">
        <v>242</v>
      </c>
      <c r="T29" s="10" t="s">
        <v>241</v>
      </c>
      <c r="U29" s="10" t="s">
        <v>241</v>
      </c>
      <c r="V29" s="10" t="s">
        <v>241</v>
      </c>
      <c r="W29" s="10" t="s">
        <v>242</v>
      </c>
      <c r="X29" s="15">
        <f>IF(ISERROR(VLOOKUP($A29,'13. Updated Demand'!A:Z,15,FALSE)),0,VLOOKUP($A29,'13. Updated Demand'!A:Z,15,FALSE))</f>
        <v>0</v>
      </c>
      <c r="Y29" s="16">
        <f>IF(ISERROR(VLOOKUP($A29,'13. Updated Demand'!A:Z,16,FALSE)),0,VLOOKUP($A29,'13. Updated Demand'!A:Z,16,FALSE))</f>
        <v>0</v>
      </c>
      <c r="Z29" s="16">
        <f>IF(ISERROR(VLOOKUP($A29,'13. Updated Demand'!A:Z,17,FALSE)),0,VLOOKUP($A29,'13. Updated Demand'!A:Z,17,FALSE))</f>
        <v>0</v>
      </c>
      <c r="AA29" s="16">
        <f>IF(ISERROR(VLOOKUP($A29,'13. Updated Demand'!A:Z,18,FALSE)),0,VLOOKUP($A29,'13. Updated Demand'!A:Z,18,FALSE))</f>
        <v>0</v>
      </c>
      <c r="AB29" s="16">
        <f>IF(ISERROR(VLOOKUP($A29,'13. Updated Demand'!A:Z,19,FALSE)),0,VLOOKUP($A29,'13. Updated Demand'!A:Z,19,FALSE))</f>
        <v>0</v>
      </c>
      <c r="AC29" s="16">
        <f>IF(ISERROR(VLOOKUP($A29,'13. Updated Demand'!A:Z,20,FALSE)),0,VLOOKUP($A29,'13. Updated Demand'!A:Z,20,FALSE))</f>
        <v>0</v>
      </c>
      <c r="AD29" s="16">
        <f>IF(ISERROR(VLOOKUP($A29,'13. Updated Demand'!A:Z,21,FALSE)),0,VLOOKUP($A29,'13. Updated Demand'!A:Z,21,FALSE))</f>
        <v>0</v>
      </c>
      <c r="AE29" s="16">
        <f>IF(ISERROR(VLOOKUP($A29,'13. Updated Demand'!A:Z,22,FALSE)),0,VLOOKUP($A29,'13. Updated Demand'!A:Z,22,FALSE))</f>
        <v>0</v>
      </c>
      <c r="AF29" s="16">
        <f>IF(ISERROR(VLOOKUP($A29,'13. Updated Demand'!A:Z,23,FALSE)),0,VLOOKUP($A29,'13. Updated Demand'!A:Z,23,FALSE))</f>
        <v>0</v>
      </c>
      <c r="AG29" s="16">
        <f>IF(ISERROR(VLOOKUP($A29,'13. Updated Demand'!A:Z,24,FALSE)),0,VLOOKUP($A29,'13. Updated Demand'!A:Z,24,FALSE))</f>
        <v>0</v>
      </c>
      <c r="AH29" s="16">
        <f>IF(ISERROR(VLOOKUP($A29,'13. Updated Demand'!A:Z,25,FALSE)),0,VLOOKUP($A29,'13. Updated Demand'!A:Z,25,FALSE))</f>
        <v>0</v>
      </c>
      <c r="AI29" s="16">
        <f>IF(ISERROR(VLOOKUP($A29,'13. Updated Demand'!A:Z,26,FALSE)),0,VLOOKUP($A29,'13. Updated Demand'!A:Z,26,FALSE))</f>
        <v>0</v>
      </c>
      <c r="AJ29" s="16">
        <f t="shared" si="12"/>
        <v>0</v>
      </c>
      <c r="AK29" s="19">
        <v>0</v>
      </c>
      <c r="AL29" s="16">
        <f t="shared" si="9"/>
        <v>0</v>
      </c>
      <c r="AM29" s="17">
        <v>0</v>
      </c>
      <c r="AN29" s="19"/>
      <c r="AO29" s="19"/>
      <c r="AP29" s="19">
        <v>11.5</v>
      </c>
      <c r="AQ29" s="19" t="s">
        <v>307</v>
      </c>
      <c r="AR29" s="9" t="s">
        <v>352</v>
      </c>
      <c r="AS29" s="12">
        <v>0</v>
      </c>
      <c r="AT29" s="19">
        <v>38.426614569999998</v>
      </c>
      <c r="AU29" s="19">
        <v>-122.89671276999999</v>
      </c>
      <c r="AV29" s="19" t="s">
        <v>320</v>
      </c>
    </row>
    <row r="30" spans="1:48" x14ac:dyDescent="0.25">
      <c r="A30" s="18" t="s">
        <v>353</v>
      </c>
      <c r="B30" s="10">
        <v>20180809</v>
      </c>
      <c r="C30" s="9">
        <v>9</v>
      </c>
      <c r="D30" s="8" t="str">
        <f t="shared" si="0"/>
        <v>N</v>
      </c>
      <c r="E30" s="8" t="str">
        <f t="shared" si="1"/>
        <v>Y</v>
      </c>
      <c r="F30" s="8" t="str">
        <f t="shared" si="2"/>
        <v>Y</v>
      </c>
      <c r="G30" s="8" t="str">
        <f t="shared" si="3"/>
        <v>Y</v>
      </c>
      <c r="H30" s="8" t="str">
        <f t="shared" si="4"/>
        <v>Upper</v>
      </c>
      <c r="I30" s="8" t="str">
        <f t="shared" si="5"/>
        <v>West Fork and Below Lake</v>
      </c>
      <c r="J30" s="8" t="str">
        <f t="shared" si="6"/>
        <v>Sonoma (d/s of Clov. Gage)</v>
      </c>
      <c r="K30" s="8" t="str">
        <f t="shared" si="7"/>
        <v>Post-1949</v>
      </c>
      <c r="L30" s="8">
        <f t="shared" si="8"/>
        <v>2018</v>
      </c>
      <c r="M30" s="8" t="str">
        <f t="shared" si="10"/>
        <v>1991-present</v>
      </c>
      <c r="N30" s="10" t="s">
        <v>242</v>
      </c>
      <c r="O30" s="10" t="s">
        <v>241</v>
      </c>
      <c r="P30" s="10" t="s">
        <v>242</v>
      </c>
      <c r="Q30" s="10" t="s">
        <v>242</v>
      </c>
      <c r="R30" s="10" t="s">
        <v>241</v>
      </c>
      <c r="S30" s="10" t="s">
        <v>242</v>
      </c>
      <c r="T30" s="10" t="s">
        <v>241</v>
      </c>
      <c r="U30" s="10" t="s">
        <v>241</v>
      </c>
      <c r="V30" s="10" t="s">
        <v>241</v>
      </c>
      <c r="W30" s="10" t="s">
        <v>242</v>
      </c>
      <c r="X30" s="15">
        <f>IF(ISERROR(VLOOKUP($A30,'13. Updated Demand'!A:Z,15,FALSE)),0,VLOOKUP($A30,'13. Updated Demand'!A:Z,15,FALSE))</f>
        <v>0</v>
      </c>
      <c r="Y30" s="16">
        <f>IF(ISERROR(VLOOKUP($A30,'13. Updated Demand'!A:Z,16,FALSE)),0,VLOOKUP($A30,'13. Updated Demand'!A:Z,16,FALSE))</f>
        <v>0</v>
      </c>
      <c r="Z30" s="16">
        <f>IF(ISERROR(VLOOKUP($A30,'13. Updated Demand'!A:Z,17,FALSE)),0,VLOOKUP($A30,'13. Updated Demand'!A:Z,17,FALSE))</f>
        <v>0</v>
      </c>
      <c r="AA30" s="16">
        <f>IF(ISERROR(VLOOKUP($A30,'13. Updated Demand'!A:Z,18,FALSE)),0,VLOOKUP($A30,'13. Updated Demand'!A:Z,18,FALSE))</f>
        <v>0</v>
      </c>
      <c r="AB30" s="16">
        <f>IF(ISERROR(VLOOKUP($A30,'13. Updated Demand'!A:Z,19,FALSE)),0,VLOOKUP($A30,'13. Updated Demand'!A:Z,19,FALSE))</f>
        <v>0</v>
      </c>
      <c r="AC30" s="16">
        <f>IF(ISERROR(VLOOKUP($A30,'13. Updated Demand'!A:Z,20,FALSE)),0,VLOOKUP($A30,'13. Updated Demand'!A:Z,20,FALSE))</f>
        <v>0</v>
      </c>
      <c r="AD30" s="16">
        <f>IF(ISERROR(VLOOKUP($A30,'13. Updated Demand'!A:Z,21,FALSE)),0,VLOOKUP($A30,'13. Updated Demand'!A:Z,21,FALSE))</f>
        <v>0</v>
      </c>
      <c r="AE30" s="16">
        <f>IF(ISERROR(VLOOKUP($A30,'13. Updated Demand'!A:Z,22,FALSE)),0,VLOOKUP($A30,'13. Updated Demand'!A:Z,22,FALSE))</f>
        <v>0</v>
      </c>
      <c r="AF30" s="16">
        <f>IF(ISERROR(VLOOKUP($A30,'13. Updated Demand'!A:Z,23,FALSE)),0,VLOOKUP($A30,'13. Updated Demand'!A:Z,23,FALSE))</f>
        <v>0</v>
      </c>
      <c r="AG30" s="16">
        <f>IF(ISERROR(VLOOKUP($A30,'13. Updated Demand'!A:Z,24,FALSE)),0,VLOOKUP($A30,'13. Updated Demand'!A:Z,24,FALSE))</f>
        <v>0</v>
      </c>
      <c r="AH30" s="16">
        <f>IF(ISERROR(VLOOKUP($A30,'13. Updated Demand'!A:Z,25,FALSE)),0,VLOOKUP($A30,'13. Updated Demand'!A:Z,25,FALSE))</f>
        <v>0</v>
      </c>
      <c r="AI30" s="16">
        <f>IF(ISERROR(VLOOKUP($A30,'13. Updated Demand'!A:Z,26,FALSE)),0,VLOOKUP($A30,'13. Updated Demand'!A:Z,26,FALSE))</f>
        <v>0</v>
      </c>
      <c r="AJ30" s="16">
        <f t="shared" si="12"/>
        <v>0</v>
      </c>
      <c r="AK30" s="19">
        <v>0</v>
      </c>
      <c r="AL30" s="16">
        <f t="shared" si="9"/>
        <v>0</v>
      </c>
      <c r="AM30" s="17">
        <v>0</v>
      </c>
      <c r="AN30" s="19"/>
      <c r="AO30" s="19"/>
      <c r="AP30" s="19">
        <v>17.45</v>
      </c>
      <c r="AQ30" s="19" t="s">
        <v>307</v>
      </c>
      <c r="AR30" s="9" t="s">
        <v>354</v>
      </c>
      <c r="AS30" s="12">
        <v>3.4039024194010059E-4</v>
      </c>
      <c r="AT30" s="19">
        <v>38.849857819999997</v>
      </c>
      <c r="AU30" s="19">
        <v>-122.98722773999999</v>
      </c>
      <c r="AV30" s="19"/>
    </row>
    <row r="31" spans="1:48" x14ac:dyDescent="0.25">
      <c r="A31" s="18" t="s">
        <v>355</v>
      </c>
      <c r="B31" s="10">
        <v>20180815</v>
      </c>
      <c r="C31" s="9">
        <v>18</v>
      </c>
      <c r="D31" s="8" t="str">
        <f t="shared" si="0"/>
        <v>N</v>
      </c>
      <c r="E31" s="8" t="str">
        <f t="shared" si="1"/>
        <v>N</v>
      </c>
      <c r="F31" s="8" t="str">
        <f t="shared" si="2"/>
        <v>N</v>
      </c>
      <c r="G31" s="8" t="str">
        <f t="shared" si="3"/>
        <v>N</v>
      </c>
      <c r="H31" s="8" t="str">
        <f t="shared" si="4"/>
        <v>Lower</v>
      </c>
      <c r="I31" s="8" t="str">
        <f t="shared" si="5"/>
        <v>Outside</v>
      </c>
      <c r="J31" s="8" t="str">
        <f t="shared" si="6"/>
        <v>Outside</v>
      </c>
      <c r="K31" s="8" t="str">
        <f t="shared" si="7"/>
        <v>Post-1949</v>
      </c>
      <c r="L31" s="8">
        <f t="shared" si="8"/>
        <v>2018</v>
      </c>
      <c r="M31" s="8" t="str">
        <f t="shared" si="10"/>
        <v>1991-present</v>
      </c>
      <c r="N31" s="10" t="s">
        <v>242</v>
      </c>
      <c r="O31" s="10" t="s">
        <v>242</v>
      </c>
      <c r="P31" s="10" t="s">
        <v>242</v>
      </c>
      <c r="Q31" s="10" t="s">
        <v>242</v>
      </c>
      <c r="R31" s="10" t="s">
        <v>241</v>
      </c>
      <c r="S31" s="10" t="s">
        <v>242</v>
      </c>
      <c r="T31" s="10" t="s">
        <v>241</v>
      </c>
      <c r="U31" s="10" t="s">
        <v>241</v>
      </c>
      <c r="V31" s="10" t="s">
        <v>241</v>
      </c>
      <c r="W31" s="10" t="s">
        <v>242</v>
      </c>
      <c r="X31" s="15">
        <f>IF(ISERROR(VLOOKUP($A31,'13. Updated Demand'!A:Z,15,FALSE)),0,VLOOKUP($A31,'13. Updated Demand'!A:Z,15,FALSE))</f>
        <v>0</v>
      </c>
      <c r="Y31" s="16">
        <f>IF(ISERROR(VLOOKUP($A31,'13. Updated Demand'!A:Z,16,FALSE)),0,VLOOKUP($A31,'13. Updated Demand'!A:Z,16,FALSE))</f>
        <v>0</v>
      </c>
      <c r="Z31" s="16">
        <f>IF(ISERROR(VLOOKUP($A31,'13. Updated Demand'!A:Z,17,FALSE)),0,VLOOKUP($A31,'13. Updated Demand'!A:Z,17,FALSE))</f>
        <v>0</v>
      </c>
      <c r="AA31" s="16">
        <f>IF(ISERROR(VLOOKUP($A31,'13. Updated Demand'!A:Z,18,FALSE)),0,VLOOKUP($A31,'13. Updated Demand'!A:Z,18,FALSE))</f>
        <v>0</v>
      </c>
      <c r="AB31" s="16">
        <f>IF(ISERROR(VLOOKUP($A31,'13. Updated Demand'!A:Z,19,FALSE)),0,VLOOKUP($A31,'13. Updated Demand'!A:Z,19,FALSE))</f>
        <v>0</v>
      </c>
      <c r="AC31" s="16">
        <f>IF(ISERROR(VLOOKUP($A31,'13. Updated Demand'!A:Z,20,FALSE)),0,VLOOKUP($A31,'13. Updated Demand'!A:Z,20,FALSE))</f>
        <v>0</v>
      </c>
      <c r="AD31" s="16">
        <f>IF(ISERROR(VLOOKUP($A31,'13. Updated Demand'!A:Z,21,FALSE)),0,VLOOKUP($A31,'13. Updated Demand'!A:Z,21,FALSE))</f>
        <v>0</v>
      </c>
      <c r="AE31" s="16">
        <f>IF(ISERROR(VLOOKUP($A31,'13. Updated Demand'!A:Z,22,FALSE)),0,VLOOKUP($A31,'13. Updated Demand'!A:Z,22,FALSE))</f>
        <v>0</v>
      </c>
      <c r="AF31" s="16">
        <f>IF(ISERROR(VLOOKUP($A31,'13. Updated Demand'!A:Z,23,FALSE)),0,VLOOKUP($A31,'13. Updated Demand'!A:Z,23,FALSE))</f>
        <v>0</v>
      </c>
      <c r="AG31" s="16">
        <f>IF(ISERROR(VLOOKUP($A31,'13. Updated Demand'!A:Z,24,FALSE)),0,VLOOKUP($A31,'13. Updated Demand'!A:Z,24,FALSE))</f>
        <v>0</v>
      </c>
      <c r="AH31" s="16">
        <f>IF(ISERROR(VLOOKUP($A31,'13. Updated Demand'!A:Z,25,FALSE)),0,VLOOKUP($A31,'13. Updated Demand'!A:Z,25,FALSE))</f>
        <v>0</v>
      </c>
      <c r="AI31" s="16">
        <f>IF(ISERROR(VLOOKUP($A31,'13. Updated Demand'!A:Z,26,FALSE)),0,VLOOKUP($A31,'13. Updated Demand'!A:Z,26,FALSE))</f>
        <v>0</v>
      </c>
      <c r="AJ31" s="16">
        <f t="shared" si="12"/>
        <v>0</v>
      </c>
      <c r="AK31" s="19">
        <v>0</v>
      </c>
      <c r="AL31" s="16">
        <f t="shared" si="9"/>
        <v>0</v>
      </c>
      <c r="AM31" s="17">
        <v>0</v>
      </c>
      <c r="AN31" s="19"/>
      <c r="AO31" s="19"/>
      <c r="AP31" s="19">
        <v>21</v>
      </c>
      <c r="AQ31" s="19" t="s">
        <v>307</v>
      </c>
      <c r="AR31" s="9" t="s">
        <v>352</v>
      </c>
      <c r="AS31" s="12">
        <v>0</v>
      </c>
      <c r="AT31" s="19">
        <v>38.447236570000001</v>
      </c>
      <c r="AU31" s="19">
        <v>-122.88540313999999</v>
      </c>
      <c r="AV31" s="19" t="s">
        <v>356</v>
      </c>
    </row>
    <row r="32" spans="1:48" x14ac:dyDescent="0.25">
      <c r="A32" s="18" t="s">
        <v>357</v>
      </c>
      <c r="B32" s="10">
        <v>20181029</v>
      </c>
      <c r="C32" s="9">
        <v>11</v>
      </c>
      <c r="D32" s="8" t="str">
        <f t="shared" si="0"/>
        <v>N</v>
      </c>
      <c r="E32" s="8" t="str">
        <f t="shared" si="1"/>
        <v>Y</v>
      </c>
      <c r="F32" s="8" t="str">
        <f t="shared" si="2"/>
        <v>Y</v>
      </c>
      <c r="G32" s="8" t="str">
        <f t="shared" si="3"/>
        <v>Y</v>
      </c>
      <c r="H32" s="8" t="str">
        <f t="shared" si="4"/>
        <v>Upper</v>
      </c>
      <c r="I32" s="8" t="str">
        <f t="shared" si="5"/>
        <v>West Fork and Below Lake</v>
      </c>
      <c r="J32" s="8" t="str">
        <f t="shared" si="6"/>
        <v>Sonoma (d/s of Clov. Gage)</v>
      </c>
      <c r="K32" s="8" t="str">
        <f t="shared" si="7"/>
        <v>Post-1949</v>
      </c>
      <c r="L32" s="8">
        <f t="shared" si="8"/>
        <v>2018</v>
      </c>
      <c r="M32" s="8" t="str">
        <f t="shared" si="10"/>
        <v>1991-present</v>
      </c>
      <c r="N32" s="10" t="s">
        <v>242</v>
      </c>
      <c r="O32" s="10" t="s">
        <v>241</v>
      </c>
      <c r="P32" s="10" t="s">
        <v>242</v>
      </c>
      <c r="Q32" s="10" t="s">
        <v>242</v>
      </c>
      <c r="R32" s="10" t="s">
        <v>241</v>
      </c>
      <c r="S32" s="10" t="s">
        <v>242</v>
      </c>
      <c r="T32" s="10" t="s">
        <v>242</v>
      </c>
      <c r="U32" s="10" t="s">
        <v>242</v>
      </c>
      <c r="V32" s="10" t="s">
        <v>241</v>
      </c>
      <c r="W32" s="10" t="s">
        <v>242</v>
      </c>
      <c r="X32" s="15">
        <f>IF(ISERROR(VLOOKUP($A32,'13. Updated Demand'!A:Z,15,FALSE)),0,VLOOKUP($A32,'13. Updated Demand'!A:Z,15,FALSE))</f>
        <v>0.31</v>
      </c>
      <c r="Y32" s="16">
        <f>IF(ISERROR(VLOOKUP($A32,'13. Updated Demand'!A:Z,16,FALSE)),0,VLOOKUP($A32,'13. Updated Demand'!A:Z,16,FALSE))</f>
        <v>0.2</v>
      </c>
      <c r="Z32" s="16">
        <f>IF(ISERROR(VLOOKUP($A32,'13. Updated Demand'!A:Z,17,FALSE)),0,VLOOKUP($A32,'13. Updated Demand'!A:Z,17,FALSE))</f>
        <v>0.43</v>
      </c>
      <c r="AA32" s="16">
        <f>IF(ISERROR(VLOOKUP($A32,'13. Updated Demand'!A:Z,18,FALSE)),0,VLOOKUP($A32,'13. Updated Demand'!A:Z,18,FALSE))</f>
        <v>0.4</v>
      </c>
      <c r="AB32" s="16">
        <f>IF(ISERROR(VLOOKUP($A32,'13. Updated Demand'!A:Z,19,FALSE)),0,VLOOKUP($A32,'13. Updated Demand'!A:Z,19,FALSE))</f>
        <v>0</v>
      </c>
      <c r="AC32" s="16">
        <f>IF(ISERROR(VLOOKUP($A32,'13. Updated Demand'!A:Z,20,FALSE)),0,VLOOKUP($A32,'13. Updated Demand'!A:Z,20,FALSE))</f>
        <v>0</v>
      </c>
      <c r="AD32" s="16">
        <f>IF(ISERROR(VLOOKUP($A32,'13. Updated Demand'!A:Z,21,FALSE)),0,VLOOKUP($A32,'13. Updated Demand'!A:Z,21,FALSE))</f>
        <v>0</v>
      </c>
      <c r="AE32" s="16">
        <f>IF(ISERROR(VLOOKUP($A32,'13. Updated Demand'!A:Z,22,FALSE)),0,VLOOKUP($A32,'13. Updated Demand'!A:Z,22,FALSE))</f>
        <v>0</v>
      </c>
      <c r="AF32" s="16">
        <f>IF(ISERROR(VLOOKUP($A32,'13. Updated Demand'!A:Z,23,FALSE)),0,VLOOKUP($A32,'13. Updated Demand'!A:Z,23,FALSE))</f>
        <v>0</v>
      </c>
      <c r="AG32" s="16">
        <f>IF(ISERROR(VLOOKUP($A32,'13. Updated Demand'!A:Z,24,FALSE)),0,VLOOKUP($A32,'13. Updated Demand'!A:Z,24,FALSE))</f>
        <v>0</v>
      </c>
      <c r="AH32" s="16">
        <f>IF(ISERROR(VLOOKUP($A32,'13. Updated Demand'!A:Z,25,FALSE)),0,VLOOKUP($A32,'13. Updated Demand'!A:Z,25,FALSE))</f>
        <v>5.13</v>
      </c>
      <c r="AI32" s="16">
        <f>IF(ISERROR(VLOOKUP($A32,'13. Updated Demand'!A:Z,26,FALSE)),0,VLOOKUP($A32,'13. Updated Demand'!A:Z,26,FALSE))</f>
        <v>0.4</v>
      </c>
      <c r="AJ32" s="16">
        <f t="shared" si="12"/>
        <v>6.87</v>
      </c>
      <c r="AK32" s="19">
        <v>0</v>
      </c>
      <c r="AL32" s="16">
        <f t="shared" si="9"/>
        <v>0</v>
      </c>
      <c r="AM32" s="17">
        <v>0.69528619525252533</v>
      </c>
      <c r="AN32" s="19"/>
      <c r="AO32" s="19"/>
      <c r="AP32" s="19">
        <v>9.9</v>
      </c>
      <c r="AQ32" s="19" t="s">
        <v>307</v>
      </c>
      <c r="AR32" s="9" t="s">
        <v>308</v>
      </c>
      <c r="AS32" s="12">
        <v>3.4039024194010059E-4</v>
      </c>
      <c r="AT32" s="19">
        <v>38.6419</v>
      </c>
      <c r="AU32" s="19">
        <v>-122.6421</v>
      </c>
      <c r="AV32" s="19" t="s">
        <v>358</v>
      </c>
    </row>
    <row r="33" spans="1:48" x14ac:dyDescent="0.25">
      <c r="A33" s="18" t="s">
        <v>359</v>
      </c>
      <c r="B33" s="10">
        <v>20181126</v>
      </c>
      <c r="C33" s="9">
        <v>18</v>
      </c>
      <c r="D33" s="8" t="str">
        <f t="shared" si="0"/>
        <v>N</v>
      </c>
      <c r="E33" s="8" t="str">
        <f t="shared" si="1"/>
        <v>N</v>
      </c>
      <c r="F33" s="8" t="str">
        <f t="shared" si="2"/>
        <v>N</v>
      </c>
      <c r="G33" s="8" t="str">
        <f t="shared" si="3"/>
        <v>N</v>
      </c>
      <c r="H33" s="8" t="str">
        <f t="shared" si="4"/>
        <v>Lower</v>
      </c>
      <c r="I33" s="8" t="str">
        <f t="shared" si="5"/>
        <v>Outside</v>
      </c>
      <c r="J33" s="8" t="str">
        <f t="shared" si="6"/>
        <v>Outside</v>
      </c>
      <c r="K33" s="8" t="str">
        <f t="shared" si="7"/>
        <v>Post-1949</v>
      </c>
      <c r="L33" s="8">
        <f t="shared" si="8"/>
        <v>2018</v>
      </c>
      <c r="M33" s="8" t="str">
        <f t="shared" si="10"/>
        <v>1991-present</v>
      </c>
      <c r="N33" s="10" t="s">
        <v>242</v>
      </c>
      <c r="O33" s="10" t="s">
        <v>242</v>
      </c>
      <c r="P33" s="10" t="s">
        <v>242</v>
      </c>
      <c r="Q33" s="10" t="s">
        <v>242</v>
      </c>
      <c r="R33" s="10" t="s">
        <v>241</v>
      </c>
      <c r="S33" s="10" t="s">
        <v>242</v>
      </c>
      <c r="T33" s="10" t="s">
        <v>241</v>
      </c>
      <c r="U33" s="10" t="s">
        <v>241</v>
      </c>
      <c r="V33" s="10" t="s">
        <v>241</v>
      </c>
      <c r="W33" s="10" t="s">
        <v>242</v>
      </c>
      <c r="X33" s="15">
        <f>IF(ISERROR(VLOOKUP($A33,'13. Updated Demand'!A:Z,15,FALSE)),0,VLOOKUP($A33,'13. Updated Demand'!A:Z,15,FALSE))</f>
        <v>0</v>
      </c>
      <c r="Y33" s="16">
        <f>IF(ISERROR(VLOOKUP($A33,'13. Updated Demand'!A:Z,16,FALSE)),0,VLOOKUP($A33,'13. Updated Demand'!A:Z,16,FALSE))</f>
        <v>0</v>
      </c>
      <c r="Z33" s="16">
        <f>IF(ISERROR(VLOOKUP($A33,'13. Updated Demand'!A:Z,17,FALSE)),0,VLOOKUP($A33,'13. Updated Demand'!A:Z,17,FALSE))</f>
        <v>0</v>
      </c>
      <c r="AA33" s="16">
        <f>IF(ISERROR(VLOOKUP($A33,'13. Updated Demand'!A:Z,18,FALSE)),0,VLOOKUP($A33,'13. Updated Demand'!A:Z,18,FALSE))</f>
        <v>0</v>
      </c>
      <c r="AB33" s="16">
        <f>IF(ISERROR(VLOOKUP($A33,'13. Updated Demand'!A:Z,19,FALSE)),0,VLOOKUP($A33,'13. Updated Demand'!A:Z,19,FALSE))</f>
        <v>0</v>
      </c>
      <c r="AC33" s="16">
        <f>IF(ISERROR(VLOOKUP($A33,'13. Updated Demand'!A:Z,20,FALSE)),0,VLOOKUP($A33,'13. Updated Demand'!A:Z,20,FALSE))</f>
        <v>0</v>
      </c>
      <c r="AD33" s="16">
        <f>IF(ISERROR(VLOOKUP($A33,'13. Updated Demand'!A:Z,21,FALSE)),0,VLOOKUP($A33,'13. Updated Demand'!A:Z,21,FALSE))</f>
        <v>0</v>
      </c>
      <c r="AE33" s="16">
        <f>IF(ISERROR(VLOOKUP($A33,'13. Updated Demand'!A:Z,22,FALSE)),0,VLOOKUP($A33,'13. Updated Demand'!A:Z,22,FALSE))</f>
        <v>0</v>
      </c>
      <c r="AF33" s="16">
        <f>IF(ISERROR(VLOOKUP($A33,'13. Updated Demand'!A:Z,23,FALSE)),0,VLOOKUP($A33,'13. Updated Demand'!A:Z,23,FALSE))</f>
        <v>0</v>
      </c>
      <c r="AG33" s="16">
        <f>IF(ISERROR(VLOOKUP($A33,'13. Updated Demand'!A:Z,24,FALSE)),0,VLOOKUP($A33,'13. Updated Demand'!A:Z,24,FALSE))</f>
        <v>0</v>
      </c>
      <c r="AH33" s="16">
        <f>IF(ISERROR(VLOOKUP($A33,'13. Updated Demand'!A:Z,25,FALSE)),0,VLOOKUP($A33,'13. Updated Demand'!A:Z,25,FALSE))</f>
        <v>0</v>
      </c>
      <c r="AI33" s="16">
        <f>IF(ISERROR(VLOOKUP($A33,'13. Updated Demand'!A:Z,26,FALSE)),0,VLOOKUP($A33,'13. Updated Demand'!A:Z,26,FALSE))</f>
        <v>0</v>
      </c>
      <c r="AJ33" s="16">
        <f t="shared" si="12"/>
        <v>0</v>
      </c>
      <c r="AK33" s="19">
        <v>0</v>
      </c>
      <c r="AL33" s="16">
        <f t="shared" si="9"/>
        <v>0</v>
      </c>
      <c r="AM33" s="17">
        <v>0</v>
      </c>
      <c r="AN33" s="19"/>
      <c r="AO33" s="19"/>
      <c r="AP33" s="19">
        <v>9.82</v>
      </c>
      <c r="AQ33" s="19" t="s">
        <v>307</v>
      </c>
      <c r="AR33" s="9" t="s">
        <v>352</v>
      </c>
      <c r="AS33" s="12">
        <v>0</v>
      </c>
      <c r="AT33" s="19">
        <v>38.463836069999999</v>
      </c>
      <c r="AU33" s="19">
        <v>-122.92358744000001</v>
      </c>
      <c r="AV33" s="19" t="s">
        <v>320</v>
      </c>
    </row>
    <row r="34" spans="1:48" x14ac:dyDescent="0.25">
      <c r="A34" s="18" t="s">
        <v>360</v>
      </c>
      <c r="B34" s="10">
        <v>20180403</v>
      </c>
      <c r="C34" s="9">
        <v>9</v>
      </c>
      <c r="D34" s="8" t="str">
        <f t="shared" si="0"/>
        <v>N</v>
      </c>
      <c r="E34" s="8" t="str">
        <f t="shared" si="1"/>
        <v>Y</v>
      </c>
      <c r="F34" s="8" t="str">
        <f t="shared" si="2"/>
        <v>Y</v>
      </c>
      <c r="G34" s="8" t="str">
        <f t="shared" si="3"/>
        <v>Y</v>
      </c>
      <c r="H34" s="8" t="str">
        <f t="shared" si="4"/>
        <v>Upper</v>
      </c>
      <c r="I34" s="8" t="str">
        <f t="shared" si="5"/>
        <v>West Fork and Below Lake</v>
      </c>
      <c r="J34" s="8" t="str">
        <f t="shared" si="6"/>
        <v>Sonoma (d/s of Clov. Gage)</v>
      </c>
      <c r="K34" s="8" t="str">
        <f t="shared" si="7"/>
        <v>Post-1949</v>
      </c>
      <c r="L34" s="8">
        <f t="shared" si="8"/>
        <v>2018</v>
      </c>
      <c r="M34" s="8" t="str">
        <f t="shared" si="10"/>
        <v>1991-present</v>
      </c>
      <c r="N34" s="10" t="s">
        <v>242</v>
      </c>
      <c r="O34" s="10" t="s">
        <v>241</v>
      </c>
      <c r="P34" s="10" t="s">
        <v>242</v>
      </c>
      <c r="Q34" s="10" t="s">
        <v>242</v>
      </c>
      <c r="R34" s="10" t="s">
        <v>241</v>
      </c>
      <c r="S34" s="10" t="s">
        <v>242</v>
      </c>
      <c r="T34" s="10" t="s">
        <v>241</v>
      </c>
      <c r="U34" s="10" t="s">
        <v>241</v>
      </c>
      <c r="V34" s="10" t="s">
        <v>241</v>
      </c>
      <c r="W34" s="10" t="s">
        <v>242</v>
      </c>
      <c r="X34" s="15">
        <f>IF(ISERROR(VLOOKUP($A34,'13. Updated Demand'!A:Z,15,FALSE)),0,VLOOKUP($A34,'13. Updated Demand'!A:Z,15,FALSE))</f>
        <v>0</v>
      </c>
      <c r="Y34" s="16">
        <f>IF(ISERROR(VLOOKUP($A34,'13. Updated Demand'!A:Z,16,FALSE)),0,VLOOKUP($A34,'13. Updated Demand'!A:Z,16,FALSE))</f>
        <v>0</v>
      </c>
      <c r="Z34" s="16">
        <f>IF(ISERROR(VLOOKUP($A34,'13. Updated Demand'!A:Z,17,FALSE)),0,VLOOKUP($A34,'13. Updated Demand'!A:Z,17,FALSE))</f>
        <v>0</v>
      </c>
      <c r="AA34" s="16">
        <f>IF(ISERROR(VLOOKUP($A34,'13. Updated Demand'!A:Z,18,FALSE)),0,VLOOKUP($A34,'13. Updated Demand'!A:Z,18,FALSE))</f>
        <v>0</v>
      </c>
      <c r="AB34" s="16">
        <f>IF(ISERROR(VLOOKUP($A34,'13. Updated Demand'!A:Z,19,FALSE)),0,VLOOKUP($A34,'13. Updated Demand'!A:Z,19,FALSE))</f>
        <v>0</v>
      </c>
      <c r="AC34" s="16">
        <f>IF(ISERROR(VLOOKUP($A34,'13. Updated Demand'!A:Z,20,FALSE)),0,VLOOKUP($A34,'13. Updated Demand'!A:Z,20,FALSE))</f>
        <v>0</v>
      </c>
      <c r="AD34" s="16">
        <f>IF(ISERROR(VLOOKUP($A34,'13. Updated Demand'!A:Z,21,FALSE)),0,VLOOKUP($A34,'13. Updated Demand'!A:Z,21,FALSE))</f>
        <v>0</v>
      </c>
      <c r="AE34" s="16">
        <f>IF(ISERROR(VLOOKUP($A34,'13. Updated Demand'!A:Z,22,FALSE)),0,VLOOKUP($A34,'13. Updated Demand'!A:Z,22,FALSE))</f>
        <v>0</v>
      </c>
      <c r="AF34" s="16">
        <f>IF(ISERROR(VLOOKUP($A34,'13. Updated Demand'!A:Z,23,FALSE)),0,VLOOKUP($A34,'13. Updated Demand'!A:Z,23,FALSE))</f>
        <v>0</v>
      </c>
      <c r="AG34" s="16">
        <f>IF(ISERROR(VLOOKUP($A34,'13. Updated Demand'!A:Z,24,FALSE)),0,VLOOKUP($A34,'13. Updated Demand'!A:Z,24,FALSE))</f>
        <v>0</v>
      </c>
      <c r="AH34" s="16">
        <f>IF(ISERROR(VLOOKUP($A34,'13. Updated Demand'!A:Z,25,FALSE)),0,VLOOKUP($A34,'13. Updated Demand'!A:Z,25,FALSE))</f>
        <v>0</v>
      </c>
      <c r="AI34" s="16">
        <f>IF(ISERROR(VLOOKUP($A34,'13. Updated Demand'!A:Z,26,FALSE)),0,VLOOKUP($A34,'13. Updated Demand'!A:Z,26,FALSE))</f>
        <v>0</v>
      </c>
      <c r="AJ34" s="16">
        <f t="shared" si="12"/>
        <v>0</v>
      </c>
      <c r="AK34" s="19">
        <v>0</v>
      </c>
      <c r="AL34" s="16">
        <f t="shared" si="9"/>
        <v>0</v>
      </c>
      <c r="AM34" s="17">
        <v>0</v>
      </c>
      <c r="AN34" s="19"/>
      <c r="AO34" s="19"/>
      <c r="AP34" s="19">
        <v>20</v>
      </c>
      <c r="AQ34" s="19" t="s">
        <v>307</v>
      </c>
      <c r="AR34" s="9" t="s">
        <v>354</v>
      </c>
      <c r="AS34" s="12">
        <v>0</v>
      </c>
      <c r="AT34" s="19">
        <v>38.857508000000003</v>
      </c>
      <c r="AU34" s="19">
        <v>-122.972279</v>
      </c>
      <c r="AV34" s="19" t="s">
        <v>320</v>
      </c>
    </row>
    <row r="35" spans="1:48" x14ac:dyDescent="0.25">
      <c r="A35" s="18" t="s">
        <v>361</v>
      </c>
      <c r="B35" s="10">
        <v>20180206</v>
      </c>
      <c r="C35" s="9">
        <v>6</v>
      </c>
      <c r="D35" s="8" t="str">
        <f t="shared" si="0"/>
        <v>Y</v>
      </c>
      <c r="E35" s="8" t="str">
        <f t="shared" si="1"/>
        <v>N</v>
      </c>
      <c r="F35" s="8" t="str">
        <f t="shared" si="2"/>
        <v>Y</v>
      </c>
      <c r="G35" s="8" t="str">
        <f t="shared" si="3"/>
        <v>Y</v>
      </c>
      <c r="H35" s="8" t="str">
        <f t="shared" si="4"/>
        <v>Upper</v>
      </c>
      <c r="I35" s="8" t="str">
        <f t="shared" si="5"/>
        <v>West Fork and Below Lake</v>
      </c>
      <c r="J35" s="8" t="str">
        <f t="shared" si="6"/>
        <v>Mendocino (d/s of lake)</v>
      </c>
      <c r="K35" s="8" t="str">
        <f t="shared" si="7"/>
        <v>Post-1949</v>
      </c>
      <c r="L35" s="8">
        <f t="shared" si="8"/>
        <v>2018</v>
      </c>
      <c r="M35" s="8" t="str">
        <f t="shared" si="10"/>
        <v>1991-present</v>
      </c>
      <c r="N35" s="10" t="s">
        <v>242</v>
      </c>
      <c r="O35" s="10" t="s">
        <v>241</v>
      </c>
      <c r="P35" s="10" t="s">
        <v>242</v>
      </c>
      <c r="Q35" s="10" t="s">
        <v>242</v>
      </c>
      <c r="R35" s="10" t="s">
        <v>241</v>
      </c>
      <c r="S35" s="10" t="s">
        <v>242</v>
      </c>
      <c r="T35" s="10" t="s">
        <v>242</v>
      </c>
      <c r="U35" s="10" t="s">
        <v>242</v>
      </c>
      <c r="V35" s="10" t="s">
        <v>242</v>
      </c>
      <c r="W35" s="10" t="s">
        <v>242</v>
      </c>
      <c r="X35" s="15">
        <f>IF(ISERROR(VLOOKUP($A35,'13. Updated Demand'!A:Z,15,FALSE)),0,VLOOKUP($A35,'13. Updated Demand'!A:Z,15,FALSE))</f>
        <v>0.02</v>
      </c>
      <c r="Y35" s="16">
        <f>IF(ISERROR(VLOOKUP($A35,'13. Updated Demand'!A:Z,16,FALSE)),0,VLOOKUP($A35,'13. Updated Demand'!A:Z,16,FALSE))</f>
        <v>0.02</v>
      </c>
      <c r="Z35" s="16">
        <f>IF(ISERROR(VLOOKUP($A35,'13. Updated Demand'!A:Z,17,FALSE)),0,VLOOKUP($A35,'13. Updated Demand'!A:Z,17,FALSE))</f>
        <v>0.03</v>
      </c>
      <c r="AA35" s="16">
        <f>IF(ISERROR(VLOOKUP($A35,'13. Updated Demand'!A:Z,18,FALSE)),0,VLOOKUP($A35,'13. Updated Demand'!A:Z,18,FALSE))</f>
        <v>0.03</v>
      </c>
      <c r="AB35" s="16">
        <f>IF(ISERROR(VLOOKUP($A35,'13. Updated Demand'!A:Z,19,FALSE)),0,VLOOKUP($A35,'13. Updated Demand'!A:Z,19,FALSE))</f>
        <v>0.05</v>
      </c>
      <c r="AC35" s="16">
        <f>IF(ISERROR(VLOOKUP($A35,'13. Updated Demand'!A:Z,20,FALSE)),0,VLOOKUP($A35,'13. Updated Demand'!A:Z,20,FALSE))</f>
        <v>0.05</v>
      </c>
      <c r="AD35" s="16">
        <f>IF(ISERROR(VLOOKUP($A35,'13. Updated Demand'!A:Z,21,FALSE)),0,VLOOKUP($A35,'13. Updated Demand'!A:Z,21,FALSE))</f>
        <v>0</v>
      </c>
      <c r="AE35" s="16">
        <f>IF(ISERROR(VLOOKUP($A35,'13. Updated Demand'!A:Z,22,FALSE)),0,VLOOKUP($A35,'13. Updated Demand'!A:Z,22,FALSE))</f>
        <v>0</v>
      </c>
      <c r="AF35" s="16">
        <f>IF(ISERROR(VLOOKUP($A35,'13. Updated Demand'!A:Z,23,FALSE)),0,VLOOKUP($A35,'13. Updated Demand'!A:Z,23,FALSE))</f>
        <v>0</v>
      </c>
      <c r="AG35" s="16">
        <f>IF(ISERROR(VLOOKUP($A35,'13. Updated Demand'!A:Z,24,FALSE)),0,VLOOKUP($A35,'13. Updated Demand'!A:Z,24,FALSE))</f>
        <v>0</v>
      </c>
      <c r="AH35" s="16">
        <f>IF(ISERROR(VLOOKUP($A35,'13. Updated Demand'!A:Z,25,FALSE)),0,VLOOKUP($A35,'13. Updated Demand'!A:Z,25,FALSE))</f>
        <v>0.02</v>
      </c>
      <c r="AI35" s="16">
        <f>IF(ISERROR(VLOOKUP($A35,'13. Updated Demand'!A:Z,26,FALSE)),0,VLOOKUP($A35,'13. Updated Demand'!A:Z,26,FALSE))</f>
        <v>0</v>
      </c>
      <c r="AJ35" s="16">
        <f t="shared" si="12"/>
        <v>0.22</v>
      </c>
      <c r="AK35" s="19">
        <v>0.1</v>
      </c>
      <c r="AL35" s="16">
        <f t="shared" si="9"/>
        <v>3.3168860892955089E-4</v>
      </c>
      <c r="AM35" s="17">
        <v>1</v>
      </c>
      <c r="AN35" s="19"/>
      <c r="AO35" s="19"/>
      <c r="AP35" s="19">
        <v>0.23</v>
      </c>
      <c r="AQ35" s="19" t="s">
        <v>307</v>
      </c>
      <c r="AR35" s="9" t="s">
        <v>319</v>
      </c>
      <c r="AS35" s="12">
        <v>0</v>
      </c>
      <c r="AT35" s="19">
        <v>38.992699999999999</v>
      </c>
      <c r="AU35" s="19">
        <v>-123.215</v>
      </c>
      <c r="AV35" s="19" t="s">
        <v>362</v>
      </c>
    </row>
    <row r="36" spans="1:48" x14ac:dyDescent="0.25">
      <c r="A36" s="18" t="s">
        <v>363</v>
      </c>
      <c r="B36" s="10">
        <v>20180330</v>
      </c>
      <c r="C36" s="9">
        <v>1</v>
      </c>
      <c r="D36" s="8" t="str">
        <f t="shared" si="0"/>
        <v>N</v>
      </c>
      <c r="E36" s="8" t="str">
        <f t="shared" si="1"/>
        <v>N</v>
      </c>
      <c r="F36" s="8" t="str">
        <f t="shared" si="2"/>
        <v>Y</v>
      </c>
      <c r="G36" s="8" t="str">
        <f t="shared" si="3"/>
        <v>Y</v>
      </c>
      <c r="H36" s="8" t="str">
        <f t="shared" si="4"/>
        <v>Upper</v>
      </c>
      <c r="I36" s="8" t="str">
        <f t="shared" si="5"/>
        <v>West Fork and Below Lake</v>
      </c>
      <c r="J36" s="8" t="str">
        <f t="shared" si="6"/>
        <v>Outside</v>
      </c>
      <c r="K36" s="8" t="str">
        <f t="shared" si="7"/>
        <v>Post-1949</v>
      </c>
      <c r="L36" s="8">
        <f t="shared" si="8"/>
        <v>2018</v>
      </c>
      <c r="M36" s="8" t="str">
        <f t="shared" si="10"/>
        <v>1991-present</v>
      </c>
      <c r="N36" s="10" t="s">
        <v>242</v>
      </c>
      <c r="O36" s="10" t="s">
        <v>241</v>
      </c>
      <c r="P36" s="10" t="s">
        <v>242</v>
      </c>
      <c r="Q36" s="10" t="s">
        <v>242</v>
      </c>
      <c r="R36" s="10" t="s">
        <v>241</v>
      </c>
      <c r="S36" s="10" t="s">
        <v>242</v>
      </c>
      <c r="T36" s="10" t="s">
        <v>242</v>
      </c>
      <c r="U36" s="10" t="s">
        <v>241</v>
      </c>
      <c r="V36" s="10" t="s">
        <v>241</v>
      </c>
      <c r="W36" s="10" t="s">
        <v>242</v>
      </c>
      <c r="X36" s="15">
        <f>IF(ISERROR(VLOOKUP($A36,'13. Updated Demand'!A:Z,15,FALSE)),0,VLOOKUP($A36,'13. Updated Demand'!A:Z,15,FALSE))</f>
        <v>0</v>
      </c>
      <c r="Y36" s="16">
        <f>IF(ISERROR(VLOOKUP($A36,'13. Updated Demand'!A:Z,16,FALSE)),0,VLOOKUP($A36,'13. Updated Demand'!A:Z,16,FALSE))</f>
        <v>0</v>
      </c>
      <c r="Z36" s="16">
        <f>IF(ISERROR(VLOOKUP($A36,'13. Updated Demand'!A:Z,17,FALSE)),0,VLOOKUP($A36,'13. Updated Demand'!A:Z,17,FALSE))</f>
        <v>0</v>
      </c>
      <c r="AA36" s="16">
        <f>IF(ISERROR(VLOOKUP($A36,'13. Updated Demand'!A:Z,18,FALSE)),0,VLOOKUP($A36,'13. Updated Demand'!A:Z,18,FALSE))</f>
        <v>0</v>
      </c>
      <c r="AB36" s="16">
        <f>IF(ISERROR(VLOOKUP($A36,'13. Updated Demand'!A:Z,19,FALSE)),0,VLOOKUP($A36,'13. Updated Demand'!A:Z,19,FALSE))</f>
        <v>0</v>
      </c>
      <c r="AC36" s="16">
        <f>IF(ISERROR(VLOOKUP($A36,'13. Updated Demand'!A:Z,20,FALSE)),0,VLOOKUP($A36,'13. Updated Demand'!A:Z,20,FALSE))</f>
        <v>0</v>
      </c>
      <c r="AD36" s="16">
        <f>IF(ISERROR(VLOOKUP($A36,'13. Updated Demand'!A:Z,21,FALSE)),0,VLOOKUP($A36,'13. Updated Demand'!A:Z,21,FALSE))</f>
        <v>0</v>
      </c>
      <c r="AE36" s="16">
        <f>IF(ISERROR(VLOOKUP($A36,'13. Updated Demand'!A:Z,22,FALSE)),0,VLOOKUP($A36,'13. Updated Demand'!A:Z,22,FALSE))</f>
        <v>0</v>
      </c>
      <c r="AF36" s="16">
        <f>IF(ISERROR(VLOOKUP($A36,'13. Updated Demand'!A:Z,23,FALSE)),0,VLOOKUP($A36,'13. Updated Demand'!A:Z,23,FALSE))</f>
        <v>0</v>
      </c>
      <c r="AG36" s="16">
        <f>IF(ISERROR(VLOOKUP($A36,'13. Updated Demand'!A:Z,24,FALSE)),0,VLOOKUP($A36,'13. Updated Demand'!A:Z,24,FALSE))</f>
        <v>0</v>
      </c>
      <c r="AH36" s="16">
        <f>IF(ISERROR(VLOOKUP($A36,'13. Updated Demand'!A:Z,25,FALSE)),0,VLOOKUP($A36,'13. Updated Demand'!A:Z,25,FALSE))</f>
        <v>0</v>
      </c>
      <c r="AI36" s="16">
        <f>IF(ISERROR(VLOOKUP($A36,'13. Updated Demand'!A:Z,26,FALSE)),0,VLOOKUP($A36,'13. Updated Demand'!A:Z,26,FALSE))</f>
        <v>0</v>
      </c>
      <c r="AJ36" s="16">
        <f t="shared" si="12"/>
        <v>0</v>
      </c>
      <c r="AK36" s="19">
        <v>0</v>
      </c>
      <c r="AL36" s="16">
        <f t="shared" si="9"/>
        <v>0</v>
      </c>
      <c r="AM36" s="17">
        <v>0</v>
      </c>
      <c r="AN36" s="19"/>
      <c r="AO36" s="19"/>
      <c r="AP36" s="19">
        <v>0.97</v>
      </c>
      <c r="AQ36" s="19" t="s">
        <v>307</v>
      </c>
      <c r="AR36" s="9" t="s">
        <v>317</v>
      </c>
      <c r="AS36" s="12">
        <v>0</v>
      </c>
      <c r="AT36" s="19">
        <v>39.260199999999998</v>
      </c>
      <c r="AU36" s="19">
        <v>-123.17</v>
      </c>
      <c r="AV36" s="19" t="s">
        <v>320</v>
      </c>
    </row>
    <row r="37" spans="1:48" x14ac:dyDescent="0.25">
      <c r="A37" s="18" t="s">
        <v>364</v>
      </c>
      <c r="B37" s="10">
        <v>20180321</v>
      </c>
      <c r="C37" s="9">
        <v>1</v>
      </c>
      <c r="D37" s="8" t="str">
        <f t="shared" si="0"/>
        <v>N</v>
      </c>
      <c r="E37" s="8" t="str">
        <f t="shared" si="1"/>
        <v>N</v>
      </c>
      <c r="F37" s="8" t="str">
        <f t="shared" si="2"/>
        <v>Y</v>
      </c>
      <c r="G37" s="8" t="str">
        <f t="shared" si="3"/>
        <v>Y</v>
      </c>
      <c r="H37" s="8" t="str">
        <f t="shared" si="4"/>
        <v>Upper</v>
      </c>
      <c r="I37" s="8" t="str">
        <f t="shared" si="5"/>
        <v>West Fork and Below Lake</v>
      </c>
      <c r="J37" s="8" t="str">
        <f t="shared" si="6"/>
        <v>Outside</v>
      </c>
      <c r="K37" s="8" t="str">
        <f t="shared" si="7"/>
        <v>Post-1949</v>
      </c>
      <c r="L37" s="8">
        <f t="shared" si="8"/>
        <v>2018</v>
      </c>
      <c r="M37" s="8" t="str">
        <f t="shared" si="10"/>
        <v>1991-present</v>
      </c>
      <c r="N37" s="10" t="s">
        <v>242</v>
      </c>
      <c r="O37" s="10" t="s">
        <v>241</v>
      </c>
      <c r="P37" s="10" t="s">
        <v>242</v>
      </c>
      <c r="Q37" s="10" t="s">
        <v>242</v>
      </c>
      <c r="R37" s="10" t="s">
        <v>241</v>
      </c>
      <c r="S37" s="10" t="s">
        <v>242</v>
      </c>
      <c r="T37" s="10" t="s">
        <v>242</v>
      </c>
      <c r="U37" s="10" t="s">
        <v>242</v>
      </c>
      <c r="V37" s="10" t="s">
        <v>241</v>
      </c>
      <c r="W37" s="10" t="s">
        <v>242</v>
      </c>
      <c r="X37" s="15">
        <f>IF(ISERROR(VLOOKUP($A37,'13. Updated Demand'!A:Z,15,FALSE)),0,VLOOKUP($A37,'13. Updated Demand'!A:Z,15,FALSE))</f>
        <v>0.27</v>
      </c>
      <c r="Y37" s="16">
        <f>IF(ISERROR(VLOOKUP($A37,'13. Updated Demand'!A:Z,16,FALSE)),0,VLOOKUP($A37,'13. Updated Demand'!A:Z,16,FALSE))</f>
        <v>0.27</v>
      </c>
      <c r="Z37" s="16">
        <f>IF(ISERROR(VLOOKUP($A37,'13. Updated Demand'!A:Z,17,FALSE)),0,VLOOKUP($A37,'13. Updated Demand'!A:Z,17,FALSE))</f>
        <v>0.27</v>
      </c>
      <c r="AA37" s="16">
        <f>IF(ISERROR(VLOOKUP($A37,'13. Updated Demand'!A:Z,18,FALSE)),0,VLOOKUP($A37,'13. Updated Demand'!A:Z,18,FALSE))</f>
        <v>0</v>
      </c>
      <c r="AB37" s="16">
        <f>IF(ISERROR(VLOOKUP($A37,'13. Updated Demand'!A:Z,19,FALSE)),0,VLOOKUP($A37,'13. Updated Demand'!A:Z,19,FALSE))</f>
        <v>0</v>
      </c>
      <c r="AC37" s="16">
        <f>IF(ISERROR(VLOOKUP($A37,'13. Updated Demand'!A:Z,20,FALSE)),0,VLOOKUP($A37,'13. Updated Demand'!A:Z,20,FALSE))</f>
        <v>0</v>
      </c>
      <c r="AD37" s="16">
        <f>IF(ISERROR(VLOOKUP($A37,'13. Updated Demand'!A:Z,21,FALSE)),0,VLOOKUP($A37,'13. Updated Demand'!A:Z,21,FALSE))</f>
        <v>0</v>
      </c>
      <c r="AE37" s="16">
        <f>IF(ISERROR(VLOOKUP($A37,'13. Updated Demand'!A:Z,22,FALSE)),0,VLOOKUP($A37,'13. Updated Demand'!A:Z,22,FALSE))</f>
        <v>0</v>
      </c>
      <c r="AF37" s="16">
        <f>IF(ISERROR(VLOOKUP($A37,'13. Updated Demand'!A:Z,23,FALSE)),0,VLOOKUP($A37,'13. Updated Demand'!A:Z,23,FALSE))</f>
        <v>0</v>
      </c>
      <c r="AG37" s="16">
        <f>IF(ISERROR(VLOOKUP($A37,'13. Updated Demand'!A:Z,24,FALSE)),0,VLOOKUP($A37,'13. Updated Demand'!A:Z,24,FALSE))</f>
        <v>0</v>
      </c>
      <c r="AH37" s="16">
        <f>IF(ISERROR(VLOOKUP($A37,'13. Updated Demand'!A:Z,25,FALSE)),0,VLOOKUP($A37,'13. Updated Demand'!A:Z,25,FALSE))</f>
        <v>0.27</v>
      </c>
      <c r="AI37" s="16">
        <f>IF(ISERROR(VLOOKUP($A37,'13. Updated Demand'!A:Z,26,FALSE)),0,VLOOKUP($A37,'13. Updated Demand'!A:Z,26,FALSE))</f>
        <v>0.27</v>
      </c>
      <c r="AJ37" s="16">
        <f t="shared" si="12"/>
        <v>1.35</v>
      </c>
      <c r="AK37" s="19">
        <v>0</v>
      </c>
      <c r="AL37" s="16">
        <f t="shared" si="9"/>
        <v>0</v>
      </c>
      <c r="AM37" s="17">
        <v>0.99854347826086964</v>
      </c>
      <c r="AN37" s="19"/>
      <c r="AO37" s="19"/>
      <c r="AP37" s="19">
        <v>1.38</v>
      </c>
      <c r="AQ37" s="19" t="s">
        <v>307</v>
      </c>
      <c r="AR37" s="9" t="s">
        <v>317</v>
      </c>
      <c r="AS37" s="12">
        <v>0</v>
      </c>
      <c r="AT37" s="19">
        <v>39.220402780000001</v>
      </c>
      <c r="AU37" s="19">
        <v>-123.29479167</v>
      </c>
      <c r="AV37" s="19"/>
    </row>
    <row r="38" spans="1:48" x14ac:dyDescent="0.25">
      <c r="A38" s="18" t="s">
        <v>365</v>
      </c>
      <c r="B38" s="10">
        <v>20180927</v>
      </c>
      <c r="C38" s="9">
        <v>6</v>
      </c>
      <c r="D38" s="8" t="str">
        <f t="shared" si="0"/>
        <v>Y</v>
      </c>
      <c r="E38" s="8" t="str">
        <f t="shared" si="1"/>
        <v>N</v>
      </c>
      <c r="F38" s="8" t="str">
        <f t="shared" si="2"/>
        <v>Y</v>
      </c>
      <c r="G38" s="8" t="str">
        <f t="shared" si="3"/>
        <v>Y</v>
      </c>
      <c r="H38" s="8" t="str">
        <f t="shared" si="4"/>
        <v>Upper</v>
      </c>
      <c r="I38" s="8" t="str">
        <f t="shared" si="5"/>
        <v>West Fork and Below Lake</v>
      </c>
      <c r="J38" s="8" t="str">
        <f t="shared" si="6"/>
        <v>Mendocino (d/s of lake)</v>
      </c>
      <c r="K38" s="8" t="str">
        <f t="shared" si="7"/>
        <v>Post-1949</v>
      </c>
      <c r="L38" s="8">
        <f t="shared" si="8"/>
        <v>2018</v>
      </c>
      <c r="M38" s="8" t="str">
        <f t="shared" si="10"/>
        <v>1991-present</v>
      </c>
      <c r="N38" s="10" t="s">
        <v>242</v>
      </c>
      <c r="O38" s="10" t="s">
        <v>241</v>
      </c>
      <c r="P38" s="10" t="s">
        <v>242</v>
      </c>
      <c r="Q38" s="10" t="s">
        <v>242</v>
      </c>
      <c r="R38" s="10" t="s">
        <v>241</v>
      </c>
      <c r="S38" s="10" t="s">
        <v>242</v>
      </c>
      <c r="T38" s="10" t="s">
        <v>242</v>
      </c>
      <c r="U38" s="10" t="s">
        <v>242</v>
      </c>
      <c r="V38" s="10" t="s">
        <v>241</v>
      </c>
      <c r="W38" s="10" t="s">
        <v>242</v>
      </c>
      <c r="X38" s="15">
        <f>IF(ISERROR(VLOOKUP($A38,'13. Updated Demand'!A:Z,15,FALSE)),0,VLOOKUP($A38,'13. Updated Demand'!A:Z,15,FALSE))</f>
        <v>0.61</v>
      </c>
      <c r="Y38" s="16">
        <f>IF(ISERROR(VLOOKUP($A38,'13. Updated Demand'!A:Z,16,FALSE)),0,VLOOKUP($A38,'13. Updated Demand'!A:Z,16,FALSE))</f>
        <v>0.61</v>
      </c>
      <c r="Z38" s="16">
        <f>IF(ISERROR(VLOOKUP($A38,'13. Updated Demand'!A:Z,17,FALSE)),0,VLOOKUP($A38,'13. Updated Demand'!A:Z,17,FALSE))</f>
        <v>0.61</v>
      </c>
      <c r="AA38" s="16">
        <f>IF(ISERROR(VLOOKUP($A38,'13. Updated Demand'!A:Z,18,FALSE)),0,VLOOKUP($A38,'13. Updated Demand'!A:Z,18,FALSE))</f>
        <v>0</v>
      </c>
      <c r="AB38" s="16">
        <f>IF(ISERROR(VLOOKUP($A38,'13. Updated Demand'!A:Z,19,FALSE)),0,VLOOKUP($A38,'13. Updated Demand'!A:Z,19,FALSE))</f>
        <v>0</v>
      </c>
      <c r="AC38" s="16">
        <f>IF(ISERROR(VLOOKUP($A38,'13. Updated Demand'!A:Z,20,FALSE)),0,VLOOKUP($A38,'13. Updated Demand'!A:Z,20,FALSE))</f>
        <v>0</v>
      </c>
      <c r="AD38" s="16">
        <f>IF(ISERROR(VLOOKUP($A38,'13. Updated Demand'!A:Z,21,FALSE)),0,VLOOKUP($A38,'13. Updated Demand'!A:Z,21,FALSE))</f>
        <v>0</v>
      </c>
      <c r="AE38" s="16">
        <f>IF(ISERROR(VLOOKUP($A38,'13. Updated Demand'!A:Z,22,FALSE)),0,VLOOKUP($A38,'13. Updated Demand'!A:Z,22,FALSE))</f>
        <v>0</v>
      </c>
      <c r="AF38" s="16">
        <f>IF(ISERROR(VLOOKUP($A38,'13. Updated Demand'!A:Z,23,FALSE)),0,VLOOKUP($A38,'13. Updated Demand'!A:Z,23,FALSE))</f>
        <v>0</v>
      </c>
      <c r="AG38" s="16">
        <f>IF(ISERROR(VLOOKUP($A38,'13. Updated Demand'!A:Z,24,FALSE)),0,VLOOKUP($A38,'13. Updated Demand'!A:Z,24,FALSE))</f>
        <v>0</v>
      </c>
      <c r="AH38" s="16">
        <f>IF(ISERROR(VLOOKUP($A38,'13. Updated Demand'!A:Z,25,FALSE)),0,VLOOKUP($A38,'13. Updated Demand'!A:Z,25,FALSE))</f>
        <v>0.61</v>
      </c>
      <c r="AI38" s="16">
        <f>IF(ISERROR(VLOOKUP($A38,'13. Updated Demand'!A:Z,26,FALSE)),0,VLOOKUP($A38,'13. Updated Demand'!A:Z,26,FALSE))</f>
        <v>0.61</v>
      </c>
      <c r="AJ38" s="16">
        <f t="shared" si="12"/>
        <v>3.05</v>
      </c>
      <c r="AK38" s="19">
        <v>0</v>
      </c>
      <c r="AL38" s="16">
        <f t="shared" si="9"/>
        <v>0</v>
      </c>
      <c r="AM38" s="17">
        <v>1</v>
      </c>
      <c r="AN38" s="19"/>
      <c r="AO38" s="19"/>
      <c r="AP38" s="19">
        <v>3.09</v>
      </c>
      <c r="AQ38" s="19" t="s">
        <v>307</v>
      </c>
      <c r="AR38" s="9" t="s">
        <v>319</v>
      </c>
      <c r="AS38" s="12">
        <v>0</v>
      </c>
      <c r="AT38" s="19">
        <v>39.012</v>
      </c>
      <c r="AU38" s="19">
        <v>-123.1863</v>
      </c>
      <c r="AV38" s="19" t="s">
        <v>315</v>
      </c>
    </row>
    <row r="39" spans="1:48" x14ac:dyDescent="0.25">
      <c r="A39" s="18" t="s">
        <v>366</v>
      </c>
      <c r="B39" s="10">
        <v>20180411</v>
      </c>
      <c r="C39" s="9">
        <v>6</v>
      </c>
      <c r="D39" s="8" t="str">
        <f t="shared" si="0"/>
        <v>Y</v>
      </c>
      <c r="E39" s="8" t="str">
        <f t="shared" si="1"/>
        <v>N</v>
      </c>
      <c r="F39" s="8" t="str">
        <f t="shared" si="2"/>
        <v>Y</v>
      </c>
      <c r="G39" s="8" t="str">
        <f t="shared" si="3"/>
        <v>Y</v>
      </c>
      <c r="H39" s="8" t="str">
        <f t="shared" si="4"/>
        <v>Upper</v>
      </c>
      <c r="I39" s="8" t="str">
        <f t="shared" si="5"/>
        <v>West Fork and Below Lake</v>
      </c>
      <c r="J39" s="8" t="str">
        <f t="shared" si="6"/>
        <v>Mendocino (d/s of lake)</v>
      </c>
      <c r="K39" s="8" t="str">
        <f t="shared" si="7"/>
        <v>Post-1949</v>
      </c>
      <c r="L39" s="8">
        <f t="shared" si="8"/>
        <v>2018</v>
      </c>
      <c r="M39" s="8" t="str">
        <f t="shared" si="10"/>
        <v>1991-present</v>
      </c>
      <c r="N39" s="10" t="s">
        <v>242</v>
      </c>
      <c r="O39" s="10" t="s">
        <v>241</v>
      </c>
      <c r="P39" s="10" t="s">
        <v>242</v>
      </c>
      <c r="Q39" s="10" t="s">
        <v>242</v>
      </c>
      <c r="R39" s="10" t="s">
        <v>241</v>
      </c>
      <c r="S39" s="10" t="s">
        <v>242</v>
      </c>
      <c r="T39" s="10" t="s">
        <v>242</v>
      </c>
      <c r="U39" s="10" t="s">
        <v>242</v>
      </c>
      <c r="V39" s="10" t="s">
        <v>241</v>
      </c>
      <c r="W39" s="10" t="s">
        <v>242</v>
      </c>
      <c r="X39" s="15">
        <f>IF(ISERROR(VLOOKUP($A39,'13. Updated Demand'!A:Z,15,FALSE)),0,VLOOKUP($A39,'13. Updated Demand'!A:Z,15,FALSE))</f>
        <v>0</v>
      </c>
      <c r="Y39" s="16">
        <f>IF(ISERROR(VLOOKUP($A39,'13. Updated Demand'!A:Z,16,FALSE)),0,VLOOKUP($A39,'13. Updated Demand'!A:Z,16,FALSE))</f>
        <v>0</v>
      </c>
      <c r="Z39" s="16">
        <f>IF(ISERROR(VLOOKUP($A39,'13. Updated Demand'!A:Z,17,FALSE)),0,VLOOKUP($A39,'13. Updated Demand'!A:Z,17,FALSE))</f>
        <v>0</v>
      </c>
      <c r="AA39" s="16">
        <f>IF(ISERROR(VLOOKUP($A39,'13. Updated Demand'!A:Z,18,FALSE)),0,VLOOKUP($A39,'13. Updated Demand'!A:Z,18,FALSE))</f>
        <v>0</v>
      </c>
      <c r="AB39" s="16">
        <f>IF(ISERROR(VLOOKUP($A39,'13. Updated Demand'!A:Z,19,FALSE)),0,VLOOKUP($A39,'13. Updated Demand'!A:Z,19,FALSE))</f>
        <v>0</v>
      </c>
      <c r="AC39" s="16">
        <f>IF(ISERROR(VLOOKUP($A39,'13. Updated Demand'!A:Z,20,FALSE)),0,VLOOKUP($A39,'13. Updated Demand'!A:Z,20,FALSE))</f>
        <v>0</v>
      </c>
      <c r="AD39" s="16">
        <f>IF(ISERROR(VLOOKUP($A39,'13. Updated Demand'!A:Z,21,FALSE)),0,VLOOKUP($A39,'13. Updated Demand'!A:Z,21,FALSE))</f>
        <v>0</v>
      </c>
      <c r="AE39" s="16">
        <f>IF(ISERROR(VLOOKUP($A39,'13. Updated Demand'!A:Z,22,FALSE)),0,VLOOKUP($A39,'13. Updated Demand'!A:Z,22,FALSE))</f>
        <v>0</v>
      </c>
      <c r="AF39" s="16">
        <f>IF(ISERROR(VLOOKUP($A39,'13. Updated Demand'!A:Z,23,FALSE)),0,VLOOKUP($A39,'13. Updated Demand'!A:Z,23,FALSE))</f>
        <v>0</v>
      </c>
      <c r="AG39" s="16">
        <f>IF(ISERROR(VLOOKUP($A39,'13. Updated Demand'!A:Z,24,FALSE)),0,VLOOKUP($A39,'13. Updated Demand'!A:Z,24,FALSE))</f>
        <v>0</v>
      </c>
      <c r="AH39" s="16">
        <f>IF(ISERROR(VLOOKUP($A39,'13. Updated Demand'!A:Z,25,FALSE)),0,VLOOKUP($A39,'13. Updated Demand'!A:Z,25,FALSE))</f>
        <v>0</v>
      </c>
      <c r="AI39" s="16">
        <f>IF(ISERROR(VLOOKUP($A39,'13. Updated Demand'!A:Z,26,FALSE)),0,VLOOKUP($A39,'13. Updated Demand'!A:Z,26,FALSE))</f>
        <v>0</v>
      </c>
      <c r="AJ39" s="16">
        <f t="shared" si="12"/>
        <v>0</v>
      </c>
      <c r="AK39" s="19">
        <v>0</v>
      </c>
      <c r="AL39" s="16">
        <f t="shared" si="9"/>
        <v>0</v>
      </c>
      <c r="AM39" s="17">
        <v>1</v>
      </c>
      <c r="AN39" s="19"/>
      <c r="AO39" s="19"/>
      <c r="AP39" s="19">
        <v>0.68</v>
      </c>
      <c r="AQ39" s="19" t="s">
        <v>307</v>
      </c>
      <c r="AR39" s="9" t="s">
        <v>319</v>
      </c>
      <c r="AS39" s="12">
        <v>0</v>
      </c>
      <c r="AT39" s="19">
        <v>38.972499999999997</v>
      </c>
      <c r="AU39" s="19">
        <v>-123.01</v>
      </c>
      <c r="AV39" s="19" t="s">
        <v>315</v>
      </c>
    </row>
    <row r="40" spans="1:48" x14ac:dyDescent="0.25">
      <c r="A40" s="18" t="s">
        <v>367</v>
      </c>
      <c r="B40" s="10">
        <v>20180430</v>
      </c>
      <c r="C40" s="9">
        <v>1</v>
      </c>
      <c r="D40" s="8" t="str">
        <f t="shared" si="0"/>
        <v>N</v>
      </c>
      <c r="E40" s="8" t="str">
        <f t="shared" si="1"/>
        <v>N</v>
      </c>
      <c r="F40" s="8" t="str">
        <f t="shared" si="2"/>
        <v>Y</v>
      </c>
      <c r="G40" s="8" t="str">
        <f t="shared" si="3"/>
        <v>Y</v>
      </c>
      <c r="H40" s="8" t="str">
        <f t="shared" si="4"/>
        <v>Upper</v>
      </c>
      <c r="I40" s="8" t="str">
        <f t="shared" si="5"/>
        <v>West Fork and Below Lake</v>
      </c>
      <c r="J40" s="8" t="str">
        <f t="shared" si="6"/>
        <v>Outside</v>
      </c>
      <c r="K40" s="8" t="str">
        <f t="shared" si="7"/>
        <v>Post-1949</v>
      </c>
      <c r="L40" s="8">
        <f t="shared" si="8"/>
        <v>2018</v>
      </c>
      <c r="M40" s="8" t="str">
        <f t="shared" si="10"/>
        <v>1991-present</v>
      </c>
      <c r="N40" s="10" t="s">
        <v>242</v>
      </c>
      <c r="O40" s="10" t="s">
        <v>241</v>
      </c>
      <c r="P40" s="10" t="s">
        <v>242</v>
      </c>
      <c r="Q40" s="10" t="s">
        <v>242</v>
      </c>
      <c r="R40" s="10" t="s">
        <v>241</v>
      </c>
      <c r="S40" s="10" t="s">
        <v>242</v>
      </c>
      <c r="T40" s="10" t="s">
        <v>242</v>
      </c>
      <c r="U40" s="10" t="s">
        <v>242</v>
      </c>
      <c r="V40" s="10" t="s">
        <v>241</v>
      </c>
      <c r="W40" s="10" t="s">
        <v>242</v>
      </c>
      <c r="X40" s="15">
        <f>IF(ISERROR(VLOOKUP($A40,'13. Updated Demand'!A:Z,15,FALSE)),0,VLOOKUP($A40,'13. Updated Demand'!A:Z,15,FALSE))</f>
        <v>0</v>
      </c>
      <c r="Y40" s="16">
        <f>IF(ISERROR(VLOOKUP($A40,'13. Updated Demand'!A:Z,16,FALSE)),0,VLOOKUP($A40,'13. Updated Demand'!A:Z,16,FALSE))</f>
        <v>0</v>
      </c>
      <c r="Z40" s="16">
        <f>IF(ISERROR(VLOOKUP($A40,'13. Updated Demand'!A:Z,17,FALSE)),0,VLOOKUP($A40,'13. Updated Demand'!A:Z,17,FALSE))</f>
        <v>0</v>
      </c>
      <c r="AA40" s="16">
        <f>IF(ISERROR(VLOOKUP($A40,'13. Updated Demand'!A:Z,18,FALSE)),0,VLOOKUP($A40,'13. Updated Demand'!A:Z,18,FALSE))</f>
        <v>0</v>
      </c>
      <c r="AB40" s="16">
        <f>IF(ISERROR(VLOOKUP($A40,'13. Updated Demand'!A:Z,19,FALSE)),0,VLOOKUP($A40,'13. Updated Demand'!A:Z,19,FALSE))</f>
        <v>0</v>
      </c>
      <c r="AC40" s="16">
        <f>IF(ISERROR(VLOOKUP($A40,'13. Updated Demand'!A:Z,20,FALSE)),0,VLOOKUP($A40,'13. Updated Demand'!A:Z,20,FALSE))</f>
        <v>0</v>
      </c>
      <c r="AD40" s="16">
        <f>IF(ISERROR(VLOOKUP($A40,'13. Updated Demand'!A:Z,21,FALSE)),0,VLOOKUP($A40,'13. Updated Demand'!A:Z,21,FALSE))</f>
        <v>0</v>
      </c>
      <c r="AE40" s="16">
        <f>IF(ISERROR(VLOOKUP($A40,'13. Updated Demand'!A:Z,22,FALSE)),0,VLOOKUP($A40,'13. Updated Demand'!A:Z,22,FALSE))</f>
        <v>0</v>
      </c>
      <c r="AF40" s="16">
        <f>IF(ISERROR(VLOOKUP($A40,'13. Updated Demand'!A:Z,23,FALSE)),0,VLOOKUP($A40,'13. Updated Demand'!A:Z,23,FALSE))</f>
        <v>0</v>
      </c>
      <c r="AG40" s="16">
        <f>IF(ISERROR(VLOOKUP($A40,'13. Updated Demand'!A:Z,24,FALSE)),0,VLOOKUP($A40,'13. Updated Demand'!A:Z,24,FALSE))</f>
        <v>0</v>
      </c>
      <c r="AH40" s="16">
        <f>IF(ISERROR(VLOOKUP($A40,'13. Updated Demand'!A:Z,25,FALSE)),0,VLOOKUP($A40,'13. Updated Demand'!A:Z,25,FALSE))</f>
        <v>0</v>
      </c>
      <c r="AI40" s="16">
        <f>IF(ISERROR(VLOOKUP($A40,'13. Updated Demand'!A:Z,26,FALSE)),0,VLOOKUP($A40,'13. Updated Demand'!A:Z,26,FALSE))</f>
        <v>0</v>
      </c>
      <c r="AJ40" s="16">
        <f t="shared" si="12"/>
        <v>0</v>
      </c>
      <c r="AK40" s="19">
        <v>0</v>
      </c>
      <c r="AL40" s="16">
        <f t="shared" si="9"/>
        <v>0</v>
      </c>
      <c r="AM40" s="17">
        <v>9.01470588235294E-2</v>
      </c>
      <c r="AN40" s="19"/>
      <c r="AO40" s="19"/>
      <c r="AP40" s="19">
        <v>0.68</v>
      </c>
      <c r="AQ40" s="19" t="s">
        <v>307</v>
      </c>
      <c r="AR40" s="9" t="s">
        <v>317</v>
      </c>
      <c r="AS40" s="12">
        <v>0</v>
      </c>
      <c r="AT40" s="19">
        <v>39.276600000000002</v>
      </c>
      <c r="AU40" s="19">
        <v>-123.1725</v>
      </c>
      <c r="AV40" s="19" t="s">
        <v>320</v>
      </c>
    </row>
    <row r="41" spans="1:48" x14ac:dyDescent="0.25">
      <c r="A41" s="18" t="s">
        <v>368</v>
      </c>
      <c r="B41" s="10">
        <v>20181009</v>
      </c>
      <c r="C41" s="9">
        <v>1</v>
      </c>
      <c r="D41" s="8" t="str">
        <f t="shared" si="0"/>
        <v>N</v>
      </c>
      <c r="E41" s="8" t="str">
        <f t="shared" si="1"/>
        <v>N</v>
      </c>
      <c r="F41" s="8" t="str">
        <f t="shared" si="2"/>
        <v>Y</v>
      </c>
      <c r="G41" s="8" t="str">
        <f t="shared" si="3"/>
        <v>Y</v>
      </c>
      <c r="H41" s="8" t="str">
        <f t="shared" si="4"/>
        <v>Upper</v>
      </c>
      <c r="I41" s="8" t="str">
        <f t="shared" si="5"/>
        <v>West Fork and Below Lake</v>
      </c>
      <c r="J41" s="8" t="str">
        <f t="shared" si="6"/>
        <v>Outside</v>
      </c>
      <c r="K41" s="8" t="str">
        <f t="shared" si="7"/>
        <v>Post-1949</v>
      </c>
      <c r="L41" s="8">
        <f t="shared" si="8"/>
        <v>2018</v>
      </c>
      <c r="M41" s="8" t="str">
        <f t="shared" si="10"/>
        <v>1991-present</v>
      </c>
      <c r="N41" s="10" t="s">
        <v>242</v>
      </c>
      <c r="O41" s="10" t="s">
        <v>241</v>
      </c>
      <c r="P41" s="10" t="s">
        <v>242</v>
      </c>
      <c r="Q41" s="10" t="s">
        <v>242</v>
      </c>
      <c r="R41" s="10" t="s">
        <v>241</v>
      </c>
      <c r="S41" s="10" t="s">
        <v>242</v>
      </c>
      <c r="T41" s="10" t="s">
        <v>242</v>
      </c>
      <c r="U41" s="10" t="s">
        <v>242</v>
      </c>
      <c r="V41" s="10" t="s">
        <v>241</v>
      </c>
      <c r="W41" s="10" t="s">
        <v>242</v>
      </c>
      <c r="X41" s="15">
        <f>IF(ISERROR(VLOOKUP($A41,'13. Updated Demand'!A:Z,15,FALSE)),0,VLOOKUP($A41,'13. Updated Demand'!A:Z,15,FALSE))</f>
        <v>0.03</v>
      </c>
      <c r="Y41" s="16">
        <f>IF(ISERROR(VLOOKUP($A41,'13. Updated Demand'!A:Z,16,FALSE)),0,VLOOKUP($A41,'13. Updated Demand'!A:Z,16,FALSE))</f>
        <v>0.02</v>
      </c>
      <c r="Z41" s="16">
        <f>IF(ISERROR(VLOOKUP($A41,'13. Updated Demand'!A:Z,17,FALSE)),0,VLOOKUP($A41,'13. Updated Demand'!A:Z,17,FALSE))</f>
        <v>0.02</v>
      </c>
      <c r="AA41" s="16">
        <f>IF(ISERROR(VLOOKUP($A41,'13. Updated Demand'!A:Z,18,FALSE)),0,VLOOKUP($A41,'13. Updated Demand'!A:Z,18,FALSE))</f>
        <v>0.02</v>
      </c>
      <c r="AB41" s="16">
        <f>IF(ISERROR(VLOOKUP($A41,'13. Updated Demand'!A:Z,19,FALSE)),0,VLOOKUP($A41,'13. Updated Demand'!A:Z,19,FALSE))</f>
        <v>0</v>
      </c>
      <c r="AC41" s="16">
        <f>IF(ISERROR(VLOOKUP($A41,'13. Updated Demand'!A:Z,20,FALSE)),0,VLOOKUP($A41,'13. Updated Demand'!A:Z,20,FALSE))</f>
        <v>0</v>
      </c>
      <c r="AD41" s="16">
        <f>IF(ISERROR(VLOOKUP($A41,'13. Updated Demand'!A:Z,21,FALSE)),0,VLOOKUP($A41,'13. Updated Demand'!A:Z,21,FALSE))</f>
        <v>0</v>
      </c>
      <c r="AE41" s="16">
        <f>IF(ISERROR(VLOOKUP($A41,'13. Updated Demand'!A:Z,22,FALSE)),0,VLOOKUP($A41,'13. Updated Demand'!A:Z,22,FALSE))</f>
        <v>0</v>
      </c>
      <c r="AF41" s="16">
        <f>IF(ISERROR(VLOOKUP($A41,'13. Updated Demand'!A:Z,23,FALSE)),0,VLOOKUP($A41,'13. Updated Demand'!A:Z,23,FALSE))</f>
        <v>0</v>
      </c>
      <c r="AG41" s="16">
        <f>IF(ISERROR(VLOOKUP($A41,'13. Updated Demand'!A:Z,24,FALSE)),0,VLOOKUP($A41,'13. Updated Demand'!A:Z,24,FALSE))</f>
        <v>0</v>
      </c>
      <c r="AH41" s="16">
        <f>IF(ISERROR(VLOOKUP($A41,'13. Updated Demand'!A:Z,25,FALSE)),0,VLOOKUP($A41,'13. Updated Demand'!A:Z,25,FALSE))</f>
        <v>0</v>
      </c>
      <c r="AI41" s="16">
        <f>IF(ISERROR(VLOOKUP($A41,'13. Updated Demand'!A:Z,26,FALSE)),0,VLOOKUP($A41,'13. Updated Demand'!A:Z,26,FALSE))</f>
        <v>0</v>
      </c>
      <c r="AJ41" s="16">
        <f t="shared" si="12"/>
        <v>9.0000000000000011E-2</v>
      </c>
      <c r="AK41" s="19">
        <v>0</v>
      </c>
      <c r="AL41" s="16">
        <f t="shared" si="9"/>
        <v>0</v>
      </c>
      <c r="AM41" s="17">
        <v>0.93995833333333345</v>
      </c>
      <c r="AN41" s="19"/>
      <c r="AO41" s="19"/>
      <c r="AP41" s="19">
        <v>0.12</v>
      </c>
      <c r="AQ41" s="19" t="s">
        <v>307</v>
      </c>
      <c r="AR41" s="9" t="s">
        <v>317</v>
      </c>
      <c r="AS41" s="12">
        <v>0</v>
      </c>
      <c r="AT41" s="19">
        <v>39.326000000000001</v>
      </c>
      <c r="AU41" s="19">
        <v>-123.3767</v>
      </c>
      <c r="AV41" s="19" t="s">
        <v>315</v>
      </c>
    </row>
    <row r="42" spans="1:48" x14ac:dyDescent="0.25">
      <c r="A42" s="18" t="s">
        <v>369</v>
      </c>
      <c r="B42" s="10">
        <v>20180926</v>
      </c>
      <c r="C42" s="9">
        <v>6</v>
      </c>
      <c r="D42" s="8" t="str">
        <f t="shared" si="0"/>
        <v>Y</v>
      </c>
      <c r="E42" s="8" t="str">
        <f t="shared" si="1"/>
        <v>N</v>
      </c>
      <c r="F42" s="8" t="str">
        <f t="shared" si="2"/>
        <v>Y</v>
      </c>
      <c r="G42" s="8" t="str">
        <f t="shared" si="3"/>
        <v>Y</v>
      </c>
      <c r="H42" s="8" t="str">
        <f t="shared" si="4"/>
        <v>Upper</v>
      </c>
      <c r="I42" s="8" t="str">
        <f t="shared" si="5"/>
        <v>West Fork and Below Lake</v>
      </c>
      <c r="J42" s="8" t="str">
        <f t="shared" si="6"/>
        <v>Mendocino (d/s of lake)</v>
      </c>
      <c r="K42" s="8" t="str">
        <f t="shared" si="7"/>
        <v>Post-1949</v>
      </c>
      <c r="L42" s="8">
        <f t="shared" si="8"/>
        <v>2018</v>
      </c>
      <c r="M42" s="8" t="str">
        <f t="shared" si="10"/>
        <v>1991-present</v>
      </c>
      <c r="N42" s="10" t="s">
        <v>242</v>
      </c>
      <c r="O42" s="10" t="s">
        <v>241</v>
      </c>
      <c r="P42" s="10" t="s">
        <v>242</v>
      </c>
      <c r="Q42" s="10" t="s">
        <v>242</v>
      </c>
      <c r="R42" s="10" t="s">
        <v>241</v>
      </c>
      <c r="S42" s="10" t="s">
        <v>242</v>
      </c>
      <c r="T42" s="10" t="s">
        <v>242</v>
      </c>
      <c r="U42" s="10" t="s">
        <v>242</v>
      </c>
      <c r="V42" s="10" t="s">
        <v>241</v>
      </c>
      <c r="W42" s="10" t="s">
        <v>242</v>
      </c>
      <c r="X42" s="15">
        <f>IF(ISERROR(VLOOKUP($A42,'13. Updated Demand'!A:Z,15,FALSE)),0,VLOOKUP($A42,'13. Updated Demand'!A:Z,15,FALSE))</f>
        <v>0</v>
      </c>
      <c r="Y42" s="16">
        <f>IF(ISERROR(VLOOKUP($A42,'13. Updated Demand'!A:Z,16,FALSE)),0,VLOOKUP($A42,'13. Updated Demand'!A:Z,16,FALSE))</f>
        <v>0</v>
      </c>
      <c r="Z42" s="16">
        <f>IF(ISERROR(VLOOKUP($A42,'13. Updated Demand'!A:Z,17,FALSE)),0,VLOOKUP($A42,'13. Updated Demand'!A:Z,17,FALSE))</f>
        <v>0</v>
      </c>
      <c r="AA42" s="16">
        <f>IF(ISERROR(VLOOKUP($A42,'13. Updated Demand'!A:Z,18,FALSE)),0,VLOOKUP($A42,'13. Updated Demand'!A:Z,18,FALSE))</f>
        <v>0</v>
      </c>
      <c r="AB42" s="16">
        <f>IF(ISERROR(VLOOKUP($A42,'13. Updated Demand'!A:Z,19,FALSE)),0,VLOOKUP($A42,'13. Updated Demand'!A:Z,19,FALSE))</f>
        <v>0</v>
      </c>
      <c r="AC42" s="16">
        <f>IF(ISERROR(VLOOKUP($A42,'13. Updated Demand'!A:Z,20,FALSE)),0,VLOOKUP($A42,'13. Updated Demand'!A:Z,20,FALSE))</f>
        <v>0</v>
      </c>
      <c r="AD42" s="16">
        <f>IF(ISERROR(VLOOKUP($A42,'13. Updated Demand'!A:Z,21,FALSE)),0,VLOOKUP($A42,'13. Updated Demand'!A:Z,21,FALSE))</f>
        <v>0</v>
      </c>
      <c r="AE42" s="16">
        <f>IF(ISERROR(VLOOKUP($A42,'13. Updated Demand'!A:Z,22,FALSE)),0,VLOOKUP($A42,'13. Updated Demand'!A:Z,22,FALSE))</f>
        <v>0</v>
      </c>
      <c r="AF42" s="16">
        <f>IF(ISERROR(VLOOKUP($A42,'13. Updated Demand'!A:Z,23,FALSE)),0,VLOOKUP($A42,'13. Updated Demand'!A:Z,23,FALSE))</f>
        <v>0</v>
      </c>
      <c r="AG42" s="16">
        <f>IF(ISERROR(VLOOKUP($A42,'13. Updated Demand'!A:Z,24,FALSE)),0,VLOOKUP($A42,'13. Updated Demand'!A:Z,24,FALSE))</f>
        <v>0</v>
      </c>
      <c r="AH42" s="16">
        <f>IF(ISERROR(VLOOKUP($A42,'13. Updated Demand'!A:Z,25,FALSE)),0,VLOOKUP($A42,'13. Updated Demand'!A:Z,25,FALSE))</f>
        <v>0</v>
      </c>
      <c r="AI42" s="16">
        <f>IF(ISERROR(VLOOKUP($A42,'13. Updated Demand'!A:Z,26,FALSE)),0,VLOOKUP($A42,'13. Updated Demand'!A:Z,26,FALSE))</f>
        <v>0</v>
      </c>
      <c r="AJ42" s="16">
        <f t="shared" si="12"/>
        <v>0</v>
      </c>
      <c r="AK42" s="19">
        <v>0</v>
      </c>
      <c r="AL42" s="16">
        <f t="shared" si="9"/>
        <v>0</v>
      </c>
      <c r="AM42" s="17">
        <v>1</v>
      </c>
      <c r="AN42" s="19"/>
      <c r="AO42" s="19"/>
      <c r="AP42" s="19">
        <v>0.59</v>
      </c>
      <c r="AQ42" s="19" t="s">
        <v>307</v>
      </c>
      <c r="AR42" s="9" t="s">
        <v>319</v>
      </c>
      <c r="AS42" s="12">
        <v>0</v>
      </c>
      <c r="AT42" s="19">
        <v>38.874000000000002</v>
      </c>
      <c r="AU42" s="19">
        <v>-123.108</v>
      </c>
      <c r="AV42" s="19" t="s">
        <v>315</v>
      </c>
    </row>
    <row r="43" spans="1:48" x14ac:dyDescent="0.25">
      <c r="A43" s="18" t="s">
        <v>370</v>
      </c>
      <c r="B43" s="10">
        <v>20180423</v>
      </c>
      <c r="C43" s="9">
        <v>6</v>
      </c>
      <c r="D43" s="8" t="str">
        <f t="shared" si="0"/>
        <v>Y</v>
      </c>
      <c r="E43" s="8" t="str">
        <f t="shared" si="1"/>
        <v>N</v>
      </c>
      <c r="F43" s="8" t="str">
        <f t="shared" si="2"/>
        <v>Y</v>
      </c>
      <c r="G43" s="8" t="str">
        <f t="shared" si="3"/>
        <v>Y</v>
      </c>
      <c r="H43" s="8" t="str">
        <f t="shared" si="4"/>
        <v>Upper</v>
      </c>
      <c r="I43" s="8" t="str">
        <f t="shared" si="5"/>
        <v>West Fork and Below Lake</v>
      </c>
      <c r="J43" s="8" t="str">
        <f t="shared" si="6"/>
        <v>Mendocino (d/s of lake)</v>
      </c>
      <c r="K43" s="8" t="str">
        <f t="shared" si="7"/>
        <v>Post-1949</v>
      </c>
      <c r="L43" s="8">
        <f t="shared" si="8"/>
        <v>2018</v>
      </c>
      <c r="M43" s="8" t="str">
        <f t="shared" si="10"/>
        <v>1991-present</v>
      </c>
      <c r="N43" s="10" t="s">
        <v>242</v>
      </c>
      <c r="O43" s="10" t="s">
        <v>241</v>
      </c>
      <c r="P43" s="10" t="s">
        <v>242</v>
      </c>
      <c r="Q43" s="10" t="s">
        <v>242</v>
      </c>
      <c r="R43" s="10" t="s">
        <v>241</v>
      </c>
      <c r="S43" s="10" t="s">
        <v>242</v>
      </c>
      <c r="T43" s="10" t="s">
        <v>242</v>
      </c>
      <c r="U43" s="10" t="s">
        <v>242</v>
      </c>
      <c r="V43" s="10" t="s">
        <v>242</v>
      </c>
      <c r="W43" s="10" t="s">
        <v>242</v>
      </c>
      <c r="X43" s="15">
        <f>IF(ISERROR(VLOOKUP($A43,'13. Updated Demand'!A:Z,15,FALSE)),0,VLOOKUP($A43,'13. Updated Demand'!A:Z,15,FALSE))</f>
        <v>0</v>
      </c>
      <c r="Y43" s="16">
        <f>IF(ISERROR(VLOOKUP($A43,'13. Updated Demand'!A:Z,16,FALSE)),0,VLOOKUP($A43,'13. Updated Demand'!A:Z,16,FALSE))</f>
        <v>0</v>
      </c>
      <c r="Z43" s="16">
        <f>IF(ISERROR(VLOOKUP($A43,'13. Updated Demand'!A:Z,17,FALSE)),0,VLOOKUP($A43,'13. Updated Demand'!A:Z,17,FALSE))</f>
        <v>0</v>
      </c>
      <c r="AA43" s="16">
        <f>IF(ISERROR(VLOOKUP($A43,'13. Updated Demand'!A:Z,18,FALSE)),0,VLOOKUP($A43,'13. Updated Demand'!A:Z,18,FALSE))</f>
        <v>0</v>
      </c>
      <c r="AB43" s="16">
        <f>IF(ISERROR(VLOOKUP($A43,'13. Updated Demand'!A:Z,19,FALSE)),0,VLOOKUP($A43,'13. Updated Demand'!A:Z,19,FALSE))</f>
        <v>0</v>
      </c>
      <c r="AC43" s="16">
        <f>IF(ISERROR(VLOOKUP($A43,'13. Updated Demand'!A:Z,20,FALSE)),0,VLOOKUP($A43,'13. Updated Demand'!A:Z,20,FALSE))</f>
        <v>0.03</v>
      </c>
      <c r="AD43" s="16">
        <f>IF(ISERROR(VLOOKUP($A43,'13. Updated Demand'!A:Z,21,FALSE)),0,VLOOKUP($A43,'13. Updated Demand'!A:Z,21,FALSE))</f>
        <v>0.03</v>
      </c>
      <c r="AE43" s="16">
        <f>IF(ISERROR(VLOOKUP($A43,'13. Updated Demand'!A:Z,22,FALSE)),0,VLOOKUP($A43,'13. Updated Demand'!A:Z,22,FALSE))</f>
        <v>0.03</v>
      </c>
      <c r="AF43" s="16">
        <f>IF(ISERROR(VLOOKUP($A43,'13. Updated Demand'!A:Z,23,FALSE)),0,VLOOKUP($A43,'13. Updated Demand'!A:Z,23,FALSE))</f>
        <v>0</v>
      </c>
      <c r="AG43" s="16">
        <f>IF(ISERROR(VLOOKUP($A43,'13. Updated Demand'!A:Z,24,FALSE)),0,VLOOKUP($A43,'13. Updated Demand'!A:Z,24,FALSE))</f>
        <v>0</v>
      </c>
      <c r="AH43" s="16">
        <f>IF(ISERROR(VLOOKUP($A43,'13. Updated Demand'!A:Z,25,FALSE)),0,VLOOKUP($A43,'13. Updated Demand'!A:Z,25,FALSE))</f>
        <v>0</v>
      </c>
      <c r="AI43" s="16">
        <f>IF(ISERROR(VLOOKUP($A43,'13. Updated Demand'!A:Z,26,FALSE)),0,VLOOKUP($A43,'13. Updated Demand'!A:Z,26,FALSE))</f>
        <v>0</v>
      </c>
      <c r="AJ43" s="16">
        <f t="shared" si="12"/>
        <v>0.09</v>
      </c>
      <c r="AK43" s="19">
        <v>0.11549999999999999</v>
      </c>
      <c r="AL43" s="16">
        <f t="shared" si="9"/>
        <v>3.8310034331363125E-4</v>
      </c>
      <c r="AM43" s="17">
        <v>0.15608108108108107</v>
      </c>
      <c r="AN43" s="19"/>
      <c r="AO43" s="19"/>
      <c r="AP43" s="19">
        <v>0.74</v>
      </c>
      <c r="AQ43" s="19" t="s">
        <v>307</v>
      </c>
      <c r="AR43" s="9" t="s">
        <v>319</v>
      </c>
      <c r="AS43" s="12">
        <v>0</v>
      </c>
      <c r="AT43" s="19">
        <v>38.976700000000001</v>
      </c>
      <c r="AU43" s="19">
        <v>-123.1955</v>
      </c>
      <c r="AV43" s="19" t="s">
        <v>320</v>
      </c>
    </row>
    <row r="44" spans="1:48" x14ac:dyDescent="0.25">
      <c r="A44" s="18" t="s">
        <v>371</v>
      </c>
      <c r="B44" s="10">
        <v>20180612</v>
      </c>
      <c r="C44" s="9">
        <v>6</v>
      </c>
      <c r="D44" s="8" t="str">
        <f t="shared" si="0"/>
        <v>Y</v>
      </c>
      <c r="E44" s="8" t="str">
        <f t="shared" si="1"/>
        <v>N</v>
      </c>
      <c r="F44" s="8" t="str">
        <f t="shared" si="2"/>
        <v>Y</v>
      </c>
      <c r="G44" s="8" t="str">
        <f t="shared" si="3"/>
        <v>Y</v>
      </c>
      <c r="H44" s="8" t="str">
        <f t="shared" si="4"/>
        <v>Upper</v>
      </c>
      <c r="I44" s="8" t="str">
        <f t="shared" si="5"/>
        <v>West Fork and Below Lake</v>
      </c>
      <c r="J44" s="8" t="str">
        <f t="shared" si="6"/>
        <v>Mendocino (d/s of lake)</v>
      </c>
      <c r="K44" s="8" t="str">
        <f t="shared" si="7"/>
        <v>Post-1949</v>
      </c>
      <c r="L44" s="8">
        <f t="shared" si="8"/>
        <v>2018</v>
      </c>
      <c r="M44" s="8" t="str">
        <f t="shared" si="10"/>
        <v>1991-present</v>
      </c>
      <c r="N44" s="10" t="s">
        <v>242</v>
      </c>
      <c r="O44" s="10" t="s">
        <v>241</v>
      </c>
      <c r="P44" s="10" t="s">
        <v>242</v>
      </c>
      <c r="Q44" s="10" t="s">
        <v>242</v>
      </c>
      <c r="R44" s="10" t="s">
        <v>241</v>
      </c>
      <c r="S44" s="10" t="s">
        <v>242</v>
      </c>
      <c r="T44" s="10" t="s">
        <v>241</v>
      </c>
      <c r="U44" s="10" t="s">
        <v>241</v>
      </c>
      <c r="V44" s="10" t="s">
        <v>241</v>
      </c>
      <c r="W44" s="10" t="s">
        <v>242</v>
      </c>
      <c r="X44" s="15">
        <f>IF(ISERROR(VLOOKUP($A44,'13. Updated Demand'!A:Z,15,FALSE)),0,VLOOKUP($A44,'13. Updated Demand'!A:Z,15,FALSE))</f>
        <v>0</v>
      </c>
      <c r="Y44" s="16">
        <f>IF(ISERROR(VLOOKUP($A44,'13. Updated Demand'!A:Z,16,FALSE)),0,VLOOKUP($A44,'13. Updated Demand'!A:Z,16,FALSE))</f>
        <v>0</v>
      </c>
      <c r="Z44" s="16">
        <f>IF(ISERROR(VLOOKUP($A44,'13. Updated Demand'!A:Z,17,FALSE)),0,VLOOKUP($A44,'13. Updated Demand'!A:Z,17,FALSE))</f>
        <v>0</v>
      </c>
      <c r="AA44" s="16">
        <f>IF(ISERROR(VLOOKUP($A44,'13. Updated Demand'!A:Z,18,FALSE)),0,VLOOKUP($A44,'13. Updated Demand'!A:Z,18,FALSE))</f>
        <v>0</v>
      </c>
      <c r="AB44" s="16">
        <f>IF(ISERROR(VLOOKUP($A44,'13. Updated Demand'!A:Z,19,FALSE)),0,VLOOKUP($A44,'13. Updated Demand'!A:Z,19,FALSE))</f>
        <v>0</v>
      </c>
      <c r="AC44" s="16">
        <f>IF(ISERROR(VLOOKUP($A44,'13. Updated Demand'!A:Z,20,FALSE)),0,VLOOKUP($A44,'13. Updated Demand'!A:Z,20,FALSE))</f>
        <v>0</v>
      </c>
      <c r="AD44" s="16">
        <f>IF(ISERROR(VLOOKUP($A44,'13. Updated Demand'!A:Z,21,FALSE)),0,VLOOKUP($A44,'13. Updated Demand'!A:Z,21,FALSE))</f>
        <v>0</v>
      </c>
      <c r="AE44" s="16">
        <f>IF(ISERROR(VLOOKUP($A44,'13. Updated Demand'!A:Z,22,FALSE)),0,VLOOKUP($A44,'13. Updated Demand'!A:Z,22,FALSE))</f>
        <v>0</v>
      </c>
      <c r="AF44" s="16">
        <f>IF(ISERROR(VLOOKUP($A44,'13. Updated Demand'!A:Z,23,FALSE)),0,VLOOKUP($A44,'13. Updated Demand'!A:Z,23,FALSE))</f>
        <v>0</v>
      </c>
      <c r="AG44" s="16">
        <f>IF(ISERROR(VLOOKUP($A44,'13. Updated Demand'!A:Z,24,FALSE)),0,VLOOKUP($A44,'13. Updated Demand'!A:Z,24,FALSE))</f>
        <v>0</v>
      </c>
      <c r="AH44" s="16">
        <f>IF(ISERROR(VLOOKUP($A44,'13. Updated Demand'!A:Z,25,FALSE)),0,VLOOKUP($A44,'13. Updated Demand'!A:Z,25,FALSE))</f>
        <v>0</v>
      </c>
      <c r="AI44" s="16">
        <f>IF(ISERROR(VLOOKUP($A44,'13. Updated Demand'!A:Z,26,FALSE)),0,VLOOKUP($A44,'13. Updated Demand'!A:Z,26,FALSE))</f>
        <v>0</v>
      </c>
      <c r="AJ44" s="16">
        <f t="shared" si="12"/>
        <v>0</v>
      </c>
      <c r="AK44" s="19">
        <v>0</v>
      </c>
      <c r="AL44" s="16">
        <f t="shared" si="9"/>
        <v>0</v>
      </c>
      <c r="AM44" s="17">
        <v>0</v>
      </c>
      <c r="AN44" s="19"/>
      <c r="AO44" s="19"/>
      <c r="AP44" s="19">
        <v>0.17</v>
      </c>
      <c r="AQ44" s="19" t="s">
        <v>307</v>
      </c>
      <c r="AR44" s="9" t="s">
        <v>319</v>
      </c>
      <c r="AS44" s="12">
        <v>0</v>
      </c>
      <c r="AT44" s="19">
        <v>39.004399999999997</v>
      </c>
      <c r="AU44" s="19">
        <v>-123.1915</v>
      </c>
      <c r="AV44" s="19" t="s">
        <v>320</v>
      </c>
    </row>
    <row r="45" spans="1:48" x14ac:dyDescent="0.25">
      <c r="A45" s="18" t="s">
        <v>372</v>
      </c>
      <c r="B45" s="10">
        <v>20180702</v>
      </c>
      <c r="C45" s="9">
        <v>20</v>
      </c>
      <c r="D45" s="8" t="str">
        <f t="shared" si="0"/>
        <v>N</v>
      </c>
      <c r="E45" s="8" t="str">
        <f t="shared" si="1"/>
        <v>N</v>
      </c>
      <c r="F45" s="8" t="str">
        <f t="shared" si="2"/>
        <v>N</v>
      </c>
      <c r="G45" s="8" t="str">
        <f t="shared" si="3"/>
        <v>N</v>
      </c>
      <c r="H45" s="8" t="str">
        <f t="shared" si="4"/>
        <v>Lower</v>
      </c>
      <c r="I45" s="8" t="str">
        <f t="shared" si="5"/>
        <v>Outside</v>
      </c>
      <c r="J45" s="8" t="str">
        <f t="shared" si="6"/>
        <v>Outside</v>
      </c>
      <c r="K45" s="8" t="str">
        <f t="shared" si="7"/>
        <v>Post-1949</v>
      </c>
      <c r="L45" s="8">
        <f t="shared" si="8"/>
        <v>2018</v>
      </c>
      <c r="M45" s="8" t="str">
        <f t="shared" si="10"/>
        <v>1991-present</v>
      </c>
      <c r="N45" s="10" t="s">
        <v>242</v>
      </c>
      <c r="O45" s="10" t="s">
        <v>242</v>
      </c>
      <c r="P45" s="10" t="s">
        <v>242</v>
      </c>
      <c r="Q45" s="10" t="s">
        <v>242</v>
      </c>
      <c r="R45" s="10" t="s">
        <v>241</v>
      </c>
      <c r="S45" s="10" t="s">
        <v>242</v>
      </c>
      <c r="T45" s="10" t="s">
        <v>242</v>
      </c>
      <c r="U45" s="10" t="s">
        <v>242</v>
      </c>
      <c r="V45" s="10" t="s">
        <v>241</v>
      </c>
      <c r="W45" s="10" t="s">
        <v>242</v>
      </c>
      <c r="X45" s="15">
        <f>IF(ISERROR(VLOOKUP($A45,'13. Updated Demand'!A:Z,15,FALSE)),0,VLOOKUP($A45,'13. Updated Demand'!A:Z,15,FALSE))</f>
        <v>3.6826999999999999E-2</v>
      </c>
      <c r="Y45" s="16">
        <f>IF(ISERROR(VLOOKUP($A45,'13. Updated Demand'!A:Z,16,FALSE)),0,VLOOKUP($A45,'13. Updated Demand'!A:Z,16,FALSE))</f>
        <v>3.6826999999999999E-2</v>
      </c>
      <c r="Z45" s="16">
        <f>IF(ISERROR(VLOOKUP($A45,'13. Updated Demand'!A:Z,17,FALSE)),0,VLOOKUP($A45,'13. Updated Demand'!A:Z,17,FALSE))</f>
        <v>3.6826999999999999E-2</v>
      </c>
      <c r="AA45" s="16">
        <f>IF(ISERROR(VLOOKUP($A45,'13. Updated Demand'!A:Z,18,FALSE)),0,VLOOKUP($A45,'13. Updated Demand'!A:Z,18,FALSE))</f>
        <v>0</v>
      </c>
      <c r="AB45" s="16">
        <f>IF(ISERROR(VLOOKUP($A45,'13. Updated Demand'!A:Z,19,FALSE)),0,VLOOKUP($A45,'13. Updated Demand'!A:Z,19,FALSE))</f>
        <v>0</v>
      </c>
      <c r="AC45" s="16">
        <f>IF(ISERROR(VLOOKUP($A45,'13. Updated Demand'!A:Z,20,FALSE)),0,VLOOKUP($A45,'13. Updated Demand'!A:Z,20,FALSE))</f>
        <v>0</v>
      </c>
      <c r="AD45" s="16">
        <f>IF(ISERROR(VLOOKUP($A45,'13. Updated Demand'!A:Z,21,FALSE)),0,VLOOKUP($A45,'13. Updated Demand'!A:Z,21,FALSE))</f>
        <v>0</v>
      </c>
      <c r="AE45" s="16">
        <f>IF(ISERROR(VLOOKUP($A45,'13. Updated Demand'!A:Z,22,FALSE)),0,VLOOKUP($A45,'13. Updated Demand'!A:Z,22,FALSE))</f>
        <v>0</v>
      </c>
      <c r="AF45" s="16">
        <f>IF(ISERROR(VLOOKUP($A45,'13. Updated Demand'!A:Z,23,FALSE)),0,VLOOKUP($A45,'13. Updated Demand'!A:Z,23,FALSE))</f>
        <v>0</v>
      </c>
      <c r="AG45" s="16">
        <f>IF(ISERROR(VLOOKUP($A45,'13. Updated Demand'!A:Z,24,FALSE)),0,VLOOKUP($A45,'13. Updated Demand'!A:Z,24,FALSE))</f>
        <v>0</v>
      </c>
      <c r="AH45" s="16">
        <f>IF(ISERROR(VLOOKUP($A45,'13. Updated Demand'!A:Z,25,FALSE)),0,VLOOKUP($A45,'13. Updated Demand'!A:Z,25,FALSE))</f>
        <v>3.6826999999999999E-2</v>
      </c>
      <c r="AI45" s="16">
        <f>IF(ISERROR(VLOOKUP($A45,'13. Updated Demand'!A:Z,26,FALSE)),0,VLOOKUP($A45,'13. Updated Demand'!A:Z,26,FALSE))</f>
        <v>3.6826999999999999E-2</v>
      </c>
      <c r="AJ45" s="16">
        <f t="shared" si="12"/>
        <v>0.18413499999999999</v>
      </c>
      <c r="AK45" s="19">
        <v>0</v>
      </c>
      <c r="AL45" s="16">
        <f t="shared" si="9"/>
        <v>0</v>
      </c>
      <c r="AM45" s="17">
        <v>0.43841666666666668</v>
      </c>
      <c r="AN45" s="19"/>
      <c r="AO45" s="19"/>
      <c r="AP45" s="19">
        <v>0.42</v>
      </c>
      <c r="AQ45" s="19" t="s">
        <v>307</v>
      </c>
      <c r="AR45" s="9" t="s">
        <v>329</v>
      </c>
      <c r="AS45" s="12">
        <v>0</v>
      </c>
      <c r="AT45" s="19">
        <v>38.520699999999998</v>
      </c>
      <c r="AU45" s="19">
        <v>-123.12860000000001</v>
      </c>
      <c r="AV45" s="19" t="s">
        <v>315</v>
      </c>
    </row>
    <row r="46" spans="1:48" x14ac:dyDescent="0.25">
      <c r="A46" s="18" t="s">
        <v>373</v>
      </c>
      <c r="B46" s="10">
        <v>20180718</v>
      </c>
      <c r="C46" s="9">
        <v>6</v>
      </c>
      <c r="D46" s="8" t="str">
        <f t="shared" si="0"/>
        <v>Y</v>
      </c>
      <c r="E46" s="8" t="str">
        <f t="shared" si="1"/>
        <v>N</v>
      </c>
      <c r="F46" s="8" t="str">
        <f t="shared" si="2"/>
        <v>Y</v>
      </c>
      <c r="G46" s="8" t="str">
        <f t="shared" si="3"/>
        <v>Y</v>
      </c>
      <c r="H46" s="8" t="str">
        <f t="shared" si="4"/>
        <v>Upper</v>
      </c>
      <c r="I46" s="8" t="str">
        <f t="shared" si="5"/>
        <v>West Fork and Below Lake</v>
      </c>
      <c r="J46" s="8" t="str">
        <f t="shared" si="6"/>
        <v>Mendocino (d/s of lake)</v>
      </c>
      <c r="K46" s="8" t="str">
        <f t="shared" si="7"/>
        <v>Post-1949</v>
      </c>
      <c r="L46" s="8">
        <f t="shared" si="8"/>
        <v>2018</v>
      </c>
      <c r="M46" s="8" t="str">
        <f t="shared" si="10"/>
        <v>1991-present</v>
      </c>
      <c r="N46" s="10" t="s">
        <v>242</v>
      </c>
      <c r="O46" s="10" t="s">
        <v>241</v>
      </c>
      <c r="P46" s="10" t="s">
        <v>242</v>
      </c>
      <c r="Q46" s="10" t="s">
        <v>242</v>
      </c>
      <c r="R46" s="10" t="s">
        <v>241</v>
      </c>
      <c r="S46" s="10" t="s">
        <v>242</v>
      </c>
      <c r="T46" s="10" t="s">
        <v>241</v>
      </c>
      <c r="U46" s="10" t="s">
        <v>241</v>
      </c>
      <c r="V46" s="10" t="s">
        <v>241</v>
      </c>
      <c r="W46" s="10" t="s">
        <v>242</v>
      </c>
      <c r="X46" s="15">
        <f>IF(ISERROR(VLOOKUP($A46,'13. Updated Demand'!A:Z,15,FALSE)),0,VLOOKUP($A46,'13. Updated Demand'!A:Z,15,FALSE))</f>
        <v>0</v>
      </c>
      <c r="Y46" s="16">
        <f>IF(ISERROR(VLOOKUP($A46,'13. Updated Demand'!A:Z,16,FALSE)),0,VLOOKUP($A46,'13. Updated Demand'!A:Z,16,FALSE))</f>
        <v>0</v>
      </c>
      <c r="Z46" s="16">
        <f>IF(ISERROR(VLOOKUP($A46,'13. Updated Demand'!A:Z,17,FALSE)),0,VLOOKUP($A46,'13. Updated Demand'!A:Z,17,FALSE))</f>
        <v>0</v>
      </c>
      <c r="AA46" s="16">
        <f>IF(ISERROR(VLOOKUP($A46,'13. Updated Demand'!A:Z,18,FALSE)),0,VLOOKUP($A46,'13. Updated Demand'!A:Z,18,FALSE))</f>
        <v>0</v>
      </c>
      <c r="AB46" s="16">
        <f>IF(ISERROR(VLOOKUP($A46,'13. Updated Demand'!A:Z,19,FALSE)),0,VLOOKUP($A46,'13. Updated Demand'!A:Z,19,FALSE))</f>
        <v>0</v>
      </c>
      <c r="AC46" s="16">
        <f>IF(ISERROR(VLOOKUP($A46,'13. Updated Demand'!A:Z,20,FALSE)),0,VLOOKUP($A46,'13. Updated Demand'!A:Z,20,FALSE))</f>
        <v>0</v>
      </c>
      <c r="AD46" s="16">
        <f>IF(ISERROR(VLOOKUP($A46,'13. Updated Demand'!A:Z,21,FALSE)),0,VLOOKUP($A46,'13. Updated Demand'!A:Z,21,FALSE))</f>
        <v>0</v>
      </c>
      <c r="AE46" s="16">
        <f>IF(ISERROR(VLOOKUP($A46,'13. Updated Demand'!A:Z,22,FALSE)),0,VLOOKUP($A46,'13. Updated Demand'!A:Z,22,FALSE))</f>
        <v>0</v>
      </c>
      <c r="AF46" s="16">
        <f>IF(ISERROR(VLOOKUP($A46,'13. Updated Demand'!A:Z,23,FALSE)),0,VLOOKUP($A46,'13. Updated Demand'!A:Z,23,FALSE))</f>
        <v>0</v>
      </c>
      <c r="AG46" s="16">
        <f>IF(ISERROR(VLOOKUP($A46,'13. Updated Demand'!A:Z,24,FALSE)),0,VLOOKUP($A46,'13. Updated Demand'!A:Z,24,FALSE))</f>
        <v>0</v>
      </c>
      <c r="AH46" s="16">
        <f>IF(ISERROR(VLOOKUP($A46,'13. Updated Demand'!A:Z,25,FALSE)),0,VLOOKUP($A46,'13. Updated Demand'!A:Z,25,FALSE))</f>
        <v>0</v>
      </c>
      <c r="AI46" s="16">
        <f>IF(ISERROR(VLOOKUP($A46,'13. Updated Demand'!A:Z,26,FALSE)),0,VLOOKUP($A46,'13. Updated Demand'!A:Z,26,FALSE))</f>
        <v>0</v>
      </c>
      <c r="AJ46" s="16">
        <f t="shared" si="12"/>
        <v>0</v>
      </c>
      <c r="AK46" s="19">
        <v>0</v>
      </c>
      <c r="AL46" s="16">
        <f t="shared" si="9"/>
        <v>0</v>
      </c>
      <c r="AM46" s="17">
        <v>0</v>
      </c>
      <c r="AN46" s="19"/>
      <c r="AO46" s="19"/>
      <c r="AP46" s="19">
        <v>0.18</v>
      </c>
      <c r="AQ46" s="19" t="s">
        <v>307</v>
      </c>
      <c r="AR46" s="9" t="s">
        <v>319</v>
      </c>
      <c r="AS46" s="12">
        <v>0</v>
      </c>
      <c r="AT46" s="19">
        <v>38.974400000000003</v>
      </c>
      <c r="AU46" s="19">
        <v>-123.1919</v>
      </c>
      <c r="AV46" s="19" t="s">
        <v>315</v>
      </c>
    </row>
    <row r="47" spans="1:48" x14ac:dyDescent="0.25">
      <c r="A47" s="18" t="s">
        <v>374</v>
      </c>
      <c r="B47" s="10">
        <v>20180613</v>
      </c>
      <c r="C47" s="9">
        <v>20</v>
      </c>
      <c r="D47" s="8" t="str">
        <f t="shared" si="0"/>
        <v>N</v>
      </c>
      <c r="E47" s="8" t="str">
        <f t="shared" si="1"/>
        <v>N</v>
      </c>
      <c r="F47" s="8" t="str">
        <f t="shared" si="2"/>
        <v>N</v>
      </c>
      <c r="G47" s="8" t="str">
        <f t="shared" si="3"/>
        <v>N</v>
      </c>
      <c r="H47" s="8" t="str">
        <f t="shared" si="4"/>
        <v>Lower</v>
      </c>
      <c r="I47" s="8" t="str">
        <f t="shared" si="5"/>
        <v>Outside</v>
      </c>
      <c r="J47" s="8" t="str">
        <f t="shared" si="6"/>
        <v>Outside</v>
      </c>
      <c r="K47" s="8" t="str">
        <f t="shared" si="7"/>
        <v>Post-1949</v>
      </c>
      <c r="L47" s="8">
        <f t="shared" si="8"/>
        <v>2018</v>
      </c>
      <c r="M47" s="8" t="str">
        <f t="shared" si="10"/>
        <v>1991-present</v>
      </c>
      <c r="N47" s="10" t="s">
        <v>242</v>
      </c>
      <c r="O47" s="10" t="s">
        <v>242</v>
      </c>
      <c r="P47" s="10" t="s">
        <v>242</v>
      </c>
      <c r="Q47" s="10" t="s">
        <v>242</v>
      </c>
      <c r="R47" s="10" t="s">
        <v>241</v>
      </c>
      <c r="S47" s="10" t="s">
        <v>242</v>
      </c>
      <c r="T47" s="10" t="s">
        <v>242</v>
      </c>
      <c r="U47" s="10" t="s">
        <v>242</v>
      </c>
      <c r="V47" s="10" t="s">
        <v>242</v>
      </c>
      <c r="W47" s="10" t="s">
        <v>242</v>
      </c>
      <c r="X47" s="15">
        <f>IF(ISERROR(VLOOKUP($A47,'13. Updated Demand'!A:Z,15,FALSE)),0,VLOOKUP($A47,'13. Updated Demand'!A:Z,15,FALSE))</f>
        <v>9.2071999999999998E-4</v>
      </c>
      <c r="Y47" s="16">
        <f>IF(ISERROR(VLOOKUP($A47,'13. Updated Demand'!A:Z,16,FALSE)),0,VLOOKUP($A47,'13. Updated Demand'!A:Z,16,FALSE))</f>
        <v>7.6727999999999996E-4</v>
      </c>
      <c r="Z47" s="16">
        <f>IF(ISERROR(VLOOKUP($A47,'13. Updated Demand'!A:Z,17,FALSE)),0,VLOOKUP($A47,'13. Updated Demand'!A:Z,17,FALSE))</f>
        <v>1.0434387999999999E-2</v>
      </c>
      <c r="AA47" s="16">
        <f>IF(ISERROR(VLOOKUP($A47,'13. Updated Demand'!A:Z,18,FALSE)),0,VLOOKUP($A47,'13. Updated Demand'!A:Z,18,FALSE))</f>
        <v>1.15085E-2</v>
      </c>
      <c r="AB47" s="16">
        <f>IF(ISERROR(VLOOKUP($A47,'13. Updated Demand'!A:Z,19,FALSE)),0,VLOOKUP($A47,'13. Updated Demand'!A:Z,19,FALSE))</f>
        <v>1.9948E-2</v>
      </c>
      <c r="AC47" s="16">
        <f>IF(ISERROR(VLOOKUP($A47,'13. Updated Demand'!A:Z,20,FALSE)),0,VLOOKUP($A47,'13. Updated Demand'!A:Z,20,FALSE))</f>
        <v>2.3016499999999999E-2</v>
      </c>
      <c r="AD47" s="16">
        <f>IF(ISERROR(VLOOKUP($A47,'13. Updated Demand'!A:Z,21,FALSE)),0,VLOOKUP($A47,'13. Updated Demand'!A:Z,21,FALSE))</f>
        <v>2.3016499999999999E-2</v>
      </c>
      <c r="AE47" s="16">
        <f>IF(ISERROR(VLOOKUP($A47,'13. Updated Demand'!A:Z,22,FALSE)),0,VLOOKUP($A47,'13. Updated Demand'!A:Z,22,FALSE))</f>
        <v>2.3016499999999999E-2</v>
      </c>
      <c r="AF47" s="16">
        <f>IF(ISERROR(VLOOKUP($A47,'13. Updated Demand'!A:Z,23,FALSE)),0,VLOOKUP($A47,'13. Updated Demand'!A:Z,23,FALSE))</f>
        <v>2.3016499999999999E-2</v>
      </c>
      <c r="AG47" s="16">
        <f>IF(ISERROR(VLOOKUP($A47,'13. Updated Demand'!A:Z,24,FALSE)),0,VLOOKUP($A47,'13. Updated Demand'!A:Z,24,FALSE))</f>
        <v>1.2275000000000001E-3</v>
      </c>
      <c r="AH47" s="16">
        <f>IF(ISERROR(VLOOKUP($A47,'13. Updated Demand'!A:Z,25,FALSE)),0,VLOOKUP($A47,'13. Updated Demand'!A:Z,25,FALSE))</f>
        <v>2.9154990000000002E-3</v>
      </c>
      <c r="AI47" s="16">
        <f>IF(ISERROR(VLOOKUP($A47,'13. Updated Demand'!A:Z,26,FALSE)),0,VLOOKUP($A47,'13. Updated Demand'!A:Z,26,FALSE))</f>
        <v>1.45772E-3</v>
      </c>
      <c r="AJ47" s="16">
        <f t="shared" si="12"/>
        <v>0.14124560699999997</v>
      </c>
      <c r="AK47" s="19">
        <v>0.11201399999999999</v>
      </c>
      <c r="AL47" s="16">
        <f t="shared" si="9"/>
        <v>3.7153767840634712E-4</v>
      </c>
      <c r="AM47" s="17">
        <v>0.24352690862068962</v>
      </c>
      <c r="AN47" s="19"/>
      <c r="AO47" s="19"/>
      <c r="AP47" s="19">
        <v>0.57999999999999996</v>
      </c>
      <c r="AQ47" s="19" t="s">
        <v>307</v>
      </c>
      <c r="AR47" s="9" t="s">
        <v>329</v>
      </c>
      <c r="AS47" s="12">
        <v>0</v>
      </c>
      <c r="AT47" s="19">
        <v>38.535299999999999</v>
      </c>
      <c r="AU47" s="19">
        <v>-123.14660000000001</v>
      </c>
      <c r="AV47" s="19" t="s">
        <v>375</v>
      </c>
    </row>
    <row r="48" spans="1:48" x14ac:dyDescent="0.25">
      <c r="A48" s="18" t="s">
        <v>376</v>
      </c>
      <c r="B48" s="10">
        <v>20180712</v>
      </c>
      <c r="C48" s="9">
        <v>4</v>
      </c>
      <c r="D48" s="8" t="str">
        <f t="shared" si="0"/>
        <v>Y</v>
      </c>
      <c r="E48" s="8" t="str">
        <f t="shared" si="1"/>
        <v>N</v>
      </c>
      <c r="F48" s="8" t="str">
        <f t="shared" si="2"/>
        <v>Y</v>
      </c>
      <c r="G48" s="8" t="str">
        <f t="shared" si="3"/>
        <v>Y</v>
      </c>
      <c r="H48" s="8" t="str">
        <f t="shared" si="4"/>
        <v>Upper</v>
      </c>
      <c r="I48" s="8" t="str">
        <f t="shared" si="5"/>
        <v>West Fork and Below Lake</v>
      </c>
      <c r="J48" s="8" t="str">
        <f t="shared" si="6"/>
        <v>Mendocino (d/s of lake)</v>
      </c>
      <c r="K48" s="8" t="str">
        <f t="shared" si="7"/>
        <v>Post-1949</v>
      </c>
      <c r="L48" s="8">
        <f t="shared" si="8"/>
        <v>2018</v>
      </c>
      <c r="M48" s="8" t="str">
        <f t="shared" si="10"/>
        <v>1991-present</v>
      </c>
      <c r="N48" s="10" t="s">
        <v>242</v>
      </c>
      <c r="O48" s="10" t="s">
        <v>241</v>
      </c>
      <c r="P48" s="10" t="s">
        <v>242</v>
      </c>
      <c r="Q48" s="10" t="s">
        <v>242</v>
      </c>
      <c r="R48" s="10" t="s">
        <v>241</v>
      </c>
      <c r="S48" s="10" t="s">
        <v>242</v>
      </c>
      <c r="T48" s="10" t="s">
        <v>242</v>
      </c>
      <c r="U48" s="10" t="s">
        <v>241</v>
      </c>
      <c r="V48" s="10" t="s">
        <v>241</v>
      </c>
      <c r="W48" s="10" t="s">
        <v>242</v>
      </c>
      <c r="X48" s="15">
        <f>IF(ISERROR(VLOOKUP($A48,'13. Updated Demand'!A:Z,15,FALSE)),0,VLOOKUP($A48,'13. Updated Demand'!A:Z,15,FALSE))</f>
        <v>0</v>
      </c>
      <c r="Y48" s="16">
        <f>IF(ISERROR(VLOOKUP($A48,'13. Updated Demand'!A:Z,16,FALSE)),0,VLOOKUP($A48,'13. Updated Demand'!A:Z,16,FALSE))</f>
        <v>0</v>
      </c>
      <c r="Z48" s="16">
        <f>IF(ISERROR(VLOOKUP($A48,'13. Updated Demand'!A:Z,17,FALSE)),0,VLOOKUP($A48,'13. Updated Demand'!A:Z,17,FALSE))</f>
        <v>0</v>
      </c>
      <c r="AA48" s="16">
        <f>IF(ISERROR(VLOOKUP($A48,'13. Updated Demand'!A:Z,18,FALSE)),0,VLOOKUP($A48,'13. Updated Demand'!A:Z,18,FALSE))</f>
        <v>0</v>
      </c>
      <c r="AB48" s="16">
        <f>IF(ISERROR(VLOOKUP($A48,'13. Updated Demand'!A:Z,19,FALSE)),0,VLOOKUP($A48,'13. Updated Demand'!A:Z,19,FALSE))</f>
        <v>0</v>
      </c>
      <c r="AC48" s="16">
        <f>IF(ISERROR(VLOOKUP($A48,'13. Updated Demand'!A:Z,20,FALSE)),0,VLOOKUP($A48,'13. Updated Demand'!A:Z,20,FALSE))</f>
        <v>0</v>
      </c>
      <c r="AD48" s="16">
        <f>IF(ISERROR(VLOOKUP($A48,'13. Updated Demand'!A:Z,21,FALSE)),0,VLOOKUP($A48,'13. Updated Demand'!A:Z,21,FALSE))</f>
        <v>0</v>
      </c>
      <c r="AE48" s="16">
        <f>IF(ISERROR(VLOOKUP($A48,'13. Updated Demand'!A:Z,22,FALSE)),0,VLOOKUP($A48,'13. Updated Demand'!A:Z,22,FALSE))</f>
        <v>0</v>
      </c>
      <c r="AF48" s="16">
        <f>IF(ISERROR(VLOOKUP($A48,'13. Updated Demand'!A:Z,23,FALSE)),0,VLOOKUP($A48,'13. Updated Demand'!A:Z,23,FALSE))</f>
        <v>0</v>
      </c>
      <c r="AG48" s="16">
        <f>IF(ISERROR(VLOOKUP($A48,'13. Updated Demand'!A:Z,24,FALSE)),0,VLOOKUP($A48,'13. Updated Demand'!A:Z,24,FALSE))</f>
        <v>0</v>
      </c>
      <c r="AH48" s="16">
        <f>IF(ISERROR(VLOOKUP($A48,'13. Updated Demand'!A:Z,25,FALSE)),0,VLOOKUP($A48,'13. Updated Demand'!A:Z,25,FALSE))</f>
        <v>0</v>
      </c>
      <c r="AI48" s="16">
        <f>IF(ISERROR(VLOOKUP($A48,'13. Updated Demand'!A:Z,26,FALSE)),0,VLOOKUP($A48,'13. Updated Demand'!A:Z,26,FALSE))</f>
        <v>0</v>
      </c>
      <c r="AJ48" s="16">
        <f t="shared" si="12"/>
        <v>0</v>
      </c>
      <c r="AK48" s="19">
        <v>0</v>
      </c>
      <c r="AL48" s="16">
        <f t="shared" si="9"/>
        <v>0</v>
      </c>
      <c r="AM48" s="17">
        <v>0</v>
      </c>
      <c r="AN48" s="19"/>
      <c r="AO48" s="19"/>
      <c r="AP48" s="19">
        <v>0.35</v>
      </c>
      <c r="AQ48" s="19" t="s">
        <v>307</v>
      </c>
      <c r="AR48" s="9" t="s">
        <v>331</v>
      </c>
      <c r="AS48" s="12">
        <v>0</v>
      </c>
      <c r="AT48" s="19">
        <v>39.213799999999999</v>
      </c>
      <c r="AU48" s="19">
        <v>-123.28919999999999</v>
      </c>
      <c r="AV48" s="19" t="s">
        <v>320</v>
      </c>
    </row>
    <row r="49" spans="1:48" x14ac:dyDescent="0.25">
      <c r="A49" s="18" t="s">
        <v>377</v>
      </c>
      <c r="B49" s="10">
        <v>20180626</v>
      </c>
      <c r="C49" s="9">
        <v>23</v>
      </c>
      <c r="D49" s="8" t="str">
        <f t="shared" si="0"/>
        <v>N</v>
      </c>
      <c r="E49" s="8" t="str">
        <f t="shared" si="1"/>
        <v>N</v>
      </c>
      <c r="F49" s="8" t="str">
        <f t="shared" si="2"/>
        <v>N</v>
      </c>
      <c r="G49" s="8" t="str">
        <f t="shared" si="3"/>
        <v>N</v>
      </c>
      <c r="H49" s="8" t="str">
        <f t="shared" si="4"/>
        <v>Lower</v>
      </c>
      <c r="I49" s="8" t="str">
        <f t="shared" si="5"/>
        <v>Outside</v>
      </c>
      <c r="J49" s="8" t="str">
        <f t="shared" si="6"/>
        <v>Outside</v>
      </c>
      <c r="K49" s="8" t="str">
        <f t="shared" si="7"/>
        <v>Post-1949</v>
      </c>
      <c r="L49" s="8">
        <f t="shared" si="8"/>
        <v>2018</v>
      </c>
      <c r="M49" s="8" t="str">
        <f t="shared" si="10"/>
        <v>1991-present</v>
      </c>
      <c r="N49" s="10" t="s">
        <v>242</v>
      </c>
      <c r="O49" s="10" t="s">
        <v>242</v>
      </c>
      <c r="P49" s="10" t="s">
        <v>242</v>
      </c>
      <c r="Q49" s="10" t="s">
        <v>242</v>
      </c>
      <c r="R49" s="10" t="s">
        <v>241</v>
      </c>
      <c r="S49" s="10" t="s">
        <v>242</v>
      </c>
      <c r="T49" s="10" t="s">
        <v>242</v>
      </c>
      <c r="U49" s="10" t="s">
        <v>241</v>
      </c>
      <c r="V49" s="10" t="s">
        <v>241</v>
      </c>
      <c r="W49" s="10" t="s">
        <v>242</v>
      </c>
      <c r="X49" s="15">
        <f>IF(ISERROR(VLOOKUP($A49,'13. Updated Demand'!A:Z,15,FALSE)),0,VLOOKUP($A49,'13. Updated Demand'!A:Z,15,FALSE))</f>
        <v>0</v>
      </c>
      <c r="Y49" s="16">
        <f>IF(ISERROR(VLOOKUP($A49,'13. Updated Demand'!A:Z,16,FALSE)),0,VLOOKUP($A49,'13. Updated Demand'!A:Z,16,FALSE))</f>
        <v>0</v>
      </c>
      <c r="Z49" s="16">
        <f>IF(ISERROR(VLOOKUP($A49,'13. Updated Demand'!A:Z,17,FALSE)),0,VLOOKUP($A49,'13. Updated Demand'!A:Z,17,FALSE))</f>
        <v>0</v>
      </c>
      <c r="AA49" s="16">
        <f>IF(ISERROR(VLOOKUP($A49,'13. Updated Demand'!A:Z,18,FALSE)),0,VLOOKUP($A49,'13. Updated Demand'!A:Z,18,FALSE))</f>
        <v>0</v>
      </c>
      <c r="AB49" s="16">
        <f>IF(ISERROR(VLOOKUP($A49,'13. Updated Demand'!A:Z,19,FALSE)),0,VLOOKUP($A49,'13. Updated Demand'!A:Z,19,FALSE))</f>
        <v>0</v>
      </c>
      <c r="AC49" s="16">
        <f>IF(ISERROR(VLOOKUP($A49,'13. Updated Demand'!A:Z,20,FALSE)),0,VLOOKUP($A49,'13. Updated Demand'!A:Z,20,FALSE))</f>
        <v>0</v>
      </c>
      <c r="AD49" s="16">
        <f>IF(ISERROR(VLOOKUP($A49,'13. Updated Demand'!A:Z,21,FALSE)),0,VLOOKUP($A49,'13. Updated Demand'!A:Z,21,FALSE))</f>
        <v>0</v>
      </c>
      <c r="AE49" s="16">
        <f>IF(ISERROR(VLOOKUP($A49,'13. Updated Demand'!A:Z,22,FALSE)),0,VLOOKUP($A49,'13. Updated Demand'!A:Z,22,FALSE))</f>
        <v>0</v>
      </c>
      <c r="AF49" s="16">
        <f>IF(ISERROR(VLOOKUP($A49,'13. Updated Demand'!A:Z,23,FALSE)),0,VLOOKUP($A49,'13. Updated Demand'!A:Z,23,FALSE))</f>
        <v>0</v>
      </c>
      <c r="AG49" s="16">
        <f>IF(ISERROR(VLOOKUP($A49,'13. Updated Demand'!A:Z,24,FALSE)),0,VLOOKUP($A49,'13. Updated Demand'!A:Z,24,FALSE))</f>
        <v>0</v>
      </c>
      <c r="AH49" s="16">
        <f>IF(ISERROR(VLOOKUP($A49,'13. Updated Demand'!A:Z,25,FALSE)),0,VLOOKUP($A49,'13. Updated Demand'!A:Z,25,FALSE))</f>
        <v>0</v>
      </c>
      <c r="AI49" s="16">
        <f>IF(ISERROR(VLOOKUP($A49,'13. Updated Demand'!A:Z,26,FALSE)),0,VLOOKUP($A49,'13. Updated Demand'!A:Z,26,FALSE))</f>
        <v>0</v>
      </c>
      <c r="AJ49" s="16">
        <f t="shared" si="12"/>
        <v>0</v>
      </c>
      <c r="AK49" s="19">
        <v>0</v>
      </c>
      <c r="AL49" s="16">
        <f t="shared" si="9"/>
        <v>0</v>
      </c>
      <c r="AM49" s="17">
        <v>0</v>
      </c>
      <c r="AN49" s="19"/>
      <c r="AO49" s="19"/>
      <c r="AP49" s="19">
        <v>3.16</v>
      </c>
      <c r="AQ49" s="19" t="s">
        <v>307</v>
      </c>
      <c r="AR49" s="9" t="s">
        <v>378</v>
      </c>
      <c r="AS49" s="12">
        <v>0</v>
      </c>
      <c r="AT49" s="19">
        <v>38.384799999999998</v>
      </c>
      <c r="AU49" s="19">
        <v>-122.6024</v>
      </c>
      <c r="AV49" s="19" t="s">
        <v>320</v>
      </c>
    </row>
    <row r="50" spans="1:48" x14ac:dyDescent="0.25">
      <c r="A50" s="18" t="s">
        <v>379</v>
      </c>
      <c r="B50" s="10">
        <v>20181002</v>
      </c>
      <c r="C50" s="9">
        <v>6</v>
      </c>
      <c r="D50" s="8" t="str">
        <f t="shared" si="0"/>
        <v>Y</v>
      </c>
      <c r="E50" s="8" t="str">
        <f t="shared" si="1"/>
        <v>N</v>
      </c>
      <c r="F50" s="8" t="str">
        <f t="shared" si="2"/>
        <v>Y</v>
      </c>
      <c r="G50" s="8" t="str">
        <f t="shared" si="3"/>
        <v>Y</v>
      </c>
      <c r="H50" s="8" t="str">
        <f t="shared" si="4"/>
        <v>Upper</v>
      </c>
      <c r="I50" s="8" t="str">
        <f t="shared" si="5"/>
        <v>West Fork and Below Lake</v>
      </c>
      <c r="J50" s="8" t="str">
        <f t="shared" si="6"/>
        <v>Mendocino (d/s of lake)</v>
      </c>
      <c r="K50" s="8" t="str">
        <f t="shared" si="7"/>
        <v>Post-1949</v>
      </c>
      <c r="L50" s="8">
        <f t="shared" si="8"/>
        <v>2018</v>
      </c>
      <c r="M50" s="8" t="str">
        <f t="shared" si="10"/>
        <v>1991-present</v>
      </c>
      <c r="N50" s="10" t="s">
        <v>242</v>
      </c>
      <c r="O50" s="10" t="s">
        <v>241</v>
      </c>
      <c r="P50" s="10" t="s">
        <v>242</v>
      </c>
      <c r="Q50" s="10" t="s">
        <v>242</v>
      </c>
      <c r="R50" s="10" t="s">
        <v>241</v>
      </c>
      <c r="S50" s="10" t="s">
        <v>242</v>
      </c>
      <c r="T50" s="10" t="s">
        <v>242</v>
      </c>
      <c r="U50" s="10" t="s">
        <v>242</v>
      </c>
      <c r="V50" s="10" t="s">
        <v>241</v>
      </c>
      <c r="W50" s="10" t="s">
        <v>242</v>
      </c>
      <c r="X50" s="15">
        <f>IF(ISERROR(VLOOKUP($A50,'13. Updated Demand'!A:Z,15,FALSE)),0,VLOOKUP($A50,'13. Updated Demand'!A:Z,15,FALSE))</f>
        <v>0.01</v>
      </c>
      <c r="Y50" s="16">
        <f>IF(ISERROR(VLOOKUP($A50,'13. Updated Demand'!A:Z,16,FALSE)),0,VLOOKUP($A50,'13. Updated Demand'!A:Z,16,FALSE))</f>
        <v>0.01</v>
      </c>
      <c r="Z50" s="16">
        <f>IF(ISERROR(VLOOKUP($A50,'13. Updated Demand'!A:Z,17,FALSE)),0,VLOOKUP($A50,'13. Updated Demand'!A:Z,17,FALSE))</f>
        <v>0</v>
      </c>
      <c r="AA50" s="16">
        <f>IF(ISERROR(VLOOKUP($A50,'13. Updated Demand'!A:Z,18,FALSE)),0,VLOOKUP($A50,'13. Updated Demand'!A:Z,18,FALSE))</f>
        <v>0</v>
      </c>
      <c r="AB50" s="16">
        <f>IF(ISERROR(VLOOKUP($A50,'13. Updated Demand'!A:Z,19,FALSE)),0,VLOOKUP($A50,'13. Updated Demand'!A:Z,19,FALSE))</f>
        <v>0</v>
      </c>
      <c r="AC50" s="16">
        <f>IF(ISERROR(VLOOKUP($A50,'13. Updated Demand'!A:Z,20,FALSE)),0,VLOOKUP($A50,'13. Updated Demand'!A:Z,20,FALSE))</f>
        <v>0</v>
      </c>
      <c r="AD50" s="16">
        <f>IF(ISERROR(VLOOKUP($A50,'13. Updated Demand'!A:Z,21,FALSE)),0,VLOOKUP($A50,'13. Updated Demand'!A:Z,21,FALSE))</f>
        <v>0</v>
      </c>
      <c r="AE50" s="16">
        <f>IF(ISERROR(VLOOKUP($A50,'13. Updated Demand'!A:Z,22,FALSE)),0,VLOOKUP($A50,'13. Updated Demand'!A:Z,22,FALSE))</f>
        <v>0</v>
      </c>
      <c r="AF50" s="16">
        <f>IF(ISERROR(VLOOKUP($A50,'13. Updated Demand'!A:Z,23,FALSE)),0,VLOOKUP($A50,'13. Updated Demand'!A:Z,23,FALSE))</f>
        <v>0</v>
      </c>
      <c r="AG50" s="16">
        <f>IF(ISERROR(VLOOKUP($A50,'13. Updated Demand'!A:Z,24,FALSE)),0,VLOOKUP($A50,'13. Updated Demand'!A:Z,24,FALSE))</f>
        <v>0</v>
      </c>
      <c r="AH50" s="16">
        <f>IF(ISERROR(VLOOKUP($A50,'13. Updated Demand'!A:Z,25,FALSE)),0,VLOOKUP($A50,'13. Updated Demand'!A:Z,25,FALSE))</f>
        <v>0.01</v>
      </c>
      <c r="AI50" s="16">
        <f>IF(ISERROR(VLOOKUP($A50,'13. Updated Demand'!A:Z,26,FALSE)),0,VLOOKUP($A50,'13. Updated Demand'!A:Z,26,FALSE))</f>
        <v>0.01</v>
      </c>
      <c r="AJ50" s="16">
        <f t="shared" si="12"/>
        <v>0.04</v>
      </c>
      <c r="AK50" s="19">
        <v>0</v>
      </c>
      <c r="AL50" s="16">
        <f t="shared" si="9"/>
        <v>0</v>
      </c>
      <c r="AM50" s="17">
        <v>0.11612010810810811</v>
      </c>
      <c r="AN50" s="19"/>
      <c r="AO50" s="19"/>
      <c r="AP50" s="19">
        <v>0.37</v>
      </c>
      <c r="AQ50" s="19" t="s">
        <v>307</v>
      </c>
      <c r="AR50" s="9" t="s">
        <v>319</v>
      </c>
      <c r="AS50" s="12">
        <v>0</v>
      </c>
      <c r="AT50" s="19">
        <v>38.987299999999998</v>
      </c>
      <c r="AU50" s="19">
        <v>-123.1915</v>
      </c>
      <c r="AV50" s="19" t="s">
        <v>315</v>
      </c>
    </row>
    <row r="51" spans="1:48" x14ac:dyDescent="0.25">
      <c r="A51" s="18" t="s">
        <v>380</v>
      </c>
      <c r="B51" s="10">
        <v>20181102</v>
      </c>
      <c r="C51" s="9">
        <v>6</v>
      </c>
      <c r="D51" s="8" t="str">
        <f t="shared" si="0"/>
        <v>Y</v>
      </c>
      <c r="E51" s="8" t="str">
        <f t="shared" si="1"/>
        <v>N</v>
      </c>
      <c r="F51" s="8" t="str">
        <f t="shared" si="2"/>
        <v>Y</v>
      </c>
      <c r="G51" s="8" t="str">
        <f t="shared" si="3"/>
        <v>Y</v>
      </c>
      <c r="H51" s="8" t="str">
        <f t="shared" si="4"/>
        <v>Upper</v>
      </c>
      <c r="I51" s="8" t="str">
        <f t="shared" si="5"/>
        <v>West Fork and Below Lake</v>
      </c>
      <c r="J51" s="8" t="str">
        <f t="shared" si="6"/>
        <v>Mendocino (d/s of lake)</v>
      </c>
      <c r="K51" s="8" t="str">
        <f t="shared" si="7"/>
        <v>Post-1949</v>
      </c>
      <c r="L51" s="8">
        <f t="shared" si="8"/>
        <v>2018</v>
      </c>
      <c r="M51" s="8" t="str">
        <f t="shared" si="10"/>
        <v>1991-present</v>
      </c>
      <c r="N51" s="10" t="s">
        <v>242</v>
      </c>
      <c r="O51" s="10" t="s">
        <v>241</v>
      </c>
      <c r="P51" s="10" t="s">
        <v>242</v>
      </c>
      <c r="Q51" s="10" t="s">
        <v>242</v>
      </c>
      <c r="R51" s="10" t="s">
        <v>241</v>
      </c>
      <c r="S51" s="10" t="s">
        <v>242</v>
      </c>
      <c r="T51" s="10" t="s">
        <v>242</v>
      </c>
      <c r="U51" s="10" t="s">
        <v>242</v>
      </c>
      <c r="V51" s="10" t="s">
        <v>242</v>
      </c>
      <c r="W51" s="10" t="s">
        <v>242</v>
      </c>
      <c r="X51" s="15">
        <f>IF(ISERROR(VLOOKUP($A51,'13. Updated Demand'!A:Z,15,FALSE)),0,VLOOKUP($A51,'13. Updated Demand'!A:Z,15,FALSE))</f>
        <v>0.02</v>
      </c>
      <c r="Y51" s="16">
        <f>IF(ISERROR(VLOOKUP($A51,'13. Updated Demand'!A:Z,16,FALSE)),0,VLOOKUP($A51,'13. Updated Demand'!A:Z,16,FALSE))</f>
        <v>0.02</v>
      </c>
      <c r="Z51" s="16">
        <f>IF(ISERROR(VLOOKUP($A51,'13. Updated Demand'!A:Z,17,FALSE)),0,VLOOKUP($A51,'13. Updated Demand'!A:Z,17,FALSE))</f>
        <v>0.02</v>
      </c>
      <c r="AA51" s="16">
        <f>IF(ISERROR(VLOOKUP($A51,'13. Updated Demand'!A:Z,18,FALSE)),0,VLOOKUP($A51,'13. Updated Demand'!A:Z,18,FALSE))</f>
        <v>0.02</v>
      </c>
      <c r="AB51" s="16">
        <f>IF(ISERROR(VLOOKUP($A51,'13. Updated Demand'!A:Z,19,FALSE)),0,VLOOKUP($A51,'13. Updated Demand'!A:Z,19,FALSE))</f>
        <v>0.02</v>
      </c>
      <c r="AC51" s="16">
        <f>IF(ISERROR(VLOOKUP($A51,'13. Updated Demand'!A:Z,20,FALSE)),0,VLOOKUP($A51,'13. Updated Demand'!A:Z,20,FALSE))</f>
        <v>0.02</v>
      </c>
      <c r="AD51" s="16">
        <f>IF(ISERROR(VLOOKUP($A51,'13. Updated Demand'!A:Z,21,FALSE)),0,VLOOKUP($A51,'13. Updated Demand'!A:Z,21,FALSE))</f>
        <v>0.03</v>
      </c>
      <c r="AE51" s="16">
        <f>IF(ISERROR(VLOOKUP($A51,'13. Updated Demand'!A:Z,22,FALSE)),0,VLOOKUP($A51,'13. Updated Demand'!A:Z,22,FALSE))</f>
        <v>0.03</v>
      </c>
      <c r="AF51" s="16">
        <f>IF(ISERROR(VLOOKUP($A51,'13. Updated Demand'!A:Z,23,FALSE)),0,VLOOKUP($A51,'13. Updated Demand'!A:Z,23,FALSE))</f>
        <v>0.03</v>
      </c>
      <c r="AG51" s="16">
        <f>IF(ISERROR(VLOOKUP($A51,'13. Updated Demand'!A:Z,24,FALSE)),0,VLOOKUP($A51,'13. Updated Demand'!A:Z,24,FALSE))</f>
        <v>0.02</v>
      </c>
      <c r="AH51" s="16">
        <f>IF(ISERROR(VLOOKUP($A51,'13. Updated Demand'!A:Z,25,FALSE)),0,VLOOKUP($A51,'13. Updated Demand'!A:Z,25,FALSE))</f>
        <v>0.01</v>
      </c>
      <c r="AI51" s="16">
        <f>IF(ISERROR(VLOOKUP($A51,'13. Updated Demand'!A:Z,26,FALSE)),0,VLOOKUP($A51,'13. Updated Demand'!A:Z,26,FALSE))</f>
        <v>8.9999999999999993E-3</v>
      </c>
      <c r="AJ51" s="16">
        <f t="shared" si="12"/>
        <v>0.24900000000000003</v>
      </c>
      <c r="AK51" s="19">
        <v>0.15200000000000002</v>
      </c>
      <c r="AL51" s="16">
        <f t="shared" si="9"/>
        <v>5.0416668557291746E-4</v>
      </c>
      <c r="AM51" s="17">
        <v>0.93750000000000011</v>
      </c>
      <c r="AN51" s="19"/>
      <c r="AO51" s="19"/>
      <c r="AP51" s="19">
        <v>0.32</v>
      </c>
      <c r="AQ51" s="19" t="s">
        <v>307</v>
      </c>
      <c r="AR51" s="9" t="s">
        <v>319</v>
      </c>
      <c r="AS51" s="12">
        <v>0</v>
      </c>
      <c r="AT51" s="19">
        <v>38.981000000000002</v>
      </c>
      <c r="AU51" s="19">
        <v>-122.9939</v>
      </c>
      <c r="AV51" s="19" t="s">
        <v>315</v>
      </c>
    </row>
    <row r="52" spans="1:48" x14ac:dyDescent="0.25">
      <c r="A52" s="18" t="s">
        <v>381</v>
      </c>
      <c r="B52" s="10">
        <v>20180911</v>
      </c>
      <c r="C52" s="9">
        <v>23</v>
      </c>
      <c r="D52" s="8" t="str">
        <f t="shared" si="0"/>
        <v>N</v>
      </c>
      <c r="E52" s="8" t="str">
        <f t="shared" si="1"/>
        <v>N</v>
      </c>
      <c r="F52" s="8" t="str">
        <f t="shared" si="2"/>
        <v>N</v>
      </c>
      <c r="G52" s="8" t="str">
        <f t="shared" si="3"/>
        <v>N</v>
      </c>
      <c r="H52" s="8" t="str">
        <f t="shared" si="4"/>
        <v>Lower</v>
      </c>
      <c r="I52" s="8" t="str">
        <f t="shared" si="5"/>
        <v>Outside</v>
      </c>
      <c r="J52" s="8" t="str">
        <f t="shared" si="6"/>
        <v>Outside</v>
      </c>
      <c r="K52" s="8" t="str">
        <f t="shared" si="7"/>
        <v>Post-1949</v>
      </c>
      <c r="L52" s="8">
        <f t="shared" si="8"/>
        <v>2018</v>
      </c>
      <c r="M52" s="8" t="str">
        <f t="shared" si="10"/>
        <v>1991-present</v>
      </c>
      <c r="N52" s="10" t="s">
        <v>242</v>
      </c>
      <c r="O52" s="10" t="s">
        <v>242</v>
      </c>
      <c r="P52" s="10" t="s">
        <v>242</v>
      </c>
      <c r="Q52" s="10" t="s">
        <v>242</v>
      </c>
      <c r="R52" s="10" t="s">
        <v>241</v>
      </c>
      <c r="S52" s="10" t="s">
        <v>242</v>
      </c>
      <c r="T52" s="10" t="s">
        <v>241</v>
      </c>
      <c r="U52" s="10" t="s">
        <v>241</v>
      </c>
      <c r="V52" s="10" t="s">
        <v>241</v>
      </c>
      <c r="W52" s="10" t="s">
        <v>242</v>
      </c>
      <c r="X52" s="15">
        <f>IF(ISERROR(VLOOKUP($A52,'13. Updated Demand'!A:Z,15,FALSE)),0,VLOOKUP($A52,'13. Updated Demand'!A:Z,15,FALSE))</f>
        <v>0</v>
      </c>
      <c r="Y52" s="16">
        <f>IF(ISERROR(VLOOKUP($A52,'13. Updated Demand'!A:Z,16,FALSE)),0,VLOOKUP($A52,'13. Updated Demand'!A:Z,16,FALSE))</f>
        <v>0</v>
      </c>
      <c r="Z52" s="16">
        <f>IF(ISERROR(VLOOKUP($A52,'13. Updated Demand'!A:Z,17,FALSE)),0,VLOOKUP($A52,'13. Updated Demand'!A:Z,17,FALSE))</f>
        <v>0</v>
      </c>
      <c r="AA52" s="16">
        <f>IF(ISERROR(VLOOKUP($A52,'13. Updated Demand'!A:Z,18,FALSE)),0,VLOOKUP($A52,'13. Updated Demand'!A:Z,18,FALSE))</f>
        <v>0</v>
      </c>
      <c r="AB52" s="16">
        <f>IF(ISERROR(VLOOKUP($A52,'13. Updated Demand'!A:Z,19,FALSE)),0,VLOOKUP($A52,'13. Updated Demand'!A:Z,19,FALSE))</f>
        <v>0</v>
      </c>
      <c r="AC52" s="16">
        <f>IF(ISERROR(VLOOKUP($A52,'13. Updated Demand'!A:Z,20,FALSE)),0,VLOOKUP($A52,'13. Updated Demand'!A:Z,20,FALSE))</f>
        <v>0</v>
      </c>
      <c r="AD52" s="16">
        <f>IF(ISERROR(VLOOKUP($A52,'13. Updated Demand'!A:Z,21,FALSE)),0,VLOOKUP($A52,'13. Updated Demand'!A:Z,21,FALSE))</f>
        <v>0</v>
      </c>
      <c r="AE52" s="16">
        <f>IF(ISERROR(VLOOKUP($A52,'13. Updated Demand'!A:Z,22,FALSE)),0,VLOOKUP($A52,'13. Updated Demand'!A:Z,22,FALSE))</f>
        <v>0</v>
      </c>
      <c r="AF52" s="16">
        <f>IF(ISERROR(VLOOKUP($A52,'13. Updated Demand'!A:Z,23,FALSE)),0,VLOOKUP($A52,'13. Updated Demand'!A:Z,23,FALSE))</f>
        <v>0</v>
      </c>
      <c r="AG52" s="16">
        <f>IF(ISERROR(VLOOKUP($A52,'13. Updated Demand'!A:Z,24,FALSE)),0,VLOOKUP($A52,'13. Updated Demand'!A:Z,24,FALSE))</f>
        <v>0</v>
      </c>
      <c r="AH52" s="16">
        <f>IF(ISERROR(VLOOKUP($A52,'13. Updated Demand'!A:Z,25,FALSE)),0,VLOOKUP($A52,'13. Updated Demand'!A:Z,25,FALSE))</f>
        <v>0</v>
      </c>
      <c r="AI52" s="16">
        <f>IF(ISERROR(VLOOKUP($A52,'13. Updated Demand'!A:Z,26,FALSE)),0,VLOOKUP($A52,'13. Updated Demand'!A:Z,26,FALSE))</f>
        <v>0</v>
      </c>
      <c r="AJ52" s="16">
        <f t="shared" si="12"/>
        <v>0</v>
      </c>
      <c r="AK52" s="19">
        <v>0</v>
      </c>
      <c r="AL52" s="16">
        <f t="shared" si="9"/>
        <v>0</v>
      </c>
      <c r="AM52" s="17">
        <v>0</v>
      </c>
      <c r="AN52" s="19"/>
      <c r="AO52" s="19"/>
      <c r="AP52" s="19">
        <v>3</v>
      </c>
      <c r="AQ52" s="19" t="s">
        <v>307</v>
      </c>
      <c r="AR52" s="9" t="s">
        <v>378</v>
      </c>
      <c r="AS52" s="12">
        <v>0</v>
      </c>
      <c r="AT52" s="19">
        <v>38.375799999999998</v>
      </c>
      <c r="AU52" s="19">
        <v>-122.62197</v>
      </c>
      <c r="AV52" s="19" t="s">
        <v>320</v>
      </c>
    </row>
    <row r="53" spans="1:48" x14ac:dyDescent="0.25">
      <c r="A53" s="18" t="s">
        <v>382</v>
      </c>
      <c r="B53" s="10">
        <v>20180426</v>
      </c>
      <c r="C53" s="9">
        <v>2</v>
      </c>
      <c r="D53" s="8" t="str">
        <f t="shared" si="0"/>
        <v>N</v>
      </c>
      <c r="E53" s="8" t="str">
        <f t="shared" si="1"/>
        <v>N</v>
      </c>
      <c r="F53" s="8" t="str">
        <f t="shared" si="2"/>
        <v>Y</v>
      </c>
      <c r="G53" s="8" t="str">
        <f t="shared" si="3"/>
        <v>N</v>
      </c>
      <c r="H53" s="8" t="str">
        <f t="shared" si="4"/>
        <v>Upper</v>
      </c>
      <c r="I53" s="8" t="str">
        <f t="shared" si="5"/>
        <v>Outside</v>
      </c>
      <c r="J53" s="8" t="str">
        <f t="shared" si="6"/>
        <v>Outside</v>
      </c>
      <c r="K53" s="8" t="str">
        <f t="shared" si="7"/>
        <v>Post-1949</v>
      </c>
      <c r="L53" s="8">
        <f t="shared" si="8"/>
        <v>2018</v>
      </c>
      <c r="M53" s="8" t="str">
        <f t="shared" si="10"/>
        <v>1991-present</v>
      </c>
      <c r="N53" s="10" t="s">
        <v>242</v>
      </c>
      <c r="O53" s="10" t="s">
        <v>241</v>
      </c>
      <c r="P53" s="10" t="s">
        <v>242</v>
      </c>
      <c r="Q53" s="10" t="s">
        <v>242</v>
      </c>
      <c r="R53" s="10" t="s">
        <v>241</v>
      </c>
      <c r="S53" s="10" t="s">
        <v>242</v>
      </c>
      <c r="T53" s="10" t="s">
        <v>242</v>
      </c>
      <c r="U53" s="10" t="s">
        <v>242</v>
      </c>
      <c r="V53" s="10" t="s">
        <v>241</v>
      </c>
      <c r="W53" s="10" t="s">
        <v>242</v>
      </c>
      <c r="X53" s="15">
        <f>IF(ISERROR(VLOOKUP($A53,'13. Updated Demand'!A:Z,15,FALSE)),0,VLOOKUP($A53,'13. Updated Demand'!A:Z,15,FALSE))</f>
        <v>0.04</v>
      </c>
      <c r="Y53" s="16">
        <f>IF(ISERROR(VLOOKUP($A53,'13. Updated Demand'!A:Z,16,FALSE)),0,VLOOKUP($A53,'13. Updated Demand'!A:Z,16,FALSE))</f>
        <v>0.04</v>
      </c>
      <c r="Z53" s="16">
        <f>IF(ISERROR(VLOOKUP($A53,'13. Updated Demand'!A:Z,17,FALSE)),0,VLOOKUP($A53,'13. Updated Demand'!A:Z,17,FALSE))</f>
        <v>0.04</v>
      </c>
      <c r="AA53" s="16">
        <f>IF(ISERROR(VLOOKUP($A53,'13. Updated Demand'!A:Z,18,FALSE)),0,VLOOKUP($A53,'13. Updated Demand'!A:Z,18,FALSE))</f>
        <v>0</v>
      </c>
      <c r="AB53" s="16">
        <f>IF(ISERROR(VLOOKUP($A53,'13. Updated Demand'!A:Z,19,FALSE)),0,VLOOKUP($A53,'13. Updated Demand'!A:Z,19,FALSE))</f>
        <v>0</v>
      </c>
      <c r="AC53" s="16">
        <f>IF(ISERROR(VLOOKUP($A53,'13. Updated Demand'!A:Z,20,FALSE)),0,VLOOKUP($A53,'13. Updated Demand'!A:Z,20,FALSE))</f>
        <v>0</v>
      </c>
      <c r="AD53" s="16">
        <f>IF(ISERROR(VLOOKUP($A53,'13. Updated Demand'!A:Z,21,FALSE)),0,VLOOKUP($A53,'13. Updated Demand'!A:Z,21,FALSE))</f>
        <v>0</v>
      </c>
      <c r="AE53" s="16">
        <f>IF(ISERROR(VLOOKUP($A53,'13. Updated Demand'!A:Z,22,FALSE)),0,VLOOKUP($A53,'13. Updated Demand'!A:Z,22,FALSE))</f>
        <v>0</v>
      </c>
      <c r="AF53" s="16">
        <f>IF(ISERROR(VLOOKUP($A53,'13. Updated Demand'!A:Z,23,FALSE)),0,VLOOKUP($A53,'13. Updated Demand'!A:Z,23,FALSE))</f>
        <v>0</v>
      </c>
      <c r="AG53" s="16">
        <f>IF(ISERROR(VLOOKUP($A53,'13. Updated Demand'!A:Z,24,FALSE)),0,VLOOKUP($A53,'13. Updated Demand'!A:Z,24,FALSE))</f>
        <v>0</v>
      </c>
      <c r="AH53" s="16">
        <f>IF(ISERROR(VLOOKUP($A53,'13. Updated Demand'!A:Z,25,FALSE)),0,VLOOKUP($A53,'13. Updated Demand'!A:Z,25,FALSE))</f>
        <v>0</v>
      </c>
      <c r="AI53" s="16">
        <f>IF(ISERROR(VLOOKUP($A53,'13. Updated Demand'!A:Z,26,FALSE)),0,VLOOKUP($A53,'13. Updated Demand'!A:Z,26,FALSE))</f>
        <v>0</v>
      </c>
      <c r="AJ53" s="16">
        <f t="shared" si="12"/>
        <v>0.12</v>
      </c>
      <c r="AK53" s="19">
        <v>0</v>
      </c>
      <c r="AL53" s="16">
        <f t="shared" si="9"/>
        <v>0</v>
      </c>
      <c r="AM53" s="17">
        <v>1</v>
      </c>
      <c r="AN53" s="19"/>
      <c r="AO53" s="19"/>
      <c r="AP53" s="19">
        <v>0.14000000000000001</v>
      </c>
      <c r="AQ53" s="19" t="s">
        <v>307</v>
      </c>
      <c r="AR53" s="9" t="s">
        <v>348</v>
      </c>
      <c r="AS53" s="12">
        <v>0</v>
      </c>
      <c r="AT53" s="19">
        <v>39.317399999999999</v>
      </c>
      <c r="AU53" s="19">
        <v>-123.0275</v>
      </c>
      <c r="AV53" s="19" t="s">
        <v>315</v>
      </c>
    </row>
    <row r="54" spans="1:48" x14ac:dyDescent="0.25">
      <c r="A54" s="18" t="s">
        <v>383</v>
      </c>
      <c r="B54" s="10">
        <v>20180612</v>
      </c>
      <c r="C54" s="9">
        <v>2</v>
      </c>
      <c r="D54" s="8" t="str">
        <f t="shared" si="0"/>
        <v>N</v>
      </c>
      <c r="E54" s="8" t="str">
        <f t="shared" si="1"/>
        <v>N</v>
      </c>
      <c r="F54" s="8" t="str">
        <f t="shared" si="2"/>
        <v>Y</v>
      </c>
      <c r="G54" s="8" t="str">
        <f t="shared" si="3"/>
        <v>N</v>
      </c>
      <c r="H54" s="8" t="str">
        <f t="shared" si="4"/>
        <v>Upper</v>
      </c>
      <c r="I54" s="8" t="str">
        <f t="shared" si="5"/>
        <v>Outside</v>
      </c>
      <c r="J54" s="8" t="str">
        <f t="shared" si="6"/>
        <v>Outside</v>
      </c>
      <c r="K54" s="8" t="str">
        <f t="shared" si="7"/>
        <v>Post-1949</v>
      </c>
      <c r="L54" s="8">
        <f t="shared" si="8"/>
        <v>2018</v>
      </c>
      <c r="M54" s="8" t="str">
        <f t="shared" si="10"/>
        <v>1991-present</v>
      </c>
      <c r="N54" s="10" t="s">
        <v>242</v>
      </c>
      <c r="O54" s="10" t="s">
        <v>241</v>
      </c>
      <c r="P54" s="10" t="s">
        <v>242</v>
      </c>
      <c r="Q54" s="10" t="s">
        <v>242</v>
      </c>
      <c r="R54" s="10" t="s">
        <v>241</v>
      </c>
      <c r="S54" s="10" t="s">
        <v>242</v>
      </c>
      <c r="T54" s="10" t="s">
        <v>242</v>
      </c>
      <c r="U54" s="10" t="s">
        <v>241</v>
      </c>
      <c r="V54" s="10" t="s">
        <v>241</v>
      </c>
      <c r="W54" s="10" t="s">
        <v>242</v>
      </c>
      <c r="X54" s="15">
        <f>IF(ISERROR(VLOOKUP($A54,'13. Updated Demand'!A:Z,15,FALSE)),0,VLOOKUP($A54,'13. Updated Demand'!A:Z,15,FALSE))</f>
        <v>0</v>
      </c>
      <c r="Y54" s="16">
        <f>IF(ISERROR(VLOOKUP($A54,'13. Updated Demand'!A:Z,16,FALSE)),0,VLOOKUP($A54,'13. Updated Demand'!A:Z,16,FALSE))</f>
        <v>0</v>
      </c>
      <c r="Z54" s="16">
        <f>IF(ISERROR(VLOOKUP($A54,'13. Updated Demand'!A:Z,17,FALSE)),0,VLOOKUP($A54,'13. Updated Demand'!A:Z,17,FALSE))</f>
        <v>0</v>
      </c>
      <c r="AA54" s="16">
        <f>IF(ISERROR(VLOOKUP($A54,'13. Updated Demand'!A:Z,18,FALSE)),0,VLOOKUP($A54,'13. Updated Demand'!A:Z,18,FALSE))</f>
        <v>0</v>
      </c>
      <c r="AB54" s="16">
        <f>IF(ISERROR(VLOOKUP($A54,'13. Updated Demand'!A:Z,19,FALSE)),0,VLOOKUP($A54,'13. Updated Demand'!A:Z,19,FALSE))</f>
        <v>0</v>
      </c>
      <c r="AC54" s="16">
        <f>IF(ISERROR(VLOOKUP($A54,'13. Updated Demand'!A:Z,20,FALSE)),0,VLOOKUP($A54,'13. Updated Demand'!A:Z,20,FALSE))</f>
        <v>0</v>
      </c>
      <c r="AD54" s="16">
        <f>IF(ISERROR(VLOOKUP($A54,'13. Updated Demand'!A:Z,21,FALSE)),0,VLOOKUP($A54,'13. Updated Demand'!A:Z,21,FALSE))</f>
        <v>0</v>
      </c>
      <c r="AE54" s="16">
        <f>IF(ISERROR(VLOOKUP($A54,'13. Updated Demand'!A:Z,22,FALSE)),0,VLOOKUP($A54,'13. Updated Demand'!A:Z,22,FALSE))</f>
        <v>0</v>
      </c>
      <c r="AF54" s="16">
        <f>IF(ISERROR(VLOOKUP($A54,'13. Updated Demand'!A:Z,23,FALSE)),0,VLOOKUP($A54,'13. Updated Demand'!A:Z,23,FALSE))</f>
        <v>0</v>
      </c>
      <c r="AG54" s="16">
        <f>IF(ISERROR(VLOOKUP($A54,'13. Updated Demand'!A:Z,24,FALSE)),0,VLOOKUP($A54,'13. Updated Demand'!A:Z,24,FALSE))</f>
        <v>0</v>
      </c>
      <c r="AH54" s="16">
        <f>IF(ISERROR(VLOOKUP($A54,'13. Updated Demand'!A:Z,25,FALSE)),0,VLOOKUP($A54,'13. Updated Demand'!A:Z,25,FALSE))</f>
        <v>0</v>
      </c>
      <c r="AI54" s="16">
        <f>IF(ISERROR(VLOOKUP($A54,'13. Updated Demand'!A:Z,26,FALSE)),0,VLOOKUP($A54,'13. Updated Demand'!A:Z,26,FALSE))</f>
        <v>0</v>
      </c>
      <c r="AJ54" s="16">
        <f t="shared" si="12"/>
        <v>0</v>
      </c>
      <c r="AK54" s="19">
        <v>0</v>
      </c>
      <c r="AL54" s="16">
        <f t="shared" si="9"/>
        <v>0</v>
      </c>
      <c r="AM54" s="17">
        <v>0</v>
      </c>
      <c r="AN54" s="19"/>
      <c r="AO54" s="19"/>
      <c r="AP54" s="19">
        <v>0.57999999999999996</v>
      </c>
      <c r="AQ54" s="19" t="s">
        <v>307</v>
      </c>
      <c r="AR54" s="9" t="s">
        <v>348</v>
      </c>
      <c r="AS54" s="12">
        <v>0</v>
      </c>
      <c r="AT54" s="19">
        <v>39.29296909</v>
      </c>
      <c r="AU54" s="19">
        <v>-123.03758194</v>
      </c>
      <c r="AV54" s="19" t="s">
        <v>320</v>
      </c>
    </row>
    <row r="55" spans="1:48" x14ac:dyDescent="0.25">
      <c r="A55" s="18" t="s">
        <v>384</v>
      </c>
      <c r="B55" s="10">
        <v>20171204</v>
      </c>
      <c r="C55" s="9">
        <v>12</v>
      </c>
      <c r="D55" s="8" t="str">
        <f t="shared" si="0"/>
        <v>N</v>
      </c>
      <c r="E55" s="8" t="str">
        <f t="shared" si="1"/>
        <v>Y</v>
      </c>
      <c r="F55" s="8" t="str">
        <f t="shared" si="2"/>
        <v>Y</v>
      </c>
      <c r="G55" s="8" t="str">
        <f t="shared" si="3"/>
        <v>Y</v>
      </c>
      <c r="H55" s="8" t="str">
        <f t="shared" si="4"/>
        <v>Upper</v>
      </c>
      <c r="I55" s="8" t="str">
        <f t="shared" si="5"/>
        <v>West Fork and Below Lake</v>
      </c>
      <c r="J55" s="8" t="str">
        <f t="shared" si="6"/>
        <v>Sonoma (d/s of Clov. Gage)</v>
      </c>
      <c r="K55" s="8" t="str">
        <f t="shared" si="7"/>
        <v>Post-1949</v>
      </c>
      <c r="L55" s="8">
        <f t="shared" si="8"/>
        <v>2017</v>
      </c>
      <c r="M55" s="8" t="str">
        <f t="shared" si="10"/>
        <v>1991-present</v>
      </c>
      <c r="N55" s="10" t="s">
        <v>242</v>
      </c>
      <c r="O55" s="10" t="s">
        <v>241</v>
      </c>
      <c r="P55" s="10" t="s">
        <v>242</v>
      </c>
      <c r="Q55" s="10" t="s">
        <v>242</v>
      </c>
      <c r="R55" s="10" t="s">
        <v>241</v>
      </c>
      <c r="S55" s="10" t="s">
        <v>242</v>
      </c>
      <c r="T55" s="10" t="s">
        <v>241</v>
      </c>
      <c r="U55" s="10" t="s">
        <v>241</v>
      </c>
      <c r="V55" s="10" t="s">
        <v>241</v>
      </c>
      <c r="W55" s="10" t="s">
        <v>242</v>
      </c>
      <c r="X55" s="15">
        <f>IF(ISERROR(VLOOKUP($A55,'13. Updated Demand'!A:Z,15,FALSE)),0,VLOOKUP($A55,'13. Updated Demand'!A:Z,15,FALSE))</f>
        <v>0</v>
      </c>
      <c r="Y55" s="16">
        <f>IF(ISERROR(VLOOKUP($A55,'13. Updated Demand'!A:Z,16,FALSE)),0,VLOOKUP($A55,'13. Updated Demand'!A:Z,16,FALSE))</f>
        <v>0</v>
      </c>
      <c r="Z55" s="16">
        <f>IF(ISERROR(VLOOKUP($A55,'13. Updated Demand'!A:Z,17,FALSE)),0,VLOOKUP($A55,'13. Updated Demand'!A:Z,17,FALSE))</f>
        <v>0</v>
      </c>
      <c r="AA55" s="16">
        <f>IF(ISERROR(VLOOKUP($A55,'13. Updated Demand'!A:Z,18,FALSE)),0,VLOOKUP($A55,'13. Updated Demand'!A:Z,18,FALSE))</f>
        <v>0</v>
      </c>
      <c r="AB55" s="16">
        <f>IF(ISERROR(VLOOKUP($A55,'13. Updated Demand'!A:Z,19,FALSE)),0,VLOOKUP($A55,'13. Updated Demand'!A:Z,19,FALSE))</f>
        <v>0</v>
      </c>
      <c r="AC55" s="16">
        <f>IF(ISERROR(VLOOKUP($A55,'13. Updated Demand'!A:Z,20,FALSE)),0,VLOOKUP($A55,'13. Updated Demand'!A:Z,20,FALSE))</f>
        <v>0</v>
      </c>
      <c r="AD55" s="16">
        <f>IF(ISERROR(VLOOKUP($A55,'13. Updated Demand'!A:Z,21,FALSE)),0,VLOOKUP($A55,'13. Updated Demand'!A:Z,21,FALSE))</f>
        <v>0</v>
      </c>
      <c r="AE55" s="16">
        <f>IF(ISERROR(VLOOKUP($A55,'13. Updated Demand'!A:Z,22,FALSE)),0,VLOOKUP($A55,'13. Updated Demand'!A:Z,22,FALSE))</f>
        <v>0</v>
      </c>
      <c r="AF55" s="16">
        <f>IF(ISERROR(VLOOKUP($A55,'13. Updated Demand'!A:Z,23,FALSE)),0,VLOOKUP($A55,'13. Updated Demand'!A:Z,23,FALSE))</f>
        <v>0</v>
      </c>
      <c r="AG55" s="16">
        <f>IF(ISERROR(VLOOKUP($A55,'13. Updated Demand'!A:Z,24,FALSE)),0,VLOOKUP($A55,'13. Updated Demand'!A:Z,24,FALSE))</f>
        <v>0</v>
      </c>
      <c r="AH55" s="16">
        <f>IF(ISERROR(VLOOKUP($A55,'13. Updated Demand'!A:Z,25,FALSE)),0,VLOOKUP($A55,'13. Updated Demand'!A:Z,25,FALSE))</f>
        <v>0</v>
      </c>
      <c r="AI55" s="16">
        <f>IF(ISERROR(VLOOKUP($A55,'13. Updated Demand'!A:Z,26,FALSE)),0,VLOOKUP($A55,'13. Updated Demand'!A:Z,26,FALSE))</f>
        <v>0</v>
      </c>
      <c r="AJ55" s="16">
        <f t="shared" si="12"/>
        <v>0</v>
      </c>
      <c r="AK55" s="19">
        <v>0</v>
      </c>
      <c r="AL55" s="16">
        <f t="shared" si="9"/>
        <v>0</v>
      </c>
      <c r="AM55" s="17">
        <v>0</v>
      </c>
      <c r="AN55" s="19"/>
      <c r="AO55" s="19"/>
      <c r="AP55" s="19">
        <v>6</v>
      </c>
      <c r="AQ55" s="19" t="s">
        <v>307</v>
      </c>
      <c r="AR55" s="9" t="s">
        <v>311</v>
      </c>
      <c r="AS55" s="12">
        <v>0</v>
      </c>
      <c r="AT55" s="19">
        <v>38.59877315</v>
      </c>
      <c r="AU55" s="19">
        <v>-122.7585277</v>
      </c>
      <c r="AV55" s="19" t="s">
        <v>385</v>
      </c>
    </row>
    <row r="56" spans="1:48" x14ac:dyDescent="0.25">
      <c r="A56" s="18" t="s">
        <v>386</v>
      </c>
      <c r="B56" s="10">
        <v>20170911</v>
      </c>
      <c r="C56" s="9">
        <v>18</v>
      </c>
      <c r="D56" s="8" t="str">
        <f t="shared" si="0"/>
        <v>N</v>
      </c>
      <c r="E56" s="8" t="str">
        <f t="shared" si="1"/>
        <v>N</v>
      </c>
      <c r="F56" s="8" t="str">
        <f t="shared" si="2"/>
        <v>N</v>
      </c>
      <c r="G56" s="8" t="str">
        <f t="shared" si="3"/>
        <v>N</v>
      </c>
      <c r="H56" s="8" t="str">
        <f t="shared" si="4"/>
        <v>Lower</v>
      </c>
      <c r="I56" s="8" t="str">
        <f t="shared" si="5"/>
        <v>Outside</v>
      </c>
      <c r="J56" s="8" t="str">
        <f t="shared" si="6"/>
        <v>Outside</v>
      </c>
      <c r="K56" s="8" t="str">
        <f t="shared" si="7"/>
        <v>Post-1949</v>
      </c>
      <c r="L56" s="8">
        <f t="shared" si="8"/>
        <v>2017</v>
      </c>
      <c r="M56" s="8" t="str">
        <f t="shared" si="10"/>
        <v>1991-present</v>
      </c>
      <c r="N56" s="10" t="s">
        <v>241</v>
      </c>
      <c r="O56" s="10" t="s">
        <v>242</v>
      </c>
      <c r="P56" s="10" t="s">
        <v>242</v>
      </c>
      <c r="Q56" s="10" t="s">
        <v>242</v>
      </c>
      <c r="R56" s="10" t="s">
        <v>241</v>
      </c>
      <c r="S56" s="10" t="s">
        <v>242</v>
      </c>
      <c r="T56" s="10" t="s">
        <v>242</v>
      </c>
      <c r="U56" s="10" t="s">
        <v>242</v>
      </c>
      <c r="V56" s="10" t="s">
        <v>241</v>
      </c>
      <c r="W56" s="10" t="s">
        <v>242</v>
      </c>
      <c r="X56" s="15">
        <f>IF(ISERROR(VLOOKUP($A56,'13. Updated Demand'!A:Z,15,FALSE)),0,VLOOKUP($A56,'13. Updated Demand'!A:Z,15,FALSE))</f>
        <v>3.0690000000000001E-3</v>
      </c>
      <c r="Y56" s="16">
        <f>IF(ISERROR(VLOOKUP($A56,'13. Updated Demand'!A:Z,16,FALSE)),0,VLOOKUP($A56,'13. Updated Demand'!A:Z,16,FALSE))</f>
        <v>3.0690000000000001E-3</v>
      </c>
      <c r="Z56" s="16">
        <f>IF(ISERROR(VLOOKUP($A56,'13. Updated Demand'!A:Z,17,FALSE)),0,VLOOKUP($A56,'13. Updated Demand'!A:Z,17,FALSE))</f>
        <v>3.0690000000000001E-3</v>
      </c>
      <c r="AA56" s="16">
        <f>IF(ISERROR(VLOOKUP($A56,'13. Updated Demand'!A:Z,18,FALSE)),0,VLOOKUP($A56,'13. Updated Demand'!A:Z,18,FALSE))</f>
        <v>0</v>
      </c>
      <c r="AB56" s="16">
        <f>IF(ISERROR(VLOOKUP($A56,'13. Updated Demand'!A:Z,19,FALSE)),0,VLOOKUP($A56,'13. Updated Demand'!A:Z,19,FALSE))</f>
        <v>0</v>
      </c>
      <c r="AC56" s="16">
        <f>IF(ISERROR(VLOOKUP($A56,'13. Updated Demand'!A:Z,20,FALSE)),0,VLOOKUP($A56,'13. Updated Demand'!A:Z,20,FALSE))</f>
        <v>0</v>
      </c>
      <c r="AD56" s="16">
        <f>IF(ISERROR(VLOOKUP($A56,'13. Updated Demand'!A:Z,21,FALSE)),0,VLOOKUP($A56,'13. Updated Demand'!A:Z,21,FALSE))</f>
        <v>0</v>
      </c>
      <c r="AE56" s="16">
        <f>IF(ISERROR(VLOOKUP($A56,'13. Updated Demand'!A:Z,22,FALSE)),0,VLOOKUP($A56,'13. Updated Demand'!A:Z,22,FALSE))</f>
        <v>0</v>
      </c>
      <c r="AF56" s="16">
        <f>IF(ISERROR(VLOOKUP($A56,'13. Updated Demand'!A:Z,23,FALSE)),0,VLOOKUP($A56,'13. Updated Demand'!A:Z,23,FALSE))</f>
        <v>0</v>
      </c>
      <c r="AG56" s="16">
        <f>IF(ISERROR(VLOOKUP($A56,'13. Updated Demand'!A:Z,24,FALSE)),0,VLOOKUP($A56,'13. Updated Demand'!A:Z,24,FALSE))</f>
        <v>0</v>
      </c>
      <c r="AH56" s="16">
        <f>IF(ISERROR(VLOOKUP($A56,'13. Updated Demand'!A:Z,25,FALSE)),0,VLOOKUP($A56,'13. Updated Demand'!A:Z,25,FALSE))</f>
        <v>0</v>
      </c>
      <c r="AI56" s="16">
        <f>IF(ISERROR(VLOOKUP($A56,'13. Updated Demand'!A:Z,26,FALSE)),0,VLOOKUP($A56,'13. Updated Demand'!A:Z,26,FALSE))</f>
        <v>0</v>
      </c>
      <c r="AJ56" s="16">
        <f t="shared" si="12"/>
        <v>9.2069999999999999E-3</v>
      </c>
      <c r="AK56" s="19">
        <v>0</v>
      </c>
      <c r="AL56" s="16">
        <f t="shared" si="9"/>
        <v>0</v>
      </c>
      <c r="AM56" s="17">
        <v>2.8771874999999999E-2</v>
      </c>
      <c r="AN56" s="19"/>
      <c r="AO56" s="19"/>
      <c r="AP56" s="19">
        <v>0.32</v>
      </c>
      <c r="AQ56" s="19" t="s">
        <v>307</v>
      </c>
      <c r="AR56" s="9" t="s">
        <v>352</v>
      </c>
      <c r="AS56" s="12">
        <v>3.4039024194010059E-4</v>
      </c>
      <c r="AT56" s="19">
        <v>38.505133000000001</v>
      </c>
      <c r="AU56" s="19">
        <v>-122.91092</v>
      </c>
      <c r="AV56" s="19" t="s">
        <v>387</v>
      </c>
    </row>
    <row r="57" spans="1:48" x14ac:dyDescent="0.25">
      <c r="A57" s="18" t="s">
        <v>388</v>
      </c>
      <c r="B57" s="10">
        <v>20170104</v>
      </c>
      <c r="C57" s="9">
        <v>1</v>
      </c>
      <c r="D57" s="8" t="str">
        <f t="shared" si="0"/>
        <v>N</v>
      </c>
      <c r="E57" s="8" t="str">
        <f t="shared" si="1"/>
        <v>N</v>
      </c>
      <c r="F57" s="8" t="str">
        <f t="shared" si="2"/>
        <v>Y</v>
      </c>
      <c r="G57" s="8" t="str">
        <f t="shared" si="3"/>
        <v>Y</v>
      </c>
      <c r="H57" s="8" t="str">
        <f t="shared" si="4"/>
        <v>Upper</v>
      </c>
      <c r="I57" s="8" t="str">
        <f t="shared" si="5"/>
        <v>West Fork and Below Lake</v>
      </c>
      <c r="J57" s="8" t="str">
        <f t="shared" si="6"/>
        <v>Outside</v>
      </c>
      <c r="K57" s="8" t="str">
        <f t="shared" si="7"/>
        <v>Post-1949</v>
      </c>
      <c r="L57" s="8">
        <f t="shared" si="8"/>
        <v>2017</v>
      </c>
      <c r="M57" s="8" t="str">
        <f t="shared" si="10"/>
        <v>1991-present</v>
      </c>
      <c r="N57" s="10" t="s">
        <v>242</v>
      </c>
      <c r="O57" s="10" t="s">
        <v>241</v>
      </c>
      <c r="P57" s="10" t="s">
        <v>242</v>
      </c>
      <c r="Q57" s="10" t="s">
        <v>242</v>
      </c>
      <c r="R57" s="10" t="s">
        <v>241</v>
      </c>
      <c r="S57" s="10" t="s">
        <v>242</v>
      </c>
      <c r="T57" s="10" t="s">
        <v>242</v>
      </c>
      <c r="U57" s="10" t="s">
        <v>242</v>
      </c>
      <c r="V57" s="10" t="s">
        <v>242</v>
      </c>
      <c r="W57" s="10" t="s">
        <v>242</v>
      </c>
      <c r="X57" s="15">
        <f>IF(ISERROR(VLOOKUP($A57,'13. Updated Demand'!A:Z,15,FALSE)),0,VLOOKUP($A57,'13. Updated Demand'!A:Z,15,FALSE))</f>
        <v>0</v>
      </c>
      <c r="Y57" s="16">
        <f>IF(ISERROR(VLOOKUP($A57,'13. Updated Demand'!A:Z,16,FALSE)),0,VLOOKUP($A57,'13. Updated Demand'!A:Z,16,FALSE))</f>
        <v>0</v>
      </c>
      <c r="Z57" s="16">
        <f>IF(ISERROR(VLOOKUP($A57,'13. Updated Demand'!A:Z,17,FALSE)),0,VLOOKUP($A57,'13. Updated Demand'!A:Z,17,FALSE))</f>
        <v>0</v>
      </c>
      <c r="AA57" s="16">
        <f>IF(ISERROR(VLOOKUP($A57,'13. Updated Demand'!A:Z,18,FALSE)),0,VLOOKUP($A57,'13. Updated Demand'!A:Z,18,FALSE))</f>
        <v>0</v>
      </c>
      <c r="AB57" s="16">
        <f>IF(ISERROR(VLOOKUP($A57,'13. Updated Demand'!A:Z,19,FALSE)),0,VLOOKUP($A57,'13. Updated Demand'!A:Z,19,FALSE))</f>
        <v>0</v>
      </c>
      <c r="AC57" s="16">
        <f>IF(ISERROR(VLOOKUP($A57,'13. Updated Demand'!A:Z,20,FALSE)),0,VLOOKUP($A57,'13. Updated Demand'!A:Z,20,FALSE))</f>
        <v>0.31</v>
      </c>
      <c r="AD57" s="16">
        <f>IF(ISERROR(VLOOKUP($A57,'13. Updated Demand'!A:Z,21,FALSE)),0,VLOOKUP($A57,'13. Updated Demand'!A:Z,21,FALSE))</f>
        <v>0.31</v>
      </c>
      <c r="AE57" s="16">
        <f>IF(ISERROR(VLOOKUP($A57,'13. Updated Demand'!A:Z,22,FALSE)),0,VLOOKUP($A57,'13. Updated Demand'!A:Z,22,FALSE))</f>
        <v>0.31</v>
      </c>
      <c r="AF57" s="16">
        <f>IF(ISERROR(VLOOKUP($A57,'13. Updated Demand'!A:Z,23,FALSE)),0,VLOOKUP($A57,'13. Updated Demand'!A:Z,23,FALSE))</f>
        <v>0.31</v>
      </c>
      <c r="AG57" s="16">
        <f>IF(ISERROR(VLOOKUP($A57,'13. Updated Demand'!A:Z,24,FALSE)),0,VLOOKUP($A57,'13. Updated Demand'!A:Z,24,FALSE))</f>
        <v>1</v>
      </c>
      <c r="AH57" s="16">
        <f>IF(ISERROR(VLOOKUP($A57,'13. Updated Demand'!A:Z,25,FALSE)),0,VLOOKUP($A57,'13. Updated Demand'!A:Z,25,FALSE))</f>
        <v>0</v>
      </c>
      <c r="AI57" s="16">
        <f>IF(ISERROR(VLOOKUP($A57,'13. Updated Demand'!A:Z,26,FALSE)),0,VLOOKUP($A57,'13. Updated Demand'!A:Z,26,FALSE))</f>
        <v>0</v>
      </c>
      <c r="AJ57" s="16">
        <f t="shared" si="12"/>
        <v>2.2400000000000002</v>
      </c>
      <c r="AK57" s="19">
        <v>1.25512</v>
      </c>
      <c r="AL57" s="16">
        <f t="shared" si="9"/>
        <v>4.1630900683965796E-3</v>
      </c>
      <c r="AM57" s="17">
        <v>0.90204799999999996</v>
      </c>
      <c r="AN57" s="19"/>
      <c r="AO57" s="19"/>
      <c r="AP57" s="19">
        <v>2.5</v>
      </c>
      <c r="AQ57" s="19" t="s">
        <v>307</v>
      </c>
      <c r="AR57" s="9" t="s">
        <v>317</v>
      </c>
      <c r="AS57" s="12">
        <v>3.4039024194010059E-4</v>
      </c>
      <c r="AT57" s="19">
        <v>39.340159999999997</v>
      </c>
      <c r="AU57" s="19">
        <v>-123.22928</v>
      </c>
      <c r="AV57" s="19" t="s">
        <v>385</v>
      </c>
    </row>
    <row r="58" spans="1:48" x14ac:dyDescent="0.25">
      <c r="A58" s="18" t="s">
        <v>389</v>
      </c>
      <c r="B58" s="10">
        <v>20170417</v>
      </c>
      <c r="C58" s="9">
        <v>20</v>
      </c>
      <c r="D58" s="8" t="str">
        <f t="shared" si="0"/>
        <v>N</v>
      </c>
      <c r="E58" s="8" t="str">
        <f t="shared" si="1"/>
        <v>N</v>
      </c>
      <c r="F58" s="8" t="str">
        <f t="shared" si="2"/>
        <v>N</v>
      </c>
      <c r="G58" s="8" t="str">
        <f t="shared" si="3"/>
        <v>N</v>
      </c>
      <c r="H58" s="8" t="str">
        <f t="shared" si="4"/>
        <v>Lower</v>
      </c>
      <c r="I58" s="8" t="str">
        <f t="shared" si="5"/>
        <v>Outside</v>
      </c>
      <c r="J58" s="8" t="str">
        <f t="shared" si="6"/>
        <v>Outside</v>
      </c>
      <c r="K58" s="8" t="str">
        <f t="shared" si="7"/>
        <v>Post-1949</v>
      </c>
      <c r="L58" s="8">
        <f t="shared" si="8"/>
        <v>2017</v>
      </c>
      <c r="M58" s="8" t="str">
        <f t="shared" si="10"/>
        <v>1991-present</v>
      </c>
      <c r="N58" s="10" t="s">
        <v>242</v>
      </c>
      <c r="O58" s="10" t="s">
        <v>242</v>
      </c>
      <c r="P58" s="10" t="s">
        <v>242</v>
      </c>
      <c r="Q58" s="10" t="s">
        <v>242</v>
      </c>
      <c r="R58" s="10" t="s">
        <v>241</v>
      </c>
      <c r="S58" s="10" t="s">
        <v>242</v>
      </c>
      <c r="T58" s="10" t="s">
        <v>242</v>
      </c>
      <c r="U58" s="10" t="s">
        <v>242</v>
      </c>
      <c r="V58" s="10" t="s">
        <v>242</v>
      </c>
      <c r="W58" s="10" t="s">
        <v>242</v>
      </c>
      <c r="X58" s="15">
        <f>IF(ISERROR(VLOOKUP($A58,'13. Updated Demand'!A:Z,15,FALSE)),0,VLOOKUP($A58,'13. Updated Demand'!A:Z,15,FALSE))</f>
        <v>0</v>
      </c>
      <c r="Y58" s="16">
        <f>IF(ISERROR(VLOOKUP($A58,'13. Updated Demand'!A:Z,16,FALSE)),0,VLOOKUP($A58,'13. Updated Demand'!A:Z,16,FALSE))</f>
        <v>0</v>
      </c>
      <c r="Z58" s="16">
        <f>IF(ISERROR(VLOOKUP($A58,'13. Updated Demand'!A:Z,17,FALSE)),0,VLOOKUP($A58,'13. Updated Demand'!A:Z,17,FALSE))</f>
        <v>6.63435E-2</v>
      </c>
      <c r="AA58" s="16">
        <f>IF(ISERROR(VLOOKUP($A58,'13. Updated Demand'!A:Z,18,FALSE)),0,VLOOKUP($A58,'13. Updated Demand'!A:Z,18,FALSE))</f>
        <v>1.3098E-2</v>
      </c>
      <c r="AB58" s="16">
        <f>IF(ISERROR(VLOOKUP($A58,'13. Updated Demand'!A:Z,19,FALSE)),0,VLOOKUP($A58,'13. Updated Demand'!A:Z,19,FALSE))</f>
        <v>3.6114500000000001E-2</v>
      </c>
      <c r="AC58" s="16">
        <f>IF(ISERROR(VLOOKUP($A58,'13. Updated Demand'!A:Z,20,FALSE)),0,VLOOKUP($A58,'13. Updated Demand'!A:Z,20,FALSE))</f>
        <v>1.5737500000000001E-2</v>
      </c>
      <c r="AD58" s="16">
        <f>IF(ISERROR(VLOOKUP($A58,'13. Updated Demand'!A:Z,21,FALSE)),0,VLOOKUP($A58,'13. Updated Demand'!A:Z,21,FALSE))</f>
        <v>1.5737500000000001E-2</v>
      </c>
      <c r="AE58" s="16">
        <f>IF(ISERROR(VLOOKUP($A58,'13. Updated Demand'!A:Z,22,FALSE)),0,VLOOKUP($A58,'13. Updated Demand'!A:Z,22,FALSE))</f>
        <v>1.5737500000000001E-2</v>
      </c>
      <c r="AF58" s="16">
        <f>IF(ISERROR(VLOOKUP($A58,'13. Updated Demand'!A:Z,23,FALSE)),0,VLOOKUP($A58,'13. Updated Demand'!A:Z,23,FALSE))</f>
        <v>1.52E-2</v>
      </c>
      <c r="AG58" s="16">
        <f>IF(ISERROR(VLOOKUP($A58,'13. Updated Demand'!A:Z,24,FALSE)),0,VLOOKUP($A58,'13. Updated Demand'!A:Z,24,FALSE))</f>
        <v>1.48165E-2</v>
      </c>
      <c r="AH58" s="16">
        <f>IF(ISERROR(VLOOKUP($A58,'13. Updated Demand'!A:Z,25,FALSE)),0,VLOOKUP($A58,'13. Updated Demand'!A:Z,25,FALSE))</f>
        <v>9.9065000000000004E-3</v>
      </c>
      <c r="AI58" s="16">
        <f>IF(ISERROR(VLOOKUP($A58,'13. Updated Demand'!A:Z,26,FALSE)),0,VLOOKUP($A58,'13. Updated Demand'!A:Z,26,FALSE))</f>
        <v>8.2089999999999993E-3</v>
      </c>
      <c r="AJ58" s="16">
        <f t="shared" si="12"/>
        <v>0.21090050000000005</v>
      </c>
      <c r="AK58" s="19">
        <v>9.8527000000000003E-2</v>
      </c>
      <c r="AL58" s="16">
        <f t="shared" si="9"/>
        <v>3.2680283572001864E-4</v>
      </c>
      <c r="AM58" s="17">
        <v>1.4060033333333336E-2</v>
      </c>
      <c r="AN58" s="19"/>
      <c r="AO58" s="19"/>
      <c r="AP58" s="19">
        <v>15</v>
      </c>
      <c r="AQ58" s="19" t="s">
        <v>307</v>
      </c>
      <c r="AR58" s="9" t="s">
        <v>329</v>
      </c>
      <c r="AS58" s="12">
        <v>3.4039024194010059E-4</v>
      </c>
      <c r="AT58" s="19">
        <v>38.554631090000001</v>
      </c>
      <c r="AU58" s="19">
        <v>-123.10386582</v>
      </c>
      <c r="AV58" s="19" t="s">
        <v>320</v>
      </c>
    </row>
    <row r="59" spans="1:48" x14ac:dyDescent="0.25">
      <c r="A59" s="18" t="s">
        <v>390</v>
      </c>
      <c r="B59" s="10">
        <v>20170807</v>
      </c>
      <c r="C59" s="9">
        <v>23</v>
      </c>
      <c r="D59" s="8" t="str">
        <f t="shared" si="0"/>
        <v>N</v>
      </c>
      <c r="E59" s="8" t="str">
        <f t="shared" si="1"/>
        <v>N</v>
      </c>
      <c r="F59" s="8" t="str">
        <f t="shared" si="2"/>
        <v>N</v>
      </c>
      <c r="G59" s="8" t="str">
        <f t="shared" si="3"/>
        <v>N</v>
      </c>
      <c r="H59" s="8" t="str">
        <f t="shared" si="4"/>
        <v>Lower</v>
      </c>
      <c r="I59" s="8" t="str">
        <f t="shared" si="5"/>
        <v>Outside</v>
      </c>
      <c r="J59" s="8" t="str">
        <f t="shared" si="6"/>
        <v>Outside</v>
      </c>
      <c r="K59" s="8" t="str">
        <f t="shared" si="7"/>
        <v>Post-1949</v>
      </c>
      <c r="L59" s="8">
        <f t="shared" si="8"/>
        <v>2017</v>
      </c>
      <c r="M59" s="8" t="str">
        <f t="shared" si="10"/>
        <v>1991-present</v>
      </c>
      <c r="N59" s="10" t="s">
        <v>242</v>
      </c>
      <c r="O59" s="10" t="s">
        <v>242</v>
      </c>
      <c r="P59" s="10" t="s">
        <v>242</v>
      </c>
      <c r="Q59" s="10" t="s">
        <v>242</v>
      </c>
      <c r="R59" s="10" t="s">
        <v>241</v>
      </c>
      <c r="S59" s="10" t="s">
        <v>242</v>
      </c>
      <c r="T59" s="10" t="s">
        <v>242</v>
      </c>
      <c r="U59" s="10" t="s">
        <v>242</v>
      </c>
      <c r="V59" s="10" t="s">
        <v>241</v>
      </c>
      <c r="W59" s="10" t="s">
        <v>242</v>
      </c>
      <c r="X59" s="15">
        <f>IF(ISERROR(VLOOKUP($A59,'13. Updated Demand'!A:Z,15,FALSE)),0,VLOOKUP($A59,'13. Updated Demand'!A:Z,15,FALSE))</f>
        <v>0.71333333300000001</v>
      </c>
      <c r="Y59" s="16">
        <f>IF(ISERROR(VLOOKUP($A59,'13. Updated Demand'!A:Z,16,FALSE)),0,VLOOKUP($A59,'13. Updated Demand'!A:Z,16,FALSE))</f>
        <v>8.3333332999999996E-2</v>
      </c>
      <c r="Z59" s="16">
        <f>IF(ISERROR(VLOOKUP($A59,'13. Updated Demand'!A:Z,17,FALSE)),0,VLOOKUP($A59,'13. Updated Demand'!A:Z,17,FALSE))</f>
        <v>0.21333333300000001</v>
      </c>
      <c r="AA59" s="16">
        <f>IF(ISERROR(VLOOKUP($A59,'13. Updated Demand'!A:Z,18,FALSE)),0,VLOOKUP($A59,'13. Updated Demand'!A:Z,18,FALSE))</f>
        <v>0</v>
      </c>
      <c r="AB59" s="16">
        <f>IF(ISERROR(VLOOKUP($A59,'13. Updated Demand'!A:Z,19,FALSE)),0,VLOOKUP($A59,'13. Updated Demand'!A:Z,19,FALSE))</f>
        <v>0</v>
      </c>
      <c r="AC59" s="16">
        <f>IF(ISERROR(VLOOKUP($A59,'13. Updated Demand'!A:Z,20,FALSE)),0,VLOOKUP($A59,'13. Updated Demand'!A:Z,20,FALSE))</f>
        <v>0</v>
      </c>
      <c r="AD59" s="16">
        <f>IF(ISERROR(VLOOKUP($A59,'13. Updated Demand'!A:Z,21,FALSE)),0,VLOOKUP($A59,'13. Updated Demand'!A:Z,21,FALSE))</f>
        <v>0</v>
      </c>
      <c r="AE59" s="16">
        <f>IF(ISERROR(VLOOKUP($A59,'13. Updated Demand'!A:Z,22,FALSE)),0,VLOOKUP($A59,'13. Updated Demand'!A:Z,22,FALSE))</f>
        <v>0</v>
      </c>
      <c r="AF59" s="16">
        <f>IF(ISERROR(VLOOKUP($A59,'13. Updated Demand'!A:Z,23,FALSE)),0,VLOOKUP($A59,'13. Updated Demand'!A:Z,23,FALSE))</f>
        <v>0</v>
      </c>
      <c r="AG59" s="16">
        <f>IF(ISERROR(VLOOKUP($A59,'13. Updated Demand'!A:Z,24,FALSE)),0,VLOOKUP($A59,'13. Updated Demand'!A:Z,24,FALSE))</f>
        <v>0</v>
      </c>
      <c r="AH59" s="16">
        <f>IF(ISERROR(VLOOKUP($A59,'13. Updated Demand'!A:Z,25,FALSE)),0,VLOOKUP($A59,'13. Updated Demand'!A:Z,25,FALSE))</f>
        <v>0.11</v>
      </c>
      <c r="AI59" s="16">
        <f>IF(ISERROR(VLOOKUP($A59,'13. Updated Demand'!A:Z,26,FALSE)),0,VLOOKUP($A59,'13. Updated Demand'!A:Z,26,FALSE))</f>
        <v>1.1033333329999999</v>
      </c>
      <c r="AJ59" s="16">
        <f t="shared" si="12"/>
        <v>2.2233333320000002</v>
      </c>
      <c r="AK59" s="19">
        <v>0</v>
      </c>
      <c r="AL59" s="16">
        <f t="shared" si="9"/>
        <v>0</v>
      </c>
      <c r="AM59" s="17">
        <v>0.35860215032258064</v>
      </c>
      <c r="AN59" s="19"/>
      <c r="AO59" s="19"/>
      <c r="AP59" s="19">
        <v>6.2</v>
      </c>
      <c r="AQ59" s="19" t="s">
        <v>307</v>
      </c>
      <c r="AR59" s="9" t="s">
        <v>391</v>
      </c>
      <c r="AS59" s="12">
        <v>0</v>
      </c>
      <c r="AT59" s="19">
        <v>38.565689999999996</v>
      </c>
      <c r="AU59" s="19">
        <v>-122.74813</v>
      </c>
      <c r="AV59" s="19" t="s">
        <v>385</v>
      </c>
    </row>
    <row r="60" spans="1:48" x14ac:dyDescent="0.25">
      <c r="A60" s="18" t="s">
        <v>392</v>
      </c>
      <c r="B60" s="10">
        <v>20170906</v>
      </c>
      <c r="C60" s="9">
        <v>1</v>
      </c>
      <c r="D60" s="8" t="str">
        <f t="shared" si="0"/>
        <v>N</v>
      </c>
      <c r="E60" s="8" t="str">
        <f t="shared" si="1"/>
        <v>N</v>
      </c>
      <c r="F60" s="8" t="str">
        <f t="shared" si="2"/>
        <v>Y</v>
      </c>
      <c r="G60" s="8" t="str">
        <f t="shared" si="3"/>
        <v>Y</v>
      </c>
      <c r="H60" s="8" t="str">
        <f t="shared" si="4"/>
        <v>Upper</v>
      </c>
      <c r="I60" s="8" t="str">
        <f t="shared" si="5"/>
        <v>West Fork and Below Lake</v>
      </c>
      <c r="J60" s="8" t="str">
        <f t="shared" si="6"/>
        <v>Outside</v>
      </c>
      <c r="K60" s="8" t="str">
        <f t="shared" si="7"/>
        <v>Post-1949</v>
      </c>
      <c r="L60" s="8">
        <f t="shared" si="8"/>
        <v>2017</v>
      </c>
      <c r="M60" s="8" t="str">
        <f t="shared" si="10"/>
        <v>1991-present</v>
      </c>
      <c r="N60" s="10" t="s">
        <v>242</v>
      </c>
      <c r="O60" s="10" t="s">
        <v>241</v>
      </c>
      <c r="P60" s="10" t="s">
        <v>242</v>
      </c>
      <c r="Q60" s="10" t="s">
        <v>242</v>
      </c>
      <c r="R60" s="10" t="s">
        <v>241</v>
      </c>
      <c r="S60" s="10" t="s">
        <v>242</v>
      </c>
      <c r="T60" s="10" t="s">
        <v>242</v>
      </c>
      <c r="U60" s="10" t="s">
        <v>242</v>
      </c>
      <c r="V60" s="10" t="s">
        <v>242</v>
      </c>
      <c r="W60" s="10" t="s">
        <v>242</v>
      </c>
      <c r="X60" s="15">
        <f>IF(ISERROR(VLOOKUP($A60,'13. Updated Demand'!A:Z,15,FALSE)),0,VLOOKUP($A60,'13. Updated Demand'!A:Z,15,FALSE))</f>
        <v>0.04</v>
      </c>
      <c r="Y60" s="16">
        <f>IF(ISERROR(VLOOKUP($A60,'13. Updated Demand'!A:Z,16,FALSE)),0,VLOOKUP($A60,'13. Updated Demand'!A:Z,16,FALSE))</f>
        <v>0.04</v>
      </c>
      <c r="Z60" s="16">
        <f>IF(ISERROR(VLOOKUP($A60,'13. Updated Demand'!A:Z,17,FALSE)),0,VLOOKUP($A60,'13. Updated Demand'!A:Z,17,FALSE))</f>
        <v>0.04</v>
      </c>
      <c r="AA60" s="16">
        <f>IF(ISERROR(VLOOKUP($A60,'13. Updated Demand'!A:Z,18,FALSE)),0,VLOOKUP($A60,'13. Updated Demand'!A:Z,18,FALSE))</f>
        <v>0.02</v>
      </c>
      <c r="AB60" s="16">
        <f>IF(ISERROR(VLOOKUP($A60,'13. Updated Demand'!A:Z,19,FALSE)),0,VLOOKUP($A60,'13. Updated Demand'!A:Z,19,FALSE))</f>
        <v>0.02</v>
      </c>
      <c r="AC60" s="16">
        <f>IF(ISERROR(VLOOKUP($A60,'13. Updated Demand'!A:Z,20,FALSE)),0,VLOOKUP($A60,'13. Updated Demand'!A:Z,20,FALSE))</f>
        <v>0.02</v>
      </c>
      <c r="AD60" s="16">
        <f>IF(ISERROR(VLOOKUP($A60,'13. Updated Demand'!A:Z,21,FALSE)),0,VLOOKUP($A60,'13. Updated Demand'!A:Z,21,FALSE))</f>
        <v>0</v>
      </c>
      <c r="AE60" s="16">
        <f>IF(ISERROR(VLOOKUP($A60,'13. Updated Demand'!A:Z,22,FALSE)),0,VLOOKUP($A60,'13. Updated Demand'!A:Z,22,FALSE))</f>
        <v>0</v>
      </c>
      <c r="AF60" s="16">
        <f>IF(ISERROR(VLOOKUP($A60,'13. Updated Demand'!A:Z,23,FALSE)),0,VLOOKUP($A60,'13. Updated Demand'!A:Z,23,FALSE))</f>
        <v>0</v>
      </c>
      <c r="AG60" s="16">
        <f>IF(ISERROR(VLOOKUP($A60,'13. Updated Demand'!A:Z,24,FALSE)),0,VLOOKUP($A60,'13. Updated Demand'!A:Z,24,FALSE))</f>
        <v>0</v>
      </c>
      <c r="AH60" s="16">
        <f>IF(ISERROR(VLOOKUP($A60,'13. Updated Demand'!A:Z,25,FALSE)),0,VLOOKUP($A60,'13. Updated Demand'!A:Z,25,FALSE))</f>
        <v>0.02</v>
      </c>
      <c r="AI60" s="16">
        <f>IF(ISERROR(VLOOKUP($A60,'13. Updated Demand'!A:Z,26,FALSE)),0,VLOOKUP($A60,'13. Updated Demand'!A:Z,26,FALSE))</f>
        <v>0.04</v>
      </c>
      <c r="AJ60" s="16">
        <f t="shared" si="12"/>
        <v>0.23999999999999996</v>
      </c>
      <c r="AK60" s="19">
        <v>5.5239999999999997E-2</v>
      </c>
      <c r="AL60" s="16">
        <f t="shared" si="9"/>
        <v>1.8322478757268391E-4</v>
      </c>
      <c r="AM60" s="17">
        <v>0.97083870967741936</v>
      </c>
      <c r="AN60" s="19"/>
      <c r="AO60" s="19"/>
      <c r="AP60" s="19">
        <v>0.31</v>
      </c>
      <c r="AQ60" s="19" t="s">
        <v>307</v>
      </c>
      <c r="AR60" s="9" t="s">
        <v>317</v>
      </c>
      <c r="AS60" s="12">
        <v>3.4039024194010059E-4</v>
      </c>
      <c r="AT60" s="19">
        <v>39.3446</v>
      </c>
      <c r="AU60" s="19">
        <v>-123.2283</v>
      </c>
      <c r="AV60" s="19" t="s">
        <v>387</v>
      </c>
    </row>
    <row r="61" spans="1:48" x14ac:dyDescent="0.25">
      <c r="A61" s="18" t="s">
        <v>393</v>
      </c>
      <c r="B61" s="10">
        <v>20160919</v>
      </c>
      <c r="C61" s="9">
        <v>16</v>
      </c>
      <c r="D61" s="8" t="str">
        <f t="shared" si="0"/>
        <v>N</v>
      </c>
      <c r="E61" s="8" t="str">
        <f t="shared" si="1"/>
        <v>N</v>
      </c>
      <c r="F61" s="8" t="str">
        <f t="shared" si="2"/>
        <v>N</v>
      </c>
      <c r="G61" s="8" t="str">
        <f t="shared" si="3"/>
        <v>N</v>
      </c>
      <c r="H61" s="8" t="str">
        <f t="shared" si="4"/>
        <v>Lower</v>
      </c>
      <c r="I61" s="8" t="str">
        <f t="shared" si="5"/>
        <v>Outside</v>
      </c>
      <c r="J61" s="8" t="str">
        <f t="shared" si="6"/>
        <v>Outside</v>
      </c>
      <c r="K61" s="8" t="str">
        <f t="shared" si="7"/>
        <v>Post-1949</v>
      </c>
      <c r="L61" s="8">
        <f t="shared" si="8"/>
        <v>2016</v>
      </c>
      <c r="M61" s="8" t="str">
        <f t="shared" si="10"/>
        <v>1991-present</v>
      </c>
      <c r="N61" s="10" t="s">
        <v>242</v>
      </c>
      <c r="O61" s="10" t="s">
        <v>242</v>
      </c>
      <c r="P61" s="10" t="s">
        <v>242</v>
      </c>
      <c r="Q61" s="10" t="s">
        <v>242</v>
      </c>
      <c r="R61" s="10" t="s">
        <v>241</v>
      </c>
      <c r="S61" s="10" t="s">
        <v>242</v>
      </c>
      <c r="T61" s="10" t="s">
        <v>242</v>
      </c>
      <c r="U61" s="10" t="s">
        <v>241</v>
      </c>
      <c r="V61" s="10" t="s">
        <v>241</v>
      </c>
      <c r="W61" s="10" t="s">
        <v>242</v>
      </c>
      <c r="X61" s="15">
        <f>IF(ISERROR(VLOOKUP($A61,'13. Updated Demand'!A:Z,15,FALSE)),0,VLOOKUP($A61,'13. Updated Demand'!A:Z,15,FALSE))</f>
        <v>0</v>
      </c>
      <c r="Y61" s="16">
        <f>IF(ISERROR(VLOOKUP($A61,'13. Updated Demand'!A:Z,16,FALSE)),0,VLOOKUP($A61,'13. Updated Demand'!A:Z,16,FALSE))</f>
        <v>0</v>
      </c>
      <c r="Z61" s="16">
        <f>IF(ISERROR(VLOOKUP($A61,'13. Updated Demand'!A:Z,17,FALSE)),0,VLOOKUP($A61,'13. Updated Demand'!A:Z,17,FALSE))</f>
        <v>0</v>
      </c>
      <c r="AA61" s="16">
        <f>IF(ISERROR(VLOOKUP($A61,'13. Updated Demand'!A:Z,18,FALSE)),0,VLOOKUP($A61,'13. Updated Demand'!A:Z,18,FALSE))</f>
        <v>0</v>
      </c>
      <c r="AB61" s="16">
        <f>IF(ISERROR(VLOOKUP($A61,'13. Updated Demand'!A:Z,19,FALSE)),0,VLOOKUP($A61,'13. Updated Demand'!A:Z,19,FALSE))</f>
        <v>0</v>
      </c>
      <c r="AC61" s="16">
        <f>IF(ISERROR(VLOOKUP($A61,'13. Updated Demand'!A:Z,20,FALSE)),0,VLOOKUP($A61,'13. Updated Demand'!A:Z,20,FALSE))</f>
        <v>0</v>
      </c>
      <c r="AD61" s="16">
        <f>IF(ISERROR(VLOOKUP($A61,'13. Updated Demand'!A:Z,21,FALSE)),0,VLOOKUP($A61,'13. Updated Demand'!A:Z,21,FALSE))</f>
        <v>0</v>
      </c>
      <c r="AE61" s="16">
        <f>IF(ISERROR(VLOOKUP($A61,'13. Updated Demand'!A:Z,22,FALSE)),0,VLOOKUP($A61,'13. Updated Demand'!A:Z,22,FALSE))</f>
        <v>0</v>
      </c>
      <c r="AF61" s="16">
        <f>IF(ISERROR(VLOOKUP($A61,'13. Updated Demand'!A:Z,23,FALSE)),0,VLOOKUP($A61,'13. Updated Demand'!A:Z,23,FALSE))</f>
        <v>0</v>
      </c>
      <c r="AG61" s="16">
        <f>IF(ISERROR(VLOOKUP($A61,'13. Updated Demand'!A:Z,24,FALSE)),0,VLOOKUP($A61,'13. Updated Demand'!A:Z,24,FALSE))</f>
        <v>0</v>
      </c>
      <c r="AH61" s="16">
        <f>IF(ISERROR(VLOOKUP($A61,'13. Updated Demand'!A:Z,25,FALSE)),0,VLOOKUP($A61,'13. Updated Demand'!A:Z,25,FALSE))</f>
        <v>0</v>
      </c>
      <c r="AI61" s="16">
        <f>IF(ISERROR(VLOOKUP($A61,'13. Updated Demand'!A:Z,26,FALSE)),0,VLOOKUP($A61,'13. Updated Demand'!A:Z,26,FALSE))</f>
        <v>0</v>
      </c>
      <c r="AJ61" s="16">
        <f t="shared" si="12"/>
        <v>0</v>
      </c>
      <c r="AK61" s="19">
        <v>0</v>
      </c>
      <c r="AL61" s="16">
        <f t="shared" si="9"/>
        <v>0</v>
      </c>
      <c r="AM61" s="17">
        <v>0</v>
      </c>
      <c r="AN61" s="19"/>
      <c r="AO61" s="19"/>
      <c r="AP61" s="19">
        <v>0.46</v>
      </c>
      <c r="AQ61" s="19" t="s">
        <v>307</v>
      </c>
      <c r="AR61" s="9" t="s">
        <v>394</v>
      </c>
      <c r="AS61" s="12">
        <v>3.4039024194010059E-4</v>
      </c>
      <c r="AT61" s="19">
        <v>38.587989999999998</v>
      </c>
      <c r="AU61" s="19">
        <v>-122.96169999999999</v>
      </c>
      <c r="AV61" s="19" t="s">
        <v>395</v>
      </c>
    </row>
    <row r="62" spans="1:48" x14ac:dyDescent="0.25">
      <c r="A62" s="18" t="s">
        <v>396</v>
      </c>
      <c r="B62" s="10">
        <v>20161018</v>
      </c>
      <c r="C62" s="9">
        <v>16</v>
      </c>
      <c r="D62" s="8" t="str">
        <f t="shared" si="0"/>
        <v>N</v>
      </c>
      <c r="E62" s="8" t="str">
        <f t="shared" si="1"/>
        <v>N</v>
      </c>
      <c r="F62" s="8" t="str">
        <f t="shared" si="2"/>
        <v>N</v>
      </c>
      <c r="G62" s="8" t="str">
        <f t="shared" si="3"/>
        <v>N</v>
      </c>
      <c r="H62" s="8" t="str">
        <f t="shared" si="4"/>
        <v>Lower</v>
      </c>
      <c r="I62" s="8" t="str">
        <f t="shared" si="5"/>
        <v>Outside</v>
      </c>
      <c r="J62" s="8" t="str">
        <f t="shared" si="6"/>
        <v>Outside</v>
      </c>
      <c r="K62" s="8" t="str">
        <f t="shared" si="7"/>
        <v>Post-1949</v>
      </c>
      <c r="L62" s="8">
        <f t="shared" si="8"/>
        <v>2016</v>
      </c>
      <c r="M62" s="8" t="str">
        <f t="shared" si="10"/>
        <v>1991-present</v>
      </c>
      <c r="N62" s="10" t="s">
        <v>242</v>
      </c>
      <c r="O62" s="10" t="s">
        <v>242</v>
      </c>
      <c r="P62" s="10" t="s">
        <v>242</v>
      </c>
      <c r="Q62" s="10" t="s">
        <v>242</v>
      </c>
      <c r="R62" s="10" t="s">
        <v>241</v>
      </c>
      <c r="S62" s="10" t="s">
        <v>242</v>
      </c>
      <c r="T62" s="10" t="s">
        <v>242</v>
      </c>
      <c r="U62" s="10" t="s">
        <v>242</v>
      </c>
      <c r="V62" s="10" t="s">
        <v>241</v>
      </c>
      <c r="W62" s="10" t="s">
        <v>242</v>
      </c>
      <c r="X62" s="15">
        <f>IF(ISERROR(VLOOKUP($A62,'13. Updated Demand'!A:Z,15,FALSE)),0,VLOOKUP($A62,'13. Updated Demand'!A:Z,15,FALSE))</f>
        <v>7.8</v>
      </c>
      <c r="Y62" s="16">
        <f>IF(ISERROR(VLOOKUP($A62,'13. Updated Demand'!A:Z,16,FALSE)),0,VLOOKUP($A62,'13. Updated Demand'!A:Z,16,FALSE))</f>
        <v>0</v>
      </c>
      <c r="Z62" s="16">
        <f>IF(ISERROR(VLOOKUP($A62,'13. Updated Demand'!A:Z,17,FALSE)),0,VLOOKUP($A62,'13. Updated Demand'!A:Z,17,FALSE))</f>
        <v>0</v>
      </c>
      <c r="AA62" s="16">
        <f>IF(ISERROR(VLOOKUP($A62,'13. Updated Demand'!A:Z,18,FALSE)),0,VLOOKUP($A62,'13. Updated Demand'!A:Z,18,FALSE))</f>
        <v>0</v>
      </c>
      <c r="AB62" s="16">
        <f>IF(ISERROR(VLOOKUP($A62,'13. Updated Demand'!A:Z,19,FALSE)),0,VLOOKUP($A62,'13. Updated Demand'!A:Z,19,FALSE))</f>
        <v>0</v>
      </c>
      <c r="AC62" s="16">
        <f>IF(ISERROR(VLOOKUP($A62,'13. Updated Demand'!A:Z,20,FALSE)),0,VLOOKUP($A62,'13. Updated Demand'!A:Z,20,FALSE))</f>
        <v>0</v>
      </c>
      <c r="AD62" s="16">
        <f>IF(ISERROR(VLOOKUP($A62,'13. Updated Demand'!A:Z,21,FALSE)),0,VLOOKUP($A62,'13. Updated Demand'!A:Z,21,FALSE))</f>
        <v>0</v>
      </c>
      <c r="AE62" s="16">
        <f>IF(ISERROR(VLOOKUP($A62,'13. Updated Demand'!A:Z,22,FALSE)),0,VLOOKUP($A62,'13. Updated Demand'!A:Z,22,FALSE))</f>
        <v>0</v>
      </c>
      <c r="AF62" s="16">
        <f>IF(ISERROR(VLOOKUP($A62,'13. Updated Demand'!A:Z,23,FALSE)),0,VLOOKUP($A62,'13. Updated Demand'!A:Z,23,FALSE))</f>
        <v>0</v>
      </c>
      <c r="AG62" s="16">
        <f>IF(ISERROR(VLOOKUP($A62,'13. Updated Demand'!A:Z,24,FALSE)),0,VLOOKUP($A62,'13. Updated Demand'!A:Z,24,FALSE))</f>
        <v>0</v>
      </c>
      <c r="AH62" s="16">
        <f>IF(ISERROR(VLOOKUP($A62,'13. Updated Demand'!A:Z,25,FALSE)),0,VLOOKUP($A62,'13. Updated Demand'!A:Z,25,FALSE))</f>
        <v>0</v>
      </c>
      <c r="AI62" s="16">
        <f>IF(ISERROR(VLOOKUP($A62,'13. Updated Demand'!A:Z,26,FALSE)),0,VLOOKUP($A62,'13. Updated Demand'!A:Z,26,FALSE))</f>
        <v>0</v>
      </c>
      <c r="AJ62" s="16">
        <f t="shared" si="12"/>
        <v>7.8</v>
      </c>
      <c r="AK62" s="19">
        <v>0</v>
      </c>
      <c r="AL62" s="16">
        <f t="shared" si="9"/>
        <v>0</v>
      </c>
      <c r="AM62" s="17">
        <v>1</v>
      </c>
      <c r="AN62" s="19"/>
      <c r="AO62" s="19"/>
      <c r="AP62" s="19">
        <v>7.8</v>
      </c>
      <c r="AQ62" s="19" t="s">
        <v>307</v>
      </c>
      <c r="AR62" s="9" t="s">
        <v>394</v>
      </c>
      <c r="AS62" s="12">
        <v>0</v>
      </c>
      <c r="AT62" s="19">
        <v>38.640080019999999</v>
      </c>
      <c r="AU62" s="19">
        <v>-122.85963295000001</v>
      </c>
      <c r="AV62" s="19" t="s">
        <v>385</v>
      </c>
    </row>
    <row r="63" spans="1:48" x14ac:dyDescent="0.25">
      <c r="A63" s="18" t="s">
        <v>397</v>
      </c>
      <c r="B63" s="10">
        <v>20160308</v>
      </c>
      <c r="C63" s="9">
        <v>5</v>
      </c>
      <c r="D63" s="8" t="str">
        <f t="shared" si="0"/>
        <v>Y</v>
      </c>
      <c r="E63" s="8" t="str">
        <f t="shared" si="1"/>
        <v>N</v>
      </c>
      <c r="F63" s="8" t="str">
        <f t="shared" si="2"/>
        <v>Y</v>
      </c>
      <c r="G63" s="8" t="str">
        <f t="shared" si="3"/>
        <v>Y</v>
      </c>
      <c r="H63" s="8" t="str">
        <f t="shared" si="4"/>
        <v>Upper</v>
      </c>
      <c r="I63" s="8" t="str">
        <f t="shared" si="5"/>
        <v>West Fork and Below Lake</v>
      </c>
      <c r="J63" s="8" t="str">
        <f t="shared" si="6"/>
        <v>Mendocino (d/s of lake)</v>
      </c>
      <c r="K63" s="8" t="str">
        <f t="shared" si="7"/>
        <v>Post-1949</v>
      </c>
      <c r="L63" s="8">
        <f t="shared" si="8"/>
        <v>2016</v>
      </c>
      <c r="M63" s="8" t="str">
        <f t="shared" si="10"/>
        <v>1991-present</v>
      </c>
      <c r="N63" s="10" t="s">
        <v>242</v>
      </c>
      <c r="O63" s="10" t="s">
        <v>241</v>
      </c>
      <c r="P63" s="10" t="s">
        <v>242</v>
      </c>
      <c r="Q63" s="10" t="s">
        <v>242</v>
      </c>
      <c r="R63" s="10" t="s">
        <v>241</v>
      </c>
      <c r="S63" s="10" t="s">
        <v>242</v>
      </c>
      <c r="T63" s="10" t="s">
        <v>242</v>
      </c>
      <c r="U63" s="10" t="s">
        <v>242</v>
      </c>
      <c r="V63" s="10" t="s">
        <v>241</v>
      </c>
      <c r="W63" s="10" t="s">
        <v>242</v>
      </c>
      <c r="X63" s="15">
        <f>IF(ISERROR(VLOOKUP($A63,'13. Updated Demand'!A:Z,15,FALSE)),0,VLOOKUP($A63,'13. Updated Demand'!A:Z,15,FALSE))</f>
        <v>3.8</v>
      </c>
      <c r="Y63" s="16">
        <f>IF(ISERROR(VLOOKUP($A63,'13. Updated Demand'!A:Z,16,FALSE)),0,VLOOKUP($A63,'13. Updated Demand'!A:Z,16,FALSE))</f>
        <v>0.1</v>
      </c>
      <c r="Z63" s="16">
        <f>IF(ISERROR(VLOOKUP($A63,'13. Updated Demand'!A:Z,17,FALSE)),0,VLOOKUP($A63,'13. Updated Demand'!A:Z,17,FALSE))</f>
        <v>0</v>
      </c>
      <c r="AA63" s="16">
        <f>IF(ISERROR(VLOOKUP($A63,'13. Updated Demand'!A:Z,18,FALSE)),0,VLOOKUP($A63,'13. Updated Demand'!A:Z,18,FALSE))</f>
        <v>0</v>
      </c>
      <c r="AB63" s="16">
        <f>IF(ISERROR(VLOOKUP($A63,'13. Updated Demand'!A:Z,19,FALSE)),0,VLOOKUP($A63,'13. Updated Demand'!A:Z,19,FALSE))</f>
        <v>0</v>
      </c>
      <c r="AC63" s="16">
        <f>IF(ISERROR(VLOOKUP($A63,'13. Updated Demand'!A:Z,20,FALSE)),0,VLOOKUP($A63,'13. Updated Demand'!A:Z,20,FALSE))</f>
        <v>0</v>
      </c>
      <c r="AD63" s="16">
        <f>IF(ISERROR(VLOOKUP($A63,'13. Updated Demand'!A:Z,21,FALSE)),0,VLOOKUP($A63,'13. Updated Demand'!A:Z,21,FALSE))</f>
        <v>0</v>
      </c>
      <c r="AE63" s="16">
        <f>IF(ISERROR(VLOOKUP($A63,'13. Updated Demand'!A:Z,22,FALSE)),0,VLOOKUP($A63,'13. Updated Demand'!A:Z,22,FALSE))</f>
        <v>0</v>
      </c>
      <c r="AF63" s="16">
        <f>IF(ISERROR(VLOOKUP($A63,'13. Updated Demand'!A:Z,23,FALSE)),0,VLOOKUP($A63,'13. Updated Demand'!A:Z,23,FALSE))</f>
        <v>0</v>
      </c>
      <c r="AG63" s="16">
        <f>IF(ISERROR(VLOOKUP($A63,'13. Updated Demand'!A:Z,24,FALSE)),0,VLOOKUP($A63,'13. Updated Demand'!A:Z,24,FALSE))</f>
        <v>0</v>
      </c>
      <c r="AH63" s="16">
        <f>IF(ISERROR(VLOOKUP($A63,'13. Updated Demand'!A:Z,25,FALSE)),0,VLOOKUP($A63,'13. Updated Demand'!A:Z,25,FALSE))</f>
        <v>0.46</v>
      </c>
      <c r="AI63" s="16">
        <f>IF(ISERROR(VLOOKUP($A63,'13. Updated Demand'!A:Z,26,FALSE)),0,VLOOKUP($A63,'13. Updated Demand'!A:Z,26,FALSE))</f>
        <v>1.26</v>
      </c>
      <c r="AJ63" s="16">
        <f t="shared" si="12"/>
        <v>5.62</v>
      </c>
      <c r="AK63" s="19">
        <v>0</v>
      </c>
      <c r="AL63" s="16">
        <f t="shared" si="9"/>
        <v>0</v>
      </c>
      <c r="AM63" s="17">
        <v>0.56333333339999991</v>
      </c>
      <c r="AN63" s="19"/>
      <c r="AO63" s="19"/>
      <c r="AP63" s="19">
        <v>10</v>
      </c>
      <c r="AQ63" s="19" t="s">
        <v>307</v>
      </c>
      <c r="AR63" s="9" t="s">
        <v>333</v>
      </c>
      <c r="AS63" s="12">
        <v>0</v>
      </c>
      <c r="AT63" s="19">
        <v>39.077599999999997</v>
      </c>
      <c r="AU63" s="19">
        <v>-123.2334</v>
      </c>
      <c r="AV63" s="19" t="s">
        <v>385</v>
      </c>
    </row>
    <row r="64" spans="1:48" x14ac:dyDescent="0.25">
      <c r="A64" s="18" t="s">
        <v>398</v>
      </c>
      <c r="B64" s="10">
        <v>20160714</v>
      </c>
      <c r="C64" s="9">
        <v>23</v>
      </c>
      <c r="D64" s="8" t="str">
        <f t="shared" si="0"/>
        <v>N</v>
      </c>
      <c r="E64" s="8" t="str">
        <f t="shared" si="1"/>
        <v>N</v>
      </c>
      <c r="F64" s="8" t="str">
        <f t="shared" si="2"/>
        <v>N</v>
      </c>
      <c r="G64" s="8" t="str">
        <f t="shared" si="3"/>
        <v>N</v>
      </c>
      <c r="H64" s="8" t="str">
        <f t="shared" si="4"/>
        <v>Lower</v>
      </c>
      <c r="I64" s="8" t="str">
        <f t="shared" si="5"/>
        <v>Outside</v>
      </c>
      <c r="J64" s="8" t="str">
        <f t="shared" si="6"/>
        <v>Outside</v>
      </c>
      <c r="K64" s="8" t="str">
        <f t="shared" si="7"/>
        <v>Post-1949</v>
      </c>
      <c r="L64" s="8">
        <f t="shared" si="8"/>
        <v>2016</v>
      </c>
      <c r="M64" s="8" t="str">
        <f t="shared" si="10"/>
        <v>1991-present</v>
      </c>
      <c r="N64" s="10" t="s">
        <v>242</v>
      </c>
      <c r="O64" s="10" t="s">
        <v>242</v>
      </c>
      <c r="P64" s="10" t="s">
        <v>242</v>
      </c>
      <c r="Q64" s="10" t="s">
        <v>242</v>
      </c>
      <c r="R64" s="10" t="s">
        <v>241</v>
      </c>
      <c r="S64" s="10" t="s">
        <v>242</v>
      </c>
      <c r="T64" s="10" t="s">
        <v>242</v>
      </c>
      <c r="U64" s="10" t="s">
        <v>242</v>
      </c>
      <c r="V64" s="10" t="s">
        <v>241</v>
      </c>
      <c r="W64" s="10" t="s">
        <v>242</v>
      </c>
      <c r="X64" s="15">
        <f>IF(ISERROR(VLOOKUP($A64,'13. Updated Demand'!A:Z,15,FALSE)),0,VLOOKUP($A64,'13. Updated Demand'!A:Z,15,FALSE))</f>
        <v>0.133333333</v>
      </c>
      <c r="Y64" s="16">
        <f>IF(ISERROR(VLOOKUP($A64,'13. Updated Demand'!A:Z,16,FALSE)),0,VLOOKUP($A64,'13. Updated Demand'!A:Z,16,FALSE))</f>
        <v>0</v>
      </c>
      <c r="Z64" s="16">
        <f>IF(ISERROR(VLOOKUP($A64,'13. Updated Demand'!A:Z,17,FALSE)),0,VLOOKUP($A64,'13. Updated Demand'!A:Z,17,FALSE))</f>
        <v>0</v>
      </c>
      <c r="AA64" s="16">
        <f>IF(ISERROR(VLOOKUP($A64,'13. Updated Demand'!A:Z,18,FALSE)),0,VLOOKUP($A64,'13. Updated Demand'!A:Z,18,FALSE))</f>
        <v>0</v>
      </c>
      <c r="AB64" s="16">
        <f>IF(ISERROR(VLOOKUP($A64,'13. Updated Demand'!A:Z,19,FALSE)),0,VLOOKUP($A64,'13. Updated Demand'!A:Z,19,FALSE))</f>
        <v>0</v>
      </c>
      <c r="AC64" s="16">
        <f>IF(ISERROR(VLOOKUP($A64,'13. Updated Demand'!A:Z,20,FALSE)),0,VLOOKUP($A64,'13. Updated Demand'!A:Z,20,FALSE))</f>
        <v>0</v>
      </c>
      <c r="AD64" s="16">
        <f>IF(ISERROR(VLOOKUP($A64,'13. Updated Demand'!A:Z,21,FALSE)),0,VLOOKUP($A64,'13. Updated Demand'!A:Z,21,FALSE))</f>
        <v>0</v>
      </c>
      <c r="AE64" s="16">
        <f>IF(ISERROR(VLOOKUP($A64,'13. Updated Demand'!A:Z,22,FALSE)),0,VLOOKUP($A64,'13. Updated Demand'!A:Z,22,FALSE))</f>
        <v>0</v>
      </c>
      <c r="AF64" s="16">
        <f>IF(ISERROR(VLOOKUP($A64,'13. Updated Demand'!A:Z,23,FALSE)),0,VLOOKUP($A64,'13. Updated Demand'!A:Z,23,FALSE))</f>
        <v>0</v>
      </c>
      <c r="AG64" s="16">
        <f>IF(ISERROR(VLOOKUP($A64,'13. Updated Demand'!A:Z,24,FALSE)),0,VLOOKUP($A64,'13. Updated Demand'!A:Z,24,FALSE))</f>
        <v>0</v>
      </c>
      <c r="AH64" s="16">
        <f>IF(ISERROR(VLOOKUP($A64,'13. Updated Demand'!A:Z,25,FALSE)),0,VLOOKUP($A64,'13. Updated Demand'!A:Z,25,FALSE))</f>
        <v>0.96666666700000003</v>
      </c>
      <c r="AI64" s="16">
        <f>IF(ISERROR(VLOOKUP($A64,'13. Updated Demand'!A:Z,26,FALSE)),0,VLOOKUP($A64,'13. Updated Demand'!A:Z,26,FALSE))</f>
        <v>0.46666666699999998</v>
      </c>
      <c r="AJ64" s="16">
        <f t="shared" si="12"/>
        <v>1.566666667</v>
      </c>
      <c r="AK64" s="19">
        <v>0</v>
      </c>
      <c r="AL64" s="16">
        <f t="shared" si="9"/>
        <v>0</v>
      </c>
      <c r="AM64" s="17">
        <v>0.31333333340000002</v>
      </c>
      <c r="AN64" s="19"/>
      <c r="AO64" s="19"/>
      <c r="AP64" s="19">
        <v>5</v>
      </c>
      <c r="AQ64" s="19" t="s">
        <v>307</v>
      </c>
      <c r="AR64" s="9" t="s">
        <v>323</v>
      </c>
      <c r="AS64" s="12">
        <v>0</v>
      </c>
      <c r="AT64" s="19">
        <v>38.519599999999997</v>
      </c>
      <c r="AU64" s="19">
        <v>-122.5838</v>
      </c>
      <c r="AV64" s="19" t="s">
        <v>395</v>
      </c>
    </row>
    <row r="65" spans="1:48" x14ac:dyDescent="0.25">
      <c r="A65" s="18" t="s">
        <v>399</v>
      </c>
      <c r="B65" s="10">
        <v>20160510</v>
      </c>
      <c r="C65" s="9">
        <v>9</v>
      </c>
      <c r="D65" s="8" t="str">
        <f t="shared" si="0"/>
        <v>N</v>
      </c>
      <c r="E65" s="8" t="str">
        <f t="shared" si="1"/>
        <v>Y</v>
      </c>
      <c r="F65" s="8" t="str">
        <f t="shared" si="2"/>
        <v>Y</v>
      </c>
      <c r="G65" s="8" t="str">
        <f t="shared" si="3"/>
        <v>Y</v>
      </c>
      <c r="H65" s="8" t="str">
        <f t="shared" si="4"/>
        <v>Upper</v>
      </c>
      <c r="I65" s="8" t="str">
        <f t="shared" si="5"/>
        <v>West Fork and Below Lake</v>
      </c>
      <c r="J65" s="8" t="str">
        <f t="shared" si="6"/>
        <v>Sonoma (d/s of Clov. Gage)</v>
      </c>
      <c r="K65" s="8" t="str">
        <f t="shared" si="7"/>
        <v>Post-1949</v>
      </c>
      <c r="L65" s="8">
        <f t="shared" si="8"/>
        <v>2016</v>
      </c>
      <c r="M65" s="8" t="str">
        <f t="shared" si="10"/>
        <v>1991-present</v>
      </c>
      <c r="N65" s="10" t="s">
        <v>242</v>
      </c>
      <c r="O65" s="10" t="s">
        <v>241</v>
      </c>
      <c r="P65" s="10" t="s">
        <v>242</v>
      </c>
      <c r="Q65" s="10" t="s">
        <v>242</v>
      </c>
      <c r="R65" s="10" t="s">
        <v>241</v>
      </c>
      <c r="S65" s="10" t="s">
        <v>242</v>
      </c>
      <c r="T65" s="10" t="s">
        <v>242</v>
      </c>
      <c r="U65" s="10" t="s">
        <v>242</v>
      </c>
      <c r="V65" s="10" t="s">
        <v>241</v>
      </c>
      <c r="W65" s="10" t="s">
        <v>242</v>
      </c>
      <c r="X65" s="15">
        <f>IF(ISERROR(VLOOKUP($A65,'13. Updated Demand'!A:Z,15,FALSE)),0,VLOOKUP($A65,'13. Updated Demand'!A:Z,15,FALSE))</f>
        <v>0</v>
      </c>
      <c r="Y65" s="16">
        <f>IF(ISERROR(VLOOKUP($A65,'13. Updated Demand'!A:Z,16,FALSE)),0,VLOOKUP($A65,'13. Updated Demand'!A:Z,16,FALSE))</f>
        <v>0</v>
      </c>
      <c r="Z65" s="16">
        <f>IF(ISERROR(VLOOKUP($A65,'13. Updated Demand'!A:Z,17,FALSE)),0,VLOOKUP($A65,'13. Updated Demand'!A:Z,17,FALSE))</f>
        <v>0</v>
      </c>
      <c r="AA65" s="16">
        <f>IF(ISERROR(VLOOKUP($A65,'13. Updated Demand'!A:Z,18,FALSE)),0,VLOOKUP($A65,'13. Updated Demand'!A:Z,18,FALSE))</f>
        <v>0</v>
      </c>
      <c r="AB65" s="16">
        <f>IF(ISERROR(VLOOKUP($A65,'13. Updated Demand'!A:Z,19,FALSE)),0,VLOOKUP($A65,'13. Updated Demand'!A:Z,19,FALSE))</f>
        <v>0</v>
      </c>
      <c r="AC65" s="16">
        <f>IF(ISERROR(VLOOKUP($A65,'13. Updated Demand'!A:Z,20,FALSE)),0,VLOOKUP($A65,'13. Updated Demand'!A:Z,20,FALSE))</f>
        <v>0</v>
      </c>
      <c r="AD65" s="16">
        <f>IF(ISERROR(VLOOKUP($A65,'13. Updated Demand'!A:Z,21,FALSE)),0,VLOOKUP($A65,'13. Updated Demand'!A:Z,21,FALSE))</f>
        <v>0</v>
      </c>
      <c r="AE65" s="16">
        <f>IF(ISERROR(VLOOKUP($A65,'13. Updated Demand'!A:Z,22,FALSE)),0,VLOOKUP($A65,'13. Updated Demand'!A:Z,22,FALSE))</f>
        <v>0</v>
      </c>
      <c r="AF65" s="16">
        <f>IF(ISERROR(VLOOKUP($A65,'13. Updated Demand'!A:Z,23,FALSE)),0,VLOOKUP($A65,'13. Updated Demand'!A:Z,23,FALSE))</f>
        <v>0</v>
      </c>
      <c r="AG65" s="16">
        <f>IF(ISERROR(VLOOKUP($A65,'13. Updated Demand'!A:Z,24,FALSE)),0,VLOOKUP($A65,'13. Updated Demand'!A:Z,24,FALSE))</f>
        <v>0</v>
      </c>
      <c r="AH65" s="16">
        <f>IF(ISERROR(VLOOKUP($A65,'13. Updated Demand'!A:Z,25,FALSE)),0,VLOOKUP($A65,'13. Updated Demand'!A:Z,25,FALSE))</f>
        <v>0.66</v>
      </c>
      <c r="AI65" s="16">
        <f>IF(ISERROR(VLOOKUP($A65,'13. Updated Demand'!A:Z,26,FALSE)),0,VLOOKUP($A65,'13. Updated Demand'!A:Z,26,FALSE))</f>
        <v>1.5</v>
      </c>
      <c r="AJ65" s="16">
        <f t="shared" si="12"/>
        <v>2.16</v>
      </c>
      <c r="AK65" s="19">
        <v>0</v>
      </c>
      <c r="AL65" s="16">
        <f t="shared" si="9"/>
        <v>0</v>
      </c>
      <c r="AM65" s="17">
        <v>0.21666666669999998</v>
      </c>
      <c r="AN65" s="19"/>
      <c r="AO65" s="19"/>
      <c r="AP65" s="19">
        <v>10</v>
      </c>
      <c r="AQ65" s="19" t="s">
        <v>307</v>
      </c>
      <c r="AR65" s="9" t="s">
        <v>354</v>
      </c>
      <c r="AS65" s="12">
        <v>3.4039024194010059E-4</v>
      </c>
      <c r="AT65" s="19">
        <v>38.792099999999998</v>
      </c>
      <c r="AU65" s="19">
        <v>-123.0265</v>
      </c>
      <c r="AV65" s="19" t="s">
        <v>400</v>
      </c>
    </row>
    <row r="66" spans="1:48" x14ac:dyDescent="0.25">
      <c r="A66" s="18" t="s">
        <v>401</v>
      </c>
      <c r="B66" s="10">
        <v>20160815</v>
      </c>
      <c r="C66" s="9">
        <v>18</v>
      </c>
      <c r="D66" s="8" t="str">
        <f t="shared" ref="D66:D129" si="13">IF(OR(C66=4,C66=5,C66=6),"Y","N")</f>
        <v>N</v>
      </c>
      <c r="E66" s="8" t="str">
        <f t="shared" ref="E66:E129" si="14">IF(AND(C66&gt;6,C66&lt;14),"Y","N")</f>
        <v>N</v>
      </c>
      <c r="F66" s="8" t="str">
        <f t="shared" ref="F66:F129" si="15">IF(C66&lt;14,"Y","N")</f>
        <v>N</v>
      </c>
      <c r="G66" s="8" t="str">
        <f t="shared" ref="G66:G129" si="16">IF(OR(C66=1,AND(C66&gt;3,C66&lt;14)),"Y","N")</f>
        <v>N</v>
      </c>
      <c r="H66" s="8" t="str">
        <f t="shared" ref="H66:H129" si="17">IF(C66&lt;14,"Upper","Lower")</f>
        <v>Lower</v>
      </c>
      <c r="I66" s="8" t="str">
        <f t="shared" ref="I66:I129" si="18">IF(G66="Y","West Fork and Below Lake","Outside")</f>
        <v>Outside</v>
      </c>
      <c r="J66" s="8" t="str">
        <f t="shared" ref="J66:J129" si="19">IF(D66="Y", "Mendocino (d/s of lake)", IF(E66="Y", "Sonoma (d/s of Clov. Gage)","Outside"))</f>
        <v>Outside</v>
      </c>
      <c r="K66" s="8" t="str">
        <f t="shared" ref="K66:K129" si="20">IF(P66="Y","pre-1914",IF(Q66="Y","Pre-1949",IF(R66="Y","Post-1949",IF(S66="Y","Riparian","Unknown"))))</f>
        <v>Post-1949</v>
      </c>
      <c r="L66" s="8">
        <f t="shared" ref="L66:L129" si="21">_xlfn.NUMBERVALUE(LEFT(B66,4))</f>
        <v>2016</v>
      </c>
      <c r="M66" s="8" t="str">
        <f t="shared" si="10"/>
        <v>1991-present</v>
      </c>
      <c r="N66" s="10" t="s">
        <v>242</v>
      </c>
      <c r="O66" s="10" t="s">
        <v>242</v>
      </c>
      <c r="P66" s="10" t="s">
        <v>242</v>
      </c>
      <c r="Q66" s="10" t="s">
        <v>242</v>
      </c>
      <c r="R66" s="10" t="s">
        <v>241</v>
      </c>
      <c r="S66" s="10" t="s">
        <v>242</v>
      </c>
      <c r="T66" s="10" t="s">
        <v>242</v>
      </c>
      <c r="U66" s="10" t="s">
        <v>242</v>
      </c>
      <c r="V66" s="10" t="s">
        <v>242</v>
      </c>
      <c r="W66" s="10" t="s">
        <v>242</v>
      </c>
      <c r="X66" s="15">
        <f>IF(ISERROR(VLOOKUP($A66,'13. Updated Demand'!A:Z,15,FALSE)),0,VLOOKUP($A66,'13. Updated Demand'!A:Z,15,FALSE))</f>
        <v>2.3016499999999999E-2</v>
      </c>
      <c r="Y66" s="16">
        <f>IF(ISERROR(VLOOKUP($A66,'13. Updated Demand'!A:Z,16,FALSE)),0,VLOOKUP($A66,'13. Updated Demand'!A:Z,16,FALSE))</f>
        <v>2.3016499999999999E-2</v>
      </c>
      <c r="Z66" s="16">
        <f>IF(ISERROR(VLOOKUP($A66,'13. Updated Demand'!A:Z,17,FALSE)),0,VLOOKUP($A66,'13. Updated Demand'!A:Z,17,FALSE))</f>
        <v>2.3016499999999999E-2</v>
      </c>
      <c r="AA66" s="16">
        <f>IF(ISERROR(VLOOKUP($A66,'13. Updated Demand'!A:Z,18,FALSE)),0,VLOOKUP($A66,'13. Updated Demand'!A:Z,18,FALSE))</f>
        <v>2.3016499999999999E-2</v>
      </c>
      <c r="AB66" s="16">
        <f>IF(ISERROR(VLOOKUP($A66,'13. Updated Demand'!A:Z,19,FALSE)),0,VLOOKUP($A66,'13. Updated Demand'!A:Z,19,FALSE))</f>
        <v>2.3016499999999999E-2</v>
      </c>
      <c r="AC66" s="16">
        <f>IF(ISERROR(VLOOKUP($A66,'13. Updated Demand'!A:Z,20,FALSE)),0,VLOOKUP($A66,'13. Updated Demand'!A:Z,20,FALSE))</f>
        <v>2.3016499999999999E-2</v>
      </c>
      <c r="AD66" s="16">
        <f>IF(ISERROR(VLOOKUP($A66,'13. Updated Demand'!A:Z,21,FALSE)),0,VLOOKUP($A66,'13. Updated Demand'!A:Z,21,FALSE))</f>
        <v>0</v>
      </c>
      <c r="AE66" s="16">
        <f>IF(ISERROR(VLOOKUP($A66,'13. Updated Demand'!A:Z,22,FALSE)),0,VLOOKUP($A66,'13. Updated Demand'!A:Z,22,FALSE))</f>
        <v>0</v>
      </c>
      <c r="AF66" s="16">
        <f>IF(ISERROR(VLOOKUP($A66,'13. Updated Demand'!A:Z,23,FALSE)),0,VLOOKUP($A66,'13. Updated Demand'!A:Z,23,FALSE))</f>
        <v>0</v>
      </c>
      <c r="AG66" s="16">
        <f>IF(ISERROR(VLOOKUP($A66,'13. Updated Demand'!A:Z,24,FALSE)),0,VLOOKUP($A66,'13. Updated Demand'!A:Z,24,FALSE))</f>
        <v>2.3016499999999999E-2</v>
      </c>
      <c r="AH66" s="16">
        <f>IF(ISERROR(VLOOKUP($A66,'13. Updated Demand'!A:Z,25,FALSE)),0,VLOOKUP($A66,'13. Updated Demand'!A:Z,25,FALSE))</f>
        <v>2.3016499999999999E-2</v>
      </c>
      <c r="AI66" s="16">
        <f>IF(ISERROR(VLOOKUP($A66,'13. Updated Demand'!A:Z,26,FALSE)),0,VLOOKUP($A66,'13. Updated Demand'!A:Z,26,FALSE))</f>
        <v>2.3016499999999999E-2</v>
      </c>
      <c r="AJ66" s="16">
        <f t="shared" si="12"/>
        <v>0.20714849999999999</v>
      </c>
      <c r="AK66" s="19">
        <v>4.6032999999999998E-2</v>
      </c>
      <c r="AL66" s="16">
        <f t="shared" ref="AL66:AL129" si="22">AK66/152/1.983471</f>
        <v>1.5268621734854015E-4</v>
      </c>
      <c r="AM66" s="17">
        <v>0.34524749999999998</v>
      </c>
      <c r="AN66" s="19"/>
      <c r="AO66" s="19"/>
      <c r="AP66" s="19">
        <v>0.6</v>
      </c>
      <c r="AQ66" s="19" t="s">
        <v>307</v>
      </c>
      <c r="AR66" s="9" t="s">
        <v>352</v>
      </c>
      <c r="AS66" s="12">
        <v>3.4039024194010059E-4</v>
      </c>
      <c r="AT66" s="19">
        <v>38.41667004</v>
      </c>
      <c r="AU66" s="19">
        <v>-122.91852823000001</v>
      </c>
      <c r="AV66" s="19" t="s">
        <v>385</v>
      </c>
    </row>
    <row r="67" spans="1:48" x14ac:dyDescent="0.25">
      <c r="A67" s="18" t="s">
        <v>402</v>
      </c>
      <c r="B67" s="10">
        <v>20160125</v>
      </c>
      <c r="C67" s="9">
        <v>21</v>
      </c>
      <c r="D67" s="8" t="str">
        <f t="shared" si="13"/>
        <v>N</v>
      </c>
      <c r="E67" s="8" t="str">
        <f t="shared" si="14"/>
        <v>N</v>
      </c>
      <c r="F67" s="8" t="str">
        <f t="shared" si="15"/>
        <v>N</v>
      </c>
      <c r="G67" s="8" t="str">
        <f t="shared" si="16"/>
        <v>N</v>
      </c>
      <c r="H67" s="8" t="str">
        <f t="shared" si="17"/>
        <v>Lower</v>
      </c>
      <c r="I67" s="8" t="str">
        <f t="shared" si="18"/>
        <v>Outside</v>
      </c>
      <c r="J67" s="8" t="str">
        <f t="shared" si="19"/>
        <v>Outside</v>
      </c>
      <c r="K67" s="8" t="str">
        <f t="shared" si="20"/>
        <v>Post-1949</v>
      </c>
      <c r="L67" s="8">
        <f t="shared" si="21"/>
        <v>2016</v>
      </c>
      <c r="M67" s="8" t="str">
        <f t="shared" ref="M67:M130" si="23">IF(L67=1949,"1949",IF(AND(L67&gt;1949,L67&lt;1953),"1950-1952",IF(AND(L67&gt;1952,L67&lt;1955),"1953-1954",IF(AND(L67&gt;1954,L67&lt;1957),"1955-1956",IF(AND(L67&gt;1956,L67&lt;1960),"1957-1959",IF(AND(L67&gt;1959,L67&lt;1971),"1960-1970",IF(AND(L67&gt;1970,L67&lt;1991),"1971-1990",IF(L67&gt;1990,"1991-present","-"))))))))</f>
        <v>1991-present</v>
      </c>
      <c r="N67" s="10" t="s">
        <v>242</v>
      </c>
      <c r="O67" s="10" t="s">
        <v>242</v>
      </c>
      <c r="P67" s="10" t="s">
        <v>242</v>
      </c>
      <c r="Q67" s="10" t="s">
        <v>242</v>
      </c>
      <c r="R67" s="10" t="s">
        <v>241</v>
      </c>
      <c r="S67" s="10" t="s">
        <v>242</v>
      </c>
      <c r="T67" s="10" t="s">
        <v>242</v>
      </c>
      <c r="U67" s="10" t="s">
        <v>241</v>
      </c>
      <c r="V67" s="10" t="s">
        <v>241</v>
      </c>
      <c r="W67" s="10" t="s">
        <v>242</v>
      </c>
      <c r="X67" s="15">
        <f>IF(ISERROR(VLOOKUP($A67,'13. Updated Demand'!A:Z,15,FALSE)),0,VLOOKUP($A67,'13. Updated Demand'!A:Z,15,FALSE))</f>
        <v>0</v>
      </c>
      <c r="Y67" s="16">
        <f>IF(ISERROR(VLOOKUP($A67,'13. Updated Demand'!A:Z,16,FALSE)),0,VLOOKUP($A67,'13. Updated Demand'!A:Z,16,FALSE))</f>
        <v>0</v>
      </c>
      <c r="Z67" s="16">
        <f>IF(ISERROR(VLOOKUP($A67,'13. Updated Demand'!A:Z,17,FALSE)),0,VLOOKUP($A67,'13. Updated Demand'!A:Z,17,FALSE))</f>
        <v>0</v>
      </c>
      <c r="AA67" s="16">
        <f>IF(ISERROR(VLOOKUP($A67,'13. Updated Demand'!A:Z,18,FALSE)),0,VLOOKUP($A67,'13. Updated Demand'!A:Z,18,FALSE))</f>
        <v>0</v>
      </c>
      <c r="AB67" s="16">
        <f>IF(ISERROR(VLOOKUP($A67,'13. Updated Demand'!A:Z,19,FALSE)),0,VLOOKUP($A67,'13. Updated Demand'!A:Z,19,FALSE))</f>
        <v>0</v>
      </c>
      <c r="AC67" s="16">
        <f>IF(ISERROR(VLOOKUP($A67,'13. Updated Demand'!A:Z,20,FALSE)),0,VLOOKUP($A67,'13. Updated Demand'!A:Z,20,FALSE))</f>
        <v>0</v>
      </c>
      <c r="AD67" s="16">
        <f>IF(ISERROR(VLOOKUP($A67,'13. Updated Demand'!A:Z,21,FALSE)),0,VLOOKUP($A67,'13. Updated Demand'!A:Z,21,FALSE))</f>
        <v>0</v>
      </c>
      <c r="AE67" s="16">
        <f>IF(ISERROR(VLOOKUP($A67,'13. Updated Demand'!A:Z,22,FALSE)),0,VLOOKUP($A67,'13. Updated Demand'!A:Z,22,FALSE))</f>
        <v>0</v>
      </c>
      <c r="AF67" s="16">
        <f>IF(ISERROR(VLOOKUP($A67,'13. Updated Demand'!A:Z,23,FALSE)),0,VLOOKUP($A67,'13. Updated Demand'!A:Z,23,FALSE))</f>
        <v>0</v>
      </c>
      <c r="AG67" s="16">
        <f>IF(ISERROR(VLOOKUP($A67,'13. Updated Demand'!A:Z,24,FALSE)),0,VLOOKUP($A67,'13. Updated Demand'!A:Z,24,FALSE))</f>
        <v>0</v>
      </c>
      <c r="AH67" s="16">
        <f>IF(ISERROR(VLOOKUP($A67,'13. Updated Demand'!A:Z,25,FALSE)),0,VLOOKUP($A67,'13. Updated Demand'!A:Z,25,FALSE))</f>
        <v>0</v>
      </c>
      <c r="AI67" s="16">
        <f>IF(ISERROR(VLOOKUP($A67,'13. Updated Demand'!A:Z,26,FALSE)),0,VLOOKUP($A67,'13. Updated Demand'!A:Z,26,FALSE))</f>
        <v>0</v>
      </c>
      <c r="AJ67" s="16">
        <f t="shared" si="12"/>
        <v>0</v>
      </c>
      <c r="AK67" s="19">
        <v>0</v>
      </c>
      <c r="AL67" s="16">
        <f t="shared" si="22"/>
        <v>0</v>
      </c>
      <c r="AM67" s="17">
        <v>0</v>
      </c>
      <c r="AN67" s="19"/>
      <c r="AO67" s="19"/>
      <c r="AP67" s="19">
        <v>0.11</v>
      </c>
      <c r="AQ67" s="19" t="s">
        <v>307</v>
      </c>
      <c r="AR67" s="9" t="s">
        <v>403</v>
      </c>
      <c r="AS67" s="12">
        <v>3.4039024194010059E-4</v>
      </c>
      <c r="AT67" s="19">
        <v>38.504199999999997</v>
      </c>
      <c r="AU67" s="19">
        <v>-123.1048</v>
      </c>
      <c r="AV67" s="19" t="s">
        <v>404</v>
      </c>
    </row>
    <row r="68" spans="1:48" x14ac:dyDescent="0.25">
      <c r="A68" s="18" t="s">
        <v>405</v>
      </c>
      <c r="B68" s="10">
        <v>20151102</v>
      </c>
      <c r="C68" s="9">
        <v>16</v>
      </c>
      <c r="D68" s="8" t="str">
        <f t="shared" si="13"/>
        <v>N</v>
      </c>
      <c r="E68" s="8" t="str">
        <f t="shared" si="14"/>
        <v>N</v>
      </c>
      <c r="F68" s="8" t="str">
        <f t="shared" si="15"/>
        <v>N</v>
      </c>
      <c r="G68" s="8" t="str">
        <f t="shared" si="16"/>
        <v>N</v>
      </c>
      <c r="H68" s="8" t="str">
        <f t="shared" si="17"/>
        <v>Lower</v>
      </c>
      <c r="I68" s="8" t="str">
        <f t="shared" si="18"/>
        <v>Outside</v>
      </c>
      <c r="J68" s="8" t="str">
        <f t="shared" si="19"/>
        <v>Outside</v>
      </c>
      <c r="K68" s="8" t="str">
        <f t="shared" si="20"/>
        <v>Post-1949</v>
      </c>
      <c r="L68" s="8">
        <f t="shared" si="21"/>
        <v>2015</v>
      </c>
      <c r="M68" s="8" t="str">
        <f t="shared" si="23"/>
        <v>1991-present</v>
      </c>
      <c r="N68" s="10" t="s">
        <v>242</v>
      </c>
      <c r="O68" s="10" t="s">
        <v>242</v>
      </c>
      <c r="P68" s="10" t="s">
        <v>242</v>
      </c>
      <c r="Q68" s="10" t="s">
        <v>242</v>
      </c>
      <c r="R68" s="10" t="s">
        <v>241</v>
      </c>
      <c r="S68" s="10" t="s">
        <v>242</v>
      </c>
      <c r="T68" s="10" t="s">
        <v>242</v>
      </c>
      <c r="U68" s="10" t="s">
        <v>242</v>
      </c>
      <c r="V68" s="10" t="s">
        <v>242</v>
      </c>
      <c r="W68" s="10" t="s">
        <v>242</v>
      </c>
      <c r="X68" s="15">
        <f>IF(ISERROR(VLOOKUP($A68,'13. Updated Demand'!A:Z,15,FALSE)),0,VLOOKUP($A68,'13. Updated Demand'!A:Z,15,FALSE))</f>
        <v>1.427E-2</v>
      </c>
      <c r="Y68" s="16">
        <f>IF(ISERROR(VLOOKUP($A68,'13. Updated Demand'!A:Z,16,FALSE)),0,VLOOKUP($A68,'13. Updated Demand'!A:Z,16,FALSE))</f>
        <v>1.2880000000000001E-2</v>
      </c>
      <c r="Z68" s="16">
        <f>IF(ISERROR(VLOOKUP($A68,'13. Updated Demand'!A:Z,17,FALSE)),0,VLOOKUP($A68,'13. Updated Demand'!A:Z,17,FALSE))</f>
        <v>1.427E-2</v>
      </c>
      <c r="AA68" s="16">
        <f>IF(ISERROR(VLOOKUP($A68,'13. Updated Demand'!A:Z,18,FALSE)),0,VLOOKUP($A68,'13. Updated Demand'!A:Z,18,FALSE))</f>
        <v>1.3809999999999999E-2</v>
      </c>
      <c r="AB68" s="16">
        <f>IF(ISERROR(VLOOKUP($A68,'13. Updated Demand'!A:Z,19,FALSE)),0,VLOOKUP($A68,'13. Updated Demand'!A:Z,19,FALSE))</f>
        <v>4.2810000000000001E-2</v>
      </c>
      <c r="AC68" s="16">
        <f>IF(ISERROR(VLOOKUP($A68,'13. Updated Demand'!A:Z,20,FALSE)),0,VLOOKUP($A68,'13. Updated Demand'!A:Z,20,FALSE))</f>
        <v>4.1430000000000002E-2</v>
      </c>
      <c r="AD68" s="16">
        <f>IF(ISERROR(VLOOKUP($A68,'13. Updated Demand'!A:Z,21,FALSE)),0,VLOOKUP($A68,'13. Updated Demand'!A:Z,21,FALSE))</f>
        <v>4.2810000000000001E-2</v>
      </c>
      <c r="AE68" s="16">
        <f>IF(ISERROR(VLOOKUP($A68,'13. Updated Demand'!A:Z,22,FALSE)),0,VLOOKUP($A68,'13. Updated Demand'!A:Z,22,FALSE))</f>
        <v>4.2810000000000001E-2</v>
      </c>
      <c r="AF68" s="16">
        <f>IF(ISERROR(VLOOKUP($A68,'13. Updated Demand'!A:Z,23,FALSE)),0,VLOOKUP($A68,'13. Updated Demand'!A:Z,23,FALSE))</f>
        <v>4.1430000000000002E-2</v>
      </c>
      <c r="AG68" s="16">
        <f>IF(ISERROR(VLOOKUP($A68,'13. Updated Demand'!A:Z,24,FALSE)),0,VLOOKUP($A68,'13. Updated Demand'!A:Z,24,FALSE))</f>
        <v>1.427E-2</v>
      </c>
      <c r="AH68" s="16">
        <f>IF(ISERROR(VLOOKUP($A68,'13. Updated Demand'!A:Z,25,FALSE)),0,VLOOKUP($A68,'13. Updated Demand'!A:Z,25,FALSE))</f>
        <v>1.3809999999999999E-2</v>
      </c>
      <c r="AI68" s="16">
        <f>IF(ISERROR(VLOOKUP($A68,'13. Updated Demand'!A:Z,26,FALSE)),0,VLOOKUP($A68,'13. Updated Demand'!A:Z,26,FALSE))</f>
        <v>1.427E-2</v>
      </c>
      <c r="AJ68" s="16">
        <f t="shared" si="12"/>
        <v>0.30887000000000003</v>
      </c>
      <c r="AK68" s="19">
        <v>0.21129000000000001</v>
      </c>
      <c r="AL68" s="16">
        <f t="shared" si="22"/>
        <v>7.0082486180724813E-4</v>
      </c>
      <c r="AM68" s="17">
        <v>0.68637777777777786</v>
      </c>
      <c r="AN68" s="19"/>
      <c r="AO68" s="19"/>
      <c r="AP68" s="19">
        <v>0.45</v>
      </c>
      <c r="AQ68" s="19" t="s">
        <v>307</v>
      </c>
      <c r="AR68" s="9" t="s">
        <v>394</v>
      </c>
      <c r="AS68" s="12">
        <v>3.4039024194010059E-4</v>
      </c>
      <c r="AT68" s="19">
        <v>38.591756369999999</v>
      </c>
      <c r="AU68" s="19">
        <v>-122.92022815999999</v>
      </c>
      <c r="AV68" s="19" t="s">
        <v>406</v>
      </c>
    </row>
    <row r="69" spans="1:48" x14ac:dyDescent="0.25">
      <c r="A69" s="18" t="s">
        <v>407</v>
      </c>
      <c r="B69" s="10">
        <v>20150923</v>
      </c>
      <c r="C69" s="9">
        <v>6</v>
      </c>
      <c r="D69" s="8" t="str">
        <f t="shared" si="13"/>
        <v>Y</v>
      </c>
      <c r="E69" s="8" t="str">
        <f t="shared" si="14"/>
        <v>N</v>
      </c>
      <c r="F69" s="8" t="str">
        <f t="shared" si="15"/>
        <v>Y</v>
      </c>
      <c r="G69" s="8" t="str">
        <f t="shared" si="16"/>
        <v>Y</v>
      </c>
      <c r="H69" s="8" t="str">
        <f t="shared" si="17"/>
        <v>Upper</v>
      </c>
      <c r="I69" s="8" t="str">
        <f t="shared" si="18"/>
        <v>West Fork and Below Lake</v>
      </c>
      <c r="J69" s="8" t="str">
        <f t="shared" si="19"/>
        <v>Mendocino (d/s of lake)</v>
      </c>
      <c r="K69" s="8" t="str">
        <f t="shared" si="20"/>
        <v>Post-1949</v>
      </c>
      <c r="L69" s="8">
        <f t="shared" si="21"/>
        <v>2015</v>
      </c>
      <c r="M69" s="8" t="str">
        <f t="shared" si="23"/>
        <v>1991-present</v>
      </c>
      <c r="N69" s="10" t="s">
        <v>242</v>
      </c>
      <c r="O69" s="10" t="s">
        <v>241</v>
      </c>
      <c r="P69" s="10" t="s">
        <v>242</v>
      </c>
      <c r="Q69" s="10" t="s">
        <v>242</v>
      </c>
      <c r="R69" s="10" t="s">
        <v>241</v>
      </c>
      <c r="S69" s="10" t="s">
        <v>242</v>
      </c>
      <c r="T69" s="10" t="s">
        <v>242</v>
      </c>
      <c r="U69" s="10" t="s">
        <v>242</v>
      </c>
      <c r="V69" s="10" t="s">
        <v>242</v>
      </c>
      <c r="W69" s="10" t="s">
        <v>242</v>
      </c>
      <c r="X69" s="15">
        <f>IF(ISERROR(VLOOKUP($A69,'13. Updated Demand'!A:Z,15,FALSE)),0,VLOOKUP($A69,'13. Updated Demand'!A:Z,15,FALSE))</f>
        <v>8.5929999999999999E-3</v>
      </c>
      <c r="Y69" s="16">
        <f>IF(ISERROR(VLOOKUP($A69,'13. Updated Demand'!A:Z,16,FALSE)),0,VLOOKUP($A69,'13. Updated Demand'!A:Z,16,FALSE))</f>
        <v>8.5929999999999999E-3</v>
      </c>
      <c r="Z69" s="16">
        <f>IF(ISERROR(VLOOKUP($A69,'13. Updated Demand'!A:Z,17,FALSE)),0,VLOOKUP($A69,'13. Updated Demand'!A:Z,17,FALSE))</f>
        <v>8.5929999999999999E-3</v>
      </c>
      <c r="AA69" s="16">
        <f>IF(ISERROR(VLOOKUP($A69,'13. Updated Demand'!A:Z,18,FALSE)),0,VLOOKUP($A69,'13. Updated Demand'!A:Z,18,FALSE))</f>
        <v>8.5929999999999999E-3</v>
      </c>
      <c r="AB69" s="16">
        <f>IF(ISERROR(VLOOKUP($A69,'13. Updated Demand'!A:Z,19,FALSE)),0,VLOOKUP($A69,'13. Updated Demand'!A:Z,19,FALSE))</f>
        <v>8.6029999999999995E-3</v>
      </c>
      <c r="AC69" s="16">
        <f>IF(ISERROR(VLOOKUP($A69,'13. Updated Demand'!A:Z,20,FALSE)),0,VLOOKUP($A69,'13. Updated Demand'!A:Z,20,FALSE))</f>
        <v>9.5069999999999998E-3</v>
      </c>
      <c r="AD69" s="16">
        <f>IF(ISERROR(VLOOKUP($A69,'13. Updated Demand'!A:Z,21,FALSE)),0,VLOOKUP($A69,'13. Updated Demand'!A:Z,21,FALSE))</f>
        <v>9.8720000000000006E-3</v>
      </c>
      <c r="AE69" s="16">
        <f>IF(ISERROR(VLOOKUP($A69,'13. Updated Demand'!A:Z,22,FALSE)),0,VLOOKUP($A69,'13. Updated Demand'!A:Z,22,FALSE))</f>
        <v>9.972E-3</v>
      </c>
      <c r="AF69" s="16">
        <f>IF(ISERROR(VLOOKUP($A69,'13. Updated Demand'!A:Z,23,FALSE)),0,VLOOKUP($A69,'13. Updated Demand'!A:Z,23,FALSE))</f>
        <v>9.2759999999999995E-3</v>
      </c>
      <c r="AG69" s="16">
        <f>IF(ISERROR(VLOOKUP($A69,'13. Updated Demand'!A:Z,24,FALSE)),0,VLOOKUP($A69,'13. Updated Demand'!A:Z,24,FALSE))</f>
        <v>8.5929999999999999E-3</v>
      </c>
      <c r="AH69" s="16">
        <f>IF(ISERROR(VLOOKUP($A69,'13. Updated Demand'!A:Z,25,FALSE)),0,VLOOKUP($A69,'13. Updated Demand'!A:Z,25,FALSE))</f>
        <v>8.5929999999999999E-3</v>
      </c>
      <c r="AI69" s="16">
        <f>IF(ISERROR(VLOOKUP($A69,'13. Updated Demand'!A:Z,26,FALSE)),0,VLOOKUP($A69,'13. Updated Demand'!A:Z,26,FALSE))</f>
        <v>8.5929999999999999E-3</v>
      </c>
      <c r="AJ69" s="16">
        <f t="shared" si="12"/>
        <v>0.10738100000000002</v>
      </c>
      <c r="AK69" s="19">
        <v>4.7230000000000001E-2</v>
      </c>
      <c r="AL69" s="16">
        <f t="shared" si="22"/>
        <v>1.5665652999742691E-4</v>
      </c>
      <c r="AM69" s="17">
        <v>2.2464644351464436E-2</v>
      </c>
      <c r="AN69" s="19"/>
      <c r="AO69" s="19"/>
      <c r="AP69" s="19">
        <v>4.78</v>
      </c>
      <c r="AQ69" s="19" t="s">
        <v>307</v>
      </c>
      <c r="AR69" s="9" t="s">
        <v>319</v>
      </c>
      <c r="AS69" s="12">
        <v>3.4039024194010059E-4</v>
      </c>
      <c r="AT69" s="19">
        <v>38.994500000000002</v>
      </c>
      <c r="AU69" s="19">
        <v>-123.2004</v>
      </c>
      <c r="AV69" s="19"/>
    </row>
    <row r="70" spans="1:48" x14ac:dyDescent="0.25">
      <c r="A70" s="18" t="s">
        <v>408</v>
      </c>
      <c r="B70" s="10">
        <v>20150211</v>
      </c>
      <c r="C70" s="9">
        <v>8</v>
      </c>
      <c r="D70" s="8" t="str">
        <f t="shared" si="13"/>
        <v>N</v>
      </c>
      <c r="E70" s="8" t="str">
        <f t="shared" si="14"/>
        <v>Y</v>
      </c>
      <c r="F70" s="8" t="str">
        <f t="shared" si="15"/>
        <v>Y</v>
      </c>
      <c r="G70" s="8" t="str">
        <f t="shared" si="16"/>
        <v>Y</v>
      </c>
      <c r="H70" s="8" t="str">
        <f t="shared" si="17"/>
        <v>Upper</v>
      </c>
      <c r="I70" s="8" t="str">
        <f t="shared" si="18"/>
        <v>West Fork and Below Lake</v>
      </c>
      <c r="J70" s="8" t="str">
        <f t="shared" si="19"/>
        <v>Sonoma (d/s of Clov. Gage)</v>
      </c>
      <c r="K70" s="8" t="str">
        <f t="shared" si="20"/>
        <v>Post-1949</v>
      </c>
      <c r="L70" s="8">
        <f t="shared" si="21"/>
        <v>2015</v>
      </c>
      <c r="M70" s="8" t="str">
        <f t="shared" si="23"/>
        <v>1991-present</v>
      </c>
      <c r="N70" s="10" t="s">
        <v>242</v>
      </c>
      <c r="O70" s="10" t="s">
        <v>241</v>
      </c>
      <c r="P70" s="10" t="s">
        <v>242</v>
      </c>
      <c r="Q70" s="10" t="s">
        <v>242</v>
      </c>
      <c r="R70" s="10" t="s">
        <v>241</v>
      </c>
      <c r="S70" s="10" t="s">
        <v>242</v>
      </c>
      <c r="T70" s="10" t="s">
        <v>242</v>
      </c>
      <c r="U70" s="10" t="s">
        <v>242</v>
      </c>
      <c r="V70" s="10" t="s">
        <v>241</v>
      </c>
      <c r="W70" s="10" t="s">
        <v>242</v>
      </c>
      <c r="X70" s="15">
        <f>IF(ISERROR(VLOOKUP($A70,'13. Updated Demand'!A:Z,15,FALSE)),0,VLOOKUP($A70,'13. Updated Demand'!A:Z,15,FALSE))</f>
        <v>0.15</v>
      </c>
      <c r="Y70" s="16">
        <f>IF(ISERROR(VLOOKUP($A70,'13. Updated Demand'!A:Z,16,FALSE)),0,VLOOKUP($A70,'13. Updated Demand'!A:Z,16,FALSE))</f>
        <v>0</v>
      </c>
      <c r="Z70" s="16">
        <f>IF(ISERROR(VLOOKUP($A70,'13. Updated Demand'!A:Z,17,FALSE)),0,VLOOKUP($A70,'13. Updated Demand'!A:Z,17,FALSE))</f>
        <v>0</v>
      </c>
      <c r="AA70" s="16">
        <f>IF(ISERROR(VLOOKUP($A70,'13. Updated Demand'!A:Z,18,FALSE)),0,VLOOKUP($A70,'13. Updated Demand'!A:Z,18,FALSE))</f>
        <v>0.33</v>
      </c>
      <c r="AB70" s="16">
        <f>IF(ISERROR(VLOOKUP($A70,'13. Updated Demand'!A:Z,19,FALSE)),0,VLOOKUP($A70,'13. Updated Demand'!A:Z,19,FALSE))</f>
        <v>0</v>
      </c>
      <c r="AC70" s="16">
        <f>IF(ISERROR(VLOOKUP($A70,'13. Updated Demand'!A:Z,20,FALSE)),0,VLOOKUP($A70,'13. Updated Demand'!A:Z,20,FALSE))</f>
        <v>0</v>
      </c>
      <c r="AD70" s="16">
        <f>IF(ISERROR(VLOOKUP($A70,'13. Updated Demand'!A:Z,21,FALSE)),0,VLOOKUP($A70,'13. Updated Demand'!A:Z,21,FALSE))</f>
        <v>0</v>
      </c>
      <c r="AE70" s="16">
        <f>IF(ISERROR(VLOOKUP($A70,'13. Updated Demand'!A:Z,22,FALSE)),0,VLOOKUP($A70,'13. Updated Demand'!A:Z,22,FALSE))</f>
        <v>0</v>
      </c>
      <c r="AF70" s="16">
        <f>IF(ISERROR(VLOOKUP($A70,'13. Updated Demand'!A:Z,23,FALSE)),0,VLOOKUP($A70,'13. Updated Demand'!A:Z,23,FALSE))</f>
        <v>0</v>
      </c>
      <c r="AG70" s="16">
        <f>IF(ISERROR(VLOOKUP($A70,'13. Updated Demand'!A:Z,24,FALSE)),0,VLOOKUP($A70,'13. Updated Demand'!A:Z,24,FALSE))</f>
        <v>0</v>
      </c>
      <c r="AH70" s="16">
        <f>IF(ISERROR(VLOOKUP($A70,'13. Updated Demand'!A:Z,25,FALSE)),0,VLOOKUP($A70,'13. Updated Demand'!A:Z,25,FALSE))</f>
        <v>0.18</v>
      </c>
      <c r="AI70" s="16">
        <f>IF(ISERROR(VLOOKUP($A70,'13. Updated Demand'!A:Z,26,FALSE)),0,VLOOKUP($A70,'13. Updated Demand'!A:Z,26,FALSE))</f>
        <v>0.33</v>
      </c>
      <c r="AJ70" s="16">
        <f t="shared" si="12"/>
        <v>0.99</v>
      </c>
      <c r="AK70" s="19">
        <v>0</v>
      </c>
      <c r="AL70" s="16">
        <f t="shared" si="22"/>
        <v>0</v>
      </c>
      <c r="AM70" s="17">
        <v>0.50166666650000002</v>
      </c>
      <c r="AN70" s="19"/>
      <c r="AO70" s="19"/>
      <c r="AP70" s="19">
        <v>2</v>
      </c>
      <c r="AQ70" s="19" t="s">
        <v>307</v>
      </c>
      <c r="AR70" s="9" t="s">
        <v>409</v>
      </c>
      <c r="AS70" s="12">
        <v>0</v>
      </c>
      <c r="AT70" s="19">
        <v>38.773273979999999</v>
      </c>
      <c r="AU70" s="19">
        <v>-122.91656942</v>
      </c>
      <c r="AV70" s="19" t="s">
        <v>385</v>
      </c>
    </row>
    <row r="71" spans="1:48" x14ac:dyDescent="0.25">
      <c r="A71" s="18" t="s">
        <v>410</v>
      </c>
      <c r="B71" s="10">
        <v>20150625</v>
      </c>
      <c r="C71" s="9">
        <v>18</v>
      </c>
      <c r="D71" s="8" t="str">
        <f t="shared" si="13"/>
        <v>N</v>
      </c>
      <c r="E71" s="8" t="str">
        <f t="shared" si="14"/>
        <v>N</v>
      </c>
      <c r="F71" s="8" t="str">
        <f t="shared" si="15"/>
        <v>N</v>
      </c>
      <c r="G71" s="8" t="str">
        <f t="shared" si="16"/>
        <v>N</v>
      </c>
      <c r="H71" s="8" t="str">
        <f t="shared" si="17"/>
        <v>Lower</v>
      </c>
      <c r="I71" s="8" t="str">
        <f t="shared" si="18"/>
        <v>Outside</v>
      </c>
      <c r="J71" s="8" t="str">
        <f t="shared" si="19"/>
        <v>Outside</v>
      </c>
      <c r="K71" s="8" t="str">
        <f t="shared" si="20"/>
        <v>Post-1949</v>
      </c>
      <c r="L71" s="8">
        <f t="shared" si="21"/>
        <v>2015</v>
      </c>
      <c r="M71" s="8" t="str">
        <f t="shared" si="23"/>
        <v>1991-present</v>
      </c>
      <c r="N71" s="10" t="s">
        <v>242</v>
      </c>
      <c r="O71" s="10" t="s">
        <v>242</v>
      </c>
      <c r="P71" s="10" t="s">
        <v>242</v>
      </c>
      <c r="Q71" s="10" t="s">
        <v>242</v>
      </c>
      <c r="R71" s="10" t="s">
        <v>241</v>
      </c>
      <c r="S71" s="10" t="s">
        <v>242</v>
      </c>
      <c r="T71" s="10" t="s">
        <v>242</v>
      </c>
      <c r="U71" s="10" t="s">
        <v>242</v>
      </c>
      <c r="V71" s="10" t="s">
        <v>242</v>
      </c>
      <c r="W71" s="10" t="s">
        <v>242</v>
      </c>
      <c r="X71" s="15">
        <f>IF(ISERROR(VLOOKUP($A71,'13. Updated Demand'!A:Z,15,FALSE)),0,VLOOKUP($A71,'13. Updated Demand'!A:Z,15,FALSE))</f>
        <v>0</v>
      </c>
      <c r="Y71" s="16">
        <f>IF(ISERROR(VLOOKUP($A71,'13. Updated Demand'!A:Z,16,FALSE)),0,VLOOKUP($A71,'13. Updated Demand'!A:Z,16,FALSE))</f>
        <v>0</v>
      </c>
      <c r="Z71" s="16">
        <f>IF(ISERROR(VLOOKUP($A71,'13. Updated Demand'!A:Z,17,FALSE)),0,VLOOKUP($A71,'13. Updated Demand'!A:Z,17,FALSE))</f>
        <v>1.4577E-2</v>
      </c>
      <c r="AA71" s="16">
        <f>IF(ISERROR(VLOOKUP($A71,'13. Updated Demand'!A:Z,18,FALSE)),0,VLOOKUP($A71,'13. Updated Demand'!A:Z,18,FALSE))</f>
        <v>0</v>
      </c>
      <c r="AB71" s="16">
        <f>IF(ISERROR(VLOOKUP($A71,'13. Updated Demand'!A:Z,19,FALSE)),0,VLOOKUP($A71,'13. Updated Demand'!A:Z,19,FALSE))</f>
        <v>1.15085E-2</v>
      </c>
      <c r="AC71" s="16">
        <f>IF(ISERROR(VLOOKUP($A71,'13. Updated Demand'!A:Z,20,FALSE)),0,VLOOKUP($A71,'13. Updated Demand'!A:Z,20,FALSE))</f>
        <v>0</v>
      </c>
      <c r="AD71" s="16">
        <f>IF(ISERROR(VLOOKUP($A71,'13. Updated Demand'!A:Z,21,FALSE)),0,VLOOKUP($A71,'13. Updated Demand'!A:Z,21,FALSE))</f>
        <v>0</v>
      </c>
      <c r="AE71" s="16">
        <f>IF(ISERROR(VLOOKUP($A71,'13. Updated Demand'!A:Z,22,FALSE)),0,VLOOKUP($A71,'13. Updated Demand'!A:Z,22,FALSE))</f>
        <v>0</v>
      </c>
      <c r="AF71" s="16">
        <f>IF(ISERROR(VLOOKUP($A71,'13. Updated Demand'!A:Z,23,FALSE)),0,VLOOKUP($A71,'13. Updated Demand'!A:Z,23,FALSE))</f>
        <v>0</v>
      </c>
      <c r="AG71" s="16">
        <f>IF(ISERROR(VLOOKUP($A71,'13. Updated Demand'!A:Z,24,FALSE)),0,VLOOKUP($A71,'13. Updated Demand'!A:Z,24,FALSE))</f>
        <v>0</v>
      </c>
      <c r="AH71" s="16">
        <f>IF(ISERROR(VLOOKUP($A71,'13. Updated Demand'!A:Z,25,FALSE)),0,VLOOKUP($A71,'13. Updated Demand'!A:Z,25,FALSE))</f>
        <v>1.0741499999999999E-2</v>
      </c>
      <c r="AI71" s="16">
        <f>IF(ISERROR(VLOOKUP($A71,'13. Updated Demand'!A:Z,26,FALSE)),0,VLOOKUP($A71,'13. Updated Demand'!A:Z,26,FALSE))</f>
        <v>9.2069999999999999E-3</v>
      </c>
      <c r="AJ71" s="16">
        <f t="shared" si="12"/>
        <v>4.6033999999999999E-2</v>
      </c>
      <c r="AK71" s="19">
        <v>1.15085E-2</v>
      </c>
      <c r="AL71" s="16">
        <f t="shared" si="22"/>
        <v>3.8172383558657362E-5</v>
      </c>
      <c r="AM71" s="17">
        <v>4.6033999999999999E-2</v>
      </c>
      <c r="AN71" s="19"/>
      <c r="AO71" s="19"/>
      <c r="AP71" s="19">
        <v>1</v>
      </c>
      <c r="AQ71" s="19" t="s">
        <v>307</v>
      </c>
      <c r="AR71" s="9" t="s">
        <v>352</v>
      </c>
      <c r="AS71" s="12">
        <v>3.4039024194010059E-4</v>
      </c>
      <c r="AT71" s="19">
        <v>38.415300000000002</v>
      </c>
      <c r="AU71" s="19">
        <v>-122.9181</v>
      </c>
      <c r="AV71" s="19" t="s">
        <v>411</v>
      </c>
    </row>
    <row r="72" spans="1:48" x14ac:dyDescent="0.25">
      <c r="A72" s="18" t="s">
        <v>412</v>
      </c>
      <c r="B72" s="10">
        <v>20150128</v>
      </c>
      <c r="C72" s="9">
        <v>1</v>
      </c>
      <c r="D72" s="8" t="str">
        <f t="shared" si="13"/>
        <v>N</v>
      </c>
      <c r="E72" s="8" t="str">
        <f t="shared" si="14"/>
        <v>N</v>
      </c>
      <c r="F72" s="8" t="str">
        <f t="shared" si="15"/>
        <v>Y</v>
      </c>
      <c r="G72" s="8" t="str">
        <f t="shared" si="16"/>
        <v>Y</v>
      </c>
      <c r="H72" s="8" t="str">
        <f t="shared" si="17"/>
        <v>Upper</v>
      </c>
      <c r="I72" s="8" t="str">
        <f t="shared" si="18"/>
        <v>West Fork and Below Lake</v>
      </c>
      <c r="J72" s="8" t="str">
        <f t="shared" si="19"/>
        <v>Outside</v>
      </c>
      <c r="K72" s="8" t="str">
        <f t="shared" si="20"/>
        <v>Post-1949</v>
      </c>
      <c r="L72" s="8">
        <f t="shared" si="21"/>
        <v>2015</v>
      </c>
      <c r="M72" s="8" t="str">
        <f t="shared" si="23"/>
        <v>1991-present</v>
      </c>
      <c r="N72" s="10" t="s">
        <v>242</v>
      </c>
      <c r="O72" s="10" t="s">
        <v>241</v>
      </c>
      <c r="P72" s="10" t="s">
        <v>242</v>
      </c>
      <c r="Q72" s="10" t="s">
        <v>242</v>
      </c>
      <c r="R72" s="10" t="s">
        <v>241</v>
      </c>
      <c r="S72" s="10" t="s">
        <v>242</v>
      </c>
      <c r="T72" s="10" t="s">
        <v>242</v>
      </c>
      <c r="U72" s="10" t="s">
        <v>242</v>
      </c>
      <c r="V72" s="10" t="s">
        <v>241</v>
      </c>
      <c r="W72" s="10" t="s">
        <v>242</v>
      </c>
      <c r="X72" s="15">
        <f>IF(ISERROR(VLOOKUP($A72,'13. Updated Demand'!A:Z,15,FALSE)),0,VLOOKUP($A72,'13. Updated Demand'!A:Z,15,FALSE))</f>
        <v>3.31</v>
      </c>
      <c r="Y72" s="16">
        <f>IF(ISERROR(VLOOKUP($A72,'13. Updated Demand'!A:Z,16,FALSE)),0,VLOOKUP($A72,'13. Updated Demand'!A:Z,16,FALSE))</f>
        <v>3.68</v>
      </c>
      <c r="Z72" s="16">
        <f>IF(ISERROR(VLOOKUP($A72,'13. Updated Demand'!A:Z,17,FALSE)),0,VLOOKUP($A72,'13. Updated Demand'!A:Z,17,FALSE))</f>
        <v>2.85</v>
      </c>
      <c r="AA72" s="16">
        <f>IF(ISERROR(VLOOKUP($A72,'13. Updated Demand'!A:Z,18,FALSE)),0,VLOOKUP($A72,'13. Updated Demand'!A:Z,18,FALSE))</f>
        <v>2.2000000000000002</v>
      </c>
      <c r="AB72" s="16">
        <f>IF(ISERROR(VLOOKUP($A72,'13. Updated Demand'!A:Z,19,FALSE)),0,VLOOKUP($A72,'13. Updated Demand'!A:Z,19,FALSE))</f>
        <v>0</v>
      </c>
      <c r="AC72" s="16">
        <f>IF(ISERROR(VLOOKUP($A72,'13. Updated Demand'!A:Z,20,FALSE)),0,VLOOKUP($A72,'13. Updated Demand'!A:Z,20,FALSE))</f>
        <v>0</v>
      </c>
      <c r="AD72" s="16">
        <f>IF(ISERROR(VLOOKUP($A72,'13. Updated Demand'!A:Z,21,FALSE)),0,VLOOKUP($A72,'13. Updated Demand'!A:Z,21,FALSE))</f>
        <v>0</v>
      </c>
      <c r="AE72" s="16">
        <f>IF(ISERROR(VLOOKUP($A72,'13. Updated Demand'!A:Z,22,FALSE)),0,VLOOKUP($A72,'13. Updated Demand'!A:Z,22,FALSE))</f>
        <v>0</v>
      </c>
      <c r="AF72" s="16">
        <f>IF(ISERROR(VLOOKUP($A72,'13. Updated Demand'!A:Z,23,FALSE)),0,VLOOKUP($A72,'13. Updated Demand'!A:Z,23,FALSE))</f>
        <v>0</v>
      </c>
      <c r="AG72" s="16">
        <f>IF(ISERROR(VLOOKUP($A72,'13. Updated Demand'!A:Z,24,FALSE)),0,VLOOKUP($A72,'13. Updated Demand'!A:Z,24,FALSE))</f>
        <v>0</v>
      </c>
      <c r="AH72" s="16">
        <f>IF(ISERROR(VLOOKUP($A72,'13. Updated Demand'!A:Z,25,FALSE)),0,VLOOKUP($A72,'13. Updated Demand'!A:Z,25,FALSE))</f>
        <v>0</v>
      </c>
      <c r="AI72" s="16">
        <f>IF(ISERROR(VLOOKUP($A72,'13. Updated Demand'!A:Z,26,FALSE)),0,VLOOKUP($A72,'13. Updated Demand'!A:Z,26,FALSE))</f>
        <v>0</v>
      </c>
      <c r="AJ72" s="16">
        <f t="shared" si="12"/>
        <v>12.04</v>
      </c>
      <c r="AK72" s="19">
        <v>0</v>
      </c>
      <c r="AL72" s="16">
        <f t="shared" si="22"/>
        <v>0</v>
      </c>
      <c r="AM72" s="17">
        <v>0.60266666665000002</v>
      </c>
      <c r="AN72" s="19"/>
      <c r="AO72" s="19"/>
      <c r="AP72" s="19">
        <v>20</v>
      </c>
      <c r="AQ72" s="19" t="s">
        <v>307</v>
      </c>
      <c r="AR72" s="9" t="s">
        <v>317</v>
      </c>
      <c r="AS72" s="12">
        <v>0</v>
      </c>
      <c r="AT72" s="19">
        <v>39.250999999999998</v>
      </c>
      <c r="AU72" s="19">
        <v>-123.2033</v>
      </c>
      <c r="AV72" s="19"/>
    </row>
    <row r="73" spans="1:48" x14ac:dyDescent="0.25">
      <c r="A73" s="18" t="s">
        <v>413</v>
      </c>
      <c r="B73" s="10">
        <v>20150130</v>
      </c>
      <c r="C73" s="9">
        <v>22</v>
      </c>
      <c r="D73" s="8" t="str">
        <f t="shared" si="13"/>
        <v>N</v>
      </c>
      <c r="E73" s="8" t="str">
        <f t="shared" si="14"/>
        <v>N</v>
      </c>
      <c r="F73" s="8" t="str">
        <f t="shared" si="15"/>
        <v>N</v>
      </c>
      <c r="G73" s="8" t="str">
        <f t="shared" si="16"/>
        <v>N</v>
      </c>
      <c r="H73" s="8" t="str">
        <f t="shared" si="17"/>
        <v>Lower</v>
      </c>
      <c r="I73" s="8" t="str">
        <f t="shared" si="18"/>
        <v>Outside</v>
      </c>
      <c r="J73" s="8" t="str">
        <f t="shared" si="19"/>
        <v>Outside</v>
      </c>
      <c r="K73" s="8" t="str">
        <f t="shared" si="20"/>
        <v>Post-1949</v>
      </c>
      <c r="L73" s="8">
        <f t="shared" si="21"/>
        <v>2015</v>
      </c>
      <c r="M73" s="8" t="str">
        <f t="shared" si="23"/>
        <v>1991-present</v>
      </c>
      <c r="N73" s="10" t="s">
        <v>242</v>
      </c>
      <c r="O73" s="10" t="s">
        <v>242</v>
      </c>
      <c r="P73" s="10" t="s">
        <v>242</v>
      </c>
      <c r="Q73" s="10" t="s">
        <v>242</v>
      </c>
      <c r="R73" s="10" t="s">
        <v>241</v>
      </c>
      <c r="S73" s="10" t="s">
        <v>242</v>
      </c>
      <c r="T73" s="10" t="s">
        <v>242</v>
      </c>
      <c r="U73" s="10" t="s">
        <v>242</v>
      </c>
      <c r="V73" s="10" t="s">
        <v>241</v>
      </c>
      <c r="W73" s="10" t="s">
        <v>242</v>
      </c>
      <c r="X73" s="15">
        <f>IF(ISERROR(VLOOKUP($A73,'13. Updated Demand'!A:Z,15,FALSE)),0,VLOOKUP($A73,'13. Updated Demand'!A:Z,15,FALSE))</f>
        <v>10.93333333</v>
      </c>
      <c r="Y73" s="16">
        <f>IF(ISERROR(VLOOKUP($A73,'13. Updated Demand'!A:Z,16,FALSE)),0,VLOOKUP($A73,'13. Updated Demand'!A:Z,16,FALSE))</f>
        <v>0</v>
      </c>
      <c r="Z73" s="16">
        <f>IF(ISERROR(VLOOKUP($A73,'13. Updated Demand'!A:Z,17,FALSE)),0,VLOOKUP($A73,'13. Updated Demand'!A:Z,17,FALSE))</f>
        <v>0</v>
      </c>
      <c r="AA73" s="16">
        <f>IF(ISERROR(VLOOKUP($A73,'13. Updated Demand'!A:Z,18,FALSE)),0,VLOOKUP($A73,'13. Updated Demand'!A:Z,18,FALSE))</f>
        <v>0</v>
      </c>
      <c r="AB73" s="16">
        <f>IF(ISERROR(VLOOKUP($A73,'13. Updated Demand'!A:Z,19,FALSE)),0,VLOOKUP($A73,'13. Updated Demand'!A:Z,19,FALSE))</f>
        <v>0</v>
      </c>
      <c r="AC73" s="16">
        <f>IF(ISERROR(VLOOKUP($A73,'13. Updated Demand'!A:Z,20,FALSE)),0,VLOOKUP($A73,'13. Updated Demand'!A:Z,20,FALSE))</f>
        <v>0</v>
      </c>
      <c r="AD73" s="16">
        <f>IF(ISERROR(VLOOKUP($A73,'13. Updated Demand'!A:Z,21,FALSE)),0,VLOOKUP($A73,'13. Updated Demand'!A:Z,21,FALSE))</f>
        <v>0</v>
      </c>
      <c r="AE73" s="16">
        <f>IF(ISERROR(VLOOKUP($A73,'13. Updated Demand'!A:Z,22,FALSE)),0,VLOOKUP($A73,'13. Updated Demand'!A:Z,22,FALSE))</f>
        <v>0</v>
      </c>
      <c r="AF73" s="16">
        <f>IF(ISERROR(VLOOKUP($A73,'13. Updated Demand'!A:Z,23,FALSE)),0,VLOOKUP($A73,'13. Updated Demand'!A:Z,23,FALSE))</f>
        <v>0</v>
      </c>
      <c r="AG73" s="16">
        <f>IF(ISERROR(VLOOKUP($A73,'13. Updated Demand'!A:Z,24,FALSE)),0,VLOOKUP($A73,'13. Updated Demand'!A:Z,24,FALSE))</f>
        <v>0</v>
      </c>
      <c r="AH73" s="16">
        <f>IF(ISERROR(VLOOKUP($A73,'13. Updated Demand'!A:Z,25,FALSE)),0,VLOOKUP($A73,'13. Updated Demand'!A:Z,25,FALSE))</f>
        <v>0</v>
      </c>
      <c r="AI73" s="16">
        <f>IF(ISERROR(VLOOKUP($A73,'13. Updated Demand'!A:Z,26,FALSE)),0,VLOOKUP($A73,'13. Updated Demand'!A:Z,26,FALSE))</f>
        <v>0</v>
      </c>
      <c r="AJ73" s="16">
        <f t="shared" si="12"/>
        <v>10.93333333</v>
      </c>
      <c r="AK73" s="19">
        <v>0</v>
      </c>
      <c r="AL73" s="16">
        <f t="shared" si="22"/>
        <v>0</v>
      </c>
      <c r="AM73" s="17">
        <v>0.66666666646341466</v>
      </c>
      <c r="AN73" s="19"/>
      <c r="AO73" s="19"/>
      <c r="AP73" s="19">
        <v>16.399999999999999</v>
      </c>
      <c r="AQ73" s="19" t="s">
        <v>307</v>
      </c>
      <c r="AR73" s="9" t="s">
        <v>314</v>
      </c>
      <c r="AS73" s="12">
        <v>0</v>
      </c>
      <c r="AT73" s="19">
        <v>38.930900000000001</v>
      </c>
      <c r="AU73" s="19">
        <v>-123.21</v>
      </c>
      <c r="AV73" s="19" t="s">
        <v>414</v>
      </c>
    </row>
    <row r="74" spans="1:48" x14ac:dyDescent="0.25">
      <c r="A74" s="18" t="s">
        <v>415</v>
      </c>
      <c r="B74" s="10">
        <v>20150216</v>
      </c>
      <c r="C74" s="9">
        <v>5</v>
      </c>
      <c r="D74" s="8" t="str">
        <f t="shared" si="13"/>
        <v>Y</v>
      </c>
      <c r="E74" s="8" t="str">
        <f t="shared" si="14"/>
        <v>N</v>
      </c>
      <c r="F74" s="8" t="str">
        <f t="shared" si="15"/>
        <v>Y</v>
      </c>
      <c r="G74" s="8" t="str">
        <f t="shared" si="16"/>
        <v>Y</v>
      </c>
      <c r="H74" s="8" t="str">
        <f t="shared" si="17"/>
        <v>Upper</v>
      </c>
      <c r="I74" s="8" t="str">
        <f t="shared" si="18"/>
        <v>West Fork and Below Lake</v>
      </c>
      <c r="J74" s="8" t="str">
        <f t="shared" si="19"/>
        <v>Mendocino (d/s of lake)</v>
      </c>
      <c r="K74" s="8" t="str">
        <f t="shared" si="20"/>
        <v>Post-1949</v>
      </c>
      <c r="L74" s="8">
        <f t="shared" si="21"/>
        <v>2015</v>
      </c>
      <c r="M74" s="8" t="str">
        <f t="shared" si="23"/>
        <v>1991-present</v>
      </c>
      <c r="N74" s="10" t="s">
        <v>242</v>
      </c>
      <c r="O74" s="10" t="s">
        <v>241</v>
      </c>
      <c r="P74" s="10" t="s">
        <v>242</v>
      </c>
      <c r="Q74" s="10" t="s">
        <v>242</v>
      </c>
      <c r="R74" s="10" t="s">
        <v>241</v>
      </c>
      <c r="S74" s="10" t="s">
        <v>242</v>
      </c>
      <c r="T74" s="10" t="s">
        <v>242</v>
      </c>
      <c r="U74" s="10" t="s">
        <v>242</v>
      </c>
      <c r="V74" s="10" t="s">
        <v>241</v>
      </c>
      <c r="W74" s="10" t="s">
        <v>242</v>
      </c>
      <c r="X74" s="15">
        <f>IF(ISERROR(VLOOKUP($A74,'13. Updated Demand'!A:Z,15,FALSE)),0,VLOOKUP($A74,'13. Updated Demand'!A:Z,15,FALSE))</f>
        <v>1</v>
      </c>
      <c r="Y74" s="16">
        <f>IF(ISERROR(VLOOKUP($A74,'13. Updated Demand'!A:Z,16,FALSE)),0,VLOOKUP($A74,'13. Updated Demand'!A:Z,16,FALSE))</f>
        <v>0</v>
      </c>
      <c r="Z74" s="16">
        <f>IF(ISERROR(VLOOKUP($A74,'13. Updated Demand'!A:Z,17,FALSE)),0,VLOOKUP($A74,'13. Updated Demand'!A:Z,17,FALSE))</f>
        <v>0</v>
      </c>
      <c r="AA74" s="16">
        <f>IF(ISERROR(VLOOKUP($A74,'13. Updated Demand'!A:Z,18,FALSE)),0,VLOOKUP($A74,'13. Updated Demand'!A:Z,18,FALSE))</f>
        <v>0</v>
      </c>
      <c r="AB74" s="16">
        <f>IF(ISERROR(VLOOKUP($A74,'13. Updated Demand'!A:Z,19,FALSE)),0,VLOOKUP($A74,'13. Updated Demand'!A:Z,19,FALSE))</f>
        <v>0</v>
      </c>
      <c r="AC74" s="16">
        <f>IF(ISERROR(VLOOKUP($A74,'13. Updated Demand'!A:Z,20,FALSE)),0,VLOOKUP($A74,'13. Updated Demand'!A:Z,20,FALSE))</f>
        <v>0</v>
      </c>
      <c r="AD74" s="16">
        <f>IF(ISERROR(VLOOKUP($A74,'13. Updated Demand'!A:Z,21,FALSE)),0,VLOOKUP($A74,'13. Updated Demand'!A:Z,21,FALSE))</f>
        <v>0</v>
      </c>
      <c r="AE74" s="16">
        <f>IF(ISERROR(VLOOKUP($A74,'13. Updated Demand'!A:Z,22,FALSE)),0,VLOOKUP($A74,'13. Updated Demand'!A:Z,22,FALSE))</f>
        <v>0</v>
      </c>
      <c r="AF74" s="16">
        <f>IF(ISERROR(VLOOKUP($A74,'13. Updated Demand'!A:Z,23,FALSE)),0,VLOOKUP($A74,'13. Updated Demand'!A:Z,23,FALSE))</f>
        <v>0</v>
      </c>
      <c r="AG74" s="16">
        <f>IF(ISERROR(VLOOKUP($A74,'13. Updated Demand'!A:Z,24,FALSE)),0,VLOOKUP($A74,'13. Updated Demand'!A:Z,24,FALSE))</f>
        <v>0</v>
      </c>
      <c r="AH74" s="16">
        <f>IF(ISERROR(VLOOKUP($A74,'13. Updated Demand'!A:Z,25,FALSE)),0,VLOOKUP($A74,'13. Updated Demand'!A:Z,25,FALSE))</f>
        <v>0</v>
      </c>
      <c r="AI74" s="16">
        <f>IF(ISERROR(VLOOKUP($A74,'13. Updated Demand'!A:Z,26,FALSE)),0,VLOOKUP($A74,'13. Updated Demand'!A:Z,26,FALSE))</f>
        <v>0</v>
      </c>
      <c r="AJ74" s="16">
        <f t="shared" si="12"/>
        <v>1</v>
      </c>
      <c r="AK74" s="19">
        <v>0</v>
      </c>
      <c r="AL74" s="16">
        <f t="shared" si="22"/>
        <v>0</v>
      </c>
      <c r="AM74" s="17">
        <v>0.2040816326530612</v>
      </c>
      <c r="AN74" s="19"/>
      <c r="AO74" s="19"/>
      <c r="AP74" s="19">
        <v>4.9000000000000004</v>
      </c>
      <c r="AQ74" s="19" t="s">
        <v>307</v>
      </c>
      <c r="AR74" s="9" t="s">
        <v>333</v>
      </c>
      <c r="AS74" s="12">
        <v>0</v>
      </c>
      <c r="AT74" s="19">
        <v>39.11</v>
      </c>
      <c r="AU74" s="19">
        <v>-123.20440000000001</v>
      </c>
      <c r="AV74" s="19" t="s">
        <v>414</v>
      </c>
    </row>
    <row r="75" spans="1:48" x14ac:dyDescent="0.25">
      <c r="A75" s="18" t="s">
        <v>416</v>
      </c>
      <c r="B75" s="10">
        <v>20150324</v>
      </c>
      <c r="C75" s="9">
        <v>1</v>
      </c>
      <c r="D75" s="8" t="str">
        <f t="shared" si="13"/>
        <v>N</v>
      </c>
      <c r="E75" s="8" t="str">
        <f t="shared" si="14"/>
        <v>N</v>
      </c>
      <c r="F75" s="8" t="str">
        <f t="shared" si="15"/>
        <v>Y</v>
      </c>
      <c r="G75" s="8" t="str">
        <f t="shared" si="16"/>
        <v>Y</v>
      </c>
      <c r="H75" s="8" t="str">
        <f t="shared" si="17"/>
        <v>Upper</v>
      </c>
      <c r="I75" s="8" t="str">
        <f t="shared" si="18"/>
        <v>West Fork and Below Lake</v>
      </c>
      <c r="J75" s="8" t="str">
        <f t="shared" si="19"/>
        <v>Outside</v>
      </c>
      <c r="K75" s="8" t="str">
        <f t="shared" si="20"/>
        <v>Post-1949</v>
      </c>
      <c r="L75" s="8">
        <f t="shared" si="21"/>
        <v>2015</v>
      </c>
      <c r="M75" s="8" t="str">
        <f t="shared" si="23"/>
        <v>1991-present</v>
      </c>
      <c r="N75" s="10" t="s">
        <v>242</v>
      </c>
      <c r="O75" s="10" t="s">
        <v>241</v>
      </c>
      <c r="P75" s="10" t="s">
        <v>242</v>
      </c>
      <c r="Q75" s="10" t="s">
        <v>242</v>
      </c>
      <c r="R75" s="10" t="s">
        <v>241</v>
      </c>
      <c r="S75" s="10" t="s">
        <v>242</v>
      </c>
      <c r="T75" s="10" t="s">
        <v>242</v>
      </c>
      <c r="U75" s="10" t="s">
        <v>241</v>
      </c>
      <c r="V75" s="10" t="s">
        <v>241</v>
      </c>
      <c r="W75" s="10" t="s">
        <v>242</v>
      </c>
      <c r="X75" s="15">
        <f>IF(ISERROR(VLOOKUP($A75,'13. Updated Demand'!A:Z,15,FALSE)),0,VLOOKUP($A75,'13. Updated Demand'!A:Z,15,FALSE))</f>
        <v>0</v>
      </c>
      <c r="Y75" s="16">
        <f>IF(ISERROR(VLOOKUP($A75,'13. Updated Demand'!A:Z,16,FALSE)),0,VLOOKUP($A75,'13. Updated Demand'!A:Z,16,FALSE))</f>
        <v>0</v>
      </c>
      <c r="Z75" s="16">
        <f>IF(ISERROR(VLOOKUP($A75,'13. Updated Demand'!A:Z,17,FALSE)),0,VLOOKUP($A75,'13. Updated Demand'!A:Z,17,FALSE))</f>
        <v>0</v>
      </c>
      <c r="AA75" s="16">
        <f>IF(ISERROR(VLOOKUP($A75,'13. Updated Demand'!A:Z,18,FALSE)),0,VLOOKUP($A75,'13. Updated Demand'!A:Z,18,FALSE))</f>
        <v>0</v>
      </c>
      <c r="AB75" s="16">
        <f>IF(ISERROR(VLOOKUP($A75,'13. Updated Demand'!A:Z,19,FALSE)),0,VLOOKUP($A75,'13. Updated Demand'!A:Z,19,FALSE))</f>
        <v>0</v>
      </c>
      <c r="AC75" s="16">
        <f>IF(ISERROR(VLOOKUP($A75,'13. Updated Demand'!A:Z,20,FALSE)),0,VLOOKUP($A75,'13. Updated Demand'!A:Z,20,FALSE))</f>
        <v>0</v>
      </c>
      <c r="AD75" s="16">
        <f>IF(ISERROR(VLOOKUP($A75,'13. Updated Demand'!A:Z,21,FALSE)),0,VLOOKUP($A75,'13. Updated Demand'!A:Z,21,FALSE))</f>
        <v>0</v>
      </c>
      <c r="AE75" s="16">
        <f>IF(ISERROR(VLOOKUP($A75,'13. Updated Demand'!A:Z,22,FALSE)),0,VLOOKUP($A75,'13. Updated Demand'!A:Z,22,FALSE))</f>
        <v>0</v>
      </c>
      <c r="AF75" s="16">
        <f>IF(ISERROR(VLOOKUP($A75,'13. Updated Demand'!A:Z,23,FALSE)),0,VLOOKUP($A75,'13. Updated Demand'!A:Z,23,FALSE))</f>
        <v>0</v>
      </c>
      <c r="AG75" s="16">
        <f>IF(ISERROR(VLOOKUP($A75,'13. Updated Demand'!A:Z,24,FALSE)),0,VLOOKUP($A75,'13. Updated Demand'!A:Z,24,FALSE))</f>
        <v>0</v>
      </c>
      <c r="AH75" s="16">
        <f>IF(ISERROR(VLOOKUP($A75,'13. Updated Demand'!A:Z,25,FALSE)),0,VLOOKUP($A75,'13. Updated Demand'!A:Z,25,FALSE))</f>
        <v>0</v>
      </c>
      <c r="AI75" s="16">
        <f>IF(ISERROR(VLOOKUP($A75,'13. Updated Demand'!A:Z,26,FALSE)),0,VLOOKUP($A75,'13. Updated Demand'!A:Z,26,FALSE))</f>
        <v>0</v>
      </c>
      <c r="AJ75" s="16">
        <f t="shared" si="12"/>
        <v>0</v>
      </c>
      <c r="AK75" s="19">
        <v>0</v>
      </c>
      <c r="AL75" s="16">
        <f t="shared" si="22"/>
        <v>0</v>
      </c>
      <c r="AM75" s="17">
        <v>0</v>
      </c>
      <c r="AN75" s="19"/>
      <c r="AO75" s="19"/>
      <c r="AP75" s="19">
        <v>0</v>
      </c>
      <c r="AQ75" s="19" t="s">
        <v>307</v>
      </c>
      <c r="AR75" s="9" t="s">
        <v>317</v>
      </c>
      <c r="AS75" s="12">
        <v>0</v>
      </c>
      <c r="AT75" s="19">
        <v>39.307600000000001</v>
      </c>
      <c r="AU75" s="19">
        <v>-123.20650000000001</v>
      </c>
      <c r="AV75" s="19" t="s">
        <v>417</v>
      </c>
    </row>
    <row r="76" spans="1:48" x14ac:dyDescent="0.25">
      <c r="A76" s="18" t="s">
        <v>418</v>
      </c>
      <c r="B76" s="10">
        <v>20150721</v>
      </c>
      <c r="C76" s="9">
        <v>16</v>
      </c>
      <c r="D76" s="8" t="str">
        <f t="shared" si="13"/>
        <v>N</v>
      </c>
      <c r="E76" s="8" t="str">
        <f t="shared" si="14"/>
        <v>N</v>
      </c>
      <c r="F76" s="8" t="str">
        <f t="shared" si="15"/>
        <v>N</v>
      </c>
      <c r="G76" s="8" t="str">
        <f t="shared" si="16"/>
        <v>N</v>
      </c>
      <c r="H76" s="8" t="str">
        <f t="shared" si="17"/>
        <v>Lower</v>
      </c>
      <c r="I76" s="8" t="str">
        <f t="shared" si="18"/>
        <v>Outside</v>
      </c>
      <c r="J76" s="8" t="str">
        <f t="shared" si="19"/>
        <v>Outside</v>
      </c>
      <c r="K76" s="8" t="str">
        <f t="shared" si="20"/>
        <v>Post-1949</v>
      </c>
      <c r="L76" s="8">
        <f t="shared" si="21"/>
        <v>2015</v>
      </c>
      <c r="M76" s="8" t="str">
        <f t="shared" si="23"/>
        <v>1991-present</v>
      </c>
      <c r="N76" s="10" t="s">
        <v>242</v>
      </c>
      <c r="O76" s="10" t="s">
        <v>242</v>
      </c>
      <c r="P76" s="10" t="s">
        <v>242</v>
      </c>
      <c r="Q76" s="10" t="s">
        <v>242</v>
      </c>
      <c r="R76" s="10" t="s">
        <v>241</v>
      </c>
      <c r="S76" s="10" t="s">
        <v>242</v>
      </c>
      <c r="T76" s="10" t="s">
        <v>241</v>
      </c>
      <c r="U76" s="10" t="s">
        <v>241</v>
      </c>
      <c r="V76" s="10" t="s">
        <v>241</v>
      </c>
      <c r="W76" s="10" t="s">
        <v>242</v>
      </c>
      <c r="X76" s="15">
        <f>IF(ISERROR(VLOOKUP($A76,'13. Updated Demand'!A:Z,15,FALSE)),0,VLOOKUP($A76,'13. Updated Demand'!A:Z,15,FALSE))</f>
        <v>0</v>
      </c>
      <c r="Y76" s="16">
        <f>IF(ISERROR(VLOOKUP($A76,'13. Updated Demand'!A:Z,16,FALSE)),0,VLOOKUP($A76,'13. Updated Demand'!A:Z,16,FALSE))</f>
        <v>0</v>
      </c>
      <c r="Z76" s="16">
        <f>IF(ISERROR(VLOOKUP($A76,'13. Updated Demand'!A:Z,17,FALSE)),0,VLOOKUP($A76,'13. Updated Demand'!A:Z,17,FALSE))</f>
        <v>0</v>
      </c>
      <c r="AA76" s="16">
        <f>IF(ISERROR(VLOOKUP($A76,'13. Updated Demand'!A:Z,18,FALSE)),0,VLOOKUP($A76,'13. Updated Demand'!A:Z,18,FALSE))</f>
        <v>0</v>
      </c>
      <c r="AB76" s="16">
        <f>IF(ISERROR(VLOOKUP($A76,'13. Updated Demand'!A:Z,19,FALSE)),0,VLOOKUP($A76,'13. Updated Demand'!A:Z,19,FALSE))</f>
        <v>0</v>
      </c>
      <c r="AC76" s="16">
        <f>IF(ISERROR(VLOOKUP($A76,'13. Updated Demand'!A:Z,20,FALSE)),0,VLOOKUP($A76,'13. Updated Demand'!A:Z,20,FALSE))</f>
        <v>0</v>
      </c>
      <c r="AD76" s="16">
        <f>IF(ISERROR(VLOOKUP($A76,'13. Updated Demand'!A:Z,21,FALSE)),0,VLOOKUP($A76,'13. Updated Demand'!A:Z,21,FALSE))</f>
        <v>0</v>
      </c>
      <c r="AE76" s="16">
        <f>IF(ISERROR(VLOOKUP($A76,'13. Updated Demand'!A:Z,22,FALSE)),0,VLOOKUP($A76,'13. Updated Demand'!A:Z,22,FALSE))</f>
        <v>0</v>
      </c>
      <c r="AF76" s="16">
        <f>IF(ISERROR(VLOOKUP($A76,'13. Updated Demand'!A:Z,23,FALSE)),0,VLOOKUP($A76,'13. Updated Demand'!A:Z,23,FALSE))</f>
        <v>0</v>
      </c>
      <c r="AG76" s="16">
        <f>IF(ISERROR(VLOOKUP($A76,'13. Updated Demand'!A:Z,24,FALSE)),0,VLOOKUP($A76,'13. Updated Demand'!A:Z,24,FALSE))</f>
        <v>0</v>
      </c>
      <c r="AH76" s="16">
        <f>IF(ISERROR(VLOOKUP($A76,'13. Updated Demand'!A:Z,25,FALSE)),0,VLOOKUP($A76,'13. Updated Demand'!A:Z,25,FALSE))</f>
        <v>0</v>
      </c>
      <c r="AI76" s="16">
        <f>IF(ISERROR(VLOOKUP($A76,'13. Updated Demand'!A:Z,26,FALSE)),0,VLOOKUP($A76,'13. Updated Demand'!A:Z,26,FALSE))</f>
        <v>0</v>
      </c>
      <c r="AJ76" s="16">
        <f t="shared" si="12"/>
        <v>0</v>
      </c>
      <c r="AK76" s="19">
        <v>0</v>
      </c>
      <c r="AL76" s="16">
        <f t="shared" si="22"/>
        <v>0</v>
      </c>
      <c r="AM76" s="17">
        <v>0</v>
      </c>
      <c r="AN76" s="19"/>
      <c r="AO76" s="19"/>
      <c r="AP76" s="19">
        <v>12.53</v>
      </c>
      <c r="AQ76" s="19" t="s">
        <v>307</v>
      </c>
      <c r="AR76" s="9" t="s">
        <v>394</v>
      </c>
      <c r="AS76" s="12">
        <v>3.4039024194010059E-4</v>
      </c>
      <c r="AT76" s="19">
        <v>38.623480000000001</v>
      </c>
      <c r="AU76" s="19">
        <v>-122.95836</v>
      </c>
      <c r="AV76" s="19" t="s">
        <v>419</v>
      </c>
    </row>
    <row r="77" spans="1:48" x14ac:dyDescent="0.25">
      <c r="A77" s="18" t="s">
        <v>420</v>
      </c>
      <c r="B77" s="10">
        <v>20140520</v>
      </c>
      <c r="C77" s="9">
        <v>12</v>
      </c>
      <c r="D77" s="8" t="str">
        <f t="shared" si="13"/>
        <v>N</v>
      </c>
      <c r="E77" s="8" t="str">
        <f t="shared" si="14"/>
        <v>Y</v>
      </c>
      <c r="F77" s="8" t="str">
        <f t="shared" si="15"/>
        <v>Y</v>
      </c>
      <c r="G77" s="8" t="str">
        <f t="shared" si="16"/>
        <v>Y</v>
      </c>
      <c r="H77" s="8" t="str">
        <f t="shared" si="17"/>
        <v>Upper</v>
      </c>
      <c r="I77" s="8" t="str">
        <f t="shared" si="18"/>
        <v>West Fork and Below Lake</v>
      </c>
      <c r="J77" s="8" t="str">
        <f t="shared" si="19"/>
        <v>Sonoma (d/s of Clov. Gage)</v>
      </c>
      <c r="K77" s="8" t="str">
        <f t="shared" si="20"/>
        <v>Post-1949</v>
      </c>
      <c r="L77" s="8">
        <f t="shared" si="21"/>
        <v>2014</v>
      </c>
      <c r="M77" s="8" t="str">
        <f t="shared" si="23"/>
        <v>1991-present</v>
      </c>
      <c r="N77" s="10" t="s">
        <v>242</v>
      </c>
      <c r="O77" s="10" t="s">
        <v>241</v>
      </c>
      <c r="P77" s="10" t="s">
        <v>242</v>
      </c>
      <c r="Q77" s="10" t="s">
        <v>242</v>
      </c>
      <c r="R77" s="10" t="s">
        <v>241</v>
      </c>
      <c r="S77" s="10" t="s">
        <v>242</v>
      </c>
      <c r="T77" s="10" t="s">
        <v>241</v>
      </c>
      <c r="U77" s="10" t="s">
        <v>241</v>
      </c>
      <c r="V77" s="10" t="s">
        <v>241</v>
      </c>
      <c r="W77" s="10" t="s">
        <v>242</v>
      </c>
      <c r="X77" s="15">
        <f>IF(ISERROR(VLOOKUP($A77,'13. Updated Demand'!A:Z,15,FALSE)),0,VLOOKUP($A77,'13. Updated Demand'!A:Z,15,FALSE))</f>
        <v>0</v>
      </c>
      <c r="Y77" s="16">
        <f>IF(ISERROR(VLOOKUP($A77,'13. Updated Demand'!A:Z,16,FALSE)),0,VLOOKUP($A77,'13. Updated Demand'!A:Z,16,FALSE))</f>
        <v>0</v>
      </c>
      <c r="Z77" s="16">
        <f>IF(ISERROR(VLOOKUP($A77,'13. Updated Demand'!A:Z,17,FALSE)),0,VLOOKUP($A77,'13. Updated Demand'!A:Z,17,FALSE))</f>
        <v>0</v>
      </c>
      <c r="AA77" s="16">
        <f>IF(ISERROR(VLOOKUP($A77,'13. Updated Demand'!A:Z,18,FALSE)),0,VLOOKUP($A77,'13. Updated Demand'!A:Z,18,FALSE))</f>
        <v>0</v>
      </c>
      <c r="AB77" s="16">
        <f>IF(ISERROR(VLOOKUP($A77,'13. Updated Demand'!A:Z,19,FALSE)),0,VLOOKUP($A77,'13. Updated Demand'!A:Z,19,FALSE))</f>
        <v>0</v>
      </c>
      <c r="AC77" s="16">
        <f>IF(ISERROR(VLOOKUP($A77,'13. Updated Demand'!A:Z,20,FALSE)),0,VLOOKUP($A77,'13. Updated Demand'!A:Z,20,FALSE))</f>
        <v>0</v>
      </c>
      <c r="AD77" s="16">
        <f>IF(ISERROR(VLOOKUP($A77,'13. Updated Demand'!A:Z,21,FALSE)),0,VLOOKUP($A77,'13. Updated Demand'!A:Z,21,FALSE))</f>
        <v>0</v>
      </c>
      <c r="AE77" s="16">
        <f>IF(ISERROR(VLOOKUP($A77,'13. Updated Demand'!A:Z,22,FALSE)),0,VLOOKUP($A77,'13. Updated Demand'!A:Z,22,FALSE))</f>
        <v>0</v>
      </c>
      <c r="AF77" s="16">
        <f>IF(ISERROR(VLOOKUP($A77,'13. Updated Demand'!A:Z,23,FALSE)),0,VLOOKUP($A77,'13. Updated Demand'!A:Z,23,FALSE))</f>
        <v>0</v>
      </c>
      <c r="AG77" s="16">
        <f>IF(ISERROR(VLOOKUP($A77,'13. Updated Demand'!A:Z,24,FALSE)),0,VLOOKUP($A77,'13. Updated Demand'!A:Z,24,FALSE))</f>
        <v>0</v>
      </c>
      <c r="AH77" s="16">
        <f>IF(ISERROR(VLOOKUP($A77,'13. Updated Demand'!A:Z,25,FALSE)),0,VLOOKUP($A77,'13. Updated Demand'!A:Z,25,FALSE))</f>
        <v>0</v>
      </c>
      <c r="AI77" s="16">
        <f>IF(ISERROR(VLOOKUP($A77,'13. Updated Demand'!A:Z,26,FALSE)),0,VLOOKUP($A77,'13. Updated Demand'!A:Z,26,FALSE))</f>
        <v>0</v>
      </c>
      <c r="AJ77" s="16">
        <f t="shared" si="12"/>
        <v>0</v>
      </c>
      <c r="AK77" s="19">
        <v>0</v>
      </c>
      <c r="AL77" s="16">
        <f t="shared" si="22"/>
        <v>0</v>
      </c>
      <c r="AM77" s="17">
        <v>0</v>
      </c>
      <c r="AN77" s="19"/>
      <c r="AO77" s="19"/>
      <c r="AP77" s="19">
        <v>108</v>
      </c>
      <c r="AQ77" s="19" t="s">
        <v>307</v>
      </c>
      <c r="AR77" s="9" t="s">
        <v>311</v>
      </c>
      <c r="AS77" s="12">
        <v>0</v>
      </c>
      <c r="AT77" s="19">
        <v>38.626540409999997</v>
      </c>
      <c r="AU77" s="19">
        <v>-122.75054436000001</v>
      </c>
      <c r="AV77" s="19" t="s">
        <v>385</v>
      </c>
    </row>
    <row r="78" spans="1:48" x14ac:dyDescent="0.25">
      <c r="A78" s="18" t="s">
        <v>421</v>
      </c>
      <c r="B78" s="10">
        <v>20140106</v>
      </c>
      <c r="C78" s="9">
        <v>21</v>
      </c>
      <c r="D78" s="8" t="str">
        <f t="shared" si="13"/>
        <v>N</v>
      </c>
      <c r="E78" s="8" t="str">
        <f t="shared" si="14"/>
        <v>N</v>
      </c>
      <c r="F78" s="8" t="str">
        <f t="shared" si="15"/>
        <v>N</v>
      </c>
      <c r="G78" s="8" t="str">
        <f t="shared" si="16"/>
        <v>N</v>
      </c>
      <c r="H78" s="8" t="str">
        <f t="shared" si="17"/>
        <v>Lower</v>
      </c>
      <c r="I78" s="8" t="str">
        <f t="shared" si="18"/>
        <v>Outside</v>
      </c>
      <c r="J78" s="8" t="str">
        <f t="shared" si="19"/>
        <v>Outside</v>
      </c>
      <c r="K78" s="8" t="str">
        <f t="shared" si="20"/>
        <v>Post-1949</v>
      </c>
      <c r="L78" s="8">
        <f t="shared" si="21"/>
        <v>2014</v>
      </c>
      <c r="M78" s="8" t="str">
        <f t="shared" si="23"/>
        <v>1991-present</v>
      </c>
      <c r="N78" s="10" t="s">
        <v>242</v>
      </c>
      <c r="O78" s="10" t="s">
        <v>242</v>
      </c>
      <c r="P78" s="10" t="s">
        <v>242</v>
      </c>
      <c r="Q78" s="10" t="s">
        <v>242</v>
      </c>
      <c r="R78" s="10" t="s">
        <v>241</v>
      </c>
      <c r="S78" s="10" t="s">
        <v>242</v>
      </c>
      <c r="T78" s="10" t="s">
        <v>242</v>
      </c>
      <c r="U78" s="10" t="s">
        <v>241</v>
      </c>
      <c r="V78" s="10" t="s">
        <v>241</v>
      </c>
      <c r="W78" s="10" t="s">
        <v>242</v>
      </c>
      <c r="X78" s="15">
        <f>IF(ISERROR(VLOOKUP($A78,'13. Updated Demand'!A:Z,15,FALSE)),0,VLOOKUP($A78,'13. Updated Demand'!A:Z,15,FALSE))</f>
        <v>0</v>
      </c>
      <c r="Y78" s="16">
        <f>IF(ISERROR(VLOOKUP($A78,'13. Updated Demand'!A:Z,16,FALSE)),0,VLOOKUP($A78,'13. Updated Demand'!A:Z,16,FALSE))</f>
        <v>0</v>
      </c>
      <c r="Z78" s="16">
        <f>IF(ISERROR(VLOOKUP($A78,'13. Updated Demand'!A:Z,17,FALSE)),0,VLOOKUP($A78,'13. Updated Demand'!A:Z,17,FALSE))</f>
        <v>0</v>
      </c>
      <c r="AA78" s="16">
        <f>IF(ISERROR(VLOOKUP($A78,'13. Updated Demand'!A:Z,18,FALSE)),0,VLOOKUP($A78,'13. Updated Demand'!A:Z,18,FALSE))</f>
        <v>0</v>
      </c>
      <c r="AB78" s="16">
        <f>IF(ISERROR(VLOOKUP($A78,'13. Updated Demand'!A:Z,19,FALSE)),0,VLOOKUP($A78,'13. Updated Demand'!A:Z,19,FALSE))</f>
        <v>0</v>
      </c>
      <c r="AC78" s="16">
        <f>IF(ISERROR(VLOOKUP($A78,'13. Updated Demand'!A:Z,20,FALSE)),0,VLOOKUP($A78,'13. Updated Demand'!A:Z,20,FALSE))</f>
        <v>0</v>
      </c>
      <c r="AD78" s="16">
        <f>IF(ISERROR(VLOOKUP($A78,'13. Updated Demand'!A:Z,21,FALSE)),0,VLOOKUP($A78,'13. Updated Demand'!A:Z,21,FALSE))</f>
        <v>0</v>
      </c>
      <c r="AE78" s="16">
        <f>IF(ISERROR(VLOOKUP($A78,'13. Updated Demand'!A:Z,22,FALSE)),0,VLOOKUP($A78,'13. Updated Demand'!A:Z,22,FALSE))</f>
        <v>0</v>
      </c>
      <c r="AF78" s="16">
        <f>IF(ISERROR(VLOOKUP($A78,'13. Updated Demand'!A:Z,23,FALSE)),0,VLOOKUP($A78,'13. Updated Demand'!A:Z,23,FALSE))</f>
        <v>0</v>
      </c>
      <c r="AG78" s="16">
        <f>IF(ISERROR(VLOOKUP($A78,'13. Updated Demand'!A:Z,24,FALSE)),0,VLOOKUP($A78,'13. Updated Demand'!A:Z,24,FALSE))</f>
        <v>0</v>
      </c>
      <c r="AH78" s="16">
        <f>IF(ISERROR(VLOOKUP($A78,'13. Updated Demand'!A:Z,25,FALSE)),0,VLOOKUP($A78,'13. Updated Demand'!A:Z,25,FALSE))</f>
        <v>0</v>
      </c>
      <c r="AI78" s="16">
        <f>IF(ISERROR(VLOOKUP($A78,'13. Updated Demand'!A:Z,26,FALSE)),0,VLOOKUP($A78,'13. Updated Demand'!A:Z,26,FALSE))</f>
        <v>0</v>
      </c>
      <c r="AJ78" s="16">
        <f t="shared" si="12"/>
        <v>0</v>
      </c>
      <c r="AK78" s="19">
        <v>0</v>
      </c>
      <c r="AL78" s="16">
        <f t="shared" si="22"/>
        <v>0</v>
      </c>
      <c r="AM78" s="17">
        <v>0</v>
      </c>
      <c r="AN78" s="19"/>
      <c r="AO78" s="19"/>
      <c r="AP78" s="19">
        <v>5</v>
      </c>
      <c r="AQ78" s="19" t="s">
        <v>307</v>
      </c>
      <c r="AR78" s="9" t="s">
        <v>403</v>
      </c>
      <c r="AS78" s="12">
        <v>3.4039024194010059E-4</v>
      </c>
      <c r="AT78" s="19">
        <v>38.440800000000003</v>
      </c>
      <c r="AU78" s="19">
        <v>-122.96769999999999</v>
      </c>
      <c r="AV78" s="19" t="s">
        <v>385</v>
      </c>
    </row>
    <row r="79" spans="1:48" x14ac:dyDescent="0.25">
      <c r="A79" s="18" t="s">
        <v>422</v>
      </c>
      <c r="B79" s="10">
        <v>20140131</v>
      </c>
      <c r="C79" s="9">
        <v>6</v>
      </c>
      <c r="D79" s="8" t="str">
        <f t="shared" si="13"/>
        <v>Y</v>
      </c>
      <c r="E79" s="8" t="str">
        <f t="shared" si="14"/>
        <v>N</v>
      </c>
      <c r="F79" s="8" t="str">
        <f t="shared" si="15"/>
        <v>Y</v>
      </c>
      <c r="G79" s="8" t="str">
        <f t="shared" si="16"/>
        <v>Y</v>
      </c>
      <c r="H79" s="8" t="str">
        <f t="shared" si="17"/>
        <v>Upper</v>
      </c>
      <c r="I79" s="8" t="str">
        <f t="shared" si="18"/>
        <v>West Fork and Below Lake</v>
      </c>
      <c r="J79" s="8" t="str">
        <f t="shared" si="19"/>
        <v>Mendocino (d/s of lake)</v>
      </c>
      <c r="K79" s="8" t="str">
        <f t="shared" si="20"/>
        <v>Post-1949</v>
      </c>
      <c r="L79" s="8">
        <f t="shared" si="21"/>
        <v>2014</v>
      </c>
      <c r="M79" s="8" t="str">
        <f t="shared" si="23"/>
        <v>1991-present</v>
      </c>
      <c r="N79" s="10" t="s">
        <v>242</v>
      </c>
      <c r="O79" s="10" t="s">
        <v>241</v>
      </c>
      <c r="P79" s="10" t="s">
        <v>242</v>
      </c>
      <c r="Q79" s="10" t="s">
        <v>242</v>
      </c>
      <c r="R79" s="10" t="s">
        <v>241</v>
      </c>
      <c r="S79" s="10" t="s">
        <v>242</v>
      </c>
      <c r="T79" s="10" t="s">
        <v>242</v>
      </c>
      <c r="U79" s="10" t="s">
        <v>242</v>
      </c>
      <c r="V79" s="10" t="s">
        <v>241</v>
      </c>
      <c r="W79" s="10" t="s">
        <v>242</v>
      </c>
      <c r="X79" s="15">
        <f>IF(ISERROR(VLOOKUP($A79,'13. Updated Demand'!A:Z,15,FALSE)),0,VLOOKUP($A79,'13. Updated Demand'!A:Z,15,FALSE))</f>
        <v>0.25</v>
      </c>
      <c r="Y79" s="16">
        <f>IF(ISERROR(VLOOKUP($A79,'13. Updated Demand'!A:Z,16,FALSE)),0,VLOOKUP($A79,'13. Updated Demand'!A:Z,16,FALSE))</f>
        <v>0.25</v>
      </c>
      <c r="Z79" s="16">
        <f>IF(ISERROR(VLOOKUP($A79,'13. Updated Demand'!A:Z,17,FALSE)),0,VLOOKUP($A79,'13. Updated Demand'!A:Z,17,FALSE))</f>
        <v>0.25</v>
      </c>
      <c r="AA79" s="16">
        <f>IF(ISERROR(VLOOKUP($A79,'13. Updated Demand'!A:Z,18,FALSE)),0,VLOOKUP($A79,'13. Updated Demand'!A:Z,18,FALSE))</f>
        <v>0.25</v>
      </c>
      <c r="AB79" s="16">
        <f>IF(ISERROR(VLOOKUP($A79,'13. Updated Demand'!A:Z,19,FALSE)),0,VLOOKUP($A79,'13. Updated Demand'!A:Z,19,FALSE))</f>
        <v>0</v>
      </c>
      <c r="AC79" s="16">
        <f>IF(ISERROR(VLOOKUP($A79,'13. Updated Demand'!A:Z,20,FALSE)),0,VLOOKUP($A79,'13. Updated Demand'!A:Z,20,FALSE))</f>
        <v>0</v>
      </c>
      <c r="AD79" s="16">
        <f>IF(ISERROR(VLOOKUP($A79,'13. Updated Demand'!A:Z,21,FALSE)),0,VLOOKUP($A79,'13. Updated Demand'!A:Z,21,FALSE))</f>
        <v>0</v>
      </c>
      <c r="AE79" s="16">
        <f>IF(ISERROR(VLOOKUP($A79,'13. Updated Demand'!A:Z,22,FALSE)),0,VLOOKUP($A79,'13. Updated Demand'!A:Z,22,FALSE))</f>
        <v>0</v>
      </c>
      <c r="AF79" s="16">
        <f>IF(ISERROR(VLOOKUP($A79,'13. Updated Demand'!A:Z,23,FALSE)),0,VLOOKUP($A79,'13. Updated Demand'!A:Z,23,FALSE))</f>
        <v>0</v>
      </c>
      <c r="AG79" s="16">
        <f>IF(ISERROR(VLOOKUP($A79,'13. Updated Demand'!A:Z,24,FALSE)),0,VLOOKUP($A79,'13. Updated Demand'!A:Z,24,FALSE))</f>
        <v>0</v>
      </c>
      <c r="AH79" s="16">
        <f>IF(ISERROR(VLOOKUP($A79,'13. Updated Demand'!A:Z,25,FALSE)),0,VLOOKUP($A79,'13. Updated Demand'!A:Z,25,FALSE))</f>
        <v>0.25</v>
      </c>
      <c r="AI79" s="16">
        <f>IF(ISERROR(VLOOKUP($A79,'13. Updated Demand'!A:Z,26,FALSE)),0,VLOOKUP($A79,'13. Updated Demand'!A:Z,26,FALSE))</f>
        <v>0.25</v>
      </c>
      <c r="AJ79" s="16">
        <f t="shared" si="12"/>
        <v>1.5</v>
      </c>
      <c r="AK79" s="19">
        <v>0</v>
      </c>
      <c r="AL79" s="16">
        <f t="shared" si="22"/>
        <v>0</v>
      </c>
      <c r="AM79" s="17">
        <v>0.19480519480519481</v>
      </c>
      <c r="AN79" s="19"/>
      <c r="AO79" s="19"/>
      <c r="AP79" s="19">
        <v>7.7</v>
      </c>
      <c r="AQ79" s="19" t="s">
        <v>307</v>
      </c>
      <c r="AR79" s="9" t="s">
        <v>319</v>
      </c>
      <c r="AS79" s="12">
        <v>0</v>
      </c>
      <c r="AT79" s="19">
        <v>38.943398080000001</v>
      </c>
      <c r="AU79" s="19">
        <v>-123.12881151000001</v>
      </c>
      <c r="AV79" s="19" t="s">
        <v>385</v>
      </c>
    </row>
    <row r="80" spans="1:48" x14ac:dyDescent="0.25">
      <c r="A80" s="18" t="s">
        <v>423</v>
      </c>
      <c r="B80" s="10">
        <v>20140508</v>
      </c>
      <c r="C80" s="9">
        <v>8</v>
      </c>
      <c r="D80" s="8" t="str">
        <f t="shared" si="13"/>
        <v>N</v>
      </c>
      <c r="E80" s="8" t="str">
        <f t="shared" si="14"/>
        <v>Y</v>
      </c>
      <c r="F80" s="8" t="str">
        <f t="shared" si="15"/>
        <v>Y</v>
      </c>
      <c r="G80" s="8" t="str">
        <f t="shared" si="16"/>
        <v>Y</v>
      </c>
      <c r="H80" s="8" t="str">
        <f t="shared" si="17"/>
        <v>Upper</v>
      </c>
      <c r="I80" s="8" t="str">
        <f t="shared" si="18"/>
        <v>West Fork and Below Lake</v>
      </c>
      <c r="J80" s="8" t="str">
        <f t="shared" si="19"/>
        <v>Sonoma (d/s of Clov. Gage)</v>
      </c>
      <c r="K80" s="8" t="str">
        <f t="shared" si="20"/>
        <v>Post-1949</v>
      </c>
      <c r="L80" s="8">
        <f t="shared" si="21"/>
        <v>2014</v>
      </c>
      <c r="M80" s="8" t="str">
        <f t="shared" si="23"/>
        <v>1991-present</v>
      </c>
      <c r="N80" s="10" t="s">
        <v>242</v>
      </c>
      <c r="O80" s="10" t="s">
        <v>241</v>
      </c>
      <c r="P80" s="10" t="s">
        <v>242</v>
      </c>
      <c r="Q80" s="10" t="s">
        <v>242</v>
      </c>
      <c r="R80" s="10" t="s">
        <v>241</v>
      </c>
      <c r="S80" s="10" t="s">
        <v>242</v>
      </c>
      <c r="T80" s="10" t="s">
        <v>242</v>
      </c>
      <c r="U80" s="10" t="s">
        <v>242</v>
      </c>
      <c r="V80" s="10" t="s">
        <v>241</v>
      </c>
      <c r="W80" s="10" t="s">
        <v>242</v>
      </c>
      <c r="X80" s="15">
        <f>IF(ISERROR(VLOOKUP($A80,'13. Updated Demand'!A:Z,15,FALSE)),0,VLOOKUP($A80,'13. Updated Demand'!A:Z,15,FALSE))</f>
        <v>1.1200000000000001</v>
      </c>
      <c r="Y80" s="16">
        <f>IF(ISERROR(VLOOKUP($A80,'13. Updated Demand'!A:Z,16,FALSE)),0,VLOOKUP($A80,'13. Updated Demand'!A:Z,16,FALSE))</f>
        <v>0.5</v>
      </c>
      <c r="Z80" s="16">
        <f>IF(ISERROR(VLOOKUP($A80,'13. Updated Demand'!A:Z,17,FALSE)),0,VLOOKUP($A80,'13. Updated Demand'!A:Z,17,FALSE))</f>
        <v>0.4</v>
      </c>
      <c r="AA80" s="16">
        <f>IF(ISERROR(VLOOKUP($A80,'13. Updated Demand'!A:Z,18,FALSE)),0,VLOOKUP($A80,'13. Updated Demand'!A:Z,18,FALSE))</f>
        <v>0</v>
      </c>
      <c r="AB80" s="16">
        <f>IF(ISERROR(VLOOKUP($A80,'13. Updated Demand'!A:Z,19,FALSE)),0,VLOOKUP($A80,'13. Updated Demand'!A:Z,19,FALSE))</f>
        <v>0</v>
      </c>
      <c r="AC80" s="16">
        <f>IF(ISERROR(VLOOKUP($A80,'13. Updated Demand'!A:Z,20,FALSE)),0,VLOOKUP($A80,'13. Updated Demand'!A:Z,20,FALSE))</f>
        <v>0</v>
      </c>
      <c r="AD80" s="16">
        <f>IF(ISERROR(VLOOKUP($A80,'13. Updated Demand'!A:Z,21,FALSE)),0,VLOOKUP($A80,'13. Updated Demand'!A:Z,21,FALSE))</f>
        <v>0</v>
      </c>
      <c r="AE80" s="16">
        <f>IF(ISERROR(VLOOKUP($A80,'13. Updated Demand'!A:Z,22,FALSE)),0,VLOOKUP($A80,'13. Updated Demand'!A:Z,22,FALSE))</f>
        <v>0</v>
      </c>
      <c r="AF80" s="16">
        <f>IF(ISERROR(VLOOKUP($A80,'13. Updated Demand'!A:Z,23,FALSE)),0,VLOOKUP($A80,'13. Updated Demand'!A:Z,23,FALSE))</f>
        <v>0</v>
      </c>
      <c r="AG80" s="16">
        <f>IF(ISERROR(VLOOKUP($A80,'13. Updated Demand'!A:Z,24,FALSE)),0,VLOOKUP($A80,'13. Updated Demand'!A:Z,24,FALSE))</f>
        <v>0</v>
      </c>
      <c r="AH80" s="16">
        <f>IF(ISERROR(VLOOKUP($A80,'13. Updated Demand'!A:Z,25,FALSE)),0,VLOOKUP($A80,'13. Updated Demand'!A:Z,25,FALSE))</f>
        <v>0</v>
      </c>
      <c r="AI80" s="16">
        <f>IF(ISERROR(VLOOKUP($A80,'13. Updated Demand'!A:Z,26,FALSE)),0,VLOOKUP($A80,'13. Updated Demand'!A:Z,26,FALSE))</f>
        <v>0</v>
      </c>
      <c r="AJ80" s="16">
        <f t="shared" ref="AJ80:AJ143" si="24">SUM(X80:AI80)</f>
        <v>2.02</v>
      </c>
      <c r="AK80" s="19">
        <v>0</v>
      </c>
      <c r="AL80" s="16">
        <f t="shared" si="22"/>
        <v>0</v>
      </c>
      <c r="AM80" s="17">
        <v>0.67499999999999993</v>
      </c>
      <c r="AN80" s="19"/>
      <c r="AO80" s="19"/>
      <c r="AP80" s="19">
        <v>3</v>
      </c>
      <c r="AQ80" s="19" t="s">
        <v>307</v>
      </c>
      <c r="AR80" s="9" t="s">
        <v>409</v>
      </c>
      <c r="AS80" s="12">
        <v>3.4039024194010059E-4</v>
      </c>
      <c r="AT80" s="19">
        <v>38.852272800000001</v>
      </c>
      <c r="AU80" s="19">
        <v>-122.95314035</v>
      </c>
      <c r="AV80" s="19" t="s">
        <v>315</v>
      </c>
    </row>
    <row r="81" spans="1:48" x14ac:dyDescent="0.25">
      <c r="A81" s="18" t="s">
        <v>424</v>
      </c>
      <c r="B81" s="10">
        <v>20140623</v>
      </c>
      <c r="C81" s="9">
        <v>18</v>
      </c>
      <c r="D81" s="8" t="str">
        <f t="shared" si="13"/>
        <v>N</v>
      </c>
      <c r="E81" s="8" t="str">
        <f t="shared" si="14"/>
        <v>N</v>
      </c>
      <c r="F81" s="8" t="str">
        <f t="shared" si="15"/>
        <v>N</v>
      </c>
      <c r="G81" s="8" t="str">
        <f t="shared" si="16"/>
        <v>N</v>
      </c>
      <c r="H81" s="8" t="str">
        <f t="shared" si="17"/>
        <v>Lower</v>
      </c>
      <c r="I81" s="8" t="str">
        <f t="shared" si="18"/>
        <v>Outside</v>
      </c>
      <c r="J81" s="8" t="str">
        <f t="shared" si="19"/>
        <v>Outside</v>
      </c>
      <c r="K81" s="8" t="str">
        <f t="shared" si="20"/>
        <v>Post-1949</v>
      </c>
      <c r="L81" s="8">
        <f t="shared" si="21"/>
        <v>2014</v>
      </c>
      <c r="M81" s="8" t="str">
        <f t="shared" si="23"/>
        <v>1991-present</v>
      </c>
      <c r="N81" s="10" t="s">
        <v>242</v>
      </c>
      <c r="O81" s="10" t="s">
        <v>242</v>
      </c>
      <c r="P81" s="10" t="s">
        <v>242</v>
      </c>
      <c r="Q81" s="10" t="s">
        <v>242</v>
      </c>
      <c r="R81" s="10" t="s">
        <v>241</v>
      </c>
      <c r="S81" s="10" t="s">
        <v>242</v>
      </c>
      <c r="T81" s="10" t="s">
        <v>242</v>
      </c>
      <c r="U81" s="10" t="s">
        <v>242</v>
      </c>
      <c r="V81" s="10" t="s">
        <v>242</v>
      </c>
      <c r="W81" s="10" t="s">
        <v>242</v>
      </c>
      <c r="X81" s="15">
        <f>IF(ISERROR(VLOOKUP($A81,'13. Updated Demand'!A:Z,15,FALSE)),0,VLOOKUP($A81,'13. Updated Demand'!A:Z,15,FALSE))</f>
        <v>1.8333333329999999</v>
      </c>
      <c r="Y81" s="16">
        <f>IF(ISERROR(VLOOKUP($A81,'13. Updated Demand'!A:Z,16,FALSE)),0,VLOOKUP($A81,'13. Updated Demand'!A:Z,16,FALSE))</f>
        <v>1.7</v>
      </c>
      <c r="Z81" s="16">
        <f>IF(ISERROR(VLOOKUP($A81,'13. Updated Demand'!A:Z,17,FALSE)),0,VLOOKUP($A81,'13. Updated Demand'!A:Z,17,FALSE))</f>
        <v>1.9666666669999999</v>
      </c>
      <c r="AA81" s="16">
        <f>IF(ISERROR(VLOOKUP($A81,'13. Updated Demand'!A:Z,18,FALSE)),0,VLOOKUP($A81,'13. Updated Demand'!A:Z,18,FALSE))</f>
        <v>0.86666666699999995</v>
      </c>
      <c r="AB81" s="16">
        <f>IF(ISERROR(VLOOKUP($A81,'13. Updated Demand'!A:Z,19,FALSE)),0,VLOOKUP($A81,'13. Updated Demand'!A:Z,19,FALSE))</f>
        <v>0.2</v>
      </c>
      <c r="AC81" s="16">
        <f>IF(ISERROR(VLOOKUP($A81,'13. Updated Demand'!A:Z,20,FALSE)),0,VLOOKUP($A81,'13. Updated Demand'!A:Z,20,FALSE))</f>
        <v>0</v>
      </c>
      <c r="AD81" s="16">
        <f>IF(ISERROR(VLOOKUP($A81,'13. Updated Demand'!A:Z,21,FALSE)),0,VLOOKUP($A81,'13. Updated Demand'!A:Z,21,FALSE))</f>
        <v>0</v>
      </c>
      <c r="AE81" s="16">
        <f>IF(ISERROR(VLOOKUP($A81,'13. Updated Demand'!A:Z,22,FALSE)),0,VLOOKUP($A81,'13. Updated Demand'!A:Z,22,FALSE))</f>
        <v>0</v>
      </c>
      <c r="AF81" s="16">
        <f>IF(ISERROR(VLOOKUP($A81,'13. Updated Demand'!A:Z,23,FALSE)),0,VLOOKUP($A81,'13. Updated Demand'!A:Z,23,FALSE))</f>
        <v>0</v>
      </c>
      <c r="AG81" s="16">
        <f>IF(ISERROR(VLOOKUP($A81,'13. Updated Demand'!A:Z,24,FALSE)),0,VLOOKUP($A81,'13. Updated Demand'!A:Z,24,FALSE))</f>
        <v>0</v>
      </c>
      <c r="AH81" s="16">
        <f>IF(ISERROR(VLOOKUP($A81,'13. Updated Demand'!A:Z,25,FALSE)),0,VLOOKUP($A81,'13. Updated Demand'!A:Z,25,FALSE))</f>
        <v>0.53333333299999997</v>
      </c>
      <c r="AI81" s="16">
        <f>IF(ISERROR(VLOOKUP($A81,'13. Updated Demand'!A:Z,26,FALSE)),0,VLOOKUP($A81,'13. Updated Demand'!A:Z,26,FALSE))</f>
        <v>1.0333333330000001</v>
      </c>
      <c r="AJ81" s="16">
        <f t="shared" si="24"/>
        <v>8.1333333329999995</v>
      </c>
      <c r="AK81" s="19">
        <v>0.2</v>
      </c>
      <c r="AL81" s="16">
        <f t="shared" si="22"/>
        <v>6.6337721785910179E-4</v>
      </c>
      <c r="AM81" s="17">
        <v>0.96825396821428567</v>
      </c>
      <c r="AN81" s="19"/>
      <c r="AO81" s="19"/>
      <c r="AP81" s="19">
        <v>8.4</v>
      </c>
      <c r="AQ81" s="19" t="s">
        <v>307</v>
      </c>
      <c r="AR81" s="9" t="s">
        <v>352</v>
      </c>
      <c r="AS81" s="12">
        <v>3.4039024194010059E-4</v>
      </c>
      <c r="AT81" s="19">
        <v>38.546990000000001</v>
      </c>
      <c r="AU81" s="19">
        <v>-122.94079000000001</v>
      </c>
      <c r="AV81" s="19" t="s">
        <v>385</v>
      </c>
    </row>
    <row r="82" spans="1:48" x14ac:dyDescent="0.25">
      <c r="A82" s="18" t="s">
        <v>425</v>
      </c>
      <c r="B82" s="10">
        <v>20141031</v>
      </c>
      <c r="C82" s="9">
        <v>6</v>
      </c>
      <c r="D82" s="8" t="str">
        <f t="shared" si="13"/>
        <v>Y</v>
      </c>
      <c r="E82" s="8" t="str">
        <f t="shared" si="14"/>
        <v>N</v>
      </c>
      <c r="F82" s="8" t="str">
        <f t="shared" si="15"/>
        <v>Y</v>
      </c>
      <c r="G82" s="8" t="str">
        <f t="shared" si="16"/>
        <v>Y</v>
      </c>
      <c r="H82" s="8" t="str">
        <f t="shared" si="17"/>
        <v>Upper</v>
      </c>
      <c r="I82" s="8" t="str">
        <f t="shared" si="18"/>
        <v>West Fork and Below Lake</v>
      </c>
      <c r="J82" s="8" t="str">
        <f t="shared" si="19"/>
        <v>Mendocino (d/s of lake)</v>
      </c>
      <c r="K82" s="8" t="str">
        <f t="shared" si="20"/>
        <v>Post-1949</v>
      </c>
      <c r="L82" s="8">
        <f t="shared" si="21"/>
        <v>2014</v>
      </c>
      <c r="M82" s="8" t="str">
        <f t="shared" si="23"/>
        <v>1991-present</v>
      </c>
      <c r="N82" s="10" t="s">
        <v>241</v>
      </c>
      <c r="O82" s="10" t="s">
        <v>241</v>
      </c>
      <c r="P82" s="10" t="s">
        <v>242</v>
      </c>
      <c r="Q82" s="10" t="s">
        <v>242</v>
      </c>
      <c r="R82" s="10" t="s">
        <v>241</v>
      </c>
      <c r="S82" s="10" t="s">
        <v>242</v>
      </c>
      <c r="T82" s="10" t="s">
        <v>241</v>
      </c>
      <c r="U82" s="10" t="s">
        <v>241</v>
      </c>
      <c r="V82" s="10" t="s">
        <v>241</v>
      </c>
      <c r="W82" s="10" t="s">
        <v>242</v>
      </c>
      <c r="X82" s="15">
        <f>IF(ISERROR(VLOOKUP($A82,'13. Updated Demand'!A:Z,15,FALSE)),0,VLOOKUP($A82,'13. Updated Demand'!A:Z,15,FALSE))</f>
        <v>0</v>
      </c>
      <c r="Y82" s="16">
        <f>IF(ISERROR(VLOOKUP($A82,'13. Updated Demand'!A:Z,16,FALSE)),0,VLOOKUP($A82,'13. Updated Demand'!A:Z,16,FALSE))</f>
        <v>0</v>
      </c>
      <c r="Z82" s="16">
        <f>IF(ISERROR(VLOOKUP($A82,'13. Updated Demand'!A:Z,17,FALSE)),0,VLOOKUP($A82,'13. Updated Demand'!A:Z,17,FALSE))</f>
        <v>0</v>
      </c>
      <c r="AA82" s="16">
        <f>IF(ISERROR(VLOOKUP($A82,'13. Updated Demand'!A:Z,18,FALSE)),0,VLOOKUP($A82,'13. Updated Demand'!A:Z,18,FALSE))</f>
        <v>0</v>
      </c>
      <c r="AB82" s="16">
        <f>IF(ISERROR(VLOOKUP($A82,'13. Updated Demand'!A:Z,19,FALSE)),0,VLOOKUP($A82,'13. Updated Demand'!A:Z,19,FALSE))</f>
        <v>0</v>
      </c>
      <c r="AC82" s="16">
        <f>IF(ISERROR(VLOOKUP($A82,'13. Updated Demand'!A:Z,20,FALSE)),0,VLOOKUP($A82,'13. Updated Demand'!A:Z,20,FALSE))</f>
        <v>0</v>
      </c>
      <c r="AD82" s="16">
        <f>IF(ISERROR(VLOOKUP($A82,'13. Updated Demand'!A:Z,21,FALSE)),0,VLOOKUP($A82,'13. Updated Demand'!A:Z,21,FALSE))</f>
        <v>0</v>
      </c>
      <c r="AE82" s="16">
        <f>IF(ISERROR(VLOOKUP($A82,'13. Updated Demand'!A:Z,22,FALSE)),0,VLOOKUP($A82,'13. Updated Demand'!A:Z,22,FALSE))</f>
        <v>0</v>
      </c>
      <c r="AF82" s="16">
        <f>IF(ISERROR(VLOOKUP($A82,'13. Updated Demand'!A:Z,23,FALSE)),0,VLOOKUP($A82,'13. Updated Demand'!A:Z,23,FALSE))</f>
        <v>0</v>
      </c>
      <c r="AG82" s="16">
        <f>IF(ISERROR(VLOOKUP($A82,'13. Updated Demand'!A:Z,24,FALSE)),0,VLOOKUP($A82,'13. Updated Demand'!A:Z,24,FALSE))</f>
        <v>0</v>
      </c>
      <c r="AH82" s="16">
        <f>IF(ISERROR(VLOOKUP($A82,'13. Updated Demand'!A:Z,25,FALSE)),0,VLOOKUP($A82,'13. Updated Demand'!A:Z,25,FALSE))</f>
        <v>0</v>
      </c>
      <c r="AI82" s="16">
        <f>IF(ISERROR(VLOOKUP($A82,'13. Updated Demand'!A:Z,26,FALSE)),0,VLOOKUP($A82,'13. Updated Demand'!A:Z,26,FALSE))</f>
        <v>0</v>
      </c>
      <c r="AJ82" s="16">
        <f t="shared" si="24"/>
        <v>0</v>
      </c>
      <c r="AK82" s="19">
        <v>0</v>
      </c>
      <c r="AL82" s="16">
        <f t="shared" si="22"/>
        <v>0</v>
      </c>
      <c r="AM82" s="17">
        <v>0</v>
      </c>
      <c r="AN82" s="19"/>
      <c r="AO82" s="19"/>
      <c r="AP82" s="19">
        <v>10</v>
      </c>
      <c r="AQ82" s="19" t="s">
        <v>307</v>
      </c>
      <c r="AR82" s="9" t="s">
        <v>319</v>
      </c>
      <c r="AS82" s="12">
        <v>0</v>
      </c>
      <c r="AT82" s="19">
        <v>39.016199999999998</v>
      </c>
      <c r="AU82" s="19">
        <v>-123.1194</v>
      </c>
      <c r="AV82" s="19" t="s">
        <v>385</v>
      </c>
    </row>
    <row r="83" spans="1:48" x14ac:dyDescent="0.25">
      <c r="A83" s="18" t="s">
        <v>426</v>
      </c>
      <c r="B83" s="10">
        <v>20141031</v>
      </c>
      <c r="C83" s="9">
        <v>6</v>
      </c>
      <c r="D83" s="8" t="str">
        <f t="shared" si="13"/>
        <v>Y</v>
      </c>
      <c r="E83" s="8" t="str">
        <f t="shared" si="14"/>
        <v>N</v>
      </c>
      <c r="F83" s="8" t="str">
        <f t="shared" si="15"/>
        <v>Y</v>
      </c>
      <c r="G83" s="8" t="str">
        <f t="shared" si="16"/>
        <v>Y</v>
      </c>
      <c r="H83" s="8" t="str">
        <f t="shared" si="17"/>
        <v>Upper</v>
      </c>
      <c r="I83" s="8" t="str">
        <f t="shared" si="18"/>
        <v>West Fork and Below Lake</v>
      </c>
      <c r="J83" s="8" t="str">
        <f t="shared" si="19"/>
        <v>Mendocino (d/s of lake)</v>
      </c>
      <c r="K83" s="8" t="str">
        <f t="shared" si="20"/>
        <v>Post-1949</v>
      </c>
      <c r="L83" s="8">
        <f t="shared" si="21"/>
        <v>2014</v>
      </c>
      <c r="M83" s="8" t="str">
        <f t="shared" si="23"/>
        <v>1991-present</v>
      </c>
      <c r="N83" s="10" t="s">
        <v>241</v>
      </c>
      <c r="O83" s="10" t="s">
        <v>241</v>
      </c>
      <c r="P83" s="10" t="s">
        <v>242</v>
      </c>
      <c r="Q83" s="10" t="s">
        <v>242</v>
      </c>
      <c r="R83" s="10" t="s">
        <v>241</v>
      </c>
      <c r="S83" s="10" t="s">
        <v>242</v>
      </c>
      <c r="T83" s="10" t="s">
        <v>242</v>
      </c>
      <c r="U83" s="10" t="s">
        <v>242</v>
      </c>
      <c r="V83" s="10" t="s">
        <v>241</v>
      </c>
      <c r="W83" s="10" t="s">
        <v>242</v>
      </c>
      <c r="X83" s="15">
        <f>IF(ISERROR(VLOOKUP($A83,'13. Updated Demand'!A:Z,15,FALSE)),0,VLOOKUP($A83,'13. Updated Demand'!A:Z,15,FALSE))</f>
        <v>0</v>
      </c>
      <c r="Y83" s="16">
        <f>IF(ISERROR(VLOOKUP($A83,'13. Updated Demand'!A:Z,16,FALSE)),0,VLOOKUP($A83,'13. Updated Demand'!A:Z,16,FALSE))</f>
        <v>0</v>
      </c>
      <c r="Z83" s="16">
        <f>IF(ISERROR(VLOOKUP($A83,'13. Updated Demand'!A:Z,17,FALSE)),0,VLOOKUP($A83,'13. Updated Demand'!A:Z,17,FALSE))</f>
        <v>0</v>
      </c>
      <c r="AA83" s="16">
        <f>IF(ISERROR(VLOOKUP($A83,'13. Updated Demand'!A:Z,18,FALSE)),0,VLOOKUP($A83,'13. Updated Demand'!A:Z,18,FALSE))</f>
        <v>0</v>
      </c>
      <c r="AB83" s="16">
        <f>IF(ISERROR(VLOOKUP($A83,'13. Updated Demand'!A:Z,19,FALSE)),0,VLOOKUP($A83,'13. Updated Demand'!A:Z,19,FALSE))</f>
        <v>0</v>
      </c>
      <c r="AC83" s="16">
        <f>IF(ISERROR(VLOOKUP($A83,'13. Updated Demand'!A:Z,20,FALSE)),0,VLOOKUP($A83,'13. Updated Demand'!A:Z,20,FALSE))</f>
        <v>0</v>
      </c>
      <c r="AD83" s="16">
        <f>IF(ISERROR(VLOOKUP($A83,'13. Updated Demand'!A:Z,21,FALSE)),0,VLOOKUP($A83,'13. Updated Demand'!A:Z,21,FALSE))</f>
        <v>0</v>
      </c>
      <c r="AE83" s="16">
        <f>IF(ISERROR(VLOOKUP($A83,'13. Updated Demand'!A:Z,22,FALSE)),0,VLOOKUP($A83,'13. Updated Demand'!A:Z,22,FALSE))</f>
        <v>0</v>
      </c>
      <c r="AF83" s="16">
        <f>IF(ISERROR(VLOOKUP($A83,'13. Updated Demand'!A:Z,23,FALSE)),0,VLOOKUP($A83,'13. Updated Demand'!A:Z,23,FALSE))</f>
        <v>0</v>
      </c>
      <c r="AG83" s="16">
        <f>IF(ISERROR(VLOOKUP($A83,'13. Updated Demand'!A:Z,24,FALSE)),0,VLOOKUP($A83,'13. Updated Demand'!A:Z,24,FALSE))</f>
        <v>0</v>
      </c>
      <c r="AH83" s="16">
        <f>IF(ISERROR(VLOOKUP($A83,'13. Updated Demand'!A:Z,25,FALSE)),0,VLOOKUP($A83,'13. Updated Demand'!A:Z,25,FALSE))</f>
        <v>1</v>
      </c>
      <c r="AI83" s="16">
        <f>IF(ISERROR(VLOOKUP($A83,'13. Updated Demand'!A:Z,26,FALSE)),0,VLOOKUP($A83,'13. Updated Demand'!A:Z,26,FALSE))</f>
        <v>0</v>
      </c>
      <c r="AJ83" s="16">
        <f t="shared" si="24"/>
        <v>1</v>
      </c>
      <c r="AK83" s="19">
        <v>0</v>
      </c>
      <c r="AL83" s="16">
        <f t="shared" si="22"/>
        <v>0</v>
      </c>
      <c r="AM83" s="17">
        <v>0.47846889952153115</v>
      </c>
      <c r="AN83" s="19"/>
      <c r="AO83" s="19"/>
      <c r="AP83" s="19">
        <v>2.09</v>
      </c>
      <c r="AQ83" s="19" t="s">
        <v>307</v>
      </c>
      <c r="AR83" s="9" t="s">
        <v>319</v>
      </c>
      <c r="AS83" s="12">
        <v>0</v>
      </c>
      <c r="AT83" s="19">
        <v>39.023899999999998</v>
      </c>
      <c r="AU83" s="19">
        <v>-123.125</v>
      </c>
      <c r="AV83" s="19" t="s">
        <v>385</v>
      </c>
    </row>
    <row r="84" spans="1:48" x14ac:dyDescent="0.25">
      <c r="A84" s="18" t="s">
        <v>427</v>
      </c>
      <c r="B84" s="10">
        <v>20141223</v>
      </c>
      <c r="C84" s="9">
        <v>20</v>
      </c>
      <c r="D84" s="8" t="str">
        <f t="shared" si="13"/>
        <v>N</v>
      </c>
      <c r="E84" s="8" t="str">
        <f t="shared" si="14"/>
        <v>N</v>
      </c>
      <c r="F84" s="8" t="str">
        <f t="shared" si="15"/>
        <v>N</v>
      </c>
      <c r="G84" s="8" t="str">
        <f t="shared" si="16"/>
        <v>N</v>
      </c>
      <c r="H84" s="8" t="str">
        <f t="shared" si="17"/>
        <v>Lower</v>
      </c>
      <c r="I84" s="8" t="str">
        <f t="shared" si="18"/>
        <v>Outside</v>
      </c>
      <c r="J84" s="8" t="str">
        <f t="shared" si="19"/>
        <v>Outside</v>
      </c>
      <c r="K84" s="8" t="str">
        <f t="shared" si="20"/>
        <v>Post-1949</v>
      </c>
      <c r="L84" s="8">
        <f t="shared" si="21"/>
        <v>2014</v>
      </c>
      <c r="M84" s="8" t="str">
        <f t="shared" si="23"/>
        <v>1991-present</v>
      </c>
      <c r="N84" s="10" t="s">
        <v>242</v>
      </c>
      <c r="O84" s="10" t="s">
        <v>242</v>
      </c>
      <c r="P84" s="10" t="s">
        <v>242</v>
      </c>
      <c r="Q84" s="10" t="s">
        <v>242</v>
      </c>
      <c r="R84" s="10" t="s">
        <v>241</v>
      </c>
      <c r="S84" s="10" t="s">
        <v>242</v>
      </c>
      <c r="T84" s="10" t="s">
        <v>242</v>
      </c>
      <c r="U84" s="10" t="s">
        <v>242</v>
      </c>
      <c r="V84" s="10" t="s">
        <v>242</v>
      </c>
      <c r="W84" s="10" t="s">
        <v>242</v>
      </c>
      <c r="X84" s="15">
        <f>IF(ISERROR(VLOOKUP($A84,'13. Updated Demand'!A:Z,15,FALSE)),0,VLOOKUP($A84,'13. Updated Demand'!A:Z,15,FALSE))</f>
        <v>7.4676669999999999E-3</v>
      </c>
      <c r="Y84" s="16">
        <f>IF(ISERROR(VLOOKUP($A84,'13. Updated Demand'!A:Z,16,FALSE)),0,VLOOKUP($A84,'13. Updated Demand'!A:Z,16,FALSE))</f>
        <v>7.4673329999999996E-3</v>
      </c>
      <c r="Z84" s="16">
        <f>IF(ISERROR(VLOOKUP($A84,'13. Updated Demand'!A:Z,17,FALSE)),0,VLOOKUP($A84,'13. Updated Demand'!A:Z,17,FALSE))</f>
        <v>1.1355000000000001E-2</v>
      </c>
      <c r="AA84" s="16">
        <f>IF(ISERROR(VLOOKUP($A84,'13. Updated Demand'!A:Z,18,FALSE)),0,VLOOKUP($A84,'13. Updated Demand'!A:Z,18,FALSE))</f>
        <v>1.0894333000000001E-2</v>
      </c>
      <c r="AB84" s="16">
        <f>IF(ISERROR(VLOOKUP($A84,'13. Updated Demand'!A:Z,19,FALSE)),0,VLOOKUP($A84,'13. Updated Demand'!A:Z,19,FALSE))</f>
        <v>1.4833333000000001E-2</v>
      </c>
      <c r="AC84" s="16">
        <f>IF(ISERROR(VLOOKUP($A84,'13. Updated Demand'!A:Z,20,FALSE)),0,VLOOKUP($A84,'13. Updated Demand'!A:Z,20,FALSE))</f>
        <v>1.5088667E-2</v>
      </c>
      <c r="AD84" s="16">
        <f>IF(ISERROR(VLOOKUP($A84,'13. Updated Demand'!A:Z,21,FALSE)),0,VLOOKUP($A84,'13. Updated Demand'!A:Z,21,FALSE))</f>
        <v>8.2039999999999995E-3</v>
      </c>
      <c r="AE84" s="16">
        <f>IF(ISERROR(VLOOKUP($A84,'13. Updated Demand'!A:Z,22,FALSE)),0,VLOOKUP($A84,'13. Updated Demand'!A:Z,22,FALSE))</f>
        <v>3.6316669999999999E-3</v>
      </c>
      <c r="AF84" s="16">
        <f>IF(ISERROR(VLOOKUP($A84,'13. Updated Demand'!A:Z,23,FALSE)),0,VLOOKUP($A84,'13. Updated Demand'!A:Z,23,FALSE))</f>
        <v>3.759667E-3</v>
      </c>
      <c r="AG84" s="16">
        <f>IF(ISERROR(VLOOKUP($A84,'13. Updated Demand'!A:Z,24,FALSE)),0,VLOOKUP($A84,'13. Updated Demand'!A:Z,24,FALSE))</f>
        <v>1.4142666999999999E-2</v>
      </c>
      <c r="AH84" s="16">
        <f>IF(ISERROR(VLOOKUP($A84,'13. Updated Demand'!A:Z,25,FALSE)),0,VLOOKUP($A84,'13. Updated Demand'!A:Z,25,FALSE))</f>
        <v>1.6878667E-2</v>
      </c>
      <c r="AI84" s="16">
        <f>IF(ISERROR(VLOOKUP($A84,'13. Updated Demand'!A:Z,26,FALSE)),0,VLOOKUP($A84,'13. Updated Demand'!A:Z,26,FALSE))</f>
        <v>9.2886670000000005E-3</v>
      </c>
      <c r="AJ84" s="16">
        <f t="shared" si="24"/>
        <v>0.123011668</v>
      </c>
      <c r="AK84" s="19">
        <v>4.5517334E-2</v>
      </c>
      <c r="AL84" s="16">
        <f t="shared" si="22"/>
        <v>1.5097581196641752E-4</v>
      </c>
      <c r="AM84" s="17">
        <v>0.94624359999999996</v>
      </c>
      <c r="AN84" s="19"/>
      <c r="AO84" s="19"/>
      <c r="AP84" s="19">
        <v>0.13</v>
      </c>
      <c r="AQ84" s="19" t="s">
        <v>307</v>
      </c>
      <c r="AR84" s="9" t="s">
        <v>329</v>
      </c>
      <c r="AS84" s="12">
        <v>3.4039024194010059E-4</v>
      </c>
      <c r="AT84" s="19">
        <v>38.527799999999999</v>
      </c>
      <c r="AU84" s="19">
        <v>-123.1379</v>
      </c>
      <c r="AV84" s="19" t="s">
        <v>428</v>
      </c>
    </row>
    <row r="85" spans="1:48" x14ac:dyDescent="0.25">
      <c r="A85" s="18" t="s">
        <v>429</v>
      </c>
      <c r="B85" s="10">
        <v>20140306</v>
      </c>
      <c r="C85" s="9">
        <v>4</v>
      </c>
      <c r="D85" s="8" t="str">
        <f t="shared" si="13"/>
        <v>Y</v>
      </c>
      <c r="E85" s="8" t="str">
        <f t="shared" si="14"/>
        <v>N</v>
      </c>
      <c r="F85" s="8" t="str">
        <f t="shared" si="15"/>
        <v>Y</v>
      </c>
      <c r="G85" s="8" t="str">
        <f t="shared" si="16"/>
        <v>Y</v>
      </c>
      <c r="H85" s="8" t="str">
        <f t="shared" si="17"/>
        <v>Upper</v>
      </c>
      <c r="I85" s="8" t="str">
        <f t="shared" si="18"/>
        <v>West Fork and Below Lake</v>
      </c>
      <c r="J85" s="8" t="str">
        <f t="shared" si="19"/>
        <v>Mendocino (d/s of lake)</v>
      </c>
      <c r="K85" s="8" t="str">
        <f t="shared" si="20"/>
        <v>Post-1949</v>
      </c>
      <c r="L85" s="8">
        <f t="shared" si="21"/>
        <v>2014</v>
      </c>
      <c r="M85" s="8" t="str">
        <f t="shared" si="23"/>
        <v>1991-present</v>
      </c>
      <c r="N85" s="10" t="s">
        <v>242</v>
      </c>
      <c r="O85" s="10" t="s">
        <v>241</v>
      </c>
      <c r="P85" s="10" t="s">
        <v>242</v>
      </c>
      <c r="Q85" s="10" t="s">
        <v>242</v>
      </c>
      <c r="R85" s="10" t="s">
        <v>241</v>
      </c>
      <c r="S85" s="10" t="s">
        <v>242</v>
      </c>
      <c r="T85" s="10" t="s">
        <v>242</v>
      </c>
      <c r="U85" s="10" t="s">
        <v>241</v>
      </c>
      <c r="V85" s="10" t="s">
        <v>241</v>
      </c>
      <c r="W85" s="10" t="s">
        <v>242</v>
      </c>
      <c r="X85" s="15">
        <f>IF(ISERROR(VLOOKUP($A85,'13. Updated Demand'!A:Z,15,FALSE)),0,VLOOKUP($A85,'13. Updated Demand'!A:Z,15,FALSE))</f>
        <v>0</v>
      </c>
      <c r="Y85" s="16">
        <f>IF(ISERROR(VLOOKUP($A85,'13. Updated Demand'!A:Z,16,FALSE)),0,VLOOKUP($A85,'13. Updated Demand'!A:Z,16,FALSE))</f>
        <v>0</v>
      </c>
      <c r="Z85" s="16">
        <f>IF(ISERROR(VLOOKUP($A85,'13. Updated Demand'!A:Z,17,FALSE)),0,VLOOKUP($A85,'13. Updated Demand'!A:Z,17,FALSE))</f>
        <v>0</v>
      </c>
      <c r="AA85" s="16">
        <f>IF(ISERROR(VLOOKUP($A85,'13. Updated Demand'!A:Z,18,FALSE)),0,VLOOKUP($A85,'13. Updated Demand'!A:Z,18,FALSE))</f>
        <v>0</v>
      </c>
      <c r="AB85" s="16">
        <f>IF(ISERROR(VLOOKUP($A85,'13. Updated Demand'!A:Z,19,FALSE)),0,VLOOKUP($A85,'13. Updated Demand'!A:Z,19,FALSE))</f>
        <v>0</v>
      </c>
      <c r="AC85" s="16">
        <f>IF(ISERROR(VLOOKUP($A85,'13. Updated Demand'!A:Z,20,FALSE)),0,VLOOKUP($A85,'13. Updated Demand'!A:Z,20,FALSE))</f>
        <v>0</v>
      </c>
      <c r="AD85" s="16">
        <f>IF(ISERROR(VLOOKUP($A85,'13. Updated Demand'!A:Z,21,FALSE)),0,VLOOKUP($A85,'13. Updated Demand'!A:Z,21,FALSE))</f>
        <v>0</v>
      </c>
      <c r="AE85" s="16">
        <f>IF(ISERROR(VLOOKUP($A85,'13. Updated Demand'!A:Z,22,FALSE)),0,VLOOKUP($A85,'13. Updated Demand'!A:Z,22,FALSE))</f>
        <v>0</v>
      </c>
      <c r="AF85" s="16">
        <f>IF(ISERROR(VLOOKUP($A85,'13. Updated Demand'!A:Z,23,FALSE)),0,VLOOKUP($A85,'13. Updated Demand'!A:Z,23,FALSE))</f>
        <v>0</v>
      </c>
      <c r="AG85" s="16">
        <f>IF(ISERROR(VLOOKUP($A85,'13. Updated Demand'!A:Z,24,FALSE)),0,VLOOKUP($A85,'13. Updated Demand'!A:Z,24,FALSE))</f>
        <v>0</v>
      </c>
      <c r="AH85" s="16">
        <f>IF(ISERROR(VLOOKUP($A85,'13. Updated Demand'!A:Z,25,FALSE)),0,VLOOKUP($A85,'13. Updated Demand'!A:Z,25,FALSE))</f>
        <v>0</v>
      </c>
      <c r="AI85" s="16">
        <f>IF(ISERROR(VLOOKUP($A85,'13. Updated Demand'!A:Z,26,FALSE)),0,VLOOKUP($A85,'13. Updated Demand'!A:Z,26,FALSE))</f>
        <v>0</v>
      </c>
      <c r="AJ85" s="16">
        <f t="shared" si="24"/>
        <v>0</v>
      </c>
      <c r="AK85" s="19">
        <v>0</v>
      </c>
      <c r="AL85" s="16">
        <f t="shared" si="22"/>
        <v>0</v>
      </c>
      <c r="AM85" s="17">
        <v>0</v>
      </c>
      <c r="AN85" s="19"/>
      <c r="AO85" s="19"/>
      <c r="AP85" s="19">
        <v>2.1</v>
      </c>
      <c r="AQ85" s="19" t="s">
        <v>307</v>
      </c>
      <c r="AR85" s="9" t="s">
        <v>331</v>
      </c>
      <c r="AS85" s="12">
        <v>0</v>
      </c>
      <c r="AT85" s="19">
        <v>39.198975910000001</v>
      </c>
      <c r="AU85" s="19">
        <v>-123.31837759</v>
      </c>
      <c r="AV85" s="19" t="s">
        <v>430</v>
      </c>
    </row>
    <row r="86" spans="1:48" x14ac:dyDescent="0.25">
      <c r="A86" s="18" t="s">
        <v>431</v>
      </c>
      <c r="B86" s="10">
        <v>20140710</v>
      </c>
      <c r="C86" s="9">
        <v>1</v>
      </c>
      <c r="D86" s="8" t="str">
        <f t="shared" si="13"/>
        <v>N</v>
      </c>
      <c r="E86" s="8" t="str">
        <f t="shared" si="14"/>
        <v>N</v>
      </c>
      <c r="F86" s="8" t="str">
        <f t="shared" si="15"/>
        <v>Y</v>
      </c>
      <c r="G86" s="8" t="str">
        <f t="shared" si="16"/>
        <v>Y</v>
      </c>
      <c r="H86" s="8" t="str">
        <f t="shared" si="17"/>
        <v>Upper</v>
      </c>
      <c r="I86" s="8" t="str">
        <f t="shared" si="18"/>
        <v>West Fork and Below Lake</v>
      </c>
      <c r="J86" s="8" t="str">
        <f t="shared" si="19"/>
        <v>Outside</v>
      </c>
      <c r="K86" s="8" t="str">
        <f t="shared" si="20"/>
        <v>Post-1949</v>
      </c>
      <c r="L86" s="8">
        <f t="shared" si="21"/>
        <v>2014</v>
      </c>
      <c r="M86" s="8" t="str">
        <f t="shared" si="23"/>
        <v>1991-present</v>
      </c>
      <c r="N86" s="10" t="s">
        <v>242</v>
      </c>
      <c r="O86" s="10" t="s">
        <v>241</v>
      </c>
      <c r="P86" s="10" t="s">
        <v>242</v>
      </c>
      <c r="Q86" s="10" t="s">
        <v>242</v>
      </c>
      <c r="R86" s="10" t="s">
        <v>241</v>
      </c>
      <c r="S86" s="10" t="s">
        <v>242</v>
      </c>
      <c r="T86" s="10" t="s">
        <v>242</v>
      </c>
      <c r="U86" s="10" t="s">
        <v>241</v>
      </c>
      <c r="V86" s="10" t="s">
        <v>241</v>
      </c>
      <c r="W86" s="10" t="s">
        <v>242</v>
      </c>
      <c r="X86" s="15">
        <f>IF(ISERROR(VLOOKUP($A86,'13. Updated Demand'!A:Z,15,FALSE)),0,VLOOKUP($A86,'13. Updated Demand'!A:Z,15,FALSE))</f>
        <v>0</v>
      </c>
      <c r="Y86" s="16">
        <f>IF(ISERROR(VLOOKUP($A86,'13. Updated Demand'!A:Z,16,FALSE)),0,VLOOKUP($A86,'13. Updated Demand'!A:Z,16,FALSE))</f>
        <v>0</v>
      </c>
      <c r="Z86" s="16">
        <f>IF(ISERROR(VLOOKUP($A86,'13. Updated Demand'!A:Z,17,FALSE)),0,VLOOKUP($A86,'13. Updated Demand'!A:Z,17,FALSE))</f>
        <v>0</v>
      </c>
      <c r="AA86" s="16">
        <f>IF(ISERROR(VLOOKUP($A86,'13. Updated Demand'!A:Z,18,FALSE)),0,VLOOKUP($A86,'13. Updated Demand'!A:Z,18,FALSE))</f>
        <v>0</v>
      </c>
      <c r="AB86" s="16">
        <f>IF(ISERROR(VLOOKUP($A86,'13. Updated Demand'!A:Z,19,FALSE)),0,VLOOKUP($A86,'13. Updated Demand'!A:Z,19,FALSE))</f>
        <v>0</v>
      </c>
      <c r="AC86" s="16">
        <f>IF(ISERROR(VLOOKUP($A86,'13. Updated Demand'!A:Z,20,FALSE)),0,VLOOKUP($A86,'13. Updated Demand'!A:Z,20,FALSE))</f>
        <v>0</v>
      </c>
      <c r="AD86" s="16">
        <f>IF(ISERROR(VLOOKUP($A86,'13. Updated Demand'!A:Z,21,FALSE)),0,VLOOKUP($A86,'13. Updated Demand'!A:Z,21,FALSE))</f>
        <v>0</v>
      </c>
      <c r="AE86" s="16">
        <f>IF(ISERROR(VLOOKUP($A86,'13. Updated Demand'!A:Z,22,FALSE)),0,VLOOKUP($A86,'13. Updated Demand'!A:Z,22,FALSE))</f>
        <v>0</v>
      </c>
      <c r="AF86" s="16">
        <f>IF(ISERROR(VLOOKUP($A86,'13. Updated Demand'!A:Z,23,FALSE)),0,VLOOKUP($A86,'13. Updated Demand'!A:Z,23,FALSE))</f>
        <v>0</v>
      </c>
      <c r="AG86" s="16">
        <f>IF(ISERROR(VLOOKUP($A86,'13. Updated Demand'!A:Z,24,FALSE)),0,VLOOKUP($A86,'13. Updated Demand'!A:Z,24,FALSE))</f>
        <v>0</v>
      </c>
      <c r="AH86" s="16">
        <f>IF(ISERROR(VLOOKUP($A86,'13. Updated Demand'!A:Z,25,FALSE)),0,VLOOKUP($A86,'13. Updated Demand'!A:Z,25,FALSE))</f>
        <v>0</v>
      </c>
      <c r="AI86" s="16">
        <f>IF(ISERROR(VLOOKUP($A86,'13. Updated Demand'!A:Z,26,FALSE)),0,VLOOKUP($A86,'13. Updated Demand'!A:Z,26,FALSE))</f>
        <v>0</v>
      </c>
      <c r="AJ86" s="16">
        <f t="shared" si="24"/>
        <v>0</v>
      </c>
      <c r="AK86" s="19">
        <v>0</v>
      </c>
      <c r="AL86" s="16">
        <f t="shared" si="22"/>
        <v>0</v>
      </c>
      <c r="AM86" s="17">
        <v>0</v>
      </c>
      <c r="AN86" s="19"/>
      <c r="AO86" s="19"/>
      <c r="AP86" s="19">
        <v>0.56000000000000005</v>
      </c>
      <c r="AQ86" s="19" t="s">
        <v>307</v>
      </c>
      <c r="AR86" s="9" t="s">
        <v>317</v>
      </c>
      <c r="AS86" s="12">
        <v>0</v>
      </c>
      <c r="AT86" s="19">
        <v>39.254258210000003</v>
      </c>
      <c r="AU86" s="19">
        <v>-123.2560898</v>
      </c>
      <c r="AV86" s="19" t="s">
        <v>385</v>
      </c>
    </row>
    <row r="87" spans="1:48" x14ac:dyDescent="0.25">
      <c r="A87" s="18" t="s">
        <v>432</v>
      </c>
      <c r="B87" s="10">
        <v>20140611</v>
      </c>
      <c r="C87" s="9">
        <v>2</v>
      </c>
      <c r="D87" s="8" t="str">
        <f t="shared" si="13"/>
        <v>N</v>
      </c>
      <c r="E87" s="8" t="str">
        <f t="shared" si="14"/>
        <v>N</v>
      </c>
      <c r="F87" s="8" t="str">
        <f t="shared" si="15"/>
        <v>Y</v>
      </c>
      <c r="G87" s="8" t="str">
        <f t="shared" si="16"/>
        <v>N</v>
      </c>
      <c r="H87" s="8" t="str">
        <f t="shared" si="17"/>
        <v>Upper</v>
      </c>
      <c r="I87" s="8" t="str">
        <f t="shared" si="18"/>
        <v>Outside</v>
      </c>
      <c r="J87" s="8" t="str">
        <f t="shared" si="19"/>
        <v>Outside</v>
      </c>
      <c r="K87" s="8" t="str">
        <f t="shared" si="20"/>
        <v>Post-1949</v>
      </c>
      <c r="L87" s="8">
        <f t="shared" si="21"/>
        <v>2014</v>
      </c>
      <c r="M87" s="8" t="str">
        <f t="shared" si="23"/>
        <v>1991-present</v>
      </c>
      <c r="N87" s="10" t="s">
        <v>242</v>
      </c>
      <c r="O87" s="10" t="s">
        <v>241</v>
      </c>
      <c r="P87" s="10" t="s">
        <v>242</v>
      </c>
      <c r="Q87" s="10" t="s">
        <v>242</v>
      </c>
      <c r="R87" s="10" t="s">
        <v>241</v>
      </c>
      <c r="S87" s="10" t="s">
        <v>242</v>
      </c>
      <c r="T87" s="10" t="s">
        <v>242</v>
      </c>
      <c r="U87" s="10" t="s">
        <v>242</v>
      </c>
      <c r="V87" s="10" t="s">
        <v>242</v>
      </c>
      <c r="W87" s="10" t="s">
        <v>242</v>
      </c>
      <c r="X87" s="15">
        <f>IF(ISERROR(VLOOKUP($A87,'13. Updated Demand'!A:Z,15,FALSE)),0,VLOOKUP($A87,'13. Updated Demand'!A:Z,15,FALSE))</f>
        <v>0</v>
      </c>
      <c r="Y87" s="16">
        <f>IF(ISERROR(VLOOKUP($A87,'13. Updated Demand'!A:Z,16,FALSE)),0,VLOOKUP($A87,'13. Updated Demand'!A:Z,16,FALSE))</f>
        <v>0</v>
      </c>
      <c r="Z87" s="16">
        <f>IF(ISERROR(VLOOKUP($A87,'13. Updated Demand'!A:Z,17,FALSE)),0,VLOOKUP($A87,'13. Updated Demand'!A:Z,17,FALSE))</f>
        <v>0</v>
      </c>
      <c r="AA87" s="16">
        <f>IF(ISERROR(VLOOKUP($A87,'13. Updated Demand'!A:Z,18,FALSE)),0,VLOOKUP($A87,'13. Updated Demand'!A:Z,18,FALSE))</f>
        <v>0</v>
      </c>
      <c r="AB87" s="16">
        <f>IF(ISERROR(VLOOKUP($A87,'13. Updated Demand'!A:Z,19,FALSE)),0,VLOOKUP($A87,'13. Updated Demand'!A:Z,19,FALSE))</f>
        <v>2.6499999999999999E-4</v>
      </c>
      <c r="AC87" s="16">
        <f>IF(ISERROR(VLOOKUP($A87,'13. Updated Demand'!A:Z,20,FALSE)),0,VLOOKUP($A87,'13. Updated Demand'!A:Z,20,FALSE))</f>
        <v>5.2299999999999997E-5</v>
      </c>
      <c r="AD87" s="16">
        <f>IF(ISERROR(VLOOKUP($A87,'13. Updated Demand'!A:Z,21,FALSE)),0,VLOOKUP($A87,'13. Updated Demand'!A:Z,21,FALSE))</f>
        <v>4.7833329999999999E-3</v>
      </c>
      <c r="AE87" s="16">
        <f>IF(ISERROR(VLOOKUP($A87,'13. Updated Demand'!A:Z,22,FALSE)),0,VLOOKUP($A87,'13. Updated Demand'!A:Z,22,FALSE))</f>
        <v>0.02</v>
      </c>
      <c r="AF87" s="16">
        <f>IF(ISERROR(VLOOKUP($A87,'13. Updated Demand'!A:Z,23,FALSE)),0,VLOOKUP($A87,'13. Updated Demand'!A:Z,23,FALSE))</f>
        <v>0.03</v>
      </c>
      <c r="AG87" s="16">
        <f>IF(ISERROR(VLOOKUP($A87,'13. Updated Demand'!A:Z,24,FALSE)),0,VLOOKUP($A87,'13. Updated Demand'!A:Z,24,FALSE))</f>
        <v>0.02</v>
      </c>
      <c r="AH87" s="16">
        <f>IF(ISERROR(VLOOKUP($A87,'13. Updated Demand'!A:Z,25,FALSE)),0,VLOOKUP($A87,'13. Updated Demand'!A:Z,25,FALSE))</f>
        <v>3.571E-3</v>
      </c>
      <c r="AI87" s="16">
        <f>IF(ISERROR(VLOOKUP($A87,'13. Updated Demand'!A:Z,26,FALSE)),0,VLOOKUP($A87,'13. Updated Demand'!A:Z,26,FALSE))</f>
        <v>0</v>
      </c>
      <c r="AJ87" s="16">
        <f t="shared" si="24"/>
        <v>7.8671633000000005E-2</v>
      </c>
      <c r="AK87" s="19">
        <v>6.1989633000000002E-2</v>
      </c>
      <c r="AL87" s="16">
        <f t="shared" si="22"/>
        <v>2.0561255137823385E-4</v>
      </c>
      <c r="AM87" s="17">
        <v>0.14537772166666668</v>
      </c>
      <c r="AN87" s="19"/>
      <c r="AO87" s="19"/>
      <c r="AP87" s="19">
        <v>0.6</v>
      </c>
      <c r="AQ87" s="19" t="s">
        <v>307</v>
      </c>
      <c r="AR87" s="9" t="s">
        <v>348</v>
      </c>
      <c r="AS87" s="12">
        <v>0</v>
      </c>
      <c r="AT87" s="19">
        <v>39.349281060000003</v>
      </c>
      <c r="AU87" s="19">
        <v>-123.12260845</v>
      </c>
      <c r="AV87" s="19" t="s">
        <v>433</v>
      </c>
    </row>
    <row r="88" spans="1:48" x14ac:dyDescent="0.25">
      <c r="A88" s="18" t="s">
        <v>434</v>
      </c>
      <c r="B88" s="10">
        <v>20130206</v>
      </c>
      <c r="C88" s="9">
        <v>6</v>
      </c>
      <c r="D88" s="8" t="str">
        <f t="shared" si="13"/>
        <v>Y</v>
      </c>
      <c r="E88" s="8" t="str">
        <f t="shared" si="14"/>
        <v>N</v>
      </c>
      <c r="F88" s="8" t="str">
        <f t="shared" si="15"/>
        <v>Y</v>
      </c>
      <c r="G88" s="8" t="str">
        <f t="shared" si="16"/>
        <v>Y</v>
      </c>
      <c r="H88" s="8" t="str">
        <f t="shared" si="17"/>
        <v>Upper</v>
      </c>
      <c r="I88" s="8" t="str">
        <f t="shared" si="18"/>
        <v>West Fork and Below Lake</v>
      </c>
      <c r="J88" s="8" t="str">
        <f t="shared" si="19"/>
        <v>Mendocino (d/s of lake)</v>
      </c>
      <c r="K88" s="8" t="str">
        <f t="shared" si="20"/>
        <v>Post-1949</v>
      </c>
      <c r="L88" s="8">
        <f t="shared" si="21"/>
        <v>2013</v>
      </c>
      <c r="M88" s="8" t="str">
        <f t="shared" si="23"/>
        <v>1991-present</v>
      </c>
      <c r="N88" s="10" t="s">
        <v>242</v>
      </c>
      <c r="O88" s="10" t="s">
        <v>241</v>
      </c>
      <c r="P88" s="10" t="s">
        <v>242</v>
      </c>
      <c r="Q88" s="10" t="s">
        <v>242</v>
      </c>
      <c r="R88" s="10" t="s">
        <v>241</v>
      </c>
      <c r="S88" s="10" t="s">
        <v>242</v>
      </c>
      <c r="T88" s="10" t="s">
        <v>241</v>
      </c>
      <c r="U88" s="10" t="s">
        <v>241</v>
      </c>
      <c r="V88" s="10" t="s">
        <v>241</v>
      </c>
      <c r="W88" s="10" t="s">
        <v>242</v>
      </c>
      <c r="X88" s="15">
        <f>IF(ISERROR(VLOOKUP($A88,'13. Updated Demand'!A:Z,15,FALSE)),0,VLOOKUP($A88,'13. Updated Demand'!A:Z,15,FALSE))</f>
        <v>0</v>
      </c>
      <c r="Y88" s="16">
        <f>IF(ISERROR(VLOOKUP($A88,'13. Updated Demand'!A:Z,16,FALSE)),0,VLOOKUP($A88,'13. Updated Demand'!A:Z,16,FALSE))</f>
        <v>0</v>
      </c>
      <c r="Z88" s="16">
        <f>IF(ISERROR(VLOOKUP($A88,'13. Updated Demand'!A:Z,17,FALSE)),0,VLOOKUP($A88,'13. Updated Demand'!A:Z,17,FALSE))</f>
        <v>0</v>
      </c>
      <c r="AA88" s="16">
        <f>IF(ISERROR(VLOOKUP($A88,'13. Updated Demand'!A:Z,18,FALSE)),0,VLOOKUP($A88,'13. Updated Demand'!A:Z,18,FALSE))</f>
        <v>0</v>
      </c>
      <c r="AB88" s="16">
        <f>IF(ISERROR(VLOOKUP($A88,'13. Updated Demand'!A:Z,19,FALSE)),0,VLOOKUP($A88,'13. Updated Demand'!A:Z,19,FALSE))</f>
        <v>0</v>
      </c>
      <c r="AC88" s="16">
        <f>IF(ISERROR(VLOOKUP($A88,'13. Updated Demand'!A:Z,20,FALSE)),0,VLOOKUP($A88,'13. Updated Demand'!A:Z,20,FALSE))</f>
        <v>0</v>
      </c>
      <c r="AD88" s="16">
        <f>IF(ISERROR(VLOOKUP($A88,'13. Updated Demand'!A:Z,21,FALSE)),0,VLOOKUP($A88,'13. Updated Demand'!A:Z,21,FALSE))</f>
        <v>0</v>
      </c>
      <c r="AE88" s="16">
        <f>IF(ISERROR(VLOOKUP($A88,'13. Updated Demand'!A:Z,22,FALSE)),0,VLOOKUP($A88,'13. Updated Demand'!A:Z,22,FALSE))</f>
        <v>0</v>
      </c>
      <c r="AF88" s="16">
        <f>IF(ISERROR(VLOOKUP($A88,'13. Updated Demand'!A:Z,23,FALSE)),0,VLOOKUP($A88,'13. Updated Demand'!A:Z,23,FALSE))</f>
        <v>0</v>
      </c>
      <c r="AG88" s="16">
        <f>IF(ISERROR(VLOOKUP($A88,'13. Updated Demand'!A:Z,24,FALSE)),0,VLOOKUP($A88,'13. Updated Demand'!A:Z,24,FALSE))</f>
        <v>0</v>
      </c>
      <c r="AH88" s="16">
        <f>IF(ISERROR(VLOOKUP($A88,'13. Updated Demand'!A:Z,25,FALSE)),0,VLOOKUP($A88,'13. Updated Demand'!A:Z,25,FALSE))</f>
        <v>0</v>
      </c>
      <c r="AI88" s="16">
        <f>IF(ISERROR(VLOOKUP($A88,'13. Updated Demand'!A:Z,26,FALSE)),0,VLOOKUP($A88,'13. Updated Demand'!A:Z,26,FALSE))</f>
        <v>0</v>
      </c>
      <c r="AJ88" s="16">
        <f t="shared" si="24"/>
        <v>0</v>
      </c>
      <c r="AK88" s="19">
        <v>0</v>
      </c>
      <c r="AL88" s="16">
        <f t="shared" si="22"/>
        <v>0</v>
      </c>
      <c r="AM88" s="17">
        <v>0</v>
      </c>
      <c r="AN88" s="19"/>
      <c r="AO88" s="19"/>
      <c r="AP88" s="19">
        <v>9</v>
      </c>
      <c r="AQ88" s="19" t="s">
        <v>307</v>
      </c>
      <c r="AR88" s="9" t="s">
        <v>319</v>
      </c>
      <c r="AS88" s="12">
        <v>0</v>
      </c>
      <c r="AT88" s="19">
        <v>39.0137</v>
      </c>
      <c r="AU88" s="19">
        <v>-123.1484</v>
      </c>
      <c r="AV88" s="19" t="s">
        <v>385</v>
      </c>
    </row>
    <row r="89" spans="1:48" x14ac:dyDescent="0.25">
      <c r="A89" s="18" t="s">
        <v>435</v>
      </c>
      <c r="B89" s="10">
        <v>20130521</v>
      </c>
      <c r="C89" s="9">
        <v>10</v>
      </c>
      <c r="D89" s="8" t="str">
        <f t="shared" si="13"/>
        <v>N</v>
      </c>
      <c r="E89" s="8" t="str">
        <f t="shared" si="14"/>
        <v>Y</v>
      </c>
      <c r="F89" s="8" t="str">
        <f t="shared" si="15"/>
        <v>Y</v>
      </c>
      <c r="G89" s="8" t="str">
        <f t="shared" si="16"/>
        <v>Y</v>
      </c>
      <c r="H89" s="8" t="str">
        <f t="shared" si="17"/>
        <v>Upper</v>
      </c>
      <c r="I89" s="8" t="str">
        <f t="shared" si="18"/>
        <v>West Fork and Below Lake</v>
      </c>
      <c r="J89" s="8" t="str">
        <f t="shared" si="19"/>
        <v>Sonoma (d/s of Clov. Gage)</v>
      </c>
      <c r="K89" s="8" t="str">
        <f t="shared" si="20"/>
        <v>Post-1949</v>
      </c>
      <c r="L89" s="8">
        <f t="shared" si="21"/>
        <v>2013</v>
      </c>
      <c r="M89" s="8" t="str">
        <f t="shared" si="23"/>
        <v>1991-present</v>
      </c>
      <c r="N89" s="10" t="s">
        <v>242</v>
      </c>
      <c r="O89" s="10" t="s">
        <v>241</v>
      </c>
      <c r="P89" s="10" t="s">
        <v>242</v>
      </c>
      <c r="Q89" s="10" t="s">
        <v>242</v>
      </c>
      <c r="R89" s="10" t="s">
        <v>241</v>
      </c>
      <c r="S89" s="10" t="s">
        <v>242</v>
      </c>
      <c r="T89" s="10" t="s">
        <v>242</v>
      </c>
      <c r="U89" s="10" t="s">
        <v>242</v>
      </c>
      <c r="V89" s="10" t="s">
        <v>242</v>
      </c>
      <c r="W89" s="10" t="s">
        <v>242</v>
      </c>
      <c r="X89" s="15">
        <f>IF(ISERROR(VLOOKUP($A89,'13. Updated Demand'!A:Z,15,FALSE)),0,VLOOKUP($A89,'13. Updated Demand'!A:Z,15,FALSE))</f>
        <v>0</v>
      </c>
      <c r="Y89" s="16">
        <f>IF(ISERROR(VLOOKUP($A89,'13. Updated Demand'!A:Z,16,FALSE)),0,VLOOKUP($A89,'13. Updated Demand'!A:Z,16,FALSE))</f>
        <v>0</v>
      </c>
      <c r="Z89" s="16">
        <f>IF(ISERROR(VLOOKUP($A89,'13. Updated Demand'!A:Z,17,FALSE)),0,VLOOKUP($A89,'13. Updated Demand'!A:Z,17,FALSE))</f>
        <v>0</v>
      </c>
      <c r="AA89" s="16">
        <f>IF(ISERROR(VLOOKUP($A89,'13. Updated Demand'!A:Z,18,FALSE)),0,VLOOKUP($A89,'13. Updated Demand'!A:Z,18,FALSE))</f>
        <v>0</v>
      </c>
      <c r="AB89" s="16">
        <f>IF(ISERROR(VLOOKUP($A89,'13. Updated Demand'!A:Z,19,FALSE)),0,VLOOKUP($A89,'13. Updated Demand'!A:Z,19,FALSE))</f>
        <v>0</v>
      </c>
      <c r="AC89" s="16">
        <f>IF(ISERROR(VLOOKUP($A89,'13. Updated Demand'!A:Z,20,FALSE)),0,VLOOKUP($A89,'13. Updated Demand'!A:Z,20,FALSE))</f>
        <v>0.44</v>
      </c>
      <c r="AD89" s="16">
        <f>IF(ISERROR(VLOOKUP($A89,'13. Updated Demand'!A:Z,21,FALSE)),0,VLOOKUP($A89,'13. Updated Demand'!A:Z,21,FALSE))</f>
        <v>0.86</v>
      </c>
      <c r="AE89" s="16">
        <f>IF(ISERROR(VLOOKUP($A89,'13. Updated Demand'!A:Z,22,FALSE)),0,VLOOKUP($A89,'13. Updated Demand'!A:Z,22,FALSE))</f>
        <v>0</v>
      </c>
      <c r="AF89" s="16">
        <f>IF(ISERROR(VLOOKUP($A89,'13. Updated Demand'!A:Z,23,FALSE)),0,VLOOKUP($A89,'13. Updated Demand'!A:Z,23,FALSE))</f>
        <v>0</v>
      </c>
      <c r="AG89" s="16">
        <f>IF(ISERROR(VLOOKUP($A89,'13. Updated Demand'!A:Z,24,FALSE)),0,VLOOKUP($A89,'13. Updated Demand'!A:Z,24,FALSE))</f>
        <v>0</v>
      </c>
      <c r="AH89" s="16">
        <f>IF(ISERROR(VLOOKUP($A89,'13. Updated Demand'!A:Z,25,FALSE)),0,VLOOKUP($A89,'13. Updated Demand'!A:Z,25,FALSE))</f>
        <v>0</v>
      </c>
      <c r="AI89" s="16">
        <f>IF(ISERROR(VLOOKUP($A89,'13. Updated Demand'!A:Z,26,FALSE)),0,VLOOKUP($A89,'13. Updated Demand'!A:Z,26,FALSE))</f>
        <v>0</v>
      </c>
      <c r="AJ89" s="16">
        <f t="shared" si="24"/>
        <v>1.3</v>
      </c>
      <c r="AK89" s="19">
        <v>1.3</v>
      </c>
      <c r="AL89" s="16">
        <f t="shared" si="22"/>
        <v>4.3119519160841622E-3</v>
      </c>
      <c r="AM89" s="17">
        <v>1</v>
      </c>
      <c r="AN89" s="19"/>
      <c r="AO89" s="19"/>
      <c r="AP89" s="19">
        <v>1.3</v>
      </c>
      <c r="AQ89" s="19" t="s">
        <v>307</v>
      </c>
      <c r="AR89" s="9" t="s">
        <v>436</v>
      </c>
      <c r="AS89" s="12">
        <v>0</v>
      </c>
      <c r="AT89" s="19">
        <v>38.725000000000001</v>
      </c>
      <c r="AU89" s="19">
        <v>-122.88339999999999</v>
      </c>
      <c r="AV89" s="19"/>
    </row>
    <row r="90" spans="1:48" x14ac:dyDescent="0.25">
      <c r="A90" s="18" t="s">
        <v>437</v>
      </c>
      <c r="B90" s="10">
        <v>20131017</v>
      </c>
      <c r="C90" s="9">
        <v>6</v>
      </c>
      <c r="D90" s="8" t="str">
        <f t="shared" si="13"/>
        <v>Y</v>
      </c>
      <c r="E90" s="8" t="str">
        <f t="shared" si="14"/>
        <v>N</v>
      </c>
      <c r="F90" s="8" t="str">
        <f t="shared" si="15"/>
        <v>Y</v>
      </c>
      <c r="G90" s="8" t="str">
        <f t="shared" si="16"/>
        <v>Y</v>
      </c>
      <c r="H90" s="8" t="str">
        <f t="shared" si="17"/>
        <v>Upper</v>
      </c>
      <c r="I90" s="8" t="str">
        <f t="shared" si="18"/>
        <v>West Fork and Below Lake</v>
      </c>
      <c r="J90" s="8" t="str">
        <f t="shared" si="19"/>
        <v>Mendocino (d/s of lake)</v>
      </c>
      <c r="K90" s="8" t="str">
        <f t="shared" si="20"/>
        <v>Post-1949</v>
      </c>
      <c r="L90" s="8">
        <f t="shared" si="21"/>
        <v>2013</v>
      </c>
      <c r="M90" s="8" t="str">
        <f t="shared" si="23"/>
        <v>1991-present</v>
      </c>
      <c r="N90" s="10" t="s">
        <v>242</v>
      </c>
      <c r="O90" s="10" t="s">
        <v>241</v>
      </c>
      <c r="P90" s="10" t="s">
        <v>242</v>
      </c>
      <c r="Q90" s="10" t="s">
        <v>242</v>
      </c>
      <c r="R90" s="10" t="s">
        <v>241</v>
      </c>
      <c r="S90" s="10" t="s">
        <v>242</v>
      </c>
      <c r="T90" s="10" t="s">
        <v>241</v>
      </c>
      <c r="U90" s="10" t="s">
        <v>241</v>
      </c>
      <c r="V90" s="10" t="s">
        <v>241</v>
      </c>
      <c r="W90" s="10" t="s">
        <v>242</v>
      </c>
      <c r="X90" s="15">
        <f>IF(ISERROR(VLOOKUP($A90,'13. Updated Demand'!A:Z,15,FALSE)),0,VLOOKUP($A90,'13. Updated Demand'!A:Z,15,FALSE))</f>
        <v>0</v>
      </c>
      <c r="Y90" s="16">
        <f>IF(ISERROR(VLOOKUP($A90,'13. Updated Demand'!A:Z,16,FALSE)),0,VLOOKUP($A90,'13. Updated Demand'!A:Z,16,FALSE))</f>
        <v>0</v>
      </c>
      <c r="Z90" s="16">
        <f>IF(ISERROR(VLOOKUP($A90,'13. Updated Demand'!A:Z,17,FALSE)),0,VLOOKUP($A90,'13. Updated Demand'!A:Z,17,FALSE))</f>
        <v>0</v>
      </c>
      <c r="AA90" s="16">
        <f>IF(ISERROR(VLOOKUP($A90,'13. Updated Demand'!A:Z,18,FALSE)),0,VLOOKUP($A90,'13. Updated Demand'!A:Z,18,FALSE))</f>
        <v>0</v>
      </c>
      <c r="AB90" s="16">
        <f>IF(ISERROR(VLOOKUP($A90,'13. Updated Demand'!A:Z,19,FALSE)),0,VLOOKUP($A90,'13. Updated Demand'!A:Z,19,FALSE))</f>
        <v>0</v>
      </c>
      <c r="AC90" s="16">
        <f>IF(ISERROR(VLOOKUP($A90,'13. Updated Demand'!A:Z,20,FALSE)),0,VLOOKUP($A90,'13. Updated Demand'!A:Z,20,FALSE))</f>
        <v>0</v>
      </c>
      <c r="AD90" s="16">
        <f>IF(ISERROR(VLOOKUP($A90,'13. Updated Demand'!A:Z,21,FALSE)),0,VLOOKUP($A90,'13. Updated Demand'!A:Z,21,FALSE))</f>
        <v>0</v>
      </c>
      <c r="AE90" s="16">
        <f>IF(ISERROR(VLOOKUP($A90,'13. Updated Demand'!A:Z,22,FALSE)),0,VLOOKUP($A90,'13. Updated Demand'!A:Z,22,FALSE))</f>
        <v>0</v>
      </c>
      <c r="AF90" s="16">
        <f>IF(ISERROR(VLOOKUP($A90,'13. Updated Demand'!A:Z,23,FALSE)),0,VLOOKUP($A90,'13. Updated Demand'!A:Z,23,FALSE))</f>
        <v>0</v>
      </c>
      <c r="AG90" s="16">
        <f>IF(ISERROR(VLOOKUP($A90,'13. Updated Demand'!A:Z,24,FALSE)),0,VLOOKUP($A90,'13. Updated Demand'!A:Z,24,FALSE))</f>
        <v>0</v>
      </c>
      <c r="AH90" s="16">
        <f>IF(ISERROR(VLOOKUP($A90,'13. Updated Demand'!A:Z,25,FALSE)),0,VLOOKUP($A90,'13. Updated Demand'!A:Z,25,FALSE))</f>
        <v>0</v>
      </c>
      <c r="AI90" s="16">
        <f>IF(ISERROR(VLOOKUP($A90,'13. Updated Demand'!A:Z,26,FALSE)),0,VLOOKUP($A90,'13. Updated Demand'!A:Z,26,FALSE))</f>
        <v>0</v>
      </c>
      <c r="AJ90" s="16">
        <f t="shared" si="24"/>
        <v>0</v>
      </c>
      <c r="AK90" s="19">
        <v>0</v>
      </c>
      <c r="AL90" s="16">
        <f t="shared" si="22"/>
        <v>0</v>
      </c>
      <c r="AM90" s="17">
        <v>0</v>
      </c>
      <c r="AN90" s="19"/>
      <c r="AO90" s="19"/>
      <c r="AP90" s="19">
        <v>49.5</v>
      </c>
      <c r="AQ90" s="19" t="s">
        <v>307</v>
      </c>
      <c r="AR90" s="9" t="s">
        <v>319</v>
      </c>
      <c r="AS90" s="12">
        <v>0</v>
      </c>
      <c r="AT90" s="19">
        <v>38.871200000000002</v>
      </c>
      <c r="AU90" s="19">
        <v>-122.8914</v>
      </c>
      <c r="AV90" s="19" t="s">
        <v>438</v>
      </c>
    </row>
    <row r="91" spans="1:48" x14ac:dyDescent="0.25">
      <c r="A91" s="18" t="s">
        <v>439</v>
      </c>
      <c r="B91" s="10">
        <v>20131018</v>
      </c>
      <c r="C91" s="9">
        <v>23</v>
      </c>
      <c r="D91" s="8" t="str">
        <f t="shared" si="13"/>
        <v>N</v>
      </c>
      <c r="E91" s="8" t="str">
        <f t="shared" si="14"/>
        <v>N</v>
      </c>
      <c r="F91" s="8" t="str">
        <f t="shared" si="15"/>
        <v>N</v>
      </c>
      <c r="G91" s="8" t="str">
        <f t="shared" si="16"/>
        <v>N</v>
      </c>
      <c r="H91" s="8" t="str">
        <f t="shared" si="17"/>
        <v>Lower</v>
      </c>
      <c r="I91" s="8" t="str">
        <f t="shared" si="18"/>
        <v>Outside</v>
      </c>
      <c r="J91" s="8" t="str">
        <f t="shared" si="19"/>
        <v>Outside</v>
      </c>
      <c r="K91" s="8" t="str">
        <f t="shared" si="20"/>
        <v>Post-1949</v>
      </c>
      <c r="L91" s="8">
        <f t="shared" si="21"/>
        <v>2013</v>
      </c>
      <c r="M91" s="8" t="str">
        <f t="shared" si="23"/>
        <v>1991-present</v>
      </c>
      <c r="N91" s="10" t="s">
        <v>242</v>
      </c>
      <c r="O91" s="10" t="s">
        <v>242</v>
      </c>
      <c r="P91" s="10" t="s">
        <v>242</v>
      </c>
      <c r="Q91" s="10" t="s">
        <v>242</v>
      </c>
      <c r="R91" s="10" t="s">
        <v>241</v>
      </c>
      <c r="S91" s="10" t="s">
        <v>242</v>
      </c>
      <c r="T91" s="10" t="s">
        <v>241</v>
      </c>
      <c r="U91" s="10" t="s">
        <v>241</v>
      </c>
      <c r="V91" s="10" t="s">
        <v>241</v>
      </c>
      <c r="W91" s="10" t="s">
        <v>242</v>
      </c>
      <c r="X91" s="15">
        <f>IF(ISERROR(VLOOKUP($A91,'13. Updated Demand'!A:Z,15,FALSE)),0,VLOOKUP($A91,'13. Updated Demand'!A:Z,15,FALSE))</f>
        <v>0</v>
      </c>
      <c r="Y91" s="16">
        <f>IF(ISERROR(VLOOKUP($A91,'13. Updated Demand'!A:Z,16,FALSE)),0,VLOOKUP($A91,'13. Updated Demand'!A:Z,16,FALSE))</f>
        <v>0</v>
      </c>
      <c r="Z91" s="16">
        <f>IF(ISERROR(VLOOKUP($A91,'13. Updated Demand'!A:Z,17,FALSE)),0,VLOOKUP($A91,'13. Updated Demand'!A:Z,17,FALSE))</f>
        <v>0</v>
      </c>
      <c r="AA91" s="16">
        <f>IF(ISERROR(VLOOKUP($A91,'13. Updated Demand'!A:Z,18,FALSE)),0,VLOOKUP($A91,'13. Updated Demand'!A:Z,18,FALSE))</f>
        <v>0</v>
      </c>
      <c r="AB91" s="16">
        <f>IF(ISERROR(VLOOKUP($A91,'13. Updated Demand'!A:Z,19,FALSE)),0,VLOOKUP($A91,'13. Updated Demand'!A:Z,19,FALSE))</f>
        <v>0</v>
      </c>
      <c r="AC91" s="16">
        <f>IF(ISERROR(VLOOKUP($A91,'13. Updated Demand'!A:Z,20,FALSE)),0,VLOOKUP($A91,'13. Updated Demand'!A:Z,20,FALSE))</f>
        <v>0</v>
      </c>
      <c r="AD91" s="16">
        <f>IF(ISERROR(VLOOKUP($A91,'13. Updated Demand'!A:Z,21,FALSE)),0,VLOOKUP($A91,'13. Updated Demand'!A:Z,21,FALSE))</f>
        <v>0</v>
      </c>
      <c r="AE91" s="16">
        <f>IF(ISERROR(VLOOKUP($A91,'13. Updated Demand'!A:Z,22,FALSE)),0,VLOOKUP($A91,'13. Updated Demand'!A:Z,22,FALSE))</f>
        <v>0</v>
      </c>
      <c r="AF91" s="16">
        <f>IF(ISERROR(VLOOKUP($A91,'13. Updated Demand'!A:Z,23,FALSE)),0,VLOOKUP($A91,'13. Updated Demand'!A:Z,23,FALSE))</f>
        <v>0</v>
      </c>
      <c r="AG91" s="16">
        <f>IF(ISERROR(VLOOKUP($A91,'13. Updated Demand'!A:Z,24,FALSE)),0,VLOOKUP($A91,'13. Updated Demand'!A:Z,24,FALSE))</f>
        <v>0</v>
      </c>
      <c r="AH91" s="16">
        <f>IF(ISERROR(VLOOKUP($A91,'13. Updated Demand'!A:Z,25,FALSE)),0,VLOOKUP($A91,'13. Updated Demand'!A:Z,25,FALSE))</f>
        <v>0</v>
      </c>
      <c r="AI91" s="16">
        <f>IF(ISERROR(VLOOKUP($A91,'13. Updated Demand'!A:Z,26,FALSE)),0,VLOOKUP($A91,'13. Updated Demand'!A:Z,26,FALSE))</f>
        <v>0</v>
      </c>
      <c r="AJ91" s="16">
        <f t="shared" si="24"/>
        <v>0</v>
      </c>
      <c r="AK91" s="19">
        <v>0</v>
      </c>
      <c r="AL91" s="16">
        <f t="shared" si="22"/>
        <v>0</v>
      </c>
      <c r="AM91" s="17">
        <v>0</v>
      </c>
      <c r="AN91" s="19"/>
      <c r="AO91" s="19"/>
      <c r="AP91" s="19">
        <v>25.66</v>
      </c>
      <c r="AQ91" s="19" t="s">
        <v>307</v>
      </c>
      <c r="AR91" s="9" t="s">
        <v>378</v>
      </c>
      <c r="AS91" s="12">
        <v>0</v>
      </c>
      <c r="AT91" s="19">
        <v>38.397599999999997</v>
      </c>
      <c r="AU91" s="19">
        <v>-122.6409</v>
      </c>
      <c r="AV91" s="19" t="s">
        <v>385</v>
      </c>
    </row>
    <row r="92" spans="1:48" x14ac:dyDescent="0.25">
      <c r="A92" s="18" t="s">
        <v>440</v>
      </c>
      <c r="B92" s="10">
        <v>20130510</v>
      </c>
      <c r="C92" s="9">
        <v>16</v>
      </c>
      <c r="D92" s="8" t="str">
        <f t="shared" si="13"/>
        <v>N</v>
      </c>
      <c r="E92" s="8" t="str">
        <f t="shared" si="14"/>
        <v>N</v>
      </c>
      <c r="F92" s="8" t="str">
        <f t="shared" si="15"/>
        <v>N</v>
      </c>
      <c r="G92" s="8" t="str">
        <f t="shared" si="16"/>
        <v>N</v>
      </c>
      <c r="H92" s="8" t="str">
        <f t="shared" si="17"/>
        <v>Lower</v>
      </c>
      <c r="I92" s="8" t="str">
        <f t="shared" si="18"/>
        <v>Outside</v>
      </c>
      <c r="J92" s="8" t="str">
        <f t="shared" si="19"/>
        <v>Outside</v>
      </c>
      <c r="K92" s="8" t="str">
        <f t="shared" si="20"/>
        <v>Post-1949</v>
      </c>
      <c r="L92" s="8">
        <f t="shared" si="21"/>
        <v>2013</v>
      </c>
      <c r="M92" s="8" t="str">
        <f t="shared" si="23"/>
        <v>1991-present</v>
      </c>
      <c r="N92" s="10" t="s">
        <v>242</v>
      </c>
      <c r="O92" s="10" t="s">
        <v>242</v>
      </c>
      <c r="P92" s="10" t="s">
        <v>242</v>
      </c>
      <c r="Q92" s="10" t="s">
        <v>242</v>
      </c>
      <c r="R92" s="10" t="s">
        <v>241</v>
      </c>
      <c r="S92" s="10" t="s">
        <v>242</v>
      </c>
      <c r="T92" s="10" t="s">
        <v>242</v>
      </c>
      <c r="U92" s="10" t="s">
        <v>241</v>
      </c>
      <c r="V92" s="10" t="s">
        <v>241</v>
      </c>
      <c r="W92" s="10" t="s">
        <v>242</v>
      </c>
      <c r="X92" s="15">
        <f>IF(ISERROR(VLOOKUP($A92,'13. Updated Demand'!A:Z,15,FALSE)),0,VLOOKUP($A92,'13. Updated Demand'!A:Z,15,FALSE))</f>
        <v>0</v>
      </c>
      <c r="Y92" s="16">
        <f>IF(ISERROR(VLOOKUP($A92,'13. Updated Demand'!A:Z,16,FALSE)),0,VLOOKUP($A92,'13. Updated Demand'!A:Z,16,FALSE))</f>
        <v>0</v>
      </c>
      <c r="Z92" s="16">
        <f>IF(ISERROR(VLOOKUP($A92,'13. Updated Demand'!A:Z,17,FALSE)),0,VLOOKUP($A92,'13. Updated Demand'!A:Z,17,FALSE))</f>
        <v>0</v>
      </c>
      <c r="AA92" s="16">
        <f>IF(ISERROR(VLOOKUP($A92,'13. Updated Demand'!A:Z,18,FALSE)),0,VLOOKUP($A92,'13. Updated Demand'!A:Z,18,FALSE))</f>
        <v>0</v>
      </c>
      <c r="AB92" s="16">
        <f>IF(ISERROR(VLOOKUP($A92,'13. Updated Demand'!A:Z,19,FALSE)),0,VLOOKUP($A92,'13. Updated Demand'!A:Z,19,FALSE))</f>
        <v>0</v>
      </c>
      <c r="AC92" s="16">
        <f>IF(ISERROR(VLOOKUP($A92,'13. Updated Demand'!A:Z,20,FALSE)),0,VLOOKUP($A92,'13. Updated Demand'!A:Z,20,FALSE))</f>
        <v>0</v>
      </c>
      <c r="AD92" s="16">
        <f>IF(ISERROR(VLOOKUP($A92,'13. Updated Demand'!A:Z,21,FALSE)),0,VLOOKUP($A92,'13. Updated Demand'!A:Z,21,FALSE))</f>
        <v>0</v>
      </c>
      <c r="AE92" s="16">
        <f>IF(ISERROR(VLOOKUP($A92,'13. Updated Demand'!A:Z,22,FALSE)),0,VLOOKUP($A92,'13. Updated Demand'!A:Z,22,FALSE))</f>
        <v>0</v>
      </c>
      <c r="AF92" s="16">
        <f>IF(ISERROR(VLOOKUP($A92,'13. Updated Demand'!A:Z,23,FALSE)),0,VLOOKUP($A92,'13. Updated Demand'!A:Z,23,FALSE))</f>
        <v>0</v>
      </c>
      <c r="AG92" s="16">
        <f>IF(ISERROR(VLOOKUP($A92,'13. Updated Demand'!A:Z,24,FALSE)),0,VLOOKUP($A92,'13. Updated Demand'!A:Z,24,FALSE))</f>
        <v>0</v>
      </c>
      <c r="AH92" s="16">
        <f>IF(ISERROR(VLOOKUP($A92,'13. Updated Demand'!A:Z,25,FALSE)),0,VLOOKUP($A92,'13. Updated Demand'!A:Z,25,FALSE))</f>
        <v>0</v>
      </c>
      <c r="AI92" s="16">
        <f>IF(ISERROR(VLOOKUP($A92,'13. Updated Demand'!A:Z,26,FALSE)),0,VLOOKUP($A92,'13. Updated Demand'!A:Z,26,FALSE))</f>
        <v>0</v>
      </c>
      <c r="AJ92" s="16">
        <f t="shared" si="24"/>
        <v>0</v>
      </c>
      <c r="AK92" s="19">
        <v>0</v>
      </c>
      <c r="AL92" s="16">
        <f t="shared" si="22"/>
        <v>0</v>
      </c>
      <c r="AM92" s="17">
        <v>0</v>
      </c>
      <c r="AN92" s="19"/>
      <c r="AO92" s="19"/>
      <c r="AP92" s="19">
        <v>5.1050000000000004</v>
      </c>
      <c r="AQ92" s="19" t="s">
        <v>307</v>
      </c>
      <c r="AR92" s="9" t="s">
        <v>394</v>
      </c>
      <c r="AS92" s="12">
        <v>3.4039024194010059E-4</v>
      </c>
      <c r="AT92" s="19">
        <v>38.592599999999997</v>
      </c>
      <c r="AU92" s="19">
        <v>-122.90649999999999</v>
      </c>
      <c r="AV92" s="19" t="s">
        <v>406</v>
      </c>
    </row>
    <row r="93" spans="1:48" x14ac:dyDescent="0.25">
      <c r="A93" s="18" t="s">
        <v>441</v>
      </c>
      <c r="B93" s="10">
        <v>20130314</v>
      </c>
      <c r="C93" s="9">
        <v>12</v>
      </c>
      <c r="D93" s="8" t="str">
        <f t="shared" si="13"/>
        <v>N</v>
      </c>
      <c r="E93" s="8" t="str">
        <f t="shared" si="14"/>
        <v>Y</v>
      </c>
      <c r="F93" s="8" t="str">
        <f t="shared" si="15"/>
        <v>Y</v>
      </c>
      <c r="G93" s="8" t="str">
        <f t="shared" si="16"/>
        <v>Y</v>
      </c>
      <c r="H93" s="8" t="str">
        <f t="shared" si="17"/>
        <v>Upper</v>
      </c>
      <c r="I93" s="8" t="str">
        <f t="shared" si="18"/>
        <v>West Fork and Below Lake</v>
      </c>
      <c r="J93" s="8" t="str">
        <f t="shared" si="19"/>
        <v>Sonoma (d/s of Clov. Gage)</v>
      </c>
      <c r="K93" s="8" t="str">
        <f t="shared" si="20"/>
        <v>Post-1949</v>
      </c>
      <c r="L93" s="8">
        <f t="shared" si="21"/>
        <v>2013</v>
      </c>
      <c r="M93" s="8" t="str">
        <f t="shared" si="23"/>
        <v>1991-present</v>
      </c>
      <c r="N93" s="10" t="s">
        <v>241</v>
      </c>
      <c r="O93" s="10" t="s">
        <v>241</v>
      </c>
      <c r="P93" s="10" t="s">
        <v>242</v>
      </c>
      <c r="Q93" s="10" t="s">
        <v>242</v>
      </c>
      <c r="R93" s="10" t="s">
        <v>241</v>
      </c>
      <c r="S93" s="10" t="s">
        <v>242</v>
      </c>
      <c r="T93" s="10" t="s">
        <v>242</v>
      </c>
      <c r="U93" s="10" t="s">
        <v>241</v>
      </c>
      <c r="V93" s="10" t="s">
        <v>241</v>
      </c>
      <c r="W93" s="10" t="s">
        <v>242</v>
      </c>
      <c r="X93" s="15">
        <f>IF(ISERROR(VLOOKUP($A93,'13. Updated Demand'!A:Z,15,FALSE)),0,VLOOKUP($A93,'13. Updated Demand'!A:Z,15,FALSE))</f>
        <v>0</v>
      </c>
      <c r="Y93" s="16">
        <f>IF(ISERROR(VLOOKUP($A93,'13. Updated Demand'!A:Z,16,FALSE)),0,VLOOKUP($A93,'13. Updated Demand'!A:Z,16,FALSE))</f>
        <v>0</v>
      </c>
      <c r="Z93" s="16">
        <f>IF(ISERROR(VLOOKUP($A93,'13. Updated Demand'!A:Z,17,FALSE)),0,VLOOKUP($A93,'13. Updated Demand'!A:Z,17,FALSE))</f>
        <v>0</v>
      </c>
      <c r="AA93" s="16">
        <f>IF(ISERROR(VLOOKUP($A93,'13. Updated Demand'!A:Z,18,FALSE)),0,VLOOKUP($A93,'13. Updated Demand'!A:Z,18,FALSE))</f>
        <v>0</v>
      </c>
      <c r="AB93" s="16">
        <f>IF(ISERROR(VLOOKUP($A93,'13. Updated Demand'!A:Z,19,FALSE)),0,VLOOKUP($A93,'13. Updated Demand'!A:Z,19,FALSE))</f>
        <v>0</v>
      </c>
      <c r="AC93" s="16">
        <f>IF(ISERROR(VLOOKUP($A93,'13. Updated Demand'!A:Z,20,FALSE)),0,VLOOKUP($A93,'13. Updated Demand'!A:Z,20,FALSE))</f>
        <v>0</v>
      </c>
      <c r="AD93" s="16">
        <f>IF(ISERROR(VLOOKUP($A93,'13. Updated Demand'!A:Z,21,FALSE)),0,VLOOKUP($A93,'13. Updated Demand'!A:Z,21,FALSE))</f>
        <v>0</v>
      </c>
      <c r="AE93" s="16">
        <f>IF(ISERROR(VLOOKUP($A93,'13. Updated Demand'!A:Z,22,FALSE)),0,VLOOKUP($A93,'13. Updated Demand'!A:Z,22,FALSE))</f>
        <v>0</v>
      </c>
      <c r="AF93" s="16">
        <f>IF(ISERROR(VLOOKUP($A93,'13. Updated Demand'!A:Z,23,FALSE)),0,VLOOKUP($A93,'13. Updated Demand'!A:Z,23,FALSE))</f>
        <v>0</v>
      </c>
      <c r="AG93" s="16">
        <f>IF(ISERROR(VLOOKUP($A93,'13. Updated Demand'!A:Z,24,FALSE)),0,VLOOKUP($A93,'13. Updated Demand'!A:Z,24,FALSE))</f>
        <v>0</v>
      </c>
      <c r="AH93" s="16">
        <f>IF(ISERROR(VLOOKUP($A93,'13. Updated Demand'!A:Z,25,FALSE)),0,VLOOKUP($A93,'13. Updated Demand'!A:Z,25,FALSE))</f>
        <v>0</v>
      </c>
      <c r="AI93" s="16">
        <f>IF(ISERROR(VLOOKUP($A93,'13. Updated Demand'!A:Z,26,FALSE)),0,VLOOKUP($A93,'13. Updated Demand'!A:Z,26,FALSE))</f>
        <v>0</v>
      </c>
      <c r="AJ93" s="16">
        <f t="shared" si="24"/>
        <v>0</v>
      </c>
      <c r="AK93" s="19">
        <v>0</v>
      </c>
      <c r="AL93" s="16">
        <f t="shared" si="22"/>
        <v>0</v>
      </c>
      <c r="AM93" s="17">
        <v>0</v>
      </c>
      <c r="AN93" s="19"/>
      <c r="AO93" s="19"/>
      <c r="AP93" s="19">
        <v>4</v>
      </c>
      <c r="AQ93" s="19" t="s">
        <v>307</v>
      </c>
      <c r="AR93" s="9" t="s">
        <v>311</v>
      </c>
      <c r="AS93" s="12">
        <v>0</v>
      </c>
      <c r="AT93" s="19">
        <v>38.606699999999996</v>
      </c>
      <c r="AU93" s="19">
        <v>-122.7826</v>
      </c>
      <c r="AV93" s="19" t="s">
        <v>385</v>
      </c>
    </row>
    <row r="94" spans="1:48" x14ac:dyDescent="0.25">
      <c r="A94" s="18" t="s">
        <v>442</v>
      </c>
      <c r="B94" s="10">
        <v>20130416</v>
      </c>
      <c r="C94" s="9">
        <v>1</v>
      </c>
      <c r="D94" s="8" t="str">
        <f t="shared" si="13"/>
        <v>N</v>
      </c>
      <c r="E94" s="8" t="str">
        <f t="shared" si="14"/>
        <v>N</v>
      </c>
      <c r="F94" s="8" t="str">
        <f t="shared" si="15"/>
        <v>Y</v>
      </c>
      <c r="G94" s="8" t="str">
        <f t="shared" si="16"/>
        <v>Y</v>
      </c>
      <c r="H94" s="8" t="str">
        <f t="shared" si="17"/>
        <v>Upper</v>
      </c>
      <c r="I94" s="8" t="str">
        <f t="shared" si="18"/>
        <v>West Fork and Below Lake</v>
      </c>
      <c r="J94" s="8" t="str">
        <f t="shared" si="19"/>
        <v>Outside</v>
      </c>
      <c r="K94" s="8" t="str">
        <f t="shared" si="20"/>
        <v>Post-1949</v>
      </c>
      <c r="L94" s="8">
        <f t="shared" si="21"/>
        <v>2013</v>
      </c>
      <c r="M94" s="8" t="str">
        <f t="shared" si="23"/>
        <v>1991-present</v>
      </c>
      <c r="N94" s="10" t="s">
        <v>242</v>
      </c>
      <c r="O94" s="10" t="s">
        <v>241</v>
      </c>
      <c r="P94" s="10" t="s">
        <v>242</v>
      </c>
      <c r="Q94" s="10" t="s">
        <v>242</v>
      </c>
      <c r="R94" s="10" t="s">
        <v>241</v>
      </c>
      <c r="S94" s="10" t="s">
        <v>242</v>
      </c>
      <c r="T94" s="10" t="s">
        <v>242</v>
      </c>
      <c r="U94" s="10" t="s">
        <v>242</v>
      </c>
      <c r="V94" s="10" t="s">
        <v>242</v>
      </c>
      <c r="W94" s="10" t="s">
        <v>242</v>
      </c>
      <c r="X94" s="15">
        <f>IF(ISERROR(VLOOKUP($A94,'13. Updated Demand'!A:Z,15,FALSE)),0,VLOOKUP($A94,'13. Updated Demand'!A:Z,15,FALSE))</f>
        <v>0.4</v>
      </c>
      <c r="Y94" s="16">
        <f>IF(ISERROR(VLOOKUP($A94,'13. Updated Demand'!A:Z,16,FALSE)),0,VLOOKUP($A94,'13. Updated Demand'!A:Z,16,FALSE))</f>
        <v>0.4</v>
      </c>
      <c r="Z94" s="16">
        <f>IF(ISERROR(VLOOKUP($A94,'13. Updated Demand'!A:Z,17,FALSE)),0,VLOOKUP($A94,'13. Updated Demand'!A:Z,17,FALSE))</f>
        <v>0.4</v>
      </c>
      <c r="AA94" s="16">
        <f>IF(ISERROR(VLOOKUP($A94,'13. Updated Demand'!A:Z,18,FALSE)),0,VLOOKUP($A94,'13. Updated Demand'!A:Z,18,FALSE))</f>
        <v>0.4</v>
      </c>
      <c r="AB94" s="16">
        <f>IF(ISERROR(VLOOKUP($A94,'13. Updated Demand'!A:Z,19,FALSE)),0,VLOOKUP($A94,'13. Updated Demand'!A:Z,19,FALSE))</f>
        <v>0.4</v>
      </c>
      <c r="AC94" s="16">
        <f>IF(ISERROR(VLOOKUP($A94,'13. Updated Demand'!A:Z,20,FALSE)),0,VLOOKUP($A94,'13. Updated Demand'!A:Z,20,FALSE))</f>
        <v>0.4</v>
      </c>
      <c r="AD94" s="16">
        <f>IF(ISERROR(VLOOKUP($A94,'13. Updated Demand'!A:Z,21,FALSE)),0,VLOOKUP($A94,'13. Updated Demand'!A:Z,21,FALSE))</f>
        <v>0</v>
      </c>
      <c r="AE94" s="16">
        <f>IF(ISERROR(VLOOKUP($A94,'13. Updated Demand'!A:Z,22,FALSE)),0,VLOOKUP($A94,'13. Updated Demand'!A:Z,22,FALSE))</f>
        <v>0</v>
      </c>
      <c r="AF94" s="16">
        <f>IF(ISERROR(VLOOKUP($A94,'13. Updated Demand'!A:Z,23,FALSE)),0,VLOOKUP($A94,'13. Updated Demand'!A:Z,23,FALSE))</f>
        <v>0</v>
      </c>
      <c r="AG94" s="16">
        <f>IF(ISERROR(VLOOKUP($A94,'13. Updated Demand'!A:Z,24,FALSE)),0,VLOOKUP($A94,'13. Updated Demand'!A:Z,24,FALSE))</f>
        <v>0</v>
      </c>
      <c r="AH94" s="16">
        <f>IF(ISERROR(VLOOKUP($A94,'13. Updated Demand'!A:Z,25,FALSE)),0,VLOOKUP($A94,'13. Updated Demand'!A:Z,25,FALSE))</f>
        <v>0.4</v>
      </c>
      <c r="AI94" s="16">
        <f>IF(ISERROR(VLOOKUP($A94,'13. Updated Demand'!A:Z,26,FALSE)),0,VLOOKUP($A94,'13. Updated Demand'!A:Z,26,FALSE))</f>
        <v>0.4</v>
      </c>
      <c r="AJ94" s="16">
        <f t="shared" si="24"/>
        <v>3.1999999999999997</v>
      </c>
      <c r="AK94" s="19">
        <v>0.8</v>
      </c>
      <c r="AL94" s="16">
        <f t="shared" si="22"/>
        <v>2.6535088714364071E-3</v>
      </c>
      <c r="AM94" s="17">
        <v>0.99999999999999989</v>
      </c>
      <c r="AN94" s="19"/>
      <c r="AO94" s="19"/>
      <c r="AP94" s="19">
        <v>3.2</v>
      </c>
      <c r="AQ94" s="19" t="s">
        <v>307</v>
      </c>
      <c r="AR94" s="9" t="s">
        <v>317</v>
      </c>
      <c r="AS94" s="12">
        <v>3.4039024194010059E-4</v>
      </c>
      <c r="AT94" s="19">
        <v>39.276800000000001</v>
      </c>
      <c r="AU94" s="19">
        <v>-123.1795</v>
      </c>
      <c r="AV94" s="19" t="s">
        <v>385</v>
      </c>
    </row>
    <row r="95" spans="1:48" x14ac:dyDescent="0.25">
      <c r="A95" s="18" t="s">
        <v>443</v>
      </c>
      <c r="B95" s="10">
        <v>20131112</v>
      </c>
      <c r="C95" s="9">
        <v>5</v>
      </c>
      <c r="D95" s="8" t="str">
        <f t="shared" si="13"/>
        <v>Y</v>
      </c>
      <c r="E95" s="8" t="str">
        <f t="shared" si="14"/>
        <v>N</v>
      </c>
      <c r="F95" s="8" t="str">
        <f t="shared" si="15"/>
        <v>Y</v>
      </c>
      <c r="G95" s="8" t="str">
        <f t="shared" si="16"/>
        <v>Y</v>
      </c>
      <c r="H95" s="8" t="str">
        <f t="shared" si="17"/>
        <v>Upper</v>
      </c>
      <c r="I95" s="8" t="str">
        <f t="shared" si="18"/>
        <v>West Fork and Below Lake</v>
      </c>
      <c r="J95" s="8" t="str">
        <f t="shared" si="19"/>
        <v>Mendocino (d/s of lake)</v>
      </c>
      <c r="K95" s="8" t="str">
        <f t="shared" si="20"/>
        <v>Post-1949</v>
      </c>
      <c r="L95" s="8">
        <f t="shared" si="21"/>
        <v>2013</v>
      </c>
      <c r="M95" s="8" t="str">
        <f t="shared" si="23"/>
        <v>1991-present</v>
      </c>
      <c r="N95" s="10" t="s">
        <v>242</v>
      </c>
      <c r="O95" s="10" t="s">
        <v>241</v>
      </c>
      <c r="P95" s="10" t="s">
        <v>242</v>
      </c>
      <c r="Q95" s="10" t="s">
        <v>242</v>
      </c>
      <c r="R95" s="10" t="s">
        <v>241</v>
      </c>
      <c r="S95" s="10" t="s">
        <v>242</v>
      </c>
      <c r="T95" s="10" t="s">
        <v>242</v>
      </c>
      <c r="U95" s="10" t="s">
        <v>242</v>
      </c>
      <c r="V95" s="10" t="s">
        <v>241</v>
      </c>
      <c r="W95" s="10" t="s">
        <v>242</v>
      </c>
      <c r="X95" s="15">
        <f>IF(ISERROR(VLOOKUP($A95,'13. Updated Demand'!A:Z,15,FALSE)),0,VLOOKUP($A95,'13. Updated Demand'!A:Z,15,FALSE))</f>
        <v>0.33</v>
      </c>
      <c r="Y95" s="16">
        <f>IF(ISERROR(VLOOKUP($A95,'13. Updated Demand'!A:Z,16,FALSE)),0,VLOOKUP($A95,'13. Updated Demand'!A:Z,16,FALSE))</f>
        <v>0</v>
      </c>
      <c r="Z95" s="16">
        <f>IF(ISERROR(VLOOKUP($A95,'13. Updated Demand'!A:Z,17,FALSE)),0,VLOOKUP($A95,'13. Updated Demand'!A:Z,17,FALSE))</f>
        <v>0</v>
      </c>
      <c r="AA95" s="16">
        <f>IF(ISERROR(VLOOKUP($A95,'13. Updated Demand'!A:Z,18,FALSE)),0,VLOOKUP($A95,'13. Updated Demand'!A:Z,18,FALSE))</f>
        <v>0</v>
      </c>
      <c r="AB95" s="16">
        <f>IF(ISERROR(VLOOKUP($A95,'13. Updated Demand'!A:Z,19,FALSE)),0,VLOOKUP($A95,'13. Updated Demand'!A:Z,19,FALSE))</f>
        <v>0</v>
      </c>
      <c r="AC95" s="16">
        <f>IF(ISERROR(VLOOKUP($A95,'13. Updated Demand'!A:Z,20,FALSE)),0,VLOOKUP($A95,'13. Updated Demand'!A:Z,20,FALSE))</f>
        <v>0</v>
      </c>
      <c r="AD95" s="16">
        <f>IF(ISERROR(VLOOKUP($A95,'13. Updated Demand'!A:Z,21,FALSE)),0,VLOOKUP($A95,'13. Updated Demand'!A:Z,21,FALSE))</f>
        <v>0</v>
      </c>
      <c r="AE95" s="16">
        <f>IF(ISERROR(VLOOKUP($A95,'13. Updated Demand'!A:Z,22,FALSE)),0,VLOOKUP($A95,'13. Updated Demand'!A:Z,22,FALSE))</f>
        <v>0</v>
      </c>
      <c r="AF95" s="16">
        <f>IF(ISERROR(VLOOKUP($A95,'13. Updated Demand'!A:Z,23,FALSE)),0,VLOOKUP($A95,'13. Updated Demand'!A:Z,23,FALSE))</f>
        <v>0</v>
      </c>
      <c r="AG95" s="16">
        <f>IF(ISERROR(VLOOKUP($A95,'13. Updated Demand'!A:Z,24,FALSE)),0,VLOOKUP($A95,'13. Updated Demand'!A:Z,24,FALSE))</f>
        <v>0</v>
      </c>
      <c r="AH95" s="16">
        <f>IF(ISERROR(VLOOKUP($A95,'13. Updated Demand'!A:Z,25,FALSE)),0,VLOOKUP($A95,'13. Updated Demand'!A:Z,25,FALSE))</f>
        <v>0.5</v>
      </c>
      <c r="AI95" s="16">
        <f>IF(ISERROR(VLOOKUP($A95,'13. Updated Demand'!A:Z,26,FALSE)),0,VLOOKUP($A95,'13. Updated Demand'!A:Z,26,FALSE))</f>
        <v>1.1599999999999999</v>
      </c>
      <c r="AJ95" s="16">
        <f t="shared" si="24"/>
        <v>1.99</v>
      </c>
      <c r="AK95" s="19">
        <v>0</v>
      </c>
      <c r="AL95" s="16">
        <f t="shared" si="22"/>
        <v>0</v>
      </c>
      <c r="AM95" s="17">
        <v>1</v>
      </c>
      <c r="AN95" s="19"/>
      <c r="AO95" s="19"/>
      <c r="AP95" s="19">
        <v>2</v>
      </c>
      <c r="AQ95" s="19" t="s">
        <v>307</v>
      </c>
      <c r="AR95" s="9" t="s">
        <v>333</v>
      </c>
      <c r="AS95" s="12">
        <v>0</v>
      </c>
      <c r="AT95" s="19">
        <v>39.080800000000004</v>
      </c>
      <c r="AU95" s="19">
        <v>-123.2129</v>
      </c>
      <c r="AV95" s="19" t="s">
        <v>444</v>
      </c>
    </row>
    <row r="96" spans="1:48" x14ac:dyDescent="0.25">
      <c r="A96" s="18" t="s">
        <v>445</v>
      </c>
      <c r="B96" s="10">
        <v>20130509</v>
      </c>
      <c r="C96" s="9">
        <v>6</v>
      </c>
      <c r="D96" s="8" t="str">
        <f t="shared" si="13"/>
        <v>Y</v>
      </c>
      <c r="E96" s="8" t="str">
        <f t="shared" si="14"/>
        <v>N</v>
      </c>
      <c r="F96" s="8" t="str">
        <f t="shared" si="15"/>
        <v>Y</v>
      </c>
      <c r="G96" s="8" t="str">
        <f t="shared" si="16"/>
        <v>Y</v>
      </c>
      <c r="H96" s="8" t="str">
        <f t="shared" si="17"/>
        <v>Upper</v>
      </c>
      <c r="I96" s="8" t="str">
        <f t="shared" si="18"/>
        <v>West Fork and Below Lake</v>
      </c>
      <c r="J96" s="8" t="str">
        <f t="shared" si="19"/>
        <v>Mendocino (d/s of lake)</v>
      </c>
      <c r="K96" s="8" t="str">
        <f t="shared" si="20"/>
        <v>Post-1949</v>
      </c>
      <c r="L96" s="8">
        <f t="shared" si="21"/>
        <v>2013</v>
      </c>
      <c r="M96" s="8" t="str">
        <f t="shared" si="23"/>
        <v>1991-present</v>
      </c>
      <c r="N96" s="10" t="s">
        <v>242</v>
      </c>
      <c r="O96" s="10" t="s">
        <v>241</v>
      </c>
      <c r="P96" s="10" t="s">
        <v>242</v>
      </c>
      <c r="Q96" s="10" t="s">
        <v>242</v>
      </c>
      <c r="R96" s="10" t="s">
        <v>241</v>
      </c>
      <c r="S96" s="10" t="s">
        <v>242</v>
      </c>
      <c r="T96" s="10" t="s">
        <v>242</v>
      </c>
      <c r="U96" s="10" t="s">
        <v>241</v>
      </c>
      <c r="V96" s="10" t="s">
        <v>241</v>
      </c>
      <c r="W96" s="10" t="s">
        <v>242</v>
      </c>
      <c r="X96" s="15">
        <f>IF(ISERROR(VLOOKUP($A96,'13. Updated Demand'!A:Z,15,FALSE)),0,VLOOKUP($A96,'13. Updated Demand'!A:Z,15,FALSE))</f>
        <v>0</v>
      </c>
      <c r="Y96" s="16">
        <f>IF(ISERROR(VLOOKUP($A96,'13. Updated Demand'!A:Z,16,FALSE)),0,VLOOKUP($A96,'13. Updated Demand'!A:Z,16,FALSE))</f>
        <v>0</v>
      </c>
      <c r="Z96" s="16">
        <f>IF(ISERROR(VLOOKUP($A96,'13. Updated Demand'!A:Z,17,FALSE)),0,VLOOKUP($A96,'13. Updated Demand'!A:Z,17,FALSE))</f>
        <v>0</v>
      </c>
      <c r="AA96" s="16">
        <f>IF(ISERROR(VLOOKUP($A96,'13. Updated Demand'!A:Z,18,FALSE)),0,VLOOKUP($A96,'13. Updated Demand'!A:Z,18,FALSE))</f>
        <v>0</v>
      </c>
      <c r="AB96" s="16">
        <f>IF(ISERROR(VLOOKUP($A96,'13. Updated Demand'!A:Z,19,FALSE)),0,VLOOKUP($A96,'13. Updated Demand'!A:Z,19,FALSE))</f>
        <v>0</v>
      </c>
      <c r="AC96" s="16">
        <f>IF(ISERROR(VLOOKUP($A96,'13. Updated Demand'!A:Z,20,FALSE)),0,VLOOKUP($A96,'13. Updated Demand'!A:Z,20,FALSE))</f>
        <v>0</v>
      </c>
      <c r="AD96" s="16">
        <f>IF(ISERROR(VLOOKUP($A96,'13. Updated Demand'!A:Z,21,FALSE)),0,VLOOKUP($A96,'13. Updated Demand'!A:Z,21,FALSE))</f>
        <v>0</v>
      </c>
      <c r="AE96" s="16">
        <f>IF(ISERROR(VLOOKUP($A96,'13. Updated Demand'!A:Z,22,FALSE)),0,VLOOKUP($A96,'13. Updated Demand'!A:Z,22,FALSE))</f>
        <v>0</v>
      </c>
      <c r="AF96" s="16">
        <f>IF(ISERROR(VLOOKUP($A96,'13. Updated Demand'!A:Z,23,FALSE)),0,VLOOKUP($A96,'13. Updated Demand'!A:Z,23,FALSE))</f>
        <v>0</v>
      </c>
      <c r="AG96" s="16">
        <f>IF(ISERROR(VLOOKUP($A96,'13. Updated Demand'!A:Z,24,FALSE)),0,VLOOKUP($A96,'13. Updated Demand'!A:Z,24,FALSE))</f>
        <v>0</v>
      </c>
      <c r="AH96" s="16">
        <f>IF(ISERROR(VLOOKUP($A96,'13. Updated Demand'!A:Z,25,FALSE)),0,VLOOKUP($A96,'13. Updated Demand'!A:Z,25,FALSE))</f>
        <v>0</v>
      </c>
      <c r="AI96" s="16">
        <f>IF(ISERROR(VLOOKUP($A96,'13. Updated Demand'!A:Z,26,FALSE)),0,VLOOKUP($A96,'13. Updated Demand'!A:Z,26,FALSE))</f>
        <v>0</v>
      </c>
      <c r="AJ96" s="16">
        <f t="shared" si="24"/>
        <v>0</v>
      </c>
      <c r="AK96" s="19">
        <v>0</v>
      </c>
      <c r="AL96" s="16">
        <f t="shared" si="22"/>
        <v>0</v>
      </c>
      <c r="AM96" s="17">
        <v>0</v>
      </c>
      <c r="AN96" s="19"/>
      <c r="AO96" s="19"/>
      <c r="AP96" s="19">
        <v>5</v>
      </c>
      <c r="AQ96" s="19" t="s">
        <v>307</v>
      </c>
      <c r="AR96" s="9" t="s">
        <v>319</v>
      </c>
      <c r="AS96" s="12">
        <v>0</v>
      </c>
      <c r="AT96" s="19">
        <v>38.947099999999999</v>
      </c>
      <c r="AU96" s="19">
        <v>-123.1605</v>
      </c>
      <c r="AV96" s="19"/>
    </row>
    <row r="97" spans="1:48" x14ac:dyDescent="0.25">
      <c r="A97" s="18" t="s">
        <v>446</v>
      </c>
      <c r="B97" s="10">
        <v>20130514</v>
      </c>
      <c r="C97" s="9">
        <v>23</v>
      </c>
      <c r="D97" s="8" t="str">
        <f t="shared" si="13"/>
        <v>N</v>
      </c>
      <c r="E97" s="8" t="str">
        <f t="shared" si="14"/>
        <v>N</v>
      </c>
      <c r="F97" s="8" t="str">
        <f t="shared" si="15"/>
        <v>N</v>
      </c>
      <c r="G97" s="8" t="str">
        <f t="shared" si="16"/>
        <v>N</v>
      </c>
      <c r="H97" s="8" t="str">
        <f t="shared" si="17"/>
        <v>Lower</v>
      </c>
      <c r="I97" s="8" t="str">
        <f t="shared" si="18"/>
        <v>Outside</v>
      </c>
      <c r="J97" s="8" t="str">
        <f t="shared" si="19"/>
        <v>Outside</v>
      </c>
      <c r="K97" s="8" t="str">
        <f t="shared" si="20"/>
        <v>Post-1949</v>
      </c>
      <c r="L97" s="8">
        <f t="shared" si="21"/>
        <v>2013</v>
      </c>
      <c r="M97" s="8" t="str">
        <f t="shared" si="23"/>
        <v>1991-present</v>
      </c>
      <c r="N97" s="10" t="s">
        <v>242</v>
      </c>
      <c r="O97" s="10" t="s">
        <v>242</v>
      </c>
      <c r="P97" s="10" t="s">
        <v>242</v>
      </c>
      <c r="Q97" s="10" t="s">
        <v>242</v>
      </c>
      <c r="R97" s="10" t="s">
        <v>241</v>
      </c>
      <c r="S97" s="10" t="s">
        <v>242</v>
      </c>
      <c r="T97" s="10" t="s">
        <v>242</v>
      </c>
      <c r="U97" s="10" t="s">
        <v>241</v>
      </c>
      <c r="V97" s="10" t="s">
        <v>241</v>
      </c>
      <c r="W97" s="10" t="s">
        <v>242</v>
      </c>
      <c r="X97" s="15">
        <f>IF(ISERROR(VLOOKUP($A97,'13. Updated Demand'!A:Z,15,FALSE)),0,VLOOKUP($A97,'13. Updated Demand'!A:Z,15,FALSE))</f>
        <v>0</v>
      </c>
      <c r="Y97" s="16">
        <f>IF(ISERROR(VLOOKUP($A97,'13. Updated Demand'!A:Z,16,FALSE)),0,VLOOKUP($A97,'13. Updated Demand'!A:Z,16,FALSE))</f>
        <v>0</v>
      </c>
      <c r="Z97" s="16">
        <f>IF(ISERROR(VLOOKUP($A97,'13. Updated Demand'!A:Z,17,FALSE)),0,VLOOKUP($A97,'13. Updated Demand'!A:Z,17,FALSE))</f>
        <v>0</v>
      </c>
      <c r="AA97" s="16">
        <f>IF(ISERROR(VLOOKUP($A97,'13. Updated Demand'!A:Z,18,FALSE)),0,VLOOKUP($A97,'13. Updated Demand'!A:Z,18,FALSE))</f>
        <v>0</v>
      </c>
      <c r="AB97" s="16">
        <f>IF(ISERROR(VLOOKUP($A97,'13. Updated Demand'!A:Z,19,FALSE)),0,VLOOKUP($A97,'13. Updated Demand'!A:Z,19,FALSE))</f>
        <v>0</v>
      </c>
      <c r="AC97" s="16">
        <f>IF(ISERROR(VLOOKUP($A97,'13. Updated Demand'!A:Z,20,FALSE)),0,VLOOKUP($A97,'13. Updated Demand'!A:Z,20,FALSE))</f>
        <v>0</v>
      </c>
      <c r="AD97" s="16">
        <f>IF(ISERROR(VLOOKUP($A97,'13. Updated Demand'!A:Z,21,FALSE)),0,VLOOKUP($A97,'13. Updated Demand'!A:Z,21,FALSE))</f>
        <v>0</v>
      </c>
      <c r="AE97" s="16">
        <f>IF(ISERROR(VLOOKUP($A97,'13. Updated Demand'!A:Z,22,FALSE)),0,VLOOKUP($A97,'13. Updated Demand'!A:Z,22,FALSE))</f>
        <v>0</v>
      </c>
      <c r="AF97" s="16">
        <f>IF(ISERROR(VLOOKUP($A97,'13. Updated Demand'!A:Z,23,FALSE)),0,VLOOKUP($A97,'13. Updated Demand'!A:Z,23,FALSE))</f>
        <v>0</v>
      </c>
      <c r="AG97" s="16">
        <f>IF(ISERROR(VLOOKUP($A97,'13. Updated Demand'!A:Z,24,FALSE)),0,VLOOKUP($A97,'13. Updated Demand'!A:Z,24,FALSE))</f>
        <v>0</v>
      </c>
      <c r="AH97" s="16">
        <f>IF(ISERROR(VLOOKUP($A97,'13. Updated Demand'!A:Z,25,FALSE)),0,VLOOKUP($A97,'13. Updated Demand'!A:Z,25,FALSE))</f>
        <v>0</v>
      </c>
      <c r="AI97" s="16">
        <f>IF(ISERROR(VLOOKUP($A97,'13. Updated Demand'!A:Z,26,FALSE)),0,VLOOKUP($A97,'13. Updated Demand'!A:Z,26,FALSE))</f>
        <v>0</v>
      </c>
      <c r="AJ97" s="16">
        <f t="shared" si="24"/>
        <v>0</v>
      </c>
      <c r="AK97" s="19">
        <v>0</v>
      </c>
      <c r="AL97" s="16">
        <f t="shared" si="22"/>
        <v>0</v>
      </c>
      <c r="AM97" s="17">
        <v>0</v>
      </c>
      <c r="AN97" s="19"/>
      <c r="AO97" s="19"/>
      <c r="AP97" s="19">
        <v>5</v>
      </c>
      <c r="AQ97" s="19" t="s">
        <v>307</v>
      </c>
      <c r="AR97" s="9" t="s">
        <v>323</v>
      </c>
      <c r="AS97" s="12">
        <v>0</v>
      </c>
      <c r="AT97" s="19">
        <v>38.479999999999997</v>
      </c>
      <c r="AU97" s="19">
        <v>-122.8603</v>
      </c>
      <c r="AV97" s="19" t="s">
        <v>385</v>
      </c>
    </row>
    <row r="98" spans="1:48" x14ac:dyDescent="0.25">
      <c r="A98" s="18" t="s">
        <v>447</v>
      </c>
      <c r="B98" s="10">
        <v>20130521</v>
      </c>
      <c r="C98" s="9">
        <v>12</v>
      </c>
      <c r="D98" s="8" t="str">
        <f t="shared" si="13"/>
        <v>N</v>
      </c>
      <c r="E98" s="8" t="str">
        <f t="shared" si="14"/>
        <v>Y</v>
      </c>
      <c r="F98" s="8" t="str">
        <f t="shared" si="15"/>
        <v>Y</v>
      </c>
      <c r="G98" s="8" t="str">
        <f t="shared" si="16"/>
        <v>Y</v>
      </c>
      <c r="H98" s="8" t="str">
        <f t="shared" si="17"/>
        <v>Upper</v>
      </c>
      <c r="I98" s="8" t="str">
        <f t="shared" si="18"/>
        <v>West Fork and Below Lake</v>
      </c>
      <c r="J98" s="8" t="str">
        <f t="shared" si="19"/>
        <v>Sonoma (d/s of Clov. Gage)</v>
      </c>
      <c r="K98" s="8" t="str">
        <f t="shared" si="20"/>
        <v>Post-1949</v>
      </c>
      <c r="L98" s="8">
        <f t="shared" si="21"/>
        <v>2013</v>
      </c>
      <c r="M98" s="8" t="str">
        <f t="shared" si="23"/>
        <v>1991-present</v>
      </c>
      <c r="N98" s="10" t="s">
        <v>242</v>
      </c>
      <c r="O98" s="10" t="s">
        <v>241</v>
      </c>
      <c r="P98" s="10" t="s">
        <v>242</v>
      </c>
      <c r="Q98" s="10" t="s">
        <v>242</v>
      </c>
      <c r="R98" s="10" t="s">
        <v>241</v>
      </c>
      <c r="S98" s="10" t="s">
        <v>242</v>
      </c>
      <c r="T98" s="10" t="s">
        <v>241</v>
      </c>
      <c r="U98" s="10" t="s">
        <v>241</v>
      </c>
      <c r="V98" s="10" t="s">
        <v>241</v>
      </c>
      <c r="W98" s="10" t="s">
        <v>242</v>
      </c>
      <c r="X98" s="15">
        <f>IF(ISERROR(VLOOKUP($A98,'13. Updated Demand'!A:Z,15,FALSE)),0,VLOOKUP($A98,'13. Updated Demand'!A:Z,15,FALSE))</f>
        <v>0</v>
      </c>
      <c r="Y98" s="16">
        <f>IF(ISERROR(VLOOKUP($A98,'13. Updated Demand'!A:Z,16,FALSE)),0,VLOOKUP($A98,'13. Updated Demand'!A:Z,16,FALSE))</f>
        <v>0</v>
      </c>
      <c r="Z98" s="16">
        <f>IF(ISERROR(VLOOKUP($A98,'13. Updated Demand'!A:Z,17,FALSE)),0,VLOOKUP($A98,'13. Updated Demand'!A:Z,17,FALSE))</f>
        <v>0</v>
      </c>
      <c r="AA98" s="16">
        <f>IF(ISERROR(VLOOKUP($A98,'13. Updated Demand'!A:Z,18,FALSE)),0,VLOOKUP($A98,'13. Updated Demand'!A:Z,18,FALSE))</f>
        <v>0</v>
      </c>
      <c r="AB98" s="16">
        <f>IF(ISERROR(VLOOKUP($A98,'13. Updated Demand'!A:Z,19,FALSE)),0,VLOOKUP($A98,'13. Updated Demand'!A:Z,19,FALSE))</f>
        <v>0</v>
      </c>
      <c r="AC98" s="16">
        <f>IF(ISERROR(VLOOKUP($A98,'13. Updated Demand'!A:Z,20,FALSE)),0,VLOOKUP($A98,'13. Updated Demand'!A:Z,20,FALSE))</f>
        <v>0</v>
      </c>
      <c r="AD98" s="16">
        <f>IF(ISERROR(VLOOKUP($A98,'13. Updated Demand'!A:Z,21,FALSE)),0,VLOOKUP($A98,'13. Updated Demand'!A:Z,21,FALSE))</f>
        <v>0</v>
      </c>
      <c r="AE98" s="16">
        <f>IF(ISERROR(VLOOKUP($A98,'13. Updated Demand'!A:Z,22,FALSE)),0,VLOOKUP($A98,'13. Updated Demand'!A:Z,22,FALSE))</f>
        <v>0</v>
      </c>
      <c r="AF98" s="16">
        <f>IF(ISERROR(VLOOKUP($A98,'13. Updated Demand'!A:Z,23,FALSE)),0,VLOOKUP($A98,'13. Updated Demand'!A:Z,23,FALSE))</f>
        <v>0</v>
      </c>
      <c r="AG98" s="16">
        <f>IF(ISERROR(VLOOKUP($A98,'13. Updated Demand'!A:Z,24,FALSE)),0,VLOOKUP($A98,'13. Updated Demand'!A:Z,24,FALSE))</f>
        <v>0</v>
      </c>
      <c r="AH98" s="16">
        <f>IF(ISERROR(VLOOKUP($A98,'13. Updated Demand'!A:Z,25,FALSE)),0,VLOOKUP($A98,'13. Updated Demand'!A:Z,25,FALSE))</f>
        <v>0</v>
      </c>
      <c r="AI98" s="16">
        <f>IF(ISERROR(VLOOKUP($A98,'13. Updated Demand'!A:Z,26,FALSE)),0,VLOOKUP($A98,'13. Updated Demand'!A:Z,26,FALSE))</f>
        <v>0</v>
      </c>
      <c r="AJ98" s="16">
        <f t="shared" si="24"/>
        <v>0</v>
      </c>
      <c r="AK98" s="19">
        <v>0</v>
      </c>
      <c r="AL98" s="16">
        <f t="shared" si="22"/>
        <v>0</v>
      </c>
      <c r="AM98" s="17">
        <v>0</v>
      </c>
      <c r="AN98" s="19"/>
      <c r="AO98" s="19"/>
      <c r="AP98" s="19">
        <v>10</v>
      </c>
      <c r="AQ98" s="19" t="s">
        <v>307</v>
      </c>
      <c r="AR98" s="9" t="s">
        <v>311</v>
      </c>
      <c r="AS98" s="12">
        <v>0</v>
      </c>
      <c r="AT98" s="19">
        <v>38.573</v>
      </c>
      <c r="AU98" s="19">
        <v>-122.6493</v>
      </c>
      <c r="AV98" s="19" t="s">
        <v>385</v>
      </c>
    </row>
    <row r="99" spans="1:48" x14ac:dyDescent="0.25">
      <c r="A99" s="18" t="s">
        <v>448</v>
      </c>
      <c r="B99" s="10">
        <v>20130624</v>
      </c>
      <c r="C99" s="9">
        <v>23</v>
      </c>
      <c r="D99" s="8" t="str">
        <f t="shared" si="13"/>
        <v>N</v>
      </c>
      <c r="E99" s="8" t="str">
        <f t="shared" si="14"/>
        <v>N</v>
      </c>
      <c r="F99" s="8" t="str">
        <f t="shared" si="15"/>
        <v>N</v>
      </c>
      <c r="G99" s="8" t="str">
        <f t="shared" si="16"/>
        <v>N</v>
      </c>
      <c r="H99" s="8" t="str">
        <f t="shared" si="17"/>
        <v>Lower</v>
      </c>
      <c r="I99" s="8" t="str">
        <f t="shared" si="18"/>
        <v>Outside</v>
      </c>
      <c r="J99" s="8" t="str">
        <f t="shared" si="19"/>
        <v>Outside</v>
      </c>
      <c r="K99" s="8" t="str">
        <f t="shared" si="20"/>
        <v>Post-1949</v>
      </c>
      <c r="L99" s="8">
        <f t="shared" si="21"/>
        <v>2013</v>
      </c>
      <c r="M99" s="8" t="str">
        <f t="shared" si="23"/>
        <v>1991-present</v>
      </c>
      <c r="N99" s="10" t="s">
        <v>242</v>
      </c>
      <c r="O99" s="10" t="s">
        <v>242</v>
      </c>
      <c r="P99" s="10" t="s">
        <v>242</v>
      </c>
      <c r="Q99" s="10" t="s">
        <v>242</v>
      </c>
      <c r="R99" s="10" t="s">
        <v>241</v>
      </c>
      <c r="S99" s="10" t="s">
        <v>242</v>
      </c>
      <c r="T99" s="10" t="s">
        <v>242</v>
      </c>
      <c r="U99" s="10" t="s">
        <v>241</v>
      </c>
      <c r="V99" s="10" t="s">
        <v>241</v>
      </c>
      <c r="W99" s="10" t="s">
        <v>242</v>
      </c>
      <c r="X99" s="15">
        <f>IF(ISERROR(VLOOKUP($A99,'13. Updated Demand'!A:Z,15,FALSE)),0,VLOOKUP($A99,'13. Updated Demand'!A:Z,15,FALSE))</f>
        <v>0</v>
      </c>
      <c r="Y99" s="16">
        <f>IF(ISERROR(VLOOKUP($A99,'13. Updated Demand'!A:Z,16,FALSE)),0,VLOOKUP($A99,'13. Updated Demand'!A:Z,16,FALSE))</f>
        <v>0</v>
      </c>
      <c r="Z99" s="16">
        <f>IF(ISERROR(VLOOKUP($A99,'13. Updated Demand'!A:Z,17,FALSE)),0,VLOOKUP($A99,'13. Updated Demand'!A:Z,17,FALSE))</f>
        <v>0</v>
      </c>
      <c r="AA99" s="16">
        <f>IF(ISERROR(VLOOKUP($A99,'13. Updated Demand'!A:Z,18,FALSE)),0,VLOOKUP($A99,'13. Updated Demand'!A:Z,18,FALSE))</f>
        <v>0</v>
      </c>
      <c r="AB99" s="16">
        <f>IF(ISERROR(VLOOKUP($A99,'13. Updated Demand'!A:Z,19,FALSE)),0,VLOOKUP($A99,'13. Updated Demand'!A:Z,19,FALSE))</f>
        <v>0</v>
      </c>
      <c r="AC99" s="16">
        <f>IF(ISERROR(VLOOKUP($A99,'13. Updated Demand'!A:Z,20,FALSE)),0,VLOOKUP($A99,'13. Updated Demand'!A:Z,20,FALSE))</f>
        <v>0</v>
      </c>
      <c r="AD99" s="16">
        <f>IF(ISERROR(VLOOKUP($A99,'13. Updated Demand'!A:Z,21,FALSE)),0,VLOOKUP($A99,'13. Updated Demand'!A:Z,21,FALSE))</f>
        <v>0</v>
      </c>
      <c r="AE99" s="16">
        <f>IF(ISERROR(VLOOKUP($A99,'13. Updated Demand'!A:Z,22,FALSE)),0,VLOOKUP($A99,'13. Updated Demand'!A:Z,22,FALSE))</f>
        <v>0</v>
      </c>
      <c r="AF99" s="16">
        <f>IF(ISERROR(VLOOKUP($A99,'13. Updated Demand'!A:Z,23,FALSE)),0,VLOOKUP($A99,'13. Updated Demand'!A:Z,23,FALSE))</f>
        <v>0</v>
      </c>
      <c r="AG99" s="16">
        <f>IF(ISERROR(VLOOKUP($A99,'13. Updated Demand'!A:Z,24,FALSE)),0,VLOOKUP($A99,'13. Updated Demand'!A:Z,24,FALSE))</f>
        <v>0</v>
      </c>
      <c r="AH99" s="16">
        <f>IF(ISERROR(VLOOKUP($A99,'13. Updated Demand'!A:Z,25,FALSE)),0,VLOOKUP($A99,'13. Updated Demand'!A:Z,25,FALSE))</f>
        <v>0</v>
      </c>
      <c r="AI99" s="16">
        <f>IF(ISERROR(VLOOKUP($A99,'13. Updated Demand'!A:Z,26,FALSE)),0,VLOOKUP($A99,'13. Updated Demand'!A:Z,26,FALSE))</f>
        <v>0</v>
      </c>
      <c r="AJ99" s="16">
        <f t="shared" si="24"/>
        <v>0</v>
      </c>
      <c r="AK99" s="19">
        <v>0</v>
      </c>
      <c r="AL99" s="16">
        <f t="shared" si="22"/>
        <v>0</v>
      </c>
      <c r="AM99" s="17">
        <v>0</v>
      </c>
      <c r="AN99" s="19"/>
      <c r="AO99" s="19"/>
      <c r="AP99" s="19">
        <v>3.5</v>
      </c>
      <c r="AQ99" s="19" t="s">
        <v>307</v>
      </c>
      <c r="AR99" s="9" t="s">
        <v>391</v>
      </c>
      <c r="AS99" s="12">
        <v>0</v>
      </c>
      <c r="AT99" s="19">
        <v>38.579700000000003</v>
      </c>
      <c r="AU99" s="19">
        <v>-122.8077</v>
      </c>
      <c r="AV99" s="19" t="s">
        <v>385</v>
      </c>
    </row>
    <row r="100" spans="1:48" x14ac:dyDescent="0.25">
      <c r="A100" s="18" t="s">
        <v>449</v>
      </c>
      <c r="B100" s="10">
        <v>20130626</v>
      </c>
      <c r="C100" s="9">
        <v>6</v>
      </c>
      <c r="D100" s="8" t="str">
        <f t="shared" si="13"/>
        <v>Y</v>
      </c>
      <c r="E100" s="8" t="str">
        <f t="shared" si="14"/>
        <v>N</v>
      </c>
      <c r="F100" s="8" t="str">
        <f t="shared" si="15"/>
        <v>Y</v>
      </c>
      <c r="G100" s="8" t="str">
        <f t="shared" si="16"/>
        <v>Y</v>
      </c>
      <c r="H100" s="8" t="str">
        <f t="shared" si="17"/>
        <v>Upper</v>
      </c>
      <c r="I100" s="8" t="str">
        <f t="shared" si="18"/>
        <v>West Fork and Below Lake</v>
      </c>
      <c r="J100" s="8" t="str">
        <f t="shared" si="19"/>
        <v>Mendocino (d/s of lake)</v>
      </c>
      <c r="K100" s="8" t="str">
        <f t="shared" si="20"/>
        <v>Post-1949</v>
      </c>
      <c r="L100" s="8">
        <f t="shared" si="21"/>
        <v>2013</v>
      </c>
      <c r="M100" s="8" t="str">
        <f t="shared" si="23"/>
        <v>1991-present</v>
      </c>
      <c r="N100" s="10" t="s">
        <v>242</v>
      </c>
      <c r="O100" s="10" t="s">
        <v>241</v>
      </c>
      <c r="P100" s="10" t="s">
        <v>242</v>
      </c>
      <c r="Q100" s="10" t="s">
        <v>242</v>
      </c>
      <c r="R100" s="10" t="s">
        <v>241</v>
      </c>
      <c r="S100" s="10" t="s">
        <v>242</v>
      </c>
      <c r="T100" s="10" t="s">
        <v>242</v>
      </c>
      <c r="U100" s="10" t="s">
        <v>242</v>
      </c>
      <c r="V100" s="10" t="s">
        <v>242</v>
      </c>
      <c r="W100" s="10" t="s">
        <v>242</v>
      </c>
      <c r="X100" s="15">
        <f>IF(ISERROR(VLOOKUP($A100,'13. Updated Demand'!A:Z,15,FALSE)),0,VLOOKUP($A100,'13. Updated Demand'!A:Z,15,FALSE))</f>
        <v>0.04</v>
      </c>
      <c r="Y100" s="16">
        <f>IF(ISERROR(VLOOKUP($A100,'13. Updated Demand'!A:Z,16,FALSE)),0,VLOOKUP($A100,'13. Updated Demand'!A:Z,16,FALSE))</f>
        <v>3.29</v>
      </c>
      <c r="Z100" s="16">
        <f>IF(ISERROR(VLOOKUP($A100,'13. Updated Demand'!A:Z,17,FALSE)),0,VLOOKUP($A100,'13. Updated Demand'!A:Z,17,FALSE))</f>
        <v>3.29</v>
      </c>
      <c r="AA100" s="16">
        <f>IF(ISERROR(VLOOKUP($A100,'13. Updated Demand'!A:Z,18,FALSE)),0,VLOOKUP($A100,'13. Updated Demand'!A:Z,18,FALSE))</f>
        <v>0.04</v>
      </c>
      <c r="AB100" s="16">
        <f>IF(ISERROR(VLOOKUP($A100,'13. Updated Demand'!A:Z,19,FALSE)),0,VLOOKUP($A100,'13. Updated Demand'!A:Z,19,FALSE))</f>
        <v>0.04</v>
      </c>
      <c r="AC100" s="16">
        <f>IF(ISERROR(VLOOKUP($A100,'13. Updated Demand'!A:Z,20,FALSE)),0,VLOOKUP($A100,'13. Updated Demand'!A:Z,20,FALSE))</f>
        <v>0.04</v>
      </c>
      <c r="AD100" s="16">
        <f>IF(ISERROR(VLOOKUP($A100,'13. Updated Demand'!A:Z,21,FALSE)),0,VLOOKUP($A100,'13. Updated Demand'!A:Z,21,FALSE))</f>
        <v>0.04</v>
      </c>
      <c r="AE100" s="16">
        <f>IF(ISERROR(VLOOKUP($A100,'13. Updated Demand'!A:Z,22,FALSE)),0,VLOOKUP($A100,'13. Updated Demand'!A:Z,22,FALSE))</f>
        <v>0.04</v>
      </c>
      <c r="AF100" s="16">
        <f>IF(ISERROR(VLOOKUP($A100,'13. Updated Demand'!A:Z,23,FALSE)),0,VLOOKUP($A100,'13. Updated Demand'!A:Z,23,FALSE))</f>
        <v>0.04</v>
      </c>
      <c r="AG100" s="16">
        <f>IF(ISERROR(VLOOKUP($A100,'13. Updated Demand'!A:Z,24,FALSE)),0,VLOOKUP($A100,'13. Updated Demand'!A:Z,24,FALSE))</f>
        <v>0.04</v>
      </c>
      <c r="AH100" s="16">
        <f>IF(ISERROR(VLOOKUP($A100,'13. Updated Demand'!A:Z,25,FALSE)),0,VLOOKUP($A100,'13. Updated Demand'!A:Z,25,FALSE))</f>
        <v>0.04</v>
      </c>
      <c r="AI100" s="16">
        <f>IF(ISERROR(VLOOKUP($A100,'13. Updated Demand'!A:Z,26,FALSE)),0,VLOOKUP($A100,'13. Updated Demand'!A:Z,26,FALSE))</f>
        <v>0.04</v>
      </c>
      <c r="AJ100" s="16">
        <f t="shared" si="24"/>
        <v>6.98</v>
      </c>
      <c r="AK100" s="19">
        <v>0.22999999999999998</v>
      </c>
      <c r="AL100" s="16">
        <f t="shared" si="22"/>
        <v>7.6288380053796698E-4</v>
      </c>
      <c r="AM100" s="17">
        <v>0.90642673521850925</v>
      </c>
      <c r="AN100" s="19"/>
      <c r="AO100" s="19"/>
      <c r="AP100" s="19">
        <v>7.78</v>
      </c>
      <c r="AQ100" s="19" t="s">
        <v>307</v>
      </c>
      <c r="AR100" s="9" t="s">
        <v>319</v>
      </c>
      <c r="AS100" s="12">
        <v>3.4039024194010059E-4</v>
      </c>
      <c r="AT100" s="19">
        <v>38.895200000000003</v>
      </c>
      <c r="AU100" s="19">
        <v>-122.9855</v>
      </c>
      <c r="AV100" s="19" t="s">
        <v>395</v>
      </c>
    </row>
    <row r="101" spans="1:48" x14ac:dyDescent="0.25">
      <c r="A101" s="18" t="s">
        <v>450</v>
      </c>
      <c r="B101" s="10">
        <v>20130703</v>
      </c>
      <c r="C101" s="9">
        <v>4</v>
      </c>
      <c r="D101" s="8" t="str">
        <f t="shared" si="13"/>
        <v>Y</v>
      </c>
      <c r="E101" s="8" t="str">
        <f t="shared" si="14"/>
        <v>N</v>
      </c>
      <c r="F101" s="8" t="str">
        <f t="shared" si="15"/>
        <v>Y</v>
      </c>
      <c r="G101" s="8" t="str">
        <f t="shared" si="16"/>
        <v>Y</v>
      </c>
      <c r="H101" s="8" t="str">
        <f t="shared" si="17"/>
        <v>Upper</v>
      </c>
      <c r="I101" s="8" t="str">
        <f t="shared" si="18"/>
        <v>West Fork and Below Lake</v>
      </c>
      <c r="J101" s="8" t="str">
        <f t="shared" si="19"/>
        <v>Mendocino (d/s of lake)</v>
      </c>
      <c r="K101" s="8" t="str">
        <f t="shared" si="20"/>
        <v>Post-1949</v>
      </c>
      <c r="L101" s="8">
        <f t="shared" si="21"/>
        <v>2013</v>
      </c>
      <c r="M101" s="8" t="str">
        <f t="shared" si="23"/>
        <v>1991-present</v>
      </c>
      <c r="N101" s="10" t="s">
        <v>242</v>
      </c>
      <c r="O101" s="10" t="s">
        <v>241</v>
      </c>
      <c r="P101" s="10" t="s">
        <v>242</v>
      </c>
      <c r="Q101" s="10" t="s">
        <v>242</v>
      </c>
      <c r="R101" s="10" t="s">
        <v>241</v>
      </c>
      <c r="S101" s="10" t="s">
        <v>242</v>
      </c>
      <c r="T101" s="10" t="s">
        <v>242</v>
      </c>
      <c r="U101" s="10" t="s">
        <v>241</v>
      </c>
      <c r="V101" s="10" t="s">
        <v>241</v>
      </c>
      <c r="W101" s="10" t="s">
        <v>242</v>
      </c>
      <c r="X101" s="15">
        <f>IF(ISERROR(VLOOKUP($A101,'13. Updated Demand'!A:Z,15,FALSE)),0,VLOOKUP($A101,'13. Updated Demand'!A:Z,15,FALSE))</f>
        <v>0</v>
      </c>
      <c r="Y101" s="16">
        <f>IF(ISERROR(VLOOKUP($A101,'13. Updated Demand'!A:Z,16,FALSE)),0,VLOOKUP($A101,'13. Updated Demand'!A:Z,16,FALSE))</f>
        <v>0</v>
      </c>
      <c r="Z101" s="16">
        <f>IF(ISERROR(VLOOKUP($A101,'13. Updated Demand'!A:Z,17,FALSE)),0,VLOOKUP($A101,'13. Updated Demand'!A:Z,17,FALSE))</f>
        <v>0</v>
      </c>
      <c r="AA101" s="16">
        <f>IF(ISERROR(VLOOKUP($A101,'13. Updated Demand'!A:Z,18,FALSE)),0,VLOOKUP($A101,'13. Updated Demand'!A:Z,18,FALSE))</f>
        <v>0</v>
      </c>
      <c r="AB101" s="16">
        <f>IF(ISERROR(VLOOKUP($A101,'13. Updated Demand'!A:Z,19,FALSE)),0,VLOOKUP($A101,'13. Updated Demand'!A:Z,19,FALSE))</f>
        <v>0</v>
      </c>
      <c r="AC101" s="16">
        <f>IF(ISERROR(VLOOKUP($A101,'13. Updated Demand'!A:Z,20,FALSE)),0,VLOOKUP($A101,'13. Updated Demand'!A:Z,20,FALSE))</f>
        <v>0</v>
      </c>
      <c r="AD101" s="16">
        <f>IF(ISERROR(VLOOKUP($A101,'13. Updated Demand'!A:Z,21,FALSE)),0,VLOOKUP($A101,'13. Updated Demand'!A:Z,21,FALSE))</f>
        <v>0</v>
      </c>
      <c r="AE101" s="16">
        <f>IF(ISERROR(VLOOKUP($A101,'13. Updated Demand'!A:Z,22,FALSE)),0,VLOOKUP($A101,'13. Updated Demand'!A:Z,22,FALSE))</f>
        <v>0</v>
      </c>
      <c r="AF101" s="16">
        <f>IF(ISERROR(VLOOKUP($A101,'13. Updated Demand'!A:Z,23,FALSE)),0,VLOOKUP($A101,'13. Updated Demand'!A:Z,23,FALSE))</f>
        <v>0</v>
      </c>
      <c r="AG101" s="16">
        <f>IF(ISERROR(VLOOKUP($A101,'13. Updated Demand'!A:Z,24,FALSE)),0,VLOOKUP($A101,'13. Updated Demand'!A:Z,24,FALSE))</f>
        <v>0</v>
      </c>
      <c r="AH101" s="16">
        <f>IF(ISERROR(VLOOKUP($A101,'13. Updated Demand'!A:Z,25,FALSE)),0,VLOOKUP($A101,'13. Updated Demand'!A:Z,25,FALSE))</f>
        <v>0</v>
      </c>
      <c r="AI101" s="16">
        <f>IF(ISERROR(VLOOKUP($A101,'13. Updated Demand'!A:Z,26,FALSE)),0,VLOOKUP($A101,'13. Updated Demand'!A:Z,26,FALSE))</f>
        <v>0</v>
      </c>
      <c r="AJ101" s="16">
        <f t="shared" si="24"/>
        <v>0</v>
      </c>
      <c r="AK101" s="19">
        <v>0</v>
      </c>
      <c r="AL101" s="16">
        <f t="shared" si="22"/>
        <v>0</v>
      </c>
      <c r="AM101" s="17">
        <v>0</v>
      </c>
      <c r="AN101" s="19"/>
      <c r="AO101" s="19"/>
      <c r="AP101" s="19">
        <v>5</v>
      </c>
      <c r="AQ101" s="19" t="s">
        <v>307</v>
      </c>
      <c r="AR101" s="9" t="s">
        <v>331</v>
      </c>
      <c r="AS101" s="12">
        <v>0</v>
      </c>
      <c r="AT101" s="19">
        <v>39.189500000000002</v>
      </c>
      <c r="AU101" s="19">
        <v>-123.1549</v>
      </c>
      <c r="AV101" s="19" t="s">
        <v>451</v>
      </c>
    </row>
    <row r="102" spans="1:48" x14ac:dyDescent="0.25">
      <c r="A102" s="18" t="s">
        <v>452</v>
      </c>
      <c r="B102" s="10">
        <v>20130705</v>
      </c>
      <c r="C102" s="9">
        <v>23</v>
      </c>
      <c r="D102" s="8" t="str">
        <f t="shared" si="13"/>
        <v>N</v>
      </c>
      <c r="E102" s="8" t="str">
        <f t="shared" si="14"/>
        <v>N</v>
      </c>
      <c r="F102" s="8" t="str">
        <f t="shared" si="15"/>
        <v>N</v>
      </c>
      <c r="G102" s="8" t="str">
        <f t="shared" si="16"/>
        <v>N</v>
      </c>
      <c r="H102" s="8" t="str">
        <f t="shared" si="17"/>
        <v>Lower</v>
      </c>
      <c r="I102" s="8" t="str">
        <f t="shared" si="18"/>
        <v>Outside</v>
      </c>
      <c r="J102" s="8" t="str">
        <f t="shared" si="19"/>
        <v>Outside</v>
      </c>
      <c r="K102" s="8" t="str">
        <f t="shared" si="20"/>
        <v>Post-1949</v>
      </c>
      <c r="L102" s="8">
        <f t="shared" si="21"/>
        <v>2013</v>
      </c>
      <c r="M102" s="8" t="str">
        <f t="shared" si="23"/>
        <v>1991-present</v>
      </c>
      <c r="N102" s="10" t="s">
        <v>242</v>
      </c>
      <c r="O102" s="10" t="s">
        <v>242</v>
      </c>
      <c r="P102" s="10" t="s">
        <v>242</v>
      </c>
      <c r="Q102" s="10" t="s">
        <v>242</v>
      </c>
      <c r="R102" s="10" t="s">
        <v>241</v>
      </c>
      <c r="S102" s="10" t="s">
        <v>242</v>
      </c>
      <c r="T102" s="10" t="s">
        <v>242</v>
      </c>
      <c r="U102" s="10" t="s">
        <v>242</v>
      </c>
      <c r="V102" s="10" t="s">
        <v>241</v>
      </c>
      <c r="W102" s="10" t="s">
        <v>242</v>
      </c>
      <c r="X102" s="15">
        <f>IF(ISERROR(VLOOKUP($A102,'13. Updated Demand'!A:Z,15,FALSE)),0,VLOOKUP($A102,'13. Updated Demand'!A:Z,15,FALSE))</f>
        <v>1.67</v>
      </c>
      <c r="Y102" s="16">
        <f>IF(ISERROR(VLOOKUP($A102,'13. Updated Demand'!A:Z,16,FALSE)),0,VLOOKUP($A102,'13. Updated Demand'!A:Z,16,FALSE))</f>
        <v>1.67</v>
      </c>
      <c r="Z102" s="16">
        <f>IF(ISERROR(VLOOKUP($A102,'13. Updated Demand'!A:Z,17,FALSE)),0,VLOOKUP($A102,'13. Updated Demand'!A:Z,17,FALSE))</f>
        <v>1.67</v>
      </c>
      <c r="AA102" s="16">
        <f>IF(ISERROR(VLOOKUP($A102,'13. Updated Demand'!A:Z,18,FALSE)),0,VLOOKUP($A102,'13. Updated Demand'!A:Z,18,FALSE))</f>
        <v>1.67</v>
      </c>
      <c r="AB102" s="16">
        <f>IF(ISERROR(VLOOKUP($A102,'13. Updated Demand'!A:Z,19,FALSE)),0,VLOOKUP($A102,'13. Updated Demand'!A:Z,19,FALSE))</f>
        <v>0</v>
      </c>
      <c r="AC102" s="16">
        <f>IF(ISERROR(VLOOKUP($A102,'13. Updated Demand'!A:Z,20,FALSE)),0,VLOOKUP($A102,'13. Updated Demand'!A:Z,20,FALSE))</f>
        <v>0</v>
      </c>
      <c r="AD102" s="16">
        <f>IF(ISERROR(VLOOKUP($A102,'13. Updated Demand'!A:Z,21,FALSE)),0,VLOOKUP($A102,'13. Updated Demand'!A:Z,21,FALSE))</f>
        <v>0</v>
      </c>
      <c r="AE102" s="16">
        <f>IF(ISERROR(VLOOKUP($A102,'13. Updated Demand'!A:Z,22,FALSE)),0,VLOOKUP($A102,'13. Updated Demand'!A:Z,22,FALSE))</f>
        <v>0</v>
      </c>
      <c r="AF102" s="16">
        <f>IF(ISERROR(VLOOKUP($A102,'13. Updated Demand'!A:Z,23,FALSE)),0,VLOOKUP($A102,'13. Updated Demand'!A:Z,23,FALSE))</f>
        <v>0</v>
      </c>
      <c r="AG102" s="16">
        <f>IF(ISERROR(VLOOKUP($A102,'13. Updated Demand'!A:Z,24,FALSE)),0,VLOOKUP($A102,'13. Updated Demand'!A:Z,24,FALSE))</f>
        <v>0</v>
      </c>
      <c r="AH102" s="16">
        <f>IF(ISERROR(VLOOKUP($A102,'13. Updated Demand'!A:Z,25,FALSE)),0,VLOOKUP($A102,'13. Updated Demand'!A:Z,25,FALSE))</f>
        <v>1.67</v>
      </c>
      <c r="AI102" s="16">
        <f>IF(ISERROR(VLOOKUP($A102,'13. Updated Demand'!A:Z,26,FALSE)),0,VLOOKUP($A102,'13. Updated Demand'!A:Z,26,FALSE))</f>
        <v>1.67</v>
      </c>
      <c r="AJ102" s="16">
        <f t="shared" si="24"/>
        <v>10.02</v>
      </c>
      <c r="AK102" s="19">
        <v>0</v>
      </c>
      <c r="AL102" s="16">
        <f t="shared" si="22"/>
        <v>0</v>
      </c>
      <c r="AM102" s="17">
        <v>1.002</v>
      </c>
      <c r="AN102" s="19"/>
      <c r="AO102" s="19"/>
      <c r="AP102" s="19">
        <v>10</v>
      </c>
      <c r="AQ102" s="19" t="s">
        <v>307</v>
      </c>
      <c r="AR102" s="9" t="s">
        <v>323</v>
      </c>
      <c r="AS102" s="12">
        <v>0</v>
      </c>
      <c r="AT102" s="19">
        <v>38.558900000000001</v>
      </c>
      <c r="AU102" s="19">
        <v>-122.6964</v>
      </c>
      <c r="AV102" s="19" t="s">
        <v>414</v>
      </c>
    </row>
    <row r="103" spans="1:48" x14ac:dyDescent="0.25">
      <c r="A103" s="18" t="s">
        <v>453</v>
      </c>
      <c r="B103" s="10">
        <v>20130724</v>
      </c>
      <c r="C103" s="9">
        <v>23</v>
      </c>
      <c r="D103" s="8" t="str">
        <f t="shared" si="13"/>
        <v>N</v>
      </c>
      <c r="E103" s="8" t="str">
        <f t="shared" si="14"/>
        <v>N</v>
      </c>
      <c r="F103" s="8" t="str">
        <f t="shared" si="15"/>
        <v>N</v>
      </c>
      <c r="G103" s="8" t="str">
        <f t="shared" si="16"/>
        <v>N</v>
      </c>
      <c r="H103" s="8" t="str">
        <f t="shared" si="17"/>
        <v>Lower</v>
      </c>
      <c r="I103" s="8" t="str">
        <f t="shared" si="18"/>
        <v>Outside</v>
      </c>
      <c r="J103" s="8" t="str">
        <f t="shared" si="19"/>
        <v>Outside</v>
      </c>
      <c r="K103" s="8" t="str">
        <f t="shared" si="20"/>
        <v>Post-1949</v>
      </c>
      <c r="L103" s="8">
        <f t="shared" si="21"/>
        <v>2013</v>
      </c>
      <c r="M103" s="8" t="str">
        <f t="shared" si="23"/>
        <v>1991-present</v>
      </c>
      <c r="N103" s="10" t="s">
        <v>242</v>
      </c>
      <c r="O103" s="10" t="s">
        <v>242</v>
      </c>
      <c r="P103" s="10" t="s">
        <v>242</v>
      </c>
      <c r="Q103" s="10" t="s">
        <v>242</v>
      </c>
      <c r="R103" s="10" t="s">
        <v>241</v>
      </c>
      <c r="S103" s="10" t="s">
        <v>242</v>
      </c>
      <c r="T103" s="10" t="s">
        <v>242</v>
      </c>
      <c r="U103" s="10" t="s">
        <v>242</v>
      </c>
      <c r="V103" s="10" t="s">
        <v>241</v>
      </c>
      <c r="W103" s="10" t="s">
        <v>242</v>
      </c>
      <c r="X103" s="15">
        <f>IF(ISERROR(VLOOKUP($A103,'13. Updated Demand'!A:Z,15,FALSE)),0,VLOOKUP($A103,'13. Updated Demand'!A:Z,15,FALSE))</f>
        <v>6.6666666999999999E-2</v>
      </c>
      <c r="Y103" s="16">
        <f>IF(ISERROR(VLOOKUP($A103,'13. Updated Demand'!A:Z,16,FALSE)),0,VLOOKUP($A103,'13. Updated Demand'!A:Z,16,FALSE))</f>
        <v>0</v>
      </c>
      <c r="Z103" s="16">
        <f>IF(ISERROR(VLOOKUP($A103,'13. Updated Demand'!A:Z,17,FALSE)),0,VLOOKUP($A103,'13. Updated Demand'!A:Z,17,FALSE))</f>
        <v>0</v>
      </c>
      <c r="AA103" s="16">
        <f>IF(ISERROR(VLOOKUP($A103,'13. Updated Demand'!A:Z,18,FALSE)),0,VLOOKUP($A103,'13. Updated Demand'!A:Z,18,FALSE))</f>
        <v>0</v>
      </c>
      <c r="AB103" s="16">
        <f>IF(ISERROR(VLOOKUP($A103,'13. Updated Demand'!A:Z,19,FALSE)),0,VLOOKUP($A103,'13. Updated Demand'!A:Z,19,FALSE))</f>
        <v>0</v>
      </c>
      <c r="AC103" s="16">
        <f>IF(ISERROR(VLOOKUP($A103,'13. Updated Demand'!A:Z,20,FALSE)),0,VLOOKUP($A103,'13. Updated Demand'!A:Z,20,FALSE))</f>
        <v>0</v>
      </c>
      <c r="AD103" s="16">
        <f>IF(ISERROR(VLOOKUP($A103,'13. Updated Demand'!A:Z,21,FALSE)),0,VLOOKUP($A103,'13. Updated Demand'!A:Z,21,FALSE))</f>
        <v>0</v>
      </c>
      <c r="AE103" s="16">
        <f>IF(ISERROR(VLOOKUP($A103,'13. Updated Demand'!A:Z,22,FALSE)),0,VLOOKUP($A103,'13. Updated Demand'!A:Z,22,FALSE))</f>
        <v>0</v>
      </c>
      <c r="AF103" s="16">
        <f>IF(ISERROR(VLOOKUP($A103,'13. Updated Demand'!A:Z,23,FALSE)),0,VLOOKUP($A103,'13. Updated Demand'!A:Z,23,FALSE))</f>
        <v>0</v>
      </c>
      <c r="AG103" s="16">
        <f>IF(ISERROR(VLOOKUP($A103,'13. Updated Demand'!A:Z,24,FALSE)),0,VLOOKUP($A103,'13. Updated Demand'!A:Z,24,FALSE))</f>
        <v>0</v>
      </c>
      <c r="AH103" s="16">
        <f>IF(ISERROR(VLOOKUP($A103,'13. Updated Demand'!A:Z,25,FALSE)),0,VLOOKUP($A103,'13. Updated Demand'!A:Z,25,FALSE))</f>
        <v>0.1</v>
      </c>
      <c r="AI103" s="16">
        <f>IF(ISERROR(VLOOKUP($A103,'13. Updated Demand'!A:Z,26,FALSE)),0,VLOOKUP($A103,'13. Updated Demand'!A:Z,26,FALSE))</f>
        <v>0.2</v>
      </c>
      <c r="AJ103" s="16">
        <f t="shared" si="24"/>
        <v>0.366666667</v>
      </c>
      <c r="AK103" s="19">
        <v>0</v>
      </c>
      <c r="AL103" s="16">
        <f t="shared" si="22"/>
        <v>0</v>
      </c>
      <c r="AM103" s="17">
        <v>0.91666666749999992</v>
      </c>
      <c r="AN103" s="19"/>
      <c r="AO103" s="19"/>
      <c r="AP103" s="19">
        <v>0.4</v>
      </c>
      <c r="AQ103" s="19" t="s">
        <v>307</v>
      </c>
      <c r="AR103" s="9" t="s">
        <v>323</v>
      </c>
      <c r="AS103" s="12">
        <v>3.4039024194010059E-4</v>
      </c>
      <c r="AT103" s="19">
        <v>38.5242</v>
      </c>
      <c r="AU103" s="19">
        <v>-122.55329999999999</v>
      </c>
      <c r="AV103" s="19" t="s">
        <v>385</v>
      </c>
    </row>
    <row r="104" spans="1:48" x14ac:dyDescent="0.25">
      <c r="A104" s="18" t="s">
        <v>454</v>
      </c>
      <c r="B104" s="10">
        <v>20131011</v>
      </c>
      <c r="C104" s="9">
        <v>12</v>
      </c>
      <c r="D104" s="8" t="str">
        <f t="shared" si="13"/>
        <v>N</v>
      </c>
      <c r="E104" s="8" t="str">
        <f t="shared" si="14"/>
        <v>Y</v>
      </c>
      <c r="F104" s="8" t="str">
        <f t="shared" si="15"/>
        <v>Y</v>
      </c>
      <c r="G104" s="8" t="str">
        <f t="shared" si="16"/>
        <v>Y</v>
      </c>
      <c r="H104" s="8" t="str">
        <f t="shared" si="17"/>
        <v>Upper</v>
      </c>
      <c r="I104" s="8" t="str">
        <f t="shared" si="18"/>
        <v>West Fork and Below Lake</v>
      </c>
      <c r="J104" s="8" t="str">
        <f t="shared" si="19"/>
        <v>Sonoma (d/s of Clov. Gage)</v>
      </c>
      <c r="K104" s="8" t="str">
        <f t="shared" si="20"/>
        <v>Post-1949</v>
      </c>
      <c r="L104" s="8">
        <f t="shared" si="21"/>
        <v>2013</v>
      </c>
      <c r="M104" s="8" t="str">
        <f t="shared" si="23"/>
        <v>1991-present</v>
      </c>
      <c r="N104" s="10" t="s">
        <v>241</v>
      </c>
      <c r="O104" s="10" t="s">
        <v>241</v>
      </c>
      <c r="P104" s="10" t="s">
        <v>242</v>
      </c>
      <c r="Q104" s="10" t="s">
        <v>242</v>
      </c>
      <c r="R104" s="10" t="s">
        <v>241</v>
      </c>
      <c r="S104" s="10" t="s">
        <v>242</v>
      </c>
      <c r="T104" s="10" t="s">
        <v>242</v>
      </c>
      <c r="U104" s="10" t="s">
        <v>242</v>
      </c>
      <c r="V104" s="10" t="s">
        <v>241</v>
      </c>
      <c r="W104" s="10" t="s">
        <v>242</v>
      </c>
      <c r="X104" s="15">
        <f>IF(ISERROR(VLOOKUP($A104,'13. Updated Demand'!A:Z,15,FALSE)),0,VLOOKUP($A104,'13. Updated Demand'!A:Z,15,FALSE))</f>
        <v>1</v>
      </c>
      <c r="Y104" s="16">
        <f>IF(ISERROR(VLOOKUP($A104,'13. Updated Demand'!A:Z,16,FALSE)),0,VLOOKUP($A104,'13. Updated Demand'!A:Z,16,FALSE))</f>
        <v>1</v>
      </c>
      <c r="Z104" s="16">
        <f>IF(ISERROR(VLOOKUP($A104,'13. Updated Demand'!A:Z,17,FALSE)),0,VLOOKUP($A104,'13. Updated Demand'!A:Z,17,FALSE))</f>
        <v>1</v>
      </c>
      <c r="AA104" s="16">
        <f>IF(ISERROR(VLOOKUP($A104,'13. Updated Demand'!A:Z,18,FALSE)),0,VLOOKUP($A104,'13. Updated Demand'!A:Z,18,FALSE))</f>
        <v>0.5</v>
      </c>
      <c r="AB104" s="16">
        <f>IF(ISERROR(VLOOKUP($A104,'13. Updated Demand'!A:Z,19,FALSE)),0,VLOOKUP($A104,'13. Updated Demand'!A:Z,19,FALSE))</f>
        <v>0</v>
      </c>
      <c r="AC104" s="16">
        <f>IF(ISERROR(VLOOKUP($A104,'13. Updated Demand'!A:Z,20,FALSE)),0,VLOOKUP($A104,'13. Updated Demand'!A:Z,20,FALSE))</f>
        <v>0</v>
      </c>
      <c r="AD104" s="16">
        <f>IF(ISERROR(VLOOKUP($A104,'13. Updated Demand'!A:Z,21,FALSE)),0,VLOOKUP($A104,'13. Updated Demand'!A:Z,21,FALSE))</f>
        <v>0</v>
      </c>
      <c r="AE104" s="16">
        <f>IF(ISERROR(VLOOKUP($A104,'13. Updated Demand'!A:Z,22,FALSE)),0,VLOOKUP($A104,'13. Updated Demand'!A:Z,22,FALSE))</f>
        <v>0</v>
      </c>
      <c r="AF104" s="16">
        <f>IF(ISERROR(VLOOKUP($A104,'13. Updated Demand'!A:Z,23,FALSE)),0,VLOOKUP($A104,'13. Updated Demand'!A:Z,23,FALSE))</f>
        <v>0</v>
      </c>
      <c r="AG104" s="16">
        <f>IF(ISERROR(VLOOKUP($A104,'13. Updated Demand'!A:Z,24,FALSE)),0,VLOOKUP($A104,'13. Updated Demand'!A:Z,24,FALSE))</f>
        <v>0</v>
      </c>
      <c r="AH104" s="16">
        <f>IF(ISERROR(VLOOKUP($A104,'13. Updated Demand'!A:Z,25,FALSE)),0,VLOOKUP($A104,'13. Updated Demand'!A:Z,25,FALSE))</f>
        <v>0.5</v>
      </c>
      <c r="AI104" s="16">
        <f>IF(ISERROR(VLOOKUP($A104,'13. Updated Demand'!A:Z,26,FALSE)),0,VLOOKUP($A104,'13. Updated Demand'!A:Z,26,FALSE))</f>
        <v>0.5</v>
      </c>
      <c r="AJ104" s="16">
        <f t="shared" si="24"/>
        <v>4.5</v>
      </c>
      <c r="AK104" s="19">
        <v>0</v>
      </c>
      <c r="AL104" s="16">
        <f t="shared" si="22"/>
        <v>0</v>
      </c>
      <c r="AM104" s="17">
        <v>0.78947368421052633</v>
      </c>
      <c r="AN104" s="19"/>
      <c r="AO104" s="19"/>
      <c r="AP104" s="19">
        <v>5.7</v>
      </c>
      <c r="AQ104" s="19" t="s">
        <v>307</v>
      </c>
      <c r="AR104" s="9" t="s">
        <v>311</v>
      </c>
      <c r="AS104" s="12">
        <v>0</v>
      </c>
      <c r="AT104" s="19">
        <v>38.649799999999999</v>
      </c>
      <c r="AU104" s="19">
        <v>-122.8194</v>
      </c>
      <c r="AV104" s="19" t="s">
        <v>385</v>
      </c>
    </row>
    <row r="105" spans="1:48" x14ac:dyDescent="0.25">
      <c r="A105" s="18" t="s">
        <v>455</v>
      </c>
      <c r="B105" s="10">
        <v>20130222</v>
      </c>
      <c r="C105" s="9">
        <v>1</v>
      </c>
      <c r="D105" s="8" t="str">
        <f t="shared" si="13"/>
        <v>N</v>
      </c>
      <c r="E105" s="8" t="str">
        <f t="shared" si="14"/>
        <v>N</v>
      </c>
      <c r="F105" s="8" t="str">
        <f t="shared" si="15"/>
        <v>Y</v>
      </c>
      <c r="G105" s="8" t="str">
        <f t="shared" si="16"/>
        <v>Y</v>
      </c>
      <c r="H105" s="8" t="str">
        <f t="shared" si="17"/>
        <v>Upper</v>
      </c>
      <c r="I105" s="8" t="str">
        <f t="shared" si="18"/>
        <v>West Fork and Below Lake</v>
      </c>
      <c r="J105" s="8" t="str">
        <f t="shared" si="19"/>
        <v>Outside</v>
      </c>
      <c r="K105" s="8" t="str">
        <f t="shared" si="20"/>
        <v>Post-1949</v>
      </c>
      <c r="L105" s="8">
        <f t="shared" si="21"/>
        <v>2013</v>
      </c>
      <c r="M105" s="8" t="str">
        <f t="shared" si="23"/>
        <v>1991-present</v>
      </c>
      <c r="N105" s="10" t="s">
        <v>242</v>
      </c>
      <c r="O105" s="10" t="s">
        <v>241</v>
      </c>
      <c r="P105" s="10" t="s">
        <v>242</v>
      </c>
      <c r="Q105" s="10" t="s">
        <v>242</v>
      </c>
      <c r="R105" s="10" t="s">
        <v>241</v>
      </c>
      <c r="S105" s="10" t="s">
        <v>242</v>
      </c>
      <c r="T105" s="10" t="s">
        <v>242</v>
      </c>
      <c r="U105" s="10" t="s">
        <v>242</v>
      </c>
      <c r="V105" s="10" t="s">
        <v>241</v>
      </c>
      <c r="W105" s="10" t="s">
        <v>242</v>
      </c>
      <c r="X105" s="15">
        <f>IF(ISERROR(VLOOKUP($A105,'13. Updated Demand'!A:Z,15,FALSE)),0,VLOOKUP($A105,'13. Updated Demand'!A:Z,15,FALSE))</f>
        <v>2</v>
      </c>
      <c r="Y105" s="16">
        <f>IF(ISERROR(VLOOKUP($A105,'13. Updated Demand'!A:Z,16,FALSE)),0,VLOOKUP($A105,'13. Updated Demand'!A:Z,16,FALSE))</f>
        <v>1.33</v>
      </c>
      <c r="Z105" s="16">
        <f>IF(ISERROR(VLOOKUP($A105,'13. Updated Demand'!A:Z,17,FALSE)),0,VLOOKUP($A105,'13. Updated Demand'!A:Z,17,FALSE))</f>
        <v>0</v>
      </c>
      <c r="AA105" s="16">
        <f>IF(ISERROR(VLOOKUP($A105,'13. Updated Demand'!A:Z,18,FALSE)),0,VLOOKUP($A105,'13. Updated Demand'!A:Z,18,FALSE))</f>
        <v>3.2</v>
      </c>
      <c r="AB105" s="16">
        <f>IF(ISERROR(VLOOKUP($A105,'13. Updated Demand'!A:Z,19,FALSE)),0,VLOOKUP($A105,'13. Updated Demand'!A:Z,19,FALSE))</f>
        <v>0</v>
      </c>
      <c r="AC105" s="16">
        <f>IF(ISERROR(VLOOKUP($A105,'13. Updated Demand'!A:Z,20,FALSE)),0,VLOOKUP($A105,'13. Updated Demand'!A:Z,20,FALSE))</f>
        <v>0</v>
      </c>
      <c r="AD105" s="16">
        <f>IF(ISERROR(VLOOKUP($A105,'13. Updated Demand'!A:Z,21,FALSE)),0,VLOOKUP($A105,'13. Updated Demand'!A:Z,21,FALSE))</f>
        <v>0</v>
      </c>
      <c r="AE105" s="16">
        <f>IF(ISERROR(VLOOKUP($A105,'13. Updated Demand'!A:Z,22,FALSE)),0,VLOOKUP($A105,'13. Updated Demand'!A:Z,22,FALSE))</f>
        <v>0</v>
      </c>
      <c r="AF105" s="16">
        <f>IF(ISERROR(VLOOKUP($A105,'13. Updated Demand'!A:Z,23,FALSE)),0,VLOOKUP($A105,'13. Updated Demand'!A:Z,23,FALSE))</f>
        <v>0</v>
      </c>
      <c r="AG105" s="16">
        <f>IF(ISERROR(VLOOKUP($A105,'13. Updated Demand'!A:Z,24,FALSE)),0,VLOOKUP($A105,'13. Updated Demand'!A:Z,24,FALSE))</f>
        <v>0</v>
      </c>
      <c r="AH105" s="16">
        <f>IF(ISERROR(VLOOKUP($A105,'13. Updated Demand'!A:Z,25,FALSE)),0,VLOOKUP($A105,'13. Updated Demand'!A:Z,25,FALSE))</f>
        <v>0</v>
      </c>
      <c r="AI105" s="16">
        <f>IF(ISERROR(VLOOKUP($A105,'13. Updated Demand'!A:Z,26,FALSE)),0,VLOOKUP($A105,'13. Updated Demand'!A:Z,26,FALSE))</f>
        <v>0</v>
      </c>
      <c r="AJ105" s="16">
        <f t="shared" si="24"/>
        <v>6.53</v>
      </c>
      <c r="AK105" s="19">
        <v>0</v>
      </c>
      <c r="AL105" s="16">
        <f t="shared" si="22"/>
        <v>0</v>
      </c>
      <c r="AM105" s="17">
        <v>0.32678304999999996</v>
      </c>
      <c r="AN105" s="19"/>
      <c r="AO105" s="19"/>
      <c r="AP105" s="19">
        <v>20</v>
      </c>
      <c r="AQ105" s="19" t="s">
        <v>307</v>
      </c>
      <c r="AR105" s="9" t="s">
        <v>317</v>
      </c>
      <c r="AS105" s="12">
        <v>0</v>
      </c>
      <c r="AT105" s="19">
        <v>39.208100000000002</v>
      </c>
      <c r="AU105" s="19">
        <v>-123.2003</v>
      </c>
      <c r="AV105" s="19" t="s">
        <v>456</v>
      </c>
    </row>
    <row r="106" spans="1:48" x14ac:dyDescent="0.25">
      <c r="A106" s="18" t="s">
        <v>457</v>
      </c>
      <c r="B106" s="10">
        <v>20130211</v>
      </c>
      <c r="C106" s="9">
        <v>6</v>
      </c>
      <c r="D106" s="8" t="str">
        <f t="shared" si="13"/>
        <v>Y</v>
      </c>
      <c r="E106" s="8" t="str">
        <f t="shared" si="14"/>
        <v>N</v>
      </c>
      <c r="F106" s="8" t="str">
        <f t="shared" si="15"/>
        <v>Y</v>
      </c>
      <c r="G106" s="8" t="str">
        <f t="shared" si="16"/>
        <v>Y</v>
      </c>
      <c r="H106" s="8" t="str">
        <f t="shared" si="17"/>
        <v>Upper</v>
      </c>
      <c r="I106" s="8" t="str">
        <f t="shared" si="18"/>
        <v>West Fork and Below Lake</v>
      </c>
      <c r="J106" s="8" t="str">
        <f t="shared" si="19"/>
        <v>Mendocino (d/s of lake)</v>
      </c>
      <c r="K106" s="8" t="str">
        <f t="shared" si="20"/>
        <v>Post-1949</v>
      </c>
      <c r="L106" s="8">
        <f t="shared" si="21"/>
        <v>2013</v>
      </c>
      <c r="M106" s="8" t="str">
        <f t="shared" si="23"/>
        <v>1991-present</v>
      </c>
      <c r="N106" s="10" t="s">
        <v>242</v>
      </c>
      <c r="O106" s="10" t="s">
        <v>241</v>
      </c>
      <c r="P106" s="10" t="s">
        <v>242</v>
      </c>
      <c r="Q106" s="10" t="s">
        <v>242</v>
      </c>
      <c r="R106" s="10" t="s">
        <v>241</v>
      </c>
      <c r="S106" s="10" t="s">
        <v>242</v>
      </c>
      <c r="T106" s="10" t="s">
        <v>242</v>
      </c>
      <c r="U106" s="10" t="s">
        <v>242</v>
      </c>
      <c r="V106" s="10" t="s">
        <v>241</v>
      </c>
      <c r="W106" s="10" t="s">
        <v>242</v>
      </c>
      <c r="X106" s="15">
        <f>IF(ISERROR(VLOOKUP($A106,'13. Updated Demand'!A:Z,15,FALSE)),0,VLOOKUP($A106,'13. Updated Demand'!A:Z,15,FALSE))</f>
        <v>0</v>
      </c>
      <c r="Y106" s="16">
        <f>IF(ISERROR(VLOOKUP($A106,'13. Updated Demand'!A:Z,16,FALSE)),0,VLOOKUP($A106,'13. Updated Demand'!A:Z,16,FALSE))</f>
        <v>0</v>
      </c>
      <c r="Z106" s="16">
        <f>IF(ISERROR(VLOOKUP($A106,'13. Updated Demand'!A:Z,17,FALSE)),0,VLOOKUP($A106,'13. Updated Demand'!A:Z,17,FALSE))</f>
        <v>0</v>
      </c>
      <c r="AA106" s="16">
        <f>IF(ISERROR(VLOOKUP($A106,'13. Updated Demand'!A:Z,18,FALSE)),0,VLOOKUP($A106,'13. Updated Demand'!A:Z,18,FALSE))</f>
        <v>0</v>
      </c>
      <c r="AB106" s="16">
        <f>IF(ISERROR(VLOOKUP($A106,'13. Updated Demand'!A:Z,19,FALSE)),0,VLOOKUP($A106,'13. Updated Demand'!A:Z,19,FALSE))</f>
        <v>0</v>
      </c>
      <c r="AC106" s="16">
        <f>IF(ISERROR(VLOOKUP($A106,'13. Updated Demand'!A:Z,20,FALSE)),0,VLOOKUP($A106,'13. Updated Demand'!A:Z,20,FALSE))</f>
        <v>0</v>
      </c>
      <c r="AD106" s="16">
        <f>IF(ISERROR(VLOOKUP($A106,'13. Updated Demand'!A:Z,21,FALSE)),0,VLOOKUP($A106,'13. Updated Demand'!A:Z,21,FALSE))</f>
        <v>0</v>
      </c>
      <c r="AE106" s="16">
        <f>IF(ISERROR(VLOOKUP($A106,'13. Updated Demand'!A:Z,22,FALSE)),0,VLOOKUP($A106,'13. Updated Demand'!A:Z,22,FALSE))</f>
        <v>0</v>
      </c>
      <c r="AF106" s="16">
        <f>IF(ISERROR(VLOOKUP($A106,'13. Updated Demand'!A:Z,23,FALSE)),0,VLOOKUP($A106,'13. Updated Demand'!A:Z,23,FALSE))</f>
        <v>0</v>
      </c>
      <c r="AG106" s="16">
        <f>IF(ISERROR(VLOOKUP($A106,'13. Updated Demand'!A:Z,24,FALSE)),0,VLOOKUP($A106,'13. Updated Demand'!A:Z,24,FALSE))</f>
        <v>0</v>
      </c>
      <c r="AH106" s="16">
        <f>IF(ISERROR(VLOOKUP($A106,'13. Updated Demand'!A:Z,25,FALSE)),0,VLOOKUP($A106,'13. Updated Demand'!A:Z,25,FALSE))</f>
        <v>0.93</v>
      </c>
      <c r="AI106" s="16">
        <f>IF(ISERROR(VLOOKUP($A106,'13. Updated Demand'!A:Z,26,FALSE)),0,VLOOKUP($A106,'13. Updated Demand'!A:Z,26,FALSE))</f>
        <v>0.33</v>
      </c>
      <c r="AJ106" s="16">
        <f t="shared" si="24"/>
        <v>1.26</v>
      </c>
      <c r="AK106" s="19">
        <v>0</v>
      </c>
      <c r="AL106" s="16">
        <f t="shared" si="22"/>
        <v>0</v>
      </c>
      <c r="AM106" s="17">
        <v>0.97435897384615378</v>
      </c>
      <c r="AN106" s="19"/>
      <c r="AO106" s="19"/>
      <c r="AP106" s="19">
        <v>1.3</v>
      </c>
      <c r="AQ106" s="19" t="s">
        <v>307</v>
      </c>
      <c r="AR106" s="9" t="s">
        <v>319</v>
      </c>
      <c r="AS106" s="12">
        <v>0</v>
      </c>
      <c r="AT106" s="19">
        <v>38.909100000000002</v>
      </c>
      <c r="AU106" s="19">
        <v>-123.0744</v>
      </c>
      <c r="AV106" s="19"/>
    </row>
    <row r="107" spans="1:48" x14ac:dyDescent="0.25">
      <c r="A107" s="18" t="s">
        <v>458</v>
      </c>
      <c r="B107" s="10">
        <v>20130422</v>
      </c>
      <c r="C107" s="9">
        <v>6</v>
      </c>
      <c r="D107" s="8" t="str">
        <f t="shared" si="13"/>
        <v>Y</v>
      </c>
      <c r="E107" s="8" t="str">
        <f t="shared" si="14"/>
        <v>N</v>
      </c>
      <c r="F107" s="8" t="str">
        <f t="shared" si="15"/>
        <v>Y</v>
      </c>
      <c r="G107" s="8" t="str">
        <f t="shared" si="16"/>
        <v>Y</v>
      </c>
      <c r="H107" s="8" t="str">
        <f t="shared" si="17"/>
        <v>Upper</v>
      </c>
      <c r="I107" s="8" t="str">
        <f t="shared" si="18"/>
        <v>West Fork and Below Lake</v>
      </c>
      <c r="J107" s="8" t="str">
        <f t="shared" si="19"/>
        <v>Mendocino (d/s of lake)</v>
      </c>
      <c r="K107" s="8" t="str">
        <f t="shared" si="20"/>
        <v>Post-1949</v>
      </c>
      <c r="L107" s="8">
        <f t="shared" si="21"/>
        <v>2013</v>
      </c>
      <c r="M107" s="8" t="str">
        <f t="shared" si="23"/>
        <v>1991-present</v>
      </c>
      <c r="N107" s="10" t="s">
        <v>242</v>
      </c>
      <c r="O107" s="10" t="s">
        <v>241</v>
      </c>
      <c r="P107" s="10" t="s">
        <v>242</v>
      </c>
      <c r="Q107" s="10" t="s">
        <v>242</v>
      </c>
      <c r="R107" s="10" t="s">
        <v>241</v>
      </c>
      <c r="S107" s="10" t="s">
        <v>242</v>
      </c>
      <c r="T107" s="10" t="s">
        <v>242</v>
      </c>
      <c r="U107" s="10" t="s">
        <v>242</v>
      </c>
      <c r="V107" s="10" t="s">
        <v>242</v>
      </c>
      <c r="W107" s="10" t="s">
        <v>242</v>
      </c>
      <c r="X107" s="15">
        <f>IF(ISERROR(VLOOKUP($A107,'13. Updated Demand'!A:Z,15,FALSE)),0,VLOOKUP($A107,'13. Updated Demand'!A:Z,15,FALSE))</f>
        <v>0.2</v>
      </c>
      <c r="Y107" s="16">
        <f>IF(ISERROR(VLOOKUP($A107,'13. Updated Demand'!A:Z,16,FALSE)),0,VLOOKUP($A107,'13. Updated Demand'!A:Z,16,FALSE))</f>
        <v>0.3</v>
      </c>
      <c r="Z107" s="16">
        <f>IF(ISERROR(VLOOKUP($A107,'13. Updated Demand'!A:Z,17,FALSE)),0,VLOOKUP($A107,'13. Updated Demand'!A:Z,17,FALSE))</f>
        <v>0.3</v>
      </c>
      <c r="AA107" s="16">
        <f>IF(ISERROR(VLOOKUP($A107,'13. Updated Demand'!A:Z,18,FALSE)),0,VLOOKUP($A107,'13. Updated Demand'!A:Z,18,FALSE))</f>
        <v>0.2</v>
      </c>
      <c r="AB107" s="16">
        <f>IF(ISERROR(VLOOKUP($A107,'13. Updated Demand'!A:Z,19,FALSE)),0,VLOOKUP($A107,'13. Updated Demand'!A:Z,19,FALSE))</f>
        <v>0.1</v>
      </c>
      <c r="AC107" s="16">
        <f>IF(ISERROR(VLOOKUP($A107,'13. Updated Demand'!A:Z,20,FALSE)),0,VLOOKUP($A107,'13. Updated Demand'!A:Z,20,FALSE))</f>
        <v>0</v>
      </c>
      <c r="AD107" s="16">
        <f>IF(ISERROR(VLOOKUP($A107,'13. Updated Demand'!A:Z,21,FALSE)),0,VLOOKUP($A107,'13. Updated Demand'!A:Z,21,FALSE))</f>
        <v>0</v>
      </c>
      <c r="AE107" s="16">
        <f>IF(ISERROR(VLOOKUP($A107,'13. Updated Demand'!A:Z,22,FALSE)),0,VLOOKUP($A107,'13. Updated Demand'!A:Z,22,FALSE))</f>
        <v>0</v>
      </c>
      <c r="AF107" s="16">
        <f>IF(ISERROR(VLOOKUP($A107,'13. Updated Demand'!A:Z,23,FALSE)),0,VLOOKUP($A107,'13. Updated Demand'!A:Z,23,FALSE))</f>
        <v>0</v>
      </c>
      <c r="AG107" s="16">
        <f>IF(ISERROR(VLOOKUP($A107,'13. Updated Demand'!A:Z,24,FALSE)),0,VLOOKUP($A107,'13. Updated Demand'!A:Z,24,FALSE))</f>
        <v>0</v>
      </c>
      <c r="AH107" s="16">
        <f>IF(ISERROR(VLOOKUP($A107,'13. Updated Demand'!A:Z,25,FALSE)),0,VLOOKUP($A107,'13. Updated Demand'!A:Z,25,FALSE))</f>
        <v>0</v>
      </c>
      <c r="AI107" s="16">
        <f>IF(ISERROR(VLOOKUP($A107,'13. Updated Demand'!A:Z,26,FALSE)),0,VLOOKUP($A107,'13. Updated Demand'!A:Z,26,FALSE))</f>
        <v>0.1</v>
      </c>
      <c r="AJ107" s="16">
        <f t="shared" si="24"/>
        <v>1.2000000000000002</v>
      </c>
      <c r="AK107" s="19">
        <v>0.1</v>
      </c>
      <c r="AL107" s="16">
        <f t="shared" si="22"/>
        <v>3.3168860892955089E-4</v>
      </c>
      <c r="AM107" s="17">
        <v>0.92307692307692313</v>
      </c>
      <c r="AN107" s="19"/>
      <c r="AO107" s="19"/>
      <c r="AP107" s="19">
        <v>1.3</v>
      </c>
      <c r="AQ107" s="19" t="s">
        <v>307</v>
      </c>
      <c r="AR107" s="9" t="s">
        <v>319</v>
      </c>
      <c r="AS107" s="12">
        <v>0</v>
      </c>
      <c r="AT107" s="19">
        <v>38.9315</v>
      </c>
      <c r="AU107" s="19">
        <v>-123.0307</v>
      </c>
      <c r="AV107" s="19" t="s">
        <v>444</v>
      </c>
    </row>
    <row r="108" spans="1:48" x14ac:dyDescent="0.25">
      <c r="A108" s="18" t="s">
        <v>459</v>
      </c>
      <c r="B108" s="10">
        <v>20130424</v>
      </c>
      <c r="C108" s="9">
        <v>12</v>
      </c>
      <c r="D108" s="8" t="str">
        <f t="shared" si="13"/>
        <v>N</v>
      </c>
      <c r="E108" s="8" t="str">
        <f t="shared" si="14"/>
        <v>Y</v>
      </c>
      <c r="F108" s="8" t="str">
        <f t="shared" si="15"/>
        <v>Y</v>
      </c>
      <c r="G108" s="8" t="str">
        <f t="shared" si="16"/>
        <v>Y</v>
      </c>
      <c r="H108" s="8" t="str">
        <f t="shared" si="17"/>
        <v>Upper</v>
      </c>
      <c r="I108" s="8" t="str">
        <f t="shared" si="18"/>
        <v>West Fork and Below Lake</v>
      </c>
      <c r="J108" s="8" t="str">
        <f t="shared" si="19"/>
        <v>Sonoma (d/s of Clov. Gage)</v>
      </c>
      <c r="K108" s="8" t="str">
        <f t="shared" si="20"/>
        <v>Post-1949</v>
      </c>
      <c r="L108" s="8">
        <f t="shared" si="21"/>
        <v>2013</v>
      </c>
      <c r="M108" s="8" t="str">
        <f t="shared" si="23"/>
        <v>1991-present</v>
      </c>
      <c r="N108" s="10" t="s">
        <v>242</v>
      </c>
      <c r="O108" s="10" t="s">
        <v>241</v>
      </c>
      <c r="P108" s="10" t="s">
        <v>242</v>
      </c>
      <c r="Q108" s="10" t="s">
        <v>242</v>
      </c>
      <c r="R108" s="10" t="s">
        <v>241</v>
      </c>
      <c r="S108" s="10" t="s">
        <v>242</v>
      </c>
      <c r="T108" s="10" t="s">
        <v>242</v>
      </c>
      <c r="U108" s="10" t="s">
        <v>241</v>
      </c>
      <c r="V108" s="10" t="s">
        <v>241</v>
      </c>
      <c r="W108" s="10" t="s">
        <v>242</v>
      </c>
      <c r="X108" s="15">
        <f>IF(ISERROR(VLOOKUP($A108,'13. Updated Demand'!A:Z,15,FALSE)),0,VLOOKUP($A108,'13. Updated Demand'!A:Z,15,FALSE))</f>
        <v>0</v>
      </c>
      <c r="Y108" s="16">
        <f>IF(ISERROR(VLOOKUP($A108,'13. Updated Demand'!A:Z,16,FALSE)),0,VLOOKUP($A108,'13. Updated Demand'!A:Z,16,FALSE))</f>
        <v>0</v>
      </c>
      <c r="Z108" s="16">
        <f>IF(ISERROR(VLOOKUP($A108,'13. Updated Demand'!A:Z,17,FALSE)),0,VLOOKUP($A108,'13. Updated Demand'!A:Z,17,FALSE))</f>
        <v>0</v>
      </c>
      <c r="AA108" s="16">
        <f>IF(ISERROR(VLOOKUP($A108,'13. Updated Demand'!A:Z,18,FALSE)),0,VLOOKUP($A108,'13. Updated Demand'!A:Z,18,FALSE))</f>
        <v>0</v>
      </c>
      <c r="AB108" s="16">
        <f>IF(ISERROR(VLOOKUP($A108,'13. Updated Demand'!A:Z,19,FALSE)),0,VLOOKUP($A108,'13. Updated Demand'!A:Z,19,FALSE))</f>
        <v>0</v>
      </c>
      <c r="AC108" s="16">
        <f>IF(ISERROR(VLOOKUP($A108,'13. Updated Demand'!A:Z,20,FALSE)),0,VLOOKUP($A108,'13. Updated Demand'!A:Z,20,FALSE))</f>
        <v>0</v>
      </c>
      <c r="AD108" s="16">
        <f>IF(ISERROR(VLOOKUP($A108,'13. Updated Demand'!A:Z,21,FALSE)),0,VLOOKUP($A108,'13. Updated Demand'!A:Z,21,FALSE))</f>
        <v>0</v>
      </c>
      <c r="AE108" s="16">
        <f>IF(ISERROR(VLOOKUP($A108,'13. Updated Demand'!A:Z,22,FALSE)),0,VLOOKUP($A108,'13. Updated Demand'!A:Z,22,FALSE))</f>
        <v>0</v>
      </c>
      <c r="AF108" s="16">
        <f>IF(ISERROR(VLOOKUP($A108,'13. Updated Demand'!A:Z,23,FALSE)),0,VLOOKUP($A108,'13. Updated Demand'!A:Z,23,FALSE))</f>
        <v>0</v>
      </c>
      <c r="AG108" s="16">
        <f>IF(ISERROR(VLOOKUP($A108,'13. Updated Demand'!A:Z,24,FALSE)),0,VLOOKUP($A108,'13. Updated Demand'!A:Z,24,FALSE))</f>
        <v>0</v>
      </c>
      <c r="AH108" s="16">
        <f>IF(ISERROR(VLOOKUP($A108,'13. Updated Demand'!A:Z,25,FALSE)),0,VLOOKUP($A108,'13. Updated Demand'!A:Z,25,FALSE))</f>
        <v>0</v>
      </c>
      <c r="AI108" s="16">
        <f>IF(ISERROR(VLOOKUP($A108,'13. Updated Demand'!A:Z,26,FALSE)),0,VLOOKUP($A108,'13. Updated Demand'!A:Z,26,FALSE))</f>
        <v>0</v>
      </c>
      <c r="AJ108" s="16">
        <f t="shared" si="24"/>
        <v>0</v>
      </c>
      <c r="AK108" s="19">
        <v>0</v>
      </c>
      <c r="AL108" s="16">
        <f t="shared" si="22"/>
        <v>0</v>
      </c>
      <c r="AM108" s="17">
        <v>0</v>
      </c>
      <c r="AN108" s="19"/>
      <c r="AO108" s="19"/>
      <c r="AP108" s="19">
        <v>4.5</v>
      </c>
      <c r="AQ108" s="19" t="s">
        <v>307</v>
      </c>
      <c r="AR108" s="9" t="s">
        <v>311</v>
      </c>
      <c r="AS108" s="12">
        <v>0</v>
      </c>
      <c r="AT108" s="19">
        <v>38.622999999999998</v>
      </c>
      <c r="AU108" s="19">
        <v>-122.70489999999999</v>
      </c>
      <c r="AV108" s="19" t="s">
        <v>385</v>
      </c>
    </row>
    <row r="109" spans="1:48" x14ac:dyDescent="0.25">
      <c r="A109" s="18" t="s">
        <v>460</v>
      </c>
      <c r="B109" s="10">
        <v>20130617</v>
      </c>
      <c r="C109" s="9">
        <v>6</v>
      </c>
      <c r="D109" s="8" t="str">
        <f t="shared" si="13"/>
        <v>Y</v>
      </c>
      <c r="E109" s="8" t="str">
        <f t="shared" si="14"/>
        <v>N</v>
      </c>
      <c r="F109" s="8" t="str">
        <f t="shared" si="15"/>
        <v>Y</v>
      </c>
      <c r="G109" s="8" t="str">
        <f t="shared" si="16"/>
        <v>Y</v>
      </c>
      <c r="H109" s="8" t="str">
        <f t="shared" si="17"/>
        <v>Upper</v>
      </c>
      <c r="I109" s="8" t="str">
        <f t="shared" si="18"/>
        <v>West Fork and Below Lake</v>
      </c>
      <c r="J109" s="8" t="str">
        <f t="shared" si="19"/>
        <v>Mendocino (d/s of lake)</v>
      </c>
      <c r="K109" s="8" t="str">
        <f t="shared" si="20"/>
        <v>Post-1949</v>
      </c>
      <c r="L109" s="8">
        <f t="shared" si="21"/>
        <v>2013</v>
      </c>
      <c r="M109" s="8" t="str">
        <f t="shared" si="23"/>
        <v>1991-present</v>
      </c>
      <c r="N109" s="10" t="s">
        <v>242</v>
      </c>
      <c r="O109" s="10" t="s">
        <v>241</v>
      </c>
      <c r="P109" s="10" t="s">
        <v>242</v>
      </c>
      <c r="Q109" s="10" t="s">
        <v>242</v>
      </c>
      <c r="R109" s="10" t="s">
        <v>241</v>
      </c>
      <c r="S109" s="10" t="s">
        <v>242</v>
      </c>
      <c r="T109" s="10" t="s">
        <v>242</v>
      </c>
      <c r="U109" s="10" t="s">
        <v>242</v>
      </c>
      <c r="V109" s="10" t="s">
        <v>242</v>
      </c>
      <c r="W109" s="10" t="s">
        <v>242</v>
      </c>
      <c r="X109" s="15">
        <f>IF(ISERROR(VLOOKUP($A109,'13. Updated Demand'!A:Z,15,FALSE)),0,VLOOKUP($A109,'13. Updated Demand'!A:Z,15,FALSE))</f>
        <v>0.5</v>
      </c>
      <c r="Y109" s="16">
        <f>IF(ISERROR(VLOOKUP($A109,'13. Updated Demand'!A:Z,16,FALSE)),0,VLOOKUP($A109,'13. Updated Demand'!A:Z,16,FALSE))</f>
        <v>0.4</v>
      </c>
      <c r="Z109" s="16">
        <f>IF(ISERROR(VLOOKUP($A109,'13. Updated Demand'!A:Z,17,FALSE)),0,VLOOKUP($A109,'13. Updated Demand'!A:Z,17,FALSE))</f>
        <v>0.4</v>
      </c>
      <c r="AA109" s="16">
        <f>IF(ISERROR(VLOOKUP($A109,'13. Updated Demand'!A:Z,18,FALSE)),0,VLOOKUP($A109,'13. Updated Demand'!A:Z,18,FALSE))</f>
        <v>0.3</v>
      </c>
      <c r="AB109" s="16">
        <f>IF(ISERROR(VLOOKUP($A109,'13. Updated Demand'!A:Z,19,FALSE)),0,VLOOKUP($A109,'13. Updated Demand'!A:Z,19,FALSE))</f>
        <v>0.2</v>
      </c>
      <c r="AC109" s="16">
        <f>IF(ISERROR(VLOOKUP($A109,'13. Updated Demand'!A:Z,20,FALSE)),0,VLOOKUP($A109,'13. Updated Demand'!A:Z,20,FALSE))</f>
        <v>0.1</v>
      </c>
      <c r="AD109" s="16">
        <f>IF(ISERROR(VLOOKUP($A109,'13. Updated Demand'!A:Z,21,FALSE)),0,VLOOKUP($A109,'13. Updated Demand'!A:Z,21,FALSE))</f>
        <v>0</v>
      </c>
      <c r="AE109" s="16">
        <f>IF(ISERROR(VLOOKUP($A109,'13. Updated Demand'!A:Z,22,FALSE)),0,VLOOKUP($A109,'13. Updated Demand'!A:Z,22,FALSE))</f>
        <v>0</v>
      </c>
      <c r="AF109" s="16">
        <f>IF(ISERROR(VLOOKUP($A109,'13. Updated Demand'!A:Z,23,FALSE)),0,VLOOKUP($A109,'13. Updated Demand'!A:Z,23,FALSE))</f>
        <v>0</v>
      </c>
      <c r="AG109" s="16">
        <f>IF(ISERROR(VLOOKUP($A109,'13. Updated Demand'!A:Z,24,FALSE)),0,VLOOKUP($A109,'13. Updated Demand'!A:Z,24,FALSE))</f>
        <v>0</v>
      </c>
      <c r="AH109" s="16">
        <f>IF(ISERROR(VLOOKUP($A109,'13. Updated Demand'!A:Z,25,FALSE)),0,VLOOKUP($A109,'13. Updated Demand'!A:Z,25,FALSE))</f>
        <v>0</v>
      </c>
      <c r="AI109" s="16">
        <f>IF(ISERROR(VLOOKUP($A109,'13. Updated Demand'!A:Z,26,FALSE)),0,VLOOKUP($A109,'13. Updated Demand'!A:Z,26,FALSE))</f>
        <v>0.2</v>
      </c>
      <c r="AJ109" s="16">
        <f t="shared" si="24"/>
        <v>2.1</v>
      </c>
      <c r="AK109" s="19">
        <v>0.30000000000000004</v>
      </c>
      <c r="AL109" s="16">
        <f t="shared" si="22"/>
        <v>9.95065826788653E-4</v>
      </c>
      <c r="AM109" s="17">
        <v>0.94594594594594594</v>
      </c>
      <c r="AN109" s="19"/>
      <c r="AO109" s="19"/>
      <c r="AP109" s="19">
        <v>2.2200000000000002</v>
      </c>
      <c r="AQ109" s="19" t="s">
        <v>307</v>
      </c>
      <c r="AR109" s="9" t="s">
        <v>319</v>
      </c>
      <c r="AS109" s="12">
        <v>0</v>
      </c>
      <c r="AT109" s="19">
        <v>38.935099999999998</v>
      </c>
      <c r="AU109" s="19">
        <v>-123.04040000000001</v>
      </c>
      <c r="AV109" s="19" t="s">
        <v>385</v>
      </c>
    </row>
    <row r="110" spans="1:48" x14ac:dyDescent="0.25">
      <c r="A110" s="18" t="s">
        <v>461</v>
      </c>
      <c r="B110" s="10">
        <v>20130705</v>
      </c>
      <c r="C110" s="9">
        <v>10</v>
      </c>
      <c r="D110" s="8" t="str">
        <f t="shared" si="13"/>
        <v>N</v>
      </c>
      <c r="E110" s="8" t="str">
        <f t="shared" si="14"/>
        <v>Y</v>
      </c>
      <c r="F110" s="8" t="str">
        <f t="shared" si="15"/>
        <v>Y</v>
      </c>
      <c r="G110" s="8" t="str">
        <f t="shared" si="16"/>
        <v>Y</v>
      </c>
      <c r="H110" s="8" t="str">
        <f t="shared" si="17"/>
        <v>Upper</v>
      </c>
      <c r="I110" s="8" t="str">
        <f t="shared" si="18"/>
        <v>West Fork and Below Lake</v>
      </c>
      <c r="J110" s="8" t="str">
        <f t="shared" si="19"/>
        <v>Sonoma (d/s of Clov. Gage)</v>
      </c>
      <c r="K110" s="8" t="str">
        <f t="shared" si="20"/>
        <v>Post-1949</v>
      </c>
      <c r="L110" s="8">
        <f t="shared" si="21"/>
        <v>2013</v>
      </c>
      <c r="M110" s="8" t="str">
        <f t="shared" si="23"/>
        <v>1991-present</v>
      </c>
      <c r="N110" s="10" t="s">
        <v>242</v>
      </c>
      <c r="O110" s="10" t="s">
        <v>241</v>
      </c>
      <c r="P110" s="10" t="s">
        <v>242</v>
      </c>
      <c r="Q110" s="10" t="s">
        <v>242</v>
      </c>
      <c r="R110" s="10" t="s">
        <v>241</v>
      </c>
      <c r="S110" s="10" t="s">
        <v>242</v>
      </c>
      <c r="T110" s="10" t="s">
        <v>242</v>
      </c>
      <c r="U110" s="10" t="s">
        <v>242</v>
      </c>
      <c r="V110" s="10" t="s">
        <v>241</v>
      </c>
      <c r="W110" s="10" t="s">
        <v>242</v>
      </c>
      <c r="X110" s="15">
        <f>IF(ISERROR(VLOOKUP($A110,'13. Updated Demand'!A:Z,15,FALSE)),0,VLOOKUP($A110,'13. Updated Demand'!A:Z,15,FALSE))</f>
        <v>0.33</v>
      </c>
      <c r="Y110" s="16">
        <f>IF(ISERROR(VLOOKUP($A110,'13. Updated Demand'!A:Z,16,FALSE)),0,VLOOKUP($A110,'13. Updated Demand'!A:Z,16,FALSE))</f>
        <v>0</v>
      </c>
      <c r="Z110" s="16">
        <f>IF(ISERROR(VLOOKUP($A110,'13. Updated Demand'!A:Z,17,FALSE)),0,VLOOKUP($A110,'13. Updated Demand'!A:Z,17,FALSE))</f>
        <v>0</v>
      </c>
      <c r="AA110" s="16">
        <f>IF(ISERROR(VLOOKUP($A110,'13. Updated Demand'!A:Z,18,FALSE)),0,VLOOKUP($A110,'13. Updated Demand'!A:Z,18,FALSE))</f>
        <v>0</v>
      </c>
      <c r="AB110" s="16">
        <f>IF(ISERROR(VLOOKUP($A110,'13. Updated Demand'!A:Z,19,FALSE)),0,VLOOKUP($A110,'13. Updated Demand'!A:Z,19,FALSE))</f>
        <v>0</v>
      </c>
      <c r="AC110" s="16">
        <f>IF(ISERROR(VLOOKUP($A110,'13. Updated Demand'!A:Z,20,FALSE)),0,VLOOKUP($A110,'13. Updated Demand'!A:Z,20,FALSE))</f>
        <v>0</v>
      </c>
      <c r="AD110" s="16">
        <f>IF(ISERROR(VLOOKUP($A110,'13. Updated Demand'!A:Z,21,FALSE)),0,VLOOKUP($A110,'13. Updated Demand'!A:Z,21,FALSE))</f>
        <v>0</v>
      </c>
      <c r="AE110" s="16">
        <f>IF(ISERROR(VLOOKUP($A110,'13. Updated Demand'!A:Z,22,FALSE)),0,VLOOKUP($A110,'13. Updated Demand'!A:Z,22,FALSE))</f>
        <v>0</v>
      </c>
      <c r="AF110" s="16">
        <f>IF(ISERROR(VLOOKUP($A110,'13. Updated Demand'!A:Z,23,FALSE)),0,VLOOKUP($A110,'13. Updated Demand'!A:Z,23,FALSE))</f>
        <v>0</v>
      </c>
      <c r="AG110" s="16">
        <f>IF(ISERROR(VLOOKUP($A110,'13. Updated Demand'!A:Z,24,FALSE)),0,VLOOKUP($A110,'13. Updated Demand'!A:Z,24,FALSE))</f>
        <v>0</v>
      </c>
      <c r="AH110" s="16">
        <f>IF(ISERROR(VLOOKUP($A110,'13. Updated Demand'!A:Z,25,FALSE)),0,VLOOKUP($A110,'13. Updated Demand'!A:Z,25,FALSE))</f>
        <v>0</v>
      </c>
      <c r="AI110" s="16">
        <f>IF(ISERROR(VLOOKUP($A110,'13. Updated Demand'!A:Z,26,FALSE)),0,VLOOKUP($A110,'13. Updated Demand'!A:Z,26,FALSE))</f>
        <v>0</v>
      </c>
      <c r="AJ110" s="16">
        <f t="shared" si="24"/>
        <v>0.33</v>
      </c>
      <c r="AK110" s="19">
        <v>0</v>
      </c>
      <c r="AL110" s="16">
        <f t="shared" si="22"/>
        <v>0</v>
      </c>
      <c r="AM110" s="17">
        <v>0.66666666600000002</v>
      </c>
      <c r="AN110" s="19"/>
      <c r="AO110" s="19"/>
      <c r="AP110" s="19">
        <v>0.5</v>
      </c>
      <c r="AQ110" s="19" t="s">
        <v>307</v>
      </c>
      <c r="AR110" s="9" t="s">
        <v>436</v>
      </c>
      <c r="AS110" s="12">
        <v>0</v>
      </c>
      <c r="AT110" s="19">
        <v>38.729700000000001</v>
      </c>
      <c r="AU110" s="19">
        <v>-122.8468</v>
      </c>
      <c r="AV110" s="19" t="s">
        <v>385</v>
      </c>
    </row>
    <row r="111" spans="1:48" x14ac:dyDescent="0.25">
      <c r="A111" s="18" t="s">
        <v>462</v>
      </c>
      <c r="B111" s="10">
        <v>20130705</v>
      </c>
      <c r="C111" s="9">
        <v>8</v>
      </c>
      <c r="D111" s="8" t="str">
        <f t="shared" si="13"/>
        <v>N</v>
      </c>
      <c r="E111" s="8" t="str">
        <f t="shared" si="14"/>
        <v>Y</v>
      </c>
      <c r="F111" s="8" t="str">
        <f t="shared" si="15"/>
        <v>Y</v>
      </c>
      <c r="G111" s="8" t="str">
        <f t="shared" si="16"/>
        <v>Y</v>
      </c>
      <c r="H111" s="8" t="str">
        <f t="shared" si="17"/>
        <v>Upper</v>
      </c>
      <c r="I111" s="8" t="str">
        <f t="shared" si="18"/>
        <v>West Fork and Below Lake</v>
      </c>
      <c r="J111" s="8" t="str">
        <f t="shared" si="19"/>
        <v>Sonoma (d/s of Clov. Gage)</v>
      </c>
      <c r="K111" s="8" t="str">
        <f t="shared" si="20"/>
        <v>Post-1949</v>
      </c>
      <c r="L111" s="8">
        <f t="shared" si="21"/>
        <v>2013</v>
      </c>
      <c r="M111" s="8" t="str">
        <f t="shared" si="23"/>
        <v>1991-present</v>
      </c>
      <c r="N111" s="10" t="s">
        <v>242</v>
      </c>
      <c r="O111" s="10" t="s">
        <v>241</v>
      </c>
      <c r="P111" s="10" t="s">
        <v>242</v>
      </c>
      <c r="Q111" s="10" t="s">
        <v>242</v>
      </c>
      <c r="R111" s="10" t="s">
        <v>241</v>
      </c>
      <c r="S111" s="10" t="s">
        <v>242</v>
      </c>
      <c r="T111" s="10" t="s">
        <v>242</v>
      </c>
      <c r="U111" s="10" t="s">
        <v>242</v>
      </c>
      <c r="V111" s="10" t="s">
        <v>241</v>
      </c>
      <c r="W111" s="10" t="s">
        <v>242</v>
      </c>
      <c r="X111" s="15">
        <f>IF(ISERROR(VLOOKUP($A111,'13. Updated Demand'!A:Z,15,FALSE)),0,VLOOKUP($A111,'13. Updated Demand'!A:Z,15,FALSE))</f>
        <v>1</v>
      </c>
      <c r="Y111" s="16">
        <f>IF(ISERROR(VLOOKUP($A111,'13. Updated Demand'!A:Z,16,FALSE)),0,VLOOKUP($A111,'13. Updated Demand'!A:Z,16,FALSE))</f>
        <v>0</v>
      </c>
      <c r="Z111" s="16">
        <f>IF(ISERROR(VLOOKUP($A111,'13. Updated Demand'!A:Z,17,FALSE)),0,VLOOKUP($A111,'13. Updated Demand'!A:Z,17,FALSE))</f>
        <v>0</v>
      </c>
      <c r="AA111" s="16">
        <f>IF(ISERROR(VLOOKUP($A111,'13. Updated Demand'!A:Z,18,FALSE)),0,VLOOKUP($A111,'13. Updated Demand'!A:Z,18,FALSE))</f>
        <v>0</v>
      </c>
      <c r="AB111" s="16">
        <f>IF(ISERROR(VLOOKUP($A111,'13. Updated Demand'!A:Z,19,FALSE)),0,VLOOKUP($A111,'13. Updated Demand'!A:Z,19,FALSE))</f>
        <v>0</v>
      </c>
      <c r="AC111" s="16">
        <f>IF(ISERROR(VLOOKUP($A111,'13. Updated Demand'!A:Z,20,FALSE)),0,VLOOKUP($A111,'13. Updated Demand'!A:Z,20,FALSE))</f>
        <v>0</v>
      </c>
      <c r="AD111" s="16">
        <f>IF(ISERROR(VLOOKUP($A111,'13. Updated Demand'!A:Z,21,FALSE)),0,VLOOKUP($A111,'13. Updated Demand'!A:Z,21,FALSE))</f>
        <v>0</v>
      </c>
      <c r="AE111" s="16">
        <f>IF(ISERROR(VLOOKUP($A111,'13. Updated Demand'!A:Z,22,FALSE)),0,VLOOKUP($A111,'13. Updated Demand'!A:Z,22,FALSE))</f>
        <v>0</v>
      </c>
      <c r="AF111" s="16">
        <f>IF(ISERROR(VLOOKUP($A111,'13. Updated Demand'!A:Z,23,FALSE)),0,VLOOKUP($A111,'13. Updated Demand'!A:Z,23,FALSE))</f>
        <v>0</v>
      </c>
      <c r="AG111" s="16">
        <f>IF(ISERROR(VLOOKUP($A111,'13. Updated Demand'!A:Z,24,FALSE)),0,VLOOKUP($A111,'13. Updated Demand'!A:Z,24,FALSE))</f>
        <v>0</v>
      </c>
      <c r="AH111" s="16">
        <f>IF(ISERROR(VLOOKUP($A111,'13. Updated Demand'!A:Z,25,FALSE)),0,VLOOKUP($A111,'13. Updated Demand'!A:Z,25,FALSE))</f>
        <v>0</v>
      </c>
      <c r="AI111" s="16">
        <f>IF(ISERROR(VLOOKUP($A111,'13. Updated Demand'!A:Z,26,FALSE)),0,VLOOKUP($A111,'13. Updated Demand'!A:Z,26,FALSE))</f>
        <v>0</v>
      </c>
      <c r="AJ111" s="16">
        <f t="shared" si="24"/>
        <v>1</v>
      </c>
      <c r="AK111" s="19">
        <v>0</v>
      </c>
      <c r="AL111" s="16">
        <f t="shared" si="22"/>
        <v>0</v>
      </c>
      <c r="AM111" s="17">
        <v>0.66666666666666663</v>
      </c>
      <c r="AN111" s="19"/>
      <c r="AO111" s="19"/>
      <c r="AP111" s="19">
        <v>1.5</v>
      </c>
      <c r="AQ111" s="19" t="s">
        <v>307</v>
      </c>
      <c r="AR111" s="9" t="s">
        <v>409</v>
      </c>
      <c r="AS111" s="12">
        <v>0</v>
      </c>
      <c r="AT111" s="19">
        <v>38.737000000000002</v>
      </c>
      <c r="AU111" s="19">
        <v>-122.8372</v>
      </c>
      <c r="AV111" s="19" t="s">
        <v>385</v>
      </c>
    </row>
    <row r="112" spans="1:48" x14ac:dyDescent="0.25">
      <c r="A112" s="18" t="s">
        <v>463</v>
      </c>
      <c r="B112" s="10">
        <v>20130705</v>
      </c>
      <c r="C112" s="9">
        <v>10</v>
      </c>
      <c r="D112" s="8" t="str">
        <f t="shared" si="13"/>
        <v>N</v>
      </c>
      <c r="E112" s="8" t="str">
        <f t="shared" si="14"/>
        <v>Y</v>
      </c>
      <c r="F112" s="8" t="str">
        <f t="shared" si="15"/>
        <v>Y</v>
      </c>
      <c r="G112" s="8" t="str">
        <f t="shared" si="16"/>
        <v>Y</v>
      </c>
      <c r="H112" s="8" t="str">
        <f t="shared" si="17"/>
        <v>Upper</v>
      </c>
      <c r="I112" s="8" t="str">
        <f t="shared" si="18"/>
        <v>West Fork and Below Lake</v>
      </c>
      <c r="J112" s="8" t="str">
        <f t="shared" si="19"/>
        <v>Sonoma (d/s of Clov. Gage)</v>
      </c>
      <c r="K112" s="8" t="str">
        <f t="shared" si="20"/>
        <v>Post-1949</v>
      </c>
      <c r="L112" s="8">
        <f t="shared" si="21"/>
        <v>2013</v>
      </c>
      <c r="M112" s="8" t="str">
        <f t="shared" si="23"/>
        <v>1991-present</v>
      </c>
      <c r="N112" s="10" t="s">
        <v>242</v>
      </c>
      <c r="O112" s="10" t="s">
        <v>241</v>
      </c>
      <c r="P112" s="10" t="s">
        <v>242</v>
      </c>
      <c r="Q112" s="10" t="s">
        <v>242</v>
      </c>
      <c r="R112" s="10" t="s">
        <v>241</v>
      </c>
      <c r="S112" s="10" t="s">
        <v>242</v>
      </c>
      <c r="T112" s="10" t="s">
        <v>242</v>
      </c>
      <c r="U112" s="10" t="s">
        <v>242</v>
      </c>
      <c r="V112" s="10" t="s">
        <v>241</v>
      </c>
      <c r="W112" s="10" t="s">
        <v>242</v>
      </c>
      <c r="X112" s="15">
        <f>IF(ISERROR(VLOOKUP($A112,'13. Updated Demand'!A:Z,15,FALSE)),0,VLOOKUP($A112,'13. Updated Demand'!A:Z,15,FALSE))</f>
        <v>0.33</v>
      </c>
      <c r="Y112" s="16">
        <f>IF(ISERROR(VLOOKUP($A112,'13. Updated Demand'!A:Z,16,FALSE)),0,VLOOKUP($A112,'13. Updated Demand'!A:Z,16,FALSE))</f>
        <v>0</v>
      </c>
      <c r="Z112" s="16">
        <f>IF(ISERROR(VLOOKUP($A112,'13. Updated Demand'!A:Z,17,FALSE)),0,VLOOKUP($A112,'13. Updated Demand'!A:Z,17,FALSE))</f>
        <v>0</v>
      </c>
      <c r="AA112" s="16">
        <f>IF(ISERROR(VLOOKUP($A112,'13. Updated Demand'!A:Z,18,FALSE)),0,VLOOKUP($A112,'13. Updated Demand'!A:Z,18,FALSE))</f>
        <v>0</v>
      </c>
      <c r="AB112" s="16">
        <f>IF(ISERROR(VLOOKUP($A112,'13. Updated Demand'!A:Z,19,FALSE)),0,VLOOKUP($A112,'13. Updated Demand'!A:Z,19,FALSE))</f>
        <v>0</v>
      </c>
      <c r="AC112" s="16">
        <f>IF(ISERROR(VLOOKUP($A112,'13. Updated Demand'!A:Z,20,FALSE)),0,VLOOKUP($A112,'13. Updated Demand'!A:Z,20,FALSE))</f>
        <v>0</v>
      </c>
      <c r="AD112" s="16">
        <f>IF(ISERROR(VLOOKUP($A112,'13. Updated Demand'!A:Z,21,FALSE)),0,VLOOKUP($A112,'13. Updated Demand'!A:Z,21,FALSE))</f>
        <v>0</v>
      </c>
      <c r="AE112" s="16">
        <f>IF(ISERROR(VLOOKUP($A112,'13. Updated Demand'!A:Z,22,FALSE)),0,VLOOKUP($A112,'13. Updated Demand'!A:Z,22,FALSE))</f>
        <v>0</v>
      </c>
      <c r="AF112" s="16">
        <f>IF(ISERROR(VLOOKUP($A112,'13. Updated Demand'!A:Z,23,FALSE)),0,VLOOKUP($A112,'13. Updated Demand'!A:Z,23,FALSE))</f>
        <v>0</v>
      </c>
      <c r="AG112" s="16">
        <f>IF(ISERROR(VLOOKUP($A112,'13. Updated Demand'!A:Z,24,FALSE)),0,VLOOKUP($A112,'13. Updated Demand'!A:Z,24,FALSE))</f>
        <v>0</v>
      </c>
      <c r="AH112" s="16">
        <f>IF(ISERROR(VLOOKUP($A112,'13. Updated Demand'!A:Z,25,FALSE)),0,VLOOKUP($A112,'13. Updated Demand'!A:Z,25,FALSE))</f>
        <v>0</v>
      </c>
      <c r="AI112" s="16">
        <f>IF(ISERROR(VLOOKUP($A112,'13. Updated Demand'!A:Z,26,FALSE)),0,VLOOKUP($A112,'13. Updated Demand'!A:Z,26,FALSE))</f>
        <v>0</v>
      </c>
      <c r="AJ112" s="16">
        <f t="shared" si="24"/>
        <v>0.33</v>
      </c>
      <c r="AK112" s="19">
        <v>0</v>
      </c>
      <c r="AL112" s="16">
        <f t="shared" si="22"/>
        <v>0</v>
      </c>
      <c r="AM112" s="17">
        <v>0.66666666600000002</v>
      </c>
      <c r="AN112" s="19"/>
      <c r="AO112" s="19"/>
      <c r="AP112" s="19">
        <v>0.5</v>
      </c>
      <c r="AQ112" s="19" t="s">
        <v>307</v>
      </c>
      <c r="AR112" s="9" t="s">
        <v>436</v>
      </c>
      <c r="AS112" s="12">
        <v>0</v>
      </c>
      <c r="AT112" s="19">
        <v>38.737000000000002</v>
      </c>
      <c r="AU112" s="19">
        <v>-122.84310000000001</v>
      </c>
      <c r="AV112" s="19" t="s">
        <v>385</v>
      </c>
    </row>
    <row r="113" spans="1:48" x14ac:dyDescent="0.25">
      <c r="A113" s="18" t="s">
        <v>464</v>
      </c>
      <c r="B113" s="10">
        <v>20131210</v>
      </c>
      <c r="C113" s="9">
        <v>2</v>
      </c>
      <c r="D113" s="8" t="str">
        <f t="shared" si="13"/>
        <v>N</v>
      </c>
      <c r="E113" s="8" t="str">
        <f t="shared" si="14"/>
        <v>N</v>
      </c>
      <c r="F113" s="8" t="str">
        <f t="shared" si="15"/>
        <v>Y</v>
      </c>
      <c r="G113" s="8" t="str">
        <f t="shared" si="16"/>
        <v>N</v>
      </c>
      <c r="H113" s="8" t="str">
        <f t="shared" si="17"/>
        <v>Upper</v>
      </c>
      <c r="I113" s="8" t="str">
        <f t="shared" si="18"/>
        <v>Outside</v>
      </c>
      <c r="J113" s="8" t="str">
        <f t="shared" si="19"/>
        <v>Outside</v>
      </c>
      <c r="K113" s="8" t="str">
        <f t="shared" si="20"/>
        <v>Post-1949</v>
      </c>
      <c r="L113" s="8">
        <f t="shared" si="21"/>
        <v>2013</v>
      </c>
      <c r="M113" s="8" t="str">
        <f t="shared" si="23"/>
        <v>1991-present</v>
      </c>
      <c r="N113" s="10" t="s">
        <v>242</v>
      </c>
      <c r="O113" s="10" t="s">
        <v>241</v>
      </c>
      <c r="P113" s="10" t="s">
        <v>242</v>
      </c>
      <c r="Q113" s="10" t="s">
        <v>242</v>
      </c>
      <c r="R113" s="10" t="s">
        <v>241</v>
      </c>
      <c r="S113" s="10" t="s">
        <v>242</v>
      </c>
      <c r="T113" s="10" t="s">
        <v>241</v>
      </c>
      <c r="U113" s="10" t="s">
        <v>241</v>
      </c>
      <c r="V113" s="10" t="s">
        <v>241</v>
      </c>
      <c r="W113" s="10" t="s">
        <v>242</v>
      </c>
      <c r="X113" s="15">
        <f>IF(ISERROR(VLOOKUP($A113,'13. Updated Demand'!A:Z,15,FALSE)),0,VLOOKUP($A113,'13. Updated Demand'!A:Z,15,FALSE))</f>
        <v>0</v>
      </c>
      <c r="Y113" s="16">
        <f>IF(ISERROR(VLOOKUP($A113,'13. Updated Demand'!A:Z,16,FALSE)),0,VLOOKUP($A113,'13. Updated Demand'!A:Z,16,FALSE))</f>
        <v>0</v>
      </c>
      <c r="Z113" s="16">
        <f>IF(ISERROR(VLOOKUP($A113,'13. Updated Demand'!A:Z,17,FALSE)),0,VLOOKUP($A113,'13. Updated Demand'!A:Z,17,FALSE))</f>
        <v>0</v>
      </c>
      <c r="AA113" s="16">
        <f>IF(ISERROR(VLOOKUP($A113,'13. Updated Demand'!A:Z,18,FALSE)),0,VLOOKUP($A113,'13. Updated Demand'!A:Z,18,FALSE))</f>
        <v>0</v>
      </c>
      <c r="AB113" s="16">
        <f>IF(ISERROR(VLOOKUP($A113,'13. Updated Demand'!A:Z,19,FALSE)),0,VLOOKUP($A113,'13. Updated Demand'!A:Z,19,FALSE))</f>
        <v>0</v>
      </c>
      <c r="AC113" s="16">
        <f>IF(ISERROR(VLOOKUP($A113,'13. Updated Demand'!A:Z,20,FALSE)),0,VLOOKUP($A113,'13. Updated Demand'!A:Z,20,FALSE))</f>
        <v>0</v>
      </c>
      <c r="AD113" s="16">
        <f>IF(ISERROR(VLOOKUP($A113,'13. Updated Demand'!A:Z,21,FALSE)),0,VLOOKUP($A113,'13. Updated Demand'!A:Z,21,FALSE))</f>
        <v>0</v>
      </c>
      <c r="AE113" s="16">
        <f>IF(ISERROR(VLOOKUP($A113,'13. Updated Demand'!A:Z,22,FALSE)),0,VLOOKUP($A113,'13. Updated Demand'!A:Z,22,FALSE))</f>
        <v>0</v>
      </c>
      <c r="AF113" s="16">
        <f>IF(ISERROR(VLOOKUP($A113,'13. Updated Demand'!A:Z,23,FALSE)),0,VLOOKUP($A113,'13. Updated Demand'!A:Z,23,FALSE))</f>
        <v>0</v>
      </c>
      <c r="AG113" s="16">
        <f>IF(ISERROR(VLOOKUP($A113,'13. Updated Demand'!A:Z,24,FALSE)),0,VLOOKUP($A113,'13. Updated Demand'!A:Z,24,FALSE))</f>
        <v>0</v>
      </c>
      <c r="AH113" s="16">
        <f>IF(ISERROR(VLOOKUP($A113,'13. Updated Demand'!A:Z,25,FALSE)),0,VLOOKUP($A113,'13. Updated Demand'!A:Z,25,FALSE))</f>
        <v>0</v>
      </c>
      <c r="AI113" s="16">
        <f>IF(ISERROR(VLOOKUP($A113,'13. Updated Demand'!A:Z,26,FALSE)),0,VLOOKUP($A113,'13. Updated Demand'!A:Z,26,FALSE))</f>
        <v>0</v>
      </c>
      <c r="AJ113" s="16">
        <f t="shared" si="24"/>
        <v>0</v>
      </c>
      <c r="AK113" s="19">
        <v>0</v>
      </c>
      <c r="AL113" s="16">
        <f t="shared" si="22"/>
        <v>0</v>
      </c>
      <c r="AM113" s="17">
        <v>0</v>
      </c>
      <c r="AN113" s="19"/>
      <c r="AO113" s="19"/>
      <c r="AP113" s="19">
        <v>49.7</v>
      </c>
      <c r="AQ113" s="19" t="s">
        <v>307</v>
      </c>
      <c r="AR113" s="9" t="s">
        <v>348</v>
      </c>
      <c r="AS113" s="12">
        <v>0</v>
      </c>
      <c r="AT113" s="19">
        <v>39.301178890000003</v>
      </c>
      <c r="AU113" s="19">
        <v>-123.11365529</v>
      </c>
      <c r="AV113" s="19" t="s">
        <v>385</v>
      </c>
    </row>
    <row r="114" spans="1:48" x14ac:dyDescent="0.25">
      <c r="A114" s="18" t="s">
        <v>465</v>
      </c>
      <c r="B114" s="10">
        <v>20120130</v>
      </c>
      <c r="C114" s="9">
        <v>9</v>
      </c>
      <c r="D114" s="8" t="str">
        <f t="shared" si="13"/>
        <v>N</v>
      </c>
      <c r="E114" s="8" t="str">
        <f t="shared" si="14"/>
        <v>Y</v>
      </c>
      <c r="F114" s="8" t="str">
        <f t="shared" si="15"/>
        <v>Y</v>
      </c>
      <c r="G114" s="8" t="str">
        <f t="shared" si="16"/>
        <v>Y</v>
      </c>
      <c r="H114" s="8" t="str">
        <f t="shared" si="17"/>
        <v>Upper</v>
      </c>
      <c r="I114" s="8" t="str">
        <f t="shared" si="18"/>
        <v>West Fork and Below Lake</v>
      </c>
      <c r="J114" s="8" t="str">
        <f t="shared" si="19"/>
        <v>Sonoma (d/s of Clov. Gage)</v>
      </c>
      <c r="K114" s="8" t="str">
        <f t="shared" si="20"/>
        <v>Post-1949</v>
      </c>
      <c r="L114" s="8">
        <f t="shared" si="21"/>
        <v>2012</v>
      </c>
      <c r="M114" s="8" t="str">
        <f t="shared" si="23"/>
        <v>1991-present</v>
      </c>
      <c r="N114" s="10" t="s">
        <v>242</v>
      </c>
      <c r="O114" s="10" t="s">
        <v>241</v>
      </c>
      <c r="P114" s="10" t="s">
        <v>242</v>
      </c>
      <c r="Q114" s="10" t="s">
        <v>242</v>
      </c>
      <c r="R114" s="10" t="s">
        <v>241</v>
      </c>
      <c r="S114" s="10" t="s">
        <v>242</v>
      </c>
      <c r="T114" s="10" t="s">
        <v>241</v>
      </c>
      <c r="U114" s="10" t="s">
        <v>241</v>
      </c>
      <c r="V114" s="10" t="s">
        <v>241</v>
      </c>
      <c r="W114" s="10" t="s">
        <v>242</v>
      </c>
      <c r="X114" s="15">
        <f>IF(ISERROR(VLOOKUP($A114,'13. Updated Demand'!A:Z,15,FALSE)),0,VLOOKUP($A114,'13. Updated Demand'!A:Z,15,FALSE))</f>
        <v>0</v>
      </c>
      <c r="Y114" s="16">
        <f>IF(ISERROR(VLOOKUP($A114,'13. Updated Demand'!A:Z,16,FALSE)),0,VLOOKUP($A114,'13. Updated Demand'!A:Z,16,FALSE))</f>
        <v>0</v>
      </c>
      <c r="Z114" s="16">
        <f>IF(ISERROR(VLOOKUP($A114,'13. Updated Demand'!A:Z,17,FALSE)),0,VLOOKUP($A114,'13. Updated Demand'!A:Z,17,FALSE))</f>
        <v>0</v>
      </c>
      <c r="AA114" s="16">
        <f>IF(ISERROR(VLOOKUP($A114,'13. Updated Demand'!A:Z,18,FALSE)),0,VLOOKUP($A114,'13. Updated Demand'!A:Z,18,FALSE))</f>
        <v>0</v>
      </c>
      <c r="AB114" s="16">
        <f>IF(ISERROR(VLOOKUP($A114,'13. Updated Demand'!A:Z,19,FALSE)),0,VLOOKUP($A114,'13. Updated Demand'!A:Z,19,FALSE))</f>
        <v>0</v>
      </c>
      <c r="AC114" s="16">
        <f>IF(ISERROR(VLOOKUP($A114,'13. Updated Demand'!A:Z,20,FALSE)),0,VLOOKUP($A114,'13. Updated Demand'!A:Z,20,FALSE))</f>
        <v>0</v>
      </c>
      <c r="AD114" s="16">
        <f>IF(ISERROR(VLOOKUP($A114,'13. Updated Demand'!A:Z,21,FALSE)),0,VLOOKUP($A114,'13. Updated Demand'!A:Z,21,FALSE))</f>
        <v>0</v>
      </c>
      <c r="AE114" s="16">
        <f>IF(ISERROR(VLOOKUP($A114,'13. Updated Demand'!A:Z,22,FALSE)),0,VLOOKUP($A114,'13. Updated Demand'!A:Z,22,FALSE))</f>
        <v>0</v>
      </c>
      <c r="AF114" s="16">
        <f>IF(ISERROR(VLOOKUP($A114,'13. Updated Demand'!A:Z,23,FALSE)),0,VLOOKUP($A114,'13. Updated Demand'!A:Z,23,FALSE))</f>
        <v>0</v>
      </c>
      <c r="AG114" s="16">
        <f>IF(ISERROR(VLOOKUP($A114,'13. Updated Demand'!A:Z,24,FALSE)),0,VLOOKUP($A114,'13. Updated Demand'!A:Z,24,FALSE))</f>
        <v>0</v>
      </c>
      <c r="AH114" s="16">
        <f>IF(ISERROR(VLOOKUP($A114,'13. Updated Demand'!A:Z,25,FALSE)),0,VLOOKUP($A114,'13. Updated Demand'!A:Z,25,FALSE))</f>
        <v>0</v>
      </c>
      <c r="AI114" s="16">
        <f>IF(ISERROR(VLOOKUP($A114,'13. Updated Demand'!A:Z,26,FALSE)),0,VLOOKUP($A114,'13. Updated Demand'!A:Z,26,FALSE))</f>
        <v>0</v>
      </c>
      <c r="AJ114" s="16">
        <f t="shared" si="24"/>
        <v>0</v>
      </c>
      <c r="AK114" s="19">
        <v>0</v>
      </c>
      <c r="AL114" s="16">
        <f t="shared" si="22"/>
        <v>0</v>
      </c>
      <c r="AM114" s="17">
        <v>0</v>
      </c>
      <c r="AN114" s="19"/>
      <c r="AO114" s="19"/>
      <c r="AP114" s="19">
        <v>19.170000000000002</v>
      </c>
      <c r="AQ114" s="19" t="s">
        <v>307</v>
      </c>
      <c r="AR114" s="9" t="s">
        <v>354</v>
      </c>
      <c r="AS114" s="12">
        <v>3.4039024194010059E-4</v>
      </c>
      <c r="AT114" s="19">
        <v>38.849857819999997</v>
      </c>
      <c r="AU114" s="19">
        <v>-122.98722773999999</v>
      </c>
      <c r="AV114" s="19" t="s">
        <v>320</v>
      </c>
    </row>
    <row r="115" spans="1:48" x14ac:dyDescent="0.25">
      <c r="A115" s="18" t="s">
        <v>466</v>
      </c>
      <c r="B115" s="10">
        <v>20120201</v>
      </c>
      <c r="C115" s="9">
        <v>6</v>
      </c>
      <c r="D115" s="8" t="str">
        <f t="shared" si="13"/>
        <v>Y</v>
      </c>
      <c r="E115" s="8" t="str">
        <f t="shared" si="14"/>
        <v>N</v>
      </c>
      <c r="F115" s="8" t="str">
        <f t="shared" si="15"/>
        <v>Y</v>
      </c>
      <c r="G115" s="8" t="str">
        <f t="shared" si="16"/>
        <v>Y</v>
      </c>
      <c r="H115" s="8" t="str">
        <f t="shared" si="17"/>
        <v>Upper</v>
      </c>
      <c r="I115" s="8" t="str">
        <f t="shared" si="18"/>
        <v>West Fork and Below Lake</v>
      </c>
      <c r="J115" s="8" t="str">
        <f t="shared" si="19"/>
        <v>Mendocino (d/s of lake)</v>
      </c>
      <c r="K115" s="8" t="str">
        <f t="shared" si="20"/>
        <v>Post-1949</v>
      </c>
      <c r="L115" s="8">
        <f t="shared" si="21"/>
        <v>2012</v>
      </c>
      <c r="M115" s="8" t="str">
        <f t="shared" si="23"/>
        <v>1991-present</v>
      </c>
      <c r="N115" s="10" t="s">
        <v>242</v>
      </c>
      <c r="O115" s="10" t="s">
        <v>241</v>
      </c>
      <c r="P115" s="10" t="s">
        <v>242</v>
      </c>
      <c r="Q115" s="10" t="s">
        <v>242</v>
      </c>
      <c r="R115" s="10" t="s">
        <v>241</v>
      </c>
      <c r="S115" s="10" t="s">
        <v>242</v>
      </c>
      <c r="T115" s="10" t="s">
        <v>241</v>
      </c>
      <c r="U115" s="10" t="s">
        <v>241</v>
      </c>
      <c r="V115" s="10" t="s">
        <v>241</v>
      </c>
      <c r="W115" s="10" t="s">
        <v>242</v>
      </c>
      <c r="X115" s="15">
        <f>IF(ISERROR(VLOOKUP($A115,'13. Updated Demand'!A:Z,15,FALSE)),0,VLOOKUP($A115,'13. Updated Demand'!A:Z,15,FALSE))</f>
        <v>0</v>
      </c>
      <c r="Y115" s="16">
        <f>IF(ISERROR(VLOOKUP($A115,'13. Updated Demand'!A:Z,16,FALSE)),0,VLOOKUP($A115,'13. Updated Demand'!A:Z,16,FALSE))</f>
        <v>0</v>
      </c>
      <c r="Z115" s="16">
        <f>IF(ISERROR(VLOOKUP($A115,'13. Updated Demand'!A:Z,17,FALSE)),0,VLOOKUP($A115,'13. Updated Demand'!A:Z,17,FALSE))</f>
        <v>0</v>
      </c>
      <c r="AA115" s="16">
        <f>IF(ISERROR(VLOOKUP($A115,'13. Updated Demand'!A:Z,18,FALSE)),0,VLOOKUP($A115,'13. Updated Demand'!A:Z,18,FALSE))</f>
        <v>0</v>
      </c>
      <c r="AB115" s="16">
        <f>IF(ISERROR(VLOOKUP($A115,'13. Updated Demand'!A:Z,19,FALSE)),0,VLOOKUP($A115,'13. Updated Demand'!A:Z,19,FALSE))</f>
        <v>0</v>
      </c>
      <c r="AC115" s="16">
        <f>IF(ISERROR(VLOOKUP($A115,'13. Updated Demand'!A:Z,20,FALSE)),0,VLOOKUP($A115,'13. Updated Demand'!A:Z,20,FALSE))</f>
        <v>0</v>
      </c>
      <c r="AD115" s="16">
        <f>IF(ISERROR(VLOOKUP($A115,'13. Updated Demand'!A:Z,21,FALSE)),0,VLOOKUP($A115,'13. Updated Demand'!A:Z,21,FALSE))</f>
        <v>0</v>
      </c>
      <c r="AE115" s="16">
        <f>IF(ISERROR(VLOOKUP($A115,'13. Updated Demand'!A:Z,22,FALSE)),0,VLOOKUP($A115,'13. Updated Demand'!A:Z,22,FALSE))</f>
        <v>0</v>
      </c>
      <c r="AF115" s="16">
        <f>IF(ISERROR(VLOOKUP($A115,'13. Updated Demand'!A:Z,23,FALSE)),0,VLOOKUP($A115,'13. Updated Demand'!A:Z,23,FALSE))</f>
        <v>0</v>
      </c>
      <c r="AG115" s="16">
        <f>IF(ISERROR(VLOOKUP($A115,'13. Updated Demand'!A:Z,24,FALSE)),0,VLOOKUP($A115,'13. Updated Demand'!A:Z,24,FALSE))</f>
        <v>0</v>
      </c>
      <c r="AH115" s="16">
        <f>IF(ISERROR(VLOOKUP($A115,'13. Updated Demand'!A:Z,25,FALSE)),0,VLOOKUP($A115,'13. Updated Demand'!A:Z,25,FALSE))</f>
        <v>0</v>
      </c>
      <c r="AI115" s="16">
        <f>IF(ISERROR(VLOOKUP($A115,'13. Updated Demand'!A:Z,26,FALSE)),0,VLOOKUP($A115,'13. Updated Demand'!A:Z,26,FALSE))</f>
        <v>0</v>
      </c>
      <c r="AJ115" s="16">
        <f t="shared" si="24"/>
        <v>0</v>
      </c>
      <c r="AK115" s="19">
        <v>0</v>
      </c>
      <c r="AL115" s="16">
        <f t="shared" si="22"/>
        <v>0</v>
      </c>
      <c r="AM115" s="17">
        <v>0</v>
      </c>
      <c r="AN115" s="19"/>
      <c r="AO115" s="19"/>
      <c r="AP115" s="19">
        <v>28.2</v>
      </c>
      <c r="AQ115" s="19" t="s">
        <v>307</v>
      </c>
      <c r="AR115" s="9" t="s">
        <v>319</v>
      </c>
      <c r="AS115" s="12">
        <v>0</v>
      </c>
      <c r="AT115" s="19">
        <v>38.986600000000003</v>
      </c>
      <c r="AU115" s="19">
        <v>-123.1585</v>
      </c>
      <c r="AV115" s="19" t="s">
        <v>385</v>
      </c>
    </row>
    <row r="116" spans="1:48" x14ac:dyDescent="0.25">
      <c r="A116" s="18" t="s">
        <v>467</v>
      </c>
      <c r="B116" s="10">
        <v>20120202</v>
      </c>
      <c r="C116" s="9">
        <v>6</v>
      </c>
      <c r="D116" s="8" t="str">
        <f t="shared" si="13"/>
        <v>Y</v>
      </c>
      <c r="E116" s="8" t="str">
        <f t="shared" si="14"/>
        <v>N</v>
      </c>
      <c r="F116" s="8" t="str">
        <f t="shared" si="15"/>
        <v>Y</v>
      </c>
      <c r="G116" s="8" t="str">
        <f t="shared" si="16"/>
        <v>Y</v>
      </c>
      <c r="H116" s="8" t="str">
        <f t="shared" si="17"/>
        <v>Upper</v>
      </c>
      <c r="I116" s="8" t="str">
        <f t="shared" si="18"/>
        <v>West Fork and Below Lake</v>
      </c>
      <c r="J116" s="8" t="str">
        <f t="shared" si="19"/>
        <v>Mendocino (d/s of lake)</v>
      </c>
      <c r="K116" s="8" t="str">
        <f t="shared" si="20"/>
        <v>Post-1949</v>
      </c>
      <c r="L116" s="8">
        <f t="shared" si="21"/>
        <v>2012</v>
      </c>
      <c r="M116" s="8" t="str">
        <f t="shared" si="23"/>
        <v>1991-present</v>
      </c>
      <c r="N116" s="10" t="s">
        <v>242</v>
      </c>
      <c r="O116" s="10" t="s">
        <v>241</v>
      </c>
      <c r="P116" s="10" t="s">
        <v>242</v>
      </c>
      <c r="Q116" s="10" t="s">
        <v>242</v>
      </c>
      <c r="R116" s="10" t="s">
        <v>241</v>
      </c>
      <c r="S116" s="10" t="s">
        <v>242</v>
      </c>
      <c r="T116" s="10" t="s">
        <v>241</v>
      </c>
      <c r="U116" s="10" t="s">
        <v>241</v>
      </c>
      <c r="V116" s="10" t="s">
        <v>241</v>
      </c>
      <c r="W116" s="10" t="s">
        <v>242</v>
      </c>
      <c r="X116" s="15">
        <f>IF(ISERROR(VLOOKUP($A116,'13. Updated Demand'!A:Z,15,FALSE)),0,VLOOKUP($A116,'13. Updated Demand'!A:Z,15,FALSE))</f>
        <v>0</v>
      </c>
      <c r="Y116" s="16">
        <f>IF(ISERROR(VLOOKUP($A116,'13. Updated Demand'!A:Z,16,FALSE)),0,VLOOKUP($A116,'13. Updated Demand'!A:Z,16,FALSE))</f>
        <v>0</v>
      </c>
      <c r="Z116" s="16">
        <f>IF(ISERROR(VLOOKUP($A116,'13. Updated Demand'!A:Z,17,FALSE)),0,VLOOKUP($A116,'13. Updated Demand'!A:Z,17,FALSE))</f>
        <v>0</v>
      </c>
      <c r="AA116" s="16">
        <f>IF(ISERROR(VLOOKUP($A116,'13. Updated Demand'!A:Z,18,FALSE)),0,VLOOKUP($A116,'13. Updated Demand'!A:Z,18,FALSE))</f>
        <v>0</v>
      </c>
      <c r="AB116" s="16">
        <f>IF(ISERROR(VLOOKUP($A116,'13. Updated Demand'!A:Z,19,FALSE)),0,VLOOKUP($A116,'13. Updated Demand'!A:Z,19,FALSE))</f>
        <v>0</v>
      </c>
      <c r="AC116" s="16">
        <f>IF(ISERROR(VLOOKUP($A116,'13. Updated Demand'!A:Z,20,FALSE)),0,VLOOKUP($A116,'13. Updated Demand'!A:Z,20,FALSE))</f>
        <v>0</v>
      </c>
      <c r="AD116" s="16">
        <f>IF(ISERROR(VLOOKUP($A116,'13. Updated Demand'!A:Z,21,FALSE)),0,VLOOKUP($A116,'13. Updated Demand'!A:Z,21,FALSE))</f>
        <v>0</v>
      </c>
      <c r="AE116" s="16">
        <f>IF(ISERROR(VLOOKUP($A116,'13. Updated Demand'!A:Z,22,FALSE)),0,VLOOKUP($A116,'13. Updated Demand'!A:Z,22,FALSE))</f>
        <v>0</v>
      </c>
      <c r="AF116" s="16">
        <f>IF(ISERROR(VLOOKUP($A116,'13. Updated Demand'!A:Z,23,FALSE)),0,VLOOKUP($A116,'13. Updated Demand'!A:Z,23,FALSE))</f>
        <v>0</v>
      </c>
      <c r="AG116" s="16">
        <f>IF(ISERROR(VLOOKUP($A116,'13. Updated Demand'!A:Z,24,FALSE)),0,VLOOKUP($A116,'13. Updated Demand'!A:Z,24,FALSE))</f>
        <v>0</v>
      </c>
      <c r="AH116" s="16">
        <f>IF(ISERROR(VLOOKUP($A116,'13. Updated Demand'!A:Z,25,FALSE)),0,VLOOKUP($A116,'13. Updated Demand'!A:Z,25,FALSE))</f>
        <v>0</v>
      </c>
      <c r="AI116" s="16">
        <f>IF(ISERROR(VLOOKUP($A116,'13. Updated Demand'!A:Z,26,FALSE)),0,VLOOKUP($A116,'13. Updated Demand'!A:Z,26,FALSE))</f>
        <v>0</v>
      </c>
      <c r="AJ116" s="16">
        <f t="shared" si="24"/>
        <v>0</v>
      </c>
      <c r="AK116" s="19">
        <v>0</v>
      </c>
      <c r="AL116" s="16">
        <f t="shared" si="22"/>
        <v>0</v>
      </c>
      <c r="AM116" s="17">
        <v>0</v>
      </c>
      <c r="AN116" s="19"/>
      <c r="AO116" s="19"/>
      <c r="AP116" s="19">
        <v>53.9</v>
      </c>
      <c r="AQ116" s="19" t="s">
        <v>307</v>
      </c>
      <c r="AR116" s="9" t="s">
        <v>319</v>
      </c>
      <c r="AS116" s="12">
        <v>0</v>
      </c>
      <c r="AT116" s="19">
        <v>38.993899999999996</v>
      </c>
      <c r="AU116" s="19">
        <v>-123.1537</v>
      </c>
      <c r="AV116" s="19" t="s">
        <v>385</v>
      </c>
    </row>
    <row r="117" spans="1:48" x14ac:dyDescent="0.25">
      <c r="A117" s="18" t="s">
        <v>468</v>
      </c>
      <c r="B117" s="10">
        <v>20120817</v>
      </c>
      <c r="C117" s="9">
        <v>18</v>
      </c>
      <c r="D117" s="8" t="str">
        <f t="shared" si="13"/>
        <v>N</v>
      </c>
      <c r="E117" s="8" t="str">
        <f t="shared" si="14"/>
        <v>N</v>
      </c>
      <c r="F117" s="8" t="str">
        <f t="shared" si="15"/>
        <v>N</v>
      </c>
      <c r="G117" s="8" t="str">
        <f t="shared" si="16"/>
        <v>N</v>
      </c>
      <c r="H117" s="8" t="str">
        <f t="shared" si="17"/>
        <v>Lower</v>
      </c>
      <c r="I117" s="8" t="str">
        <f t="shared" si="18"/>
        <v>Outside</v>
      </c>
      <c r="J117" s="8" t="str">
        <f t="shared" si="19"/>
        <v>Outside</v>
      </c>
      <c r="K117" s="8" t="str">
        <f t="shared" si="20"/>
        <v>Post-1949</v>
      </c>
      <c r="L117" s="8">
        <f t="shared" si="21"/>
        <v>2012</v>
      </c>
      <c r="M117" s="8" t="str">
        <f t="shared" si="23"/>
        <v>1991-present</v>
      </c>
      <c r="N117" s="10" t="s">
        <v>242</v>
      </c>
      <c r="O117" s="10" t="s">
        <v>242</v>
      </c>
      <c r="P117" s="10" t="s">
        <v>242</v>
      </c>
      <c r="Q117" s="10" t="s">
        <v>242</v>
      </c>
      <c r="R117" s="10" t="s">
        <v>241</v>
      </c>
      <c r="S117" s="10" t="s">
        <v>242</v>
      </c>
      <c r="T117" s="10" t="s">
        <v>241</v>
      </c>
      <c r="U117" s="10" t="s">
        <v>241</v>
      </c>
      <c r="V117" s="10" t="s">
        <v>241</v>
      </c>
      <c r="W117" s="10" t="s">
        <v>242</v>
      </c>
      <c r="X117" s="15">
        <f>IF(ISERROR(VLOOKUP($A117,'13. Updated Demand'!A:Z,15,FALSE)),0,VLOOKUP($A117,'13. Updated Demand'!A:Z,15,FALSE))</f>
        <v>0</v>
      </c>
      <c r="Y117" s="16">
        <f>IF(ISERROR(VLOOKUP($A117,'13. Updated Demand'!A:Z,16,FALSE)),0,VLOOKUP($A117,'13. Updated Demand'!A:Z,16,FALSE))</f>
        <v>0</v>
      </c>
      <c r="Z117" s="16">
        <f>IF(ISERROR(VLOOKUP($A117,'13. Updated Demand'!A:Z,17,FALSE)),0,VLOOKUP($A117,'13. Updated Demand'!A:Z,17,FALSE))</f>
        <v>0</v>
      </c>
      <c r="AA117" s="16">
        <f>IF(ISERROR(VLOOKUP($A117,'13. Updated Demand'!A:Z,18,FALSE)),0,VLOOKUP($A117,'13. Updated Demand'!A:Z,18,FALSE))</f>
        <v>0</v>
      </c>
      <c r="AB117" s="16">
        <f>IF(ISERROR(VLOOKUP($A117,'13. Updated Demand'!A:Z,19,FALSE)),0,VLOOKUP($A117,'13. Updated Demand'!A:Z,19,FALSE))</f>
        <v>0</v>
      </c>
      <c r="AC117" s="16">
        <f>IF(ISERROR(VLOOKUP($A117,'13. Updated Demand'!A:Z,20,FALSE)),0,VLOOKUP($A117,'13. Updated Demand'!A:Z,20,FALSE))</f>
        <v>0</v>
      </c>
      <c r="AD117" s="16">
        <f>IF(ISERROR(VLOOKUP($A117,'13. Updated Demand'!A:Z,21,FALSE)),0,VLOOKUP($A117,'13. Updated Demand'!A:Z,21,FALSE))</f>
        <v>0</v>
      </c>
      <c r="AE117" s="16">
        <f>IF(ISERROR(VLOOKUP($A117,'13. Updated Demand'!A:Z,22,FALSE)),0,VLOOKUP($A117,'13. Updated Demand'!A:Z,22,FALSE))</f>
        <v>0</v>
      </c>
      <c r="AF117" s="16">
        <f>IF(ISERROR(VLOOKUP($A117,'13. Updated Demand'!A:Z,23,FALSE)),0,VLOOKUP($A117,'13. Updated Demand'!A:Z,23,FALSE))</f>
        <v>0</v>
      </c>
      <c r="AG117" s="16">
        <f>IF(ISERROR(VLOOKUP($A117,'13. Updated Demand'!A:Z,24,FALSE)),0,VLOOKUP($A117,'13. Updated Demand'!A:Z,24,FALSE))</f>
        <v>0</v>
      </c>
      <c r="AH117" s="16">
        <f>IF(ISERROR(VLOOKUP($A117,'13. Updated Demand'!A:Z,25,FALSE)),0,VLOOKUP($A117,'13. Updated Demand'!A:Z,25,FALSE))</f>
        <v>0</v>
      </c>
      <c r="AI117" s="16">
        <f>IF(ISERROR(VLOOKUP($A117,'13. Updated Demand'!A:Z,26,FALSE)),0,VLOOKUP($A117,'13. Updated Demand'!A:Z,26,FALSE))</f>
        <v>0</v>
      </c>
      <c r="AJ117" s="16">
        <f t="shared" si="24"/>
        <v>0</v>
      </c>
      <c r="AK117" s="19">
        <v>0</v>
      </c>
      <c r="AL117" s="16">
        <f t="shared" si="22"/>
        <v>0</v>
      </c>
      <c r="AM117" s="17">
        <v>0</v>
      </c>
      <c r="AN117" s="19"/>
      <c r="AO117" s="19"/>
      <c r="AP117" s="19">
        <v>21</v>
      </c>
      <c r="AQ117" s="19" t="s">
        <v>307</v>
      </c>
      <c r="AR117" s="9" t="s">
        <v>352</v>
      </c>
      <c r="AS117" s="12">
        <v>0</v>
      </c>
      <c r="AT117" s="19">
        <v>38.447000000000003</v>
      </c>
      <c r="AU117" s="19">
        <v>-122.8843</v>
      </c>
      <c r="AV117" s="19" t="s">
        <v>469</v>
      </c>
    </row>
    <row r="118" spans="1:48" x14ac:dyDescent="0.25">
      <c r="A118" s="18" t="s">
        <v>470</v>
      </c>
      <c r="B118" s="10">
        <v>20120817</v>
      </c>
      <c r="C118" s="9">
        <v>21</v>
      </c>
      <c r="D118" s="8" t="str">
        <f t="shared" si="13"/>
        <v>N</v>
      </c>
      <c r="E118" s="8" t="str">
        <f t="shared" si="14"/>
        <v>N</v>
      </c>
      <c r="F118" s="8" t="str">
        <f t="shared" si="15"/>
        <v>N</v>
      </c>
      <c r="G118" s="8" t="str">
        <f t="shared" si="16"/>
        <v>N</v>
      </c>
      <c r="H118" s="8" t="str">
        <f t="shared" si="17"/>
        <v>Lower</v>
      </c>
      <c r="I118" s="8" t="str">
        <f t="shared" si="18"/>
        <v>Outside</v>
      </c>
      <c r="J118" s="8" t="str">
        <f t="shared" si="19"/>
        <v>Outside</v>
      </c>
      <c r="K118" s="8" t="str">
        <f t="shared" si="20"/>
        <v>Post-1949</v>
      </c>
      <c r="L118" s="8">
        <f t="shared" si="21"/>
        <v>2012</v>
      </c>
      <c r="M118" s="8" t="str">
        <f t="shared" si="23"/>
        <v>1991-present</v>
      </c>
      <c r="N118" s="10" t="s">
        <v>242</v>
      </c>
      <c r="O118" s="10" t="s">
        <v>242</v>
      </c>
      <c r="P118" s="10" t="s">
        <v>242</v>
      </c>
      <c r="Q118" s="10" t="s">
        <v>242</v>
      </c>
      <c r="R118" s="10" t="s">
        <v>241</v>
      </c>
      <c r="S118" s="10" t="s">
        <v>242</v>
      </c>
      <c r="T118" s="10" t="s">
        <v>241</v>
      </c>
      <c r="U118" s="10" t="s">
        <v>241</v>
      </c>
      <c r="V118" s="10" t="s">
        <v>241</v>
      </c>
      <c r="W118" s="10" t="s">
        <v>242</v>
      </c>
      <c r="X118" s="15">
        <f>IF(ISERROR(VLOOKUP($A118,'13. Updated Demand'!A:Z,15,FALSE)),0,VLOOKUP($A118,'13. Updated Demand'!A:Z,15,FALSE))</f>
        <v>0</v>
      </c>
      <c r="Y118" s="16">
        <f>IF(ISERROR(VLOOKUP($A118,'13. Updated Demand'!A:Z,16,FALSE)),0,VLOOKUP($A118,'13. Updated Demand'!A:Z,16,FALSE))</f>
        <v>0</v>
      </c>
      <c r="Z118" s="16">
        <f>IF(ISERROR(VLOOKUP($A118,'13. Updated Demand'!A:Z,17,FALSE)),0,VLOOKUP($A118,'13. Updated Demand'!A:Z,17,FALSE))</f>
        <v>0</v>
      </c>
      <c r="AA118" s="16">
        <f>IF(ISERROR(VLOOKUP($A118,'13. Updated Demand'!A:Z,18,FALSE)),0,VLOOKUP($A118,'13. Updated Demand'!A:Z,18,FALSE))</f>
        <v>0</v>
      </c>
      <c r="AB118" s="16">
        <f>IF(ISERROR(VLOOKUP($A118,'13. Updated Demand'!A:Z,19,FALSE)),0,VLOOKUP($A118,'13. Updated Demand'!A:Z,19,FALSE))</f>
        <v>0</v>
      </c>
      <c r="AC118" s="16">
        <f>IF(ISERROR(VLOOKUP($A118,'13. Updated Demand'!A:Z,20,FALSE)),0,VLOOKUP($A118,'13. Updated Demand'!A:Z,20,FALSE))</f>
        <v>0</v>
      </c>
      <c r="AD118" s="16">
        <f>IF(ISERROR(VLOOKUP($A118,'13. Updated Demand'!A:Z,21,FALSE)),0,VLOOKUP($A118,'13. Updated Demand'!A:Z,21,FALSE))</f>
        <v>0</v>
      </c>
      <c r="AE118" s="16">
        <f>IF(ISERROR(VLOOKUP($A118,'13. Updated Demand'!A:Z,22,FALSE)),0,VLOOKUP($A118,'13. Updated Demand'!A:Z,22,FALSE))</f>
        <v>0</v>
      </c>
      <c r="AF118" s="16">
        <f>IF(ISERROR(VLOOKUP($A118,'13. Updated Demand'!A:Z,23,FALSE)),0,VLOOKUP($A118,'13. Updated Demand'!A:Z,23,FALSE))</f>
        <v>0</v>
      </c>
      <c r="AG118" s="16">
        <f>IF(ISERROR(VLOOKUP($A118,'13. Updated Demand'!A:Z,24,FALSE)),0,VLOOKUP($A118,'13. Updated Demand'!A:Z,24,FALSE))</f>
        <v>0</v>
      </c>
      <c r="AH118" s="16">
        <f>IF(ISERROR(VLOOKUP($A118,'13. Updated Demand'!A:Z,25,FALSE)),0,VLOOKUP($A118,'13. Updated Demand'!A:Z,25,FALSE))</f>
        <v>0</v>
      </c>
      <c r="AI118" s="16">
        <f>IF(ISERROR(VLOOKUP($A118,'13. Updated Demand'!A:Z,26,FALSE)),0,VLOOKUP($A118,'13. Updated Demand'!A:Z,26,FALSE))</f>
        <v>0</v>
      </c>
      <c r="AJ118" s="16">
        <f t="shared" si="24"/>
        <v>0</v>
      </c>
      <c r="AK118" s="19">
        <v>0</v>
      </c>
      <c r="AL118" s="16">
        <f t="shared" si="22"/>
        <v>0</v>
      </c>
      <c r="AM118" s="17">
        <v>0</v>
      </c>
      <c r="AN118" s="19"/>
      <c r="AO118" s="19"/>
      <c r="AP118" s="19">
        <v>25</v>
      </c>
      <c r="AQ118" s="19" t="s">
        <v>307</v>
      </c>
      <c r="AR118" s="9" t="s">
        <v>403</v>
      </c>
      <c r="AS118" s="12">
        <v>0</v>
      </c>
      <c r="AT118" s="19">
        <v>38.512156019999999</v>
      </c>
      <c r="AU118" s="19">
        <v>-123.00905077</v>
      </c>
      <c r="AV118" s="19" t="s">
        <v>385</v>
      </c>
    </row>
    <row r="119" spans="1:48" x14ac:dyDescent="0.25">
      <c r="A119" s="18" t="s">
        <v>471</v>
      </c>
      <c r="B119" s="10">
        <v>20121119</v>
      </c>
      <c r="C119" s="9">
        <v>6</v>
      </c>
      <c r="D119" s="8" t="str">
        <f t="shared" si="13"/>
        <v>Y</v>
      </c>
      <c r="E119" s="8" t="str">
        <f t="shared" si="14"/>
        <v>N</v>
      </c>
      <c r="F119" s="8" t="str">
        <f t="shared" si="15"/>
        <v>Y</v>
      </c>
      <c r="G119" s="8" t="str">
        <f t="shared" si="16"/>
        <v>Y</v>
      </c>
      <c r="H119" s="8" t="str">
        <f t="shared" si="17"/>
        <v>Upper</v>
      </c>
      <c r="I119" s="8" t="str">
        <f t="shared" si="18"/>
        <v>West Fork and Below Lake</v>
      </c>
      <c r="J119" s="8" t="str">
        <f t="shared" si="19"/>
        <v>Mendocino (d/s of lake)</v>
      </c>
      <c r="K119" s="8" t="str">
        <f t="shared" si="20"/>
        <v>Post-1949</v>
      </c>
      <c r="L119" s="8">
        <f t="shared" si="21"/>
        <v>2012</v>
      </c>
      <c r="M119" s="8" t="str">
        <f t="shared" si="23"/>
        <v>1991-present</v>
      </c>
      <c r="N119" s="10" t="s">
        <v>242</v>
      </c>
      <c r="O119" s="10" t="s">
        <v>241</v>
      </c>
      <c r="P119" s="10" t="s">
        <v>242</v>
      </c>
      <c r="Q119" s="10" t="s">
        <v>242</v>
      </c>
      <c r="R119" s="10" t="s">
        <v>241</v>
      </c>
      <c r="S119" s="10" t="s">
        <v>242</v>
      </c>
      <c r="T119" s="10" t="s">
        <v>241</v>
      </c>
      <c r="U119" s="10" t="s">
        <v>241</v>
      </c>
      <c r="V119" s="10" t="s">
        <v>241</v>
      </c>
      <c r="W119" s="10" t="s">
        <v>242</v>
      </c>
      <c r="X119" s="15">
        <f>IF(ISERROR(VLOOKUP($A119,'13. Updated Demand'!A:Z,15,FALSE)),0,VLOOKUP($A119,'13. Updated Demand'!A:Z,15,FALSE))</f>
        <v>0</v>
      </c>
      <c r="Y119" s="16">
        <f>IF(ISERROR(VLOOKUP($A119,'13. Updated Demand'!A:Z,16,FALSE)),0,VLOOKUP($A119,'13. Updated Demand'!A:Z,16,FALSE))</f>
        <v>0</v>
      </c>
      <c r="Z119" s="16">
        <f>IF(ISERROR(VLOOKUP($A119,'13. Updated Demand'!A:Z,17,FALSE)),0,VLOOKUP($A119,'13. Updated Demand'!A:Z,17,FALSE))</f>
        <v>0</v>
      </c>
      <c r="AA119" s="16">
        <f>IF(ISERROR(VLOOKUP($A119,'13. Updated Demand'!A:Z,18,FALSE)),0,VLOOKUP($A119,'13. Updated Demand'!A:Z,18,FALSE))</f>
        <v>0</v>
      </c>
      <c r="AB119" s="16">
        <f>IF(ISERROR(VLOOKUP($A119,'13. Updated Demand'!A:Z,19,FALSE)),0,VLOOKUP($A119,'13. Updated Demand'!A:Z,19,FALSE))</f>
        <v>0</v>
      </c>
      <c r="AC119" s="16">
        <f>IF(ISERROR(VLOOKUP($A119,'13. Updated Demand'!A:Z,20,FALSE)),0,VLOOKUP($A119,'13. Updated Demand'!A:Z,20,FALSE))</f>
        <v>0</v>
      </c>
      <c r="AD119" s="16">
        <f>IF(ISERROR(VLOOKUP($A119,'13. Updated Demand'!A:Z,21,FALSE)),0,VLOOKUP($A119,'13. Updated Demand'!A:Z,21,FALSE))</f>
        <v>0</v>
      </c>
      <c r="AE119" s="16">
        <f>IF(ISERROR(VLOOKUP($A119,'13. Updated Demand'!A:Z,22,FALSE)),0,VLOOKUP($A119,'13. Updated Demand'!A:Z,22,FALSE))</f>
        <v>0</v>
      </c>
      <c r="AF119" s="16">
        <f>IF(ISERROR(VLOOKUP($A119,'13. Updated Demand'!A:Z,23,FALSE)),0,VLOOKUP($A119,'13. Updated Demand'!A:Z,23,FALSE))</f>
        <v>0</v>
      </c>
      <c r="AG119" s="16">
        <f>IF(ISERROR(VLOOKUP($A119,'13. Updated Demand'!A:Z,24,FALSE)),0,VLOOKUP($A119,'13. Updated Demand'!A:Z,24,FALSE))</f>
        <v>0</v>
      </c>
      <c r="AH119" s="16">
        <f>IF(ISERROR(VLOOKUP($A119,'13. Updated Demand'!A:Z,25,FALSE)),0,VLOOKUP($A119,'13. Updated Demand'!A:Z,25,FALSE))</f>
        <v>0</v>
      </c>
      <c r="AI119" s="16">
        <f>IF(ISERROR(VLOOKUP($A119,'13. Updated Demand'!A:Z,26,FALSE)),0,VLOOKUP($A119,'13. Updated Demand'!A:Z,26,FALSE))</f>
        <v>0</v>
      </c>
      <c r="AJ119" s="16">
        <f t="shared" si="24"/>
        <v>0</v>
      </c>
      <c r="AK119" s="19">
        <v>0</v>
      </c>
      <c r="AL119" s="16">
        <f t="shared" si="22"/>
        <v>0</v>
      </c>
      <c r="AM119" s="17">
        <v>0</v>
      </c>
      <c r="AN119" s="19"/>
      <c r="AO119" s="19"/>
      <c r="AP119" s="19">
        <v>22.2</v>
      </c>
      <c r="AQ119" s="19" t="s">
        <v>307</v>
      </c>
      <c r="AR119" s="9" t="s">
        <v>319</v>
      </c>
      <c r="AS119" s="12">
        <v>0</v>
      </c>
      <c r="AT119" s="19">
        <v>38.983899999999998</v>
      </c>
      <c r="AU119" s="19">
        <v>-123.1234</v>
      </c>
      <c r="AV119" s="19" t="s">
        <v>385</v>
      </c>
    </row>
    <row r="120" spans="1:48" x14ac:dyDescent="0.25">
      <c r="A120" s="18" t="s">
        <v>472</v>
      </c>
      <c r="B120" s="10">
        <v>20120716</v>
      </c>
      <c r="C120" s="9">
        <v>6</v>
      </c>
      <c r="D120" s="8" t="str">
        <f t="shared" si="13"/>
        <v>Y</v>
      </c>
      <c r="E120" s="8" t="str">
        <f t="shared" si="14"/>
        <v>N</v>
      </c>
      <c r="F120" s="8" t="str">
        <f t="shared" si="15"/>
        <v>Y</v>
      </c>
      <c r="G120" s="8" t="str">
        <f t="shared" si="16"/>
        <v>Y</v>
      </c>
      <c r="H120" s="8" t="str">
        <f t="shared" si="17"/>
        <v>Upper</v>
      </c>
      <c r="I120" s="8" t="str">
        <f t="shared" si="18"/>
        <v>West Fork and Below Lake</v>
      </c>
      <c r="J120" s="8" t="str">
        <f t="shared" si="19"/>
        <v>Mendocino (d/s of lake)</v>
      </c>
      <c r="K120" s="8" t="str">
        <f t="shared" si="20"/>
        <v>Post-1949</v>
      </c>
      <c r="L120" s="8">
        <f t="shared" si="21"/>
        <v>2012</v>
      </c>
      <c r="M120" s="8" t="str">
        <f t="shared" si="23"/>
        <v>1991-present</v>
      </c>
      <c r="N120" s="10" t="s">
        <v>242</v>
      </c>
      <c r="O120" s="10" t="s">
        <v>241</v>
      </c>
      <c r="P120" s="10" t="s">
        <v>242</v>
      </c>
      <c r="Q120" s="10" t="s">
        <v>242</v>
      </c>
      <c r="R120" s="10" t="s">
        <v>241</v>
      </c>
      <c r="S120" s="10" t="s">
        <v>242</v>
      </c>
      <c r="T120" s="10" t="s">
        <v>242</v>
      </c>
      <c r="U120" s="10" t="s">
        <v>242</v>
      </c>
      <c r="V120" s="10" t="s">
        <v>241</v>
      </c>
      <c r="W120" s="10" t="s">
        <v>242</v>
      </c>
      <c r="X120" s="15">
        <f>IF(ISERROR(VLOOKUP($A120,'13. Updated Demand'!A:Z,15,FALSE)),0,VLOOKUP($A120,'13. Updated Demand'!A:Z,15,FALSE))</f>
        <v>2</v>
      </c>
      <c r="Y120" s="16">
        <f>IF(ISERROR(VLOOKUP($A120,'13. Updated Demand'!A:Z,16,FALSE)),0,VLOOKUP($A120,'13. Updated Demand'!A:Z,16,FALSE))</f>
        <v>2</v>
      </c>
      <c r="Z120" s="16">
        <f>IF(ISERROR(VLOOKUP($A120,'13. Updated Demand'!A:Z,17,FALSE)),0,VLOOKUP($A120,'13. Updated Demand'!A:Z,17,FALSE))</f>
        <v>1</v>
      </c>
      <c r="AA120" s="16">
        <f>IF(ISERROR(VLOOKUP($A120,'13. Updated Demand'!A:Z,18,FALSE)),0,VLOOKUP($A120,'13. Updated Demand'!A:Z,18,FALSE))</f>
        <v>0</v>
      </c>
      <c r="AB120" s="16">
        <f>IF(ISERROR(VLOOKUP($A120,'13. Updated Demand'!A:Z,19,FALSE)),0,VLOOKUP($A120,'13. Updated Demand'!A:Z,19,FALSE))</f>
        <v>0</v>
      </c>
      <c r="AC120" s="16">
        <f>IF(ISERROR(VLOOKUP($A120,'13. Updated Demand'!A:Z,20,FALSE)),0,VLOOKUP($A120,'13. Updated Demand'!A:Z,20,FALSE))</f>
        <v>0</v>
      </c>
      <c r="AD120" s="16">
        <f>IF(ISERROR(VLOOKUP($A120,'13. Updated Demand'!A:Z,21,FALSE)),0,VLOOKUP($A120,'13. Updated Demand'!A:Z,21,FALSE))</f>
        <v>0</v>
      </c>
      <c r="AE120" s="16">
        <f>IF(ISERROR(VLOOKUP($A120,'13. Updated Demand'!A:Z,22,FALSE)),0,VLOOKUP($A120,'13. Updated Demand'!A:Z,22,FALSE))</f>
        <v>0</v>
      </c>
      <c r="AF120" s="16">
        <f>IF(ISERROR(VLOOKUP($A120,'13. Updated Demand'!A:Z,23,FALSE)),0,VLOOKUP($A120,'13. Updated Demand'!A:Z,23,FALSE))</f>
        <v>0</v>
      </c>
      <c r="AG120" s="16">
        <f>IF(ISERROR(VLOOKUP($A120,'13. Updated Demand'!A:Z,24,FALSE)),0,VLOOKUP($A120,'13. Updated Demand'!A:Z,24,FALSE))</f>
        <v>0</v>
      </c>
      <c r="AH120" s="16">
        <f>IF(ISERROR(VLOOKUP($A120,'13. Updated Demand'!A:Z,25,FALSE)),0,VLOOKUP($A120,'13. Updated Demand'!A:Z,25,FALSE))</f>
        <v>0</v>
      </c>
      <c r="AI120" s="16">
        <f>IF(ISERROR(VLOOKUP($A120,'13. Updated Demand'!A:Z,26,FALSE)),0,VLOOKUP($A120,'13. Updated Demand'!A:Z,26,FALSE))</f>
        <v>0</v>
      </c>
      <c r="AJ120" s="16">
        <f t="shared" si="24"/>
        <v>5</v>
      </c>
      <c r="AK120" s="19">
        <v>0</v>
      </c>
      <c r="AL120" s="16">
        <f t="shared" si="22"/>
        <v>0</v>
      </c>
      <c r="AM120" s="17">
        <v>0.92081031307550654</v>
      </c>
      <c r="AN120" s="19"/>
      <c r="AO120" s="19"/>
      <c r="AP120" s="19">
        <v>5.43</v>
      </c>
      <c r="AQ120" s="19" t="s">
        <v>307</v>
      </c>
      <c r="AR120" s="9" t="s">
        <v>319</v>
      </c>
      <c r="AS120" s="12">
        <v>3.4039024194010059E-4</v>
      </c>
      <c r="AT120" s="19">
        <v>38.99060532</v>
      </c>
      <c r="AU120" s="19">
        <v>-123.17564277</v>
      </c>
      <c r="AV120" s="19" t="s">
        <v>320</v>
      </c>
    </row>
    <row r="121" spans="1:48" x14ac:dyDescent="0.25">
      <c r="A121" s="18" t="s">
        <v>473</v>
      </c>
      <c r="B121" s="10">
        <v>20110117</v>
      </c>
      <c r="C121" s="9">
        <v>6</v>
      </c>
      <c r="D121" s="8" t="str">
        <f t="shared" si="13"/>
        <v>Y</v>
      </c>
      <c r="E121" s="8" t="str">
        <f t="shared" si="14"/>
        <v>N</v>
      </c>
      <c r="F121" s="8" t="str">
        <f t="shared" si="15"/>
        <v>Y</v>
      </c>
      <c r="G121" s="8" t="str">
        <f t="shared" si="16"/>
        <v>Y</v>
      </c>
      <c r="H121" s="8" t="str">
        <f t="shared" si="17"/>
        <v>Upper</v>
      </c>
      <c r="I121" s="8" t="str">
        <f t="shared" si="18"/>
        <v>West Fork and Below Lake</v>
      </c>
      <c r="J121" s="8" t="str">
        <f t="shared" si="19"/>
        <v>Mendocino (d/s of lake)</v>
      </c>
      <c r="K121" s="8" t="str">
        <f t="shared" si="20"/>
        <v>Post-1949</v>
      </c>
      <c r="L121" s="8">
        <f t="shared" si="21"/>
        <v>2011</v>
      </c>
      <c r="M121" s="8" t="str">
        <f t="shared" si="23"/>
        <v>1991-present</v>
      </c>
      <c r="N121" s="10" t="s">
        <v>241</v>
      </c>
      <c r="O121" s="10" t="s">
        <v>241</v>
      </c>
      <c r="P121" s="10" t="s">
        <v>242</v>
      </c>
      <c r="Q121" s="10" t="s">
        <v>242</v>
      </c>
      <c r="R121" s="10" t="s">
        <v>241</v>
      </c>
      <c r="S121" s="10" t="s">
        <v>242</v>
      </c>
      <c r="T121" s="10" t="s">
        <v>242</v>
      </c>
      <c r="U121" s="10" t="s">
        <v>242</v>
      </c>
      <c r="V121" s="10" t="s">
        <v>241</v>
      </c>
      <c r="W121" s="10" t="s">
        <v>242</v>
      </c>
      <c r="X121" s="15">
        <f>IF(ISERROR(VLOOKUP($A121,'13. Updated Demand'!A:Z,15,FALSE)),0,VLOOKUP($A121,'13. Updated Demand'!A:Z,15,FALSE))</f>
        <v>44.53</v>
      </c>
      <c r="Y121" s="16">
        <f>IF(ISERROR(VLOOKUP($A121,'13. Updated Demand'!A:Z,16,FALSE)),0,VLOOKUP($A121,'13. Updated Demand'!A:Z,16,FALSE))</f>
        <v>0.19</v>
      </c>
      <c r="Z121" s="16">
        <f>IF(ISERROR(VLOOKUP($A121,'13. Updated Demand'!A:Z,17,FALSE)),0,VLOOKUP($A121,'13. Updated Demand'!A:Z,17,FALSE))</f>
        <v>0.13</v>
      </c>
      <c r="AA121" s="16">
        <f>IF(ISERROR(VLOOKUP($A121,'13. Updated Demand'!A:Z,18,FALSE)),0,VLOOKUP($A121,'13. Updated Demand'!A:Z,18,FALSE))</f>
        <v>0.04</v>
      </c>
      <c r="AB121" s="16">
        <f>IF(ISERROR(VLOOKUP($A121,'13. Updated Demand'!A:Z,19,FALSE)),0,VLOOKUP($A121,'13. Updated Demand'!A:Z,19,FALSE))</f>
        <v>0</v>
      </c>
      <c r="AC121" s="16">
        <f>IF(ISERROR(VLOOKUP($A121,'13. Updated Demand'!A:Z,20,FALSE)),0,VLOOKUP($A121,'13. Updated Demand'!A:Z,20,FALSE))</f>
        <v>0</v>
      </c>
      <c r="AD121" s="16">
        <f>IF(ISERROR(VLOOKUP($A121,'13. Updated Demand'!A:Z,21,FALSE)),0,VLOOKUP($A121,'13. Updated Demand'!A:Z,21,FALSE))</f>
        <v>0</v>
      </c>
      <c r="AE121" s="16">
        <f>IF(ISERROR(VLOOKUP($A121,'13. Updated Demand'!A:Z,22,FALSE)),0,VLOOKUP($A121,'13. Updated Demand'!A:Z,22,FALSE))</f>
        <v>0</v>
      </c>
      <c r="AF121" s="16">
        <f>IF(ISERROR(VLOOKUP($A121,'13. Updated Demand'!A:Z,23,FALSE)),0,VLOOKUP($A121,'13. Updated Demand'!A:Z,23,FALSE))</f>
        <v>0</v>
      </c>
      <c r="AG121" s="16">
        <f>IF(ISERROR(VLOOKUP($A121,'13. Updated Demand'!A:Z,24,FALSE)),0,VLOOKUP($A121,'13. Updated Demand'!A:Z,24,FALSE))</f>
        <v>0</v>
      </c>
      <c r="AH121" s="16">
        <f>IF(ISERROR(VLOOKUP($A121,'13. Updated Demand'!A:Z,25,FALSE)),0,VLOOKUP($A121,'13. Updated Demand'!A:Z,25,FALSE))</f>
        <v>0</v>
      </c>
      <c r="AI121" s="16">
        <f>IF(ISERROR(VLOOKUP($A121,'13. Updated Demand'!A:Z,26,FALSE)),0,VLOOKUP($A121,'13. Updated Demand'!A:Z,26,FALSE))</f>
        <v>0</v>
      </c>
      <c r="AJ121" s="16">
        <f t="shared" si="24"/>
        <v>44.89</v>
      </c>
      <c r="AK121" s="19">
        <v>0</v>
      </c>
      <c r="AL121" s="16">
        <f t="shared" si="22"/>
        <v>0</v>
      </c>
      <c r="AM121" s="17">
        <v>0.1638564476885645</v>
      </c>
      <c r="AN121" s="19"/>
      <c r="AO121" s="19"/>
      <c r="AP121" s="19">
        <v>274</v>
      </c>
      <c r="AQ121" s="19" t="s">
        <v>307</v>
      </c>
      <c r="AR121" s="9" t="s">
        <v>319</v>
      </c>
      <c r="AS121" s="12">
        <v>0</v>
      </c>
      <c r="AT121" s="19">
        <v>38.986499999999999</v>
      </c>
      <c r="AU121" s="19">
        <v>-123.10850000000001</v>
      </c>
      <c r="AV121" s="19" t="s">
        <v>387</v>
      </c>
    </row>
    <row r="122" spans="1:48" x14ac:dyDescent="0.25">
      <c r="A122" s="18" t="s">
        <v>474</v>
      </c>
      <c r="B122" s="10">
        <v>20110222</v>
      </c>
      <c r="C122" s="9">
        <v>6</v>
      </c>
      <c r="D122" s="8" t="str">
        <f t="shared" si="13"/>
        <v>Y</v>
      </c>
      <c r="E122" s="8" t="str">
        <f t="shared" si="14"/>
        <v>N</v>
      </c>
      <c r="F122" s="8" t="str">
        <f t="shared" si="15"/>
        <v>Y</v>
      </c>
      <c r="G122" s="8" t="str">
        <f t="shared" si="16"/>
        <v>Y</v>
      </c>
      <c r="H122" s="8" t="str">
        <f t="shared" si="17"/>
        <v>Upper</v>
      </c>
      <c r="I122" s="8" t="str">
        <f t="shared" si="18"/>
        <v>West Fork and Below Lake</v>
      </c>
      <c r="J122" s="8" t="str">
        <f t="shared" si="19"/>
        <v>Mendocino (d/s of lake)</v>
      </c>
      <c r="K122" s="8" t="str">
        <f t="shared" si="20"/>
        <v>Post-1949</v>
      </c>
      <c r="L122" s="8">
        <f t="shared" si="21"/>
        <v>2011</v>
      </c>
      <c r="M122" s="8" t="str">
        <f t="shared" si="23"/>
        <v>1991-present</v>
      </c>
      <c r="N122" s="10" t="s">
        <v>241</v>
      </c>
      <c r="O122" s="10" t="s">
        <v>241</v>
      </c>
      <c r="P122" s="10" t="s">
        <v>242</v>
      </c>
      <c r="Q122" s="10" t="s">
        <v>242</v>
      </c>
      <c r="R122" s="10" t="s">
        <v>241</v>
      </c>
      <c r="S122" s="10" t="s">
        <v>242</v>
      </c>
      <c r="T122" s="10" t="s">
        <v>242</v>
      </c>
      <c r="U122" s="10" t="s">
        <v>242</v>
      </c>
      <c r="V122" s="10" t="s">
        <v>241</v>
      </c>
      <c r="W122" s="10" t="s">
        <v>242</v>
      </c>
      <c r="X122" s="15">
        <f>IF(ISERROR(VLOOKUP($A122,'13. Updated Demand'!A:Z,15,FALSE)),0,VLOOKUP($A122,'13. Updated Demand'!A:Z,15,FALSE))</f>
        <v>4.2</v>
      </c>
      <c r="Y122" s="16">
        <f>IF(ISERROR(VLOOKUP($A122,'13. Updated Demand'!A:Z,16,FALSE)),0,VLOOKUP($A122,'13. Updated Demand'!A:Z,16,FALSE))</f>
        <v>10.86</v>
      </c>
      <c r="Z122" s="16">
        <f>IF(ISERROR(VLOOKUP($A122,'13. Updated Demand'!A:Z,17,FALSE)),0,VLOOKUP($A122,'13. Updated Demand'!A:Z,17,FALSE))</f>
        <v>0.7</v>
      </c>
      <c r="AA122" s="16">
        <f>IF(ISERROR(VLOOKUP($A122,'13. Updated Demand'!A:Z,18,FALSE)),0,VLOOKUP($A122,'13. Updated Demand'!A:Z,18,FALSE))</f>
        <v>0</v>
      </c>
      <c r="AB122" s="16">
        <f>IF(ISERROR(VLOOKUP($A122,'13. Updated Demand'!A:Z,19,FALSE)),0,VLOOKUP($A122,'13. Updated Demand'!A:Z,19,FALSE))</f>
        <v>0</v>
      </c>
      <c r="AC122" s="16">
        <f>IF(ISERROR(VLOOKUP($A122,'13. Updated Demand'!A:Z,20,FALSE)),0,VLOOKUP($A122,'13. Updated Demand'!A:Z,20,FALSE))</f>
        <v>0</v>
      </c>
      <c r="AD122" s="16">
        <f>IF(ISERROR(VLOOKUP($A122,'13. Updated Demand'!A:Z,21,FALSE)),0,VLOOKUP($A122,'13. Updated Demand'!A:Z,21,FALSE))</f>
        <v>0</v>
      </c>
      <c r="AE122" s="16">
        <f>IF(ISERROR(VLOOKUP($A122,'13. Updated Demand'!A:Z,22,FALSE)),0,VLOOKUP($A122,'13. Updated Demand'!A:Z,22,FALSE))</f>
        <v>0</v>
      </c>
      <c r="AF122" s="16">
        <f>IF(ISERROR(VLOOKUP($A122,'13. Updated Demand'!A:Z,23,FALSE)),0,VLOOKUP($A122,'13. Updated Demand'!A:Z,23,FALSE))</f>
        <v>0</v>
      </c>
      <c r="AG122" s="16">
        <f>IF(ISERROR(VLOOKUP($A122,'13. Updated Demand'!A:Z,24,FALSE)),0,VLOOKUP($A122,'13. Updated Demand'!A:Z,24,FALSE))</f>
        <v>0</v>
      </c>
      <c r="AH122" s="16">
        <f>IF(ISERROR(VLOOKUP($A122,'13. Updated Demand'!A:Z,25,FALSE)),0,VLOOKUP($A122,'13. Updated Demand'!A:Z,25,FALSE))</f>
        <v>0</v>
      </c>
      <c r="AI122" s="16">
        <f>IF(ISERROR(VLOOKUP($A122,'13. Updated Demand'!A:Z,26,FALSE)),0,VLOOKUP($A122,'13. Updated Demand'!A:Z,26,FALSE))</f>
        <v>3.66</v>
      </c>
      <c r="AJ122" s="16">
        <f t="shared" si="24"/>
        <v>19.419999999999998</v>
      </c>
      <c r="AK122" s="19">
        <v>0</v>
      </c>
      <c r="AL122" s="16">
        <f t="shared" si="22"/>
        <v>0</v>
      </c>
      <c r="AM122" s="17">
        <v>0.28620520373097741</v>
      </c>
      <c r="AN122" s="19"/>
      <c r="AO122" s="19"/>
      <c r="AP122" s="19">
        <v>67.900000000000006</v>
      </c>
      <c r="AQ122" s="19" t="s">
        <v>307</v>
      </c>
      <c r="AR122" s="9" t="s">
        <v>319</v>
      </c>
      <c r="AS122" s="12">
        <v>0</v>
      </c>
      <c r="AT122" s="19">
        <v>38.979500000000002</v>
      </c>
      <c r="AU122" s="19">
        <v>-123.1049</v>
      </c>
      <c r="AV122" s="19" t="s">
        <v>387</v>
      </c>
    </row>
    <row r="123" spans="1:48" x14ac:dyDescent="0.25">
      <c r="A123" s="18" t="s">
        <v>475</v>
      </c>
      <c r="B123" s="10">
        <v>20110504</v>
      </c>
      <c r="C123" s="9">
        <v>6</v>
      </c>
      <c r="D123" s="8" t="str">
        <f t="shared" si="13"/>
        <v>Y</v>
      </c>
      <c r="E123" s="8" t="str">
        <f t="shared" si="14"/>
        <v>N</v>
      </c>
      <c r="F123" s="8" t="str">
        <f t="shared" si="15"/>
        <v>Y</v>
      </c>
      <c r="G123" s="8" t="str">
        <f t="shared" si="16"/>
        <v>Y</v>
      </c>
      <c r="H123" s="8" t="str">
        <f t="shared" si="17"/>
        <v>Upper</v>
      </c>
      <c r="I123" s="8" t="str">
        <f t="shared" si="18"/>
        <v>West Fork and Below Lake</v>
      </c>
      <c r="J123" s="8" t="str">
        <f t="shared" si="19"/>
        <v>Mendocino (d/s of lake)</v>
      </c>
      <c r="K123" s="8" t="str">
        <f t="shared" si="20"/>
        <v>Post-1949</v>
      </c>
      <c r="L123" s="8">
        <f t="shared" si="21"/>
        <v>2011</v>
      </c>
      <c r="M123" s="8" t="str">
        <f t="shared" si="23"/>
        <v>1991-present</v>
      </c>
      <c r="N123" s="10" t="s">
        <v>242</v>
      </c>
      <c r="O123" s="10" t="s">
        <v>241</v>
      </c>
      <c r="P123" s="10" t="s">
        <v>242</v>
      </c>
      <c r="Q123" s="10" t="s">
        <v>242</v>
      </c>
      <c r="R123" s="10" t="s">
        <v>241</v>
      </c>
      <c r="S123" s="10" t="s">
        <v>242</v>
      </c>
      <c r="T123" s="10" t="s">
        <v>241</v>
      </c>
      <c r="U123" s="10" t="s">
        <v>241</v>
      </c>
      <c r="V123" s="10" t="s">
        <v>241</v>
      </c>
      <c r="W123" s="10" t="s">
        <v>242</v>
      </c>
      <c r="X123" s="15">
        <f>IF(ISERROR(VLOOKUP($A123,'13. Updated Demand'!A:Z,15,FALSE)),0,VLOOKUP($A123,'13. Updated Demand'!A:Z,15,FALSE))</f>
        <v>0</v>
      </c>
      <c r="Y123" s="16">
        <f>IF(ISERROR(VLOOKUP($A123,'13. Updated Demand'!A:Z,16,FALSE)),0,VLOOKUP($A123,'13. Updated Demand'!A:Z,16,FALSE))</f>
        <v>0</v>
      </c>
      <c r="Z123" s="16">
        <f>IF(ISERROR(VLOOKUP($A123,'13. Updated Demand'!A:Z,17,FALSE)),0,VLOOKUP($A123,'13. Updated Demand'!A:Z,17,FALSE))</f>
        <v>0</v>
      </c>
      <c r="AA123" s="16">
        <f>IF(ISERROR(VLOOKUP($A123,'13. Updated Demand'!A:Z,18,FALSE)),0,VLOOKUP($A123,'13. Updated Demand'!A:Z,18,FALSE))</f>
        <v>0</v>
      </c>
      <c r="AB123" s="16">
        <f>IF(ISERROR(VLOOKUP($A123,'13. Updated Demand'!A:Z,19,FALSE)),0,VLOOKUP($A123,'13. Updated Demand'!A:Z,19,FALSE))</f>
        <v>0</v>
      </c>
      <c r="AC123" s="16">
        <f>IF(ISERROR(VLOOKUP($A123,'13. Updated Demand'!A:Z,20,FALSE)),0,VLOOKUP($A123,'13. Updated Demand'!A:Z,20,FALSE))</f>
        <v>0</v>
      </c>
      <c r="AD123" s="16">
        <f>IF(ISERROR(VLOOKUP($A123,'13. Updated Demand'!A:Z,21,FALSE)),0,VLOOKUP($A123,'13. Updated Demand'!A:Z,21,FALSE))</f>
        <v>0</v>
      </c>
      <c r="AE123" s="16">
        <f>IF(ISERROR(VLOOKUP($A123,'13. Updated Demand'!A:Z,22,FALSE)),0,VLOOKUP($A123,'13. Updated Demand'!A:Z,22,FALSE))</f>
        <v>0</v>
      </c>
      <c r="AF123" s="16">
        <f>IF(ISERROR(VLOOKUP($A123,'13. Updated Demand'!A:Z,23,FALSE)),0,VLOOKUP($A123,'13. Updated Demand'!A:Z,23,FALSE))</f>
        <v>0</v>
      </c>
      <c r="AG123" s="16">
        <f>IF(ISERROR(VLOOKUP($A123,'13. Updated Demand'!A:Z,24,FALSE)),0,VLOOKUP($A123,'13. Updated Demand'!A:Z,24,FALSE))</f>
        <v>0</v>
      </c>
      <c r="AH123" s="16">
        <f>IF(ISERROR(VLOOKUP($A123,'13. Updated Demand'!A:Z,25,FALSE)),0,VLOOKUP($A123,'13. Updated Demand'!A:Z,25,FALSE))</f>
        <v>0</v>
      </c>
      <c r="AI123" s="16">
        <f>IF(ISERROR(VLOOKUP($A123,'13. Updated Demand'!A:Z,26,FALSE)),0,VLOOKUP($A123,'13. Updated Demand'!A:Z,26,FALSE))</f>
        <v>0</v>
      </c>
      <c r="AJ123" s="16">
        <f t="shared" si="24"/>
        <v>0</v>
      </c>
      <c r="AK123" s="19">
        <v>0</v>
      </c>
      <c r="AL123" s="16">
        <f t="shared" si="22"/>
        <v>0</v>
      </c>
      <c r="AM123" s="17">
        <v>0</v>
      </c>
      <c r="AN123" s="19"/>
      <c r="AO123" s="19"/>
      <c r="AP123" s="19">
        <v>14.8</v>
      </c>
      <c r="AQ123" s="19" t="s">
        <v>307</v>
      </c>
      <c r="AR123" s="9" t="s">
        <v>319</v>
      </c>
      <c r="AS123" s="12">
        <v>0</v>
      </c>
      <c r="AT123" s="19">
        <v>38.9726</v>
      </c>
      <c r="AU123" s="19">
        <v>-123.0851</v>
      </c>
      <c r="AV123" s="19" t="s">
        <v>476</v>
      </c>
    </row>
    <row r="124" spans="1:48" x14ac:dyDescent="0.25">
      <c r="A124" s="18" t="s">
        <v>477</v>
      </c>
      <c r="B124" s="10">
        <v>20110504</v>
      </c>
      <c r="C124" s="9">
        <v>23</v>
      </c>
      <c r="D124" s="8" t="str">
        <f t="shared" si="13"/>
        <v>N</v>
      </c>
      <c r="E124" s="8" t="str">
        <f t="shared" si="14"/>
        <v>N</v>
      </c>
      <c r="F124" s="8" t="str">
        <f t="shared" si="15"/>
        <v>N</v>
      </c>
      <c r="G124" s="8" t="str">
        <f t="shared" si="16"/>
        <v>N</v>
      </c>
      <c r="H124" s="8" t="str">
        <f t="shared" si="17"/>
        <v>Lower</v>
      </c>
      <c r="I124" s="8" t="str">
        <f t="shared" si="18"/>
        <v>Outside</v>
      </c>
      <c r="J124" s="8" t="str">
        <f t="shared" si="19"/>
        <v>Outside</v>
      </c>
      <c r="K124" s="8" t="str">
        <f t="shared" si="20"/>
        <v>Post-1949</v>
      </c>
      <c r="L124" s="8">
        <f t="shared" si="21"/>
        <v>2011</v>
      </c>
      <c r="M124" s="8" t="str">
        <f t="shared" si="23"/>
        <v>1991-present</v>
      </c>
      <c r="N124" s="10" t="s">
        <v>242</v>
      </c>
      <c r="O124" s="10" t="s">
        <v>242</v>
      </c>
      <c r="P124" s="10" t="s">
        <v>242</v>
      </c>
      <c r="Q124" s="10" t="s">
        <v>242</v>
      </c>
      <c r="R124" s="10" t="s">
        <v>241</v>
      </c>
      <c r="S124" s="10" t="s">
        <v>242</v>
      </c>
      <c r="T124" s="10" t="s">
        <v>241</v>
      </c>
      <c r="U124" s="10" t="s">
        <v>241</v>
      </c>
      <c r="V124" s="10" t="s">
        <v>241</v>
      </c>
      <c r="W124" s="10" t="s">
        <v>242</v>
      </c>
      <c r="X124" s="15">
        <f>IF(ISERROR(VLOOKUP($A124,'13. Updated Demand'!A:Z,15,FALSE)),0,VLOOKUP($A124,'13. Updated Demand'!A:Z,15,FALSE))</f>
        <v>0</v>
      </c>
      <c r="Y124" s="16">
        <f>IF(ISERROR(VLOOKUP($A124,'13. Updated Demand'!A:Z,16,FALSE)),0,VLOOKUP($A124,'13. Updated Demand'!A:Z,16,FALSE))</f>
        <v>0</v>
      </c>
      <c r="Z124" s="16">
        <f>IF(ISERROR(VLOOKUP($A124,'13. Updated Demand'!A:Z,17,FALSE)),0,VLOOKUP($A124,'13. Updated Demand'!A:Z,17,FALSE))</f>
        <v>0</v>
      </c>
      <c r="AA124" s="16">
        <f>IF(ISERROR(VLOOKUP($A124,'13. Updated Demand'!A:Z,18,FALSE)),0,VLOOKUP($A124,'13. Updated Demand'!A:Z,18,FALSE))</f>
        <v>0</v>
      </c>
      <c r="AB124" s="16">
        <f>IF(ISERROR(VLOOKUP($A124,'13. Updated Demand'!A:Z,19,FALSE)),0,VLOOKUP($A124,'13. Updated Demand'!A:Z,19,FALSE))</f>
        <v>0</v>
      </c>
      <c r="AC124" s="16">
        <f>IF(ISERROR(VLOOKUP($A124,'13. Updated Demand'!A:Z,20,FALSE)),0,VLOOKUP($A124,'13. Updated Demand'!A:Z,20,FALSE))</f>
        <v>0</v>
      </c>
      <c r="AD124" s="16">
        <f>IF(ISERROR(VLOOKUP($A124,'13. Updated Demand'!A:Z,21,FALSE)),0,VLOOKUP($A124,'13. Updated Demand'!A:Z,21,FALSE))</f>
        <v>0</v>
      </c>
      <c r="AE124" s="16">
        <f>IF(ISERROR(VLOOKUP($A124,'13. Updated Demand'!A:Z,22,FALSE)),0,VLOOKUP($A124,'13. Updated Demand'!A:Z,22,FALSE))</f>
        <v>0</v>
      </c>
      <c r="AF124" s="16">
        <f>IF(ISERROR(VLOOKUP($A124,'13. Updated Demand'!A:Z,23,FALSE)),0,VLOOKUP($A124,'13. Updated Demand'!A:Z,23,FALSE))</f>
        <v>0</v>
      </c>
      <c r="AG124" s="16">
        <f>IF(ISERROR(VLOOKUP($A124,'13. Updated Demand'!A:Z,24,FALSE)),0,VLOOKUP($A124,'13. Updated Demand'!A:Z,24,FALSE))</f>
        <v>0</v>
      </c>
      <c r="AH124" s="16">
        <f>IF(ISERROR(VLOOKUP($A124,'13. Updated Demand'!A:Z,25,FALSE)),0,VLOOKUP($A124,'13. Updated Demand'!A:Z,25,FALSE))</f>
        <v>0</v>
      </c>
      <c r="AI124" s="16">
        <f>IF(ISERROR(VLOOKUP($A124,'13. Updated Demand'!A:Z,26,FALSE)),0,VLOOKUP($A124,'13. Updated Demand'!A:Z,26,FALSE))</f>
        <v>0</v>
      </c>
      <c r="AJ124" s="16">
        <f t="shared" si="24"/>
        <v>0</v>
      </c>
      <c r="AK124" s="19">
        <v>0</v>
      </c>
      <c r="AL124" s="16">
        <f t="shared" si="22"/>
        <v>0</v>
      </c>
      <c r="AM124" s="17">
        <v>0</v>
      </c>
      <c r="AN124" s="19"/>
      <c r="AO124" s="19"/>
      <c r="AP124" s="19">
        <v>19</v>
      </c>
      <c r="AQ124" s="19" t="s">
        <v>307</v>
      </c>
      <c r="AR124" s="9" t="s">
        <v>323</v>
      </c>
      <c r="AS124" s="12">
        <v>0</v>
      </c>
      <c r="AT124" s="19">
        <v>38.558900000000001</v>
      </c>
      <c r="AU124" s="19">
        <v>-122.6964</v>
      </c>
      <c r="AV124" s="19" t="s">
        <v>385</v>
      </c>
    </row>
    <row r="125" spans="1:48" x14ac:dyDescent="0.25">
      <c r="A125" s="18" t="s">
        <v>478</v>
      </c>
      <c r="B125" s="10">
        <v>20110426</v>
      </c>
      <c r="C125" s="9">
        <v>6</v>
      </c>
      <c r="D125" s="8" t="str">
        <f t="shared" si="13"/>
        <v>Y</v>
      </c>
      <c r="E125" s="8" t="str">
        <f t="shared" si="14"/>
        <v>N</v>
      </c>
      <c r="F125" s="8" t="str">
        <f t="shared" si="15"/>
        <v>Y</v>
      </c>
      <c r="G125" s="8" t="str">
        <f t="shared" si="16"/>
        <v>Y</v>
      </c>
      <c r="H125" s="8" t="str">
        <f t="shared" si="17"/>
        <v>Upper</v>
      </c>
      <c r="I125" s="8" t="str">
        <f t="shared" si="18"/>
        <v>West Fork and Below Lake</v>
      </c>
      <c r="J125" s="8" t="str">
        <f t="shared" si="19"/>
        <v>Mendocino (d/s of lake)</v>
      </c>
      <c r="K125" s="8" t="str">
        <f t="shared" si="20"/>
        <v>Post-1949</v>
      </c>
      <c r="L125" s="8">
        <f t="shared" si="21"/>
        <v>2011</v>
      </c>
      <c r="M125" s="8" t="str">
        <f t="shared" si="23"/>
        <v>1991-present</v>
      </c>
      <c r="N125" s="10" t="s">
        <v>242</v>
      </c>
      <c r="O125" s="10" t="s">
        <v>241</v>
      </c>
      <c r="P125" s="10" t="s">
        <v>242</v>
      </c>
      <c r="Q125" s="10" t="s">
        <v>242</v>
      </c>
      <c r="R125" s="10" t="s">
        <v>241</v>
      </c>
      <c r="S125" s="10" t="s">
        <v>242</v>
      </c>
      <c r="T125" s="10" t="s">
        <v>242</v>
      </c>
      <c r="U125" s="10" t="s">
        <v>242</v>
      </c>
      <c r="V125" s="10" t="s">
        <v>242</v>
      </c>
      <c r="W125" s="10" t="s">
        <v>242</v>
      </c>
      <c r="X125" s="15">
        <f>IF(ISERROR(VLOOKUP($A125,'13. Updated Demand'!A:Z,15,FALSE)),0,VLOOKUP($A125,'13. Updated Demand'!A:Z,15,FALSE))</f>
        <v>0</v>
      </c>
      <c r="Y125" s="16">
        <f>IF(ISERROR(VLOOKUP($A125,'13. Updated Demand'!A:Z,16,FALSE)),0,VLOOKUP($A125,'13. Updated Demand'!A:Z,16,FALSE))</f>
        <v>0</v>
      </c>
      <c r="Z125" s="16">
        <f>IF(ISERROR(VLOOKUP($A125,'13. Updated Demand'!A:Z,17,FALSE)),0,VLOOKUP($A125,'13. Updated Demand'!A:Z,17,FALSE))</f>
        <v>0</v>
      </c>
      <c r="AA125" s="16">
        <f>IF(ISERROR(VLOOKUP($A125,'13. Updated Demand'!A:Z,18,FALSE)),0,VLOOKUP($A125,'13. Updated Demand'!A:Z,18,FALSE))</f>
        <v>0</v>
      </c>
      <c r="AB125" s="16">
        <f>IF(ISERROR(VLOOKUP($A125,'13. Updated Demand'!A:Z,19,FALSE)),0,VLOOKUP($A125,'13. Updated Demand'!A:Z,19,FALSE))</f>
        <v>0</v>
      </c>
      <c r="AC125" s="16">
        <f>IF(ISERROR(VLOOKUP($A125,'13. Updated Demand'!A:Z,20,FALSE)),0,VLOOKUP($A125,'13. Updated Demand'!A:Z,20,FALSE))</f>
        <v>0</v>
      </c>
      <c r="AD125" s="16">
        <f>IF(ISERROR(VLOOKUP($A125,'13. Updated Demand'!A:Z,21,FALSE)),0,VLOOKUP($A125,'13. Updated Demand'!A:Z,21,FALSE))</f>
        <v>6.6666670000000003E-3</v>
      </c>
      <c r="AE125" s="16">
        <f>IF(ISERROR(VLOOKUP($A125,'13. Updated Demand'!A:Z,22,FALSE)),0,VLOOKUP($A125,'13. Updated Demand'!A:Z,22,FALSE))</f>
        <v>0.01</v>
      </c>
      <c r="AF125" s="16">
        <f>IF(ISERROR(VLOOKUP($A125,'13. Updated Demand'!A:Z,23,FALSE)),0,VLOOKUP($A125,'13. Updated Demand'!A:Z,23,FALSE))</f>
        <v>6.6666670000000003E-3</v>
      </c>
      <c r="AG125" s="16">
        <f>IF(ISERROR(VLOOKUP($A125,'13. Updated Demand'!A:Z,24,FALSE)),0,VLOOKUP($A125,'13. Updated Demand'!A:Z,24,FALSE))</f>
        <v>6.6666670000000003E-3</v>
      </c>
      <c r="AH125" s="16">
        <f>IF(ISERROR(VLOOKUP($A125,'13. Updated Demand'!A:Z,25,FALSE)),0,VLOOKUP($A125,'13. Updated Demand'!A:Z,25,FALSE))</f>
        <v>5.0000000000000001E-3</v>
      </c>
      <c r="AI125" s="16">
        <f>IF(ISERROR(VLOOKUP($A125,'13. Updated Demand'!A:Z,26,FALSE)),0,VLOOKUP($A125,'13. Updated Demand'!A:Z,26,FALSE))</f>
        <v>8.4480000000000006E-3</v>
      </c>
      <c r="AJ125" s="16">
        <f t="shared" si="24"/>
        <v>4.3448001E-2</v>
      </c>
      <c r="AK125" s="19">
        <v>2.3333334000000001E-2</v>
      </c>
      <c r="AL125" s="16">
        <f t="shared" si="22"/>
        <v>7.7394010961485935E-5</v>
      </c>
      <c r="AM125" s="17">
        <v>5.4310001249999997E-2</v>
      </c>
      <c r="AN125" s="19"/>
      <c r="AO125" s="19"/>
      <c r="AP125" s="19">
        <v>0.8</v>
      </c>
      <c r="AQ125" s="19" t="s">
        <v>307</v>
      </c>
      <c r="AR125" s="9" t="s">
        <v>319</v>
      </c>
      <c r="AS125" s="12">
        <v>0</v>
      </c>
      <c r="AT125" s="19">
        <v>39.042900000000003</v>
      </c>
      <c r="AU125" s="19">
        <v>-123.26349999999999</v>
      </c>
      <c r="AV125" s="19" t="s">
        <v>385</v>
      </c>
    </row>
    <row r="126" spans="1:48" x14ac:dyDescent="0.25">
      <c r="A126" s="18" t="s">
        <v>479</v>
      </c>
      <c r="B126" s="10">
        <v>20111024</v>
      </c>
      <c r="C126" s="9">
        <v>4</v>
      </c>
      <c r="D126" s="8" t="str">
        <f t="shared" si="13"/>
        <v>Y</v>
      </c>
      <c r="E126" s="8" t="str">
        <f t="shared" si="14"/>
        <v>N</v>
      </c>
      <c r="F126" s="8" t="str">
        <f t="shared" si="15"/>
        <v>Y</v>
      </c>
      <c r="G126" s="8" t="str">
        <f t="shared" si="16"/>
        <v>Y</v>
      </c>
      <c r="H126" s="8" t="str">
        <f t="shared" si="17"/>
        <v>Upper</v>
      </c>
      <c r="I126" s="8" t="str">
        <f t="shared" si="18"/>
        <v>West Fork and Below Lake</v>
      </c>
      <c r="J126" s="8" t="str">
        <f t="shared" si="19"/>
        <v>Mendocino (d/s of lake)</v>
      </c>
      <c r="K126" s="8" t="str">
        <f t="shared" si="20"/>
        <v>Post-1949</v>
      </c>
      <c r="L126" s="8">
        <f t="shared" si="21"/>
        <v>2011</v>
      </c>
      <c r="M126" s="8" t="str">
        <f t="shared" si="23"/>
        <v>1991-present</v>
      </c>
      <c r="N126" s="10" t="s">
        <v>242</v>
      </c>
      <c r="O126" s="10" t="s">
        <v>241</v>
      </c>
      <c r="P126" s="10" t="s">
        <v>242</v>
      </c>
      <c r="Q126" s="10" t="s">
        <v>242</v>
      </c>
      <c r="R126" s="10" t="s">
        <v>241</v>
      </c>
      <c r="S126" s="10" t="s">
        <v>242</v>
      </c>
      <c r="T126" s="10" t="s">
        <v>242</v>
      </c>
      <c r="U126" s="10" t="s">
        <v>242</v>
      </c>
      <c r="V126" s="10" t="s">
        <v>242</v>
      </c>
      <c r="W126" s="10" t="s">
        <v>242</v>
      </c>
      <c r="X126" s="15">
        <f>IF(ISERROR(VLOOKUP($A126,'13. Updated Demand'!A:Z,15,FALSE)),0,VLOOKUP($A126,'13. Updated Demand'!A:Z,15,FALSE))</f>
        <v>0.5</v>
      </c>
      <c r="Y126" s="16">
        <f>IF(ISERROR(VLOOKUP($A126,'13. Updated Demand'!A:Z,16,FALSE)),0,VLOOKUP($A126,'13. Updated Demand'!A:Z,16,FALSE))</f>
        <v>0.34</v>
      </c>
      <c r="Z126" s="16">
        <f>IF(ISERROR(VLOOKUP($A126,'13. Updated Demand'!A:Z,17,FALSE)),0,VLOOKUP($A126,'13. Updated Demand'!A:Z,17,FALSE))</f>
        <v>0.26</v>
      </c>
      <c r="AA126" s="16">
        <f>IF(ISERROR(VLOOKUP($A126,'13. Updated Demand'!A:Z,18,FALSE)),0,VLOOKUP($A126,'13. Updated Demand'!A:Z,18,FALSE))</f>
        <v>0.23</v>
      </c>
      <c r="AB126" s="16">
        <f>IF(ISERROR(VLOOKUP($A126,'13. Updated Demand'!A:Z,19,FALSE)),0,VLOOKUP($A126,'13. Updated Demand'!A:Z,19,FALSE))</f>
        <v>0.06</v>
      </c>
      <c r="AC126" s="16">
        <f>IF(ISERROR(VLOOKUP($A126,'13. Updated Demand'!A:Z,20,FALSE)),0,VLOOKUP($A126,'13. Updated Demand'!A:Z,20,FALSE))</f>
        <v>0</v>
      </c>
      <c r="AD126" s="16">
        <f>IF(ISERROR(VLOOKUP($A126,'13. Updated Demand'!A:Z,21,FALSE)),0,VLOOKUP($A126,'13. Updated Demand'!A:Z,21,FALSE))</f>
        <v>0</v>
      </c>
      <c r="AE126" s="16">
        <f>IF(ISERROR(VLOOKUP($A126,'13. Updated Demand'!A:Z,22,FALSE)),0,VLOOKUP($A126,'13. Updated Demand'!A:Z,22,FALSE))</f>
        <v>0</v>
      </c>
      <c r="AF126" s="16">
        <f>IF(ISERROR(VLOOKUP($A126,'13. Updated Demand'!A:Z,23,FALSE)),0,VLOOKUP($A126,'13. Updated Demand'!A:Z,23,FALSE))</f>
        <v>0</v>
      </c>
      <c r="AG126" s="16">
        <f>IF(ISERROR(VLOOKUP($A126,'13. Updated Demand'!A:Z,24,FALSE)),0,VLOOKUP($A126,'13. Updated Demand'!A:Z,24,FALSE))</f>
        <v>0</v>
      </c>
      <c r="AH126" s="16">
        <f>IF(ISERROR(VLOOKUP($A126,'13. Updated Demand'!A:Z,25,FALSE)),0,VLOOKUP($A126,'13. Updated Demand'!A:Z,25,FALSE))</f>
        <v>0.3</v>
      </c>
      <c r="AI126" s="16">
        <f>IF(ISERROR(VLOOKUP($A126,'13. Updated Demand'!A:Z,26,FALSE)),0,VLOOKUP($A126,'13. Updated Demand'!A:Z,26,FALSE))</f>
        <v>0.21</v>
      </c>
      <c r="AJ126" s="16">
        <f t="shared" si="24"/>
        <v>1.9000000000000001</v>
      </c>
      <c r="AK126" s="19">
        <v>6.6666666999999999E-2</v>
      </c>
      <c r="AL126" s="16">
        <f t="shared" si="22"/>
        <v>2.2112574039199597E-4</v>
      </c>
      <c r="AM126" s="17">
        <v>0.31584699459016397</v>
      </c>
      <c r="AN126" s="19"/>
      <c r="AO126" s="19"/>
      <c r="AP126" s="19">
        <v>6.1</v>
      </c>
      <c r="AQ126" s="19" t="s">
        <v>307</v>
      </c>
      <c r="AR126" s="9" t="s">
        <v>331</v>
      </c>
      <c r="AS126" s="12">
        <v>0</v>
      </c>
      <c r="AT126" s="19">
        <v>39.183999999999997</v>
      </c>
      <c r="AU126" s="19">
        <v>-123.23650000000001</v>
      </c>
      <c r="AV126" s="19" t="s">
        <v>385</v>
      </c>
    </row>
    <row r="127" spans="1:48" x14ac:dyDescent="0.25">
      <c r="A127" s="18" t="s">
        <v>480</v>
      </c>
      <c r="B127" s="10">
        <v>20100629</v>
      </c>
      <c r="C127" s="9">
        <v>10</v>
      </c>
      <c r="D127" s="8" t="str">
        <f t="shared" si="13"/>
        <v>N</v>
      </c>
      <c r="E127" s="8" t="str">
        <f t="shared" si="14"/>
        <v>Y</v>
      </c>
      <c r="F127" s="8" t="str">
        <f t="shared" si="15"/>
        <v>Y</v>
      </c>
      <c r="G127" s="8" t="str">
        <f t="shared" si="16"/>
        <v>Y</v>
      </c>
      <c r="H127" s="8" t="str">
        <f t="shared" si="17"/>
        <v>Upper</v>
      </c>
      <c r="I127" s="8" t="str">
        <f t="shared" si="18"/>
        <v>West Fork and Below Lake</v>
      </c>
      <c r="J127" s="8" t="str">
        <f t="shared" si="19"/>
        <v>Sonoma (d/s of Clov. Gage)</v>
      </c>
      <c r="K127" s="8" t="str">
        <f t="shared" si="20"/>
        <v>Post-1949</v>
      </c>
      <c r="L127" s="8">
        <f t="shared" si="21"/>
        <v>2010</v>
      </c>
      <c r="M127" s="8" t="str">
        <f t="shared" si="23"/>
        <v>1991-present</v>
      </c>
      <c r="N127" s="10" t="s">
        <v>242</v>
      </c>
      <c r="O127" s="10" t="s">
        <v>241</v>
      </c>
      <c r="P127" s="10" t="s">
        <v>242</v>
      </c>
      <c r="Q127" s="10" t="s">
        <v>242</v>
      </c>
      <c r="R127" s="10" t="s">
        <v>241</v>
      </c>
      <c r="S127" s="10" t="s">
        <v>242</v>
      </c>
      <c r="T127" s="10" t="s">
        <v>242</v>
      </c>
      <c r="U127" s="10" t="s">
        <v>242</v>
      </c>
      <c r="V127" s="10" t="s">
        <v>242</v>
      </c>
      <c r="W127" s="10" t="s">
        <v>242</v>
      </c>
      <c r="X127" s="15">
        <f>IF(ISERROR(VLOOKUP($A127,'13. Updated Demand'!A:Z,15,FALSE)),0,VLOOKUP($A127,'13. Updated Demand'!A:Z,15,FALSE))</f>
        <v>0</v>
      </c>
      <c r="Y127" s="16">
        <f>IF(ISERROR(VLOOKUP($A127,'13. Updated Demand'!A:Z,16,FALSE)),0,VLOOKUP($A127,'13. Updated Demand'!A:Z,16,FALSE))</f>
        <v>0</v>
      </c>
      <c r="Z127" s="16">
        <f>IF(ISERROR(VLOOKUP($A127,'13. Updated Demand'!A:Z,17,FALSE)),0,VLOOKUP($A127,'13. Updated Demand'!A:Z,17,FALSE))</f>
        <v>0</v>
      </c>
      <c r="AA127" s="16">
        <f>IF(ISERROR(VLOOKUP($A127,'13. Updated Demand'!A:Z,18,FALSE)),0,VLOOKUP($A127,'13. Updated Demand'!A:Z,18,FALSE))</f>
        <v>0</v>
      </c>
      <c r="AB127" s="16">
        <f>IF(ISERROR(VLOOKUP($A127,'13. Updated Demand'!A:Z,19,FALSE)),0,VLOOKUP($A127,'13. Updated Demand'!A:Z,19,FALSE))</f>
        <v>0</v>
      </c>
      <c r="AC127" s="16">
        <f>IF(ISERROR(VLOOKUP($A127,'13. Updated Demand'!A:Z,20,FALSE)),0,VLOOKUP($A127,'13. Updated Demand'!A:Z,20,FALSE))</f>
        <v>0</v>
      </c>
      <c r="AD127" s="16">
        <f>IF(ISERROR(VLOOKUP($A127,'13. Updated Demand'!A:Z,21,FALSE)),0,VLOOKUP($A127,'13. Updated Demand'!A:Z,21,FALSE))</f>
        <v>0.22</v>
      </c>
      <c r="AE127" s="16">
        <f>IF(ISERROR(VLOOKUP($A127,'13. Updated Demand'!A:Z,22,FALSE)),0,VLOOKUP($A127,'13. Updated Demand'!A:Z,22,FALSE))</f>
        <v>1.8</v>
      </c>
      <c r="AF127" s="16">
        <f>IF(ISERROR(VLOOKUP($A127,'13. Updated Demand'!A:Z,23,FALSE)),0,VLOOKUP($A127,'13. Updated Demand'!A:Z,23,FALSE))</f>
        <v>0.94</v>
      </c>
      <c r="AG127" s="16">
        <f>IF(ISERROR(VLOOKUP($A127,'13. Updated Demand'!A:Z,24,FALSE)),0,VLOOKUP($A127,'13. Updated Demand'!A:Z,24,FALSE))</f>
        <v>0</v>
      </c>
      <c r="AH127" s="16">
        <f>IF(ISERROR(VLOOKUP($A127,'13. Updated Demand'!A:Z,25,FALSE)),0,VLOOKUP($A127,'13. Updated Demand'!A:Z,25,FALSE))</f>
        <v>0</v>
      </c>
      <c r="AI127" s="16">
        <f>IF(ISERROR(VLOOKUP($A127,'13. Updated Demand'!A:Z,26,FALSE)),0,VLOOKUP($A127,'13. Updated Demand'!A:Z,26,FALSE))</f>
        <v>0</v>
      </c>
      <c r="AJ127" s="16">
        <f t="shared" si="24"/>
        <v>2.96</v>
      </c>
      <c r="AK127" s="19">
        <v>2.96</v>
      </c>
      <c r="AL127" s="16">
        <f t="shared" si="22"/>
        <v>9.8179828243147079E-3</v>
      </c>
      <c r="AM127" s="17">
        <v>0.34418604651162793</v>
      </c>
      <c r="AN127" s="19"/>
      <c r="AO127" s="19"/>
      <c r="AP127" s="19">
        <v>8.6</v>
      </c>
      <c r="AQ127" s="19" t="s">
        <v>307</v>
      </c>
      <c r="AR127" s="9" t="s">
        <v>436</v>
      </c>
      <c r="AS127" s="12">
        <v>0</v>
      </c>
      <c r="AT127" s="19">
        <v>38.725000000000001</v>
      </c>
      <c r="AU127" s="19">
        <v>-122.88339999999999</v>
      </c>
      <c r="AV127" s="19" t="s">
        <v>385</v>
      </c>
    </row>
    <row r="128" spans="1:48" x14ac:dyDescent="0.25">
      <c r="A128" s="18" t="s">
        <v>481</v>
      </c>
      <c r="B128" s="10">
        <v>20100727</v>
      </c>
      <c r="C128" s="9">
        <v>1</v>
      </c>
      <c r="D128" s="8" t="str">
        <f t="shared" si="13"/>
        <v>N</v>
      </c>
      <c r="E128" s="8" t="str">
        <f t="shared" si="14"/>
        <v>N</v>
      </c>
      <c r="F128" s="8" t="str">
        <f t="shared" si="15"/>
        <v>Y</v>
      </c>
      <c r="G128" s="8" t="str">
        <f t="shared" si="16"/>
        <v>Y</v>
      </c>
      <c r="H128" s="8" t="str">
        <f t="shared" si="17"/>
        <v>Upper</v>
      </c>
      <c r="I128" s="8" t="str">
        <f t="shared" si="18"/>
        <v>West Fork and Below Lake</v>
      </c>
      <c r="J128" s="8" t="str">
        <f t="shared" si="19"/>
        <v>Outside</v>
      </c>
      <c r="K128" s="8" t="str">
        <f t="shared" si="20"/>
        <v>Post-1949</v>
      </c>
      <c r="L128" s="8">
        <f t="shared" si="21"/>
        <v>2010</v>
      </c>
      <c r="M128" s="8" t="str">
        <f t="shared" si="23"/>
        <v>1991-present</v>
      </c>
      <c r="N128" s="10" t="s">
        <v>242</v>
      </c>
      <c r="O128" s="10" t="s">
        <v>241</v>
      </c>
      <c r="P128" s="10" t="s">
        <v>242</v>
      </c>
      <c r="Q128" s="10" t="s">
        <v>242</v>
      </c>
      <c r="R128" s="10" t="s">
        <v>241</v>
      </c>
      <c r="S128" s="10" t="s">
        <v>242</v>
      </c>
      <c r="T128" s="10" t="s">
        <v>241</v>
      </c>
      <c r="U128" s="10" t="s">
        <v>241</v>
      </c>
      <c r="V128" s="10" t="s">
        <v>241</v>
      </c>
      <c r="W128" s="10" t="s">
        <v>242</v>
      </c>
      <c r="X128" s="15">
        <f>IF(ISERROR(VLOOKUP($A128,'13. Updated Demand'!A:Z,15,FALSE)),0,VLOOKUP($A128,'13. Updated Demand'!A:Z,15,FALSE))</f>
        <v>0</v>
      </c>
      <c r="Y128" s="16">
        <f>IF(ISERROR(VLOOKUP($A128,'13. Updated Demand'!A:Z,16,FALSE)),0,VLOOKUP($A128,'13. Updated Demand'!A:Z,16,FALSE))</f>
        <v>0</v>
      </c>
      <c r="Z128" s="16">
        <f>IF(ISERROR(VLOOKUP($A128,'13. Updated Demand'!A:Z,17,FALSE)),0,VLOOKUP($A128,'13. Updated Demand'!A:Z,17,FALSE))</f>
        <v>0</v>
      </c>
      <c r="AA128" s="16">
        <f>IF(ISERROR(VLOOKUP($A128,'13. Updated Demand'!A:Z,18,FALSE)),0,VLOOKUP($A128,'13. Updated Demand'!A:Z,18,FALSE))</f>
        <v>0</v>
      </c>
      <c r="AB128" s="16">
        <f>IF(ISERROR(VLOOKUP($A128,'13. Updated Demand'!A:Z,19,FALSE)),0,VLOOKUP($A128,'13. Updated Demand'!A:Z,19,FALSE))</f>
        <v>0</v>
      </c>
      <c r="AC128" s="16">
        <f>IF(ISERROR(VLOOKUP($A128,'13. Updated Demand'!A:Z,20,FALSE)),0,VLOOKUP($A128,'13. Updated Demand'!A:Z,20,FALSE))</f>
        <v>0</v>
      </c>
      <c r="AD128" s="16">
        <f>IF(ISERROR(VLOOKUP($A128,'13. Updated Demand'!A:Z,21,FALSE)),0,VLOOKUP($A128,'13. Updated Demand'!A:Z,21,FALSE))</f>
        <v>0</v>
      </c>
      <c r="AE128" s="16">
        <f>IF(ISERROR(VLOOKUP($A128,'13. Updated Demand'!A:Z,22,FALSE)),0,VLOOKUP($A128,'13. Updated Demand'!A:Z,22,FALSE))</f>
        <v>0</v>
      </c>
      <c r="AF128" s="16">
        <f>IF(ISERROR(VLOOKUP($A128,'13. Updated Demand'!A:Z,23,FALSE)),0,VLOOKUP($A128,'13. Updated Demand'!A:Z,23,FALSE))</f>
        <v>0</v>
      </c>
      <c r="AG128" s="16">
        <f>IF(ISERROR(VLOOKUP($A128,'13. Updated Demand'!A:Z,24,FALSE)),0,VLOOKUP($A128,'13. Updated Demand'!A:Z,24,FALSE))</f>
        <v>0</v>
      </c>
      <c r="AH128" s="16">
        <f>IF(ISERROR(VLOOKUP($A128,'13. Updated Demand'!A:Z,25,FALSE)),0,VLOOKUP($A128,'13. Updated Demand'!A:Z,25,FALSE))</f>
        <v>0</v>
      </c>
      <c r="AI128" s="16">
        <f>IF(ISERROR(VLOOKUP($A128,'13. Updated Demand'!A:Z,26,FALSE)),0,VLOOKUP($A128,'13. Updated Demand'!A:Z,26,FALSE))</f>
        <v>0</v>
      </c>
      <c r="AJ128" s="16">
        <f t="shared" si="24"/>
        <v>0</v>
      </c>
      <c r="AK128" s="19">
        <v>0</v>
      </c>
      <c r="AL128" s="16">
        <f t="shared" si="22"/>
        <v>0</v>
      </c>
      <c r="AM128" s="17">
        <v>0</v>
      </c>
      <c r="AN128" s="19"/>
      <c r="AO128" s="19"/>
      <c r="AP128" s="19">
        <v>14.7</v>
      </c>
      <c r="AQ128" s="19" t="s">
        <v>307</v>
      </c>
      <c r="AR128" s="9" t="s">
        <v>317</v>
      </c>
      <c r="AS128" s="12">
        <v>0</v>
      </c>
      <c r="AT128" s="19">
        <v>39.253999999999998</v>
      </c>
      <c r="AU128" s="19">
        <v>-123.1893</v>
      </c>
      <c r="AV128" s="19" t="s">
        <v>482</v>
      </c>
    </row>
    <row r="129" spans="1:48" x14ac:dyDescent="0.25">
      <c r="A129" s="18" t="s">
        <v>483</v>
      </c>
      <c r="B129" s="10">
        <v>20090123</v>
      </c>
      <c r="C129" s="9">
        <v>18</v>
      </c>
      <c r="D129" s="8" t="str">
        <f t="shared" si="13"/>
        <v>N</v>
      </c>
      <c r="E129" s="8" t="str">
        <f t="shared" si="14"/>
        <v>N</v>
      </c>
      <c r="F129" s="8" t="str">
        <f t="shared" si="15"/>
        <v>N</v>
      </c>
      <c r="G129" s="8" t="str">
        <f t="shared" si="16"/>
        <v>N</v>
      </c>
      <c r="H129" s="8" t="str">
        <f t="shared" si="17"/>
        <v>Lower</v>
      </c>
      <c r="I129" s="8" t="str">
        <f t="shared" si="18"/>
        <v>Outside</v>
      </c>
      <c r="J129" s="8" t="str">
        <f t="shared" si="19"/>
        <v>Outside</v>
      </c>
      <c r="K129" s="8" t="str">
        <f t="shared" si="20"/>
        <v>Post-1949</v>
      </c>
      <c r="L129" s="8">
        <f t="shared" si="21"/>
        <v>2009</v>
      </c>
      <c r="M129" s="8" t="str">
        <f t="shared" si="23"/>
        <v>1991-present</v>
      </c>
      <c r="N129" s="10" t="s">
        <v>241</v>
      </c>
      <c r="O129" s="10" t="s">
        <v>242</v>
      </c>
      <c r="P129" s="10" t="s">
        <v>242</v>
      </c>
      <c r="Q129" s="10" t="s">
        <v>242</v>
      </c>
      <c r="R129" s="10" t="s">
        <v>241</v>
      </c>
      <c r="S129" s="10" t="s">
        <v>242</v>
      </c>
      <c r="T129" s="10" t="s">
        <v>242</v>
      </c>
      <c r="U129" s="10" t="s">
        <v>242</v>
      </c>
      <c r="V129" s="10" t="s">
        <v>241</v>
      </c>
      <c r="W129" s="10" t="s">
        <v>242</v>
      </c>
      <c r="X129" s="15">
        <f>IF(ISERROR(VLOOKUP($A129,'13. Updated Demand'!A:Z,15,FALSE)),0,VLOOKUP($A129,'13. Updated Demand'!A:Z,15,FALSE))</f>
        <v>6.733333333</v>
      </c>
      <c r="Y129" s="16">
        <f>IF(ISERROR(VLOOKUP($A129,'13. Updated Demand'!A:Z,16,FALSE)),0,VLOOKUP($A129,'13. Updated Demand'!A:Z,16,FALSE))</f>
        <v>0</v>
      </c>
      <c r="Z129" s="16">
        <f>IF(ISERROR(VLOOKUP($A129,'13. Updated Demand'!A:Z,17,FALSE)),0,VLOOKUP($A129,'13. Updated Demand'!A:Z,17,FALSE))</f>
        <v>11.133333329999999</v>
      </c>
      <c r="AA129" s="16">
        <f>IF(ISERROR(VLOOKUP($A129,'13. Updated Demand'!A:Z,18,FALSE)),0,VLOOKUP($A129,'13. Updated Demand'!A:Z,18,FALSE))</f>
        <v>0</v>
      </c>
      <c r="AB129" s="16">
        <f>IF(ISERROR(VLOOKUP($A129,'13. Updated Demand'!A:Z,19,FALSE)),0,VLOOKUP($A129,'13. Updated Demand'!A:Z,19,FALSE))</f>
        <v>0</v>
      </c>
      <c r="AC129" s="16">
        <f>IF(ISERROR(VLOOKUP($A129,'13. Updated Demand'!A:Z,20,FALSE)),0,VLOOKUP($A129,'13. Updated Demand'!A:Z,20,FALSE))</f>
        <v>0</v>
      </c>
      <c r="AD129" s="16">
        <f>IF(ISERROR(VLOOKUP($A129,'13. Updated Demand'!A:Z,21,FALSE)),0,VLOOKUP($A129,'13. Updated Demand'!A:Z,21,FALSE))</f>
        <v>0</v>
      </c>
      <c r="AE129" s="16">
        <f>IF(ISERROR(VLOOKUP($A129,'13. Updated Demand'!A:Z,22,FALSE)),0,VLOOKUP($A129,'13. Updated Demand'!A:Z,22,FALSE))</f>
        <v>0</v>
      </c>
      <c r="AF129" s="16">
        <f>IF(ISERROR(VLOOKUP($A129,'13. Updated Demand'!A:Z,23,FALSE)),0,VLOOKUP($A129,'13. Updated Demand'!A:Z,23,FALSE))</f>
        <v>0</v>
      </c>
      <c r="AG129" s="16">
        <f>IF(ISERROR(VLOOKUP($A129,'13. Updated Demand'!A:Z,24,FALSE)),0,VLOOKUP($A129,'13. Updated Demand'!A:Z,24,FALSE))</f>
        <v>20.333333329999999</v>
      </c>
      <c r="AH129" s="16">
        <f>IF(ISERROR(VLOOKUP($A129,'13. Updated Demand'!A:Z,25,FALSE)),0,VLOOKUP($A129,'13. Updated Demand'!A:Z,25,FALSE))</f>
        <v>13.133333329999999</v>
      </c>
      <c r="AI129" s="16">
        <f>IF(ISERROR(VLOOKUP($A129,'13. Updated Demand'!A:Z,26,FALSE)),0,VLOOKUP($A129,'13. Updated Demand'!A:Z,26,FALSE))</f>
        <v>19.866666670000001</v>
      </c>
      <c r="AJ129" s="16">
        <f t="shared" si="24"/>
        <v>71.199999993000006</v>
      </c>
      <c r="AK129" s="19">
        <v>0</v>
      </c>
      <c r="AL129" s="16">
        <f t="shared" si="22"/>
        <v>0</v>
      </c>
      <c r="AM129" s="17">
        <v>0.28142292487351783</v>
      </c>
      <c r="AN129" s="19"/>
      <c r="AO129" s="19"/>
      <c r="AP129" s="19">
        <v>253</v>
      </c>
      <c r="AQ129" s="19" t="s">
        <v>307</v>
      </c>
      <c r="AR129" s="9" t="s">
        <v>352</v>
      </c>
      <c r="AS129" s="12">
        <v>0</v>
      </c>
      <c r="AT129" s="19">
        <v>38.517800000000001</v>
      </c>
      <c r="AU129" s="19">
        <v>-122.8815</v>
      </c>
      <c r="AV129" s="19" t="s">
        <v>387</v>
      </c>
    </row>
    <row r="130" spans="1:48" x14ac:dyDescent="0.25">
      <c r="A130" s="18" t="s">
        <v>484</v>
      </c>
      <c r="B130" s="10">
        <v>20090128</v>
      </c>
      <c r="C130" s="9">
        <v>23</v>
      </c>
      <c r="D130" s="8" t="str">
        <f t="shared" ref="D130:D193" si="25">IF(OR(C130=4,C130=5,C130=6),"Y","N")</f>
        <v>N</v>
      </c>
      <c r="E130" s="8" t="str">
        <f t="shared" ref="E130:E193" si="26">IF(AND(C130&gt;6,C130&lt;14),"Y","N")</f>
        <v>N</v>
      </c>
      <c r="F130" s="8" t="str">
        <f t="shared" ref="F130:F193" si="27">IF(C130&lt;14,"Y","N")</f>
        <v>N</v>
      </c>
      <c r="G130" s="8" t="str">
        <f t="shared" ref="G130:G193" si="28">IF(OR(C130=1,AND(C130&gt;3,C130&lt;14)),"Y","N")</f>
        <v>N</v>
      </c>
      <c r="H130" s="8" t="str">
        <f t="shared" ref="H130:H193" si="29">IF(C130&lt;14,"Upper","Lower")</f>
        <v>Lower</v>
      </c>
      <c r="I130" s="8" t="str">
        <f t="shared" ref="I130:I193" si="30">IF(G130="Y","West Fork and Below Lake","Outside")</f>
        <v>Outside</v>
      </c>
      <c r="J130" s="8" t="str">
        <f t="shared" ref="J130:J193" si="31">IF(D130="Y", "Mendocino (d/s of lake)", IF(E130="Y", "Sonoma (d/s of Clov. Gage)","Outside"))</f>
        <v>Outside</v>
      </c>
      <c r="K130" s="8" t="str">
        <f t="shared" ref="K130:K193" si="32">IF(P130="Y","pre-1914",IF(Q130="Y","Pre-1949",IF(R130="Y","Post-1949",IF(S130="Y","Riparian","Unknown"))))</f>
        <v>Post-1949</v>
      </c>
      <c r="L130" s="8">
        <f t="shared" ref="L130:L193" si="33">_xlfn.NUMBERVALUE(LEFT(B130,4))</f>
        <v>2009</v>
      </c>
      <c r="M130" s="8" t="str">
        <f t="shared" si="23"/>
        <v>1991-present</v>
      </c>
      <c r="N130" s="10" t="s">
        <v>242</v>
      </c>
      <c r="O130" s="10" t="s">
        <v>242</v>
      </c>
      <c r="P130" s="10" t="s">
        <v>242</v>
      </c>
      <c r="Q130" s="10" t="s">
        <v>242</v>
      </c>
      <c r="R130" s="10" t="s">
        <v>241</v>
      </c>
      <c r="S130" s="10" t="s">
        <v>242</v>
      </c>
      <c r="T130" s="10" t="s">
        <v>241</v>
      </c>
      <c r="U130" s="10" t="s">
        <v>241</v>
      </c>
      <c r="V130" s="10" t="s">
        <v>241</v>
      </c>
      <c r="W130" s="10" t="s">
        <v>242</v>
      </c>
      <c r="X130" s="15">
        <f>IF(ISERROR(VLOOKUP($A130,'13. Updated Demand'!A:Z,15,FALSE)),0,VLOOKUP($A130,'13. Updated Demand'!A:Z,15,FALSE))</f>
        <v>0</v>
      </c>
      <c r="Y130" s="16">
        <f>IF(ISERROR(VLOOKUP($A130,'13. Updated Demand'!A:Z,16,FALSE)),0,VLOOKUP($A130,'13. Updated Demand'!A:Z,16,FALSE))</f>
        <v>0</v>
      </c>
      <c r="Z130" s="16">
        <f>IF(ISERROR(VLOOKUP($A130,'13. Updated Demand'!A:Z,17,FALSE)),0,VLOOKUP($A130,'13. Updated Demand'!A:Z,17,FALSE))</f>
        <v>0</v>
      </c>
      <c r="AA130" s="16">
        <f>IF(ISERROR(VLOOKUP($A130,'13. Updated Demand'!A:Z,18,FALSE)),0,VLOOKUP($A130,'13. Updated Demand'!A:Z,18,FALSE))</f>
        <v>0</v>
      </c>
      <c r="AB130" s="16">
        <f>IF(ISERROR(VLOOKUP($A130,'13. Updated Demand'!A:Z,19,FALSE)),0,VLOOKUP($A130,'13. Updated Demand'!A:Z,19,FALSE))</f>
        <v>0</v>
      </c>
      <c r="AC130" s="16">
        <f>IF(ISERROR(VLOOKUP($A130,'13. Updated Demand'!A:Z,20,FALSE)),0,VLOOKUP($A130,'13. Updated Demand'!A:Z,20,FALSE))</f>
        <v>0</v>
      </c>
      <c r="AD130" s="16">
        <f>IF(ISERROR(VLOOKUP($A130,'13. Updated Demand'!A:Z,21,FALSE)),0,VLOOKUP($A130,'13. Updated Demand'!A:Z,21,FALSE))</f>
        <v>0</v>
      </c>
      <c r="AE130" s="16">
        <f>IF(ISERROR(VLOOKUP($A130,'13. Updated Demand'!A:Z,22,FALSE)),0,VLOOKUP($A130,'13. Updated Demand'!A:Z,22,FALSE))</f>
        <v>0</v>
      </c>
      <c r="AF130" s="16">
        <f>IF(ISERROR(VLOOKUP($A130,'13. Updated Demand'!A:Z,23,FALSE)),0,VLOOKUP($A130,'13. Updated Demand'!A:Z,23,FALSE))</f>
        <v>0</v>
      </c>
      <c r="AG130" s="16">
        <f>IF(ISERROR(VLOOKUP($A130,'13. Updated Demand'!A:Z,24,FALSE)),0,VLOOKUP($A130,'13. Updated Demand'!A:Z,24,FALSE))</f>
        <v>0</v>
      </c>
      <c r="AH130" s="16">
        <f>IF(ISERROR(VLOOKUP($A130,'13. Updated Demand'!A:Z,25,FALSE)),0,VLOOKUP($A130,'13. Updated Demand'!A:Z,25,FALSE))</f>
        <v>0</v>
      </c>
      <c r="AI130" s="16">
        <f>IF(ISERROR(VLOOKUP($A130,'13. Updated Demand'!A:Z,26,FALSE)),0,VLOOKUP($A130,'13. Updated Demand'!A:Z,26,FALSE))</f>
        <v>0</v>
      </c>
      <c r="AJ130" s="16">
        <f t="shared" si="24"/>
        <v>0</v>
      </c>
      <c r="AK130" s="19">
        <v>0</v>
      </c>
      <c r="AL130" s="16">
        <f t="shared" ref="AL130:AL193" si="34">AK130/152/1.983471</f>
        <v>0</v>
      </c>
      <c r="AM130" s="17">
        <v>0</v>
      </c>
      <c r="AN130" s="19"/>
      <c r="AO130" s="19"/>
      <c r="AP130" s="19">
        <v>293</v>
      </c>
      <c r="AQ130" s="19" t="s">
        <v>307</v>
      </c>
      <c r="AR130" s="9" t="s">
        <v>391</v>
      </c>
      <c r="AS130" s="12">
        <v>0</v>
      </c>
      <c r="AT130" s="19">
        <v>38.579610780000003</v>
      </c>
      <c r="AU130" s="19">
        <v>-122.80777175999999</v>
      </c>
      <c r="AV130" s="19" t="s">
        <v>385</v>
      </c>
    </row>
    <row r="131" spans="1:48" x14ac:dyDescent="0.25">
      <c r="A131" s="18" t="s">
        <v>485</v>
      </c>
      <c r="B131" s="10">
        <v>20090128</v>
      </c>
      <c r="C131" s="9">
        <v>17</v>
      </c>
      <c r="D131" s="8" t="str">
        <f t="shared" si="25"/>
        <v>N</v>
      </c>
      <c r="E131" s="8" t="str">
        <f t="shared" si="26"/>
        <v>N</v>
      </c>
      <c r="F131" s="8" t="str">
        <f t="shared" si="27"/>
        <v>N</v>
      </c>
      <c r="G131" s="8" t="str">
        <f t="shared" si="28"/>
        <v>N</v>
      </c>
      <c r="H131" s="8" t="str">
        <f t="shared" si="29"/>
        <v>Lower</v>
      </c>
      <c r="I131" s="8" t="str">
        <f t="shared" si="30"/>
        <v>Outside</v>
      </c>
      <c r="J131" s="8" t="str">
        <f t="shared" si="31"/>
        <v>Outside</v>
      </c>
      <c r="K131" s="8" t="str">
        <f t="shared" si="32"/>
        <v>Post-1949</v>
      </c>
      <c r="L131" s="8">
        <f t="shared" si="33"/>
        <v>2009</v>
      </c>
      <c r="M131" s="8" t="str">
        <f t="shared" ref="M131:M194" si="35">IF(L131=1949,"1949",IF(AND(L131&gt;1949,L131&lt;1953),"1950-1952",IF(AND(L131&gt;1952,L131&lt;1955),"1953-1954",IF(AND(L131&gt;1954,L131&lt;1957),"1955-1956",IF(AND(L131&gt;1956,L131&lt;1960),"1957-1959",IF(AND(L131&gt;1959,L131&lt;1971),"1960-1970",IF(AND(L131&gt;1970,L131&lt;1991),"1971-1990",IF(L131&gt;1990,"1991-present","-"))))))))</f>
        <v>1991-present</v>
      </c>
      <c r="N131" s="10" t="s">
        <v>242</v>
      </c>
      <c r="O131" s="10" t="s">
        <v>242</v>
      </c>
      <c r="P131" s="10" t="s">
        <v>242</v>
      </c>
      <c r="Q131" s="10" t="s">
        <v>242</v>
      </c>
      <c r="R131" s="10" t="s">
        <v>241</v>
      </c>
      <c r="S131" s="10" t="s">
        <v>242</v>
      </c>
      <c r="T131" s="10" t="s">
        <v>241</v>
      </c>
      <c r="U131" s="10" t="s">
        <v>241</v>
      </c>
      <c r="V131" s="10" t="s">
        <v>241</v>
      </c>
      <c r="W131" s="10" t="s">
        <v>242</v>
      </c>
      <c r="X131" s="15">
        <f>IF(ISERROR(VLOOKUP($A131,'13. Updated Demand'!A:Z,15,FALSE)),0,VLOOKUP($A131,'13. Updated Demand'!A:Z,15,FALSE))</f>
        <v>0</v>
      </c>
      <c r="Y131" s="16">
        <f>IF(ISERROR(VLOOKUP($A131,'13. Updated Demand'!A:Z,16,FALSE)),0,VLOOKUP($A131,'13. Updated Demand'!A:Z,16,FALSE))</f>
        <v>0</v>
      </c>
      <c r="Z131" s="16">
        <f>IF(ISERROR(VLOOKUP($A131,'13. Updated Demand'!A:Z,17,FALSE)),0,VLOOKUP($A131,'13. Updated Demand'!A:Z,17,FALSE))</f>
        <v>0</v>
      </c>
      <c r="AA131" s="16">
        <f>IF(ISERROR(VLOOKUP($A131,'13. Updated Demand'!A:Z,18,FALSE)),0,VLOOKUP($A131,'13. Updated Demand'!A:Z,18,FALSE))</f>
        <v>0</v>
      </c>
      <c r="AB131" s="16">
        <f>IF(ISERROR(VLOOKUP($A131,'13. Updated Demand'!A:Z,19,FALSE)),0,VLOOKUP($A131,'13. Updated Demand'!A:Z,19,FALSE))</f>
        <v>0</v>
      </c>
      <c r="AC131" s="16">
        <f>IF(ISERROR(VLOOKUP($A131,'13. Updated Demand'!A:Z,20,FALSE)),0,VLOOKUP($A131,'13. Updated Demand'!A:Z,20,FALSE))</f>
        <v>0</v>
      </c>
      <c r="AD131" s="16">
        <f>IF(ISERROR(VLOOKUP($A131,'13. Updated Demand'!A:Z,21,FALSE)),0,VLOOKUP($A131,'13. Updated Demand'!A:Z,21,FALSE))</f>
        <v>0</v>
      </c>
      <c r="AE131" s="16">
        <f>IF(ISERROR(VLOOKUP($A131,'13. Updated Demand'!A:Z,22,FALSE)),0,VLOOKUP($A131,'13. Updated Demand'!A:Z,22,FALSE))</f>
        <v>0</v>
      </c>
      <c r="AF131" s="16">
        <f>IF(ISERROR(VLOOKUP($A131,'13. Updated Demand'!A:Z,23,FALSE)),0,VLOOKUP($A131,'13. Updated Demand'!A:Z,23,FALSE))</f>
        <v>0</v>
      </c>
      <c r="AG131" s="16">
        <f>IF(ISERROR(VLOOKUP($A131,'13. Updated Demand'!A:Z,24,FALSE)),0,VLOOKUP($A131,'13. Updated Demand'!A:Z,24,FALSE))</f>
        <v>0</v>
      </c>
      <c r="AH131" s="16">
        <f>IF(ISERROR(VLOOKUP($A131,'13. Updated Demand'!A:Z,25,FALSE)),0,VLOOKUP($A131,'13. Updated Demand'!A:Z,25,FALSE))</f>
        <v>0</v>
      </c>
      <c r="AI131" s="16">
        <f>IF(ISERROR(VLOOKUP($A131,'13. Updated Demand'!A:Z,26,FALSE)),0,VLOOKUP($A131,'13. Updated Demand'!A:Z,26,FALSE))</f>
        <v>0</v>
      </c>
      <c r="AJ131" s="16">
        <f t="shared" si="24"/>
        <v>0</v>
      </c>
      <c r="AK131" s="19">
        <v>0</v>
      </c>
      <c r="AL131" s="16">
        <f t="shared" si="34"/>
        <v>0</v>
      </c>
      <c r="AM131" s="17">
        <v>0</v>
      </c>
      <c r="AN131" s="19"/>
      <c r="AO131" s="19"/>
      <c r="AP131" s="19">
        <v>1</v>
      </c>
      <c r="AQ131" s="19" t="s">
        <v>307</v>
      </c>
      <c r="AR131" s="9" t="s">
        <v>486</v>
      </c>
      <c r="AS131" s="12">
        <v>0</v>
      </c>
      <c r="AT131" s="19">
        <v>38.59032637</v>
      </c>
      <c r="AU131" s="19">
        <v>-122.81316579</v>
      </c>
      <c r="AV131" s="19" t="s">
        <v>385</v>
      </c>
    </row>
    <row r="132" spans="1:48" x14ac:dyDescent="0.25">
      <c r="A132" s="18" t="s">
        <v>487</v>
      </c>
      <c r="B132" s="10">
        <v>20091209</v>
      </c>
      <c r="C132" s="9">
        <v>23</v>
      </c>
      <c r="D132" s="8" t="str">
        <f t="shared" si="25"/>
        <v>N</v>
      </c>
      <c r="E132" s="8" t="str">
        <f t="shared" si="26"/>
        <v>N</v>
      </c>
      <c r="F132" s="8" t="str">
        <f t="shared" si="27"/>
        <v>N</v>
      </c>
      <c r="G132" s="8" t="str">
        <f t="shared" si="28"/>
        <v>N</v>
      </c>
      <c r="H132" s="8" t="str">
        <f t="shared" si="29"/>
        <v>Lower</v>
      </c>
      <c r="I132" s="8" t="str">
        <f t="shared" si="30"/>
        <v>Outside</v>
      </c>
      <c r="J132" s="8" t="str">
        <f t="shared" si="31"/>
        <v>Outside</v>
      </c>
      <c r="K132" s="8" t="str">
        <f t="shared" si="32"/>
        <v>Post-1949</v>
      </c>
      <c r="L132" s="8">
        <f t="shared" si="33"/>
        <v>2009</v>
      </c>
      <c r="M132" s="8" t="str">
        <f t="shared" si="35"/>
        <v>1991-present</v>
      </c>
      <c r="N132" s="10" t="s">
        <v>242</v>
      </c>
      <c r="O132" s="10" t="s">
        <v>242</v>
      </c>
      <c r="P132" s="10" t="s">
        <v>242</v>
      </c>
      <c r="Q132" s="10" t="s">
        <v>242</v>
      </c>
      <c r="R132" s="10" t="s">
        <v>241</v>
      </c>
      <c r="S132" s="10" t="s">
        <v>242</v>
      </c>
      <c r="T132" s="10" t="s">
        <v>241</v>
      </c>
      <c r="U132" s="10" t="s">
        <v>241</v>
      </c>
      <c r="V132" s="10" t="s">
        <v>241</v>
      </c>
      <c r="W132" s="10" t="s">
        <v>242</v>
      </c>
      <c r="X132" s="15">
        <f>IF(ISERROR(VLOOKUP($A132,'13. Updated Demand'!A:Z,15,FALSE)),0,VLOOKUP($A132,'13. Updated Demand'!A:Z,15,FALSE))</f>
        <v>0</v>
      </c>
      <c r="Y132" s="16">
        <f>IF(ISERROR(VLOOKUP($A132,'13. Updated Demand'!A:Z,16,FALSE)),0,VLOOKUP($A132,'13. Updated Demand'!A:Z,16,FALSE))</f>
        <v>0</v>
      </c>
      <c r="Z132" s="16">
        <f>IF(ISERROR(VLOOKUP($A132,'13. Updated Demand'!A:Z,17,FALSE)),0,VLOOKUP($A132,'13. Updated Demand'!A:Z,17,FALSE))</f>
        <v>0</v>
      </c>
      <c r="AA132" s="16">
        <f>IF(ISERROR(VLOOKUP($A132,'13. Updated Demand'!A:Z,18,FALSE)),0,VLOOKUP($A132,'13. Updated Demand'!A:Z,18,FALSE))</f>
        <v>0</v>
      </c>
      <c r="AB132" s="16">
        <f>IF(ISERROR(VLOOKUP($A132,'13. Updated Demand'!A:Z,19,FALSE)),0,VLOOKUP($A132,'13. Updated Demand'!A:Z,19,FALSE))</f>
        <v>0</v>
      </c>
      <c r="AC132" s="16">
        <f>IF(ISERROR(VLOOKUP($A132,'13. Updated Demand'!A:Z,20,FALSE)),0,VLOOKUP($A132,'13. Updated Demand'!A:Z,20,FALSE))</f>
        <v>0</v>
      </c>
      <c r="AD132" s="16">
        <f>IF(ISERROR(VLOOKUP($A132,'13. Updated Demand'!A:Z,21,FALSE)),0,VLOOKUP($A132,'13. Updated Demand'!A:Z,21,FALSE))</f>
        <v>0</v>
      </c>
      <c r="AE132" s="16">
        <f>IF(ISERROR(VLOOKUP($A132,'13. Updated Demand'!A:Z,22,FALSE)),0,VLOOKUP($A132,'13. Updated Demand'!A:Z,22,FALSE))</f>
        <v>0</v>
      </c>
      <c r="AF132" s="16">
        <f>IF(ISERROR(VLOOKUP($A132,'13. Updated Demand'!A:Z,23,FALSE)),0,VLOOKUP($A132,'13. Updated Demand'!A:Z,23,FALSE))</f>
        <v>0</v>
      </c>
      <c r="AG132" s="16">
        <f>IF(ISERROR(VLOOKUP($A132,'13. Updated Demand'!A:Z,24,FALSE)),0,VLOOKUP($A132,'13. Updated Demand'!A:Z,24,FALSE))</f>
        <v>0</v>
      </c>
      <c r="AH132" s="16">
        <f>IF(ISERROR(VLOOKUP($A132,'13. Updated Demand'!A:Z,25,FALSE)),0,VLOOKUP($A132,'13. Updated Demand'!A:Z,25,FALSE))</f>
        <v>0</v>
      </c>
      <c r="AI132" s="16">
        <f>IF(ISERROR(VLOOKUP($A132,'13. Updated Demand'!A:Z,26,FALSE)),0,VLOOKUP($A132,'13. Updated Demand'!A:Z,26,FALSE))</f>
        <v>0</v>
      </c>
      <c r="AJ132" s="16">
        <f t="shared" si="24"/>
        <v>0</v>
      </c>
      <c r="AK132" s="19">
        <v>0</v>
      </c>
      <c r="AL132" s="16">
        <f t="shared" si="34"/>
        <v>0</v>
      </c>
      <c r="AM132" s="17">
        <v>0</v>
      </c>
      <c r="AN132" s="19"/>
      <c r="AO132" s="19"/>
      <c r="AP132" s="19">
        <v>46</v>
      </c>
      <c r="AQ132" s="19" t="s">
        <v>307</v>
      </c>
      <c r="AR132" s="9" t="s">
        <v>323</v>
      </c>
      <c r="AS132" s="12">
        <v>0</v>
      </c>
      <c r="AT132" s="19">
        <v>38.519199999999998</v>
      </c>
      <c r="AU132" s="19">
        <v>-122.6713</v>
      </c>
      <c r="AV132" s="19" t="s">
        <v>385</v>
      </c>
    </row>
    <row r="133" spans="1:48" x14ac:dyDescent="0.25">
      <c r="A133" s="18" t="s">
        <v>488</v>
      </c>
      <c r="B133" s="10">
        <v>20091006</v>
      </c>
      <c r="C133" s="9">
        <v>15</v>
      </c>
      <c r="D133" s="8" t="str">
        <f t="shared" si="25"/>
        <v>N</v>
      </c>
      <c r="E133" s="8" t="str">
        <f t="shared" si="26"/>
        <v>N</v>
      </c>
      <c r="F133" s="8" t="str">
        <f t="shared" si="27"/>
        <v>N</v>
      </c>
      <c r="G133" s="8" t="str">
        <f t="shared" si="28"/>
        <v>N</v>
      </c>
      <c r="H133" s="8" t="str">
        <f t="shared" si="29"/>
        <v>Lower</v>
      </c>
      <c r="I133" s="8" t="str">
        <f t="shared" si="30"/>
        <v>Outside</v>
      </c>
      <c r="J133" s="8" t="str">
        <f t="shared" si="31"/>
        <v>Outside</v>
      </c>
      <c r="K133" s="8" t="str">
        <f t="shared" si="32"/>
        <v>Post-1949</v>
      </c>
      <c r="L133" s="8">
        <f t="shared" si="33"/>
        <v>2009</v>
      </c>
      <c r="M133" s="8" t="str">
        <f t="shared" si="35"/>
        <v>1991-present</v>
      </c>
      <c r="N133" s="10" t="s">
        <v>242</v>
      </c>
      <c r="O133" s="10" t="s">
        <v>242</v>
      </c>
      <c r="P133" s="10" t="s">
        <v>242</v>
      </c>
      <c r="Q133" s="10" t="s">
        <v>242</v>
      </c>
      <c r="R133" s="10" t="s">
        <v>241</v>
      </c>
      <c r="S133" s="10" t="s">
        <v>242</v>
      </c>
      <c r="T133" s="10" t="s">
        <v>242</v>
      </c>
      <c r="U133" s="10" t="s">
        <v>242</v>
      </c>
      <c r="V133" s="10" t="s">
        <v>241</v>
      </c>
      <c r="W133" s="10" t="s">
        <v>242</v>
      </c>
      <c r="X133" s="15">
        <f>IF(ISERROR(VLOOKUP($A133,'13. Updated Demand'!A:Z,15,FALSE)),0,VLOOKUP($A133,'13. Updated Demand'!A:Z,15,FALSE))</f>
        <v>0.63333333300000005</v>
      </c>
      <c r="Y133" s="16">
        <f>IF(ISERROR(VLOOKUP($A133,'13. Updated Demand'!A:Z,16,FALSE)),0,VLOOKUP($A133,'13. Updated Demand'!A:Z,16,FALSE))</f>
        <v>0</v>
      </c>
      <c r="Z133" s="16">
        <f>IF(ISERROR(VLOOKUP($A133,'13. Updated Demand'!A:Z,17,FALSE)),0,VLOOKUP($A133,'13. Updated Demand'!A:Z,17,FALSE))</f>
        <v>0</v>
      </c>
      <c r="AA133" s="16">
        <f>IF(ISERROR(VLOOKUP($A133,'13. Updated Demand'!A:Z,18,FALSE)),0,VLOOKUP($A133,'13. Updated Demand'!A:Z,18,FALSE))</f>
        <v>0</v>
      </c>
      <c r="AB133" s="16">
        <f>IF(ISERROR(VLOOKUP($A133,'13. Updated Demand'!A:Z,19,FALSE)),0,VLOOKUP($A133,'13. Updated Demand'!A:Z,19,FALSE))</f>
        <v>0</v>
      </c>
      <c r="AC133" s="16">
        <f>IF(ISERROR(VLOOKUP($A133,'13. Updated Demand'!A:Z,20,FALSE)),0,VLOOKUP($A133,'13. Updated Demand'!A:Z,20,FALSE))</f>
        <v>0</v>
      </c>
      <c r="AD133" s="16">
        <f>IF(ISERROR(VLOOKUP($A133,'13. Updated Demand'!A:Z,21,FALSE)),0,VLOOKUP($A133,'13. Updated Demand'!A:Z,21,FALSE))</f>
        <v>0</v>
      </c>
      <c r="AE133" s="16">
        <f>IF(ISERROR(VLOOKUP($A133,'13. Updated Demand'!A:Z,22,FALSE)),0,VLOOKUP($A133,'13. Updated Demand'!A:Z,22,FALSE))</f>
        <v>0</v>
      </c>
      <c r="AF133" s="16">
        <f>IF(ISERROR(VLOOKUP($A133,'13. Updated Demand'!A:Z,23,FALSE)),0,VLOOKUP($A133,'13. Updated Demand'!A:Z,23,FALSE))</f>
        <v>0</v>
      </c>
      <c r="AG133" s="16">
        <f>IF(ISERROR(VLOOKUP($A133,'13. Updated Demand'!A:Z,24,FALSE)),0,VLOOKUP($A133,'13. Updated Demand'!A:Z,24,FALSE))</f>
        <v>0</v>
      </c>
      <c r="AH133" s="16">
        <f>IF(ISERROR(VLOOKUP($A133,'13. Updated Demand'!A:Z,25,FALSE)),0,VLOOKUP($A133,'13. Updated Demand'!A:Z,25,FALSE))</f>
        <v>0.8</v>
      </c>
      <c r="AI133" s="16">
        <f>IF(ISERROR(VLOOKUP($A133,'13. Updated Demand'!A:Z,26,FALSE)),0,VLOOKUP($A133,'13. Updated Demand'!A:Z,26,FALSE))</f>
        <v>0.8</v>
      </c>
      <c r="AJ133" s="16">
        <f t="shared" si="24"/>
        <v>2.233333333</v>
      </c>
      <c r="AK133" s="19">
        <v>0</v>
      </c>
      <c r="AL133" s="16">
        <f t="shared" si="34"/>
        <v>0</v>
      </c>
      <c r="AM133" s="17">
        <v>0.22333333329999999</v>
      </c>
      <c r="AN133" s="19"/>
      <c r="AO133" s="19"/>
      <c r="AP133" s="19">
        <v>10</v>
      </c>
      <c r="AQ133" s="19" t="s">
        <v>307</v>
      </c>
      <c r="AR133" s="9" t="s">
        <v>489</v>
      </c>
      <c r="AS133" s="12">
        <v>3.4039024194010059E-4</v>
      </c>
      <c r="AT133" s="19">
        <v>38.665900000000001</v>
      </c>
      <c r="AU133" s="19">
        <v>-122.9472</v>
      </c>
      <c r="AV133" s="19" t="s">
        <v>385</v>
      </c>
    </row>
    <row r="134" spans="1:48" x14ac:dyDescent="0.25">
      <c r="A134" s="18" t="s">
        <v>490</v>
      </c>
      <c r="B134" s="10">
        <v>20091006</v>
      </c>
      <c r="C134" s="9">
        <v>12</v>
      </c>
      <c r="D134" s="8" t="str">
        <f t="shared" si="25"/>
        <v>N</v>
      </c>
      <c r="E134" s="8" t="str">
        <f t="shared" si="26"/>
        <v>Y</v>
      </c>
      <c r="F134" s="8" t="str">
        <f t="shared" si="27"/>
        <v>Y</v>
      </c>
      <c r="G134" s="8" t="str">
        <f t="shared" si="28"/>
        <v>Y</v>
      </c>
      <c r="H134" s="8" t="str">
        <f t="shared" si="29"/>
        <v>Upper</v>
      </c>
      <c r="I134" s="8" t="str">
        <f t="shared" si="30"/>
        <v>West Fork and Below Lake</v>
      </c>
      <c r="J134" s="8" t="str">
        <f t="shared" si="31"/>
        <v>Sonoma (d/s of Clov. Gage)</v>
      </c>
      <c r="K134" s="8" t="str">
        <f t="shared" si="32"/>
        <v>Post-1949</v>
      </c>
      <c r="L134" s="8">
        <f t="shared" si="33"/>
        <v>2009</v>
      </c>
      <c r="M134" s="8" t="str">
        <f t="shared" si="35"/>
        <v>1991-present</v>
      </c>
      <c r="N134" s="10" t="s">
        <v>241</v>
      </c>
      <c r="O134" s="10" t="s">
        <v>241</v>
      </c>
      <c r="P134" s="10" t="s">
        <v>242</v>
      </c>
      <c r="Q134" s="10" t="s">
        <v>242</v>
      </c>
      <c r="R134" s="10" t="s">
        <v>241</v>
      </c>
      <c r="S134" s="10" t="s">
        <v>242</v>
      </c>
      <c r="T134" s="10" t="s">
        <v>242</v>
      </c>
      <c r="U134" s="10" t="s">
        <v>242</v>
      </c>
      <c r="V134" s="10" t="s">
        <v>242</v>
      </c>
      <c r="W134" s="10" t="s">
        <v>242</v>
      </c>
      <c r="X134" s="15">
        <f>IF(ISERROR(VLOOKUP($A134,'13. Updated Demand'!A:Z,15,FALSE)),0,VLOOKUP($A134,'13. Updated Demand'!A:Z,15,FALSE))</f>
        <v>1.33</v>
      </c>
      <c r="Y134" s="16">
        <f>IF(ISERROR(VLOOKUP($A134,'13. Updated Demand'!A:Z,16,FALSE)),0,VLOOKUP($A134,'13. Updated Demand'!A:Z,16,FALSE))</f>
        <v>1.33</v>
      </c>
      <c r="Z134" s="16">
        <f>IF(ISERROR(VLOOKUP($A134,'13. Updated Demand'!A:Z,17,FALSE)),0,VLOOKUP($A134,'13. Updated Demand'!A:Z,17,FALSE))</f>
        <v>0.53</v>
      </c>
      <c r="AA134" s="16">
        <f>IF(ISERROR(VLOOKUP($A134,'13. Updated Demand'!A:Z,18,FALSE)),0,VLOOKUP($A134,'13. Updated Demand'!A:Z,18,FALSE))</f>
        <v>0.06</v>
      </c>
      <c r="AB134" s="16">
        <f>IF(ISERROR(VLOOKUP($A134,'13. Updated Demand'!A:Z,19,FALSE)),0,VLOOKUP($A134,'13. Updated Demand'!A:Z,19,FALSE))</f>
        <v>0.03</v>
      </c>
      <c r="AC134" s="16">
        <f>IF(ISERROR(VLOOKUP($A134,'13. Updated Demand'!A:Z,20,FALSE)),0,VLOOKUP($A134,'13. Updated Demand'!A:Z,20,FALSE))</f>
        <v>0</v>
      </c>
      <c r="AD134" s="16">
        <f>IF(ISERROR(VLOOKUP($A134,'13. Updated Demand'!A:Z,21,FALSE)),0,VLOOKUP($A134,'13. Updated Demand'!A:Z,21,FALSE))</f>
        <v>0</v>
      </c>
      <c r="AE134" s="16">
        <f>IF(ISERROR(VLOOKUP($A134,'13. Updated Demand'!A:Z,22,FALSE)),0,VLOOKUP($A134,'13. Updated Demand'!A:Z,22,FALSE))</f>
        <v>0</v>
      </c>
      <c r="AF134" s="16">
        <f>IF(ISERROR(VLOOKUP($A134,'13. Updated Demand'!A:Z,23,FALSE)),0,VLOOKUP($A134,'13. Updated Demand'!A:Z,23,FALSE))</f>
        <v>0</v>
      </c>
      <c r="AG134" s="16">
        <f>IF(ISERROR(VLOOKUP($A134,'13. Updated Demand'!A:Z,24,FALSE)),0,VLOOKUP($A134,'13. Updated Demand'!A:Z,24,FALSE))</f>
        <v>0</v>
      </c>
      <c r="AH134" s="16">
        <f>IF(ISERROR(VLOOKUP($A134,'13. Updated Demand'!A:Z,25,FALSE)),0,VLOOKUP($A134,'13. Updated Demand'!A:Z,25,FALSE))</f>
        <v>0.36</v>
      </c>
      <c r="AI134" s="16">
        <f>IF(ISERROR(VLOOKUP($A134,'13. Updated Demand'!A:Z,26,FALSE)),0,VLOOKUP($A134,'13. Updated Demand'!A:Z,26,FALSE))</f>
        <v>0.56000000000000005</v>
      </c>
      <c r="AJ134" s="16">
        <f t="shared" si="24"/>
        <v>4.2</v>
      </c>
      <c r="AK134" s="19">
        <v>3.3333333333333298E-2</v>
      </c>
      <c r="AL134" s="16">
        <f t="shared" si="34"/>
        <v>1.1056286964318352E-4</v>
      </c>
      <c r="AM134" s="17">
        <v>0.42333333333333273</v>
      </c>
      <c r="AN134" s="19"/>
      <c r="AO134" s="19"/>
      <c r="AP134" s="19">
        <v>10</v>
      </c>
      <c r="AQ134" s="19" t="s">
        <v>307</v>
      </c>
      <c r="AR134" s="9" t="s">
        <v>311</v>
      </c>
      <c r="AS134" s="12">
        <v>3.4039024194010059E-4</v>
      </c>
      <c r="AT134" s="19">
        <v>38.660400000000003</v>
      </c>
      <c r="AU134" s="19">
        <v>-122.8216</v>
      </c>
      <c r="AV134" s="19" t="s">
        <v>385</v>
      </c>
    </row>
    <row r="135" spans="1:48" x14ac:dyDescent="0.25">
      <c r="A135" s="18" t="s">
        <v>491</v>
      </c>
      <c r="B135" s="10">
        <v>20090428</v>
      </c>
      <c r="C135" s="9">
        <v>6</v>
      </c>
      <c r="D135" s="8" t="str">
        <f t="shared" si="25"/>
        <v>Y</v>
      </c>
      <c r="E135" s="8" t="str">
        <f t="shared" si="26"/>
        <v>N</v>
      </c>
      <c r="F135" s="8" t="str">
        <f t="shared" si="27"/>
        <v>Y</v>
      </c>
      <c r="G135" s="8" t="str">
        <f t="shared" si="28"/>
        <v>Y</v>
      </c>
      <c r="H135" s="8" t="str">
        <f t="shared" si="29"/>
        <v>Upper</v>
      </c>
      <c r="I135" s="8" t="str">
        <f t="shared" si="30"/>
        <v>West Fork and Below Lake</v>
      </c>
      <c r="J135" s="8" t="str">
        <f t="shared" si="31"/>
        <v>Mendocino (d/s of lake)</v>
      </c>
      <c r="K135" s="8" t="str">
        <f t="shared" si="32"/>
        <v>Post-1949</v>
      </c>
      <c r="L135" s="8">
        <f t="shared" si="33"/>
        <v>2009</v>
      </c>
      <c r="M135" s="8" t="str">
        <f t="shared" si="35"/>
        <v>1991-present</v>
      </c>
      <c r="N135" s="10" t="s">
        <v>242</v>
      </c>
      <c r="O135" s="10" t="s">
        <v>241</v>
      </c>
      <c r="P135" s="10" t="s">
        <v>242</v>
      </c>
      <c r="Q135" s="10" t="s">
        <v>242</v>
      </c>
      <c r="R135" s="10" t="s">
        <v>241</v>
      </c>
      <c r="S135" s="10" t="s">
        <v>242</v>
      </c>
      <c r="T135" s="10" t="s">
        <v>242</v>
      </c>
      <c r="U135" s="10" t="s">
        <v>242</v>
      </c>
      <c r="V135" s="10" t="s">
        <v>241</v>
      </c>
      <c r="W135" s="10" t="s">
        <v>242</v>
      </c>
      <c r="X135" s="15">
        <f>IF(ISERROR(VLOOKUP($A135,'13. Updated Demand'!A:Z,15,FALSE)),0,VLOOKUP($A135,'13. Updated Demand'!A:Z,15,FALSE))</f>
        <v>0</v>
      </c>
      <c r="Y135" s="16">
        <f>IF(ISERROR(VLOOKUP($A135,'13. Updated Demand'!A:Z,16,FALSE)),0,VLOOKUP($A135,'13. Updated Demand'!A:Z,16,FALSE))</f>
        <v>0</v>
      </c>
      <c r="Z135" s="16">
        <f>IF(ISERROR(VLOOKUP($A135,'13. Updated Demand'!A:Z,17,FALSE)),0,VLOOKUP($A135,'13. Updated Demand'!A:Z,17,FALSE))</f>
        <v>0</v>
      </c>
      <c r="AA135" s="16">
        <f>IF(ISERROR(VLOOKUP($A135,'13. Updated Demand'!A:Z,18,FALSE)),0,VLOOKUP($A135,'13. Updated Demand'!A:Z,18,FALSE))</f>
        <v>0</v>
      </c>
      <c r="AB135" s="16">
        <f>IF(ISERROR(VLOOKUP($A135,'13. Updated Demand'!A:Z,19,FALSE)),0,VLOOKUP($A135,'13. Updated Demand'!A:Z,19,FALSE))</f>
        <v>0</v>
      </c>
      <c r="AC135" s="16">
        <f>IF(ISERROR(VLOOKUP($A135,'13. Updated Demand'!A:Z,20,FALSE)),0,VLOOKUP($A135,'13. Updated Demand'!A:Z,20,FALSE))</f>
        <v>0</v>
      </c>
      <c r="AD135" s="16">
        <f>IF(ISERROR(VLOOKUP($A135,'13. Updated Demand'!A:Z,21,FALSE)),0,VLOOKUP($A135,'13. Updated Demand'!A:Z,21,FALSE))</f>
        <v>0</v>
      </c>
      <c r="AE135" s="16">
        <f>IF(ISERROR(VLOOKUP($A135,'13. Updated Demand'!A:Z,22,FALSE)),0,VLOOKUP($A135,'13. Updated Demand'!A:Z,22,FALSE))</f>
        <v>0</v>
      </c>
      <c r="AF135" s="16">
        <f>IF(ISERROR(VLOOKUP($A135,'13. Updated Demand'!A:Z,23,FALSE)),0,VLOOKUP($A135,'13. Updated Demand'!A:Z,23,FALSE))</f>
        <v>0</v>
      </c>
      <c r="AG135" s="16">
        <f>IF(ISERROR(VLOOKUP($A135,'13. Updated Demand'!A:Z,24,FALSE)),0,VLOOKUP($A135,'13. Updated Demand'!A:Z,24,FALSE))</f>
        <v>0</v>
      </c>
      <c r="AH135" s="16">
        <f>IF(ISERROR(VLOOKUP($A135,'13. Updated Demand'!A:Z,25,FALSE)),0,VLOOKUP($A135,'13. Updated Demand'!A:Z,25,FALSE))</f>
        <v>1.5</v>
      </c>
      <c r="AI135" s="16">
        <f>IF(ISERROR(VLOOKUP($A135,'13. Updated Demand'!A:Z,26,FALSE)),0,VLOOKUP($A135,'13. Updated Demand'!A:Z,26,FALSE))</f>
        <v>0</v>
      </c>
      <c r="AJ135" s="16">
        <f t="shared" si="24"/>
        <v>1.5</v>
      </c>
      <c r="AK135" s="19">
        <v>0</v>
      </c>
      <c r="AL135" s="16">
        <f t="shared" si="34"/>
        <v>0</v>
      </c>
      <c r="AM135" s="17">
        <v>0.75</v>
      </c>
      <c r="AN135" s="19"/>
      <c r="AO135" s="19"/>
      <c r="AP135" s="19">
        <v>2</v>
      </c>
      <c r="AQ135" s="19" t="s">
        <v>307</v>
      </c>
      <c r="AR135" s="9" t="s">
        <v>319</v>
      </c>
      <c r="AS135" s="12">
        <v>0</v>
      </c>
      <c r="AT135" s="19">
        <v>38.956000000000003</v>
      </c>
      <c r="AU135" s="19">
        <v>-123.07259999999999</v>
      </c>
      <c r="AV135" s="19" t="s">
        <v>385</v>
      </c>
    </row>
    <row r="136" spans="1:48" x14ac:dyDescent="0.25">
      <c r="A136" s="18" t="s">
        <v>492</v>
      </c>
      <c r="B136" s="10">
        <v>20091006</v>
      </c>
      <c r="C136" s="9">
        <v>14</v>
      </c>
      <c r="D136" s="8" t="str">
        <f t="shared" si="25"/>
        <v>N</v>
      </c>
      <c r="E136" s="8" t="str">
        <f t="shared" si="26"/>
        <v>N</v>
      </c>
      <c r="F136" s="8" t="str">
        <f t="shared" si="27"/>
        <v>N</v>
      </c>
      <c r="G136" s="8" t="str">
        <f t="shared" si="28"/>
        <v>N</v>
      </c>
      <c r="H136" s="8" t="str">
        <f t="shared" si="29"/>
        <v>Lower</v>
      </c>
      <c r="I136" s="8" t="str">
        <f t="shared" si="30"/>
        <v>Outside</v>
      </c>
      <c r="J136" s="8" t="str">
        <f t="shared" si="31"/>
        <v>Outside</v>
      </c>
      <c r="K136" s="8" t="str">
        <f t="shared" si="32"/>
        <v>Post-1949</v>
      </c>
      <c r="L136" s="8">
        <f t="shared" si="33"/>
        <v>2009</v>
      </c>
      <c r="M136" s="8" t="str">
        <f t="shared" si="35"/>
        <v>1991-present</v>
      </c>
      <c r="N136" s="10" t="s">
        <v>242</v>
      </c>
      <c r="O136" s="10" t="s">
        <v>242</v>
      </c>
      <c r="P136" s="10" t="s">
        <v>242</v>
      </c>
      <c r="Q136" s="10" t="s">
        <v>242</v>
      </c>
      <c r="R136" s="10" t="s">
        <v>241</v>
      </c>
      <c r="S136" s="10" t="s">
        <v>242</v>
      </c>
      <c r="T136" s="10" t="s">
        <v>242</v>
      </c>
      <c r="U136" s="10" t="s">
        <v>242</v>
      </c>
      <c r="V136" s="10" t="s">
        <v>241</v>
      </c>
      <c r="W136" s="10" t="s">
        <v>242</v>
      </c>
      <c r="X136" s="15">
        <f>IF(ISERROR(VLOOKUP($A136,'13. Updated Demand'!A:Z,15,FALSE)),0,VLOOKUP($A136,'13. Updated Demand'!A:Z,15,FALSE))</f>
        <v>0.43333333299999999</v>
      </c>
      <c r="Y136" s="16">
        <f>IF(ISERROR(VLOOKUP($A136,'13. Updated Demand'!A:Z,16,FALSE)),0,VLOOKUP($A136,'13. Updated Demand'!A:Z,16,FALSE))</f>
        <v>0</v>
      </c>
      <c r="Z136" s="16">
        <f>IF(ISERROR(VLOOKUP($A136,'13. Updated Demand'!A:Z,17,FALSE)),0,VLOOKUP($A136,'13. Updated Demand'!A:Z,17,FALSE))</f>
        <v>0</v>
      </c>
      <c r="AA136" s="16">
        <f>IF(ISERROR(VLOOKUP($A136,'13. Updated Demand'!A:Z,18,FALSE)),0,VLOOKUP($A136,'13. Updated Demand'!A:Z,18,FALSE))</f>
        <v>0</v>
      </c>
      <c r="AB136" s="16">
        <f>IF(ISERROR(VLOOKUP($A136,'13. Updated Demand'!A:Z,19,FALSE)),0,VLOOKUP($A136,'13. Updated Demand'!A:Z,19,FALSE))</f>
        <v>0</v>
      </c>
      <c r="AC136" s="16">
        <f>IF(ISERROR(VLOOKUP($A136,'13. Updated Demand'!A:Z,20,FALSE)),0,VLOOKUP($A136,'13. Updated Demand'!A:Z,20,FALSE))</f>
        <v>0</v>
      </c>
      <c r="AD136" s="16">
        <f>IF(ISERROR(VLOOKUP($A136,'13. Updated Demand'!A:Z,21,FALSE)),0,VLOOKUP($A136,'13. Updated Demand'!A:Z,21,FALSE))</f>
        <v>0</v>
      </c>
      <c r="AE136" s="16">
        <f>IF(ISERROR(VLOOKUP($A136,'13. Updated Demand'!A:Z,22,FALSE)),0,VLOOKUP($A136,'13. Updated Demand'!A:Z,22,FALSE))</f>
        <v>0</v>
      </c>
      <c r="AF136" s="16">
        <f>IF(ISERROR(VLOOKUP($A136,'13. Updated Demand'!A:Z,23,FALSE)),0,VLOOKUP($A136,'13. Updated Demand'!A:Z,23,FALSE))</f>
        <v>0</v>
      </c>
      <c r="AG136" s="16">
        <f>IF(ISERROR(VLOOKUP($A136,'13. Updated Demand'!A:Z,24,FALSE)),0,VLOOKUP($A136,'13. Updated Demand'!A:Z,24,FALSE))</f>
        <v>0</v>
      </c>
      <c r="AH136" s="16">
        <f>IF(ISERROR(VLOOKUP($A136,'13. Updated Demand'!A:Z,25,FALSE)),0,VLOOKUP($A136,'13. Updated Demand'!A:Z,25,FALSE))</f>
        <v>0.43333333299999999</v>
      </c>
      <c r="AI136" s="16">
        <f>IF(ISERROR(VLOOKUP($A136,'13. Updated Demand'!A:Z,26,FALSE)),0,VLOOKUP($A136,'13. Updated Demand'!A:Z,26,FALSE))</f>
        <v>0.6</v>
      </c>
      <c r="AJ136" s="16">
        <f t="shared" si="24"/>
        <v>1.4666666660000001</v>
      </c>
      <c r="AK136" s="19">
        <v>0</v>
      </c>
      <c r="AL136" s="16">
        <f t="shared" si="34"/>
        <v>0</v>
      </c>
      <c r="AM136" s="17">
        <v>0.1466666666</v>
      </c>
      <c r="AN136" s="19"/>
      <c r="AO136" s="19"/>
      <c r="AP136" s="19">
        <v>10</v>
      </c>
      <c r="AQ136" s="19" t="s">
        <v>307</v>
      </c>
      <c r="AR136" s="9" t="s">
        <v>493</v>
      </c>
      <c r="AS136" s="12">
        <v>0</v>
      </c>
      <c r="AT136" s="19">
        <v>38.665199999999999</v>
      </c>
      <c r="AU136" s="19">
        <v>-123.01439999999999</v>
      </c>
      <c r="AV136" s="19" t="s">
        <v>385</v>
      </c>
    </row>
    <row r="137" spans="1:48" x14ac:dyDescent="0.25">
      <c r="A137" s="18" t="s">
        <v>494</v>
      </c>
      <c r="B137" s="10">
        <v>20080728</v>
      </c>
      <c r="C137" s="9">
        <v>23</v>
      </c>
      <c r="D137" s="8" t="str">
        <f t="shared" si="25"/>
        <v>N</v>
      </c>
      <c r="E137" s="8" t="str">
        <f t="shared" si="26"/>
        <v>N</v>
      </c>
      <c r="F137" s="8" t="str">
        <f t="shared" si="27"/>
        <v>N</v>
      </c>
      <c r="G137" s="8" t="str">
        <f t="shared" si="28"/>
        <v>N</v>
      </c>
      <c r="H137" s="8" t="str">
        <f t="shared" si="29"/>
        <v>Lower</v>
      </c>
      <c r="I137" s="8" t="str">
        <f t="shared" si="30"/>
        <v>Outside</v>
      </c>
      <c r="J137" s="8" t="str">
        <f t="shared" si="31"/>
        <v>Outside</v>
      </c>
      <c r="K137" s="8" t="str">
        <f t="shared" si="32"/>
        <v>Post-1949</v>
      </c>
      <c r="L137" s="8">
        <f t="shared" si="33"/>
        <v>2008</v>
      </c>
      <c r="M137" s="8" t="str">
        <f t="shared" si="35"/>
        <v>1991-present</v>
      </c>
      <c r="N137" s="10" t="s">
        <v>242</v>
      </c>
      <c r="O137" s="10" t="s">
        <v>242</v>
      </c>
      <c r="P137" s="10" t="s">
        <v>242</v>
      </c>
      <c r="Q137" s="10" t="s">
        <v>242</v>
      </c>
      <c r="R137" s="10" t="s">
        <v>241</v>
      </c>
      <c r="S137" s="10" t="s">
        <v>242</v>
      </c>
      <c r="T137" s="10" t="s">
        <v>242</v>
      </c>
      <c r="U137" s="10" t="s">
        <v>242</v>
      </c>
      <c r="V137" s="10" t="s">
        <v>241</v>
      </c>
      <c r="W137" s="10" t="s">
        <v>242</v>
      </c>
      <c r="X137" s="15">
        <f>IF(ISERROR(VLOOKUP($A137,'13. Updated Demand'!A:Z,15,FALSE)),0,VLOOKUP($A137,'13. Updated Demand'!A:Z,15,FALSE))</f>
        <v>2</v>
      </c>
      <c r="Y137" s="16">
        <f>IF(ISERROR(VLOOKUP($A137,'13. Updated Demand'!A:Z,16,FALSE)),0,VLOOKUP($A137,'13. Updated Demand'!A:Z,16,FALSE))</f>
        <v>2.3333333330000001</v>
      </c>
      <c r="Z137" s="16">
        <f>IF(ISERROR(VLOOKUP($A137,'13. Updated Demand'!A:Z,17,FALSE)),0,VLOOKUP($A137,'13. Updated Demand'!A:Z,17,FALSE))</f>
        <v>5.6666666670000003</v>
      </c>
      <c r="AA137" s="16">
        <f>IF(ISERROR(VLOOKUP($A137,'13. Updated Demand'!A:Z,18,FALSE)),0,VLOOKUP($A137,'13. Updated Demand'!A:Z,18,FALSE))</f>
        <v>0</v>
      </c>
      <c r="AB137" s="16">
        <f>IF(ISERROR(VLOOKUP($A137,'13. Updated Demand'!A:Z,19,FALSE)),0,VLOOKUP($A137,'13. Updated Demand'!A:Z,19,FALSE))</f>
        <v>0</v>
      </c>
      <c r="AC137" s="16">
        <f>IF(ISERROR(VLOOKUP($A137,'13. Updated Demand'!A:Z,20,FALSE)),0,VLOOKUP($A137,'13. Updated Demand'!A:Z,20,FALSE))</f>
        <v>0</v>
      </c>
      <c r="AD137" s="16">
        <f>IF(ISERROR(VLOOKUP($A137,'13. Updated Demand'!A:Z,21,FALSE)),0,VLOOKUP($A137,'13. Updated Demand'!A:Z,21,FALSE))</f>
        <v>0</v>
      </c>
      <c r="AE137" s="16">
        <f>IF(ISERROR(VLOOKUP($A137,'13. Updated Demand'!A:Z,22,FALSE)),0,VLOOKUP($A137,'13. Updated Demand'!A:Z,22,FALSE))</f>
        <v>0</v>
      </c>
      <c r="AF137" s="16">
        <f>IF(ISERROR(VLOOKUP($A137,'13. Updated Demand'!A:Z,23,FALSE)),0,VLOOKUP($A137,'13. Updated Demand'!A:Z,23,FALSE))</f>
        <v>0</v>
      </c>
      <c r="AG137" s="16">
        <f>IF(ISERROR(VLOOKUP($A137,'13. Updated Demand'!A:Z,24,FALSE)),0,VLOOKUP($A137,'13. Updated Demand'!A:Z,24,FALSE))</f>
        <v>1.2</v>
      </c>
      <c r="AH137" s="16">
        <f>IF(ISERROR(VLOOKUP($A137,'13. Updated Demand'!A:Z,25,FALSE)),0,VLOOKUP($A137,'13. Updated Demand'!A:Z,25,FALSE))</f>
        <v>4.1333333330000004</v>
      </c>
      <c r="AI137" s="16">
        <f>IF(ISERROR(VLOOKUP($A137,'13. Updated Demand'!A:Z,26,FALSE)),0,VLOOKUP($A137,'13. Updated Demand'!A:Z,26,FALSE))</f>
        <v>8.3000000000000007</v>
      </c>
      <c r="AJ137" s="16">
        <f t="shared" si="24"/>
        <v>23.633333332999999</v>
      </c>
      <c r="AK137" s="19">
        <v>0</v>
      </c>
      <c r="AL137" s="16">
        <f t="shared" si="34"/>
        <v>0</v>
      </c>
      <c r="AM137" s="17">
        <v>0.56404136832935559</v>
      </c>
      <c r="AN137" s="19"/>
      <c r="AO137" s="19"/>
      <c r="AP137" s="19">
        <v>41.9</v>
      </c>
      <c r="AQ137" s="19" t="s">
        <v>307</v>
      </c>
      <c r="AR137" s="9" t="s">
        <v>323</v>
      </c>
      <c r="AS137" s="12">
        <v>3.4039024194010059E-4</v>
      </c>
      <c r="AT137" s="19">
        <v>38.495800000000003</v>
      </c>
      <c r="AU137" s="19">
        <v>-122.82299999999999</v>
      </c>
      <c r="AV137" s="19" t="s">
        <v>417</v>
      </c>
    </row>
    <row r="138" spans="1:48" x14ac:dyDescent="0.25">
      <c r="A138" s="18" t="s">
        <v>495</v>
      </c>
      <c r="B138" s="10">
        <v>20081218</v>
      </c>
      <c r="C138" s="9">
        <v>23</v>
      </c>
      <c r="D138" s="8" t="str">
        <f t="shared" si="25"/>
        <v>N</v>
      </c>
      <c r="E138" s="8" t="str">
        <f t="shared" si="26"/>
        <v>N</v>
      </c>
      <c r="F138" s="8" t="str">
        <f t="shared" si="27"/>
        <v>N</v>
      </c>
      <c r="G138" s="8" t="str">
        <f t="shared" si="28"/>
        <v>N</v>
      </c>
      <c r="H138" s="8" t="str">
        <f t="shared" si="29"/>
        <v>Lower</v>
      </c>
      <c r="I138" s="8" t="str">
        <f t="shared" si="30"/>
        <v>Outside</v>
      </c>
      <c r="J138" s="8" t="str">
        <f t="shared" si="31"/>
        <v>Outside</v>
      </c>
      <c r="K138" s="8" t="str">
        <f t="shared" si="32"/>
        <v>Post-1949</v>
      </c>
      <c r="L138" s="8">
        <f t="shared" si="33"/>
        <v>2008</v>
      </c>
      <c r="M138" s="8" t="str">
        <f t="shared" si="35"/>
        <v>1991-present</v>
      </c>
      <c r="N138" s="10" t="s">
        <v>242</v>
      </c>
      <c r="O138" s="10" t="s">
        <v>242</v>
      </c>
      <c r="P138" s="10" t="s">
        <v>242</v>
      </c>
      <c r="Q138" s="10" t="s">
        <v>242</v>
      </c>
      <c r="R138" s="10" t="s">
        <v>241</v>
      </c>
      <c r="S138" s="10" t="s">
        <v>242</v>
      </c>
      <c r="T138" s="10" t="s">
        <v>242</v>
      </c>
      <c r="U138" s="10" t="s">
        <v>242</v>
      </c>
      <c r="V138" s="10" t="s">
        <v>241</v>
      </c>
      <c r="W138" s="10" t="s">
        <v>242</v>
      </c>
      <c r="X138" s="15">
        <f>IF(ISERROR(VLOOKUP($A138,'13. Updated Demand'!A:Z,15,FALSE)),0,VLOOKUP($A138,'13. Updated Demand'!A:Z,15,FALSE))</f>
        <v>12.15</v>
      </c>
      <c r="Y138" s="16">
        <f>IF(ISERROR(VLOOKUP($A138,'13. Updated Demand'!A:Z,16,FALSE)),0,VLOOKUP($A138,'13. Updated Demand'!A:Z,16,FALSE))</f>
        <v>0.75</v>
      </c>
      <c r="Z138" s="16">
        <f>IF(ISERROR(VLOOKUP($A138,'13. Updated Demand'!A:Z,17,FALSE)),0,VLOOKUP($A138,'13. Updated Demand'!A:Z,17,FALSE))</f>
        <v>4.9000000000000004</v>
      </c>
      <c r="AA138" s="16">
        <f>IF(ISERROR(VLOOKUP($A138,'13. Updated Demand'!A:Z,18,FALSE)),0,VLOOKUP($A138,'13. Updated Demand'!A:Z,18,FALSE))</f>
        <v>0</v>
      </c>
      <c r="AB138" s="16">
        <f>IF(ISERROR(VLOOKUP($A138,'13. Updated Demand'!A:Z,19,FALSE)),0,VLOOKUP($A138,'13. Updated Demand'!A:Z,19,FALSE))</f>
        <v>0</v>
      </c>
      <c r="AC138" s="16">
        <f>IF(ISERROR(VLOOKUP($A138,'13. Updated Demand'!A:Z,20,FALSE)),0,VLOOKUP($A138,'13. Updated Demand'!A:Z,20,FALSE))</f>
        <v>0</v>
      </c>
      <c r="AD138" s="16">
        <f>IF(ISERROR(VLOOKUP($A138,'13. Updated Demand'!A:Z,21,FALSE)),0,VLOOKUP($A138,'13. Updated Demand'!A:Z,21,FALSE))</f>
        <v>0</v>
      </c>
      <c r="AE138" s="16">
        <f>IF(ISERROR(VLOOKUP($A138,'13. Updated Demand'!A:Z,22,FALSE)),0,VLOOKUP($A138,'13. Updated Demand'!A:Z,22,FALSE))</f>
        <v>0</v>
      </c>
      <c r="AF138" s="16">
        <f>IF(ISERROR(VLOOKUP($A138,'13. Updated Demand'!A:Z,23,FALSE)),0,VLOOKUP($A138,'13. Updated Demand'!A:Z,23,FALSE))</f>
        <v>0</v>
      </c>
      <c r="AG138" s="16">
        <f>IF(ISERROR(VLOOKUP($A138,'13. Updated Demand'!A:Z,24,FALSE)),0,VLOOKUP($A138,'13. Updated Demand'!A:Z,24,FALSE))</f>
        <v>0</v>
      </c>
      <c r="AH138" s="16">
        <f>IF(ISERROR(VLOOKUP($A138,'13. Updated Demand'!A:Z,25,FALSE)),0,VLOOKUP($A138,'13. Updated Demand'!A:Z,25,FALSE))</f>
        <v>0.1</v>
      </c>
      <c r="AI138" s="16">
        <f>IF(ISERROR(VLOOKUP($A138,'13. Updated Demand'!A:Z,26,FALSE)),0,VLOOKUP($A138,'13. Updated Demand'!A:Z,26,FALSE))</f>
        <v>4.3499999999999996</v>
      </c>
      <c r="AJ138" s="16">
        <f t="shared" si="24"/>
        <v>22.25</v>
      </c>
      <c r="AK138" s="19">
        <v>0</v>
      </c>
      <c r="AL138" s="16">
        <f t="shared" si="34"/>
        <v>0</v>
      </c>
      <c r="AM138" s="17">
        <v>0.66220238095238093</v>
      </c>
      <c r="AN138" s="19"/>
      <c r="AO138" s="19"/>
      <c r="AP138" s="19">
        <v>33.6</v>
      </c>
      <c r="AQ138" s="19" t="s">
        <v>307</v>
      </c>
      <c r="AR138" s="9" t="s">
        <v>378</v>
      </c>
      <c r="AS138" s="12">
        <v>0</v>
      </c>
      <c r="AT138" s="19">
        <v>38.392259750000001</v>
      </c>
      <c r="AU138" s="19">
        <v>-122.60693162</v>
      </c>
      <c r="AV138" s="19" t="s">
        <v>385</v>
      </c>
    </row>
    <row r="139" spans="1:48" x14ac:dyDescent="0.25">
      <c r="A139" s="18" t="s">
        <v>496</v>
      </c>
      <c r="B139" s="10">
        <v>20081219</v>
      </c>
      <c r="C139" s="9">
        <v>22</v>
      </c>
      <c r="D139" s="8" t="str">
        <f t="shared" si="25"/>
        <v>N</v>
      </c>
      <c r="E139" s="8" t="str">
        <f t="shared" si="26"/>
        <v>N</v>
      </c>
      <c r="F139" s="8" t="str">
        <f t="shared" si="27"/>
        <v>N</v>
      </c>
      <c r="G139" s="8" t="str">
        <f t="shared" si="28"/>
        <v>N</v>
      </c>
      <c r="H139" s="8" t="str">
        <f t="shared" si="29"/>
        <v>Lower</v>
      </c>
      <c r="I139" s="8" t="str">
        <f t="shared" si="30"/>
        <v>Outside</v>
      </c>
      <c r="J139" s="8" t="str">
        <f t="shared" si="31"/>
        <v>Outside</v>
      </c>
      <c r="K139" s="8" t="str">
        <f t="shared" si="32"/>
        <v>Post-1949</v>
      </c>
      <c r="L139" s="8">
        <f t="shared" si="33"/>
        <v>2008</v>
      </c>
      <c r="M139" s="8" t="str">
        <f t="shared" si="35"/>
        <v>1991-present</v>
      </c>
      <c r="N139" s="10" t="s">
        <v>242</v>
      </c>
      <c r="O139" s="10" t="s">
        <v>242</v>
      </c>
      <c r="P139" s="10" t="s">
        <v>242</v>
      </c>
      <c r="Q139" s="10" t="s">
        <v>242</v>
      </c>
      <c r="R139" s="10" t="s">
        <v>241</v>
      </c>
      <c r="S139" s="10" t="s">
        <v>242</v>
      </c>
      <c r="T139" s="10" t="s">
        <v>241</v>
      </c>
      <c r="U139" s="10" t="s">
        <v>241</v>
      </c>
      <c r="V139" s="10" t="s">
        <v>241</v>
      </c>
      <c r="W139" s="10" t="s">
        <v>242</v>
      </c>
      <c r="X139" s="15">
        <f>IF(ISERROR(VLOOKUP($A139,'13. Updated Demand'!A:Z,15,FALSE)),0,VLOOKUP($A139,'13. Updated Demand'!A:Z,15,FALSE))</f>
        <v>0</v>
      </c>
      <c r="Y139" s="16">
        <f>IF(ISERROR(VLOOKUP($A139,'13. Updated Demand'!A:Z,16,FALSE)),0,VLOOKUP($A139,'13. Updated Demand'!A:Z,16,FALSE))</f>
        <v>0</v>
      </c>
      <c r="Z139" s="16">
        <f>IF(ISERROR(VLOOKUP($A139,'13. Updated Demand'!A:Z,17,FALSE)),0,VLOOKUP($A139,'13. Updated Demand'!A:Z,17,FALSE))</f>
        <v>0</v>
      </c>
      <c r="AA139" s="16">
        <f>IF(ISERROR(VLOOKUP($A139,'13. Updated Demand'!A:Z,18,FALSE)),0,VLOOKUP($A139,'13. Updated Demand'!A:Z,18,FALSE))</f>
        <v>0</v>
      </c>
      <c r="AB139" s="16">
        <f>IF(ISERROR(VLOOKUP($A139,'13. Updated Demand'!A:Z,19,FALSE)),0,VLOOKUP($A139,'13. Updated Demand'!A:Z,19,FALSE))</f>
        <v>0</v>
      </c>
      <c r="AC139" s="16">
        <f>IF(ISERROR(VLOOKUP($A139,'13. Updated Demand'!A:Z,20,FALSE)),0,VLOOKUP($A139,'13. Updated Demand'!A:Z,20,FALSE))</f>
        <v>0</v>
      </c>
      <c r="AD139" s="16">
        <f>IF(ISERROR(VLOOKUP($A139,'13. Updated Demand'!A:Z,21,FALSE)),0,VLOOKUP($A139,'13. Updated Demand'!A:Z,21,FALSE))</f>
        <v>0</v>
      </c>
      <c r="AE139" s="16">
        <f>IF(ISERROR(VLOOKUP($A139,'13. Updated Demand'!A:Z,22,FALSE)),0,VLOOKUP($A139,'13. Updated Demand'!A:Z,22,FALSE))</f>
        <v>0</v>
      </c>
      <c r="AF139" s="16">
        <f>IF(ISERROR(VLOOKUP($A139,'13. Updated Demand'!A:Z,23,FALSE)),0,VLOOKUP($A139,'13. Updated Demand'!A:Z,23,FALSE))</f>
        <v>0</v>
      </c>
      <c r="AG139" s="16">
        <f>IF(ISERROR(VLOOKUP($A139,'13. Updated Demand'!A:Z,24,FALSE)),0,VLOOKUP($A139,'13. Updated Demand'!A:Z,24,FALSE))</f>
        <v>0</v>
      </c>
      <c r="AH139" s="16">
        <f>IF(ISERROR(VLOOKUP($A139,'13. Updated Demand'!A:Z,25,FALSE)),0,VLOOKUP($A139,'13. Updated Demand'!A:Z,25,FALSE))</f>
        <v>0</v>
      </c>
      <c r="AI139" s="16">
        <f>IF(ISERROR(VLOOKUP($A139,'13. Updated Demand'!A:Z,26,FALSE)),0,VLOOKUP($A139,'13. Updated Demand'!A:Z,26,FALSE))</f>
        <v>0</v>
      </c>
      <c r="AJ139" s="16">
        <f t="shared" si="24"/>
        <v>0</v>
      </c>
      <c r="AK139" s="19">
        <v>0</v>
      </c>
      <c r="AL139" s="16">
        <f t="shared" si="34"/>
        <v>0</v>
      </c>
      <c r="AM139" s="17">
        <v>0</v>
      </c>
      <c r="AN139" s="19"/>
      <c r="AO139" s="19"/>
      <c r="AP139" s="19">
        <v>35</v>
      </c>
      <c r="AQ139" s="19" t="s">
        <v>307</v>
      </c>
      <c r="AR139" s="9" t="s">
        <v>314</v>
      </c>
      <c r="AS139" s="12">
        <v>0</v>
      </c>
      <c r="AT139" s="19">
        <v>38.808700000000002</v>
      </c>
      <c r="AU139" s="19">
        <v>-123.2025</v>
      </c>
      <c r="AV139" s="19" t="s">
        <v>497</v>
      </c>
    </row>
    <row r="140" spans="1:48" x14ac:dyDescent="0.25">
      <c r="A140" s="18" t="s">
        <v>498</v>
      </c>
      <c r="B140" s="10">
        <v>20081219</v>
      </c>
      <c r="C140" s="9">
        <v>22</v>
      </c>
      <c r="D140" s="8" t="str">
        <f t="shared" si="25"/>
        <v>N</v>
      </c>
      <c r="E140" s="8" t="str">
        <f t="shared" si="26"/>
        <v>N</v>
      </c>
      <c r="F140" s="8" t="str">
        <f t="shared" si="27"/>
        <v>N</v>
      </c>
      <c r="G140" s="8" t="str">
        <f t="shared" si="28"/>
        <v>N</v>
      </c>
      <c r="H140" s="8" t="str">
        <f t="shared" si="29"/>
        <v>Lower</v>
      </c>
      <c r="I140" s="8" t="str">
        <f t="shared" si="30"/>
        <v>Outside</v>
      </c>
      <c r="J140" s="8" t="str">
        <f t="shared" si="31"/>
        <v>Outside</v>
      </c>
      <c r="K140" s="8" t="str">
        <f t="shared" si="32"/>
        <v>Post-1949</v>
      </c>
      <c r="L140" s="8">
        <f t="shared" si="33"/>
        <v>2008</v>
      </c>
      <c r="M140" s="8" t="str">
        <f t="shared" si="35"/>
        <v>1991-present</v>
      </c>
      <c r="N140" s="10" t="s">
        <v>242</v>
      </c>
      <c r="O140" s="10" t="s">
        <v>242</v>
      </c>
      <c r="P140" s="10" t="s">
        <v>242</v>
      </c>
      <c r="Q140" s="10" t="s">
        <v>242</v>
      </c>
      <c r="R140" s="10" t="s">
        <v>241</v>
      </c>
      <c r="S140" s="10" t="s">
        <v>242</v>
      </c>
      <c r="T140" s="10" t="s">
        <v>241</v>
      </c>
      <c r="U140" s="10" t="s">
        <v>241</v>
      </c>
      <c r="V140" s="10" t="s">
        <v>241</v>
      </c>
      <c r="W140" s="10" t="s">
        <v>242</v>
      </c>
      <c r="X140" s="15">
        <f>IF(ISERROR(VLOOKUP($A140,'13. Updated Demand'!A:Z,15,FALSE)),0,VLOOKUP($A140,'13. Updated Demand'!A:Z,15,FALSE))</f>
        <v>0</v>
      </c>
      <c r="Y140" s="16">
        <f>IF(ISERROR(VLOOKUP($A140,'13. Updated Demand'!A:Z,16,FALSE)),0,VLOOKUP($A140,'13. Updated Demand'!A:Z,16,FALSE))</f>
        <v>0</v>
      </c>
      <c r="Z140" s="16">
        <f>IF(ISERROR(VLOOKUP($A140,'13. Updated Demand'!A:Z,17,FALSE)),0,VLOOKUP($A140,'13. Updated Demand'!A:Z,17,FALSE))</f>
        <v>0</v>
      </c>
      <c r="AA140" s="16">
        <f>IF(ISERROR(VLOOKUP($A140,'13. Updated Demand'!A:Z,18,FALSE)),0,VLOOKUP($A140,'13. Updated Demand'!A:Z,18,FALSE))</f>
        <v>0</v>
      </c>
      <c r="AB140" s="16">
        <f>IF(ISERROR(VLOOKUP($A140,'13. Updated Demand'!A:Z,19,FALSE)),0,VLOOKUP($A140,'13. Updated Demand'!A:Z,19,FALSE))</f>
        <v>0</v>
      </c>
      <c r="AC140" s="16">
        <f>IF(ISERROR(VLOOKUP($A140,'13. Updated Demand'!A:Z,20,FALSE)),0,VLOOKUP($A140,'13. Updated Demand'!A:Z,20,FALSE))</f>
        <v>0</v>
      </c>
      <c r="AD140" s="16">
        <f>IF(ISERROR(VLOOKUP($A140,'13. Updated Demand'!A:Z,21,FALSE)),0,VLOOKUP($A140,'13. Updated Demand'!A:Z,21,FALSE))</f>
        <v>0</v>
      </c>
      <c r="AE140" s="16">
        <f>IF(ISERROR(VLOOKUP($A140,'13. Updated Demand'!A:Z,22,FALSE)),0,VLOOKUP($A140,'13. Updated Demand'!A:Z,22,FALSE))</f>
        <v>0</v>
      </c>
      <c r="AF140" s="16">
        <f>IF(ISERROR(VLOOKUP($A140,'13. Updated Demand'!A:Z,23,FALSE)),0,VLOOKUP($A140,'13. Updated Demand'!A:Z,23,FALSE))</f>
        <v>0</v>
      </c>
      <c r="AG140" s="16">
        <f>IF(ISERROR(VLOOKUP($A140,'13. Updated Demand'!A:Z,24,FALSE)),0,VLOOKUP($A140,'13. Updated Demand'!A:Z,24,FALSE))</f>
        <v>0</v>
      </c>
      <c r="AH140" s="16">
        <f>IF(ISERROR(VLOOKUP($A140,'13. Updated Demand'!A:Z,25,FALSE)),0,VLOOKUP($A140,'13. Updated Demand'!A:Z,25,FALSE))</f>
        <v>0</v>
      </c>
      <c r="AI140" s="16">
        <f>IF(ISERROR(VLOOKUP($A140,'13. Updated Demand'!A:Z,26,FALSE)),0,VLOOKUP($A140,'13. Updated Demand'!A:Z,26,FALSE))</f>
        <v>0</v>
      </c>
      <c r="AJ140" s="16">
        <f t="shared" si="24"/>
        <v>0</v>
      </c>
      <c r="AK140" s="19">
        <v>0</v>
      </c>
      <c r="AL140" s="16">
        <f t="shared" si="34"/>
        <v>0</v>
      </c>
      <c r="AM140" s="17">
        <v>0</v>
      </c>
      <c r="AN140" s="19"/>
      <c r="AO140" s="19"/>
      <c r="AP140" s="19">
        <v>35</v>
      </c>
      <c r="AQ140" s="19" t="s">
        <v>307</v>
      </c>
      <c r="AR140" s="9" t="s">
        <v>314</v>
      </c>
      <c r="AS140" s="12">
        <v>0</v>
      </c>
      <c r="AT140" s="19">
        <v>38.824065769999997</v>
      </c>
      <c r="AU140" s="19">
        <v>-123.13824184000001</v>
      </c>
      <c r="AV140" s="19" t="s">
        <v>499</v>
      </c>
    </row>
    <row r="141" spans="1:48" x14ac:dyDescent="0.25">
      <c r="A141" s="18" t="s">
        <v>500</v>
      </c>
      <c r="B141" s="10">
        <v>20081222</v>
      </c>
      <c r="C141" s="9">
        <v>23</v>
      </c>
      <c r="D141" s="8" t="str">
        <f t="shared" si="25"/>
        <v>N</v>
      </c>
      <c r="E141" s="8" t="str">
        <f t="shared" si="26"/>
        <v>N</v>
      </c>
      <c r="F141" s="8" t="str">
        <f t="shared" si="27"/>
        <v>N</v>
      </c>
      <c r="G141" s="8" t="str">
        <f t="shared" si="28"/>
        <v>N</v>
      </c>
      <c r="H141" s="8" t="str">
        <f t="shared" si="29"/>
        <v>Lower</v>
      </c>
      <c r="I141" s="8" t="str">
        <f t="shared" si="30"/>
        <v>Outside</v>
      </c>
      <c r="J141" s="8" t="str">
        <f t="shared" si="31"/>
        <v>Outside</v>
      </c>
      <c r="K141" s="8" t="str">
        <f t="shared" si="32"/>
        <v>Post-1949</v>
      </c>
      <c r="L141" s="8">
        <f t="shared" si="33"/>
        <v>2008</v>
      </c>
      <c r="M141" s="8" t="str">
        <f t="shared" si="35"/>
        <v>1991-present</v>
      </c>
      <c r="N141" s="10" t="s">
        <v>242</v>
      </c>
      <c r="O141" s="10" t="s">
        <v>242</v>
      </c>
      <c r="P141" s="10" t="s">
        <v>242</v>
      </c>
      <c r="Q141" s="10" t="s">
        <v>242</v>
      </c>
      <c r="R141" s="10" t="s">
        <v>241</v>
      </c>
      <c r="S141" s="10" t="s">
        <v>242</v>
      </c>
      <c r="T141" s="10" t="s">
        <v>241</v>
      </c>
      <c r="U141" s="10" t="s">
        <v>241</v>
      </c>
      <c r="V141" s="10" t="s">
        <v>241</v>
      </c>
      <c r="W141" s="10" t="s">
        <v>242</v>
      </c>
      <c r="X141" s="15">
        <f>IF(ISERROR(VLOOKUP($A141,'13. Updated Demand'!A:Z,15,FALSE)),0,VLOOKUP($A141,'13. Updated Demand'!A:Z,15,FALSE))</f>
        <v>0</v>
      </c>
      <c r="Y141" s="16">
        <f>IF(ISERROR(VLOOKUP($A141,'13. Updated Demand'!A:Z,16,FALSE)),0,VLOOKUP($A141,'13. Updated Demand'!A:Z,16,FALSE))</f>
        <v>0</v>
      </c>
      <c r="Z141" s="16">
        <f>IF(ISERROR(VLOOKUP($A141,'13. Updated Demand'!A:Z,17,FALSE)),0,VLOOKUP($A141,'13. Updated Demand'!A:Z,17,FALSE))</f>
        <v>0</v>
      </c>
      <c r="AA141" s="16">
        <f>IF(ISERROR(VLOOKUP($A141,'13. Updated Demand'!A:Z,18,FALSE)),0,VLOOKUP($A141,'13. Updated Demand'!A:Z,18,FALSE))</f>
        <v>0</v>
      </c>
      <c r="AB141" s="16">
        <f>IF(ISERROR(VLOOKUP($A141,'13. Updated Demand'!A:Z,19,FALSE)),0,VLOOKUP($A141,'13. Updated Demand'!A:Z,19,FALSE))</f>
        <v>0</v>
      </c>
      <c r="AC141" s="16">
        <f>IF(ISERROR(VLOOKUP($A141,'13. Updated Demand'!A:Z,20,FALSE)),0,VLOOKUP($A141,'13. Updated Demand'!A:Z,20,FALSE))</f>
        <v>0</v>
      </c>
      <c r="AD141" s="16">
        <f>IF(ISERROR(VLOOKUP($A141,'13. Updated Demand'!A:Z,21,FALSE)),0,VLOOKUP($A141,'13. Updated Demand'!A:Z,21,FALSE))</f>
        <v>0</v>
      </c>
      <c r="AE141" s="16">
        <f>IF(ISERROR(VLOOKUP($A141,'13. Updated Demand'!A:Z,22,FALSE)),0,VLOOKUP($A141,'13. Updated Demand'!A:Z,22,FALSE))</f>
        <v>0</v>
      </c>
      <c r="AF141" s="16">
        <f>IF(ISERROR(VLOOKUP($A141,'13. Updated Demand'!A:Z,23,FALSE)),0,VLOOKUP($A141,'13. Updated Demand'!A:Z,23,FALSE))</f>
        <v>0</v>
      </c>
      <c r="AG141" s="16">
        <f>IF(ISERROR(VLOOKUP($A141,'13. Updated Demand'!A:Z,24,FALSE)),0,VLOOKUP($A141,'13. Updated Demand'!A:Z,24,FALSE))</f>
        <v>0</v>
      </c>
      <c r="AH141" s="16">
        <f>IF(ISERROR(VLOOKUP($A141,'13. Updated Demand'!A:Z,25,FALSE)),0,VLOOKUP($A141,'13. Updated Demand'!A:Z,25,FALSE))</f>
        <v>0</v>
      </c>
      <c r="AI141" s="16">
        <f>IF(ISERROR(VLOOKUP($A141,'13. Updated Demand'!A:Z,26,FALSE)),0,VLOOKUP($A141,'13. Updated Demand'!A:Z,26,FALSE))</f>
        <v>0</v>
      </c>
      <c r="AJ141" s="16">
        <f t="shared" si="24"/>
        <v>0</v>
      </c>
      <c r="AK141" s="19">
        <v>0</v>
      </c>
      <c r="AL141" s="16">
        <f t="shared" si="34"/>
        <v>0</v>
      </c>
      <c r="AM141" s="17">
        <v>0</v>
      </c>
      <c r="AN141" s="19"/>
      <c r="AO141" s="19"/>
      <c r="AP141" s="19">
        <v>30</v>
      </c>
      <c r="AQ141" s="19" t="s">
        <v>307</v>
      </c>
      <c r="AR141" s="9" t="s">
        <v>391</v>
      </c>
      <c r="AS141" s="12">
        <v>0</v>
      </c>
      <c r="AT141" s="19">
        <v>38.529191760000003</v>
      </c>
      <c r="AU141" s="19">
        <v>-122.83707630000001</v>
      </c>
      <c r="AV141" s="19" t="s">
        <v>385</v>
      </c>
    </row>
    <row r="142" spans="1:48" x14ac:dyDescent="0.25">
      <c r="A142" s="18" t="s">
        <v>501</v>
      </c>
      <c r="B142" s="10">
        <v>20081112</v>
      </c>
      <c r="C142" s="9">
        <v>12</v>
      </c>
      <c r="D142" s="8" t="str">
        <f t="shared" si="25"/>
        <v>N</v>
      </c>
      <c r="E142" s="8" t="str">
        <f t="shared" si="26"/>
        <v>Y</v>
      </c>
      <c r="F142" s="8" t="str">
        <f t="shared" si="27"/>
        <v>Y</v>
      </c>
      <c r="G142" s="8" t="str">
        <f t="shared" si="28"/>
        <v>Y</v>
      </c>
      <c r="H142" s="8" t="str">
        <f t="shared" si="29"/>
        <v>Upper</v>
      </c>
      <c r="I142" s="8" t="str">
        <f t="shared" si="30"/>
        <v>West Fork and Below Lake</v>
      </c>
      <c r="J142" s="8" t="str">
        <f t="shared" si="31"/>
        <v>Sonoma (d/s of Clov. Gage)</v>
      </c>
      <c r="K142" s="8" t="str">
        <f t="shared" si="32"/>
        <v>Post-1949</v>
      </c>
      <c r="L142" s="8">
        <f t="shared" si="33"/>
        <v>2008</v>
      </c>
      <c r="M142" s="8" t="str">
        <f t="shared" si="35"/>
        <v>1991-present</v>
      </c>
      <c r="N142" s="10" t="s">
        <v>242</v>
      </c>
      <c r="O142" s="10" t="s">
        <v>241</v>
      </c>
      <c r="P142" s="10" t="s">
        <v>242</v>
      </c>
      <c r="Q142" s="10" t="s">
        <v>242</v>
      </c>
      <c r="R142" s="10" t="s">
        <v>241</v>
      </c>
      <c r="S142" s="10" t="s">
        <v>242</v>
      </c>
      <c r="T142" s="10" t="s">
        <v>241</v>
      </c>
      <c r="U142" s="10" t="s">
        <v>241</v>
      </c>
      <c r="V142" s="10" t="s">
        <v>241</v>
      </c>
      <c r="W142" s="10" t="s">
        <v>242</v>
      </c>
      <c r="X142" s="15">
        <f>IF(ISERROR(VLOOKUP($A142,'13. Updated Demand'!A:Z,15,FALSE)),0,VLOOKUP($A142,'13. Updated Demand'!A:Z,15,FALSE))</f>
        <v>0</v>
      </c>
      <c r="Y142" s="16">
        <f>IF(ISERROR(VLOOKUP($A142,'13. Updated Demand'!A:Z,16,FALSE)),0,VLOOKUP($A142,'13. Updated Demand'!A:Z,16,FALSE))</f>
        <v>0</v>
      </c>
      <c r="Z142" s="16">
        <f>IF(ISERROR(VLOOKUP($A142,'13. Updated Demand'!A:Z,17,FALSE)),0,VLOOKUP($A142,'13. Updated Demand'!A:Z,17,FALSE))</f>
        <v>0</v>
      </c>
      <c r="AA142" s="16">
        <f>IF(ISERROR(VLOOKUP($A142,'13. Updated Demand'!A:Z,18,FALSE)),0,VLOOKUP($A142,'13. Updated Demand'!A:Z,18,FALSE))</f>
        <v>0</v>
      </c>
      <c r="AB142" s="16">
        <f>IF(ISERROR(VLOOKUP($A142,'13. Updated Demand'!A:Z,19,FALSE)),0,VLOOKUP($A142,'13. Updated Demand'!A:Z,19,FALSE))</f>
        <v>0</v>
      </c>
      <c r="AC142" s="16">
        <f>IF(ISERROR(VLOOKUP($A142,'13. Updated Demand'!A:Z,20,FALSE)),0,VLOOKUP($A142,'13. Updated Demand'!A:Z,20,FALSE))</f>
        <v>0</v>
      </c>
      <c r="AD142" s="16">
        <f>IF(ISERROR(VLOOKUP($A142,'13. Updated Demand'!A:Z,21,FALSE)),0,VLOOKUP($A142,'13. Updated Demand'!A:Z,21,FALSE))</f>
        <v>0</v>
      </c>
      <c r="AE142" s="16">
        <f>IF(ISERROR(VLOOKUP($A142,'13. Updated Demand'!A:Z,22,FALSE)),0,VLOOKUP($A142,'13. Updated Demand'!A:Z,22,FALSE))</f>
        <v>0</v>
      </c>
      <c r="AF142" s="16">
        <f>IF(ISERROR(VLOOKUP($A142,'13. Updated Demand'!A:Z,23,FALSE)),0,VLOOKUP($A142,'13. Updated Demand'!A:Z,23,FALSE))</f>
        <v>0</v>
      </c>
      <c r="AG142" s="16">
        <f>IF(ISERROR(VLOOKUP($A142,'13. Updated Demand'!A:Z,24,FALSE)),0,VLOOKUP($A142,'13. Updated Demand'!A:Z,24,FALSE))</f>
        <v>0</v>
      </c>
      <c r="AH142" s="16">
        <f>IF(ISERROR(VLOOKUP($A142,'13. Updated Demand'!A:Z,25,FALSE)),0,VLOOKUP($A142,'13. Updated Demand'!A:Z,25,FALSE))</f>
        <v>0</v>
      </c>
      <c r="AI142" s="16">
        <f>IF(ISERROR(VLOOKUP($A142,'13. Updated Demand'!A:Z,26,FALSE)),0,VLOOKUP($A142,'13. Updated Demand'!A:Z,26,FALSE))</f>
        <v>0</v>
      </c>
      <c r="AJ142" s="16">
        <f t="shared" si="24"/>
        <v>0</v>
      </c>
      <c r="AK142" s="19">
        <v>0</v>
      </c>
      <c r="AL142" s="16">
        <f t="shared" si="34"/>
        <v>0</v>
      </c>
      <c r="AM142" s="17">
        <v>0</v>
      </c>
      <c r="AN142" s="19"/>
      <c r="AO142" s="19"/>
      <c r="AP142" s="19">
        <v>8</v>
      </c>
      <c r="AQ142" s="19" t="s">
        <v>307</v>
      </c>
      <c r="AR142" s="9" t="s">
        <v>311</v>
      </c>
      <c r="AS142" s="12">
        <v>3.4039024194010059E-4</v>
      </c>
      <c r="AT142" s="19">
        <v>38.563600000000001</v>
      </c>
      <c r="AU142" s="19">
        <v>-122.6341</v>
      </c>
      <c r="AV142" s="19" t="s">
        <v>385</v>
      </c>
    </row>
    <row r="143" spans="1:48" x14ac:dyDescent="0.25">
      <c r="A143" s="18" t="s">
        <v>502</v>
      </c>
      <c r="B143" s="10">
        <v>20081201</v>
      </c>
      <c r="C143" s="9">
        <v>15</v>
      </c>
      <c r="D143" s="8" t="str">
        <f t="shared" si="25"/>
        <v>N</v>
      </c>
      <c r="E143" s="8" t="str">
        <f t="shared" si="26"/>
        <v>N</v>
      </c>
      <c r="F143" s="8" t="str">
        <f t="shared" si="27"/>
        <v>N</v>
      </c>
      <c r="G143" s="8" t="str">
        <f t="shared" si="28"/>
        <v>N</v>
      </c>
      <c r="H143" s="8" t="str">
        <f t="shared" si="29"/>
        <v>Lower</v>
      </c>
      <c r="I143" s="8" t="str">
        <f t="shared" si="30"/>
        <v>Outside</v>
      </c>
      <c r="J143" s="8" t="str">
        <f t="shared" si="31"/>
        <v>Outside</v>
      </c>
      <c r="K143" s="8" t="str">
        <f t="shared" si="32"/>
        <v>Post-1949</v>
      </c>
      <c r="L143" s="8">
        <f t="shared" si="33"/>
        <v>2008</v>
      </c>
      <c r="M143" s="8" t="str">
        <f t="shared" si="35"/>
        <v>1991-present</v>
      </c>
      <c r="N143" s="10" t="s">
        <v>242</v>
      </c>
      <c r="O143" s="10" t="s">
        <v>242</v>
      </c>
      <c r="P143" s="10" t="s">
        <v>242</v>
      </c>
      <c r="Q143" s="10" t="s">
        <v>242</v>
      </c>
      <c r="R143" s="10" t="s">
        <v>241</v>
      </c>
      <c r="S143" s="10" t="s">
        <v>242</v>
      </c>
      <c r="T143" s="10" t="s">
        <v>241</v>
      </c>
      <c r="U143" s="10" t="s">
        <v>241</v>
      </c>
      <c r="V143" s="10" t="s">
        <v>241</v>
      </c>
      <c r="W143" s="10" t="s">
        <v>242</v>
      </c>
      <c r="X143" s="15">
        <f>IF(ISERROR(VLOOKUP($A143,'13. Updated Demand'!A:Z,15,FALSE)),0,VLOOKUP($A143,'13. Updated Demand'!A:Z,15,FALSE))</f>
        <v>0</v>
      </c>
      <c r="Y143" s="16">
        <f>IF(ISERROR(VLOOKUP($A143,'13. Updated Demand'!A:Z,16,FALSE)),0,VLOOKUP($A143,'13. Updated Demand'!A:Z,16,FALSE))</f>
        <v>0</v>
      </c>
      <c r="Z143" s="16">
        <f>IF(ISERROR(VLOOKUP($A143,'13. Updated Demand'!A:Z,17,FALSE)),0,VLOOKUP($A143,'13. Updated Demand'!A:Z,17,FALSE))</f>
        <v>0</v>
      </c>
      <c r="AA143" s="16">
        <f>IF(ISERROR(VLOOKUP($A143,'13. Updated Demand'!A:Z,18,FALSE)),0,VLOOKUP($A143,'13. Updated Demand'!A:Z,18,FALSE))</f>
        <v>0</v>
      </c>
      <c r="AB143" s="16">
        <f>IF(ISERROR(VLOOKUP($A143,'13. Updated Demand'!A:Z,19,FALSE)),0,VLOOKUP($A143,'13. Updated Demand'!A:Z,19,FALSE))</f>
        <v>0</v>
      </c>
      <c r="AC143" s="16">
        <f>IF(ISERROR(VLOOKUP($A143,'13. Updated Demand'!A:Z,20,FALSE)),0,VLOOKUP($A143,'13. Updated Demand'!A:Z,20,FALSE))</f>
        <v>0</v>
      </c>
      <c r="AD143" s="16">
        <f>IF(ISERROR(VLOOKUP($A143,'13. Updated Demand'!A:Z,21,FALSE)),0,VLOOKUP($A143,'13. Updated Demand'!A:Z,21,FALSE))</f>
        <v>0</v>
      </c>
      <c r="AE143" s="16">
        <f>IF(ISERROR(VLOOKUP($A143,'13. Updated Demand'!A:Z,22,FALSE)),0,VLOOKUP($A143,'13. Updated Demand'!A:Z,22,FALSE))</f>
        <v>0</v>
      </c>
      <c r="AF143" s="16">
        <f>IF(ISERROR(VLOOKUP($A143,'13. Updated Demand'!A:Z,23,FALSE)),0,VLOOKUP($A143,'13. Updated Demand'!A:Z,23,FALSE))</f>
        <v>0</v>
      </c>
      <c r="AG143" s="16">
        <f>IF(ISERROR(VLOOKUP($A143,'13. Updated Demand'!A:Z,24,FALSE)),0,VLOOKUP($A143,'13. Updated Demand'!A:Z,24,FALSE))</f>
        <v>0</v>
      </c>
      <c r="AH143" s="16">
        <f>IF(ISERROR(VLOOKUP($A143,'13. Updated Demand'!A:Z,25,FALSE)),0,VLOOKUP($A143,'13. Updated Demand'!A:Z,25,FALSE))</f>
        <v>0</v>
      </c>
      <c r="AI143" s="16">
        <f>IF(ISERROR(VLOOKUP($A143,'13. Updated Demand'!A:Z,26,FALSE)),0,VLOOKUP($A143,'13. Updated Demand'!A:Z,26,FALSE))</f>
        <v>0</v>
      </c>
      <c r="AJ143" s="16">
        <f t="shared" si="24"/>
        <v>0</v>
      </c>
      <c r="AK143" s="19">
        <v>0</v>
      </c>
      <c r="AL143" s="16">
        <f t="shared" si="34"/>
        <v>0</v>
      </c>
      <c r="AM143" s="17">
        <v>0</v>
      </c>
      <c r="AN143" s="19"/>
      <c r="AO143" s="19"/>
      <c r="AP143" s="19">
        <v>47.3</v>
      </c>
      <c r="AQ143" s="19" t="s">
        <v>307</v>
      </c>
      <c r="AR143" s="9" t="s">
        <v>489</v>
      </c>
      <c r="AS143" s="12">
        <v>0</v>
      </c>
      <c r="AT143" s="19">
        <v>38.659399999999998</v>
      </c>
      <c r="AU143" s="19">
        <v>-122.95099999999999</v>
      </c>
      <c r="AV143" s="19" t="s">
        <v>385</v>
      </c>
    </row>
    <row r="144" spans="1:48" x14ac:dyDescent="0.25">
      <c r="A144" s="18" t="s">
        <v>503</v>
      </c>
      <c r="B144" s="10">
        <v>20071029</v>
      </c>
      <c r="C144" s="9">
        <v>15</v>
      </c>
      <c r="D144" s="8" t="str">
        <f t="shared" si="25"/>
        <v>N</v>
      </c>
      <c r="E144" s="8" t="str">
        <f t="shared" si="26"/>
        <v>N</v>
      </c>
      <c r="F144" s="8" t="str">
        <f t="shared" si="27"/>
        <v>N</v>
      </c>
      <c r="G144" s="8" t="str">
        <f t="shared" si="28"/>
        <v>N</v>
      </c>
      <c r="H144" s="8" t="str">
        <f t="shared" si="29"/>
        <v>Lower</v>
      </c>
      <c r="I144" s="8" t="str">
        <f t="shared" si="30"/>
        <v>Outside</v>
      </c>
      <c r="J144" s="8" t="str">
        <f t="shared" si="31"/>
        <v>Outside</v>
      </c>
      <c r="K144" s="8" t="str">
        <f t="shared" si="32"/>
        <v>Post-1949</v>
      </c>
      <c r="L144" s="8">
        <f t="shared" si="33"/>
        <v>2007</v>
      </c>
      <c r="M144" s="8" t="str">
        <f t="shared" si="35"/>
        <v>1991-present</v>
      </c>
      <c r="N144" s="10" t="s">
        <v>242</v>
      </c>
      <c r="O144" s="10" t="s">
        <v>242</v>
      </c>
      <c r="P144" s="10" t="s">
        <v>242</v>
      </c>
      <c r="Q144" s="10" t="s">
        <v>242</v>
      </c>
      <c r="R144" s="10" t="s">
        <v>241</v>
      </c>
      <c r="S144" s="10" t="s">
        <v>242</v>
      </c>
      <c r="T144" s="10" t="s">
        <v>242</v>
      </c>
      <c r="U144" s="10" t="s">
        <v>242</v>
      </c>
      <c r="V144" s="10" t="s">
        <v>241</v>
      </c>
      <c r="W144" s="10" t="s">
        <v>242</v>
      </c>
      <c r="X144" s="15">
        <f>IF(ISERROR(VLOOKUP($A144,'13. Updated Demand'!A:Z,15,FALSE)),0,VLOOKUP($A144,'13. Updated Demand'!A:Z,15,FALSE))</f>
        <v>1.3333333329999999</v>
      </c>
      <c r="Y144" s="16">
        <f>IF(ISERROR(VLOOKUP($A144,'13. Updated Demand'!A:Z,16,FALSE)),0,VLOOKUP($A144,'13. Updated Demand'!A:Z,16,FALSE))</f>
        <v>2</v>
      </c>
      <c r="Z144" s="16">
        <f>IF(ISERROR(VLOOKUP($A144,'13. Updated Demand'!A:Z,17,FALSE)),0,VLOOKUP($A144,'13. Updated Demand'!A:Z,17,FALSE))</f>
        <v>0.33333333300000001</v>
      </c>
      <c r="AA144" s="16">
        <f>IF(ISERROR(VLOOKUP($A144,'13. Updated Demand'!A:Z,18,FALSE)),0,VLOOKUP($A144,'13. Updated Demand'!A:Z,18,FALSE))</f>
        <v>0</v>
      </c>
      <c r="AB144" s="16">
        <f>IF(ISERROR(VLOOKUP($A144,'13. Updated Demand'!A:Z,19,FALSE)),0,VLOOKUP($A144,'13. Updated Demand'!A:Z,19,FALSE))</f>
        <v>0</v>
      </c>
      <c r="AC144" s="16">
        <f>IF(ISERROR(VLOOKUP($A144,'13. Updated Demand'!A:Z,20,FALSE)),0,VLOOKUP($A144,'13. Updated Demand'!A:Z,20,FALSE))</f>
        <v>0</v>
      </c>
      <c r="AD144" s="16">
        <f>IF(ISERROR(VLOOKUP($A144,'13. Updated Demand'!A:Z,21,FALSE)),0,VLOOKUP($A144,'13. Updated Demand'!A:Z,21,FALSE))</f>
        <v>0</v>
      </c>
      <c r="AE144" s="16">
        <f>IF(ISERROR(VLOOKUP($A144,'13. Updated Demand'!A:Z,22,FALSE)),0,VLOOKUP($A144,'13. Updated Demand'!A:Z,22,FALSE))</f>
        <v>0</v>
      </c>
      <c r="AF144" s="16">
        <f>IF(ISERROR(VLOOKUP($A144,'13. Updated Demand'!A:Z,23,FALSE)),0,VLOOKUP($A144,'13. Updated Demand'!A:Z,23,FALSE))</f>
        <v>0</v>
      </c>
      <c r="AG144" s="16">
        <f>IF(ISERROR(VLOOKUP($A144,'13. Updated Demand'!A:Z,24,FALSE)),0,VLOOKUP($A144,'13. Updated Demand'!A:Z,24,FALSE))</f>
        <v>0</v>
      </c>
      <c r="AH144" s="16">
        <f>IF(ISERROR(VLOOKUP($A144,'13. Updated Demand'!A:Z,25,FALSE)),0,VLOOKUP($A144,'13. Updated Demand'!A:Z,25,FALSE))</f>
        <v>0</v>
      </c>
      <c r="AI144" s="16">
        <f>IF(ISERROR(VLOOKUP($A144,'13. Updated Demand'!A:Z,26,FALSE)),0,VLOOKUP($A144,'13. Updated Demand'!A:Z,26,FALSE))</f>
        <v>0.33333333300000001</v>
      </c>
      <c r="AJ144" s="16">
        <f t="shared" ref="AJ144:AJ207" si="36">SUM(X144:AI144)</f>
        <v>3.9999999989999999</v>
      </c>
      <c r="AK144" s="19">
        <v>0</v>
      </c>
      <c r="AL144" s="16">
        <f t="shared" si="34"/>
        <v>0</v>
      </c>
      <c r="AM144" s="17">
        <v>0.42105263147368421</v>
      </c>
      <c r="AN144" s="19"/>
      <c r="AO144" s="19"/>
      <c r="AP144" s="19">
        <v>9.5</v>
      </c>
      <c r="AQ144" s="19" t="s">
        <v>307</v>
      </c>
      <c r="AR144" s="9" t="s">
        <v>489</v>
      </c>
      <c r="AS144" s="12">
        <v>3.4039024194010059E-4</v>
      </c>
      <c r="AT144" s="19">
        <v>38.715060020000003</v>
      </c>
      <c r="AU144" s="19">
        <v>-122.94107424000001</v>
      </c>
      <c r="AV144" s="19" t="s">
        <v>385</v>
      </c>
    </row>
    <row r="145" spans="1:48" x14ac:dyDescent="0.25">
      <c r="A145" s="18" t="s">
        <v>504</v>
      </c>
      <c r="B145" s="10">
        <v>20070208</v>
      </c>
      <c r="C145" s="9">
        <v>18</v>
      </c>
      <c r="D145" s="8" t="str">
        <f t="shared" si="25"/>
        <v>N</v>
      </c>
      <c r="E145" s="8" t="str">
        <f t="shared" si="26"/>
        <v>N</v>
      </c>
      <c r="F145" s="8" t="str">
        <f t="shared" si="27"/>
        <v>N</v>
      </c>
      <c r="G145" s="8" t="str">
        <f t="shared" si="28"/>
        <v>N</v>
      </c>
      <c r="H145" s="8" t="str">
        <f t="shared" si="29"/>
        <v>Lower</v>
      </c>
      <c r="I145" s="8" t="str">
        <f t="shared" si="30"/>
        <v>Outside</v>
      </c>
      <c r="J145" s="8" t="str">
        <f t="shared" si="31"/>
        <v>Outside</v>
      </c>
      <c r="K145" s="8" t="str">
        <f t="shared" si="32"/>
        <v>Post-1949</v>
      </c>
      <c r="L145" s="8">
        <f t="shared" si="33"/>
        <v>2007</v>
      </c>
      <c r="M145" s="8" t="str">
        <f t="shared" si="35"/>
        <v>1991-present</v>
      </c>
      <c r="N145" s="10" t="s">
        <v>242</v>
      </c>
      <c r="O145" s="10" t="s">
        <v>242</v>
      </c>
      <c r="P145" s="10" t="s">
        <v>242</v>
      </c>
      <c r="Q145" s="10" t="s">
        <v>242</v>
      </c>
      <c r="R145" s="10" t="s">
        <v>241</v>
      </c>
      <c r="S145" s="10" t="s">
        <v>242</v>
      </c>
      <c r="T145" s="10" t="s">
        <v>242</v>
      </c>
      <c r="U145" s="10" t="s">
        <v>242</v>
      </c>
      <c r="V145" s="10" t="s">
        <v>241</v>
      </c>
      <c r="W145" s="10" t="s">
        <v>242</v>
      </c>
      <c r="X145" s="15">
        <f>IF(ISERROR(VLOOKUP($A145,'13. Updated Demand'!A:Z,15,FALSE)),0,VLOOKUP($A145,'13. Updated Demand'!A:Z,15,FALSE))</f>
        <v>0.21</v>
      </c>
      <c r="Y145" s="16">
        <f>IF(ISERROR(VLOOKUP($A145,'13. Updated Demand'!A:Z,16,FALSE)),0,VLOOKUP($A145,'13. Updated Demand'!A:Z,16,FALSE))</f>
        <v>0.21</v>
      </c>
      <c r="Z145" s="16">
        <f>IF(ISERROR(VLOOKUP($A145,'13. Updated Demand'!A:Z,17,FALSE)),0,VLOOKUP($A145,'13. Updated Demand'!A:Z,17,FALSE))</f>
        <v>0.21</v>
      </c>
      <c r="AA145" s="16">
        <f>IF(ISERROR(VLOOKUP($A145,'13. Updated Demand'!A:Z,18,FALSE)),0,VLOOKUP($A145,'13. Updated Demand'!A:Z,18,FALSE))</f>
        <v>0.21</v>
      </c>
      <c r="AB145" s="16">
        <f>IF(ISERROR(VLOOKUP($A145,'13. Updated Demand'!A:Z,19,FALSE)),0,VLOOKUP($A145,'13. Updated Demand'!A:Z,19,FALSE))</f>
        <v>0</v>
      </c>
      <c r="AC145" s="16">
        <f>IF(ISERROR(VLOOKUP($A145,'13. Updated Demand'!A:Z,20,FALSE)),0,VLOOKUP($A145,'13. Updated Demand'!A:Z,20,FALSE))</f>
        <v>0</v>
      </c>
      <c r="AD145" s="16">
        <f>IF(ISERROR(VLOOKUP($A145,'13. Updated Demand'!A:Z,21,FALSE)),0,VLOOKUP($A145,'13. Updated Demand'!A:Z,21,FALSE))</f>
        <v>0</v>
      </c>
      <c r="AE145" s="16">
        <f>IF(ISERROR(VLOOKUP($A145,'13. Updated Demand'!A:Z,22,FALSE)),0,VLOOKUP($A145,'13. Updated Demand'!A:Z,22,FALSE))</f>
        <v>0</v>
      </c>
      <c r="AF145" s="16">
        <f>IF(ISERROR(VLOOKUP($A145,'13. Updated Demand'!A:Z,23,FALSE)),0,VLOOKUP($A145,'13. Updated Demand'!A:Z,23,FALSE))</f>
        <v>0</v>
      </c>
      <c r="AG145" s="16">
        <f>IF(ISERROR(VLOOKUP($A145,'13. Updated Demand'!A:Z,24,FALSE)),0,VLOOKUP($A145,'13. Updated Demand'!A:Z,24,FALSE))</f>
        <v>0</v>
      </c>
      <c r="AH145" s="16">
        <f>IF(ISERROR(VLOOKUP($A145,'13. Updated Demand'!A:Z,25,FALSE)),0,VLOOKUP($A145,'13. Updated Demand'!A:Z,25,FALSE))</f>
        <v>0.21</v>
      </c>
      <c r="AI145" s="16">
        <f>IF(ISERROR(VLOOKUP($A145,'13. Updated Demand'!A:Z,26,FALSE)),0,VLOOKUP($A145,'13. Updated Demand'!A:Z,26,FALSE))</f>
        <v>0.21</v>
      </c>
      <c r="AJ145" s="16">
        <f t="shared" si="36"/>
        <v>1.26</v>
      </c>
      <c r="AK145" s="19">
        <v>0</v>
      </c>
      <c r="AL145" s="16">
        <f t="shared" si="34"/>
        <v>0</v>
      </c>
      <c r="AM145" s="17">
        <v>0.96923076923076923</v>
      </c>
      <c r="AN145" s="19"/>
      <c r="AO145" s="19"/>
      <c r="AP145" s="19">
        <v>1.3</v>
      </c>
      <c r="AQ145" s="19" t="s">
        <v>307</v>
      </c>
      <c r="AR145" s="9" t="s">
        <v>352</v>
      </c>
      <c r="AS145" s="12">
        <v>3.4039024194010059E-4</v>
      </c>
      <c r="AT145" s="19">
        <v>38.452260379999998</v>
      </c>
      <c r="AU145" s="19">
        <v>-122.87080459000001</v>
      </c>
      <c r="AV145" s="19" t="s">
        <v>417</v>
      </c>
    </row>
    <row r="146" spans="1:48" x14ac:dyDescent="0.25">
      <c r="A146" s="18" t="s">
        <v>505</v>
      </c>
      <c r="B146" s="10">
        <v>20070427</v>
      </c>
      <c r="C146" s="9">
        <v>9</v>
      </c>
      <c r="D146" s="8" t="str">
        <f t="shared" si="25"/>
        <v>N</v>
      </c>
      <c r="E146" s="8" t="str">
        <f t="shared" si="26"/>
        <v>Y</v>
      </c>
      <c r="F146" s="8" t="str">
        <f t="shared" si="27"/>
        <v>Y</v>
      </c>
      <c r="G146" s="8" t="str">
        <f t="shared" si="28"/>
        <v>Y</v>
      </c>
      <c r="H146" s="8" t="str">
        <f t="shared" si="29"/>
        <v>Upper</v>
      </c>
      <c r="I146" s="8" t="str">
        <f t="shared" si="30"/>
        <v>West Fork and Below Lake</v>
      </c>
      <c r="J146" s="8" t="str">
        <f t="shared" si="31"/>
        <v>Sonoma (d/s of Clov. Gage)</v>
      </c>
      <c r="K146" s="8" t="str">
        <f t="shared" si="32"/>
        <v>Post-1949</v>
      </c>
      <c r="L146" s="8">
        <f t="shared" si="33"/>
        <v>2007</v>
      </c>
      <c r="M146" s="8" t="str">
        <f t="shared" si="35"/>
        <v>1991-present</v>
      </c>
      <c r="N146" s="10" t="s">
        <v>242</v>
      </c>
      <c r="O146" s="10" t="s">
        <v>241</v>
      </c>
      <c r="P146" s="10" t="s">
        <v>242</v>
      </c>
      <c r="Q146" s="10" t="s">
        <v>242</v>
      </c>
      <c r="R146" s="10" t="s">
        <v>241</v>
      </c>
      <c r="S146" s="10" t="s">
        <v>242</v>
      </c>
      <c r="T146" s="10" t="s">
        <v>242</v>
      </c>
      <c r="U146" s="10" t="s">
        <v>242</v>
      </c>
      <c r="V146" s="10" t="s">
        <v>241</v>
      </c>
      <c r="W146" s="10" t="s">
        <v>242</v>
      </c>
      <c r="X146" s="15">
        <f>IF(ISERROR(VLOOKUP($A146,'13. Updated Demand'!A:Z,15,FALSE)),0,VLOOKUP($A146,'13. Updated Demand'!A:Z,15,FALSE))</f>
        <v>1.83</v>
      </c>
      <c r="Y146" s="16">
        <f>IF(ISERROR(VLOOKUP($A146,'13. Updated Demand'!A:Z,16,FALSE)),0,VLOOKUP($A146,'13. Updated Demand'!A:Z,16,FALSE))</f>
        <v>0.5</v>
      </c>
      <c r="Z146" s="16">
        <f>IF(ISERROR(VLOOKUP($A146,'13. Updated Demand'!A:Z,17,FALSE)),0,VLOOKUP($A146,'13. Updated Demand'!A:Z,17,FALSE))</f>
        <v>0</v>
      </c>
      <c r="AA146" s="16">
        <f>IF(ISERROR(VLOOKUP($A146,'13. Updated Demand'!A:Z,18,FALSE)),0,VLOOKUP($A146,'13. Updated Demand'!A:Z,18,FALSE))</f>
        <v>0</v>
      </c>
      <c r="AB146" s="16">
        <f>IF(ISERROR(VLOOKUP($A146,'13. Updated Demand'!A:Z,19,FALSE)),0,VLOOKUP($A146,'13. Updated Demand'!A:Z,19,FALSE))</f>
        <v>0</v>
      </c>
      <c r="AC146" s="16">
        <f>IF(ISERROR(VLOOKUP($A146,'13. Updated Demand'!A:Z,20,FALSE)),0,VLOOKUP($A146,'13. Updated Demand'!A:Z,20,FALSE))</f>
        <v>0</v>
      </c>
      <c r="AD146" s="16">
        <f>IF(ISERROR(VLOOKUP($A146,'13. Updated Demand'!A:Z,21,FALSE)),0,VLOOKUP($A146,'13. Updated Demand'!A:Z,21,FALSE))</f>
        <v>0</v>
      </c>
      <c r="AE146" s="16">
        <f>IF(ISERROR(VLOOKUP($A146,'13. Updated Demand'!A:Z,22,FALSE)),0,VLOOKUP($A146,'13. Updated Demand'!A:Z,22,FALSE))</f>
        <v>0</v>
      </c>
      <c r="AF146" s="16">
        <f>IF(ISERROR(VLOOKUP($A146,'13. Updated Demand'!A:Z,23,FALSE)),0,VLOOKUP($A146,'13. Updated Demand'!A:Z,23,FALSE))</f>
        <v>0</v>
      </c>
      <c r="AG146" s="16">
        <f>IF(ISERROR(VLOOKUP($A146,'13. Updated Demand'!A:Z,24,FALSE)),0,VLOOKUP($A146,'13. Updated Demand'!A:Z,24,FALSE))</f>
        <v>0</v>
      </c>
      <c r="AH146" s="16">
        <f>IF(ISERROR(VLOOKUP($A146,'13. Updated Demand'!A:Z,25,FALSE)),0,VLOOKUP($A146,'13. Updated Demand'!A:Z,25,FALSE))</f>
        <v>0.16</v>
      </c>
      <c r="AI146" s="16">
        <f>IF(ISERROR(VLOOKUP($A146,'13. Updated Demand'!A:Z,26,FALSE)),0,VLOOKUP($A146,'13. Updated Demand'!A:Z,26,FALSE))</f>
        <v>2</v>
      </c>
      <c r="AJ146" s="16">
        <f t="shared" si="36"/>
        <v>4.49</v>
      </c>
      <c r="AK146" s="19">
        <v>0</v>
      </c>
      <c r="AL146" s="16">
        <f t="shared" si="34"/>
        <v>0</v>
      </c>
      <c r="AM146" s="17">
        <v>0.52941176470588236</v>
      </c>
      <c r="AN146" s="19"/>
      <c r="AO146" s="19"/>
      <c r="AP146" s="19">
        <v>8.5</v>
      </c>
      <c r="AQ146" s="19" t="s">
        <v>307</v>
      </c>
      <c r="AR146" s="9" t="s">
        <v>354</v>
      </c>
      <c r="AS146" s="12">
        <v>3.4039024194010059E-4</v>
      </c>
      <c r="AT146" s="19">
        <v>38.778695239999998</v>
      </c>
      <c r="AU146" s="19">
        <v>-122.96857350000001</v>
      </c>
      <c r="AV146" s="19" t="s">
        <v>417</v>
      </c>
    </row>
    <row r="147" spans="1:48" x14ac:dyDescent="0.25">
      <c r="A147" s="18" t="s">
        <v>506</v>
      </c>
      <c r="B147" s="10">
        <v>20070817</v>
      </c>
      <c r="C147" s="9">
        <v>13</v>
      </c>
      <c r="D147" s="8" t="str">
        <f t="shared" si="25"/>
        <v>N</v>
      </c>
      <c r="E147" s="8" t="str">
        <f t="shared" si="26"/>
        <v>Y</v>
      </c>
      <c r="F147" s="8" t="str">
        <f t="shared" si="27"/>
        <v>Y</v>
      </c>
      <c r="G147" s="8" t="str">
        <f t="shared" si="28"/>
        <v>Y</v>
      </c>
      <c r="H147" s="8" t="str">
        <f t="shared" si="29"/>
        <v>Upper</v>
      </c>
      <c r="I147" s="8" t="str">
        <f t="shared" si="30"/>
        <v>West Fork and Below Lake</v>
      </c>
      <c r="J147" s="8" t="str">
        <f t="shared" si="31"/>
        <v>Sonoma (d/s of Clov. Gage)</v>
      </c>
      <c r="K147" s="8" t="str">
        <f t="shared" si="32"/>
        <v>Post-1949</v>
      </c>
      <c r="L147" s="8">
        <f t="shared" si="33"/>
        <v>2007</v>
      </c>
      <c r="M147" s="8" t="str">
        <f t="shared" si="35"/>
        <v>1991-present</v>
      </c>
      <c r="N147" s="10" t="s">
        <v>241</v>
      </c>
      <c r="O147" s="10" t="s">
        <v>241</v>
      </c>
      <c r="P147" s="10" t="s">
        <v>242</v>
      </c>
      <c r="Q147" s="10" t="s">
        <v>242</v>
      </c>
      <c r="R147" s="10" t="s">
        <v>241</v>
      </c>
      <c r="S147" s="10" t="s">
        <v>242</v>
      </c>
      <c r="T147" s="10" t="s">
        <v>242</v>
      </c>
      <c r="U147" s="10" t="s">
        <v>242</v>
      </c>
      <c r="V147" s="10" t="s">
        <v>242</v>
      </c>
      <c r="W147" s="10" t="s">
        <v>242</v>
      </c>
      <c r="X147" s="15">
        <f>IF(ISERROR(VLOOKUP($A147,'13. Updated Demand'!A:Z,15,FALSE)),0,VLOOKUP($A147,'13. Updated Demand'!A:Z,15,FALSE))</f>
        <v>0.02</v>
      </c>
      <c r="Y147" s="16">
        <f>IF(ISERROR(VLOOKUP($A147,'13. Updated Demand'!A:Z,16,FALSE)),0,VLOOKUP($A147,'13. Updated Demand'!A:Z,16,FALSE))</f>
        <v>0.02</v>
      </c>
      <c r="Z147" s="16">
        <f>IF(ISERROR(VLOOKUP($A147,'13. Updated Demand'!A:Z,17,FALSE)),0,VLOOKUP($A147,'13. Updated Demand'!A:Z,17,FALSE))</f>
        <v>0.02</v>
      </c>
      <c r="AA147" s="16">
        <f>IF(ISERROR(VLOOKUP($A147,'13. Updated Demand'!A:Z,18,FALSE)),0,VLOOKUP($A147,'13. Updated Demand'!A:Z,18,FALSE))</f>
        <v>0.3</v>
      </c>
      <c r="AB147" s="16">
        <f>IF(ISERROR(VLOOKUP($A147,'13. Updated Demand'!A:Z,19,FALSE)),0,VLOOKUP($A147,'13. Updated Demand'!A:Z,19,FALSE))</f>
        <v>0.3</v>
      </c>
      <c r="AC147" s="16">
        <f>IF(ISERROR(VLOOKUP($A147,'13. Updated Demand'!A:Z,20,FALSE)),0,VLOOKUP($A147,'13. Updated Demand'!A:Z,20,FALSE))</f>
        <v>0.3</v>
      </c>
      <c r="AD147" s="16">
        <f>IF(ISERROR(VLOOKUP($A147,'13. Updated Demand'!A:Z,21,FALSE)),0,VLOOKUP($A147,'13. Updated Demand'!A:Z,21,FALSE))</f>
        <v>0.3</v>
      </c>
      <c r="AE147" s="16">
        <f>IF(ISERROR(VLOOKUP($A147,'13. Updated Demand'!A:Z,22,FALSE)),0,VLOOKUP($A147,'13. Updated Demand'!A:Z,22,FALSE))</f>
        <v>0.3</v>
      </c>
      <c r="AF147" s="16">
        <f>IF(ISERROR(VLOOKUP($A147,'13. Updated Demand'!A:Z,23,FALSE)),0,VLOOKUP($A147,'13. Updated Demand'!A:Z,23,FALSE))</f>
        <v>0.3</v>
      </c>
      <c r="AG147" s="16">
        <f>IF(ISERROR(VLOOKUP($A147,'13. Updated Demand'!A:Z,24,FALSE)),0,VLOOKUP($A147,'13. Updated Demand'!A:Z,24,FALSE))</f>
        <v>0.3</v>
      </c>
      <c r="AH147" s="16">
        <f>IF(ISERROR(VLOOKUP($A147,'13. Updated Demand'!A:Z,25,FALSE)),0,VLOOKUP($A147,'13. Updated Demand'!A:Z,25,FALSE))</f>
        <v>0.02</v>
      </c>
      <c r="AI147" s="16">
        <f>IF(ISERROR(VLOOKUP($A147,'13. Updated Demand'!A:Z,26,FALSE)),0,VLOOKUP($A147,'13. Updated Demand'!A:Z,26,FALSE))</f>
        <v>0.02</v>
      </c>
      <c r="AJ147" s="16">
        <f t="shared" si="36"/>
        <v>2.2000000000000002</v>
      </c>
      <c r="AK147" s="19">
        <v>1.5345</v>
      </c>
      <c r="AL147" s="16">
        <f t="shared" si="34"/>
        <v>5.0897617040239589E-3</v>
      </c>
      <c r="AM147" s="17">
        <v>0.53169767441860472</v>
      </c>
      <c r="AN147" s="19"/>
      <c r="AO147" s="19"/>
      <c r="AP147" s="19">
        <v>4.3</v>
      </c>
      <c r="AQ147" s="19" t="s">
        <v>307</v>
      </c>
      <c r="AR147" s="9" t="s">
        <v>507</v>
      </c>
      <c r="AS147" s="12">
        <v>3.4039024194010059E-4</v>
      </c>
      <c r="AT147" s="19">
        <v>38.615542240000003</v>
      </c>
      <c r="AU147" s="19">
        <v>-122.829785</v>
      </c>
      <c r="AV147" s="19" t="s">
        <v>508</v>
      </c>
    </row>
    <row r="148" spans="1:48" x14ac:dyDescent="0.25">
      <c r="A148" s="18" t="s">
        <v>509</v>
      </c>
      <c r="B148" s="10">
        <v>20070823</v>
      </c>
      <c r="C148" s="9">
        <v>23</v>
      </c>
      <c r="D148" s="8" t="str">
        <f t="shared" si="25"/>
        <v>N</v>
      </c>
      <c r="E148" s="8" t="str">
        <f t="shared" si="26"/>
        <v>N</v>
      </c>
      <c r="F148" s="8" t="str">
        <f t="shared" si="27"/>
        <v>N</v>
      </c>
      <c r="G148" s="8" t="str">
        <f t="shared" si="28"/>
        <v>N</v>
      </c>
      <c r="H148" s="8" t="str">
        <f t="shared" si="29"/>
        <v>Lower</v>
      </c>
      <c r="I148" s="8" t="str">
        <f t="shared" si="30"/>
        <v>Outside</v>
      </c>
      <c r="J148" s="8" t="str">
        <f t="shared" si="31"/>
        <v>Outside</v>
      </c>
      <c r="K148" s="8" t="str">
        <f t="shared" si="32"/>
        <v>Post-1949</v>
      </c>
      <c r="L148" s="8">
        <f t="shared" si="33"/>
        <v>2007</v>
      </c>
      <c r="M148" s="8" t="str">
        <f t="shared" si="35"/>
        <v>1991-present</v>
      </c>
      <c r="N148" s="10" t="s">
        <v>242</v>
      </c>
      <c r="O148" s="10" t="s">
        <v>242</v>
      </c>
      <c r="P148" s="10" t="s">
        <v>242</v>
      </c>
      <c r="Q148" s="10" t="s">
        <v>242</v>
      </c>
      <c r="R148" s="10" t="s">
        <v>241</v>
      </c>
      <c r="S148" s="10" t="s">
        <v>242</v>
      </c>
      <c r="T148" s="10" t="s">
        <v>242</v>
      </c>
      <c r="U148" s="10" t="s">
        <v>241</v>
      </c>
      <c r="V148" s="10" t="s">
        <v>241</v>
      </c>
      <c r="W148" s="10" t="s">
        <v>242</v>
      </c>
      <c r="X148" s="15">
        <f>IF(ISERROR(VLOOKUP($A148,'13. Updated Demand'!A:Z,15,FALSE)),0,VLOOKUP($A148,'13. Updated Demand'!A:Z,15,FALSE))</f>
        <v>0</v>
      </c>
      <c r="Y148" s="16">
        <f>IF(ISERROR(VLOOKUP($A148,'13. Updated Demand'!A:Z,16,FALSE)),0,VLOOKUP($A148,'13. Updated Demand'!A:Z,16,FALSE))</f>
        <v>0</v>
      </c>
      <c r="Z148" s="16">
        <f>IF(ISERROR(VLOOKUP($A148,'13. Updated Demand'!A:Z,17,FALSE)),0,VLOOKUP($A148,'13. Updated Demand'!A:Z,17,FALSE))</f>
        <v>0</v>
      </c>
      <c r="AA148" s="16">
        <f>IF(ISERROR(VLOOKUP($A148,'13. Updated Demand'!A:Z,18,FALSE)),0,VLOOKUP($A148,'13. Updated Demand'!A:Z,18,FALSE))</f>
        <v>0</v>
      </c>
      <c r="AB148" s="16">
        <f>IF(ISERROR(VLOOKUP($A148,'13. Updated Demand'!A:Z,19,FALSE)),0,VLOOKUP($A148,'13. Updated Demand'!A:Z,19,FALSE))</f>
        <v>0</v>
      </c>
      <c r="AC148" s="16">
        <f>IF(ISERROR(VLOOKUP($A148,'13. Updated Demand'!A:Z,20,FALSE)),0,VLOOKUP($A148,'13. Updated Demand'!A:Z,20,FALSE))</f>
        <v>0</v>
      </c>
      <c r="AD148" s="16">
        <f>IF(ISERROR(VLOOKUP($A148,'13. Updated Demand'!A:Z,21,FALSE)),0,VLOOKUP($A148,'13. Updated Demand'!A:Z,21,FALSE))</f>
        <v>0</v>
      </c>
      <c r="AE148" s="16">
        <f>IF(ISERROR(VLOOKUP($A148,'13. Updated Demand'!A:Z,22,FALSE)),0,VLOOKUP($A148,'13. Updated Demand'!A:Z,22,FALSE))</f>
        <v>0</v>
      </c>
      <c r="AF148" s="16">
        <f>IF(ISERROR(VLOOKUP($A148,'13. Updated Demand'!A:Z,23,FALSE)),0,VLOOKUP($A148,'13. Updated Demand'!A:Z,23,FALSE))</f>
        <v>0</v>
      </c>
      <c r="AG148" s="16">
        <f>IF(ISERROR(VLOOKUP($A148,'13. Updated Demand'!A:Z,24,FALSE)),0,VLOOKUP($A148,'13. Updated Demand'!A:Z,24,FALSE))</f>
        <v>0</v>
      </c>
      <c r="AH148" s="16">
        <f>IF(ISERROR(VLOOKUP($A148,'13. Updated Demand'!A:Z,25,FALSE)),0,VLOOKUP($A148,'13. Updated Demand'!A:Z,25,FALSE))</f>
        <v>0</v>
      </c>
      <c r="AI148" s="16">
        <f>IF(ISERROR(VLOOKUP($A148,'13. Updated Demand'!A:Z,26,FALSE)),0,VLOOKUP($A148,'13. Updated Demand'!A:Z,26,FALSE))</f>
        <v>0</v>
      </c>
      <c r="AJ148" s="16">
        <f t="shared" si="36"/>
        <v>0</v>
      </c>
      <c r="AK148" s="19">
        <v>0</v>
      </c>
      <c r="AL148" s="16">
        <f t="shared" si="34"/>
        <v>0</v>
      </c>
      <c r="AM148" s="17">
        <v>0</v>
      </c>
      <c r="AN148" s="19"/>
      <c r="AO148" s="19"/>
      <c r="AP148" s="19">
        <v>7</v>
      </c>
      <c r="AQ148" s="19" t="s">
        <v>307</v>
      </c>
      <c r="AR148" s="9" t="s">
        <v>323</v>
      </c>
      <c r="AS148" s="12">
        <v>3.4039024194010059E-4</v>
      </c>
      <c r="AT148" s="19">
        <v>38.516417779999998</v>
      </c>
      <c r="AU148" s="19">
        <v>-122.63848843</v>
      </c>
      <c r="AV148" s="19" t="s">
        <v>385</v>
      </c>
    </row>
    <row r="149" spans="1:48" x14ac:dyDescent="0.25">
      <c r="A149" s="18" t="s">
        <v>510</v>
      </c>
      <c r="B149" s="10">
        <v>20070821</v>
      </c>
      <c r="C149" s="9">
        <v>5</v>
      </c>
      <c r="D149" s="8" t="str">
        <f t="shared" si="25"/>
        <v>Y</v>
      </c>
      <c r="E149" s="8" t="str">
        <f t="shared" si="26"/>
        <v>N</v>
      </c>
      <c r="F149" s="8" t="str">
        <f t="shared" si="27"/>
        <v>Y</v>
      </c>
      <c r="G149" s="8" t="str">
        <f t="shared" si="28"/>
        <v>Y</v>
      </c>
      <c r="H149" s="8" t="str">
        <f t="shared" si="29"/>
        <v>Upper</v>
      </c>
      <c r="I149" s="8" t="str">
        <f t="shared" si="30"/>
        <v>West Fork and Below Lake</v>
      </c>
      <c r="J149" s="8" t="str">
        <f t="shared" si="31"/>
        <v>Mendocino (d/s of lake)</v>
      </c>
      <c r="K149" s="8" t="str">
        <f t="shared" si="32"/>
        <v>Post-1949</v>
      </c>
      <c r="L149" s="8">
        <f t="shared" si="33"/>
        <v>2007</v>
      </c>
      <c r="M149" s="8" t="str">
        <f t="shared" si="35"/>
        <v>1991-present</v>
      </c>
      <c r="N149" s="10" t="s">
        <v>242</v>
      </c>
      <c r="O149" s="10" t="s">
        <v>241</v>
      </c>
      <c r="P149" s="10" t="s">
        <v>242</v>
      </c>
      <c r="Q149" s="10" t="s">
        <v>242</v>
      </c>
      <c r="R149" s="10" t="s">
        <v>241</v>
      </c>
      <c r="S149" s="10" t="s">
        <v>242</v>
      </c>
      <c r="T149" s="10" t="s">
        <v>242</v>
      </c>
      <c r="U149" s="10" t="s">
        <v>241</v>
      </c>
      <c r="V149" s="10" t="s">
        <v>241</v>
      </c>
      <c r="W149" s="10" t="s">
        <v>242</v>
      </c>
      <c r="X149" s="15">
        <f>IF(ISERROR(VLOOKUP($A149,'13. Updated Demand'!A:Z,15,FALSE)),0,VLOOKUP($A149,'13. Updated Demand'!A:Z,15,FALSE))</f>
        <v>0</v>
      </c>
      <c r="Y149" s="16">
        <f>IF(ISERROR(VLOOKUP($A149,'13. Updated Demand'!A:Z,16,FALSE)),0,VLOOKUP($A149,'13. Updated Demand'!A:Z,16,FALSE))</f>
        <v>0</v>
      </c>
      <c r="Z149" s="16">
        <f>IF(ISERROR(VLOOKUP($A149,'13. Updated Demand'!A:Z,17,FALSE)),0,VLOOKUP($A149,'13. Updated Demand'!A:Z,17,FALSE))</f>
        <v>0</v>
      </c>
      <c r="AA149" s="16">
        <f>IF(ISERROR(VLOOKUP($A149,'13. Updated Demand'!A:Z,18,FALSE)),0,VLOOKUP($A149,'13. Updated Demand'!A:Z,18,FALSE))</f>
        <v>0</v>
      </c>
      <c r="AB149" s="16">
        <f>IF(ISERROR(VLOOKUP($A149,'13. Updated Demand'!A:Z,19,FALSE)),0,VLOOKUP($A149,'13. Updated Demand'!A:Z,19,FALSE))</f>
        <v>0</v>
      </c>
      <c r="AC149" s="16">
        <f>IF(ISERROR(VLOOKUP($A149,'13. Updated Demand'!A:Z,20,FALSE)),0,VLOOKUP($A149,'13. Updated Demand'!A:Z,20,FALSE))</f>
        <v>0</v>
      </c>
      <c r="AD149" s="16">
        <f>IF(ISERROR(VLOOKUP($A149,'13. Updated Demand'!A:Z,21,FALSE)),0,VLOOKUP($A149,'13. Updated Demand'!A:Z,21,FALSE))</f>
        <v>0</v>
      </c>
      <c r="AE149" s="16">
        <f>IF(ISERROR(VLOOKUP($A149,'13. Updated Demand'!A:Z,22,FALSE)),0,VLOOKUP($A149,'13. Updated Demand'!A:Z,22,FALSE))</f>
        <v>0</v>
      </c>
      <c r="AF149" s="16">
        <f>IF(ISERROR(VLOOKUP($A149,'13. Updated Demand'!A:Z,23,FALSE)),0,VLOOKUP($A149,'13. Updated Demand'!A:Z,23,FALSE))</f>
        <v>0</v>
      </c>
      <c r="AG149" s="16">
        <f>IF(ISERROR(VLOOKUP($A149,'13. Updated Demand'!A:Z,24,FALSE)),0,VLOOKUP($A149,'13. Updated Demand'!A:Z,24,FALSE))</f>
        <v>0</v>
      </c>
      <c r="AH149" s="16">
        <f>IF(ISERROR(VLOOKUP($A149,'13. Updated Demand'!A:Z,25,FALSE)),0,VLOOKUP($A149,'13. Updated Demand'!A:Z,25,FALSE))</f>
        <v>0</v>
      </c>
      <c r="AI149" s="16">
        <f>IF(ISERROR(VLOOKUP($A149,'13. Updated Demand'!A:Z,26,FALSE)),0,VLOOKUP($A149,'13. Updated Demand'!A:Z,26,FALSE))</f>
        <v>0</v>
      </c>
      <c r="AJ149" s="16">
        <f t="shared" si="36"/>
        <v>0</v>
      </c>
      <c r="AK149" s="19">
        <v>0</v>
      </c>
      <c r="AL149" s="16">
        <f t="shared" si="34"/>
        <v>0</v>
      </c>
      <c r="AM149" s="17">
        <v>0</v>
      </c>
      <c r="AN149" s="19"/>
      <c r="AO149" s="19"/>
      <c r="AP149" s="19">
        <v>9</v>
      </c>
      <c r="AQ149" s="19" t="s">
        <v>307</v>
      </c>
      <c r="AR149" s="9" t="s">
        <v>333</v>
      </c>
      <c r="AS149" s="12">
        <v>0</v>
      </c>
      <c r="AT149" s="19">
        <v>39.097862059999997</v>
      </c>
      <c r="AU149" s="19">
        <v>-123.19719576999999</v>
      </c>
      <c r="AV149" s="19" t="s">
        <v>417</v>
      </c>
    </row>
    <row r="150" spans="1:48" x14ac:dyDescent="0.25">
      <c r="A150" s="18" t="s">
        <v>511</v>
      </c>
      <c r="B150" s="10">
        <v>20060508</v>
      </c>
      <c r="C150" s="9">
        <v>23</v>
      </c>
      <c r="D150" s="8" t="str">
        <f t="shared" si="25"/>
        <v>N</v>
      </c>
      <c r="E150" s="8" t="str">
        <f t="shared" si="26"/>
        <v>N</v>
      </c>
      <c r="F150" s="8" t="str">
        <f t="shared" si="27"/>
        <v>N</v>
      </c>
      <c r="G150" s="8" t="str">
        <f t="shared" si="28"/>
        <v>N</v>
      </c>
      <c r="H150" s="8" t="str">
        <f t="shared" si="29"/>
        <v>Lower</v>
      </c>
      <c r="I150" s="8" t="str">
        <f t="shared" si="30"/>
        <v>Outside</v>
      </c>
      <c r="J150" s="8" t="str">
        <f t="shared" si="31"/>
        <v>Outside</v>
      </c>
      <c r="K150" s="8" t="str">
        <f t="shared" si="32"/>
        <v>Post-1949</v>
      </c>
      <c r="L150" s="8">
        <f t="shared" si="33"/>
        <v>2006</v>
      </c>
      <c r="M150" s="8" t="str">
        <f t="shared" si="35"/>
        <v>1991-present</v>
      </c>
      <c r="N150" s="10" t="s">
        <v>242</v>
      </c>
      <c r="O150" s="10" t="s">
        <v>242</v>
      </c>
      <c r="P150" s="10" t="s">
        <v>242</v>
      </c>
      <c r="Q150" s="10" t="s">
        <v>242</v>
      </c>
      <c r="R150" s="10" t="s">
        <v>241</v>
      </c>
      <c r="S150" s="10" t="s">
        <v>242</v>
      </c>
      <c r="T150" s="10" t="s">
        <v>241</v>
      </c>
      <c r="U150" s="10" t="s">
        <v>241</v>
      </c>
      <c r="V150" s="10" t="s">
        <v>241</v>
      </c>
      <c r="W150" s="10" t="s">
        <v>242</v>
      </c>
      <c r="X150" s="15">
        <f>IF(ISERROR(VLOOKUP($A150,'13. Updated Demand'!A:Z,15,FALSE)),0,VLOOKUP($A150,'13. Updated Demand'!A:Z,15,FALSE))</f>
        <v>0</v>
      </c>
      <c r="Y150" s="16">
        <f>IF(ISERROR(VLOOKUP($A150,'13. Updated Demand'!A:Z,16,FALSE)),0,VLOOKUP($A150,'13. Updated Demand'!A:Z,16,FALSE))</f>
        <v>0</v>
      </c>
      <c r="Z150" s="16">
        <f>IF(ISERROR(VLOOKUP($A150,'13. Updated Demand'!A:Z,17,FALSE)),0,VLOOKUP($A150,'13. Updated Demand'!A:Z,17,FALSE))</f>
        <v>0</v>
      </c>
      <c r="AA150" s="16">
        <f>IF(ISERROR(VLOOKUP($A150,'13. Updated Demand'!A:Z,18,FALSE)),0,VLOOKUP($A150,'13. Updated Demand'!A:Z,18,FALSE))</f>
        <v>0</v>
      </c>
      <c r="AB150" s="16">
        <f>IF(ISERROR(VLOOKUP($A150,'13. Updated Demand'!A:Z,19,FALSE)),0,VLOOKUP($A150,'13. Updated Demand'!A:Z,19,FALSE))</f>
        <v>0</v>
      </c>
      <c r="AC150" s="16">
        <f>IF(ISERROR(VLOOKUP($A150,'13. Updated Demand'!A:Z,20,FALSE)),0,VLOOKUP($A150,'13. Updated Demand'!A:Z,20,FALSE))</f>
        <v>0</v>
      </c>
      <c r="AD150" s="16">
        <f>IF(ISERROR(VLOOKUP($A150,'13. Updated Demand'!A:Z,21,FALSE)),0,VLOOKUP($A150,'13. Updated Demand'!A:Z,21,FALSE))</f>
        <v>0</v>
      </c>
      <c r="AE150" s="16">
        <f>IF(ISERROR(VLOOKUP($A150,'13. Updated Demand'!A:Z,22,FALSE)),0,VLOOKUP($A150,'13. Updated Demand'!A:Z,22,FALSE))</f>
        <v>0</v>
      </c>
      <c r="AF150" s="16">
        <f>IF(ISERROR(VLOOKUP($A150,'13. Updated Demand'!A:Z,23,FALSE)),0,VLOOKUP($A150,'13. Updated Demand'!A:Z,23,FALSE))</f>
        <v>0</v>
      </c>
      <c r="AG150" s="16">
        <f>IF(ISERROR(VLOOKUP($A150,'13. Updated Demand'!A:Z,24,FALSE)),0,VLOOKUP($A150,'13. Updated Demand'!A:Z,24,FALSE))</f>
        <v>0</v>
      </c>
      <c r="AH150" s="16">
        <f>IF(ISERROR(VLOOKUP($A150,'13. Updated Demand'!A:Z,25,FALSE)),0,VLOOKUP($A150,'13. Updated Demand'!A:Z,25,FALSE))</f>
        <v>0</v>
      </c>
      <c r="AI150" s="16">
        <f>IF(ISERROR(VLOOKUP($A150,'13. Updated Demand'!A:Z,26,FALSE)),0,VLOOKUP($A150,'13. Updated Demand'!A:Z,26,FALSE))</f>
        <v>0</v>
      </c>
      <c r="AJ150" s="16">
        <f t="shared" si="36"/>
        <v>0</v>
      </c>
      <c r="AK150" s="19">
        <v>0</v>
      </c>
      <c r="AL150" s="16">
        <f t="shared" si="34"/>
        <v>0</v>
      </c>
      <c r="AM150" s="17">
        <v>0</v>
      </c>
      <c r="AN150" s="19"/>
      <c r="AO150" s="19"/>
      <c r="AP150" s="19">
        <v>35</v>
      </c>
      <c r="AQ150" s="19" t="s">
        <v>307</v>
      </c>
      <c r="AR150" s="9" t="s">
        <v>391</v>
      </c>
      <c r="AS150" s="12">
        <v>0</v>
      </c>
      <c r="AT150" s="19">
        <v>38.57829898</v>
      </c>
      <c r="AU150" s="19">
        <v>-122.77470948</v>
      </c>
      <c r="AV150" s="19" t="s">
        <v>417</v>
      </c>
    </row>
    <row r="151" spans="1:48" x14ac:dyDescent="0.25">
      <c r="A151" s="18" t="s">
        <v>512</v>
      </c>
      <c r="B151" s="10">
        <v>20060509</v>
      </c>
      <c r="C151" s="9">
        <v>10</v>
      </c>
      <c r="D151" s="8" t="str">
        <f t="shared" si="25"/>
        <v>N</v>
      </c>
      <c r="E151" s="8" t="str">
        <f t="shared" si="26"/>
        <v>Y</v>
      </c>
      <c r="F151" s="8" t="str">
        <f t="shared" si="27"/>
        <v>Y</v>
      </c>
      <c r="G151" s="8" t="str">
        <f t="shared" si="28"/>
        <v>Y</v>
      </c>
      <c r="H151" s="8" t="str">
        <f t="shared" si="29"/>
        <v>Upper</v>
      </c>
      <c r="I151" s="8" t="str">
        <f t="shared" si="30"/>
        <v>West Fork and Below Lake</v>
      </c>
      <c r="J151" s="8" t="str">
        <f t="shared" si="31"/>
        <v>Sonoma (d/s of Clov. Gage)</v>
      </c>
      <c r="K151" s="8" t="str">
        <f t="shared" si="32"/>
        <v>Post-1949</v>
      </c>
      <c r="L151" s="8">
        <f t="shared" si="33"/>
        <v>2006</v>
      </c>
      <c r="M151" s="8" t="str">
        <f t="shared" si="35"/>
        <v>1991-present</v>
      </c>
      <c r="N151" s="10" t="s">
        <v>242</v>
      </c>
      <c r="O151" s="10" t="s">
        <v>241</v>
      </c>
      <c r="P151" s="10" t="s">
        <v>242</v>
      </c>
      <c r="Q151" s="10" t="s">
        <v>242</v>
      </c>
      <c r="R151" s="10" t="s">
        <v>241</v>
      </c>
      <c r="S151" s="10" t="s">
        <v>242</v>
      </c>
      <c r="T151" s="10" t="s">
        <v>241</v>
      </c>
      <c r="U151" s="10" t="s">
        <v>241</v>
      </c>
      <c r="V151" s="10" t="s">
        <v>241</v>
      </c>
      <c r="W151" s="10" t="s">
        <v>242</v>
      </c>
      <c r="X151" s="15">
        <f>IF(ISERROR(VLOOKUP($A151,'13. Updated Demand'!A:Z,15,FALSE)),0,VLOOKUP($A151,'13. Updated Demand'!A:Z,15,FALSE))</f>
        <v>0</v>
      </c>
      <c r="Y151" s="16">
        <f>IF(ISERROR(VLOOKUP($A151,'13. Updated Demand'!A:Z,16,FALSE)),0,VLOOKUP($A151,'13. Updated Demand'!A:Z,16,FALSE))</f>
        <v>0</v>
      </c>
      <c r="Z151" s="16">
        <f>IF(ISERROR(VLOOKUP($A151,'13. Updated Demand'!A:Z,17,FALSE)),0,VLOOKUP($A151,'13. Updated Demand'!A:Z,17,FALSE))</f>
        <v>0</v>
      </c>
      <c r="AA151" s="16">
        <f>IF(ISERROR(VLOOKUP($A151,'13. Updated Demand'!A:Z,18,FALSE)),0,VLOOKUP($A151,'13. Updated Demand'!A:Z,18,FALSE))</f>
        <v>0</v>
      </c>
      <c r="AB151" s="16">
        <f>IF(ISERROR(VLOOKUP($A151,'13. Updated Demand'!A:Z,19,FALSE)),0,VLOOKUP($A151,'13. Updated Demand'!A:Z,19,FALSE))</f>
        <v>0</v>
      </c>
      <c r="AC151" s="16">
        <f>IF(ISERROR(VLOOKUP($A151,'13. Updated Demand'!A:Z,20,FALSE)),0,VLOOKUP($A151,'13. Updated Demand'!A:Z,20,FALSE))</f>
        <v>0</v>
      </c>
      <c r="AD151" s="16">
        <f>IF(ISERROR(VLOOKUP($A151,'13. Updated Demand'!A:Z,21,FALSE)),0,VLOOKUP($A151,'13. Updated Demand'!A:Z,21,FALSE))</f>
        <v>0</v>
      </c>
      <c r="AE151" s="16">
        <f>IF(ISERROR(VLOOKUP($A151,'13. Updated Demand'!A:Z,22,FALSE)),0,VLOOKUP($A151,'13. Updated Demand'!A:Z,22,FALSE))</f>
        <v>0</v>
      </c>
      <c r="AF151" s="16">
        <f>IF(ISERROR(VLOOKUP($A151,'13. Updated Demand'!A:Z,23,FALSE)),0,VLOOKUP($A151,'13. Updated Demand'!A:Z,23,FALSE))</f>
        <v>0</v>
      </c>
      <c r="AG151" s="16">
        <f>IF(ISERROR(VLOOKUP($A151,'13. Updated Demand'!A:Z,24,FALSE)),0,VLOOKUP($A151,'13. Updated Demand'!A:Z,24,FALSE))</f>
        <v>0</v>
      </c>
      <c r="AH151" s="16">
        <f>IF(ISERROR(VLOOKUP($A151,'13. Updated Demand'!A:Z,25,FALSE)),0,VLOOKUP($A151,'13. Updated Demand'!A:Z,25,FALSE))</f>
        <v>0</v>
      </c>
      <c r="AI151" s="16">
        <f>IF(ISERROR(VLOOKUP($A151,'13. Updated Demand'!A:Z,26,FALSE)),0,VLOOKUP($A151,'13. Updated Demand'!A:Z,26,FALSE))</f>
        <v>0</v>
      </c>
      <c r="AJ151" s="16">
        <f t="shared" si="36"/>
        <v>0</v>
      </c>
      <c r="AK151" s="19">
        <v>0</v>
      </c>
      <c r="AL151" s="16">
        <f t="shared" si="34"/>
        <v>0</v>
      </c>
      <c r="AM151" s="17">
        <v>0</v>
      </c>
      <c r="AN151" s="19"/>
      <c r="AO151" s="19"/>
      <c r="AP151" s="19">
        <v>14.85</v>
      </c>
      <c r="AQ151" s="19" t="s">
        <v>307</v>
      </c>
      <c r="AR151" s="9" t="s">
        <v>436</v>
      </c>
      <c r="AS151" s="12">
        <v>0</v>
      </c>
      <c r="AT151" s="19">
        <v>38.692131830000001</v>
      </c>
      <c r="AU151" s="19">
        <v>-122.83438737</v>
      </c>
      <c r="AV151" s="19" t="s">
        <v>513</v>
      </c>
    </row>
    <row r="152" spans="1:48" x14ac:dyDescent="0.25">
      <c r="A152" s="18" t="s">
        <v>514</v>
      </c>
      <c r="B152" s="10">
        <v>20060530</v>
      </c>
      <c r="C152" s="9">
        <v>23</v>
      </c>
      <c r="D152" s="8" t="str">
        <f t="shared" si="25"/>
        <v>N</v>
      </c>
      <c r="E152" s="8" t="str">
        <f t="shared" si="26"/>
        <v>N</v>
      </c>
      <c r="F152" s="8" t="str">
        <f t="shared" si="27"/>
        <v>N</v>
      </c>
      <c r="G152" s="8" t="str">
        <f t="shared" si="28"/>
        <v>N</v>
      </c>
      <c r="H152" s="8" t="str">
        <f t="shared" si="29"/>
        <v>Lower</v>
      </c>
      <c r="I152" s="8" t="str">
        <f t="shared" si="30"/>
        <v>Outside</v>
      </c>
      <c r="J152" s="8" t="str">
        <f t="shared" si="31"/>
        <v>Outside</v>
      </c>
      <c r="K152" s="8" t="str">
        <f t="shared" si="32"/>
        <v>Post-1949</v>
      </c>
      <c r="L152" s="8">
        <f t="shared" si="33"/>
        <v>2006</v>
      </c>
      <c r="M152" s="8" t="str">
        <f t="shared" si="35"/>
        <v>1991-present</v>
      </c>
      <c r="N152" s="10" t="s">
        <v>242</v>
      </c>
      <c r="O152" s="10" t="s">
        <v>242</v>
      </c>
      <c r="P152" s="10" t="s">
        <v>242</v>
      </c>
      <c r="Q152" s="10" t="s">
        <v>242</v>
      </c>
      <c r="R152" s="10" t="s">
        <v>241</v>
      </c>
      <c r="S152" s="10" t="s">
        <v>242</v>
      </c>
      <c r="T152" s="10" t="s">
        <v>242</v>
      </c>
      <c r="U152" s="10" t="s">
        <v>242</v>
      </c>
      <c r="V152" s="10" t="s">
        <v>242</v>
      </c>
      <c r="W152" s="10" t="s">
        <v>242</v>
      </c>
      <c r="X152" s="15">
        <f>IF(ISERROR(VLOOKUP($A152,'13. Updated Demand'!A:Z,15,FALSE)),0,VLOOKUP($A152,'13. Updated Demand'!A:Z,15,FALSE))</f>
        <v>0</v>
      </c>
      <c r="Y152" s="16">
        <f>IF(ISERROR(VLOOKUP($A152,'13. Updated Demand'!A:Z,16,FALSE)),0,VLOOKUP($A152,'13. Updated Demand'!A:Z,16,FALSE))</f>
        <v>0</v>
      </c>
      <c r="Z152" s="16">
        <f>IF(ISERROR(VLOOKUP($A152,'13. Updated Demand'!A:Z,17,FALSE)),0,VLOOKUP($A152,'13. Updated Demand'!A:Z,17,FALSE))</f>
        <v>0</v>
      </c>
      <c r="AA152" s="16">
        <f>IF(ISERROR(VLOOKUP($A152,'13. Updated Demand'!A:Z,18,FALSE)),0,VLOOKUP($A152,'13. Updated Demand'!A:Z,18,FALSE))</f>
        <v>0</v>
      </c>
      <c r="AB152" s="16">
        <f>IF(ISERROR(VLOOKUP($A152,'13. Updated Demand'!A:Z,19,FALSE)),0,VLOOKUP($A152,'13. Updated Demand'!A:Z,19,FALSE))</f>
        <v>0.1</v>
      </c>
      <c r="AC152" s="16">
        <f>IF(ISERROR(VLOOKUP($A152,'13. Updated Demand'!A:Z,20,FALSE)),0,VLOOKUP($A152,'13. Updated Demand'!A:Z,20,FALSE))</f>
        <v>0</v>
      </c>
      <c r="AD152" s="16">
        <f>IF(ISERROR(VLOOKUP($A152,'13. Updated Demand'!A:Z,21,FALSE)),0,VLOOKUP($A152,'13. Updated Demand'!A:Z,21,FALSE))</f>
        <v>0</v>
      </c>
      <c r="AE152" s="16">
        <f>IF(ISERROR(VLOOKUP($A152,'13. Updated Demand'!A:Z,22,FALSE)),0,VLOOKUP($A152,'13. Updated Demand'!A:Z,22,FALSE))</f>
        <v>0</v>
      </c>
      <c r="AF152" s="16">
        <f>IF(ISERROR(VLOOKUP($A152,'13. Updated Demand'!A:Z,23,FALSE)),0,VLOOKUP($A152,'13. Updated Demand'!A:Z,23,FALSE))</f>
        <v>0</v>
      </c>
      <c r="AG152" s="16">
        <f>IF(ISERROR(VLOOKUP($A152,'13. Updated Demand'!A:Z,24,FALSE)),0,VLOOKUP($A152,'13. Updated Demand'!A:Z,24,FALSE))</f>
        <v>2.75</v>
      </c>
      <c r="AH152" s="16">
        <f>IF(ISERROR(VLOOKUP($A152,'13. Updated Demand'!A:Z,25,FALSE)),0,VLOOKUP($A152,'13. Updated Demand'!A:Z,25,FALSE))</f>
        <v>0</v>
      </c>
      <c r="AI152" s="16">
        <f>IF(ISERROR(VLOOKUP($A152,'13. Updated Demand'!A:Z,26,FALSE)),0,VLOOKUP($A152,'13. Updated Demand'!A:Z,26,FALSE))</f>
        <v>3.15</v>
      </c>
      <c r="AJ152" s="16">
        <f t="shared" si="36"/>
        <v>6</v>
      </c>
      <c r="AK152" s="19">
        <v>0.1</v>
      </c>
      <c r="AL152" s="16">
        <f t="shared" si="34"/>
        <v>3.3168860892955089E-4</v>
      </c>
      <c r="AM152" s="17">
        <v>0.3</v>
      </c>
      <c r="AN152" s="19"/>
      <c r="AO152" s="19"/>
      <c r="AP152" s="19">
        <v>20</v>
      </c>
      <c r="AQ152" s="19" t="s">
        <v>307</v>
      </c>
      <c r="AR152" s="9" t="s">
        <v>378</v>
      </c>
      <c r="AS152" s="12">
        <v>0</v>
      </c>
      <c r="AT152" s="19">
        <v>38.502392839999999</v>
      </c>
      <c r="AU152" s="19">
        <v>-122.69488878</v>
      </c>
      <c r="AV152" s="19" t="s">
        <v>417</v>
      </c>
    </row>
    <row r="153" spans="1:48" x14ac:dyDescent="0.25">
      <c r="A153" s="18" t="s">
        <v>515</v>
      </c>
      <c r="B153" s="10">
        <v>20060615</v>
      </c>
      <c r="C153" s="9">
        <v>10</v>
      </c>
      <c r="D153" s="8" t="str">
        <f t="shared" si="25"/>
        <v>N</v>
      </c>
      <c r="E153" s="8" t="str">
        <f t="shared" si="26"/>
        <v>Y</v>
      </c>
      <c r="F153" s="8" t="str">
        <f t="shared" si="27"/>
        <v>Y</v>
      </c>
      <c r="G153" s="8" t="str">
        <f t="shared" si="28"/>
        <v>Y</v>
      </c>
      <c r="H153" s="8" t="str">
        <f t="shared" si="29"/>
        <v>Upper</v>
      </c>
      <c r="I153" s="8" t="str">
        <f t="shared" si="30"/>
        <v>West Fork and Below Lake</v>
      </c>
      <c r="J153" s="8" t="str">
        <f t="shared" si="31"/>
        <v>Sonoma (d/s of Clov. Gage)</v>
      </c>
      <c r="K153" s="8" t="str">
        <f t="shared" si="32"/>
        <v>Post-1949</v>
      </c>
      <c r="L153" s="8">
        <f t="shared" si="33"/>
        <v>2006</v>
      </c>
      <c r="M153" s="8" t="str">
        <f t="shared" si="35"/>
        <v>1991-present</v>
      </c>
      <c r="N153" s="10" t="s">
        <v>242</v>
      </c>
      <c r="O153" s="10" t="s">
        <v>241</v>
      </c>
      <c r="P153" s="10" t="s">
        <v>242</v>
      </c>
      <c r="Q153" s="10" t="s">
        <v>242</v>
      </c>
      <c r="R153" s="10" t="s">
        <v>241</v>
      </c>
      <c r="S153" s="10" t="s">
        <v>242</v>
      </c>
      <c r="T153" s="10" t="s">
        <v>241</v>
      </c>
      <c r="U153" s="10" t="s">
        <v>241</v>
      </c>
      <c r="V153" s="10" t="s">
        <v>241</v>
      </c>
      <c r="W153" s="10" t="s">
        <v>242</v>
      </c>
      <c r="X153" s="15">
        <f>IF(ISERROR(VLOOKUP($A153,'13. Updated Demand'!A:Z,15,FALSE)),0,VLOOKUP($A153,'13. Updated Demand'!A:Z,15,FALSE))</f>
        <v>0</v>
      </c>
      <c r="Y153" s="16">
        <f>IF(ISERROR(VLOOKUP($A153,'13. Updated Demand'!A:Z,16,FALSE)),0,VLOOKUP($A153,'13. Updated Demand'!A:Z,16,FALSE))</f>
        <v>0</v>
      </c>
      <c r="Z153" s="16">
        <f>IF(ISERROR(VLOOKUP($A153,'13. Updated Demand'!A:Z,17,FALSE)),0,VLOOKUP($A153,'13. Updated Demand'!A:Z,17,FALSE))</f>
        <v>0</v>
      </c>
      <c r="AA153" s="16">
        <f>IF(ISERROR(VLOOKUP($A153,'13. Updated Demand'!A:Z,18,FALSE)),0,VLOOKUP($A153,'13. Updated Demand'!A:Z,18,FALSE))</f>
        <v>0</v>
      </c>
      <c r="AB153" s="16">
        <f>IF(ISERROR(VLOOKUP($A153,'13. Updated Demand'!A:Z,19,FALSE)),0,VLOOKUP($A153,'13. Updated Demand'!A:Z,19,FALSE))</f>
        <v>0</v>
      </c>
      <c r="AC153" s="16">
        <f>IF(ISERROR(VLOOKUP($A153,'13. Updated Demand'!A:Z,20,FALSE)),0,VLOOKUP($A153,'13. Updated Demand'!A:Z,20,FALSE))</f>
        <v>0</v>
      </c>
      <c r="AD153" s="16">
        <f>IF(ISERROR(VLOOKUP($A153,'13. Updated Demand'!A:Z,21,FALSE)),0,VLOOKUP($A153,'13. Updated Demand'!A:Z,21,FALSE))</f>
        <v>0</v>
      </c>
      <c r="AE153" s="16">
        <f>IF(ISERROR(VLOOKUP($A153,'13. Updated Demand'!A:Z,22,FALSE)),0,VLOOKUP($A153,'13. Updated Demand'!A:Z,22,FALSE))</f>
        <v>0</v>
      </c>
      <c r="AF153" s="16">
        <f>IF(ISERROR(VLOOKUP($A153,'13. Updated Demand'!A:Z,23,FALSE)),0,VLOOKUP($A153,'13. Updated Demand'!A:Z,23,FALSE))</f>
        <v>0</v>
      </c>
      <c r="AG153" s="16">
        <f>IF(ISERROR(VLOOKUP($A153,'13. Updated Demand'!A:Z,24,FALSE)),0,VLOOKUP($A153,'13. Updated Demand'!A:Z,24,FALSE))</f>
        <v>0</v>
      </c>
      <c r="AH153" s="16">
        <f>IF(ISERROR(VLOOKUP($A153,'13. Updated Demand'!A:Z,25,FALSE)),0,VLOOKUP($A153,'13. Updated Demand'!A:Z,25,FALSE))</f>
        <v>0</v>
      </c>
      <c r="AI153" s="16">
        <f>IF(ISERROR(VLOOKUP($A153,'13. Updated Demand'!A:Z,26,FALSE)),0,VLOOKUP($A153,'13. Updated Demand'!A:Z,26,FALSE))</f>
        <v>0</v>
      </c>
      <c r="AJ153" s="16">
        <f t="shared" si="36"/>
        <v>0</v>
      </c>
      <c r="AK153" s="19">
        <v>0</v>
      </c>
      <c r="AL153" s="16">
        <f t="shared" si="34"/>
        <v>0</v>
      </c>
      <c r="AM153" s="17">
        <v>0</v>
      </c>
      <c r="AN153" s="19"/>
      <c r="AO153" s="19"/>
      <c r="AP153" s="19">
        <v>96.1</v>
      </c>
      <c r="AQ153" s="19" t="s">
        <v>307</v>
      </c>
      <c r="AR153" s="9" t="s">
        <v>436</v>
      </c>
      <c r="AS153" s="12">
        <v>0</v>
      </c>
      <c r="AT153" s="19">
        <v>38.696917079999999</v>
      </c>
      <c r="AU153" s="19">
        <v>-122.82538504</v>
      </c>
      <c r="AV153" s="19" t="s">
        <v>417</v>
      </c>
    </row>
    <row r="154" spans="1:48" x14ac:dyDescent="0.25">
      <c r="A154" s="18" t="s">
        <v>516</v>
      </c>
      <c r="B154" s="10">
        <v>20060601</v>
      </c>
      <c r="C154" s="9">
        <v>10</v>
      </c>
      <c r="D154" s="8" t="str">
        <f t="shared" si="25"/>
        <v>N</v>
      </c>
      <c r="E154" s="8" t="str">
        <f t="shared" si="26"/>
        <v>Y</v>
      </c>
      <c r="F154" s="8" t="str">
        <f t="shared" si="27"/>
        <v>Y</v>
      </c>
      <c r="G154" s="8" t="str">
        <f t="shared" si="28"/>
        <v>Y</v>
      </c>
      <c r="H154" s="8" t="str">
        <f t="shared" si="29"/>
        <v>Upper</v>
      </c>
      <c r="I154" s="8" t="str">
        <f t="shared" si="30"/>
        <v>West Fork and Below Lake</v>
      </c>
      <c r="J154" s="8" t="str">
        <f t="shared" si="31"/>
        <v>Sonoma (d/s of Clov. Gage)</v>
      </c>
      <c r="K154" s="8" t="str">
        <f t="shared" si="32"/>
        <v>Post-1949</v>
      </c>
      <c r="L154" s="8">
        <f t="shared" si="33"/>
        <v>2006</v>
      </c>
      <c r="M154" s="8" t="str">
        <f t="shared" si="35"/>
        <v>1991-present</v>
      </c>
      <c r="N154" s="10" t="s">
        <v>242</v>
      </c>
      <c r="O154" s="10" t="s">
        <v>241</v>
      </c>
      <c r="P154" s="10" t="s">
        <v>242</v>
      </c>
      <c r="Q154" s="10" t="s">
        <v>242</v>
      </c>
      <c r="R154" s="10" t="s">
        <v>241</v>
      </c>
      <c r="S154" s="10" t="s">
        <v>242</v>
      </c>
      <c r="T154" s="10" t="s">
        <v>241</v>
      </c>
      <c r="U154" s="10" t="s">
        <v>241</v>
      </c>
      <c r="V154" s="10" t="s">
        <v>241</v>
      </c>
      <c r="W154" s="10" t="s">
        <v>242</v>
      </c>
      <c r="X154" s="15">
        <f>IF(ISERROR(VLOOKUP($A154,'13. Updated Demand'!A:Z,15,FALSE)),0,VLOOKUP($A154,'13. Updated Demand'!A:Z,15,FALSE))</f>
        <v>0</v>
      </c>
      <c r="Y154" s="16">
        <f>IF(ISERROR(VLOOKUP($A154,'13. Updated Demand'!A:Z,16,FALSE)),0,VLOOKUP($A154,'13. Updated Demand'!A:Z,16,FALSE))</f>
        <v>0</v>
      </c>
      <c r="Z154" s="16">
        <f>IF(ISERROR(VLOOKUP($A154,'13. Updated Demand'!A:Z,17,FALSE)),0,VLOOKUP($A154,'13. Updated Demand'!A:Z,17,FALSE))</f>
        <v>0</v>
      </c>
      <c r="AA154" s="16">
        <f>IF(ISERROR(VLOOKUP($A154,'13. Updated Demand'!A:Z,18,FALSE)),0,VLOOKUP($A154,'13. Updated Demand'!A:Z,18,FALSE))</f>
        <v>0</v>
      </c>
      <c r="AB154" s="16">
        <f>IF(ISERROR(VLOOKUP($A154,'13. Updated Demand'!A:Z,19,FALSE)),0,VLOOKUP($A154,'13. Updated Demand'!A:Z,19,FALSE))</f>
        <v>0</v>
      </c>
      <c r="AC154" s="16">
        <f>IF(ISERROR(VLOOKUP($A154,'13. Updated Demand'!A:Z,20,FALSE)),0,VLOOKUP($A154,'13. Updated Demand'!A:Z,20,FALSE))</f>
        <v>0</v>
      </c>
      <c r="AD154" s="16">
        <f>IF(ISERROR(VLOOKUP($A154,'13. Updated Demand'!A:Z,21,FALSE)),0,VLOOKUP($A154,'13. Updated Demand'!A:Z,21,FALSE))</f>
        <v>0</v>
      </c>
      <c r="AE154" s="16">
        <f>IF(ISERROR(VLOOKUP($A154,'13. Updated Demand'!A:Z,22,FALSE)),0,VLOOKUP($A154,'13. Updated Demand'!A:Z,22,FALSE))</f>
        <v>0</v>
      </c>
      <c r="AF154" s="16">
        <f>IF(ISERROR(VLOOKUP($A154,'13. Updated Demand'!A:Z,23,FALSE)),0,VLOOKUP($A154,'13. Updated Demand'!A:Z,23,FALSE))</f>
        <v>0</v>
      </c>
      <c r="AG154" s="16">
        <f>IF(ISERROR(VLOOKUP($A154,'13. Updated Demand'!A:Z,24,FALSE)),0,VLOOKUP($A154,'13. Updated Demand'!A:Z,24,FALSE))</f>
        <v>0</v>
      </c>
      <c r="AH154" s="16">
        <f>IF(ISERROR(VLOOKUP($A154,'13. Updated Demand'!A:Z,25,FALSE)),0,VLOOKUP($A154,'13. Updated Demand'!A:Z,25,FALSE))</f>
        <v>0</v>
      </c>
      <c r="AI154" s="16">
        <f>IF(ISERROR(VLOOKUP($A154,'13. Updated Demand'!A:Z,26,FALSE)),0,VLOOKUP($A154,'13. Updated Demand'!A:Z,26,FALSE))</f>
        <v>0</v>
      </c>
      <c r="AJ154" s="16">
        <f t="shared" si="36"/>
        <v>0</v>
      </c>
      <c r="AK154" s="19">
        <v>0</v>
      </c>
      <c r="AL154" s="16">
        <f t="shared" si="34"/>
        <v>0</v>
      </c>
      <c r="AM154" s="17">
        <v>0</v>
      </c>
      <c r="AN154" s="19"/>
      <c r="AO154" s="19"/>
      <c r="AP154" s="19">
        <v>63</v>
      </c>
      <c r="AQ154" s="19" t="s">
        <v>307</v>
      </c>
      <c r="AR154" s="9" t="s">
        <v>436</v>
      </c>
      <c r="AS154" s="12">
        <v>0</v>
      </c>
      <c r="AT154" s="19">
        <v>38.707602510000001</v>
      </c>
      <c r="AU154" s="19">
        <v>-122.83986371</v>
      </c>
      <c r="AV154" s="19" t="s">
        <v>417</v>
      </c>
    </row>
    <row r="155" spans="1:48" x14ac:dyDescent="0.25">
      <c r="A155" s="18" t="s">
        <v>517</v>
      </c>
      <c r="B155" s="10">
        <v>20060616</v>
      </c>
      <c r="C155" s="9">
        <v>10</v>
      </c>
      <c r="D155" s="8" t="str">
        <f t="shared" si="25"/>
        <v>N</v>
      </c>
      <c r="E155" s="8" t="str">
        <f t="shared" si="26"/>
        <v>Y</v>
      </c>
      <c r="F155" s="8" t="str">
        <f t="shared" si="27"/>
        <v>Y</v>
      </c>
      <c r="G155" s="8" t="str">
        <f t="shared" si="28"/>
        <v>Y</v>
      </c>
      <c r="H155" s="8" t="str">
        <f t="shared" si="29"/>
        <v>Upper</v>
      </c>
      <c r="I155" s="8" t="str">
        <f t="shared" si="30"/>
        <v>West Fork and Below Lake</v>
      </c>
      <c r="J155" s="8" t="str">
        <f t="shared" si="31"/>
        <v>Sonoma (d/s of Clov. Gage)</v>
      </c>
      <c r="K155" s="8" t="str">
        <f t="shared" si="32"/>
        <v>Post-1949</v>
      </c>
      <c r="L155" s="8">
        <f t="shared" si="33"/>
        <v>2006</v>
      </c>
      <c r="M155" s="8" t="str">
        <f t="shared" si="35"/>
        <v>1991-present</v>
      </c>
      <c r="N155" s="10" t="s">
        <v>242</v>
      </c>
      <c r="O155" s="10" t="s">
        <v>241</v>
      </c>
      <c r="P155" s="10" t="s">
        <v>242</v>
      </c>
      <c r="Q155" s="10" t="s">
        <v>242</v>
      </c>
      <c r="R155" s="10" t="s">
        <v>241</v>
      </c>
      <c r="S155" s="10" t="s">
        <v>242</v>
      </c>
      <c r="T155" s="10" t="s">
        <v>241</v>
      </c>
      <c r="U155" s="10" t="s">
        <v>241</v>
      </c>
      <c r="V155" s="10" t="s">
        <v>241</v>
      </c>
      <c r="W155" s="10" t="s">
        <v>242</v>
      </c>
      <c r="X155" s="15">
        <f>IF(ISERROR(VLOOKUP($A155,'13. Updated Demand'!A:Z,15,FALSE)),0,VLOOKUP($A155,'13. Updated Demand'!A:Z,15,FALSE))</f>
        <v>0</v>
      </c>
      <c r="Y155" s="16">
        <f>IF(ISERROR(VLOOKUP($A155,'13. Updated Demand'!A:Z,16,FALSE)),0,VLOOKUP($A155,'13. Updated Demand'!A:Z,16,FALSE))</f>
        <v>0</v>
      </c>
      <c r="Z155" s="16">
        <f>IF(ISERROR(VLOOKUP($A155,'13. Updated Demand'!A:Z,17,FALSE)),0,VLOOKUP($A155,'13. Updated Demand'!A:Z,17,FALSE))</f>
        <v>0</v>
      </c>
      <c r="AA155" s="16">
        <f>IF(ISERROR(VLOOKUP($A155,'13. Updated Demand'!A:Z,18,FALSE)),0,VLOOKUP($A155,'13. Updated Demand'!A:Z,18,FALSE))</f>
        <v>0</v>
      </c>
      <c r="AB155" s="16">
        <f>IF(ISERROR(VLOOKUP($A155,'13. Updated Demand'!A:Z,19,FALSE)),0,VLOOKUP($A155,'13. Updated Demand'!A:Z,19,FALSE))</f>
        <v>0</v>
      </c>
      <c r="AC155" s="16">
        <f>IF(ISERROR(VLOOKUP($A155,'13. Updated Demand'!A:Z,20,FALSE)),0,VLOOKUP($A155,'13. Updated Demand'!A:Z,20,FALSE))</f>
        <v>0</v>
      </c>
      <c r="AD155" s="16">
        <f>IF(ISERROR(VLOOKUP($A155,'13. Updated Demand'!A:Z,21,FALSE)),0,VLOOKUP($A155,'13. Updated Demand'!A:Z,21,FALSE))</f>
        <v>0</v>
      </c>
      <c r="AE155" s="16">
        <f>IF(ISERROR(VLOOKUP($A155,'13. Updated Demand'!A:Z,22,FALSE)),0,VLOOKUP($A155,'13. Updated Demand'!A:Z,22,FALSE))</f>
        <v>0</v>
      </c>
      <c r="AF155" s="16">
        <f>IF(ISERROR(VLOOKUP($A155,'13. Updated Demand'!A:Z,23,FALSE)),0,VLOOKUP($A155,'13. Updated Demand'!A:Z,23,FALSE))</f>
        <v>0</v>
      </c>
      <c r="AG155" s="16">
        <f>IF(ISERROR(VLOOKUP($A155,'13. Updated Demand'!A:Z,24,FALSE)),0,VLOOKUP($A155,'13. Updated Demand'!A:Z,24,FALSE))</f>
        <v>0</v>
      </c>
      <c r="AH155" s="16">
        <f>IF(ISERROR(VLOOKUP($A155,'13. Updated Demand'!A:Z,25,FALSE)),0,VLOOKUP($A155,'13. Updated Demand'!A:Z,25,FALSE))</f>
        <v>0</v>
      </c>
      <c r="AI155" s="16">
        <f>IF(ISERROR(VLOOKUP($A155,'13. Updated Demand'!A:Z,26,FALSE)),0,VLOOKUP($A155,'13. Updated Demand'!A:Z,26,FALSE))</f>
        <v>0</v>
      </c>
      <c r="AJ155" s="16">
        <f t="shared" si="36"/>
        <v>0</v>
      </c>
      <c r="AK155" s="19">
        <v>0</v>
      </c>
      <c r="AL155" s="16">
        <f t="shared" si="34"/>
        <v>0</v>
      </c>
      <c r="AM155" s="17">
        <v>0</v>
      </c>
      <c r="AN155" s="19"/>
      <c r="AO155" s="19"/>
      <c r="AP155" s="19">
        <v>32.4</v>
      </c>
      <c r="AQ155" s="19" t="s">
        <v>307</v>
      </c>
      <c r="AR155" s="9" t="s">
        <v>436</v>
      </c>
      <c r="AS155" s="12">
        <v>0</v>
      </c>
      <c r="AT155" s="19">
        <v>38.685773830000002</v>
      </c>
      <c r="AU155" s="19">
        <v>-122.80896456000001</v>
      </c>
      <c r="AV155" s="19" t="s">
        <v>417</v>
      </c>
    </row>
    <row r="156" spans="1:48" x14ac:dyDescent="0.25">
      <c r="A156" s="18" t="s">
        <v>518</v>
      </c>
      <c r="B156" s="10">
        <v>20060731</v>
      </c>
      <c r="C156" s="9">
        <v>9</v>
      </c>
      <c r="D156" s="8" t="str">
        <f t="shared" si="25"/>
        <v>N</v>
      </c>
      <c r="E156" s="8" t="str">
        <f t="shared" si="26"/>
        <v>Y</v>
      </c>
      <c r="F156" s="8" t="str">
        <f t="shared" si="27"/>
        <v>Y</v>
      </c>
      <c r="G156" s="8" t="str">
        <f t="shared" si="28"/>
        <v>Y</v>
      </c>
      <c r="H156" s="8" t="str">
        <f t="shared" si="29"/>
        <v>Upper</v>
      </c>
      <c r="I156" s="8" t="str">
        <f t="shared" si="30"/>
        <v>West Fork and Below Lake</v>
      </c>
      <c r="J156" s="8" t="str">
        <f t="shared" si="31"/>
        <v>Sonoma (d/s of Clov. Gage)</v>
      </c>
      <c r="K156" s="8" t="str">
        <f t="shared" si="32"/>
        <v>Post-1949</v>
      </c>
      <c r="L156" s="8">
        <f t="shared" si="33"/>
        <v>2006</v>
      </c>
      <c r="M156" s="8" t="str">
        <f t="shared" si="35"/>
        <v>1991-present</v>
      </c>
      <c r="N156" s="10" t="s">
        <v>242</v>
      </c>
      <c r="O156" s="10" t="s">
        <v>241</v>
      </c>
      <c r="P156" s="10" t="s">
        <v>242</v>
      </c>
      <c r="Q156" s="10" t="s">
        <v>242</v>
      </c>
      <c r="R156" s="10" t="s">
        <v>241</v>
      </c>
      <c r="S156" s="10" t="s">
        <v>242</v>
      </c>
      <c r="T156" s="10" t="s">
        <v>241</v>
      </c>
      <c r="U156" s="10" t="s">
        <v>241</v>
      </c>
      <c r="V156" s="10" t="s">
        <v>241</v>
      </c>
      <c r="W156" s="10" t="s">
        <v>242</v>
      </c>
      <c r="X156" s="15">
        <f>IF(ISERROR(VLOOKUP($A156,'13. Updated Demand'!A:Z,15,FALSE)),0,VLOOKUP($A156,'13. Updated Demand'!A:Z,15,FALSE))</f>
        <v>0</v>
      </c>
      <c r="Y156" s="16">
        <f>IF(ISERROR(VLOOKUP($A156,'13. Updated Demand'!A:Z,16,FALSE)),0,VLOOKUP($A156,'13. Updated Demand'!A:Z,16,FALSE))</f>
        <v>0</v>
      </c>
      <c r="Z156" s="16">
        <f>IF(ISERROR(VLOOKUP($A156,'13. Updated Demand'!A:Z,17,FALSE)),0,VLOOKUP($A156,'13. Updated Demand'!A:Z,17,FALSE))</f>
        <v>0</v>
      </c>
      <c r="AA156" s="16">
        <f>IF(ISERROR(VLOOKUP($A156,'13. Updated Demand'!A:Z,18,FALSE)),0,VLOOKUP($A156,'13. Updated Demand'!A:Z,18,FALSE))</f>
        <v>0</v>
      </c>
      <c r="AB156" s="16">
        <f>IF(ISERROR(VLOOKUP($A156,'13. Updated Demand'!A:Z,19,FALSE)),0,VLOOKUP($A156,'13. Updated Demand'!A:Z,19,FALSE))</f>
        <v>0</v>
      </c>
      <c r="AC156" s="16">
        <f>IF(ISERROR(VLOOKUP($A156,'13. Updated Demand'!A:Z,20,FALSE)),0,VLOOKUP($A156,'13. Updated Demand'!A:Z,20,FALSE))</f>
        <v>0</v>
      </c>
      <c r="AD156" s="16">
        <f>IF(ISERROR(VLOOKUP($A156,'13. Updated Demand'!A:Z,21,FALSE)),0,VLOOKUP($A156,'13. Updated Demand'!A:Z,21,FALSE))</f>
        <v>0</v>
      </c>
      <c r="AE156" s="16">
        <f>IF(ISERROR(VLOOKUP($A156,'13. Updated Demand'!A:Z,22,FALSE)),0,VLOOKUP($A156,'13. Updated Demand'!A:Z,22,FALSE))</f>
        <v>0</v>
      </c>
      <c r="AF156" s="16">
        <f>IF(ISERROR(VLOOKUP($A156,'13. Updated Demand'!A:Z,23,FALSE)),0,VLOOKUP($A156,'13. Updated Demand'!A:Z,23,FALSE))</f>
        <v>0</v>
      </c>
      <c r="AG156" s="16">
        <f>IF(ISERROR(VLOOKUP($A156,'13. Updated Demand'!A:Z,24,FALSE)),0,VLOOKUP($A156,'13. Updated Demand'!A:Z,24,FALSE))</f>
        <v>0</v>
      </c>
      <c r="AH156" s="16">
        <f>IF(ISERROR(VLOOKUP($A156,'13. Updated Demand'!A:Z,25,FALSE)),0,VLOOKUP($A156,'13. Updated Demand'!A:Z,25,FALSE))</f>
        <v>0</v>
      </c>
      <c r="AI156" s="16">
        <f>IF(ISERROR(VLOOKUP($A156,'13. Updated Demand'!A:Z,26,FALSE)),0,VLOOKUP($A156,'13. Updated Demand'!A:Z,26,FALSE))</f>
        <v>0</v>
      </c>
      <c r="AJ156" s="16">
        <f t="shared" si="36"/>
        <v>0</v>
      </c>
      <c r="AK156" s="19">
        <v>0</v>
      </c>
      <c r="AL156" s="16">
        <f t="shared" si="34"/>
        <v>0</v>
      </c>
      <c r="AM156" s="17">
        <v>0</v>
      </c>
      <c r="AN156" s="19"/>
      <c r="AO156" s="19"/>
      <c r="AP156" s="19">
        <v>13</v>
      </c>
      <c r="AQ156" s="19" t="s">
        <v>307</v>
      </c>
      <c r="AR156" s="9" t="s">
        <v>354</v>
      </c>
      <c r="AS156" s="12">
        <v>3.4039024194010059E-4</v>
      </c>
      <c r="AT156" s="19">
        <v>38.759304999999998</v>
      </c>
      <c r="AU156" s="19">
        <v>-122.99954855999999</v>
      </c>
      <c r="AV156" s="19" t="s">
        <v>417</v>
      </c>
    </row>
    <row r="157" spans="1:48" x14ac:dyDescent="0.25">
      <c r="A157" s="18" t="s">
        <v>519</v>
      </c>
      <c r="B157" s="10">
        <v>20060126</v>
      </c>
      <c r="C157" s="9">
        <v>1</v>
      </c>
      <c r="D157" s="8" t="str">
        <f t="shared" si="25"/>
        <v>N</v>
      </c>
      <c r="E157" s="8" t="str">
        <f t="shared" si="26"/>
        <v>N</v>
      </c>
      <c r="F157" s="8" t="str">
        <f t="shared" si="27"/>
        <v>Y</v>
      </c>
      <c r="G157" s="8" t="str">
        <f t="shared" si="28"/>
        <v>Y</v>
      </c>
      <c r="H157" s="8" t="str">
        <f t="shared" si="29"/>
        <v>Upper</v>
      </c>
      <c r="I157" s="8" t="str">
        <f t="shared" si="30"/>
        <v>West Fork and Below Lake</v>
      </c>
      <c r="J157" s="8" t="str">
        <f t="shared" si="31"/>
        <v>Outside</v>
      </c>
      <c r="K157" s="8" t="str">
        <f t="shared" si="32"/>
        <v>Post-1949</v>
      </c>
      <c r="L157" s="8">
        <f t="shared" si="33"/>
        <v>2006</v>
      </c>
      <c r="M157" s="8" t="str">
        <f t="shared" si="35"/>
        <v>1991-present</v>
      </c>
      <c r="N157" s="10" t="s">
        <v>242</v>
      </c>
      <c r="O157" s="10" t="s">
        <v>241</v>
      </c>
      <c r="P157" s="10" t="s">
        <v>242</v>
      </c>
      <c r="Q157" s="10" t="s">
        <v>242</v>
      </c>
      <c r="R157" s="10" t="s">
        <v>241</v>
      </c>
      <c r="S157" s="10" t="s">
        <v>242</v>
      </c>
      <c r="T157" s="10" t="s">
        <v>242</v>
      </c>
      <c r="U157" s="10" t="s">
        <v>242</v>
      </c>
      <c r="V157" s="10" t="s">
        <v>242</v>
      </c>
      <c r="W157" s="10" t="s">
        <v>242</v>
      </c>
      <c r="X157" s="15">
        <f>IF(ISERROR(VLOOKUP($A157,'13. Updated Demand'!A:Z,15,FALSE)),0,VLOOKUP($A157,'13. Updated Demand'!A:Z,15,FALSE))</f>
        <v>0.08</v>
      </c>
      <c r="Y157" s="16">
        <f>IF(ISERROR(VLOOKUP($A157,'13. Updated Demand'!A:Z,16,FALSE)),0,VLOOKUP($A157,'13. Updated Demand'!A:Z,16,FALSE))</f>
        <v>0.08</v>
      </c>
      <c r="Z157" s="16">
        <f>IF(ISERROR(VLOOKUP($A157,'13. Updated Demand'!A:Z,17,FALSE)),0,VLOOKUP($A157,'13. Updated Demand'!A:Z,17,FALSE))</f>
        <v>0.08</v>
      </c>
      <c r="AA157" s="16">
        <f>IF(ISERROR(VLOOKUP($A157,'13. Updated Demand'!A:Z,18,FALSE)),0,VLOOKUP($A157,'13. Updated Demand'!A:Z,18,FALSE))</f>
        <v>0.08</v>
      </c>
      <c r="AB157" s="16">
        <f>IF(ISERROR(VLOOKUP($A157,'13. Updated Demand'!A:Z,19,FALSE)),0,VLOOKUP($A157,'13. Updated Demand'!A:Z,19,FALSE))</f>
        <v>0.08</v>
      </c>
      <c r="AC157" s="16">
        <f>IF(ISERROR(VLOOKUP($A157,'13. Updated Demand'!A:Z,20,FALSE)),0,VLOOKUP($A157,'13. Updated Demand'!A:Z,20,FALSE))</f>
        <v>0.03</v>
      </c>
      <c r="AD157" s="16">
        <f>IF(ISERROR(VLOOKUP($A157,'13. Updated Demand'!A:Z,21,FALSE)),0,VLOOKUP($A157,'13. Updated Demand'!A:Z,21,FALSE))</f>
        <v>0.03</v>
      </c>
      <c r="AE157" s="16">
        <f>IF(ISERROR(VLOOKUP($A157,'13. Updated Demand'!A:Z,22,FALSE)),0,VLOOKUP($A157,'13. Updated Demand'!A:Z,22,FALSE))</f>
        <v>0.03</v>
      </c>
      <c r="AF157" s="16">
        <f>IF(ISERROR(VLOOKUP($A157,'13. Updated Demand'!A:Z,23,FALSE)),0,VLOOKUP($A157,'13. Updated Demand'!A:Z,23,FALSE))</f>
        <v>0.03</v>
      </c>
      <c r="AG157" s="16">
        <f>IF(ISERROR(VLOOKUP($A157,'13. Updated Demand'!A:Z,24,FALSE)),0,VLOOKUP($A157,'13. Updated Demand'!A:Z,24,FALSE))</f>
        <v>0.03</v>
      </c>
      <c r="AH157" s="16">
        <f>IF(ISERROR(VLOOKUP($A157,'13. Updated Demand'!A:Z,25,FALSE)),0,VLOOKUP($A157,'13. Updated Demand'!A:Z,25,FALSE))</f>
        <v>0.08</v>
      </c>
      <c r="AI157" s="16">
        <f>IF(ISERROR(VLOOKUP($A157,'13. Updated Demand'!A:Z,26,FALSE)),0,VLOOKUP($A157,'13. Updated Demand'!A:Z,26,FALSE))</f>
        <v>0.08</v>
      </c>
      <c r="AJ157" s="16">
        <f t="shared" si="36"/>
        <v>0.71000000000000008</v>
      </c>
      <c r="AK157" s="19">
        <v>0.2</v>
      </c>
      <c r="AL157" s="16">
        <f t="shared" si="34"/>
        <v>6.6337721785910179E-4</v>
      </c>
      <c r="AM157" s="17">
        <v>0.71000000000000008</v>
      </c>
      <c r="AN157" s="19"/>
      <c r="AO157" s="19"/>
      <c r="AP157" s="19">
        <v>1</v>
      </c>
      <c r="AQ157" s="19" t="s">
        <v>307</v>
      </c>
      <c r="AR157" s="9" t="s">
        <v>317</v>
      </c>
      <c r="AS157" s="12">
        <v>3.4039024194010059E-4</v>
      </c>
      <c r="AT157" s="19">
        <v>39.214873050000001</v>
      </c>
      <c r="AU157" s="19">
        <v>-123.30777702</v>
      </c>
      <c r="AV157" s="19" t="s">
        <v>417</v>
      </c>
    </row>
    <row r="158" spans="1:48" x14ac:dyDescent="0.25">
      <c r="A158" s="18" t="s">
        <v>520</v>
      </c>
      <c r="B158" s="10">
        <v>20060712</v>
      </c>
      <c r="C158" s="9">
        <v>10</v>
      </c>
      <c r="D158" s="8" t="str">
        <f t="shared" si="25"/>
        <v>N</v>
      </c>
      <c r="E158" s="8" t="str">
        <f t="shared" si="26"/>
        <v>Y</v>
      </c>
      <c r="F158" s="8" t="str">
        <f t="shared" si="27"/>
        <v>Y</v>
      </c>
      <c r="G158" s="8" t="str">
        <f t="shared" si="28"/>
        <v>Y</v>
      </c>
      <c r="H158" s="8" t="str">
        <f t="shared" si="29"/>
        <v>Upper</v>
      </c>
      <c r="I158" s="8" t="str">
        <f t="shared" si="30"/>
        <v>West Fork and Below Lake</v>
      </c>
      <c r="J158" s="8" t="str">
        <f t="shared" si="31"/>
        <v>Sonoma (d/s of Clov. Gage)</v>
      </c>
      <c r="K158" s="8" t="str">
        <f t="shared" si="32"/>
        <v>Post-1949</v>
      </c>
      <c r="L158" s="8">
        <f t="shared" si="33"/>
        <v>2006</v>
      </c>
      <c r="M158" s="8" t="str">
        <f t="shared" si="35"/>
        <v>1991-present</v>
      </c>
      <c r="N158" s="10" t="s">
        <v>242</v>
      </c>
      <c r="O158" s="10" t="s">
        <v>241</v>
      </c>
      <c r="P158" s="10" t="s">
        <v>242</v>
      </c>
      <c r="Q158" s="10" t="s">
        <v>242</v>
      </c>
      <c r="R158" s="10" t="s">
        <v>241</v>
      </c>
      <c r="S158" s="10" t="s">
        <v>242</v>
      </c>
      <c r="T158" s="10" t="s">
        <v>242</v>
      </c>
      <c r="U158" s="10" t="s">
        <v>241</v>
      </c>
      <c r="V158" s="10" t="s">
        <v>241</v>
      </c>
      <c r="W158" s="10" t="s">
        <v>242</v>
      </c>
      <c r="X158" s="15">
        <f>IF(ISERROR(VLOOKUP($A158,'13. Updated Demand'!A:Z,15,FALSE)),0,VLOOKUP($A158,'13. Updated Demand'!A:Z,15,FALSE))</f>
        <v>0</v>
      </c>
      <c r="Y158" s="16">
        <f>IF(ISERROR(VLOOKUP($A158,'13. Updated Demand'!A:Z,16,FALSE)),0,VLOOKUP($A158,'13. Updated Demand'!A:Z,16,FALSE))</f>
        <v>0</v>
      </c>
      <c r="Z158" s="16">
        <f>IF(ISERROR(VLOOKUP($A158,'13. Updated Demand'!A:Z,17,FALSE)),0,VLOOKUP($A158,'13. Updated Demand'!A:Z,17,FALSE))</f>
        <v>0</v>
      </c>
      <c r="AA158" s="16">
        <f>IF(ISERROR(VLOOKUP($A158,'13. Updated Demand'!A:Z,18,FALSE)),0,VLOOKUP($A158,'13. Updated Demand'!A:Z,18,FALSE))</f>
        <v>0</v>
      </c>
      <c r="AB158" s="16">
        <f>IF(ISERROR(VLOOKUP($A158,'13. Updated Demand'!A:Z,19,FALSE)),0,VLOOKUP($A158,'13. Updated Demand'!A:Z,19,FALSE))</f>
        <v>0</v>
      </c>
      <c r="AC158" s="16">
        <f>IF(ISERROR(VLOOKUP($A158,'13. Updated Demand'!A:Z,20,FALSE)),0,VLOOKUP($A158,'13. Updated Demand'!A:Z,20,FALSE))</f>
        <v>0</v>
      </c>
      <c r="AD158" s="16">
        <f>IF(ISERROR(VLOOKUP($A158,'13. Updated Demand'!A:Z,21,FALSE)),0,VLOOKUP($A158,'13. Updated Demand'!A:Z,21,FALSE))</f>
        <v>0</v>
      </c>
      <c r="AE158" s="16">
        <f>IF(ISERROR(VLOOKUP($A158,'13. Updated Demand'!A:Z,22,FALSE)),0,VLOOKUP($A158,'13. Updated Demand'!A:Z,22,FALSE))</f>
        <v>0</v>
      </c>
      <c r="AF158" s="16">
        <f>IF(ISERROR(VLOOKUP($A158,'13. Updated Demand'!A:Z,23,FALSE)),0,VLOOKUP($A158,'13. Updated Demand'!A:Z,23,FALSE))</f>
        <v>0</v>
      </c>
      <c r="AG158" s="16">
        <f>IF(ISERROR(VLOOKUP($A158,'13. Updated Demand'!A:Z,24,FALSE)),0,VLOOKUP($A158,'13. Updated Demand'!A:Z,24,FALSE))</f>
        <v>0</v>
      </c>
      <c r="AH158" s="16">
        <f>IF(ISERROR(VLOOKUP($A158,'13. Updated Demand'!A:Z,25,FALSE)),0,VLOOKUP($A158,'13. Updated Demand'!A:Z,25,FALSE))</f>
        <v>0</v>
      </c>
      <c r="AI158" s="16">
        <f>IF(ISERROR(VLOOKUP($A158,'13. Updated Demand'!A:Z,26,FALSE)),0,VLOOKUP($A158,'13. Updated Demand'!A:Z,26,FALSE))</f>
        <v>0</v>
      </c>
      <c r="AJ158" s="16">
        <f t="shared" si="36"/>
        <v>0</v>
      </c>
      <c r="AK158" s="19">
        <v>0</v>
      </c>
      <c r="AL158" s="16">
        <f t="shared" si="34"/>
        <v>0</v>
      </c>
      <c r="AM158" s="17">
        <v>0</v>
      </c>
      <c r="AN158" s="19"/>
      <c r="AO158" s="19"/>
      <c r="AP158" s="19">
        <v>1.5</v>
      </c>
      <c r="AQ158" s="19" t="s">
        <v>307</v>
      </c>
      <c r="AR158" s="9" t="s">
        <v>436</v>
      </c>
      <c r="AS158" s="12">
        <v>3.4039024194010059E-4</v>
      </c>
      <c r="AT158" s="19">
        <v>38.702938410000002</v>
      </c>
      <c r="AU158" s="19">
        <v>-122.77561226</v>
      </c>
      <c r="AV158" s="19" t="s">
        <v>417</v>
      </c>
    </row>
    <row r="159" spans="1:48" x14ac:dyDescent="0.25">
      <c r="A159" s="18" t="s">
        <v>521</v>
      </c>
      <c r="B159" s="10">
        <v>20060810</v>
      </c>
      <c r="C159" s="9">
        <v>9</v>
      </c>
      <c r="D159" s="8" t="str">
        <f t="shared" si="25"/>
        <v>N</v>
      </c>
      <c r="E159" s="8" t="str">
        <f t="shared" si="26"/>
        <v>Y</v>
      </c>
      <c r="F159" s="8" t="str">
        <f t="shared" si="27"/>
        <v>Y</v>
      </c>
      <c r="G159" s="8" t="str">
        <f t="shared" si="28"/>
        <v>Y</v>
      </c>
      <c r="H159" s="8" t="str">
        <f t="shared" si="29"/>
        <v>Upper</v>
      </c>
      <c r="I159" s="8" t="str">
        <f t="shared" si="30"/>
        <v>West Fork and Below Lake</v>
      </c>
      <c r="J159" s="8" t="str">
        <f t="shared" si="31"/>
        <v>Sonoma (d/s of Clov. Gage)</v>
      </c>
      <c r="K159" s="8" t="str">
        <f t="shared" si="32"/>
        <v>Post-1949</v>
      </c>
      <c r="L159" s="8">
        <f t="shared" si="33"/>
        <v>2006</v>
      </c>
      <c r="M159" s="8" t="str">
        <f t="shared" si="35"/>
        <v>1991-present</v>
      </c>
      <c r="N159" s="10" t="s">
        <v>242</v>
      </c>
      <c r="O159" s="10" t="s">
        <v>241</v>
      </c>
      <c r="P159" s="10" t="s">
        <v>242</v>
      </c>
      <c r="Q159" s="10" t="s">
        <v>242</v>
      </c>
      <c r="R159" s="10" t="s">
        <v>241</v>
      </c>
      <c r="S159" s="10" t="s">
        <v>242</v>
      </c>
      <c r="T159" s="10" t="s">
        <v>242</v>
      </c>
      <c r="U159" s="10" t="s">
        <v>242</v>
      </c>
      <c r="V159" s="10" t="s">
        <v>241</v>
      </c>
      <c r="W159" s="10" t="s">
        <v>242</v>
      </c>
      <c r="X159" s="15">
        <f>IF(ISERROR(VLOOKUP($A159,'13. Updated Demand'!A:Z,15,FALSE)),0,VLOOKUP($A159,'13. Updated Demand'!A:Z,15,FALSE))</f>
        <v>1.95</v>
      </c>
      <c r="Y159" s="16">
        <f>IF(ISERROR(VLOOKUP($A159,'13. Updated Demand'!A:Z,16,FALSE)),0,VLOOKUP($A159,'13. Updated Demand'!A:Z,16,FALSE))</f>
        <v>1.95</v>
      </c>
      <c r="Z159" s="16">
        <f>IF(ISERROR(VLOOKUP($A159,'13. Updated Demand'!A:Z,17,FALSE)),0,VLOOKUP($A159,'13. Updated Demand'!A:Z,17,FALSE))</f>
        <v>0</v>
      </c>
      <c r="AA159" s="16">
        <f>IF(ISERROR(VLOOKUP($A159,'13. Updated Demand'!A:Z,18,FALSE)),0,VLOOKUP($A159,'13. Updated Demand'!A:Z,18,FALSE))</f>
        <v>0</v>
      </c>
      <c r="AB159" s="16">
        <f>IF(ISERROR(VLOOKUP($A159,'13. Updated Demand'!A:Z,19,FALSE)),0,VLOOKUP($A159,'13. Updated Demand'!A:Z,19,FALSE))</f>
        <v>0</v>
      </c>
      <c r="AC159" s="16">
        <f>IF(ISERROR(VLOOKUP($A159,'13. Updated Demand'!A:Z,20,FALSE)),0,VLOOKUP($A159,'13. Updated Demand'!A:Z,20,FALSE))</f>
        <v>0</v>
      </c>
      <c r="AD159" s="16">
        <f>IF(ISERROR(VLOOKUP($A159,'13. Updated Demand'!A:Z,21,FALSE)),0,VLOOKUP($A159,'13. Updated Demand'!A:Z,21,FALSE))</f>
        <v>0</v>
      </c>
      <c r="AE159" s="16">
        <f>IF(ISERROR(VLOOKUP($A159,'13. Updated Demand'!A:Z,22,FALSE)),0,VLOOKUP($A159,'13. Updated Demand'!A:Z,22,FALSE))</f>
        <v>0</v>
      </c>
      <c r="AF159" s="16">
        <f>IF(ISERROR(VLOOKUP($A159,'13. Updated Demand'!A:Z,23,FALSE)),0,VLOOKUP($A159,'13. Updated Demand'!A:Z,23,FALSE))</f>
        <v>0</v>
      </c>
      <c r="AG159" s="16">
        <f>IF(ISERROR(VLOOKUP($A159,'13. Updated Demand'!A:Z,24,FALSE)),0,VLOOKUP($A159,'13. Updated Demand'!A:Z,24,FALSE))</f>
        <v>0</v>
      </c>
      <c r="AH159" s="16">
        <f>IF(ISERROR(VLOOKUP($A159,'13. Updated Demand'!A:Z,25,FALSE)),0,VLOOKUP($A159,'13. Updated Demand'!A:Z,25,FALSE))</f>
        <v>0</v>
      </c>
      <c r="AI159" s="16">
        <f>IF(ISERROR(VLOOKUP($A159,'13. Updated Demand'!A:Z,26,FALSE)),0,VLOOKUP($A159,'13. Updated Demand'!A:Z,26,FALSE))</f>
        <v>1.95</v>
      </c>
      <c r="AJ159" s="16">
        <f t="shared" si="36"/>
        <v>5.85</v>
      </c>
      <c r="AK159" s="19">
        <v>0</v>
      </c>
      <c r="AL159" s="16">
        <f t="shared" si="34"/>
        <v>0</v>
      </c>
      <c r="AM159" s="17">
        <v>0.734614875</v>
      </c>
      <c r="AN159" s="19"/>
      <c r="AO159" s="19"/>
      <c r="AP159" s="19">
        <v>8</v>
      </c>
      <c r="AQ159" s="19" t="s">
        <v>307</v>
      </c>
      <c r="AR159" s="9" t="s">
        <v>354</v>
      </c>
      <c r="AS159" s="12">
        <v>3.4039024194010059E-4</v>
      </c>
      <c r="AT159" s="19">
        <v>38.81049256</v>
      </c>
      <c r="AU159" s="19">
        <v>-123.05727576</v>
      </c>
      <c r="AV159" s="19" t="s">
        <v>417</v>
      </c>
    </row>
    <row r="160" spans="1:48" x14ac:dyDescent="0.25">
      <c r="A160" s="18" t="s">
        <v>522</v>
      </c>
      <c r="B160" s="10">
        <v>20060329</v>
      </c>
      <c r="C160" s="9">
        <v>4</v>
      </c>
      <c r="D160" s="8" t="str">
        <f t="shared" si="25"/>
        <v>Y</v>
      </c>
      <c r="E160" s="8" t="str">
        <f t="shared" si="26"/>
        <v>N</v>
      </c>
      <c r="F160" s="8" t="str">
        <f t="shared" si="27"/>
        <v>Y</v>
      </c>
      <c r="G160" s="8" t="str">
        <f t="shared" si="28"/>
        <v>Y</v>
      </c>
      <c r="H160" s="8" t="str">
        <f t="shared" si="29"/>
        <v>Upper</v>
      </c>
      <c r="I160" s="8" t="str">
        <f t="shared" si="30"/>
        <v>West Fork and Below Lake</v>
      </c>
      <c r="J160" s="8" t="str">
        <f t="shared" si="31"/>
        <v>Mendocino (d/s of lake)</v>
      </c>
      <c r="K160" s="8" t="str">
        <f t="shared" si="32"/>
        <v>Post-1949</v>
      </c>
      <c r="L160" s="8">
        <f t="shared" si="33"/>
        <v>2006</v>
      </c>
      <c r="M160" s="8" t="str">
        <f t="shared" si="35"/>
        <v>1991-present</v>
      </c>
      <c r="N160" s="10" t="s">
        <v>242</v>
      </c>
      <c r="O160" s="10" t="s">
        <v>241</v>
      </c>
      <c r="P160" s="10" t="s">
        <v>242</v>
      </c>
      <c r="Q160" s="10" t="s">
        <v>242</v>
      </c>
      <c r="R160" s="10" t="s">
        <v>241</v>
      </c>
      <c r="S160" s="10" t="s">
        <v>242</v>
      </c>
      <c r="T160" s="10" t="s">
        <v>242</v>
      </c>
      <c r="U160" s="10" t="s">
        <v>241</v>
      </c>
      <c r="V160" s="10" t="s">
        <v>241</v>
      </c>
      <c r="W160" s="10" t="s">
        <v>242</v>
      </c>
      <c r="X160" s="15">
        <f>IF(ISERROR(VLOOKUP($A160,'13. Updated Demand'!A:Z,15,FALSE)),0,VLOOKUP($A160,'13. Updated Demand'!A:Z,15,FALSE))</f>
        <v>0</v>
      </c>
      <c r="Y160" s="16">
        <f>IF(ISERROR(VLOOKUP($A160,'13. Updated Demand'!A:Z,16,FALSE)),0,VLOOKUP($A160,'13. Updated Demand'!A:Z,16,FALSE))</f>
        <v>0</v>
      </c>
      <c r="Z160" s="16">
        <f>IF(ISERROR(VLOOKUP($A160,'13. Updated Demand'!A:Z,17,FALSE)),0,VLOOKUP($A160,'13. Updated Demand'!A:Z,17,FALSE))</f>
        <v>0</v>
      </c>
      <c r="AA160" s="16">
        <f>IF(ISERROR(VLOOKUP($A160,'13. Updated Demand'!A:Z,18,FALSE)),0,VLOOKUP($A160,'13. Updated Demand'!A:Z,18,FALSE))</f>
        <v>0</v>
      </c>
      <c r="AB160" s="16">
        <f>IF(ISERROR(VLOOKUP($A160,'13. Updated Demand'!A:Z,19,FALSE)),0,VLOOKUP($A160,'13. Updated Demand'!A:Z,19,FALSE))</f>
        <v>0</v>
      </c>
      <c r="AC160" s="16">
        <f>IF(ISERROR(VLOOKUP($A160,'13. Updated Demand'!A:Z,20,FALSE)),0,VLOOKUP($A160,'13. Updated Demand'!A:Z,20,FALSE))</f>
        <v>0</v>
      </c>
      <c r="AD160" s="16">
        <f>IF(ISERROR(VLOOKUP($A160,'13. Updated Demand'!A:Z,21,FALSE)),0,VLOOKUP($A160,'13. Updated Demand'!A:Z,21,FALSE))</f>
        <v>0</v>
      </c>
      <c r="AE160" s="16">
        <f>IF(ISERROR(VLOOKUP($A160,'13. Updated Demand'!A:Z,22,FALSE)),0,VLOOKUP($A160,'13. Updated Demand'!A:Z,22,FALSE))</f>
        <v>0</v>
      </c>
      <c r="AF160" s="16">
        <f>IF(ISERROR(VLOOKUP($A160,'13. Updated Demand'!A:Z,23,FALSE)),0,VLOOKUP($A160,'13. Updated Demand'!A:Z,23,FALSE))</f>
        <v>0</v>
      </c>
      <c r="AG160" s="16">
        <f>IF(ISERROR(VLOOKUP($A160,'13. Updated Demand'!A:Z,24,FALSE)),0,VLOOKUP($A160,'13. Updated Demand'!A:Z,24,FALSE))</f>
        <v>0</v>
      </c>
      <c r="AH160" s="16">
        <f>IF(ISERROR(VLOOKUP($A160,'13. Updated Demand'!A:Z,25,FALSE)),0,VLOOKUP($A160,'13. Updated Demand'!A:Z,25,FALSE))</f>
        <v>0</v>
      </c>
      <c r="AI160" s="16">
        <f>IF(ISERROR(VLOOKUP($A160,'13. Updated Demand'!A:Z,26,FALSE)),0,VLOOKUP($A160,'13. Updated Demand'!A:Z,26,FALSE))</f>
        <v>0</v>
      </c>
      <c r="AJ160" s="16">
        <f t="shared" si="36"/>
        <v>0</v>
      </c>
      <c r="AK160" s="19">
        <v>0</v>
      </c>
      <c r="AL160" s="16">
        <f t="shared" si="34"/>
        <v>0</v>
      </c>
      <c r="AM160" s="17">
        <v>0</v>
      </c>
      <c r="AN160" s="19"/>
      <c r="AO160" s="19"/>
      <c r="AP160" s="19">
        <v>7</v>
      </c>
      <c r="AQ160" s="19" t="s">
        <v>307</v>
      </c>
      <c r="AR160" s="9" t="s">
        <v>331</v>
      </c>
      <c r="AS160" s="12">
        <v>0</v>
      </c>
      <c r="AT160" s="19">
        <v>39.190476429999997</v>
      </c>
      <c r="AU160" s="19">
        <v>-123.33827984</v>
      </c>
      <c r="AV160" s="19" t="s">
        <v>430</v>
      </c>
    </row>
    <row r="161" spans="1:48" x14ac:dyDescent="0.25">
      <c r="A161" s="18" t="s">
        <v>523</v>
      </c>
      <c r="B161" s="10">
        <v>20060126</v>
      </c>
      <c r="C161" s="9">
        <v>1</v>
      </c>
      <c r="D161" s="8" t="str">
        <f t="shared" si="25"/>
        <v>N</v>
      </c>
      <c r="E161" s="8" t="str">
        <f t="shared" si="26"/>
        <v>N</v>
      </c>
      <c r="F161" s="8" t="str">
        <f t="shared" si="27"/>
        <v>Y</v>
      </c>
      <c r="G161" s="8" t="str">
        <f t="shared" si="28"/>
        <v>Y</v>
      </c>
      <c r="H161" s="8" t="str">
        <f t="shared" si="29"/>
        <v>Upper</v>
      </c>
      <c r="I161" s="8" t="str">
        <f t="shared" si="30"/>
        <v>West Fork and Below Lake</v>
      </c>
      <c r="J161" s="8" t="str">
        <f t="shared" si="31"/>
        <v>Outside</v>
      </c>
      <c r="K161" s="8" t="str">
        <f t="shared" si="32"/>
        <v>Post-1949</v>
      </c>
      <c r="L161" s="8">
        <f t="shared" si="33"/>
        <v>2006</v>
      </c>
      <c r="M161" s="8" t="str">
        <f t="shared" si="35"/>
        <v>1991-present</v>
      </c>
      <c r="N161" s="10" t="s">
        <v>242</v>
      </c>
      <c r="O161" s="10" t="s">
        <v>241</v>
      </c>
      <c r="P161" s="10" t="s">
        <v>242</v>
      </c>
      <c r="Q161" s="10" t="s">
        <v>242</v>
      </c>
      <c r="R161" s="10" t="s">
        <v>241</v>
      </c>
      <c r="S161" s="10" t="s">
        <v>242</v>
      </c>
      <c r="T161" s="10" t="s">
        <v>242</v>
      </c>
      <c r="U161" s="10" t="s">
        <v>242</v>
      </c>
      <c r="V161" s="10" t="s">
        <v>242</v>
      </c>
      <c r="W161" s="10" t="s">
        <v>242</v>
      </c>
      <c r="X161" s="15">
        <f>IF(ISERROR(VLOOKUP($A161,'13. Updated Demand'!A:Z,15,FALSE)),0,VLOOKUP($A161,'13. Updated Demand'!A:Z,15,FALSE))</f>
        <v>0.08</v>
      </c>
      <c r="Y161" s="16">
        <f>IF(ISERROR(VLOOKUP($A161,'13. Updated Demand'!A:Z,16,FALSE)),0,VLOOKUP($A161,'13. Updated Demand'!A:Z,16,FALSE))</f>
        <v>0.08</v>
      </c>
      <c r="Z161" s="16">
        <f>IF(ISERROR(VLOOKUP($A161,'13. Updated Demand'!A:Z,17,FALSE)),0,VLOOKUP($A161,'13. Updated Demand'!A:Z,17,FALSE))</f>
        <v>0.08</v>
      </c>
      <c r="AA161" s="16">
        <f>IF(ISERROR(VLOOKUP($A161,'13. Updated Demand'!A:Z,18,FALSE)),0,VLOOKUP($A161,'13. Updated Demand'!A:Z,18,FALSE))</f>
        <v>0.08</v>
      </c>
      <c r="AB161" s="16">
        <f>IF(ISERROR(VLOOKUP($A161,'13. Updated Demand'!A:Z,19,FALSE)),0,VLOOKUP($A161,'13. Updated Demand'!A:Z,19,FALSE))</f>
        <v>0.08</v>
      </c>
      <c r="AC161" s="16">
        <f>IF(ISERROR(VLOOKUP($A161,'13. Updated Demand'!A:Z,20,FALSE)),0,VLOOKUP($A161,'13. Updated Demand'!A:Z,20,FALSE))</f>
        <v>0.03</v>
      </c>
      <c r="AD161" s="16">
        <f>IF(ISERROR(VLOOKUP($A161,'13. Updated Demand'!A:Z,21,FALSE)),0,VLOOKUP($A161,'13. Updated Demand'!A:Z,21,FALSE))</f>
        <v>0.03</v>
      </c>
      <c r="AE161" s="16">
        <f>IF(ISERROR(VLOOKUP($A161,'13. Updated Demand'!A:Z,22,FALSE)),0,VLOOKUP($A161,'13. Updated Demand'!A:Z,22,FALSE))</f>
        <v>0.03</v>
      </c>
      <c r="AF161" s="16">
        <f>IF(ISERROR(VLOOKUP($A161,'13. Updated Demand'!A:Z,23,FALSE)),0,VLOOKUP($A161,'13. Updated Demand'!A:Z,23,FALSE))</f>
        <v>0.03</v>
      </c>
      <c r="AG161" s="16">
        <f>IF(ISERROR(VLOOKUP($A161,'13. Updated Demand'!A:Z,24,FALSE)),0,VLOOKUP($A161,'13. Updated Demand'!A:Z,24,FALSE))</f>
        <v>0.03</v>
      </c>
      <c r="AH161" s="16">
        <f>IF(ISERROR(VLOOKUP($A161,'13. Updated Demand'!A:Z,25,FALSE)),0,VLOOKUP($A161,'13. Updated Demand'!A:Z,25,FALSE))</f>
        <v>0.08</v>
      </c>
      <c r="AI161" s="16">
        <f>IF(ISERROR(VLOOKUP($A161,'13. Updated Demand'!A:Z,26,FALSE)),0,VLOOKUP($A161,'13. Updated Demand'!A:Z,26,FALSE))</f>
        <v>0.08</v>
      </c>
      <c r="AJ161" s="16">
        <f t="shared" si="36"/>
        <v>0.71000000000000008</v>
      </c>
      <c r="AK161" s="19">
        <v>0.2</v>
      </c>
      <c r="AL161" s="16">
        <f t="shared" si="34"/>
        <v>6.6337721785910179E-4</v>
      </c>
      <c r="AM161" s="17">
        <v>0.12909090909090912</v>
      </c>
      <c r="AN161" s="19"/>
      <c r="AO161" s="19"/>
      <c r="AP161" s="19">
        <v>5.5</v>
      </c>
      <c r="AQ161" s="19" t="s">
        <v>307</v>
      </c>
      <c r="AR161" s="9" t="s">
        <v>317</v>
      </c>
      <c r="AS161" s="12">
        <v>0</v>
      </c>
      <c r="AT161" s="19">
        <v>39.21397451</v>
      </c>
      <c r="AU161" s="19">
        <v>-123.3080781</v>
      </c>
      <c r="AV161" s="19" t="s">
        <v>417</v>
      </c>
    </row>
    <row r="162" spans="1:48" x14ac:dyDescent="0.25">
      <c r="A162" s="18" t="s">
        <v>524</v>
      </c>
      <c r="B162" s="10">
        <v>20060126</v>
      </c>
      <c r="C162" s="9">
        <v>4</v>
      </c>
      <c r="D162" s="8" t="str">
        <f t="shared" si="25"/>
        <v>Y</v>
      </c>
      <c r="E162" s="8" t="str">
        <f t="shared" si="26"/>
        <v>N</v>
      </c>
      <c r="F162" s="8" t="str">
        <f t="shared" si="27"/>
        <v>Y</v>
      </c>
      <c r="G162" s="8" t="str">
        <f t="shared" si="28"/>
        <v>Y</v>
      </c>
      <c r="H162" s="8" t="str">
        <f t="shared" si="29"/>
        <v>Upper</v>
      </c>
      <c r="I162" s="8" t="str">
        <f t="shared" si="30"/>
        <v>West Fork and Below Lake</v>
      </c>
      <c r="J162" s="8" t="str">
        <f t="shared" si="31"/>
        <v>Mendocino (d/s of lake)</v>
      </c>
      <c r="K162" s="8" t="str">
        <f t="shared" si="32"/>
        <v>Post-1949</v>
      </c>
      <c r="L162" s="8">
        <f t="shared" si="33"/>
        <v>2006</v>
      </c>
      <c r="M162" s="8" t="str">
        <f t="shared" si="35"/>
        <v>1991-present</v>
      </c>
      <c r="N162" s="10" t="s">
        <v>242</v>
      </c>
      <c r="O162" s="10" t="s">
        <v>241</v>
      </c>
      <c r="P162" s="10" t="s">
        <v>242</v>
      </c>
      <c r="Q162" s="10" t="s">
        <v>242</v>
      </c>
      <c r="R162" s="10" t="s">
        <v>241</v>
      </c>
      <c r="S162" s="10" t="s">
        <v>242</v>
      </c>
      <c r="T162" s="10" t="s">
        <v>242</v>
      </c>
      <c r="U162" s="10" t="s">
        <v>242</v>
      </c>
      <c r="V162" s="10" t="s">
        <v>242</v>
      </c>
      <c r="W162" s="10" t="s">
        <v>242</v>
      </c>
      <c r="X162" s="15">
        <f>IF(ISERROR(VLOOKUP($A162,'13. Updated Demand'!A:Z,15,FALSE)),0,VLOOKUP($A162,'13. Updated Demand'!A:Z,15,FALSE))</f>
        <v>0.08</v>
      </c>
      <c r="Y162" s="16">
        <f>IF(ISERROR(VLOOKUP($A162,'13. Updated Demand'!A:Z,16,FALSE)),0,VLOOKUP($A162,'13. Updated Demand'!A:Z,16,FALSE))</f>
        <v>0.08</v>
      </c>
      <c r="Z162" s="16">
        <f>IF(ISERROR(VLOOKUP($A162,'13. Updated Demand'!A:Z,17,FALSE)),0,VLOOKUP($A162,'13. Updated Demand'!A:Z,17,FALSE))</f>
        <v>0.08</v>
      </c>
      <c r="AA162" s="16">
        <f>IF(ISERROR(VLOOKUP($A162,'13. Updated Demand'!A:Z,18,FALSE)),0,VLOOKUP($A162,'13. Updated Demand'!A:Z,18,FALSE))</f>
        <v>0.08</v>
      </c>
      <c r="AB162" s="16">
        <f>IF(ISERROR(VLOOKUP($A162,'13. Updated Demand'!A:Z,19,FALSE)),0,VLOOKUP($A162,'13. Updated Demand'!A:Z,19,FALSE))</f>
        <v>0.08</v>
      </c>
      <c r="AC162" s="16">
        <f>IF(ISERROR(VLOOKUP($A162,'13. Updated Demand'!A:Z,20,FALSE)),0,VLOOKUP($A162,'13. Updated Demand'!A:Z,20,FALSE))</f>
        <v>0.03</v>
      </c>
      <c r="AD162" s="16">
        <f>IF(ISERROR(VLOOKUP($A162,'13. Updated Demand'!A:Z,21,FALSE)),0,VLOOKUP($A162,'13. Updated Demand'!A:Z,21,FALSE))</f>
        <v>0.03</v>
      </c>
      <c r="AE162" s="16">
        <f>IF(ISERROR(VLOOKUP($A162,'13. Updated Demand'!A:Z,22,FALSE)),0,VLOOKUP($A162,'13. Updated Demand'!A:Z,22,FALSE))</f>
        <v>0.03</v>
      </c>
      <c r="AF162" s="16">
        <f>IF(ISERROR(VLOOKUP($A162,'13. Updated Demand'!A:Z,23,FALSE)),0,VLOOKUP($A162,'13. Updated Demand'!A:Z,23,FALSE))</f>
        <v>0.03</v>
      </c>
      <c r="AG162" s="16">
        <f>IF(ISERROR(VLOOKUP($A162,'13. Updated Demand'!A:Z,24,FALSE)),0,VLOOKUP($A162,'13. Updated Demand'!A:Z,24,FALSE))</f>
        <v>0.03</v>
      </c>
      <c r="AH162" s="16">
        <f>IF(ISERROR(VLOOKUP($A162,'13. Updated Demand'!A:Z,25,FALSE)),0,VLOOKUP($A162,'13. Updated Demand'!A:Z,25,FALSE))</f>
        <v>0.08</v>
      </c>
      <c r="AI162" s="16">
        <f>IF(ISERROR(VLOOKUP($A162,'13. Updated Demand'!A:Z,26,FALSE)),0,VLOOKUP($A162,'13. Updated Demand'!A:Z,26,FALSE))</f>
        <v>0.08</v>
      </c>
      <c r="AJ162" s="16">
        <f t="shared" si="36"/>
        <v>0.71000000000000008</v>
      </c>
      <c r="AK162" s="19">
        <v>0.2</v>
      </c>
      <c r="AL162" s="16">
        <f t="shared" si="34"/>
        <v>6.6337721785910179E-4</v>
      </c>
      <c r="AM162" s="17">
        <v>0.17750000000000002</v>
      </c>
      <c r="AN162" s="19"/>
      <c r="AO162" s="19"/>
      <c r="AP162" s="19">
        <v>4</v>
      </c>
      <c r="AQ162" s="19" t="s">
        <v>307</v>
      </c>
      <c r="AR162" s="9" t="s">
        <v>331</v>
      </c>
      <c r="AS162" s="12">
        <v>0</v>
      </c>
      <c r="AT162" s="19">
        <v>39.211799999999997</v>
      </c>
      <c r="AU162" s="19">
        <v>-123.30329999999999</v>
      </c>
      <c r="AV162" s="19" t="s">
        <v>417</v>
      </c>
    </row>
    <row r="163" spans="1:48" x14ac:dyDescent="0.25">
      <c r="A163" s="18" t="s">
        <v>525</v>
      </c>
      <c r="B163" s="10">
        <v>20050914</v>
      </c>
      <c r="C163" s="9">
        <v>2</v>
      </c>
      <c r="D163" s="8" t="str">
        <f t="shared" si="25"/>
        <v>N</v>
      </c>
      <c r="E163" s="8" t="str">
        <f t="shared" si="26"/>
        <v>N</v>
      </c>
      <c r="F163" s="8" t="str">
        <f t="shared" si="27"/>
        <v>Y</v>
      </c>
      <c r="G163" s="8" t="str">
        <f t="shared" si="28"/>
        <v>N</v>
      </c>
      <c r="H163" s="8" t="str">
        <f t="shared" si="29"/>
        <v>Upper</v>
      </c>
      <c r="I163" s="8" t="str">
        <f t="shared" si="30"/>
        <v>Outside</v>
      </c>
      <c r="J163" s="8" t="str">
        <f t="shared" si="31"/>
        <v>Outside</v>
      </c>
      <c r="K163" s="8" t="str">
        <f t="shared" si="32"/>
        <v>Post-1949</v>
      </c>
      <c r="L163" s="8">
        <f t="shared" si="33"/>
        <v>2005</v>
      </c>
      <c r="M163" s="8" t="str">
        <f t="shared" si="35"/>
        <v>1991-present</v>
      </c>
      <c r="N163" s="10" t="s">
        <v>242</v>
      </c>
      <c r="O163" s="10" t="s">
        <v>241</v>
      </c>
      <c r="P163" s="10" t="s">
        <v>242</v>
      </c>
      <c r="Q163" s="10" t="s">
        <v>242</v>
      </c>
      <c r="R163" s="10" t="s">
        <v>241</v>
      </c>
      <c r="S163" s="10" t="s">
        <v>242</v>
      </c>
      <c r="T163" s="10" t="s">
        <v>242</v>
      </c>
      <c r="U163" s="10" t="s">
        <v>242</v>
      </c>
      <c r="V163" s="10" t="s">
        <v>241</v>
      </c>
      <c r="W163" s="10" t="s">
        <v>242</v>
      </c>
      <c r="X163" s="15">
        <f>IF(ISERROR(VLOOKUP($A163,'13. Updated Demand'!A:Z,15,FALSE)),0,VLOOKUP($A163,'13. Updated Demand'!A:Z,15,FALSE))</f>
        <v>5</v>
      </c>
      <c r="Y163" s="16">
        <f>IF(ISERROR(VLOOKUP($A163,'13. Updated Demand'!A:Z,16,FALSE)),0,VLOOKUP($A163,'13. Updated Demand'!A:Z,16,FALSE))</f>
        <v>0.66</v>
      </c>
      <c r="Z163" s="16">
        <f>IF(ISERROR(VLOOKUP($A163,'13. Updated Demand'!A:Z,17,FALSE)),0,VLOOKUP($A163,'13. Updated Demand'!A:Z,17,FALSE))</f>
        <v>1.33</v>
      </c>
      <c r="AA163" s="16">
        <f>IF(ISERROR(VLOOKUP($A163,'13. Updated Demand'!A:Z,18,FALSE)),0,VLOOKUP($A163,'13. Updated Demand'!A:Z,18,FALSE))</f>
        <v>0</v>
      </c>
      <c r="AB163" s="16">
        <f>IF(ISERROR(VLOOKUP($A163,'13. Updated Demand'!A:Z,19,FALSE)),0,VLOOKUP($A163,'13. Updated Demand'!A:Z,19,FALSE))</f>
        <v>0</v>
      </c>
      <c r="AC163" s="16">
        <f>IF(ISERROR(VLOOKUP($A163,'13. Updated Demand'!A:Z,20,FALSE)),0,VLOOKUP($A163,'13. Updated Demand'!A:Z,20,FALSE))</f>
        <v>0</v>
      </c>
      <c r="AD163" s="16">
        <f>IF(ISERROR(VLOOKUP($A163,'13. Updated Demand'!A:Z,21,FALSE)),0,VLOOKUP($A163,'13. Updated Demand'!A:Z,21,FALSE))</f>
        <v>0</v>
      </c>
      <c r="AE163" s="16">
        <f>IF(ISERROR(VLOOKUP($A163,'13. Updated Demand'!A:Z,22,FALSE)),0,VLOOKUP($A163,'13. Updated Demand'!A:Z,22,FALSE))</f>
        <v>0</v>
      </c>
      <c r="AF163" s="16">
        <f>IF(ISERROR(VLOOKUP($A163,'13. Updated Demand'!A:Z,23,FALSE)),0,VLOOKUP($A163,'13. Updated Demand'!A:Z,23,FALSE))</f>
        <v>0</v>
      </c>
      <c r="AG163" s="16">
        <f>IF(ISERROR(VLOOKUP($A163,'13. Updated Demand'!A:Z,24,FALSE)),0,VLOOKUP($A163,'13. Updated Demand'!A:Z,24,FALSE))</f>
        <v>0</v>
      </c>
      <c r="AH163" s="16">
        <f>IF(ISERROR(VLOOKUP($A163,'13. Updated Demand'!A:Z,25,FALSE)),0,VLOOKUP($A163,'13. Updated Demand'!A:Z,25,FALSE))</f>
        <v>0</v>
      </c>
      <c r="AI163" s="16">
        <f>IF(ISERROR(VLOOKUP($A163,'13. Updated Demand'!A:Z,26,FALSE)),0,VLOOKUP($A163,'13. Updated Demand'!A:Z,26,FALSE))</f>
        <v>1</v>
      </c>
      <c r="AJ163" s="16">
        <f t="shared" si="36"/>
        <v>7.99</v>
      </c>
      <c r="AK163" s="19">
        <v>0</v>
      </c>
      <c r="AL163" s="16">
        <f t="shared" si="34"/>
        <v>0</v>
      </c>
      <c r="AM163" s="17">
        <v>1</v>
      </c>
      <c r="AN163" s="19"/>
      <c r="AO163" s="19"/>
      <c r="AP163" s="19">
        <v>8</v>
      </c>
      <c r="AQ163" s="19" t="s">
        <v>307</v>
      </c>
      <c r="AR163" s="9" t="s">
        <v>348</v>
      </c>
      <c r="AS163" s="12">
        <v>3.4039024194010059E-4</v>
      </c>
      <c r="AT163" s="19">
        <v>39.303551880000001</v>
      </c>
      <c r="AU163" s="19">
        <v>-123.02537178</v>
      </c>
      <c r="AV163" s="19" t="s">
        <v>417</v>
      </c>
    </row>
    <row r="164" spans="1:48" x14ac:dyDescent="0.25">
      <c r="A164" s="18" t="s">
        <v>526</v>
      </c>
      <c r="B164" s="10">
        <v>20050805</v>
      </c>
      <c r="C164" s="9">
        <v>2</v>
      </c>
      <c r="D164" s="8" t="str">
        <f t="shared" si="25"/>
        <v>N</v>
      </c>
      <c r="E164" s="8" t="str">
        <f t="shared" si="26"/>
        <v>N</v>
      </c>
      <c r="F164" s="8" t="str">
        <f t="shared" si="27"/>
        <v>Y</v>
      </c>
      <c r="G164" s="8" t="str">
        <f t="shared" si="28"/>
        <v>N</v>
      </c>
      <c r="H164" s="8" t="str">
        <f t="shared" si="29"/>
        <v>Upper</v>
      </c>
      <c r="I164" s="8" t="str">
        <f t="shared" si="30"/>
        <v>Outside</v>
      </c>
      <c r="J164" s="8" t="str">
        <f t="shared" si="31"/>
        <v>Outside</v>
      </c>
      <c r="K164" s="8" t="str">
        <f t="shared" si="32"/>
        <v>Post-1949</v>
      </c>
      <c r="L164" s="8">
        <f t="shared" si="33"/>
        <v>2005</v>
      </c>
      <c r="M164" s="8" t="str">
        <f t="shared" si="35"/>
        <v>1991-present</v>
      </c>
      <c r="N164" s="10" t="s">
        <v>242</v>
      </c>
      <c r="O164" s="10" t="s">
        <v>241</v>
      </c>
      <c r="P164" s="10" t="s">
        <v>242</v>
      </c>
      <c r="Q164" s="10" t="s">
        <v>242</v>
      </c>
      <c r="R164" s="10" t="s">
        <v>241</v>
      </c>
      <c r="S164" s="10" t="s">
        <v>242</v>
      </c>
      <c r="T164" s="10" t="s">
        <v>242</v>
      </c>
      <c r="U164" s="10" t="s">
        <v>242</v>
      </c>
      <c r="V164" s="10" t="s">
        <v>242</v>
      </c>
      <c r="W164" s="10" t="s">
        <v>242</v>
      </c>
      <c r="X164" s="15">
        <f>IF(ISERROR(VLOOKUP($A164,'13. Updated Demand'!A:Z,15,FALSE)),0,VLOOKUP($A164,'13. Updated Demand'!A:Z,15,FALSE))</f>
        <v>1.27</v>
      </c>
      <c r="Y164" s="16">
        <f>IF(ISERROR(VLOOKUP($A164,'13. Updated Demand'!A:Z,16,FALSE)),0,VLOOKUP($A164,'13. Updated Demand'!A:Z,16,FALSE))</f>
        <v>1.23</v>
      </c>
      <c r="Z164" s="16">
        <f>IF(ISERROR(VLOOKUP($A164,'13. Updated Demand'!A:Z,17,FALSE)),0,VLOOKUP($A164,'13. Updated Demand'!A:Z,17,FALSE))</f>
        <v>0.7</v>
      </c>
      <c r="AA164" s="16">
        <f>IF(ISERROR(VLOOKUP($A164,'13. Updated Demand'!A:Z,18,FALSE)),0,VLOOKUP($A164,'13. Updated Demand'!A:Z,18,FALSE))</f>
        <v>0.53</v>
      </c>
      <c r="AB164" s="16">
        <f>IF(ISERROR(VLOOKUP($A164,'13. Updated Demand'!A:Z,19,FALSE)),0,VLOOKUP($A164,'13. Updated Demand'!A:Z,19,FALSE))</f>
        <v>0.33</v>
      </c>
      <c r="AC164" s="16">
        <f>IF(ISERROR(VLOOKUP($A164,'13. Updated Demand'!A:Z,20,FALSE)),0,VLOOKUP($A164,'13. Updated Demand'!A:Z,20,FALSE))</f>
        <v>0</v>
      </c>
      <c r="AD164" s="16">
        <f>IF(ISERROR(VLOOKUP($A164,'13. Updated Demand'!A:Z,21,FALSE)),0,VLOOKUP($A164,'13. Updated Demand'!A:Z,21,FALSE))</f>
        <v>0</v>
      </c>
      <c r="AE164" s="16">
        <f>IF(ISERROR(VLOOKUP($A164,'13. Updated Demand'!A:Z,22,FALSE)),0,VLOOKUP($A164,'13. Updated Demand'!A:Z,22,FALSE))</f>
        <v>0</v>
      </c>
      <c r="AF164" s="16">
        <f>IF(ISERROR(VLOOKUP($A164,'13. Updated Demand'!A:Z,23,FALSE)),0,VLOOKUP($A164,'13. Updated Demand'!A:Z,23,FALSE))</f>
        <v>0</v>
      </c>
      <c r="AG164" s="16">
        <f>IF(ISERROR(VLOOKUP($A164,'13. Updated Demand'!A:Z,24,FALSE)),0,VLOOKUP($A164,'13. Updated Demand'!A:Z,24,FALSE))</f>
        <v>0.06</v>
      </c>
      <c r="AH164" s="16">
        <f>IF(ISERROR(VLOOKUP($A164,'13. Updated Demand'!A:Z,25,FALSE)),0,VLOOKUP($A164,'13. Updated Demand'!A:Z,25,FALSE))</f>
        <v>0.7</v>
      </c>
      <c r="AI164" s="16">
        <f>IF(ISERROR(VLOOKUP($A164,'13. Updated Demand'!A:Z,26,FALSE)),0,VLOOKUP($A164,'13. Updated Demand'!A:Z,26,FALSE))</f>
        <v>0.66</v>
      </c>
      <c r="AJ164" s="16">
        <f t="shared" si="36"/>
        <v>5.48</v>
      </c>
      <c r="AK164" s="19">
        <v>0.33333333300000001</v>
      </c>
      <c r="AL164" s="16">
        <f t="shared" si="34"/>
        <v>1.1056286953262076E-3</v>
      </c>
      <c r="AM164" s="17">
        <v>0.56735395185567006</v>
      </c>
      <c r="AN164" s="19"/>
      <c r="AO164" s="19"/>
      <c r="AP164" s="19">
        <v>9.6999999999999993</v>
      </c>
      <c r="AQ164" s="19" t="s">
        <v>307</v>
      </c>
      <c r="AR164" s="9" t="s">
        <v>348</v>
      </c>
      <c r="AS164" s="12">
        <v>0</v>
      </c>
      <c r="AT164" s="19">
        <v>39.355394240000003</v>
      </c>
      <c r="AU164" s="19">
        <v>-123.1441324</v>
      </c>
      <c r="AV164" s="19" t="s">
        <v>417</v>
      </c>
    </row>
    <row r="165" spans="1:48" x14ac:dyDescent="0.25">
      <c r="A165" s="18" t="s">
        <v>527</v>
      </c>
      <c r="B165" s="10">
        <v>20050317</v>
      </c>
      <c r="C165" s="9">
        <v>21</v>
      </c>
      <c r="D165" s="8" t="str">
        <f t="shared" si="25"/>
        <v>N</v>
      </c>
      <c r="E165" s="8" t="str">
        <f t="shared" si="26"/>
        <v>N</v>
      </c>
      <c r="F165" s="8" t="str">
        <f t="shared" si="27"/>
        <v>N</v>
      </c>
      <c r="G165" s="8" t="str">
        <f t="shared" si="28"/>
        <v>N</v>
      </c>
      <c r="H165" s="8" t="str">
        <f t="shared" si="29"/>
        <v>Lower</v>
      </c>
      <c r="I165" s="8" t="str">
        <f t="shared" si="30"/>
        <v>Outside</v>
      </c>
      <c r="J165" s="8" t="str">
        <f t="shared" si="31"/>
        <v>Outside</v>
      </c>
      <c r="K165" s="8" t="str">
        <f t="shared" si="32"/>
        <v>Post-1949</v>
      </c>
      <c r="L165" s="8">
        <f t="shared" si="33"/>
        <v>2005</v>
      </c>
      <c r="M165" s="8" t="str">
        <f t="shared" si="35"/>
        <v>1991-present</v>
      </c>
      <c r="N165" s="10" t="s">
        <v>242</v>
      </c>
      <c r="O165" s="10" t="s">
        <v>242</v>
      </c>
      <c r="P165" s="10" t="s">
        <v>242</v>
      </c>
      <c r="Q165" s="10" t="s">
        <v>242</v>
      </c>
      <c r="R165" s="10" t="s">
        <v>241</v>
      </c>
      <c r="S165" s="10" t="s">
        <v>242</v>
      </c>
      <c r="T165" s="10" t="s">
        <v>242</v>
      </c>
      <c r="U165" s="10" t="s">
        <v>242</v>
      </c>
      <c r="V165" s="10" t="s">
        <v>242</v>
      </c>
      <c r="W165" s="10" t="s">
        <v>242</v>
      </c>
      <c r="X165" s="15">
        <f>IF(ISERROR(VLOOKUP($A165,'13. Updated Demand'!A:Z,15,FALSE)),0,VLOOKUP($A165,'13. Updated Demand'!A:Z,15,FALSE))</f>
        <v>0.43220933299999997</v>
      </c>
      <c r="Y165" s="16">
        <f>IF(ISERROR(VLOOKUP($A165,'13. Updated Demand'!A:Z,16,FALSE)),0,VLOOKUP($A165,'13. Updated Demand'!A:Z,16,FALSE))</f>
        <v>0.351427667</v>
      </c>
      <c r="Z165" s="16">
        <f>IF(ISERROR(VLOOKUP($A165,'13. Updated Demand'!A:Z,17,FALSE)),0,VLOOKUP($A165,'13. Updated Demand'!A:Z,17,FALSE))</f>
        <v>0.40622599999999998</v>
      </c>
      <c r="AA165" s="16">
        <f>IF(ISERROR(VLOOKUP($A165,'13. Updated Demand'!A:Z,18,FALSE)),0,VLOOKUP($A165,'13. Updated Demand'!A:Z,18,FALSE))</f>
        <v>0.57156833299999998</v>
      </c>
      <c r="AB165" s="16">
        <f>IF(ISERROR(VLOOKUP($A165,'13. Updated Demand'!A:Z,19,FALSE)),0,VLOOKUP($A165,'13. Updated Demand'!A:Z,19,FALSE))</f>
        <v>0.52237900000000004</v>
      </c>
      <c r="AC165" s="16">
        <f>IF(ISERROR(VLOOKUP($A165,'13. Updated Demand'!A:Z,20,FALSE)),0,VLOOKUP($A165,'13. Updated Demand'!A:Z,20,FALSE))</f>
        <v>0.807874333</v>
      </c>
      <c r="AD165" s="16">
        <f>IF(ISERROR(VLOOKUP($A165,'13. Updated Demand'!A:Z,21,FALSE)),0,VLOOKUP($A165,'13. Updated Demand'!A:Z,21,FALSE))</f>
        <v>1.064441333</v>
      </c>
      <c r="AE165" s="16">
        <f>IF(ISERROR(VLOOKUP($A165,'13. Updated Demand'!A:Z,22,FALSE)),0,VLOOKUP($A165,'13. Updated Demand'!A:Z,22,FALSE))</f>
        <v>0.75409633300000001</v>
      </c>
      <c r="AF165" s="16">
        <f>IF(ISERROR(VLOOKUP($A165,'13. Updated Demand'!A:Z,23,FALSE)),0,VLOOKUP($A165,'13. Updated Demand'!A:Z,23,FALSE))</f>
        <v>0.73549566700000002</v>
      </c>
      <c r="AG165" s="16">
        <f>IF(ISERROR(VLOOKUP($A165,'13. Updated Demand'!A:Z,24,FALSE)),0,VLOOKUP($A165,'13. Updated Demand'!A:Z,24,FALSE))</f>
        <v>0.58240933299999997</v>
      </c>
      <c r="AH165" s="16">
        <f>IF(ISERROR(VLOOKUP($A165,'13. Updated Demand'!A:Z,25,FALSE)),0,VLOOKUP($A165,'13. Updated Demand'!A:Z,25,FALSE))</f>
        <v>0.58732933300000001</v>
      </c>
      <c r="AI165" s="16">
        <f>IF(ISERROR(VLOOKUP($A165,'13. Updated Demand'!A:Z,26,FALSE)),0,VLOOKUP($A165,'13. Updated Demand'!A:Z,26,FALSE))</f>
        <v>0.54562966700000004</v>
      </c>
      <c r="AJ165" s="16">
        <f t="shared" si="36"/>
        <v>7.3610863320000011</v>
      </c>
      <c r="AK165" s="19">
        <v>3.8842866659999999</v>
      </c>
      <c r="AL165" s="16">
        <f t="shared" si="34"/>
        <v>1.288373640929143E-2</v>
      </c>
      <c r="AM165" s="17">
        <v>0.73610863320000008</v>
      </c>
      <c r="AN165" s="19"/>
      <c r="AO165" s="19"/>
      <c r="AP165" s="19">
        <v>10</v>
      </c>
      <c r="AQ165" s="19" t="s">
        <v>307</v>
      </c>
      <c r="AR165" s="9" t="s">
        <v>403</v>
      </c>
      <c r="AS165" s="12">
        <v>3.4039024194010059E-4</v>
      </c>
      <c r="AT165" s="19">
        <v>38.485066850000003</v>
      </c>
      <c r="AU165" s="19">
        <v>-123.0584726</v>
      </c>
      <c r="AV165" s="19" t="s">
        <v>528</v>
      </c>
    </row>
    <row r="166" spans="1:48" x14ac:dyDescent="0.25">
      <c r="A166" s="18" t="s">
        <v>529</v>
      </c>
      <c r="B166" s="10">
        <v>20050420</v>
      </c>
      <c r="C166" s="9">
        <v>16</v>
      </c>
      <c r="D166" s="8" t="str">
        <f t="shared" si="25"/>
        <v>N</v>
      </c>
      <c r="E166" s="8" t="str">
        <f t="shared" si="26"/>
        <v>N</v>
      </c>
      <c r="F166" s="8" t="str">
        <f t="shared" si="27"/>
        <v>N</v>
      </c>
      <c r="G166" s="8" t="str">
        <f t="shared" si="28"/>
        <v>N</v>
      </c>
      <c r="H166" s="8" t="str">
        <f t="shared" si="29"/>
        <v>Lower</v>
      </c>
      <c r="I166" s="8" t="str">
        <f t="shared" si="30"/>
        <v>Outside</v>
      </c>
      <c r="J166" s="8" t="str">
        <f t="shared" si="31"/>
        <v>Outside</v>
      </c>
      <c r="K166" s="8" t="str">
        <f t="shared" si="32"/>
        <v>Post-1949</v>
      </c>
      <c r="L166" s="8">
        <f t="shared" si="33"/>
        <v>2005</v>
      </c>
      <c r="M166" s="8" t="str">
        <f t="shared" si="35"/>
        <v>1991-present</v>
      </c>
      <c r="N166" s="10" t="s">
        <v>242</v>
      </c>
      <c r="O166" s="10" t="s">
        <v>242</v>
      </c>
      <c r="P166" s="10" t="s">
        <v>242</v>
      </c>
      <c r="Q166" s="10" t="s">
        <v>242</v>
      </c>
      <c r="R166" s="10" t="s">
        <v>241</v>
      </c>
      <c r="S166" s="10" t="s">
        <v>242</v>
      </c>
      <c r="T166" s="10" t="s">
        <v>242</v>
      </c>
      <c r="U166" s="10" t="s">
        <v>241</v>
      </c>
      <c r="V166" s="10" t="s">
        <v>241</v>
      </c>
      <c r="W166" s="10" t="s">
        <v>242</v>
      </c>
      <c r="X166" s="15">
        <f>IF(ISERROR(VLOOKUP($A166,'13. Updated Demand'!A:Z,15,FALSE)),0,VLOOKUP($A166,'13. Updated Demand'!A:Z,15,FALSE))</f>
        <v>0</v>
      </c>
      <c r="Y166" s="16">
        <f>IF(ISERROR(VLOOKUP($A166,'13. Updated Demand'!A:Z,16,FALSE)),0,VLOOKUP($A166,'13. Updated Demand'!A:Z,16,FALSE))</f>
        <v>0</v>
      </c>
      <c r="Z166" s="16">
        <f>IF(ISERROR(VLOOKUP($A166,'13. Updated Demand'!A:Z,17,FALSE)),0,VLOOKUP($A166,'13. Updated Demand'!A:Z,17,FALSE))</f>
        <v>0</v>
      </c>
      <c r="AA166" s="16">
        <f>IF(ISERROR(VLOOKUP($A166,'13. Updated Demand'!A:Z,18,FALSE)),0,VLOOKUP($A166,'13. Updated Demand'!A:Z,18,FALSE))</f>
        <v>0</v>
      </c>
      <c r="AB166" s="16">
        <f>IF(ISERROR(VLOOKUP($A166,'13. Updated Demand'!A:Z,19,FALSE)),0,VLOOKUP($A166,'13. Updated Demand'!A:Z,19,FALSE))</f>
        <v>0</v>
      </c>
      <c r="AC166" s="16">
        <f>IF(ISERROR(VLOOKUP($A166,'13. Updated Demand'!A:Z,20,FALSE)),0,VLOOKUP($A166,'13. Updated Demand'!A:Z,20,FALSE))</f>
        <v>0</v>
      </c>
      <c r="AD166" s="16">
        <f>IF(ISERROR(VLOOKUP($A166,'13. Updated Demand'!A:Z,21,FALSE)),0,VLOOKUP($A166,'13. Updated Demand'!A:Z,21,FALSE))</f>
        <v>0</v>
      </c>
      <c r="AE166" s="16">
        <f>IF(ISERROR(VLOOKUP($A166,'13. Updated Demand'!A:Z,22,FALSE)),0,VLOOKUP($A166,'13. Updated Demand'!A:Z,22,FALSE))</f>
        <v>0</v>
      </c>
      <c r="AF166" s="16">
        <f>IF(ISERROR(VLOOKUP($A166,'13. Updated Demand'!A:Z,23,FALSE)),0,VLOOKUP($A166,'13. Updated Demand'!A:Z,23,FALSE))</f>
        <v>0</v>
      </c>
      <c r="AG166" s="16">
        <f>IF(ISERROR(VLOOKUP($A166,'13. Updated Demand'!A:Z,24,FALSE)),0,VLOOKUP($A166,'13. Updated Demand'!A:Z,24,FALSE))</f>
        <v>0</v>
      </c>
      <c r="AH166" s="16">
        <f>IF(ISERROR(VLOOKUP($A166,'13. Updated Demand'!A:Z,25,FALSE)),0,VLOOKUP($A166,'13. Updated Demand'!A:Z,25,FALSE))</f>
        <v>0</v>
      </c>
      <c r="AI166" s="16">
        <f>IF(ISERROR(VLOOKUP($A166,'13. Updated Demand'!A:Z,26,FALSE)),0,VLOOKUP($A166,'13. Updated Demand'!A:Z,26,FALSE))</f>
        <v>0</v>
      </c>
      <c r="AJ166" s="16">
        <f t="shared" si="36"/>
        <v>0</v>
      </c>
      <c r="AK166" s="19">
        <v>0</v>
      </c>
      <c r="AL166" s="16">
        <f t="shared" si="34"/>
        <v>0</v>
      </c>
      <c r="AM166" s="17">
        <v>0</v>
      </c>
      <c r="AN166" s="19"/>
      <c r="AO166" s="19"/>
      <c r="AP166" s="19">
        <v>0.4</v>
      </c>
      <c r="AQ166" s="19" t="s">
        <v>307</v>
      </c>
      <c r="AR166" s="9" t="s">
        <v>394</v>
      </c>
      <c r="AS166" s="12">
        <v>3.4039024194010059E-4</v>
      </c>
      <c r="AT166" s="19">
        <v>38.578722339999999</v>
      </c>
      <c r="AU166" s="19">
        <v>-122.951156</v>
      </c>
      <c r="AV166" s="19" t="s">
        <v>320</v>
      </c>
    </row>
    <row r="167" spans="1:48" x14ac:dyDescent="0.25">
      <c r="A167" s="18" t="s">
        <v>530</v>
      </c>
      <c r="B167" s="10">
        <v>20050204</v>
      </c>
      <c r="C167" s="9">
        <v>1</v>
      </c>
      <c r="D167" s="8" t="str">
        <f t="shared" si="25"/>
        <v>N</v>
      </c>
      <c r="E167" s="8" t="str">
        <f t="shared" si="26"/>
        <v>N</v>
      </c>
      <c r="F167" s="8" t="str">
        <f t="shared" si="27"/>
        <v>Y</v>
      </c>
      <c r="G167" s="8" t="str">
        <f t="shared" si="28"/>
        <v>Y</v>
      </c>
      <c r="H167" s="8" t="str">
        <f t="shared" si="29"/>
        <v>Upper</v>
      </c>
      <c r="I167" s="8" t="str">
        <f t="shared" si="30"/>
        <v>West Fork and Below Lake</v>
      </c>
      <c r="J167" s="8" t="str">
        <f t="shared" si="31"/>
        <v>Outside</v>
      </c>
      <c r="K167" s="8" t="str">
        <f t="shared" si="32"/>
        <v>Post-1949</v>
      </c>
      <c r="L167" s="8">
        <f t="shared" si="33"/>
        <v>2005</v>
      </c>
      <c r="M167" s="8" t="str">
        <f t="shared" si="35"/>
        <v>1991-present</v>
      </c>
      <c r="N167" s="10" t="s">
        <v>242</v>
      </c>
      <c r="O167" s="10" t="s">
        <v>241</v>
      </c>
      <c r="P167" s="10" t="s">
        <v>242</v>
      </c>
      <c r="Q167" s="10" t="s">
        <v>242</v>
      </c>
      <c r="R167" s="10" t="s">
        <v>241</v>
      </c>
      <c r="S167" s="10" t="s">
        <v>242</v>
      </c>
      <c r="T167" s="10" t="s">
        <v>242</v>
      </c>
      <c r="U167" s="10" t="s">
        <v>242</v>
      </c>
      <c r="V167" s="10" t="s">
        <v>242</v>
      </c>
      <c r="W167" s="10" t="s">
        <v>242</v>
      </c>
      <c r="X167" s="15">
        <f>IF(ISERROR(VLOOKUP($A167,'13. Updated Demand'!A:Z,15,FALSE)),0,VLOOKUP($A167,'13. Updated Demand'!A:Z,15,FALSE))</f>
        <v>0.01</v>
      </c>
      <c r="Y167" s="16">
        <f>IF(ISERROR(VLOOKUP($A167,'13. Updated Demand'!A:Z,16,FALSE)),0,VLOOKUP($A167,'13. Updated Demand'!A:Z,16,FALSE))</f>
        <v>0.01</v>
      </c>
      <c r="Z167" s="16">
        <f>IF(ISERROR(VLOOKUP($A167,'13. Updated Demand'!A:Z,17,FALSE)),0,VLOOKUP($A167,'13. Updated Demand'!A:Z,17,FALSE))</f>
        <v>0.01</v>
      </c>
      <c r="AA167" s="16">
        <f>IF(ISERROR(VLOOKUP($A167,'13. Updated Demand'!A:Z,18,FALSE)),0,VLOOKUP($A167,'13. Updated Demand'!A:Z,18,FALSE))</f>
        <v>6.8919999999999997E-3</v>
      </c>
      <c r="AB167" s="16">
        <f>IF(ISERROR(VLOOKUP($A167,'13. Updated Demand'!A:Z,19,FALSE)),0,VLOOKUP($A167,'13. Updated Demand'!A:Z,19,FALSE))</f>
        <v>3.5479999999999999E-3</v>
      </c>
      <c r="AC167" s="16">
        <f>IF(ISERROR(VLOOKUP($A167,'13. Updated Demand'!A:Z,20,FALSE)),0,VLOOKUP($A167,'13. Updated Demand'!A:Z,20,FALSE))</f>
        <v>3.3623329999999999E-3</v>
      </c>
      <c r="AD167" s="16">
        <f>IF(ISERROR(VLOOKUP($A167,'13. Updated Demand'!A:Z,21,FALSE)),0,VLOOKUP($A167,'13. Updated Demand'!A:Z,21,FALSE))</f>
        <v>3.333333E-3</v>
      </c>
      <c r="AE167" s="16">
        <f>IF(ISERROR(VLOOKUP($A167,'13. Updated Demand'!A:Z,22,FALSE)),0,VLOOKUP($A167,'13. Updated Demand'!A:Z,22,FALSE))</f>
        <v>3.333333E-3</v>
      </c>
      <c r="AF167" s="16">
        <f>IF(ISERROR(VLOOKUP($A167,'13. Updated Demand'!A:Z,23,FALSE)),0,VLOOKUP($A167,'13. Updated Demand'!A:Z,23,FALSE))</f>
        <v>3.333333E-3</v>
      </c>
      <c r="AG167" s="16">
        <f>IF(ISERROR(VLOOKUP($A167,'13. Updated Demand'!A:Z,24,FALSE)),0,VLOOKUP($A167,'13. Updated Demand'!A:Z,24,FALSE))</f>
        <v>3.333333E-3</v>
      </c>
      <c r="AH167" s="16">
        <f>IF(ISERROR(VLOOKUP($A167,'13. Updated Demand'!A:Z,25,FALSE)),0,VLOOKUP($A167,'13. Updated Demand'!A:Z,25,FALSE))</f>
        <v>0.01</v>
      </c>
      <c r="AI167" s="16">
        <f>IF(ISERROR(VLOOKUP($A167,'13. Updated Demand'!A:Z,26,FALSE)),0,VLOOKUP($A167,'13. Updated Demand'!A:Z,26,FALSE))</f>
        <v>6.8713330000000003E-3</v>
      </c>
      <c r="AJ167" s="16">
        <f t="shared" si="36"/>
        <v>7.4006998000000018E-2</v>
      </c>
      <c r="AK167" s="19">
        <v>1.6910332E-2</v>
      </c>
      <c r="AL167" s="16">
        <f t="shared" si="34"/>
        <v>5.608964497616871E-5</v>
      </c>
      <c r="AM167" s="17">
        <v>0.13588722000000003</v>
      </c>
      <c r="AN167" s="19"/>
      <c r="AO167" s="19"/>
      <c r="AP167" s="19">
        <v>0.6</v>
      </c>
      <c r="AQ167" s="19" t="s">
        <v>307</v>
      </c>
      <c r="AR167" s="9" t="s">
        <v>317</v>
      </c>
      <c r="AS167" s="12">
        <v>3.4039024194010059E-4</v>
      </c>
      <c r="AT167" s="19">
        <v>39.342051920000003</v>
      </c>
      <c r="AU167" s="19">
        <v>-123.26394654000001</v>
      </c>
      <c r="AV167" s="19" t="s">
        <v>417</v>
      </c>
    </row>
    <row r="168" spans="1:48" x14ac:dyDescent="0.25">
      <c r="A168" s="18" t="s">
        <v>531</v>
      </c>
      <c r="B168" s="10">
        <v>20050815</v>
      </c>
      <c r="C168" s="9">
        <v>1</v>
      </c>
      <c r="D168" s="8" t="str">
        <f t="shared" si="25"/>
        <v>N</v>
      </c>
      <c r="E168" s="8" t="str">
        <f t="shared" si="26"/>
        <v>N</v>
      </c>
      <c r="F168" s="8" t="str">
        <f t="shared" si="27"/>
        <v>Y</v>
      </c>
      <c r="G168" s="8" t="str">
        <f t="shared" si="28"/>
        <v>Y</v>
      </c>
      <c r="H168" s="8" t="str">
        <f t="shared" si="29"/>
        <v>Upper</v>
      </c>
      <c r="I168" s="8" t="str">
        <f t="shared" si="30"/>
        <v>West Fork and Below Lake</v>
      </c>
      <c r="J168" s="8" t="str">
        <f t="shared" si="31"/>
        <v>Outside</v>
      </c>
      <c r="K168" s="8" t="str">
        <f t="shared" si="32"/>
        <v>Post-1949</v>
      </c>
      <c r="L168" s="8">
        <f t="shared" si="33"/>
        <v>2005</v>
      </c>
      <c r="M168" s="8" t="str">
        <f t="shared" si="35"/>
        <v>1991-present</v>
      </c>
      <c r="N168" s="10" t="s">
        <v>242</v>
      </c>
      <c r="O168" s="10" t="s">
        <v>241</v>
      </c>
      <c r="P168" s="10" t="s">
        <v>242</v>
      </c>
      <c r="Q168" s="10" t="s">
        <v>242</v>
      </c>
      <c r="R168" s="10" t="s">
        <v>241</v>
      </c>
      <c r="S168" s="10" t="s">
        <v>242</v>
      </c>
      <c r="T168" s="10" t="s">
        <v>242</v>
      </c>
      <c r="U168" s="10" t="s">
        <v>242</v>
      </c>
      <c r="V168" s="10" t="s">
        <v>242</v>
      </c>
      <c r="W168" s="10" t="s">
        <v>242</v>
      </c>
      <c r="X168" s="15">
        <f>IF(ISERROR(VLOOKUP($A168,'13. Updated Demand'!A:Z,15,FALSE)),0,VLOOKUP($A168,'13. Updated Demand'!A:Z,15,FALSE))</f>
        <v>1.1299999999999999</v>
      </c>
      <c r="Y168" s="16">
        <f>IF(ISERROR(VLOOKUP($A168,'13. Updated Demand'!A:Z,16,FALSE)),0,VLOOKUP($A168,'13. Updated Demand'!A:Z,16,FALSE))</f>
        <v>1.1299999999999999</v>
      </c>
      <c r="Z168" s="16">
        <f>IF(ISERROR(VLOOKUP($A168,'13. Updated Demand'!A:Z,17,FALSE)),0,VLOOKUP($A168,'13. Updated Demand'!A:Z,17,FALSE))</f>
        <v>1.1299999999999999</v>
      </c>
      <c r="AA168" s="16">
        <f>IF(ISERROR(VLOOKUP($A168,'13. Updated Demand'!A:Z,18,FALSE)),0,VLOOKUP($A168,'13. Updated Demand'!A:Z,18,FALSE))</f>
        <v>1.1299999999999999</v>
      </c>
      <c r="AB168" s="16">
        <f>IF(ISERROR(VLOOKUP($A168,'13. Updated Demand'!A:Z,19,FALSE)),0,VLOOKUP($A168,'13. Updated Demand'!A:Z,19,FALSE))</f>
        <v>1.1299999999999999</v>
      </c>
      <c r="AC168" s="16">
        <f>IF(ISERROR(VLOOKUP($A168,'13. Updated Demand'!A:Z,20,FALSE)),0,VLOOKUP($A168,'13. Updated Demand'!A:Z,20,FALSE))</f>
        <v>0</v>
      </c>
      <c r="AD168" s="16">
        <f>IF(ISERROR(VLOOKUP($A168,'13. Updated Demand'!A:Z,21,FALSE)),0,VLOOKUP($A168,'13. Updated Demand'!A:Z,21,FALSE))</f>
        <v>0</v>
      </c>
      <c r="AE168" s="16">
        <f>IF(ISERROR(VLOOKUP($A168,'13. Updated Demand'!A:Z,22,FALSE)),0,VLOOKUP($A168,'13. Updated Demand'!A:Z,22,FALSE))</f>
        <v>0</v>
      </c>
      <c r="AF168" s="16">
        <f>IF(ISERROR(VLOOKUP($A168,'13. Updated Demand'!A:Z,23,FALSE)),0,VLOOKUP($A168,'13. Updated Demand'!A:Z,23,FALSE))</f>
        <v>0</v>
      </c>
      <c r="AG168" s="16">
        <f>IF(ISERROR(VLOOKUP($A168,'13. Updated Demand'!A:Z,24,FALSE)),0,VLOOKUP($A168,'13. Updated Demand'!A:Z,24,FALSE))</f>
        <v>0</v>
      </c>
      <c r="AH168" s="16">
        <f>IF(ISERROR(VLOOKUP($A168,'13. Updated Demand'!A:Z,25,FALSE)),0,VLOOKUP($A168,'13. Updated Demand'!A:Z,25,FALSE))</f>
        <v>0</v>
      </c>
      <c r="AI168" s="16">
        <f>IF(ISERROR(VLOOKUP($A168,'13. Updated Demand'!A:Z,26,FALSE)),0,VLOOKUP($A168,'13. Updated Demand'!A:Z,26,FALSE))</f>
        <v>1.1299999999999999</v>
      </c>
      <c r="AJ168" s="16">
        <f t="shared" si="36"/>
        <v>6.7799999999999994</v>
      </c>
      <c r="AK168" s="19">
        <v>1.1299999999999999</v>
      </c>
      <c r="AL168" s="16">
        <f t="shared" si="34"/>
        <v>3.748081280903925E-3</v>
      </c>
      <c r="AM168" s="17">
        <v>0.99705882352941166</v>
      </c>
      <c r="AN168" s="19"/>
      <c r="AO168" s="19"/>
      <c r="AP168" s="19">
        <v>6.8</v>
      </c>
      <c r="AQ168" s="19" t="s">
        <v>307</v>
      </c>
      <c r="AR168" s="9" t="s">
        <v>317</v>
      </c>
      <c r="AS168" s="12">
        <v>3.4039024194010059E-4</v>
      </c>
      <c r="AT168" s="19">
        <v>39.305260060000002</v>
      </c>
      <c r="AU168" s="19">
        <v>-123.26040383</v>
      </c>
      <c r="AV168" s="19" t="s">
        <v>417</v>
      </c>
    </row>
    <row r="169" spans="1:48" x14ac:dyDescent="0.25">
      <c r="A169" s="18" t="s">
        <v>532</v>
      </c>
      <c r="B169" s="10">
        <v>20051117</v>
      </c>
      <c r="C169" s="9">
        <v>23</v>
      </c>
      <c r="D169" s="8" t="str">
        <f t="shared" si="25"/>
        <v>N</v>
      </c>
      <c r="E169" s="8" t="str">
        <f t="shared" si="26"/>
        <v>N</v>
      </c>
      <c r="F169" s="8" t="str">
        <f t="shared" si="27"/>
        <v>N</v>
      </c>
      <c r="G169" s="8" t="str">
        <f t="shared" si="28"/>
        <v>N</v>
      </c>
      <c r="H169" s="8" t="str">
        <f t="shared" si="29"/>
        <v>Lower</v>
      </c>
      <c r="I169" s="8" t="str">
        <f t="shared" si="30"/>
        <v>Outside</v>
      </c>
      <c r="J169" s="8" t="str">
        <f t="shared" si="31"/>
        <v>Outside</v>
      </c>
      <c r="K169" s="8" t="str">
        <f t="shared" si="32"/>
        <v>Post-1949</v>
      </c>
      <c r="L169" s="8">
        <f t="shared" si="33"/>
        <v>2005</v>
      </c>
      <c r="M169" s="8" t="str">
        <f t="shared" si="35"/>
        <v>1991-present</v>
      </c>
      <c r="N169" s="10" t="s">
        <v>242</v>
      </c>
      <c r="O169" s="10" t="s">
        <v>242</v>
      </c>
      <c r="P169" s="10" t="s">
        <v>242</v>
      </c>
      <c r="Q169" s="10" t="s">
        <v>242</v>
      </c>
      <c r="R169" s="10" t="s">
        <v>241</v>
      </c>
      <c r="S169" s="10" t="s">
        <v>242</v>
      </c>
      <c r="T169" s="10" t="s">
        <v>242</v>
      </c>
      <c r="U169" s="10" t="s">
        <v>242</v>
      </c>
      <c r="V169" s="10" t="s">
        <v>241</v>
      </c>
      <c r="W169" s="10" t="s">
        <v>242</v>
      </c>
      <c r="X169" s="15">
        <f>IF(ISERROR(VLOOKUP($A169,'13. Updated Demand'!A:Z,15,FALSE)),0,VLOOKUP($A169,'13. Updated Demand'!A:Z,15,FALSE))</f>
        <v>0.497</v>
      </c>
      <c r="Y169" s="16">
        <f>IF(ISERROR(VLOOKUP($A169,'13. Updated Demand'!A:Z,16,FALSE)),0,VLOOKUP($A169,'13. Updated Demand'!A:Z,16,FALSE))</f>
        <v>7.6666670000000003E-3</v>
      </c>
      <c r="Z169" s="16">
        <f>IF(ISERROR(VLOOKUP($A169,'13. Updated Demand'!A:Z,17,FALSE)),0,VLOOKUP($A169,'13. Updated Demand'!A:Z,17,FALSE))</f>
        <v>0.17199999999999999</v>
      </c>
      <c r="AA169" s="16">
        <f>IF(ISERROR(VLOOKUP($A169,'13. Updated Demand'!A:Z,18,FALSE)),0,VLOOKUP($A169,'13. Updated Demand'!A:Z,18,FALSE))</f>
        <v>0</v>
      </c>
      <c r="AB169" s="16">
        <f>IF(ISERROR(VLOOKUP($A169,'13. Updated Demand'!A:Z,19,FALSE)),0,VLOOKUP($A169,'13. Updated Demand'!A:Z,19,FALSE))</f>
        <v>0</v>
      </c>
      <c r="AC169" s="16">
        <f>IF(ISERROR(VLOOKUP($A169,'13. Updated Demand'!A:Z,20,FALSE)),0,VLOOKUP($A169,'13. Updated Demand'!A:Z,20,FALSE))</f>
        <v>0</v>
      </c>
      <c r="AD169" s="16">
        <f>IF(ISERROR(VLOOKUP($A169,'13. Updated Demand'!A:Z,21,FALSE)),0,VLOOKUP($A169,'13. Updated Demand'!A:Z,21,FALSE))</f>
        <v>0</v>
      </c>
      <c r="AE169" s="16">
        <f>IF(ISERROR(VLOOKUP($A169,'13. Updated Demand'!A:Z,22,FALSE)),0,VLOOKUP($A169,'13. Updated Demand'!A:Z,22,FALSE))</f>
        <v>0</v>
      </c>
      <c r="AF169" s="16">
        <f>IF(ISERROR(VLOOKUP($A169,'13. Updated Demand'!A:Z,23,FALSE)),0,VLOOKUP($A169,'13. Updated Demand'!A:Z,23,FALSE))</f>
        <v>0</v>
      </c>
      <c r="AG169" s="16">
        <f>IF(ISERROR(VLOOKUP($A169,'13. Updated Demand'!A:Z,24,FALSE)),0,VLOOKUP($A169,'13. Updated Demand'!A:Z,24,FALSE))</f>
        <v>0</v>
      </c>
      <c r="AH169" s="16">
        <f>IF(ISERROR(VLOOKUP($A169,'13. Updated Demand'!A:Z,25,FALSE)),0,VLOOKUP($A169,'13. Updated Demand'!A:Z,25,FALSE))</f>
        <v>0.22233333299999999</v>
      </c>
      <c r="AI169" s="16">
        <f>IF(ISERROR(VLOOKUP($A169,'13. Updated Demand'!A:Z,26,FALSE)),0,VLOOKUP($A169,'13. Updated Demand'!A:Z,26,FALSE))</f>
        <v>0.550666667</v>
      </c>
      <c r="AJ169" s="16">
        <f t="shared" si="36"/>
        <v>1.4496666669999998</v>
      </c>
      <c r="AK169" s="19">
        <v>0</v>
      </c>
      <c r="AL169" s="16">
        <f t="shared" si="34"/>
        <v>0</v>
      </c>
      <c r="AM169" s="17">
        <v>0.46763440870967732</v>
      </c>
      <c r="AN169" s="19"/>
      <c r="AO169" s="19"/>
      <c r="AP169" s="19">
        <v>3.1</v>
      </c>
      <c r="AQ169" s="19" t="s">
        <v>307</v>
      </c>
      <c r="AR169" s="9" t="s">
        <v>323</v>
      </c>
      <c r="AS169" s="12">
        <v>3.4039024194010059E-4</v>
      </c>
      <c r="AT169" s="19">
        <v>38.533399250000002</v>
      </c>
      <c r="AU169" s="19">
        <v>-122.61585991</v>
      </c>
      <c r="AV169" s="19" t="s">
        <v>417</v>
      </c>
    </row>
    <row r="170" spans="1:48" x14ac:dyDescent="0.25">
      <c r="A170" s="18" t="s">
        <v>533</v>
      </c>
      <c r="B170" s="10">
        <v>20051206</v>
      </c>
      <c r="C170" s="9">
        <v>8</v>
      </c>
      <c r="D170" s="8" t="str">
        <f t="shared" si="25"/>
        <v>N</v>
      </c>
      <c r="E170" s="8" t="str">
        <f t="shared" si="26"/>
        <v>Y</v>
      </c>
      <c r="F170" s="8" t="str">
        <f t="shared" si="27"/>
        <v>Y</v>
      </c>
      <c r="G170" s="8" t="str">
        <f t="shared" si="28"/>
        <v>Y</v>
      </c>
      <c r="H170" s="8" t="str">
        <f t="shared" si="29"/>
        <v>Upper</v>
      </c>
      <c r="I170" s="8" t="str">
        <f t="shared" si="30"/>
        <v>West Fork and Below Lake</v>
      </c>
      <c r="J170" s="8" t="str">
        <f t="shared" si="31"/>
        <v>Sonoma (d/s of Clov. Gage)</v>
      </c>
      <c r="K170" s="8" t="str">
        <f t="shared" si="32"/>
        <v>Post-1949</v>
      </c>
      <c r="L170" s="8">
        <f t="shared" si="33"/>
        <v>2005</v>
      </c>
      <c r="M170" s="8" t="str">
        <f t="shared" si="35"/>
        <v>1991-present</v>
      </c>
      <c r="N170" s="10" t="s">
        <v>242</v>
      </c>
      <c r="O170" s="10" t="s">
        <v>241</v>
      </c>
      <c r="P170" s="10" t="s">
        <v>242</v>
      </c>
      <c r="Q170" s="10" t="s">
        <v>242</v>
      </c>
      <c r="R170" s="10" t="s">
        <v>241</v>
      </c>
      <c r="S170" s="10" t="s">
        <v>242</v>
      </c>
      <c r="T170" s="10" t="s">
        <v>242</v>
      </c>
      <c r="U170" s="10" t="s">
        <v>241</v>
      </c>
      <c r="V170" s="10" t="s">
        <v>241</v>
      </c>
      <c r="W170" s="10" t="s">
        <v>242</v>
      </c>
      <c r="X170" s="15">
        <f>IF(ISERROR(VLOOKUP($A170,'13. Updated Demand'!A:Z,15,FALSE)),0,VLOOKUP($A170,'13. Updated Demand'!A:Z,15,FALSE))</f>
        <v>0</v>
      </c>
      <c r="Y170" s="16">
        <f>IF(ISERROR(VLOOKUP($A170,'13. Updated Demand'!A:Z,16,FALSE)),0,VLOOKUP($A170,'13. Updated Demand'!A:Z,16,FALSE))</f>
        <v>0</v>
      </c>
      <c r="Z170" s="16">
        <f>IF(ISERROR(VLOOKUP($A170,'13. Updated Demand'!A:Z,17,FALSE)),0,VLOOKUP($A170,'13. Updated Demand'!A:Z,17,FALSE))</f>
        <v>0</v>
      </c>
      <c r="AA170" s="16">
        <f>IF(ISERROR(VLOOKUP($A170,'13. Updated Demand'!A:Z,18,FALSE)),0,VLOOKUP($A170,'13. Updated Demand'!A:Z,18,FALSE))</f>
        <v>0</v>
      </c>
      <c r="AB170" s="16">
        <f>IF(ISERROR(VLOOKUP($A170,'13. Updated Demand'!A:Z,19,FALSE)),0,VLOOKUP($A170,'13. Updated Demand'!A:Z,19,FALSE))</f>
        <v>0</v>
      </c>
      <c r="AC170" s="16">
        <f>IF(ISERROR(VLOOKUP($A170,'13. Updated Demand'!A:Z,20,FALSE)),0,VLOOKUP($A170,'13. Updated Demand'!A:Z,20,FALSE))</f>
        <v>0</v>
      </c>
      <c r="AD170" s="16">
        <f>IF(ISERROR(VLOOKUP($A170,'13. Updated Demand'!A:Z,21,FALSE)),0,VLOOKUP($A170,'13. Updated Demand'!A:Z,21,FALSE))</f>
        <v>0</v>
      </c>
      <c r="AE170" s="16">
        <f>IF(ISERROR(VLOOKUP($A170,'13. Updated Demand'!A:Z,22,FALSE)),0,VLOOKUP($A170,'13. Updated Demand'!A:Z,22,FALSE))</f>
        <v>0</v>
      </c>
      <c r="AF170" s="16">
        <f>IF(ISERROR(VLOOKUP($A170,'13. Updated Demand'!A:Z,23,FALSE)),0,VLOOKUP($A170,'13. Updated Demand'!A:Z,23,FALSE))</f>
        <v>0</v>
      </c>
      <c r="AG170" s="16">
        <f>IF(ISERROR(VLOOKUP($A170,'13. Updated Demand'!A:Z,24,FALSE)),0,VLOOKUP($A170,'13. Updated Demand'!A:Z,24,FALSE))</f>
        <v>0</v>
      </c>
      <c r="AH170" s="16">
        <f>IF(ISERROR(VLOOKUP($A170,'13. Updated Demand'!A:Z,25,FALSE)),0,VLOOKUP($A170,'13. Updated Demand'!A:Z,25,FALSE))</f>
        <v>0</v>
      </c>
      <c r="AI170" s="16">
        <f>IF(ISERROR(VLOOKUP($A170,'13. Updated Demand'!A:Z,26,FALSE)),0,VLOOKUP($A170,'13. Updated Demand'!A:Z,26,FALSE))</f>
        <v>0</v>
      </c>
      <c r="AJ170" s="16">
        <f t="shared" si="36"/>
        <v>0</v>
      </c>
      <c r="AK170" s="19">
        <v>0</v>
      </c>
      <c r="AL170" s="16">
        <f t="shared" si="34"/>
        <v>0</v>
      </c>
      <c r="AM170" s="17">
        <v>0</v>
      </c>
      <c r="AN170" s="19"/>
      <c r="AO170" s="19"/>
      <c r="AP170" s="19">
        <v>5</v>
      </c>
      <c r="AQ170" s="19" t="s">
        <v>307</v>
      </c>
      <c r="AR170" s="9" t="s">
        <v>409</v>
      </c>
      <c r="AS170" s="12">
        <v>3.4039024194010059E-4</v>
      </c>
      <c r="AT170" s="19">
        <v>38.844391340000001</v>
      </c>
      <c r="AU170" s="19">
        <v>-122.98367472</v>
      </c>
      <c r="AV170" s="19" t="s">
        <v>417</v>
      </c>
    </row>
    <row r="171" spans="1:48" x14ac:dyDescent="0.25">
      <c r="A171" s="18" t="s">
        <v>534</v>
      </c>
      <c r="B171" s="10">
        <v>20050603</v>
      </c>
      <c r="C171" s="9">
        <v>1</v>
      </c>
      <c r="D171" s="8" t="str">
        <f t="shared" si="25"/>
        <v>N</v>
      </c>
      <c r="E171" s="8" t="str">
        <f t="shared" si="26"/>
        <v>N</v>
      </c>
      <c r="F171" s="8" t="str">
        <f t="shared" si="27"/>
        <v>Y</v>
      </c>
      <c r="G171" s="8" t="str">
        <f t="shared" si="28"/>
        <v>Y</v>
      </c>
      <c r="H171" s="8" t="str">
        <f t="shared" si="29"/>
        <v>Upper</v>
      </c>
      <c r="I171" s="8" t="str">
        <f t="shared" si="30"/>
        <v>West Fork and Below Lake</v>
      </c>
      <c r="J171" s="8" t="str">
        <f t="shared" si="31"/>
        <v>Outside</v>
      </c>
      <c r="K171" s="8" t="str">
        <f t="shared" si="32"/>
        <v>Post-1949</v>
      </c>
      <c r="L171" s="8">
        <f t="shared" si="33"/>
        <v>2005</v>
      </c>
      <c r="M171" s="8" t="str">
        <f t="shared" si="35"/>
        <v>1991-present</v>
      </c>
      <c r="N171" s="10" t="s">
        <v>242</v>
      </c>
      <c r="O171" s="10" t="s">
        <v>241</v>
      </c>
      <c r="P171" s="10" t="s">
        <v>242</v>
      </c>
      <c r="Q171" s="10" t="s">
        <v>242</v>
      </c>
      <c r="R171" s="10" t="s">
        <v>241</v>
      </c>
      <c r="S171" s="10" t="s">
        <v>242</v>
      </c>
      <c r="T171" s="10" t="s">
        <v>242</v>
      </c>
      <c r="U171" s="10" t="s">
        <v>241</v>
      </c>
      <c r="V171" s="10" t="s">
        <v>241</v>
      </c>
      <c r="W171" s="10" t="s">
        <v>242</v>
      </c>
      <c r="X171" s="15">
        <f>IF(ISERROR(VLOOKUP($A171,'13. Updated Demand'!A:Z,15,FALSE)),0,VLOOKUP($A171,'13. Updated Demand'!A:Z,15,FALSE))</f>
        <v>0</v>
      </c>
      <c r="Y171" s="16">
        <f>IF(ISERROR(VLOOKUP($A171,'13. Updated Demand'!A:Z,16,FALSE)),0,VLOOKUP($A171,'13. Updated Demand'!A:Z,16,FALSE))</f>
        <v>0</v>
      </c>
      <c r="Z171" s="16">
        <f>IF(ISERROR(VLOOKUP($A171,'13. Updated Demand'!A:Z,17,FALSE)),0,VLOOKUP($A171,'13. Updated Demand'!A:Z,17,FALSE))</f>
        <v>0</v>
      </c>
      <c r="AA171" s="16">
        <f>IF(ISERROR(VLOOKUP($A171,'13. Updated Demand'!A:Z,18,FALSE)),0,VLOOKUP($A171,'13. Updated Demand'!A:Z,18,FALSE))</f>
        <v>0</v>
      </c>
      <c r="AB171" s="16">
        <f>IF(ISERROR(VLOOKUP($A171,'13. Updated Demand'!A:Z,19,FALSE)),0,VLOOKUP($A171,'13. Updated Demand'!A:Z,19,FALSE))</f>
        <v>0</v>
      </c>
      <c r="AC171" s="16">
        <f>IF(ISERROR(VLOOKUP($A171,'13. Updated Demand'!A:Z,20,FALSE)),0,VLOOKUP($A171,'13. Updated Demand'!A:Z,20,FALSE))</f>
        <v>0</v>
      </c>
      <c r="AD171" s="16">
        <f>IF(ISERROR(VLOOKUP($A171,'13. Updated Demand'!A:Z,21,FALSE)),0,VLOOKUP($A171,'13. Updated Demand'!A:Z,21,FALSE))</f>
        <v>0</v>
      </c>
      <c r="AE171" s="16">
        <f>IF(ISERROR(VLOOKUP($A171,'13. Updated Demand'!A:Z,22,FALSE)),0,VLOOKUP($A171,'13. Updated Demand'!A:Z,22,FALSE))</f>
        <v>0</v>
      </c>
      <c r="AF171" s="16">
        <f>IF(ISERROR(VLOOKUP($A171,'13. Updated Demand'!A:Z,23,FALSE)),0,VLOOKUP($A171,'13. Updated Demand'!A:Z,23,FALSE))</f>
        <v>0</v>
      </c>
      <c r="AG171" s="16">
        <f>IF(ISERROR(VLOOKUP($A171,'13. Updated Demand'!A:Z,24,FALSE)),0,VLOOKUP($A171,'13. Updated Demand'!A:Z,24,FALSE))</f>
        <v>0</v>
      </c>
      <c r="AH171" s="16">
        <f>IF(ISERROR(VLOOKUP($A171,'13. Updated Demand'!A:Z,25,FALSE)),0,VLOOKUP($A171,'13. Updated Demand'!A:Z,25,FALSE))</f>
        <v>0</v>
      </c>
      <c r="AI171" s="16">
        <f>IF(ISERROR(VLOOKUP($A171,'13. Updated Demand'!A:Z,26,FALSE)),0,VLOOKUP($A171,'13. Updated Demand'!A:Z,26,FALSE))</f>
        <v>0</v>
      </c>
      <c r="AJ171" s="16">
        <f t="shared" si="36"/>
        <v>0</v>
      </c>
      <c r="AK171" s="19">
        <v>0</v>
      </c>
      <c r="AL171" s="16">
        <f t="shared" si="34"/>
        <v>0</v>
      </c>
      <c r="AM171" s="17">
        <v>0</v>
      </c>
      <c r="AN171" s="19"/>
      <c r="AO171" s="19"/>
      <c r="AP171" s="19">
        <v>0.3</v>
      </c>
      <c r="AQ171" s="19" t="s">
        <v>307</v>
      </c>
      <c r="AR171" s="9" t="s">
        <v>317</v>
      </c>
      <c r="AS171" s="12">
        <v>0</v>
      </c>
      <c r="AT171" s="19">
        <v>39.328649570000003</v>
      </c>
      <c r="AU171" s="19">
        <v>-123.21406704</v>
      </c>
      <c r="AV171" s="19" t="s">
        <v>417</v>
      </c>
    </row>
    <row r="172" spans="1:48" x14ac:dyDescent="0.25">
      <c r="A172" s="18" t="s">
        <v>535</v>
      </c>
      <c r="B172" s="10">
        <v>20040427</v>
      </c>
      <c r="C172" s="9">
        <v>23</v>
      </c>
      <c r="D172" s="8" t="str">
        <f t="shared" si="25"/>
        <v>N</v>
      </c>
      <c r="E172" s="8" t="str">
        <f t="shared" si="26"/>
        <v>N</v>
      </c>
      <c r="F172" s="8" t="str">
        <f t="shared" si="27"/>
        <v>N</v>
      </c>
      <c r="G172" s="8" t="str">
        <f t="shared" si="28"/>
        <v>N</v>
      </c>
      <c r="H172" s="8" t="str">
        <f t="shared" si="29"/>
        <v>Lower</v>
      </c>
      <c r="I172" s="8" t="str">
        <f t="shared" si="30"/>
        <v>Outside</v>
      </c>
      <c r="J172" s="8" t="str">
        <f t="shared" si="31"/>
        <v>Outside</v>
      </c>
      <c r="K172" s="8" t="str">
        <f t="shared" si="32"/>
        <v>Post-1949</v>
      </c>
      <c r="L172" s="8">
        <f t="shared" si="33"/>
        <v>2004</v>
      </c>
      <c r="M172" s="8" t="str">
        <f t="shared" si="35"/>
        <v>1991-present</v>
      </c>
      <c r="N172" s="10" t="s">
        <v>242</v>
      </c>
      <c r="O172" s="10" t="s">
        <v>242</v>
      </c>
      <c r="P172" s="10" t="s">
        <v>242</v>
      </c>
      <c r="Q172" s="10" t="s">
        <v>242</v>
      </c>
      <c r="R172" s="10" t="s">
        <v>241</v>
      </c>
      <c r="S172" s="10" t="s">
        <v>242</v>
      </c>
      <c r="T172" s="10" t="s">
        <v>242</v>
      </c>
      <c r="U172" s="10" t="s">
        <v>242</v>
      </c>
      <c r="V172" s="10" t="s">
        <v>241</v>
      </c>
      <c r="W172" s="10" t="s">
        <v>242</v>
      </c>
      <c r="X172" s="15">
        <f>IF(ISERROR(VLOOKUP($A172,'13. Updated Demand'!A:Z,15,FALSE)),0,VLOOKUP($A172,'13. Updated Demand'!A:Z,15,FALSE))</f>
        <v>0.33333333300000001</v>
      </c>
      <c r="Y172" s="16">
        <f>IF(ISERROR(VLOOKUP($A172,'13. Updated Demand'!A:Z,16,FALSE)),0,VLOOKUP($A172,'13. Updated Demand'!A:Z,16,FALSE))</f>
        <v>0</v>
      </c>
      <c r="Z172" s="16">
        <f>IF(ISERROR(VLOOKUP($A172,'13. Updated Demand'!A:Z,17,FALSE)),0,VLOOKUP($A172,'13. Updated Demand'!A:Z,17,FALSE))</f>
        <v>0</v>
      </c>
      <c r="AA172" s="16">
        <f>IF(ISERROR(VLOOKUP($A172,'13. Updated Demand'!A:Z,18,FALSE)),0,VLOOKUP($A172,'13. Updated Demand'!A:Z,18,FALSE))</f>
        <v>0</v>
      </c>
      <c r="AB172" s="16">
        <f>IF(ISERROR(VLOOKUP($A172,'13. Updated Demand'!A:Z,19,FALSE)),0,VLOOKUP($A172,'13. Updated Demand'!A:Z,19,FALSE))</f>
        <v>0</v>
      </c>
      <c r="AC172" s="16">
        <f>IF(ISERROR(VLOOKUP($A172,'13. Updated Demand'!A:Z,20,FALSE)),0,VLOOKUP($A172,'13. Updated Demand'!A:Z,20,FALSE))</f>
        <v>0</v>
      </c>
      <c r="AD172" s="16">
        <f>IF(ISERROR(VLOOKUP($A172,'13. Updated Demand'!A:Z,21,FALSE)),0,VLOOKUP($A172,'13. Updated Demand'!A:Z,21,FALSE))</f>
        <v>0</v>
      </c>
      <c r="AE172" s="16">
        <f>IF(ISERROR(VLOOKUP($A172,'13. Updated Demand'!A:Z,22,FALSE)),0,VLOOKUP($A172,'13. Updated Demand'!A:Z,22,FALSE))</f>
        <v>0</v>
      </c>
      <c r="AF172" s="16">
        <f>IF(ISERROR(VLOOKUP($A172,'13. Updated Demand'!A:Z,23,FALSE)),0,VLOOKUP($A172,'13. Updated Demand'!A:Z,23,FALSE))</f>
        <v>0</v>
      </c>
      <c r="AG172" s="16">
        <f>IF(ISERROR(VLOOKUP($A172,'13. Updated Demand'!A:Z,24,FALSE)),0,VLOOKUP($A172,'13. Updated Demand'!A:Z,24,FALSE))</f>
        <v>0</v>
      </c>
      <c r="AH172" s="16">
        <f>IF(ISERROR(VLOOKUP($A172,'13. Updated Demand'!A:Z,25,FALSE)),0,VLOOKUP($A172,'13. Updated Demand'!A:Z,25,FALSE))</f>
        <v>0.33333333300000001</v>
      </c>
      <c r="AI172" s="16">
        <f>IF(ISERROR(VLOOKUP($A172,'13. Updated Demand'!A:Z,26,FALSE)),0,VLOOKUP($A172,'13. Updated Demand'!A:Z,26,FALSE))</f>
        <v>1</v>
      </c>
      <c r="AJ172" s="16">
        <f t="shared" si="36"/>
        <v>1.666666666</v>
      </c>
      <c r="AK172" s="19">
        <v>0</v>
      </c>
      <c r="AL172" s="16">
        <f t="shared" si="34"/>
        <v>0</v>
      </c>
      <c r="AM172" s="17">
        <v>0.4166666665</v>
      </c>
      <c r="AN172" s="19"/>
      <c r="AO172" s="19"/>
      <c r="AP172" s="19">
        <v>4</v>
      </c>
      <c r="AQ172" s="19" t="s">
        <v>307</v>
      </c>
      <c r="AR172" s="9" t="s">
        <v>323</v>
      </c>
      <c r="AS172" s="12">
        <v>0</v>
      </c>
      <c r="AT172" s="19">
        <v>38.522199999999998</v>
      </c>
      <c r="AU172" s="19">
        <v>-122.55889999999999</v>
      </c>
      <c r="AV172" s="19" t="s">
        <v>417</v>
      </c>
    </row>
    <row r="173" spans="1:48" x14ac:dyDescent="0.25">
      <c r="A173" s="18" t="s">
        <v>536</v>
      </c>
      <c r="B173" s="10">
        <v>20040506</v>
      </c>
      <c r="C173" s="9">
        <v>23</v>
      </c>
      <c r="D173" s="8" t="str">
        <f t="shared" si="25"/>
        <v>N</v>
      </c>
      <c r="E173" s="8" t="str">
        <f t="shared" si="26"/>
        <v>N</v>
      </c>
      <c r="F173" s="8" t="str">
        <f t="shared" si="27"/>
        <v>N</v>
      </c>
      <c r="G173" s="8" t="str">
        <f t="shared" si="28"/>
        <v>N</v>
      </c>
      <c r="H173" s="8" t="str">
        <f t="shared" si="29"/>
        <v>Lower</v>
      </c>
      <c r="I173" s="8" t="str">
        <f t="shared" si="30"/>
        <v>Outside</v>
      </c>
      <c r="J173" s="8" t="str">
        <f t="shared" si="31"/>
        <v>Outside</v>
      </c>
      <c r="K173" s="8" t="str">
        <f t="shared" si="32"/>
        <v>Post-1949</v>
      </c>
      <c r="L173" s="8">
        <f t="shared" si="33"/>
        <v>2004</v>
      </c>
      <c r="M173" s="8" t="str">
        <f t="shared" si="35"/>
        <v>1991-present</v>
      </c>
      <c r="N173" s="10" t="s">
        <v>242</v>
      </c>
      <c r="O173" s="10" t="s">
        <v>242</v>
      </c>
      <c r="P173" s="10" t="s">
        <v>242</v>
      </c>
      <c r="Q173" s="10" t="s">
        <v>242</v>
      </c>
      <c r="R173" s="10" t="s">
        <v>241</v>
      </c>
      <c r="S173" s="10" t="s">
        <v>242</v>
      </c>
      <c r="T173" s="10" t="s">
        <v>241</v>
      </c>
      <c r="U173" s="10" t="s">
        <v>241</v>
      </c>
      <c r="V173" s="10" t="s">
        <v>241</v>
      </c>
      <c r="W173" s="10" t="s">
        <v>242</v>
      </c>
      <c r="X173" s="15">
        <f>IF(ISERROR(VLOOKUP($A173,'13. Updated Demand'!A:Z,15,FALSE)),0,VLOOKUP($A173,'13. Updated Demand'!A:Z,15,FALSE))</f>
        <v>0</v>
      </c>
      <c r="Y173" s="16">
        <f>IF(ISERROR(VLOOKUP($A173,'13. Updated Demand'!A:Z,16,FALSE)),0,VLOOKUP($A173,'13. Updated Demand'!A:Z,16,FALSE))</f>
        <v>0</v>
      </c>
      <c r="Z173" s="16">
        <f>IF(ISERROR(VLOOKUP($A173,'13. Updated Demand'!A:Z,17,FALSE)),0,VLOOKUP($A173,'13. Updated Demand'!A:Z,17,FALSE))</f>
        <v>0</v>
      </c>
      <c r="AA173" s="16">
        <f>IF(ISERROR(VLOOKUP($A173,'13. Updated Demand'!A:Z,18,FALSE)),0,VLOOKUP($A173,'13. Updated Demand'!A:Z,18,FALSE))</f>
        <v>0</v>
      </c>
      <c r="AB173" s="16">
        <f>IF(ISERROR(VLOOKUP($A173,'13. Updated Demand'!A:Z,19,FALSE)),0,VLOOKUP($A173,'13. Updated Demand'!A:Z,19,FALSE))</f>
        <v>0</v>
      </c>
      <c r="AC173" s="16">
        <f>IF(ISERROR(VLOOKUP($A173,'13. Updated Demand'!A:Z,20,FALSE)),0,VLOOKUP($A173,'13. Updated Demand'!A:Z,20,FALSE))</f>
        <v>0</v>
      </c>
      <c r="AD173" s="16">
        <f>IF(ISERROR(VLOOKUP($A173,'13. Updated Demand'!A:Z,21,FALSE)),0,VLOOKUP($A173,'13. Updated Demand'!A:Z,21,FALSE))</f>
        <v>0</v>
      </c>
      <c r="AE173" s="16">
        <f>IF(ISERROR(VLOOKUP($A173,'13. Updated Demand'!A:Z,22,FALSE)),0,VLOOKUP($A173,'13. Updated Demand'!A:Z,22,FALSE))</f>
        <v>0</v>
      </c>
      <c r="AF173" s="16">
        <f>IF(ISERROR(VLOOKUP($A173,'13. Updated Demand'!A:Z,23,FALSE)),0,VLOOKUP($A173,'13. Updated Demand'!A:Z,23,FALSE))</f>
        <v>0</v>
      </c>
      <c r="AG173" s="16">
        <f>IF(ISERROR(VLOOKUP($A173,'13. Updated Demand'!A:Z,24,FALSE)),0,VLOOKUP($A173,'13. Updated Demand'!A:Z,24,FALSE))</f>
        <v>0</v>
      </c>
      <c r="AH173" s="16">
        <f>IF(ISERROR(VLOOKUP($A173,'13. Updated Demand'!A:Z,25,FALSE)),0,VLOOKUP($A173,'13. Updated Demand'!A:Z,25,FALSE))</f>
        <v>0</v>
      </c>
      <c r="AI173" s="16">
        <f>IF(ISERROR(VLOOKUP($A173,'13. Updated Demand'!A:Z,26,FALSE)),0,VLOOKUP($A173,'13. Updated Demand'!A:Z,26,FALSE))</f>
        <v>0</v>
      </c>
      <c r="AJ173" s="16">
        <f t="shared" si="36"/>
        <v>0</v>
      </c>
      <c r="AK173" s="19">
        <v>0</v>
      </c>
      <c r="AL173" s="16">
        <f t="shared" si="34"/>
        <v>0</v>
      </c>
      <c r="AM173" s="17">
        <v>0</v>
      </c>
      <c r="AN173" s="19"/>
      <c r="AO173" s="19"/>
      <c r="AP173" s="19">
        <v>22</v>
      </c>
      <c r="AQ173" s="19" t="s">
        <v>307</v>
      </c>
      <c r="AR173" s="9" t="s">
        <v>378</v>
      </c>
      <c r="AS173" s="12">
        <v>0</v>
      </c>
      <c r="AT173" s="19">
        <v>38.398700519999998</v>
      </c>
      <c r="AU173" s="19">
        <v>-122.63521746000001</v>
      </c>
      <c r="AV173" s="19" t="s">
        <v>417</v>
      </c>
    </row>
    <row r="174" spans="1:48" x14ac:dyDescent="0.25">
      <c r="A174" s="18" t="s">
        <v>537</v>
      </c>
      <c r="B174" s="10">
        <v>20040524</v>
      </c>
      <c r="C174" s="9">
        <v>1</v>
      </c>
      <c r="D174" s="8" t="str">
        <f t="shared" si="25"/>
        <v>N</v>
      </c>
      <c r="E174" s="8" t="str">
        <f t="shared" si="26"/>
        <v>N</v>
      </c>
      <c r="F174" s="8" t="str">
        <f t="shared" si="27"/>
        <v>Y</v>
      </c>
      <c r="G174" s="8" t="str">
        <f t="shared" si="28"/>
        <v>Y</v>
      </c>
      <c r="H174" s="8" t="str">
        <f t="shared" si="29"/>
        <v>Upper</v>
      </c>
      <c r="I174" s="8" t="str">
        <f t="shared" si="30"/>
        <v>West Fork and Below Lake</v>
      </c>
      <c r="J174" s="8" t="str">
        <f t="shared" si="31"/>
        <v>Outside</v>
      </c>
      <c r="K174" s="8" t="str">
        <f t="shared" si="32"/>
        <v>Post-1949</v>
      </c>
      <c r="L174" s="8">
        <f t="shared" si="33"/>
        <v>2004</v>
      </c>
      <c r="M174" s="8" t="str">
        <f t="shared" si="35"/>
        <v>1991-present</v>
      </c>
      <c r="N174" s="10" t="s">
        <v>242</v>
      </c>
      <c r="O174" s="10" t="s">
        <v>241</v>
      </c>
      <c r="P174" s="10" t="s">
        <v>242</v>
      </c>
      <c r="Q174" s="10" t="s">
        <v>242</v>
      </c>
      <c r="R174" s="10" t="s">
        <v>241</v>
      </c>
      <c r="S174" s="10" t="s">
        <v>242</v>
      </c>
      <c r="T174" s="10" t="s">
        <v>241</v>
      </c>
      <c r="U174" s="10" t="s">
        <v>241</v>
      </c>
      <c r="V174" s="10" t="s">
        <v>241</v>
      </c>
      <c r="W174" s="10" t="s">
        <v>242</v>
      </c>
      <c r="X174" s="15">
        <f>IF(ISERROR(VLOOKUP($A174,'13. Updated Demand'!A:Z,15,FALSE)),0,VLOOKUP($A174,'13. Updated Demand'!A:Z,15,FALSE))</f>
        <v>0</v>
      </c>
      <c r="Y174" s="16">
        <f>IF(ISERROR(VLOOKUP($A174,'13. Updated Demand'!A:Z,16,FALSE)),0,VLOOKUP($A174,'13. Updated Demand'!A:Z,16,FALSE))</f>
        <v>0</v>
      </c>
      <c r="Z174" s="16">
        <f>IF(ISERROR(VLOOKUP($A174,'13. Updated Demand'!A:Z,17,FALSE)),0,VLOOKUP($A174,'13. Updated Demand'!A:Z,17,FALSE))</f>
        <v>0</v>
      </c>
      <c r="AA174" s="16">
        <f>IF(ISERROR(VLOOKUP($A174,'13. Updated Demand'!A:Z,18,FALSE)),0,VLOOKUP($A174,'13. Updated Demand'!A:Z,18,FALSE))</f>
        <v>0</v>
      </c>
      <c r="AB174" s="16">
        <f>IF(ISERROR(VLOOKUP($A174,'13. Updated Demand'!A:Z,19,FALSE)),0,VLOOKUP($A174,'13. Updated Demand'!A:Z,19,FALSE))</f>
        <v>0</v>
      </c>
      <c r="AC174" s="16">
        <f>IF(ISERROR(VLOOKUP($A174,'13. Updated Demand'!A:Z,20,FALSE)),0,VLOOKUP($A174,'13. Updated Demand'!A:Z,20,FALSE))</f>
        <v>0</v>
      </c>
      <c r="AD174" s="16">
        <f>IF(ISERROR(VLOOKUP($A174,'13. Updated Demand'!A:Z,21,FALSE)),0,VLOOKUP($A174,'13. Updated Demand'!A:Z,21,FALSE))</f>
        <v>0</v>
      </c>
      <c r="AE174" s="16">
        <f>IF(ISERROR(VLOOKUP($A174,'13. Updated Demand'!A:Z,22,FALSE)),0,VLOOKUP($A174,'13. Updated Demand'!A:Z,22,FALSE))</f>
        <v>0</v>
      </c>
      <c r="AF174" s="16">
        <f>IF(ISERROR(VLOOKUP($A174,'13. Updated Demand'!A:Z,23,FALSE)),0,VLOOKUP($A174,'13. Updated Demand'!A:Z,23,FALSE))</f>
        <v>0</v>
      </c>
      <c r="AG174" s="16">
        <f>IF(ISERROR(VLOOKUP($A174,'13. Updated Demand'!A:Z,24,FALSE)),0,VLOOKUP($A174,'13. Updated Demand'!A:Z,24,FALSE))</f>
        <v>0</v>
      </c>
      <c r="AH174" s="16">
        <f>IF(ISERROR(VLOOKUP($A174,'13. Updated Demand'!A:Z,25,FALSE)),0,VLOOKUP($A174,'13. Updated Demand'!A:Z,25,FALSE))</f>
        <v>0</v>
      </c>
      <c r="AI174" s="16">
        <f>IF(ISERROR(VLOOKUP($A174,'13. Updated Demand'!A:Z,26,FALSE)),0,VLOOKUP($A174,'13. Updated Demand'!A:Z,26,FALSE))</f>
        <v>0</v>
      </c>
      <c r="AJ174" s="16">
        <f t="shared" si="36"/>
        <v>0</v>
      </c>
      <c r="AK174" s="19">
        <v>0</v>
      </c>
      <c r="AL174" s="16">
        <f t="shared" si="34"/>
        <v>0</v>
      </c>
      <c r="AM174" s="17">
        <v>0</v>
      </c>
      <c r="AN174" s="19"/>
      <c r="AO174" s="19"/>
      <c r="AP174" s="19">
        <v>72.7</v>
      </c>
      <c r="AQ174" s="19" t="s">
        <v>307</v>
      </c>
      <c r="AR174" s="9" t="s">
        <v>317</v>
      </c>
      <c r="AS174" s="12">
        <v>0</v>
      </c>
      <c r="AT174" s="19">
        <v>39.214599999999997</v>
      </c>
      <c r="AU174" s="19">
        <v>-123.22369999999999</v>
      </c>
      <c r="AV174" s="19"/>
    </row>
    <row r="175" spans="1:48" x14ac:dyDescent="0.25">
      <c r="A175" s="18" t="s">
        <v>538</v>
      </c>
      <c r="B175" s="10">
        <v>20040910</v>
      </c>
      <c r="C175" s="9">
        <v>1</v>
      </c>
      <c r="D175" s="8" t="str">
        <f t="shared" si="25"/>
        <v>N</v>
      </c>
      <c r="E175" s="8" t="str">
        <f t="shared" si="26"/>
        <v>N</v>
      </c>
      <c r="F175" s="8" t="str">
        <f t="shared" si="27"/>
        <v>Y</v>
      </c>
      <c r="G175" s="8" t="str">
        <f t="shared" si="28"/>
        <v>Y</v>
      </c>
      <c r="H175" s="8" t="str">
        <f t="shared" si="29"/>
        <v>Upper</v>
      </c>
      <c r="I175" s="8" t="str">
        <f t="shared" si="30"/>
        <v>West Fork and Below Lake</v>
      </c>
      <c r="J175" s="8" t="str">
        <f t="shared" si="31"/>
        <v>Outside</v>
      </c>
      <c r="K175" s="8" t="str">
        <f t="shared" si="32"/>
        <v>Post-1949</v>
      </c>
      <c r="L175" s="8">
        <f t="shared" si="33"/>
        <v>2004</v>
      </c>
      <c r="M175" s="8" t="str">
        <f t="shared" si="35"/>
        <v>1991-present</v>
      </c>
      <c r="N175" s="10" t="s">
        <v>242</v>
      </c>
      <c r="O175" s="10" t="s">
        <v>241</v>
      </c>
      <c r="P175" s="10" t="s">
        <v>242</v>
      </c>
      <c r="Q175" s="10" t="s">
        <v>242</v>
      </c>
      <c r="R175" s="10" t="s">
        <v>241</v>
      </c>
      <c r="S175" s="10" t="s">
        <v>242</v>
      </c>
      <c r="T175" s="10" t="s">
        <v>242</v>
      </c>
      <c r="U175" s="10" t="s">
        <v>242</v>
      </c>
      <c r="V175" s="10" t="s">
        <v>241</v>
      </c>
      <c r="W175" s="10" t="s">
        <v>242</v>
      </c>
      <c r="X175" s="15">
        <f>IF(ISERROR(VLOOKUP($A175,'13. Updated Demand'!A:Z,15,FALSE)),0,VLOOKUP($A175,'13. Updated Demand'!A:Z,15,FALSE))</f>
        <v>0</v>
      </c>
      <c r="Y175" s="16">
        <f>IF(ISERROR(VLOOKUP($A175,'13. Updated Demand'!A:Z,16,FALSE)),0,VLOOKUP($A175,'13. Updated Demand'!A:Z,16,FALSE))</f>
        <v>0</v>
      </c>
      <c r="Z175" s="16">
        <f>IF(ISERROR(VLOOKUP($A175,'13. Updated Demand'!A:Z,17,FALSE)),0,VLOOKUP($A175,'13. Updated Demand'!A:Z,17,FALSE))</f>
        <v>0</v>
      </c>
      <c r="AA175" s="16">
        <f>IF(ISERROR(VLOOKUP($A175,'13. Updated Demand'!A:Z,18,FALSE)),0,VLOOKUP($A175,'13. Updated Demand'!A:Z,18,FALSE))</f>
        <v>0</v>
      </c>
      <c r="AB175" s="16">
        <f>IF(ISERROR(VLOOKUP($A175,'13. Updated Demand'!A:Z,19,FALSE)),0,VLOOKUP($A175,'13. Updated Demand'!A:Z,19,FALSE))</f>
        <v>0</v>
      </c>
      <c r="AC175" s="16">
        <f>IF(ISERROR(VLOOKUP($A175,'13. Updated Demand'!A:Z,20,FALSE)),0,VLOOKUP($A175,'13. Updated Demand'!A:Z,20,FALSE))</f>
        <v>0</v>
      </c>
      <c r="AD175" s="16">
        <f>IF(ISERROR(VLOOKUP($A175,'13. Updated Demand'!A:Z,21,FALSE)),0,VLOOKUP($A175,'13. Updated Demand'!A:Z,21,FALSE))</f>
        <v>0</v>
      </c>
      <c r="AE175" s="16">
        <f>IF(ISERROR(VLOOKUP($A175,'13. Updated Demand'!A:Z,22,FALSE)),0,VLOOKUP($A175,'13. Updated Demand'!A:Z,22,FALSE))</f>
        <v>0</v>
      </c>
      <c r="AF175" s="16">
        <f>IF(ISERROR(VLOOKUP($A175,'13. Updated Demand'!A:Z,23,FALSE)),0,VLOOKUP($A175,'13. Updated Demand'!A:Z,23,FALSE))</f>
        <v>0</v>
      </c>
      <c r="AG175" s="16">
        <f>IF(ISERROR(VLOOKUP($A175,'13. Updated Demand'!A:Z,24,FALSE)),0,VLOOKUP($A175,'13. Updated Demand'!A:Z,24,FALSE))</f>
        <v>0</v>
      </c>
      <c r="AH175" s="16">
        <f>IF(ISERROR(VLOOKUP($A175,'13. Updated Demand'!A:Z,25,FALSE)),0,VLOOKUP($A175,'13. Updated Demand'!A:Z,25,FALSE))</f>
        <v>0.5</v>
      </c>
      <c r="AI175" s="16">
        <f>IF(ISERROR(VLOOKUP($A175,'13. Updated Demand'!A:Z,26,FALSE)),0,VLOOKUP($A175,'13. Updated Demand'!A:Z,26,FALSE))</f>
        <v>0</v>
      </c>
      <c r="AJ175" s="16">
        <f t="shared" si="36"/>
        <v>0.5</v>
      </c>
      <c r="AK175" s="19">
        <v>0</v>
      </c>
      <c r="AL175" s="16">
        <f t="shared" si="34"/>
        <v>0</v>
      </c>
      <c r="AM175" s="17">
        <v>0.33333333333333331</v>
      </c>
      <c r="AN175" s="19"/>
      <c r="AO175" s="19"/>
      <c r="AP175" s="19">
        <v>1.5</v>
      </c>
      <c r="AQ175" s="19" t="s">
        <v>307</v>
      </c>
      <c r="AR175" s="9" t="s">
        <v>317</v>
      </c>
      <c r="AS175" s="12">
        <v>3.4039024194010059E-4</v>
      </c>
      <c r="AT175" s="19">
        <v>39.281270749999997</v>
      </c>
      <c r="AU175" s="19">
        <v>-123.18477851999999</v>
      </c>
      <c r="AV175" s="19" t="s">
        <v>417</v>
      </c>
    </row>
    <row r="176" spans="1:48" x14ac:dyDescent="0.25">
      <c r="A176" s="18" t="s">
        <v>539</v>
      </c>
      <c r="B176" s="10">
        <v>20041206</v>
      </c>
      <c r="C176" s="9">
        <v>18</v>
      </c>
      <c r="D176" s="8" t="str">
        <f t="shared" si="25"/>
        <v>N</v>
      </c>
      <c r="E176" s="8" t="str">
        <f t="shared" si="26"/>
        <v>N</v>
      </c>
      <c r="F176" s="8" t="str">
        <f t="shared" si="27"/>
        <v>N</v>
      </c>
      <c r="G176" s="8" t="str">
        <f t="shared" si="28"/>
        <v>N</v>
      </c>
      <c r="H176" s="8" t="str">
        <f t="shared" si="29"/>
        <v>Lower</v>
      </c>
      <c r="I176" s="8" t="str">
        <f t="shared" si="30"/>
        <v>Outside</v>
      </c>
      <c r="J176" s="8" t="str">
        <f t="shared" si="31"/>
        <v>Outside</v>
      </c>
      <c r="K176" s="8" t="str">
        <f t="shared" si="32"/>
        <v>Post-1949</v>
      </c>
      <c r="L176" s="8">
        <f t="shared" si="33"/>
        <v>2004</v>
      </c>
      <c r="M176" s="8" t="str">
        <f t="shared" si="35"/>
        <v>1991-present</v>
      </c>
      <c r="N176" s="10" t="s">
        <v>242</v>
      </c>
      <c r="O176" s="10" t="s">
        <v>242</v>
      </c>
      <c r="P176" s="10" t="s">
        <v>242</v>
      </c>
      <c r="Q176" s="10" t="s">
        <v>242</v>
      </c>
      <c r="R176" s="10" t="s">
        <v>241</v>
      </c>
      <c r="S176" s="10" t="s">
        <v>242</v>
      </c>
      <c r="T176" s="10" t="s">
        <v>242</v>
      </c>
      <c r="U176" s="10" t="s">
        <v>241</v>
      </c>
      <c r="V176" s="10" t="s">
        <v>241</v>
      </c>
      <c r="W176" s="10" t="s">
        <v>242</v>
      </c>
      <c r="X176" s="15">
        <f>IF(ISERROR(VLOOKUP($A176,'13. Updated Demand'!A:Z,15,FALSE)),0,VLOOKUP($A176,'13. Updated Demand'!A:Z,15,FALSE))</f>
        <v>0</v>
      </c>
      <c r="Y176" s="16">
        <f>IF(ISERROR(VLOOKUP($A176,'13. Updated Demand'!A:Z,16,FALSE)),0,VLOOKUP($A176,'13. Updated Demand'!A:Z,16,FALSE))</f>
        <v>0</v>
      </c>
      <c r="Z176" s="16">
        <f>IF(ISERROR(VLOOKUP($A176,'13. Updated Demand'!A:Z,17,FALSE)),0,VLOOKUP($A176,'13. Updated Demand'!A:Z,17,FALSE))</f>
        <v>0</v>
      </c>
      <c r="AA176" s="16">
        <f>IF(ISERROR(VLOOKUP($A176,'13. Updated Demand'!A:Z,18,FALSE)),0,VLOOKUP($A176,'13. Updated Demand'!A:Z,18,FALSE))</f>
        <v>0</v>
      </c>
      <c r="AB176" s="16">
        <f>IF(ISERROR(VLOOKUP($A176,'13. Updated Demand'!A:Z,19,FALSE)),0,VLOOKUP($A176,'13. Updated Demand'!A:Z,19,FALSE))</f>
        <v>0</v>
      </c>
      <c r="AC176" s="16">
        <f>IF(ISERROR(VLOOKUP($A176,'13. Updated Demand'!A:Z,20,FALSE)),0,VLOOKUP($A176,'13. Updated Demand'!A:Z,20,FALSE))</f>
        <v>0</v>
      </c>
      <c r="AD176" s="16">
        <f>IF(ISERROR(VLOOKUP($A176,'13. Updated Demand'!A:Z,21,FALSE)),0,VLOOKUP($A176,'13. Updated Demand'!A:Z,21,FALSE))</f>
        <v>0</v>
      </c>
      <c r="AE176" s="16">
        <f>IF(ISERROR(VLOOKUP($A176,'13. Updated Demand'!A:Z,22,FALSE)),0,VLOOKUP($A176,'13. Updated Demand'!A:Z,22,FALSE))</f>
        <v>0</v>
      </c>
      <c r="AF176" s="16">
        <f>IF(ISERROR(VLOOKUP($A176,'13. Updated Demand'!A:Z,23,FALSE)),0,VLOOKUP($A176,'13. Updated Demand'!A:Z,23,FALSE))</f>
        <v>0</v>
      </c>
      <c r="AG176" s="16">
        <f>IF(ISERROR(VLOOKUP($A176,'13. Updated Demand'!A:Z,24,FALSE)),0,VLOOKUP($A176,'13. Updated Demand'!A:Z,24,FALSE))</f>
        <v>0</v>
      </c>
      <c r="AH176" s="16">
        <f>IF(ISERROR(VLOOKUP($A176,'13. Updated Demand'!A:Z,25,FALSE)),0,VLOOKUP($A176,'13. Updated Demand'!A:Z,25,FALSE))</f>
        <v>0</v>
      </c>
      <c r="AI176" s="16">
        <f>IF(ISERROR(VLOOKUP($A176,'13. Updated Demand'!A:Z,26,FALSE)),0,VLOOKUP($A176,'13. Updated Demand'!A:Z,26,FALSE))</f>
        <v>0</v>
      </c>
      <c r="AJ176" s="16">
        <f t="shared" si="36"/>
        <v>0</v>
      </c>
      <c r="AK176" s="19">
        <v>0</v>
      </c>
      <c r="AL176" s="16">
        <f t="shared" si="34"/>
        <v>0</v>
      </c>
      <c r="AM176" s="17">
        <v>0</v>
      </c>
      <c r="AN176" s="19"/>
      <c r="AO176" s="19"/>
      <c r="AP176" s="19">
        <v>0.22</v>
      </c>
      <c r="AQ176" s="19" t="s">
        <v>307</v>
      </c>
      <c r="AR176" s="9" t="s">
        <v>352</v>
      </c>
      <c r="AS176" s="12">
        <v>3.4039024194010059E-4</v>
      </c>
      <c r="AT176" s="19">
        <v>38.373805019999999</v>
      </c>
      <c r="AU176" s="19">
        <v>-122.86666993999999</v>
      </c>
      <c r="AV176" s="19" t="s">
        <v>417</v>
      </c>
    </row>
    <row r="177" spans="1:48" x14ac:dyDescent="0.25">
      <c r="A177" s="18" t="s">
        <v>540</v>
      </c>
      <c r="B177" s="10">
        <v>20040812</v>
      </c>
      <c r="C177" s="9">
        <v>1</v>
      </c>
      <c r="D177" s="8" t="str">
        <f t="shared" si="25"/>
        <v>N</v>
      </c>
      <c r="E177" s="8" t="str">
        <f t="shared" si="26"/>
        <v>N</v>
      </c>
      <c r="F177" s="8" t="str">
        <f t="shared" si="27"/>
        <v>Y</v>
      </c>
      <c r="G177" s="8" t="str">
        <f t="shared" si="28"/>
        <v>Y</v>
      </c>
      <c r="H177" s="8" t="str">
        <f t="shared" si="29"/>
        <v>Upper</v>
      </c>
      <c r="I177" s="8" t="str">
        <f t="shared" si="30"/>
        <v>West Fork and Below Lake</v>
      </c>
      <c r="J177" s="8" t="str">
        <f t="shared" si="31"/>
        <v>Outside</v>
      </c>
      <c r="K177" s="8" t="str">
        <f t="shared" si="32"/>
        <v>Post-1949</v>
      </c>
      <c r="L177" s="8">
        <f t="shared" si="33"/>
        <v>2004</v>
      </c>
      <c r="M177" s="8" t="str">
        <f t="shared" si="35"/>
        <v>1991-present</v>
      </c>
      <c r="N177" s="10" t="s">
        <v>242</v>
      </c>
      <c r="O177" s="10" t="s">
        <v>241</v>
      </c>
      <c r="P177" s="10" t="s">
        <v>242</v>
      </c>
      <c r="Q177" s="10" t="s">
        <v>242</v>
      </c>
      <c r="R177" s="10" t="s">
        <v>241</v>
      </c>
      <c r="S177" s="10" t="s">
        <v>242</v>
      </c>
      <c r="T177" s="10" t="s">
        <v>242</v>
      </c>
      <c r="U177" s="10" t="s">
        <v>242</v>
      </c>
      <c r="V177" s="10" t="s">
        <v>242</v>
      </c>
      <c r="W177" s="10" t="s">
        <v>242</v>
      </c>
      <c r="X177" s="15">
        <f>IF(ISERROR(VLOOKUP($A177,'13. Updated Demand'!A:Z,15,FALSE)),0,VLOOKUP($A177,'13. Updated Demand'!A:Z,15,FALSE))</f>
        <v>1</v>
      </c>
      <c r="Y177" s="16">
        <f>IF(ISERROR(VLOOKUP($A177,'13. Updated Demand'!A:Z,16,FALSE)),0,VLOOKUP($A177,'13. Updated Demand'!A:Z,16,FALSE))</f>
        <v>2</v>
      </c>
      <c r="Z177" s="16">
        <f>IF(ISERROR(VLOOKUP($A177,'13. Updated Demand'!A:Z,17,FALSE)),0,VLOOKUP($A177,'13. Updated Demand'!A:Z,17,FALSE))</f>
        <v>2</v>
      </c>
      <c r="AA177" s="16">
        <f>IF(ISERROR(VLOOKUP($A177,'13. Updated Demand'!A:Z,18,FALSE)),0,VLOOKUP($A177,'13. Updated Demand'!A:Z,18,FALSE))</f>
        <v>1.7</v>
      </c>
      <c r="AB177" s="16">
        <f>IF(ISERROR(VLOOKUP($A177,'13. Updated Demand'!A:Z,19,FALSE)),0,VLOOKUP($A177,'13. Updated Demand'!A:Z,19,FALSE))</f>
        <v>1</v>
      </c>
      <c r="AC177" s="16">
        <f>IF(ISERROR(VLOOKUP($A177,'13. Updated Demand'!A:Z,20,FALSE)),0,VLOOKUP($A177,'13. Updated Demand'!A:Z,20,FALSE))</f>
        <v>0</v>
      </c>
      <c r="AD177" s="16">
        <f>IF(ISERROR(VLOOKUP($A177,'13. Updated Demand'!A:Z,21,FALSE)),0,VLOOKUP($A177,'13. Updated Demand'!A:Z,21,FALSE))</f>
        <v>0</v>
      </c>
      <c r="AE177" s="16">
        <f>IF(ISERROR(VLOOKUP($A177,'13. Updated Demand'!A:Z,22,FALSE)),0,VLOOKUP($A177,'13. Updated Demand'!A:Z,22,FALSE))</f>
        <v>0</v>
      </c>
      <c r="AF177" s="16">
        <f>IF(ISERROR(VLOOKUP($A177,'13. Updated Demand'!A:Z,23,FALSE)),0,VLOOKUP($A177,'13. Updated Demand'!A:Z,23,FALSE))</f>
        <v>0</v>
      </c>
      <c r="AG177" s="16">
        <f>IF(ISERROR(VLOOKUP($A177,'13. Updated Demand'!A:Z,24,FALSE)),0,VLOOKUP($A177,'13. Updated Demand'!A:Z,24,FALSE))</f>
        <v>0</v>
      </c>
      <c r="AH177" s="16">
        <f>IF(ISERROR(VLOOKUP($A177,'13. Updated Demand'!A:Z,25,FALSE)),0,VLOOKUP($A177,'13. Updated Demand'!A:Z,25,FALSE))</f>
        <v>0</v>
      </c>
      <c r="AI177" s="16">
        <f>IF(ISERROR(VLOOKUP($A177,'13. Updated Demand'!A:Z,26,FALSE)),0,VLOOKUP($A177,'13. Updated Demand'!A:Z,26,FALSE))</f>
        <v>0</v>
      </c>
      <c r="AJ177" s="16">
        <f t="shared" si="36"/>
        <v>7.7</v>
      </c>
      <c r="AK177" s="19">
        <v>1</v>
      </c>
      <c r="AL177" s="16">
        <f t="shared" si="34"/>
        <v>3.3168860892955087E-3</v>
      </c>
      <c r="AM177" s="17">
        <v>1</v>
      </c>
      <c r="AN177" s="19"/>
      <c r="AO177" s="19"/>
      <c r="AP177" s="19">
        <v>7.7</v>
      </c>
      <c r="AQ177" s="19" t="s">
        <v>307</v>
      </c>
      <c r="AR177" s="9" t="s">
        <v>317</v>
      </c>
      <c r="AS177" s="12">
        <v>0</v>
      </c>
      <c r="AT177" s="19">
        <v>39.230600000000003</v>
      </c>
      <c r="AU177" s="19">
        <v>-123.2199</v>
      </c>
      <c r="AV177" s="19" t="s">
        <v>417</v>
      </c>
    </row>
    <row r="178" spans="1:48" x14ac:dyDescent="0.25">
      <c r="A178" s="18" t="s">
        <v>541</v>
      </c>
      <c r="B178" s="10">
        <v>20030228</v>
      </c>
      <c r="C178" s="9">
        <v>3</v>
      </c>
      <c r="D178" s="8" t="str">
        <f t="shared" si="25"/>
        <v>N</v>
      </c>
      <c r="E178" s="8" t="str">
        <f t="shared" si="26"/>
        <v>N</v>
      </c>
      <c r="F178" s="8" t="str">
        <f t="shared" si="27"/>
        <v>Y</v>
      </c>
      <c r="G178" s="8" t="str">
        <f t="shared" si="28"/>
        <v>N</v>
      </c>
      <c r="H178" s="8" t="str">
        <f t="shared" si="29"/>
        <v>Upper</v>
      </c>
      <c r="I178" s="8" t="str">
        <f t="shared" si="30"/>
        <v>Outside</v>
      </c>
      <c r="J178" s="8" t="str">
        <f t="shared" si="31"/>
        <v>Outside</v>
      </c>
      <c r="K178" s="8" t="str">
        <f t="shared" si="32"/>
        <v>Post-1949</v>
      </c>
      <c r="L178" s="8">
        <f t="shared" si="33"/>
        <v>2003</v>
      </c>
      <c r="M178" s="8" t="str">
        <f t="shared" si="35"/>
        <v>1991-present</v>
      </c>
      <c r="N178" s="10" t="s">
        <v>241</v>
      </c>
      <c r="O178" s="10" t="s">
        <v>241</v>
      </c>
      <c r="P178" s="10" t="s">
        <v>242</v>
      </c>
      <c r="Q178" s="10" t="s">
        <v>242</v>
      </c>
      <c r="R178" s="10" t="s">
        <v>241</v>
      </c>
      <c r="S178" s="10" t="s">
        <v>242</v>
      </c>
      <c r="T178" s="10" t="s">
        <v>241</v>
      </c>
      <c r="U178" s="10" t="s">
        <v>241</v>
      </c>
      <c r="V178" s="10" t="s">
        <v>241</v>
      </c>
      <c r="W178" s="10" t="s">
        <v>242</v>
      </c>
      <c r="X178" s="15">
        <f>IF(ISERROR(VLOOKUP($A178,'13. Updated Demand'!A:Z,15,FALSE)),0,VLOOKUP($A178,'13. Updated Demand'!A:Z,15,FALSE))</f>
        <v>0</v>
      </c>
      <c r="Y178" s="16">
        <f>IF(ISERROR(VLOOKUP($A178,'13. Updated Demand'!A:Z,16,FALSE)),0,VLOOKUP($A178,'13. Updated Demand'!A:Z,16,FALSE))</f>
        <v>0</v>
      </c>
      <c r="Z178" s="16">
        <f>IF(ISERROR(VLOOKUP($A178,'13. Updated Demand'!A:Z,17,FALSE)),0,VLOOKUP($A178,'13. Updated Demand'!A:Z,17,FALSE))</f>
        <v>0</v>
      </c>
      <c r="AA178" s="16">
        <f>IF(ISERROR(VLOOKUP($A178,'13. Updated Demand'!A:Z,18,FALSE)),0,VLOOKUP($A178,'13. Updated Demand'!A:Z,18,FALSE))</f>
        <v>0</v>
      </c>
      <c r="AB178" s="16">
        <f>IF(ISERROR(VLOOKUP($A178,'13. Updated Demand'!A:Z,19,FALSE)),0,VLOOKUP($A178,'13. Updated Demand'!A:Z,19,FALSE))</f>
        <v>0</v>
      </c>
      <c r="AC178" s="16">
        <f>IF(ISERROR(VLOOKUP($A178,'13. Updated Demand'!A:Z,20,FALSE)),0,VLOOKUP($A178,'13. Updated Demand'!A:Z,20,FALSE))</f>
        <v>0</v>
      </c>
      <c r="AD178" s="16">
        <f>IF(ISERROR(VLOOKUP($A178,'13. Updated Demand'!A:Z,21,FALSE)),0,VLOOKUP($A178,'13. Updated Demand'!A:Z,21,FALSE))</f>
        <v>0</v>
      </c>
      <c r="AE178" s="16">
        <f>IF(ISERROR(VLOOKUP($A178,'13. Updated Demand'!A:Z,22,FALSE)),0,VLOOKUP($A178,'13. Updated Demand'!A:Z,22,FALSE))</f>
        <v>0</v>
      </c>
      <c r="AF178" s="16">
        <f>IF(ISERROR(VLOOKUP($A178,'13. Updated Demand'!A:Z,23,FALSE)),0,VLOOKUP($A178,'13. Updated Demand'!A:Z,23,FALSE))</f>
        <v>0</v>
      </c>
      <c r="AG178" s="16">
        <f>IF(ISERROR(VLOOKUP($A178,'13. Updated Demand'!A:Z,24,FALSE)),0,VLOOKUP($A178,'13. Updated Demand'!A:Z,24,FALSE))</f>
        <v>0</v>
      </c>
      <c r="AH178" s="16">
        <f>IF(ISERROR(VLOOKUP($A178,'13. Updated Demand'!A:Z,25,FALSE)),0,VLOOKUP($A178,'13. Updated Demand'!A:Z,25,FALSE))</f>
        <v>0</v>
      </c>
      <c r="AI178" s="16">
        <f>IF(ISERROR(VLOOKUP($A178,'13. Updated Demand'!A:Z,26,FALSE)),0,VLOOKUP($A178,'13. Updated Demand'!A:Z,26,FALSE))</f>
        <v>0</v>
      </c>
      <c r="AJ178" s="16">
        <f t="shared" si="36"/>
        <v>0</v>
      </c>
      <c r="AK178" s="19">
        <v>0</v>
      </c>
      <c r="AL178" s="16">
        <f t="shared" si="34"/>
        <v>0</v>
      </c>
      <c r="AM178" s="17">
        <v>0</v>
      </c>
      <c r="AN178" s="19"/>
      <c r="AO178" s="19"/>
      <c r="AP178" s="19">
        <v>2600</v>
      </c>
      <c r="AQ178" s="19" t="s">
        <v>307</v>
      </c>
      <c r="AR178" s="9" t="s">
        <v>326</v>
      </c>
      <c r="AS178" s="12">
        <v>0</v>
      </c>
      <c r="AT178" s="19">
        <v>39.197992820000003</v>
      </c>
      <c r="AU178" s="19">
        <v>-123.18271</v>
      </c>
      <c r="AV178" s="19" t="s">
        <v>542</v>
      </c>
    </row>
    <row r="179" spans="1:48" x14ac:dyDescent="0.25">
      <c r="A179" s="18" t="s">
        <v>543</v>
      </c>
      <c r="B179" s="10">
        <v>20030228</v>
      </c>
      <c r="C179" s="9">
        <v>3</v>
      </c>
      <c r="D179" s="8" t="str">
        <f t="shared" si="25"/>
        <v>N</v>
      </c>
      <c r="E179" s="8" t="str">
        <f t="shared" si="26"/>
        <v>N</v>
      </c>
      <c r="F179" s="8" t="str">
        <f t="shared" si="27"/>
        <v>Y</v>
      </c>
      <c r="G179" s="8" t="str">
        <f t="shared" si="28"/>
        <v>N</v>
      </c>
      <c r="H179" s="8" t="str">
        <f t="shared" si="29"/>
        <v>Upper</v>
      </c>
      <c r="I179" s="8" t="str">
        <f t="shared" si="30"/>
        <v>Outside</v>
      </c>
      <c r="J179" s="8" t="str">
        <f t="shared" si="31"/>
        <v>Outside</v>
      </c>
      <c r="K179" s="8" t="str">
        <f t="shared" si="32"/>
        <v>Post-1949</v>
      </c>
      <c r="L179" s="8">
        <f t="shared" si="33"/>
        <v>2003</v>
      </c>
      <c r="M179" s="8" t="str">
        <f t="shared" si="35"/>
        <v>1991-present</v>
      </c>
      <c r="N179" s="10" t="s">
        <v>241</v>
      </c>
      <c r="O179" s="10" t="s">
        <v>241</v>
      </c>
      <c r="P179" s="10" t="s">
        <v>242</v>
      </c>
      <c r="Q179" s="10" t="s">
        <v>242</v>
      </c>
      <c r="R179" s="10" t="s">
        <v>241</v>
      </c>
      <c r="S179" s="10" t="s">
        <v>242</v>
      </c>
      <c r="T179" s="10" t="s">
        <v>241</v>
      </c>
      <c r="U179" s="10" t="s">
        <v>241</v>
      </c>
      <c r="V179" s="10" t="s">
        <v>241</v>
      </c>
      <c r="W179" s="10" t="s">
        <v>242</v>
      </c>
      <c r="X179" s="15">
        <f>IF(ISERROR(VLOOKUP($A179,'13. Updated Demand'!A:Z,15,FALSE)),0,VLOOKUP($A179,'13. Updated Demand'!A:Z,15,FALSE))</f>
        <v>0</v>
      </c>
      <c r="Y179" s="16">
        <f>IF(ISERROR(VLOOKUP($A179,'13. Updated Demand'!A:Z,16,FALSE)),0,VLOOKUP($A179,'13. Updated Demand'!A:Z,16,FALSE))</f>
        <v>0</v>
      </c>
      <c r="Z179" s="16">
        <f>IF(ISERROR(VLOOKUP($A179,'13. Updated Demand'!A:Z,17,FALSE)),0,VLOOKUP($A179,'13. Updated Demand'!A:Z,17,FALSE))</f>
        <v>0</v>
      </c>
      <c r="AA179" s="16">
        <f>IF(ISERROR(VLOOKUP($A179,'13. Updated Demand'!A:Z,18,FALSE)),0,VLOOKUP($A179,'13. Updated Demand'!A:Z,18,FALSE))</f>
        <v>0</v>
      </c>
      <c r="AB179" s="16">
        <f>IF(ISERROR(VLOOKUP($A179,'13. Updated Demand'!A:Z,19,FALSE)),0,VLOOKUP($A179,'13. Updated Demand'!A:Z,19,FALSE))</f>
        <v>0</v>
      </c>
      <c r="AC179" s="16">
        <f>IF(ISERROR(VLOOKUP($A179,'13. Updated Demand'!A:Z,20,FALSE)),0,VLOOKUP($A179,'13. Updated Demand'!A:Z,20,FALSE))</f>
        <v>0</v>
      </c>
      <c r="AD179" s="16">
        <f>IF(ISERROR(VLOOKUP($A179,'13. Updated Demand'!A:Z,21,FALSE)),0,VLOOKUP($A179,'13. Updated Demand'!A:Z,21,FALSE))</f>
        <v>0</v>
      </c>
      <c r="AE179" s="16">
        <f>IF(ISERROR(VLOOKUP($A179,'13. Updated Demand'!A:Z,22,FALSE)),0,VLOOKUP($A179,'13. Updated Demand'!A:Z,22,FALSE))</f>
        <v>0</v>
      </c>
      <c r="AF179" s="16">
        <f>IF(ISERROR(VLOOKUP($A179,'13. Updated Demand'!A:Z,23,FALSE)),0,VLOOKUP($A179,'13. Updated Demand'!A:Z,23,FALSE))</f>
        <v>0</v>
      </c>
      <c r="AG179" s="16">
        <f>IF(ISERROR(VLOOKUP($A179,'13. Updated Demand'!A:Z,24,FALSE)),0,VLOOKUP($A179,'13. Updated Demand'!A:Z,24,FALSE))</f>
        <v>0</v>
      </c>
      <c r="AH179" s="16">
        <f>IF(ISERROR(VLOOKUP($A179,'13. Updated Demand'!A:Z,25,FALSE)),0,VLOOKUP($A179,'13. Updated Demand'!A:Z,25,FALSE))</f>
        <v>0</v>
      </c>
      <c r="AI179" s="16">
        <f>IF(ISERROR(VLOOKUP($A179,'13. Updated Demand'!A:Z,26,FALSE)),0,VLOOKUP($A179,'13. Updated Demand'!A:Z,26,FALSE))</f>
        <v>0</v>
      </c>
      <c r="AJ179" s="16">
        <f t="shared" si="36"/>
        <v>0</v>
      </c>
      <c r="AK179" s="19">
        <v>0</v>
      </c>
      <c r="AL179" s="16">
        <f t="shared" si="34"/>
        <v>0</v>
      </c>
      <c r="AM179" s="17">
        <v>0</v>
      </c>
      <c r="AN179" s="19"/>
      <c r="AO179" s="19"/>
      <c r="AP179" s="19">
        <v>3400</v>
      </c>
      <c r="AQ179" s="19" t="s">
        <v>307</v>
      </c>
      <c r="AR179" s="9" t="s">
        <v>326</v>
      </c>
      <c r="AS179" s="12">
        <v>0</v>
      </c>
      <c r="AT179" s="19">
        <v>39.221102520000002</v>
      </c>
      <c r="AU179" s="19">
        <v>-123.17833052</v>
      </c>
      <c r="AV179" s="19" t="s">
        <v>542</v>
      </c>
    </row>
    <row r="180" spans="1:48" x14ac:dyDescent="0.25">
      <c r="A180" s="18" t="s">
        <v>544</v>
      </c>
      <c r="B180" s="10">
        <v>20030930</v>
      </c>
      <c r="C180" s="9">
        <v>2</v>
      </c>
      <c r="D180" s="8" t="str">
        <f t="shared" si="25"/>
        <v>N</v>
      </c>
      <c r="E180" s="8" t="str">
        <f t="shared" si="26"/>
        <v>N</v>
      </c>
      <c r="F180" s="8" t="str">
        <f t="shared" si="27"/>
        <v>Y</v>
      </c>
      <c r="G180" s="8" t="str">
        <f t="shared" si="28"/>
        <v>N</v>
      </c>
      <c r="H180" s="8" t="str">
        <f t="shared" si="29"/>
        <v>Upper</v>
      </c>
      <c r="I180" s="8" t="str">
        <f t="shared" si="30"/>
        <v>Outside</v>
      </c>
      <c r="J180" s="8" t="str">
        <f t="shared" si="31"/>
        <v>Outside</v>
      </c>
      <c r="K180" s="8" t="str">
        <f t="shared" si="32"/>
        <v>Post-1949</v>
      </c>
      <c r="L180" s="8">
        <f t="shared" si="33"/>
        <v>2003</v>
      </c>
      <c r="M180" s="8" t="str">
        <f t="shared" si="35"/>
        <v>1991-present</v>
      </c>
      <c r="N180" s="10" t="s">
        <v>242</v>
      </c>
      <c r="O180" s="10" t="s">
        <v>241</v>
      </c>
      <c r="P180" s="10" t="s">
        <v>242</v>
      </c>
      <c r="Q180" s="10" t="s">
        <v>242</v>
      </c>
      <c r="R180" s="10" t="s">
        <v>241</v>
      </c>
      <c r="S180" s="10" t="s">
        <v>242</v>
      </c>
      <c r="T180" s="10" t="s">
        <v>242</v>
      </c>
      <c r="U180" s="10" t="s">
        <v>242</v>
      </c>
      <c r="V180" s="10" t="s">
        <v>241</v>
      </c>
      <c r="W180" s="10" t="s">
        <v>242</v>
      </c>
      <c r="X180" s="15">
        <f>IF(ISERROR(VLOOKUP($A180,'13. Updated Demand'!A:Z,15,FALSE)),0,VLOOKUP($A180,'13. Updated Demand'!A:Z,15,FALSE))</f>
        <v>1.1000000000000001</v>
      </c>
      <c r="Y180" s="16">
        <f>IF(ISERROR(VLOOKUP($A180,'13. Updated Demand'!A:Z,16,FALSE)),0,VLOOKUP($A180,'13. Updated Demand'!A:Z,16,FALSE))</f>
        <v>1.1000000000000001</v>
      </c>
      <c r="Z180" s="16">
        <f>IF(ISERROR(VLOOKUP($A180,'13. Updated Demand'!A:Z,17,FALSE)),0,VLOOKUP($A180,'13. Updated Demand'!A:Z,17,FALSE))</f>
        <v>1</v>
      </c>
      <c r="AA180" s="16">
        <f>IF(ISERROR(VLOOKUP($A180,'13. Updated Demand'!A:Z,18,FALSE)),0,VLOOKUP($A180,'13. Updated Demand'!A:Z,18,FALSE))</f>
        <v>0</v>
      </c>
      <c r="AB180" s="16">
        <f>IF(ISERROR(VLOOKUP($A180,'13. Updated Demand'!A:Z,19,FALSE)),0,VLOOKUP($A180,'13. Updated Demand'!A:Z,19,FALSE))</f>
        <v>0</v>
      </c>
      <c r="AC180" s="16">
        <f>IF(ISERROR(VLOOKUP($A180,'13. Updated Demand'!A:Z,20,FALSE)),0,VLOOKUP($A180,'13. Updated Demand'!A:Z,20,FALSE))</f>
        <v>0</v>
      </c>
      <c r="AD180" s="16">
        <f>IF(ISERROR(VLOOKUP($A180,'13. Updated Demand'!A:Z,21,FALSE)),0,VLOOKUP($A180,'13. Updated Demand'!A:Z,21,FALSE))</f>
        <v>0</v>
      </c>
      <c r="AE180" s="16">
        <f>IF(ISERROR(VLOOKUP($A180,'13. Updated Demand'!A:Z,22,FALSE)),0,VLOOKUP($A180,'13. Updated Demand'!A:Z,22,FALSE))</f>
        <v>0</v>
      </c>
      <c r="AF180" s="16">
        <f>IF(ISERROR(VLOOKUP($A180,'13. Updated Demand'!A:Z,23,FALSE)),0,VLOOKUP($A180,'13. Updated Demand'!A:Z,23,FALSE))</f>
        <v>0</v>
      </c>
      <c r="AG180" s="16">
        <f>IF(ISERROR(VLOOKUP($A180,'13. Updated Demand'!A:Z,24,FALSE)),0,VLOOKUP($A180,'13. Updated Demand'!A:Z,24,FALSE))</f>
        <v>0</v>
      </c>
      <c r="AH180" s="16">
        <f>IF(ISERROR(VLOOKUP($A180,'13. Updated Demand'!A:Z,25,FALSE)),0,VLOOKUP($A180,'13. Updated Demand'!A:Z,25,FALSE))</f>
        <v>0</v>
      </c>
      <c r="AI180" s="16">
        <f>IF(ISERROR(VLOOKUP($A180,'13. Updated Demand'!A:Z,26,FALSE)),0,VLOOKUP($A180,'13. Updated Demand'!A:Z,26,FALSE))</f>
        <v>0.15</v>
      </c>
      <c r="AJ180" s="16">
        <f t="shared" si="36"/>
        <v>3.35</v>
      </c>
      <c r="AK180" s="19">
        <v>0</v>
      </c>
      <c r="AL180" s="16">
        <f t="shared" si="34"/>
        <v>0</v>
      </c>
      <c r="AM180" s="17">
        <v>9.0785907859078599E-2</v>
      </c>
      <c r="AN180" s="19"/>
      <c r="AO180" s="19"/>
      <c r="AP180" s="19">
        <v>36.9</v>
      </c>
      <c r="AQ180" s="19" t="s">
        <v>307</v>
      </c>
      <c r="AR180" s="9" t="s">
        <v>348</v>
      </c>
      <c r="AS180" s="12">
        <v>0</v>
      </c>
      <c r="AT180" s="19">
        <v>39.358479109999998</v>
      </c>
      <c r="AU180" s="19">
        <v>-123.13912593000001</v>
      </c>
      <c r="AV180" s="19" t="s">
        <v>417</v>
      </c>
    </row>
    <row r="181" spans="1:48" x14ac:dyDescent="0.25">
      <c r="A181" s="18" t="s">
        <v>545</v>
      </c>
      <c r="B181" s="10">
        <v>20030115</v>
      </c>
      <c r="C181" s="9">
        <v>5</v>
      </c>
      <c r="D181" s="8" t="str">
        <f t="shared" si="25"/>
        <v>Y</v>
      </c>
      <c r="E181" s="8" t="str">
        <f t="shared" si="26"/>
        <v>N</v>
      </c>
      <c r="F181" s="8" t="str">
        <f t="shared" si="27"/>
        <v>Y</v>
      </c>
      <c r="G181" s="8" t="str">
        <f t="shared" si="28"/>
        <v>Y</v>
      </c>
      <c r="H181" s="8" t="str">
        <f t="shared" si="29"/>
        <v>Upper</v>
      </c>
      <c r="I181" s="8" t="str">
        <f t="shared" si="30"/>
        <v>West Fork and Below Lake</v>
      </c>
      <c r="J181" s="8" t="str">
        <f t="shared" si="31"/>
        <v>Mendocino (d/s of lake)</v>
      </c>
      <c r="K181" s="8" t="str">
        <f t="shared" si="32"/>
        <v>Post-1949</v>
      </c>
      <c r="L181" s="8">
        <f t="shared" si="33"/>
        <v>2003</v>
      </c>
      <c r="M181" s="8" t="str">
        <f t="shared" si="35"/>
        <v>1991-present</v>
      </c>
      <c r="N181" s="10" t="s">
        <v>242</v>
      </c>
      <c r="O181" s="10" t="s">
        <v>241</v>
      </c>
      <c r="P181" s="10" t="s">
        <v>242</v>
      </c>
      <c r="Q181" s="10" t="s">
        <v>242</v>
      </c>
      <c r="R181" s="10" t="s">
        <v>241</v>
      </c>
      <c r="S181" s="10" t="s">
        <v>242</v>
      </c>
      <c r="T181" s="10" t="s">
        <v>242</v>
      </c>
      <c r="U181" s="10" t="s">
        <v>242</v>
      </c>
      <c r="V181" s="10" t="s">
        <v>241</v>
      </c>
      <c r="W181" s="10" t="s">
        <v>242</v>
      </c>
      <c r="X181" s="15">
        <f>IF(ISERROR(VLOOKUP($A181,'13. Updated Demand'!A:Z,15,FALSE)),0,VLOOKUP($A181,'13. Updated Demand'!A:Z,15,FALSE))</f>
        <v>4.3499999999999996</v>
      </c>
      <c r="Y181" s="16">
        <f>IF(ISERROR(VLOOKUP($A181,'13. Updated Demand'!A:Z,16,FALSE)),0,VLOOKUP($A181,'13. Updated Demand'!A:Z,16,FALSE))</f>
        <v>0.9</v>
      </c>
      <c r="Z181" s="16">
        <f>IF(ISERROR(VLOOKUP($A181,'13. Updated Demand'!A:Z,17,FALSE)),0,VLOOKUP($A181,'13. Updated Demand'!A:Z,17,FALSE))</f>
        <v>2</v>
      </c>
      <c r="AA181" s="16">
        <f>IF(ISERROR(VLOOKUP($A181,'13. Updated Demand'!A:Z,18,FALSE)),0,VLOOKUP($A181,'13. Updated Demand'!A:Z,18,FALSE))</f>
        <v>0</v>
      </c>
      <c r="AB181" s="16">
        <f>IF(ISERROR(VLOOKUP($A181,'13. Updated Demand'!A:Z,19,FALSE)),0,VLOOKUP($A181,'13. Updated Demand'!A:Z,19,FALSE))</f>
        <v>0</v>
      </c>
      <c r="AC181" s="16">
        <f>IF(ISERROR(VLOOKUP($A181,'13. Updated Demand'!A:Z,20,FALSE)),0,VLOOKUP($A181,'13. Updated Demand'!A:Z,20,FALSE))</f>
        <v>0</v>
      </c>
      <c r="AD181" s="16">
        <f>IF(ISERROR(VLOOKUP($A181,'13. Updated Demand'!A:Z,21,FALSE)),0,VLOOKUP($A181,'13. Updated Demand'!A:Z,21,FALSE))</f>
        <v>0</v>
      </c>
      <c r="AE181" s="16">
        <f>IF(ISERROR(VLOOKUP($A181,'13. Updated Demand'!A:Z,22,FALSE)),0,VLOOKUP($A181,'13. Updated Demand'!A:Z,22,FALSE))</f>
        <v>0</v>
      </c>
      <c r="AF181" s="16">
        <f>IF(ISERROR(VLOOKUP($A181,'13. Updated Demand'!A:Z,23,FALSE)),0,VLOOKUP($A181,'13. Updated Demand'!A:Z,23,FALSE))</f>
        <v>0</v>
      </c>
      <c r="AG181" s="16">
        <f>IF(ISERROR(VLOOKUP($A181,'13. Updated Demand'!A:Z,24,FALSE)),0,VLOOKUP($A181,'13. Updated Demand'!A:Z,24,FALSE))</f>
        <v>0</v>
      </c>
      <c r="AH181" s="16">
        <f>IF(ISERROR(VLOOKUP($A181,'13. Updated Demand'!A:Z,25,FALSE)),0,VLOOKUP($A181,'13. Updated Demand'!A:Z,25,FALSE))</f>
        <v>1.7</v>
      </c>
      <c r="AI181" s="16">
        <f>IF(ISERROR(VLOOKUP($A181,'13. Updated Demand'!A:Z,26,FALSE)),0,VLOOKUP($A181,'13. Updated Demand'!A:Z,26,FALSE))</f>
        <v>2.4</v>
      </c>
      <c r="AJ181" s="16">
        <f t="shared" si="36"/>
        <v>11.35</v>
      </c>
      <c r="AK181" s="19">
        <v>0</v>
      </c>
      <c r="AL181" s="16">
        <f t="shared" si="34"/>
        <v>0</v>
      </c>
      <c r="AM181" s="17">
        <v>0.73701298701298701</v>
      </c>
      <c r="AN181" s="19"/>
      <c r="AO181" s="19"/>
      <c r="AP181" s="19">
        <v>15.4</v>
      </c>
      <c r="AQ181" s="19" t="s">
        <v>307</v>
      </c>
      <c r="AR181" s="9" t="s">
        <v>333</v>
      </c>
      <c r="AS181" s="12">
        <v>0</v>
      </c>
      <c r="AT181" s="19">
        <v>39.087010030000002</v>
      </c>
      <c r="AU181" s="19">
        <v>-123.15497058</v>
      </c>
      <c r="AV181" s="19" t="s">
        <v>417</v>
      </c>
    </row>
    <row r="182" spans="1:48" x14ac:dyDescent="0.25">
      <c r="A182" s="18" t="s">
        <v>546</v>
      </c>
      <c r="B182" s="10">
        <v>20030110</v>
      </c>
      <c r="C182" s="9">
        <v>5</v>
      </c>
      <c r="D182" s="8" t="str">
        <f t="shared" si="25"/>
        <v>Y</v>
      </c>
      <c r="E182" s="8" t="str">
        <f t="shared" si="26"/>
        <v>N</v>
      </c>
      <c r="F182" s="8" t="str">
        <f t="shared" si="27"/>
        <v>Y</v>
      </c>
      <c r="G182" s="8" t="str">
        <f t="shared" si="28"/>
        <v>Y</v>
      </c>
      <c r="H182" s="8" t="str">
        <f t="shared" si="29"/>
        <v>Upper</v>
      </c>
      <c r="I182" s="8" t="str">
        <f t="shared" si="30"/>
        <v>West Fork and Below Lake</v>
      </c>
      <c r="J182" s="8" t="str">
        <f t="shared" si="31"/>
        <v>Mendocino (d/s of lake)</v>
      </c>
      <c r="K182" s="8" t="str">
        <f t="shared" si="32"/>
        <v>Post-1949</v>
      </c>
      <c r="L182" s="8">
        <f t="shared" si="33"/>
        <v>2003</v>
      </c>
      <c r="M182" s="8" t="str">
        <f t="shared" si="35"/>
        <v>1991-present</v>
      </c>
      <c r="N182" s="10" t="s">
        <v>242</v>
      </c>
      <c r="O182" s="10" t="s">
        <v>241</v>
      </c>
      <c r="P182" s="10" t="s">
        <v>242</v>
      </c>
      <c r="Q182" s="10" t="s">
        <v>242</v>
      </c>
      <c r="R182" s="10" t="s">
        <v>241</v>
      </c>
      <c r="S182" s="10" t="s">
        <v>242</v>
      </c>
      <c r="T182" s="10" t="s">
        <v>241</v>
      </c>
      <c r="U182" s="10" t="s">
        <v>241</v>
      </c>
      <c r="V182" s="10" t="s">
        <v>241</v>
      </c>
      <c r="W182" s="10" t="s">
        <v>242</v>
      </c>
      <c r="X182" s="15">
        <f>IF(ISERROR(VLOOKUP($A182,'13. Updated Demand'!A:Z,15,FALSE)),0,VLOOKUP($A182,'13. Updated Demand'!A:Z,15,FALSE))</f>
        <v>0</v>
      </c>
      <c r="Y182" s="16">
        <f>IF(ISERROR(VLOOKUP($A182,'13. Updated Demand'!A:Z,16,FALSE)),0,VLOOKUP($A182,'13. Updated Demand'!A:Z,16,FALSE))</f>
        <v>0</v>
      </c>
      <c r="Z182" s="16">
        <f>IF(ISERROR(VLOOKUP($A182,'13. Updated Demand'!A:Z,17,FALSE)),0,VLOOKUP($A182,'13. Updated Demand'!A:Z,17,FALSE))</f>
        <v>0</v>
      </c>
      <c r="AA182" s="16">
        <f>IF(ISERROR(VLOOKUP($A182,'13. Updated Demand'!A:Z,18,FALSE)),0,VLOOKUP($A182,'13. Updated Demand'!A:Z,18,FALSE))</f>
        <v>0</v>
      </c>
      <c r="AB182" s="16">
        <f>IF(ISERROR(VLOOKUP($A182,'13. Updated Demand'!A:Z,19,FALSE)),0,VLOOKUP($A182,'13. Updated Demand'!A:Z,19,FALSE))</f>
        <v>0</v>
      </c>
      <c r="AC182" s="16">
        <f>IF(ISERROR(VLOOKUP($A182,'13. Updated Demand'!A:Z,20,FALSE)),0,VLOOKUP($A182,'13. Updated Demand'!A:Z,20,FALSE))</f>
        <v>0</v>
      </c>
      <c r="AD182" s="16">
        <f>IF(ISERROR(VLOOKUP($A182,'13. Updated Demand'!A:Z,21,FALSE)),0,VLOOKUP($A182,'13. Updated Demand'!A:Z,21,FALSE))</f>
        <v>0</v>
      </c>
      <c r="AE182" s="16">
        <f>IF(ISERROR(VLOOKUP($A182,'13. Updated Demand'!A:Z,22,FALSE)),0,VLOOKUP($A182,'13. Updated Demand'!A:Z,22,FALSE))</f>
        <v>0</v>
      </c>
      <c r="AF182" s="16">
        <f>IF(ISERROR(VLOOKUP($A182,'13. Updated Demand'!A:Z,23,FALSE)),0,VLOOKUP($A182,'13. Updated Demand'!A:Z,23,FALSE))</f>
        <v>0</v>
      </c>
      <c r="AG182" s="16">
        <f>IF(ISERROR(VLOOKUP($A182,'13. Updated Demand'!A:Z,24,FALSE)),0,VLOOKUP($A182,'13. Updated Demand'!A:Z,24,FALSE))</f>
        <v>0</v>
      </c>
      <c r="AH182" s="16">
        <f>IF(ISERROR(VLOOKUP($A182,'13. Updated Demand'!A:Z,25,FALSE)),0,VLOOKUP($A182,'13. Updated Demand'!A:Z,25,FALSE))</f>
        <v>0</v>
      </c>
      <c r="AI182" s="16">
        <f>IF(ISERROR(VLOOKUP($A182,'13. Updated Demand'!A:Z,26,FALSE)),0,VLOOKUP($A182,'13. Updated Demand'!A:Z,26,FALSE))</f>
        <v>0</v>
      </c>
      <c r="AJ182" s="16">
        <f t="shared" si="36"/>
        <v>0</v>
      </c>
      <c r="AK182" s="19">
        <v>0</v>
      </c>
      <c r="AL182" s="16">
        <f t="shared" si="34"/>
        <v>0</v>
      </c>
      <c r="AM182" s="17">
        <v>0</v>
      </c>
      <c r="AN182" s="19"/>
      <c r="AO182" s="19"/>
      <c r="AP182" s="19">
        <v>49</v>
      </c>
      <c r="AQ182" s="19" t="s">
        <v>307</v>
      </c>
      <c r="AR182" s="9" t="s">
        <v>333</v>
      </c>
      <c r="AS182" s="12">
        <v>0</v>
      </c>
      <c r="AT182" s="19">
        <v>39.036441019999998</v>
      </c>
      <c r="AU182" s="19">
        <v>-123.18430189999999</v>
      </c>
      <c r="AV182" s="19" t="s">
        <v>417</v>
      </c>
    </row>
    <row r="183" spans="1:48" x14ac:dyDescent="0.25">
      <c r="A183" s="18" t="s">
        <v>547</v>
      </c>
      <c r="B183" s="10">
        <v>20030124</v>
      </c>
      <c r="C183" s="9">
        <v>4</v>
      </c>
      <c r="D183" s="8" t="str">
        <f t="shared" si="25"/>
        <v>Y</v>
      </c>
      <c r="E183" s="8" t="str">
        <f t="shared" si="26"/>
        <v>N</v>
      </c>
      <c r="F183" s="8" t="str">
        <f t="shared" si="27"/>
        <v>Y</v>
      </c>
      <c r="G183" s="8" t="str">
        <f t="shared" si="28"/>
        <v>Y</v>
      </c>
      <c r="H183" s="8" t="str">
        <f t="shared" si="29"/>
        <v>Upper</v>
      </c>
      <c r="I183" s="8" t="str">
        <f t="shared" si="30"/>
        <v>West Fork and Below Lake</v>
      </c>
      <c r="J183" s="8" t="str">
        <f t="shared" si="31"/>
        <v>Mendocino (d/s of lake)</v>
      </c>
      <c r="K183" s="8" t="str">
        <f t="shared" si="32"/>
        <v>Post-1949</v>
      </c>
      <c r="L183" s="8">
        <f t="shared" si="33"/>
        <v>2003</v>
      </c>
      <c r="M183" s="8" t="str">
        <f t="shared" si="35"/>
        <v>1991-present</v>
      </c>
      <c r="N183" s="10" t="s">
        <v>241</v>
      </c>
      <c r="O183" s="10" t="s">
        <v>241</v>
      </c>
      <c r="P183" s="10" t="s">
        <v>242</v>
      </c>
      <c r="Q183" s="10" t="s">
        <v>242</v>
      </c>
      <c r="R183" s="10" t="s">
        <v>241</v>
      </c>
      <c r="S183" s="10" t="s">
        <v>242</v>
      </c>
      <c r="T183" s="10" t="s">
        <v>241</v>
      </c>
      <c r="U183" s="10" t="s">
        <v>241</v>
      </c>
      <c r="V183" s="10" t="s">
        <v>241</v>
      </c>
      <c r="W183" s="10" t="s">
        <v>242</v>
      </c>
      <c r="X183" s="15">
        <f>IF(ISERROR(VLOOKUP($A183,'13. Updated Demand'!A:Z,15,FALSE)),0,VLOOKUP($A183,'13. Updated Demand'!A:Z,15,FALSE))</f>
        <v>0</v>
      </c>
      <c r="Y183" s="16">
        <f>IF(ISERROR(VLOOKUP($A183,'13. Updated Demand'!A:Z,16,FALSE)),0,VLOOKUP($A183,'13. Updated Demand'!A:Z,16,FALSE))</f>
        <v>0</v>
      </c>
      <c r="Z183" s="16">
        <f>IF(ISERROR(VLOOKUP($A183,'13. Updated Demand'!A:Z,17,FALSE)),0,VLOOKUP($A183,'13. Updated Demand'!A:Z,17,FALSE))</f>
        <v>0</v>
      </c>
      <c r="AA183" s="16">
        <f>IF(ISERROR(VLOOKUP($A183,'13. Updated Demand'!A:Z,18,FALSE)),0,VLOOKUP($A183,'13. Updated Demand'!A:Z,18,FALSE))</f>
        <v>0</v>
      </c>
      <c r="AB183" s="16">
        <f>IF(ISERROR(VLOOKUP($A183,'13. Updated Demand'!A:Z,19,FALSE)),0,VLOOKUP($A183,'13. Updated Demand'!A:Z,19,FALSE))</f>
        <v>0</v>
      </c>
      <c r="AC183" s="16">
        <f>IF(ISERROR(VLOOKUP($A183,'13. Updated Demand'!A:Z,20,FALSE)),0,VLOOKUP($A183,'13. Updated Demand'!A:Z,20,FALSE))</f>
        <v>0</v>
      </c>
      <c r="AD183" s="16">
        <f>IF(ISERROR(VLOOKUP($A183,'13. Updated Demand'!A:Z,21,FALSE)),0,VLOOKUP($A183,'13. Updated Demand'!A:Z,21,FALSE))</f>
        <v>0</v>
      </c>
      <c r="AE183" s="16">
        <f>IF(ISERROR(VLOOKUP($A183,'13. Updated Demand'!A:Z,22,FALSE)),0,VLOOKUP($A183,'13. Updated Demand'!A:Z,22,FALSE))</f>
        <v>0</v>
      </c>
      <c r="AF183" s="16">
        <f>IF(ISERROR(VLOOKUP($A183,'13. Updated Demand'!A:Z,23,FALSE)),0,VLOOKUP($A183,'13. Updated Demand'!A:Z,23,FALSE))</f>
        <v>0</v>
      </c>
      <c r="AG183" s="16">
        <f>IF(ISERROR(VLOOKUP($A183,'13. Updated Demand'!A:Z,24,FALSE)),0,VLOOKUP($A183,'13. Updated Demand'!A:Z,24,FALSE))</f>
        <v>0</v>
      </c>
      <c r="AH183" s="16">
        <f>IF(ISERROR(VLOOKUP($A183,'13. Updated Demand'!A:Z,25,FALSE)),0,VLOOKUP($A183,'13. Updated Demand'!A:Z,25,FALSE))</f>
        <v>0</v>
      </c>
      <c r="AI183" s="16">
        <f>IF(ISERROR(VLOOKUP($A183,'13. Updated Demand'!A:Z,26,FALSE)),0,VLOOKUP($A183,'13. Updated Demand'!A:Z,26,FALSE))</f>
        <v>0</v>
      </c>
      <c r="AJ183" s="16">
        <f t="shared" si="36"/>
        <v>0</v>
      </c>
      <c r="AK183" s="19">
        <v>0</v>
      </c>
      <c r="AL183" s="16">
        <f t="shared" si="34"/>
        <v>0</v>
      </c>
      <c r="AM183" s="17">
        <v>0</v>
      </c>
      <c r="AN183" s="19"/>
      <c r="AO183" s="19"/>
      <c r="AP183" s="19">
        <v>9</v>
      </c>
      <c r="AQ183" s="19" t="s">
        <v>307</v>
      </c>
      <c r="AR183" s="9" t="s">
        <v>331</v>
      </c>
      <c r="AS183" s="12">
        <v>0</v>
      </c>
      <c r="AT183" s="19">
        <v>39.173075320000002</v>
      </c>
      <c r="AU183" s="19">
        <v>-123.1949762</v>
      </c>
      <c r="AV183" s="19" t="s">
        <v>548</v>
      </c>
    </row>
    <row r="184" spans="1:48" x14ac:dyDescent="0.25">
      <c r="A184" s="18" t="s">
        <v>549</v>
      </c>
      <c r="B184" s="10">
        <v>20030328</v>
      </c>
      <c r="C184" s="9">
        <v>4</v>
      </c>
      <c r="D184" s="8" t="str">
        <f t="shared" si="25"/>
        <v>Y</v>
      </c>
      <c r="E184" s="8" t="str">
        <f t="shared" si="26"/>
        <v>N</v>
      </c>
      <c r="F184" s="8" t="str">
        <f t="shared" si="27"/>
        <v>Y</v>
      </c>
      <c r="G184" s="8" t="str">
        <f t="shared" si="28"/>
        <v>Y</v>
      </c>
      <c r="H184" s="8" t="str">
        <f t="shared" si="29"/>
        <v>Upper</v>
      </c>
      <c r="I184" s="8" t="str">
        <f t="shared" si="30"/>
        <v>West Fork and Below Lake</v>
      </c>
      <c r="J184" s="8" t="str">
        <f t="shared" si="31"/>
        <v>Mendocino (d/s of lake)</v>
      </c>
      <c r="K184" s="8" t="str">
        <f t="shared" si="32"/>
        <v>Post-1949</v>
      </c>
      <c r="L184" s="8">
        <f t="shared" si="33"/>
        <v>2003</v>
      </c>
      <c r="M184" s="8" t="str">
        <f t="shared" si="35"/>
        <v>1991-present</v>
      </c>
      <c r="N184" s="10" t="s">
        <v>241</v>
      </c>
      <c r="O184" s="10" t="s">
        <v>241</v>
      </c>
      <c r="P184" s="10" t="s">
        <v>242</v>
      </c>
      <c r="Q184" s="10" t="s">
        <v>242</v>
      </c>
      <c r="R184" s="10" t="s">
        <v>241</v>
      </c>
      <c r="S184" s="10" t="s">
        <v>242</v>
      </c>
      <c r="T184" s="10" t="s">
        <v>241</v>
      </c>
      <c r="U184" s="10" t="s">
        <v>241</v>
      </c>
      <c r="V184" s="10" t="s">
        <v>241</v>
      </c>
      <c r="W184" s="10" t="s">
        <v>242</v>
      </c>
      <c r="X184" s="15">
        <f>IF(ISERROR(VLOOKUP($A184,'13. Updated Demand'!A:Z,15,FALSE)),0,VLOOKUP($A184,'13. Updated Demand'!A:Z,15,FALSE))</f>
        <v>0</v>
      </c>
      <c r="Y184" s="16">
        <f>IF(ISERROR(VLOOKUP($A184,'13. Updated Demand'!A:Z,16,FALSE)),0,VLOOKUP($A184,'13. Updated Demand'!A:Z,16,FALSE))</f>
        <v>0</v>
      </c>
      <c r="Z184" s="16">
        <f>IF(ISERROR(VLOOKUP($A184,'13. Updated Demand'!A:Z,17,FALSE)),0,VLOOKUP($A184,'13. Updated Demand'!A:Z,17,FALSE))</f>
        <v>0</v>
      </c>
      <c r="AA184" s="16">
        <f>IF(ISERROR(VLOOKUP($A184,'13. Updated Demand'!A:Z,18,FALSE)),0,VLOOKUP($A184,'13. Updated Demand'!A:Z,18,FALSE))</f>
        <v>0</v>
      </c>
      <c r="AB184" s="16">
        <f>IF(ISERROR(VLOOKUP($A184,'13. Updated Demand'!A:Z,19,FALSE)),0,VLOOKUP($A184,'13. Updated Demand'!A:Z,19,FALSE))</f>
        <v>0</v>
      </c>
      <c r="AC184" s="16">
        <f>IF(ISERROR(VLOOKUP($A184,'13. Updated Demand'!A:Z,20,FALSE)),0,VLOOKUP($A184,'13. Updated Demand'!A:Z,20,FALSE))</f>
        <v>0</v>
      </c>
      <c r="AD184" s="16">
        <f>IF(ISERROR(VLOOKUP($A184,'13. Updated Demand'!A:Z,21,FALSE)),0,VLOOKUP($A184,'13. Updated Demand'!A:Z,21,FALSE))</f>
        <v>0</v>
      </c>
      <c r="AE184" s="16">
        <f>IF(ISERROR(VLOOKUP($A184,'13. Updated Demand'!A:Z,22,FALSE)),0,VLOOKUP($A184,'13. Updated Demand'!A:Z,22,FALSE))</f>
        <v>0</v>
      </c>
      <c r="AF184" s="16">
        <f>IF(ISERROR(VLOOKUP($A184,'13. Updated Demand'!A:Z,23,FALSE)),0,VLOOKUP($A184,'13. Updated Demand'!A:Z,23,FALSE))</f>
        <v>0</v>
      </c>
      <c r="AG184" s="16">
        <f>IF(ISERROR(VLOOKUP($A184,'13. Updated Demand'!A:Z,24,FALSE)),0,VLOOKUP($A184,'13. Updated Demand'!A:Z,24,FALSE))</f>
        <v>0</v>
      </c>
      <c r="AH184" s="16">
        <f>IF(ISERROR(VLOOKUP($A184,'13. Updated Demand'!A:Z,25,FALSE)),0,VLOOKUP($A184,'13. Updated Demand'!A:Z,25,FALSE))</f>
        <v>0</v>
      </c>
      <c r="AI184" s="16">
        <f>IF(ISERROR(VLOOKUP($A184,'13. Updated Demand'!A:Z,26,FALSE)),0,VLOOKUP($A184,'13. Updated Demand'!A:Z,26,FALSE))</f>
        <v>0</v>
      </c>
      <c r="AJ184" s="16">
        <f t="shared" si="36"/>
        <v>0</v>
      </c>
      <c r="AK184" s="19">
        <v>0</v>
      </c>
      <c r="AL184" s="16">
        <f t="shared" si="34"/>
        <v>0</v>
      </c>
      <c r="AM184" s="17">
        <v>0</v>
      </c>
      <c r="AN184" s="19"/>
      <c r="AO184" s="19"/>
      <c r="AP184" s="19">
        <v>45</v>
      </c>
      <c r="AQ184" s="19" t="s">
        <v>307</v>
      </c>
      <c r="AR184" s="9" t="s">
        <v>331</v>
      </c>
      <c r="AS184" s="12">
        <v>0</v>
      </c>
      <c r="AT184" s="19">
        <v>39.17159917</v>
      </c>
      <c r="AU184" s="19">
        <v>-123.19271120000001</v>
      </c>
      <c r="AV184" s="19" t="s">
        <v>387</v>
      </c>
    </row>
    <row r="185" spans="1:48" x14ac:dyDescent="0.25">
      <c r="A185" s="18" t="s">
        <v>550</v>
      </c>
      <c r="B185" s="10">
        <v>20030603</v>
      </c>
      <c r="C185" s="9">
        <v>1</v>
      </c>
      <c r="D185" s="8" t="str">
        <f t="shared" si="25"/>
        <v>N</v>
      </c>
      <c r="E185" s="8" t="str">
        <f t="shared" si="26"/>
        <v>N</v>
      </c>
      <c r="F185" s="8" t="str">
        <f t="shared" si="27"/>
        <v>Y</v>
      </c>
      <c r="G185" s="8" t="str">
        <f t="shared" si="28"/>
        <v>Y</v>
      </c>
      <c r="H185" s="8" t="str">
        <f t="shared" si="29"/>
        <v>Upper</v>
      </c>
      <c r="I185" s="8" t="str">
        <f t="shared" si="30"/>
        <v>West Fork and Below Lake</v>
      </c>
      <c r="J185" s="8" t="str">
        <f t="shared" si="31"/>
        <v>Outside</v>
      </c>
      <c r="K185" s="8" t="str">
        <f t="shared" si="32"/>
        <v>Post-1949</v>
      </c>
      <c r="L185" s="8">
        <f t="shared" si="33"/>
        <v>2003</v>
      </c>
      <c r="M185" s="8" t="str">
        <f t="shared" si="35"/>
        <v>1991-present</v>
      </c>
      <c r="N185" s="10" t="s">
        <v>242</v>
      </c>
      <c r="O185" s="10" t="s">
        <v>241</v>
      </c>
      <c r="P185" s="10" t="s">
        <v>242</v>
      </c>
      <c r="Q185" s="10" t="s">
        <v>242</v>
      </c>
      <c r="R185" s="10" t="s">
        <v>241</v>
      </c>
      <c r="S185" s="10" t="s">
        <v>242</v>
      </c>
      <c r="T185" s="10" t="s">
        <v>241</v>
      </c>
      <c r="U185" s="10" t="s">
        <v>241</v>
      </c>
      <c r="V185" s="10" t="s">
        <v>241</v>
      </c>
      <c r="W185" s="10" t="s">
        <v>242</v>
      </c>
      <c r="X185" s="15">
        <f>IF(ISERROR(VLOOKUP($A185,'13. Updated Demand'!A:Z,15,FALSE)),0,VLOOKUP($A185,'13. Updated Demand'!A:Z,15,FALSE))</f>
        <v>0</v>
      </c>
      <c r="Y185" s="16">
        <f>IF(ISERROR(VLOOKUP($A185,'13. Updated Demand'!A:Z,16,FALSE)),0,VLOOKUP($A185,'13. Updated Demand'!A:Z,16,FALSE))</f>
        <v>0</v>
      </c>
      <c r="Z185" s="16">
        <f>IF(ISERROR(VLOOKUP($A185,'13. Updated Demand'!A:Z,17,FALSE)),0,VLOOKUP($A185,'13. Updated Demand'!A:Z,17,FALSE))</f>
        <v>0</v>
      </c>
      <c r="AA185" s="16">
        <f>IF(ISERROR(VLOOKUP($A185,'13. Updated Demand'!A:Z,18,FALSE)),0,VLOOKUP($A185,'13. Updated Demand'!A:Z,18,FALSE))</f>
        <v>0</v>
      </c>
      <c r="AB185" s="16">
        <f>IF(ISERROR(VLOOKUP($A185,'13. Updated Demand'!A:Z,19,FALSE)),0,VLOOKUP($A185,'13. Updated Demand'!A:Z,19,FALSE))</f>
        <v>0</v>
      </c>
      <c r="AC185" s="16">
        <f>IF(ISERROR(VLOOKUP($A185,'13. Updated Demand'!A:Z,20,FALSE)),0,VLOOKUP($A185,'13. Updated Demand'!A:Z,20,FALSE))</f>
        <v>0</v>
      </c>
      <c r="AD185" s="16">
        <f>IF(ISERROR(VLOOKUP($A185,'13. Updated Demand'!A:Z,21,FALSE)),0,VLOOKUP($A185,'13. Updated Demand'!A:Z,21,FALSE))</f>
        <v>0</v>
      </c>
      <c r="AE185" s="16">
        <f>IF(ISERROR(VLOOKUP($A185,'13. Updated Demand'!A:Z,22,FALSE)),0,VLOOKUP($A185,'13. Updated Demand'!A:Z,22,FALSE))</f>
        <v>0</v>
      </c>
      <c r="AF185" s="16">
        <f>IF(ISERROR(VLOOKUP($A185,'13. Updated Demand'!A:Z,23,FALSE)),0,VLOOKUP($A185,'13. Updated Demand'!A:Z,23,FALSE))</f>
        <v>0</v>
      </c>
      <c r="AG185" s="16">
        <f>IF(ISERROR(VLOOKUP($A185,'13. Updated Demand'!A:Z,24,FALSE)),0,VLOOKUP($A185,'13. Updated Demand'!A:Z,24,FALSE))</f>
        <v>0</v>
      </c>
      <c r="AH185" s="16">
        <f>IF(ISERROR(VLOOKUP($A185,'13. Updated Demand'!A:Z,25,FALSE)),0,VLOOKUP($A185,'13. Updated Demand'!A:Z,25,FALSE))</f>
        <v>0</v>
      </c>
      <c r="AI185" s="16">
        <f>IF(ISERROR(VLOOKUP($A185,'13. Updated Demand'!A:Z,26,FALSE)),0,VLOOKUP($A185,'13. Updated Demand'!A:Z,26,FALSE))</f>
        <v>0</v>
      </c>
      <c r="AJ185" s="16">
        <f t="shared" si="36"/>
        <v>0</v>
      </c>
      <c r="AK185" s="19">
        <v>0</v>
      </c>
      <c r="AL185" s="16">
        <f t="shared" si="34"/>
        <v>0</v>
      </c>
      <c r="AM185" s="17">
        <v>0</v>
      </c>
      <c r="AN185" s="19"/>
      <c r="AO185" s="19"/>
      <c r="AP185" s="19">
        <v>9</v>
      </c>
      <c r="AQ185" s="19" t="s">
        <v>307</v>
      </c>
      <c r="AR185" s="9" t="s">
        <v>317</v>
      </c>
      <c r="AS185" s="12">
        <v>0</v>
      </c>
      <c r="AT185" s="19">
        <v>39.224597250000002</v>
      </c>
      <c r="AU185" s="19">
        <v>-123.19385169</v>
      </c>
      <c r="AV185" s="19" t="s">
        <v>417</v>
      </c>
    </row>
    <row r="186" spans="1:48" x14ac:dyDescent="0.25">
      <c r="A186" s="18" t="s">
        <v>551</v>
      </c>
      <c r="B186" s="10">
        <v>20030310</v>
      </c>
      <c r="C186" s="9">
        <v>1</v>
      </c>
      <c r="D186" s="8" t="str">
        <f t="shared" si="25"/>
        <v>N</v>
      </c>
      <c r="E186" s="8" t="str">
        <f t="shared" si="26"/>
        <v>N</v>
      </c>
      <c r="F186" s="8" t="str">
        <f t="shared" si="27"/>
        <v>Y</v>
      </c>
      <c r="G186" s="8" t="str">
        <f t="shared" si="28"/>
        <v>Y</v>
      </c>
      <c r="H186" s="8" t="str">
        <f t="shared" si="29"/>
        <v>Upper</v>
      </c>
      <c r="I186" s="8" t="str">
        <f t="shared" si="30"/>
        <v>West Fork and Below Lake</v>
      </c>
      <c r="J186" s="8" t="str">
        <f t="shared" si="31"/>
        <v>Outside</v>
      </c>
      <c r="K186" s="8" t="str">
        <f t="shared" si="32"/>
        <v>Post-1949</v>
      </c>
      <c r="L186" s="8">
        <f t="shared" si="33"/>
        <v>2003</v>
      </c>
      <c r="M186" s="8" t="str">
        <f t="shared" si="35"/>
        <v>1991-present</v>
      </c>
      <c r="N186" s="10" t="s">
        <v>242</v>
      </c>
      <c r="O186" s="10" t="s">
        <v>241</v>
      </c>
      <c r="P186" s="10" t="s">
        <v>242</v>
      </c>
      <c r="Q186" s="10" t="s">
        <v>242</v>
      </c>
      <c r="R186" s="10" t="s">
        <v>241</v>
      </c>
      <c r="S186" s="10" t="s">
        <v>242</v>
      </c>
      <c r="T186" s="10" t="s">
        <v>241</v>
      </c>
      <c r="U186" s="10" t="s">
        <v>241</v>
      </c>
      <c r="V186" s="10" t="s">
        <v>241</v>
      </c>
      <c r="W186" s="10" t="s">
        <v>242</v>
      </c>
      <c r="X186" s="15">
        <f>IF(ISERROR(VLOOKUP($A186,'13. Updated Demand'!A:Z,15,FALSE)),0,VLOOKUP($A186,'13. Updated Demand'!A:Z,15,FALSE))</f>
        <v>0</v>
      </c>
      <c r="Y186" s="16">
        <f>IF(ISERROR(VLOOKUP($A186,'13. Updated Demand'!A:Z,16,FALSE)),0,VLOOKUP($A186,'13. Updated Demand'!A:Z,16,FALSE))</f>
        <v>0</v>
      </c>
      <c r="Z186" s="16">
        <f>IF(ISERROR(VLOOKUP($A186,'13. Updated Demand'!A:Z,17,FALSE)),0,VLOOKUP($A186,'13. Updated Demand'!A:Z,17,FALSE))</f>
        <v>0</v>
      </c>
      <c r="AA186" s="16">
        <f>IF(ISERROR(VLOOKUP($A186,'13. Updated Demand'!A:Z,18,FALSE)),0,VLOOKUP($A186,'13. Updated Demand'!A:Z,18,FALSE))</f>
        <v>0</v>
      </c>
      <c r="AB186" s="16">
        <f>IF(ISERROR(VLOOKUP($A186,'13. Updated Demand'!A:Z,19,FALSE)),0,VLOOKUP($A186,'13. Updated Demand'!A:Z,19,FALSE))</f>
        <v>0</v>
      </c>
      <c r="AC186" s="16">
        <f>IF(ISERROR(VLOOKUP($A186,'13. Updated Demand'!A:Z,20,FALSE)),0,VLOOKUP($A186,'13. Updated Demand'!A:Z,20,FALSE))</f>
        <v>0</v>
      </c>
      <c r="AD186" s="16">
        <f>IF(ISERROR(VLOOKUP($A186,'13. Updated Demand'!A:Z,21,FALSE)),0,VLOOKUP($A186,'13. Updated Demand'!A:Z,21,FALSE))</f>
        <v>0</v>
      </c>
      <c r="AE186" s="16">
        <f>IF(ISERROR(VLOOKUP($A186,'13. Updated Demand'!A:Z,22,FALSE)),0,VLOOKUP($A186,'13. Updated Demand'!A:Z,22,FALSE))</f>
        <v>0</v>
      </c>
      <c r="AF186" s="16">
        <f>IF(ISERROR(VLOOKUP($A186,'13. Updated Demand'!A:Z,23,FALSE)),0,VLOOKUP($A186,'13. Updated Demand'!A:Z,23,FALSE))</f>
        <v>0</v>
      </c>
      <c r="AG186" s="16">
        <f>IF(ISERROR(VLOOKUP($A186,'13. Updated Demand'!A:Z,24,FALSE)),0,VLOOKUP($A186,'13. Updated Demand'!A:Z,24,FALSE))</f>
        <v>0</v>
      </c>
      <c r="AH186" s="16">
        <f>IF(ISERROR(VLOOKUP($A186,'13. Updated Demand'!A:Z,25,FALSE)),0,VLOOKUP($A186,'13. Updated Demand'!A:Z,25,FALSE))</f>
        <v>0</v>
      </c>
      <c r="AI186" s="16">
        <f>IF(ISERROR(VLOOKUP($A186,'13. Updated Demand'!A:Z,26,FALSE)),0,VLOOKUP($A186,'13. Updated Demand'!A:Z,26,FALSE))</f>
        <v>0</v>
      </c>
      <c r="AJ186" s="16">
        <f t="shared" si="36"/>
        <v>0</v>
      </c>
      <c r="AK186" s="19">
        <v>0</v>
      </c>
      <c r="AL186" s="16">
        <f t="shared" si="34"/>
        <v>0</v>
      </c>
      <c r="AM186" s="17">
        <v>0</v>
      </c>
      <c r="AN186" s="19"/>
      <c r="AO186" s="19"/>
      <c r="AP186" s="19">
        <v>47</v>
      </c>
      <c r="AQ186" s="19" t="s">
        <v>307</v>
      </c>
      <c r="AR186" s="9" t="s">
        <v>317</v>
      </c>
      <c r="AS186" s="12">
        <v>0</v>
      </c>
      <c r="AT186" s="19">
        <v>39.281076949999999</v>
      </c>
      <c r="AU186" s="19">
        <v>-123.30852883999999</v>
      </c>
      <c r="AV186" s="19" t="s">
        <v>417</v>
      </c>
    </row>
    <row r="187" spans="1:48" x14ac:dyDescent="0.25">
      <c r="A187" s="18" t="s">
        <v>552</v>
      </c>
      <c r="B187" s="10">
        <v>20030801</v>
      </c>
      <c r="C187" s="9">
        <v>1</v>
      </c>
      <c r="D187" s="8" t="str">
        <f t="shared" si="25"/>
        <v>N</v>
      </c>
      <c r="E187" s="8" t="str">
        <f t="shared" si="26"/>
        <v>N</v>
      </c>
      <c r="F187" s="8" t="str">
        <f t="shared" si="27"/>
        <v>Y</v>
      </c>
      <c r="G187" s="8" t="str">
        <f t="shared" si="28"/>
        <v>Y</v>
      </c>
      <c r="H187" s="8" t="str">
        <f t="shared" si="29"/>
        <v>Upper</v>
      </c>
      <c r="I187" s="8" t="str">
        <f t="shared" si="30"/>
        <v>West Fork and Below Lake</v>
      </c>
      <c r="J187" s="8" t="str">
        <f t="shared" si="31"/>
        <v>Outside</v>
      </c>
      <c r="K187" s="8" t="str">
        <f t="shared" si="32"/>
        <v>Post-1949</v>
      </c>
      <c r="L187" s="8">
        <f t="shared" si="33"/>
        <v>2003</v>
      </c>
      <c r="M187" s="8" t="str">
        <f t="shared" si="35"/>
        <v>1991-present</v>
      </c>
      <c r="N187" s="10" t="s">
        <v>242</v>
      </c>
      <c r="O187" s="10" t="s">
        <v>241</v>
      </c>
      <c r="P187" s="10" t="s">
        <v>242</v>
      </c>
      <c r="Q187" s="10" t="s">
        <v>242</v>
      </c>
      <c r="R187" s="10" t="s">
        <v>241</v>
      </c>
      <c r="S187" s="10" t="s">
        <v>242</v>
      </c>
      <c r="T187" s="10" t="s">
        <v>241</v>
      </c>
      <c r="U187" s="10" t="s">
        <v>241</v>
      </c>
      <c r="V187" s="10" t="s">
        <v>241</v>
      </c>
      <c r="W187" s="10" t="s">
        <v>242</v>
      </c>
      <c r="X187" s="15">
        <f>IF(ISERROR(VLOOKUP($A187,'13. Updated Demand'!A:Z,15,FALSE)),0,VLOOKUP($A187,'13. Updated Demand'!A:Z,15,FALSE))</f>
        <v>0</v>
      </c>
      <c r="Y187" s="16">
        <f>IF(ISERROR(VLOOKUP($A187,'13. Updated Demand'!A:Z,16,FALSE)),0,VLOOKUP($A187,'13. Updated Demand'!A:Z,16,FALSE))</f>
        <v>0</v>
      </c>
      <c r="Z187" s="16">
        <f>IF(ISERROR(VLOOKUP($A187,'13. Updated Demand'!A:Z,17,FALSE)),0,VLOOKUP($A187,'13. Updated Demand'!A:Z,17,FALSE))</f>
        <v>0</v>
      </c>
      <c r="AA187" s="16">
        <f>IF(ISERROR(VLOOKUP($A187,'13. Updated Demand'!A:Z,18,FALSE)),0,VLOOKUP($A187,'13. Updated Demand'!A:Z,18,FALSE))</f>
        <v>0</v>
      </c>
      <c r="AB187" s="16">
        <f>IF(ISERROR(VLOOKUP($A187,'13. Updated Demand'!A:Z,19,FALSE)),0,VLOOKUP($A187,'13. Updated Demand'!A:Z,19,FALSE))</f>
        <v>0</v>
      </c>
      <c r="AC187" s="16">
        <f>IF(ISERROR(VLOOKUP($A187,'13. Updated Demand'!A:Z,20,FALSE)),0,VLOOKUP($A187,'13. Updated Demand'!A:Z,20,FALSE))</f>
        <v>0</v>
      </c>
      <c r="AD187" s="16">
        <f>IF(ISERROR(VLOOKUP($A187,'13. Updated Demand'!A:Z,21,FALSE)),0,VLOOKUP($A187,'13. Updated Demand'!A:Z,21,FALSE))</f>
        <v>0</v>
      </c>
      <c r="AE187" s="16">
        <f>IF(ISERROR(VLOOKUP($A187,'13. Updated Demand'!A:Z,22,FALSE)),0,VLOOKUP($A187,'13. Updated Demand'!A:Z,22,FALSE))</f>
        <v>0</v>
      </c>
      <c r="AF187" s="16">
        <f>IF(ISERROR(VLOOKUP($A187,'13. Updated Demand'!A:Z,23,FALSE)),0,VLOOKUP($A187,'13. Updated Demand'!A:Z,23,FALSE))</f>
        <v>0</v>
      </c>
      <c r="AG187" s="16">
        <f>IF(ISERROR(VLOOKUP($A187,'13. Updated Demand'!A:Z,24,FALSE)),0,VLOOKUP($A187,'13. Updated Demand'!A:Z,24,FALSE))</f>
        <v>0</v>
      </c>
      <c r="AH187" s="16">
        <f>IF(ISERROR(VLOOKUP($A187,'13. Updated Demand'!A:Z,25,FALSE)),0,VLOOKUP($A187,'13. Updated Demand'!A:Z,25,FALSE))</f>
        <v>0</v>
      </c>
      <c r="AI187" s="16">
        <f>IF(ISERROR(VLOOKUP($A187,'13. Updated Demand'!A:Z,26,FALSE)),0,VLOOKUP($A187,'13. Updated Demand'!A:Z,26,FALSE))</f>
        <v>0</v>
      </c>
      <c r="AJ187" s="16">
        <f t="shared" si="36"/>
        <v>0</v>
      </c>
      <c r="AK187" s="19">
        <v>0</v>
      </c>
      <c r="AL187" s="16">
        <f t="shared" si="34"/>
        <v>0</v>
      </c>
      <c r="AM187" s="17">
        <v>0</v>
      </c>
      <c r="AN187" s="19"/>
      <c r="AO187" s="19"/>
      <c r="AP187" s="19">
        <v>148</v>
      </c>
      <c r="AQ187" s="19" t="s">
        <v>307</v>
      </c>
      <c r="AR187" s="9" t="s">
        <v>317</v>
      </c>
      <c r="AS187" s="12">
        <v>0</v>
      </c>
      <c r="AT187" s="19">
        <v>39.320915050000004</v>
      </c>
      <c r="AU187" s="19">
        <v>-123.34041234</v>
      </c>
      <c r="AV187" s="19" t="s">
        <v>553</v>
      </c>
    </row>
    <row r="188" spans="1:48" x14ac:dyDescent="0.25">
      <c r="A188" s="18" t="s">
        <v>554</v>
      </c>
      <c r="B188" s="10">
        <v>20030806</v>
      </c>
      <c r="C188" s="9">
        <v>6</v>
      </c>
      <c r="D188" s="8" t="str">
        <f t="shared" si="25"/>
        <v>Y</v>
      </c>
      <c r="E188" s="8" t="str">
        <f t="shared" si="26"/>
        <v>N</v>
      </c>
      <c r="F188" s="8" t="str">
        <f t="shared" si="27"/>
        <v>Y</v>
      </c>
      <c r="G188" s="8" t="str">
        <f t="shared" si="28"/>
        <v>Y</v>
      </c>
      <c r="H188" s="8" t="str">
        <f t="shared" si="29"/>
        <v>Upper</v>
      </c>
      <c r="I188" s="8" t="str">
        <f t="shared" si="30"/>
        <v>West Fork and Below Lake</v>
      </c>
      <c r="J188" s="8" t="str">
        <f t="shared" si="31"/>
        <v>Mendocino (d/s of lake)</v>
      </c>
      <c r="K188" s="8" t="str">
        <f t="shared" si="32"/>
        <v>Post-1949</v>
      </c>
      <c r="L188" s="8">
        <f t="shared" si="33"/>
        <v>2003</v>
      </c>
      <c r="M188" s="8" t="str">
        <f t="shared" si="35"/>
        <v>1991-present</v>
      </c>
      <c r="N188" s="10" t="s">
        <v>242</v>
      </c>
      <c r="O188" s="10" t="s">
        <v>241</v>
      </c>
      <c r="P188" s="10" t="s">
        <v>242</v>
      </c>
      <c r="Q188" s="10" t="s">
        <v>242</v>
      </c>
      <c r="R188" s="10" t="s">
        <v>241</v>
      </c>
      <c r="S188" s="10" t="s">
        <v>242</v>
      </c>
      <c r="T188" s="10" t="s">
        <v>241</v>
      </c>
      <c r="U188" s="10" t="s">
        <v>241</v>
      </c>
      <c r="V188" s="10" t="s">
        <v>241</v>
      </c>
      <c r="W188" s="10" t="s">
        <v>242</v>
      </c>
      <c r="X188" s="15">
        <f>IF(ISERROR(VLOOKUP($A188,'13. Updated Demand'!A:Z,15,FALSE)),0,VLOOKUP($A188,'13. Updated Demand'!A:Z,15,FALSE))</f>
        <v>0</v>
      </c>
      <c r="Y188" s="16">
        <f>IF(ISERROR(VLOOKUP($A188,'13. Updated Demand'!A:Z,16,FALSE)),0,VLOOKUP($A188,'13. Updated Demand'!A:Z,16,FALSE))</f>
        <v>0</v>
      </c>
      <c r="Z188" s="16">
        <f>IF(ISERROR(VLOOKUP($A188,'13. Updated Demand'!A:Z,17,FALSE)),0,VLOOKUP($A188,'13. Updated Demand'!A:Z,17,FALSE))</f>
        <v>0</v>
      </c>
      <c r="AA188" s="16">
        <f>IF(ISERROR(VLOOKUP($A188,'13. Updated Demand'!A:Z,18,FALSE)),0,VLOOKUP($A188,'13. Updated Demand'!A:Z,18,FALSE))</f>
        <v>0</v>
      </c>
      <c r="AB188" s="16">
        <f>IF(ISERROR(VLOOKUP($A188,'13. Updated Demand'!A:Z,19,FALSE)),0,VLOOKUP($A188,'13. Updated Demand'!A:Z,19,FALSE))</f>
        <v>0</v>
      </c>
      <c r="AC188" s="16">
        <f>IF(ISERROR(VLOOKUP($A188,'13. Updated Demand'!A:Z,20,FALSE)),0,VLOOKUP($A188,'13. Updated Demand'!A:Z,20,FALSE))</f>
        <v>0</v>
      </c>
      <c r="AD188" s="16">
        <f>IF(ISERROR(VLOOKUP($A188,'13. Updated Demand'!A:Z,21,FALSE)),0,VLOOKUP($A188,'13. Updated Demand'!A:Z,21,FALSE))</f>
        <v>0</v>
      </c>
      <c r="AE188" s="16">
        <f>IF(ISERROR(VLOOKUP($A188,'13. Updated Demand'!A:Z,22,FALSE)),0,VLOOKUP($A188,'13. Updated Demand'!A:Z,22,FALSE))</f>
        <v>0</v>
      </c>
      <c r="AF188" s="16">
        <f>IF(ISERROR(VLOOKUP($A188,'13. Updated Demand'!A:Z,23,FALSE)),0,VLOOKUP($A188,'13. Updated Demand'!A:Z,23,FALSE))</f>
        <v>0</v>
      </c>
      <c r="AG188" s="16">
        <f>IF(ISERROR(VLOOKUP($A188,'13. Updated Demand'!A:Z,24,FALSE)),0,VLOOKUP($A188,'13. Updated Demand'!A:Z,24,FALSE))</f>
        <v>0</v>
      </c>
      <c r="AH188" s="16">
        <f>IF(ISERROR(VLOOKUP($A188,'13. Updated Demand'!A:Z,25,FALSE)),0,VLOOKUP($A188,'13. Updated Demand'!A:Z,25,FALSE))</f>
        <v>0</v>
      </c>
      <c r="AI188" s="16">
        <f>IF(ISERROR(VLOOKUP($A188,'13. Updated Demand'!A:Z,26,FALSE)),0,VLOOKUP($A188,'13. Updated Demand'!A:Z,26,FALSE))</f>
        <v>0</v>
      </c>
      <c r="AJ188" s="16">
        <f t="shared" si="36"/>
        <v>0</v>
      </c>
      <c r="AK188" s="19">
        <v>0</v>
      </c>
      <c r="AL188" s="16">
        <f t="shared" si="34"/>
        <v>0</v>
      </c>
      <c r="AM188" s="17">
        <v>0</v>
      </c>
      <c r="AN188" s="19"/>
      <c r="AO188" s="19"/>
      <c r="AP188" s="19">
        <v>7</v>
      </c>
      <c r="AQ188" s="19" t="s">
        <v>307</v>
      </c>
      <c r="AR188" s="9" t="s">
        <v>319</v>
      </c>
      <c r="AS188" s="12">
        <v>0</v>
      </c>
      <c r="AT188" s="19">
        <v>38.960352139999998</v>
      </c>
      <c r="AU188" s="19">
        <v>-123.04742838999999</v>
      </c>
      <c r="AV188" s="19" t="s">
        <v>417</v>
      </c>
    </row>
    <row r="189" spans="1:48" x14ac:dyDescent="0.25">
      <c r="A189" s="18" t="s">
        <v>555</v>
      </c>
      <c r="B189" s="10">
        <v>20030221</v>
      </c>
      <c r="C189" s="9">
        <v>1</v>
      </c>
      <c r="D189" s="8" t="str">
        <f t="shared" si="25"/>
        <v>N</v>
      </c>
      <c r="E189" s="8" t="str">
        <f t="shared" si="26"/>
        <v>N</v>
      </c>
      <c r="F189" s="8" t="str">
        <f t="shared" si="27"/>
        <v>Y</v>
      </c>
      <c r="G189" s="8" t="str">
        <f t="shared" si="28"/>
        <v>Y</v>
      </c>
      <c r="H189" s="8" t="str">
        <f t="shared" si="29"/>
        <v>Upper</v>
      </c>
      <c r="I189" s="8" t="str">
        <f t="shared" si="30"/>
        <v>West Fork and Below Lake</v>
      </c>
      <c r="J189" s="8" t="str">
        <f t="shared" si="31"/>
        <v>Outside</v>
      </c>
      <c r="K189" s="8" t="str">
        <f t="shared" si="32"/>
        <v>Post-1949</v>
      </c>
      <c r="L189" s="8">
        <f t="shared" si="33"/>
        <v>2003</v>
      </c>
      <c r="M189" s="8" t="str">
        <f t="shared" si="35"/>
        <v>1991-present</v>
      </c>
      <c r="N189" s="10" t="s">
        <v>242</v>
      </c>
      <c r="O189" s="10" t="s">
        <v>241</v>
      </c>
      <c r="P189" s="10" t="s">
        <v>242</v>
      </c>
      <c r="Q189" s="10" t="s">
        <v>242</v>
      </c>
      <c r="R189" s="10" t="s">
        <v>241</v>
      </c>
      <c r="S189" s="10" t="s">
        <v>242</v>
      </c>
      <c r="T189" s="10" t="s">
        <v>241</v>
      </c>
      <c r="U189" s="10" t="s">
        <v>241</v>
      </c>
      <c r="V189" s="10" t="s">
        <v>241</v>
      </c>
      <c r="W189" s="10" t="s">
        <v>242</v>
      </c>
      <c r="X189" s="15">
        <f>IF(ISERROR(VLOOKUP($A189,'13. Updated Demand'!A:Z,15,FALSE)),0,VLOOKUP($A189,'13. Updated Demand'!A:Z,15,FALSE))</f>
        <v>0</v>
      </c>
      <c r="Y189" s="16">
        <f>IF(ISERROR(VLOOKUP($A189,'13. Updated Demand'!A:Z,16,FALSE)),0,VLOOKUP($A189,'13. Updated Demand'!A:Z,16,FALSE))</f>
        <v>0</v>
      </c>
      <c r="Z189" s="16">
        <f>IF(ISERROR(VLOOKUP($A189,'13. Updated Demand'!A:Z,17,FALSE)),0,VLOOKUP($A189,'13. Updated Demand'!A:Z,17,FALSE))</f>
        <v>0</v>
      </c>
      <c r="AA189" s="16">
        <f>IF(ISERROR(VLOOKUP($A189,'13. Updated Demand'!A:Z,18,FALSE)),0,VLOOKUP($A189,'13. Updated Demand'!A:Z,18,FALSE))</f>
        <v>0</v>
      </c>
      <c r="AB189" s="16">
        <f>IF(ISERROR(VLOOKUP($A189,'13. Updated Demand'!A:Z,19,FALSE)),0,VLOOKUP($A189,'13. Updated Demand'!A:Z,19,FALSE))</f>
        <v>0</v>
      </c>
      <c r="AC189" s="16">
        <f>IF(ISERROR(VLOOKUP($A189,'13. Updated Demand'!A:Z,20,FALSE)),0,VLOOKUP($A189,'13. Updated Demand'!A:Z,20,FALSE))</f>
        <v>0</v>
      </c>
      <c r="AD189" s="16">
        <f>IF(ISERROR(VLOOKUP($A189,'13. Updated Demand'!A:Z,21,FALSE)),0,VLOOKUP($A189,'13. Updated Demand'!A:Z,21,FALSE))</f>
        <v>0</v>
      </c>
      <c r="AE189" s="16">
        <f>IF(ISERROR(VLOOKUP($A189,'13. Updated Demand'!A:Z,22,FALSE)),0,VLOOKUP($A189,'13. Updated Demand'!A:Z,22,FALSE))</f>
        <v>0</v>
      </c>
      <c r="AF189" s="16">
        <f>IF(ISERROR(VLOOKUP($A189,'13. Updated Demand'!A:Z,23,FALSE)),0,VLOOKUP($A189,'13. Updated Demand'!A:Z,23,FALSE))</f>
        <v>0</v>
      </c>
      <c r="AG189" s="16">
        <f>IF(ISERROR(VLOOKUP($A189,'13. Updated Demand'!A:Z,24,FALSE)),0,VLOOKUP($A189,'13. Updated Demand'!A:Z,24,FALSE))</f>
        <v>0</v>
      </c>
      <c r="AH189" s="16">
        <f>IF(ISERROR(VLOOKUP($A189,'13. Updated Demand'!A:Z,25,FALSE)),0,VLOOKUP($A189,'13. Updated Demand'!A:Z,25,FALSE))</f>
        <v>0</v>
      </c>
      <c r="AI189" s="16">
        <f>IF(ISERROR(VLOOKUP($A189,'13. Updated Demand'!A:Z,26,FALSE)),0,VLOOKUP($A189,'13. Updated Demand'!A:Z,26,FALSE))</f>
        <v>0</v>
      </c>
      <c r="AJ189" s="16">
        <f t="shared" si="36"/>
        <v>0</v>
      </c>
      <c r="AK189" s="19">
        <v>0</v>
      </c>
      <c r="AL189" s="16">
        <f t="shared" si="34"/>
        <v>0</v>
      </c>
      <c r="AM189" s="17">
        <v>0</v>
      </c>
      <c r="AN189" s="19"/>
      <c r="AO189" s="19"/>
      <c r="AP189" s="19">
        <v>46</v>
      </c>
      <c r="AQ189" s="19" t="s">
        <v>307</v>
      </c>
      <c r="AR189" s="9" t="s">
        <v>317</v>
      </c>
      <c r="AS189" s="12">
        <v>3.4039024194010059E-4</v>
      </c>
      <c r="AT189" s="19">
        <v>39.225265999999998</v>
      </c>
      <c r="AU189" s="19">
        <v>-123.2195396</v>
      </c>
      <c r="AV189" s="19" t="s">
        <v>417</v>
      </c>
    </row>
    <row r="190" spans="1:48" x14ac:dyDescent="0.25">
      <c r="A190" s="18" t="s">
        <v>556</v>
      </c>
      <c r="B190" s="10">
        <v>20030303</v>
      </c>
      <c r="C190" s="9">
        <v>4</v>
      </c>
      <c r="D190" s="8" t="str">
        <f t="shared" si="25"/>
        <v>Y</v>
      </c>
      <c r="E190" s="8" t="str">
        <f t="shared" si="26"/>
        <v>N</v>
      </c>
      <c r="F190" s="8" t="str">
        <f t="shared" si="27"/>
        <v>Y</v>
      </c>
      <c r="G190" s="8" t="str">
        <f t="shared" si="28"/>
        <v>Y</v>
      </c>
      <c r="H190" s="8" t="str">
        <f t="shared" si="29"/>
        <v>Upper</v>
      </c>
      <c r="I190" s="8" t="str">
        <f t="shared" si="30"/>
        <v>West Fork and Below Lake</v>
      </c>
      <c r="J190" s="8" t="str">
        <f t="shared" si="31"/>
        <v>Mendocino (d/s of lake)</v>
      </c>
      <c r="K190" s="8" t="str">
        <f t="shared" si="32"/>
        <v>Post-1949</v>
      </c>
      <c r="L190" s="8">
        <f t="shared" si="33"/>
        <v>2003</v>
      </c>
      <c r="M190" s="8" t="str">
        <f t="shared" si="35"/>
        <v>1991-present</v>
      </c>
      <c r="N190" s="10" t="s">
        <v>242</v>
      </c>
      <c r="O190" s="10" t="s">
        <v>241</v>
      </c>
      <c r="P190" s="10" t="s">
        <v>242</v>
      </c>
      <c r="Q190" s="10" t="s">
        <v>242</v>
      </c>
      <c r="R190" s="10" t="s">
        <v>241</v>
      </c>
      <c r="S190" s="10" t="s">
        <v>242</v>
      </c>
      <c r="T190" s="10" t="s">
        <v>241</v>
      </c>
      <c r="U190" s="10" t="s">
        <v>241</v>
      </c>
      <c r="V190" s="10" t="s">
        <v>241</v>
      </c>
      <c r="W190" s="10" t="s">
        <v>242</v>
      </c>
      <c r="X190" s="15">
        <f>IF(ISERROR(VLOOKUP($A190,'13. Updated Demand'!A:Z,15,FALSE)),0,VLOOKUP($A190,'13. Updated Demand'!A:Z,15,FALSE))</f>
        <v>0</v>
      </c>
      <c r="Y190" s="16">
        <f>IF(ISERROR(VLOOKUP($A190,'13. Updated Demand'!A:Z,16,FALSE)),0,VLOOKUP($A190,'13. Updated Demand'!A:Z,16,FALSE))</f>
        <v>0</v>
      </c>
      <c r="Z190" s="16">
        <f>IF(ISERROR(VLOOKUP($A190,'13. Updated Demand'!A:Z,17,FALSE)),0,VLOOKUP($A190,'13. Updated Demand'!A:Z,17,FALSE))</f>
        <v>0</v>
      </c>
      <c r="AA190" s="16">
        <f>IF(ISERROR(VLOOKUP($A190,'13. Updated Demand'!A:Z,18,FALSE)),0,VLOOKUP($A190,'13. Updated Demand'!A:Z,18,FALSE))</f>
        <v>0</v>
      </c>
      <c r="AB190" s="16">
        <f>IF(ISERROR(VLOOKUP($A190,'13. Updated Demand'!A:Z,19,FALSE)),0,VLOOKUP($A190,'13. Updated Demand'!A:Z,19,FALSE))</f>
        <v>0</v>
      </c>
      <c r="AC190" s="16">
        <f>IF(ISERROR(VLOOKUP($A190,'13. Updated Demand'!A:Z,20,FALSE)),0,VLOOKUP($A190,'13. Updated Demand'!A:Z,20,FALSE))</f>
        <v>0</v>
      </c>
      <c r="AD190" s="16">
        <f>IF(ISERROR(VLOOKUP($A190,'13. Updated Demand'!A:Z,21,FALSE)),0,VLOOKUP($A190,'13. Updated Demand'!A:Z,21,FALSE))</f>
        <v>0</v>
      </c>
      <c r="AE190" s="16">
        <f>IF(ISERROR(VLOOKUP($A190,'13. Updated Demand'!A:Z,22,FALSE)),0,VLOOKUP($A190,'13. Updated Demand'!A:Z,22,FALSE))</f>
        <v>0</v>
      </c>
      <c r="AF190" s="16">
        <f>IF(ISERROR(VLOOKUP($A190,'13. Updated Demand'!A:Z,23,FALSE)),0,VLOOKUP($A190,'13. Updated Demand'!A:Z,23,FALSE))</f>
        <v>0</v>
      </c>
      <c r="AG190" s="16">
        <f>IF(ISERROR(VLOOKUP($A190,'13. Updated Demand'!A:Z,24,FALSE)),0,VLOOKUP($A190,'13. Updated Demand'!A:Z,24,FALSE))</f>
        <v>0</v>
      </c>
      <c r="AH190" s="16">
        <f>IF(ISERROR(VLOOKUP($A190,'13. Updated Demand'!A:Z,25,FALSE)),0,VLOOKUP($A190,'13. Updated Demand'!A:Z,25,FALSE))</f>
        <v>0</v>
      </c>
      <c r="AI190" s="16">
        <f>IF(ISERROR(VLOOKUP($A190,'13. Updated Demand'!A:Z,26,FALSE)),0,VLOOKUP($A190,'13. Updated Demand'!A:Z,26,FALSE))</f>
        <v>0</v>
      </c>
      <c r="AJ190" s="16">
        <f t="shared" si="36"/>
        <v>0</v>
      </c>
      <c r="AK190" s="19">
        <v>0</v>
      </c>
      <c r="AL190" s="16">
        <f t="shared" si="34"/>
        <v>0</v>
      </c>
      <c r="AM190" s="17">
        <v>0</v>
      </c>
      <c r="AN190" s="19"/>
      <c r="AO190" s="19"/>
      <c r="AP190" s="19">
        <v>70</v>
      </c>
      <c r="AQ190" s="19" t="s">
        <v>307</v>
      </c>
      <c r="AR190" s="9" t="s">
        <v>331</v>
      </c>
      <c r="AS190" s="12">
        <v>0</v>
      </c>
      <c r="AT190" s="19">
        <v>39.174873030000001</v>
      </c>
      <c r="AU190" s="19">
        <v>-123.22775015000001</v>
      </c>
      <c r="AV190" s="19" t="s">
        <v>417</v>
      </c>
    </row>
    <row r="191" spans="1:48" x14ac:dyDescent="0.25">
      <c r="A191" s="18" t="s">
        <v>557</v>
      </c>
      <c r="B191" s="10">
        <v>20030213</v>
      </c>
      <c r="C191" s="9">
        <v>1</v>
      </c>
      <c r="D191" s="8" t="str">
        <f t="shared" si="25"/>
        <v>N</v>
      </c>
      <c r="E191" s="8" t="str">
        <f t="shared" si="26"/>
        <v>N</v>
      </c>
      <c r="F191" s="8" t="str">
        <f t="shared" si="27"/>
        <v>Y</v>
      </c>
      <c r="G191" s="8" t="str">
        <f t="shared" si="28"/>
        <v>Y</v>
      </c>
      <c r="H191" s="8" t="str">
        <f t="shared" si="29"/>
        <v>Upper</v>
      </c>
      <c r="I191" s="8" t="str">
        <f t="shared" si="30"/>
        <v>West Fork and Below Lake</v>
      </c>
      <c r="J191" s="8" t="str">
        <f t="shared" si="31"/>
        <v>Outside</v>
      </c>
      <c r="K191" s="8" t="str">
        <f t="shared" si="32"/>
        <v>Post-1949</v>
      </c>
      <c r="L191" s="8">
        <f t="shared" si="33"/>
        <v>2003</v>
      </c>
      <c r="M191" s="8" t="str">
        <f t="shared" si="35"/>
        <v>1991-present</v>
      </c>
      <c r="N191" s="10" t="s">
        <v>242</v>
      </c>
      <c r="O191" s="10" t="s">
        <v>241</v>
      </c>
      <c r="P191" s="10" t="s">
        <v>242</v>
      </c>
      <c r="Q191" s="10" t="s">
        <v>242</v>
      </c>
      <c r="R191" s="10" t="s">
        <v>241</v>
      </c>
      <c r="S191" s="10" t="s">
        <v>242</v>
      </c>
      <c r="T191" s="10" t="s">
        <v>242</v>
      </c>
      <c r="U191" s="10" t="s">
        <v>242</v>
      </c>
      <c r="V191" s="10" t="s">
        <v>241</v>
      </c>
      <c r="W191" s="10" t="s">
        <v>242</v>
      </c>
      <c r="X191" s="15">
        <f>IF(ISERROR(VLOOKUP($A191,'13. Updated Demand'!A:Z,15,FALSE)),0,VLOOKUP($A191,'13. Updated Demand'!A:Z,15,FALSE))</f>
        <v>0</v>
      </c>
      <c r="Y191" s="16">
        <f>IF(ISERROR(VLOOKUP($A191,'13. Updated Demand'!A:Z,16,FALSE)),0,VLOOKUP($A191,'13. Updated Demand'!A:Z,16,FALSE))</f>
        <v>0</v>
      </c>
      <c r="Z191" s="16">
        <f>IF(ISERROR(VLOOKUP($A191,'13. Updated Demand'!A:Z,17,FALSE)),0,VLOOKUP($A191,'13. Updated Demand'!A:Z,17,FALSE))</f>
        <v>0</v>
      </c>
      <c r="AA191" s="16">
        <f>IF(ISERROR(VLOOKUP($A191,'13. Updated Demand'!A:Z,18,FALSE)),0,VLOOKUP($A191,'13. Updated Demand'!A:Z,18,FALSE))</f>
        <v>0</v>
      </c>
      <c r="AB191" s="16">
        <f>IF(ISERROR(VLOOKUP($A191,'13. Updated Demand'!A:Z,19,FALSE)),0,VLOOKUP($A191,'13. Updated Demand'!A:Z,19,FALSE))</f>
        <v>0</v>
      </c>
      <c r="AC191" s="16">
        <f>IF(ISERROR(VLOOKUP($A191,'13. Updated Demand'!A:Z,20,FALSE)),0,VLOOKUP($A191,'13. Updated Demand'!A:Z,20,FALSE))</f>
        <v>0</v>
      </c>
      <c r="AD191" s="16">
        <f>IF(ISERROR(VLOOKUP($A191,'13. Updated Demand'!A:Z,21,FALSE)),0,VLOOKUP($A191,'13. Updated Demand'!A:Z,21,FALSE))</f>
        <v>0</v>
      </c>
      <c r="AE191" s="16">
        <f>IF(ISERROR(VLOOKUP($A191,'13. Updated Demand'!A:Z,22,FALSE)),0,VLOOKUP($A191,'13. Updated Demand'!A:Z,22,FALSE))</f>
        <v>0</v>
      </c>
      <c r="AF191" s="16">
        <f>IF(ISERROR(VLOOKUP($A191,'13. Updated Demand'!A:Z,23,FALSE)),0,VLOOKUP($A191,'13. Updated Demand'!A:Z,23,FALSE))</f>
        <v>0</v>
      </c>
      <c r="AG191" s="16">
        <f>IF(ISERROR(VLOOKUP($A191,'13. Updated Demand'!A:Z,24,FALSE)),0,VLOOKUP($A191,'13. Updated Demand'!A:Z,24,FALSE))</f>
        <v>0</v>
      </c>
      <c r="AH191" s="16">
        <f>IF(ISERROR(VLOOKUP($A191,'13. Updated Demand'!A:Z,25,FALSE)),0,VLOOKUP($A191,'13. Updated Demand'!A:Z,25,FALSE))</f>
        <v>7.4</v>
      </c>
      <c r="AI191" s="16">
        <f>IF(ISERROR(VLOOKUP($A191,'13. Updated Demand'!A:Z,26,FALSE)),0,VLOOKUP($A191,'13. Updated Demand'!A:Z,26,FALSE))</f>
        <v>0.66</v>
      </c>
      <c r="AJ191" s="16">
        <f t="shared" si="36"/>
        <v>8.06</v>
      </c>
      <c r="AK191" s="19">
        <v>0</v>
      </c>
      <c r="AL191" s="16">
        <f t="shared" si="34"/>
        <v>0</v>
      </c>
      <c r="AM191" s="17">
        <v>0.80666666669999998</v>
      </c>
      <c r="AN191" s="19"/>
      <c r="AO191" s="19"/>
      <c r="AP191" s="19">
        <v>10</v>
      </c>
      <c r="AQ191" s="19" t="s">
        <v>307</v>
      </c>
      <c r="AR191" s="9" t="s">
        <v>317</v>
      </c>
      <c r="AS191" s="12">
        <v>3.4039024194010059E-4</v>
      </c>
      <c r="AT191" s="19">
        <v>39.258070920000002</v>
      </c>
      <c r="AU191" s="19">
        <v>-123.17607506</v>
      </c>
      <c r="AV191" s="19" t="s">
        <v>417</v>
      </c>
    </row>
    <row r="192" spans="1:48" x14ac:dyDescent="0.25">
      <c r="A192" s="18" t="s">
        <v>558</v>
      </c>
      <c r="B192" s="10">
        <v>20030403</v>
      </c>
      <c r="C192" s="9">
        <v>11</v>
      </c>
      <c r="D192" s="8" t="str">
        <f t="shared" si="25"/>
        <v>N</v>
      </c>
      <c r="E192" s="8" t="str">
        <f t="shared" si="26"/>
        <v>Y</v>
      </c>
      <c r="F192" s="8" t="str">
        <f t="shared" si="27"/>
        <v>Y</v>
      </c>
      <c r="G192" s="8" t="str">
        <f t="shared" si="28"/>
        <v>Y</v>
      </c>
      <c r="H192" s="8" t="str">
        <f t="shared" si="29"/>
        <v>Upper</v>
      </c>
      <c r="I192" s="8" t="str">
        <f t="shared" si="30"/>
        <v>West Fork and Below Lake</v>
      </c>
      <c r="J192" s="8" t="str">
        <f t="shared" si="31"/>
        <v>Sonoma (d/s of Clov. Gage)</v>
      </c>
      <c r="K192" s="8" t="str">
        <f t="shared" si="32"/>
        <v>Post-1949</v>
      </c>
      <c r="L192" s="8">
        <f t="shared" si="33"/>
        <v>2003</v>
      </c>
      <c r="M192" s="8" t="str">
        <f t="shared" si="35"/>
        <v>1991-present</v>
      </c>
      <c r="N192" s="10" t="s">
        <v>242</v>
      </c>
      <c r="O192" s="10" t="s">
        <v>241</v>
      </c>
      <c r="P192" s="10" t="s">
        <v>242</v>
      </c>
      <c r="Q192" s="10" t="s">
        <v>242</v>
      </c>
      <c r="R192" s="10" t="s">
        <v>241</v>
      </c>
      <c r="S192" s="10" t="s">
        <v>242</v>
      </c>
      <c r="T192" s="10" t="s">
        <v>242</v>
      </c>
      <c r="U192" s="10" t="s">
        <v>242</v>
      </c>
      <c r="V192" s="10" t="s">
        <v>241</v>
      </c>
      <c r="W192" s="10" t="s">
        <v>242</v>
      </c>
      <c r="X192" s="15">
        <f>IF(ISERROR(VLOOKUP($A192,'13. Updated Demand'!A:Z,15,FALSE)),0,VLOOKUP($A192,'13. Updated Demand'!A:Z,15,FALSE))</f>
        <v>0</v>
      </c>
      <c r="Y192" s="16">
        <f>IF(ISERROR(VLOOKUP($A192,'13. Updated Demand'!A:Z,16,FALSE)),0,VLOOKUP($A192,'13. Updated Demand'!A:Z,16,FALSE))</f>
        <v>0</v>
      </c>
      <c r="Z192" s="16">
        <f>IF(ISERROR(VLOOKUP($A192,'13. Updated Demand'!A:Z,17,FALSE)),0,VLOOKUP($A192,'13. Updated Demand'!A:Z,17,FALSE))</f>
        <v>0</v>
      </c>
      <c r="AA192" s="16">
        <f>IF(ISERROR(VLOOKUP($A192,'13. Updated Demand'!A:Z,18,FALSE)),0,VLOOKUP($A192,'13. Updated Demand'!A:Z,18,FALSE))</f>
        <v>0</v>
      </c>
      <c r="AB192" s="16">
        <f>IF(ISERROR(VLOOKUP($A192,'13. Updated Demand'!A:Z,19,FALSE)),0,VLOOKUP($A192,'13. Updated Demand'!A:Z,19,FALSE))</f>
        <v>0</v>
      </c>
      <c r="AC192" s="16">
        <f>IF(ISERROR(VLOOKUP($A192,'13. Updated Demand'!A:Z,20,FALSE)),0,VLOOKUP($A192,'13. Updated Demand'!A:Z,20,FALSE))</f>
        <v>0</v>
      </c>
      <c r="AD192" s="16">
        <f>IF(ISERROR(VLOOKUP($A192,'13. Updated Demand'!A:Z,21,FALSE)),0,VLOOKUP($A192,'13. Updated Demand'!A:Z,21,FALSE))</f>
        <v>0</v>
      </c>
      <c r="AE192" s="16">
        <f>IF(ISERROR(VLOOKUP($A192,'13. Updated Demand'!A:Z,22,FALSE)),0,VLOOKUP($A192,'13. Updated Demand'!A:Z,22,FALSE))</f>
        <v>0</v>
      </c>
      <c r="AF192" s="16">
        <f>IF(ISERROR(VLOOKUP($A192,'13. Updated Demand'!A:Z,23,FALSE)),0,VLOOKUP($A192,'13. Updated Demand'!A:Z,23,FALSE))</f>
        <v>0</v>
      </c>
      <c r="AG192" s="16">
        <f>IF(ISERROR(VLOOKUP($A192,'13. Updated Demand'!A:Z,24,FALSE)),0,VLOOKUP($A192,'13. Updated Demand'!A:Z,24,FALSE))</f>
        <v>0</v>
      </c>
      <c r="AH192" s="16">
        <f>IF(ISERROR(VLOOKUP($A192,'13. Updated Demand'!A:Z,25,FALSE)),0,VLOOKUP($A192,'13. Updated Demand'!A:Z,25,FALSE))</f>
        <v>1.1000000000000001</v>
      </c>
      <c r="AI192" s="16">
        <f>IF(ISERROR(VLOOKUP($A192,'13. Updated Demand'!A:Z,26,FALSE)),0,VLOOKUP($A192,'13. Updated Demand'!A:Z,26,FALSE))</f>
        <v>0</v>
      </c>
      <c r="AJ192" s="16">
        <f t="shared" si="36"/>
        <v>1.1000000000000001</v>
      </c>
      <c r="AK192" s="19">
        <v>0</v>
      </c>
      <c r="AL192" s="16">
        <f t="shared" si="34"/>
        <v>0</v>
      </c>
      <c r="AM192" s="17">
        <v>0.11000000000000001</v>
      </c>
      <c r="AN192" s="19"/>
      <c r="AO192" s="19"/>
      <c r="AP192" s="19">
        <v>10</v>
      </c>
      <c r="AQ192" s="19" t="s">
        <v>307</v>
      </c>
      <c r="AR192" s="9" t="s">
        <v>308</v>
      </c>
      <c r="AS192" s="12">
        <v>3.4039024194010059E-4</v>
      </c>
      <c r="AT192" s="19">
        <v>38.660299999999999</v>
      </c>
      <c r="AU192" s="19">
        <v>-122.7289</v>
      </c>
      <c r="AV192" s="19" t="s">
        <v>417</v>
      </c>
    </row>
    <row r="193" spans="1:48" x14ac:dyDescent="0.25">
      <c r="A193" s="18" t="s">
        <v>559</v>
      </c>
      <c r="B193" s="10">
        <v>20030529</v>
      </c>
      <c r="C193" s="9">
        <v>12</v>
      </c>
      <c r="D193" s="8" t="str">
        <f t="shared" si="25"/>
        <v>N</v>
      </c>
      <c r="E193" s="8" t="str">
        <f t="shared" si="26"/>
        <v>Y</v>
      </c>
      <c r="F193" s="8" t="str">
        <f t="shared" si="27"/>
        <v>Y</v>
      </c>
      <c r="G193" s="8" t="str">
        <f t="shared" si="28"/>
        <v>Y</v>
      </c>
      <c r="H193" s="8" t="str">
        <f t="shared" si="29"/>
        <v>Upper</v>
      </c>
      <c r="I193" s="8" t="str">
        <f t="shared" si="30"/>
        <v>West Fork and Below Lake</v>
      </c>
      <c r="J193" s="8" t="str">
        <f t="shared" si="31"/>
        <v>Sonoma (d/s of Clov. Gage)</v>
      </c>
      <c r="K193" s="8" t="str">
        <f t="shared" si="32"/>
        <v>Post-1949</v>
      </c>
      <c r="L193" s="8">
        <f t="shared" si="33"/>
        <v>2003</v>
      </c>
      <c r="M193" s="8" t="str">
        <f t="shared" si="35"/>
        <v>1991-present</v>
      </c>
      <c r="N193" s="10" t="s">
        <v>241</v>
      </c>
      <c r="O193" s="10" t="s">
        <v>241</v>
      </c>
      <c r="P193" s="10" t="s">
        <v>242</v>
      </c>
      <c r="Q193" s="10" t="s">
        <v>242</v>
      </c>
      <c r="R193" s="10" t="s">
        <v>241</v>
      </c>
      <c r="S193" s="10" t="s">
        <v>242</v>
      </c>
      <c r="T193" s="10" t="s">
        <v>242</v>
      </c>
      <c r="U193" s="10" t="s">
        <v>242</v>
      </c>
      <c r="V193" s="10" t="s">
        <v>242</v>
      </c>
      <c r="W193" s="10" t="s">
        <v>242</v>
      </c>
      <c r="X193" s="15">
        <f>IF(ISERROR(VLOOKUP($A193,'13. Updated Demand'!A:Z,15,FALSE)),0,VLOOKUP($A193,'13. Updated Demand'!A:Z,15,FALSE))</f>
        <v>0.06</v>
      </c>
      <c r="Y193" s="16">
        <f>IF(ISERROR(VLOOKUP($A193,'13. Updated Demand'!A:Z,16,FALSE)),0,VLOOKUP($A193,'13. Updated Demand'!A:Z,16,FALSE))</f>
        <v>0.06</v>
      </c>
      <c r="Z193" s="16">
        <f>IF(ISERROR(VLOOKUP($A193,'13. Updated Demand'!A:Z,17,FALSE)),0,VLOOKUP($A193,'13. Updated Demand'!A:Z,17,FALSE))</f>
        <v>0.09</v>
      </c>
      <c r="AA193" s="16">
        <f>IF(ISERROR(VLOOKUP($A193,'13. Updated Demand'!A:Z,18,FALSE)),0,VLOOKUP($A193,'13. Updated Demand'!A:Z,18,FALSE))</f>
        <v>0.21</v>
      </c>
      <c r="AB193" s="16">
        <f>IF(ISERROR(VLOOKUP($A193,'13. Updated Demand'!A:Z,19,FALSE)),0,VLOOKUP($A193,'13. Updated Demand'!A:Z,19,FALSE))</f>
        <v>0.24</v>
      </c>
      <c r="AC193" s="16">
        <f>IF(ISERROR(VLOOKUP($A193,'13. Updated Demand'!A:Z,20,FALSE)),0,VLOOKUP($A193,'13. Updated Demand'!A:Z,20,FALSE))</f>
        <v>0.27</v>
      </c>
      <c r="AD193" s="16">
        <f>IF(ISERROR(VLOOKUP($A193,'13. Updated Demand'!A:Z,21,FALSE)),0,VLOOKUP($A193,'13. Updated Demand'!A:Z,21,FALSE))</f>
        <v>0.27</v>
      </c>
      <c r="AE193" s="16">
        <f>IF(ISERROR(VLOOKUP($A193,'13. Updated Demand'!A:Z,22,FALSE)),0,VLOOKUP($A193,'13. Updated Demand'!A:Z,22,FALSE))</f>
        <v>0.3</v>
      </c>
      <c r="AF193" s="16">
        <f>IF(ISERROR(VLOOKUP($A193,'13. Updated Demand'!A:Z,23,FALSE)),0,VLOOKUP($A193,'13. Updated Demand'!A:Z,23,FALSE))</f>
        <v>0.27</v>
      </c>
      <c r="AG193" s="16">
        <f>IF(ISERROR(VLOOKUP($A193,'13. Updated Demand'!A:Z,24,FALSE)),0,VLOOKUP($A193,'13. Updated Demand'!A:Z,24,FALSE))</f>
        <v>0.18</v>
      </c>
      <c r="AH193" s="16">
        <f>IF(ISERROR(VLOOKUP($A193,'13. Updated Demand'!A:Z,25,FALSE)),0,VLOOKUP($A193,'13. Updated Demand'!A:Z,25,FALSE))</f>
        <v>0.04</v>
      </c>
      <c r="AI193" s="16">
        <f>IF(ISERROR(VLOOKUP($A193,'13. Updated Demand'!A:Z,26,FALSE)),0,VLOOKUP($A193,'13. Updated Demand'!A:Z,26,FALSE))</f>
        <v>0.04</v>
      </c>
      <c r="AJ193" s="16">
        <f t="shared" si="36"/>
        <v>2.0299999999999998</v>
      </c>
      <c r="AK193" s="19">
        <v>1.381005</v>
      </c>
      <c r="AL193" s="16">
        <f t="shared" si="34"/>
        <v>4.5806362737475454E-3</v>
      </c>
      <c r="AM193" s="17">
        <v>0.41532446666666656</v>
      </c>
      <c r="AN193" s="19"/>
      <c r="AO193" s="19"/>
      <c r="AP193" s="19">
        <v>5</v>
      </c>
      <c r="AQ193" s="19" t="s">
        <v>307</v>
      </c>
      <c r="AR193" s="9" t="s">
        <v>311</v>
      </c>
      <c r="AS193" s="12">
        <v>3.4039024194010059E-4</v>
      </c>
      <c r="AT193" s="19">
        <v>38.610096859999999</v>
      </c>
      <c r="AU193" s="19">
        <v>-122.8013656</v>
      </c>
      <c r="AV193" s="19" t="s">
        <v>387</v>
      </c>
    </row>
    <row r="194" spans="1:48" x14ac:dyDescent="0.25">
      <c r="A194" s="18" t="s">
        <v>560</v>
      </c>
      <c r="B194" s="10">
        <v>20030418</v>
      </c>
      <c r="C194" s="9">
        <v>1</v>
      </c>
      <c r="D194" s="8" t="str">
        <f t="shared" ref="D194:D257" si="37">IF(OR(C194=4,C194=5,C194=6),"Y","N")</f>
        <v>N</v>
      </c>
      <c r="E194" s="8" t="str">
        <f t="shared" ref="E194:E257" si="38">IF(AND(C194&gt;6,C194&lt;14),"Y","N")</f>
        <v>N</v>
      </c>
      <c r="F194" s="8" t="str">
        <f t="shared" ref="F194:F257" si="39">IF(C194&lt;14,"Y","N")</f>
        <v>Y</v>
      </c>
      <c r="G194" s="8" t="str">
        <f t="shared" ref="G194:G257" si="40">IF(OR(C194=1,AND(C194&gt;3,C194&lt;14)),"Y","N")</f>
        <v>Y</v>
      </c>
      <c r="H194" s="8" t="str">
        <f t="shared" ref="H194:H257" si="41">IF(C194&lt;14,"Upper","Lower")</f>
        <v>Upper</v>
      </c>
      <c r="I194" s="8" t="str">
        <f t="shared" ref="I194:I257" si="42">IF(G194="Y","West Fork and Below Lake","Outside")</f>
        <v>West Fork and Below Lake</v>
      </c>
      <c r="J194" s="8" t="str">
        <f t="shared" ref="J194:J257" si="43">IF(D194="Y", "Mendocino (d/s of lake)", IF(E194="Y", "Sonoma (d/s of Clov. Gage)","Outside"))</f>
        <v>Outside</v>
      </c>
      <c r="K194" s="8" t="str">
        <f t="shared" ref="K194:K257" si="44">IF(P194="Y","pre-1914",IF(Q194="Y","Pre-1949",IF(R194="Y","Post-1949",IF(S194="Y","Riparian","Unknown"))))</f>
        <v>Post-1949</v>
      </c>
      <c r="L194" s="8">
        <f t="shared" ref="L194:L257" si="45">_xlfn.NUMBERVALUE(LEFT(B194,4))</f>
        <v>2003</v>
      </c>
      <c r="M194" s="8" t="str">
        <f t="shared" si="35"/>
        <v>1991-present</v>
      </c>
      <c r="N194" s="10" t="s">
        <v>242</v>
      </c>
      <c r="O194" s="10" t="s">
        <v>241</v>
      </c>
      <c r="P194" s="10" t="s">
        <v>242</v>
      </c>
      <c r="Q194" s="10" t="s">
        <v>242</v>
      </c>
      <c r="R194" s="10" t="s">
        <v>241</v>
      </c>
      <c r="S194" s="10" t="s">
        <v>242</v>
      </c>
      <c r="T194" s="10" t="s">
        <v>242</v>
      </c>
      <c r="U194" s="10" t="s">
        <v>241</v>
      </c>
      <c r="V194" s="10" t="s">
        <v>241</v>
      </c>
      <c r="W194" s="10" t="s">
        <v>242</v>
      </c>
      <c r="X194" s="15">
        <f>IF(ISERROR(VLOOKUP($A194,'13. Updated Demand'!A:Z,15,FALSE)),0,VLOOKUP($A194,'13. Updated Demand'!A:Z,15,FALSE))</f>
        <v>0</v>
      </c>
      <c r="Y194" s="16">
        <f>IF(ISERROR(VLOOKUP($A194,'13. Updated Demand'!A:Z,16,FALSE)),0,VLOOKUP($A194,'13. Updated Demand'!A:Z,16,FALSE))</f>
        <v>0</v>
      </c>
      <c r="Z194" s="16">
        <f>IF(ISERROR(VLOOKUP($A194,'13. Updated Demand'!A:Z,17,FALSE)),0,VLOOKUP($A194,'13. Updated Demand'!A:Z,17,FALSE))</f>
        <v>0</v>
      </c>
      <c r="AA194" s="16">
        <f>IF(ISERROR(VLOOKUP($A194,'13. Updated Demand'!A:Z,18,FALSE)),0,VLOOKUP($A194,'13. Updated Demand'!A:Z,18,FALSE))</f>
        <v>0</v>
      </c>
      <c r="AB194" s="16">
        <f>IF(ISERROR(VLOOKUP($A194,'13. Updated Demand'!A:Z,19,FALSE)),0,VLOOKUP($A194,'13. Updated Demand'!A:Z,19,FALSE))</f>
        <v>0</v>
      </c>
      <c r="AC194" s="16">
        <f>IF(ISERROR(VLOOKUP($A194,'13. Updated Demand'!A:Z,20,FALSE)),0,VLOOKUP($A194,'13. Updated Demand'!A:Z,20,FALSE))</f>
        <v>0</v>
      </c>
      <c r="AD194" s="16">
        <f>IF(ISERROR(VLOOKUP($A194,'13. Updated Demand'!A:Z,21,FALSE)),0,VLOOKUP($A194,'13. Updated Demand'!A:Z,21,FALSE))</f>
        <v>0</v>
      </c>
      <c r="AE194" s="16">
        <f>IF(ISERROR(VLOOKUP($A194,'13. Updated Demand'!A:Z,22,FALSE)),0,VLOOKUP($A194,'13. Updated Demand'!A:Z,22,FALSE))</f>
        <v>0</v>
      </c>
      <c r="AF194" s="16">
        <f>IF(ISERROR(VLOOKUP($A194,'13. Updated Demand'!A:Z,23,FALSE)),0,VLOOKUP($A194,'13. Updated Demand'!A:Z,23,FALSE))</f>
        <v>0</v>
      </c>
      <c r="AG194" s="16">
        <f>IF(ISERROR(VLOOKUP($A194,'13. Updated Demand'!A:Z,24,FALSE)),0,VLOOKUP($A194,'13. Updated Demand'!A:Z,24,FALSE))</f>
        <v>0</v>
      </c>
      <c r="AH194" s="16">
        <f>IF(ISERROR(VLOOKUP($A194,'13. Updated Demand'!A:Z,25,FALSE)),0,VLOOKUP($A194,'13. Updated Demand'!A:Z,25,FALSE))</f>
        <v>0</v>
      </c>
      <c r="AI194" s="16">
        <f>IF(ISERROR(VLOOKUP($A194,'13. Updated Demand'!A:Z,26,FALSE)),0,VLOOKUP($A194,'13. Updated Demand'!A:Z,26,FALSE))</f>
        <v>0</v>
      </c>
      <c r="AJ194" s="16">
        <f t="shared" si="36"/>
        <v>0</v>
      </c>
      <c r="AK194" s="19">
        <v>0</v>
      </c>
      <c r="AL194" s="16">
        <f t="shared" ref="AL194:AL257" si="46">AK194/152/1.983471</f>
        <v>0</v>
      </c>
      <c r="AM194" s="17">
        <v>0</v>
      </c>
      <c r="AN194" s="19"/>
      <c r="AO194" s="19"/>
      <c r="AP194" s="19">
        <v>8</v>
      </c>
      <c r="AQ194" s="19" t="s">
        <v>307</v>
      </c>
      <c r="AR194" s="9" t="s">
        <v>317</v>
      </c>
      <c r="AS194" s="12">
        <v>3.4039024194010059E-4</v>
      </c>
      <c r="AT194" s="19">
        <v>39.248688530000003</v>
      </c>
      <c r="AU194" s="19">
        <v>-123.23081719</v>
      </c>
      <c r="AV194" s="19" t="s">
        <v>430</v>
      </c>
    </row>
    <row r="195" spans="1:48" x14ac:dyDescent="0.25">
      <c r="A195" s="18" t="s">
        <v>561</v>
      </c>
      <c r="B195" s="10">
        <v>20031217</v>
      </c>
      <c r="C195" s="9">
        <v>1</v>
      </c>
      <c r="D195" s="8" t="str">
        <f t="shared" si="37"/>
        <v>N</v>
      </c>
      <c r="E195" s="8" t="str">
        <f t="shared" si="38"/>
        <v>N</v>
      </c>
      <c r="F195" s="8" t="str">
        <f t="shared" si="39"/>
        <v>Y</v>
      </c>
      <c r="G195" s="8" t="str">
        <f t="shared" si="40"/>
        <v>Y</v>
      </c>
      <c r="H195" s="8" t="str">
        <f t="shared" si="41"/>
        <v>Upper</v>
      </c>
      <c r="I195" s="8" t="str">
        <f t="shared" si="42"/>
        <v>West Fork and Below Lake</v>
      </c>
      <c r="J195" s="8" t="str">
        <f t="shared" si="43"/>
        <v>Outside</v>
      </c>
      <c r="K195" s="8" t="str">
        <f t="shared" si="44"/>
        <v>Post-1949</v>
      </c>
      <c r="L195" s="8">
        <f t="shared" si="45"/>
        <v>2003</v>
      </c>
      <c r="M195" s="8" t="str">
        <f t="shared" ref="M195:M258" si="47">IF(L195=1949,"1949",IF(AND(L195&gt;1949,L195&lt;1953),"1950-1952",IF(AND(L195&gt;1952,L195&lt;1955),"1953-1954",IF(AND(L195&gt;1954,L195&lt;1957),"1955-1956",IF(AND(L195&gt;1956,L195&lt;1960),"1957-1959",IF(AND(L195&gt;1959,L195&lt;1971),"1960-1970",IF(AND(L195&gt;1970,L195&lt;1991),"1971-1990",IF(L195&gt;1990,"1991-present","-"))))))))</f>
        <v>1991-present</v>
      </c>
      <c r="N195" s="10" t="s">
        <v>242</v>
      </c>
      <c r="O195" s="10" t="s">
        <v>241</v>
      </c>
      <c r="P195" s="10" t="s">
        <v>242</v>
      </c>
      <c r="Q195" s="10" t="s">
        <v>242</v>
      </c>
      <c r="R195" s="10" t="s">
        <v>241</v>
      </c>
      <c r="S195" s="10" t="s">
        <v>242</v>
      </c>
      <c r="T195" s="10" t="s">
        <v>242</v>
      </c>
      <c r="U195" s="10" t="s">
        <v>242</v>
      </c>
      <c r="V195" s="10" t="s">
        <v>241</v>
      </c>
      <c r="W195" s="10" t="s">
        <v>242</v>
      </c>
      <c r="X195" s="15">
        <f>IF(ISERROR(VLOOKUP($A195,'13. Updated Demand'!A:Z,15,FALSE)),0,VLOOKUP($A195,'13. Updated Demand'!A:Z,15,FALSE))</f>
        <v>0.33</v>
      </c>
      <c r="Y195" s="16">
        <f>IF(ISERROR(VLOOKUP($A195,'13. Updated Demand'!A:Z,16,FALSE)),0,VLOOKUP($A195,'13. Updated Demand'!A:Z,16,FALSE))</f>
        <v>0.16</v>
      </c>
      <c r="Z195" s="16">
        <f>IF(ISERROR(VLOOKUP($A195,'13. Updated Demand'!A:Z,17,FALSE)),0,VLOOKUP($A195,'13. Updated Demand'!A:Z,17,FALSE))</f>
        <v>0.16</v>
      </c>
      <c r="AA195" s="16">
        <f>IF(ISERROR(VLOOKUP($A195,'13. Updated Demand'!A:Z,18,FALSE)),0,VLOOKUP($A195,'13. Updated Demand'!A:Z,18,FALSE))</f>
        <v>0</v>
      </c>
      <c r="AB195" s="16">
        <f>IF(ISERROR(VLOOKUP($A195,'13. Updated Demand'!A:Z,19,FALSE)),0,VLOOKUP($A195,'13. Updated Demand'!A:Z,19,FALSE))</f>
        <v>0</v>
      </c>
      <c r="AC195" s="16">
        <f>IF(ISERROR(VLOOKUP($A195,'13. Updated Demand'!A:Z,20,FALSE)),0,VLOOKUP($A195,'13. Updated Demand'!A:Z,20,FALSE))</f>
        <v>0</v>
      </c>
      <c r="AD195" s="16">
        <f>IF(ISERROR(VLOOKUP($A195,'13. Updated Demand'!A:Z,21,FALSE)),0,VLOOKUP($A195,'13. Updated Demand'!A:Z,21,FALSE))</f>
        <v>0</v>
      </c>
      <c r="AE195" s="16">
        <f>IF(ISERROR(VLOOKUP($A195,'13. Updated Demand'!A:Z,22,FALSE)),0,VLOOKUP($A195,'13. Updated Demand'!A:Z,22,FALSE))</f>
        <v>0</v>
      </c>
      <c r="AF195" s="16">
        <f>IF(ISERROR(VLOOKUP($A195,'13. Updated Demand'!A:Z,23,FALSE)),0,VLOOKUP($A195,'13. Updated Demand'!A:Z,23,FALSE))</f>
        <v>0</v>
      </c>
      <c r="AG195" s="16">
        <f>IF(ISERROR(VLOOKUP($A195,'13. Updated Demand'!A:Z,24,FALSE)),0,VLOOKUP($A195,'13. Updated Demand'!A:Z,24,FALSE))</f>
        <v>0</v>
      </c>
      <c r="AH195" s="16">
        <f>IF(ISERROR(VLOOKUP($A195,'13. Updated Demand'!A:Z,25,FALSE)),0,VLOOKUP($A195,'13. Updated Demand'!A:Z,25,FALSE))</f>
        <v>0</v>
      </c>
      <c r="AI195" s="16">
        <f>IF(ISERROR(VLOOKUP($A195,'13. Updated Demand'!A:Z,26,FALSE)),0,VLOOKUP($A195,'13. Updated Demand'!A:Z,26,FALSE))</f>
        <v>0</v>
      </c>
      <c r="AJ195" s="16">
        <f t="shared" si="36"/>
        <v>0.65</v>
      </c>
      <c r="AK195" s="19">
        <v>0</v>
      </c>
      <c r="AL195" s="16">
        <f t="shared" si="46"/>
        <v>0</v>
      </c>
      <c r="AM195" s="17">
        <v>0.23809523821428571</v>
      </c>
      <c r="AN195" s="19"/>
      <c r="AO195" s="19"/>
      <c r="AP195" s="19">
        <v>2.8</v>
      </c>
      <c r="AQ195" s="19" t="s">
        <v>307</v>
      </c>
      <c r="AR195" s="9" t="s">
        <v>317</v>
      </c>
      <c r="AS195" s="12">
        <v>3.4039024194010059E-4</v>
      </c>
      <c r="AT195" s="19">
        <v>39.243058120000001</v>
      </c>
      <c r="AU195" s="19">
        <v>-123.22308455</v>
      </c>
      <c r="AV195" s="19" t="s">
        <v>417</v>
      </c>
    </row>
    <row r="196" spans="1:48" x14ac:dyDescent="0.25">
      <c r="A196" s="18" t="s">
        <v>562</v>
      </c>
      <c r="B196" s="10">
        <v>20030502</v>
      </c>
      <c r="C196" s="9">
        <v>1</v>
      </c>
      <c r="D196" s="8" t="str">
        <f t="shared" si="37"/>
        <v>N</v>
      </c>
      <c r="E196" s="8" t="str">
        <f t="shared" si="38"/>
        <v>N</v>
      </c>
      <c r="F196" s="8" t="str">
        <f t="shared" si="39"/>
        <v>Y</v>
      </c>
      <c r="G196" s="8" t="str">
        <f t="shared" si="40"/>
        <v>Y</v>
      </c>
      <c r="H196" s="8" t="str">
        <f t="shared" si="41"/>
        <v>Upper</v>
      </c>
      <c r="I196" s="8" t="str">
        <f t="shared" si="42"/>
        <v>West Fork and Below Lake</v>
      </c>
      <c r="J196" s="8" t="str">
        <f t="shared" si="43"/>
        <v>Outside</v>
      </c>
      <c r="K196" s="8" t="str">
        <f t="shared" si="44"/>
        <v>Post-1949</v>
      </c>
      <c r="L196" s="8">
        <f t="shared" si="45"/>
        <v>2003</v>
      </c>
      <c r="M196" s="8" t="str">
        <f t="shared" si="47"/>
        <v>1991-present</v>
      </c>
      <c r="N196" s="10" t="s">
        <v>242</v>
      </c>
      <c r="O196" s="10" t="s">
        <v>241</v>
      </c>
      <c r="P196" s="10" t="s">
        <v>242</v>
      </c>
      <c r="Q196" s="10" t="s">
        <v>242</v>
      </c>
      <c r="R196" s="10" t="s">
        <v>241</v>
      </c>
      <c r="S196" s="10" t="s">
        <v>242</v>
      </c>
      <c r="T196" s="10" t="s">
        <v>242</v>
      </c>
      <c r="U196" s="10" t="s">
        <v>241</v>
      </c>
      <c r="V196" s="10" t="s">
        <v>241</v>
      </c>
      <c r="W196" s="10" t="s">
        <v>242</v>
      </c>
      <c r="X196" s="15">
        <f>IF(ISERROR(VLOOKUP($A196,'13. Updated Demand'!A:Z,15,FALSE)),0,VLOOKUP($A196,'13. Updated Demand'!A:Z,15,FALSE))</f>
        <v>0</v>
      </c>
      <c r="Y196" s="16">
        <f>IF(ISERROR(VLOOKUP($A196,'13. Updated Demand'!A:Z,16,FALSE)),0,VLOOKUP($A196,'13. Updated Demand'!A:Z,16,FALSE))</f>
        <v>0</v>
      </c>
      <c r="Z196" s="16">
        <f>IF(ISERROR(VLOOKUP($A196,'13. Updated Demand'!A:Z,17,FALSE)),0,VLOOKUP($A196,'13. Updated Demand'!A:Z,17,FALSE))</f>
        <v>0</v>
      </c>
      <c r="AA196" s="16">
        <f>IF(ISERROR(VLOOKUP($A196,'13. Updated Demand'!A:Z,18,FALSE)),0,VLOOKUP($A196,'13. Updated Demand'!A:Z,18,FALSE))</f>
        <v>0</v>
      </c>
      <c r="AB196" s="16">
        <f>IF(ISERROR(VLOOKUP($A196,'13. Updated Demand'!A:Z,19,FALSE)),0,VLOOKUP($A196,'13. Updated Demand'!A:Z,19,FALSE))</f>
        <v>0</v>
      </c>
      <c r="AC196" s="16">
        <f>IF(ISERROR(VLOOKUP($A196,'13. Updated Demand'!A:Z,20,FALSE)),0,VLOOKUP($A196,'13. Updated Demand'!A:Z,20,FALSE))</f>
        <v>0</v>
      </c>
      <c r="AD196" s="16">
        <f>IF(ISERROR(VLOOKUP($A196,'13. Updated Demand'!A:Z,21,FALSE)),0,VLOOKUP($A196,'13. Updated Demand'!A:Z,21,FALSE))</f>
        <v>0</v>
      </c>
      <c r="AE196" s="16">
        <f>IF(ISERROR(VLOOKUP($A196,'13. Updated Demand'!A:Z,22,FALSE)),0,VLOOKUP($A196,'13. Updated Demand'!A:Z,22,FALSE))</f>
        <v>0</v>
      </c>
      <c r="AF196" s="16">
        <f>IF(ISERROR(VLOOKUP($A196,'13. Updated Demand'!A:Z,23,FALSE)),0,VLOOKUP($A196,'13. Updated Demand'!A:Z,23,FALSE))</f>
        <v>0</v>
      </c>
      <c r="AG196" s="16">
        <f>IF(ISERROR(VLOOKUP($A196,'13. Updated Demand'!A:Z,24,FALSE)),0,VLOOKUP($A196,'13. Updated Demand'!A:Z,24,FALSE))</f>
        <v>0</v>
      </c>
      <c r="AH196" s="16">
        <f>IF(ISERROR(VLOOKUP($A196,'13. Updated Demand'!A:Z,25,FALSE)),0,VLOOKUP($A196,'13. Updated Demand'!A:Z,25,FALSE))</f>
        <v>0</v>
      </c>
      <c r="AI196" s="16">
        <f>IF(ISERROR(VLOOKUP($A196,'13. Updated Demand'!A:Z,26,FALSE)),0,VLOOKUP($A196,'13. Updated Demand'!A:Z,26,FALSE))</f>
        <v>0</v>
      </c>
      <c r="AJ196" s="16">
        <f t="shared" si="36"/>
        <v>0</v>
      </c>
      <c r="AK196" s="19">
        <v>0</v>
      </c>
      <c r="AL196" s="16">
        <f t="shared" si="46"/>
        <v>0</v>
      </c>
      <c r="AM196" s="17">
        <v>0</v>
      </c>
      <c r="AN196" s="19"/>
      <c r="AO196" s="19"/>
      <c r="AP196" s="19">
        <v>9</v>
      </c>
      <c r="AQ196" s="19" t="s">
        <v>307</v>
      </c>
      <c r="AR196" s="9" t="s">
        <v>317</v>
      </c>
      <c r="AS196" s="12">
        <v>3.4039024194010059E-4</v>
      </c>
      <c r="AT196" s="19">
        <v>39.24786391</v>
      </c>
      <c r="AU196" s="19">
        <v>-123.23089819</v>
      </c>
      <c r="AV196" s="19" t="s">
        <v>417</v>
      </c>
    </row>
    <row r="197" spans="1:48" x14ac:dyDescent="0.25">
      <c r="A197" s="18" t="s">
        <v>563</v>
      </c>
      <c r="B197" s="10">
        <v>20030424</v>
      </c>
      <c r="C197" s="9">
        <v>1</v>
      </c>
      <c r="D197" s="8" t="str">
        <f t="shared" si="37"/>
        <v>N</v>
      </c>
      <c r="E197" s="8" t="str">
        <f t="shared" si="38"/>
        <v>N</v>
      </c>
      <c r="F197" s="8" t="str">
        <f t="shared" si="39"/>
        <v>Y</v>
      </c>
      <c r="G197" s="8" t="str">
        <f t="shared" si="40"/>
        <v>Y</v>
      </c>
      <c r="H197" s="8" t="str">
        <f t="shared" si="41"/>
        <v>Upper</v>
      </c>
      <c r="I197" s="8" t="str">
        <f t="shared" si="42"/>
        <v>West Fork and Below Lake</v>
      </c>
      <c r="J197" s="8" t="str">
        <f t="shared" si="43"/>
        <v>Outside</v>
      </c>
      <c r="K197" s="8" t="str">
        <f t="shared" si="44"/>
        <v>Post-1949</v>
      </c>
      <c r="L197" s="8">
        <f t="shared" si="45"/>
        <v>2003</v>
      </c>
      <c r="M197" s="8" t="str">
        <f t="shared" si="47"/>
        <v>1991-present</v>
      </c>
      <c r="N197" s="10" t="s">
        <v>242</v>
      </c>
      <c r="O197" s="10" t="s">
        <v>241</v>
      </c>
      <c r="P197" s="10" t="s">
        <v>242</v>
      </c>
      <c r="Q197" s="10" t="s">
        <v>242</v>
      </c>
      <c r="R197" s="10" t="s">
        <v>241</v>
      </c>
      <c r="S197" s="10" t="s">
        <v>242</v>
      </c>
      <c r="T197" s="10" t="s">
        <v>242</v>
      </c>
      <c r="U197" s="10" t="s">
        <v>242</v>
      </c>
      <c r="V197" s="10" t="s">
        <v>242</v>
      </c>
      <c r="W197" s="10" t="s">
        <v>242</v>
      </c>
      <c r="X197" s="15">
        <f>IF(ISERROR(VLOOKUP($A197,'13. Updated Demand'!A:Z,15,FALSE)),0,VLOOKUP($A197,'13. Updated Demand'!A:Z,15,FALSE))</f>
        <v>0.02</v>
      </c>
      <c r="Y197" s="16">
        <f>IF(ISERROR(VLOOKUP($A197,'13. Updated Demand'!A:Z,16,FALSE)),0,VLOOKUP($A197,'13. Updated Demand'!A:Z,16,FALSE))</f>
        <v>0.02</v>
      </c>
      <c r="Z197" s="16">
        <f>IF(ISERROR(VLOOKUP($A197,'13. Updated Demand'!A:Z,17,FALSE)),0,VLOOKUP($A197,'13. Updated Demand'!A:Z,17,FALSE))</f>
        <v>0.01</v>
      </c>
      <c r="AA197" s="16">
        <f>IF(ISERROR(VLOOKUP($A197,'13. Updated Demand'!A:Z,18,FALSE)),0,VLOOKUP($A197,'13. Updated Demand'!A:Z,18,FALSE))</f>
        <v>0.01</v>
      </c>
      <c r="AB197" s="16">
        <f>IF(ISERROR(VLOOKUP($A197,'13. Updated Demand'!A:Z,19,FALSE)),0,VLOOKUP($A197,'13. Updated Demand'!A:Z,19,FALSE))</f>
        <v>0.01</v>
      </c>
      <c r="AC197" s="16">
        <f>IF(ISERROR(VLOOKUP($A197,'13. Updated Demand'!A:Z,20,FALSE)),0,VLOOKUP($A197,'13. Updated Demand'!A:Z,20,FALSE))</f>
        <v>0.01</v>
      </c>
      <c r="AD197" s="16">
        <f>IF(ISERROR(VLOOKUP($A197,'13. Updated Demand'!A:Z,21,FALSE)),0,VLOOKUP($A197,'13. Updated Demand'!A:Z,21,FALSE))</f>
        <v>9.2069999999999999E-3</v>
      </c>
      <c r="AE197" s="16">
        <f>IF(ISERROR(VLOOKUP($A197,'13. Updated Demand'!A:Z,22,FALSE)),0,VLOOKUP($A197,'13. Updated Demand'!A:Z,22,FALSE))</f>
        <v>8.6953329999999995E-3</v>
      </c>
      <c r="AF197" s="16">
        <f>IF(ISERROR(VLOOKUP($A197,'13. Updated Demand'!A:Z,23,FALSE)),0,VLOOKUP($A197,'13. Updated Demand'!A:Z,23,FALSE))</f>
        <v>9.2069999999999999E-3</v>
      </c>
      <c r="AG197" s="16">
        <f>IF(ISERROR(VLOOKUP($A197,'13. Updated Demand'!A:Z,24,FALSE)),0,VLOOKUP($A197,'13. Updated Demand'!A:Z,24,FALSE))</f>
        <v>0.01</v>
      </c>
      <c r="AH197" s="16">
        <f>IF(ISERROR(VLOOKUP($A197,'13. Updated Demand'!A:Z,25,FALSE)),0,VLOOKUP($A197,'13. Updated Demand'!A:Z,25,FALSE))</f>
        <v>0.01</v>
      </c>
      <c r="AI197" s="16">
        <f>IF(ISERROR(VLOOKUP($A197,'13. Updated Demand'!A:Z,26,FALSE)),0,VLOOKUP($A197,'13. Updated Demand'!A:Z,26,FALSE))</f>
        <v>0.02</v>
      </c>
      <c r="AJ197" s="16">
        <f t="shared" si="36"/>
        <v>0.14710933299999998</v>
      </c>
      <c r="AK197" s="19">
        <v>5.0126333000000002E-2</v>
      </c>
      <c r="AL197" s="16">
        <f t="shared" si="46"/>
        <v>1.6626333663509444E-4</v>
      </c>
      <c r="AM197" s="17">
        <v>0.12241511133333334</v>
      </c>
      <c r="AN197" s="19"/>
      <c r="AO197" s="19"/>
      <c r="AP197" s="19">
        <v>1.5</v>
      </c>
      <c r="AQ197" s="19" t="s">
        <v>307</v>
      </c>
      <c r="AR197" s="9" t="s">
        <v>317</v>
      </c>
      <c r="AS197" s="12">
        <v>3.4039024194010059E-4</v>
      </c>
      <c r="AT197" s="19">
        <v>39.317767979999999</v>
      </c>
      <c r="AU197" s="19">
        <v>-123.27077971</v>
      </c>
      <c r="AV197" s="19" t="s">
        <v>417</v>
      </c>
    </row>
    <row r="198" spans="1:48" x14ac:dyDescent="0.25">
      <c r="A198" s="18" t="s">
        <v>564</v>
      </c>
      <c r="B198" s="10">
        <v>20030128</v>
      </c>
      <c r="C198" s="9">
        <v>11</v>
      </c>
      <c r="D198" s="8" t="str">
        <f t="shared" si="37"/>
        <v>N</v>
      </c>
      <c r="E198" s="8" t="str">
        <f t="shared" si="38"/>
        <v>Y</v>
      </c>
      <c r="F198" s="8" t="str">
        <f t="shared" si="39"/>
        <v>Y</v>
      </c>
      <c r="G198" s="8" t="str">
        <f t="shared" si="40"/>
        <v>Y</v>
      </c>
      <c r="H198" s="8" t="str">
        <f t="shared" si="41"/>
        <v>Upper</v>
      </c>
      <c r="I198" s="8" t="str">
        <f t="shared" si="42"/>
        <v>West Fork and Below Lake</v>
      </c>
      <c r="J198" s="8" t="str">
        <f t="shared" si="43"/>
        <v>Sonoma (d/s of Clov. Gage)</v>
      </c>
      <c r="K198" s="8" t="str">
        <f t="shared" si="44"/>
        <v>Post-1949</v>
      </c>
      <c r="L198" s="8">
        <f t="shared" si="45"/>
        <v>2003</v>
      </c>
      <c r="M198" s="8" t="str">
        <f t="shared" si="47"/>
        <v>1991-present</v>
      </c>
      <c r="N198" s="10" t="s">
        <v>242</v>
      </c>
      <c r="O198" s="10" t="s">
        <v>241</v>
      </c>
      <c r="P198" s="10" t="s">
        <v>242</v>
      </c>
      <c r="Q198" s="10" t="s">
        <v>242</v>
      </c>
      <c r="R198" s="10" t="s">
        <v>241</v>
      </c>
      <c r="S198" s="10" t="s">
        <v>242</v>
      </c>
      <c r="T198" s="10" t="s">
        <v>242</v>
      </c>
      <c r="U198" s="10" t="s">
        <v>242</v>
      </c>
      <c r="V198" s="10" t="s">
        <v>242</v>
      </c>
      <c r="W198" s="10" t="s">
        <v>242</v>
      </c>
      <c r="X198" s="15">
        <f>IF(ISERROR(VLOOKUP($A198,'13. Updated Demand'!A:Z,15,FALSE)),0,VLOOKUP($A198,'13. Updated Demand'!A:Z,15,FALSE))</f>
        <v>0</v>
      </c>
      <c r="Y198" s="16">
        <f>IF(ISERROR(VLOOKUP($A198,'13. Updated Demand'!A:Z,16,FALSE)),0,VLOOKUP($A198,'13. Updated Demand'!A:Z,16,FALSE))</f>
        <v>0</v>
      </c>
      <c r="Z198" s="16">
        <f>IF(ISERROR(VLOOKUP($A198,'13. Updated Demand'!A:Z,17,FALSE)),0,VLOOKUP($A198,'13. Updated Demand'!A:Z,17,FALSE))</f>
        <v>0.1</v>
      </c>
      <c r="AA198" s="16">
        <f>IF(ISERROR(VLOOKUP($A198,'13. Updated Demand'!A:Z,18,FALSE)),0,VLOOKUP($A198,'13. Updated Demand'!A:Z,18,FALSE))</f>
        <v>0</v>
      </c>
      <c r="AB198" s="16">
        <f>IF(ISERROR(VLOOKUP($A198,'13. Updated Demand'!A:Z,19,FALSE)),0,VLOOKUP($A198,'13. Updated Demand'!A:Z,19,FALSE))</f>
        <v>0.16</v>
      </c>
      <c r="AC198" s="16">
        <f>IF(ISERROR(VLOOKUP($A198,'13. Updated Demand'!A:Z,20,FALSE)),0,VLOOKUP($A198,'13. Updated Demand'!A:Z,20,FALSE))</f>
        <v>0</v>
      </c>
      <c r="AD198" s="16">
        <f>IF(ISERROR(VLOOKUP($A198,'13. Updated Demand'!A:Z,21,FALSE)),0,VLOOKUP($A198,'13. Updated Demand'!A:Z,21,FALSE))</f>
        <v>0</v>
      </c>
      <c r="AE198" s="16">
        <f>IF(ISERROR(VLOOKUP($A198,'13. Updated Demand'!A:Z,22,FALSE)),0,VLOOKUP($A198,'13. Updated Demand'!A:Z,22,FALSE))</f>
        <v>0</v>
      </c>
      <c r="AF198" s="16">
        <f>IF(ISERROR(VLOOKUP($A198,'13. Updated Demand'!A:Z,23,FALSE)),0,VLOOKUP($A198,'13. Updated Demand'!A:Z,23,FALSE))</f>
        <v>0</v>
      </c>
      <c r="AG198" s="16">
        <f>IF(ISERROR(VLOOKUP($A198,'13. Updated Demand'!A:Z,24,FALSE)),0,VLOOKUP($A198,'13. Updated Demand'!A:Z,24,FALSE))</f>
        <v>0</v>
      </c>
      <c r="AH198" s="16">
        <f>IF(ISERROR(VLOOKUP($A198,'13. Updated Demand'!A:Z,25,FALSE)),0,VLOOKUP($A198,'13. Updated Demand'!A:Z,25,FALSE))</f>
        <v>1.33</v>
      </c>
      <c r="AI198" s="16">
        <f>IF(ISERROR(VLOOKUP($A198,'13. Updated Demand'!A:Z,26,FALSE)),0,VLOOKUP($A198,'13. Updated Demand'!A:Z,26,FALSE))</f>
        <v>1.1599999999999999</v>
      </c>
      <c r="AJ198" s="16">
        <f t="shared" si="36"/>
        <v>2.75</v>
      </c>
      <c r="AK198" s="19">
        <v>0.16666666699999999</v>
      </c>
      <c r="AL198" s="16">
        <f t="shared" si="46"/>
        <v>5.5281434932154695E-4</v>
      </c>
      <c r="AM198" s="17">
        <v>0.27666666670000001</v>
      </c>
      <c r="AN198" s="19"/>
      <c r="AO198" s="19"/>
      <c r="AP198" s="19">
        <v>10</v>
      </c>
      <c r="AQ198" s="19" t="s">
        <v>307</v>
      </c>
      <c r="AR198" s="9" t="s">
        <v>308</v>
      </c>
      <c r="AS198" s="12">
        <v>0</v>
      </c>
      <c r="AT198" s="19">
        <v>38.675940730000001</v>
      </c>
      <c r="AU198" s="19">
        <v>-122.71724872999999</v>
      </c>
      <c r="AV198" s="19" t="s">
        <v>417</v>
      </c>
    </row>
    <row r="199" spans="1:48" x14ac:dyDescent="0.25">
      <c r="A199" s="18" t="s">
        <v>565</v>
      </c>
      <c r="B199" s="10">
        <v>20030129</v>
      </c>
      <c r="C199" s="9">
        <v>11</v>
      </c>
      <c r="D199" s="8" t="str">
        <f t="shared" si="37"/>
        <v>N</v>
      </c>
      <c r="E199" s="8" t="str">
        <f t="shared" si="38"/>
        <v>Y</v>
      </c>
      <c r="F199" s="8" t="str">
        <f t="shared" si="39"/>
        <v>Y</v>
      </c>
      <c r="G199" s="8" t="str">
        <f t="shared" si="40"/>
        <v>Y</v>
      </c>
      <c r="H199" s="8" t="str">
        <f t="shared" si="41"/>
        <v>Upper</v>
      </c>
      <c r="I199" s="8" t="str">
        <f t="shared" si="42"/>
        <v>West Fork and Below Lake</v>
      </c>
      <c r="J199" s="8" t="str">
        <f t="shared" si="43"/>
        <v>Sonoma (d/s of Clov. Gage)</v>
      </c>
      <c r="K199" s="8" t="str">
        <f t="shared" si="44"/>
        <v>Post-1949</v>
      </c>
      <c r="L199" s="8">
        <f t="shared" si="45"/>
        <v>2003</v>
      </c>
      <c r="M199" s="8" t="str">
        <f t="shared" si="47"/>
        <v>1991-present</v>
      </c>
      <c r="N199" s="10" t="s">
        <v>242</v>
      </c>
      <c r="O199" s="10" t="s">
        <v>241</v>
      </c>
      <c r="P199" s="10" t="s">
        <v>242</v>
      </c>
      <c r="Q199" s="10" t="s">
        <v>242</v>
      </c>
      <c r="R199" s="10" t="s">
        <v>241</v>
      </c>
      <c r="S199" s="10" t="s">
        <v>242</v>
      </c>
      <c r="T199" s="10" t="s">
        <v>242</v>
      </c>
      <c r="U199" s="10" t="s">
        <v>242</v>
      </c>
      <c r="V199" s="10" t="s">
        <v>242</v>
      </c>
      <c r="W199" s="10" t="s">
        <v>242</v>
      </c>
      <c r="X199" s="15">
        <f>IF(ISERROR(VLOOKUP($A199,'13. Updated Demand'!A:Z,15,FALSE)),0,VLOOKUP($A199,'13. Updated Demand'!A:Z,15,FALSE))</f>
        <v>0</v>
      </c>
      <c r="Y199" s="16">
        <f>IF(ISERROR(VLOOKUP($A199,'13. Updated Demand'!A:Z,16,FALSE)),0,VLOOKUP($A199,'13. Updated Demand'!A:Z,16,FALSE))</f>
        <v>0</v>
      </c>
      <c r="Z199" s="16">
        <f>IF(ISERROR(VLOOKUP($A199,'13. Updated Demand'!A:Z,17,FALSE)),0,VLOOKUP($A199,'13. Updated Demand'!A:Z,17,FALSE))</f>
        <v>0.06</v>
      </c>
      <c r="AA199" s="16">
        <f>IF(ISERROR(VLOOKUP($A199,'13. Updated Demand'!A:Z,18,FALSE)),0,VLOOKUP($A199,'13. Updated Demand'!A:Z,18,FALSE))</f>
        <v>0</v>
      </c>
      <c r="AB199" s="16">
        <f>IF(ISERROR(VLOOKUP($A199,'13. Updated Demand'!A:Z,19,FALSE)),0,VLOOKUP($A199,'13. Updated Demand'!A:Z,19,FALSE))</f>
        <v>0.06</v>
      </c>
      <c r="AC199" s="16">
        <f>IF(ISERROR(VLOOKUP($A199,'13. Updated Demand'!A:Z,20,FALSE)),0,VLOOKUP($A199,'13. Updated Demand'!A:Z,20,FALSE))</f>
        <v>0</v>
      </c>
      <c r="AD199" s="16">
        <f>IF(ISERROR(VLOOKUP($A199,'13. Updated Demand'!A:Z,21,FALSE)),0,VLOOKUP($A199,'13. Updated Demand'!A:Z,21,FALSE))</f>
        <v>0</v>
      </c>
      <c r="AE199" s="16">
        <f>IF(ISERROR(VLOOKUP($A199,'13. Updated Demand'!A:Z,22,FALSE)),0,VLOOKUP($A199,'13. Updated Demand'!A:Z,22,FALSE))</f>
        <v>0</v>
      </c>
      <c r="AF199" s="16">
        <f>IF(ISERROR(VLOOKUP($A199,'13. Updated Demand'!A:Z,23,FALSE)),0,VLOOKUP($A199,'13. Updated Demand'!A:Z,23,FALSE))</f>
        <v>0</v>
      </c>
      <c r="AG199" s="16">
        <f>IF(ISERROR(VLOOKUP($A199,'13. Updated Demand'!A:Z,24,FALSE)),0,VLOOKUP($A199,'13. Updated Demand'!A:Z,24,FALSE))</f>
        <v>0</v>
      </c>
      <c r="AH199" s="16">
        <f>IF(ISERROR(VLOOKUP($A199,'13. Updated Demand'!A:Z,25,FALSE)),0,VLOOKUP($A199,'13. Updated Demand'!A:Z,25,FALSE))</f>
        <v>0.56000000000000005</v>
      </c>
      <c r="AI199" s="16">
        <f>IF(ISERROR(VLOOKUP($A199,'13. Updated Demand'!A:Z,26,FALSE)),0,VLOOKUP($A199,'13. Updated Demand'!A:Z,26,FALSE))</f>
        <v>0.5</v>
      </c>
      <c r="AJ199" s="16">
        <f t="shared" si="36"/>
        <v>1.1800000000000002</v>
      </c>
      <c r="AK199" s="19">
        <v>6.6666666999999999E-2</v>
      </c>
      <c r="AL199" s="16">
        <f t="shared" si="46"/>
        <v>2.2112574039199597E-4</v>
      </c>
      <c r="AM199" s="17">
        <v>0.1200000001</v>
      </c>
      <c r="AN199" s="19"/>
      <c r="AO199" s="19"/>
      <c r="AP199" s="19">
        <v>10</v>
      </c>
      <c r="AQ199" s="19" t="s">
        <v>307</v>
      </c>
      <c r="AR199" s="9" t="s">
        <v>308</v>
      </c>
      <c r="AS199" s="12">
        <v>0</v>
      </c>
      <c r="AT199" s="19">
        <v>38.683291420000003</v>
      </c>
      <c r="AU199" s="19">
        <v>-122.72730918000001</v>
      </c>
      <c r="AV199" s="19" t="s">
        <v>385</v>
      </c>
    </row>
    <row r="200" spans="1:48" x14ac:dyDescent="0.25">
      <c r="A200" s="18" t="s">
        <v>566</v>
      </c>
      <c r="B200" s="10">
        <v>20030128</v>
      </c>
      <c r="C200" s="9">
        <v>11</v>
      </c>
      <c r="D200" s="8" t="str">
        <f t="shared" si="37"/>
        <v>N</v>
      </c>
      <c r="E200" s="8" t="str">
        <f t="shared" si="38"/>
        <v>Y</v>
      </c>
      <c r="F200" s="8" t="str">
        <f t="shared" si="39"/>
        <v>Y</v>
      </c>
      <c r="G200" s="8" t="str">
        <f t="shared" si="40"/>
        <v>Y</v>
      </c>
      <c r="H200" s="8" t="str">
        <f t="shared" si="41"/>
        <v>Upper</v>
      </c>
      <c r="I200" s="8" t="str">
        <f t="shared" si="42"/>
        <v>West Fork and Below Lake</v>
      </c>
      <c r="J200" s="8" t="str">
        <f t="shared" si="43"/>
        <v>Sonoma (d/s of Clov. Gage)</v>
      </c>
      <c r="K200" s="8" t="str">
        <f t="shared" si="44"/>
        <v>Post-1949</v>
      </c>
      <c r="L200" s="8">
        <f t="shared" si="45"/>
        <v>2003</v>
      </c>
      <c r="M200" s="8" t="str">
        <f t="shared" si="47"/>
        <v>1991-present</v>
      </c>
      <c r="N200" s="10" t="s">
        <v>242</v>
      </c>
      <c r="O200" s="10" t="s">
        <v>241</v>
      </c>
      <c r="P200" s="10" t="s">
        <v>242</v>
      </c>
      <c r="Q200" s="10" t="s">
        <v>242</v>
      </c>
      <c r="R200" s="10" t="s">
        <v>241</v>
      </c>
      <c r="S200" s="10" t="s">
        <v>242</v>
      </c>
      <c r="T200" s="10" t="s">
        <v>242</v>
      </c>
      <c r="U200" s="10" t="s">
        <v>242</v>
      </c>
      <c r="V200" s="10" t="s">
        <v>242</v>
      </c>
      <c r="W200" s="10" t="s">
        <v>242</v>
      </c>
      <c r="X200" s="15">
        <f>IF(ISERROR(VLOOKUP($A200,'13. Updated Demand'!A:Z,15,FALSE)),0,VLOOKUP($A200,'13. Updated Demand'!A:Z,15,FALSE))</f>
        <v>0</v>
      </c>
      <c r="Y200" s="16">
        <f>IF(ISERROR(VLOOKUP($A200,'13. Updated Demand'!A:Z,16,FALSE)),0,VLOOKUP($A200,'13. Updated Demand'!A:Z,16,FALSE))</f>
        <v>0</v>
      </c>
      <c r="Z200" s="16">
        <f>IF(ISERROR(VLOOKUP($A200,'13. Updated Demand'!A:Z,17,FALSE)),0,VLOOKUP($A200,'13. Updated Demand'!A:Z,17,FALSE))</f>
        <v>0.1</v>
      </c>
      <c r="AA200" s="16">
        <f>IF(ISERROR(VLOOKUP($A200,'13. Updated Demand'!A:Z,18,FALSE)),0,VLOOKUP($A200,'13. Updated Demand'!A:Z,18,FALSE))</f>
        <v>0</v>
      </c>
      <c r="AB200" s="16">
        <f>IF(ISERROR(VLOOKUP($A200,'13. Updated Demand'!A:Z,19,FALSE)),0,VLOOKUP($A200,'13. Updated Demand'!A:Z,19,FALSE))</f>
        <v>0.13</v>
      </c>
      <c r="AC200" s="16">
        <f>IF(ISERROR(VLOOKUP($A200,'13. Updated Demand'!A:Z,20,FALSE)),0,VLOOKUP($A200,'13. Updated Demand'!A:Z,20,FALSE))</f>
        <v>0</v>
      </c>
      <c r="AD200" s="16">
        <f>IF(ISERROR(VLOOKUP($A200,'13. Updated Demand'!A:Z,21,FALSE)),0,VLOOKUP($A200,'13. Updated Demand'!A:Z,21,FALSE))</f>
        <v>0</v>
      </c>
      <c r="AE200" s="16">
        <f>IF(ISERROR(VLOOKUP($A200,'13. Updated Demand'!A:Z,22,FALSE)),0,VLOOKUP($A200,'13. Updated Demand'!A:Z,22,FALSE))</f>
        <v>0</v>
      </c>
      <c r="AF200" s="16">
        <f>IF(ISERROR(VLOOKUP($A200,'13. Updated Demand'!A:Z,23,FALSE)),0,VLOOKUP($A200,'13. Updated Demand'!A:Z,23,FALSE))</f>
        <v>0</v>
      </c>
      <c r="AG200" s="16">
        <f>IF(ISERROR(VLOOKUP($A200,'13. Updated Demand'!A:Z,24,FALSE)),0,VLOOKUP($A200,'13. Updated Demand'!A:Z,24,FALSE))</f>
        <v>0</v>
      </c>
      <c r="AH200" s="16">
        <f>IF(ISERROR(VLOOKUP($A200,'13. Updated Demand'!A:Z,25,FALSE)),0,VLOOKUP($A200,'13. Updated Demand'!A:Z,25,FALSE))</f>
        <v>1.1299999999999999</v>
      </c>
      <c r="AI200" s="16">
        <f>IF(ISERROR(VLOOKUP($A200,'13. Updated Demand'!A:Z,26,FALSE)),0,VLOOKUP($A200,'13. Updated Demand'!A:Z,26,FALSE))</f>
        <v>0.96</v>
      </c>
      <c r="AJ200" s="16">
        <f t="shared" si="36"/>
        <v>2.3199999999999998</v>
      </c>
      <c r="AK200" s="19">
        <v>0.133333333</v>
      </c>
      <c r="AL200" s="16">
        <f t="shared" si="46"/>
        <v>4.4225147746710584E-4</v>
      </c>
      <c r="AM200" s="17">
        <v>0.4666666666</v>
      </c>
      <c r="AN200" s="19"/>
      <c r="AO200" s="19"/>
      <c r="AP200" s="19">
        <v>5</v>
      </c>
      <c r="AQ200" s="19" t="s">
        <v>307</v>
      </c>
      <c r="AR200" s="9" t="s">
        <v>308</v>
      </c>
      <c r="AS200" s="12">
        <v>0</v>
      </c>
      <c r="AT200" s="19">
        <v>38.692712899999997</v>
      </c>
      <c r="AU200" s="19">
        <v>-122.75718629000001</v>
      </c>
      <c r="AV200" s="19" t="s">
        <v>430</v>
      </c>
    </row>
    <row r="201" spans="1:48" x14ac:dyDescent="0.25">
      <c r="A201" s="18" t="s">
        <v>567</v>
      </c>
      <c r="B201" s="10">
        <v>20030417</v>
      </c>
      <c r="C201" s="9">
        <v>1</v>
      </c>
      <c r="D201" s="8" t="str">
        <f t="shared" si="37"/>
        <v>N</v>
      </c>
      <c r="E201" s="8" t="str">
        <f t="shared" si="38"/>
        <v>N</v>
      </c>
      <c r="F201" s="8" t="str">
        <f t="shared" si="39"/>
        <v>Y</v>
      </c>
      <c r="G201" s="8" t="str">
        <f t="shared" si="40"/>
        <v>Y</v>
      </c>
      <c r="H201" s="8" t="str">
        <f t="shared" si="41"/>
        <v>Upper</v>
      </c>
      <c r="I201" s="8" t="str">
        <f t="shared" si="42"/>
        <v>West Fork and Below Lake</v>
      </c>
      <c r="J201" s="8" t="str">
        <f t="shared" si="43"/>
        <v>Outside</v>
      </c>
      <c r="K201" s="8" t="str">
        <f t="shared" si="44"/>
        <v>Post-1949</v>
      </c>
      <c r="L201" s="8">
        <f t="shared" si="45"/>
        <v>2003</v>
      </c>
      <c r="M201" s="8" t="str">
        <f t="shared" si="47"/>
        <v>1991-present</v>
      </c>
      <c r="N201" s="10" t="s">
        <v>242</v>
      </c>
      <c r="O201" s="10" t="s">
        <v>241</v>
      </c>
      <c r="P201" s="10" t="s">
        <v>242</v>
      </c>
      <c r="Q201" s="10" t="s">
        <v>242</v>
      </c>
      <c r="R201" s="10" t="s">
        <v>241</v>
      </c>
      <c r="S201" s="10" t="s">
        <v>242</v>
      </c>
      <c r="T201" s="10" t="s">
        <v>242</v>
      </c>
      <c r="U201" s="10" t="s">
        <v>242</v>
      </c>
      <c r="V201" s="10" t="s">
        <v>241</v>
      </c>
      <c r="W201" s="10" t="s">
        <v>242</v>
      </c>
      <c r="X201" s="15">
        <f>IF(ISERROR(VLOOKUP($A201,'13. Updated Demand'!A:Z,15,FALSE)),0,VLOOKUP($A201,'13. Updated Demand'!A:Z,15,FALSE))</f>
        <v>1.06</v>
      </c>
      <c r="Y201" s="16">
        <f>IF(ISERROR(VLOOKUP($A201,'13. Updated Demand'!A:Z,16,FALSE)),0,VLOOKUP($A201,'13. Updated Demand'!A:Z,16,FALSE))</f>
        <v>1.06</v>
      </c>
      <c r="Z201" s="16">
        <f>IF(ISERROR(VLOOKUP($A201,'13. Updated Demand'!A:Z,17,FALSE)),0,VLOOKUP($A201,'13. Updated Demand'!A:Z,17,FALSE))</f>
        <v>1.06</v>
      </c>
      <c r="AA201" s="16">
        <f>IF(ISERROR(VLOOKUP($A201,'13. Updated Demand'!A:Z,18,FALSE)),0,VLOOKUP($A201,'13. Updated Demand'!A:Z,18,FALSE))</f>
        <v>0</v>
      </c>
      <c r="AB201" s="16">
        <f>IF(ISERROR(VLOOKUP($A201,'13. Updated Demand'!A:Z,19,FALSE)),0,VLOOKUP($A201,'13. Updated Demand'!A:Z,19,FALSE))</f>
        <v>0</v>
      </c>
      <c r="AC201" s="16">
        <f>IF(ISERROR(VLOOKUP($A201,'13. Updated Demand'!A:Z,20,FALSE)),0,VLOOKUP($A201,'13. Updated Demand'!A:Z,20,FALSE))</f>
        <v>0</v>
      </c>
      <c r="AD201" s="16">
        <f>IF(ISERROR(VLOOKUP($A201,'13. Updated Demand'!A:Z,21,FALSE)),0,VLOOKUP($A201,'13. Updated Demand'!A:Z,21,FALSE))</f>
        <v>0</v>
      </c>
      <c r="AE201" s="16">
        <f>IF(ISERROR(VLOOKUP($A201,'13. Updated Demand'!A:Z,22,FALSE)),0,VLOOKUP($A201,'13. Updated Demand'!A:Z,22,FALSE))</f>
        <v>0</v>
      </c>
      <c r="AF201" s="16">
        <f>IF(ISERROR(VLOOKUP($A201,'13. Updated Demand'!A:Z,23,FALSE)),0,VLOOKUP($A201,'13. Updated Demand'!A:Z,23,FALSE))</f>
        <v>0</v>
      </c>
      <c r="AG201" s="16">
        <f>IF(ISERROR(VLOOKUP($A201,'13. Updated Demand'!A:Z,24,FALSE)),0,VLOOKUP($A201,'13. Updated Demand'!A:Z,24,FALSE))</f>
        <v>0</v>
      </c>
      <c r="AH201" s="16">
        <f>IF(ISERROR(VLOOKUP($A201,'13. Updated Demand'!A:Z,25,FALSE)),0,VLOOKUP($A201,'13. Updated Demand'!A:Z,25,FALSE))</f>
        <v>0</v>
      </c>
      <c r="AI201" s="16">
        <f>IF(ISERROR(VLOOKUP($A201,'13. Updated Demand'!A:Z,26,FALSE)),0,VLOOKUP($A201,'13. Updated Demand'!A:Z,26,FALSE))</f>
        <v>1.06</v>
      </c>
      <c r="AJ201" s="16">
        <f t="shared" si="36"/>
        <v>4.24</v>
      </c>
      <c r="AK201" s="19">
        <v>0</v>
      </c>
      <c r="AL201" s="16">
        <f t="shared" si="46"/>
        <v>0</v>
      </c>
      <c r="AM201" s="17">
        <v>0.43537414979591832</v>
      </c>
      <c r="AN201" s="19"/>
      <c r="AO201" s="19"/>
      <c r="AP201" s="19">
        <v>9.8000000000000007</v>
      </c>
      <c r="AQ201" s="19" t="s">
        <v>307</v>
      </c>
      <c r="AR201" s="9" t="s">
        <v>317</v>
      </c>
      <c r="AS201" s="12">
        <v>0</v>
      </c>
      <c r="AT201" s="19">
        <v>39.311570279999998</v>
      </c>
      <c r="AU201" s="19">
        <v>-123.20877874999999</v>
      </c>
      <c r="AV201" s="19" t="s">
        <v>417</v>
      </c>
    </row>
    <row r="202" spans="1:48" x14ac:dyDescent="0.25">
      <c r="A202" s="18" t="s">
        <v>568</v>
      </c>
      <c r="B202" s="10">
        <v>20030417</v>
      </c>
      <c r="C202" s="9">
        <v>1</v>
      </c>
      <c r="D202" s="8" t="str">
        <f t="shared" si="37"/>
        <v>N</v>
      </c>
      <c r="E202" s="8" t="str">
        <f t="shared" si="38"/>
        <v>N</v>
      </c>
      <c r="F202" s="8" t="str">
        <f t="shared" si="39"/>
        <v>Y</v>
      </c>
      <c r="G202" s="8" t="str">
        <f t="shared" si="40"/>
        <v>Y</v>
      </c>
      <c r="H202" s="8" t="str">
        <f t="shared" si="41"/>
        <v>Upper</v>
      </c>
      <c r="I202" s="8" t="str">
        <f t="shared" si="42"/>
        <v>West Fork and Below Lake</v>
      </c>
      <c r="J202" s="8" t="str">
        <f t="shared" si="43"/>
        <v>Outside</v>
      </c>
      <c r="K202" s="8" t="str">
        <f t="shared" si="44"/>
        <v>Post-1949</v>
      </c>
      <c r="L202" s="8">
        <f t="shared" si="45"/>
        <v>2003</v>
      </c>
      <c r="M202" s="8" t="str">
        <f t="shared" si="47"/>
        <v>1991-present</v>
      </c>
      <c r="N202" s="10" t="s">
        <v>242</v>
      </c>
      <c r="O202" s="10" t="s">
        <v>241</v>
      </c>
      <c r="P202" s="10" t="s">
        <v>242</v>
      </c>
      <c r="Q202" s="10" t="s">
        <v>242</v>
      </c>
      <c r="R202" s="10" t="s">
        <v>241</v>
      </c>
      <c r="S202" s="10" t="s">
        <v>242</v>
      </c>
      <c r="T202" s="10" t="s">
        <v>242</v>
      </c>
      <c r="U202" s="10" t="s">
        <v>241</v>
      </c>
      <c r="V202" s="10" t="s">
        <v>241</v>
      </c>
      <c r="W202" s="10" t="s">
        <v>242</v>
      </c>
      <c r="X202" s="15">
        <f>IF(ISERROR(VLOOKUP($A202,'13. Updated Demand'!A:Z,15,FALSE)),0,VLOOKUP($A202,'13. Updated Demand'!A:Z,15,FALSE))</f>
        <v>0</v>
      </c>
      <c r="Y202" s="16">
        <f>IF(ISERROR(VLOOKUP($A202,'13. Updated Demand'!A:Z,16,FALSE)),0,VLOOKUP($A202,'13. Updated Demand'!A:Z,16,FALSE))</f>
        <v>0</v>
      </c>
      <c r="Z202" s="16">
        <f>IF(ISERROR(VLOOKUP($A202,'13. Updated Demand'!A:Z,17,FALSE)),0,VLOOKUP($A202,'13. Updated Demand'!A:Z,17,FALSE))</f>
        <v>0</v>
      </c>
      <c r="AA202" s="16">
        <f>IF(ISERROR(VLOOKUP($A202,'13. Updated Demand'!A:Z,18,FALSE)),0,VLOOKUP($A202,'13. Updated Demand'!A:Z,18,FALSE))</f>
        <v>0</v>
      </c>
      <c r="AB202" s="16">
        <f>IF(ISERROR(VLOOKUP($A202,'13. Updated Demand'!A:Z,19,FALSE)),0,VLOOKUP($A202,'13. Updated Demand'!A:Z,19,FALSE))</f>
        <v>0</v>
      </c>
      <c r="AC202" s="16">
        <f>IF(ISERROR(VLOOKUP($A202,'13. Updated Demand'!A:Z,20,FALSE)),0,VLOOKUP($A202,'13. Updated Demand'!A:Z,20,FALSE))</f>
        <v>0</v>
      </c>
      <c r="AD202" s="16">
        <f>IF(ISERROR(VLOOKUP($A202,'13. Updated Demand'!A:Z,21,FALSE)),0,VLOOKUP($A202,'13. Updated Demand'!A:Z,21,FALSE))</f>
        <v>0</v>
      </c>
      <c r="AE202" s="16">
        <f>IF(ISERROR(VLOOKUP($A202,'13. Updated Demand'!A:Z,22,FALSE)),0,VLOOKUP($A202,'13. Updated Demand'!A:Z,22,FALSE))</f>
        <v>0</v>
      </c>
      <c r="AF202" s="16">
        <f>IF(ISERROR(VLOOKUP($A202,'13. Updated Demand'!A:Z,23,FALSE)),0,VLOOKUP($A202,'13. Updated Demand'!A:Z,23,FALSE))</f>
        <v>0</v>
      </c>
      <c r="AG202" s="16">
        <f>IF(ISERROR(VLOOKUP($A202,'13. Updated Demand'!A:Z,24,FALSE)),0,VLOOKUP($A202,'13. Updated Demand'!A:Z,24,FALSE))</f>
        <v>0</v>
      </c>
      <c r="AH202" s="16">
        <f>IF(ISERROR(VLOOKUP($A202,'13. Updated Demand'!A:Z,25,FALSE)),0,VLOOKUP($A202,'13. Updated Demand'!A:Z,25,FALSE))</f>
        <v>0</v>
      </c>
      <c r="AI202" s="16">
        <f>IF(ISERROR(VLOOKUP($A202,'13. Updated Demand'!A:Z,26,FALSE)),0,VLOOKUP($A202,'13. Updated Demand'!A:Z,26,FALSE))</f>
        <v>0</v>
      </c>
      <c r="AJ202" s="16">
        <f t="shared" si="36"/>
        <v>0</v>
      </c>
      <c r="AK202" s="19">
        <v>0</v>
      </c>
      <c r="AL202" s="16">
        <f t="shared" si="46"/>
        <v>0</v>
      </c>
      <c r="AM202" s="17">
        <v>0</v>
      </c>
      <c r="AN202" s="19"/>
      <c r="AO202" s="19"/>
      <c r="AP202" s="19">
        <v>3.1</v>
      </c>
      <c r="AQ202" s="19" t="s">
        <v>307</v>
      </c>
      <c r="AR202" s="9" t="s">
        <v>317</v>
      </c>
      <c r="AS202" s="12">
        <v>0</v>
      </c>
      <c r="AT202" s="19">
        <v>39.312450120000001</v>
      </c>
      <c r="AU202" s="19">
        <v>-123.2158944</v>
      </c>
      <c r="AV202" s="19" t="s">
        <v>417</v>
      </c>
    </row>
    <row r="203" spans="1:48" x14ac:dyDescent="0.25">
      <c r="A203" s="18" t="s">
        <v>569</v>
      </c>
      <c r="B203" s="10">
        <v>20030502</v>
      </c>
      <c r="C203" s="9">
        <v>4</v>
      </c>
      <c r="D203" s="8" t="str">
        <f t="shared" si="37"/>
        <v>Y</v>
      </c>
      <c r="E203" s="8" t="str">
        <f t="shared" si="38"/>
        <v>N</v>
      </c>
      <c r="F203" s="8" t="str">
        <f t="shared" si="39"/>
        <v>Y</v>
      </c>
      <c r="G203" s="8" t="str">
        <f t="shared" si="40"/>
        <v>Y</v>
      </c>
      <c r="H203" s="8" t="str">
        <f t="shared" si="41"/>
        <v>Upper</v>
      </c>
      <c r="I203" s="8" t="str">
        <f t="shared" si="42"/>
        <v>West Fork and Below Lake</v>
      </c>
      <c r="J203" s="8" t="str">
        <f t="shared" si="43"/>
        <v>Mendocino (d/s of lake)</v>
      </c>
      <c r="K203" s="8" t="str">
        <f t="shared" si="44"/>
        <v>Post-1949</v>
      </c>
      <c r="L203" s="8">
        <f t="shared" si="45"/>
        <v>2003</v>
      </c>
      <c r="M203" s="8" t="str">
        <f t="shared" si="47"/>
        <v>1991-present</v>
      </c>
      <c r="N203" s="10" t="s">
        <v>242</v>
      </c>
      <c r="O203" s="10" t="s">
        <v>241</v>
      </c>
      <c r="P203" s="10" t="s">
        <v>242</v>
      </c>
      <c r="Q203" s="10" t="s">
        <v>242</v>
      </c>
      <c r="R203" s="10" t="s">
        <v>241</v>
      </c>
      <c r="S203" s="10" t="s">
        <v>242</v>
      </c>
      <c r="T203" s="10" t="s">
        <v>241</v>
      </c>
      <c r="U203" s="10" t="s">
        <v>241</v>
      </c>
      <c r="V203" s="10" t="s">
        <v>241</v>
      </c>
      <c r="W203" s="10" t="s">
        <v>242</v>
      </c>
      <c r="X203" s="15">
        <f>IF(ISERROR(VLOOKUP($A203,'13. Updated Demand'!A:Z,15,FALSE)),0,VLOOKUP($A203,'13. Updated Demand'!A:Z,15,FALSE))</f>
        <v>0</v>
      </c>
      <c r="Y203" s="16">
        <f>IF(ISERROR(VLOOKUP($A203,'13. Updated Demand'!A:Z,16,FALSE)),0,VLOOKUP($A203,'13. Updated Demand'!A:Z,16,FALSE))</f>
        <v>0</v>
      </c>
      <c r="Z203" s="16">
        <f>IF(ISERROR(VLOOKUP($A203,'13. Updated Demand'!A:Z,17,FALSE)),0,VLOOKUP($A203,'13. Updated Demand'!A:Z,17,FALSE))</f>
        <v>0</v>
      </c>
      <c r="AA203" s="16">
        <f>IF(ISERROR(VLOOKUP($A203,'13. Updated Demand'!A:Z,18,FALSE)),0,VLOOKUP($A203,'13. Updated Demand'!A:Z,18,FALSE))</f>
        <v>0</v>
      </c>
      <c r="AB203" s="16">
        <f>IF(ISERROR(VLOOKUP($A203,'13. Updated Demand'!A:Z,19,FALSE)),0,VLOOKUP($A203,'13. Updated Demand'!A:Z,19,FALSE))</f>
        <v>0</v>
      </c>
      <c r="AC203" s="16">
        <f>IF(ISERROR(VLOOKUP($A203,'13. Updated Demand'!A:Z,20,FALSE)),0,VLOOKUP($A203,'13. Updated Demand'!A:Z,20,FALSE))</f>
        <v>0</v>
      </c>
      <c r="AD203" s="16">
        <f>IF(ISERROR(VLOOKUP($A203,'13. Updated Demand'!A:Z,21,FALSE)),0,VLOOKUP($A203,'13. Updated Demand'!A:Z,21,FALSE))</f>
        <v>0</v>
      </c>
      <c r="AE203" s="16">
        <f>IF(ISERROR(VLOOKUP($A203,'13. Updated Demand'!A:Z,22,FALSE)),0,VLOOKUP($A203,'13. Updated Demand'!A:Z,22,FALSE))</f>
        <v>0</v>
      </c>
      <c r="AF203" s="16">
        <f>IF(ISERROR(VLOOKUP($A203,'13. Updated Demand'!A:Z,23,FALSE)),0,VLOOKUP($A203,'13. Updated Demand'!A:Z,23,FALSE))</f>
        <v>0</v>
      </c>
      <c r="AG203" s="16">
        <f>IF(ISERROR(VLOOKUP($A203,'13. Updated Demand'!A:Z,24,FALSE)),0,VLOOKUP($A203,'13. Updated Demand'!A:Z,24,FALSE))</f>
        <v>0</v>
      </c>
      <c r="AH203" s="16">
        <f>IF(ISERROR(VLOOKUP($A203,'13. Updated Demand'!A:Z,25,FALSE)),0,VLOOKUP($A203,'13. Updated Demand'!A:Z,25,FALSE))</f>
        <v>0</v>
      </c>
      <c r="AI203" s="16">
        <f>IF(ISERROR(VLOOKUP($A203,'13. Updated Demand'!A:Z,26,FALSE)),0,VLOOKUP($A203,'13. Updated Demand'!A:Z,26,FALSE))</f>
        <v>0</v>
      </c>
      <c r="AJ203" s="16">
        <f t="shared" si="36"/>
        <v>0</v>
      </c>
      <c r="AK203" s="19">
        <v>0</v>
      </c>
      <c r="AL203" s="16">
        <f t="shared" si="46"/>
        <v>0</v>
      </c>
      <c r="AM203" s="17">
        <v>0</v>
      </c>
      <c r="AN203" s="19"/>
      <c r="AO203" s="19"/>
      <c r="AP203" s="19">
        <v>5</v>
      </c>
      <c r="AQ203" s="19" t="s">
        <v>307</v>
      </c>
      <c r="AR203" s="9" t="s">
        <v>331</v>
      </c>
      <c r="AS203" s="12">
        <v>0</v>
      </c>
      <c r="AT203" s="19">
        <v>39.19617556</v>
      </c>
      <c r="AU203" s="19">
        <v>-123.32707726</v>
      </c>
      <c r="AV203" s="19" t="s">
        <v>430</v>
      </c>
    </row>
    <row r="204" spans="1:48" x14ac:dyDescent="0.25">
      <c r="A204" s="18" t="s">
        <v>570</v>
      </c>
      <c r="B204" s="10">
        <v>20031009</v>
      </c>
      <c r="C204" s="9">
        <v>2</v>
      </c>
      <c r="D204" s="8" t="str">
        <f t="shared" si="37"/>
        <v>N</v>
      </c>
      <c r="E204" s="8" t="str">
        <f t="shared" si="38"/>
        <v>N</v>
      </c>
      <c r="F204" s="8" t="str">
        <f t="shared" si="39"/>
        <v>Y</v>
      </c>
      <c r="G204" s="8" t="str">
        <f t="shared" si="40"/>
        <v>N</v>
      </c>
      <c r="H204" s="8" t="str">
        <f t="shared" si="41"/>
        <v>Upper</v>
      </c>
      <c r="I204" s="8" t="str">
        <f t="shared" si="42"/>
        <v>Outside</v>
      </c>
      <c r="J204" s="8" t="str">
        <f t="shared" si="43"/>
        <v>Outside</v>
      </c>
      <c r="K204" s="8" t="str">
        <f t="shared" si="44"/>
        <v>Post-1949</v>
      </c>
      <c r="L204" s="8">
        <f t="shared" si="45"/>
        <v>2003</v>
      </c>
      <c r="M204" s="8" t="str">
        <f t="shared" si="47"/>
        <v>1991-present</v>
      </c>
      <c r="N204" s="10" t="s">
        <v>242</v>
      </c>
      <c r="O204" s="10" t="s">
        <v>241</v>
      </c>
      <c r="P204" s="10" t="s">
        <v>242</v>
      </c>
      <c r="Q204" s="10" t="s">
        <v>242</v>
      </c>
      <c r="R204" s="10" t="s">
        <v>241</v>
      </c>
      <c r="S204" s="10" t="s">
        <v>242</v>
      </c>
      <c r="T204" s="10" t="s">
        <v>241</v>
      </c>
      <c r="U204" s="10" t="s">
        <v>241</v>
      </c>
      <c r="V204" s="10" t="s">
        <v>241</v>
      </c>
      <c r="W204" s="10" t="s">
        <v>242</v>
      </c>
      <c r="X204" s="15">
        <f>IF(ISERROR(VLOOKUP($A204,'13. Updated Demand'!A:Z,15,FALSE)),0,VLOOKUP($A204,'13. Updated Demand'!A:Z,15,FALSE))</f>
        <v>0</v>
      </c>
      <c r="Y204" s="16">
        <f>IF(ISERROR(VLOOKUP($A204,'13. Updated Demand'!A:Z,16,FALSE)),0,VLOOKUP($A204,'13. Updated Demand'!A:Z,16,FALSE))</f>
        <v>0</v>
      </c>
      <c r="Z204" s="16">
        <f>IF(ISERROR(VLOOKUP($A204,'13. Updated Demand'!A:Z,17,FALSE)),0,VLOOKUP($A204,'13. Updated Demand'!A:Z,17,FALSE))</f>
        <v>0</v>
      </c>
      <c r="AA204" s="16">
        <f>IF(ISERROR(VLOOKUP($A204,'13. Updated Demand'!A:Z,18,FALSE)),0,VLOOKUP($A204,'13. Updated Demand'!A:Z,18,FALSE))</f>
        <v>0</v>
      </c>
      <c r="AB204" s="16">
        <f>IF(ISERROR(VLOOKUP($A204,'13. Updated Demand'!A:Z,19,FALSE)),0,VLOOKUP($A204,'13. Updated Demand'!A:Z,19,FALSE))</f>
        <v>0</v>
      </c>
      <c r="AC204" s="16">
        <f>IF(ISERROR(VLOOKUP($A204,'13. Updated Demand'!A:Z,20,FALSE)),0,VLOOKUP($A204,'13. Updated Demand'!A:Z,20,FALSE))</f>
        <v>0</v>
      </c>
      <c r="AD204" s="16">
        <f>IF(ISERROR(VLOOKUP($A204,'13. Updated Demand'!A:Z,21,FALSE)),0,VLOOKUP($A204,'13. Updated Demand'!A:Z,21,FALSE))</f>
        <v>0</v>
      </c>
      <c r="AE204" s="16">
        <f>IF(ISERROR(VLOOKUP($A204,'13. Updated Demand'!A:Z,22,FALSE)),0,VLOOKUP($A204,'13. Updated Demand'!A:Z,22,FALSE))</f>
        <v>0</v>
      </c>
      <c r="AF204" s="16">
        <f>IF(ISERROR(VLOOKUP($A204,'13. Updated Demand'!A:Z,23,FALSE)),0,VLOOKUP($A204,'13. Updated Demand'!A:Z,23,FALSE))</f>
        <v>0</v>
      </c>
      <c r="AG204" s="16">
        <f>IF(ISERROR(VLOOKUP($A204,'13. Updated Demand'!A:Z,24,FALSE)),0,VLOOKUP($A204,'13. Updated Demand'!A:Z,24,FALSE))</f>
        <v>0</v>
      </c>
      <c r="AH204" s="16">
        <f>IF(ISERROR(VLOOKUP($A204,'13. Updated Demand'!A:Z,25,FALSE)),0,VLOOKUP($A204,'13. Updated Demand'!A:Z,25,FALSE))</f>
        <v>0</v>
      </c>
      <c r="AI204" s="16">
        <f>IF(ISERROR(VLOOKUP($A204,'13. Updated Demand'!A:Z,26,FALSE)),0,VLOOKUP($A204,'13. Updated Demand'!A:Z,26,FALSE))</f>
        <v>0</v>
      </c>
      <c r="AJ204" s="16">
        <f t="shared" si="36"/>
        <v>0</v>
      </c>
      <c r="AK204" s="19">
        <v>0</v>
      </c>
      <c r="AL204" s="16">
        <f t="shared" si="46"/>
        <v>0</v>
      </c>
      <c r="AM204" s="17">
        <v>0</v>
      </c>
      <c r="AN204" s="19"/>
      <c r="AO204" s="19"/>
      <c r="AP204" s="19">
        <v>49</v>
      </c>
      <c r="AQ204" s="19" t="s">
        <v>307</v>
      </c>
      <c r="AR204" s="9" t="s">
        <v>348</v>
      </c>
      <c r="AS204" s="12">
        <v>0</v>
      </c>
      <c r="AT204" s="19">
        <v>39.351253620000001</v>
      </c>
      <c r="AU204" s="19">
        <v>-123.15605777</v>
      </c>
      <c r="AV204" s="19" t="s">
        <v>417</v>
      </c>
    </row>
    <row r="205" spans="1:48" x14ac:dyDescent="0.25">
      <c r="A205" s="18" t="s">
        <v>571</v>
      </c>
      <c r="B205" s="10">
        <v>20031014</v>
      </c>
      <c r="C205" s="9">
        <v>2</v>
      </c>
      <c r="D205" s="8" t="str">
        <f t="shared" si="37"/>
        <v>N</v>
      </c>
      <c r="E205" s="8" t="str">
        <f t="shared" si="38"/>
        <v>N</v>
      </c>
      <c r="F205" s="8" t="str">
        <f t="shared" si="39"/>
        <v>Y</v>
      </c>
      <c r="G205" s="8" t="str">
        <f t="shared" si="40"/>
        <v>N</v>
      </c>
      <c r="H205" s="8" t="str">
        <f t="shared" si="41"/>
        <v>Upper</v>
      </c>
      <c r="I205" s="8" t="str">
        <f t="shared" si="42"/>
        <v>Outside</v>
      </c>
      <c r="J205" s="8" t="str">
        <f t="shared" si="43"/>
        <v>Outside</v>
      </c>
      <c r="K205" s="8" t="str">
        <f t="shared" si="44"/>
        <v>Post-1949</v>
      </c>
      <c r="L205" s="8">
        <f t="shared" si="45"/>
        <v>2003</v>
      </c>
      <c r="M205" s="8" t="str">
        <f t="shared" si="47"/>
        <v>1991-present</v>
      </c>
      <c r="N205" s="10" t="s">
        <v>242</v>
      </c>
      <c r="O205" s="10" t="s">
        <v>241</v>
      </c>
      <c r="P205" s="10" t="s">
        <v>242</v>
      </c>
      <c r="Q205" s="10" t="s">
        <v>242</v>
      </c>
      <c r="R205" s="10" t="s">
        <v>241</v>
      </c>
      <c r="S205" s="10" t="s">
        <v>242</v>
      </c>
      <c r="T205" s="10" t="s">
        <v>242</v>
      </c>
      <c r="U205" s="10" t="s">
        <v>241</v>
      </c>
      <c r="V205" s="10" t="s">
        <v>241</v>
      </c>
      <c r="W205" s="10" t="s">
        <v>242</v>
      </c>
      <c r="X205" s="15">
        <f>IF(ISERROR(VLOOKUP($A205,'13. Updated Demand'!A:Z,15,FALSE)),0,VLOOKUP($A205,'13. Updated Demand'!A:Z,15,FALSE))</f>
        <v>0</v>
      </c>
      <c r="Y205" s="16">
        <f>IF(ISERROR(VLOOKUP($A205,'13. Updated Demand'!A:Z,16,FALSE)),0,VLOOKUP($A205,'13. Updated Demand'!A:Z,16,FALSE))</f>
        <v>0</v>
      </c>
      <c r="Z205" s="16">
        <f>IF(ISERROR(VLOOKUP($A205,'13. Updated Demand'!A:Z,17,FALSE)),0,VLOOKUP($A205,'13. Updated Demand'!A:Z,17,FALSE))</f>
        <v>0</v>
      </c>
      <c r="AA205" s="16">
        <f>IF(ISERROR(VLOOKUP($A205,'13. Updated Demand'!A:Z,18,FALSE)),0,VLOOKUP($A205,'13. Updated Demand'!A:Z,18,FALSE))</f>
        <v>0</v>
      </c>
      <c r="AB205" s="16">
        <f>IF(ISERROR(VLOOKUP($A205,'13. Updated Demand'!A:Z,19,FALSE)),0,VLOOKUP($A205,'13. Updated Demand'!A:Z,19,FALSE))</f>
        <v>0</v>
      </c>
      <c r="AC205" s="16">
        <f>IF(ISERROR(VLOOKUP($A205,'13. Updated Demand'!A:Z,20,FALSE)),0,VLOOKUP($A205,'13. Updated Demand'!A:Z,20,FALSE))</f>
        <v>0</v>
      </c>
      <c r="AD205" s="16">
        <f>IF(ISERROR(VLOOKUP($A205,'13. Updated Demand'!A:Z,21,FALSE)),0,VLOOKUP($A205,'13. Updated Demand'!A:Z,21,FALSE))</f>
        <v>0</v>
      </c>
      <c r="AE205" s="16">
        <f>IF(ISERROR(VLOOKUP($A205,'13. Updated Demand'!A:Z,22,FALSE)),0,VLOOKUP($A205,'13. Updated Demand'!A:Z,22,FALSE))</f>
        <v>0</v>
      </c>
      <c r="AF205" s="16">
        <f>IF(ISERROR(VLOOKUP($A205,'13. Updated Demand'!A:Z,23,FALSE)),0,VLOOKUP($A205,'13. Updated Demand'!A:Z,23,FALSE))</f>
        <v>0</v>
      </c>
      <c r="AG205" s="16">
        <f>IF(ISERROR(VLOOKUP($A205,'13. Updated Demand'!A:Z,24,FALSE)),0,VLOOKUP($A205,'13. Updated Demand'!A:Z,24,FALSE))</f>
        <v>0</v>
      </c>
      <c r="AH205" s="16">
        <f>IF(ISERROR(VLOOKUP($A205,'13. Updated Demand'!A:Z,25,FALSE)),0,VLOOKUP($A205,'13. Updated Demand'!A:Z,25,FALSE))</f>
        <v>0</v>
      </c>
      <c r="AI205" s="16">
        <f>IF(ISERROR(VLOOKUP($A205,'13. Updated Demand'!A:Z,26,FALSE)),0,VLOOKUP($A205,'13. Updated Demand'!A:Z,26,FALSE))</f>
        <v>0</v>
      </c>
      <c r="AJ205" s="16">
        <f t="shared" si="36"/>
        <v>0</v>
      </c>
      <c r="AK205" s="19">
        <v>0</v>
      </c>
      <c r="AL205" s="16">
        <f t="shared" si="46"/>
        <v>0</v>
      </c>
      <c r="AM205" s="17">
        <v>0</v>
      </c>
      <c r="AN205" s="19"/>
      <c r="AO205" s="19"/>
      <c r="AP205" s="19">
        <v>3.3</v>
      </c>
      <c r="AQ205" s="19" t="s">
        <v>307</v>
      </c>
      <c r="AR205" s="9" t="s">
        <v>348</v>
      </c>
      <c r="AS205" s="12">
        <v>0</v>
      </c>
      <c r="AT205" s="19">
        <v>39.333594560000002</v>
      </c>
      <c r="AU205" s="19">
        <v>-123.08205497</v>
      </c>
      <c r="AV205" s="19" t="s">
        <v>417</v>
      </c>
    </row>
    <row r="206" spans="1:48" x14ac:dyDescent="0.25">
      <c r="A206" s="18" t="s">
        <v>572</v>
      </c>
      <c r="B206" s="10">
        <v>20020221</v>
      </c>
      <c r="C206" s="9">
        <v>1</v>
      </c>
      <c r="D206" s="8" t="str">
        <f t="shared" si="37"/>
        <v>N</v>
      </c>
      <c r="E206" s="8" t="str">
        <f t="shared" si="38"/>
        <v>N</v>
      </c>
      <c r="F206" s="8" t="str">
        <f t="shared" si="39"/>
        <v>Y</v>
      </c>
      <c r="G206" s="8" t="str">
        <f t="shared" si="40"/>
        <v>Y</v>
      </c>
      <c r="H206" s="8" t="str">
        <f t="shared" si="41"/>
        <v>Upper</v>
      </c>
      <c r="I206" s="8" t="str">
        <f t="shared" si="42"/>
        <v>West Fork and Below Lake</v>
      </c>
      <c r="J206" s="8" t="str">
        <f t="shared" si="43"/>
        <v>Outside</v>
      </c>
      <c r="K206" s="8" t="str">
        <f t="shared" si="44"/>
        <v>Post-1949</v>
      </c>
      <c r="L206" s="8">
        <f t="shared" si="45"/>
        <v>2002</v>
      </c>
      <c r="M206" s="8" t="str">
        <f t="shared" si="47"/>
        <v>1991-present</v>
      </c>
      <c r="N206" s="10" t="s">
        <v>242</v>
      </c>
      <c r="O206" s="10" t="s">
        <v>241</v>
      </c>
      <c r="P206" s="10" t="s">
        <v>242</v>
      </c>
      <c r="Q206" s="10" t="s">
        <v>242</v>
      </c>
      <c r="R206" s="10" t="s">
        <v>241</v>
      </c>
      <c r="S206" s="10" t="s">
        <v>242</v>
      </c>
      <c r="T206" s="10" t="s">
        <v>242</v>
      </c>
      <c r="U206" s="10" t="s">
        <v>241</v>
      </c>
      <c r="V206" s="10" t="s">
        <v>241</v>
      </c>
      <c r="W206" s="10" t="s">
        <v>242</v>
      </c>
      <c r="X206" s="15">
        <f>IF(ISERROR(VLOOKUP($A206,'13. Updated Demand'!A:Z,15,FALSE)),0,VLOOKUP($A206,'13. Updated Demand'!A:Z,15,FALSE))</f>
        <v>0</v>
      </c>
      <c r="Y206" s="16">
        <f>IF(ISERROR(VLOOKUP($A206,'13. Updated Demand'!A:Z,16,FALSE)),0,VLOOKUP($A206,'13. Updated Demand'!A:Z,16,FALSE))</f>
        <v>0</v>
      </c>
      <c r="Z206" s="16">
        <f>IF(ISERROR(VLOOKUP($A206,'13. Updated Demand'!A:Z,17,FALSE)),0,VLOOKUP($A206,'13. Updated Demand'!A:Z,17,FALSE))</f>
        <v>0</v>
      </c>
      <c r="AA206" s="16">
        <f>IF(ISERROR(VLOOKUP($A206,'13. Updated Demand'!A:Z,18,FALSE)),0,VLOOKUP($A206,'13. Updated Demand'!A:Z,18,FALSE))</f>
        <v>0</v>
      </c>
      <c r="AB206" s="16">
        <f>IF(ISERROR(VLOOKUP($A206,'13. Updated Demand'!A:Z,19,FALSE)),0,VLOOKUP($A206,'13. Updated Demand'!A:Z,19,FALSE))</f>
        <v>0</v>
      </c>
      <c r="AC206" s="16">
        <f>IF(ISERROR(VLOOKUP($A206,'13. Updated Demand'!A:Z,20,FALSE)),0,VLOOKUP($A206,'13. Updated Demand'!A:Z,20,FALSE))</f>
        <v>0</v>
      </c>
      <c r="AD206" s="16">
        <f>IF(ISERROR(VLOOKUP($A206,'13. Updated Demand'!A:Z,21,FALSE)),0,VLOOKUP($A206,'13. Updated Demand'!A:Z,21,FALSE))</f>
        <v>0</v>
      </c>
      <c r="AE206" s="16">
        <f>IF(ISERROR(VLOOKUP($A206,'13. Updated Demand'!A:Z,22,FALSE)),0,VLOOKUP($A206,'13. Updated Demand'!A:Z,22,FALSE))</f>
        <v>0</v>
      </c>
      <c r="AF206" s="16">
        <f>IF(ISERROR(VLOOKUP($A206,'13. Updated Demand'!A:Z,23,FALSE)),0,VLOOKUP($A206,'13. Updated Demand'!A:Z,23,FALSE))</f>
        <v>0</v>
      </c>
      <c r="AG206" s="16">
        <f>IF(ISERROR(VLOOKUP($A206,'13. Updated Demand'!A:Z,24,FALSE)),0,VLOOKUP($A206,'13. Updated Demand'!A:Z,24,FALSE))</f>
        <v>0</v>
      </c>
      <c r="AH206" s="16">
        <f>IF(ISERROR(VLOOKUP($A206,'13. Updated Demand'!A:Z,25,FALSE)),0,VLOOKUP($A206,'13. Updated Demand'!A:Z,25,FALSE))</f>
        <v>0</v>
      </c>
      <c r="AI206" s="16">
        <f>IF(ISERROR(VLOOKUP($A206,'13. Updated Demand'!A:Z,26,FALSE)),0,VLOOKUP($A206,'13. Updated Demand'!A:Z,26,FALSE))</f>
        <v>0</v>
      </c>
      <c r="AJ206" s="16">
        <f t="shared" si="36"/>
        <v>0</v>
      </c>
      <c r="AK206" s="19">
        <v>0</v>
      </c>
      <c r="AL206" s="16">
        <f t="shared" si="46"/>
        <v>0</v>
      </c>
      <c r="AM206" s="17">
        <v>0</v>
      </c>
      <c r="AN206" s="19"/>
      <c r="AO206" s="19"/>
      <c r="AP206" s="19">
        <v>9.4</v>
      </c>
      <c r="AQ206" s="19" t="s">
        <v>307</v>
      </c>
      <c r="AR206" s="9" t="s">
        <v>317</v>
      </c>
      <c r="AS206" s="12">
        <v>0</v>
      </c>
      <c r="AT206" s="19">
        <v>39.302223079999997</v>
      </c>
      <c r="AU206" s="19">
        <v>-123.22336362</v>
      </c>
      <c r="AV206" s="19" t="s">
        <v>573</v>
      </c>
    </row>
    <row r="207" spans="1:48" x14ac:dyDescent="0.25">
      <c r="A207" s="18" t="s">
        <v>574</v>
      </c>
      <c r="B207" s="10">
        <v>20021216</v>
      </c>
      <c r="C207" s="9">
        <v>2</v>
      </c>
      <c r="D207" s="8" t="str">
        <f t="shared" si="37"/>
        <v>N</v>
      </c>
      <c r="E207" s="8" t="str">
        <f t="shared" si="38"/>
        <v>N</v>
      </c>
      <c r="F207" s="8" t="str">
        <f t="shared" si="39"/>
        <v>Y</v>
      </c>
      <c r="G207" s="8" t="str">
        <f t="shared" si="40"/>
        <v>N</v>
      </c>
      <c r="H207" s="8" t="str">
        <f t="shared" si="41"/>
        <v>Upper</v>
      </c>
      <c r="I207" s="8" t="str">
        <f t="shared" si="42"/>
        <v>Outside</v>
      </c>
      <c r="J207" s="8" t="str">
        <f t="shared" si="43"/>
        <v>Outside</v>
      </c>
      <c r="K207" s="8" t="str">
        <f t="shared" si="44"/>
        <v>Post-1949</v>
      </c>
      <c r="L207" s="8">
        <f t="shared" si="45"/>
        <v>2002</v>
      </c>
      <c r="M207" s="8" t="str">
        <f t="shared" si="47"/>
        <v>1991-present</v>
      </c>
      <c r="N207" s="10" t="s">
        <v>242</v>
      </c>
      <c r="O207" s="10" t="s">
        <v>241</v>
      </c>
      <c r="P207" s="10" t="s">
        <v>242</v>
      </c>
      <c r="Q207" s="10" t="s">
        <v>242</v>
      </c>
      <c r="R207" s="10" t="s">
        <v>241</v>
      </c>
      <c r="S207" s="10" t="s">
        <v>242</v>
      </c>
      <c r="T207" s="10" t="s">
        <v>242</v>
      </c>
      <c r="U207" s="10" t="s">
        <v>242</v>
      </c>
      <c r="V207" s="10" t="s">
        <v>241</v>
      </c>
      <c r="W207" s="10" t="s">
        <v>242</v>
      </c>
      <c r="X207" s="15">
        <f>IF(ISERROR(VLOOKUP($A207,'13. Updated Demand'!A:Z,15,FALSE)),0,VLOOKUP($A207,'13. Updated Demand'!A:Z,15,FALSE))</f>
        <v>2.66</v>
      </c>
      <c r="Y207" s="16">
        <f>IF(ISERROR(VLOOKUP($A207,'13. Updated Demand'!A:Z,16,FALSE)),0,VLOOKUP($A207,'13. Updated Demand'!A:Z,16,FALSE))</f>
        <v>2.33</v>
      </c>
      <c r="Z207" s="16">
        <f>IF(ISERROR(VLOOKUP($A207,'13. Updated Demand'!A:Z,17,FALSE)),0,VLOOKUP($A207,'13. Updated Demand'!A:Z,17,FALSE))</f>
        <v>1</v>
      </c>
      <c r="AA207" s="16">
        <f>IF(ISERROR(VLOOKUP($A207,'13. Updated Demand'!A:Z,18,FALSE)),0,VLOOKUP($A207,'13. Updated Demand'!A:Z,18,FALSE))</f>
        <v>0</v>
      </c>
      <c r="AB207" s="16">
        <f>IF(ISERROR(VLOOKUP($A207,'13. Updated Demand'!A:Z,19,FALSE)),0,VLOOKUP($A207,'13. Updated Demand'!A:Z,19,FALSE))</f>
        <v>0</v>
      </c>
      <c r="AC207" s="16">
        <f>IF(ISERROR(VLOOKUP($A207,'13. Updated Demand'!A:Z,20,FALSE)),0,VLOOKUP($A207,'13. Updated Demand'!A:Z,20,FALSE))</f>
        <v>0</v>
      </c>
      <c r="AD207" s="16">
        <f>IF(ISERROR(VLOOKUP($A207,'13. Updated Demand'!A:Z,21,FALSE)),0,VLOOKUP($A207,'13. Updated Demand'!A:Z,21,FALSE))</f>
        <v>0</v>
      </c>
      <c r="AE207" s="16">
        <f>IF(ISERROR(VLOOKUP($A207,'13. Updated Demand'!A:Z,22,FALSE)),0,VLOOKUP($A207,'13. Updated Demand'!A:Z,22,FALSE))</f>
        <v>0</v>
      </c>
      <c r="AF207" s="16">
        <f>IF(ISERROR(VLOOKUP($A207,'13. Updated Demand'!A:Z,23,FALSE)),0,VLOOKUP($A207,'13. Updated Demand'!A:Z,23,FALSE))</f>
        <v>0</v>
      </c>
      <c r="AG207" s="16">
        <f>IF(ISERROR(VLOOKUP($A207,'13. Updated Demand'!A:Z,24,FALSE)),0,VLOOKUP($A207,'13. Updated Demand'!A:Z,24,FALSE))</f>
        <v>0</v>
      </c>
      <c r="AH207" s="16">
        <f>IF(ISERROR(VLOOKUP($A207,'13. Updated Demand'!A:Z,25,FALSE)),0,VLOOKUP($A207,'13. Updated Demand'!A:Z,25,FALSE))</f>
        <v>0.33</v>
      </c>
      <c r="AI207" s="16">
        <f>IF(ISERROR(VLOOKUP($A207,'13. Updated Demand'!A:Z,26,FALSE)),0,VLOOKUP($A207,'13. Updated Demand'!A:Z,26,FALSE))</f>
        <v>1.66</v>
      </c>
      <c r="AJ207" s="16">
        <f t="shared" si="36"/>
        <v>7.98</v>
      </c>
      <c r="AK207" s="19">
        <v>0</v>
      </c>
      <c r="AL207" s="16">
        <f t="shared" si="46"/>
        <v>0</v>
      </c>
      <c r="AM207" s="17">
        <v>1</v>
      </c>
      <c r="AN207" s="19"/>
      <c r="AO207" s="19"/>
      <c r="AP207" s="19">
        <v>8</v>
      </c>
      <c r="AQ207" s="19" t="s">
        <v>307</v>
      </c>
      <c r="AR207" s="9" t="s">
        <v>348</v>
      </c>
      <c r="AS207" s="12">
        <v>3.4039024194010059E-4</v>
      </c>
      <c r="AT207" s="19">
        <v>39.30156968</v>
      </c>
      <c r="AU207" s="19">
        <v>-123.08747678</v>
      </c>
      <c r="AV207" s="19" t="s">
        <v>417</v>
      </c>
    </row>
    <row r="208" spans="1:48" x14ac:dyDescent="0.25">
      <c r="A208" s="18" t="s">
        <v>575</v>
      </c>
      <c r="B208" s="10">
        <v>20020124</v>
      </c>
      <c r="C208" s="9">
        <v>22</v>
      </c>
      <c r="D208" s="8" t="str">
        <f t="shared" si="37"/>
        <v>N</v>
      </c>
      <c r="E208" s="8" t="str">
        <f t="shared" si="38"/>
        <v>N</v>
      </c>
      <c r="F208" s="8" t="str">
        <f t="shared" si="39"/>
        <v>N</v>
      </c>
      <c r="G208" s="8" t="str">
        <f t="shared" si="40"/>
        <v>N</v>
      </c>
      <c r="H208" s="8" t="str">
        <f t="shared" si="41"/>
        <v>Lower</v>
      </c>
      <c r="I208" s="8" t="str">
        <f t="shared" si="42"/>
        <v>Outside</v>
      </c>
      <c r="J208" s="8" t="str">
        <f t="shared" si="43"/>
        <v>Outside</v>
      </c>
      <c r="K208" s="8" t="str">
        <f t="shared" si="44"/>
        <v>Post-1949</v>
      </c>
      <c r="L208" s="8">
        <f t="shared" si="45"/>
        <v>2002</v>
      </c>
      <c r="M208" s="8" t="str">
        <f t="shared" si="47"/>
        <v>1991-present</v>
      </c>
      <c r="N208" s="10" t="s">
        <v>242</v>
      </c>
      <c r="O208" s="10" t="s">
        <v>242</v>
      </c>
      <c r="P208" s="10" t="s">
        <v>242</v>
      </c>
      <c r="Q208" s="10" t="s">
        <v>242</v>
      </c>
      <c r="R208" s="10" t="s">
        <v>241</v>
      </c>
      <c r="S208" s="10" t="s">
        <v>242</v>
      </c>
      <c r="T208" s="10" t="s">
        <v>242</v>
      </c>
      <c r="U208" s="10" t="s">
        <v>241</v>
      </c>
      <c r="V208" s="10" t="s">
        <v>241</v>
      </c>
      <c r="W208" s="10" t="s">
        <v>242</v>
      </c>
      <c r="X208" s="15">
        <f>IF(ISERROR(VLOOKUP($A208,'13. Updated Demand'!A:Z,15,FALSE)),0,VLOOKUP($A208,'13. Updated Demand'!A:Z,15,FALSE))</f>
        <v>0</v>
      </c>
      <c r="Y208" s="16">
        <f>IF(ISERROR(VLOOKUP($A208,'13. Updated Demand'!A:Z,16,FALSE)),0,VLOOKUP($A208,'13. Updated Demand'!A:Z,16,FALSE))</f>
        <v>0</v>
      </c>
      <c r="Z208" s="16">
        <f>IF(ISERROR(VLOOKUP($A208,'13. Updated Demand'!A:Z,17,FALSE)),0,VLOOKUP($A208,'13. Updated Demand'!A:Z,17,FALSE))</f>
        <v>0</v>
      </c>
      <c r="AA208" s="16">
        <f>IF(ISERROR(VLOOKUP($A208,'13. Updated Demand'!A:Z,18,FALSE)),0,VLOOKUP($A208,'13. Updated Demand'!A:Z,18,FALSE))</f>
        <v>0</v>
      </c>
      <c r="AB208" s="16">
        <f>IF(ISERROR(VLOOKUP($A208,'13. Updated Demand'!A:Z,19,FALSE)),0,VLOOKUP($A208,'13. Updated Demand'!A:Z,19,FALSE))</f>
        <v>0</v>
      </c>
      <c r="AC208" s="16">
        <f>IF(ISERROR(VLOOKUP($A208,'13. Updated Demand'!A:Z,20,FALSE)),0,VLOOKUP($A208,'13. Updated Demand'!A:Z,20,FALSE))</f>
        <v>0</v>
      </c>
      <c r="AD208" s="16">
        <f>IF(ISERROR(VLOOKUP($A208,'13. Updated Demand'!A:Z,21,FALSE)),0,VLOOKUP($A208,'13. Updated Demand'!A:Z,21,FALSE))</f>
        <v>0</v>
      </c>
      <c r="AE208" s="16">
        <f>IF(ISERROR(VLOOKUP($A208,'13. Updated Demand'!A:Z,22,FALSE)),0,VLOOKUP($A208,'13. Updated Demand'!A:Z,22,FALSE))</f>
        <v>0</v>
      </c>
      <c r="AF208" s="16">
        <f>IF(ISERROR(VLOOKUP($A208,'13. Updated Demand'!A:Z,23,FALSE)),0,VLOOKUP($A208,'13. Updated Demand'!A:Z,23,FALSE))</f>
        <v>0</v>
      </c>
      <c r="AG208" s="16">
        <f>IF(ISERROR(VLOOKUP($A208,'13. Updated Demand'!A:Z,24,FALSE)),0,VLOOKUP($A208,'13. Updated Demand'!A:Z,24,FALSE))</f>
        <v>0</v>
      </c>
      <c r="AH208" s="16">
        <f>IF(ISERROR(VLOOKUP($A208,'13. Updated Demand'!A:Z,25,FALSE)),0,VLOOKUP($A208,'13. Updated Demand'!A:Z,25,FALSE))</f>
        <v>0</v>
      </c>
      <c r="AI208" s="16">
        <f>IF(ISERROR(VLOOKUP($A208,'13. Updated Demand'!A:Z,26,FALSE)),0,VLOOKUP($A208,'13. Updated Demand'!A:Z,26,FALSE))</f>
        <v>0</v>
      </c>
      <c r="AJ208" s="16">
        <f t="shared" ref="AJ208:AJ271" si="48">SUM(X208:AI208)</f>
        <v>0</v>
      </c>
      <c r="AK208" s="19">
        <v>0</v>
      </c>
      <c r="AL208" s="16">
        <f t="shared" si="46"/>
        <v>0</v>
      </c>
      <c r="AM208" s="17">
        <v>0</v>
      </c>
      <c r="AN208" s="19"/>
      <c r="AO208" s="19"/>
      <c r="AP208" s="19">
        <v>48</v>
      </c>
      <c r="AQ208" s="19" t="s">
        <v>307</v>
      </c>
      <c r="AR208" s="9" t="s">
        <v>314</v>
      </c>
      <c r="AS208" s="12">
        <v>0</v>
      </c>
      <c r="AT208" s="19">
        <v>38.789628980000003</v>
      </c>
      <c r="AU208" s="19">
        <v>-123.13136512</v>
      </c>
      <c r="AV208" s="19" t="s">
        <v>417</v>
      </c>
    </row>
    <row r="209" spans="1:48" x14ac:dyDescent="0.25">
      <c r="A209" s="18" t="s">
        <v>576</v>
      </c>
      <c r="B209" s="10">
        <v>20020304</v>
      </c>
      <c r="C209" s="9">
        <v>6</v>
      </c>
      <c r="D209" s="8" t="str">
        <f t="shared" si="37"/>
        <v>Y</v>
      </c>
      <c r="E209" s="8" t="str">
        <f t="shared" si="38"/>
        <v>N</v>
      </c>
      <c r="F209" s="8" t="str">
        <f t="shared" si="39"/>
        <v>Y</v>
      </c>
      <c r="G209" s="8" t="str">
        <f t="shared" si="40"/>
        <v>Y</v>
      </c>
      <c r="H209" s="8" t="str">
        <f t="shared" si="41"/>
        <v>Upper</v>
      </c>
      <c r="I209" s="8" t="str">
        <f t="shared" si="42"/>
        <v>West Fork and Below Lake</v>
      </c>
      <c r="J209" s="8" t="str">
        <f t="shared" si="43"/>
        <v>Mendocino (d/s of lake)</v>
      </c>
      <c r="K209" s="8" t="str">
        <f t="shared" si="44"/>
        <v>Post-1949</v>
      </c>
      <c r="L209" s="8">
        <f t="shared" si="45"/>
        <v>2002</v>
      </c>
      <c r="M209" s="8" t="str">
        <f t="shared" si="47"/>
        <v>1991-present</v>
      </c>
      <c r="N209" s="10" t="s">
        <v>241</v>
      </c>
      <c r="O209" s="10" t="s">
        <v>241</v>
      </c>
      <c r="P209" s="10" t="s">
        <v>242</v>
      </c>
      <c r="Q209" s="10" t="s">
        <v>242</v>
      </c>
      <c r="R209" s="10" t="s">
        <v>241</v>
      </c>
      <c r="S209" s="10" t="s">
        <v>242</v>
      </c>
      <c r="T209" s="10" t="s">
        <v>241</v>
      </c>
      <c r="U209" s="10" t="s">
        <v>241</v>
      </c>
      <c r="V209" s="10" t="s">
        <v>241</v>
      </c>
      <c r="W209" s="10" t="s">
        <v>242</v>
      </c>
      <c r="X209" s="15">
        <f>IF(ISERROR(VLOOKUP($A209,'13. Updated Demand'!A:Z,15,FALSE)),0,VLOOKUP($A209,'13. Updated Demand'!A:Z,15,FALSE))</f>
        <v>0</v>
      </c>
      <c r="Y209" s="16">
        <f>IF(ISERROR(VLOOKUP($A209,'13. Updated Demand'!A:Z,16,FALSE)),0,VLOOKUP($A209,'13. Updated Demand'!A:Z,16,FALSE))</f>
        <v>0</v>
      </c>
      <c r="Z209" s="16">
        <f>IF(ISERROR(VLOOKUP($A209,'13. Updated Demand'!A:Z,17,FALSE)),0,VLOOKUP($A209,'13. Updated Demand'!A:Z,17,FALSE))</f>
        <v>0</v>
      </c>
      <c r="AA209" s="16">
        <f>IF(ISERROR(VLOOKUP($A209,'13. Updated Demand'!A:Z,18,FALSE)),0,VLOOKUP($A209,'13. Updated Demand'!A:Z,18,FALSE))</f>
        <v>0</v>
      </c>
      <c r="AB209" s="16">
        <f>IF(ISERROR(VLOOKUP($A209,'13. Updated Demand'!A:Z,19,FALSE)),0,VLOOKUP($A209,'13. Updated Demand'!A:Z,19,FALSE))</f>
        <v>0</v>
      </c>
      <c r="AC209" s="16">
        <f>IF(ISERROR(VLOOKUP($A209,'13. Updated Demand'!A:Z,20,FALSE)),0,VLOOKUP($A209,'13. Updated Demand'!A:Z,20,FALSE))</f>
        <v>0</v>
      </c>
      <c r="AD209" s="16">
        <f>IF(ISERROR(VLOOKUP($A209,'13. Updated Demand'!A:Z,21,FALSE)),0,VLOOKUP($A209,'13. Updated Demand'!A:Z,21,FALSE))</f>
        <v>0</v>
      </c>
      <c r="AE209" s="16">
        <f>IF(ISERROR(VLOOKUP($A209,'13. Updated Demand'!A:Z,22,FALSE)),0,VLOOKUP($A209,'13. Updated Demand'!A:Z,22,FALSE))</f>
        <v>0</v>
      </c>
      <c r="AF209" s="16">
        <f>IF(ISERROR(VLOOKUP($A209,'13. Updated Demand'!A:Z,23,FALSE)),0,VLOOKUP($A209,'13. Updated Demand'!A:Z,23,FALSE))</f>
        <v>0</v>
      </c>
      <c r="AG209" s="16">
        <f>IF(ISERROR(VLOOKUP($A209,'13. Updated Demand'!A:Z,24,FALSE)),0,VLOOKUP($A209,'13. Updated Demand'!A:Z,24,FALSE))</f>
        <v>0</v>
      </c>
      <c r="AH209" s="16">
        <f>IF(ISERROR(VLOOKUP($A209,'13. Updated Demand'!A:Z,25,FALSE)),0,VLOOKUP($A209,'13. Updated Demand'!A:Z,25,FALSE))</f>
        <v>0</v>
      </c>
      <c r="AI209" s="16">
        <f>IF(ISERROR(VLOOKUP($A209,'13. Updated Demand'!A:Z,26,FALSE)),0,VLOOKUP($A209,'13. Updated Demand'!A:Z,26,FALSE))</f>
        <v>0</v>
      </c>
      <c r="AJ209" s="16">
        <f t="shared" si="48"/>
        <v>0</v>
      </c>
      <c r="AK209" s="19">
        <v>0</v>
      </c>
      <c r="AL209" s="16">
        <f t="shared" si="46"/>
        <v>0</v>
      </c>
      <c r="AM209" s="17">
        <v>0</v>
      </c>
      <c r="AN209" s="19"/>
      <c r="AO209" s="19"/>
      <c r="AP209" s="19">
        <v>36</v>
      </c>
      <c r="AQ209" s="19" t="s">
        <v>307</v>
      </c>
      <c r="AR209" s="9" t="s">
        <v>319</v>
      </c>
      <c r="AS209" s="12">
        <v>0</v>
      </c>
      <c r="AT209" s="19">
        <v>38.977682360000003</v>
      </c>
      <c r="AU209" s="19">
        <v>-123.10487628</v>
      </c>
      <c r="AV209" s="19" t="s">
        <v>387</v>
      </c>
    </row>
    <row r="210" spans="1:48" x14ac:dyDescent="0.25">
      <c r="A210" s="18" t="s">
        <v>577</v>
      </c>
      <c r="B210" s="10">
        <v>20020531</v>
      </c>
      <c r="C210" s="9">
        <v>6</v>
      </c>
      <c r="D210" s="8" t="str">
        <f t="shared" si="37"/>
        <v>Y</v>
      </c>
      <c r="E210" s="8" t="str">
        <f t="shared" si="38"/>
        <v>N</v>
      </c>
      <c r="F210" s="8" t="str">
        <f t="shared" si="39"/>
        <v>Y</v>
      </c>
      <c r="G210" s="8" t="str">
        <f t="shared" si="40"/>
        <v>Y</v>
      </c>
      <c r="H210" s="8" t="str">
        <f t="shared" si="41"/>
        <v>Upper</v>
      </c>
      <c r="I210" s="8" t="str">
        <f t="shared" si="42"/>
        <v>West Fork and Below Lake</v>
      </c>
      <c r="J210" s="8" t="str">
        <f t="shared" si="43"/>
        <v>Mendocino (d/s of lake)</v>
      </c>
      <c r="K210" s="8" t="str">
        <f t="shared" si="44"/>
        <v>Post-1949</v>
      </c>
      <c r="L210" s="8">
        <f t="shared" si="45"/>
        <v>2002</v>
      </c>
      <c r="M210" s="8" t="str">
        <f t="shared" si="47"/>
        <v>1991-present</v>
      </c>
      <c r="N210" s="10" t="s">
        <v>242</v>
      </c>
      <c r="O210" s="10" t="s">
        <v>241</v>
      </c>
      <c r="P210" s="10" t="s">
        <v>242</v>
      </c>
      <c r="Q210" s="10" t="s">
        <v>242</v>
      </c>
      <c r="R210" s="10" t="s">
        <v>241</v>
      </c>
      <c r="S210" s="10" t="s">
        <v>242</v>
      </c>
      <c r="T210" s="10" t="s">
        <v>241</v>
      </c>
      <c r="U210" s="10" t="s">
        <v>241</v>
      </c>
      <c r="V210" s="10" t="s">
        <v>241</v>
      </c>
      <c r="W210" s="10" t="s">
        <v>242</v>
      </c>
      <c r="X210" s="15">
        <f>IF(ISERROR(VLOOKUP($A210,'13. Updated Demand'!A:Z,15,FALSE)),0,VLOOKUP($A210,'13. Updated Demand'!A:Z,15,FALSE))</f>
        <v>0</v>
      </c>
      <c r="Y210" s="16">
        <f>IF(ISERROR(VLOOKUP($A210,'13. Updated Demand'!A:Z,16,FALSE)),0,VLOOKUP($A210,'13. Updated Demand'!A:Z,16,FALSE))</f>
        <v>0</v>
      </c>
      <c r="Z210" s="16">
        <f>IF(ISERROR(VLOOKUP($A210,'13. Updated Demand'!A:Z,17,FALSE)),0,VLOOKUP($A210,'13. Updated Demand'!A:Z,17,FALSE))</f>
        <v>0</v>
      </c>
      <c r="AA210" s="16">
        <f>IF(ISERROR(VLOOKUP($A210,'13. Updated Demand'!A:Z,18,FALSE)),0,VLOOKUP($A210,'13. Updated Demand'!A:Z,18,FALSE))</f>
        <v>0</v>
      </c>
      <c r="AB210" s="16">
        <f>IF(ISERROR(VLOOKUP($A210,'13. Updated Demand'!A:Z,19,FALSE)),0,VLOOKUP($A210,'13. Updated Demand'!A:Z,19,FALSE))</f>
        <v>0</v>
      </c>
      <c r="AC210" s="16">
        <f>IF(ISERROR(VLOOKUP($A210,'13. Updated Demand'!A:Z,20,FALSE)),0,VLOOKUP($A210,'13. Updated Demand'!A:Z,20,FALSE))</f>
        <v>0</v>
      </c>
      <c r="AD210" s="16">
        <f>IF(ISERROR(VLOOKUP($A210,'13. Updated Demand'!A:Z,21,FALSE)),0,VLOOKUP($A210,'13. Updated Demand'!A:Z,21,FALSE))</f>
        <v>0</v>
      </c>
      <c r="AE210" s="16">
        <f>IF(ISERROR(VLOOKUP($A210,'13. Updated Demand'!A:Z,22,FALSE)),0,VLOOKUP($A210,'13. Updated Demand'!A:Z,22,FALSE))</f>
        <v>0</v>
      </c>
      <c r="AF210" s="16">
        <f>IF(ISERROR(VLOOKUP($A210,'13. Updated Demand'!A:Z,23,FALSE)),0,VLOOKUP($A210,'13. Updated Demand'!A:Z,23,FALSE))</f>
        <v>0</v>
      </c>
      <c r="AG210" s="16">
        <f>IF(ISERROR(VLOOKUP($A210,'13. Updated Demand'!A:Z,24,FALSE)),0,VLOOKUP($A210,'13. Updated Demand'!A:Z,24,FALSE))</f>
        <v>0</v>
      </c>
      <c r="AH210" s="16">
        <f>IF(ISERROR(VLOOKUP($A210,'13. Updated Demand'!A:Z,25,FALSE)),0,VLOOKUP($A210,'13. Updated Demand'!A:Z,25,FALSE))</f>
        <v>0</v>
      </c>
      <c r="AI210" s="16">
        <f>IF(ISERROR(VLOOKUP($A210,'13. Updated Demand'!A:Z,26,FALSE)),0,VLOOKUP($A210,'13. Updated Demand'!A:Z,26,FALSE))</f>
        <v>0</v>
      </c>
      <c r="AJ210" s="16">
        <f t="shared" si="48"/>
        <v>0</v>
      </c>
      <c r="AK210" s="19">
        <v>0</v>
      </c>
      <c r="AL210" s="16">
        <f t="shared" si="46"/>
        <v>0</v>
      </c>
      <c r="AM210" s="17">
        <v>0</v>
      </c>
      <c r="AN210" s="19"/>
      <c r="AO210" s="19"/>
      <c r="AP210" s="19">
        <v>35</v>
      </c>
      <c r="AQ210" s="19" t="s">
        <v>307</v>
      </c>
      <c r="AR210" s="9" t="s">
        <v>319</v>
      </c>
      <c r="AS210" s="12">
        <v>0</v>
      </c>
      <c r="AT210" s="19">
        <v>38.962299999999999</v>
      </c>
      <c r="AU210" s="19">
        <v>-123.0227</v>
      </c>
      <c r="AV210" s="19" t="s">
        <v>417</v>
      </c>
    </row>
    <row r="211" spans="1:48" x14ac:dyDescent="0.25">
      <c r="A211" s="18" t="s">
        <v>578</v>
      </c>
      <c r="B211" s="10">
        <v>20020823</v>
      </c>
      <c r="C211" s="9">
        <v>22</v>
      </c>
      <c r="D211" s="8" t="str">
        <f t="shared" si="37"/>
        <v>N</v>
      </c>
      <c r="E211" s="8" t="str">
        <f t="shared" si="38"/>
        <v>N</v>
      </c>
      <c r="F211" s="8" t="str">
        <f t="shared" si="39"/>
        <v>N</v>
      </c>
      <c r="G211" s="8" t="str">
        <f t="shared" si="40"/>
        <v>N</v>
      </c>
      <c r="H211" s="8" t="str">
        <f t="shared" si="41"/>
        <v>Lower</v>
      </c>
      <c r="I211" s="8" t="str">
        <f t="shared" si="42"/>
        <v>Outside</v>
      </c>
      <c r="J211" s="8" t="str">
        <f t="shared" si="43"/>
        <v>Outside</v>
      </c>
      <c r="K211" s="8" t="str">
        <f t="shared" si="44"/>
        <v>Post-1949</v>
      </c>
      <c r="L211" s="8">
        <f t="shared" si="45"/>
        <v>2002</v>
      </c>
      <c r="M211" s="8" t="str">
        <f t="shared" si="47"/>
        <v>1991-present</v>
      </c>
      <c r="N211" s="10" t="s">
        <v>242</v>
      </c>
      <c r="O211" s="10" t="s">
        <v>242</v>
      </c>
      <c r="P211" s="10" t="s">
        <v>242</v>
      </c>
      <c r="Q211" s="10" t="s">
        <v>242</v>
      </c>
      <c r="R211" s="10" t="s">
        <v>241</v>
      </c>
      <c r="S211" s="10" t="s">
        <v>242</v>
      </c>
      <c r="T211" s="10" t="s">
        <v>242</v>
      </c>
      <c r="U211" s="10" t="s">
        <v>242</v>
      </c>
      <c r="V211" s="10" t="s">
        <v>241</v>
      </c>
      <c r="W211" s="10" t="s">
        <v>242</v>
      </c>
      <c r="X211" s="15">
        <f>IF(ISERROR(VLOOKUP($A211,'13. Updated Demand'!A:Z,15,FALSE)),0,VLOOKUP($A211,'13. Updated Demand'!A:Z,15,FALSE))</f>
        <v>7.733333333</v>
      </c>
      <c r="Y211" s="16">
        <f>IF(ISERROR(VLOOKUP($A211,'13. Updated Demand'!A:Z,16,FALSE)),0,VLOOKUP($A211,'13. Updated Demand'!A:Z,16,FALSE))</f>
        <v>3.8666666670000001</v>
      </c>
      <c r="Z211" s="16">
        <f>IF(ISERROR(VLOOKUP($A211,'13. Updated Demand'!A:Z,17,FALSE)),0,VLOOKUP($A211,'13. Updated Demand'!A:Z,17,FALSE))</f>
        <v>0</v>
      </c>
      <c r="AA211" s="16">
        <f>IF(ISERROR(VLOOKUP($A211,'13. Updated Demand'!A:Z,18,FALSE)),0,VLOOKUP($A211,'13. Updated Demand'!A:Z,18,FALSE))</f>
        <v>0</v>
      </c>
      <c r="AB211" s="16">
        <f>IF(ISERROR(VLOOKUP($A211,'13. Updated Demand'!A:Z,19,FALSE)),0,VLOOKUP($A211,'13. Updated Demand'!A:Z,19,FALSE))</f>
        <v>0</v>
      </c>
      <c r="AC211" s="16">
        <f>IF(ISERROR(VLOOKUP($A211,'13. Updated Demand'!A:Z,20,FALSE)),0,VLOOKUP($A211,'13. Updated Demand'!A:Z,20,FALSE))</f>
        <v>0</v>
      </c>
      <c r="AD211" s="16">
        <f>IF(ISERROR(VLOOKUP($A211,'13. Updated Demand'!A:Z,21,FALSE)),0,VLOOKUP($A211,'13. Updated Demand'!A:Z,21,FALSE))</f>
        <v>0</v>
      </c>
      <c r="AE211" s="16">
        <f>IF(ISERROR(VLOOKUP($A211,'13. Updated Demand'!A:Z,22,FALSE)),0,VLOOKUP($A211,'13. Updated Demand'!A:Z,22,FALSE))</f>
        <v>0</v>
      </c>
      <c r="AF211" s="16">
        <f>IF(ISERROR(VLOOKUP($A211,'13. Updated Demand'!A:Z,23,FALSE)),0,VLOOKUP($A211,'13. Updated Demand'!A:Z,23,FALSE))</f>
        <v>0</v>
      </c>
      <c r="AG211" s="16">
        <f>IF(ISERROR(VLOOKUP($A211,'13. Updated Demand'!A:Z,24,FALSE)),0,VLOOKUP($A211,'13. Updated Demand'!A:Z,24,FALSE))</f>
        <v>0</v>
      </c>
      <c r="AH211" s="16">
        <f>IF(ISERROR(VLOOKUP($A211,'13. Updated Demand'!A:Z,25,FALSE)),0,VLOOKUP($A211,'13. Updated Demand'!A:Z,25,FALSE))</f>
        <v>5.9666666670000001</v>
      </c>
      <c r="AI211" s="16">
        <f>IF(ISERROR(VLOOKUP($A211,'13. Updated Demand'!A:Z,26,FALSE)),0,VLOOKUP($A211,'13. Updated Demand'!A:Z,26,FALSE))</f>
        <v>2.0333333329999999</v>
      </c>
      <c r="AJ211" s="16">
        <f t="shared" si="48"/>
        <v>19.600000000000001</v>
      </c>
      <c r="AK211" s="19">
        <v>0</v>
      </c>
      <c r="AL211" s="16">
        <f t="shared" si="46"/>
        <v>0</v>
      </c>
      <c r="AM211" s="17">
        <v>0.40833333333333338</v>
      </c>
      <c r="AN211" s="19"/>
      <c r="AO211" s="19"/>
      <c r="AP211" s="19">
        <v>48</v>
      </c>
      <c r="AQ211" s="19" t="s">
        <v>307</v>
      </c>
      <c r="AR211" s="9" t="s">
        <v>314</v>
      </c>
      <c r="AS211" s="12">
        <v>0</v>
      </c>
      <c r="AT211" s="19">
        <v>38.801450199999998</v>
      </c>
      <c r="AU211" s="19">
        <v>-123.11576100000001</v>
      </c>
      <c r="AV211" s="19" t="s">
        <v>417</v>
      </c>
    </row>
    <row r="212" spans="1:48" x14ac:dyDescent="0.25">
      <c r="A212" s="18" t="s">
        <v>579</v>
      </c>
      <c r="B212" s="10">
        <v>20021114</v>
      </c>
      <c r="C212" s="9">
        <v>5</v>
      </c>
      <c r="D212" s="8" t="str">
        <f t="shared" si="37"/>
        <v>Y</v>
      </c>
      <c r="E212" s="8" t="str">
        <f t="shared" si="38"/>
        <v>N</v>
      </c>
      <c r="F212" s="8" t="str">
        <f t="shared" si="39"/>
        <v>Y</v>
      </c>
      <c r="G212" s="8" t="str">
        <f t="shared" si="40"/>
        <v>Y</v>
      </c>
      <c r="H212" s="8" t="str">
        <f t="shared" si="41"/>
        <v>Upper</v>
      </c>
      <c r="I212" s="8" t="str">
        <f t="shared" si="42"/>
        <v>West Fork and Below Lake</v>
      </c>
      <c r="J212" s="8" t="str">
        <f t="shared" si="43"/>
        <v>Mendocino (d/s of lake)</v>
      </c>
      <c r="K212" s="8" t="str">
        <f t="shared" si="44"/>
        <v>Post-1949</v>
      </c>
      <c r="L212" s="8">
        <f t="shared" si="45"/>
        <v>2002</v>
      </c>
      <c r="M212" s="8" t="str">
        <f t="shared" si="47"/>
        <v>1991-present</v>
      </c>
      <c r="N212" s="10" t="s">
        <v>242</v>
      </c>
      <c r="O212" s="10" t="s">
        <v>241</v>
      </c>
      <c r="P212" s="10" t="s">
        <v>242</v>
      </c>
      <c r="Q212" s="10" t="s">
        <v>242</v>
      </c>
      <c r="R212" s="10" t="s">
        <v>241</v>
      </c>
      <c r="S212" s="10" t="s">
        <v>242</v>
      </c>
      <c r="T212" s="10" t="s">
        <v>241</v>
      </c>
      <c r="U212" s="10" t="s">
        <v>241</v>
      </c>
      <c r="V212" s="10" t="s">
        <v>241</v>
      </c>
      <c r="W212" s="10" t="s">
        <v>242</v>
      </c>
      <c r="X212" s="15">
        <f>IF(ISERROR(VLOOKUP($A212,'13. Updated Demand'!A:Z,15,FALSE)),0,VLOOKUP($A212,'13. Updated Demand'!A:Z,15,FALSE))</f>
        <v>0</v>
      </c>
      <c r="Y212" s="16">
        <f>IF(ISERROR(VLOOKUP($A212,'13. Updated Demand'!A:Z,16,FALSE)),0,VLOOKUP($A212,'13. Updated Demand'!A:Z,16,FALSE))</f>
        <v>0</v>
      </c>
      <c r="Z212" s="16">
        <f>IF(ISERROR(VLOOKUP($A212,'13. Updated Demand'!A:Z,17,FALSE)),0,VLOOKUP($A212,'13. Updated Demand'!A:Z,17,FALSE))</f>
        <v>0</v>
      </c>
      <c r="AA212" s="16">
        <f>IF(ISERROR(VLOOKUP($A212,'13. Updated Demand'!A:Z,18,FALSE)),0,VLOOKUP($A212,'13. Updated Demand'!A:Z,18,FALSE))</f>
        <v>0</v>
      </c>
      <c r="AB212" s="16">
        <f>IF(ISERROR(VLOOKUP($A212,'13. Updated Demand'!A:Z,19,FALSE)),0,VLOOKUP($A212,'13. Updated Demand'!A:Z,19,FALSE))</f>
        <v>0</v>
      </c>
      <c r="AC212" s="16">
        <f>IF(ISERROR(VLOOKUP($A212,'13. Updated Demand'!A:Z,20,FALSE)),0,VLOOKUP($A212,'13. Updated Demand'!A:Z,20,FALSE))</f>
        <v>0</v>
      </c>
      <c r="AD212" s="16">
        <f>IF(ISERROR(VLOOKUP($A212,'13. Updated Demand'!A:Z,21,FALSE)),0,VLOOKUP($A212,'13. Updated Demand'!A:Z,21,FALSE))</f>
        <v>0</v>
      </c>
      <c r="AE212" s="16">
        <f>IF(ISERROR(VLOOKUP($A212,'13. Updated Demand'!A:Z,22,FALSE)),0,VLOOKUP($A212,'13. Updated Demand'!A:Z,22,FALSE))</f>
        <v>0</v>
      </c>
      <c r="AF212" s="16">
        <f>IF(ISERROR(VLOOKUP($A212,'13. Updated Demand'!A:Z,23,FALSE)),0,VLOOKUP($A212,'13. Updated Demand'!A:Z,23,FALSE))</f>
        <v>0</v>
      </c>
      <c r="AG212" s="16">
        <f>IF(ISERROR(VLOOKUP($A212,'13. Updated Demand'!A:Z,24,FALSE)),0,VLOOKUP($A212,'13. Updated Demand'!A:Z,24,FALSE))</f>
        <v>0</v>
      </c>
      <c r="AH212" s="16">
        <f>IF(ISERROR(VLOOKUP($A212,'13. Updated Demand'!A:Z,25,FALSE)),0,VLOOKUP($A212,'13. Updated Demand'!A:Z,25,FALSE))</f>
        <v>0</v>
      </c>
      <c r="AI212" s="16">
        <f>IF(ISERROR(VLOOKUP($A212,'13. Updated Demand'!A:Z,26,FALSE)),0,VLOOKUP($A212,'13. Updated Demand'!A:Z,26,FALSE))</f>
        <v>0</v>
      </c>
      <c r="AJ212" s="16">
        <f t="shared" si="48"/>
        <v>0</v>
      </c>
      <c r="AK212" s="19">
        <v>0</v>
      </c>
      <c r="AL212" s="16">
        <f t="shared" si="46"/>
        <v>0</v>
      </c>
      <c r="AM212" s="17">
        <v>0</v>
      </c>
      <c r="AN212" s="19"/>
      <c r="AO212" s="19"/>
      <c r="AP212" s="19">
        <v>46</v>
      </c>
      <c r="AQ212" s="19" t="s">
        <v>307</v>
      </c>
      <c r="AR212" s="9" t="s">
        <v>333</v>
      </c>
      <c r="AS212" s="12">
        <v>0</v>
      </c>
      <c r="AT212" s="19">
        <v>39.067590639999999</v>
      </c>
      <c r="AU212" s="19">
        <v>-123.19642415</v>
      </c>
      <c r="AV212" s="19" t="s">
        <v>417</v>
      </c>
    </row>
    <row r="213" spans="1:48" x14ac:dyDescent="0.25">
      <c r="A213" s="18" t="s">
        <v>580</v>
      </c>
      <c r="B213" s="10">
        <v>20021104</v>
      </c>
      <c r="C213" s="9">
        <v>4</v>
      </c>
      <c r="D213" s="8" t="str">
        <f t="shared" si="37"/>
        <v>Y</v>
      </c>
      <c r="E213" s="8" t="str">
        <f t="shared" si="38"/>
        <v>N</v>
      </c>
      <c r="F213" s="8" t="str">
        <f t="shared" si="39"/>
        <v>Y</v>
      </c>
      <c r="G213" s="8" t="str">
        <f t="shared" si="40"/>
        <v>Y</v>
      </c>
      <c r="H213" s="8" t="str">
        <f t="shared" si="41"/>
        <v>Upper</v>
      </c>
      <c r="I213" s="8" t="str">
        <f t="shared" si="42"/>
        <v>West Fork and Below Lake</v>
      </c>
      <c r="J213" s="8" t="str">
        <f t="shared" si="43"/>
        <v>Mendocino (d/s of lake)</v>
      </c>
      <c r="K213" s="8" t="str">
        <f t="shared" si="44"/>
        <v>Post-1949</v>
      </c>
      <c r="L213" s="8">
        <f t="shared" si="45"/>
        <v>2002</v>
      </c>
      <c r="M213" s="8" t="str">
        <f t="shared" si="47"/>
        <v>1991-present</v>
      </c>
      <c r="N213" s="10" t="s">
        <v>242</v>
      </c>
      <c r="O213" s="10" t="s">
        <v>241</v>
      </c>
      <c r="P213" s="10" t="s">
        <v>242</v>
      </c>
      <c r="Q213" s="10" t="s">
        <v>242</v>
      </c>
      <c r="R213" s="10" t="s">
        <v>241</v>
      </c>
      <c r="S213" s="10" t="s">
        <v>242</v>
      </c>
      <c r="T213" s="10" t="s">
        <v>241</v>
      </c>
      <c r="U213" s="10" t="s">
        <v>241</v>
      </c>
      <c r="V213" s="10" t="s">
        <v>241</v>
      </c>
      <c r="W213" s="10" t="s">
        <v>242</v>
      </c>
      <c r="X213" s="15">
        <f>IF(ISERROR(VLOOKUP($A213,'13. Updated Demand'!A:Z,15,FALSE)),0,VLOOKUP($A213,'13. Updated Demand'!A:Z,15,FALSE))</f>
        <v>0</v>
      </c>
      <c r="Y213" s="16">
        <f>IF(ISERROR(VLOOKUP($A213,'13. Updated Demand'!A:Z,16,FALSE)),0,VLOOKUP($A213,'13. Updated Demand'!A:Z,16,FALSE))</f>
        <v>0</v>
      </c>
      <c r="Z213" s="16">
        <f>IF(ISERROR(VLOOKUP($A213,'13. Updated Demand'!A:Z,17,FALSE)),0,VLOOKUP($A213,'13. Updated Demand'!A:Z,17,FALSE))</f>
        <v>0</v>
      </c>
      <c r="AA213" s="16">
        <f>IF(ISERROR(VLOOKUP($A213,'13. Updated Demand'!A:Z,18,FALSE)),0,VLOOKUP($A213,'13. Updated Demand'!A:Z,18,FALSE))</f>
        <v>0</v>
      </c>
      <c r="AB213" s="16">
        <f>IF(ISERROR(VLOOKUP($A213,'13. Updated Demand'!A:Z,19,FALSE)),0,VLOOKUP($A213,'13. Updated Demand'!A:Z,19,FALSE))</f>
        <v>0</v>
      </c>
      <c r="AC213" s="16">
        <f>IF(ISERROR(VLOOKUP($A213,'13. Updated Demand'!A:Z,20,FALSE)),0,VLOOKUP($A213,'13. Updated Demand'!A:Z,20,FALSE))</f>
        <v>0</v>
      </c>
      <c r="AD213" s="16">
        <f>IF(ISERROR(VLOOKUP($A213,'13. Updated Demand'!A:Z,21,FALSE)),0,VLOOKUP($A213,'13. Updated Demand'!A:Z,21,FALSE))</f>
        <v>0</v>
      </c>
      <c r="AE213" s="16">
        <f>IF(ISERROR(VLOOKUP($A213,'13. Updated Demand'!A:Z,22,FALSE)),0,VLOOKUP($A213,'13. Updated Demand'!A:Z,22,FALSE))</f>
        <v>0</v>
      </c>
      <c r="AF213" s="16">
        <f>IF(ISERROR(VLOOKUP($A213,'13. Updated Demand'!A:Z,23,FALSE)),0,VLOOKUP($A213,'13. Updated Demand'!A:Z,23,FALSE))</f>
        <v>0</v>
      </c>
      <c r="AG213" s="16">
        <f>IF(ISERROR(VLOOKUP($A213,'13. Updated Demand'!A:Z,24,FALSE)),0,VLOOKUP($A213,'13. Updated Demand'!A:Z,24,FALSE))</f>
        <v>0</v>
      </c>
      <c r="AH213" s="16">
        <f>IF(ISERROR(VLOOKUP($A213,'13. Updated Demand'!A:Z,25,FALSE)),0,VLOOKUP($A213,'13. Updated Demand'!A:Z,25,FALSE))</f>
        <v>0</v>
      </c>
      <c r="AI213" s="16">
        <f>IF(ISERROR(VLOOKUP($A213,'13. Updated Demand'!A:Z,26,FALSE)),0,VLOOKUP($A213,'13. Updated Demand'!A:Z,26,FALSE))</f>
        <v>0</v>
      </c>
      <c r="AJ213" s="16">
        <f t="shared" si="48"/>
        <v>0</v>
      </c>
      <c r="AK213" s="19">
        <v>0</v>
      </c>
      <c r="AL213" s="16">
        <f t="shared" si="46"/>
        <v>0</v>
      </c>
      <c r="AM213" s="17">
        <v>0</v>
      </c>
      <c r="AN213" s="19"/>
      <c r="AO213" s="19"/>
      <c r="AP213" s="19">
        <v>27</v>
      </c>
      <c r="AQ213" s="19" t="s">
        <v>307</v>
      </c>
      <c r="AR213" s="9" t="s">
        <v>331</v>
      </c>
      <c r="AS213" s="12">
        <v>0</v>
      </c>
      <c r="AT213" s="19">
        <v>39.184060350000003</v>
      </c>
      <c r="AU213" s="19">
        <v>-123.21961091</v>
      </c>
      <c r="AV213" s="19" t="s">
        <v>417</v>
      </c>
    </row>
    <row r="214" spans="1:48" x14ac:dyDescent="0.25">
      <c r="A214" s="18" t="s">
        <v>581</v>
      </c>
      <c r="B214" s="10">
        <v>20021104</v>
      </c>
      <c r="C214" s="9">
        <v>1</v>
      </c>
      <c r="D214" s="8" t="str">
        <f t="shared" si="37"/>
        <v>N</v>
      </c>
      <c r="E214" s="8" t="str">
        <f t="shared" si="38"/>
        <v>N</v>
      </c>
      <c r="F214" s="8" t="str">
        <f t="shared" si="39"/>
        <v>Y</v>
      </c>
      <c r="G214" s="8" t="str">
        <f t="shared" si="40"/>
        <v>Y</v>
      </c>
      <c r="H214" s="8" t="str">
        <f t="shared" si="41"/>
        <v>Upper</v>
      </c>
      <c r="I214" s="8" t="str">
        <f t="shared" si="42"/>
        <v>West Fork and Below Lake</v>
      </c>
      <c r="J214" s="8" t="str">
        <f t="shared" si="43"/>
        <v>Outside</v>
      </c>
      <c r="K214" s="8" t="str">
        <f t="shared" si="44"/>
        <v>Post-1949</v>
      </c>
      <c r="L214" s="8">
        <f t="shared" si="45"/>
        <v>2002</v>
      </c>
      <c r="M214" s="8" t="str">
        <f t="shared" si="47"/>
        <v>1991-present</v>
      </c>
      <c r="N214" s="10" t="s">
        <v>242</v>
      </c>
      <c r="O214" s="10" t="s">
        <v>241</v>
      </c>
      <c r="P214" s="10" t="s">
        <v>242</v>
      </c>
      <c r="Q214" s="10" t="s">
        <v>242</v>
      </c>
      <c r="R214" s="10" t="s">
        <v>241</v>
      </c>
      <c r="S214" s="10" t="s">
        <v>242</v>
      </c>
      <c r="T214" s="10" t="s">
        <v>241</v>
      </c>
      <c r="U214" s="10" t="s">
        <v>241</v>
      </c>
      <c r="V214" s="10" t="s">
        <v>241</v>
      </c>
      <c r="W214" s="10" t="s">
        <v>242</v>
      </c>
      <c r="X214" s="15">
        <f>IF(ISERROR(VLOOKUP($A214,'13. Updated Demand'!A:Z,15,FALSE)),0,VLOOKUP($A214,'13. Updated Demand'!A:Z,15,FALSE))</f>
        <v>0</v>
      </c>
      <c r="Y214" s="16">
        <f>IF(ISERROR(VLOOKUP($A214,'13. Updated Demand'!A:Z,16,FALSE)),0,VLOOKUP($A214,'13. Updated Demand'!A:Z,16,FALSE))</f>
        <v>0</v>
      </c>
      <c r="Z214" s="16">
        <f>IF(ISERROR(VLOOKUP($A214,'13. Updated Demand'!A:Z,17,FALSE)),0,VLOOKUP($A214,'13. Updated Demand'!A:Z,17,FALSE))</f>
        <v>0</v>
      </c>
      <c r="AA214" s="16">
        <f>IF(ISERROR(VLOOKUP($A214,'13. Updated Demand'!A:Z,18,FALSE)),0,VLOOKUP($A214,'13. Updated Demand'!A:Z,18,FALSE))</f>
        <v>0</v>
      </c>
      <c r="AB214" s="16">
        <f>IF(ISERROR(VLOOKUP($A214,'13. Updated Demand'!A:Z,19,FALSE)),0,VLOOKUP($A214,'13. Updated Demand'!A:Z,19,FALSE))</f>
        <v>0</v>
      </c>
      <c r="AC214" s="16">
        <f>IF(ISERROR(VLOOKUP($A214,'13. Updated Demand'!A:Z,20,FALSE)),0,VLOOKUP($A214,'13. Updated Demand'!A:Z,20,FALSE))</f>
        <v>0</v>
      </c>
      <c r="AD214" s="16">
        <f>IF(ISERROR(VLOOKUP($A214,'13. Updated Demand'!A:Z,21,FALSE)),0,VLOOKUP($A214,'13. Updated Demand'!A:Z,21,FALSE))</f>
        <v>0</v>
      </c>
      <c r="AE214" s="16">
        <f>IF(ISERROR(VLOOKUP($A214,'13. Updated Demand'!A:Z,22,FALSE)),0,VLOOKUP($A214,'13. Updated Demand'!A:Z,22,FALSE))</f>
        <v>0</v>
      </c>
      <c r="AF214" s="16">
        <f>IF(ISERROR(VLOOKUP($A214,'13. Updated Demand'!A:Z,23,FALSE)),0,VLOOKUP($A214,'13. Updated Demand'!A:Z,23,FALSE))</f>
        <v>0</v>
      </c>
      <c r="AG214" s="16">
        <f>IF(ISERROR(VLOOKUP($A214,'13. Updated Demand'!A:Z,24,FALSE)),0,VLOOKUP($A214,'13. Updated Demand'!A:Z,24,FALSE))</f>
        <v>0</v>
      </c>
      <c r="AH214" s="16">
        <f>IF(ISERROR(VLOOKUP($A214,'13. Updated Demand'!A:Z,25,FALSE)),0,VLOOKUP($A214,'13. Updated Demand'!A:Z,25,FALSE))</f>
        <v>0</v>
      </c>
      <c r="AI214" s="16">
        <f>IF(ISERROR(VLOOKUP($A214,'13. Updated Demand'!A:Z,26,FALSE)),0,VLOOKUP($A214,'13. Updated Demand'!A:Z,26,FALSE))</f>
        <v>0</v>
      </c>
      <c r="AJ214" s="16">
        <f t="shared" si="48"/>
        <v>0</v>
      </c>
      <c r="AK214" s="19">
        <v>0</v>
      </c>
      <c r="AL214" s="16">
        <f t="shared" si="46"/>
        <v>0</v>
      </c>
      <c r="AM214" s="17">
        <v>0</v>
      </c>
      <c r="AN214" s="19"/>
      <c r="AO214" s="19"/>
      <c r="AP214" s="19">
        <v>116.3</v>
      </c>
      <c r="AQ214" s="19" t="s">
        <v>307</v>
      </c>
      <c r="AR214" s="9" t="s">
        <v>317</v>
      </c>
      <c r="AS214" s="12">
        <v>0</v>
      </c>
      <c r="AT214" s="19">
        <v>39.210106080000003</v>
      </c>
      <c r="AU214" s="19">
        <v>-123.21312007</v>
      </c>
      <c r="AV214" s="19" t="s">
        <v>417</v>
      </c>
    </row>
    <row r="215" spans="1:48" x14ac:dyDescent="0.25">
      <c r="A215" s="18" t="s">
        <v>582</v>
      </c>
      <c r="B215" s="10">
        <v>20020111</v>
      </c>
      <c r="C215" s="9">
        <v>16</v>
      </c>
      <c r="D215" s="8" t="str">
        <f t="shared" si="37"/>
        <v>N</v>
      </c>
      <c r="E215" s="8" t="str">
        <f t="shared" si="38"/>
        <v>N</v>
      </c>
      <c r="F215" s="8" t="str">
        <f t="shared" si="39"/>
        <v>N</v>
      </c>
      <c r="G215" s="8" t="str">
        <f t="shared" si="40"/>
        <v>N</v>
      </c>
      <c r="H215" s="8" t="str">
        <f t="shared" si="41"/>
        <v>Lower</v>
      </c>
      <c r="I215" s="8" t="str">
        <f t="shared" si="42"/>
        <v>Outside</v>
      </c>
      <c r="J215" s="8" t="str">
        <f t="shared" si="43"/>
        <v>Outside</v>
      </c>
      <c r="K215" s="8" t="str">
        <f t="shared" si="44"/>
        <v>Post-1949</v>
      </c>
      <c r="L215" s="8">
        <f t="shared" si="45"/>
        <v>2002</v>
      </c>
      <c r="M215" s="8" t="str">
        <f t="shared" si="47"/>
        <v>1991-present</v>
      </c>
      <c r="N215" s="10" t="s">
        <v>242</v>
      </c>
      <c r="O215" s="10" t="s">
        <v>242</v>
      </c>
      <c r="P215" s="10" t="s">
        <v>242</v>
      </c>
      <c r="Q215" s="10" t="s">
        <v>242</v>
      </c>
      <c r="R215" s="10" t="s">
        <v>241</v>
      </c>
      <c r="S215" s="10" t="s">
        <v>242</v>
      </c>
      <c r="T215" s="10" t="s">
        <v>242</v>
      </c>
      <c r="U215" s="10" t="s">
        <v>242</v>
      </c>
      <c r="V215" s="10" t="s">
        <v>241</v>
      </c>
      <c r="W215" s="10" t="s">
        <v>242</v>
      </c>
      <c r="X215" s="15">
        <f>IF(ISERROR(VLOOKUP($A215,'13. Updated Demand'!A:Z,15,FALSE)),0,VLOOKUP($A215,'13. Updated Demand'!A:Z,15,FALSE))</f>
        <v>0.43</v>
      </c>
      <c r="Y215" s="16">
        <f>IF(ISERROR(VLOOKUP($A215,'13. Updated Demand'!A:Z,16,FALSE)),0,VLOOKUP($A215,'13. Updated Demand'!A:Z,16,FALSE))</f>
        <v>0.43</v>
      </c>
      <c r="Z215" s="16">
        <f>IF(ISERROR(VLOOKUP($A215,'13. Updated Demand'!A:Z,17,FALSE)),0,VLOOKUP($A215,'13. Updated Demand'!A:Z,17,FALSE))</f>
        <v>0.43</v>
      </c>
      <c r="AA215" s="16">
        <f>IF(ISERROR(VLOOKUP($A215,'13. Updated Demand'!A:Z,18,FALSE)),0,VLOOKUP($A215,'13. Updated Demand'!A:Z,18,FALSE))</f>
        <v>0.43</v>
      </c>
      <c r="AB215" s="16">
        <f>IF(ISERROR(VLOOKUP($A215,'13. Updated Demand'!A:Z,19,FALSE)),0,VLOOKUP($A215,'13. Updated Demand'!A:Z,19,FALSE))</f>
        <v>0</v>
      </c>
      <c r="AC215" s="16">
        <f>IF(ISERROR(VLOOKUP($A215,'13. Updated Demand'!A:Z,20,FALSE)),0,VLOOKUP($A215,'13. Updated Demand'!A:Z,20,FALSE))</f>
        <v>0</v>
      </c>
      <c r="AD215" s="16">
        <f>IF(ISERROR(VLOOKUP($A215,'13. Updated Demand'!A:Z,21,FALSE)),0,VLOOKUP($A215,'13. Updated Demand'!A:Z,21,FALSE))</f>
        <v>0</v>
      </c>
      <c r="AE215" s="16">
        <f>IF(ISERROR(VLOOKUP($A215,'13. Updated Demand'!A:Z,22,FALSE)),0,VLOOKUP($A215,'13. Updated Demand'!A:Z,22,FALSE))</f>
        <v>0</v>
      </c>
      <c r="AF215" s="16">
        <f>IF(ISERROR(VLOOKUP($A215,'13. Updated Demand'!A:Z,23,FALSE)),0,VLOOKUP($A215,'13. Updated Demand'!A:Z,23,FALSE))</f>
        <v>0</v>
      </c>
      <c r="AG215" s="16">
        <f>IF(ISERROR(VLOOKUP($A215,'13. Updated Demand'!A:Z,24,FALSE)),0,VLOOKUP($A215,'13. Updated Demand'!A:Z,24,FALSE))</f>
        <v>0.43</v>
      </c>
      <c r="AH215" s="16">
        <f>IF(ISERROR(VLOOKUP($A215,'13. Updated Demand'!A:Z,25,FALSE)),0,VLOOKUP($A215,'13. Updated Demand'!A:Z,25,FALSE))</f>
        <v>0.43</v>
      </c>
      <c r="AI215" s="16">
        <f>IF(ISERROR(VLOOKUP($A215,'13. Updated Demand'!A:Z,26,FALSE)),0,VLOOKUP($A215,'13. Updated Demand'!A:Z,26,FALSE))</f>
        <v>0.43</v>
      </c>
      <c r="AJ215" s="16">
        <f t="shared" si="48"/>
        <v>3.0100000000000002</v>
      </c>
      <c r="AK215" s="19">
        <v>0</v>
      </c>
      <c r="AL215" s="16">
        <f t="shared" si="46"/>
        <v>0</v>
      </c>
      <c r="AM215" s="17">
        <v>1.0033333333333334</v>
      </c>
      <c r="AN215" s="19"/>
      <c r="AO215" s="19"/>
      <c r="AP215" s="19">
        <v>3</v>
      </c>
      <c r="AQ215" s="19" t="s">
        <v>307</v>
      </c>
      <c r="AR215" s="9" t="s">
        <v>394</v>
      </c>
      <c r="AS215" s="12">
        <v>3.4039024194010059E-4</v>
      </c>
      <c r="AT215" s="19">
        <v>38.628299630000001</v>
      </c>
      <c r="AU215" s="19">
        <v>-122.92177110999999</v>
      </c>
      <c r="AV215" s="19" t="s">
        <v>417</v>
      </c>
    </row>
    <row r="216" spans="1:48" x14ac:dyDescent="0.25">
      <c r="A216" s="18" t="s">
        <v>583</v>
      </c>
      <c r="B216" s="10">
        <v>20020502</v>
      </c>
      <c r="C216" s="9">
        <v>11</v>
      </c>
      <c r="D216" s="8" t="str">
        <f t="shared" si="37"/>
        <v>N</v>
      </c>
      <c r="E216" s="8" t="str">
        <f t="shared" si="38"/>
        <v>Y</v>
      </c>
      <c r="F216" s="8" t="str">
        <f t="shared" si="39"/>
        <v>Y</v>
      </c>
      <c r="G216" s="8" t="str">
        <f t="shared" si="40"/>
        <v>Y</v>
      </c>
      <c r="H216" s="8" t="str">
        <f t="shared" si="41"/>
        <v>Upper</v>
      </c>
      <c r="I216" s="8" t="str">
        <f t="shared" si="42"/>
        <v>West Fork and Below Lake</v>
      </c>
      <c r="J216" s="8" t="str">
        <f t="shared" si="43"/>
        <v>Sonoma (d/s of Clov. Gage)</v>
      </c>
      <c r="K216" s="8" t="str">
        <f t="shared" si="44"/>
        <v>Post-1949</v>
      </c>
      <c r="L216" s="8">
        <f t="shared" si="45"/>
        <v>2002</v>
      </c>
      <c r="M216" s="8" t="str">
        <f t="shared" si="47"/>
        <v>1991-present</v>
      </c>
      <c r="N216" s="10" t="s">
        <v>242</v>
      </c>
      <c r="O216" s="10" t="s">
        <v>241</v>
      </c>
      <c r="P216" s="10" t="s">
        <v>242</v>
      </c>
      <c r="Q216" s="10" t="s">
        <v>242</v>
      </c>
      <c r="R216" s="10" t="s">
        <v>241</v>
      </c>
      <c r="S216" s="10" t="s">
        <v>242</v>
      </c>
      <c r="T216" s="10" t="s">
        <v>242</v>
      </c>
      <c r="U216" s="10" t="s">
        <v>242</v>
      </c>
      <c r="V216" s="10" t="s">
        <v>241</v>
      </c>
      <c r="W216" s="10" t="s">
        <v>242</v>
      </c>
      <c r="X216" s="15">
        <f>IF(ISERROR(VLOOKUP($A216,'13. Updated Demand'!A:Z,15,FALSE)),0,VLOOKUP($A216,'13. Updated Demand'!A:Z,15,FALSE))</f>
        <v>0.45</v>
      </c>
      <c r="Y216" s="16">
        <f>IF(ISERROR(VLOOKUP($A216,'13. Updated Demand'!A:Z,16,FALSE)),0,VLOOKUP($A216,'13. Updated Demand'!A:Z,16,FALSE))</f>
        <v>0</v>
      </c>
      <c r="Z216" s="16">
        <f>IF(ISERROR(VLOOKUP($A216,'13. Updated Demand'!A:Z,17,FALSE)),0,VLOOKUP($A216,'13. Updated Demand'!A:Z,17,FALSE))</f>
        <v>0</v>
      </c>
      <c r="AA216" s="16">
        <f>IF(ISERROR(VLOOKUP($A216,'13. Updated Demand'!A:Z,18,FALSE)),0,VLOOKUP($A216,'13. Updated Demand'!A:Z,18,FALSE))</f>
        <v>6.6666670000000003E-3</v>
      </c>
      <c r="AB216" s="16">
        <f>IF(ISERROR(VLOOKUP($A216,'13. Updated Demand'!A:Z,19,FALSE)),0,VLOOKUP($A216,'13. Updated Demand'!A:Z,19,FALSE))</f>
        <v>0</v>
      </c>
      <c r="AC216" s="16">
        <f>IF(ISERROR(VLOOKUP($A216,'13. Updated Demand'!A:Z,20,FALSE)),0,VLOOKUP($A216,'13. Updated Demand'!A:Z,20,FALSE))</f>
        <v>0</v>
      </c>
      <c r="AD216" s="16">
        <f>IF(ISERROR(VLOOKUP($A216,'13. Updated Demand'!A:Z,21,FALSE)),0,VLOOKUP($A216,'13. Updated Demand'!A:Z,21,FALSE))</f>
        <v>0</v>
      </c>
      <c r="AE216" s="16">
        <f>IF(ISERROR(VLOOKUP($A216,'13. Updated Demand'!A:Z,22,FALSE)),0,VLOOKUP($A216,'13. Updated Demand'!A:Z,22,FALSE))</f>
        <v>0</v>
      </c>
      <c r="AF216" s="16">
        <f>IF(ISERROR(VLOOKUP($A216,'13. Updated Demand'!A:Z,23,FALSE)),0,VLOOKUP($A216,'13. Updated Demand'!A:Z,23,FALSE))</f>
        <v>0</v>
      </c>
      <c r="AG216" s="16">
        <f>IF(ISERROR(VLOOKUP($A216,'13. Updated Demand'!A:Z,24,FALSE)),0,VLOOKUP($A216,'13. Updated Demand'!A:Z,24,FALSE))</f>
        <v>0</v>
      </c>
      <c r="AH216" s="16">
        <f>IF(ISERROR(VLOOKUP($A216,'13. Updated Demand'!A:Z,25,FALSE)),0,VLOOKUP($A216,'13. Updated Demand'!A:Z,25,FALSE))</f>
        <v>0.18</v>
      </c>
      <c r="AI216" s="16">
        <f>IF(ISERROR(VLOOKUP($A216,'13. Updated Demand'!A:Z,26,FALSE)),0,VLOOKUP($A216,'13. Updated Demand'!A:Z,26,FALSE))</f>
        <v>0.4</v>
      </c>
      <c r="AJ216" s="16">
        <f t="shared" si="48"/>
        <v>1.036666667</v>
      </c>
      <c r="AK216" s="19">
        <v>0</v>
      </c>
      <c r="AL216" s="16">
        <f t="shared" si="46"/>
        <v>0</v>
      </c>
      <c r="AM216" s="17">
        <v>0.14952380957142861</v>
      </c>
      <c r="AN216" s="19"/>
      <c r="AO216" s="19"/>
      <c r="AP216" s="19">
        <v>7</v>
      </c>
      <c r="AQ216" s="19" t="s">
        <v>307</v>
      </c>
      <c r="AR216" s="9" t="s">
        <v>308</v>
      </c>
      <c r="AS216" s="12">
        <v>3.4039024194010059E-4</v>
      </c>
      <c r="AT216" s="19">
        <v>38.653412400000001</v>
      </c>
      <c r="AU216" s="19">
        <v>-122.72482076999999</v>
      </c>
      <c r="AV216" s="19" t="s">
        <v>417</v>
      </c>
    </row>
    <row r="217" spans="1:48" x14ac:dyDescent="0.25">
      <c r="A217" s="18" t="s">
        <v>584</v>
      </c>
      <c r="B217" s="10">
        <v>20020603</v>
      </c>
      <c r="C217" s="9">
        <v>23</v>
      </c>
      <c r="D217" s="8" t="str">
        <f t="shared" si="37"/>
        <v>N</v>
      </c>
      <c r="E217" s="8" t="str">
        <f t="shared" si="38"/>
        <v>N</v>
      </c>
      <c r="F217" s="8" t="str">
        <f t="shared" si="39"/>
        <v>N</v>
      </c>
      <c r="G217" s="8" t="str">
        <f t="shared" si="40"/>
        <v>N</v>
      </c>
      <c r="H217" s="8" t="str">
        <f t="shared" si="41"/>
        <v>Lower</v>
      </c>
      <c r="I217" s="8" t="str">
        <f t="shared" si="42"/>
        <v>Outside</v>
      </c>
      <c r="J217" s="8" t="str">
        <f t="shared" si="43"/>
        <v>Outside</v>
      </c>
      <c r="K217" s="8" t="str">
        <f t="shared" si="44"/>
        <v>Post-1949</v>
      </c>
      <c r="L217" s="8">
        <f t="shared" si="45"/>
        <v>2002</v>
      </c>
      <c r="M217" s="8" t="str">
        <f t="shared" si="47"/>
        <v>1991-present</v>
      </c>
      <c r="N217" s="10" t="s">
        <v>242</v>
      </c>
      <c r="O217" s="10" t="s">
        <v>242</v>
      </c>
      <c r="P217" s="10" t="s">
        <v>242</v>
      </c>
      <c r="Q217" s="10" t="s">
        <v>242</v>
      </c>
      <c r="R217" s="10" t="s">
        <v>241</v>
      </c>
      <c r="S217" s="10" t="s">
        <v>242</v>
      </c>
      <c r="T217" s="10" t="s">
        <v>242</v>
      </c>
      <c r="U217" s="10" t="s">
        <v>242</v>
      </c>
      <c r="V217" s="10" t="s">
        <v>242</v>
      </c>
      <c r="W217" s="10" t="s">
        <v>242</v>
      </c>
      <c r="X217" s="15">
        <f>IF(ISERROR(VLOOKUP($A217,'13. Updated Demand'!A:Z,15,FALSE)),0,VLOOKUP($A217,'13. Updated Demand'!A:Z,15,FALSE))</f>
        <v>1E-3</v>
      </c>
      <c r="Y217" s="16">
        <f>IF(ISERROR(VLOOKUP($A217,'13. Updated Demand'!A:Z,16,FALSE)),0,VLOOKUP($A217,'13. Updated Demand'!A:Z,16,FALSE))</f>
        <v>1.6666669999999999E-3</v>
      </c>
      <c r="Z217" s="16">
        <f>IF(ISERROR(VLOOKUP($A217,'13. Updated Demand'!A:Z,17,FALSE)),0,VLOOKUP($A217,'13. Updated Demand'!A:Z,17,FALSE))</f>
        <v>6.3666700000000005E-4</v>
      </c>
      <c r="AA217" s="16">
        <f>IF(ISERROR(VLOOKUP($A217,'13. Updated Demand'!A:Z,18,FALSE)),0,VLOOKUP($A217,'13. Updated Demand'!A:Z,18,FALSE))</f>
        <v>0</v>
      </c>
      <c r="AB217" s="16">
        <f>IF(ISERROR(VLOOKUP($A217,'13. Updated Demand'!A:Z,19,FALSE)),0,VLOOKUP($A217,'13. Updated Demand'!A:Z,19,FALSE))</f>
        <v>1.6666700000000001E-4</v>
      </c>
      <c r="AC217" s="16">
        <f>IF(ISERROR(VLOOKUP($A217,'13. Updated Demand'!A:Z,20,FALSE)),0,VLOOKUP($A217,'13. Updated Demand'!A:Z,20,FALSE))</f>
        <v>0</v>
      </c>
      <c r="AD217" s="16">
        <f>IF(ISERROR(VLOOKUP($A217,'13. Updated Demand'!A:Z,21,FALSE)),0,VLOOKUP($A217,'13. Updated Demand'!A:Z,21,FALSE))</f>
        <v>0</v>
      </c>
      <c r="AE217" s="16">
        <f>IF(ISERROR(VLOOKUP($A217,'13. Updated Demand'!A:Z,22,FALSE)),0,VLOOKUP($A217,'13. Updated Demand'!A:Z,22,FALSE))</f>
        <v>0</v>
      </c>
      <c r="AF217" s="16">
        <f>IF(ISERROR(VLOOKUP($A217,'13. Updated Demand'!A:Z,23,FALSE)),0,VLOOKUP($A217,'13. Updated Demand'!A:Z,23,FALSE))</f>
        <v>0</v>
      </c>
      <c r="AG217" s="16">
        <f>IF(ISERROR(VLOOKUP($A217,'13. Updated Demand'!A:Z,24,FALSE)),0,VLOOKUP($A217,'13. Updated Demand'!A:Z,24,FALSE))</f>
        <v>0</v>
      </c>
      <c r="AH217" s="16">
        <f>IF(ISERROR(VLOOKUP($A217,'13. Updated Demand'!A:Z,25,FALSE)),0,VLOOKUP($A217,'13. Updated Demand'!A:Z,25,FALSE))</f>
        <v>0</v>
      </c>
      <c r="AI217" s="16">
        <f>IF(ISERROR(VLOOKUP($A217,'13. Updated Demand'!A:Z,26,FALSE)),0,VLOOKUP($A217,'13. Updated Demand'!A:Z,26,FALSE))</f>
        <v>3.33333E-4</v>
      </c>
      <c r="AJ217" s="16">
        <f t="shared" si="48"/>
        <v>3.8033340000000002E-3</v>
      </c>
      <c r="AK217" s="19">
        <v>1.6666700000000001E-4</v>
      </c>
      <c r="AL217" s="16">
        <f t="shared" si="46"/>
        <v>5.5281545384461463E-7</v>
      </c>
      <c r="AM217" s="17">
        <v>3.8033340000000003E-4</v>
      </c>
      <c r="AN217" s="19"/>
      <c r="AO217" s="19"/>
      <c r="AP217" s="19">
        <v>10</v>
      </c>
      <c r="AQ217" s="19" t="s">
        <v>307</v>
      </c>
      <c r="AR217" s="9" t="s">
        <v>585</v>
      </c>
      <c r="AS217" s="12">
        <v>3.4039024194010059E-4</v>
      </c>
      <c r="AT217" s="19">
        <v>38.36330435</v>
      </c>
      <c r="AU217" s="19">
        <v>-122.64956153</v>
      </c>
      <c r="AV217" s="19" t="s">
        <v>417</v>
      </c>
    </row>
    <row r="218" spans="1:48" x14ac:dyDescent="0.25">
      <c r="A218" s="18" t="s">
        <v>586</v>
      </c>
      <c r="B218" s="10">
        <v>20021226</v>
      </c>
      <c r="C218" s="9">
        <v>6</v>
      </c>
      <c r="D218" s="8" t="str">
        <f t="shared" si="37"/>
        <v>Y</v>
      </c>
      <c r="E218" s="8" t="str">
        <f t="shared" si="38"/>
        <v>N</v>
      </c>
      <c r="F218" s="8" t="str">
        <f t="shared" si="39"/>
        <v>Y</v>
      </c>
      <c r="G218" s="8" t="str">
        <f t="shared" si="40"/>
        <v>Y</v>
      </c>
      <c r="H218" s="8" t="str">
        <f t="shared" si="41"/>
        <v>Upper</v>
      </c>
      <c r="I218" s="8" t="str">
        <f t="shared" si="42"/>
        <v>West Fork and Below Lake</v>
      </c>
      <c r="J218" s="8" t="str">
        <f t="shared" si="43"/>
        <v>Mendocino (d/s of lake)</v>
      </c>
      <c r="K218" s="8" t="str">
        <f t="shared" si="44"/>
        <v>Post-1949</v>
      </c>
      <c r="L218" s="8">
        <f t="shared" si="45"/>
        <v>2002</v>
      </c>
      <c r="M218" s="8" t="str">
        <f t="shared" si="47"/>
        <v>1991-present</v>
      </c>
      <c r="N218" s="10" t="s">
        <v>241</v>
      </c>
      <c r="O218" s="10" t="s">
        <v>241</v>
      </c>
      <c r="P218" s="10" t="s">
        <v>242</v>
      </c>
      <c r="Q218" s="10" t="s">
        <v>242</v>
      </c>
      <c r="R218" s="10" t="s">
        <v>241</v>
      </c>
      <c r="S218" s="10" t="s">
        <v>242</v>
      </c>
      <c r="T218" s="10" t="s">
        <v>242</v>
      </c>
      <c r="U218" s="10" t="s">
        <v>242</v>
      </c>
      <c r="V218" s="10" t="s">
        <v>242</v>
      </c>
      <c r="W218" s="10" t="s">
        <v>242</v>
      </c>
      <c r="X218" s="15">
        <f>IF(ISERROR(VLOOKUP($A218,'13. Updated Demand'!A:Z,15,FALSE)),0,VLOOKUP($A218,'13. Updated Demand'!A:Z,15,FALSE))</f>
        <v>0.04</v>
      </c>
      <c r="Y218" s="16">
        <f>IF(ISERROR(VLOOKUP($A218,'13. Updated Demand'!A:Z,16,FALSE)),0,VLOOKUP($A218,'13. Updated Demand'!A:Z,16,FALSE))</f>
        <v>0.04</v>
      </c>
      <c r="Z218" s="16">
        <f>IF(ISERROR(VLOOKUP($A218,'13. Updated Demand'!A:Z,17,FALSE)),0,VLOOKUP($A218,'13. Updated Demand'!A:Z,17,FALSE))</f>
        <v>0.04</v>
      </c>
      <c r="AA218" s="16">
        <f>IF(ISERROR(VLOOKUP($A218,'13. Updated Demand'!A:Z,18,FALSE)),0,VLOOKUP($A218,'13. Updated Demand'!A:Z,18,FALSE))</f>
        <v>0.04</v>
      </c>
      <c r="AB218" s="16">
        <f>IF(ISERROR(VLOOKUP($A218,'13. Updated Demand'!A:Z,19,FALSE)),0,VLOOKUP($A218,'13. Updated Demand'!A:Z,19,FALSE))</f>
        <v>0.04</v>
      </c>
      <c r="AC218" s="16">
        <f>IF(ISERROR(VLOOKUP($A218,'13. Updated Demand'!A:Z,20,FALSE)),0,VLOOKUP($A218,'13. Updated Demand'!A:Z,20,FALSE))</f>
        <v>0.04</v>
      </c>
      <c r="AD218" s="16">
        <f>IF(ISERROR(VLOOKUP($A218,'13. Updated Demand'!A:Z,21,FALSE)),0,VLOOKUP($A218,'13. Updated Demand'!A:Z,21,FALSE))</f>
        <v>0.04</v>
      </c>
      <c r="AE218" s="16">
        <f>IF(ISERROR(VLOOKUP($A218,'13. Updated Demand'!A:Z,22,FALSE)),0,VLOOKUP($A218,'13. Updated Demand'!A:Z,22,FALSE))</f>
        <v>0.04</v>
      </c>
      <c r="AF218" s="16">
        <f>IF(ISERROR(VLOOKUP($A218,'13. Updated Demand'!A:Z,23,FALSE)),0,VLOOKUP($A218,'13. Updated Demand'!A:Z,23,FALSE))</f>
        <v>0.04</v>
      </c>
      <c r="AG218" s="16">
        <f>IF(ISERROR(VLOOKUP($A218,'13. Updated Demand'!A:Z,24,FALSE)),0,VLOOKUP($A218,'13. Updated Demand'!A:Z,24,FALSE))</f>
        <v>0.04</v>
      </c>
      <c r="AH218" s="16">
        <f>IF(ISERROR(VLOOKUP($A218,'13. Updated Demand'!A:Z,25,FALSE)),0,VLOOKUP($A218,'13. Updated Demand'!A:Z,25,FALSE))</f>
        <v>0.04</v>
      </c>
      <c r="AI218" s="16">
        <f>IF(ISERROR(VLOOKUP($A218,'13. Updated Demand'!A:Z,26,FALSE)),0,VLOOKUP($A218,'13. Updated Demand'!A:Z,26,FALSE))</f>
        <v>0.04</v>
      </c>
      <c r="AJ218" s="16">
        <f t="shared" si="48"/>
        <v>0.47999999999999993</v>
      </c>
      <c r="AK218" s="19">
        <v>0.23333333333333348</v>
      </c>
      <c r="AL218" s="16">
        <f t="shared" si="46"/>
        <v>7.7394008750228589E-4</v>
      </c>
      <c r="AM218" s="17">
        <v>0.11066666666666673</v>
      </c>
      <c r="AN218" s="19"/>
      <c r="AO218" s="19"/>
      <c r="AP218" s="19">
        <v>5</v>
      </c>
      <c r="AQ218" s="19" t="s">
        <v>307</v>
      </c>
      <c r="AR218" s="9" t="s">
        <v>319</v>
      </c>
      <c r="AS218" s="12">
        <v>3.4039024194010059E-4</v>
      </c>
      <c r="AT218" s="19">
        <v>38.960983249999998</v>
      </c>
      <c r="AU218" s="19">
        <v>-123.102675</v>
      </c>
      <c r="AV218" s="19" t="s">
        <v>548</v>
      </c>
    </row>
    <row r="219" spans="1:48" x14ac:dyDescent="0.25">
      <c r="A219" s="18" t="s">
        <v>587</v>
      </c>
      <c r="B219" s="10">
        <v>20021016</v>
      </c>
      <c r="C219" s="9">
        <v>12</v>
      </c>
      <c r="D219" s="8" t="str">
        <f t="shared" si="37"/>
        <v>N</v>
      </c>
      <c r="E219" s="8" t="str">
        <f t="shared" si="38"/>
        <v>Y</v>
      </c>
      <c r="F219" s="8" t="str">
        <f t="shared" si="39"/>
        <v>Y</v>
      </c>
      <c r="G219" s="8" t="str">
        <f t="shared" si="40"/>
        <v>Y</v>
      </c>
      <c r="H219" s="8" t="str">
        <f t="shared" si="41"/>
        <v>Upper</v>
      </c>
      <c r="I219" s="8" t="str">
        <f t="shared" si="42"/>
        <v>West Fork and Below Lake</v>
      </c>
      <c r="J219" s="8" t="str">
        <f t="shared" si="43"/>
        <v>Sonoma (d/s of Clov. Gage)</v>
      </c>
      <c r="K219" s="8" t="str">
        <f t="shared" si="44"/>
        <v>Post-1949</v>
      </c>
      <c r="L219" s="8">
        <f t="shared" si="45"/>
        <v>2002</v>
      </c>
      <c r="M219" s="8" t="str">
        <f t="shared" si="47"/>
        <v>1991-present</v>
      </c>
      <c r="N219" s="10" t="s">
        <v>242</v>
      </c>
      <c r="O219" s="10" t="s">
        <v>241</v>
      </c>
      <c r="P219" s="10" t="s">
        <v>242</v>
      </c>
      <c r="Q219" s="10" t="s">
        <v>242</v>
      </c>
      <c r="R219" s="10" t="s">
        <v>241</v>
      </c>
      <c r="S219" s="10" t="s">
        <v>242</v>
      </c>
      <c r="T219" s="10" t="s">
        <v>242</v>
      </c>
      <c r="U219" s="10" t="s">
        <v>242</v>
      </c>
      <c r="V219" s="10" t="s">
        <v>241</v>
      </c>
      <c r="W219" s="10" t="s">
        <v>242</v>
      </c>
      <c r="X219" s="15">
        <f>IF(ISERROR(VLOOKUP($A219,'13. Updated Demand'!A:Z,15,FALSE)),0,VLOOKUP($A219,'13. Updated Demand'!A:Z,15,FALSE))</f>
        <v>0</v>
      </c>
      <c r="Y219" s="16">
        <f>IF(ISERROR(VLOOKUP($A219,'13. Updated Demand'!A:Z,16,FALSE)),0,VLOOKUP($A219,'13. Updated Demand'!A:Z,16,FALSE))</f>
        <v>0</v>
      </c>
      <c r="Z219" s="16">
        <f>IF(ISERROR(VLOOKUP($A219,'13. Updated Demand'!A:Z,17,FALSE)),0,VLOOKUP($A219,'13. Updated Demand'!A:Z,17,FALSE))</f>
        <v>0</v>
      </c>
      <c r="AA219" s="16">
        <f>IF(ISERROR(VLOOKUP($A219,'13. Updated Demand'!A:Z,18,FALSE)),0,VLOOKUP($A219,'13. Updated Demand'!A:Z,18,FALSE))</f>
        <v>0</v>
      </c>
      <c r="AB219" s="16">
        <f>IF(ISERROR(VLOOKUP($A219,'13. Updated Demand'!A:Z,19,FALSE)),0,VLOOKUP($A219,'13. Updated Demand'!A:Z,19,FALSE))</f>
        <v>0</v>
      </c>
      <c r="AC219" s="16">
        <f>IF(ISERROR(VLOOKUP($A219,'13. Updated Demand'!A:Z,20,FALSE)),0,VLOOKUP($A219,'13. Updated Demand'!A:Z,20,FALSE))</f>
        <v>0</v>
      </c>
      <c r="AD219" s="16">
        <f>IF(ISERROR(VLOOKUP($A219,'13. Updated Demand'!A:Z,21,FALSE)),0,VLOOKUP($A219,'13. Updated Demand'!A:Z,21,FALSE))</f>
        <v>0</v>
      </c>
      <c r="AE219" s="16">
        <f>IF(ISERROR(VLOOKUP($A219,'13. Updated Demand'!A:Z,22,FALSE)),0,VLOOKUP($A219,'13. Updated Demand'!A:Z,22,FALSE))</f>
        <v>0</v>
      </c>
      <c r="AF219" s="16">
        <f>IF(ISERROR(VLOOKUP($A219,'13. Updated Demand'!A:Z,23,FALSE)),0,VLOOKUP($A219,'13. Updated Demand'!A:Z,23,FALSE))</f>
        <v>0</v>
      </c>
      <c r="AG219" s="16">
        <f>IF(ISERROR(VLOOKUP($A219,'13. Updated Demand'!A:Z,24,FALSE)),0,VLOOKUP($A219,'13. Updated Demand'!A:Z,24,FALSE))</f>
        <v>0</v>
      </c>
      <c r="AH219" s="16">
        <f>IF(ISERROR(VLOOKUP($A219,'13. Updated Demand'!A:Z,25,FALSE)),0,VLOOKUP($A219,'13. Updated Demand'!A:Z,25,FALSE))</f>
        <v>2.5299999999999998</v>
      </c>
      <c r="AI219" s="16">
        <f>IF(ISERROR(VLOOKUP($A219,'13. Updated Demand'!A:Z,26,FALSE)),0,VLOOKUP($A219,'13. Updated Demand'!A:Z,26,FALSE))</f>
        <v>0</v>
      </c>
      <c r="AJ219" s="16">
        <f t="shared" si="48"/>
        <v>2.5299999999999998</v>
      </c>
      <c r="AK219" s="19">
        <v>0</v>
      </c>
      <c r="AL219" s="16">
        <f t="shared" si="46"/>
        <v>0</v>
      </c>
      <c r="AM219" s="17">
        <v>0.25333333329999996</v>
      </c>
      <c r="AN219" s="19"/>
      <c r="AO219" s="19"/>
      <c r="AP219" s="19">
        <v>10</v>
      </c>
      <c r="AQ219" s="19" t="s">
        <v>307</v>
      </c>
      <c r="AR219" s="9" t="s">
        <v>311</v>
      </c>
      <c r="AS219" s="12">
        <v>3.4039024194010059E-4</v>
      </c>
      <c r="AT219" s="19">
        <v>38.595300000000002</v>
      </c>
      <c r="AU219" s="19">
        <v>-122.7906</v>
      </c>
      <c r="AV219" s="19" t="s">
        <v>385</v>
      </c>
    </row>
    <row r="220" spans="1:48" x14ac:dyDescent="0.25">
      <c r="A220" s="18" t="s">
        <v>588</v>
      </c>
      <c r="B220" s="10">
        <v>20021223</v>
      </c>
      <c r="C220" s="9">
        <v>4</v>
      </c>
      <c r="D220" s="8" t="str">
        <f t="shared" si="37"/>
        <v>Y</v>
      </c>
      <c r="E220" s="8" t="str">
        <f t="shared" si="38"/>
        <v>N</v>
      </c>
      <c r="F220" s="8" t="str">
        <f t="shared" si="39"/>
        <v>Y</v>
      </c>
      <c r="G220" s="8" t="str">
        <f t="shared" si="40"/>
        <v>Y</v>
      </c>
      <c r="H220" s="8" t="str">
        <f t="shared" si="41"/>
        <v>Upper</v>
      </c>
      <c r="I220" s="8" t="str">
        <f t="shared" si="42"/>
        <v>West Fork and Below Lake</v>
      </c>
      <c r="J220" s="8" t="str">
        <f t="shared" si="43"/>
        <v>Mendocino (d/s of lake)</v>
      </c>
      <c r="K220" s="8" t="str">
        <f t="shared" si="44"/>
        <v>Post-1949</v>
      </c>
      <c r="L220" s="8">
        <f t="shared" si="45"/>
        <v>2002</v>
      </c>
      <c r="M220" s="8" t="str">
        <f t="shared" si="47"/>
        <v>1991-present</v>
      </c>
      <c r="N220" s="10" t="s">
        <v>242</v>
      </c>
      <c r="O220" s="10" t="s">
        <v>241</v>
      </c>
      <c r="P220" s="10" t="s">
        <v>242</v>
      </c>
      <c r="Q220" s="10" t="s">
        <v>242</v>
      </c>
      <c r="R220" s="10" t="s">
        <v>241</v>
      </c>
      <c r="S220" s="10" t="s">
        <v>242</v>
      </c>
      <c r="T220" s="10" t="s">
        <v>242</v>
      </c>
      <c r="U220" s="10" t="s">
        <v>241</v>
      </c>
      <c r="V220" s="10" t="s">
        <v>241</v>
      </c>
      <c r="W220" s="10" t="s">
        <v>242</v>
      </c>
      <c r="X220" s="15">
        <f>IF(ISERROR(VLOOKUP($A220,'13. Updated Demand'!A:Z,15,FALSE)),0,VLOOKUP($A220,'13. Updated Demand'!A:Z,15,FALSE))</f>
        <v>0</v>
      </c>
      <c r="Y220" s="16">
        <f>IF(ISERROR(VLOOKUP($A220,'13. Updated Demand'!A:Z,16,FALSE)),0,VLOOKUP($A220,'13. Updated Demand'!A:Z,16,FALSE))</f>
        <v>0</v>
      </c>
      <c r="Z220" s="16">
        <f>IF(ISERROR(VLOOKUP($A220,'13. Updated Demand'!A:Z,17,FALSE)),0,VLOOKUP($A220,'13. Updated Demand'!A:Z,17,FALSE))</f>
        <v>0</v>
      </c>
      <c r="AA220" s="16">
        <f>IF(ISERROR(VLOOKUP($A220,'13. Updated Demand'!A:Z,18,FALSE)),0,VLOOKUP($A220,'13. Updated Demand'!A:Z,18,FALSE))</f>
        <v>0</v>
      </c>
      <c r="AB220" s="16">
        <f>IF(ISERROR(VLOOKUP($A220,'13. Updated Demand'!A:Z,19,FALSE)),0,VLOOKUP($A220,'13. Updated Demand'!A:Z,19,FALSE))</f>
        <v>0</v>
      </c>
      <c r="AC220" s="16">
        <f>IF(ISERROR(VLOOKUP($A220,'13. Updated Demand'!A:Z,20,FALSE)),0,VLOOKUP($A220,'13. Updated Demand'!A:Z,20,FALSE))</f>
        <v>0</v>
      </c>
      <c r="AD220" s="16">
        <f>IF(ISERROR(VLOOKUP($A220,'13. Updated Demand'!A:Z,21,FALSE)),0,VLOOKUP($A220,'13. Updated Demand'!A:Z,21,FALSE))</f>
        <v>0</v>
      </c>
      <c r="AE220" s="16">
        <f>IF(ISERROR(VLOOKUP($A220,'13. Updated Demand'!A:Z,22,FALSE)),0,VLOOKUP($A220,'13. Updated Demand'!A:Z,22,FALSE))</f>
        <v>0</v>
      </c>
      <c r="AF220" s="16">
        <f>IF(ISERROR(VLOOKUP($A220,'13. Updated Demand'!A:Z,23,FALSE)),0,VLOOKUP($A220,'13. Updated Demand'!A:Z,23,FALSE))</f>
        <v>0</v>
      </c>
      <c r="AG220" s="16">
        <f>IF(ISERROR(VLOOKUP($A220,'13. Updated Demand'!A:Z,24,FALSE)),0,VLOOKUP($A220,'13. Updated Demand'!A:Z,24,FALSE))</f>
        <v>0</v>
      </c>
      <c r="AH220" s="16">
        <f>IF(ISERROR(VLOOKUP($A220,'13. Updated Demand'!A:Z,25,FALSE)),0,VLOOKUP($A220,'13. Updated Demand'!A:Z,25,FALSE))</f>
        <v>0</v>
      </c>
      <c r="AI220" s="16">
        <f>IF(ISERROR(VLOOKUP($A220,'13. Updated Demand'!A:Z,26,FALSE)),0,VLOOKUP($A220,'13. Updated Demand'!A:Z,26,FALSE))</f>
        <v>0</v>
      </c>
      <c r="AJ220" s="16">
        <f t="shared" si="48"/>
        <v>0</v>
      </c>
      <c r="AK220" s="19">
        <v>0</v>
      </c>
      <c r="AL220" s="16">
        <f t="shared" si="46"/>
        <v>0</v>
      </c>
      <c r="AM220" s="17">
        <v>0</v>
      </c>
      <c r="AN220" s="19"/>
      <c r="AO220" s="19"/>
      <c r="AP220" s="19">
        <v>2.1</v>
      </c>
      <c r="AQ220" s="19" t="s">
        <v>307</v>
      </c>
      <c r="AR220" s="9" t="s">
        <v>331</v>
      </c>
      <c r="AS220" s="12">
        <v>3.4039024194010059E-4</v>
      </c>
      <c r="AT220" s="19">
        <v>39.204275359999997</v>
      </c>
      <c r="AU220" s="19">
        <v>-123.29527784</v>
      </c>
      <c r="AV220" s="19" t="s">
        <v>430</v>
      </c>
    </row>
    <row r="221" spans="1:48" x14ac:dyDescent="0.25">
      <c r="A221" s="18" t="s">
        <v>589</v>
      </c>
      <c r="B221" s="10">
        <v>20020509</v>
      </c>
      <c r="C221" s="9">
        <v>11</v>
      </c>
      <c r="D221" s="8" t="str">
        <f t="shared" si="37"/>
        <v>N</v>
      </c>
      <c r="E221" s="8" t="str">
        <f t="shared" si="38"/>
        <v>Y</v>
      </c>
      <c r="F221" s="8" t="str">
        <f t="shared" si="39"/>
        <v>Y</v>
      </c>
      <c r="G221" s="8" t="str">
        <f t="shared" si="40"/>
        <v>Y</v>
      </c>
      <c r="H221" s="8" t="str">
        <f t="shared" si="41"/>
        <v>Upper</v>
      </c>
      <c r="I221" s="8" t="str">
        <f t="shared" si="42"/>
        <v>West Fork and Below Lake</v>
      </c>
      <c r="J221" s="8" t="str">
        <f t="shared" si="43"/>
        <v>Sonoma (d/s of Clov. Gage)</v>
      </c>
      <c r="K221" s="8" t="str">
        <f t="shared" si="44"/>
        <v>Post-1949</v>
      </c>
      <c r="L221" s="8">
        <f t="shared" si="45"/>
        <v>2002</v>
      </c>
      <c r="M221" s="8" t="str">
        <f t="shared" si="47"/>
        <v>1991-present</v>
      </c>
      <c r="N221" s="10" t="s">
        <v>242</v>
      </c>
      <c r="O221" s="10" t="s">
        <v>241</v>
      </c>
      <c r="P221" s="10" t="s">
        <v>242</v>
      </c>
      <c r="Q221" s="10" t="s">
        <v>242</v>
      </c>
      <c r="R221" s="10" t="s">
        <v>241</v>
      </c>
      <c r="S221" s="10" t="s">
        <v>242</v>
      </c>
      <c r="T221" s="10" t="s">
        <v>242</v>
      </c>
      <c r="U221" s="10" t="s">
        <v>242</v>
      </c>
      <c r="V221" s="10" t="s">
        <v>241</v>
      </c>
      <c r="W221" s="10" t="s">
        <v>242</v>
      </c>
      <c r="X221" s="15">
        <f>IF(ISERROR(VLOOKUP($A221,'13. Updated Demand'!A:Z,15,FALSE)),0,VLOOKUP($A221,'13. Updated Demand'!A:Z,15,FALSE))</f>
        <v>0.88</v>
      </c>
      <c r="Y221" s="16">
        <f>IF(ISERROR(VLOOKUP($A221,'13. Updated Demand'!A:Z,16,FALSE)),0,VLOOKUP($A221,'13. Updated Demand'!A:Z,16,FALSE))</f>
        <v>0</v>
      </c>
      <c r="Z221" s="16">
        <f>IF(ISERROR(VLOOKUP($A221,'13. Updated Demand'!A:Z,17,FALSE)),0,VLOOKUP($A221,'13. Updated Demand'!A:Z,17,FALSE))</f>
        <v>0</v>
      </c>
      <c r="AA221" s="16">
        <f>IF(ISERROR(VLOOKUP($A221,'13. Updated Demand'!A:Z,18,FALSE)),0,VLOOKUP($A221,'13. Updated Demand'!A:Z,18,FALSE))</f>
        <v>0.01</v>
      </c>
      <c r="AB221" s="16">
        <f>IF(ISERROR(VLOOKUP($A221,'13. Updated Demand'!A:Z,19,FALSE)),0,VLOOKUP($A221,'13. Updated Demand'!A:Z,19,FALSE))</f>
        <v>0</v>
      </c>
      <c r="AC221" s="16">
        <f>IF(ISERROR(VLOOKUP($A221,'13. Updated Demand'!A:Z,20,FALSE)),0,VLOOKUP($A221,'13. Updated Demand'!A:Z,20,FALSE))</f>
        <v>0</v>
      </c>
      <c r="AD221" s="16">
        <f>IF(ISERROR(VLOOKUP($A221,'13. Updated Demand'!A:Z,21,FALSE)),0,VLOOKUP($A221,'13. Updated Demand'!A:Z,21,FALSE))</f>
        <v>0</v>
      </c>
      <c r="AE221" s="16">
        <f>IF(ISERROR(VLOOKUP($A221,'13. Updated Demand'!A:Z,22,FALSE)),0,VLOOKUP($A221,'13. Updated Demand'!A:Z,22,FALSE))</f>
        <v>0</v>
      </c>
      <c r="AF221" s="16">
        <f>IF(ISERROR(VLOOKUP($A221,'13. Updated Demand'!A:Z,23,FALSE)),0,VLOOKUP($A221,'13. Updated Demand'!A:Z,23,FALSE))</f>
        <v>0</v>
      </c>
      <c r="AG221" s="16">
        <f>IF(ISERROR(VLOOKUP($A221,'13. Updated Demand'!A:Z,24,FALSE)),0,VLOOKUP($A221,'13. Updated Demand'!A:Z,24,FALSE))</f>
        <v>0</v>
      </c>
      <c r="AH221" s="16">
        <f>IF(ISERROR(VLOOKUP($A221,'13. Updated Demand'!A:Z,25,FALSE)),0,VLOOKUP($A221,'13. Updated Demand'!A:Z,25,FALSE))</f>
        <v>0.14000000000000001</v>
      </c>
      <c r="AI221" s="16">
        <f>IF(ISERROR(VLOOKUP($A221,'13. Updated Demand'!A:Z,26,FALSE)),0,VLOOKUP($A221,'13. Updated Demand'!A:Z,26,FALSE))</f>
        <v>0.44</v>
      </c>
      <c r="AJ221" s="16">
        <f t="shared" si="48"/>
        <v>1.47</v>
      </c>
      <c r="AK221" s="19">
        <v>0</v>
      </c>
      <c r="AL221" s="16">
        <f t="shared" si="46"/>
        <v>0</v>
      </c>
      <c r="AM221" s="17">
        <v>0.29533333340000001</v>
      </c>
      <c r="AN221" s="19"/>
      <c r="AO221" s="19"/>
      <c r="AP221" s="19">
        <v>5</v>
      </c>
      <c r="AQ221" s="19" t="s">
        <v>307</v>
      </c>
      <c r="AR221" s="9" t="s">
        <v>308</v>
      </c>
      <c r="AS221" s="12">
        <v>0</v>
      </c>
      <c r="AT221" s="19">
        <v>38.659096650000002</v>
      </c>
      <c r="AU221" s="19">
        <v>-122.71236528</v>
      </c>
      <c r="AV221" s="19" t="s">
        <v>417</v>
      </c>
    </row>
    <row r="222" spans="1:48" x14ac:dyDescent="0.25">
      <c r="A222" s="18" t="s">
        <v>590</v>
      </c>
      <c r="B222" s="10">
        <v>20020904</v>
      </c>
      <c r="C222" s="9">
        <v>6</v>
      </c>
      <c r="D222" s="8" t="str">
        <f t="shared" si="37"/>
        <v>Y</v>
      </c>
      <c r="E222" s="8" t="str">
        <f t="shared" si="38"/>
        <v>N</v>
      </c>
      <c r="F222" s="8" t="str">
        <f t="shared" si="39"/>
        <v>Y</v>
      </c>
      <c r="G222" s="8" t="str">
        <f t="shared" si="40"/>
        <v>Y</v>
      </c>
      <c r="H222" s="8" t="str">
        <f t="shared" si="41"/>
        <v>Upper</v>
      </c>
      <c r="I222" s="8" t="str">
        <f t="shared" si="42"/>
        <v>West Fork and Below Lake</v>
      </c>
      <c r="J222" s="8" t="str">
        <f t="shared" si="43"/>
        <v>Mendocino (d/s of lake)</v>
      </c>
      <c r="K222" s="8" t="str">
        <f t="shared" si="44"/>
        <v>Post-1949</v>
      </c>
      <c r="L222" s="8">
        <f t="shared" si="45"/>
        <v>2002</v>
      </c>
      <c r="M222" s="8" t="str">
        <f t="shared" si="47"/>
        <v>1991-present</v>
      </c>
      <c r="N222" s="10" t="s">
        <v>242</v>
      </c>
      <c r="O222" s="10" t="s">
        <v>241</v>
      </c>
      <c r="P222" s="10" t="s">
        <v>242</v>
      </c>
      <c r="Q222" s="10" t="s">
        <v>242</v>
      </c>
      <c r="R222" s="10" t="s">
        <v>241</v>
      </c>
      <c r="S222" s="10" t="s">
        <v>242</v>
      </c>
      <c r="T222" s="10" t="s">
        <v>242</v>
      </c>
      <c r="U222" s="10" t="s">
        <v>242</v>
      </c>
      <c r="V222" s="10" t="s">
        <v>242</v>
      </c>
      <c r="W222" s="10" t="s">
        <v>242</v>
      </c>
      <c r="X222" s="15">
        <f>IF(ISERROR(VLOOKUP($A222,'13. Updated Demand'!A:Z,15,FALSE)),0,VLOOKUP($A222,'13. Updated Demand'!A:Z,15,FALSE))</f>
        <v>0</v>
      </c>
      <c r="Y222" s="16">
        <f>IF(ISERROR(VLOOKUP($A222,'13. Updated Demand'!A:Z,16,FALSE)),0,VLOOKUP($A222,'13. Updated Demand'!A:Z,16,FALSE))</f>
        <v>0.23</v>
      </c>
      <c r="Z222" s="16">
        <f>IF(ISERROR(VLOOKUP($A222,'13. Updated Demand'!A:Z,17,FALSE)),0,VLOOKUP($A222,'13. Updated Demand'!A:Z,17,FALSE))</f>
        <v>0</v>
      </c>
      <c r="AA222" s="16">
        <f>IF(ISERROR(VLOOKUP($A222,'13. Updated Demand'!A:Z,18,FALSE)),0,VLOOKUP($A222,'13. Updated Demand'!A:Z,18,FALSE))</f>
        <v>0</v>
      </c>
      <c r="AB222" s="16">
        <f>IF(ISERROR(VLOOKUP($A222,'13. Updated Demand'!A:Z,19,FALSE)),0,VLOOKUP($A222,'13. Updated Demand'!A:Z,19,FALSE))</f>
        <v>0.01</v>
      </c>
      <c r="AC222" s="16">
        <f>IF(ISERROR(VLOOKUP($A222,'13. Updated Demand'!A:Z,20,FALSE)),0,VLOOKUP($A222,'13. Updated Demand'!A:Z,20,FALSE))</f>
        <v>0</v>
      </c>
      <c r="AD222" s="16">
        <f>IF(ISERROR(VLOOKUP($A222,'13. Updated Demand'!A:Z,21,FALSE)),0,VLOOKUP($A222,'13. Updated Demand'!A:Z,21,FALSE))</f>
        <v>0</v>
      </c>
      <c r="AE222" s="16">
        <f>IF(ISERROR(VLOOKUP($A222,'13. Updated Demand'!A:Z,22,FALSE)),0,VLOOKUP($A222,'13. Updated Demand'!A:Z,22,FALSE))</f>
        <v>0</v>
      </c>
      <c r="AF222" s="16">
        <f>IF(ISERROR(VLOOKUP($A222,'13. Updated Demand'!A:Z,23,FALSE)),0,VLOOKUP($A222,'13. Updated Demand'!A:Z,23,FALSE))</f>
        <v>0</v>
      </c>
      <c r="AG222" s="16">
        <f>IF(ISERROR(VLOOKUP($A222,'13. Updated Demand'!A:Z,24,FALSE)),0,VLOOKUP($A222,'13. Updated Demand'!A:Z,24,FALSE))</f>
        <v>0</v>
      </c>
      <c r="AH222" s="16">
        <f>IF(ISERROR(VLOOKUP($A222,'13. Updated Demand'!A:Z,25,FALSE)),0,VLOOKUP($A222,'13. Updated Demand'!A:Z,25,FALSE))</f>
        <v>0.05</v>
      </c>
      <c r="AI222" s="16">
        <f>IF(ISERROR(VLOOKUP($A222,'13. Updated Demand'!A:Z,26,FALSE)),0,VLOOKUP($A222,'13. Updated Demand'!A:Z,26,FALSE))</f>
        <v>0.43</v>
      </c>
      <c r="AJ222" s="16">
        <f t="shared" si="48"/>
        <v>0.72</v>
      </c>
      <c r="AK222" s="19">
        <v>1.6666667E-2</v>
      </c>
      <c r="AL222" s="16">
        <f t="shared" si="46"/>
        <v>5.5281435927220511E-5</v>
      </c>
      <c r="AM222" s="17">
        <v>0.74</v>
      </c>
      <c r="AN222" s="19"/>
      <c r="AO222" s="19"/>
      <c r="AP222" s="19">
        <v>1</v>
      </c>
      <c r="AQ222" s="19" t="s">
        <v>307</v>
      </c>
      <c r="AR222" s="9" t="s">
        <v>319</v>
      </c>
      <c r="AS222" s="12">
        <v>0</v>
      </c>
      <c r="AT222" s="19">
        <v>38.955583300000001</v>
      </c>
      <c r="AU222" s="19">
        <v>-123.0902749</v>
      </c>
      <c r="AV222" s="19" t="s">
        <v>417</v>
      </c>
    </row>
    <row r="223" spans="1:48" x14ac:dyDescent="0.25">
      <c r="A223" s="18" t="s">
        <v>591</v>
      </c>
      <c r="B223" s="10">
        <v>20021217</v>
      </c>
      <c r="C223" s="9">
        <v>1</v>
      </c>
      <c r="D223" s="8" t="str">
        <f t="shared" si="37"/>
        <v>N</v>
      </c>
      <c r="E223" s="8" t="str">
        <f t="shared" si="38"/>
        <v>N</v>
      </c>
      <c r="F223" s="8" t="str">
        <f t="shared" si="39"/>
        <v>Y</v>
      </c>
      <c r="G223" s="8" t="str">
        <f t="shared" si="40"/>
        <v>Y</v>
      </c>
      <c r="H223" s="8" t="str">
        <f t="shared" si="41"/>
        <v>Upper</v>
      </c>
      <c r="I223" s="8" t="str">
        <f t="shared" si="42"/>
        <v>West Fork and Below Lake</v>
      </c>
      <c r="J223" s="8" t="str">
        <f t="shared" si="43"/>
        <v>Outside</v>
      </c>
      <c r="K223" s="8" t="str">
        <f t="shared" si="44"/>
        <v>Post-1949</v>
      </c>
      <c r="L223" s="8">
        <f t="shared" si="45"/>
        <v>2002</v>
      </c>
      <c r="M223" s="8" t="str">
        <f t="shared" si="47"/>
        <v>1991-present</v>
      </c>
      <c r="N223" s="10" t="s">
        <v>242</v>
      </c>
      <c r="O223" s="10" t="s">
        <v>241</v>
      </c>
      <c r="P223" s="10" t="s">
        <v>242</v>
      </c>
      <c r="Q223" s="10" t="s">
        <v>242</v>
      </c>
      <c r="R223" s="10" t="s">
        <v>241</v>
      </c>
      <c r="S223" s="10" t="s">
        <v>242</v>
      </c>
      <c r="T223" s="10" t="s">
        <v>242</v>
      </c>
      <c r="U223" s="10" t="s">
        <v>241</v>
      </c>
      <c r="V223" s="10" t="s">
        <v>241</v>
      </c>
      <c r="W223" s="10" t="s">
        <v>242</v>
      </c>
      <c r="X223" s="15">
        <f>IF(ISERROR(VLOOKUP($A223,'13. Updated Demand'!A:Z,15,FALSE)),0,VLOOKUP($A223,'13. Updated Demand'!A:Z,15,FALSE))</f>
        <v>0</v>
      </c>
      <c r="Y223" s="16">
        <f>IF(ISERROR(VLOOKUP($A223,'13. Updated Demand'!A:Z,16,FALSE)),0,VLOOKUP($A223,'13. Updated Demand'!A:Z,16,FALSE))</f>
        <v>0</v>
      </c>
      <c r="Z223" s="16">
        <f>IF(ISERROR(VLOOKUP($A223,'13. Updated Demand'!A:Z,17,FALSE)),0,VLOOKUP($A223,'13. Updated Demand'!A:Z,17,FALSE))</f>
        <v>0</v>
      </c>
      <c r="AA223" s="16">
        <f>IF(ISERROR(VLOOKUP($A223,'13. Updated Demand'!A:Z,18,FALSE)),0,VLOOKUP($A223,'13. Updated Demand'!A:Z,18,FALSE))</f>
        <v>0</v>
      </c>
      <c r="AB223" s="16">
        <f>IF(ISERROR(VLOOKUP($A223,'13. Updated Demand'!A:Z,19,FALSE)),0,VLOOKUP($A223,'13. Updated Demand'!A:Z,19,FALSE))</f>
        <v>0</v>
      </c>
      <c r="AC223" s="16">
        <f>IF(ISERROR(VLOOKUP($A223,'13. Updated Demand'!A:Z,20,FALSE)),0,VLOOKUP($A223,'13. Updated Demand'!A:Z,20,FALSE))</f>
        <v>0</v>
      </c>
      <c r="AD223" s="16">
        <f>IF(ISERROR(VLOOKUP($A223,'13. Updated Demand'!A:Z,21,FALSE)),0,VLOOKUP($A223,'13. Updated Demand'!A:Z,21,FALSE))</f>
        <v>0</v>
      </c>
      <c r="AE223" s="16">
        <f>IF(ISERROR(VLOOKUP($A223,'13. Updated Demand'!A:Z,22,FALSE)),0,VLOOKUP($A223,'13. Updated Demand'!A:Z,22,FALSE))</f>
        <v>0</v>
      </c>
      <c r="AF223" s="16">
        <f>IF(ISERROR(VLOOKUP($A223,'13. Updated Demand'!A:Z,23,FALSE)),0,VLOOKUP($A223,'13. Updated Demand'!A:Z,23,FALSE))</f>
        <v>0</v>
      </c>
      <c r="AG223" s="16">
        <f>IF(ISERROR(VLOOKUP($A223,'13. Updated Demand'!A:Z,24,FALSE)),0,VLOOKUP($A223,'13. Updated Demand'!A:Z,24,FALSE))</f>
        <v>0</v>
      </c>
      <c r="AH223" s="16">
        <f>IF(ISERROR(VLOOKUP($A223,'13. Updated Demand'!A:Z,25,FALSE)),0,VLOOKUP($A223,'13. Updated Demand'!A:Z,25,FALSE))</f>
        <v>0</v>
      </c>
      <c r="AI223" s="16">
        <f>IF(ISERROR(VLOOKUP($A223,'13. Updated Demand'!A:Z,26,FALSE)),0,VLOOKUP($A223,'13. Updated Demand'!A:Z,26,FALSE))</f>
        <v>0</v>
      </c>
      <c r="AJ223" s="16">
        <f t="shared" si="48"/>
        <v>0</v>
      </c>
      <c r="AK223" s="19">
        <v>0</v>
      </c>
      <c r="AL223" s="16">
        <f t="shared" si="46"/>
        <v>0</v>
      </c>
      <c r="AM223" s="17">
        <v>0</v>
      </c>
      <c r="AN223" s="19"/>
      <c r="AO223" s="19"/>
      <c r="AP223" s="19">
        <v>8</v>
      </c>
      <c r="AQ223" s="19" t="s">
        <v>307</v>
      </c>
      <c r="AR223" s="9" t="s">
        <v>317</v>
      </c>
      <c r="AS223" s="12">
        <v>0</v>
      </c>
      <c r="AT223" s="19">
        <v>39.320368770000002</v>
      </c>
      <c r="AU223" s="19">
        <v>-123.22587699</v>
      </c>
      <c r="AV223" s="19" t="s">
        <v>417</v>
      </c>
    </row>
    <row r="224" spans="1:48" x14ac:dyDescent="0.25">
      <c r="A224" s="18" t="s">
        <v>592</v>
      </c>
      <c r="B224" s="10">
        <v>20021202</v>
      </c>
      <c r="C224" s="9">
        <v>16</v>
      </c>
      <c r="D224" s="8" t="str">
        <f t="shared" si="37"/>
        <v>N</v>
      </c>
      <c r="E224" s="8" t="str">
        <f t="shared" si="38"/>
        <v>N</v>
      </c>
      <c r="F224" s="8" t="str">
        <f t="shared" si="39"/>
        <v>N</v>
      </c>
      <c r="G224" s="8" t="str">
        <f t="shared" si="40"/>
        <v>N</v>
      </c>
      <c r="H224" s="8" t="str">
        <f t="shared" si="41"/>
        <v>Lower</v>
      </c>
      <c r="I224" s="8" t="str">
        <f t="shared" si="42"/>
        <v>Outside</v>
      </c>
      <c r="J224" s="8" t="str">
        <f t="shared" si="43"/>
        <v>Outside</v>
      </c>
      <c r="K224" s="8" t="str">
        <f t="shared" si="44"/>
        <v>Post-1949</v>
      </c>
      <c r="L224" s="8">
        <f t="shared" si="45"/>
        <v>2002</v>
      </c>
      <c r="M224" s="8" t="str">
        <f t="shared" si="47"/>
        <v>1991-present</v>
      </c>
      <c r="N224" s="10" t="s">
        <v>242</v>
      </c>
      <c r="O224" s="10" t="s">
        <v>242</v>
      </c>
      <c r="P224" s="10" t="s">
        <v>242</v>
      </c>
      <c r="Q224" s="10" t="s">
        <v>242</v>
      </c>
      <c r="R224" s="10" t="s">
        <v>241</v>
      </c>
      <c r="S224" s="10" t="s">
        <v>242</v>
      </c>
      <c r="T224" s="10" t="s">
        <v>241</v>
      </c>
      <c r="U224" s="10" t="s">
        <v>241</v>
      </c>
      <c r="V224" s="10" t="s">
        <v>241</v>
      </c>
      <c r="W224" s="10" t="s">
        <v>242</v>
      </c>
      <c r="X224" s="15">
        <f>IF(ISERROR(VLOOKUP($A224,'13. Updated Demand'!A:Z,15,FALSE)),0,VLOOKUP($A224,'13. Updated Demand'!A:Z,15,FALSE))</f>
        <v>0</v>
      </c>
      <c r="Y224" s="16">
        <f>IF(ISERROR(VLOOKUP($A224,'13. Updated Demand'!A:Z,16,FALSE)),0,VLOOKUP($A224,'13. Updated Demand'!A:Z,16,FALSE))</f>
        <v>0</v>
      </c>
      <c r="Z224" s="16">
        <f>IF(ISERROR(VLOOKUP($A224,'13. Updated Demand'!A:Z,17,FALSE)),0,VLOOKUP($A224,'13. Updated Demand'!A:Z,17,FALSE))</f>
        <v>0</v>
      </c>
      <c r="AA224" s="16">
        <f>IF(ISERROR(VLOOKUP($A224,'13. Updated Demand'!A:Z,18,FALSE)),0,VLOOKUP($A224,'13. Updated Demand'!A:Z,18,FALSE))</f>
        <v>0</v>
      </c>
      <c r="AB224" s="16">
        <f>IF(ISERROR(VLOOKUP($A224,'13. Updated Demand'!A:Z,19,FALSE)),0,VLOOKUP($A224,'13. Updated Demand'!A:Z,19,FALSE))</f>
        <v>0</v>
      </c>
      <c r="AC224" s="16">
        <f>IF(ISERROR(VLOOKUP($A224,'13. Updated Demand'!A:Z,20,FALSE)),0,VLOOKUP($A224,'13. Updated Demand'!A:Z,20,FALSE))</f>
        <v>0</v>
      </c>
      <c r="AD224" s="16">
        <f>IF(ISERROR(VLOOKUP($A224,'13. Updated Demand'!A:Z,21,FALSE)),0,VLOOKUP($A224,'13. Updated Demand'!A:Z,21,FALSE))</f>
        <v>0</v>
      </c>
      <c r="AE224" s="16">
        <f>IF(ISERROR(VLOOKUP($A224,'13. Updated Demand'!A:Z,22,FALSE)),0,VLOOKUP($A224,'13. Updated Demand'!A:Z,22,FALSE))</f>
        <v>0</v>
      </c>
      <c r="AF224" s="16">
        <f>IF(ISERROR(VLOOKUP($A224,'13. Updated Demand'!A:Z,23,FALSE)),0,VLOOKUP($A224,'13. Updated Demand'!A:Z,23,FALSE))</f>
        <v>0</v>
      </c>
      <c r="AG224" s="16">
        <f>IF(ISERROR(VLOOKUP($A224,'13. Updated Demand'!A:Z,24,FALSE)),0,VLOOKUP($A224,'13. Updated Demand'!A:Z,24,FALSE))</f>
        <v>0</v>
      </c>
      <c r="AH224" s="16">
        <f>IF(ISERROR(VLOOKUP($A224,'13. Updated Demand'!A:Z,25,FALSE)),0,VLOOKUP($A224,'13. Updated Demand'!A:Z,25,FALSE))</f>
        <v>0</v>
      </c>
      <c r="AI224" s="16">
        <f>IF(ISERROR(VLOOKUP($A224,'13. Updated Demand'!A:Z,26,FALSE)),0,VLOOKUP($A224,'13. Updated Demand'!A:Z,26,FALSE))</f>
        <v>0</v>
      </c>
      <c r="AJ224" s="16">
        <f t="shared" si="48"/>
        <v>0</v>
      </c>
      <c r="AK224" s="19">
        <v>0</v>
      </c>
      <c r="AL224" s="16">
        <f t="shared" si="46"/>
        <v>0</v>
      </c>
      <c r="AM224" s="17">
        <v>0</v>
      </c>
      <c r="AN224" s="19"/>
      <c r="AO224" s="19"/>
      <c r="AP224" s="19">
        <v>19.399999999999999</v>
      </c>
      <c r="AQ224" s="19" t="s">
        <v>307</v>
      </c>
      <c r="AR224" s="9" t="s">
        <v>394</v>
      </c>
      <c r="AS224" s="12">
        <v>0</v>
      </c>
      <c r="AT224" s="19">
        <v>38.627138619999997</v>
      </c>
      <c r="AU224" s="19">
        <v>-122.92126075</v>
      </c>
      <c r="AV224" s="19" t="s">
        <v>385</v>
      </c>
    </row>
    <row r="225" spans="1:48" x14ac:dyDescent="0.25">
      <c r="A225" s="18" t="s">
        <v>593</v>
      </c>
      <c r="B225" s="10">
        <v>20010227</v>
      </c>
      <c r="C225" s="9">
        <v>4</v>
      </c>
      <c r="D225" s="8" t="str">
        <f t="shared" si="37"/>
        <v>Y</v>
      </c>
      <c r="E225" s="8" t="str">
        <f t="shared" si="38"/>
        <v>N</v>
      </c>
      <c r="F225" s="8" t="str">
        <f t="shared" si="39"/>
        <v>Y</v>
      </c>
      <c r="G225" s="8" t="str">
        <f t="shared" si="40"/>
        <v>Y</v>
      </c>
      <c r="H225" s="8" t="str">
        <f t="shared" si="41"/>
        <v>Upper</v>
      </c>
      <c r="I225" s="8" t="str">
        <f t="shared" si="42"/>
        <v>West Fork and Below Lake</v>
      </c>
      <c r="J225" s="8" t="str">
        <f t="shared" si="43"/>
        <v>Mendocino (d/s of lake)</v>
      </c>
      <c r="K225" s="8" t="str">
        <f t="shared" si="44"/>
        <v>Post-1949</v>
      </c>
      <c r="L225" s="8">
        <f t="shared" si="45"/>
        <v>2001</v>
      </c>
      <c r="M225" s="8" t="str">
        <f t="shared" si="47"/>
        <v>1991-present</v>
      </c>
      <c r="N225" s="10" t="s">
        <v>242</v>
      </c>
      <c r="O225" s="10" t="s">
        <v>241</v>
      </c>
      <c r="P225" s="10" t="s">
        <v>242</v>
      </c>
      <c r="Q225" s="10" t="s">
        <v>242</v>
      </c>
      <c r="R225" s="10" t="s">
        <v>241</v>
      </c>
      <c r="S225" s="10" t="s">
        <v>242</v>
      </c>
      <c r="T225" s="10" t="s">
        <v>242</v>
      </c>
      <c r="U225" s="10" t="s">
        <v>241</v>
      </c>
      <c r="V225" s="10" t="s">
        <v>241</v>
      </c>
      <c r="W225" s="10" t="s">
        <v>242</v>
      </c>
      <c r="X225" s="15">
        <f>IF(ISERROR(VLOOKUP($A225,'13. Updated Demand'!A:Z,15,FALSE)),0,VLOOKUP($A225,'13. Updated Demand'!A:Z,15,FALSE))</f>
        <v>0</v>
      </c>
      <c r="Y225" s="16">
        <f>IF(ISERROR(VLOOKUP($A225,'13. Updated Demand'!A:Z,16,FALSE)),0,VLOOKUP($A225,'13. Updated Demand'!A:Z,16,FALSE))</f>
        <v>0</v>
      </c>
      <c r="Z225" s="16">
        <f>IF(ISERROR(VLOOKUP($A225,'13. Updated Demand'!A:Z,17,FALSE)),0,VLOOKUP($A225,'13. Updated Demand'!A:Z,17,FALSE))</f>
        <v>0</v>
      </c>
      <c r="AA225" s="16">
        <f>IF(ISERROR(VLOOKUP($A225,'13. Updated Demand'!A:Z,18,FALSE)),0,VLOOKUP($A225,'13. Updated Demand'!A:Z,18,FALSE))</f>
        <v>0</v>
      </c>
      <c r="AB225" s="16">
        <f>IF(ISERROR(VLOOKUP($A225,'13. Updated Demand'!A:Z,19,FALSE)),0,VLOOKUP($A225,'13. Updated Demand'!A:Z,19,FALSE))</f>
        <v>0</v>
      </c>
      <c r="AC225" s="16">
        <f>IF(ISERROR(VLOOKUP($A225,'13. Updated Demand'!A:Z,20,FALSE)),0,VLOOKUP($A225,'13. Updated Demand'!A:Z,20,FALSE))</f>
        <v>0</v>
      </c>
      <c r="AD225" s="16">
        <f>IF(ISERROR(VLOOKUP($A225,'13. Updated Demand'!A:Z,21,FALSE)),0,VLOOKUP($A225,'13. Updated Demand'!A:Z,21,FALSE))</f>
        <v>0</v>
      </c>
      <c r="AE225" s="16">
        <f>IF(ISERROR(VLOOKUP($A225,'13. Updated Demand'!A:Z,22,FALSE)),0,VLOOKUP($A225,'13. Updated Demand'!A:Z,22,FALSE))</f>
        <v>0</v>
      </c>
      <c r="AF225" s="16">
        <f>IF(ISERROR(VLOOKUP($A225,'13. Updated Demand'!A:Z,23,FALSE)),0,VLOOKUP($A225,'13. Updated Demand'!A:Z,23,FALSE))</f>
        <v>0</v>
      </c>
      <c r="AG225" s="16">
        <f>IF(ISERROR(VLOOKUP($A225,'13. Updated Demand'!A:Z,24,FALSE)),0,VLOOKUP($A225,'13. Updated Demand'!A:Z,24,FALSE))</f>
        <v>0</v>
      </c>
      <c r="AH225" s="16">
        <f>IF(ISERROR(VLOOKUP($A225,'13. Updated Demand'!A:Z,25,FALSE)),0,VLOOKUP($A225,'13. Updated Demand'!A:Z,25,FALSE))</f>
        <v>0</v>
      </c>
      <c r="AI225" s="16">
        <f>IF(ISERROR(VLOOKUP($A225,'13. Updated Demand'!A:Z,26,FALSE)),0,VLOOKUP($A225,'13. Updated Demand'!A:Z,26,FALSE))</f>
        <v>0</v>
      </c>
      <c r="AJ225" s="16">
        <f t="shared" si="48"/>
        <v>0</v>
      </c>
      <c r="AK225" s="19">
        <v>0</v>
      </c>
      <c r="AL225" s="16">
        <f t="shared" si="46"/>
        <v>0</v>
      </c>
      <c r="AM225" s="17">
        <v>0</v>
      </c>
      <c r="AN225" s="19"/>
      <c r="AO225" s="19"/>
      <c r="AP225" s="19">
        <v>49.5</v>
      </c>
      <c r="AQ225" s="19" t="s">
        <v>307</v>
      </c>
      <c r="AR225" s="9" t="s">
        <v>331</v>
      </c>
      <c r="AS225" s="12">
        <v>3.4039024194010059E-4</v>
      </c>
      <c r="AT225" s="19">
        <v>39.154459000000003</v>
      </c>
      <c r="AU225" s="19">
        <v>-123.17016808</v>
      </c>
      <c r="AV225" s="19" t="s">
        <v>417</v>
      </c>
    </row>
    <row r="226" spans="1:48" x14ac:dyDescent="0.25">
      <c r="A226" s="18" t="s">
        <v>594</v>
      </c>
      <c r="B226" s="10">
        <v>20010404</v>
      </c>
      <c r="C226" s="9">
        <v>5</v>
      </c>
      <c r="D226" s="8" t="str">
        <f t="shared" si="37"/>
        <v>Y</v>
      </c>
      <c r="E226" s="8" t="str">
        <f t="shared" si="38"/>
        <v>N</v>
      </c>
      <c r="F226" s="8" t="str">
        <f t="shared" si="39"/>
        <v>Y</v>
      </c>
      <c r="G226" s="8" t="str">
        <f t="shared" si="40"/>
        <v>Y</v>
      </c>
      <c r="H226" s="8" t="str">
        <f t="shared" si="41"/>
        <v>Upper</v>
      </c>
      <c r="I226" s="8" t="str">
        <f t="shared" si="42"/>
        <v>West Fork and Below Lake</v>
      </c>
      <c r="J226" s="8" t="str">
        <f t="shared" si="43"/>
        <v>Mendocino (d/s of lake)</v>
      </c>
      <c r="K226" s="8" t="str">
        <f t="shared" si="44"/>
        <v>Post-1949</v>
      </c>
      <c r="L226" s="8">
        <f t="shared" si="45"/>
        <v>2001</v>
      </c>
      <c r="M226" s="8" t="str">
        <f t="shared" si="47"/>
        <v>1991-present</v>
      </c>
      <c r="N226" s="10" t="s">
        <v>241</v>
      </c>
      <c r="O226" s="10" t="s">
        <v>241</v>
      </c>
      <c r="P226" s="10" t="s">
        <v>242</v>
      </c>
      <c r="Q226" s="10" t="s">
        <v>242</v>
      </c>
      <c r="R226" s="10" t="s">
        <v>241</v>
      </c>
      <c r="S226" s="10" t="s">
        <v>242</v>
      </c>
      <c r="T226" s="10" t="s">
        <v>242</v>
      </c>
      <c r="U226" s="10" t="s">
        <v>242</v>
      </c>
      <c r="V226" s="10" t="s">
        <v>241</v>
      </c>
      <c r="W226" s="10" t="s">
        <v>242</v>
      </c>
      <c r="X226" s="15">
        <f>IF(ISERROR(VLOOKUP($A226,'13. Updated Demand'!A:Z,15,FALSE)),0,VLOOKUP($A226,'13. Updated Demand'!A:Z,15,FALSE))</f>
        <v>3.4</v>
      </c>
      <c r="Y226" s="16">
        <f>IF(ISERROR(VLOOKUP($A226,'13. Updated Demand'!A:Z,16,FALSE)),0,VLOOKUP($A226,'13. Updated Demand'!A:Z,16,FALSE))</f>
        <v>2.4300000000000002</v>
      </c>
      <c r="Z226" s="16">
        <f>IF(ISERROR(VLOOKUP($A226,'13. Updated Demand'!A:Z,17,FALSE)),0,VLOOKUP($A226,'13. Updated Demand'!A:Z,17,FALSE))</f>
        <v>1.1599999999999999</v>
      </c>
      <c r="AA226" s="16">
        <f>IF(ISERROR(VLOOKUP($A226,'13. Updated Demand'!A:Z,18,FALSE)),0,VLOOKUP($A226,'13. Updated Demand'!A:Z,18,FALSE))</f>
        <v>0</v>
      </c>
      <c r="AB226" s="16">
        <f>IF(ISERROR(VLOOKUP($A226,'13. Updated Demand'!A:Z,19,FALSE)),0,VLOOKUP($A226,'13. Updated Demand'!A:Z,19,FALSE))</f>
        <v>0</v>
      </c>
      <c r="AC226" s="16">
        <f>IF(ISERROR(VLOOKUP($A226,'13. Updated Demand'!A:Z,20,FALSE)),0,VLOOKUP($A226,'13. Updated Demand'!A:Z,20,FALSE))</f>
        <v>0</v>
      </c>
      <c r="AD226" s="16">
        <f>IF(ISERROR(VLOOKUP($A226,'13. Updated Demand'!A:Z,21,FALSE)),0,VLOOKUP($A226,'13. Updated Demand'!A:Z,21,FALSE))</f>
        <v>0</v>
      </c>
      <c r="AE226" s="16">
        <f>IF(ISERROR(VLOOKUP($A226,'13. Updated Demand'!A:Z,22,FALSE)),0,VLOOKUP($A226,'13. Updated Demand'!A:Z,22,FALSE))</f>
        <v>0</v>
      </c>
      <c r="AF226" s="16">
        <f>IF(ISERROR(VLOOKUP($A226,'13. Updated Demand'!A:Z,23,FALSE)),0,VLOOKUP($A226,'13. Updated Demand'!A:Z,23,FALSE))</f>
        <v>0</v>
      </c>
      <c r="AG226" s="16">
        <f>IF(ISERROR(VLOOKUP($A226,'13. Updated Demand'!A:Z,24,FALSE)),0,VLOOKUP($A226,'13. Updated Demand'!A:Z,24,FALSE))</f>
        <v>0</v>
      </c>
      <c r="AH226" s="16">
        <f>IF(ISERROR(VLOOKUP($A226,'13. Updated Demand'!A:Z,25,FALSE)),0,VLOOKUP($A226,'13. Updated Demand'!A:Z,25,FALSE))</f>
        <v>0</v>
      </c>
      <c r="AI226" s="16">
        <f>IF(ISERROR(VLOOKUP($A226,'13. Updated Demand'!A:Z,26,FALSE)),0,VLOOKUP($A226,'13. Updated Demand'!A:Z,26,FALSE))</f>
        <v>9.23</v>
      </c>
      <c r="AJ226" s="16">
        <f t="shared" si="48"/>
        <v>16.22</v>
      </c>
      <c r="AK226" s="19">
        <v>0</v>
      </c>
      <c r="AL226" s="16">
        <f t="shared" si="46"/>
        <v>0</v>
      </c>
      <c r="AM226" s="17">
        <v>0.51209253417455303</v>
      </c>
      <c r="AN226" s="19"/>
      <c r="AO226" s="19"/>
      <c r="AP226" s="19">
        <v>31.7</v>
      </c>
      <c r="AQ226" s="19" t="s">
        <v>307</v>
      </c>
      <c r="AR226" s="9" t="s">
        <v>333</v>
      </c>
      <c r="AS226" s="12">
        <v>0</v>
      </c>
      <c r="AT226" s="19">
        <v>39.0931</v>
      </c>
      <c r="AU226" s="19">
        <v>-123.1932</v>
      </c>
      <c r="AV226" s="19" t="s">
        <v>385</v>
      </c>
    </row>
    <row r="227" spans="1:48" x14ac:dyDescent="0.25">
      <c r="A227" s="18" t="s">
        <v>595</v>
      </c>
      <c r="B227" s="10">
        <v>20010607</v>
      </c>
      <c r="C227" s="9">
        <v>21</v>
      </c>
      <c r="D227" s="8" t="str">
        <f t="shared" si="37"/>
        <v>N</v>
      </c>
      <c r="E227" s="8" t="str">
        <f t="shared" si="38"/>
        <v>N</v>
      </c>
      <c r="F227" s="8" t="str">
        <f t="shared" si="39"/>
        <v>N</v>
      </c>
      <c r="G227" s="8" t="str">
        <f t="shared" si="40"/>
        <v>N</v>
      </c>
      <c r="H227" s="8" t="str">
        <f t="shared" si="41"/>
        <v>Lower</v>
      </c>
      <c r="I227" s="8" t="str">
        <f t="shared" si="42"/>
        <v>Outside</v>
      </c>
      <c r="J227" s="8" t="str">
        <f t="shared" si="43"/>
        <v>Outside</v>
      </c>
      <c r="K227" s="8" t="str">
        <f t="shared" si="44"/>
        <v>Post-1949</v>
      </c>
      <c r="L227" s="8">
        <f t="shared" si="45"/>
        <v>2001</v>
      </c>
      <c r="M227" s="8" t="str">
        <f t="shared" si="47"/>
        <v>1991-present</v>
      </c>
      <c r="N227" s="10" t="s">
        <v>241</v>
      </c>
      <c r="O227" s="10" t="s">
        <v>242</v>
      </c>
      <c r="P227" s="10" t="s">
        <v>242</v>
      </c>
      <c r="Q227" s="10" t="s">
        <v>242</v>
      </c>
      <c r="R227" s="10" t="s">
        <v>241</v>
      </c>
      <c r="S227" s="10" t="s">
        <v>242</v>
      </c>
      <c r="T227" s="10" t="s">
        <v>242</v>
      </c>
      <c r="U227" s="10" t="s">
        <v>242</v>
      </c>
      <c r="V227" s="10" t="s">
        <v>242</v>
      </c>
      <c r="W227" s="10" t="s">
        <v>242</v>
      </c>
      <c r="X227" s="15">
        <f>IF(ISERROR(VLOOKUP($A227,'13. Updated Demand'!A:Z,15,FALSE)),0,VLOOKUP($A227,'13. Updated Demand'!A:Z,15,FALSE))</f>
        <v>0.77559199999999995</v>
      </c>
      <c r="Y227" s="16">
        <f>IF(ISERROR(VLOOKUP($A227,'13. Updated Demand'!A:Z,16,FALSE)),0,VLOOKUP($A227,'13. Updated Demand'!A:Z,16,FALSE))</f>
        <v>0.68968933300000002</v>
      </c>
      <c r="Z227" s="16">
        <f>IF(ISERROR(VLOOKUP($A227,'13. Updated Demand'!A:Z,17,FALSE)),0,VLOOKUP($A227,'13. Updated Demand'!A:Z,17,FALSE))</f>
        <v>0.72468533300000004</v>
      </c>
      <c r="AA227" s="16">
        <f>IF(ISERROR(VLOOKUP($A227,'13. Updated Demand'!A:Z,18,FALSE)),0,VLOOKUP($A227,'13. Updated Demand'!A:Z,18,FALSE))</f>
        <v>0.79154599999999997</v>
      </c>
      <c r="AB227" s="16">
        <f>IF(ISERROR(VLOOKUP($A227,'13. Updated Demand'!A:Z,19,FALSE)),0,VLOOKUP($A227,'13. Updated Demand'!A:Z,19,FALSE))</f>
        <v>0.75499300000000003</v>
      </c>
      <c r="AC227" s="16">
        <f>IF(ISERROR(VLOOKUP($A227,'13. Updated Demand'!A:Z,20,FALSE)),0,VLOOKUP($A227,'13. Updated Demand'!A:Z,20,FALSE))</f>
        <v>0.94104399999999999</v>
      </c>
      <c r="AD227" s="16">
        <f>IF(ISERROR(VLOOKUP($A227,'13. Updated Demand'!A:Z,21,FALSE)),0,VLOOKUP($A227,'13. Updated Demand'!A:Z,21,FALSE))</f>
        <v>0.61733333300000004</v>
      </c>
      <c r="AE227" s="16">
        <f>IF(ISERROR(VLOOKUP($A227,'13. Updated Demand'!A:Z,22,FALSE)),0,VLOOKUP($A227,'13. Updated Demand'!A:Z,22,FALSE))</f>
        <v>0.64600000000000002</v>
      </c>
      <c r="AF227" s="16">
        <f>IF(ISERROR(VLOOKUP($A227,'13. Updated Demand'!A:Z,23,FALSE)),0,VLOOKUP($A227,'13. Updated Demand'!A:Z,23,FALSE))</f>
        <v>0.61233333300000004</v>
      </c>
      <c r="AG227" s="16">
        <f>IF(ISERROR(VLOOKUP($A227,'13. Updated Demand'!A:Z,24,FALSE)),0,VLOOKUP($A227,'13. Updated Demand'!A:Z,24,FALSE))</f>
        <v>0.672666667</v>
      </c>
      <c r="AH227" s="16">
        <f>IF(ISERROR(VLOOKUP($A227,'13. Updated Demand'!A:Z,25,FALSE)),0,VLOOKUP($A227,'13. Updated Demand'!A:Z,25,FALSE))</f>
        <v>0.89060600000000001</v>
      </c>
      <c r="AI227" s="16">
        <f>IF(ISERROR(VLOOKUP($A227,'13. Updated Demand'!A:Z,26,FALSE)),0,VLOOKUP($A227,'13. Updated Demand'!A:Z,26,FALSE))</f>
        <v>1.1153169999999999</v>
      </c>
      <c r="AJ227" s="16">
        <f t="shared" si="48"/>
        <v>9.2318059989999988</v>
      </c>
      <c r="AK227" s="19">
        <v>3.5717036659999999</v>
      </c>
      <c r="AL227" s="16">
        <f t="shared" si="46"/>
        <v>1.1846934204841172E-2</v>
      </c>
      <c r="AM227" s="17">
        <v>0.14202778459999998</v>
      </c>
      <c r="AN227" s="19"/>
      <c r="AO227" s="19"/>
      <c r="AP227" s="19">
        <v>65</v>
      </c>
      <c r="AQ227" s="19" t="s">
        <v>307</v>
      </c>
      <c r="AR227" s="9" t="s">
        <v>403</v>
      </c>
      <c r="AS227" s="12">
        <v>0</v>
      </c>
      <c r="AT227" s="19">
        <v>38.465403129999999</v>
      </c>
      <c r="AU227" s="19">
        <v>-123.00887394999999</v>
      </c>
      <c r="AV227" s="19" t="s">
        <v>548</v>
      </c>
    </row>
    <row r="228" spans="1:48" x14ac:dyDescent="0.25">
      <c r="A228" s="18" t="s">
        <v>596</v>
      </c>
      <c r="B228" s="10">
        <v>20010620</v>
      </c>
      <c r="C228" s="9">
        <v>1</v>
      </c>
      <c r="D228" s="8" t="str">
        <f t="shared" si="37"/>
        <v>N</v>
      </c>
      <c r="E228" s="8" t="str">
        <f t="shared" si="38"/>
        <v>N</v>
      </c>
      <c r="F228" s="8" t="str">
        <f t="shared" si="39"/>
        <v>Y</v>
      </c>
      <c r="G228" s="8" t="str">
        <f t="shared" si="40"/>
        <v>Y</v>
      </c>
      <c r="H228" s="8" t="str">
        <f t="shared" si="41"/>
        <v>Upper</v>
      </c>
      <c r="I228" s="8" t="str">
        <f t="shared" si="42"/>
        <v>West Fork and Below Lake</v>
      </c>
      <c r="J228" s="8" t="str">
        <f t="shared" si="43"/>
        <v>Outside</v>
      </c>
      <c r="K228" s="8" t="str">
        <f t="shared" si="44"/>
        <v>Post-1949</v>
      </c>
      <c r="L228" s="8">
        <f t="shared" si="45"/>
        <v>2001</v>
      </c>
      <c r="M228" s="8" t="str">
        <f t="shared" si="47"/>
        <v>1991-present</v>
      </c>
      <c r="N228" s="10" t="s">
        <v>242</v>
      </c>
      <c r="O228" s="10" t="s">
        <v>241</v>
      </c>
      <c r="P228" s="10" t="s">
        <v>242</v>
      </c>
      <c r="Q228" s="10" t="s">
        <v>242</v>
      </c>
      <c r="R228" s="10" t="s">
        <v>241</v>
      </c>
      <c r="S228" s="10" t="s">
        <v>242</v>
      </c>
      <c r="T228" s="10" t="s">
        <v>241</v>
      </c>
      <c r="U228" s="10" t="s">
        <v>241</v>
      </c>
      <c r="V228" s="10" t="s">
        <v>241</v>
      </c>
      <c r="W228" s="10" t="s">
        <v>242</v>
      </c>
      <c r="X228" s="15">
        <f>IF(ISERROR(VLOOKUP($A228,'13. Updated Demand'!A:Z,15,FALSE)),0,VLOOKUP($A228,'13. Updated Demand'!A:Z,15,FALSE))</f>
        <v>0</v>
      </c>
      <c r="Y228" s="16">
        <f>IF(ISERROR(VLOOKUP($A228,'13. Updated Demand'!A:Z,16,FALSE)),0,VLOOKUP($A228,'13. Updated Demand'!A:Z,16,FALSE))</f>
        <v>0</v>
      </c>
      <c r="Z228" s="16">
        <f>IF(ISERROR(VLOOKUP($A228,'13. Updated Demand'!A:Z,17,FALSE)),0,VLOOKUP($A228,'13. Updated Demand'!A:Z,17,FALSE))</f>
        <v>0</v>
      </c>
      <c r="AA228" s="16">
        <f>IF(ISERROR(VLOOKUP($A228,'13. Updated Demand'!A:Z,18,FALSE)),0,VLOOKUP($A228,'13. Updated Demand'!A:Z,18,FALSE))</f>
        <v>0</v>
      </c>
      <c r="AB228" s="16">
        <f>IF(ISERROR(VLOOKUP($A228,'13. Updated Demand'!A:Z,19,FALSE)),0,VLOOKUP($A228,'13. Updated Demand'!A:Z,19,FALSE))</f>
        <v>0</v>
      </c>
      <c r="AC228" s="16">
        <f>IF(ISERROR(VLOOKUP($A228,'13. Updated Demand'!A:Z,20,FALSE)),0,VLOOKUP($A228,'13. Updated Demand'!A:Z,20,FALSE))</f>
        <v>0</v>
      </c>
      <c r="AD228" s="16">
        <f>IF(ISERROR(VLOOKUP($A228,'13. Updated Demand'!A:Z,21,FALSE)),0,VLOOKUP($A228,'13. Updated Demand'!A:Z,21,FALSE))</f>
        <v>0</v>
      </c>
      <c r="AE228" s="16">
        <f>IF(ISERROR(VLOOKUP($A228,'13. Updated Demand'!A:Z,22,FALSE)),0,VLOOKUP($A228,'13. Updated Demand'!A:Z,22,FALSE))</f>
        <v>0</v>
      </c>
      <c r="AF228" s="16">
        <f>IF(ISERROR(VLOOKUP($A228,'13. Updated Demand'!A:Z,23,FALSE)),0,VLOOKUP($A228,'13. Updated Demand'!A:Z,23,FALSE))</f>
        <v>0</v>
      </c>
      <c r="AG228" s="16">
        <f>IF(ISERROR(VLOOKUP($A228,'13. Updated Demand'!A:Z,24,FALSE)),0,VLOOKUP($A228,'13. Updated Demand'!A:Z,24,FALSE))</f>
        <v>0</v>
      </c>
      <c r="AH228" s="16">
        <f>IF(ISERROR(VLOOKUP($A228,'13. Updated Demand'!A:Z,25,FALSE)),0,VLOOKUP($A228,'13. Updated Demand'!A:Z,25,FALSE))</f>
        <v>0</v>
      </c>
      <c r="AI228" s="16">
        <f>IF(ISERROR(VLOOKUP($A228,'13. Updated Demand'!A:Z,26,FALSE)),0,VLOOKUP($A228,'13. Updated Demand'!A:Z,26,FALSE))</f>
        <v>0</v>
      </c>
      <c r="AJ228" s="16">
        <f t="shared" si="48"/>
        <v>0</v>
      </c>
      <c r="AK228" s="19">
        <v>0</v>
      </c>
      <c r="AL228" s="16">
        <f t="shared" si="46"/>
        <v>0</v>
      </c>
      <c r="AM228" s="17">
        <v>0</v>
      </c>
      <c r="AN228" s="19"/>
      <c r="AO228" s="19"/>
      <c r="AP228" s="19">
        <v>60</v>
      </c>
      <c r="AQ228" s="19" t="s">
        <v>307</v>
      </c>
      <c r="AR228" s="9" t="s">
        <v>317</v>
      </c>
      <c r="AS228" s="12">
        <v>0</v>
      </c>
      <c r="AT228" s="19">
        <v>39.298569090000001</v>
      </c>
      <c r="AU228" s="19">
        <v>-123.20847842000001</v>
      </c>
      <c r="AV228" s="19" t="s">
        <v>548</v>
      </c>
    </row>
    <row r="229" spans="1:48" x14ac:dyDescent="0.25">
      <c r="A229" s="18" t="s">
        <v>597</v>
      </c>
      <c r="B229" s="10">
        <v>20010404</v>
      </c>
      <c r="C229" s="9">
        <v>1</v>
      </c>
      <c r="D229" s="8" t="str">
        <f t="shared" si="37"/>
        <v>N</v>
      </c>
      <c r="E229" s="8" t="str">
        <f t="shared" si="38"/>
        <v>N</v>
      </c>
      <c r="F229" s="8" t="str">
        <f t="shared" si="39"/>
        <v>Y</v>
      </c>
      <c r="G229" s="8" t="str">
        <f t="shared" si="40"/>
        <v>Y</v>
      </c>
      <c r="H229" s="8" t="str">
        <f t="shared" si="41"/>
        <v>Upper</v>
      </c>
      <c r="I229" s="8" t="str">
        <f t="shared" si="42"/>
        <v>West Fork and Below Lake</v>
      </c>
      <c r="J229" s="8" t="str">
        <f t="shared" si="43"/>
        <v>Outside</v>
      </c>
      <c r="K229" s="8" t="str">
        <f t="shared" si="44"/>
        <v>Post-1949</v>
      </c>
      <c r="L229" s="8">
        <f t="shared" si="45"/>
        <v>2001</v>
      </c>
      <c r="M229" s="8" t="str">
        <f t="shared" si="47"/>
        <v>1991-present</v>
      </c>
      <c r="N229" s="10" t="s">
        <v>242</v>
      </c>
      <c r="O229" s="10" t="s">
        <v>241</v>
      </c>
      <c r="P229" s="10" t="s">
        <v>242</v>
      </c>
      <c r="Q229" s="10" t="s">
        <v>242</v>
      </c>
      <c r="R229" s="10" t="s">
        <v>241</v>
      </c>
      <c r="S229" s="10" t="s">
        <v>242</v>
      </c>
      <c r="T229" s="10" t="s">
        <v>242</v>
      </c>
      <c r="U229" s="10" t="s">
        <v>242</v>
      </c>
      <c r="V229" s="10" t="s">
        <v>241</v>
      </c>
      <c r="W229" s="10" t="s">
        <v>242</v>
      </c>
      <c r="X229" s="15">
        <f>IF(ISERROR(VLOOKUP($A229,'13. Updated Demand'!A:Z,15,FALSE)),0,VLOOKUP($A229,'13. Updated Demand'!A:Z,15,FALSE))</f>
        <v>6.65</v>
      </c>
      <c r="Y229" s="16">
        <f>IF(ISERROR(VLOOKUP($A229,'13. Updated Demand'!A:Z,16,FALSE)),0,VLOOKUP($A229,'13. Updated Demand'!A:Z,16,FALSE))</f>
        <v>1.45</v>
      </c>
      <c r="Z229" s="16">
        <f>IF(ISERROR(VLOOKUP($A229,'13. Updated Demand'!A:Z,17,FALSE)),0,VLOOKUP($A229,'13. Updated Demand'!A:Z,17,FALSE))</f>
        <v>4.2</v>
      </c>
      <c r="AA229" s="16">
        <f>IF(ISERROR(VLOOKUP($A229,'13. Updated Demand'!A:Z,18,FALSE)),0,VLOOKUP($A229,'13. Updated Demand'!A:Z,18,FALSE))</f>
        <v>0</v>
      </c>
      <c r="AB229" s="16">
        <f>IF(ISERROR(VLOOKUP($A229,'13. Updated Demand'!A:Z,19,FALSE)),0,VLOOKUP($A229,'13. Updated Demand'!A:Z,19,FALSE))</f>
        <v>0</v>
      </c>
      <c r="AC229" s="16">
        <f>IF(ISERROR(VLOOKUP($A229,'13. Updated Demand'!A:Z,20,FALSE)),0,VLOOKUP($A229,'13. Updated Demand'!A:Z,20,FALSE))</f>
        <v>0</v>
      </c>
      <c r="AD229" s="16">
        <f>IF(ISERROR(VLOOKUP($A229,'13. Updated Demand'!A:Z,21,FALSE)),0,VLOOKUP($A229,'13. Updated Demand'!A:Z,21,FALSE))</f>
        <v>0</v>
      </c>
      <c r="AE229" s="16">
        <f>IF(ISERROR(VLOOKUP($A229,'13. Updated Demand'!A:Z,22,FALSE)),0,VLOOKUP($A229,'13. Updated Demand'!A:Z,22,FALSE))</f>
        <v>0</v>
      </c>
      <c r="AF229" s="16">
        <f>IF(ISERROR(VLOOKUP($A229,'13. Updated Demand'!A:Z,23,FALSE)),0,VLOOKUP($A229,'13. Updated Demand'!A:Z,23,FALSE))</f>
        <v>0</v>
      </c>
      <c r="AG229" s="16">
        <f>IF(ISERROR(VLOOKUP($A229,'13. Updated Demand'!A:Z,24,FALSE)),0,VLOOKUP($A229,'13. Updated Demand'!A:Z,24,FALSE))</f>
        <v>0</v>
      </c>
      <c r="AH229" s="16">
        <f>IF(ISERROR(VLOOKUP($A229,'13. Updated Demand'!A:Z,25,FALSE)),0,VLOOKUP($A229,'13. Updated Demand'!A:Z,25,FALSE))</f>
        <v>1</v>
      </c>
      <c r="AI229" s="16">
        <f>IF(ISERROR(VLOOKUP($A229,'13. Updated Demand'!A:Z,26,FALSE)),0,VLOOKUP($A229,'13. Updated Demand'!A:Z,26,FALSE))</f>
        <v>4.3499999999999996</v>
      </c>
      <c r="AJ229" s="16">
        <f t="shared" si="48"/>
        <v>17.649999999999999</v>
      </c>
      <c r="AK229" s="19">
        <v>0</v>
      </c>
      <c r="AL229" s="16">
        <f t="shared" si="46"/>
        <v>0</v>
      </c>
      <c r="AM229" s="17">
        <v>0.46447368421052626</v>
      </c>
      <c r="AN229" s="19"/>
      <c r="AO229" s="19"/>
      <c r="AP229" s="19">
        <v>38</v>
      </c>
      <c r="AQ229" s="19" t="s">
        <v>307</v>
      </c>
      <c r="AR229" s="9" t="s">
        <v>317</v>
      </c>
      <c r="AS229" s="12">
        <v>0</v>
      </c>
      <c r="AT229" s="19">
        <v>39.3247</v>
      </c>
      <c r="AU229" s="19">
        <v>-123.23260000000001</v>
      </c>
      <c r="AV229" s="19" t="s">
        <v>417</v>
      </c>
    </row>
    <row r="230" spans="1:48" x14ac:dyDescent="0.25">
      <c r="A230" s="18" t="s">
        <v>598</v>
      </c>
      <c r="B230" s="10">
        <v>20010620</v>
      </c>
      <c r="C230" s="9">
        <v>1</v>
      </c>
      <c r="D230" s="8" t="str">
        <f t="shared" si="37"/>
        <v>N</v>
      </c>
      <c r="E230" s="8" t="str">
        <f t="shared" si="38"/>
        <v>N</v>
      </c>
      <c r="F230" s="8" t="str">
        <f t="shared" si="39"/>
        <v>Y</v>
      </c>
      <c r="G230" s="8" t="str">
        <f t="shared" si="40"/>
        <v>Y</v>
      </c>
      <c r="H230" s="8" t="str">
        <f t="shared" si="41"/>
        <v>Upper</v>
      </c>
      <c r="I230" s="8" t="str">
        <f t="shared" si="42"/>
        <v>West Fork and Below Lake</v>
      </c>
      <c r="J230" s="8" t="str">
        <f t="shared" si="43"/>
        <v>Outside</v>
      </c>
      <c r="K230" s="8" t="str">
        <f t="shared" si="44"/>
        <v>Post-1949</v>
      </c>
      <c r="L230" s="8">
        <f t="shared" si="45"/>
        <v>2001</v>
      </c>
      <c r="M230" s="8" t="str">
        <f t="shared" si="47"/>
        <v>1991-present</v>
      </c>
      <c r="N230" s="10" t="s">
        <v>242</v>
      </c>
      <c r="O230" s="10" t="s">
        <v>241</v>
      </c>
      <c r="P230" s="10" t="s">
        <v>242</v>
      </c>
      <c r="Q230" s="10" t="s">
        <v>242</v>
      </c>
      <c r="R230" s="10" t="s">
        <v>241</v>
      </c>
      <c r="S230" s="10" t="s">
        <v>242</v>
      </c>
      <c r="T230" s="10" t="s">
        <v>241</v>
      </c>
      <c r="U230" s="10" t="s">
        <v>241</v>
      </c>
      <c r="V230" s="10" t="s">
        <v>241</v>
      </c>
      <c r="W230" s="10" t="s">
        <v>242</v>
      </c>
      <c r="X230" s="15">
        <f>IF(ISERROR(VLOOKUP($A230,'13. Updated Demand'!A:Z,15,FALSE)),0,VLOOKUP($A230,'13. Updated Demand'!A:Z,15,FALSE))</f>
        <v>0</v>
      </c>
      <c r="Y230" s="16">
        <f>IF(ISERROR(VLOOKUP($A230,'13. Updated Demand'!A:Z,16,FALSE)),0,VLOOKUP($A230,'13. Updated Demand'!A:Z,16,FALSE))</f>
        <v>0</v>
      </c>
      <c r="Z230" s="16">
        <f>IF(ISERROR(VLOOKUP($A230,'13. Updated Demand'!A:Z,17,FALSE)),0,VLOOKUP($A230,'13. Updated Demand'!A:Z,17,FALSE))</f>
        <v>0</v>
      </c>
      <c r="AA230" s="16">
        <f>IF(ISERROR(VLOOKUP($A230,'13. Updated Demand'!A:Z,18,FALSE)),0,VLOOKUP($A230,'13. Updated Demand'!A:Z,18,FALSE))</f>
        <v>0</v>
      </c>
      <c r="AB230" s="16">
        <f>IF(ISERROR(VLOOKUP($A230,'13. Updated Demand'!A:Z,19,FALSE)),0,VLOOKUP($A230,'13. Updated Demand'!A:Z,19,FALSE))</f>
        <v>0</v>
      </c>
      <c r="AC230" s="16">
        <f>IF(ISERROR(VLOOKUP($A230,'13. Updated Demand'!A:Z,20,FALSE)),0,VLOOKUP($A230,'13. Updated Demand'!A:Z,20,FALSE))</f>
        <v>0</v>
      </c>
      <c r="AD230" s="16">
        <f>IF(ISERROR(VLOOKUP($A230,'13. Updated Demand'!A:Z,21,FALSE)),0,VLOOKUP($A230,'13. Updated Demand'!A:Z,21,FALSE))</f>
        <v>0</v>
      </c>
      <c r="AE230" s="16">
        <f>IF(ISERROR(VLOOKUP($A230,'13. Updated Demand'!A:Z,22,FALSE)),0,VLOOKUP($A230,'13. Updated Demand'!A:Z,22,FALSE))</f>
        <v>0</v>
      </c>
      <c r="AF230" s="16">
        <f>IF(ISERROR(VLOOKUP($A230,'13. Updated Demand'!A:Z,23,FALSE)),0,VLOOKUP($A230,'13. Updated Demand'!A:Z,23,FALSE))</f>
        <v>0</v>
      </c>
      <c r="AG230" s="16">
        <f>IF(ISERROR(VLOOKUP($A230,'13. Updated Demand'!A:Z,24,FALSE)),0,VLOOKUP($A230,'13. Updated Demand'!A:Z,24,FALSE))</f>
        <v>0</v>
      </c>
      <c r="AH230" s="16">
        <f>IF(ISERROR(VLOOKUP($A230,'13. Updated Demand'!A:Z,25,FALSE)),0,VLOOKUP($A230,'13. Updated Demand'!A:Z,25,FALSE))</f>
        <v>0</v>
      </c>
      <c r="AI230" s="16">
        <f>IF(ISERROR(VLOOKUP($A230,'13. Updated Demand'!A:Z,26,FALSE)),0,VLOOKUP($A230,'13. Updated Demand'!A:Z,26,FALSE))</f>
        <v>0</v>
      </c>
      <c r="AJ230" s="16">
        <f t="shared" si="48"/>
        <v>0</v>
      </c>
      <c r="AK230" s="19">
        <v>0</v>
      </c>
      <c r="AL230" s="16">
        <f t="shared" si="46"/>
        <v>0</v>
      </c>
      <c r="AM230" s="17">
        <v>0</v>
      </c>
      <c r="AN230" s="19"/>
      <c r="AO230" s="19"/>
      <c r="AP230" s="19">
        <v>109</v>
      </c>
      <c r="AQ230" s="19" t="s">
        <v>307</v>
      </c>
      <c r="AR230" s="9" t="s">
        <v>317</v>
      </c>
      <c r="AS230" s="12">
        <v>0</v>
      </c>
      <c r="AT230" s="19">
        <v>39.29556934</v>
      </c>
      <c r="AU230" s="19">
        <v>-123.19817872</v>
      </c>
      <c r="AV230" s="19" t="s">
        <v>417</v>
      </c>
    </row>
    <row r="231" spans="1:48" x14ac:dyDescent="0.25">
      <c r="A231" s="18" t="s">
        <v>599</v>
      </c>
      <c r="B231" s="10">
        <v>20010919</v>
      </c>
      <c r="C231" s="9">
        <v>9</v>
      </c>
      <c r="D231" s="8" t="str">
        <f t="shared" si="37"/>
        <v>N</v>
      </c>
      <c r="E231" s="8" t="str">
        <f t="shared" si="38"/>
        <v>Y</v>
      </c>
      <c r="F231" s="8" t="str">
        <f t="shared" si="39"/>
        <v>Y</v>
      </c>
      <c r="G231" s="8" t="str">
        <f t="shared" si="40"/>
        <v>Y</v>
      </c>
      <c r="H231" s="8" t="str">
        <f t="shared" si="41"/>
        <v>Upper</v>
      </c>
      <c r="I231" s="8" t="str">
        <f t="shared" si="42"/>
        <v>West Fork and Below Lake</v>
      </c>
      <c r="J231" s="8" t="str">
        <f t="shared" si="43"/>
        <v>Sonoma (d/s of Clov. Gage)</v>
      </c>
      <c r="K231" s="8" t="str">
        <f t="shared" si="44"/>
        <v>Post-1949</v>
      </c>
      <c r="L231" s="8">
        <f t="shared" si="45"/>
        <v>2001</v>
      </c>
      <c r="M231" s="8" t="str">
        <f t="shared" si="47"/>
        <v>1991-present</v>
      </c>
      <c r="N231" s="10" t="s">
        <v>242</v>
      </c>
      <c r="O231" s="10" t="s">
        <v>241</v>
      </c>
      <c r="P231" s="10" t="s">
        <v>242</v>
      </c>
      <c r="Q231" s="10" t="s">
        <v>242</v>
      </c>
      <c r="R231" s="10" t="s">
        <v>241</v>
      </c>
      <c r="S231" s="10" t="s">
        <v>242</v>
      </c>
      <c r="T231" s="10" t="s">
        <v>241</v>
      </c>
      <c r="U231" s="10" t="s">
        <v>241</v>
      </c>
      <c r="V231" s="10" t="s">
        <v>241</v>
      </c>
      <c r="W231" s="10" t="s">
        <v>242</v>
      </c>
      <c r="X231" s="15">
        <f>IF(ISERROR(VLOOKUP($A231,'13. Updated Demand'!A:Z,15,FALSE)),0,VLOOKUP($A231,'13. Updated Demand'!A:Z,15,FALSE))</f>
        <v>0</v>
      </c>
      <c r="Y231" s="16">
        <f>IF(ISERROR(VLOOKUP($A231,'13. Updated Demand'!A:Z,16,FALSE)),0,VLOOKUP($A231,'13. Updated Demand'!A:Z,16,FALSE))</f>
        <v>0</v>
      </c>
      <c r="Z231" s="16">
        <f>IF(ISERROR(VLOOKUP($A231,'13. Updated Demand'!A:Z,17,FALSE)),0,VLOOKUP($A231,'13. Updated Demand'!A:Z,17,FALSE))</f>
        <v>0</v>
      </c>
      <c r="AA231" s="16">
        <f>IF(ISERROR(VLOOKUP($A231,'13. Updated Demand'!A:Z,18,FALSE)),0,VLOOKUP($A231,'13. Updated Demand'!A:Z,18,FALSE))</f>
        <v>0</v>
      </c>
      <c r="AB231" s="16">
        <f>IF(ISERROR(VLOOKUP($A231,'13. Updated Demand'!A:Z,19,FALSE)),0,VLOOKUP($A231,'13. Updated Demand'!A:Z,19,FALSE))</f>
        <v>0</v>
      </c>
      <c r="AC231" s="16">
        <f>IF(ISERROR(VLOOKUP($A231,'13. Updated Demand'!A:Z,20,FALSE)),0,VLOOKUP($A231,'13. Updated Demand'!A:Z,20,FALSE))</f>
        <v>0</v>
      </c>
      <c r="AD231" s="16">
        <f>IF(ISERROR(VLOOKUP($A231,'13. Updated Demand'!A:Z,21,FALSE)),0,VLOOKUP($A231,'13. Updated Demand'!A:Z,21,FALSE))</f>
        <v>0</v>
      </c>
      <c r="AE231" s="16">
        <f>IF(ISERROR(VLOOKUP($A231,'13. Updated Demand'!A:Z,22,FALSE)),0,VLOOKUP($A231,'13. Updated Demand'!A:Z,22,FALSE))</f>
        <v>0</v>
      </c>
      <c r="AF231" s="16">
        <f>IF(ISERROR(VLOOKUP($A231,'13. Updated Demand'!A:Z,23,FALSE)),0,VLOOKUP($A231,'13. Updated Demand'!A:Z,23,FALSE))</f>
        <v>0</v>
      </c>
      <c r="AG231" s="16">
        <f>IF(ISERROR(VLOOKUP($A231,'13. Updated Demand'!A:Z,24,FALSE)),0,VLOOKUP($A231,'13. Updated Demand'!A:Z,24,FALSE))</f>
        <v>0</v>
      </c>
      <c r="AH231" s="16">
        <f>IF(ISERROR(VLOOKUP($A231,'13. Updated Demand'!A:Z,25,FALSE)),0,VLOOKUP($A231,'13. Updated Demand'!A:Z,25,FALSE))</f>
        <v>0</v>
      </c>
      <c r="AI231" s="16">
        <f>IF(ISERROR(VLOOKUP($A231,'13. Updated Demand'!A:Z,26,FALSE)),0,VLOOKUP($A231,'13. Updated Demand'!A:Z,26,FALSE))</f>
        <v>0</v>
      </c>
      <c r="AJ231" s="16">
        <f t="shared" si="48"/>
        <v>0</v>
      </c>
      <c r="AK231" s="19">
        <v>0</v>
      </c>
      <c r="AL231" s="16">
        <f t="shared" si="46"/>
        <v>0</v>
      </c>
      <c r="AM231" s="17">
        <v>0</v>
      </c>
      <c r="AN231" s="19"/>
      <c r="AO231" s="19"/>
      <c r="AP231" s="19">
        <v>52</v>
      </c>
      <c r="AQ231" s="19" t="s">
        <v>307</v>
      </c>
      <c r="AR231" s="9" t="s">
        <v>354</v>
      </c>
      <c r="AS231" s="12">
        <v>0</v>
      </c>
      <c r="AT231" s="19">
        <v>38.849703669999997</v>
      </c>
      <c r="AU231" s="19">
        <v>-122.99933151</v>
      </c>
      <c r="AV231" s="19" t="s">
        <v>385</v>
      </c>
    </row>
    <row r="232" spans="1:48" x14ac:dyDescent="0.25">
      <c r="A232" s="18" t="s">
        <v>600</v>
      </c>
      <c r="B232" s="10">
        <v>20011116</v>
      </c>
      <c r="C232" s="9">
        <v>6</v>
      </c>
      <c r="D232" s="8" t="str">
        <f t="shared" si="37"/>
        <v>Y</v>
      </c>
      <c r="E232" s="8" t="str">
        <f t="shared" si="38"/>
        <v>N</v>
      </c>
      <c r="F232" s="8" t="str">
        <f t="shared" si="39"/>
        <v>Y</v>
      </c>
      <c r="G232" s="8" t="str">
        <f t="shared" si="40"/>
        <v>Y</v>
      </c>
      <c r="H232" s="8" t="str">
        <f t="shared" si="41"/>
        <v>Upper</v>
      </c>
      <c r="I232" s="8" t="str">
        <f t="shared" si="42"/>
        <v>West Fork and Below Lake</v>
      </c>
      <c r="J232" s="8" t="str">
        <f t="shared" si="43"/>
        <v>Mendocino (d/s of lake)</v>
      </c>
      <c r="K232" s="8" t="str">
        <f t="shared" si="44"/>
        <v>Post-1949</v>
      </c>
      <c r="L232" s="8">
        <f t="shared" si="45"/>
        <v>2001</v>
      </c>
      <c r="M232" s="8" t="str">
        <f t="shared" si="47"/>
        <v>1991-present</v>
      </c>
      <c r="N232" s="10" t="s">
        <v>241</v>
      </c>
      <c r="O232" s="10" t="s">
        <v>241</v>
      </c>
      <c r="P232" s="10" t="s">
        <v>242</v>
      </c>
      <c r="Q232" s="10" t="s">
        <v>242</v>
      </c>
      <c r="R232" s="10" t="s">
        <v>241</v>
      </c>
      <c r="S232" s="10" t="s">
        <v>242</v>
      </c>
      <c r="T232" s="10" t="s">
        <v>241</v>
      </c>
      <c r="U232" s="10" t="s">
        <v>241</v>
      </c>
      <c r="V232" s="10" t="s">
        <v>241</v>
      </c>
      <c r="W232" s="10" t="s">
        <v>242</v>
      </c>
      <c r="X232" s="15">
        <f>IF(ISERROR(VLOOKUP($A232,'13. Updated Demand'!A:Z,15,FALSE)),0,VLOOKUP($A232,'13. Updated Demand'!A:Z,15,FALSE))</f>
        <v>0</v>
      </c>
      <c r="Y232" s="16">
        <f>IF(ISERROR(VLOOKUP($A232,'13. Updated Demand'!A:Z,16,FALSE)),0,VLOOKUP($A232,'13. Updated Demand'!A:Z,16,FALSE))</f>
        <v>0</v>
      </c>
      <c r="Z232" s="16">
        <f>IF(ISERROR(VLOOKUP($A232,'13. Updated Demand'!A:Z,17,FALSE)),0,VLOOKUP($A232,'13. Updated Demand'!A:Z,17,FALSE))</f>
        <v>0</v>
      </c>
      <c r="AA232" s="16">
        <f>IF(ISERROR(VLOOKUP($A232,'13. Updated Demand'!A:Z,18,FALSE)),0,VLOOKUP($A232,'13. Updated Demand'!A:Z,18,FALSE))</f>
        <v>0</v>
      </c>
      <c r="AB232" s="16">
        <f>IF(ISERROR(VLOOKUP($A232,'13. Updated Demand'!A:Z,19,FALSE)),0,VLOOKUP($A232,'13. Updated Demand'!A:Z,19,FALSE))</f>
        <v>0</v>
      </c>
      <c r="AC232" s="16">
        <f>IF(ISERROR(VLOOKUP($A232,'13. Updated Demand'!A:Z,20,FALSE)),0,VLOOKUP($A232,'13. Updated Demand'!A:Z,20,FALSE))</f>
        <v>0</v>
      </c>
      <c r="AD232" s="16">
        <f>IF(ISERROR(VLOOKUP($A232,'13. Updated Demand'!A:Z,21,FALSE)),0,VLOOKUP($A232,'13. Updated Demand'!A:Z,21,FALSE))</f>
        <v>0</v>
      </c>
      <c r="AE232" s="16">
        <f>IF(ISERROR(VLOOKUP($A232,'13. Updated Demand'!A:Z,22,FALSE)),0,VLOOKUP($A232,'13. Updated Demand'!A:Z,22,FALSE))</f>
        <v>0</v>
      </c>
      <c r="AF232" s="16">
        <f>IF(ISERROR(VLOOKUP($A232,'13. Updated Demand'!A:Z,23,FALSE)),0,VLOOKUP($A232,'13. Updated Demand'!A:Z,23,FALSE))</f>
        <v>0</v>
      </c>
      <c r="AG232" s="16">
        <f>IF(ISERROR(VLOOKUP($A232,'13. Updated Demand'!A:Z,24,FALSE)),0,VLOOKUP($A232,'13. Updated Demand'!A:Z,24,FALSE))</f>
        <v>0</v>
      </c>
      <c r="AH232" s="16">
        <f>IF(ISERROR(VLOOKUP($A232,'13. Updated Demand'!A:Z,25,FALSE)),0,VLOOKUP($A232,'13. Updated Demand'!A:Z,25,FALSE))</f>
        <v>0</v>
      </c>
      <c r="AI232" s="16">
        <f>IF(ISERROR(VLOOKUP($A232,'13. Updated Demand'!A:Z,26,FALSE)),0,VLOOKUP($A232,'13. Updated Demand'!A:Z,26,FALSE))</f>
        <v>0</v>
      </c>
      <c r="AJ232" s="16">
        <f t="shared" si="48"/>
        <v>0</v>
      </c>
      <c r="AK232" s="19">
        <v>0</v>
      </c>
      <c r="AL232" s="16">
        <f t="shared" si="46"/>
        <v>0</v>
      </c>
      <c r="AM232" s="17">
        <v>0</v>
      </c>
      <c r="AN232" s="19"/>
      <c r="AO232" s="19"/>
      <c r="AP232" s="19">
        <v>123</v>
      </c>
      <c r="AQ232" s="19" t="s">
        <v>307</v>
      </c>
      <c r="AR232" s="9" t="s">
        <v>319</v>
      </c>
      <c r="AS232" s="12">
        <v>0</v>
      </c>
      <c r="AT232" s="19">
        <v>38.983488020000003</v>
      </c>
      <c r="AU232" s="19">
        <v>-123.10331699</v>
      </c>
      <c r="AV232" s="19" t="s">
        <v>387</v>
      </c>
    </row>
    <row r="233" spans="1:48" x14ac:dyDescent="0.25">
      <c r="A233" s="18" t="s">
        <v>601</v>
      </c>
      <c r="B233" s="10">
        <v>20010221</v>
      </c>
      <c r="C233" s="9">
        <v>4</v>
      </c>
      <c r="D233" s="8" t="str">
        <f t="shared" si="37"/>
        <v>Y</v>
      </c>
      <c r="E233" s="8" t="str">
        <f t="shared" si="38"/>
        <v>N</v>
      </c>
      <c r="F233" s="8" t="str">
        <f t="shared" si="39"/>
        <v>Y</v>
      </c>
      <c r="G233" s="8" t="str">
        <f t="shared" si="40"/>
        <v>Y</v>
      </c>
      <c r="H233" s="8" t="str">
        <f t="shared" si="41"/>
        <v>Upper</v>
      </c>
      <c r="I233" s="8" t="str">
        <f t="shared" si="42"/>
        <v>West Fork and Below Lake</v>
      </c>
      <c r="J233" s="8" t="str">
        <f t="shared" si="43"/>
        <v>Mendocino (d/s of lake)</v>
      </c>
      <c r="K233" s="8" t="str">
        <f t="shared" si="44"/>
        <v>Post-1949</v>
      </c>
      <c r="L233" s="8">
        <f t="shared" si="45"/>
        <v>2001</v>
      </c>
      <c r="M233" s="8" t="str">
        <f t="shared" si="47"/>
        <v>1991-present</v>
      </c>
      <c r="N233" s="10" t="s">
        <v>241</v>
      </c>
      <c r="O233" s="10" t="s">
        <v>241</v>
      </c>
      <c r="P233" s="10" t="s">
        <v>242</v>
      </c>
      <c r="Q233" s="10" t="s">
        <v>242</v>
      </c>
      <c r="R233" s="10" t="s">
        <v>241</v>
      </c>
      <c r="S233" s="10" t="s">
        <v>242</v>
      </c>
      <c r="T233" s="10" t="s">
        <v>241</v>
      </c>
      <c r="U233" s="10" t="s">
        <v>241</v>
      </c>
      <c r="V233" s="10" t="s">
        <v>241</v>
      </c>
      <c r="W233" s="10" t="s">
        <v>242</v>
      </c>
      <c r="X233" s="15">
        <f>IF(ISERROR(VLOOKUP($A233,'13. Updated Demand'!A:Z,15,FALSE)),0,VLOOKUP($A233,'13. Updated Demand'!A:Z,15,FALSE))</f>
        <v>0</v>
      </c>
      <c r="Y233" s="16">
        <f>IF(ISERROR(VLOOKUP($A233,'13. Updated Demand'!A:Z,16,FALSE)),0,VLOOKUP($A233,'13. Updated Demand'!A:Z,16,FALSE))</f>
        <v>0</v>
      </c>
      <c r="Z233" s="16">
        <f>IF(ISERROR(VLOOKUP($A233,'13. Updated Demand'!A:Z,17,FALSE)),0,VLOOKUP($A233,'13. Updated Demand'!A:Z,17,FALSE))</f>
        <v>0</v>
      </c>
      <c r="AA233" s="16">
        <f>IF(ISERROR(VLOOKUP($A233,'13. Updated Demand'!A:Z,18,FALSE)),0,VLOOKUP($A233,'13. Updated Demand'!A:Z,18,FALSE))</f>
        <v>0</v>
      </c>
      <c r="AB233" s="16">
        <f>IF(ISERROR(VLOOKUP($A233,'13. Updated Demand'!A:Z,19,FALSE)),0,VLOOKUP($A233,'13. Updated Demand'!A:Z,19,FALSE))</f>
        <v>0</v>
      </c>
      <c r="AC233" s="16">
        <f>IF(ISERROR(VLOOKUP($A233,'13. Updated Demand'!A:Z,20,FALSE)),0,VLOOKUP($A233,'13. Updated Demand'!A:Z,20,FALSE))</f>
        <v>0</v>
      </c>
      <c r="AD233" s="16">
        <f>IF(ISERROR(VLOOKUP($A233,'13. Updated Demand'!A:Z,21,FALSE)),0,VLOOKUP($A233,'13. Updated Demand'!A:Z,21,FALSE))</f>
        <v>0</v>
      </c>
      <c r="AE233" s="16">
        <f>IF(ISERROR(VLOOKUP($A233,'13. Updated Demand'!A:Z,22,FALSE)),0,VLOOKUP($A233,'13. Updated Demand'!A:Z,22,FALSE))</f>
        <v>0</v>
      </c>
      <c r="AF233" s="16">
        <f>IF(ISERROR(VLOOKUP($A233,'13. Updated Demand'!A:Z,23,FALSE)),0,VLOOKUP($A233,'13. Updated Demand'!A:Z,23,FALSE))</f>
        <v>0</v>
      </c>
      <c r="AG233" s="16">
        <f>IF(ISERROR(VLOOKUP($A233,'13. Updated Demand'!A:Z,24,FALSE)),0,VLOOKUP($A233,'13. Updated Demand'!A:Z,24,FALSE))</f>
        <v>0</v>
      </c>
      <c r="AH233" s="16">
        <f>IF(ISERROR(VLOOKUP($A233,'13. Updated Demand'!A:Z,25,FALSE)),0,VLOOKUP($A233,'13. Updated Demand'!A:Z,25,FALSE))</f>
        <v>0</v>
      </c>
      <c r="AI233" s="16">
        <f>IF(ISERROR(VLOOKUP($A233,'13. Updated Demand'!A:Z,26,FALSE)),0,VLOOKUP($A233,'13. Updated Demand'!A:Z,26,FALSE))</f>
        <v>0</v>
      </c>
      <c r="AJ233" s="16">
        <f t="shared" si="48"/>
        <v>0</v>
      </c>
      <c r="AK233" s="19">
        <v>0</v>
      </c>
      <c r="AL233" s="16">
        <f t="shared" si="46"/>
        <v>0</v>
      </c>
      <c r="AM233" s="17">
        <v>0</v>
      </c>
      <c r="AN233" s="19"/>
      <c r="AO233" s="19"/>
      <c r="AP233" s="19">
        <v>30</v>
      </c>
      <c r="AQ233" s="19" t="s">
        <v>307</v>
      </c>
      <c r="AR233" s="9" t="s">
        <v>331</v>
      </c>
      <c r="AS233" s="12">
        <v>3.4039024194010059E-4</v>
      </c>
      <c r="AT233" s="19">
        <v>39.173400000000001</v>
      </c>
      <c r="AU233" s="19">
        <v>-123.19499999999999</v>
      </c>
      <c r="AV233" s="19"/>
    </row>
    <row r="234" spans="1:48" x14ac:dyDescent="0.25">
      <c r="A234" s="18" t="s">
        <v>602</v>
      </c>
      <c r="B234" s="10">
        <v>20011130</v>
      </c>
      <c r="C234" s="9">
        <v>1</v>
      </c>
      <c r="D234" s="8" t="str">
        <f t="shared" si="37"/>
        <v>N</v>
      </c>
      <c r="E234" s="8" t="str">
        <f t="shared" si="38"/>
        <v>N</v>
      </c>
      <c r="F234" s="8" t="str">
        <f t="shared" si="39"/>
        <v>Y</v>
      </c>
      <c r="G234" s="8" t="str">
        <f t="shared" si="40"/>
        <v>Y</v>
      </c>
      <c r="H234" s="8" t="str">
        <f t="shared" si="41"/>
        <v>Upper</v>
      </c>
      <c r="I234" s="8" t="str">
        <f t="shared" si="42"/>
        <v>West Fork and Below Lake</v>
      </c>
      <c r="J234" s="8" t="str">
        <f t="shared" si="43"/>
        <v>Outside</v>
      </c>
      <c r="K234" s="8" t="str">
        <f t="shared" si="44"/>
        <v>Post-1949</v>
      </c>
      <c r="L234" s="8">
        <f t="shared" si="45"/>
        <v>2001</v>
      </c>
      <c r="M234" s="8" t="str">
        <f t="shared" si="47"/>
        <v>1991-present</v>
      </c>
      <c r="N234" s="10" t="s">
        <v>242</v>
      </c>
      <c r="O234" s="10" t="s">
        <v>241</v>
      </c>
      <c r="P234" s="10" t="s">
        <v>242</v>
      </c>
      <c r="Q234" s="10" t="s">
        <v>242</v>
      </c>
      <c r="R234" s="10" t="s">
        <v>241</v>
      </c>
      <c r="S234" s="10" t="s">
        <v>242</v>
      </c>
      <c r="T234" s="10" t="s">
        <v>241</v>
      </c>
      <c r="U234" s="10" t="s">
        <v>241</v>
      </c>
      <c r="V234" s="10" t="s">
        <v>241</v>
      </c>
      <c r="W234" s="10" t="s">
        <v>242</v>
      </c>
      <c r="X234" s="15">
        <f>IF(ISERROR(VLOOKUP($A234,'13. Updated Demand'!A:Z,15,FALSE)),0,VLOOKUP($A234,'13. Updated Demand'!A:Z,15,FALSE))</f>
        <v>0</v>
      </c>
      <c r="Y234" s="16">
        <f>IF(ISERROR(VLOOKUP($A234,'13. Updated Demand'!A:Z,16,FALSE)),0,VLOOKUP($A234,'13. Updated Demand'!A:Z,16,FALSE))</f>
        <v>0</v>
      </c>
      <c r="Z234" s="16">
        <f>IF(ISERROR(VLOOKUP($A234,'13. Updated Demand'!A:Z,17,FALSE)),0,VLOOKUP($A234,'13. Updated Demand'!A:Z,17,FALSE))</f>
        <v>0</v>
      </c>
      <c r="AA234" s="16">
        <f>IF(ISERROR(VLOOKUP($A234,'13. Updated Demand'!A:Z,18,FALSE)),0,VLOOKUP($A234,'13. Updated Demand'!A:Z,18,FALSE))</f>
        <v>0</v>
      </c>
      <c r="AB234" s="16">
        <f>IF(ISERROR(VLOOKUP($A234,'13. Updated Demand'!A:Z,19,FALSE)),0,VLOOKUP($A234,'13. Updated Demand'!A:Z,19,FALSE))</f>
        <v>0</v>
      </c>
      <c r="AC234" s="16">
        <f>IF(ISERROR(VLOOKUP($A234,'13. Updated Demand'!A:Z,20,FALSE)),0,VLOOKUP($A234,'13. Updated Demand'!A:Z,20,FALSE))</f>
        <v>0</v>
      </c>
      <c r="AD234" s="16">
        <f>IF(ISERROR(VLOOKUP($A234,'13. Updated Demand'!A:Z,21,FALSE)),0,VLOOKUP($A234,'13. Updated Demand'!A:Z,21,FALSE))</f>
        <v>0</v>
      </c>
      <c r="AE234" s="16">
        <f>IF(ISERROR(VLOOKUP($A234,'13. Updated Demand'!A:Z,22,FALSE)),0,VLOOKUP($A234,'13. Updated Demand'!A:Z,22,FALSE))</f>
        <v>0</v>
      </c>
      <c r="AF234" s="16">
        <f>IF(ISERROR(VLOOKUP($A234,'13. Updated Demand'!A:Z,23,FALSE)),0,VLOOKUP($A234,'13. Updated Demand'!A:Z,23,FALSE))</f>
        <v>0</v>
      </c>
      <c r="AG234" s="16">
        <f>IF(ISERROR(VLOOKUP($A234,'13. Updated Demand'!A:Z,24,FALSE)),0,VLOOKUP($A234,'13. Updated Demand'!A:Z,24,FALSE))</f>
        <v>0</v>
      </c>
      <c r="AH234" s="16">
        <f>IF(ISERROR(VLOOKUP($A234,'13. Updated Demand'!A:Z,25,FALSE)),0,VLOOKUP($A234,'13. Updated Demand'!A:Z,25,FALSE))</f>
        <v>0</v>
      </c>
      <c r="AI234" s="16">
        <f>IF(ISERROR(VLOOKUP($A234,'13. Updated Demand'!A:Z,26,FALSE)),0,VLOOKUP($A234,'13. Updated Demand'!A:Z,26,FALSE))</f>
        <v>0</v>
      </c>
      <c r="AJ234" s="16">
        <f t="shared" si="48"/>
        <v>0</v>
      </c>
      <c r="AK234" s="19">
        <v>0</v>
      </c>
      <c r="AL234" s="16">
        <f t="shared" si="46"/>
        <v>0</v>
      </c>
      <c r="AM234" s="17">
        <v>0</v>
      </c>
      <c r="AN234" s="19"/>
      <c r="AO234" s="19"/>
      <c r="AP234" s="19">
        <v>136</v>
      </c>
      <c r="AQ234" s="19" t="s">
        <v>307</v>
      </c>
      <c r="AR234" s="9" t="s">
        <v>317</v>
      </c>
      <c r="AS234" s="12">
        <v>3.4039024194010059E-4</v>
      </c>
      <c r="AT234" s="19">
        <v>39.293399999999998</v>
      </c>
      <c r="AU234" s="19">
        <v>-123.26009999999999</v>
      </c>
      <c r="AV234" s="19" t="s">
        <v>417</v>
      </c>
    </row>
    <row r="235" spans="1:48" x14ac:dyDescent="0.25">
      <c r="A235" s="18" t="s">
        <v>603</v>
      </c>
      <c r="B235" s="10">
        <v>20011214</v>
      </c>
      <c r="C235" s="9">
        <v>5</v>
      </c>
      <c r="D235" s="8" t="str">
        <f t="shared" si="37"/>
        <v>Y</v>
      </c>
      <c r="E235" s="8" t="str">
        <f t="shared" si="38"/>
        <v>N</v>
      </c>
      <c r="F235" s="8" t="str">
        <f t="shared" si="39"/>
        <v>Y</v>
      </c>
      <c r="G235" s="8" t="str">
        <f t="shared" si="40"/>
        <v>Y</v>
      </c>
      <c r="H235" s="8" t="str">
        <f t="shared" si="41"/>
        <v>Upper</v>
      </c>
      <c r="I235" s="8" t="str">
        <f t="shared" si="42"/>
        <v>West Fork and Below Lake</v>
      </c>
      <c r="J235" s="8" t="str">
        <f t="shared" si="43"/>
        <v>Mendocino (d/s of lake)</v>
      </c>
      <c r="K235" s="8" t="str">
        <f t="shared" si="44"/>
        <v>Post-1949</v>
      </c>
      <c r="L235" s="8">
        <f t="shared" si="45"/>
        <v>2001</v>
      </c>
      <c r="M235" s="8" t="str">
        <f t="shared" si="47"/>
        <v>1991-present</v>
      </c>
      <c r="N235" s="10" t="s">
        <v>241</v>
      </c>
      <c r="O235" s="10" t="s">
        <v>241</v>
      </c>
      <c r="P235" s="10" t="s">
        <v>242</v>
      </c>
      <c r="Q235" s="10" t="s">
        <v>242</v>
      </c>
      <c r="R235" s="10" t="s">
        <v>241</v>
      </c>
      <c r="S235" s="10" t="s">
        <v>242</v>
      </c>
      <c r="T235" s="10" t="s">
        <v>241</v>
      </c>
      <c r="U235" s="10" t="s">
        <v>241</v>
      </c>
      <c r="V235" s="10" t="s">
        <v>241</v>
      </c>
      <c r="W235" s="10" t="s">
        <v>242</v>
      </c>
      <c r="X235" s="15">
        <f>IF(ISERROR(VLOOKUP($A235,'13. Updated Demand'!A:Z,15,FALSE)),0,VLOOKUP($A235,'13. Updated Demand'!A:Z,15,FALSE))</f>
        <v>0</v>
      </c>
      <c r="Y235" s="16">
        <f>IF(ISERROR(VLOOKUP($A235,'13. Updated Demand'!A:Z,16,FALSE)),0,VLOOKUP($A235,'13. Updated Demand'!A:Z,16,FALSE))</f>
        <v>0</v>
      </c>
      <c r="Z235" s="16">
        <f>IF(ISERROR(VLOOKUP($A235,'13. Updated Demand'!A:Z,17,FALSE)),0,VLOOKUP($A235,'13. Updated Demand'!A:Z,17,FALSE))</f>
        <v>0</v>
      </c>
      <c r="AA235" s="16">
        <f>IF(ISERROR(VLOOKUP($A235,'13. Updated Demand'!A:Z,18,FALSE)),0,VLOOKUP($A235,'13. Updated Demand'!A:Z,18,FALSE))</f>
        <v>0</v>
      </c>
      <c r="AB235" s="16">
        <f>IF(ISERROR(VLOOKUP($A235,'13. Updated Demand'!A:Z,19,FALSE)),0,VLOOKUP($A235,'13. Updated Demand'!A:Z,19,FALSE))</f>
        <v>0</v>
      </c>
      <c r="AC235" s="16">
        <f>IF(ISERROR(VLOOKUP($A235,'13. Updated Demand'!A:Z,20,FALSE)),0,VLOOKUP($A235,'13. Updated Demand'!A:Z,20,FALSE))</f>
        <v>0</v>
      </c>
      <c r="AD235" s="16">
        <f>IF(ISERROR(VLOOKUP($A235,'13. Updated Demand'!A:Z,21,FALSE)),0,VLOOKUP($A235,'13. Updated Demand'!A:Z,21,FALSE))</f>
        <v>0</v>
      </c>
      <c r="AE235" s="16">
        <f>IF(ISERROR(VLOOKUP($A235,'13. Updated Demand'!A:Z,22,FALSE)),0,VLOOKUP($A235,'13. Updated Demand'!A:Z,22,FALSE))</f>
        <v>0</v>
      </c>
      <c r="AF235" s="16">
        <f>IF(ISERROR(VLOOKUP($A235,'13. Updated Demand'!A:Z,23,FALSE)),0,VLOOKUP($A235,'13. Updated Demand'!A:Z,23,FALSE))</f>
        <v>0</v>
      </c>
      <c r="AG235" s="16">
        <f>IF(ISERROR(VLOOKUP($A235,'13. Updated Demand'!A:Z,24,FALSE)),0,VLOOKUP($A235,'13. Updated Demand'!A:Z,24,FALSE))</f>
        <v>0</v>
      </c>
      <c r="AH235" s="16">
        <f>IF(ISERROR(VLOOKUP($A235,'13. Updated Demand'!A:Z,25,FALSE)),0,VLOOKUP($A235,'13. Updated Demand'!A:Z,25,FALSE))</f>
        <v>0</v>
      </c>
      <c r="AI235" s="16">
        <f>IF(ISERROR(VLOOKUP($A235,'13. Updated Demand'!A:Z,26,FALSE)),0,VLOOKUP($A235,'13. Updated Demand'!A:Z,26,FALSE))</f>
        <v>0</v>
      </c>
      <c r="AJ235" s="16">
        <f t="shared" si="48"/>
        <v>0</v>
      </c>
      <c r="AK235" s="19">
        <v>0</v>
      </c>
      <c r="AL235" s="16">
        <f t="shared" si="46"/>
        <v>0</v>
      </c>
      <c r="AM235" s="17">
        <v>0</v>
      </c>
      <c r="AN235" s="19"/>
      <c r="AO235" s="19"/>
      <c r="AP235" s="19">
        <v>206</v>
      </c>
      <c r="AQ235" s="19" t="s">
        <v>307</v>
      </c>
      <c r="AR235" s="9" t="s">
        <v>333</v>
      </c>
      <c r="AS235" s="12">
        <v>3.4039024194010059E-4</v>
      </c>
      <c r="AT235" s="19">
        <v>39.043100000000003</v>
      </c>
      <c r="AU235" s="19">
        <v>-123.1464</v>
      </c>
      <c r="AV235" s="19" t="s">
        <v>387</v>
      </c>
    </row>
    <row r="236" spans="1:48" x14ac:dyDescent="0.25">
      <c r="A236" s="18" t="s">
        <v>604</v>
      </c>
      <c r="B236" s="10">
        <v>20011214</v>
      </c>
      <c r="C236" s="9">
        <v>5</v>
      </c>
      <c r="D236" s="8" t="str">
        <f t="shared" si="37"/>
        <v>Y</v>
      </c>
      <c r="E236" s="8" t="str">
        <f t="shared" si="38"/>
        <v>N</v>
      </c>
      <c r="F236" s="8" t="str">
        <f t="shared" si="39"/>
        <v>Y</v>
      </c>
      <c r="G236" s="8" t="str">
        <f t="shared" si="40"/>
        <v>Y</v>
      </c>
      <c r="H236" s="8" t="str">
        <f t="shared" si="41"/>
        <v>Upper</v>
      </c>
      <c r="I236" s="8" t="str">
        <f t="shared" si="42"/>
        <v>West Fork and Below Lake</v>
      </c>
      <c r="J236" s="8" t="str">
        <f t="shared" si="43"/>
        <v>Mendocino (d/s of lake)</v>
      </c>
      <c r="K236" s="8" t="str">
        <f t="shared" si="44"/>
        <v>Post-1949</v>
      </c>
      <c r="L236" s="8">
        <f t="shared" si="45"/>
        <v>2001</v>
      </c>
      <c r="M236" s="8" t="str">
        <f t="shared" si="47"/>
        <v>1991-present</v>
      </c>
      <c r="N236" s="10" t="s">
        <v>241</v>
      </c>
      <c r="O236" s="10" t="s">
        <v>241</v>
      </c>
      <c r="P236" s="10" t="s">
        <v>242</v>
      </c>
      <c r="Q236" s="10" t="s">
        <v>242</v>
      </c>
      <c r="R236" s="10" t="s">
        <v>241</v>
      </c>
      <c r="S236" s="10" t="s">
        <v>242</v>
      </c>
      <c r="T236" s="10" t="s">
        <v>241</v>
      </c>
      <c r="U236" s="10" t="s">
        <v>241</v>
      </c>
      <c r="V236" s="10" t="s">
        <v>241</v>
      </c>
      <c r="W236" s="10" t="s">
        <v>242</v>
      </c>
      <c r="X236" s="15">
        <f>IF(ISERROR(VLOOKUP($A236,'13. Updated Demand'!A:Z,15,FALSE)),0,VLOOKUP($A236,'13. Updated Demand'!A:Z,15,FALSE))</f>
        <v>0</v>
      </c>
      <c r="Y236" s="16">
        <f>IF(ISERROR(VLOOKUP($A236,'13. Updated Demand'!A:Z,16,FALSE)),0,VLOOKUP($A236,'13. Updated Demand'!A:Z,16,FALSE))</f>
        <v>0</v>
      </c>
      <c r="Z236" s="16">
        <f>IF(ISERROR(VLOOKUP($A236,'13. Updated Demand'!A:Z,17,FALSE)),0,VLOOKUP($A236,'13. Updated Demand'!A:Z,17,FALSE))</f>
        <v>0</v>
      </c>
      <c r="AA236" s="16">
        <f>IF(ISERROR(VLOOKUP($A236,'13. Updated Demand'!A:Z,18,FALSE)),0,VLOOKUP($A236,'13. Updated Demand'!A:Z,18,FALSE))</f>
        <v>0</v>
      </c>
      <c r="AB236" s="16">
        <f>IF(ISERROR(VLOOKUP($A236,'13. Updated Demand'!A:Z,19,FALSE)),0,VLOOKUP($A236,'13. Updated Demand'!A:Z,19,FALSE))</f>
        <v>0</v>
      </c>
      <c r="AC236" s="16">
        <f>IF(ISERROR(VLOOKUP($A236,'13. Updated Demand'!A:Z,20,FALSE)),0,VLOOKUP($A236,'13. Updated Demand'!A:Z,20,FALSE))</f>
        <v>0</v>
      </c>
      <c r="AD236" s="16">
        <f>IF(ISERROR(VLOOKUP($A236,'13. Updated Demand'!A:Z,21,FALSE)),0,VLOOKUP($A236,'13. Updated Demand'!A:Z,21,FALSE))</f>
        <v>0</v>
      </c>
      <c r="AE236" s="16">
        <f>IF(ISERROR(VLOOKUP($A236,'13. Updated Demand'!A:Z,22,FALSE)),0,VLOOKUP($A236,'13. Updated Demand'!A:Z,22,FALSE))</f>
        <v>0</v>
      </c>
      <c r="AF236" s="16">
        <f>IF(ISERROR(VLOOKUP($A236,'13. Updated Demand'!A:Z,23,FALSE)),0,VLOOKUP($A236,'13. Updated Demand'!A:Z,23,FALSE))</f>
        <v>0</v>
      </c>
      <c r="AG236" s="16">
        <f>IF(ISERROR(VLOOKUP($A236,'13. Updated Demand'!A:Z,24,FALSE)),0,VLOOKUP($A236,'13. Updated Demand'!A:Z,24,FALSE))</f>
        <v>0</v>
      </c>
      <c r="AH236" s="16">
        <f>IF(ISERROR(VLOOKUP($A236,'13. Updated Demand'!A:Z,25,FALSE)),0,VLOOKUP($A236,'13. Updated Demand'!A:Z,25,FALSE))</f>
        <v>0</v>
      </c>
      <c r="AI236" s="16">
        <f>IF(ISERROR(VLOOKUP($A236,'13. Updated Demand'!A:Z,26,FALSE)),0,VLOOKUP($A236,'13. Updated Demand'!A:Z,26,FALSE))</f>
        <v>0</v>
      </c>
      <c r="AJ236" s="16">
        <f t="shared" si="48"/>
        <v>0</v>
      </c>
      <c r="AK236" s="19">
        <v>0</v>
      </c>
      <c r="AL236" s="16">
        <f t="shared" si="46"/>
        <v>0</v>
      </c>
      <c r="AM236" s="17">
        <v>0</v>
      </c>
      <c r="AN236" s="19"/>
      <c r="AO236" s="19"/>
      <c r="AP236" s="19">
        <v>60</v>
      </c>
      <c r="AQ236" s="19" t="s">
        <v>307</v>
      </c>
      <c r="AR236" s="9" t="s">
        <v>333</v>
      </c>
      <c r="AS236" s="12">
        <v>0</v>
      </c>
      <c r="AT236" s="19">
        <v>39.035303290000002</v>
      </c>
      <c r="AU236" s="19">
        <v>-123.12893382</v>
      </c>
      <c r="AV236" s="19" t="s">
        <v>548</v>
      </c>
    </row>
    <row r="237" spans="1:48" x14ac:dyDescent="0.25">
      <c r="A237" s="18" t="s">
        <v>605</v>
      </c>
      <c r="B237" s="10">
        <v>20010801</v>
      </c>
      <c r="C237" s="9">
        <v>4</v>
      </c>
      <c r="D237" s="8" t="str">
        <f t="shared" si="37"/>
        <v>Y</v>
      </c>
      <c r="E237" s="8" t="str">
        <f t="shared" si="38"/>
        <v>N</v>
      </c>
      <c r="F237" s="8" t="str">
        <f t="shared" si="39"/>
        <v>Y</v>
      </c>
      <c r="G237" s="8" t="str">
        <f t="shared" si="40"/>
        <v>Y</v>
      </c>
      <c r="H237" s="8" t="str">
        <f t="shared" si="41"/>
        <v>Upper</v>
      </c>
      <c r="I237" s="8" t="str">
        <f t="shared" si="42"/>
        <v>West Fork and Below Lake</v>
      </c>
      <c r="J237" s="8" t="str">
        <f t="shared" si="43"/>
        <v>Mendocino (d/s of lake)</v>
      </c>
      <c r="K237" s="8" t="str">
        <f t="shared" si="44"/>
        <v>Post-1949</v>
      </c>
      <c r="L237" s="8">
        <f t="shared" si="45"/>
        <v>2001</v>
      </c>
      <c r="M237" s="8" t="str">
        <f t="shared" si="47"/>
        <v>1991-present</v>
      </c>
      <c r="N237" s="10" t="s">
        <v>241</v>
      </c>
      <c r="O237" s="10" t="s">
        <v>241</v>
      </c>
      <c r="P237" s="10" t="s">
        <v>242</v>
      </c>
      <c r="Q237" s="10" t="s">
        <v>242</v>
      </c>
      <c r="R237" s="10" t="s">
        <v>241</v>
      </c>
      <c r="S237" s="10" t="s">
        <v>242</v>
      </c>
      <c r="T237" s="10" t="s">
        <v>241</v>
      </c>
      <c r="U237" s="10" t="s">
        <v>241</v>
      </c>
      <c r="V237" s="10" t="s">
        <v>241</v>
      </c>
      <c r="W237" s="10" t="s">
        <v>242</v>
      </c>
      <c r="X237" s="15">
        <f>IF(ISERROR(VLOOKUP($A237,'13. Updated Demand'!A:Z,15,FALSE)),0,VLOOKUP($A237,'13. Updated Demand'!A:Z,15,FALSE))</f>
        <v>0</v>
      </c>
      <c r="Y237" s="16">
        <f>IF(ISERROR(VLOOKUP($A237,'13. Updated Demand'!A:Z,16,FALSE)),0,VLOOKUP($A237,'13. Updated Demand'!A:Z,16,FALSE))</f>
        <v>0</v>
      </c>
      <c r="Z237" s="16">
        <f>IF(ISERROR(VLOOKUP($A237,'13. Updated Demand'!A:Z,17,FALSE)),0,VLOOKUP($A237,'13. Updated Demand'!A:Z,17,FALSE))</f>
        <v>0</v>
      </c>
      <c r="AA237" s="16">
        <f>IF(ISERROR(VLOOKUP($A237,'13. Updated Demand'!A:Z,18,FALSE)),0,VLOOKUP($A237,'13. Updated Demand'!A:Z,18,FALSE))</f>
        <v>0</v>
      </c>
      <c r="AB237" s="16">
        <f>IF(ISERROR(VLOOKUP($A237,'13. Updated Demand'!A:Z,19,FALSE)),0,VLOOKUP($A237,'13. Updated Demand'!A:Z,19,FALSE))</f>
        <v>0</v>
      </c>
      <c r="AC237" s="16">
        <f>IF(ISERROR(VLOOKUP($A237,'13. Updated Demand'!A:Z,20,FALSE)),0,VLOOKUP($A237,'13. Updated Demand'!A:Z,20,FALSE))</f>
        <v>0</v>
      </c>
      <c r="AD237" s="16">
        <f>IF(ISERROR(VLOOKUP($A237,'13. Updated Demand'!A:Z,21,FALSE)),0,VLOOKUP($A237,'13. Updated Demand'!A:Z,21,FALSE))</f>
        <v>0</v>
      </c>
      <c r="AE237" s="16">
        <f>IF(ISERROR(VLOOKUP($A237,'13. Updated Demand'!A:Z,22,FALSE)),0,VLOOKUP($A237,'13. Updated Demand'!A:Z,22,FALSE))</f>
        <v>0</v>
      </c>
      <c r="AF237" s="16">
        <f>IF(ISERROR(VLOOKUP($A237,'13. Updated Demand'!A:Z,23,FALSE)),0,VLOOKUP($A237,'13. Updated Demand'!A:Z,23,FALSE))</f>
        <v>0</v>
      </c>
      <c r="AG237" s="16">
        <f>IF(ISERROR(VLOOKUP($A237,'13. Updated Demand'!A:Z,24,FALSE)),0,VLOOKUP($A237,'13. Updated Demand'!A:Z,24,FALSE))</f>
        <v>0</v>
      </c>
      <c r="AH237" s="16">
        <f>IF(ISERROR(VLOOKUP($A237,'13. Updated Demand'!A:Z,25,FALSE)),0,VLOOKUP($A237,'13. Updated Demand'!A:Z,25,FALSE))</f>
        <v>0</v>
      </c>
      <c r="AI237" s="16">
        <f>IF(ISERROR(VLOOKUP($A237,'13. Updated Demand'!A:Z,26,FALSE)),0,VLOOKUP($A237,'13. Updated Demand'!A:Z,26,FALSE))</f>
        <v>0</v>
      </c>
      <c r="AJ237" s="16">
        <f t="shared" si="48"/>
        <v>0</v>
      </c>
      <c r="AK237" s="19">
        <v>0</v>
      </c>
      <c r="AL237" s="16">
        <f t="shared" si="46"/>
        <v>0</v>
      </c>
      <c r="AM237" s="17">
        <v>0</v>
      </c>
      <c r="AN237" s="19"/>
      <c r="AO237" s="19"/>
      <c r="AP237" s="19">
        <v>665</v>
      </c>
      <c r="AQ237" s="19" t="s">
        <v>307</v>
      </c>
      <c r="AR237" s="9" t="s">
        <v>331</v>
      </c>
      <c r="AS237" s="12">
        <v>0</v>
      </c>
      <c r="AT237" s="19">
        <v>39.148309060000003</v>
      </c>
      <c r="AU237" s="19">
        <v>-123.18099879</v>
      </c>
      <c r="AV237" s="19" t="s">
        <v>548</v>
      </c>
    </row>
    <row r="238" spans="1:48" x14ac:dyDescent="0.25">
      <c r="A238" s="18" t="s">
        <v>606</v>
      </c>
      <c r="B238" s="10">
        <v>20010201</v>
      </c>
      <c r="C238" s="9">
        <v>10</v>
      </c>
      <c r="D238" s="8" t="str">
        <f t="shared" si="37"/>
        <v>N</v>
      </c>
      <c r="E238" s="8" t="str">
        <f t="shared" si="38"/>
        <v>Y</v>
      </c>
      <c r="F238" s="8" t="str">
        <f t="shared" si="39"/>
        <v>Y</v>
      </c>
      <c r="G238" s="8" t="str">
        <f t="shared" si="40"/>
        <v>Y</v>
      </c>
      <c r="H238" s="8" t="str">
        <f t="shared" si="41"/>
        <v>Upper</v>
      </c>
      <c r="I238" s="8" t="str">
        <f t="shared" si="42"/>
        <v>West Fork and Below Lake</v>
      </c>
      <c r="J238" s="8" t="str">
        <f t="shared" si="43"/>
        <v>Sonoma (d/s of Clov. Gage)</v>
      </c>
      <c r="K238" s="8" t="str">
        <f t="shared" si="44"/>
        <v>Post-1949</v>
      </c>
      <c r="L238" s="8">
        <f t="shared" si="45"/>
        <v>2001</v>
      </c>
      <c r="M238" s="8" t="str">
        <f t="shared" si="47"/>
        <v>1991-present</v>
      </c>
      <c r="N238" s="10" t="s">
        <v>241</v>
      </c>
      <c r="O238" s="10" t="s">
        <v>241</v>
      </c>
      <c r="P238" s="10" t="s">
        <v>242</v>
      </c>
      <c r="Q238" s="10" t="s">
        <v>242</v>
      </c>
      <c r="R238" s="10" t="s">
        <v>241</v>
      </c>
      <c r="S238" s="10" t="s">
        <v>242</v>
      </c>
      <c r="T238" s="10" t="s">
        <v>242</v>
      </c>
      <c r="U238" s="10" t="s">
        <v>242</v>
      </c>
      <c r="V238" s="10" t="s">
        <v>242</v>
      </c>
      <c r="W238" s="10" t="s">
        <v>242</v>
      </c>
      <c r="X238" s="15">
        <f>IF(ISERROR(VLOOKUP($A238,'13. Updated Demand'!A:Z,15,FALSE)),0,VLOOKUP($A238,'13. Updated Demand'!A:Z,15,FALSE))</f>
        <v>4.16</v>
      </c>
      <c r="Y238" s="16">
        <f>IF(ISERROR(VLOOKUP($A238,'13. Updated Demand'!A:Z,16,FALSE)),0,VLOOKUP($A238,'13. Updated Demand'!A:Z,16,FALSE))</f>
        <v>0.93</v>
      </c>
      <c r="Z238" s="16">
        <f>IF(ISERROR(VLOOKUP($A238,'13. Updated Demand'!A:Z,17,FALSE)),0,VLOOKUP($A238,'13. Updated Demand'!A:Z,17,FALSE))</f>
        <v>0.13</v>
      </c>
      <c r="AA238" s="16">
        <f>IF(ISERROR(VLOOKUP($A238,'13. Updated Demand'!A:Z,18,FALSE)),0,VLOOKUP($A238,'13. Updated Demand'!A:Z,18,FALSE))</f>
        <v>0.73</v>
      </c>
      <c r="AB238" s="16">
        <f>IF(ISERROR(VLOOKUP($A238,'13. Updated Demand'!A:Z,19,FALSE)),0,VLOOKUP($A238,'13. Updated Demand'!A:Z,19,FALSE))</f>
        <v>0.5</v>
      </c>
      <c r="AC238" s="16">
        <f>IF(ISERROR(VLOOKUP($A238,'13. Updated Demand'!A:Z,20,FALSE)),0,VLOOKUP($A238,'13. Updated Demand'!A:Z,20,FALSE))</f>
        <v>0</v>
      </c>
      <c r="AD238" s="16">
        <f>IF(ISERROR(VLOOKUP($A238,'13. Updated Demand'!A:Z,21,FALSE)),0,VLOOKUP($A238,'13. Updated Demand'!A:Z,21,FALSE))</f>
        <v>0</v>
      </c>
      <c r="AE238" s="16">
        <f>IF(ISERROR(VLOOKUP($A238,'13. Updated Demand'!A:Z,22,FALSE)),0,VLOOKUP($A238,'13. Updated Demand'!A:Z,22,FALSE))</f>
        <v>0</v>
      </c>
      <c r="AF238" s="16">
        <f>IF(ISERROR(VLOOKUP($A238,'13. Updated Demand'!A:Z,23,FALSE)),0,VLOOKUP($A238,'13. Updated Demand'!A:Z,23,FALSE))</f>
        <v>0</v>
      </c>
      <c r="AG238" s="16">
        <f>IF(ISERROR(VLOOKUP($A238,'13. Updated Demand'!A:Z,24,FALSE)),0,VLOOKUP($A238,'13. Updated Demand'!A:Z,24,FALSE))</f>
        <v>0.16</v>
      </c>
      <c r="AH238" s="16">
        <f>IF(ISERROR(VLOOKUP($A238,'13. Updated Demand'!A:Z,25,FALSE)),0,VLOOKUP($A238,'13. Updated Demand'!A:Z,25,FALSE))</f>
        <v>1.3</v>
      </c>
      <c r="AI238" s="16">
        <f>IF(ISERROR(VLOOKUP($A238,'13. Updated Demand'!A:Z,26,FALSE)),0,VLOOKUP($A238,'13. Updated Demand'!A:Z,26,FALSE))</f>
        <v>1.5</v>
      </c>
      <c r="AJ238" s="16">
        <f t="shared" si="48"/>
        <v>9.41</v>
      </c>
      <c r="AK238" s="19">
        <v>0.5</v>
      </c>
      <c r="AL238" s="16">
        <f t="shared" si="46"/>
        <v>1.6584430446477544E-3</v>
      </c>
      <c r="AM238" s="17">
        <v>0.95286195286195308</v>
      </c>
      <c r="AN238" s="19"/>
      <c r="AO238" s="19"/>
      <c r="AP238" s="19">
        <v>9.9</v>
      </c>
      <c r="AQ238" s="19" t="s">
        <v>307</v>
      </c>
      <c r="AR238" s="9" t="s">
        <v>436</v>
      </c>
      <c r="AS238" s="12">
        <v>3.4039024194010059E-4</v>
      </c>
      <c r="AT238" s="19">
        <v>38.684798309999998</v>
      </c>
      <c r="AU238" s="19">
        <v>-122.87357179999999</v>
      </c>
      <c r="AV238" s="19" t="s">
        <v>417</v>
      </c>
    </row>
    <row r="239" spans="1:48" x14ac:dyDescent="0.25">
      <c r="A239" s="18" t="s">
        <v>607</v>
      </c>
      <c r="B239" s="10">
        <v>20010504</v>
      </c>
      <c r="C239" s="9">
        <v>16</v>
      </c>
      <c r="D239" s="8" t="str">
        <f t="shared" si="37"/>
        <v>N</v>
      </c>
      <c r="E239" s="8" t="str">
        <f t="shared" si="38"/>
        <v>N</v>
      </c>
      <c r="F239" s="8" t="str">
        <f t="shared" si="39"/>
        <v>N</v>
      </c>
      <c r="G239" s="8" t="str">
        <f t="shared" si="40"/>
        <v>N</v>
      </c>
      <c r="H239" s="8" t="str">
        <f t="shared" si="41"/>
        <v>Lower</v>
      </c>
      <c r="I239" s="8" t="str">
        <f t="shared" si="42"/>
        <v>Outside</v>
      </c>
      <c r="J239" s="8" t="str">
        <f t="shared" si="43"/>
        <v>Outside</v>
      </c>
      <c r="K239" s="8" t="str">
        <f t="shared" si="44"/>
        <v>Post-1949</v>
      </c>
      <c r="L239" s="8">
        <f t="shared" si="45"/>
        <v>2001</v>
      </c>
      <c r="M239" s="8" t="str">
        <f t="shared" si="47"/>
        <v>1991-present</v>
      </c>
      <c r="N239" s="10" t="s">
        <v>242</v>
      </c>
      <c r="O239" s="10" t="s">
        <v>242</v>
      </c>
      <c r="P239" s="10" t="s">
        <v>242</v>
      </c>
      <c r="Q239" s="10" t="s">
        <v>242</v>
      </c>
      <c r="R239" s="10" t="s">
        <v>241</v>
      </c>
      <c r="S239" s="10" t="s">
        <v>242</v>
      </c>
      <c r="T239" s="10" t="s">
        <v>241</v>
      </c>
      <c r="U239" s="10" t="s">
        <v>241</v>
      </c>
      <c r="V239" s="10" t="s">
        <v>241</v>
      </c>
      <c r="W239" s="10" t="s">
        <v>242</v>
      </c>
      <c r="X239" s="15">
        <f>IF(ISERROR(VLOOKUP($A239,'13. Updated Demand'!A:Z,15,FALSE)),0,VLOOKUP($A239,'13. Updated Demand'!A:Z,15,FALSE))</f>
        <v>0</v>
      </c>
      <c r="Y239" s="16">
        <f>IF(ISERROR(VLOOKUP($A239,'13. Updated Demand'!A:Z,16,FALSE)),0,VLOOKUP($A239,'13. Updated Demand'!A:Z,16,FALSE))</f>
        <v>0</v>
      </c>
      <c r="Z239" s="16">
        <f>IF(ISERROR(VLOOKUP($A239,'13. Updated Demand'!A:Z,17,FALSE)),0,VLOOKUP($A239,'13. Updated Demand'!A:Z,17,FALSE))</f>
        <v>0</v>
      </c>
      <c r="AA239" s="16">
        <f>IF(ISERROR(VLOOKUP($A239,'13. Updated Demand'!A:Z,18,FALSE)),0,VLOOKUP($A239,'13. Updated Demand'!A:Z,18,FALSE))</f>
        <v>0</v>
      </c>
      <c r="AB239" s="16">
        <f>IF(ISERROR(VLOOKUP($A239,'13. Updated Demand'!A:Z,19,FALSE)),0,VLOOKUP($A239,'13. Updated Demand'!A:Z,19,FALSE))</f>
        <v>0</v>
      </c>
      <c r="AC239" s="16">
        <f>IF(ISERROR(VLOOKUP($A239,'13. Updated Demand'!A:Z,20,FALSE)),0,VLOOKUP($A239,'13. Updated Demand'!A:Z,20,FALSE))</f>
        <v>0</v>
      </c>
      <c r="AD239" s="16">
        <f>IF(ISERROR(VLOOKUP($A239,'13. Updated Demand'!A:Z,21,FALSE)),0,VLOOKUP($A239,'13. Updated Demand'!A:Z,21,FALSE))</f>
        <v>0</v>
      </c>
      <c r="AE239" s="16">
        <f>IF(ISERROR(VLOOKUP($A239,'13. Updated Demand'!A:Z,22,FALSE)),0,VLOOKUP($A239,'13. Updated Demand'!A:Z,22,FALSE))</f>
        <v>0</v>
      </c>
      <c r="AF239" s="16">
        <f>IF(ISERROR(VLOOKUP($A239,'13. Updated Demand'!A:Z,23,FALSE)),0,VLOOKUP($A239,'13. Updated Demand'!A:Z,23,FALSE))</f>
        <v>0</v>
      </c>
      <c r="AG239" s="16">
        <f>IF(ISERROR(VLOOKUP($A239,'13. Updated Demand'!A:Z,24,FALSE)),0,VLOOKUP($A239,'13. Updated Demand'!A:Z,24,FALSE))</f>
        <v>0</v>
      </c>
      <c r="AH239" s="16">
        <f>IF(ISERROR(VLOOKUP($A239,'13. Updated Demand'!A:Z,25,FALSE)),0,VLOOKUP($A239,'13. Updated Demand'!A:Z,25,FALSE))</f>
        <v>0</v>
      </c>
      <c r="AI239" s="16">
        <f>IF(ISERROR(VLOOKUP($A239,'13. Updated Demand'!A:Z,26,FALSE)),0,VLOOKUP($A239,'13. Updated Demand'!A:Z,26,FALSE))</f>
        <v>0</v>
      </c>
      <c r="AJ239" s="16">
        <f t="shared" si="48"/>
        <v>0</v>
      </c>
      <c r="AK239" s="19">
        <v>0</v>
      </c>
      <c r="AL239" s="16">
        <f t="shared" si="46"/>
        <v>0</v>
      </c>
      <c r="AM239" s="17">
        <v>0</v>
      </c>
      <c r="AN239" s="19"/>
      <c r="AO239" s="19"/>
      <c r="AP239" s="19">
        <v>64</v>
      </c>
      <c r="AQ239" s="19" t="s">
        <v>307</v>
      </c>
      <c r="AR239" s="9" t="s">
        <v>394</v>
      </c>
      <c r="AS239" s="12">
        <v>3.4039024194010059E-4</v>
      </c>
      <c r="AT239" s="19">
        <v>38.590698760000002</v>
      </c>
      <c r="AU239" s="19">
        <v>-122.90067691</v>
      </c>
      <c r="AV239" s="19" t="s">
        <v>417</v>
      </c>
    </row>
    <row r="240" spans="1:48" x14ac:dyDescent="0.25">
      <c r="A240" s="18" t="s">
        <v>608</v>
      </c>
      <c r="B240" s="10">
        <v>20000107</v>
      </c>
      <c r="C240" s="9">
        <v>6</v>
      </c>
      <c r="D240" s="8" t="str">
        <f t="shared" si="37"/>
        <v>Y</v>
      </c>
      <c r="E240" s="8" t="str">
        <f t="shared" si="38"/>
        <v>N</v>
      </c>
      <c r="F240" s="8" t="str">
        <f t="shared" si="39"/>
        <v>Y</v>
      </c>
      <c r="G240" s="8" t="str">
        <f t="shared" si="40"/>
        <v>Y</v>
      </c>
      <c r="H240" s="8" t="str">
        <f t="shared" si="41"/>
        <v>Upper</v>
      </c>
      <c r="I240" s="8" t="str">
        <f t="shared" si="42"/>
        <v>West Fork and Below Lake</v>
      </c>
      <c r="J240" s="8" t="str">
        <f t="shared" si="43"/>
        <v>Mendocino (d/s of lake)</v>
      </c>
      <c r="K240" s="8" t="str">
        <f t="shared" si="44"/>
        <v>Post-1949</v>
      </c>
      <c r="L240" s="8">
        <f t="shared" si="45"/>
        <v>2000</v>
      </c>
      <c r="M240" s="8" t="str">
        <f t="shared" si="47"/>
        <v>1991-present</v>
      </c>
      <c r="N240" s="10" t="s">
        <v>241</v>
      </c>
      <c r="O240" s="10" t="s">
        <v>241</v>
      </c>
      <c r="P240" s="10" t="s">
        <v>242</v>
      </c>
      <c r="Q240" s="10" t="s">
        <v>242</v>
      </c>
      <c r="R240" s="10" t="s">
        <v>241</v>
      </c>
      <c r="S240" s="10" t="s">
        <v>242</v>
      </c>
      <c r="T240" s="10" t="s">
        <v>241</v>
      </c>
      <c r="U240" s="10" t="s">
        <v>241</v>
      </c>
      <c r="V240" s="10" t="s">
        <v>241</v>
      </c>
      <c r="W240" s="10" t="s">
        <v>242</v>
      </c>
      <c r="X240" s="15">
        <f>IF(ISERROR(VLOOKUP($A240,'13. Updated Demand'!A:Z,15,FALSE)),0,VLOOKUP($A240,'13. Updated Demand'!A:Z,15,FALSE))</f>
        <v>0</v>
      </c>
      <c r="Y240" s="16">
        <f>IF(ISERROR(VLOOKUP($A240,'13. Updated Demand'!A:Z,16,FALSE)),0,VLOOKUP($A240,'13. Updated Demand'!A:Z,16,FALSE))</f>
        <v>0</v>
      </c>
      <c r="Z240" s="16">
        <f>IF(ISERROR(VLOOKUP($A240,'13. Updated Demand'!A:Z,17,FALSE)),0,VLOOKUP($A240,'13. Updated Demand'!A:Z,17,FALSE))</f>
        <v>0</v>
      </c>
      <c r="AA240" s="16">
        <f>IF(ISERROR(VLOOKUP($A240,'13. Updated Demand'!A:Z,18,FALSE)),0,VLOOKUP($A240,'13. Updated Demand'!A:Z,18,FALSE))</f>
        <v>0</v>
      </c>
      <c r="AB240" s="16">
        <f>IF(ISERROR(VLOOKUP($A240,'13. Updated Demand'!A:Z,19,FALSE)),0,VLOOKUP($A240,'13. Updated Demand'!A:Z,19,FALSE))</f>
        <v>0</v>
      </c>
      <c r="AC240" s="16">
        <f>IF(ISERROR(VLOOKUP($A240,'13. Updated Demand'!A:Z,20,FALSE)),0,VLOOKUP($A240,'13. Updated Demand'!A:Z,20,FALSE))</f>
        <v>0</v>
      </c>
      <c r="AD240" s="16">
        <f>IF(ISERROR(VLOOKUP($A240,'13. Updated Demand'!A:Z,21,FALSE)),0,VLOOKUP($A240,'13. Updated Demand'!A:Z,21,FALSE))</f>
        <v>0</v>
      </c>
      <c r="AE240" s="16">
        <f>IF(ISERROR(VLOOKUP($A240,'13. Updated Demand'!A:Z,22,FALSE)),0,VLOOKUP($A240,'13. Updated Demand'!A:Z,22,FALSE))</f>
        <v>0</v>
      </c>
      <c r="AF240" s="16">
        <f>IF(ISERROR(VLOOKUP($A240,'13. Updated Demand'!A:Z,23,FALSE)),0,VLOOKUP($A240,'13. Updated Demand'!A:Z,23,FALSE))</f>
        <v>0</v>
      </c>
      <c r="AG240" s="16">
        <f>IF(ISERROR(VLOOKUP($A240,'13. Updated Demand'!A:Z,24,FALSE)),0,VLOOKUP($A240,'13. Updated Demand'!A:Z,24,FALSE))</f>
        <v>0</v>
      </c>
      <c r="AH240" s="16">
        <f>IF(ISERROR(VLOOKUP($A240,'13. Updated Demand'!A:Z,25,FALSE)),0,VLOOKUP($A240,'13. Updated Demand'!A:Z,25,FALSE))</f>
        <v>0</v>
      </c>
      <c r="AI240" s="16">
        <f>IF(ISERROR(VLOOKUP($A240,'13. Updated Demand'!A:Z,26,FALSE)),0,VLOOKUP($A240,'13. Updated Demand'!A:Z,26,FALSE))</f>
        <v>0</v>
      </c>
      <c r="AJ240" s="16">
        <f t="shared" si="48"/>
        <v>0</v>
      </c>
      <c r="AK240" s="19">
        <v>0</v>
      </c>
      <c r="AL240" s="16">
        <f t="shared" si="46"/>
        <v>0</v>
      </c>
      <c r="AM240" s="17">
        <v>0</v>
      </c>
      <c r="AN240" s="19"/>
      <c r="AO240" s="19"/>
      <c r="AP240" s="19">
        <v>97</v>
      </c>
      <c r="AQ240" s="19" t="s">
        <v>307</v>
      </c>
      <c r="AR240" s="9" t="s">
        <v>319</v>
      </c>
      <c r="AS240" s="12">
        <v>0</v>
      </c>
      <c r="AT240" s="19">
        <v>38.958771919999997</v>
      </c>
      <c r="AU240" s="19">
        <v>-123.10363605000001</v>
      </c>
      <c r="AV240" s="19" t="s">
        <v>387</v>
      </c>
    </row>
    <row r="241" spans="1:48" x14ac:dyDescent="0.25">
      <c r="A241" s="18" t="s">
        <v>119</v>
      </c>
      <c r="B241" s="10">
        <v>20000320</v>
      </c>
      <c r="C241" s="9">
        <v>12</v>
      </c>
      <c r="D241" s="8" t="str">
        <f t="shared" si="37"/>
        <v>N</v>
      </c>
      <c r="E241" s="8" t="str">
        <f t="shared" si="38"/>
        <v>Y</v>
      </c>
      <c r="F241" s="8" t="str">
        <f t="shared" si="39"/>
        <v>Y</v>
      </c>
      <c r="G241" s="8" t="str">
        <f t="shared" si="40"/>
        <v>Y</v>
      </c>
      <c r="H241" s="8" t="str">
        <f t="shared" si="41"/>
        <v>Upper</v>
      </c>
      <c r="I241" s="8" t="str">
        <f t="shared" si="42"/>
        <v>West Fork and Below Lake</v>
      </c>
      <c r="J241" s="8" t="str">
        <f t="shared" si="43"/>
        <v>Sonoma (d/s of Clov. Gage)</v>
      </c>
      <c r="K241" s="8" t="str">
        <f t="shared" si="44"/>
        <v>Post-1949</v>
      </c>
      <c r="L241" s="8">
        <f t="shared" si="45"/>
        <v>2000</v>
      </c>
      <c r="M241" s="8" t="str">
        <f t="shared" si="47"/>
        <v>1991-present</v>
      </c>
      <c r="N241" s="10" t="s">
        <v>242</v>
      </c>
      <c r="O241" s="10" t="s">
        <v>241</v>
      </c>
      <c r="P241" s="10" t="s">
        <v>242</v>
      </c>
      <c r="Q241" s="10" t="s">
        <v>242</v>
      </c>
      <c r="R241" s="10" t="s">
        <v>241</v>
      </c>
      <c r="S241" s="10" t="s">
        <v>242</v>
      </c>
      <c r="T241" s="10" t="s">
        <v>242</v>
      </c>
      <c r="U241" s="10" t="s">
        <v>241</v>
      </c>
      <c r="V241" s="10" t="s">
        <v>241</v>
      </c>
      <c r="W241" s="10" t="s">
        <v>242</v>
      </c>
      <c r="X241" s="15">
        <f>IF(ISERROR(VLOOKUP($A241,'13. Updated Demand'!A:Z,15,FALSE)),0,VLOOKUP($A241,'13. Updated Demand'!A:Z,15,FALSE))</f>
        <v>0</v>
      </c>
      <c r="Y241" s="16">
        <f>IF(ISERROR(VLOOKUP($A241,'13. Updated Demand'!A:Z,16,FALSE)),0,VLOOKUP($A241,'13. Updated Demand'!A:Z,16,FALSE))</f>
        <v>0</v>
      </c>
      <c r="Z241" s="16">
        <f>IF(ISERROR(VLOOKUP($A241,'13. Updated Demand'!A:Z,17,FALSE)),0,VLOOKUP($A241,'13. Updated Demand'!A:Z,17,FALSE))</f>
        <v>0</v>
      </c>
      <c r="AA241" s="16">
        <f>IF(ISERROR(VLOOKUP($A241,'13. Updated Demand'!A:Z,18,FALSE)),0,VLOOKUP($A241,'13. Updated Demand'!A:Z,18,FALSE))</f>
        <v>0</v>
      </c>
      <c r="AB241" s="16">
        <f>IF(ISERROR(VLOOKUP($A241,'13. Updated Demand'!A:Z,19,FALSE)),0,VLOOKUP($A241,'13. Updated Demand'!A:Z,19,FALSE))</f>
        <v>0</v>
      </c>
      <c r="AC241" s="16">
        <f>IF(ISERROR(VLOOKUP($A241,'13. Updated Demand'!A:Z,20,FALSE)),0,VLOOKUP($A241,'13. Updated Demand'!A:Z,20,FALSE))</f>
        <v>0</v>
      </c>
      <c r="AD241" s="16">
        <f>IF(ISERROR(VLOOKUP($A241,'13. Updated Demand'!A:Z,21,FALSE)),0,VLOOKUP($A241,'13. Updated Demand'!A:Z,21,FALSE))</f>
        <v>0</v>
      </c>
      <c r="AE241" s="16">
        <f>IF(ISERROR(VLOOKUP($A241,'13. Updated Demand'!A:Z,22,FALSE)),0,VLOOKUP($A241,'13. Updated Demand'!A:Z,22,FALSE))</f>
        <v>0</v>
      </c>
      <c r="AF241" s="16">
        <f>IF(ISERROR(VLOOKUP($A241,'13. Updated Demand'!A:Z,23,FALSE)),0,VLOOKUP($A241,'13. Updated Demand'!A:Z,23,FALSE))</f>
        <v>0</v>
      </c>
      <c r="AG241" s="16">
        <f>IF(ISERROR(VLOOKUP($A241,'13. Updated Demand'!A:Z,24,FALSE)),0,VLOOKUP($A241,'13. Updated Demand'!A:Z,24,FALSE))</f>
        <v>0</v>
      </c>
      <c r="AH241" s="16">
        <f>IF(ISERROR(VLOOKUP($A241,'13. Updated Demand'!A:Z,25,FALSE)),0,VLOOKUP($A241,'13. Updated Demand'!A:Z,25,FALSE))</f>
        <v>0</v>
      </c>
      <c r="AI241" s="16">
        <f>IF(ISERROR(VLOOKUP($A241,'13. Updated Demand'!A:Z,26,FALSE)),0,VLOOKUP($A241,'13. Updated Demand'!A:Z,26,FALSE))</f>
        <v>0</v>
      </c>
      <c r="AJ241" s="16">
        <f t="shared" si="48"/>
        <v>0</v>
      </c>
      <c r="AK241" s="19">
        <v>0</v>
      </c>
      <c r="AL241" s="16">
        <f t="shared" si="46"/>
        <v>0</v>
      </c>
      <c r="AM241" s="17">
        <v>0</v>
      </c>
      <c r="AN241" s="19"/>
      <c r="AO241" s="19"/>
      <c r="AP241" s="19">
        <v>156</v>
      </c>
      <c r="AQ241" s="19" t="s">
        <v>307</v>
      </c>
      <c r="AR241" s="9" t="s">
        <v>311</v>
      </c>
      <c r="AS241" s="12">
        <v>0</v>
      </c>
      <c r="AT241" s="19">
        <v>38.615000000000002</v>
      </c>
      <c r="AU241" s="19">
        <v>-122.77249999999999</v>
      </c>
      <c r="AV241" s="19" t="s">
        <v>609</v>
      </c>
    </row>
    <row r="242" spans="1:48" x14ac:dyDescent="0.25">
      <c r="A242" s="18" t="s">
        <v>610</v>
      </c>
      <c r="B242" s="10">
        <v>20000113</v>
      </c>
      <c r="C242" s="9">
        <v>21</v>
      </c>
      <c r="D242" s="8" t="str">
        <f t="shared" si="37"/>
        <v>N</v>
      </c>
      <c r="E242" s="8" t="str">
        <f t="shared" si="38"/>
        <v>N</v>
      </c>
      <c r="F242" s="8" t="str">
        <f t="shared" si="39"/>
        <v>N</v>
      </c>
      <c r="G242" s="8" t="str">
        <f t="shared" si="40"/>
        <v>N</v>
      </c>
      <c r="H242" s="8" t="str">
        <f t="shared" si="41"/>
        <v>Lower</v>
      </c>
      <c r="I242" s="8" t="str">
        <f t="shared" si="42"/>
        <v>Outside</v>
      </c>
      <c r="J242" s="8" t="str">
        <f t="shared" si="43"/>
        <v>Outside</v>
      </c>
      <c r="K242" s="8" t="str">
        <f t="shared" si="44"/>
        <v>Post-1949</v>
      </c>
      <c r="L242" s="8">
        <f t="shared" si="45"/>
        <v>2000</v>
      </c>
      <c r="M242" s="8" t="str">
        <f t="shared" si="47"/>
        <v>1991-present</v>
      </c>
      <c r="N242" s="10" t="s">
        <v>241</v>
      </c>
      <c r="O242" s="10" t="s">
        <v>242</v>
      </c>
      <c r="P242" s="10" t="s">
        <v>242</v>
      </c>
      <c r="Q242" s="10" t="s">
        <v>242</v>
      </c>
      <c r="R242" s="10" t="s">
        <v>241</v>
      </c>
      <c r="S242" s="10" t="s">
        <v>242</v>
      </c>
      <c r="T242" s="10" t="s">
        <v>242</v>
      </c>
      <c r="U242" s="10" t="s">
        <v>242</v>
      </c>
      <c r="V242" s="10" t="s">
        <v>242</v>
      </c>
      <c r="W242" s="10" t="s">
        <v>242</v>
      </c>
      <c r="X242" s="15">
        <f>IF(ISERROR(VLOOKUP($A242,'13. Updated Demand'!A:Z,15,FALSE)),0,VLOOKUP($A242,'13. Updated Demand'!A:Z,15,FALSE))</f>
        <v>3.2903893329999998</v>
      </c>
      <c r="Y242" s="16">
        <f>IF(ISERROR(VLOOKUP($A242,'13. Updated Demand'!A:Z,16,FALSE)),0,VLOOKUP($A242,'13. Updated Demand'!A:Z,16,FALSE))</f>
        <v>2.8668213329999999</v>
      </c>
      <c r="Z242" s="16">
        <f>IF(ISERROR(VLOOKUP($A242,'13. Updated Demand'!A:Z,17,FALSE)),0,VLOOKUP($A242,'13. Updated Demand'!A:Z,17,FALSE))</f>
        <v>2.325643667</v>
      </c>
      <c r="AA242" s="16">
        <f>IF(ISERROR(VLOOKUP($A242,'13. Updated Demand'!A:Z,18,FALSE)),0,VLOOKUP($A242,'13. Updated Demand'!A:Z,18,FALSE))</f>
        <v>3.4946543330000002</v>
      </c>
      <c r="AB242" s="16">
        <f>IF(ISERROR(VLOOKUP($A242,'13. Updated Demand'!A:Z,19,FALSE)),0,VLOOKUP($A242,'13. Updated Demand'!A:Z,19,FALSE))</f>
        <v>3.327451333</v>
      </c>
      <c r="AC242" s="16">
        <f>IF(ISERROR(VLOOKUP($A242,'13. Updated Demand'!A:Z,20,FALSE)),0,VLOOKUP($A242,'13. Updated Demand'!A:Z,20,FALSE))</f>
        <v>4.1267023329999999</v>
      </c>
      <c r="AD242" s="16">
        <f>IF(ISERROR(VLOOKUP($A242,'13. Updated Demand'!A:Z,21,FALSE)),0,VLOOKUP($A242,'13. Updated Demand'!A:Z,21,FALSE))</f>
        <v>3.9415663329999999</v>
      </c>
      <c r="AE242" s="16">
        <f>IF(ISERROR(VLOOKUP($A242,'13. Updated Demand'!A:Z,22,FALSE)),0,VLOOKUP($A242,'13. Updated Demand'!A:Z,22,FALSE))</f>
        <v>5.028371667</v>
      </c>
      <c r="AF242" s="16">
        <f>IF(ISERROR(VLOOKUP($A242,'13. Updated Demand'!A:Z,23,FALSE)),0,VLOOKUP($A242,'13. Updated Demand'!A:Z,23,FALSE))</f>
        <v>4.3767036670000001</v>
      </c>
      <c r="AG242" s="16">
        <f>IF(ISERROR(VLOOKUP($A242,'13. Updated Demand'!A:Z,24,FALSE)),0,VLOOKUP($A242,'13. Updated Demand'!A:Z,24,FALSE))</f>
        <v>4.0021256669999996</v>
      </c>
      <c r="AH242" s="16">
        <f>IF(ISERROR(VLOOKUP($A242,'13. Updated Demand'!A:Z,25,FALSE)),0,VLOOKUP($A242,'13. Updated Demand'!A:Z,25,FALSE))</f>
        <v>3.48332</v>
      </c>
      <c r="AI242" s="16">
        <f>IF(ISERROR(VLOOKUP($A242,'13. Updated Demand'!A:Z,26,FALSE)),0,VLOOKUP($A242,'13. Updated Demand'!A:Z,26,FALSE))</f>
        <v>3.218403667</v>
      </c>
      <c r="AJ242" s="16">
        <f t="shared" si="48"/>
        <v>43.482153332999999</v>
      </c>
      <c r="AK242" s="19">
        <v>20.800795333000003</v>
      </c>
      <c r="AL242" s="16">
        <f t="shared" si="46"/>
        <v>6.8993868686310647E-2</v>
      </c>
      <c r="AM242" s="17">
        <v>0.48313503703333333</v>
      </c>
      <c r="AN242" s="19"/>
      <c r="AO242" s="19"/>
      <c r="AP242" s="19">
        <v>90</v>
      </c>
      <c r="AQ242" s="19" t="s">
        <v>307</v>
      </c>
      <c r="AR242" s="9" t="s">
        <v>403</v>
      </c>
      <c r="AS242" s="12">
        <v>0</v>
      </c>
      <c r="AT242" s="19">
        <v>38.465570589999999</v>
      </c>
      <c r="AU242" s="19">
        <v>-123.00856546</v>
      </c>
      <c r="AV242" s="19" t="s">
        <v>387</v>
      </c>
    </row>
    <row r="243" spans="1:48" x14ac:dyDescent="0.25">
      <c r="A243" s="18" t="s">
        <v>611</v>
      </c>
      <c r="B243" s="10">
        <v>20000407</v>
      </c>
      <c r="C243" s="9">
        <v>12</v>
      </c>
      <c r="D243" s="8" t="str">
        <f t="shared" si="37"/>
        <v>N</v>
      </c>
      <c r="E243" s="8" t="str">
        <f t="shared" si="38"/>
        <v>Y</v>
      </c>
      <c r="F243" s="8" t="str">
        <f t="shared" si="39"/>
        <v>Y</v>
      </c>
      <c r="G243" s="8" t="str">
        <f t="shared" si="40"/>
        <v>Y</v>
      </c>
      <c r="H243" s="8" t="str">
        <f t="shared" si="41"/>
        <v>Upper</v>
      </c>
      <c r="I243" s="8" t="str">
        <f t="shared" si="42"/>
        <v>West Fork and Below Lake</v>
      </c>
      <c r="J243" s="8" t="str">
        <f t="shared" si="43"/>
        <v>Sonoma (d/s of Clov. Gage)</v>
      </c>
      <c r="K243" s="8" t="str">
        <f t="shared" si="44"/>
        <v>Post-1949</v>
      </c>
      <c r="L243" s="8">
        <f t="shared" si="45"/>
        <v>2000</v>
      </c>
      <c r="M243" s="8" t="str">
        <f t="shared" si="47"/>
        <v>1991-present</v>
      </c>
      <c r="N243" s="10" t="s">
        <v>242</v>
      </c>
      <c r="O243" s="10" t="s">
        <v>241</v>
      </c>
      <c r="P243" s="10" t="s">
        <v>242</v>
      </c>
      <c r="Q243" s="10" t="s">
        <v>242</v>
      </c>
      <c r="R243" s="10" t="s">
        <v>241</v>
      </c>
      <c r="S243" s="10" t="s">
        <v>242</v>
      </c>
      <c r="T243" s="10" t="s">
        <v>241</v>
      </c>
      <c r="U243" s="10" t="s">
        <v>241</v>
      </c>
      <c r="V243" s="10" t="s">
        <v>241</v>
      </c>
      <c r="W243" s="10" t="s">
        <v>242</v>
      </c>
      <c r="X243" s="15">
        <f>IF(ISERROR(VLOOKUP($A243,'13. Updated Demand'!A:Z,15,FALSE)),0,VLOOKUP($A243,'13. Updated Demand'!A:Z,15,FALSE))</f>
        <v>0</v>
      </c>
      <c r="Y243" s="16">
        <f>IF(ISERROR(VLOOKUP($A243,'13. Updated Demand'!A:Z,16,FALSE)),0,VLOOKUP($A243,'13. Updated Demand'!A:Z,16,FALSE))</f>
        <v>0</v>
      </c>
      <c r="Z243" s="16">
        <f>IF(ISERROR(VLOOKUP($A243,'13. Updated Demand'!A:Z,17,FALSE)),0,VLOOKUP($A243,'13. Updated Demand'!A:Z,17,FALSE))</f>
        <v>0</v>
      </c>
      <c r="AA243" s="16">
        <f>IF(ISERROR(VLOOKUP($A243,'13. Updated Demand'!A:Z,18,FALSE)),0,VLOOKUP($A243,'13. Updated Demand'!A:Z,18,FALSE))</f>
        <v>0</v>
      </c>
      <c r="AB243" s="16">
        <f>IF(ISERROR(VLOOKUP($A243,'13. Updated Demand'!A:Z,19,FALSE)),0,VLOOKUP($A243,'13. Updated Demand'!A:Z,19,FALSE))</f>
        <v>0</v>
      </c>
      <c r="AC243" s="16">
        <f>IF(ISERROR(VLOOKUP($A243,'13. Updated Demand'!A:Z,20,FALSE)),0,VLOOKUP($A243,'13. Updated Demand'!A:Z,20,FALSE))</f>
        <v>0</v>
      </c>
      <c r="AD243" s="16">
        <f>IF(ISERROR(VLOOKUP($A243,'13. Updated Demand'!A:Z,21,FALSE)),0,VLOOKUP($A243,'13. Updated Demand'!A:Z,21,FALSE))</f>
        <v>0</v>
      </c>
      <c r="AE243" s="16">
        <f>IF(ISERROR(VLOOKUP($A243,'13. Updated Demand'!A:Z,22,FALSE)),0,VLOOKUP($A243,'13. Updated Demand'!A:Z,22,FALSE))</f>
        <v>0</v>
      </c>
      <c r="AF243" s="16">
        <f>IF(ISERROR(VLOOKUP($A243,'13. Updated Demand'!A:Z,23,FALSE)),0,VLOOKUP($A243,'13. Updated Demand'!A:Z,23,FALSE))</f>
        <v>0</v>
      </c>
      <c r="AG243" s="16">
        <f>IF(ISERROR(VLOOKUP($A243,'13. Updated Demand'!A:Z,24,FALSE)),0,VLOOKUP($A243,'13. Updated Demand'!A:Z,24,FALSE))</f>
        <v>0</v>
      </c>
      <c r="AH243" s="16">
        <f>IF(ISERROR(VLOOKUP($A243,'13. Updated Demand'!A:Z,25,FALSE)),0,VLOOKUP($A243,'13. Updated Demand'!A:Z,25,FALSE))</f>
        <v>0</v>
      </c>
      <c r="AI243" s="16">
        <f>IF(ISERROR(VLOOKUP($A243,'13. Updated Demand'!A:Z,26,FALSE)),0,VLOOKUP($A243,'13. Updated Demand'!A:Z,26,FALSE))</f>
        <v>0</v>
      </c>
      <c r="AJ243" s="16">
        <f t="shared" si="48"/>
        <v>0</v>
      </c>
      <c r="AK243" s="19">
        <v>0</v>
      </c>
      <c r="AL243" s="16">
        <f t="shared" si="46"/>
        <v>0</v>
      </c>
      <c r="AM243" s="17">
        <v>0</v>
      </c>
      <c r="AN243" s="19"/>
      <c r="AO243" s="19"/>
      <c r="AP243" s="19">
        <v>25</v>
      </c>
      <c r="AQ243" s="19" t="s">
        <v>307</v>
      </c>
      <c r="AR243" s="9" t="s">
        <v>311</v>
      </c>
      <c r="AS243" s="12">
        <v>3.4039024194010059E-4</v>
      </c>
      <c r="AT243" s="19">
        <v>38.600159669999996</v>
      </c>
      <c r="AU243" s="19">
        <v>-122.75519715999999</v>
      </c>
      <c r="AV243" s="19" t="s">
        <v>417</v>
      </c>
    </row>
    <row r="244" spans="1:48" x14ac:dyDescent="0.25">
      <c r="A244" s="18" t="s">
        <v>612</v>
      </c>
      <c r="B244" s="10">
        <v>20000407</v>
      </c>
      <c r="C244" s="9">
        <v>4</v>
      </c>
      <c r="D244" s="8" t="str">
        <f t="shared" si="37"/>
        <v>Y</v>
      </c>
      <c r="E244" s="8" t="str">
        <f t="shared" si="38"/>
        <v>N</v>
      </c>
      <c r="F244" s="8" t="str">
        <f t="shared" si="39"/>
        <v>Y</v>
      </c>
      <c r="G244" s="8" t="str">
        <f t="shared" si="40"/>
        <v>Y</v>
      </c>
      <c r="H244" s="8" t="str">
        <f t="shared" si="41"/>
        <v>Upper</v>
      </c>
      <c r="I244" s="8" t="str">
        <f t="shared" si="42"/>
        <v>West Fork and Below Lake</v>
      </c>
      <c r="J244" s="8" t="str">
        <f t="shared" si="43"/>
        <v>Mendocino (d/s of lake)</v>
      </c>
      <c r="K244" s="8" t="str">
        <f t="shared" si="44"/>
        <v>Post-1949</v>
      </c>
      <c r="L244" s="8">
        <f t="shared" si="45"/>
        <v>2000</v>
      </c>
      <c r="M244" s="8" t="str">
        <f t="shared" si="47"/>
        <v>1991-present</v>
      </c>
      <c r="N244" s="10" t="s">
        <v>242</v>
      </c>
      <c r="O244" s="10" t="s">
        <v>241</v>
      </c>
      <c r="P244" s="10" t="s">
        <v>242</v>
      </c>
      <c r="Q244" s="10" t="s">
        <v>242</v>
      </c>
      <c r="R244" s="10" t="s">
        <v>241</v>
      </c>
      <c r="S244" s="10" t="s">
        <v>242</v>
      </c>
      <c r="T244" s="10" t="s">
        <v>241</v>
      </c>
      <c r="U244" s="10" t="s">
        <v>241</v>
      </c>
      <c r="V244" s="10" t="s">
        <v>241</v>
      </c>
      <c r="W244" s="10" t="s">
        <v>242</v>
      </c>
      <c r="X244" s="15">
        <f>IF(ISERROR(VLOOKUP($A244,'13. Updated Demand'!A:Z,15,FALSE)),0,VLOOKUP($A244,'13. Updated Demand'!A:Z,15,FALSE))</f>
        <v>0</v>
      </c>
      <c r="Y244" s="16">
        <f>IF(ISERROR(VLOOKUP($A244,'13. Updated Demand'!A:Z,16,FALSE)),0,VLOOKUP($A244,'13. Updated Demand'!A:Z,16,FALSE))</f>
        <v>0</v>
      </c>
      <c r="Z244" s="16">
        <f>IF(ISERROR(VLOOKUP($A244,'13. Updated Demand'!A:Z,17,FALSE)),0,VLOOKUP($A244,'13. Updated Demand'!A:Z,17,FALSE))</f>
        <v>0</v>
      </c>
      <c r="AA244" s="16">
        <f>IF(ISERROR(VLOOKUP($A244,'13. Updated Demand'!A:Z,18,FALSE)),0,VLOOKUP($A244,'13. Updated Demand'!A:Z,18,FALSE))</f>
        <v>0</v>
      </c>
      <c r="AB244" s="16">
        <f>IF(ISERROR(VLOOKUP($A244,'13. Updated Demand'!A:Z,19,FALSE)),0,VLOOKUP($A244,'13. Updated Demand'!A:Z,19,FALSE))</f>
        <v>0</v>
      </c>
      <c r="AC244" s="16">
        <f>IF(ISERROR(VLOOKUP($A244,'13. Updated Demand'!A:Z,20,FALSE)),0,VLOOKUP($A244,'13. Updated Demand'!A:Z,20,FALSE))</f>
        <v>0</v>
      </c>
      <c r="AD244" s="16">
        <f>IF(ISERROR(VLOOKUP($A244,'13. Updated Demand'!A:Z,21,FALSE)),0,VLOOKUP($A244,'13. Updated Demand'!A:Z,21,FALSE))</f>
        <v>0</v>
      </c>
      <c r="AE244" s="16">
        <f>IF(ISERROR(VLOOKUP($A244,'13. Updated Demand'!A:Z,22,FALSE)),0,VLOOKUP($A244,'13. Updated Demand'!A:Z,22,FALSE))</f>
        <v>0</v>
      </c>
      <c r="AF244" s="16">
        <f>IF(ISERROR(VLOOKUP($A244,'13. Updated Demand'!A:Z,23,FALSE)),0,VLOOKUP($A244,'13. Updated Demand'!A:Z,23,FALSE))</f>
        <v>0</v>
      </c>
      <c r="AG244" s="16">
        <f>IF(ISERROR(VLOOKUP($A244,'13. Updated Demand'!A:Z,24,FALSE)),0,VLOOKUP($A244,'13. Updated Demand'!A:Z,24,FALSE))</f>
        <v>0</v>
      </c>
      <c r="AH244" s="16">
        <f>IF(ISERROR(VLOOKUP($A244,'13. Updated Demand'!A:Z,25,FALSE)),0,VLOOKUP($A244,'13. Updated Demand'!A:Z,25,FALSE))</f>
        <v>0</v>
      </c>
      <c r="AI244" s="16">
        <f>IF(ISERROR(VLOOKUP($A244,'13. Updated Demand'!A:Z,26,FALSE)),0,VLOOKUP($A244,'13. Updated Demand'!A:Z,26,FALSE))</f>
        <v>0</v>
      </c>
      <c r="AJ244" s="16">
        <f t="shared" si="48"/>
        <v>0</v>
      </c>
      <c r="AK244" s="19">
        <v>0</v>
      </c>
      <c r="AL244" s="16">
        <f t="shared" si="46"/>
        <v>0</v>
      </c>
      <c r="AM244" s="17">
        <v>0</v>
      </c>
      <c r="AN244" s="19"/>
      <c r="AO244" s="19"/>
      <c r="AP244" s="19">
        <v>45</v>
      </c>
      <c r="AQ244" s="19" t="s">
        <v>307</v>
      </c>
      <c r="AR244" s="9" t="s">
        <v>331</v>
      </c>
      <c r="AS244" s="12">
        <v>0</v>
      </c>
      <c r="AT244" s="19">
        <v>39.209800000000001</v>
      </c>
      <c r="AU244" s="19">
        <v>-123.2363</v>
      </c>
      <c r="AV244" s="19" t="s">
        <v>613</v>
      </c>
    </row>
    <row r="245" spans="1:48" x14ac:dyDescent="0.25">
      <c r="A245" s="18" t="s">
        <v>614</v>
      </c>
      <c r="B245" s="10">
        <v>20000803</v>
      </c>
      <c r="C245" s="9">
        <v>8</v>
      </c>
      <c r="D245" s="8" t="str">
        <f t="shared" si="37"/>
        <v>N</v>
      </c>
      <c r="E245" s="8" t="str">
        <f t="shared" si="38"/>
        <v>Y</v>
      </c>
      <c r="F245" s="8" t="str">
        <f t="shared" si="39"/>
        <v>Y</v>
      </c>
      <c r="G245" s="8" t="str">
        <f t="shared" si="40"/>
        <v>Y</v>
      </c>
      <c r="H245" s="8" t="str">
        <f t="shared" si="41"/>
        <v>Upper</v>
      </c>
      <c r="I245" s="8" t="str">
        <f t="shared" si="42"/>
        <v>West Fork and Below Lake</v>
      </c>
      <c r="J245" s="8" t="str">
        <f t="shared" si="43"/>
        <v>Sonoma (d/s of Clov. Gage)</v>
      </c>
      <c r="K245" s="8" t="str">
        <f t="shared" si="44"/>
        <v>Post-1949</v>
      </c>
      <c r="L245" s="8">
        <f t="shared" si="45"/>
        <v>2000</v>
      </c>
      <c r="M245" s="8" t="str">
        <f t="shared" si="47"/>
        <v>1991-present</v>
      </c>
      <c r="N245" s="10" t="s">
        <v>242</v>
      </c>
      <c r="O245" s="10" t="s">
        <v>241</v>
      </c>
      <c r="P245" s="10" t="s">
        <v>242</v>
      </c>
      <c r="Q245" s="10" t="s">
        <v>242</v>
      </c>
      <c r="R245" s="10" t="s">
        <v>241</v>
      </c>
      <c r="S245" s="10" t="s">
        <v>242</v>
      </c>
      <c r="T245" s="10" t="s">
        <v>242</v>
      </c>
      <c r="U245" s="10" t="s">
        <v>242</v>
      </c>
      <c r="V245" s="10" t="s">
        <v>241</v>
      </c>
      <c r="W245" s="10" t="s">
        <v>242</v>
      </c>
      <c r="X245" s="15">
        <f>IF(ISERROR(VLOOKUP($A245,'13. Updated Demand'!A:Z,15,FALSE)),0,VLOOKUP($A245,'13. Updated Demand'!A:Z,15,FALSE))</f>
        <v>7.43</v>
      </c>
      <c r="Y245" s="16">
        <f>IF(ISERROR(VLOOKUP($A245,'13. Updated Demand'!A:Z,16,FALSE)),0,VLOOKUP($A245,'13. Updated Demand'!A:Z,16,FALSE))</f>
        <v>0.71</v>
      </c>
      <c r="Z245" s="16">
        <f>IF(ISERROR(VLOOKUP($A245,'13. Updated Demand'!A:Z,17,FALSE)),0,VLOOKUP($A245,'13. Updated Demand'!A:Z,17,FALSE))</f>
        <v>0</v>
      </c>
      <c r="AA245" s="16">
        <f>IF(ISERROR(VLOOKUP($A245,'13. Updated Demand'!A:Z,18,FALSE)),0,VLOOKUP($A245,'13. Updated Demand'!A:Z,18,FALSE))</f>
        <v>0</v>
      </c>
      <c r="AB245" s="16">
        <f>IF(ISERROR(VLOOKUP($A245,'13. Updated Demand'!A:Z,19,FALSE)),0,VLOOKUP($A245,'13. Updated Demand'!A:Z,19,FALSE))</f>
        <v>0</v>
      </c>
      <c r="AC245" s="16">
        <f>IF(ISERROR(VLOOKUP($A245,'13. Updated Demand'!A:Z,20,FALSE)),0,VLOOKUP($A245,'13. Updated Demand'!A:Z,20,FALSE))</f>
        <v>0</v>
      </c>
      <c r="AD245" s="16">
        <f>IF(ISERROR(VLOOKUP($A245,'13. Updated Demand'!A:Z,21,FALSE)),0,VLOOKUP($A245,'13. Updated Demand'!A:Z,21,FALSE))</f>
        <v>0</v>
      </c>
      <c r="AE245" s="16">
        <f>IF(ISERROR(VLOOKUP($A245,'13. Updated Demand'!A:Z,22,FALSE)),0,VLOOKUP($A245,'13. Updated Demand'!A:Z,22,FALSE))</f>
        <v>0</v>
      </c>
      <c r="AF245" s="16">
        <f>IF(ISERROR(VLOOKUP($A245,'13. Updated Demand'!A:Z,23,FALSE)),0,VLOOKUP($A245,'13. Updated Demand'!A:Z,23,FALSE))</f>
        <v>0</v>
      </c>
      <c r="AG245" s="16">
        <f>IF(ISERROR(VLOOKUP($A245,'13. Updated Demand'!A:Z,24,FALSE)),0,VLOOKUP($A245,'13. Updated Demand'!A:Z,24,FALSE))</f>
        <v>0</v>
      </c>
      <c r="AH245" s="16">
        <f>IF(ISERROR(VLOOKUP($A245,'13. Updated Demand'!A:Z,25,FALSE)),0,VLOOKUP($A245,'13. Updated Demand'!A:Z,25,FALSE))</f>
        <v>0</v>
      </c>
      <c r="AI245" s="16">
        <f>IF(ISERROR(VLOOKUP($A245,'13. Updated Demand'!A:Z,26,FALSE)),0,VLOOKUP($A245,'13. Updated Demand'!A:Z,26,FALSE))</f>
        <v>2.02</v>
      </c>
      <c r="AJ245" s="16">
        <f t="shared" si="48"/>
        <v>10.16</v>
      </c>
      <c r="AK245" s="19">
        <v>0</v>
      </c>
      <c r="AL245" s="16">
        <f t="shared" si="46"/>
        <v>0</v>
      </c>
      <c r="AM245" s="17">
        <v>0.42361111108333332</v>
      </c>
      <c r="AN245" s="19"/>
      <c r="AO245" s="19"/>
      <c r="AP245" s="19">
        <v>24</v>
      </c>
      <c r="AQ245" s="19" t="s">
        <v>307</v>
      </c>
      <c r="AR245" s="9" t="s">
        <v>409</v>
      </c>
      <c r="AS245" s="12">
        <v>0</v>
      </c>
      <c r="AT245" s="19">
        <v>38.847000000000001</v>
      </c>
      <c r="AU245" s="19">
        <v>-122.9539</v>
      </c>
      <c r="AV245" s="19" t="s">
        <v>385</v>
      </c>
    </row>
    <row r="246" spans="1:48" x14ac:dyDescent="0.25">
      <c r="A246" s="18" t="s">
        <v>615</v>
      </c>
      <c r="B246" s="10">
        <v>20001227</v>
      </c>
      <c r="C246" s="9">
        <v>4</v>
      </c>
      <c r="D246" s="8" t="str">
        <f t="shared" si="37"/>
        <v>Y</v>
      </c>
      <c r="E246" s="8" t="str">
        <f t="shared" si="38"/>
        <v>N</v>
      </c>
      <c r="F246" s="8" t="str">
        <f t="shared" si="39"/>
        <v>Y</v>
      </c>
      <c r="G246" s="8" t="str">
        <f t="shared" si="40"/>
        <v>Y</v>
      </c>
      <c r="H246" s="8" t="str">
        <f t="shared" si="41"/>
        <v>Upper</v>
      </c>
      <c r="I246" s="8" t="str">
        <f t="shared" si="42"/>
        <v>West Fork and Below Lake</v>
      </c>
      <c r="J246" s="8" t="str">
        <f t="shared" si="43"/>
        <v>Mendocino (d/s of lake)</v>
      </c>
      <c r="K246" s="8" t="str">
        <f t="shared" si="44"/>
        <v>Post-1949</v>
      </c>
      <c r="L246" s="8">
        <f t="shared" si="45"/>
        <v>2000</v>
      </c>
      <c r="M246" s="8" t="str">
        <f t="shared" si="47"/>
        <v>1991-present</v>
      </c>
      <c r="N246" s="10" t="s">
        <v>242</v>
      </c>
      <c r="O246" s="10" t="s">
        <v>241</v>
      </c>
      <c r="P246" s="10" t="s">
        <v>242</v>
      </c>
      <c r="Q246" s="10" t="s">
        <v>242</v>
      </c>
      <c r="R246" s="10" t="s">
        <v>241</v>
      </c>
      <c r="S246" s="10" t="s">
        <v>242</v>
      </c>
      <c r="T246" s="10" t="s">
        <v>242</v>
      </c>
      <c r="U246" s="10" t="s">
        <v>242</v>
      </c>
      <c r="V246" s="10" t="s">
        <v>241</v>
      </c>
      <c r="W246" s="10" t="s">
        <v>242</v>
      </c>
      <c r="X246" s="15">
        <f>IF(ISERROR(VLOOKUP($A246,'13. Updated Demand'!A:Z,15,FALSE)),0,VLOOKUP($A246,'13. Updated Demand'!A:Z,15,FALSE))</f>
        <v>4.0599999999999996</v>
      </c>
      <c r="Y246" s="16">
        <f>IF(ISERROR(VLOOKUP($A246,'13. Updated Demand'!A:Z,16,FALSE)),0,VLOOKUP($A246,'13. Updated Demand'!A:Z,16,FALSE))</f>
        <v>1.63</v>
      </c>
      <c r="Z246" s="16">
        <f>IF(ISERROR(VLOOKUP($A246,'13. Updated Demand'!A:Z,17,FALSE)),0,VLOOKUP($A246,'13. Updated Demand'!A:Z,17,FALSE))</f>
        <v>0.53</v>
      </c>
      <c r="AA246" s="16">
        <f>IF(ISERROR(VLOOKUP($A246,'13. Updated Demand'!A:Z,18,FALSE)),0,VLOOKUP($A246,'13. Updated Demand'!A:Z,18,FALSE))</f>
        <v>0</v>
      </c>
      <c r="AB246" s="16">
        <f>IF(ISERROR(VLOOKUP($A246,'13. Updated Demand'!A:Z,19,FALSE)),0,VLOOKUP($A246,'13. Updated Demand'!A:Z,19,FALSE))</f>
        <v>0</v>
      </c>
      <c r="AC246" s="16">
        <f>IF(ISERROR(VLOOKUP($A246,'13. Updated Demand'!A:Z,20,FALSE)),0,VLOOKUP($A246,'13. Updated Demand'!A:Z,20,FALSE))</f>
        <v>0</v>
      </c>
      <c r="AD246" s="16">
        <f>IF(ISERROR(VLOOKUP($A246,'13. Updated Demand'!A:Z,21,FALSE)),0,VLOOKUP($A246,'13. Updated Demand'!A:Z,21,FALSE))</f>
        <v>0</v>
      </c>
      <c r="AE246" s="16">
        <f>IF(ISERROR(VLOOKUP($A246,'13. Updated Demand'!A:Z,22,FALSE)),0,VLOOKUP($A246,'13. Updated Demand'!A:Z,22,FALSE))</f>
        <v>0</v>
      </c>
      <c r="AF246" s="16">
        <f>IF(ISERROR(VLOOKUP($A246,'13. Updated Demand'!A:Z,23,FALSE)),0,VLOOKUP($A246,'13. Updated Demand'!A:Z,23,FALSE))</f>
        <v>0</v>
      </c>
      <c r="AG246" s="16">
        <f>IF(ISERROR(VLOOKUP($A246,'13. Updated Demand'!A:Z,24,FALSE)),0,VLOOKUP($A246,'13. Updated Demand'!A:Z,24,FALSE))</f>
        <v>0</v>
      </c>
      <c r="AH246" s="16">
        <f>IF(ISERROR(VLOOKUP($A246,'13. Updated Demand'!A:Z,25,FALSE)),0,VLOOKUP($A246,'13. Updated Demand'!A:Z,25,FALSE))</f>
        <v>0</v>
      </c>
      <c r="AI246" s="16">
        <f>IF(ISERROR(VLOOKUP($A246,'13. Updated Demand'!A:Z,26,FALSE)),0,VLOOKUP($A246,'13. Updated Demand'!A:Z,26,FALSE))</f>
        <v>2.2000000000000002</v>
      </c>
      <c r="AJ246" s="16">
        <f t="shared" si="48"/>
        <v>8.42</v>
      </c>
      <c r="AK246" s="19">
        <v>0</v>
      </c>
      <c r="AL246" s="16">
        <f t="shared" si="46"/>
        <v>0</v>
      </c>
      <c r="AM246" s="17">
        <v>0.28111111110000003</v>
      </c>
      <c r="AN246" s="19"/>
      <c r="AO246" s="19"/>
      <c r="AP246" s="19">
        <v>30</v>
      </c>
      <c r="AQ246" s="19" t="s">
        <v>307</v>
      </c>
      <c r="AR246" s="9" t="s">
        <v>331</v>
      </c>
      <c r="AS246" s="12">
        <v>0</v>
      </c>
      <c r="AT246" s="19">
        <v>39.189736869999997</v>
      </c>
      <c r="AU246" s="19">
        <v>-123.18451281</v>
      </c>
      <c r="AV246" s="19" t="s">
        <v>417</v>
      </c>
    </row>
    <row r="247" spans="1:48" x14ac:dyDescent="0.25">
      <c r="A247" s="18" t="s">
        <v>616</v>
      </c>
      <c r="B247" s="10">
        <v>20001212</v>
      </c>
      <c r="C247" s="9">
        <v>6</v>
      </c>
      <c r="D247" s="8" t="str">
        <f t="shared" si="37"/>
        <v>Y</v>
      </c>
      <c r="E247" s="8" t="str">
        <f t="shared" si="38"/>
        <v>N</v>
      </c>
      <c r="F247" s="8" t="str">
        <f t="shared" si="39"/>
        <v>Y</v>
      </c>
      <c r="G247" s="8" t="str">
        <f t="shared" si="40"/>
        <v>Y</v>
      </c>
      <c r="H247" s="8" t="str">
        <f t="shared" si="41"/>
        <v>Upper</v>
      </c>
      <c r="I247" s="8" t="str">
        <f t="shared" si="42"/>
        <v>West Fork and Below Lake</v>
      </c>
      <c r="J247" s="8" t="str">
        <f t="shared" si="43"/>
        <v>Mendocino (d/s of lake)</v>
      </c>
      <c r="K247" s="8" t="str">
        <f t="shared" si="44"/>
        <v>Post-1949</v>
      </c>
      <c r="L247" s="8">
        <f t="shared" si="45"/>
        <v>2000</v>
      </c>
      <c r="M247" s="8" t="str">
        <f t="shared" si="47"/>
        <v>1991-present</v>
      </c>
      <c r="N247" s="10" t="s">
        <v>241</v>
      </c>
      <c r="O247" s="10" t="s">
        <v>241</v>
      </c>
      <c r="P247" s="10" t="s">
        <v>242</v>
      </c>
      <c r="Q247" s="10" t="s">
        <v>242</v>
      </c>
      <c r="R247" s="10" t="s">
        <v>241</v>
      </c>
      <c r="S247" s="10" t="s">
        <v>242</v>
      </c>
      <c r="T247" s="10" t="s">
        <v>241</v>
      </c>
      <c r="U247" s="10" t="s">
        <v>241</v>
      </c>
      <c r="V247" s="10" t="s">
        <v>241</v>
      </c>
      <c r="W247" s="10" t="s">
        <v>242</v>
      </c>
      <c r="X247" s="15">
        <f>IF(ISERROR(VLOOKUP($A247,'13. Updated Demand'!A:Z,15,FALSE)),0,VLOOKUP($A247,'13. Updated Demand'!A:Z,15,FALSE))</f>
        <v>0</v>
      </c>
      <c r="Y247" s="16">
        <f>IF(ISERROR(VLOOKUP($A247,'13. Updated Demand'!A:Z,16,FALSE)),0,VLOOKUP($A247,'13. Updated Demand'!A:Z,16,FALSE))</f>
        <v>0</v>
      </c>
      <c r="Z247" s="16">
        <f>IF(ISERROR(VLOOKUP($A247,'13. Updated Demand'!A:Z,17,FALSE)),0,VLOOKUP($A247,'13. Updated Demand'!A:Z,17,FALSE))</f>
        <v>0</v>
      </c>
      <c r="AA247" s="16">
        <f>IF(ISERROR(VLOOKUP($A247,'13. Updated Demand'!A:Z,18,FALSE)),0,VLOOKUP($A247,'13. Updated Demand'!A:Z,18,FALSE))</f>
        <v>0</v>
      </c>
      <c r="AB247" s="16">
        <f>IF(ISERROR(VLOOKUP($A247,'13. Updated Demand'!A:Z,19,FALSE)),0,VLOOKUP($A247,'13. Updated Demand'!A:Z,19,FALSE))</f>
        <v>0</v>
      </c>
      <c r="AC247" s="16">
        <f>IF(ISERROR(VLOOKUP($A247,'13. Updated Demand'!A:Z,20,FALSE)),0,VLOOKUP($A247,'13. Updated Demand'!A:Z,20,FALSE))</f>
        <v>0</v>
      </c>
      <c r="AD247" s="16">
        <f>IF(ISERROR(VLOOKUP($A247,'13. Updated Demand'!A:Z,21,FALSE)),0,VLOOKUP($A247,'13. Updated Demand'!A:Z,21,FALSE))</f>
        <v>0</v>
      </c>
      <c r="AE247" s="16">
        <f>IF(ISERROR(VLOOKUP($A247,'13. Updated Demand'!A:Z,22,FALSE)),0,VLOOKUP($A247,'13. Updated Demand'!A:Z,22,FALSE))</f>
        <v>0</v>
      </c>
      <c r="AF247" s="16">
        <f>IF(ISERROR(VLOOKUP($A247,'13. Updated Demand'!A:Z,23,FALSE)),0,VLOOKUP($A247,'13. Updated Demand'!A:Z,23,FALSE))</f>
        <v>0</v>
      </c>
      <c r="AG247" s="16">
        <f>IF(ISERROR(VLOOKUP($A247,'13. Updated Demand'!A:Z,24,FALSE)),0,VLOOKUP($A247,'13. Updated Demand'!A:Z,24,FALSE))</f>
        <v>0</v>
      </c>
      <c r="AH247" s="16">
        <f>IF(ISERROR(VLOOKUP($A247,'13. Updated Demand'!A:Z,25,FALSE)),0,VLOOKUP($A247,'13. Updated Demand'!A:Z,25,FALSE))</f>
        <v>0</v>
      </c>
      <c r="AI247" s="16">
        <f>IF(ISERROR(VLOOKUP($A247,'13. Updated Demand'!A:Z,26,FALSE)),0,VLOOKUP($A247,'13. Updated Demand'!A:Z,26,FALSE))</f>
        <v>0</v>
      </c>
      <c r="AJ247" s="16">
        <f t="shared" si="48"/>
        <v>0</v>
      </c>
      <c r="AK247" s="19">
        <v>0</v>
      </c>
      <c r="AL247" s="16">
        <f t="shared" si="46"/>
        <v>0</v>
      </c>
      <c r="AM247" s="17">
        <v>0</v>
      </c>
      <c r="AN247" s="19"/>
      <c r="AO247" s="19"/>
      <c r="AP247" s="19">
        <v>258</v>
      </c>
      <c r="AQ247" s="19" t="s">
        <v>307</v>
      </c>
      <c r="AR247" s="9" t="s">
        <v>319</v>
      </c>
      <c r="AS247" s="12">
        <v>0</v>
      </c>
      <c r="AT247" s="19">
        <v>38.98348447</v>
      </c>
      <c r="AU247" s="19">
        <v>-123.10331005</v>
      </c>
      <c r="AV247" s="19" t="s">
        <v>387</v>
      </c>
    </row>
    <row r="248" spans="1:48" x14ac:dyDescent="0.25">
      <c r="A248" s="18" t="s">
        <v>617</v>
      </c>
      <c r="B248" s="10">
        <v>20000825</v>
      </c>
      <c r="C248" s="9">
        <v>6</v>
      </c>
      <c r="D248" s="8" t="str">
        <f t="shared" si="37"/>
        <v>Y</v>
      </c>
      <c r="E248" s="8" t="str">
        <f t="shared" si="38"/>
        <v>N</v>
      </c>
      <c r="F248" s="8" t="str">
        <f t="shared" si="39"/>
        <v>Y</v>
      </c>
      <c r="G248" s="8" t="str">
        <f t="shared" si="40"/>
        <v>Y</v>
      </c>
      <c r="H248" s="8" t="str">
        <f t="shared" si="41"/>
        <v>Upper</v>
      </c>
      <c r="I248" s="8" t="str">
        <f t="shared" si="42"/>
        <v>West Fork and Below Lake</v>
      </c>
      <c r="J248" s="8" t="str">
        <f t="shared" si="43"/>
        <v>Mendocino (d/s of lake)</v>
      </c>
      <c r="K248" s="8" t="str">
        <f t="shared" si="44"/>
        <v>Post-1949</v>
      </c>
      <c r="L248" s="8">
        <f t="shared" si="45"/>
        <v>2000</v>
      </c>
      <c r="M248" s="8" t="str">
        <f t="shared" si="47"/>
        <v>1991-present</v>
      </c>
      <c r="N248" s="10" t="s">
        <v>242</v>
      </c>
      <c r="O248" s="10" t="s">
        <v>241</v>
      </c>
      <c r="P248" s="10" t="s">
        <v>242</v>
      </c>
      <c r="Q248" s="10" t="s">
        <v>242</v>
      </c>
      <c r="R248" s="10" t="s">
        <v>241</v>
      </c>
      <c r="S248" s="10" t="s">
        <v>242</v>
      </c>
      <c r="T248" s="10" t="s">
        <v>241</v>
      </c>
      <c r="U248" s="10" t="s">
        <v>241</v>
      </c>
      <c r="V248" s="10" t="s">
        <v>241</v>
      </c>
      <c r="W248" s="10" t="s">
        <v>242</v>
      </c>
      <c r="X248" s="15">
        <f>IF(ISERROR(VLOOKUP($A248,'13. Updated Demand'!A:Z,15,FALSE)),0,VLOOKUP($A248,'13. Updated Demand'!A:Z,15,FALSE))</f>
        <v>0</v>
      </c>
      <c r="Y248" s="16">
        <f>IF(ISERROR(VLOOKUP($A248,'13. Updated Demand'!A:Z,16,FALSE)),0,VLOOKUP($A248,'13. Updated Demand'!A:Z,16,FALSE))</f>
        <v>0</v>
      </c>
      <c r="Z248" s="16">
        <f>IF(ISERROR(VLOOKUP($A248,'13. Updated Demand'!A:Z,17,FALSE)),0,VLOOKUP($A248,'13. Updated Demand'!A:Z,17,FALSE))</f>
        <v>0</v>
      </c>
      <c r="AA248" s="16">
        <f>IF(ISERROR(VLOOKUP($A248,'13. Updated Demand'!A:Z,18,FALSE)),0,VLOOKUP($A248,'13. Updated Demand'!A:Z,18,FALSE))</f>
        <v>0</v>
      </c>
      <c r="AB248" s="16">
        <f>IF(ISERROR(VLOOKUP($A248,'13. Updated Demand'!A:Z,19,FALSE)),0,VLOOKUP($A248,'13. Updated Demand'!A:Z,19,FALSE))</f>
        <v>0</v>
      </c>
      <c r="AC248" s="16">
        <f>IF(ISERROR(VLOOKUP($A248,'13. Updated Demand'!A:Z,20,FALSE)),0,VLOOKUP($A248,'13. Updated Demand'!A:Z,20,FALSE))</f>
        <v>0</v>
      </c>
      <c r="AD248" s="16">
        <f>IF(ISERROR(VLOOKUP($A248,'13. Updated Demand'!A:Z,21,FALSE)),0,VLOOKUP($A248,'13. Updated Demand'!A:Z,21,FALSE))</f>
        <v>0</v>
      </c>
      <c r="AE248" s="16">
        <f>IF(ISERROR(VLOOKUP($A248,'13. Updated Demand'!A:Z,22,FALSE)),0,VLOOKUP($A248,'13. Updated Demand'!A:Z,22,FALSE))</f>
        <v>0</v>
      </c>
      <c r="AF248" s="16">
        <f>IF(ISERROR(VLOOKUP($A248,'13. Updated Demand'!A:Z,23,FALSE)),0,VLOOKUP($A248,'13. Updated Demand'!A:Z,23,FALSE))</f>
        <v>0</v>
      </c>
      <c r="AG248" s="16">
        <f>IF(ISERROR(VLOOKUP($A248,'13. Updated Demand'!A:Z,24,FALSE)),0,VLOOKUP($A248,'13. Updated Demand'!A:Z,24,FALSE))</f>
        <v>0</v>
      </c>
      <c r="AH248" s="16">
        <f>IF(ISERROR(VLOOKUP($A248,'13. Updated Demand'!A:Z,25,FALSE)),0,VLOOKUP($A248,'13. Updated Demand'!A:Z,25,FALSE))</f>
        <v>0</v>
      </c>
      <c r="AI248" s="16">
        <f>IF(ISERROR(VLOOKUP($A248,'13. Updated Demand'!A:Z,26,FALSE)),0,VLOOKUP($A248,'13. Updated Demand'!A:Z,26,FALSE))</f>
        <v>0</v>
      </c>
      <c r="AJ248" s="16">
        <f t="shared" si="48"/>
        <v>0</v>
      </c>
      <c r="AK248" s="19">
        <v>0</v>
      </c>
      <c r="AL248" s="16">
        <f t="shared" si="46"/>
        <v>0</v>
      </c>
      <c r="AM248" s="17">
        <v>0</v>
      </c>
      <c r="AN248" s="19"/>
      <c r="AO248" s="19"/>
      <c r="AP248" s="19">
        <v>50</v>
      </c>
      <c r="AQ248" s="19" t="s">
        <v>307</v>
      </c>
      <c r="AR248" s="9" t="s">
        <v>319</v>
      </c>
      <c r="AS248" s="12">
        <v>0</v>
      </c>
      <c r="AT248" s="19">
        <v>38.978569520000001</v>
      </c>
      <c r="AU248" s="19">
        <v>-123.07991962</v>
      </c>
      <c r="AV248" s="19" t="s">
        <v>417</v>
      </c>
    </row>
    <row r="249" spans="1:48" x14ac:dyDescent="0.25">
      <c r="A249" s="18" t="s">
        <v>618</v>
      </c>
      <c r="B249" s="10">
        <v>20001130</v>
      </c>
      <c r="C249" s="9">
        <v>14</v>
      </c>
      <c r="D249" s="8" t="str">
        <f t="shared" si="37"/>
        <v>N</v>
      </c>
      <c r="E249" s="8" t="str">
        <f t="shared" si="38"/>
        <v>N</v>
      </c>
      <c r="F249" s="8" t="str">
        <f t="shared" si="39"/>
        <v>N</v>
      </c>
      <c r="G249" s="8" t="str">
        <f t="shared" si="40"/>
        <v>N</v>
      </c>
      <c r="H249" s="8" t="str">
        <f t="shared" si="41"/>
        <v>Lower</v>
      </c>
      <c r="I249" s="8" t="str">
        <f t="shared" si="42"/>
        <v>Outside</v>
      </c>
      <c r="J249" s="8" t="str">
        <f t="shared" si="43"/>
        <v>Outside</v>
      </c>
      <c r="K249" s="8" t="str">
        <f t="shared" si="44"/>
        <v>Post-1949</v>
      </c>
      <c r="L249" s="8">
        <f t="shared" si="45"/>
        <v>2000</v>
      </c>
      <c r="M249" s="8" t="str">
        <f t="shared" si="47"/>
        <v>1991-present</v>
      </c>
      <c r="N249" s="10" t="s">
        <v>242</v>
      </c>
      <c r="O249" s="10" t="s">
        <v>242</v>
      </c>
      <c r="P249" s="10" t="s">
        <v>242</v>
      </c>
      <c r="Q249" s="10" t="s">
        <v>242</v>
      </c>
      <c r="R249" s="10" t="s">
        <v>241</v>
      </c>
      <c r="S249" s="10" t="s">
        <v>242</v>
      </c>
      <c r="T249" s="10" t="s">
        <v>241</v>
      </c>
      <c r="U249" s="10" t="s">
        <v>241</v>
      </c>
      <c r="V249" s="10" t="s">
        <v>241</v>
      </c>
      <c r="W249" s="10" t="s">
        <v>242</v>
      </c>
      <c r="X249" s="15">
        <f>IF(ISERROR(VLOOKUP($A249,'13. Updated Demand'!A:Z,15,FALSE)),0,VLOOKUP($A249,'13. Updated Demand'!A:Z,15,FALSE))</f>
        <v>0</v>
      </c>
      <c r="Y249" s="16">
        <f>IF(ISERROR(VLOOKUP($A249,'13. Updated Demand'!A:Z,16,FALSE)),0,VLOOKUP($A249,'13. Updated Demand'!A:Z,16,FALSE))</f>
        <v>0</v>
      </c>
      <c r="Z249" s="16">
        <f>IF(ISERROR(VLOOKUP($A249,'13. Updated Demand'!A:Z,17,FALSE)),0,VLOOKUP($A249,'13. Updated Demand'!A:Z,17,FALSE))</f>
        <v>0</v>
      </c>
      <c r="AA249" s="16">
        <f>IF(ISERROR(VLOOKUP($A249,'13. Updated Demand'!A:Z,18,FALSE)),0,VLOOKUP($A249,'13. Updated Demand'!A:Z,18,FALSE))</f>
        <v>0</v>
      </c>
      <c r="AB249" s="16">
        <f>IF(ISERROR(VLOOKUP($A249,'13. Updated Demand'!A:Z,19,FALSE)),0,VLOOKUP($A249,'13. Updated Demand'!A:Z,19,FALSE))</f>
        <v>0</v>
      </c>
      <c r="AC249" s="16">
        <f>IF(ISERROR(VLOOKUP($A249,'13. Updated Demand'!A:Z,20,FALSE)),0,VLOOKUP($A249,'13. Updated Demand'!A:Z,20,FALSE))</f>
        <v>0</v>
      </c>
      <c r="AD249" s="16">
        <f>IF(ISERROR(VLOOKUP($A249,'13. Updated Demand'!A:Z,21,FALSE)),0,VLOOKUP($A249,'13. Updated Demand'!A:Z,21,FALSE))</f>
        <v>0</v>
      </c>
      <c r="AE249" s="16">
        <f>IF(ISERROR(VLOOKUP($A249,'13. Updated Demand'!A:Z,22,FALSE)),0,VLOOKUP($A249,'13. Updated Demand'!A:Z,22,FALSE))</f>
        <v>0</v>
      </c>
      <c r="AF249" s="16">
        <f>IF(ISERROR(VLOOKUP($A249,'13. Updated Demand'!A:Z,23,FALSE)),0,VLOOKUP($A249,'13. Updated Demand'!A:Z,23,FALSE))</f>
        <v>0</v>
      </c>
      <c r="AG249" s="16">
        <f>IF(ISERROR(VLOOKUP($A249,'13. Updated Demand'!A:Z,24,FALSE)),0,VLOOKUP($A249,'13. Updated Demand'!A:Z,24,FALSE))</f>
        <v>0</v>
      </c>
      <c r="AH249" s="16">
        <f>IF(ISERROR(VLOOKUP($A249,'13. Updated Demand'!A:Z,25,FALSE)),0,VLOOKUP($A249,'13. Updated Demand'!A:Z,25,FALSE))</f>
        <v>0</v>
      </c>
      <c r="AI249" s="16">
        <f>IF(ISERROR(VLOOKUP($A249,'13. Updated Demand'!A:Z,26,FALSE)),0,VLOOKUP($A249,'13. Updated Demand'!A:Z,26,FALSE))</f>
        <v>0</v>
      </c>
      <c r="AJ249" s="16">
        <f t="shared" si="48"/>
        <v>0</v>
      </c>
      <c r="AK249" s="19">
        <v>0</v>
      </c>
      <c r="AL249" s="16">
        <f t="shared" si="46"/>
        <v>0</v>
      </c>
      <c r="AM249" s="17">
        <v>0</v>
      </c>
      <c r="AN249" s="19"/>
      <c r="AO249" s="19"/>
      <c r="AP249" s="19">
        <v>10.1</v>
      </c>
      <c r="AQ249" s="19" t="s">
        <v>307</v>
      </c>
      <c r="AR249" s="9" t="s">
        <v>493</v>
      </c>
      <c r="AS249" s="12">
        <v>0</v>
      </c>
      <c r="AT249" s="19">
        <v>38.690899999999999</v>
      </c>
      <c r="AU249" s="19">
        <v>-123.00709999999999</v>
      </c>
      <c r="AV249" s="19" t="s">
        <v>619</v>
      </c>
    </row>
    <row r="250" spans="1:48" x14ac:dyDescent="0.25">
      <c r="A250" s="18" t="s">
        <v>620</v>
      </c>
      <c r="B250" s="10">
        <v>20000924</v>
      </c>
      <c r="C250" s="9">
        <v>16</v>
      </c>
      <c r="D250" s="8" t="str">
        <f t="shared" si="37"/>
        <v>N</v>
      </c>
      <c r="E250" s="8" t="str">
        <f t="shared" si="38"/>
        <v>N</v>
      </c>
      <c r="F250" s="8" t="str">
        <f t="shared" si="39"/>
        <v>N</v>
      </c>
      <c r="G250" s="8" t="str">
        <f t="shared" si="40"/>
        <v>N</v>
      </c>
      <c r="H250" s="8" t="str">
        <f t="shared" si="41"/>
        <v>Lower</v>
      </c>
      <c r="I250" s="8" t="str">
        <f t="shared" si="42"/>
        <v>Outside</v>
      </c>
      <c r="J250" s="8" t="str">
        <f t="shared" si="43"/>
        <v>Outside</v>
      </c>
      <c r="K250" s="8" t="str">
        <f t="shared" si="44"/>
        <v>Post-1949</v>
      </c>
      <c r="L250" s="8">
        <f t="shared" si="45"/>
        <v>2000</v>
      </c>
      <c r="M250" s="8" t="str">
        <f t="shared" si="47"/>
        <v>1991-present</v>
      </c>
      <c r="N250" s="10" t="s">
        <v>242</v>
      </c>
      <c r="O250" s="10" t="s">
        <v>242</v>
      </c>
      <c r="P250" s="10" t="s">
        <v>242</v>
      </c>
      <c r="Q250" s="10" t="s">
        <v>242</v>
      </c>
      <c r="R250" s="10" t="s">
        <v>241</v>
      </c>
      <c r="S250" s="10" t="s">
        <v>242</v>
      </c>
      <c r="T250" s="10" t="s">
        <v>242</v>
      </c>
      <c r="U250" s="10" t="s">
        <v>242</v>
      </c>
      <c r="V250" s="10" t="s">
        <v>241</v>
      </c>
      <c r="W250" s="10" t="s">
        <v>242</v>
      </c>
      <c r="X250" s="15">
        <f>IF(ISERROR(VLOOKUP($A250,'13. Updated Demand'!A:Z,15,FALSE)),0,VLOOKUP($A250,'13. Updated Demand'!A:Z,15,FALSE))</f>
        <v>0</v>
      </c>
      <c r="Y250" s="16">
        <f>IF(ISERROR(VLOOKUP($A250,'13. Updated Demand'!A:Z,16,FALSE)),0,VLOOKUP($A250,'13. Updated Demand'!A:Z,16,FALSE))</f>
        <v>0</v>
      </c>
      <c r="Z250" s="16">
        <f>IF(ISERROR(VLOOKUP($A250,'13. Updated Demand'!A:Z,17,FALSE)),0,VLOOKUP($A250,'13. Updated Demand'!A:Z,17,FALSE))</f>
        <v>0</v>
      </c>
      <c r="AA250" s="16">
        <f>IF(ISERROR(VLOOKUP($A250,'13. Updated Demand'!A:Z,18,FALSE)),0,VLOOKUP($A250,'13. Updated Demand'!A:Z,18,FALSE))</f>
        <v>0</v>
      </c>
      <c r="AB250" s="16">
        <f>IF(ISERROR(VLOOKUP($A250,'13. Updated Demand'!A:Z,19,FALSE)),0,VLOOKUP($A250,'13. Updated Demand'!A:Z,19,FALSE))</f>
        <v>0</v>
      </c>
      <c r="AC250" s="16">
        <f>IF(ISERROR(VLOOKUP($A250,'13. Updated Demand'!A:Z,20,FALSE)),0,VLOOKUP($A250,'13. Updated Demand'!A:Z,20,FALSE))</f>
        <v>0</v>
      </c>
      <c r="AD250" s="16">
        <f>IF(ISERROR(VLOOKUP($A250,'13. Updated Demand'!A:Z,21,FALSE)),0,VLOOKUP($A250,'13. Updated Demand'!A:Z,21,FALSE))</f>
        <v>0</v>
      </c>
      <c r="AE250" s="16">
        <f>IF(ISERROR(VLOOKUP($A250,'13. Updated Demand'!A:Z,22,FALSE)),0,VLOOKUP($A250,'13. Updated Demand'!A:Z,22,FALSE))</f>
        <v>0</v>
      </c>
      <c r="AF250" s="16">
        <f>IF(ISERROR(VLOOKUP($A250,'13. Updated Demand'!A:Z,23,FALSE)),0,VLOOKUP($A250,'13. Updated Demand'!A:Z,23,FALSE))</f>
        <v>0</v>
      </c>
      <c r="AG250" s="16">
        <f>IF(ISERROR(VLOOKUP($A250,'13. Updated Demand'!A:Z,24,FALSE)),0,VLOOKUP($A250,'13. Updated Demand'!A:Z,24,FALSE))</f>
        <v>0</v>
      </c>
      <c r="AH250" s="16">
        <f>IF(ISERROR(VLOOKUP($A250,'13. Updated Demand'!A:Z,25,FALSE)),0,VLOOKUP($A250,'13. Updated Demand'!A:Z,25,FALSE))</f>
        <v>0</v>
      </c>
      <c r="AI250" s="16">
        <f>IF(ISERROR(VLOOKUP($A250,'13. Updated Demand'!A:Z,26,FALSE)),0,VLOOKUP($A250,'13. Updated Demand'!A:Z,26,FALSE))</f>
        <v>0.73333333300000003</v>
      </c>
      <c r="AJ250" s="16">
        <f t="shared" si="48"/>
        <v>0.73333333300000003</v>
      </c>
      <c r="AK250" s="19">
        <v>0</v>
      </c>
      <c r="AL250" s="16">
        <f t="shared" si="46"/>
        <v>0</v>
      </c>
      <c r="AM250" s="17">
        <v>0.12222222216666667</v>
      </c>
      <c r="AN250" s="19"/>
      <c r="AO250" s="19"/>
      <c r="AP250" s="19">
        <v>6</v>
      </c>
      <c r="AQ250" s="19" t="s">
        <v>307</v>
      </c>
      <c r="AR250" s="9" t="s">
        <v>394</v>
      </c>
      <c r="AS250" s="12">
        <v>3.4039024194010059E-4</v>
      </c>
      <c r="AT250" s="19">
        <v>38.627134380000001</v>
      </c>
      <c r="AU250" s="19">
        <v>-122.92119594</v>
      </c>
      <c r="AV250" s="19" t="s">
        <v>417</v>
      </c>
    </row>
    <row r="251" spans="1:48" x14ac:dyDescent="0.25">
      <c r="A251" s="18" t="s">
        <v>621</v>
      </c>
      <c r="B251" s="10">
        <v>20001229</v>
      </c>
      <c r="C251" s="9">
        <v>4</v>
      </c>
      <c r="D251" s="8" t="str">
        <f t="shared" si="37"/>
        <v>Y</v>
      </c>
      <c r="E251" s="8" t="str">
        <f t="shared" si="38"/>
        <v>N</v>
      </c>
      <c r="F251" s="8" t="str">
        <f t="shared" si="39"/>
        <v>Y</v>
      </c>
      <c r="G251" s="8" t="str">
        <f t="shared" si="40"/>
        <v>Y</v>
      </c>
      <c r="H251" s="8" t="str">
        <f t="shared" si="41"/>
        <v>Upper</v>
      </c>
      <c r="I251" s="8" t="str">
        <f t="shared" si="42"/>
        <v>West Fork and Below Lake</v>
      </c>
      <c r="J251" s="8" t="str">
        <f t="shared" si="43"/>
        <v>Mendocino (d/s of lake)</v>
      </c>
      <c r="K251" s="8" t="str">
        <f t="shared" si="44"/>
        <v>Post-1949</v>
      </c>
      <c r="L251" s="8">
        <f t="shared" si="45"/>
        <v>2000</v>
      </c>
      <c r="M251" s="8" t="str">
        <f t="shared" si="47"/>
        <v>1991-present</v>
      </c>
      <c r="N251" s="10" t="s">
        <v>241</v>
      </c>
      <c r="O251" s="10" t="s">
        <v>241</v>
      </c>
      <c r="P251" s="10" t="s">
        <v>242</v>
      </c>
      <c r="Q251" s="10" t="s">
        <v>242</v>
      </c>
      <c r="R251" s="10" t="s">
        <v>241</v>
      </c>
      <c r="S251" s="10" t="s">
        <v>242</v>
      </c>
      <c r="T251" s="10" t="s">
        <v>241</v>
      </c>
      <c r="U251" s="10" t="s">
        <v>241</v>
      </c>
      <c r="V251" s="10" t="s">
        <v>241</v>
      </c>
      <c r="W251" s="10" t="s">
        <v>242</v>
      </c>
      <c r="X251" s="15">
        <f>IF(ISERROR(VLOOKUP($A251,'13. Updated Demand'!A:Z,15,FALSE)),0,VLOOKUP($A251,'13. Updated Demand'!A:Z,15,FALSE))</f>
        <v>0</v>
      </c>
      <c r="Y251" s="16">
        <f>IF(ISERROR(VLOOKUP($A251,'13. Updated Demand'!A:Z,16,FALSE)),0,VLOOKUP($A251,'13. Updated Demand'!A:Z,16,FALSE))</f>
        <v>0</v>
      </c>
      <c r="Z251" s="16">
        <f>IF(ISERROR(VLOOKUP($A251,'13. Updated Demand'!A:Z,17,FALSE)),0,VLOOKUP($A251,'13. Updated Demand'!A:Z,17,FALSE))</f>
        <v>0</v>
      </c>
      <c r="AA251" s="16">
        <f>IF(ISERROR(VLOOKUP($A251,'13. Updated Demand'!A:Z,18,FALSE)),0,VLOOKUP($A251,'13. Updated Demand'!A:Z,18,FALSE))</f>
        <v>0</v>
      </c>
      <c r="AB251" s="16">
        <f>IF(ISERROR(VLOOKUP($A251,'13. Updated Demand'!A:Z,19,FALSE)),0,VLOOKUP($A251,'13. Updated Demand'!A:Z,19,FALSE))</f>
        <v>0</v>
      </c>
      <c r="AC251" s="16">
        <f>IF(ISERROR(VLOOKUP($A251,'13. Updated Demand'!A:Z,20,FALSE)),0,VLOOKUP($A251,'13. Updated Demand'!A:Z,20,FALSE))</f>
        <v>0</v>
      </c>
      <c r="AD251" s="16">
        <f>IF(ISERROR(VLOOKUP($A251,'13. Updated Demand'!A:Z,21,FALSE)),0,VLOOKUP($A251,'13. Updated Demand'!A:Z,21,FALSE))</f>
        <v>0</v>
      </c>
      <c r="AE251" s="16">
        <f>IF(ISERROR(VLOOKUP($A251,'13. Updated Demand'!A:Z,22,FALSE)),0,VLOOKUP($A251,'13. Updated Demand'!A:Z,22,FALSE))</f>
        <v>0</v>
      </c>
      <c r="AF251" s="16">
        <f>IF(ISERROR(VLOOKUP($A251,'13. Updated Demand'!A:Z,23,FALSE)),0,VLOOKUP($A251,'13. Updated Demand'!A:Z,23,FALSE))</f>
        <v>0</v>
      </c>
      <c r="AG251" s="16">
        <f>IF(ISERROR(VLOOKUP($A251,'13. Updated Demand'!A:Z,24,FALSE)),0,VLOOKUP($A251,'13. Updated Demand'!A:Z,24,FALSE))</f>
        <v>0</v>
      </c>
      <c r="AH251" s="16">
        <f>IF(ISERROR(VLOOKUP($A251,'13. Updated Demand'!A:Z,25,FALSE)),0,VLOOKUP($A251,'13. Updated Demand'!A:Z,25,FALSE))</f>
        <v>0</v>
      </c>
      <c r="AI251" s="16">
        <f>IF(ISERROR(VLOOKUP($A251,'13. Updated Demand'!A:Z,26,FALSE)),0,VLOOKUP($A251,'13. Updated Demand'!A:Z,26,FALSE))</f>
        <v>0</v>
      </c>
      <c r="AJ251" s="16">
        <f t="shared" si="48"/>
        <v>0</v>
      </c>
      <c r="AK251" s="19">
        <v>0</v>
      </c>
      <c r="AL251" s="16">
        <f t="shared" si="46"/>
        <v>0</v>
      </c>
      <c r="AM251" s="17">
        <v>0</v>
      </c>
      <c r="AN251" s="19"/>
      <c r="AO251" s="19"/>
      <c r="AP251" s="19">
        <v>167</v>
      </c>
      <c r="AQ251" s="19" t="s">
        <v>307</v>
      </c>
      <c r="AR251" s="9" t="s">
        <v>331</v>
      </c>
      <c r="AS251" s="12">
        <v>0</v>
      </c>
      <c r="AT251" s="19">
        <v>39.148309060000003</v>
      </c>
      <c r="AU251" s="19">
        <v>-123.18099879</v>
      </c>
      <c r="AV251" s="19" t="s">
        <v>387</v>
      </c>
    </row>
    <row r="252" spans="1:48" x14ac:dyDescent="0.25">
      <c r="A252" s="18" t="s">
        <v>622</v>
      </c>
      <c r="B252" s="10">
        <v>20000830</v>
      </c>
      <c r="C252" s="9">
        <v>5</v>
      </c>
      <c r="D252" s="8" t="str">
        <f t="shared" si="37"/>
        <v>Y</v>
      </c>
      <c r="E252" s="8" t="str">
        <f t="shared" si="38"/>
        <v>N</v>
      </c>
      <c r="F252" s="8" t="str">
        <f t="shared" si="39"/>
        <v>Y</v>
      </c>
      <c r="G252" s="8" t="str">
        <f t="shared" si="40"/>
        <v>Y</v>
      </c>
      <c r="H252" s="8" t="str">
        <f t="shared" si="41"/>
        <v>Upper</v>
      </c>
      <c r="I252" s="8" t="str">
        <f t="shared" si="42"/>
        <v>West Fork and Below Lake</v>
      </c>
      <c r="J252" s="8" t="str">
        <f t="shared" si="43"/>
        <v>Mendocino (d/s of lake)</v>
      </c>
      <c r="K252" s="8" t="str">
        <f t="shared" si="44"/>
        <v>Post-1949</v>
      </c>
      <c r="L252" s="8">
        <f t="shared" si="45"/>
        <v>2000</v>
      </c>
      <c r="M252" s="8" t="str">
        <f t="shared" si="47"/>
        <v>1991-present</v>
      </c>
      <c r="N252" s="10" t="s">
        <v>242</v>
      </c>
      <c r="O252" s="10" t="s">
        <v>241</v>
      </c>
      <c r="P252" s="10" t="s">
        <v>242</v>
      </c>
      <c r="Q252" s="10" t="s">
        <v>242</v>
      </c>
      <c r="R252" s="10" t="s">
        <v>241</v>
      </c>
      <c r="S252" s="10" t="s">
        <v>242</v>
      </c>
      <c r="T252" s="10" t="s">
        <v>242</v>
      </c>
      <c r="U252" s="10" t="s">
        <v>242</v>
      </c>
      <c r="V252" s="10" t="s">
        <v>241</v>
      </c>
      <c r="W252" s="10" t="s">
        <v>242</v>
      </c>
      <c r="X252" s="15">
        <f>IF(ISERROR(VLOOKUP($A252,'13. Updated Demand'!A:Z,15,FALSE)),0,VLOOKUP($A252,'13. Updated Demand'!A:Z,15,FALSE))</f>
        <v>0.6</v>
      </c>
      <c r="Y252" s="16">
        <f>IF(ISERROR(VLOOKUP($A252,'13. Updated Demand'!A:Z,16,FALSE)),0,VLOOKUP($A252,'13. Updated Demand'!A:Z,16,FALSE))</f>
        <v>0.6</v>
      </c>
      <c r="Z252" s="16">
        <f>IF(ISERROR(VLOOKUP($A252,'13. Updated Demand'!A:Z,17,FALSE)),0,VLOOKUP($A252,'13. Updated Demand'!A:Z,17,FALSE))</f>
        <v>0.3</v>
      </c>
      <c r="AA252" s="16">
        <f>IF(ISERROR(VLOOKUP($A252,'13. Updated Demand'!A:Z,18,FALSE)),0,VLOOKUP($A252,'13. Updated Demand'!A:Z,18,FALSE))</f>
        <v>0.13</v>
      </c>
      <c r="AB252" s="16">
        <f>IF(ISERROR(VLOOKUP($A252,'13. Updated Demand'!A:Z,19,FALSE)),0,VLOOKUP($A252,'13. Updated Demand'!A:Z,19,FALSE))</f>
        <v>0</v>
      </c>
      <c r="AC252" s="16">
        <f>IF(ISERROR(VLOOKUP($A252,'13. Updated Demand'!A:Z,20,FALSE)),0,VLOOKUP($A252,'13. Updated Demand'!A:Z,20,FALSE))</f>
        <v>0</v>
      </c>
      <c r="AD252" s="16">
        <f>IF(ISERROR(VLOOKUP($A252,'13. Updated Demand'!A:Z,21,FALSE)),0,VLOOKUP($A252,'13. Updated Demand'!A:Z,21,FALSE))</f>
        <v>0</v>
      </c>
      <c r="AE252" s="16">
        <f>IF(ISERROR(VLOOKUP($A252,'13. Updated Demand'!A:Z,22,FALSE)),0,VLOOKUP($A252,'13. Updated Demand'!A:Z,22,FALSE))</f>
        <v>0</v>
      </c>
      <c r="AF252" s="16">
        <f>IF(ISERROR(VLOOKUP($A252,'13. Updated Demand'!A:Z,23,FALSE)),0,VLOOKUP($A252,'13. Updated Demand'!A:Z,23,FALSE))</f>
        <v>0</v>
      </c>
      <c r="AG252" s="16">
        <f>IF(ISERROR(VLOOKUP($A252,'13. Updated Demand'!A:Z,24,FALSE)),0,VLOOKUP($A252,'13. Updated Demand'!A:Z,24,FALSE))</f>
        <v>0</v>
      </c>
      <c r="AH252" s="16">
        <f>IF(ISERROR(VLOOKUP($A252,'13. Updated Demand'!A:Z,25,FALSE)),0,VLOOKUP($A252,'13. Updated Demand'!A:Z,25,FALSE))</f>
        <v>0.06</v>
      </c>
      <c r="AI252" s="16">
        <f>IF(ISERROR(VLOOKUP($A252,'13. Updated Demand'!A:Z,26,FALSE)),0,VLOOKUP($A252,'13. Updated Demand'!A:Z,26,FALSE))</f>
        <v>0.4</v>
      </c>
      <c r="AJ252" s="16">
        <f t="shared" si="48"/>
        <v>2.09</v>
      </c>
      <c r="AK252" s="19">
        <v>0</v>
      </c>
      <c r="AL252" s="16">
        <f t="shared" si="46"/>
        <v>0</v>
      </c>
      <c r="AM252" s="17">
        <v>1</v>
      </c>
      <c r="AN252" s="19"/>
      <c r="AO252" s="19"/>
      <c r="AP252" s="19">
        <v>2.1</v>
      </c>
      <c r="AQ252" s="19" t="s">
        <v>307</v>
      </c>
      <c r="AR252" s="9" t="s">
        <v>333</v>
      </c>
      <c r="AS252" s="12">
        <v>3.4039024194010059E-4</v>
      </c>
      <c r="AT252" s="19">
        <v>39.032463380000003</v>
      </c>
      <c r="AU252" s="19">
        <v>-123.17766219000001</v>
      </c>
      <c r="AV252" s="19" t="s">
        <v>417</v>
      </c>
    </row>
    <row r="253" spans="1:48" x14ac:dyDescent="0.25">
      <c r="A253" s="18" t="s">
        <v>623</v>
      </c>
      <c r="B253" s="10">
        <v>20000921</v>
      </c>
      <c r="C253" s="9">
        <v>22</v>
      </c>
      <c r="D253" s="8" t="str">
        <f t="shared" si="37"/>
        <v>N</v>
      </c>
      <c r="E253" s="8" t="str">
        <f t="shared" si="38"/>
        <v>N</v>
      </c>
      <c r="F253" s="8" t="str">
        <f t="shared" si="39"/>
        <v>N</v>
      </c>
      <c r="G253" s="8" t="str">
        <f t="shared" si="40"/>
        <v>N</v>
      </c>
      <c r="H253" s="8" t="str">
        <f t="shared" si="41"/>
        <v>Lower</v>
      </c>
      <c r="I253" s="8" t="str">
        <f t="shared" si="42"/>
        <v>Outside</v>
      </c>
      <c r="J253" s="8" t="str">
        <f t="shared" si="43"/>
        <v>Outside</v>
      </c>
      <c r="K253" s="8" t="str">
        <f t="shared" si="44"/>
        <v>Post-1949</v>
      </c>
      <c r="L253" s="8">
        <f t="shared" si="45"/>
        <v>2000</v>
      </c>
      <c r="M253" s="8" t="str">
        <f t="shared" si="47"/>
        <v>1991-present</v>
      </c>
      <c r="N253" s="10" t="s">
        <v>242</v>
      </c>
      <c r="O253" s="10" t="s">
        <v>242</v>
      </c>
      <c r="P253" s="10" t="s">
        <v>242</v>
      </c>
      <c r="Q253" s="10" t="s">
        <v>242</v>
      </c>
      <c r="R253" s="10" t="s">
        <v>241</v>
      </c>
      <c r="S253" s="10" t="s">
        <v>242</v>
      </c>
      <c r="T253" s="10" t="s">
        <v>242</v>
      </c>
      <c r="U253" s="10" t="s">
        <v>241</v>
      </c>
      <c r="V253" s="10" t="s">
        <v>241</v>
      </c>
      <c r="W253" s="10" t="s">
        <v>242</v>
      </c>
      <c r="X253" s="15">
        <f>IF(ISERROR(VLOOKUP($A253,'13. Updated Demand'!A:Z,15,FALSE)),0,VLOOKUP($A253,'13. Updated Demand'!A:Z,15,FALSE))</f>
        <v>0</v>
      </c>
      <c r="Y253" s="16">
        <f>IF(ISERROR(VLOOKUP($A253,'13. Updated Demand'!A:Z,16,FALSE)),0,VLOOKUP($A253,'13. Updated Demand'!A:Z,16,FALSE))</f>
        <v>0</v>
      </c>
      <c r="Z253" s="16">
        <f>IF(ISERROR(VLOOKUP($A253,'13. Updated Demand'!A:Z,17,FALSE)),0,VLOOKUP($A253,'13. Updated Demand'!A:Z,17,FALSE))</f>
        <v>0</v>
      </c>
      <c r="AA253" s="16">
        <f>IF(ISERROR(VLOOKUP($A253,'13. Updated Demand'!A:Z,18,FALSE)),0,VLOOKUP($A253,'13. Updated Demand'!A:Z,18,FALSE))</f>
        <v>0</v>
      </c>
      <c r="AB253" s="16">
        <f>IF(ISERROR(VLOOKUP($A253,'13. Updated Demand'!A:Z,19,FALSE)),0,VLOOKUP($A253,'13. Updated Demand'!A:Z,19,FALSE))</f>
        <v>0</v>
      </c>
      <c r="AC253" s="16">
        <f>IF(ISERROR(VLOOKUP($A253,'13. Updated Demand'!A:Z,20,FALSE)),0,VLOOKUP($A253,'13. Updated Demand'!A:Z,20,FALSE))</f>
        <v>0</v>
      </c>
      <c r="AD253" s="16">
        <f>IF(ISERROR(VLOOKUP($A253,'13. Updated Demand'!A:Z,21,FALSE)),0,VLOOKUP($A253,'13. Updated Demand'!A:Z,21,FALSE))</f>
        <v>0</v>
      </c>
      <c r="AE253" s="16">
        <f>IF(ISERROR(VLOOKUP($A253,'13. Updated Demand'!A:Z,22,FALSE)),0,VLOOKUP($A253,'13. Updated Demand'!A:Z,22,FALSE))</f>
        <v>0</v>
      </c>
      <c r="AF253" s="16">
        <f>IF(ISERROR(VLOOKUP($A253,'13. Updated Demand'!A:Z,23,FALSE)),0,VLOOKUP($A253,'13. Updated Demand'!A:Z,23,FALSE))</f>
        <v>0</v>
      </c>
      <c r="AG253" s="16">
        <f>IF(ISERROR(VLOOKUP($A253,'13. Updated Demand'!A:Z,24,FALSE)),0,VLOOKUP($A253,'13. Updated Demand'!A:Z,24,FALSE))</f>
        <v>0</v>
      </c>
      <c r="AH253" s="16">
        <f>IF(ISERROR(VLOOKUP($A253,'13. Updated Demand'!A:Z,25,FALSE)),0,VLOOKUP($A253,'13. Updated Demand'!A:Z,25,FALSE))</f>
        <v>0</v>
      </c>
      <c r="AI253" s="16">
        <f>IF(ISERROR(VLOOKUP($A253,'13. Updated Demand'!A:Z,26,FALSE)),0,VLOOKUP($A253,'13. Updated Demand'!A:Z,26,FALSE))</f>
        <v>0</v>
      </c>
      <c r="AJ253" s="16">
        <f t="shared" si="48"/>
        <v>0</v>
      </c>
      <c r="AK253" s="19">
        <v>0</v>
      </c>
      <c r="AL253" s="16">
        <f t="shared" si="46"/>
        <v>0</v>
      </c>
      <c r="AM253" s="17">
        <v>0</v>
      </c>
      <c r="AN253" s="19"/>
      <c r="AO253" s="19"/>
      <c r="AP253" s="19">
        <v>2.4</v>
      </c>
      <c r="AQ253" s="19" t="s">
        <v>307</v>
      </c>
      <c r="AR253" s="9" t="s">
        <v>314</v>
      </c>
      <c r="AS253" s="12">
        <v>3.4039024194010059E-4</v>
      </c>
      <c r="AT253" s="19">
        <v>38.723908739999999</v>
      </c>
      <c r="AU253" s="19">
        <v>-123.08317279000001</v>
      </c>
      <c r="AV253" s="19" t="s">
        <v>417</v>
      </c>
    </row>
    <row r="254" spans="1:48" x14ac:dyDescent="0.25">
      <c r="A254" s="18" t="s">
        <v>624</v>
      </c>
      <c r="B254" s="10">
        <v>19990802</v>
      </c>
      <c r="C254" s="9">
        <v>16</v>
      </c>
      <c r="D254" s="8" t="str">
        <f t="shared" si="37"/>
        <v>N</v>
      </c>
      <c r="E254" s="8" t="str">
        <f t="shared" si="38"/>
        <v>N</v>
      </c>
      <c r="F254" s="8" t="str">
        <f t="shared" si="39"/>
        <v>N</v>
      </c>
      <c r="G254" s="8" t="str">
        <f t="shared" si="40"/>
        <v>N</v>
      </c>
      <c r="H254" s="8" t="str">
        <f t="shared" si="41"/>
        <v>Lower</v>
      </c>
      <c r="I254" s="8" t="str">
        <f t="shared" si="42"/>
        <v>Outside</v>
      </c>
      <c r="J254" s="8" t="str">
        <f t="shared" si="43"/>
        <v>Outside</v>
      </c>
      <c r="K254" s="8" t="str">
        <f t="shared" si="44"/>
        <v>Post-1949</v>
      </c>
      <c r="L254" s="8">
        <f t="shared" si="45"/>
        <v>1999</v>
      </c>
      <c r="M254" s="8" t="str">
        <f t="shared" si="47"/>
        <v>1991-present</v>
      </c>
      <c r="N254" s="10" t="s">
        <v>242</v>
      </c>
      <c r="O254" s="10" t="s">
        <v>242</v>
      </c>
      <c r="P254" s="10" t="s">
        <v>242</v>
      </c>
      <c r="Q254" s="10" t="s">
        <v>242</v>
      </c>
      <c r="R254" s="10" t="s">
        <v>241</v>
      </c>
      <c r="S254" s="10" t="s">
        <v>242</v>
      </c>
      <c r="T254" s="10" t="s">
        <v>242</v>
      </c>
      <c r="U254" s="10" t="s">
        <v>242</v>
      </c>
      <c r="V254" s="10" t="s">
        <v>241</v>
      </c>
      <c r="W254" s="10" t="s">
        <v>242</v>
      </c>
      <c r="X254" s="15">
        <f>IF(ISERROR(VLOOKUP($A254,'13. Updated Demand'!A:Z,15,FALSE)),0,VLOOKUP($A254,'13. Updated Demand'!A:Z,15,FALSE))</f>
        <v>4.9666666670000001</v>
      </c>
      <c r="Y254" s="16">
        <f>IF(ISERROR(VLOOKUP($A254,'13. Updated Demand'!A:Z,16,FALSE)),0,VLOOKUP($A254,'13. Updated Demand'!A:Z,16,FALSE))</f>
        <v>4.3333333329999997</v>
      </c>
      <c r="Z254" s="16">
        <f>IF(ISERROR(VLOOKUP($A254,'13. Updated Demand'!A:Z,17,FALSE)),0,VLOOKUP($A254,'13. Updated Demand'!A:Z,17,FALSE))</f>
        <v>0</v>
      </c>
      <c r="AA254" s="16">
        <f>IF(ISERROR(VLOOKUP($A254,'13. Updated Demand'!A:Z,18,FALSE)),0,VLOOKUP($A254,'13. Updated Demand'!A:Z,18,FALSE))</f>
        <v>0</v>
      </c>
      <c r="AB254" s="16">
        <f>IF(ISERROR(VLOOKUP($A254,'13. Updated Demand'!A:Z,19,FALSE)),0,VLOOKUP($A254,'13. Updated Demand'!A:Z,19,FALSE))</f>
        <v>0</v>
      </c>
      <c r="AC254" s="16">
        <f>IF(ISERROR(VLOOKUP($A254,'13. Updated Demand'!A:Z,20,FALSE)),0,VLOOKUP($A254,'13. Updated Demand'!A:Z,20,FALSE))</f>
        <v>0</v>
      </c>
      <c r="AD254" s="16">
        <f>IF(ISERROR(VLOOKUP($A254,'13. Updated Demand'!A:Z,21,FALSE)),0,VLOOKUP($A254,'13. Updated Demand'!A:Z,21,FALSE))</f>
        <v>0</v>
      </c>
      <c r="AE254" s="16">
        <f>IF(ISERROR(VLOOKUP($A254,'13. Updated Demand'!A:Z,22,FALSE)),0,VLOOKUP($A254,'13. Updated Demand'!A:Z,22,FALSE))</f>
        <v>0</v>
      </c>
      <c r="AF254" s="16">
        <f>IF(ISERROR(VLOOKUP($A254,'13. Updated Demand'!A:Z,23,FALSE)),0,VLOOKUP($A254,'13. Updated Demand'!A:Z,23,FALSE))</f>
        <v>0</v>
      </c>
      <c r="AG254" s="16">
        <f>IF(ISERROR(VLOOKUP($A254,'13. Updated Demand'!A:Z,24,FALSE)),0,VLOOKUP($A254,'13. Updated Demand'!A:Z,24,FALSE))</f>
        <v>0</v>
      </c>
      <c r="AH254" s="16">
        <f>IF(ISERROR(VLOOKUP($A254,'13. Updated Demand'!A:Z,25,FALSE)),0,VLOOKUP($A254,'13. Updated Demand'!A:Z,25,FALSE))</f>
        <v>6.6666666999999999E-2</v>
      </c>
      <c r="AI254" s="16">
        <f>IF(ISERROR(VLOOKUP($A254,'13. Updated Demand'!A:Z,26,FALSE)),0,VLOOKUP($A254,'13. Updated Demand'!A:Z,26,FALSE))</f>
        <v>1</v>
      </c>
      <c r="AJ254" s="16">
        <f t="shared" si="48"/>
        <v>10.366666667000001</v>
      </c>
      <c r="AK254" s="19">
        <v>0</v>
      </c>
      <c r="AL254" s="16">
        <f t="shared" si="46"/>
        <v>0</v>
      </c>
      <c r="AM254" s="17">
        <v>0.51833333334999998</v>
      </c>
      <c r="AN254" s="19"/>
      <c r="AO254" s="19"/>
      <c r="AP254" s="19">
        <v>20</v>
      </c>
      <c r="AQ254" s="19" t="s">
        <v>307</v>
      </c>
      <c r="AR254" s="9" t="s">
        <v>394</v>
      </c>
      <c r="AS254" s="12">
        <v>0</v>
      </c>
      <c r="AT254" s="19">
        <v>38.5988264</v>
      </c>
      <c r="AU254" s="19">
        <v>-122.9067598</v>
      </c>
      <c r="AV254" s="19" t="s">
        <v>417</v>
      </c>
    </row>
    <row r="255" spans="1:48" x14ac:dyDescent="0.25">
      <c r="A255" s="18" t="s">
        <v>625</v>
      </c>
      <c r="B255" s="10">
        <v>19990106</v>
      </c>
      <c r="C255" s="9">
        <v>9</v>
      </c>
      <c r="D255" s="8" t="str">
        <f t="shared" si="37"/>
        <v>N</v>
      </c>
      <c r="E255" s="8" t="str">
        <f t="shared" si="38"/>
        <v>Y</v>
      </c>
      <c r="F255" s="8" t="str">
        <f t="shared" si="39"/>
        <v>Y</v>
      </c>
      <c r="G255" s="8" t="str">
        <f t="shared" si="40"/>
        <v>Y</v>
      </c>
      <c r="H255" s="8" t="str">
        <f t="shared" si="41"/>
        <v>Upper</v>
      </c>
      <c r="I255" s="8" t="str">
        <f t="shared" si="42"/>
        <v>West Fork and Below Lake</v>
      </c>
      <c r="J255" s="8" t="str">
        <f t="shared" si="43"/>
        <v>Sonoma (d/s of Clov. Gage)</v>
      </c>
      <c r="K255" s="8" t="str">
        <f t="shared" si="44"/>
        <v>Post-1949</v>
      </c>
      <c r="L255" s="8">
        <f t="shared" si="45"/>
        <v>1999</v>
      </c>
      <c r="M255" s="8" t="str">
        <f t="shared" si="47"/>
        <v>1991-present</v>
      </c>
      <c r="N255" s="10" t="s">
        <v>242</v>
      </c>
      <c r="O255" s="10" t="s">
        <v>241</v>
      </c>
      <c r="P255" s="10" t="s">
        <v>242</v>
      </c>
      <c r="Q255" s="10" t="s">
        <v>242</v>
      </c>
      <c r="R255" s="10" t="s">
        <v>241</v>
      </c>
      <c r="S255" s="10" t="s">
        <v>242</v>
      </c>
      <c r="T255" s="10" t="s">
        <v>241</v>
      </c>
      <c r="U255" s="10" t="s">
        <v>241</v>
      </c>
      <c r="V255" s="10" t="s">
        <v>241</v>
      </c>
      <c r="W255" s="10" t="s">
        <v>242</v>
      </c>
      <c r="X255" s="15">
        <f>IF(ISERROR(VLOOKUP($A255,'13. Updated Demand'!A:Z,15,FALSE)),0,VLOOKUP($A255,'13. Updated Demand'!A:Z,15,FALSE))</f>
        <v>0</v>
      </c>
      <c r="Y255" s="16">
        <f>IF(ISERROR(VLOOKUP($A255,'13. Updated Demand'!A:Z,16,FALSE)),0,VLOOKUP($A255,'13. Updated Demand'!A:Z,16,FALSE))</f>
        <v>0</v>
      </c>
      <c r="Z255" s="16">
        <f>IF(ISERROR(VLOOKUP($A255,'13. Updated Demand'!A:Z,17,FALSE)),0,VLOOKUP($A255,'13. Updated Demand'!A:Z,17,FALSE))</f>
        <v>0</v>
      </c>
      <c r="AA255" s="16">
        <f>IF(ISERROR(VLOOKUP($A255,'13. Updated Demand'!A:Z,18,FALSE)),0,VLOOKUP($A255,'13. Updated Demand'!A:Z,18,FALSE))</f>
        <v>0</v>
      </c>
      <c r="AB255" s="16">
        <f>IF(ISERROR(VLOOKUP($A255,'13. Updated Demand'!A:Z,19,FALSE)),0,VLOOKUP($A255,'13. Updated Demand'!A:Z,19,FALSE))</f>
        <v>0</v>
      </c>
      <c r="AC255" s="16">
        <f>IF(ISERROR(VLOOKUP($A255,'13. Updated Demand'!A:Z,20,FALSE)),0,VLOOKUP($A255,'13. Updated Demand'!A:Z,20,FALSE))</f>
        <v>0</v>
      </c>
      <c r="AD255" s="16">
        <f>IF(ISERROR(VLOOKUP($A255,'13. Updated Demand'!A:Z,21,FALSE)),0,VLOOKUP($A255,'13. Updated Demand'!A:Z,21,FALSE))</f>
        <v>0</v>
      </c>
      <c r="AE255" s="16">
        <f>IF(ISERROR(VLOOKUP($A255,'13. Updated Demand'!A:Z,22,FALSE)),0,VLOOKUP($A255,'13. Updated Demand'!A:Z,22,FALSE))</f>
        <v>0</v>
      </c>
      <c r="AF255" s="16">
        <f>IF(ISERROR(VLOOKUP($A255,'13. Updated Demand'!A:Z,23,FALSE)),0,VLOOKUP($A255,'13. Updated Demand'!A:Z,23,FALSE))</f>
        <v>0</v>
      </c>
      <c r="AG255" s="16">
        <f>IF(ISERROR(VLOOKUP($A255,'13. Updated Demand'!A:Z,24,FALSE)),0,VLOOKUP($A255,'13. Updated Demand'!A:Z,24,FALSE))</f>
        <v>0</v>
      </c>
      <c r="AH255" s="16">
        <f>IF(ISERROR(VLOOKUP($A255,'13. Updated Demand'!A:Z,25,FALSE)),0,VLOOKUP($A255,'13. Updated Demand'!A:Z,25,FALSE))</f>
        <v>0</v>
      </c>
      <c r="AI255" s="16">
        <f>IF(ISERROR(VLOOKUP($A255,'13. Updated Demand'!A:Z,26,FALSE)),0,VLOOKUP($A255,'13. Updated Demand'!A:Z,26,FALSE))</f>
        <v>0</v>
      </c>
      <c r="AJ255" s="16">
        <f t="shared" si="48"/>
        <v>0</v>
      </c>
      <c r="AK255" s="19">
        <v>0</v>
      </c>
      <c r="AL255" s="16">
        <f t="shared" si="46"/>
        <v>0</v>
      </c>
      <c r="AM255" s="17">
        <v>0</v>
      </c>
      <c r="AN255" s="19"/>
      <c r="AO255" s="19"/>
      <c r="AP255" s="19">
        <v>22.1</v>
      </c>
      <c r="AQ255" s="19" t="s">
        <v>307</v>
      </c>
      <c r="AR255" s="9" t="s">
        <v>354</v>
      </c>
      <c r="AS255" s="12">
        <v>3.4039024194010059E-4</v>
      </c>
      <c r="AT255" s="19">
        <v>38.869977460000001</v>
      </c>
      <c r="AU255" s="19">
        <v>-123.05416876</v>
      </c>
      <c r="AV255" s="19" t="s">
        <v>417</v>
      </c>
    </row>
    <row r="256" spans="1:48" x14ac:dyDescent="0.25">
      <c r="A256" s="18" t="s">
        <v>626</v>
      </c>
      <c r="B256" s="10">
        <v>19990629</v>
      </c>
      <c r="C256" s="9">
        <v>12</v>
      </c>
      <c r="D256" s="8" t="str">
        <f t="shared" si="37"/>
        <v>N</v>
      </c>
      <c r="E256" s="8" t="str">
        <f t="shared" si="38"/>
        <v>Y</v>
      </c>
      <c r="F256" s="8" t="str">
        <f t="shared" si="39"/>
        <v>Y</v>
      </c>
      <c r="G256" s="8" t="str">
        <f t="shared" si="40"/>
        <v>Y</v>
      </c>
      <c r="H256" s="8" t="str">
        <f t="shared" si="41"/>
        <v>Upper</v>
      </c>
      <c r="I256" s="8" t="str">
        <f t="shared" si="42"/>
        <v>West Fork and Below Lake</v>
      </c>
      <c r="J256" s="8" t="str">
        <f t="shared" si="43"/>
        <v>Sonoma (d/s of Clov. Gage)</v>
      </c>
      <c r="K256" s="8" t="str">
        <f t="shared" si="44"/>
        <v>Post-1949</v>
      </c>
      <c r="L256" s="8">
        <f t="shared" si="45"/>
        <v>1999</v>
      </c>
      <c r="M256" s="8" t="str">
        <f t="shared" si="47"/>
        <v>1991-present</v>
      </c>
      <c r="N256" s="10" t="s">
        <v>242</v>
      </c>
      <c r="O256" s="10" t="s">
        <v>241</v>
      </c>
      <c r="P256" s="10" t="s">
        <v>242</v>
      </c>
      <c r="Q256" s="10" t="s">
        <v>242</v>
      </c>
      <c r="R256" s="10" t="s">
        <v>241</v>
      </c>
      <c r="S256" s="10" t="s">
        <v>242</v>
      </c>
      <c r="T256" s="10" t="s">
        <v>242</v>
      </c>
      <c r="U256" s="10" t="s">
        <v>242</v>
      </c>
      <c r="V256" s="10" t="s">
        <v>241</v>
      </c>
      <c r="W256" s="10" t="s">
        <v>242</v>
      </c>
      <c r="X256" s="15">
        <f>IF(ISERROR(VLOOKUP($A256,'13. Updated Demand'!A:Z,15,FALSE)),0,VLOOKUP($A256,'13. Updated Demand'!A:Z,15,FALSE))</f>
        <v>0.46</v>
      </c>
      <c r="Y256" s="16">
        <f>IF(ISERROR(VLOOKUP($A256,'13. Updated Demand'!A:Z,16,FALSE)),0,VLOOKUP($A256,'13. Updated Demand'!A:Z,16,FALSE))</f>
        <v>0</v>
      </c>
      <c r="Z256" s="16">
        <f>IF(ISERROR(VLOOKUP($A256,'13. Updated Demand'!A:Z,17,FALSE)),0,VLOOKUP($A256,'13. Updated Demand'!A:Z,17,FALSE))</f>
        <v>0.03</v>
      </c>
      <c r="AA256" s="16">
        <f>IF(ISERROR(VLOOKUP($A256,'13. Updated Demand'!A:Z,18,FALSE)),0,VLOOKUP($A256,'13. Updated Demand'!A:Z,18,FALSE))</f>
        <v>0</v>
      </c>
      <c r="AB256" s="16">
        <f>IF(ISERROR(VLOOKUP($A256,'13. Updated Demand'!A:Z,19,FALSE)),0,VLOOKUP($A256,'13. Updated Demand'!A:Z,19,FALSE))</f>
        <v>0</v>
      </c>
      <c r="AC256" s="16">
        <f>IF(ISERROR(VLOOKUP($A256,'13. Updated Demand'!A:Z,20,FALSE)),0,VLOOKUP($A256,'13. Updated Demand'!A:Z,20,FALSE))</f>
        <v>0</v>
      </c>
      <c r="AD256" s="16">
        <f>IF(ISERROR(VLOOKUP($A256,'13. Updated Demand'!A:Z,21,FALSE)),0,VLOOKUP($A256,'13. Updated Demand'!A:Z,21,FALSE))</f>
        <v>0</v>
      </c>
      <c r="AE256" s="16">
        <f>IF(ISERROR(VLOOKUP($A256,'13. Updated Demand'!A:Z,22,FALSE)),0,VLOOKUP($A256,'13. Updated Demand'!A:Z,22,FALSE))</f>
        <v>0</v>
      </c>
      <c r="AF256" s="16">
        <f>IF(ISERROR(VLOOKUP($A256,'13. Updated Demand'!A:Z,23,FALSE)),0,VLOOKUP($A256,'13. Updated Demand'!A:Z,23,FALSE))</f>
        <v>0</v>
      </c>
      <c r="AG256" s="16">
        <f>IF(ISERROR(VLOOKUP($A256,'13. Updated Demand'!A:Z,24,FALSE)),0,VLOOKUP($A256,'13. Updated Demand'!A:Z,24,FALSE))</f>
        <v>0</v>
      </c>
      <c r="AH256" s="16">
        <f>IF(ISERROR(VLOOKUP($A256,'13. Updated Demand'!A:Z,25,FALSE)),0,VLOOKUP($A256,'13. Updated Demand'!A:Z,25,FALSE))</f>
        <v>0</v>
      </c>
      <c r="AI256" s="16">
        <f>IF(ISERROR(VLOOKUP($A256,'13. Updated Demand'!A:Z,26,FALSE)),0,VLOOKUP($A256,'13. Updated Demand'!A:Z,26,FALSE))</f>
        <v>1.06</v>
      </c>
      <c r="AJ256" s="16">
        <f t="shared" si="48"/>
        <v>1.55</v>
      </c>
      <c r="AK256" s="19">
        <v>0</v>
      </c>
      <c r="AL256" s="16">
        <f t="shared" si="46"/>
        <v>0</v>
      </c>
      <c r="AM256" s="17">
        <v>1.9105691060975611E-2</v>
      </c>
      <c r="AN256" s="19"/>
      <c r="AO256" s="19"/>
      <c r="AP256" s="19">
        <v>82</v>
      </c>
      <c r="AQ256" s="19" t="s">
        <v>307</v>
      </c>
      <c r="AR256" s="9" t="s">
        <v>311</v>
      </c>
      <c r="AS256" s="12">
        <v>0</v>
      </c>
      <c r="AT256" s="19">
        <v>38.626199999999997</v>
      </c>
      <c r="AU256" s="19">
        <v>-122.7512</v>
      </c>
      <c r="AV256" s="19" t="s">
        <v>417</v>
      </c>
    </row>
    <row r="257" spans="1:48" x14ac:dyDescent="0.25">
      <c r="A257" s="18" t="s">
        <v>627</v>
      </c>
      <c r="B257" s="10">
        <v>19990513</v>
      </c>
      <c r="C257" s="9">
        <v>12</v>
      </c>
      <c r="D257" s="8" t="str">
        <f t="shared" si="37"/>
        <v>N</v>
      </c>
      <c r="E257" s="8" t="str">
        <f t="shared" si="38"/>
        <v>Y</v>
      </c>
      <c r="F257" s="8" t="str">
        <f t="shared" si="39"/>
        <v>Y</v>
      </c>
      <c r="G257" s="8" t="str">
        <f t="shared" si="40"/>
        <v>Y</v>
      </c>
      <c r="H257" s="8" t="str">
        <f t="shared" si="41"/>
        <v>Upper</v>
      </c>
      <c r="I257" s="8" t="str">
        <f t="shared" si="42"/>
        <v>West Fork and Below Lake</v>
      </c>
      <c r="J257" s="8" t="str">
        <f t="shared" si="43"/>
        <v>Sonoma (d/s of Clov. Gage)</v>
      </c>
      <c r="K257" s="8" t="str">
        <f t="shared" si="44"/>
        <v>Post-1949</v>
      </c>
      <c r="L257" s="8">
        <f t="shared" si="45"/>
        <v>1999</v>
      </c>
      <c r="M257" s="8" t="str">
        <f t="shared" si="47"/>
        <v>1991-present</v>
      </c>
      <c r="N257" s="10" t="s">
        <v>242</v>
      </c>
      <c r="O257" s="10" t="s">
        <v>241</v>
      </c>
      <c r="P257" s="10" t="s">
        <v>242</v>
      </c>
      <c r="Q257" s="10" t="s">
        <v>242</v>
      </c>
      <c r="R257" s="10" t="s">
        <v>241</v>
      </c>
      <c r="S257" s="10" t="s">
        <v>242</v>
      </c>
      <c r="T257" s="10" t="s">
        <v>241</v>
      </c>
      <c r="U257" s="10" t="s">
        <v>241</v>
      </c>
      <c r="V257" s="10" t="s">
        <v>241</v>
      </c>
      <c r="W257" s="10" t="s">
        <v>242</v>
      </c>
      <c r="X257" s="15">
        <f>IF(ISERROR(VLOOKUP($A257,'13. Updated Demand'!A:Z,15,FALSE)),0,VLOOKUP($A257,'13. Updated Demand'!A:Z,15,FALSE))</f>
        <v>0</v>
      </c>
      <c r="Y257" s="16">
        <f>IF(ISERROR(VLOOKUP($A257,'13. Updated Demand'!A:Z,16,FALSE)),0,VLOOKUP($A257,'13. Updated Demand'!A:Z,16,FALSE))</f>
        <v>0</v>
      </c>
      <c r="Z257" s="16">
        <f>IF(ISERROR(VLOOKUP($A257,'13. Updated Demand'!A:Z,17,FALSE)),0,VLOOKUP($A257,'13. Updated Demand'!A:Z,17,FALSE))</f>
        <v>0</v>
      </c>
      <c r="AA257" s="16">
        <f>IF(ISERROR(VLOOKUP($A257,'13. Updated Demand'!A:Z,18,FALSE)),0,VLOOKUP($A257,'13. Updated Demand'!A:Z,18,FALSE))</f>
        <v>0</v>
      </c>
      <c r="AB257" s="16">
        <f>IF(ISERROR(VLOOKUP($A257,'13. Updated Demand'!A:Z,19,FALSE)),0,VLOOKUP($A257,'13. Updated Demand'!A:Z,19,FALSE))</f>
        <v>0</v>
      </c>
      <c r="AC257" s="16">
        <f>IF(ISERROR(VLOOKUP($A257,'13. Updated Demand'!A:Z,20,FALSE)),0,VLOOKUP($A257,'13. Updated Demand'!A:Z,20,FALSE))</f>
        <v>0</v>
      </c>
      <c r="AD257" s="16">
        <f>IF(ISERROR(VLOOKUP($A257,'13. Updated Demand'!A:Z,21,FALSE)),0,VLOOKUP($A257,'13. Updated Demand'!A:Z,21,FALSE))</f>
        <v>0</v>
      </c>
      <c r="AE257" s="16">
        <f>IF(ISERROR(VLOOKUP($A257,'13. Updated Demand'!A:Z,22,FALSE)),0,VLOOKUP($A257,'13. Updated Demand'!A:Z,22,FALSE))</f>
        <v>0</v>
      </c>
      <c r="AF257" s="16">
        <f>IF(ISERROR(VLOOKUP($A257,'13. Updated Demand'!A:Z,23,FALSE)),0,VLOOKUP($A257,'13. Updated Demand'!A:Z,23,FALSE))</f>
        <v>0</v>
      </c>
      <c r="AG257" s="16">
        <f>IF(ISERROR(VLOOKUP($A257,'13. Updated Demand'!A:Z,24,FALSE)),0,VLOOKUP($A257,'13. Updated Demand'!A:Z,24,FALSE))</f>
        <v>0</v>
      </c>
      <c r="AH257" s="16">
        <f>IF(ISERROR(VLOOKUP($A257,'13. Updated Demand'!A:Z,25,FALSE)),0,VLOOKUP($A257,'13. Updated Demand'!A:Z,25,FALSE))</f>
        <v>0</v>
      </c>
      <c r="AI257" s="16">
        <f>IF(ISERROR(VLOOKUP($A257,'13. Updated Demand'!A:Z,26,FALSE)),0,VLOOKUP($A257,'13. Updated Demand'!A:Z,26,FALSE))</f>
        <v>0</v>
      </c>
      <c r="AJ257" s="16">
        <f t="shared" si="48"/>
        <v>0</v>
      </c>
      <c r="AK257" s="19">
        <v>0</v>
      </c>
      <c r="AL257" s="16">
        <f t="shared" si="46"/>
        <v>0</v>
      </c>
      <c r="AM257" s="17">
        <v>0</v>
      </c>
      <c r="AN257" s="19"/>
      <c r="AO257" s="19"/>
      <c r="AP257" s="19">
        <v>198</v>
      </c>
      <c r="AQ257" s="19" t="s">
        <v>307</v>
      </c>
      <c r="AR257" s="9" t="s">
        <v>311</v>
      </c>
      <c r="AS257" s="12">
        <v>3.4039024194010059E-4</v>
      </c>
      <c r="AT257" s="19">
        <v>38.629800000000003</v>
      </c>
      <c r="AU257" s="19">
        <v>-122.6662</v>
      </c>
      <c r="AV257" s="19" t="s">
        <v>417</v>
      </c>
    </row>
    <row r="258" spans="1:48" x14ac:dyDescent="0.25">
      <c r="A258" s="18" t="s">
        <v>628</v>
      </c>
      <c r="B258" s="10">
        <v>19990513</v>
      </c>
      <c r="C258" s="9">
        <v>11</v>
      </c>
      <c r="D258" s="8" t="str">
        <f t="shared" ref="D258:D321" si="49">IF(OR(C258=4,C258=5,C258=6),"Y","N")</f>
        <v>N</v>
      </c>
      <c r="E258" s="8" t="str">
        <f t="shared" ref="E258:E321" si="50">IF(AND(C258&gt;6,C258&lt;14),"Y","N")</f>
        <v>Y</v>
      </c>
      <c r="F258" s="8" t="str">
        <f t="shared" ref="F258:F321" si="51">IF(C258&lt;14,"Y","N")</f>
        <v>Y</v>
      </c>
      <c r="G258" s="8" t="str">
        <f t="shared" ref="G258:G321" si="52">IF(OR(C258=1,AND(C258&gt;3,C258&lt;14)),"Y","N")</f>
        <v>Y</v>
      </c>
      <c r="H258" s="8" t="str">
        <f t="shared" ref="H258:H321" si="53">IF(C258&lt;14,"Upper","Lower")</f>
        <v>Upper</v>
      </c>
      <c r="I258" s="8" t="str">
        <f t="shared" ref="I258:I321" si="54">IF(G258="Y","West Fork and Below Lake","Outside")</f>
        <v>West Fork and Below Lake</v>
      </c>
      <c r="J258" s="8" t="str">
        <f t="shared" ref="J258:J321" si="55">IF(D258="Y", "Mendocino (d/s of lake)", IF(E258="Y", "Sonoma (d/s of Clov. Gage)","Outside"))</f>
        <v>Sonoma (d/s of Clov. Gage)</v>
      </c>
      <c r="K258" s="8" t="str">
        <f t="shared" ref="K258:K321" si="56">IF(P258="Y","pre-1914",IF(Q258="Y","Pre-1949",IF(R258="Y","Post-1949",IF(S258="Y","Riparian","Unknown"))))</f>
        <v>Post-1949</v>
      </c>
      <c r="L258" s="8">
        <f t="shared" ref="L258:L321" si="57">_xlfn.NUMBERVALUE(LEFT(B258,4))</f>
        <v>1999</v>
      </c>
      <c r="M258" s="8" t="str">
        <f t="shared" si="47"/>
        <v>1991-present</v>
      </c>
      <c r="N258" s="10" t="s">
        <v>242</v>
      </c>
      <c r="O258" s="10" t="s">
        <v>241</v>
      </c>
      <c r="P258" s="10" t="s">
        <v>242</v>
      </c>
      <c r="Q258" s="10" t="s">
        <v>242</v>
      </c>
      <c r="R258" s="10" t="s">
        <v>241</v>
      </c>
      <c r="S258" s="10" t="s">
        <v>242</v>
      </c>
      <c r="T258" s="10" t="s">
        <v>241</v>
      </c>
      <c r="U258" s="10" t="s">
        <v>241</v>
      </c>
      <c r="V258" s="10" t="s">
        <v>241</v>
      </c>
      <c r="W258" s="10" t="s">
        <v>242</v>
      </c>
      <c r="X258" s="15">
        <f>IF(ISERROR(VLOOKUP($A258,'13. Updated Demand'!A:Z,15,FALSE)),0,VLOOKUP($A258,'13. Updated Demand'!A:Z,15,FALSE))</f>
        <v>0</v>
      </c>
      <c r="Y258" s="16">
        <f>IF(ISERROR(VLOOKUP($A258,'13. Updated Demand'!A:Z,16,FALSE)),0,VLOOKUP($A258,'13. Updated Demand'!A:Z,16,FALSE))</f>
        <v>0</v>
      </c>
      <c r="Z258" s="16">
        <f>IF(ISERROR(VLOOKUP($A258,'13. Updated Demand'!A:Z,17,FALSE)),0,VLOOKUP($A258,'13. Updated Demand'!A:Z,17,FALSE))</f>
        <v>0</v>
      </c>
      <c r="AA258" s="16">
        <f>IF(ISERROR(VLOOKUP($A258,'13. Updated Demand'!A:Z,18,FALSE)),0,VLOOKUP($A258,'13. Updated Demand'!A:Z,18,FALSE))</f>
        <v>0</v>
      </c>
      <c r="AB258" s="16">
        <f>IF(ISERROR(VLOOKUP($A258,'13. Updated Demand'!A:Z,19,FALSE)),0,VLOOKUP($A258,'13. Updated Demand'!A:Z,19,FALSE))</f>
        <v>0</v>
      </c>
      <c r="AC258" s="16">
        <f>IF(ISERROR(VLOOKUP($A258,'13. Updated Demand'!A:Z,20,FALSE)),0,VLOOKUP($A258,'13. Updated Demand'!A:Z,20,FALSE))</f>
        <v>0</v>
      </c>
      <c r="AD258" s="16">
        <f>IF(ISERROR(VLOOKUP($A258,'13. Updated Demand'!A:Z,21,FALSE)),0,VLOOKUP($A258,'13. Updated Demand'!A:Z,21,FALSE))</f>
        <v>0</v>
      </c>
      <c r="AE258" s="16">
        <f>IF(ISERROR(VLOOKUP($A258,'13. Updated Demand'!A:Z,22,FALSE)),0,VLOOKUP($A258,'13. Updated Demand'!A:Z,22,FALSE))</f>
        <v>0</v>
      </c>
      <c r="AF258" s="16">
        <f>IF(ISERROR(VLOOKUP($A258,'13. Updated Demand'!A:Z,23,FALSE)),0,VLOOKUP($A258,'13. Updated Demand'!A:Z,23,FALSE))</f>
        <v>0</v>
      </c>
      <c r="AG258" s="16">
        <f>IF(ISERROR(VLOOKUP($A258,'13. Updated Demand'!A:Z,24,FALSE)),0,VLOOKUP($A258,'13. Updated Demand'!A:Z,24,FALSE))</f>
        <v>0</v>
      </c>
      <c r="AH258" s="16">
        <f>IF(ISERROR(VLOOKUP($A258,'13. Updated Demand'!A:Z,25,FALSE)),0,VLOOKUP($A258,'13. Updated Demand'!A:Z,25,FALSE))</f>
        <v>0</v>
      </c>
      <c r="AI258" s="16">
        <f>IF(ISERROR(VLOOKUP($A258,'13. Updated Demand'!A:Z,26,FALSE)),0,VLOOKUP($A258,'13. Updated Demand'!A:Z,26,FALSE))</f>
        <v>0</v>
      </c>
      <c r="AJ258" s="16">
        <f t="shared" si="48"/>
        <v>0</v>
      </c>
      <c r="AK258" s="19">
        <v>0</v>
      </c>
      <c r="AL258" s="16">
        <f t="shared" ref="AL258:AL321" si="58">AK258/152/1.983471</f>
        <v>0</v>
      </c>
      <c r="AM258" s="17">
        <v>0</v>
      </c>
      <c r="AN258" s="19"/>
      <c r="AO258" s="19"/>
      <c r="AP258" s="19">
        <v>355</v>
      </c>
      <c r="AQ258" s="19" t="s">
        <v>307</v>
      </c>
      <c r="AR258" s="9" t="s">
        <v>308</v>
      </c>
      <c r="AS258" s="12">
        <v>3.4039024194010059E-4</v>
      </c>
      <c r="AT258" s="19">
        <v>38.634399999999999</v>
      </c>
      <c r="AU258" s="19">
        <v>-122.6635</v>
      </c>
      <c r="AV258" s="19" t="s">
        <v>358</v>
      </c>
    </row>
    <row r="259" spans="1:48" x14ac:dyDescent="0.25">
      <c r="A259" s="18" t="s">
        <v>629</v>
      </c>
      <c r="B259" s="10">
        <v>19991008</v>
      </c>
      <c r="C259" s="9">
        <v>6</v>
      </c>
      <c r="D259" s="8" t="str">
        <f t="shared" si="49"/>
        <v>Y</v>
      </c>
      <c r="E259" s="8" t="str">
        <f t="shared" si="50"/>
        <v>N</v>
      </c>
      <c r="F259" s="8" t="str">
        <f t="shared" si="51"/>
        <v>Y</v>
      </c>
      <c r="G259" s="8" t="str">
        <f t="shared" si="52"/>
        <v>Y</v>
      </c>
      <c r="H259" s="8" t="str">
        <f t="shared" si="53"/>
        <v>Upper</v>
      </c>
      <c r="I259" s="8" t="str">
        <f t="shared" si="54"/>
        <v>West Fork and Below Lake</v>
      </c>
      <c r="J259" s="8" t="str">
        <f t="shared" si="55"/>
        <v>Mendocino (d/s of lake)</v>
      </c>
      <c r="K259" s="8" t="str">
        <f t="shared" si="56"/>
        <v>Post-1949</v>
      </c>
      <c r="L259" s="8">
        <f t="shared" si="57"/>
        <v>1999</v>
      </c>
      <c r="M259" s="8" t="str">
        <f t="shared" ref="M259:M322" si="59">IF(L259=1949,"1949",IF(AND(L259&gt;1949,L259&lt;1953),"1950-1952",IF(AND(L259&gt;1952,L259&lt;1955),"1953-1954",IF(AND(L259&gt;1954,L259&lt;1957),"1955-1956",IF(AND(L259&gt;1956,L259&lt;1960),"1957-1959",IF(AND(L259&gt;1959,L259&lt;1971),"1960-1970",IF(AND(L259&gt;1970,L259&lt;1991),"1971-1990",IF(L259&gt;1990,"1991-present","-"))))))))</f>
        <v>1991-present</v>
      </c>
      <c r="N259" s="10" t="s">
        <v>241</v>
      </c>
      <c r="O259" s="10" t="s">
        <v>241</v>
      </c>
      <c r="P259" s="10" t="s">
        <v>242</v>
      </c>
      <c r="Q259" s="10" t="s">
        <v>242</v>
      </c>
      <c r="R259" s="10" t="s">
        <v>241</v>
      </c>
      <c r="S259" s="10" t="s">
        <v>242</v>
      </c>
      <c r="T259" s="10" t="s">
        <v>241</v>
      </c>
      <c r="U259" s="10" t="s">
        <v>241</v>
      </c>
      <c r="V259" s="10" t="s">
        <v>241</v>
      </c>
      <c r="W259" s="10" t="s">
        <v>242</v>
      </c>
      <c r="X259" s="15">
        <f>IF(ISERROR(VLOOKUP($A259,'13. Updated Demand'!A:Z,15,FALSE)),0,VLOOKUP($A259,'13. Updated Demand'!A:Z,15,FALSE))</f>
        <v>0</v>
      </c>
      <c r="Y259" s="16">
        <f>IF(ISERROR(VLOOKUP($A259,'13. Updated Demand'!A:Z,16,FALSE)),0,VLOOKUP($A259,'13. Updated Demand'!A:Z,16,FALSE))</f>
        <v>0</v>
      </c>
      <c r="Z259" s="16">
        <f>IF(ISERROR(VLOOKUP($A259,'13. Updated Demand'!A:Z,17,FALSE)),0,VLOOKUP($A259,'13. Updated Demand'!A:Z,17,FALSE))</f>
        <v>0</v>
      </c>
      <c r="AA259" s="16">
        <f>IF(ISERROR(VLOOKUP($A259,'13. Updated Demand'!A:Z,18,FALSE)),0,VLOOKUP($A259,'13. Updated Demand'!A:Z,18,FALSE))</f>
        <v>0</v>
      </c>
      <c r="AB259" s="16">
        <f>IF(ISERROR(VLOOKUP($A259,'13. Updated Demand'!A:Z,19,FALSE)),0,VLOOKUP($A259,'13. Updated Demand'!A:Z,19,FALSE))</f>
        <v>0</v>
      </c>
      <c r="AC259" s="16">
        <f>IF(ISERROR(VLOOKUP($A259,'13. Updated Demand'!A:Z,20,FALSE)),0,VLOOKUP($A259,'13. Updated Demand'!A:Z,20,FALSE))</f>
        <v>0</v>
      </c>
      <c r="AD259" s="16">
        <f>IF(ISERROR(VLOOKUP($A259,'13. Updated Demand'!A:Z,21,FALSE)),0,VLOOKUP($A259,'13. Updated Demand'!A:Z,21,FALSE))</f>
        <v>0</v>
      </c>
      <c r="AE259" s="16">
        <f>IF(ISERROR(VLOOKUP($A259,'13. Updated Demand'!A:Z,22,FALSE)),0,VLOOKUP($A259,'13. Updated Demand'!A:Z,22,FALSE))</f>
        <v>0</v>
      </c>
      <c r="AF259" s="16">
        <f>IF(ISERROR(VLOOKUP($A259,'13. Updated Demand'!A:Z,23,FALSE)),0,VLOOKUP($A259,'13. Updated Demand'!A:Z,23,FALSE))</f>
        <v>0</v>
      </c>
      <c r="AG259" s="16">
        <f>IF(ISERROR(VLOOKUP($A259,'13. Updated Demand'!A:Z,24,FALSE)),0,VLOOKUP($A259,'13. Updated Demand'!A:Z,24,FALSE))</f>
        <v>0</v>
      </c>
      <c r="AH259" s="16">
        <f>IF(ISERROR(VLOOKUP($A259,'13. Updated Demand'!A:Z,25,FALSE)),0,VLOOKUP($A259,'13. Updated Demand'!A:Z,25,FALSE))</f>
        <v>0</v>
      </c>
      <c r="AI259" s="16">
        <f>IF(ISERROR(VLOOKUP($A259,'13. Updated Demand'!A:Z,26,FALSE)),0,VLOOKUP($A259,'13. Updated Demand'!A:Z,26,FALSE))</f>
        <v>0</v>
      </c>
      <c r="AJ259" s="16">
        <f t="shared" si="48"/>
        <v>0</v>
      </c>
      <c r="AK259" s="19">
        <v>0</v>
      </c>
      <c r="AL259" s="16">
        <f t="shared" si="58"/>
        <v>0</v>
      </c>
      <c r="AM259" s="17">
        <v>0</v>
      </c>
      <c r="AN259" s="19"/>
      <c r="AO259" s="19"/>
      <c r="AP259" s="19">
        <v>195</v>
      </c>
      <c r="AQ259" s="19" t="s">
        <v>307</v>
      </c>
      <c r="AR259" s="9" t="s">
        <v>319</v>
      </c>
      <c r="AS259" s="12">
        <v>0</v>
      </c>
      <c r="AT259" s="19">
        <v>39.001899999999999</v>
      </c>
      <c r="AU259" s="19">
        <v>-123.10850000000001</v>
      </c>
      <c r="AV259" s="19" t="s">
        <v>417</v>
      </c>
    </row>
    <row r="260" spans="1:48" x14ac:dyDescent="0.25">
      <c r="A260" s="18" t="s">
        <v>630</v>
      </c>
      <c r="B260" s="10">
        <v>19990414</v>
      </c>
      <c r="C260" s="9">
        <v>11</v>
      </c>
      <c r="D260" s="8" t="str">
        <f t="shared" si="49"/>
        <v>N</v>
      </c>
      <c r="E260" s="8" t="str">
        <f t="shared" si="50"/>
        <v>Y</v>
      </c>
      <c r="F260" s="8" t="str">
        <f t="shared" si="51"/>
        <v>Y</v>
      </c>
      <c r="G260" s="8" t="str">
        <f t="shared" si="52"/>
        <v>Y</v>
      </c>
      <c r="H260" s="8" t="str">
        <f t="shared" si="53"/>
        <v>Upper</v>
      </c>
      <c r="I260" s="8" t="str">
        <f t="shared" si="54"/>
        <v>West Fork and Below Lake</v>
      </c>
      <c r="J260" s="8" t="str">
        <f t="shared" si="55"/>
        <v>Sonoma (d/s of Clov. Gage)</v>
      </c>
      <c r="K260" s="8" t="str">
        <f t="shared" si="56"/>
        <v>Post-1949</v>
      </c>
      <c r="L260" s="8">
        <f t="shared" si="57"/>
        <v>1999</v>
      </c>
      <c r="M260" s="8" t="str">
        <f t="shared" si="59"/>
        <v>1991-present</v>
      </c>
      <c r="N260" s="10" t="s">
        <v>242</v>
      </c>
      <c r="O260" s="10" t="s">
        <v>241</v>
      </c>
      <c r="P260" s="10" t="s">
        <v>242</v>
      </c>
      <c r="Q260" s="10" t="s">
        <v>242</v>
      </c>
      <c r="R260" s="10" t="s">
        <v>241</v>
      </c>
      <c r="S260" s="10" t="s">
        <v>242</v>
      </c>
      <c r="T260" s="10" t="s">
        <v>241</v>
      </c>
      <c r="U260" s="10" t="s">
        <v>241</v>
      </c>
      <c r="V260" s="10" t="s">
        <v>241</v>
      </c>
      <c r="W260" s="10" t="s">
        <v>242</v>
      </c>
      <c r="X260" s="15">
        <f>IF(ISERROR(VLOOKUP($A260,'13. Updated Demand'!A:Z,15,FALSE)),0,VLOOKUP($A260,'13. Updated Demand'!A:Z,15,FALSE))</f>
        <v>0</v>
      </c>
      <c r="Y260" s="16">
        <f>IF(ISERROR(VLOOKUP($A260,'13. Updated Demand'!A:Z,16,FALSE)),0,VLOOKUP($A260,'13. Updated Demand'!A:Z,16,FALSE))</f>
        <v>0</v>
      </c>
      <c r="Z260" s="16">
        <f>IF(ISERROR(VLOOKUP($A260,'13. Updated Demand'!A:Z,17,FALSE)),0,VLOOKUP($A260,'13. Updated Demand'!A:Z,17,FALSE))</f>
        <v>0</v>
      </c>
      <c r="AA260" s="16">
        <f>IF(ISERROR(VLOOKUP($A260,'13. Updated Demand'!A:Z,18,FALSE)),0,VLOOKUP($A260,'13. Updated Demand'!A:Z,18,FALSE))</f>
        <v>0</v>
      </c>
      <c r="AB260" s="16">
        <f>IF(ISERROR(VLOOKUP($A260,'13. Updated Demand'!A:Z,19,FALSE)),0,VLOOKUP($A260,'13. Updated Demand'!A:Z,19,FALSE))</f>
        <v>0</v>
      </c>
      <c r="AC260" s="16">
        <f>IF(ISERROR(VLOOKUP($A260,'13. Updated Demand'!A:Z,20,FALSE)),0,VLOOKUP($A260,'13. Updated Demand'!A:Z,20,FALSE))</f>
        <v>0</v>
      </c>
      <c r="AD260" s="16">
        <f>IF(ISERROR(VLOOKUP($A260,'13. Updated Demand'!A:Z,21,FALSE)),0,VLOOKUP($A260,'13. Updated Demand'!A:Z,21,FALSE))</f>
        <v>0</v>
      </c>
      <c r="AE260" s="16">
        <f>IF(ISERROR(VLOOKUP($A260,'13. Updated Demand'!A:Z,22,FALSE)),0,VLOOKUP($A260,'13. Updated Demand'!A:Z,22,FALSE))</f>
        <v>0</v>
      </c>
      <c r="AF260" s="16">
        <f>IF(ISERROR(VLOOKUP($A260,'13. Updated Demand'!A:Z,23,FALSE)),0,VLOOKUP($A260,'13. Updated Demand'!A:Z,23,FALSE))</f>
        <v>0</v>
      </c>
      <c r="AG260" s="16">
        <f>IF(ISERROR(VLOOKUP($A260,'13. Updated Demand'!A:Z,24,FALSE)),0,VLOOKUP($A260,'13. Updated Demand'!A:Z,24,FALSE))</f>
        <v>0</v>
      </c>
      <c r="AH260" s="16">
        <f>IF(ISERROR(VLOOKUP($A260,'13. Updated Demand'!A:Z,25,FALSE)),0,VLOOKUP($A260,'13. Updated Demand'!A:Z,25,FALSE))</f>
        <v>0</v>
      </c>
      <c r="AI260" s="16">
        <f>IF(ISERROR(VLOOKUP($A260,'13. Updated Demand'!A:Z,26,FALSE)),0,VLOOKUP($A260,'13. Updated Demand'!A:Z,26,FALSE))</f>
        <v>0</v>
      </c>
      <c r="AJ260" s="16">
        <f t="shared" si="48"/>
        <v>0</v>
      </c>
      <c r="AK260" s="19">
        <v>0</v>
      </c>
      <c r="AL260" s="16">
        <f t="shared" si="58"/>
        <v>0</v>
      </c>
      <c r="AM260" s="17">
        <v>0</v>
      </c>
      <c r="AN260" s="19"/>
      <c r="AO260" s="19"/>
      <c r="AP260" s="19">
        <v>25</v>
      </c>
      <c r="AQ260" s="19" t="s">
        <v>307</v>
      </c>
      <c r="AR260" s="9" t="s">
        <v>308</v>
      </c>
      <c r="AS260" s="12">
        <v>0</v>
      </c>
      <c r="AT260" s="19">
        <v>38.644598309999999</v>
      </c>
      <c r="AU260" s="19">
        <v>-122.72341110000001</v>
      </c>
      <c r="AV260" s="19" t="s">
        <v>417</v>
      </c>
    </row>
    <row r="261" spans="1:48" x14ac:dyDescent="0.25">
      <c r="A261" s="18" t="s">
        <v>631</v>
      </c>
      <c r="B261" s="10">
        <v>19990901</v>
      </c>
      <c r="C261" s="9">
        <v>1</v>
      </c>
      <c r="D261" s="8" t="str">
        <f t="shared" si="49"/>
        <v>N</v>
      </c>
      <c r="E261" s="8" t="str">
        <f t="shared" si="50"/>
        <v>N</v>
      </c>
      <c r="F261" s="8" t="str">
        <f t="shared" si="51"/>
        <v>Y</v>
      </c>
      <c r="G261" s="8" t="str">
        <f t="shared" si="52"/>
        <v>Y</v>
      </c>
      <c r="H261" s="8" t="str">
        <f t="shared" si="53"/>
        <v>Upper</v>
      </c>
      <c r="I261" s="8" t="str">
        <f t="shared" si="54"/>
        <v>West Fork and Below Lake</v>
      </c>
      <c r="J261" s="8" t="str">
        <f t="shared" si="55"/>
        <v>Outside</v>
      </c>
      <c r="K261" s="8" t="str">
        <f t="shared" si="56"/>
        <v>Post-1949</v>
      </c>
      <c r="L261" s="8">
        <f t="shared" si="57"/>
        <v>1999</v>
      </c>
      <c r="M261" s="8" t="str">
        <f t="shared" si="59"/>
        <v>1991-present</v>
      </c>
      <c r="N261" s="10" t="s">
        <v>242</v>
      </c>
      <c r="O261" s="10" t="s">
        <v>241</v>
      </c>
      <c r="P261" s="10" t="s">
        <v>242</v>
      </c>
      <c r="Q261" s="10" t="s">
        <v>242</v>
      </c>
      <c r="R261" s="10" t="s">
        <v>241</v>
      </c>
      <c r="S261" s="10" t="s">
        <v>242</v>
      </c>
      <c r="T261" s="10" t="s">
        <v>242</v>
      </c>
      <c r="U261" s="10" t="s">
        <v>242</v>
      </c>
      <c r="V261" s="10" t="s">
        <v>241</v>
      </c>
      <c r="W261" s="10" t="s">
        <v>242</v>
      </c>
      <c r="X261" s="15">
        <f>IF(ISERROR(VLOOKUP($A261,'13. Updated Demand'!A:Z,15,FALSE)),0,VLOOKUP($A261,'13. Updated Demand'!A:Z,15,FALSE))</f>
        <v>0</v>
      </c>
      <c r="Y261" s="16">
        <f>IF(ISERROR(VLOOKUP($A261,'13. Updated Demand'!A:Z,16,FALSE)),0,VLOOKUP($A261,'13. Updated Demand'!A:Z,16,FALSE))</f>
        <v>0</v>
      </c>
      <c r="Z261" s="16">
        <f>IF(ISERROR(VLOOKUP($A261,'13. Updated Demand'!A:Z,17,FALSE)),0,VLOOKUP($A261,'13. Updated Demand'!A:Z,17,FALSE))</f>
        <v>0</v>
      </c>
      <c r="AA261" s="16">
        <f>IF(ISERROR(VLOOKUP($A261,'13. Updated Demand'!A:Z,18,FALSE)),0,VLOOKUP($A261,'13. Updated Demand'!A:Z,18,FALSE))</f>
        <v>0.26</v>
      </c>
      <c r="AB261" s="16">
        <f>IF(ISERROR(VLOOKUP($A261,'13. Updated Demand'!A:Z,19,FALSE)),0,VLOOKUP($A261,'13. Updated Demand'!A:Z,19,FALSE))</f>
        <v>0</v>
      </c>
      <c r="AC261" s="16">
        <f>IF(ISERROR(VLOOKUP($A261,'13. Updated Demand'!A:Z,20,FALSE)),0,VLOOKUP($A261,'13. Updated Demand'!A:Z,20,FALSE))</f>
        <v>0</v>
      </c>
      <c r="AD261" s="16">
        <f>IF(ISERROR(VLOOKUP($A261,'13. Updated Demand'!A:Z,21,FALSE)),0,VLOOKUP($A261,'13. Updated Demand'!A:Z,21,FALSE))</f>
        <v>0</v>
      </c>
      <c r="AE261" s="16">
        <f>IF(ISERROR(VLOOKUP($A261,'13. Updated Demand'!A:Z,22,FALSE)),0,VLOOKUP($A261,'13. Updated Demand'!A:Z,22,FALSE))</f>
        <v>0</v>
      </c>
      <c r="AF261" s="16">
        <f>IF(ISERROR(VLOOKUP($A261,'13. Updated Demand'!A:Z,23,FALSE)),0,VLOOKUP($A261,'13. Updated Demand'!A:Z,23,FALSE))</f>
        <v>0</v>
      </c>
      <c r="AG261" s="16">
        <f>IF(ISERROR(VLOOKUP($A261,'13. Updated Demand'!A:Z,24,FALSE)),0,VLOOKUP($A261,'13. Updated Demand'!A:Z,24,FALSE))</f>
        <v>0</v>
      </c>
      <c r="AH261" s="16">
        <f>IF(ISERROR(VLOOKUP($A261,'13. Updated Demand'!A:Z,25,FALSE)),0,VLOOKUP($A261,'13. Updated Demand'!A:Z,25,FALSE))</f>
        <v>0</v>
      </c>
      <c r="AI261" s="16">
        <f>IF(ISERROR(VLOOKUP($A261,'13. Updated Demand'!A:Z,26,FALSE)),0,VLOOKUP($A261,'13. Updated Demand'!A:Z,26,FALSE))</f>
        <v>0</v>
      </c>
      <c r="AJ261" s="16">
        <f t="shared" si="48"/>
        <v>0.26</v>
      </c>
      <c r="AK261" s="19">
        <v>0</v>
      </c>
      <c r="AL261" s="16">
        <f t="shared" si="58"/>
        <v>0</v>
      </c>
      <c r="AM261" s="17">
        <v>5.3333333400000002E-2</v>
      </c>
      <c r="AN261" s="19"/>
      <c r="AO261" s="19"/>
      <c r="AP261" s="19">
        <v>5</v>
      </c>
      <c r="AQ261" s="19" t="s">
        <v>307</v>
      </c>
      <c r="AR261" s="9" t="s">
        <v>317</v>
      </c>
      <c r="AS261" s="12">
        <v>0</v>
      </c>
      <c r="AT261" s="19">
        <v>39.286341800000002</v>
      </c>
      <c r="AU261" s="19">
        <v>-123.31291768</v>
      </c>
      <c r="AV261" s="19" t="s">
        <v>417</v>
      </c>
    </row>
    <row r="262" spans="1:48" x14ac:dyDescent="0.25">
      <c r="A262" s="18" t="s">
        <v>632</v>
      </c>
      <c r="B262" s="10">
        <v>19990901</v>
      </c>
      <c r="C262" s="9">
        <v>1</v>
      </c>
      <c r="D262" s="8" t="str">
        <f t="shared" si="49"/>
        <v>N</v>
      </c>
      <c r="E262" s="8" t="str">
        <f t="shared" si="50"/>
        <v>N</v>
      </c>
      <c r="F262" s="8" t="str">
        <f t="shared" si="51"/>
        <v>Y</v>
      </c>
      <c r="G262" s="8" t="str">
        <f t="shared" si="52"/>
        <v>Y</v>
      </c>
      <c r="H262" s="8" t="str">
        <f t="shared" si="53"/>
        <v>Upper</v>
      </c>
      <c r="I262" s="8" t="str">
        <f t="shared" si="54"/>
        <v>West Fork and Below Lake</v>
      </c>
      <c r="J262" s="8" t="str">
        <f t="shared" si="55"/>
        <v>Outside</v>
      </c>
      <c r="K262" s="8" t="str">
        <f t="shared" si="56"/>
        <v>Post-1949</v>
      </c>
      <c r="L262" s="8">
        <f t="shared" si="57"/>
        <v>1999</v>
      </c>
      <c r="M262" s="8" t="str">
        <f t="shared" si="59"/>
        <v>1991-present</v>
      </c>
      <c r="N262" s="10" t="s">
        <v>242</v>
      </c>
      <c r="O262" s="10" t="s">
        <v>241</v>
      </c>
      <c r="P262" s="10" t="s">
        <v>242</v>
      </c>
      <c r="Q262" s="10" t="s">
        <v>242</v>
      </c>
      <c r="R262" s="10" t="s">
        <v>241</v>
      </c>
      <c r="S262" s="10" t="s">
        <v>242</v>
      </c>
      <c r="T262" s="10" t="s">
        <v>242</v>
      </c>
      <c r="U262" s="10" t="s">
        <v>242</v>
      </c>
      <c r="V262" s="10" t="s">
        <v>241</v>
      </c>
      <c r="W262" s="10" t="s">
        <v>242</v>
      </c>
      <c r="X262" s="15">
        <f>IF(ISERROR(VLOOKUP($A262,'13. Updated Demand'!A:Z,15,FALSE)),0,VLOOKUP($A262,'13. Updated Demand'!A:Z,15,FALSE))</f>
        <v>2.93</v>
      </c>
      <c r="Y262" s="16">
        <f>IF(ISERROR(VLOOKUP($A262,'13. Updated Demand'!A:Z,16,FALSE)),0,VLOOKUP($A262,'13. Updated Demand'!A:Z,16,FALSE))</f>
        <v>0</v>
      </c>
      <c r="Z262" s="16">
        <f>IF(ISERROR(VLOOKUP($A262,'13. Updated Demand'!A:Z,17,FALSE)),0,VLOOKUP($A262,'13. Updated Demand'!A:Z,17,FALSE))</f>
        <v>0</v>
      </c>
      <c r="AA262" s="16">
        <f>IF(ISERROR(VLOOKUP($A262,'13. Updated Demand'!A:Z,18,FALSE)),0,VLOOKUP($A262,'13. Updated Demand'!A:Z,18,FALSE))</f>
        <v>0</v>
      </c>
      <c r="AB262" s="16">
        <f>IF(ISERROR(VLOOKUP($A262,'13. Updated Demand'!A:Z,19,FALSE)),0,VLOOKUP($A262,'13. Updated Demand'!A:Z,19,FALSE))</f>
        <v>0</v>
      </c>
      <c r="AC262" s="16">
        <f>IF(ISERROR(VLOOKUP($A262,'13. Updated Demand'!A:Z,20,FALSE)),0,VLOOKUP($A262,'13. Updated Demand'!A:Z,20,FALSE))</f>
        <v>0</v>
      </c>
      <c r="AD262" s="16">
        <f>IF(ISERROR(VLOOKUP($A262,'13. Updated Demand'!A:Z,21,FALSE)),0,VLOOKUP($A262,'13. Updated Demand'!A:Z,21,FALSE))</f>
        <v>0</v>
      </c>
      <c r="AE262" s="16">
        <f>IF(ISERROR(VLOOKUP($A262,'13. Updated Demand'!A:Z,22,FALSE)),0,VLOOKUP($A262,'13. Updated Demand'!A:Z,22,FALSE))</f>
        <v>0</v>
      </c>
      <c r="AF262" s="16">
        <f>IF(ISERROR(VLOOKUP($A262,'13. Updated Demand'!A:Z,23,FALSE)),0,VLOOKUP($A262,'13. Updated Demand'!A:Z,23,FALSE))</f>
        <v>0</v>
      </c>
      <c r="AG262" s="16">
        <f>IF(ISERROR(VLOOKUP($A262,'13. Updated Demand'!A:Z,24,FALSE)),0,VLOOKUP($A262,'13. Updated Demand'!A:Z,24,FALSE))</f>
        <v>0</v>
      </c>
      <c r="AH262" s="16">
        <f>IF(ISERROR(VLOOKUP($A262,'13. Updated Demand'!A:Z,25,FALSE)),0,VLOOKUP($A262,'13. Updated Demand'!A:Z,25,FALSE))</f>
        <v>0</v>
      </c>
      <c r="AI262" s="16">
        <f>IF(ISERROR(VLOOKUP($A262,'13. Updated Demand'!A:Z,26,FALSE)),0,VLOOKUP($A262,'13. Updated Demand'!A:Z,26,FALSE))</f>
        <v>5.7</v>
      </c>
      <c r="AJ262" s="16">
        <f t="shared" si="48"/>
        <v>8.6300000000000008</v>
      </c>
      <c r="AK262" s="19">
        <v>0</v>
      </c>
      <c r="AL262" s="16">
        <f t="shared" si="58"/>
        <v>0</v>
      </c>
      <c r="AM262" s="17">
        <v>0.50784313725490171</v>
      </c>
      <c r="AN262" s="19"/>
      <c r="AO262" s="19"/>
      <c r="AP262" s="19">
        <v>17</v>
      </c>
      <c r="AQ262" s="19" t="s">
        <v>307</v>
      </c>
      <c r="AR262" s="9" t="s">
        <v>317</v>
      </c>
      <c r="AS262" s="12">
        <v>0</v>
      </c>
      <c r="AT262" s="19">
        <v>39.2863428</v>
      </c>
      <c r="AU262" s="19">
        <v>-123.31288087</v>
      </c>
      <c r="AV262" s="19" t="s">
        <v>417</v>
      </c>
    </row>
    <row r="263" spans="1:48" x14ac:dyDescent="0.25">
      <c r="A263" s="18" t="s">
        <v>633</v>
      </c>
      <c r="B263" s="10">
        <v>19990702</v>
      </c>
      <c r="C263" s="9">
        <v>6</v>
      </c>
      <c r="D263" s="8" t="str">
        <f t="shared" si="49"/>
        <v>Y</v>
      </c>
      <c r="E263" s="8" t="str">
        <f t="shared" si="50"/>
        <v>N</v>
      </c>
      <c r="F263" s="8" t="str">
        <f t="shared" si="51"/>
        <v>Y</v>
      </c>
      <c r="G263" s="8" t="str">
        <f t="shared" si="52"/>
        <v>Y</v>
      </c>
      <c r="H263" s="8" t="str">
        <f t="shared" si="53"/>
        <v>Upper</v>
      </c>
      <c r="I263" s="8" t="str">
        <f t="shared" si="54"/>
        <v>West Fork and Below Lake</v>
      </c>
      <c r="J263" s="8" t="str">
        <f t="shared" si="55"/>
        <v>Mendocino (d/s of lake)</v>
      </c>
      <c r="K263" s="8" t="str">
        <f t="shared" si="56"/>
        <v>Post-1949</v>
      </c>
      <c r="L263" s="8">
        <f t="shared" si="57"/>
        <v>1999</v>
      </c>
      <c r="M263" s="8" t="str">
        <f t="shared" si="59"/>
        <v>1991-present</v>
      </c>
      <c r="N263" s="10" t="s">
        <v>241</v>
      </c>
      <c r="O263" s="10" t="s">
        <v>241</v>
      </c>
      <c r="P263" s="10" t="s">
        <v>242</v>
      </c>
      <c r="Q263" s="10" t="s">
        <v>242</v>
      </c>
      <c r="R263" s="10" t="s">
        <v>241</v>
      </c>
      <c r="S263" s="10" t="s">
        <v>242</v>
      </c>
      <c r="T263" s="10" t="s">
        <v>241</v>
      </c>
      <c r="U263" s="10" t="s">
        <v>241</v>
      </c>
      <c r="V263" s="10" t="s">
        <v>241</v>
      </c>
      <c r="W263" s="10" t="s">
        <v>242</v>
      </c>
      <c r="X263" s="15">
        <f>IF(ISERROR(VLOOKUP($A263,'13. Updated Demand'!A:Z,15,FALSE)),0,VLOOKUP($A263,'13. Updated Demand'!A:Z,15,FALSE))</f>
        <v>0</v>
      </c>
      <c r="Y263" s="16">
        <f>IF(ISERROR(VLOOKUP($A263,'13. Updated Demand'!A:Z,16,FALSE)),0,VLOOKUP($A263,'13. Updated Demand'!A:Z,16,FALSE))</f>
        <v>0</v>
      </c>
      <c r="Z263" s="16">
        <f>IF(ISERROR(VLOOKUP($A263,'13. Updated Demand'!A:Z,17,FALSE)),0,VLOOKUP($A263,'13. Updated Demand'!A:Z,17,FALSE))</f>
        <v>0</v>
      </c>
      <c r="AA263" s="16">
        <f>IF(ISERROR(VLOOKUP($A263,'13. Updated Demand'!A:Z,18,FALSE)),0,VLOOKUP($A263,'13. Updated Demand'!A:Z,18,FALSE))</f>
        <v>0</v>
      </c>
      <c r="AB263" s="16">
        <f>IF(ISERROR(VLOOKUP($A263,'13. Updated Demand'!A:Z,19,FALSE)),0,VLOOKUP($A263,'13. Updated Demand'!A:Z,19,FALSE))</f>
        <v>0</v>
      </c>
      <c r="AC263" s="16">
        <f>IF(ISERROR(VLOOKUP($A263,'13. Updated Demand'!A:Z,20,FALSE)),0,VLOOKUP($A263,'13. Updated Demand'!A:Z,20,FALSE))</f>
        <v>0</v>
      </c>
      <c r="AD263" s="16">
        <f>IF(ISERROR(VLOOKUP($A263,'13. Updated Demand'!A:Z,21,FALSE)),0,VLOOKUP($A263,'13. Updated Demand'!A:Z,21,FALSE))</f>
        <v>0</v>
      </c>
      <c r="AE263" s="16">
        <f>IF(ISERROR(VLOOKUP($A263,'13. Updated Demand'!A:Z,22,FALSE)),0,VLOOKUP($A263,'13. Updated Demand'!A:Z,22,FALSE))</f>
        <v>0</v>
      </c>
      <c r="AF263" s="16">
        <f>IF(ISERROR(VLOOKUP($A263,'13. Updated Demand'!A:Z,23,FALSE)),0,VLOOKUP($A263,'13. Updated Demand'!A:Z,23,FALSE))</f>
        <v>0</v>
      </c>
      <c r="AG263" s="16">
        <f>IF(ISERROR(VLOOKUP($A263,'13. Updated Demand'!A:Z,24,FALSE)),0,VLOOKUP($A263,'13. Updated Demand'!A:Z,24,FALSE))</f>
        <v>0</v>
      </c>
      <c r="AH263" s="16">
        <f>IF(ISERROR(VLOOKUP($A263,'13. Updated Demand'!A:Z,25,FALSE)),0,VLOOKUP($A263,'13. Updated Demand'!A:Z,25,FALSE))</f>
        <v>0</v>
      </c>
      <c r="AI263" s="16">
        <f>IF(ISERROR(VLOOKUP($A263,'13. Updated Demand'!A:Z,26,FALSE)),0,VLOOKUP($A263,'13. Updated Demand'!A:Z,26,FALSE))</f>
        <v>0</v>
      </c>
      <c r="AJ263" s="16">
        <f t="shared" si="48"/>
        <v>0</v>
      </c>
      <c r="AK263" s="19">
        <v>0</v>
      </c>
      <c r="AL263" s="16">
        <f t="shared" si="58"/>
        <v>0</v>
      </c>
      <c r="AM263" s="17">
        <v>0</v>
      </c>
      <c r="AN263" s="19"/>
      <c r="AO263" s="19"/>
      <c r="AP263" s="19">
        <v>73.099999999999994</v>
      </c>
      <c r="AQ263" s="19" t="s">
        <v>307</v>
      </c>
      <c r="AR263" s="9" t="s">
        <v>319</v>
      </c>
      <c r="AS263" s="12">
        <v>0</v>
      </c>
      <c r="AT263" s="19">
        <v>39.018410000000003</v>
      </c>
      <c r="AU263" s="19">
        <v>-123.12525543</v>
      </c>
      <c r="AV263" s="19" t="s">
        <v>387</v>
      </c>
    </row>
    <row r="264" spans="1:48" x14ac:dyDescent="0.25">
      <c r="A264" s="18" t="s">
        <v>634</v>
      </c>
      <c r="B264" s="10">
        <v>19991202</v>
      </c>
      <c r="C264" s="9">
        <v>1</v>
      </c>
      <c r="D264" s="8" t="str">
        <f t="shared" si="49"/>
        <v>N</v>
      </c>
      <c r="E264" s="8" t="str">
        <f t="shared" si="50"/>
        <v>N</v>
      </c>
      <c r="F264" s="8" t="str">
        <f t="shared" si="51"/>
        <v>Y</v>
      </c>
      <c r="G264" s="8" t="str">
        <f t="shared" si="52"/>
        <v>Y</v>
      </c>
      <c r="H264" s="8" t="str">
        <f t="shared" si="53"/>
        <v>Upper</v>
      </c>
      <c r="I264" s="8" t="str">
        <f t="shared" si="54"/>
        <v>West Fork and Below Lake</v>
      </c>
      <c r="J264" s="8" t="str">
        <f t="shared" si="55"/>
        <v>Outside</v>
      </c>
      <c r="K264" s="8" t="str">
        <f t="shared" si="56"/>
        <v>Post-1949</v>
      </c>
      <c r="L264" s="8">
        <f t="shared" si="57"/>
        <v>1999</v>
      </c>
      <c r="M264" s="8" t="str">
        <f t="shared" si="59"/>
        <v>1991-present</v>
      </c>
      <c r="N264" s="10" t="s">
        <v>242</v>
      </c>
      <c r="O264" s="10" t="s">
        <v>241</v>
      </c>
      <c r="P264" s="10" t="s">
        <v>242</v>
      </c>
      <c r="Q264" s="10" t="s">
        <v>242</v>
      </c>
      <c r="R264" s="10" t="s">
        <v>241</v>
      </c>
      <c r="S264" s="10" t="s">
        <v>242</v>
      </c>
      <c r="T264" s="10" t="s">
        <v>241</v>
      </c>
      <c r="U264" s="10" t="s">
        <v>241</v>
      </c>
      <c r="V264" s="10" t="s">
        <v>241</v>
      </c>
      <c r="W264" s="10" t="s">
        <v>242</v>
      </c>
      <c r="X264" s="15">
        <f>IF(ISERROR(VLOOKUP($A264,'13. Updated Demand'!A:Z,15,FALSE)),0,VLOOKUP($A264,'13. Updated Demand'!A:Z,15,FALSE))</f>
        <v>0</v>
      </c>
      <c r="Y264" s="16">
        <f>IF(ISERROR(VLOOKUP($A264,'13. Updated Demand'!A:Z,16,FALSE)),0,VLOOKUP($A264,'13. Updated Demand'!A:Z,16,FALSE))</f>
        <v>0</v>
      </c>
      <c r="Z264" s="16">
        <f>IF(ISERROR(VLOOKUP($A264,'13. Updated Demand'!A:Z,17,FALSE)),0,VLOOKUP($A264,'13. Updated Demand'!A:Z,17,FALSE))</f>
        <v>0</v>
      </c>
      <c r="AA264" s="16">
        <f>IF(ISERROR(VLOOKUP($A264,'13. Updated Demand'!A:Z,18,FALSE)),0,VLOOKUP($A264,'13. Updated Demand'!A:Z,18,FALSE))</f>
        <v>0</v>
      </c>
      <c r="AB264" s="16">
        <f>IF(ISERROR(VLOOKUP($A264,'13. Updated Demand'!A:Z,19,FALSE)),0,VLOOKUP($A264,'13. Updated Demand'!A:Z,19,FALSE))</f>
        <v>0</v>
      </c>
      <c r="AC264" s="16">
        <f>IF(ISERROR(VLOOKUP($A264,'13. Updated Demand'!A:Z,20,FALSE)),0,VLOOKUP($A264,'13. Updated Demand'!A:Z,20,FALSE))</f>
        <v>0</v>
      </c>
      <c r="AD264" s="16">
        <f>IF(ISERROR(VLOOKUP($A264,'13. Updated Demand'!A:Z,21,FALSE)),0,VLOOKUP($A264,'13. Updated Demand'!A:Z,21,FALSE))</f>
        <v>0</v>
      </c>
      <c r="AE264" s="16">
        <f>IF(ISERROR(VLOOKUP($A264,'13. Updated Demand'!A:Z,22,FALSE)),0,VLOOKUP($A264,'13. Updated Demand'!A:Z,22,FALSE))</f>
        <v>0</v>
      </c>
      <c r="AF264" s="16">
        <f>IF(ISERROR(VLOOKUP($A264,'13. Updated Demand'!A:Z,23,FALSE)),0,VLOOKUP($A264,'13. Updated Demand'!A:Z,23,FALSE))</f>
        <v>0</v>
      </c>
      <c r="AG264" s="16">
        <f>IF(ISERROR(VLOOKUP($A264,'13. Updated Demand'!A:Z,24,FALSE)),0,VLOOKUP($A264,'13. Updated Demand'!A:Z,24,FALSE))</f>
        <v>0</v>
      </c>
      <c r="AH264" s="16">
        <f>IF(ISERROR(VLOOKUP($A264,'13. Updated Demand'!A:Z,25,FALSE)),0,VLOOKUP($A264,'13. Updated Demand'!A:Z,25,FALSE))</f>
        <v>0</v>
      </c>
      <c r="AI264" s="16">
        <f>IF(ISERROR(VLOOKUP($A264,'13. Updated Demand'!A:Z,26,FALSE)),0,VLOOKUP($A264,'13. Updated Demand'!A:Z,26,FALSE))</f>
        <v>0</v>
      </c>
      <c r="AJ264" s="16">
        <f t="shared" si="48"/>
        <v>0</v>
      </c>
      <c r="AK264" s="19">
        <v>0</v>
      </c>
      <c r="AL264" s="16">
        <f t="shared" si="58"/>
        <v>0</v>
      </c>
      <c r="AM264" s="17">
        <v>0</v>
      </c>
      <c r="AN264" s="19"/>
      <c r="AO264" s="19"/>
      <c r="AP264" s="19">
        <v>31</v>
      </c>
      <c r="AQ264" s="19" t="s">
        <v>307</v>
      </c>
      <c r="AR264" s="9" t="s">
        <v>317</v>
      </c>
      <c r="AS264" s="12">
        <v>0</v>
      </c>
      <c r="AT264" s="19">
        <v>39.271138520000001</v>
      </c>
      <c r="AU264" s="19">
        <v>-123.25389088999999</v>
      </c>
      <c r="AV264" s="19" t="s">
        <v>635</v>
      </c>
    </row>
    <row r="265" spans="1:48" x14ac:dyDescent="0.25">
      <c r="A265" s="18" t="s">
        <v>636</v>
      </c>
      <c r="B265" s="10">
        <v>19991202</v>
      </c>
      <c r="C265" s="9">
        <v>1</v>
      </c>
      <c r="D265" s="8" t="str">
        <f t="shared" si="49"/>
        <v>N</v>
      </c>
      <c r="E265" s="8" t="str">
        <f t="shared" si="50"/>
        <v>N</v>
      </c>
      <c r="F265" s="8" t="str">
        <f t="shared" si="51"/>
        <v>Y</v>
      </c>
      <c r="G265" s="8" t="str">
        <f t="shared" si="52"/>
        <v>Y</v>
      </c>
      <c r="H265" s="8" t="str">
        <f t="shared" si="53"/>
        <v>Upper</v>
      </c>
      <c r="I265" s="8" t="str">
        <f t="shared" si="54"/>
        <v>West Fork and Below Lake</v>
      </c>
      <c r="J265" s="8" t="str">
        <f t="shared" si="55"/>
        <v>Outside</v>
      </c>
      <c r="K265" s="8" t="str">
        <f t="shared" si="56"/>
        <v>Post-1949</v>
      </c>
      <c r="L265" s="8">
        <f t="shared" si="57"/>
        <v>1999</v>
      </c>
      <c r="M265" s="8" t="str">
        <f t="shared" si="59"/>
        <v>1991-present</v>
      </c>
      <c r="N265" s="10" t="s">
        <v>242</v>
      </c>
      <c r="O265" s="10" t="s">
        <v>241</v>
      </c>
      <c r="P265" s="10" t="s">
        <v>242</v>
      </c>
      <c r="Q265" s="10" t="s">
        <v>242</v>
      </c>
      <c r="R265" s="10" t="s">
        <v>241</v>
      </c>
      <c r="S265" s="10" t="s">
        <v>242</v>
      </c>
      <c r="T265" s="10" t="s">
        <v>241</v>
      </c>
      <c r="U265" s="10" t="s">
        <v>241</v>
      </c>
      <c r="V265" s="10" t="s">
        <v>241</v>
      </c>
      <c r="W265" s="10" t="s">
        <v>242</v>
      </c>
      <c r="X265" s="15">
        <f>IF(ISERROR(VLOOKUP($A265,'13. Updated Demand'!A:Z,15,FALSE)),0,VLOOKUP($A265,'13. Updated Demand'!A:Z,15,FALSE))</f>
        <v>0</v>
      </c>
      <c r="Y265" s="16">
        <f>IF(ISERROR(VLOOKUP($A265,'13. Updated Demand'!A:Z,16,FALSE)),0,VLOOKUP($A265,'13. Updated Demand'!A:Z,16,FALSE))</f>
        <v>0</v>
      </c>
      <c r="Z265" s="16">
        <f>IF(ISERROR(VLOOKUP($A265,'13. Updated Demand'!A:Z,17,FALSE)),0,VLOOKUP($A265,'13. Updated Demand'!A:Z,17,FALSE))</f>
        <v>0</v>
      </c>
      <c r="AA265" s="16">
        <f>IF(ISERROR(VLOOKUP($A265,'13. Updated Demand'!A:Z,18,FALSE)),0,VLOOKUP($A265,'13. Updated Demand'!A:Z,18,FALSE))</f>
        <v>0</v>
      </c>
      <c r="AB265" s="16">
        <f>IF(ISERROR(VLOOKUP($A265,'13. Updated Demand'!A:Z,19,FALSE)),0,VLOOKUP($A265,'13. Updated Demand'!A:Z,19,FALSE))</f>
        <v>0</v>
      </c>
      <c r="AC265" s="16">
        <f>IF(ISERROR(VLOOKUP($A265,'13. Updated Demand'!A:Z,20,FALSE)),0,VLOOKUP($A265,'13. Updated Demand'!A:Z,20,FALSE))</f>
        <v>0</v>
      </c>
      <c r="AD265" s="16">
        <f>IF(ISERROR(VLOOKUP($A265,'13. Updated Demand'!A:Z,21,FALSE)),0,VLOOKUP($A265,'13. Updated Demand'!A:Z,21,FALSE))</f>
        <v>0</v>
      </c>
      <c r="AE265" s="16">
        <f>IF(ISERROR(VLOOKUP($A265,'13. Updated Demand'!A:Z,22,FALSE)),0,VLOOKUP($A265,'13. Updated Demand'!A:Z,22,FALSE))</f>
        <v>0</v>
      </c>
      <c r="AF265" s="16">
        <f>IF(ISERROR(VLOOKUP($A265,'13. Updated Demand'!A:Z,23,FALSE)),0,VLOOKUP($A265,'13. Updated Demand'!A:Z,23,FALSE))</f>
        <v>0</v>
      </c>
      <c r="AG265" s="16">
        <f>IF(ISERROR(VLOOKUP($A265,'13. Updated Demand'!A:Z,24,FALSE)),0,VLOOKUP($A265,'13. Updated Demand'!A:Z,24,FALSE))</f>
        <v>0</v>
      </c>
      <c r="AH265" s="16">
        <f>IF(ISERROR(VLOOKUP($A265,'13. Updated Demand'!A:Z,25,FALSE)),0,VLOOKUP($A265,'13. Updated Demand'!A:Z,25,FALSE))</f>
        <v>0</v>
      </c>
      <c r="AI265" s="16">
        <f>IF(ISERROR(VLOOKUP($A265,'13. Updated Demand'!A:Z,26,FALSE)),0,VLOOKUP($A265,'13. Updated Demand'!A:Z,26,FALSE))</f>
        <v>0</v>
      </c>
      <c r="AJ265" s="16">
        <f t="shared" si="48"/>
        <v>0</v>
      </c>
      <c r="AK265" s="19">
        <v>0</v>
      </c>
      <c r="AL265" s="16">
        <f t="shared" si="58"/>
        <v>0</v>
      </c>
      <c r="AM265" s="17">
        <v>0</v>
      </c>
      <c r="AN265" s="19"/>
      <c r="AO265" s="19"/>
      <c r="AP265" s="19">
        <v>52</v>
      </c>
      <c r="AQ265" s="19" t="s">
        <v>307</v>
      </c>
      <c r="AR265" s="9" t="s">
        <v>317</v>
      </c>
      <c r="AS265" s="12">
        <v>0</v>
      </c>
      <c r="AT265" s="19">
        <v>39.271127470000003</v>
      </c>
      <c r="AU265" s="19">
        <v>-123.25387980000001</v>
      </c>
      <c r="AV265" s="19" t="s">
        <v>635</v>
      </c>
    </row>
    <row r="266" spans="1:48" x14ac:dyDescent="0.25">
      <c r="A266" s="18" t="s">
        <v>637</v>
      </c>
      <c r="B266" s="10">
        <v>19991110</v>
      </c>
      <c r="C266" s="9">
        <v>4</v>
      </c>
      <c r="D266" s="8" t="str">
        <f t="shared" si="49"/>
        <v>Y</v>
      </c>
      <c r="E266" s="8" t="str">
        <f t="shared" si="50"/>
        <v>N</v>
      </c>
      <c r="F266" s="8" t="str">
        <f t="shared" si="51"/>
        <v>Y</v>
      </c>
      <c r="G266" s="8" t="str">
        <f t="shared" si="52"/>
        <v>Y</v>
      </c>
      <c r="H266" s="8" t="str">
        <f t="shared" si="53"/>
        <v>Upper</v>
      </c>
      <c r="I266" s="8" t="str">
        <f t="shared" si="54"/>
        <v>West Fork and Below Lake</v>
      </c>
      <c r="J266" s="8" t="str">
        <f t="shared" si="55"/>
        <v>Mendocino (d/s of lake)</v>
      </c>
      <c r="K266" s="8" t="str">
        <f t="shared" si="56"/>
        <v>Post-1949</v>
      </c>
      <c r="L266" s="8">
        <f t="shared" si="57"/>
        <v>1999</v>
      </c>
      <c r="M266" s="8" t="str">
        <f t="shared" si="59"/>
        <v>1991-present</v>
      </c>
      <c r="N266" s="10" t="s">
        <v>241</v>
      </c>
      <c r="O266" s="10" t="s">
        <v>241</v>
      </c>
      <c r="P266" s="10" t="s">
        <v>242</v>
      </c>
      <c r="Q266" s="10" t="s">
        <v>242</v>
      </c>
      <c r="R266" s="10" t="s">
        <v>241</v>
      </c>
      <c r="S266" s="10" t="s">
        <v>242</v>
      </c>
      <c r="T266" s="10" t="s">
        <v>241</v>
      </c>
      <c r="U266" s="10" t="s">
        <v>241</v>
      </c>
      <c r="V266" s="10" t="s">
        <v>241</v>
      </c>
      <c r="W266" s="10" t="s">
        <v>242</v>
      </c>
      <c r="X266" s="15">
        <f>IF(ISERROR(VLOOKUP($A266,'13. Updated Demand'!A:Z,15,FALSE)),0,VLOOKUP($A266,'13. Updated Demand'!A:Z,15,FALSE))</f>
        <v>0</v>
      </c>
      <c r="Y266" s="16">
        <f>IF(ISERROR(VLOOKUP($A266,'13. Updated Demand'!A:Z,16,FALSE)),0,VLOOKUP($A266,'13. Updated Demand'!A:Z,16,FALSE))</f>
        <v>0</v>
      </c>
      <c r="Z266" s="16">
        <f>IF(ISERROR(VLOOKUP($A266,'13. Updated Demand'!A:Z,17,FALSE)),0,VLOOKUP($A266,'13. Updated Demand'!A:Z,17,FALSE))</f>
        <v>0</v>
      </c>
      <c r="AA266" s="16">
        <f>IF(ISERROR(VLOOKUP($A266,'13. Updated Demand'!A:Z,18,FALSE)),0,VLOOKUP($A266,'13. Updated Demand'!A:Z,18,FALSE))</f>
        <v>0</v>
      </c>
      <c r="AB266" s="16">
        <f>IF(ISERROR(VLOOKUP($A266,'13. Updated Demand'!A:Z,19,FALSE)),0,VLOOKUP($A266,'13. Updated Demand'!A:Z,19,FALSE))</f>
        <v>0</v>
      </c>
      <c r="AC266" s="16">
        <f>IF(ISERROR(VLOOKUP($A266,'13. Updated Demand'!A:Z,20,FALSE)),0,VLOOKUP($A266,'13. Updated Demand'!A:Z,20,FALSE))</f>
        <v>0</v>
      </c>
      <c r="AD266" s="16">
        <f>IF(ISERROR(VLOOKUP($A266,'13. Updated Demand'!A:Z,21,FALSE)),0,VLOOKUP($A266,'13. Updated Demand'!A:Z,21,FALSE))</f>
        <v>0</v>
      </c>
      <c r="AE266" s="16">
        <f>IF(ISERROR(VLOOKUP($A266,'13. Updated Demand'!A:Z,22,FALSE)),0,VLOOKUP($A266,'13. Updated Demand'!A:Z,22,FALSE))</f>
        <v>0</v>
      </c>
      <c r="AF266" s="16">
        <f>IF(ISERROR(VLOOKUP($A266,'13. Updated Demand'!A:Z,23,FALSE)),0,VLOOKUP($A266,'13. Updated Demand'!A:Z,23,FALSE))</f>
        <v>0</v>
      </c>
      <c r="AG266" s="16">
        <f>IF(ISERROR(VLOOKUP($A266,'13. Updated Demand'!A:Z,24,FALSE)),0,VLOOKUP($A266,'13. Updated Demand'!A:Z,24,FALSE))</f>
        <v>0</v>
      </c>
      <c r="AH266" s="16">
        <f>IF(ISERROR(VLOOKUP($A266,'13. Updated Demand'!A:Z,25,FALSE)),0,VLOOKUP($A266,'13. Updated Demand'!A:Z,25,FALSE))</f>
        <v>0</v>
      </c>
      <c r="AI266" s="16">
        <f>IF(ISERROR(VLOOKUP($A266,'13. Updated Demand'!A:Z,26,FALSE)),0,VLOOKUP($A266,'13. Updated Demand'!A:Z,26,FALSE))</f>
        <v>0</v>
      </c>
      <c r="AJ266" s="16">
        <f t="shared" si="48"/>
        <v>0</v>
      </c>
      <c r="AK266" s="19">
        <v>0</v>
      </c>
      <c r="AL266" s="16">
        <f t="shared" si="58"/>
        <v>0</v>
      </c>
      <c r="AM266" s="17">
        <v>0</v>
      </c>
      <c r="AN266" s="19"/>
      <c r="AO266" s="19"/>
      <c r="AP266" s="19">
        <v>160</v>
      </c>
      <c r="AQ266" s="19" t="s">
        <v>307</v>
      </c>
      <c r="AR266" s="9" t="s">
        <v>331</v>
      </c>
      <c r="AS266" s="12">
        <v>0</v>
      </c>
      <c r="AT266" s="19">
        <v>39.185299999999998</v>
      </c>
      <c r="AU266" s="19">
        <v>-123.20050000000001</v>
      </c>
      <c r="AV266" s="19" t="s">
        <v>387</v>
      </c>
    </row>
    <row r="267" spans="1:48" x14ac:dyDescent="0.25">
      <c r="A267" s="18" t="s">
        <v>638</v>
      </c>
      <c r="B267" s="10">
        <v>19991110</v>
      </c>
      <c r="C267" s="9">
        <v>4</v>
      </c>
      <c r="D267" s="8" t="str">
        <f t="shared" si="49"/>
        <v>Y</v>
      </c>
      <c r="E267" s="8" t="str">
        <f t="shared" si="50"/>
        <v>N</v>
      </c>
      <c r="F267" s="8" t="str">
        <f t="shared" si="51"/>
        <v>Y</v>
      </c>
      <c r="G267" s="8" t="str">
        <f t="shared" si="52"/>
        <v>Y</v>
      </c>
      <c r="H267" s="8" t="str">
        <f t="shared" si="53"/>
        <v>Upper</v>
      </c>
      <c r="I267" s="8" t="str">
        <f t="shared" si="54"/>
        <v>West Fork and Below Lake</v>
      </c>
      <c r="J267" s="8" t="str">
        <f t="shared" si="55"/>
        <v>Mendocino (d/s of lake)</v>
      </c>
      <c r="K267" s="8" t="str">
        <f t="shared" si="56"/>
        <v>Post-1949</v>
      </c>
      <c r="L267" s="8">
        <f t="shared" si="57"/>
        <v>1999</v>
      </c>
      <c r="M267" s="8" t="str">
        <f t="shared" si="59"/>
        <v>1991-present</v>
      </c>
      <c r="N267" s="10" t="s">
        <v>242</v>
      </c>
      <c r="O267" s="10" t="s">
        <v>241</v>
      </c>
      <c r="P267" s="10" t="s">
        <v>242</v>
      </c>
      <c r="Q267" s="10" t="s">
        <v>242</v>
      </c>
      <c r="R267" s="10" t="s">
        <v>241</v>
      </c>
      <c r="S267" s="10" t="s">
        <v>242</v>
      </c>
      <c r="T267" s="10" t="s">
        <v>241</v>
      </c>
      <c r="U267" s="10" t="s">
        <v>241</v>
      </c>
      <c r="V267" s="10" t="s">
        <v>241</v>
      </c>
      <c r="W267" s="10" t="s">
        <v>242</v>
      </c>
      <c r="X267" s="15">
        <f>IF(ISERROR(VLOOKUP($A267,'13. Updated Demand'!A:Z,15,FALSE)),0,VLOOKUP($A267,'13. Updated Demand'!A:Z,15,FALSE))</f>
        <v>0</v>
      </c>
      <c r="Y267" s="16">
        <f>IF(ISERROR(VLOOKUP($A267,'13. Updated Demand'!A:Z,16,FALSE)),0,VLOOKUP($A267,'13. Updated Demand'!A:Z,16,FALSE))</f>
        <v>0</v>
      </c>
      <c r="Z267" s="16">
        <f>IF(ISERROR(VLOOKUP($A267,'13. Updated Demand'!A:Z,17,FALSE)),0,VLOOKUP($A267,'13. Updated Demand'!A:Z,17,FALSE))</f>
        <v>0</v>
      </c>
      <c r="AA267" s="16">
        <f>IF(ISERROR(VLOOKUP($A267,'13. Updated Demand'!A:Z,18,FALSE)),0,VLOOKUP($A267,'13. Updated Demand'!A:Z,18,FALSE))</f>
        <v>0</v>
      </c>
      <c r="AB267" s="16">
        <f>IF(ISERROR(VLOOKUP($A267,'13. Updated Demand'!A:Z,19,FALSE)),0,VLOOKUP($A267,'13. Updated Demand'!A:Z,19,FALSE))</f>
        <v>0</v>
      </c>
      <c r="AC267" s="16">
        <f>IF(ISERROR(VLOOKUP($A267,'13. Updated Demand'!A:Z,20,FALSE)),0,VLOOKUP($A267,'13. Updated Demand'!A:Z,20,FALSE))</f>
        <v>0</v>
      </c>
      <c r="AD267" s="16">
        <f>IF(ISERROR(VLOOKUP($A267,'13. Updated Demand'!A:Z,21,FALSE)),0,VLOOKUP($A267,'13. Updated Demand'!A:Z,21,FALSE))</f>
        <v>0</v>
      </c>
      <c r="AE267" s="16">
        <f>IF(ISERROR(VLOOKUP($A267,'13. Updated Demand'!A:Z,22,FALSE)),0,VLOOKUP($A267,'13. Updated Demand'!A:Z,22,FALSE))</f>
        <v>0</v>
      </c>
      <c r="AF267" s="16">
        <f>IF(ISERROR(VLOOKUP($A267,'13. Updated Demand'!A:Z,23,FALSE)),0,VLOOKUP($A267,'13. Updated Demand'!A:Z,23,FALSE))</f>
        <v>0</v>
      </c>
      <c r="AG267" s="16">
        <f>IF(ISERROR(VLOOKUP($A267,'13. Updated Demand'!A:Z,24,FALSE)),0,VLOOKUP($A267,'13. Updated Demand'!A:Z,24,FALSE))</f>
        <v>0</v>
      </c>
      <c r="AH267" s="16">
        <f>IF(ISERROR(VLOOKUP($A267,'13. Updated Demand'!A:Z,25,FALSE)),0,VLOOKUP($A267,'13. Updated Demand'!A:Z,25,FALSE))</f>
        <v>0</v>
      </c>
      <c r="AI267" s="16">
        <f>IF(ISERROR(VLOOKUP($A267,'13. Updated Demand'!A:Z,26,FALSE)),0,VLOOKUP($A267,'13. Updated Demand'!A:Z,26,FALSE))</f>
        <v>0</v>
      </c>
      <c r="AJ267" s="16">
        <f t="shared" si="48"/>
        <v>0</v>
      </c>
      <c r="AK267" s="19">
        <v>0</v>
      </c>
      <c r="AL267" s="16">
        <f t="shared" si="58"/>
        <v>0</v>
      </c>
      <c r="AM267" s="17">
        <v>0</v>
      </c>
      <c r="AN267" s="19"/>
      <c r="AO267" s="19"/>
      <c r="AP267" s="19">
        <v>200</v>
      </c>
      <c r="AQ267" s="19" t="s">
        <v>307</v>
      </c>
      <c r="AR267" s="9" t="s">
        <v>331</v>
      </c>
      <c r="AS267" s="12">
        <v>0</v>
      </c>
      <c r="AT267" s="19">
        <v>39.196300000000001</v>
      </c>
      <c r="AU267" s="19">
        <v>-123.22320000000001</v>
      </c>
      <c r="AV267" s="19" t="s">
        <v>613</v>
      </c>
    </row>
    <row r="268" spans="1:48" x14ac:dyDescent="0.25">
      <c r="A268" s="18" t="s">
        <v>639</v>
      </c>
      <c r="B268" s="10">
        <v>19991110</v>
      </c>
      <c r="C268" s="9">
        <v>4</v>
      </c>
      <c r="D268" s="8" t="str">
        <f t="shared" si="49"/>
        <v>Y</v>
      </c>
      <c r="E268" s="8" t="str">
        <f t="shared" si="50"/>
        <v>N</v>
      </c>
      <c r="F268" s="8" t="str">
        <f t="shared" si="51"/>
        <v>Y</v>
      </c>
      <c r="G268" s="8" t="str">
        <f t="shared" si="52"/>
        <v>Y</v>
      </c>
      <c r="H268" s="8" t="str">
        <f t="shared" si="53"/>
        <v>Upper</v>
      </c>
      <c r="I268" s="8" t="str">
        <f t="shared" si="54"/>
        <v>West Fork and Below Lake</v>
      </c>
      <c r="J268" s="8" t="str">
        <f t="shared" si="55"/>
        <v>Mendocino (d/s of lake)</v>
      </c>
      <c r="K268" s="8" t="str">
        <f t="shared" si="56"/>
        <v>Post-1949</v>
      </c>
      <c r="L268" s="8">
        <f t="shared" si="57"/>
        <v>1999</v>
      </c>
      <c r="M268" s="8" t="str">
        <f t="shared" si="59"/>
        <v>1991-present</v>
      </c>
      <c r="N268" s="10" t="s">
        <v>241</v>
      </c>
      <c r="O268" s="10" t="s">
        <v>241</v>
      </c>
      <c r="P268" s="10" t="s">
        <v>242</v>
      </c>
      <c r="Q268" s="10" t="s">
        <v>242</v>
      </c>
      <c r="R268" s="10" t="s">
        <v>241</v>
      </c>
      <c r="S268" s="10" t="s">
        <v>242</v>
      </c>
      <c r="T268" s="10" t="s">
        <v>241</v>
      </c>
      <c r="U268" s="10" t="s">
        <v>241</v>
      </c>
      <c r="V268" s="10" t="s">
        <v>241</v>
      </c>
      <c r="W268" s="10" t="s">
        <v>242</v>
      </c>
      <c r="X268" s="15">
        <f>IF(ISERROR(VLOOKUP($A268,'13. Updated Demand'!A:Z,15,FALSE)),0,VLOOKUP($A268,'13. Updated Demand'!A:Z,15,FALSE))</f>
        <v>0</v>
      </c>
      <c r="Y268" s="16">
        <f>IF(ISERROR(VLOOKUP($A268,'13. Updated Demand'!A:Z,16,FALSE)),0,VLOOKUP($A268,'13. Updated Demand'!A:Z,16,FALSE))</f>
        <v>0</v>
      </c>
      <c r="Z268" s="16">
        <f>IF(ISERROR(VLOOKUP($A268,'13. Updated Demand'!A:Z,17,FALSE)),0,VLOOKUP($A268,'13. Updated Demand'!A:Z,17,FALSE))</f>
        <v>0</v>
      </c>
      <c r="AA268" s="16">
        <f>IF(ISERROR(VLOOKUP($A268,'13. Updated Demand'!A:Z,18,FALSE)),0,VLOOKUP($A268,'13. Updated Demand'!A:Z,18,FALSE))</f>
        <v>0</v>
      </c>
      <c r="AB268" s="16">
        <f>IF(ISERROR(VLOOKUP($A268,'13. Updated Demand'!A:Z,19,FALSE)),0,VLOOKUP($A268,'13. Updated Demand'!A:Z,19,FALSE))</f>
        <v>0</v>
      </c>
      <c r="AC268" s="16">
        <f>IF(ISERROR(VLOOKUP($A268,'13. Updated Demand'!A:Z,20,FALSE)),0,VLOOKUP($A268,'13. Updated Demand'!A:Z,20,FALSE))</f>
        <v>0</v>
      </c>
      <c r="AD268" s="16">
        <f>IF(ISERROR(VLOOKUP($A268,'13. Updated Demand'!A:Z,21,FALSE)),0,VLOOKUP($A268,'13. Updated Demand'!A:Z,21,FALSE))</f>
        <v>0</v>
      </c>
      <c r="AE268" s="16">
        <f>IF(ISERROR(VLOOKUP($A268,'13. Updated Demand'!A:Z,22,FALSE)),0,VLOOKUP($A268,'13. Updated Demand'!A:Z,22,FALSE))</f>
        <v>0</v>
      </c>
      <c r="AF268" s="16">
        <f>IF(ISERROR(VLOOKUP($A268,'13. Updated Demand'!A:Z,23,FALSE)),0,VLOOKUP($A268,'13. Updated Demand'!A:Z,23,FALSE))</f>
        <v>0</v>
      </c>
      <c r="AG268" s="16">
        <f>IF(ISERROR(VLOOKUP($A268,'13. Updated Demand'!A:Z,24,FALSE)),0,VLOOKUP($A268,'13. Updated Demand'!A:Z,24,FALSE))</f>
        <v>0</v>
      </c>
      <c r="AH268" s="16">
        <f>IF(ISERROR(VLOOKUP($A268,'13. Updated Demand'!A:Z,25,FALSE)),0,VLOOKUP($A268,'13. Updated Demand'!A:Z,25,FALSE))</f>
        <v>0</v>
      </c>
      <c r="AI268" s="16">
        <f>IF(ISERROR(VLOOKUP($A268,'13. Updated Demand'!A:Z,26,FALSE)),0,VLOOKUP($A268,'13. Updated Demand'!A:Z,26,FALSE))</f>
        <v>0</v>
      </c>
      <c r="AJ268" s="16">
        <f t="shared" si="48"/>
        <v>0</v>
      </c>
      <c r="AK268" s="19">
        <v>0</v>
      </c>
      <c r="AL268" s="16">
        <f t="shared" si="58"/>
        <v>0</v>
      </c>
      <c r="AM268" s="17">
        <v>0</v>
      </c>
      <c r="AN268" s="19"/>
      <c r="AO268" s="19"/>
      <c r="AP268" s="19">
        <v>320</v>
      </c>
      <c r="AQ268" s="19" t="s">
        <v>307</v>
      </c>
      <c r="AR268" s="9" t="s">
        <v>331</v>
      </c>
      <c r="AS268" s="12">
        <v>0</v>
      </c>
      <c r="AT268" s="19">
        <v>39.185299999999998</v>
      </c>
      <c r="AU268" s="19">
        <v>-123.20050000000001</v>
      </c>
      <c r="AV268" s="19" t="s">
        <v>387</v>
      </c>
    </row>
    <row r="269" spans="1:48" x14ac:dyDescent="0.25">
      <c r="A269" s="18" t="s">
        <v>640</v>
      </c>
      <c r="B269" s="10">
        <v>19990816</v>
      </c>
      <c r="C269" s="9">
        <v>6</v>
      </c>
      <c r="D269" s="8" t="str">
        <f t="shared" si="49"/>
        <v>Y</v>
      </c>
      <c r="E269" s="8" t="str">
        <f t="shared" si="50"/>
        <v>N</v>
      </c>
      <c r="F269" s="8" t="str">
        <f t="shared" si="51"/>
        <v>Y</v>
      </c>
      <c r="G269" s="8" t="str">
        <f t="shared" si="52"/>
        <v>Y</v>
      </c>
      <c r="H269" s="8" t="str">
        <f t="shared" si="53"/>
        <v>Upper</v>
      </c>
      <c r="I269" s="8" t="str">
        <f t="shared" si="54"/>
        <v>West Fork and Below Lake</v>
      </c>
      <c r="J269" s="8" t="str">
        <f t="shared" si="55"/>
        <v>Mendocino (d/s of lake)</v>
      </c>
      <c r="K269" s="8" t="str">
        <f t="shared" si="56"/>
        <v>Post-1949</v>
      </c>
      <c r="L269" s="8">
        <f t="shared" si="57"/>
        <v>1999</v>
      </c>
      <c r="M269" s="8" t="str">
        <f t="shared" si="59"/>
        <v>1991-present</v>
      </c>
      <c r="N269" s="10" t="s">
        <v>241</v>
      </c>
      <c r="O269" s="10" t="s">
        <v>241</v>
      </c>
      <c r="P269" s="10" t="s">
        <v>242</v>
      </c>
      <c r="Q269" s="10" t="s">
        <v>242</v>
      </c>
      <c r="R269" s="10" t="s">
        <v>241</v>
      </c>
      <c r="S269" s="10" t="s">
        <v>242</v>
      </c>
      <c r="T269" s="10" t="s">
        <v>241</v>
      </c>
      <c r="U269" s="10" t="s">
        <v>241</v>
      </c>
      <c r="V269" s="10" t="s">
        <v>241</v>
      </c>
      <c r="W269" s="10" t="s">
        <v>242</v>
      </c>
      <c r="X269" s="15">
        <f>IF(ISERROR(VLOOKUP($A269,'13. Updated Demand'!A:Z,15,FALSE)),0,VLOOKUP($A269,'13. Updated Demand'!A:Z,15,FALSE))</f>
        <v>0</v>
      </c>
      <c r="Y269" s="16">
        <f>IF(ISERROR(VLOOKUP($A269,'13. Updated Demand'!A:Z,16,FALSE)),0,VLOOKUP($A269,'13. Updated Demand'!A:Z,16,FALSE))</f>
        <v>0</v>
      </c>
      <c r="Z269" s="16">
        <f>IF(ISERROR(VLOOKUP($A269,'13. Updated Demand'!A:Z,17,FALSE)),0,VLOOKUP($A269,'13. Updated Demand'!A:Z,17,FALSE))</f>
        <v>0</v>
      </c>
      <c r="AA269" s="16">
        <f>IF(ISERROR(VLOOKUP($A269,'13. Updated Demand'!A:Z,18,FALSE)),0,VLOOKUP($A269,'13. Updated Demand'!A:Z,18,FALSE))</f>
        <v>0</v>
      </c>
      <c r="AB269" s="16">
        <f>IF(ISERROR(VLOOKUP($A269,'13. Updated Demand'!A:Z,19,FALSE)),0,VLOOKUP($A269,'13. Updated Demand'!A:Z,19,FALSE))</f>
        <v>0</v>
      </c>
      <c r="AC269" s="16">
        <f>IF(ISERROR(VLOOKUP($A269,'13. Updated Demand'!A:Z,20,FALSE)),0,VLOOKUP($A269,'13. Updated Demand'!A:Z,20,FALSE))</f>
        <v>0</v>
      </c>
      <c r="AD269" s="16">
        <f>IF(ISERROR(VLOOKUP($A269,'13. Updated Demand'!A:Z,21,FALSE)),0,VLOOKUP($A269,'13. Updated Demand'!A:Z,21,FALSE))</f>
        <v>0</v>
      </c>
      <c r="AE269" s="16">
        <f>IF(ISERROR(VLOOKUP($A269,'13. Updated Demand'!A:Z,22,FALSE)),0,VLOOKUP($A269,'13. Updated Demand'!A:Z,22,FALSE))</f>
        <v>0</v>
      </c>
      <c r="AF269" s="16">
        <f>IF(ISERROR(VLOOKUP($A269,'13. Updated Demand'!A:Z,23,FALSE)),0,VLOOKUP($A269,'13. Updated Demand'!A:Z,23,FALSE))</f>
        <v>0</v>
      </c>
      <c r="AG269" s="16">
        <f>IF(ISERROR(VLOOKUP($A269,'13. Updated Demand'!A:Z,24,FALSE)),0,VLOOKUP($A269,'13. Updated Demand'!A:Z,24,FALSE))</f>
        <v>0</v>
      </c>
      <c r="AH269" s="16">
        <f>IF(ISERROR(VLOOKUP($A269,'13. Updated Demand'!A:Z,25,FALSE)),0,VLOOKUP($A269,'13. Updated Demand'!A:Z,25,FALSE))</f>
        <v>0</v>
      </c>
      <c r="AI269" s="16">
        <f>IF(ISERROR(VLOOKUP($A269,'13. Updated Demand'!A:Z,26,FALSE)),0,VLOOKUP($A269,'13. Updated Demand'!A:Z,26,FALSE))</f>
        <v>0</v>
      </c>
      <c r="AJ269" s="16">
        <f t="shared" si="48"/>
        <v>0</v>
      </c>
      <c r="AK269" s="19">
        <v>0</v>
      </c>
      <c r="AL269" s="16">
        <f t="shared" si="58"/>
        <v>0</v>
      </c>
      <c r="AM269" s="17">
        <v>0</v>
      </c>
      <c r="AN269" s="19"/>
      <c r="AO269" s="19"/>
      <c r="AP269" s="19">
        <v>160</v>
      </c>
      <c r="AQ269" s="19" t="s">
        <v>307</v>
      </c>
      <c r="AR269" s="9" t="s">
        <v>319</v>
      </c>
      <c r="AS269" s="12">
        <v>0</v>
      </c>
      <c r="AT269" s="19">
        <v>38.993957899999998</v>
      </c>
      <c r="AU269" s="19">
        <v>-123.13170058999999</v>
      </c>
      <c r="AV269" s="19" t="s">
        <v>417</v>
      </c>
    </row>
    <row r="270" spans="1:48" x14ac:dyDescent="0.25">
      <c r="A270" s="18" t="s">
        <v>641</v>
      </c>
      <c r="B270" s="10">
        <v>19990112</v>
      </c>
      <c r="C270" s="9">
        <v>6</v>
      </c>
      <c r="D270" s="8" t="str">
        <f t="shared" si="49"/>
        <v>Y</v>
      </c>
      <c r="E270" s="8" t="str">
        <f t="shared" si="50"/>
        <v>N</v>
      </c>
      <c r="F270" s="8" t="str">
        <f t="shared" si="51"/>
        <v>Y</v>
      </c>
      <c r="G270" s="8" t="str">
        <f t="shared" si="52"/>
        <v>Y</v>
      </c>
      <c r="H270" s="8" t="str">
        <f t="shared" si="53"/>
        <v>Upper</v>
      </c>
      <c r="I270" s="8" t="str">
        <f t="shared" si="54"/>
        <v>West Fork and Below Lake</v>
      </c>
      <c r="J270" s="8" t="str">
        <f t="shared" si="55"/>
        <v>Mendocino (d/s of lake)</v>
      </c>
      <c r="K270" s="8" t="str">
        <f t="shared" si="56"/>
        <v>Post-1949</v>
      </c>
      <c r="L270" s="8">
        <f t="shared" si="57"/>
        <v>1999</v>
      </c>
      <c r="M270" s="8" t="str">
        <f t="shared" si="59"/>
        <v>1991-present</v>
      </c>
      <c r="N270" s="10" t="s">
        <v>242</v>
      </c>
      <c r="O270" s="10" t="s">
        <v>241</v>
      </c>
      <c r="P270" s="10" t="s">
        <v>242</v>
      </c>
      <c r="Q270" s="10" t="s">
        <v>242</v>
      </c>
      <c r="R270" s="10" t="s">
        <v>241</v>
      </c>
      <c r="S270" s="10" t="s">
        <v>242</v>
      </c>
      <c r="T270" s="10" t="s">
        <v>242</v>
      </c>
      <c r="U270" s="10" t="s">
        <v>241</v>
      </c>
      <c r="V270" s="10" t="s">
        <v>241</v>
      </c>
      <c r="W270" s="10" t="s">
        <v>242</v>
      </c>
      <c r="X270" s="15">
        <f>IF(ISERROR(VLOOKUP($A270,'13. Updated Demand'!A:Z,15,FALSE)),0,VLOOKUP($A270,'13. Updated Demand'!A:Z,15,FALSE))</f>
        <v>0</v>
      </c>
      <c r="Y270" s="16">
        <f>IF(ISERROR(VLOOKUP($A270,'13. Updated Demand'!A:Z,16,FALSE)),0,VLOOKUP($A270,'13. Updated Demand'!A:Z,16,FALSE))</f>
        <v>0</v>
      </c>
      <c r="Z270" s="16">
        <f>IF(ISERROR(VLOOKUP($A270,'13. Updated Demand'!A:Z,17,FALSE)),0,VLOOKUP($A270,'13. Updated Demand'!A:Z,17,FALSE))</f>
        <v>0</v>
      </c>
      <c r="AA270" s="16">
        <f>IF(ISERROR(VLOOKUP($A270,'13. Updated Demand'!A:Z,18,FALSE)),0,VLOOKUP($A270,'13. Updated Demand'!A:Z,18,FALSE))</f>
        <v>0</v>
      </c>
      <c r="AB270" s="16">
        <f>IF(ISERROR(VLOOKUP($A270,'13. Updated Demand'!A:Z,19,FALSE)),0,VLOOKUP($A270,'13. Updated Demand'!A:Z,19,FALSE))</f>
        <v>0</v>
      </c>
      <c r="AC270" s="16">
        <f>IF(ISERROR(VLOOKUP($A270,'13. Updated Demand'!A:Z,20,FALSE)),0,VLOOKUP($A270,'13. Updated Demand'!A:Z,20,FALSE))</f>
        <v>0</v>
      </c>
      <c r="AD270" s="16">
        <f>IF(ISERROR(VLOOKUP($A270,'13. Updated Demand'!A:Z,21,FALSE)),0,VLOOKUP($A270,'13. Updated Demand'!A:Z,21,FALSE))</f>
        <v>0</v>
      </c>
      <c r="AE270" s="16">
        <f>IF(ISERROR(VLOOKUP($A270,'13. Updated Demand'!A:Z,22,FALSE)),0,VLOOKUP($A270,'13. Updated Demand'!A:Z,22,FALSE))</f>
        <v>0</v>
      </c>
      <c r="AF270" s="16">
        <f>IF(ISERROR(VLOOKUP($A270,'13. Updated Demand'!A:Z,23,FALSE)),0,VLOOKUP($A270,'13. Updated Demand'!A:Z,23,FALSE))</f>
        <v>0</v>
      </c>
      <c r="AG270" s="16">
        <f>IF(ISERROR(VLOOKUP($A270,'13. Updated Demand'!A:Z,24,FALSE)),0,VLOOKUP($A270,'13. Updated Demand'!A:Z,24,FALSE))</f>
        <v>0</v>
      </c>
      <c r="AH270" s="16">
        <f>IF(ISERROR(VLOOKUP($A270,'13. Updated Demand'!A:Z,25,FALSE)),0,VLOOKUP($A270,'13. Updated Demand'!A:Z,25,FALSE))</f>
        <v>0</v>
      </c>
      <c r="AI270" s="16">
        <f>IF(ISERROR(VLOOKUP($A270,'13. Updated Demand'!A:Z,26,FALSE)),0,VLOOKUP($A270,'13. Updated Demand'!A:Z,26,FALSE))</f>
        <v>0</v>
      </c>
      <c r="AJ270" s="16">
        <f t="shared" si="48"/>
        <v>0</v>
      </c>
      <c r="AK270" s="19">
        <v>0</v>
      </c>
      <c r="AL270" s="16">
        <f t="shared" si="58"/>
        <v>0</v>
      </c>
      <c r="AM270" s="17">
        <v>0</v>
      </c>
      <c r="AN270" s="19"/>
      <c r="AO270" s="19"/>
      <c r="AP270" s="19">
        <v>9.6</v>
      </c>
      <c r="AQ270" s="19" t="s">
        <v>307</v>
      </c>
      <c r="AR270" s="9" t="s">
        <v>319</v>
      </c>
      <c r="AS270" s="12">
        <v>3.4039024194010059E-4</v>
      </c>
      <c r="AT270" s="19">
        <v>38.940561170000002</v>
      </c>
      <c r="AU270" s="19">
        <v>-123.11284694</v>
      </c>
      <c r="AV270" s="19" t="s">
        <v>430</v>
      </c>
    </row>
    <row r="271" spans="1:48" x14ac:dyDescent="0.25">
      <c r="A271" s="18" t="s">
        <v>642</v>
      </c>
      <c r="B271" s="10">
        <v>19990407</v>
      </c>
      <c r="C271" s="9">
        <v>12</v>
      </c>
      <c r="D271" s="8" t="str">
        <f t="shared" si="49"/>
        <v>N</v>
      </c>
      <c r="E271" s="8" t="str">
        <f t="shared" si="50"/>
        <v>Y</v>
      </c>
      <c r="F271" s="8" t="str">
        <f t="shared" si="51"/>
        <v>Y</v>
      </c>
      <c r="G271" s="8" t="str">
        <f t="shared" si="52"/>
        <v>Y</v>
      </c>
      <c r="H271" s="8" t="str">
        <f t="shared" si="53"/>
        <v>Upper</v>
      </c>
      <c r="I271" s="8" t="str">
        <f t="shared" si="54"/>
        <v>West Fork and Below Lake</v>
      </c>
      <c r="J271" s="8" t="str">
        <f t="shared" si="55"/>
        <v>Sonoma (d/s of Clov. Gage)</v>
      </c>
      <c r="K271" s="8" t="str">
        <f t="shared" si="56"/>
        <v>Post-1949</v>
      </c>
      <c r="L271" s="8">
        <f t="shared" si="57"/>
        <v>1999</v>
      </c>
      <c r="M271" s="8" t="str">
        <f t="shared" si="59"/>
        <v>1991-present</v>
      </c>
      <c r="N271" s="10" t="s">
        <v>242</v>
      </c>
      <c r="O271" s="10" t="s">
        <v>241</v>
      </c>
      <c r="P271" s="10" t="s">
        <v>242</v>
      </c>
      <c r="Q271" s="10" t="s">
        <v>242</v>
      </c>
      <c r="R271" s="10" t="s">
        <v>241</v>
      </c>
      <c r="S271" s="10" t="s">
        <v>242</v>
      </c>
      <c r="T271" s="10" t="s">
        <v>242</v>
      </c>
      <c r="U271" s="10" t="s">
        <v>241</v>
      </c>
      <c r="V271" s="10" t="s">
        <v>241</v>
      </c>
      <c r="W271" s="10" t="s">
        <v>242</v>
      </c>
      <c r="X271" s="15">
        <f>IF(ISERROR(VLOOKUP($A271,'13. Updated Demand'!A:Z,15,FALSE)),0,VLOOKUP($A271,'13. Updated Demand'!A:Z,15,FALSE))</f>
        <v>0</v>
      </c>
      <c r="Y271" s="16">
        <f>IF(ISERROR(VLOOKUP($A271,'13. Updated Demand'!A:Z,16,FALSE)),0,VLOOKUP($A271,'13. Updated Demand'!A:Z,16,FALSE))</f>
        <v>0</v>
      </c>
      <c r="Z271" s="16">
        <f>IF(ISERROR(VLOOKUP($A271,'13. Updated Demand'!A:Z,17,FALSE)),0,VLOOKUP($A271,'13. Updated Demand'!A:Z,17,FALSE))</f>
        <v>0</v>
      </c>
      <c r="AA271" s="16">
        <f>IF(ISERROR(VLOOKUP($A271,'13. Updated Demand'!A:Z,18,FALSE)),0,VLOOKUP($A271,'13. Updated Demand'!A:Z,18,FALSE))</f>
        <v>0</v>
      </c>
      <c r="AB271" s="16">
        <f>IF(ISERROR(VLOOKUP($A271,'13. Updated Demand'!A:Z,19,FALSE)),0,VLOOKUP($A271,'13. Updated Demand'!A:Z,19,FALSE))</f>
        <v>0</v>
      </c>
      <c r="AC271" s="16">
        <f>IF(ISERROR(VLOOKUP($A271,'13. Updated Demand'!A:Z,20,FALSE)),0,VLOOKUP($A271,'13. Updated Demand'!A:Z,20,FALSE))</f>
        <v>0</v>
      </c>
      <c r="AD271" s="16">
        <f>IF(ISERROR(VLOOKUP($A271,'13. Updated Demand'!A:Z,21,FALSE)),0,VLOOKUP($A271,'13. Updated Demand'!A:Z,21,FALSE))</f>
        <v>0</v>
      </c>
      <c r="AE271" s="16">
        <f>IF(ISERROR(VLOOKUP($A271,'13. Updated Demand'!A:Z,22,FALSE)),0,VLOOKUP($A271,'13. Updated Demand'!A:Z,22,FALSE))</f>
        <v>0</v>
      </c>
      <c r="AF271" s="16">
        <f>IF(ISERROR(VLOOKUP($A271,'13. Updated Demand'!A:Z,23,FALSE)),0,VLOOKUP($A271,'13. Updated Demand'!A:Z,23,FALSE))</f>
        <v>0</v>
      </c>
      <c r="AG271" s="16">
        <f>IF(ISERROR(VLOOKUP($A271,'13. Updated Demand'!A:Z,24,FALSE)),0,VLOOKUP($A271,'13. Updated Demand'!A:Z,24,FALSE))</f>
        <v>0</v>
      </c>
      <c r="AH271" s="16">
        <f>IF(ISERROR(VLOOKUP($A271,'13. Updated Demand'!A:Z,25,FALSE)),0,VLOOKUP($A271,'13. Updated Demand'!A:Z,25,FALSE))</f>
        <v>0</v>
      </c>
      <c r="AI271" s="16">
        <f>IF(ISERROR(VLOOKUP($A271,'13. Updated Demand'!A:Z,26,FALSE)),0,VLOOKUP($A271,'13. Updated Demand'!A:Z,26,FALSE))</f>
        <v>0</v>
      </c>
      <c r="AJ271" s="16">
        <f t="shared" si="48"/>
        <v>0</v>
      </c>
      <c r="AK271" s="19">
        <v>0</v>
      </c>
      <c r="AL271" s="16">
        <f t="shared" si="58"/>
        <v>0</v>
      </c>
      <c r="AM271" s="17">
        <v>0</v>
      </c>
      <c r="AN271" s="19"/>
      <c r="AO271" s="19"/>
      <c r="AP271" s="19">
        <v>5.6</v>
      </c>
      <c r="AQ271" s="19" t="s">
        <v>307</v>
      </c>
      <c r="AR271" s="9" t="s">
        <v>311</v>
      </c>
      <c r="AS271" s="12">
        <v>3.4039024194010059E-4</v>
      </c>
      <c r="AT271" s="19">
        <v>38.567399999999999</v>
      </c>
      <c r="AU271" s="19">
        <v>-122.64790000000001</v>
      </c>
      <c r="AV271" s="19" t="s">
        <v>417</v>
      </c>
    </row>
    <row r="272" spans="1:48" x14ac:dyDescent="0.25">
      <c r="A272" s="18" t="s">
        <v>643</v>
      </c>
      <c r="B272" s="10">
        <v>19990414</v>
      </c>
      <c r="C272" s="9">
        <v>12</v>
      </c>
      <c r="D272" s="8" t="str">
        <f t="shared" si="49"/>
        <v>N</v>
      </c>
      <c r="E272" s="8" t="str">
        <f t="shared" si="50"/>
        <v>Y</v>
      </c>
      <c r="F272" s="8" t="str">
        <f t="shared" si="51"/>
        <v>Y</v>
      </c>
      <c r="G272" s="8" t="str">
        <f t="shared" si="52"/>
        <v>Y</v>
      </c>
      <c r="H272" s="8" t="str">
        <f t="shared" si="53"/>
        <v>Upper</v>
      </c>
      <c r="I272" s="8" t="str">
        <f t="shared" si="54"/>
        <v>West Fork and Below Lake</v>
      </c>
      <c r="J272" s="8" t="str">
        <f t="shared" si="55"/>
        <v>Sonoma (d/s of Clov. Gage)</v>
      </c>
      <c r="K272" s="8" t="str">
        <f t="shared" si="56"/>
        <v>Post-1949</v>
      </c>
      <c r="L272" s="8">
        <f t="shared" si="57"/>
        <v>1999</v>
      </c>
      <c r="M272" s="8" t="str">
        <f t="shared" si="59"/>
        <v>1991-present</v>
      </c>
      <c r="N272" s="10" t="s">
        <v>242</v>
      </c>
      <c r="O272" s="10" t="s">
        <v>241</v>
      </c>
      <c r="P272" s="10" t="s">
        <v>242</v>
      </c>
      <c r="Q272" s="10" t="s">
        <v>242</v>
      </c>
      <c r="R272" s="10" t="s">
        <v>241</v>
      </c>
      <c r="S272" s="10" t="s">
        <v>242</v>
      </c>
      <c r="T272" s="10" t="s">
        <v>242</v>
      </c>
      <c r="U272" s="10" t="s">
        <v>241</v>
      </c>
      <c r="V272" s="10" t="s">
        <v>241</v>
      </c>
      <c r="W272" s="10" t="s">
        <v>242</v>
      </c>
      <c r="X272" s="15">
        <f>IF(ISERROR(VLOOKUP($A272,'13. Updated Demand'!A:Z,15,FALSE)),0,VLOOKUP($A272,'13. Updated Demand'!A:Z,15,FALSE))</f>
        <v>0</v>
      </c>
      <c r="Y272" s="16">
        <f>IF(ISERROR(VLOOKUP($A272,'13. Updated Demand'!A:Z,16,FALSE)),0,VLOOKUP($A272,'13. Updated Demand'!A:Z,16,FALSE))</f>
        <v>0</v>
      </c>
      <c r="Z272" s="16">
        <f>IF(ISERROR(VLOOKUP($A272,'13. Updated Demand'!A:Z,17,FALSE)),0,VLOOKUP($A272,'13. Updated Demand'!A:Z,17,FALSE))</f>
        <v>0</v>
      </c>
      <c r="AA272" s="16">
        <f>IF(ISERROR(VLOOKUP($A272,'13. Updated Demand'!A:Z,18,FALSE)),0,VLOOKUP($A272,'13. Updated Demand'!A:Z,18,FALSE))</f>
        <v>0</v>
      </c>
      <c r="AB272" s="16">
        <f>IF(ISERROR(VLOOKUP($A272,'13. Updated Demand'!A:Z,19,FALSE)),0,VLOOKUP($A272,'13. Updated Demand'!A:Z,19,FALSE))</f>
        <v>0</v>
      </c>
      <c r="AC272" s="16">
        <f>IF(ISERROR(VLOOKUP($A272,'13. Updated Demand'!A:Z,20,FALSE)),0,VLOOKUP($A272,'13. Updated Demand'!A:Z,20,FALSE))</f>
        <v>0</v>
      </c>
      <c r="AD272" s="16">
        <f>IF(ISERROR(VLOOKUP($A272,'13. Updated Demand'!A:Z,21,FALSE)),0,VLOOKUP($A272,'13. Updated Demand'!A:Z,21,FALSE))</f>
        <v>0</v>
      </c>
      <c r="AE272" s="16">
        <f>IF(ISERROR(VLOOKUP($A272,'13. Updated Demand'!A:Z,22,FALSE)),0,VLOOKUP($A272,'13. Updated Demand'!A:Z,22,FALSE))</f>
        <v>0</v>
      </c>
      <c r="AF272" s="16">
        <f>IF(ISERROR(VLOOKUP($A272,'13. Updated Demand'!A:Z,23,FALSE)),0,VLOOKUP($A272,'13. Updated Demand'!A:Z,23,FALSE))</f>
        <v>0</v>
      </c>
      <c r="AG272" s="16">
        <f>IF(ISERROR(VLOOKUP($A272,'13. Updated Demand'!A:Z,24,FALSE)),0,VLOOKUP($A272,'13. Updated Demand'!A:Z,24,FALSE))</f>
        <v>0</v>
      </c>
      <c r="AH272" s="16">
        <f>IF(ISERROR(VLOOKUP($A272,'13. Updated Demand'!A:Z,25,FALSE)),0,VLOOKUP($A272,'13. Updated Demand'!A:Z,25,FALSE))</f>
        <v>0</v>
      </c>
      <c r="AI272" s="16">
        <f>IF(ISERROR(VLOOKUP($A272,'13. Updated Demand'!A:Z,26,FALSE)),0,VLOOKUP($A272,'13. Updated Demand'!A:Z,26,FALSE))</f>
        <v>0</v>
      </c>
      <c r="AJ272" s="16">
        <f t="shared" ref="AJ272:AJ335" si="60">SUM(X272:AI272)</f>
        <v>0</v>
      </c>
      <c r="AK272" s="19">
        <v>0</v>
      </c>
      <c r="AL272" s="16">
        <f t="shared" si="58"/>
        <v>0</v>
      </c>
      <c r="AM272" s="17">
        <v>0</v>
      </c>
      <c r="AN272" s="19"/>
      <c r="AO272" s="19"/>
      <c r="AP272" s="19">
        <v>1.7</v>
      </c>
      <c r="AQ272" s="19" t="s">
        <v>307</v>
      </c>
      <c r="AR272" s="9" t="s">
        <v>311</v>
      </c>
      <c r="AS272" s="12">
        <v>3.4039024194010059E-4</v>
      </c>
      <c r="AT272" s="19">
        <v>38.582447870000003</v>
      </c>
      <c r="AU272" s="19">
        <v>-122.69742802</v>
      </c>
      <c r="AV272" s="19" t="s">
        <v>417</v>
      </c>
    </row>
    <row r="273" spans="1:48" x14ac:dyDescent="0.25">
      <c r="A273" s="18" t="s">
        <v>644</v>
      </c>
      <c r="B273" s="10">
        <v>19990806</v>
      </c>
      <c r="C273" s="9">
        <v>1</v>
      </c>
      <c r="D273" s="8" t="str">
        <f t="shared" si="49"/>
        <v>N</v>
      </c>
      <c r="E273" s="8" t="str">
        <f t="shared" si="50"/>
        <v>N</v>
      </c>
      <c r="F273" s="8" t="str">
        <f t="shared" si="51"/>
        <v>Y</v>
      </c>
      <c r="G273" s="8" t="str">
        <f t="shared" si="52"/>
        <v>Y</v>
      </c>
      <c r="H273" s="8" t="str">
        <f t="shared" si="53"/>
        <v>Upper</v>
      </c>
      <c r="I273" s="8" t="str">
        <f t="shared" si="54"/>
        <v>West Fork and Below Lake</v>
      </c>
      <c r="J273" s="8" t="str">
        <f t="shared" si="55"/>
        <v>Outside</v>
      </c>
      <c r="K273" s="8" t="str">
        <f t="shared" si="56"/>
        <v>Post-1949</v>
      </c>
      <c r="L273" s="8">
        <f t="shared" si="57"/>
        <v>1999</v>
      </c>
      <c r="M273" s="8" t="str">
        <f t="shared" si="59"/>
        <v>1991-present</v>
      </c>
      <c r="N273" s="10" t="s">
        <v>242</v>
      </c>
      <c r="O273" s="10" t="s">
        <v>241</v>
      </c>
      <c r="P273" s="10" t="s">
        <v>242</v>
      </c>
      <c r="Q273" s="10" t="s">
        <v>242</v>
      </c>
      <c r="R273" s="10" t="s">
        <v>241</v>
      </c>
      <c r="S273" s="10" t="s">
        <v>242</v>
      </c>
      <c r="T273" s="10" t="s">
        <v>242</v>
      </c>
      <c r="U273" s="10" t="s">
        <v>242</v>
      </c>
      <c r="V273" s="10" t="s">
        <v>241</v>
      </c>
      <c r="W273" s="10" t="s">
        <v>242</v>
      </c>
      <c r="X273" s="15">
        <f>IF(ISERROR(VLOOKUP($A273,'13. Updated Demand'!A:Z,15,FALSE)),0,VLOOKUP($A273,'13. Updated Demand'!A:Z,15,FALSE))</f>
        <v>0.18</v>
      </c>
      <c r="Y273" s="16">
        <f>IF(ISERROR(VLOOKUP($A273,'13. Updated Demand'!A:Z,16,FALSE)),0,VLOOKUP($A273,'13. Updated Demand'!A:Z,16,FALSE))</f>
        <v>0.17</v>
      </c>
      <c r="Z273" s="16">
        <f>IF(ISERROR(VLOOKUP($A273,'13. Updated Demand'!A:Z,17,FALSE)),0,VLOOKUP($A273,'13. Updated Demand'!A:Z,17,FALSE))</f>
        <v>0.13</v>
      </c>
      <c r="AA273" s="16">
        <f>IF(ISERROR(VLOOKUP($A273,'13. Updated Demand'!A:Z,18,FALSE)),0,VLOOKUP($A273,'13. Updated Demand'!A:Z,18,FALSE))</f>
        <v>0.01</v>
      </c>
      <c r="AB273" s="16">
        <f>IF(ISERROR(VLOOKUP($A273,'13. Updated Demand'!A:Z,19,FALSE)),0,VLOOKUP($A273,'13. Updated Demand'!A:Z,19,FALSE))</f>
        <v>0</v>
      </c>
      <c r="AC273" s="16">
        <f>IF(ISERROR(VLOOKUP($A273,'13. Updated Demand'!A:Z,20,FALSE)),0,VLOOKUP($A273,'13. Updated Demand'!A:Z,20,FALSE))</f>
        <v>0</v>
      </c>
      <c r="AD273" s="16">
        <f>IF(ISERROR(VLOOKUP($A273,'13. Updated Demand'!A:Z,21,FALSE)),0,VLOOKUP($A273,'13. Updated Demand'!A:Z,21,FALSE))</f>
        <v>0</v>
      </c>
      <c r="AE273" s="16">
        <f>IF(ISERROR(VLOOKUP($A273,'13. Updated Demand'!A:Z,22,FALSE)),0,VLOOKUP($A273,'13. Updated Demand'!A:Z,22,FALSE))</f>
        <v>0</v>
      </c>
      <c r="AF273" s="16">
        <f>IF(ISERROR(VLOOKUP($A273,'13. Updated Demand'!A:Z,23,FALSE)),0,VLOOKUP($A273,'13. Updated Demand'!A:Z,23,FALSE))</f>
        <v>0</v>
      </c>
      <c r="AG273" s="16">
        <f>IF(ISERROR(VLOOKUP($A273,'13. Updated Demand'!A:Z,24,FALSE)),0,VLOOKUP($A273,'13. Updated Demand'!A:Z,24,FALSE))</f>
        <v>7.0000000000000007E-2</v>
      </c>
      <c r="AH273" s="16">
        <f>IF(ISERROR(VLOOKUP($A273,'13. Updated Demand'!A:Z,25,FALSE)),0,VLOOKUP($A273,'13. Updated Demand'!A:Z,25,FALSE))</f>
        <v>0.17</v>
      </c>
      <c r="AI273" s="16">
        <f>IF(ISERROR(VLOOKUP($A273,'13. Updated Demand'!A:Z,26,FALSE)),0,VLOOKUP($A273,'13. Updated Demand'!A:Z,26,FALSE))</f>
        <v>0.2</v>
      </c>
      <c r="AJ273" s="16">
        <f t="shared" si="60"/>
        <v>0.93000000000000016</v>
      </c>
      <c r="AK273" s="19">
        <v>0</v>
      </c>
      <c r="AL273" s="16">
        <f t="shared" si="58"/>
        <v>0</v>
      </c>
      <c r="AM273" s="17">
        <v>9.5333333333333381E-2</v>
      </c>
      <c r="AN273" s="19"/>
      <c r="AO273" s="19"/>
      <c r="AP273" s="19">
        <v>10</v>
      </c>
      <c r="AQ273" s="19" t="s">
        <v>307</v>
      </c>
      <c r="AR273" s="9" t="s">
        <v>317</v>
      </c>
      <c r="AS273" s="12">
        <v>3.4039024194010059E-4</v>
      </c>
      <c r="AT273" s="19">
        <v>39.244117240000001</v>
      </c>
      <c r="AU273" s="19">
        <v>-123.31219872</v>
      </c>
      <c r="AV273" s="19" t="s">
        <v>417</v>
      </c>
    </row>
    <row r="274" spans="1:48" x14ac:dyDescent="0.25">
      <c r="A274" s="18" t="s">
        <v>645</v>
      </c>
      <c r="B274" s="10">
        <v>19991122</v>
      </c>
      <c r="C274" s="9">
        <v>1</v>
      </c>
      <c r="D274" s="8" t="str">
        <f t="shared" si="49"/>
        <v>N</v>
      </c>
      <c r="E274" s="8" t="str">
        <f t="shared" si="50"/>
        <v>N</v>
      </c>
      <c r="F274" s="8" t="str">
        <f t="shared" si="51"/>
        <v>Y</v>
      </c>
      <c r="G274" s="8" t="str">
        <f t="shared" si="52"/>
        <v>Y</v>
      </c>
      <c r="H274" s="8" t="str">
        <f t="shared" si="53"/>
        <v>Upper</v>
      </c>
      <c r="I274" s="8" t="str">
        <f t="shared" si="54"/>
        <v>West Fork and Below Lake</v>
      </c>
      <c r="J274" s="8" t="str">
        <f t="shared" si="55"/>
        <v>Outside</v>
      </c>
      <c r="K274" s="8" t="str">
        <f t="shared" si="56"/>
        <v>Post-1949</v>
      </c>
      <c r="L274" s="8">
        <f t="shared" si="57"/>
        <v>1999</v>
      </c>
      <c r="M274" s="8" t="str">
        <f t="shared" si="59"/>
        <v>1991-present</v>
      </c>
      <c r="N274" s="10" t="s">
        <v>242</v>
      </c>
      <c r="O274" s="10" t="s">
        <v>241</v>
      </c>
      <c r="P274" s="10" t="s">
        <v>242</v>
      </c>
      <c r="Q274" s="10" t="s">
        <v>242</v>
      </c>
      <c r="R274" s="10" t="s">
        <v>241</v>
      </c>
      <c r="S274" s="10" t="s">
        <v>242</v>
      </c>
      <c r="T274" s="10" t="s">
        <v>242</v>
      </c>
      <c r="U274" s="10" t="s">
        <v>242</v>
      </c>
      <c r="V274" s="10" t="s">
        <v>242</v>
      </c>
      <c r="W274" s="10" t="s">
        <v>242</v>
      </c>
      <c r="X274" s="15">
        <f>IF(ISERROR(VLOOKUP($A274,'13. Updated Demand'!A:Z,15,FALSE)),0,VLOOKUP($A274,'13. Updated Demand'!A:Z,15,FALSE))</f>
        <v>0</v>
      </c>
      <c r="Y274" s="16">
        <f>IF(ISERROR(VLOOKUP($A274,'13. Updated Demand'!A:Z,16,FALSE)),0,VLOOKUP($A274,'13. Updated Demand'!A:Z,16,FALSE))</f>
        <v>0</v>
      </c>
      <c r="Z274" s="16">
        <f>IF(ISERROR(VLOOKUP($A274,'13. Updated Demand'!A:Z,17,FALSE)),0,VLOOKUP($A274,'13. Updated Demand'!A:Z,17,FALSE))</f>
        <v>0</v>
      </c>
      <c r="AA274" s="16">
        <f>IF(ISERROR(VLOOKUP($A274,'13. Updated Demand'!A:Z,18,FALSE)),0,VLOOKUP($A274,'13. Updated Demand'!A:Z,18,FALSE))</f>
        <v>0.33</v>
      </c>
      <c r="AB274" s="16">
        <f>IF(ISERROR(VLOOKUP($A274,'13. Updated Demand'!A:Z,19,FALSE)),0,VLOOKUP($A274,'13. Updated Demand'!A:Z,19,FALSE))</f>
        <v>0.33</v>
      </c>
      <c r="AC274" s="16">
        <f>IF(ISERROR(VLOOKUP($A274,'13. Updated Demand'!A:Z,20,FALSE)),0,VLOOKUP($A274,'13. Updated Demand'!A:Z,20,FALSE))</f>
        <v>0.33</v>
      </c>
      <c r="AD274" s="16">
        <f>IF(ISERROR(VLOOKUP($A274,'13. Updated Demand'!A:Z,21,FALSE)),0,VLOOKUP($A274,'13. Updated Demand'!A:Z,21,FALSE))</f>
        <v>0.33</v>
      </c>
      <c r="AE274" s="16">
        <f>IF(ISERROR(VLOOKUP($A274,'13. Updated Demand'!A:Z,22,FALSE)),0,VLOOKUP($A274,'13. Updated Demand'!A:Z,22,FALSE))</f>
        <v>0.33</v>
      </c>
      <c r="AF274" s="16">
        <f>IF(ISERROR(VLOOKUP($A274,'13. Updated Demand'!A:Z,23,FALSE)),0,VLOOKUP($A274,'13. Updated Demand'!A:Z,23,FALSE))</f>
        <v>0.33</v>
      </c>
      <c r="AG274" s="16">
        <f>IF(ISERROR(VLOOKUP($A274,'13. Updated Demand'!A:Z,24,FALSE)),0,VLOOKUP($A274,'13. Updated Demand'!A:Z,24,FALSE))</f>
        <v>0.33</v>
      </c>
      <c r="AH274" s="16">
        <f>IF(ISERROR(VLOOKUP($A274,'13. Updated Demand'!A:Z,25,FALSE)),0,VLOOKUP($A274,'13. Updated Demand'!A:Z,25,FALSE))</f>
        <v>0</v>
      </c>
      <c r="AI274" s="16">
        <f>IF(ISERROR(VLOOKUP($A274,'13. Updated Demand'!A:Z,26,FALSE)),0,VLOOKUP($A274,'13. Updated Demand'!A:Z,26,FALSE))</f>
        <v>0</v>
      </c>
      <c r="AJ274" s="16">
        <f t="shared" si="60"/>
        <v>2.31</v>
      </c>
      <c r="AK274" s="19">
        <v>1.6666666650000002</v>
      </c>
      <c r="AL274" s="16">
        <f t="shared" si="58"/>
        <v>5.5281434766310386E-3</v>
      </c>
      <c r="AM274" s="17">
        <v>0.31531531500000004</v>
      </c>
      <c r="AN274" s="19"/>
      <c r="AO274" s="19"/>
      <c r="AP274" s="19">
        <v>7.4</v>
      </c>
      <c r="AQ274" s="19" t="s">
        <v>307</v>
      </c>
      <c r="AR274" s="9" t="s">
        <v>317</v>
      </c>
      <c r="AS274" s="12">
        <v>3.4039024194010059E-4</v>
      </c>
      <c r="AT274" s="19">
        <v>39.278562999999998</v>
      </c>
      <c r="AU274" s="19">
        <v>-123.17116265</v>
      </c>
      <c r="AV274" s="19" t="s">
        <v>417</v>
      </c>
    </row>
    <row r="275" spans="1:48" x14ac:dyDescent="0.25">
      <c r="A275" s="18" t="s">
        <v>646</v>
      </c>
      <c r="B275" s="10">
        <v>19990617</v>
      </c>
      <c r="C275" s="9">
        <v>11</v>
      </c>
      <c r="D275" s="8" t="str">
        <f t="shared" si="49"/>
        <v>N</v>
      </c>
      <c r="E275" s="8" t="str">
        <f t="shared" si="50"/>
        <v>Y</v>
      </c>
      <c r="F275" s="8" t="str">
        <f t="shared" si="51"/>
        <v>Y</v>
      </c>
      <c r="G275" s="8" t="str">
        <f t="shared" si="52"/>
        <v>Y</v>
      </c>
      <c r="H275" s="8" t="str">
        <f t="shared" si="53"/>
        <v>Upper</v>
      </c>
      <c r="I275" s="8" t="str">
        <f t="shared" si="54"/>
        <v>West Fork and Below Lake</v>
      </c>
      <c r="J275" s="8" t="str">
        <f t="shared" si="55"/>
        <v>Sonoma (d/s of Clov. Gage)</v>
      </c>
      <c r="K275" s="8" t="str">
        <f t="shared" si="56"/>
        <v>Post-1949</v>
      </c>
      <c r="L275" s="8">
        <f t="shared" si="57"/>
        <v>1999</v>
      </c>
      <c r="M275" s="8" t="str">
        <f t="shared" si="59"/>
        <v>1991-present</v>
      </c>
      <c r="N275" s="10" t="s">
        <v>242</v>
      </c>
      <c r="O275" s="10" t="s">
        <v>241</v>
      </c>
      <c r="P275" s="10" t="s">
        <v>242</v>
      </c>
      <c r="Q275" s="10" t="s">
        <v>242</v>
      </c>
      <c r="R275" s="10" t="s">
        <v>241</v>
      </c>
      <c r="S275" s="10" t="s">
        <v>242</v>
      </c>
      <c r="T275" s="10" t="s">
        <v>242</v>
      </c>
      <c r="U275" s="10" t="s">
        <v>242</v>
      </c>
      <c r="V275" s="10" t="s">
        <v>242</v>
      </c>
      <c r="W275" s="10" t="s">
        <v>242</v>
      </c>
      <c r="X275" s="15">
        <f>IF(ISERROR(VLOOKUP($A275,'13. Updated Demand'!A:Z,15,FALSE)),0,VLOOKUP($A275,'13. Updated Demand'!A:Z,15,FALSE))</f>
        <v>0.4</v>
      </c>
      <c r="Y275" s="16">
        <f>IF(ISERROR(VLOOKUP($A275,'13. Updated Demand'!A:Z,16,FALSE)),0,VLOOKUP($A275,'13. Updated Demand'!A:Z,16,FALSE))</f>
        <v>0.38</v>
      </c>
      <c r="Z275" s="16">
        <f>IF(ISERROR(VLOOKUP($A275,'13. Updated Demand'!A:Z,17,FALSE)),0,VLOOKUP($A275,'13. Updated Demand'!A:Z,17,FALSE))</f>
        <v>0.26</v>
      </c>
      <c r="AA275" s="16">
        <f>IF(ISERROR(VLOOKUP($A275,'13. Updated Demand'!A:Z,18,FALSE)),0,VLOOKUP($A275,'13. Updated Demand'!A:Z,18,FALSE))</f>
        <v>0.47</v>
      </c>
      <c r="AB275" s="16">
        <f>IF(ISERROR(VLOOKUP($A275,'13. Updated Demand'!A:Z,19,FALSE)),0,VLOOKUP($A275,'13. Updated Demand'!A:Z,19,FALSE))</f>
        <v>0.25</v>
      </c>
      <c r="AC275" s="16">
        <f>IF(ISERROR(VLOOKUP($A275,'13. Updated Demand'!A:Z,20,FALSE)),0,VLOOKUP($A275,'13. Updated Demand'!A:Z,20,FALSE))</f>
        <v>0.27</v>
      </c>
      <c r="AD275" s="16">
        <f>IF(ISERROR(VLOOKUP($A275,'13. Updated Demand'!A:Z,21,FALSE)),0,VLOOKUP($A275,'13. Updated Demand'!A:Z,21,FALSE))</f>
        <v>0.33</v>
      </c>
      <c r="AE275" s="16">
        <f>IF(ISERROR(VLOOKUP($A275,'13. Updated Demand'!A:Z,22,FALSE)),0,VLOOKUP($A275,'13. Updated Demand'!A:Z,22,FALSE))</f>
        <v>0.39</v>
      </c>
      <c r="AF275" s="16">
        <f>IF(ISERROR(VLOOKUP($A275,'13. Updated Demand'!A:Z,23,FALSE)),0,VLOOKUP($A275,'13. Updated Demand'!A:Z,23,FALSE))</f>
        <v>0.37</v>
      </c>
      <c r="AG275" s="16">
        <f>IF(ISERROR(VLOOKUP($A275,'13. Updated Demand'!A:Z,24,FALSE)),0,VLOOKUP($A275,'13. Updated Demand'!A:Z,24,FALSE))</f>
        <v>0.28000000000000003</v>
      </c>
      <c r="AH275" s="16">
        <f>IF(ISERROR(VLOOKUP($A275,'13. Updated Demand'!A:Z,25,FALSE)),0,VLOOKUP($A275,'13. Updated Demand'!A:Z,25,FALSE))</f>
        <v>0.23</v>
      </c>
      <c r="AI275" s="16">
        <f>IF(ISERROR(VLOOKUP($A275,'13. Updated Demand'!A:Z,26,FALSE)),0,VLOOKUP($A275,'13. Updated Demand'!A:Z,26,FALSE))</f>
        <v>0.23</v>
      </c>
      <c r="AJ275" s="16">
        <f t="shared" si="60"/>
        <v>3.8600000000000003</v>
      </c>
      <c r="AK275" s="19">
        <v>1.62</v>
      </c>
      <c r="AL275" s="16">
        <f t="shared" si="58"/>
        <v>5.3733554646587254E-3</v>
      </c>
      <c r="AM275" s="17">
        <v>0.948780487804878</v>
      </c>
      <c r="AN275" s="19"/>
      <c r="AO275" s="19"/>
      <c r="AP275" s="19">
        <v>4.0999999999999996</v>
      </c>
      <c r="AQ275" s="19" t="s">
        <v>307</v>
      </c>
      <c r="AR275" s="9" t="s">
        <v>308</v>
      </c>
      <c r="AS275" s="12">
        <v>3.4039024194010059E-4</v>
      </c>
      <c r="AT275" s="19">
        <v>38.684100000000001</v>
      </c>
      <c r="AU275" s="19">
        <v>-122.6571</v>
      </c>
      <c r="AV275" s="19" t="s">
        <v>417</v>
      </c>
    </row>
    <row r="276" spans="1:48" x14ac:dyDescent="0.25">
      <c r="A276" s="18" t="s">
        <v>647</v>
      </c>
      <c r="B276" s="10">
        <v>19980129</v>
      </c>
      <c r="C276" s="9">
        <v>1</v>
      </c>
      <c r="D276" s="8" t="str">
        <f t="shared" si="49"/>
        <v>N</v>
      </c>
      <c r="E276" s="8" t="str">
        <f t="shared" si="50"/>
        <v>N</v>
      </c>
      <c r="F276" s="8" t="str">
        <f t="shared" si="51"/>
        <v>Y</v>
      </c>
      <c r="G276" s="8" t="str">
        <f t="shared" si="52"/>
        <v>Y</v>
      </c>
      <c r="H276" s="8" t="str">
        <f t="shared" si="53"/>
        <v>Upper</v>
      </c>
      <c r="I276" s="8" t="str">
        <f t="shared" si="54"/>
        <v>West Fork and Below Lake</v>
      </c>
      <c r="J276" s="8" t="str">
        <f t="shared" si="55"/>
        <v>Outside</v>
      </c>
      <c r="K276" s="8" t="str">
        <f t="shared" si="56"/>
        <v>Post-1949</v>
      </c>
      <c r="L276" s="8">
        <f t="shared" si="57"/>
        <v>1998</v>
      </c>
      <c r="M276" s="8" t="str">
        <f t="shared" si="59"/>
        <v>1991-present</v>
      </c>
      <c r="N276" s="10" t="s">
        <v>242</v>
      </c>
      <c r="O276" s="10" t="s">
        <v>241</v>
      </c>
      <c r="P276" s="10" t="s">
        <v>242</v>
      </c>
      <c r="Q276" s="10" t="s">
        <v>242</v>
      </c>
      <c r="R276" s="10" t="s">
        <v>241</v>
      </c>
      <c r="S276" s="10" t="s">
        <v>242</v>
      </c>
      <c r="T276" s="10" t="s">
        <v>241</v>
      </c>
      <c r="U276" s="10" t="s">
        <v>241</v>
      </c>
      <c r="V276" s="10" t="s">
        <v>241</v>
      </c>
      <c r="W276" s="10" t="s">
        <v>242</v>
      </c>
      <c r="X276" s="15">
        <f>IF(ISERROR(VLOOKUP($A276,'13. Updated Demand'!A:Z,15,FALSE)),0,VLOOKUP($A276,'13. Updated Demand'!A:Z,15,FALSE))</f>
        <v>0</v>
      </c>
      <c r="Y276" s="16">
        <f>IF(ISERROR(VLOOKUP($A276,'13. Updated Demand'!A:Z,16,FALSE)),0,VLOOKUP($A276,'13. Updated Demand'!A:Z,16,FALSE))</f>
        <v>0</v>
      </c>
      <c r="Z276" s="16">
        <f>IF(ISERROR(VLOOKUP($A276,'13. Updated Demand'!A:Z,17,FALSE)),0,VLOOKUP($A276,'13. Updated Demand'!A:Z,17,FALSE))</f>
        <v>0</v>
      </c>
      <c r="AA276" s="16">
        <f>IF(ISERROR(VLOOKUP($A276,'13. Updated Demand'!A:Z,18,FALSE)),0,VLOOKUP($A276,'13. Updated Demand'!A:Z,18,FALSE))</f>
        <v>0</v>
      </c>
      <c r="AB276" s="16">
        <f>IF(ISERROR(VLOOKUP($A276,'13. Updated Demand'!A:Z,19,FALSE)),0,VLOOKUP($A276,'13. Updated Demand'!A:Z,19,FALSE))</f>
        <v>0</v>
      </c>
      <c r="AC276" s="16">
        <f>IF(ISERROR(VLOOKUP($A276,'13. Updated Demand'!A:Z,20,FALSE)),0,VLOOKUP($A276,'13. Updated Demand'!A:Z,20,FALSE))</f>
        <v>0</v>
      </c>
      <c r="AD276" s="16">
        <f>IF(ISERROR(VLOOKUP($A276,'13. Updated Demand'!A:Z,21,FALSE)),0,VLOOKUP($A276,'13. Updated Demand'!A:Z,21,FALSE))</f>
        <v>0</v>
      </c>
      <c r="AE276" s="16">
        <f>IF(ISERROR(VLOOKUP($A276,'13. Updated Demand'!A:Z,22,FALSE)),0,VLOOKUP($A276,'13. Updated Demand'!A:Z,22,FALSE))</f>
        <v>0</v>
      </c>
      <c r="AF276" s="16">
        <f>IF(ISERROR(VLOOKUP($A276,'13. Updated Demand'!A:Z,23,FALSE)),0,VLOOKUP($A276,'13. Updated Demand'!A:Z,23,FALSE))</f>
        <v>0</v>
      </c>
      <c r="AG276" s="16">
        <f>IF(ISERROR(VLOOKUP($A276,'13. Updated Demand'!A:Z,24,FALSE)),0,VLOOKUP($A276,'13. Updated Demand'!A:Z,24,FALSE))</f>
        <v>0</v>
      </c>
      <c r="AH276" s="16">
        <f>IF(ISERROR(VLOOKUP($A276,'13. Updated Demand'!A:Z,25,FALSE)),0,VLOOKUP($A276,'13. Updated Demand'!A:Z,25,FALSE))</f>
        <v>0</v>
      </c>
      <c r="AI276" s="16">
        <f>IF(ISERROR(VLOOKUP($A276,'13. Updated Demand'!A:Z,26,FALSE)),0,VLOOKUP($A276,'13. Updated Demand'!A:Z,26,FALSE))</f>
        <v>0</v>
      </c>
      <c r="AJ276" s="16">
        <f t="shared" si="60"/>
        <v>0</v>
      </c>
      <c r="AK276" s="19">
        <v>0</v>
      </c>
      <c r="AL276" s="16">
        <f t="shared" si="58"/>
        <v>0</v>
      </c>
      <c r="AM276" s="17">
        <v>0</v>
      </c>
      <c r="AN276" s="19"/>
      <c r="AO276" s="19"/>
      <c r="AP276" s="19">
        <v>41</v>
      </c>
      <c r="AQ276" s="19" t="s">
        <v>307</v>
      </c>
      <c r="AR276" s="9" t="s">
        <v>317</v>
      </c>
      <c r="AS276" s="12">
        <v>3.4039024194010059E-4</v>
      </c>
      <c r="AT276" s="19">
        <v>39.325799099999998</v>
      </c>
      <c r="AU276" s="19">
        <v>-123.22950898000001</v>
      </c>
      <c r="AV276" s="19" t="s">
        <v>417</v>
      </c>
    </row>
    <row r="277" spans="1:48" x14ac:dyDescent="0.25">
      <c r="A277" s="18" t="s">
        <v>648</v>
      </c>
      <c r="B277" s="10">
        <v>19980323</v>
      </c>
      <c r="C277" s="9">
        <v>11</v>
      </c>
      <c r="D277" s="8" t="str">
        <f t="shared" si="49"/>
        <v>N</v>
      </c>
      <c r="E277" s="8" t="str">
        <f t="shared" si="50"/>
        <v>Y</v>
      </c>
      <c r="F277" s="8" t="str">
        <f t="shared" si="51"/>
        <v>Y</v>
      </c>
      <c r="G277" s="8" t="str">
        <f t="shared" si="52"/>
        <v>Y</v>
      </c>
      <c r="H277" s="8" t="str">
        <f t="shared" si="53"/>
        <v>Upper</v>
      </c>
      <c r="I277" s="8" t="str">
        <f t="shared" si="54"/>
        <v>West Fork and Below Lake</v>
      </c>
      <c r="J277" s="8" t="str">
        <f t="shared" si="55"/>
        <v>Sonoma (d/s of Clov. Gage)</v>
      </c>
      <c r="K277" s="8" t="str">
        <f t="shared" si="56"/>
        <v>Post-1949</v>
      </c>
      <c r="L277" s="8">
        <f t="shared" si="57"/>
        <v>1998</v>
      </c>
      <c r="M277" s="8" t="str">
        <f t="shared" si="59"/>
        <v>1991-present</v>
      </c>
      <c r="N277" s="10" t="s">
        <v>242</v>
      </c>
      <c r="O277" s="10" t="s">
        <v>241</v>
      </c>
      <c r="P277" s="10" t="s">
        <v>242</v>
      </c>
      <c r="Q277" s="10" t="s">
        <v>242</v>
      </c>
      <c r="R277" s="10" t="s">
        <v>241</v>
      </c>
      <c r="S277" s="10" t="s">
        <v>242</v>
      </c>
      <c r="T277" s="10" t="s">
        <v>241</v>
      </c>
      <c r="U277" s="10" t="s">
        <v>241</v>
      </c>
      <c r="V277" s="10" t="s">
        <v>241</v>
      </c>
      <c r="W277" s="10" t="s">
        <v>242</v>
      </c>
      <c r="X277" s="15">
        <f>IF(ISERROR(VLOOKUP($A277,'13. Updated Demand'!A:Z,15,FALSE)),0,VLOOKUP($A277,'13. Updated Demand'!A:Z,15,FALSE))</f>
        <v>0</v>
      </c>
      <c r="Y277" s="16">
        <f>IF(ISERROR(VLOOKUP($A277,'13. Updated Demand'!A:Z,16,FALSE)),0,VLOOKUP($A277,'13. Updated Demand'!A:Z,16,FALSE))</f>
        <v>0</v>
      </c>
      <c r="Z277" s="16">
        <f>IF(ISERROR(VLOOKUP($A277,'13. Updated Demand'!A:Z,17,FALSE)),0,VLOOKUP($A277,'13. Updated Demand'!A:Z,17,FALSE))</f>
        <v>0</v>
      </c>
      <c r="AA277" s="16">
        <f>IF(ISERROR(VLOOKUP($A277,'13. Updated Demand'!A:Z,18,FALSE)),0,VLOOKUP($A277,'13. Updated Demand'!A:Z,18,FALSE))</f>
        <v>0</v>
      </c>
      <c r="AB277" s="16">
        <f>IF(ISERROR(VLOOKUP($A277,'13. Updated Demand'!A:Z,19,FALSE)),0,VLOOKUP($A277,'13. Updated Demand'!A:Z,19,FALSE))</f>
        <v>0</v>
      </c>
      <c r="AC277" s="16">
        <f>IF(ISERROR(VLOOKUP($A277,'13. Updated Demand'!A:Z,20,FALSE)),0,VLOOKUP($A277,'13. Updated Demand'!A:Z,20,FALSE))</f>
        <v>0</v>
      </c>
      <c r="AD277" s="16">
        <f>IF(ISERROR(VLOOKUP($A277,'13. Updated Demand'!A:Z,21,FALSE)),0,VLOOKUP($A277,'13. Updated Demand'!A:Z,21,FALSE))</f>
        <v>0</v>
      </c>
      <c r="AE277" s="16">
        <f>IF(ISERROR(VLOOKUP($A277,'13. Updated Demand'!A:Z,22,FALSE)),0,VLOOKUP($A277,'13. Updated Demand'!A:Z,22,FALSE))</f>
        <v>0</v>
      </c>
      <c r="AF277" s="16">
        <f>IF(ISERROR(VLOOKUP($A277,'13. Updated Demand'!A:Z,23,FALSE)),0,VLOOKUP($A277,'13. Updated Demand'!A:Z,23,FALSE))</f>
        <v>0</v>
      </c>
      <c r="AG277" s="16">
        <f>IF(ISERROR(VLOOKUP($A277,'13. Updated Demand'!A:Z,24,FALSE)),0,VLOOKUP($A277,'13. Updated Demand'!A:Z,24,FALSE))</f>
        <v>0</v>
      </c>
      <c r="AH277" s="16">
        <f>IF(ISERROR(VLOOKUP($A277,'13. Updated Demand'!A:Z,25,FALSE)),0,VLOOKUP($A277,'13. Updated Demand'!A:Z,25,FALSE))</f>
        <v>0</v>
      </c>
      <c r="AI277" s="16">
        <f>IF(ISERROR(VLOOKUP($A277,'13. Updated Demand'!A:Z,26,FALSE)),0,VLOOKUP($A277,'13. Updated Demand'!A:Z,26,FALSE))</f>
        <v>0</v>
      </c>
      <c r="AJ277" s="16">
        <f t="shared" si="60"/>
        <v>0</v>
      </c>
      <c r="AK277" s="19">
        <v>0</v>
      </c>
      <c r="AL277" s="16">
        <f t="shared" si="58"/>
        <v>0</v>
      </c>
      <c r="AM277" s="17">
        <v>0</v>
      </c>
      <c r="AN277" s="19"/>
      <c r="AO277" s="19"/>
      <c r="AP277" s="19">
        <v>15</v>
      </c>
      <c r="AQ277" s="19" t="s">
        <v>307</v>
      </c>
      <c r="AR277" s="9" t="s">
        <v>308</v>
      </c>
      <c r="AS277" s="12">
        <v>0</v>
      </c>
      <c r="AT277" s="19">
        <v>38.639011510000003</v>
      </c>
      <c r="AU277" s="19">
        <v>-122.64808076</v>
      </c>
      <c r="AV277" s="19" t="s">
        <v>417</v>
      </c>
    </row>
    <row r="278" spans="1:48" x14ac:dyDescent="0.25">
      <c r="A278" s="18" t="s">
        <v>649</v>
      </c>
      <c r="B278" s="10">
        <v>19980615</v>
      </c>
      <c r="C278" s="9">
        <v>12</v>
      </c>
      <c r="D278" s="8" t="str">
        <f t="shared" si="49"/>
        <v>N</v>
      </c>
      <c r="E278" s="8" t="str">
        <f t="shared" si="50"/>
        <v>Y</v>
      </c>
      <c r="F278" s="8" t="str">
        <f t="shared" si="51"/>
        <v>Y</v>
      </c>
      <c r="G278" s="8" t="str">
        <f t="shared" si="52"/>
        <v>Y</v>
      </c>
      <c r="H278" s="8" t="str">
        <f t="shared" si="53"/>
        <v>Upper</v>
      </c>
      <c r="I278" s="8" t="str">
        <f t="shared" si="54"/>
        <v>West Fork and Below Lake</v>
      </c>
      <c r="J278" s="8" t="str">
        <f t="shared" si="55"/>
        <v>Sonoma (d/s of Clov. Gage)</v>
      </c>
      <c r="K278" s="8" t="str">
        <f t="shared" si="56"/>
        <v>Post-1949</v>
      </c>
      <c r="L278" s="8">
        <f t="shared" si="57"/>
        <v>1998</v>
      </c>
      <c r="M278" s="8" t="str">
        <f t="shared" si="59"/>
        <v>1991-present</v>
      </c>
      <c r="N278" s="10" t="s">
        <v>242</v>
      </c>
      <c r="O278" s="10" t="s">
        <v>241</v>
      </c>
      <c r="P278" s="10" t="s">
        <v>242</v>
      </c>
      <c r="Q278" s="10" t="s">
        <v>242</v>
      </c>
      <c r="R278" s="10" t="s">
        <v>241</v>
      </c>
      <c r="S278" s="10" t="s">
        <v>242</v>
      </c>
      <c r="T278" s="10" t="s">
        <v>241</v>
      </c>
      <c r="U278" s="10" t="s">
        <v>241</v>
      </c>
      <c r="V278" s="10" t="s">
        <v>241</v>
      </c>
      <c r="W278" s="10" t="s">
        <v>242</v>
      </c>
      <c r="X278" s="15">
        <f>IF(ISERROR(VLOOKUP($A278,'13. Updated Demand'!A:Z,15,FALSE)),0,VLOOKUP($A278,'13. Updated Demand'!A:Z,15,FALSE))</f>
        <v>0</v>
      </c>
      <c r="Y278" s="16">
        <f>IF(ISERROR(VLOOKUP($A278,'13. Updated Demand'!A:Z,16,FALSE)),0,VLOOKUP($A278,'13. Updated Demand'!A:Z,16,FALSE))</f>
        <v>0</v>
      </c>
      <c r="Z278" s="16">
        <f>IF(ISERROR(VLOOKUP($A278,'13. Updated Demand'!A:Z,17,FALSE)),0,VLOOKUP($A278,'13. Updated Demand'!A:Z,17,FALSE))</f>
        <v>0</v>
      </c>
      <c r="AA278" s="16">
        <f>IF(ISERROR(VLOOKUP($A278,'13. Updated Demand'!A:Z,18,FALSE)),0,VLOOKUP($A278,'13. Updated Demand'!A:Z,18,FALSE))</f>
        <v>0</v>
      </c>
      <c r="AB278" s="16">
        <f>IF(ISERROR(VLOOKUP($A278,'13. Updated Demand'!A:Z,19,FALSE)),0,VLOOKUP($A278,'13. Updated Demand'!A:Z,19,FALSE))</f>
        <v>0</v>
      </c>
      <c r="AC278" s="16">
        <f>IF(ISERROR(VLOOKUP($A278,'13. Updated Demand'!A:Z,20,FALSE)),0,VLOOKUP($A278,'13. Updated Demand'!A:Z,20,FALSE))</f>
        <v>0</v>
      </c>
      <c r="AD278" s="16">
        <f>IF(ISERROR(VLOOKUP($A278,'13. Updated Demand'!A:Z,21,FALSE)),0,VLOOKUP($A278,'13. Updated Demand'!A:Z,21,FALSE))</f>
        <v>0</v>
      </c>
      <c r="AE278" s="16">
        <f>IF(ISERROR(VLOOKUP($A278,'13. Updated Demand'!A:Z,22,FALSE)),0,VLOOKUP($A278,'13. Updated Demand'!A:Z,22,FALSE))</f>
        <v>0</v>
      </c>
      <c r="AF278" s="16">
        <f>IF(ISERROR(VLOOKUP($A278,'13. Updated Demand'!A:Z,23,FALSE)),0,VLOOKUP($A278,'13. Updated Demand'!A:Z,23,FALSE))</f>
        <v>0</v>
      </c>
      <c r="AG278" s="16">
        <f>IF(ISERROR(VLOOKUP($A278,'13. Updated Demand'!A:Z,24,FALSE)),0,VLOOKUP($A278,'13. Updated Demand'!A:Z,24,FALSE))</f>
        <v>0</v>
      </c>
      <c r="AH278" s="16">
        <f>IF(ISERROR(VLOOKUP($A278,'13. Updated Demand'!A:Z,25,FALSE)),0,VLOOKUP($A278,'13. Updated Demand'!A:Z,25,FALSE))</f>
        <v>0</v>
      </c>
      <c r="AI278" s="16">
        <f>IF(ISERROR(VLOOKUP($A278,'13. Updated Demand'!A:Z,26,FALSE)),0,VLOOKUP($A278,'13. Updated Demand'!A:Z,26,FALSE))</f>
        <v>0</v>
      </c>
      <c r="AJ278" s="16">
        <f t="shared" si="60"/>
        <v>0</v>
      </c>
      <c r="AK278" s="19">
        <v>0</v>
      </c>
      <c r="AL278" s="16">
        <f t="shared" si="58"/>
        <v>0</v>
      </c>
      <c r="AM278" s="17">
        <v>0</v>
      </c>
      <c r="AN278" s="19"/>
      <c r="AO278" s="19"/>
      <c r="AP278" s="19">
        <v>25</v>
      </c>
      <c r="AQ278" s="19" t="s">
        <v>307</v>
      </c>
      <c r="AR278" s="9" t="s">
        <v>311</v>
      </c>
      <c r="AS278" s="12">
        <v>3.4039024194010059E-4</v>
      </c>
      <c r="AT278" s="19">
        <v>38.610773119999998</v>
      </c>
      <c r="AU278" s="19">
        <v>-122.75281637000001</v>
      </c>
      <c r="AV278" s="19" t="s">
        <v>417</v>
      </c>
    </row>
    <row r="279" spans="1:48" x14ac:dyDescent="0.25">
      <c r="A279" s="18" t="s">
        <v>650</v>
      </c>
      <c r="B279" s="10">
        <v>19980323</v>
      </c>
      <c r="C279" s="9">
        <v>11</v>
      </c>
      <c r="D279" s="8" t="str">
        <f t="shared" si="49"/>
        <v>N</v>
      </c>
      <c r="E279" s="8" t="str">
        <f t="shared" si="50"/>
        <v>Y</v>
      </c>
      <c r="F279" s="8" t="str">
        <f t="shared" si="51"/>
        <v>Y</v>
      </c>
      <c r="G279" s="8" t="str">
        <f t="shared" si="52"/>
        <v>Y</v>
      </c>
      <c r="H279" s="8" t="str">
        <f t="shared" si="53"/>
        <v>Upper</v>
      </c>
      <c r="I279" s="8" t="str">
        <f t="shared" si="54"/>
        <v>West Fork and Below Lake</v>
      </c>
      <c r="J279" s="8" t="str">
        <f t="shared" si="55"/>
        <v>Sonoma (d/s of Clov. Gage)</v>
      </c>
      <c r="K279" s="8" t="str">
        <f t="shared" si="56"/>
        <v>Post-1949</v>
      </c>
      <c r="L279" s="8">
        <f t="shared" si="57"/>
        <v>1998</v>
      </c>
      <c r="M279" s="8" t="str">
        <f t="shared" si="59"/>
        <v>1991-present</v>
      </c>
      <c r="N279" s="10" t="s">
        <v>242</v>
      </c>
      <c r="O279" s="10" t="s">
        <v>241</v>
      </c>
      <c r="P279" s="10" t="s">
        <v>242</v>
      </c>
      <c r="Q279" s="10" t="s">
        <v>242</v>
      </c>
      <c r="R279" s="10" t="s">
        <v>241</v>
      </c>
      <c r="S279" s="10" t="s">
        <v>242</v>
      </c>
      <c r="T279" s="10" t="s">
        <v>242</v>
      </c>
      <c r="U279" s="10" t="s">
        <v>242</v>
      </c>
      <c r="V279" s="10" t="s">
        <v>241</v>
      </c>
      <c r="W279" s="10" t="s">
        <v>242</v>
      </c>
      <c r="X279" s="15">
        <f>IF(ISERROR(VLOOKUP($A279,'13. Updated Demand'!A:Z,15,FALSE)),0,VLOOKUP($A279,'13. Updated Demand'!A:Z,15,FALSE))</f>
        <v>5.23</v>
      </c>
      <c r="Y279" s="16">
        <f>IF(ISERROR(VLOOKUP($A279,'13. Updated Demand'!A:Z,16,FALSE)),0,VLOOKUP($A279,'13. Updated Demand'!A:Z,16,FALSE))</f>
        <v>0.8</v>
      </c>
      <c r="Z279" s="16">
        <f>IF(ISERROR(VLOOKUP($A279,'13. Updated Demand'!A:Z,17,FALSE)),0,VLOOKUP($A279,'13. Updated Demand'!A:Z,17,FALSE))</f>
        <v>2.13</v>
      </c>
      <c r="AA279" s="16">
        <f>IF(ISERROR(VLOOKUP($A279,'13. Updated Demand'!A:Z,18,FALSE)),0,VLOOKUP($A279,'13. Updated Demand'!A:Z,18,FALSE))</f>
        <v>0.23</v>
      </c>
      <c r="AB279" s="16">
        <f>IF(ISERROR(VLOOKUP($A279,'13. Updated Demand'!A:Z,19,FALSE)),0,VLOOKUP($A279,'13. Updated Demand'!A:Z,19,FALSE))</f>
        <v>0</v>
      </c>
      <c r="AC279" s="16">
        <f>IF(ISERROR(VLOOKUP($A279,'13. Updated Demand'!A:Z,20,FALSE)),0,VLOOKUP($A279,'13. Updated Demand'!A:Z,20,FALSE))</f>
        <v>0</v>
      </c>
      <c r="AD279" s="16">
        <f>IF(ISERROR(VLOOKUP($A279,'13. Updated Demand'!A:Z,21,FALSE)),0,VLOOKUP($A279,'13. Updated Demand'!A:Z,21,FALSE))</f>
        <v>0</v>
      </c>
      <c r="AE279" s="16">
        <f>IF(ISERROR(VLOOKUP($A279,'13. Updated Demand'!A:Z,22,FALSE)),0,VLOOKUP($A279,'13. Updated Demand'!A:Z,22,FALSE))</f>
        <v>0</v>
      </c>
      <c r="AF279" s="16">
        <f>IF(ISERROR(VLOOKUP($A279,'13. Updated Demand'!A:Z,23,FALSE)),0,VLOOKUP($A279,'13. Updated Demand'!A:Z,23,FALSE))</f>
        <v>0</v>
      </c>
      <c r="AG279" s="16">
        <f>IF(ISERROR(VLOOKUP($A279,'13. Updated Demand'!A:Z,24,FALSE)),0,VLOOKUP($A279,'13. Updated Demand'!A:Z,24,FALSE))</f>
        <v>0</v>
      </c>
      <c r="AH279" s="16">
        <f>IF(ISERROR(VLOOKUP($A279,'13. Updated Demand'!A:Z,25,FALSE)),0,VLOOKUP($A279,'13. Updated Demand'!A:Z,25,FALSE))</f>
        <v>0</v>
      </c>
      <c r="AI279" s="16">
        <f>IF(ISERROR(VLOOKUP($A279,'13. Updated Demand'!A:Z,26,FALSE)),0,VLOOKUP($A279,'13. Updated Demand'!A:Z,26,FALSE))</f>
        <v>1.73</v>
      </c>
      <c r="AJ279" s="16">
        <f t="shared" si="60"/>
        <v>10.120000000000001</v>
      </c>
      <c r="AK279" s="19">
        <v>0</v>
      </c>
      <c r="AL279" s="16">
        <f t="shared" si="58"/>
        <v>0</v>
      </c>
      <c r="AM279" s="17">
        <v>0.11921568625882352</v>
      </c>
      <c r="AN279" s="19"/>
      <c r="AO279" s="19"/>
      <c r="AP279" s="19">
        <v>85</v>
      </c>
      <c r="AQ279" s="19" t="s">
        <v>307</v>
      </c>
      <c r="AR279" s="9" t="s">
        <v>308</v>
      </c>
      <c r="AS279" s="12">
        <v>0</v>
      </c>
      <c r="AT279" s="19">
        <v>38.661099999999998</v>
      </c>
      <c r="AU279" s="19">
        <v>-122.66540000000001</v>
      </c>
      <c r="AV279" s="19"/>
    </row>
    <row r="280" spans="1:48" x14ac:dyDescent="0.25">
      <c r="A280" s="18" t="s">
        <v>651</v>
      </c>
      <c r="B280" s="10">
        <v>19980318</v>
      </c>
      <c r="C280" s="9">
        <v>6</v>
      </c>
      <c r="D280" s="8" t="str">
        <f t="shared" si="49"/>
        <v>Y</v>
      </c>
      <c r="E280" s="8" t="str">
        <f t="shared" si="50"/>
        <v>N</v>
      </c>
      <c r="F280" s="8" t="str">
        <f t="shared" si="51"/>
        <v>Y</v>
      </c>
      <c r="G280" s="8" t="str">
        <f t="shared" si="52"/>
        <v>Y</v>
      </c>
      <c r="H280" s="8" t="str">
        <f t="shared" si="53"/>
        <v>Upper</v>
      </c>
      <c r="I280" s="8" t="str">
        <f t="shared" si="54"/>
        <v>West Fork and Below Lake</v>
      </c>
      <c r="J280" s="8" t="str">
        <f t="shared" si="55"/>
        <v>Mendocino (d/s of lake)</v>
      </c>
      <c r="K280" s="8" t="str">
        <f t="shared" si="56"/>
        <v>Post-1949</v>
      </c>
      <c r="L280" s="8">
        <f t="shared" si="57"/>
        <v>1998</v>
      </c>
      <c r="M280" s="8" t="str">
        <f t="shared" si="59"/>
        <v>1991-present</v>
      </c>
      <c r="N280" s="10" t="s">
        <v>242</v>
      </c>
      <c r="O280" s="10" t="s">
        <v>241</v>
      </c>
      <c r="P280" s="10" t="s">
        <v>242</v>
      </c>
      <c r="Q280" s="10" t="s">
        <v>242</v>
      </c>
      <c r="R280" s="10" t="s">
        <v>241</v>
      </c>
      <c r="S280" s="10" t="s">
        <v>242</v>
      </c>
      <c r="T280" s="10" t="s">
        <v>241</v>
      </c>
      <c r="U280" s="10" t="s">
        <v>241</v>
      </c>
      <c r="V280" s="10" t="s">
        <v>241</v>
      </c>
      <c r="W280" s="10" t="s">
        <v>242</v>
      </c>
      <c r="X280" s="15">
        <f>IF(ISERROR(VLOOKUP($A280,'13. Updated Demand'!A:Z,15,FALSE)),0,VLOOKUP($A280,'13. Updated Demand'!A:Z,15,FALSE))</f>
        <v>0</v>
      </c>
      <c r="Y280" s="16">
        <f>IF(ISERROR(VLOOKUP($A280,'13. Updated Demand'!A:Z,16,FALSE)),0,VLOOKUP($A280,'13. Updated Demand'!A:Z,16,FALSE))</f>
        <v>0</v>
      </c>
      <c r="Z280" s="16">
        <f>IF(ISERROR(VLOOKUP($A280,'13. Updated Demand'!A:Z,17,FALSE)),0,VLOOKUP($A280,'13. Updated Demand'!A:Z,17,FALSE))</f>
        <v>0</v>
      </c>
      <c r="AA280" s="16">
        <f>IF(ISERROR(VLOOKUP($A280,'13. Updated Demand'!A:Z,18,FALSE)),0,VLOOKUP($A280,'13. Updated Demand'!A:Z,18,FALSE))</f>
        <v>0</v>
      </c>
      <c r="AB280" s="16">
        <f>IF(ISERROR(VLOOKUP($A280,'13. Updated Demand'!A:Z,19,FALSE)),0,VLOOKUP($A280,'13. Updated Demand'!A:Z,19,FALSE))</f>
        <v>0</v>
      </c>
      <c r="AC280" s="16">
        <f>IF(ISERROR(VLOOKUP($A280,'13. Updated Demand'!A:Z,20,FALSE)),0,VLOOKUP($A280,'13. Updated Demand'!A:Z,20,FALSE))</f>
        <v>0</v>
      </c>
      <c r="AD280" s="16">
        <f>IF(ISERROR(VLOOKUP($A280,'13. Updated Demand'!A:Z,21,FALSE)),0,VLOOKUP($A280,'13. Updated Demand'!A:Z,21,FALSE))</f>
        <v>0</v>
      </c>
      <c r="AE280" s="16">
        <f>IF(ISERROR(VLOOKUP($A280,'13. Updated Demand'!A:Z,22,FALSE)),0,VLOOKUP($A280,'13. Updated Demand'!A:Z,22,FALSE))</f>
        <v>0</v>
      </c>
      <c r="AF280" s="16">
        <f>IF(ISERROR(VLOOKUP($A280,'13. Updated Demand'!A:Z,23,FALSE)),0,VLOOKUP($A280,'13. Updated Demand'!A:Z,23,FALSE))</f>
        <v>0</v>
      </c>
      <c r="AG280" s="16">
        <f>IF(ISERROR(VLOOKUP($A280,'13. Updated Demand'!A:Z,24,FALSE)),0,VLOOKUP($A280,'13. Updated Demand'!A:Z,24,FALSE))</f>
        <v>0</v>
      </c>
      <c r="AH280" s="16">
        <f>IF(ISERROR(VLOOKUP($A280,'13. Updated Demand'!A:Z,25,FALSE)),0,VLOOKUP($A280,'13. Updated Demand'!A:Z,25,FALSE))</f>
        <v>0</v>
      </c>
      <c r="AI280" s="16">
        <f>IF(ISERROR(VLOOKUP($A280,'13. Updated Demand'!A:Z,26,FALSE)),0,VLOOKUP($A280,'13. Updated Demand'!A:Z,26,FALSE))</f>
        <v>0</v>
      </c>
      <c r="AJ280" s="16">
        <f t="shared" si="60"/>
        <v>0</v>
      </c>
      <c r="AK280" s="19">
        <v>0</v>
      </c>
      <c r="AL280" s="16">
        <f t="shared" si="58"/>
        <v>0</v>
      </c>
      <c r="AM280" s="17">
        <v>0</v>
      </c>
      <c r="AN280" s="19"/>
      <c r="AO280" s="19"/>
      <c r="AP280" s="19">
        <v>182</v>
      </c>
      <c r="AQ280" s="19" t="s">
        <v>307</v>
      </c>
      <c r="AR280" s="9" t="s">
        <v>319</v>
      </c>
      <c r="AS280" s="12">
        <v>0</v>
      </c>
      <c r="AT280" s="19">
        <v>38.969779289999998</v>
      </c>
      <c r="AU280" s="19">
        <v>-123.12983771</v>
      </c>
      <c r="AV280" s="19" t="s">
        <v>362</v>
      </c>
    </row>
    <row r="281" spans="1:48" x14ac:dyDescent="0.25">
      <c r="A281" s="18" t="s">
        <v>652</v>
      </c>
      <c r="B281" s="10">
        <v>19980318</v>
      </c>
      <c r="C281" s="9">
        <v>6</v>
      </c>
      <c r="D281" s="8" t="str">
        <f t="shared" si="49"/>
        <v>Y</v>
      </c>
      <c r="E281" s="8" t="str">
        <f t="shared" si="50"/>
        <v>N</v>
      </c>
      <c r="F281" s="8" t="str">
        <f t="shared" si="51"/>
        <v>Y</v>
      </c>
      <c r="G281" s="8" t="str">
        <f t="shared" si="52"/>
        <v>Y</v>
      </c>
      <c r="H281" s="8" t="str">
        <f t="shared" si="53"/>
        <v>Upper</v>
      </c>
      <c r="I281" s="8" t="str">
        <f t="shared" si="54"/>
        <v>West Fork and Below Lake</v>
      </c>
      <c r="J281" s="8" t="str">
        <f t="shared" si="55"/>
        <v>Mendocino (d/s of lake)</v>
      </c>
      <c r="K281" s="8" t="str">
        <f t="shared" si="56"/>
        <v>Post-1949</v>
      </c>
      <c r="L281" s="8">
        <f t="shared" si="57"/>
        <v>1998</v>
      </c>
      <c r="M281" s="8" t="str">
        <f t="shared" si="59"/>
        <v>1991-present</v>
      </c>
      <c r="N281" s="10" t="s">
        <v>242</v>
      </c>
      <c r="O281" s="10" t="s">
        <v>241</v>
      </c>
      <c r="P281" s="10" t="s">
        <v>242</v>
      </c>
      <c r="Q281" s="10" t="s">
        <v>242</v>
      </c>
      <c r="R281" s="10" t="s">
        <v>241</v>
      </c>
      <c r="S281" s="10" t="s">
        <v>242</v>
      </c>
      <c r="T281" s="10" t="s">
        <v>241</v>
      </c>
      <c r="U281" s="10" t="s">
        <v>241</v>
      </c>
      <c r="V281" s="10" t="s">
        <v>241</v>
      </c>
      <c r="W281" s="10" t="s">
        <v>242</v>
      </c>
      <c r="X281" s="15">
        <f>IF(ISERROR(VLOOKUP($A281,'13. Updated Demand'!A:Z,15,FALSE)),0,VLOOKUP($A281,'13. Updated Demand'!A:Z,15,FALSE))</f>
        <v>0</v>
      </c>
      <c r="Y281" s="16">
        <f>IF(ISERROR(VLOOKUP($A281,'13. Updated Demand'!A:Z,16,FALSE)),0,VLOOKUP($A281,'13. Updated Demand'!A:Z,16,FALSE))</f>
        <v>0</v>
      </c>
      <c r="Z281" s="16">
        <f>IF(ISERROR(VLOOKUP($A281,'13. Updated Demand'!A:Z,17,FALSE)),0,VLOOKUP($A281,'13. Updated Demand'!A:Z,17,FALSE))</f>
        <v>0</v>
      </c>
      <c r="AA281" s="16">
        <f>IF(ISERROR(VLOOKUP($A281,'13. Updated Demand'!A:Z,18,FALSE)),0,VLOOKUP($A281,'13. Updated Demand'!A:Z,18,FALSE))</f>
        <v>0</v>
      </c>
      <c r="AB281" s="16">
        <f>IF(ISERROR(VLOOKUP($A281,'13. Updated Demand'!A:Z,19,FALSE)),0,VLOOKUP($A281,'13. Updated Demand'!A:Z,19,FALSE))</f>
        <v>0</v>
      </c>
      <c r="AC281" s="16">
        <f>IF(ISERROR(VLOOKUP($A281,'13. Updated Demand'!A:Z,20,FALSE)),0,VLOOKUP($A281,'13. Updated Demand'!A:Z,20,FALSE))</f>
        <v>0</v>
      </c>
      <c r="AD281" s="16">
        <f>IF(ISERROR(VLOOKUP($A281,'13. Updated Demand'!A:Z,21,FALSE)),0,VLOOKUP($A281,'13. Updated Demand'!A:Z,21,FALSE))</f>
        <v>0</v>
      </c>
      <c r="AE281" s="16">
        <f>IF(ISERROR(VLOOKUP($A281,'13. Updated Demand'!A:Z,22,FALSE)),0,VLOOKUP($A281,'13. Updated Demand'!A:Z,22,FALSE))</f>
        <v>0</v>
      </c>
      <c r="AF281" s="16">
        <f>IF(ISERROR(VLOOKUP($A281,'13. Updated Demand'!A:Z,23,FALSE)),0,VLOOKUP($A281,'13. Updated Demand'!A:Z,23,FALSE))</f>
        <v>0</v>
      </c>
      <c r="AG281" s="16">
        <f>IF(ISERROR(VLOOKUP($A281,'13. Updated Demand'!A:Z,24,FALSE)),0,VLOOKUP($A281,'13. Updated Demand'!A:Z,24,FALSE))</f>
        <v>0</v>
      </c>
      <c r="AH281" s="16">
        <f>IF(ISERROR(VLOOKUP($A281,'13. Updated Demand'!A:Z,25,FALSE)),0,VLOOKUP($A281,'13. Updated Demand'!A:Z,25,FALSE))</f>
        <v>0</v>
      </c>
      <c r="AI281" s="16">
        <f>IF(ISERROR(VLOOKUP($A281,'13. Updated Demand'!A:Z,26,FALSE)),0,VLOOKUP($A281,'13. Updated Demand'!A:Z,26,FALSE))</f>
        <v>0</v>
      </c>
      <c r="AJ281" s="16">
        <f t="shared" si="60"/>
        <v>0</v>
      </c>
      <c r="AK281" s="19">
        <v>0</v>
      </c>
      <c r="AL281" s="16">
        <f t="shared" si="58"/>
        <v>0</v>
      </c>
      <c r="AM281" s="17">
        <v>0</v>
      </c>
      <c r="AN281" s="19"/>
      <c r="AO281" s="19"/>
      <c r="AP281" s="19">
        <v>151</v>
      </c>
      <c r="AQ281" s="19" t="s">
        <v>307</v>
      </c>
      <c r="AR281" s="9" t="s">
        <v>319</v>
      </c>
      <c r="AS281" s="12">
        <v>0</v>
      </c>
      <c r="AT281" s="19">
        <v>38.98204956</v>
      </c>
      <c r="AU281" s="19">
        <v>-123.14478905999999</v>
      </c>
      <c r="AV281" s="19" t="s">
        <v>417</v>
      </c>
    </row>
    <row r="282" spans="1:48" x14ac:dyDescent="0.25">
      <c r="A282" s="18" t="s">
        <v>653</v>
      </c>
      <c r="B282" s="10">
        <v>19980427</v>
      </c>
      <c r="C282" s="9">
        <v>8</v>
      </c>
      <c r="D282" s="8" t="str">
        <f t="shared" si="49"/>
        <v>N</v>
      </c>
      <c r="E282" s="8" t="str">
        <f t="shared" si="50"/>
        <v>Y</v>
      </c>
      <c r="F282" s="8" t="str">
        <f t="shared" si="51"/>
        <v>Y</v>
      </c>
      <c r="G282" s="8" t="str">
        <f t="shared" si="52"/>
        <v>Y</v>
      </c>
      <c r="H282" s="8" t="str">
        <f t="shared" si="53"/>
        <v>Upper</v>
      </c>
      <c r="I282" s="8" t="str">
        <f t="shared" si="54"/>
        <v>West Fork and Below Lake</v>
      </c>
      <c r="J282" s="8" t="str">
        <f t="shared" si="55"/>
        <v>Sonoma (d/s of Clov. Gage)</v>
      </c>
      <c r="K282" s="8" t="str">
        <f t="shared" si="56"/>
        <v>Post-1949</v>
      </c>
      <c r="L282" s="8">
        <f t="shared" si="57"/>
        <v>1998</v>
      </c>
      <c r="M282" s="8" t="str">
        <f t="shared" si="59"/>
        <v>1991-present</v>
      </c>
      <c r="N282" s="10" t="s">
        <v>242</v>
      </c>
      <c r="O282" s="10" t="s">
        <v>241</v>
      </c>
      <c r="P282" s="10" t="s">
        <v>242</v>
      </c>
      <c r="Q282" s="10" t="s">
        <v>242</v>
      </c>
      <c r="R282" s="10" t="s">
        <v>241</v>
      </c>
      <c r="S282" s="10" t="s">
        <v>242</v>
      </c>
      <c r="T282" s="10" t="s">
        <v>241</v>
      </c>
      <c r="U282" s="10" t="s">
        <v>241</v>
      </c>
      <c r="V282" s="10" t="s">
        <v>241</v>
      </c>
      <c r="W282" s="10" t="s">
        <v>242</v>
      </c>
      <c r="X282" s="15">
        <f>IF(ISERROR(VLOOKUP($A282,'13. Updated Demand'!A:Z,15,FALSE)),0,VLOOKUP($A282,'13. Updated Demand'!A:Z,15,FALSE))</f>
        <v>0</v>
      </c>
      <c r="Y282" s="16">
        <f>IF(ISERROR(VLOOKUP($A282,'13. Updated Demand'!A:Z,16,FALSE)),0,VLOOKUP($A282,'13. Updated Demand'!A:Z,16,FALSE))</f>
        <v>0</v>
      </c>
      <c r="Z282" s="16">
        <f>IF(ISERROR(VLOOKUP($A282,'13. Updated Demand'!A:Z,17,FALSE)),0,VLOOKUP($A282,'13. Updated Demand'!A:Z,17,FALSE))</f>
        <v>0</v>
      </c>
      <c r="AA282" s="16">
        <f>IF(ISERROR(VLOOKUP($A282,'13. Updated Demand'!A:Z,18,FALSE)),0,VLOOKUP($A282,'13. Updated Demand'!A:Z,18,FALSE))</f>
        <v>0</v>
      </c>
      <c r="AB282" s="16">
        <f>IF(ISERROR(VLOOKUP($A282,'13. Updated Demand'!A:Z,19,FALSE)),0,VLOOKUP($A282,'13. Updated Demand'!A:Z,19,FALSE))</f>
        <v>0</v>
      </c>
      <c r="AC282" s="16">
        <f>IF(ISERROR(VLOOKUP($A282,'13. Updated Demand'!A:Z,20,FALSE)),0,VLOOKUP($A282,'13. Updated Demand'!A:Z,20,FALSE))</f>
        <v>0</v>
      </c>
      <c r="AD282" s="16">
        <f>IF(ISERROR(VLOOKUP($A282,'13. Updated Demand'!A:Z,21,FALSE)),0,VLOOKUP($A282,'13. Updated Demand'!A:Z,21,FALSE))</f>
        <v>0</v>
      </c>
      <c r="AE282" s="16">
        <f>IF(ISERROR(VLOOKUP($A282,'13. Updated Demand'!A:Z,22,FALSE)),0,VLOOKUP($A282,'13. Updated Demand'!A:Z,22,FALSE))</f>
        <v>0</v>
      </c>
      <c r="AF282" s="16">
        <f>IF(ISERROR(VLOOKUP($A282,'13. Updated Demand'!A:Z,23,FALSE)),0,VLOOKUP($A282,'13. Updated Demand'!A:Z,23,FALSE))</f>
        <v>0</v>
      </c>
      <c r="AG282" s="16">
        <f>IF(ISERROR(VLOOKUP($A282,'13. Updated Demand'!A:Z,24,FALSE)),0,VLOOKUP($A282,'13. Updated Demand'!A:Z,24,FALSE))</f>
        <v>0</v>
      </c>
      <c r="AH282" s="16">
        <f>IF(ISERROR(VLOOKUP($A282,'13. Updated Demand'!A:Z,25,FALSE)),0,VLOOKUP($A282,'13. Updated Demand'!A:Z,25,FALSE))</f>
        <v>0</v>
      </c>
      <c r="AI282" s="16">
        <f>IF(ISERROR(VLOOKUP($A282,'13. Updated Demand'!A:Z,26,FALSE)),0,VLOOKUP($A282,'13. Updated Demand'!A:Z,26,FALSE))</f>
        <v>0</v>
      </c>
      <c r="AJ282" s="16">
        <f t="shared" si="60"/>
        <v>0</v>
      </c>
      <c r="AK282" s="19">
        <v>0</v>
      </c>
      <c r="AL282" s="16">
        <f t="shared" si="58"/>
        <v>0</v>
      </c>
      <c r="AM282" s="17">
        <v>0</v>
      </c>
      <c r="AN282" s="19"/>
      <c r="AO282" s="19"/>
      <c r="AP282" s="19">
        <v>44</v>
      </c>
      <c r="AQ282" s="19" t="s">
        <v>307</v>
      </c>
      <c r="AR282" s="9" t="s">
        <v>409</v>
      </c>
      <c r="AS282" s="12">
        <v>3.4039024194010059E-4</v>
      </c>
      <c r="AT282" s="19">
        <v>38.841205080000002</v>
      </c>
      <c r="AU282" s="19">
        <v>-122.97225165</v>
      </c>
      <c r="AV282" s="19" t="s">
        <v>654</v>
      </c>
    </row>
    <row r="283" spans="1:48" x14ac:dyDescent="0.25">
      <c r="A283" s="18" t="s">
        <v>655</v>
      </c>
      <c r="B283" s="10">
        <v>19980914</v>
      </c>
      <c r="C283" s="9">
        <v>18</v>
      </c>
      <c r="D283" s="8" t="str">
        <f t="shared" si="49"/>
        <v>N</v>
      </c>
      <c r="E283" s="8" t="str">
        <f t="shared" si="50"/>
        <v>N</v>
      </c>
      <c r="F283" s="8" t="str">
        <f t="shared" si="51"/>
        <v>N</v>
      </c>
      <c r="G283" s="8" t="str">
        <f t="shared" si="52"/>
        <v>N</v>
      </c>
      <c r="H283" s="8" t="str">
        <f t="shared" si="53"/>
        <v>Lower</v>
      </c>
      <c r="I283" s="8" t="str">
        <f t="shared" si="54"/>
        <v>Outside</v>
      </c>
      <c r="J283" s="8" t="str">
        <f t="shared" si="55"/>
        <v>Outside</v>
      </c>
      <c r="K283" s="8" t="str">
        <f t="shared" si="56"/>
        <v>Post-1949</v>
      </c>
      <c r="L283" s="8">
        <f t="shared" si="57"/>
        <v>1998</v>
      </c>
      <c r="M283" s="8" t="str">
        <f t="shared" si="59"/>
        <v>1991-present</v>
      </c>
      <c r="N283" s="10" t="s">
        <v>242</v>
      </c>
      <c r="O283" s="10" t="s">
        <v>242</v>
      </c>
      <c r="P283" s="10" t="s">
        <v>242</v>
      </c>
      <c r="Q283" s="10" t="s">
        <v>242</v>
      </c>
      <c r="R283" s="10" t="s">
        <v>241</v>
      </c>
      <c r="S283" s="10" t="s">
        <v>242</v>
      </c>
      <c r="T283" s="10" t="s">
        <v>241</v>
      </c>
      <c r="U283" s="10" t="s">
        <v>241</v>
      </c>
      <c r="V283" s="10" t="s">
        <v>241</v>
      </c>
      <c r="W283" s="10" t="s">
        <v>242</v>
      </c>
      <c r="X283" s="15">
        <f>IF(ISERROR(VLOOKUP($A283,'13. Updated Demand'!A:Z,15,FALSE)),0,VLOOKUP($A283,'13. Updated Demand'!A:Z,15,FALSE))</f>
        <v>0</v>
      </c>
      <c r="Y283" s="16">
        <f>IF(ISERROR(VLOOKUP($A283,'13. Updated Demand'!A:Z,16,FALSE)),0,VLOOKUP($A283,'13. Updated Demand'!A:Z,16,FALSE))</f>
        <v>0</v>
      </c>
      <c r="Z283" s="16">
        <f>IF(ISERROR(VLOOKUP($A283,'13. Updated Demand'!A:Z,17,FALSE)),0,VLOOKUP($A283,'13. Updated Demand'!A:Z,17,FALSE))</f>
        <v>0</v>
      </c>
      <c r="AA283" s="16">
        <f>IF(ISERROR(VLOOKUP($A283,'13. Updated Demand'!A:Z,18,FALSE)),0,VLOOKUP($A283,'13. Updated Demand'!A:Z,18,FALSE))</f>
        <v>0</v>
      </c>
      <c r="AB283" s="16">
        <f>IF(ISERROR(VLOOKUP($A283,'13. Updated Demand'!A:Z,19,FALSE)),0,VLOOKUP($A283,'13. Updated Demand'!A:Z,19,FALSE))</f>
        <v>0</v>
      </c>
      <c r="AC283" s="16">
        <f>IF(ISERROR(VLOOKUP($A283,'13. Updated Demand'!A:Z,20,FALSE)),0,VLOOKUP($A283,'13. Updated Demand'!A:Z,20,FALSE))</f>
        <v>0</v>
      </c>
      <c r="AD283" s="16">
        <f>IF(ISERROR(VLOOKUP($A283,'13. Updated Demand'!A:Z,21,FALSE)),0,VLOOKUP($A283,'13. Updated Demand'!A:Z,21,FALSE))</f>
        <v>0</v>
      </c>
      <c r="AE283" s="16">
        <f>IF(ISERROR(VLOOKUP($A283,'13. Updated Demand'!A:Z,22,FALSE)),0,VLOOKUP($A283,'13. Updated Demand'!A:Z,22,FALSE))</f>
        <v>0</v>
      </c>
      <c r="AF283" s="16">
        <f>IF(ISERROR(VLOOKUP($A283,'13. Updated Demand'!A:Z,23,FALSE)),0,VLOOKUP($A283,'13. Updated Demand'!A:Z,23,FALSE))</f>
        <v>0</v>
      </c>
      <c r="AG283" s="16">
        <f>IF(ISERROR(VLOOKUP($A283,'13. Updated Demand'!A:Z,24,FALSE)),0,VLOOKUP($A283,'13. Updated Demand'!A:Z,24,FALSE))</f>
        <v>0</v>
      </c>
      <c r="AH283" s="16">
        <f>IF(ISERROR(VLOOKUP($A283,'13. Updated Demand'!A:Z,25,FALSE)),0,VLOOKUP($A283,'13. Updated Demand'!A:Z,25,FALSE))</f>
        <v>0</v>
      </c>
      <c r="AI283" s="16">
        <f>IF(ISERROR(VLOOKUP($A283,'13. Updated Demand'!A:Z,26,FALSE)),0,VLOOKUP($A283,'13. Updated Demand'!A:Z,26,FALSE))</f>
        <v>0</v>
      </c>
      <c r="AJ283" s="16">
        <f t="shared" si="60"/>
        <v>0</v>
      </c>
      <c r="AK283" s="19">
        <v>0</v>
      </c>
      <c r="AL283" s="16">
        <f t="shared" si="58"/>
        <v>0</v>
      </c>
      <c r="AM283" s="17">
        <v>0</v>
      </c>
      <c r="AN283" s="19"/>
      <c r="AO283" s="19"/>
      <c r="AP283" s="19">
        <v>48</v>
      </c>
      <c r="AQ283" s="19" t="s">
        <v>307</v>
      </c>
      <c r="AR283" s="9" t="s">
        <v>352</v>
      </c>
      <c r="AS283" s="12">
        <v>0</v>
      </c>
      <c r="AT283" s="19">
        <v>38.468574179999997</v>
      </c>
      <c r="AU283" s="19">
        <v>-122.87005773</v>
      </c>
      <c r="AV283" s="19" t="s">
        <v>385</v>
      </c>
    </row>
    <row r="284" spans="1:48" x14ac:dyDescent="0.25">
      <c r="A284" s="18" t="s">
        <v>656</v>
      </c>
      <c r="B284" s="10">
        <v>19980616</v>
      </c>
      <c r="C284" s="9">
        <v>22</v>
      </c>
      <c r="D284" s="8" t="str">
        <f t="shared" si="49"/>
        <v>N</v>
      </c>
      <c r="E284" s="8" t="str">
        <f t="shared" si="50"/>
        <v>N</v>
      </c>
      <c r="F284" s="8" t="str">
        <f t="shared" si="51"/>
        <v>N</v>
      </c>
      <c r="G284" s="8" t="str">
        <f t="shared" si="52"/>
        <v>N</v>
      </c>
      <c r="H284" s="8" t="str">
        <f t="shared" si="53"/>
        <v>Lower</v>
      </c>
      <c r="I284" s="8" t="str">
        <f t="shared" si="54"/>
        <v>Outside</v>
      </c>
      <c r="J284" s="8" t="str">
        <f t="shared" si="55"/>
        <v>Outside</v>
      </c>
      <c r="K284" s="8" t="str">
        <f t="shared" si="56"/>
        <v>Post-1949</v>
      </c>
      <c r="L284" s="8">
        <f t="shared" si="57"/>
        <v>1998</v>
      </c>
      <c r="M284" s="8" t="str">
        <f t="shared" si="59"/>
        <v>1991-present</v>
      </c>
      <c r="N284" s="10" t="s">
        <v>242</v>
      </c>
      <c r="O284" s="10" t="s">
        <v>242</v>
      </c>
      <c r="P284" s="10" t="s">
        <v>242</v>
      </c>
      <c r="Q284" s="10" t="s">
        <v>242</v>
      </c>
      <c r="R284" s="10" t="s">
        <v>241</v>
      </c>
      <c r="S284" s="10" t="s">
        <v>242</v>
      </c>
      <c r="T284" s="10" t="s">
        <v>242</v>
      </c>
      <c r="U284" s="10" t="s">
        <v>242</v>
      </c>
      <c r="V284" s="10" t="s">
        <v>241</v>
      </c>
      <c r="W284" s="10" t="s">
        <v>242</v>
      </c>
      <c r="X284" s="15">
        <f>IF(ISERROR(VLOOKUP($A284,'13. Updated Demand'!A:Z,15,FALSE)),0,VLOOKUP($A284,'13. Updated Demand'!A:Z,15,FALSE))</f>
        <v>12.4</v>
      </c>
      <c r="Y284" s="16">
        <f>IF(ISERROR(VLOOKUP($A284,'13. Updated Demand'!A:Z,16,FALSE)),0,VLOOKUP($A284,'13. Updated Demand'!A:Z,16,FALSE))</f>
        <v>1.2</v>
      </c>
      <c r="Z284" s="16">
        <f>IF(ISERROR(VLOOKUP($A284,'13. Updated Demand'!A:Z,17,FALSE)),0,VLOOKUP($A284,'13. Updated Demand'!A:Z,17,FALSE))</f>
        <v>0.33333333300000001</v>
      </c>
      <c r="AA284" s="16">
        <f>IF(ISERROR(VLOOKUP($A284,'13. Updated Demand'!A:Z,18,FALSE)),0,VLOOKUP($A284,'13. Updated Demand'!A:Z,18,FALSE))</f>
        <v>0</v>
      </c>
      <c r="AB284" s="16">
        <f>IF(ISERROR(VLOOKUP($A284,'13. Updated Demand'!A:Z,19,FALSE)),0,VLOOKUP($A284,'13. Updated Demand'!A:Z,19,FALSE))</f>
        <v>0</v>
      </c>
      <c r="AC284" s="16">
        <f>IF(ISERROR(VLOOKUP($A284,'13. Updated Demand'!A:Z,20,FALSE)),0,VLOOKUP($A284,'13. Updated Demand'!A:Z,20,FALSE))</f>
        <v>0</v>
      </c>
      <c r="AD284" s="16">
        <f>IF(ISERROR(VLOOKUP($A284,'13. Updated Demand'!A:Z,21,FALSE)),0,VLOOKUP($A284,'13. Updated Demand'!A:Z,21,FALSE))</f>
        <v>0</v>
      </c>
      <c r="AE284" s="16">
        <f>IF(ISERROR(VLOOKUP($A284,'13. Updated Demand'!A:Z,22,FALSE)),0,VLOOKUP($A284,'13. Updated Demand'!A:Z,22,FALSE))</f>
        <v>0</v>
      </c>
      <c r="AF284" s="16">
        <f>IF(ISERROR(VLOOKUP($A284,'13. Updated Demand'!A:Z,23,FALSE)),0,VLOOKUP($A284,'13. Updated Demand'!A:Z,23,FALSE))</f>
        <v>0</v>
      </c>
      <c r="AG284" s="16">
        <f>IF(ISERROR(VLOOKUP($A284,'13. Updated Demand'!A:Z,24,FALSE)),0,VLOOKUP($A284,'13. Updated Demand'!A:Z,24,FALSE))</f>
        <v>0</v>
      </c>
      <c r="AH284" s="16">
        <f>IF(ISERROR(VLOOKUP($A284,'13. Updated Demand'!A:Z,25,FALSE)),0,VLOOKUP($A284,'13. Updated Demand'!A:Z,25,FALSE))</f>
        <v>0</v>
      </c>
      <c r="AI284" s="16">
        <f>IF(ISERROR(VLOOKUP($A284,'13. Updated Demand'!A:Z,26,FALSE)),0,VLOOKUP($A284,'13. Updated Demand'!A:Z,26,FALSE))</f>
        <v>2</v>
      </c>
      <c r="AJ284" s="16">
        <f t="shared" si="60"/>
        <v>15.933333333</v>
      </c>
      <c r="AK284" s="19">
        <v>0</v>
      </c>
      <c r="AL284" s="16">
        <f t="shared" si="58"/>
        <v>0</v>
      </c>
      <c r="AM284" s="17">
        <v>0.63733333331999997</v>
      </c>
      <c r="AN284" s="19"/>
      <c r="AO284" s="19"/>
      <c r="AP284" s="19">
        <v>25</v>
      </c>
      <c r="AQ284" s="19" t="s">
        <v>307</v>
      </c>
      <c r="AR284" s="9" t="s">
        <v>314</v>
      </c>
      <c r="AS284" s="12">
        <v>0</v>
      </c>
      <c r="AT284" s="19">
        <v>38.820700000000002</v>
      </c>
      <c r="AU284" s="19">
        <v>-123.0908</v>
      </c>
      <c r="AV284" s="19" t="s">
        <v>417</v>
      </c>
    </row>
    <row r="285" spans="1:48" x14ac:dyDescent="0.25">
      <c r="A285" s="18" t="s">
        <v>657</v>
      </c>
      <c r="B285" s="10">
        <v>19980807</v>
      </c>
      <c r="C285" s="9">
        <v>23</v>
      </c>
      <c r="D285" s="8" t="str">
        <f t="shared" si="49"/>
        <v>N</v>
      </c>
      <c r="E285" s="8" t="str">
        <f t="shared" si="50"/>
        <v>N</v>
      </c>
      <c r="F285" s="8" t="str">
        <f t="shared" si="51"/>
        <v>N</v>
      </c>
      <c r="G285" s="8" t="str">
        <f t="shared" si="52"/>
        <v>N</v>
      </c>
      <c r="H285" s="8" t="str">
        <f t="shared" si="53"/>
        <v>Lower</v>
      </c>
      <c r="I285" s="8" t="str">
        <f t="shared" si="54"/>
        <v>Outside</v>
      </c>
      <c r="J285" s="8" t="str">
        <f t="shared" si="55"/>
        <v>Outside</v>
      </c>
      <c r="K285" s="8" t="str">
        <f t="shared" si="56"/>
        <v>Post-1949</v>
      </c>
      <c r="L285" s="8">
        <f t="shared" si="57"/>
        <v>1998</v>
      </c>
      <c r="M285" s="8" t="str">
        <f t="shared" si="59"/>
        <v>1991-present</v>
      </c>
      <c r="N285" s="10" t="s">
        <v>242</v>
      </c>
      <c r="O285" s="10" t="s">
        <v>242</v>
      </c>
      <c r="P285" s="10" t="s">
        <v>242</v>
      </c>
      <c r="Q285" s="10" t="s">
        <v>242</v>
      </c>
      <c r="R285" s="10" t="s">
        <v>241</v>
      </c>
      <c r="S285" s="10" t="s">
        <v>242</v>
      </c>
      <c r="T285" s="10" t="s">
        <v>241</v>
      </c>
      <c r="U285" s="10" t="s">
        <v>241</v>
      </c>
      <c r="V285" s="10" t="s">
        <v>241</v>
      </c>
      <c r="W285" s="10" t="s">
        <v>242</v>
      </c>
      <c r="X285" s="15">
        <f>IF(ISERROR(VLOOKUP($A285,'13. Updated Demand'!A:Z,15,FALSE)),0,VLOOKUP($A285,'13. Updated Demand'!A:Z,15,FALSE))</f>
        <v>0</v>
      </c>
      <c r="Y285" s="16">
        <f>IF(ISERROR(VLOOKUP($A285,'13. Updated Demand'!A:Z,16,FALSE)),0,VLOOKUP($A285,'13. Updated Demand'!A:Z,16,FALSE))</f>
        <v>0</v>
      </c>
      <c r="Z285" s="16">
        <f>IF(ISERROR(VLOOKUP($A285,'13. Updated Demand'!A:Z,17,FALSE)),0,VLOOKUP($A285,'13. Updated Demand'!A:Z,17,FALSE))</f>
        <v>0</v>
      </c>
      <c r="AA285" s="16">
        <f>IF(ISERROR(VLOOKUP($A285,'13. Updated Demand'!A:Z,18,FALSE)),0,VLOOKUP($A285,'13. Updated Demand'!A:Z,18,FALSE))</f>
        <v>0</v>
      </c>
      <c r="AB285" s="16">
        <f>IF(ISERROR(VLOOKUP($A285,'13. Updated Demand'!A:Z,19,FALSE)),0,VLOOKUP($A285,'13. Updated Demand'!A:Z,19,FALSE))</f>
        <v>0</v>
      </c>
      <c r="AC285" s="16">
        <f>IF(ISERROR(VLOOKUP($A285,'13. Updated Demand'!A:Z,20,FALSE)),0,VLOOKUP($A285,'13. Updated Demand'!A:Z,20,FALSE))</f>
        <v>0</v>
      </c>
      <c r="AD285" s="16">
        <f>IF(ISERROR(VLOOKUP($A285,'13. Updated Demand'!A:Z,21,FALSE)),0,VLOOKUP($A285,'13. Updated Demand'!A:Z,21,FALSE))</f>
        <v>0</v>
      </c>
      <c r="AE285" s="16">
        <f>IF(ISERROR(VLOOKUP($A285,'13. Updated Demand'!A:Z,22,FALSE)),0,VLOOKUP($A285,'13. Updated Demand'!A:Z,22,FALSE))</f>
        <v>0</v>
      </c>
      <c r="AF285" s="16">
        <f>IF(ISERROR(VLOOKUP($A285,'13. Updated Demand'!A:Z,23,FALSE)),0,VLOOKUP($A285,'13. Updated Demand'!A:Z,23,FALSE))</f>
        <v>0</v>
      </c>
      <c r="AG285" s="16">
        <f>IF(ISERROR(VLOOKUP($A285,'13. Updated Demand'!A:Z,24,FALSE)),0,VLOOKUP($A285,'13. Updated Demand'!A:Z,24,FALSE))</f>
        <v>0</v>
      </c>
      <c r="AH285" s="16">
        <f>IF(ISERROR(VLOOKUP($A285,'13. Updated Demand'!A:Z,25,FALSE)),0,VLOOKUP($A285,'13. Updated Demand'!A:Z,25,FALSE))</f>
        <v>0</v>
      </c>
      <c r="AI285" s="16">
        <f>IF(ISERROR(VLOOKUP($A285,'13. Updated Demand'!A:Z,26,FALSE)),0,VLOOKUP($A285,'13. Updated Demand'!A:Z,26,FALSE))</f>
        <v>0</v>
      </c>
      <c r="AJ285" s="16">
        <f t="shared" si="60"/>
        <v>0</v>
      </c>
      <c r="AK285" s="19">
        <v>0</v>
      </c>
      <c r="AL285" s="16">
        <f t="shared" si="58"/>
        <v>0</v>
      </c>
      <c r="AM285" s="17">
        <v>0</v>
      </c>
      <c r="AN285" s="19"/>
      <c r="AO285" s="19"/>
      <c r="AP285" s="19">
        <v>35</v>
      </c>
      <c r="AQ285" s="19" t="s">
        <v>307</v>
      </c>
      <c r="AR285" s="9" t="s">
        <v>391</v>
      </c>
      <c r="AS285" s="12">
        <v>0</v>
      </c>
      <c r="AT285" s="19">
        <v>38.566635159999997</v>
      </c>
      <c r="AU285" s="19">
        <v>-122.80341683</v>
      </c>
      <c r="AV285" s="19" t="s">
        <v>658</v>
      </c>
    </row>
    <row r="286" spans="1:48" x14ac:dyDescent="0.25">
      <c r="A286" s="18" t="s">
        <v>659</v>
      </c>
      <c r="B286" s="10">
        <v>19980225</v>
      </c>
      <c r="C286" s="9">
        <v>12</v>
      </c>
      <c r="D286" s="8" t="str">
        <f t="shared" si="49"/>
        <v>N</v>
      </c>
      <c r="E286" s="8" t="str">
        <f t="shared" si="50"/>
        <v>Y</v>
      </c>
      <c r="F286" s="8" t="str">
        <f t="shared" si="51"/>
        <v>Y</v>
      </c>
      <c r="G286" s="8" t="str">
        <f t="shared" si="52"/>
        <v>Y</v>
      </c>
      <c r="H286" s="8" t="str">
        <f t="shared" si="53"/>
        <v>Upper</v>
      </c>
      <c r="I286" s="8" t="str">
        <f t="shared" si="54"/>
        <v>West Fork and Below Lake</v>
      </c>
      <c r="J286" s="8" t="str">
        <f t="shared" si="55"/>
        <v>Sonoma (d/s of Clov. Gage)</v>
      </c>
      <c r="K286" s="8" t="str">
        <f t="shared" si="56"/>
        <v>Post-1949</v>
      </c>
      <c r="L286" s="8">
        <f t="shared" si="57"/>
        <v>1998</v>
      </c>
      <c r="M286" s="8" t="str">
        <f t="shared" si="59"/>
        <v>1991-present</v>
      </c>
      <c r="N286" s="10" t="s">
        <v>242</v>
      </c>
      <c r="O286" s="10" t="s">
        <v>241</v>
      </c>
      <c r="P286" s="10" t="s">
        <v>242</v>
      </c>
      <c r="Q286" s="10" t="s">
        <v>242</v>
      </c>
      <c r="R286" s="10" t="s">
        <v>241</v>
      </c>
      <c r="S286" s="10" t="s">
        <v>242</v>
      </c>
      <c r="T286" s="10" t="s">
        <v>241</v>
      </c>
      <c r="U286" s="10" t="s">
        <v>241</v>
      </c>
      <c r="V286" s="10" t="s">
        <v>241</v>
      </c>
      <c r="W286" s="10" t="s">
        <v>242</v>
      </c>
      <c r="X286" s="15">
        <f>IF(ISERROR(VLOOKUP($A286,'13. Updated Demand'!A:Z,15,FALSE)),0,VLOOKUP($A286,'13. Updated Demand'!A:Z,15,FALSE))</f>
        <v>0</v>
      </c>
      <c r="Y286" s="16">
        <f>IF(ISERROR(VLOOKUP($A286,'13. Updated Demand'!A:Z,16,FALSE)),0,VLOOKUP($A286,'13. Updated Demand'!A:Z,16,FALSE))</f>
        <v>0</v>
      </c>
      <c r="Z286" s="16">
        <f>IF(ISERROR(VLOOKUP($A286,'13. Updated Demand'!A:Z,17,FALSE)),0,VLOOKUP($A286,'13. Updated Demand'!A:Z,17,FALSE))</f>
        <v>0</v>
      </c>
      <c r="AA286" s="16">
        <f>IF(ISERROR(VLOOKUP($A286,'13. Updated Demand'!A:Z,18,FALSE)),0,VLOOKUP($A286,'13. Updated Demand'!A:Z,18,FALSE))</f>
        <v>0</v>
      </c>
      <c r="AB286" s="16">
        <f>IF(ISERROR(VLOOKUP($A286,'13. Updated Demand'!A:Z,19,FALSE)),0,VLOOKUP($A286,'13. Updated Demand'!A:Z,19,FALSE))</f>
        <v>0</v>
      </c>
      <c r="AC286" s="16">
        <f>IF(ISERROR(VLOOKUP($A286,'13. Updated Demand'!A:Z,20,FALSE)),0,VLOOKUP($A286,'13. Updated Demand'!A:Z,20,FALSE))</f>
        <v>0</v>
      </c>
      <c r="AD286" s="16">
        <f>IF(ISERROR(VLOOKUP($A286,'13. Updated Demand'!A:Z,21,FALSE)),0,VLOOKUP($A286,'13. Updated Demand'!A:Z,21,FALSE))</f>
        <v>0</v>
      </c>
      <c r="AE286" s="16">
        <f>IF(ISERROR(VLOOKUP($A286,'13. Updated Demand'!A:Z,22,FALSE)),0,VLOOKUP($A286,'13. Updated Demand'!A:Z,22,FALSE))</f>
        <v>0</v>
      </c>
      <c r="AF286" s="16">
        <f>IF(ISERROR(VLOOKUP($A286,'13. Updated Demand'!A:Z,23,FALSE)),0,VLOOKUP($A286,'13. Updated Demand'!A:Z,23,FALSE))</f>
        <v>0</v>
      </c>
      <c r="AG286" s="16">
        <f>IF(ISERROR(VLOOKUP($A286,'13. Updated Demand'!A:Z,24,FALSE)),0,VLOOKUP($A286,'13. Updated Demand'!A:Z,24,FALSE))</f>
        <v>0</v>
      </c>
      <c r="AH286" s="16">
        <f>IF(ISERROR(VLOOKUP($A286,'13. Updated Demand'!A:Z,25,FALSE)),0,VLOOKUP($A286,'13. Updated Demand'!A:Z,25,FALSE))</f>
        <v>0</v>
      </c>
      <c r="AI286" s="16">
        <f>IF(ISERROR(VLOOKUP($A286,'13. Updated Demand'!A:Z,26,FALSE)),0,VLOOKUP($A286,'13. Updated Demand'!A:Z,26,FALSE))</f>
        <v>0</v>
      </c>
      <c r="AJ286" s="16">
        <f t="shared" si="60"/>
        <v>0</v>
      </c>
      <c r="AK286" s="19">
        <v>0</v>
      </c>
      <c r="AL286" s="16">
        <f t="shared" si="58"/>
        <v>0</v>
      </c>
      <c r="AM286" s="17">
        <v>0</v>
      </c>
      <c r="AN286" s="19"/>
      <c r="AO286" s="19"/>
      <c r="AP286" s="19">
        <v>14</v>
      </c>
      <c r="AQ286" s="19" t="s">
        <v>307</v>
      </c>
      <c r="AR286" s="9" t="s">
        <v>311</v>
      </c>
      <c r="AS286" s="12">
        <v>3.4039024194010059E-4</v>
      </c>
      <c r="AT286" s="19">
        <v>38.600161020000002</v>
      </c>
      <c r="AU286" s="19">
        <v>-122.75519663999999</v>
      </c>
      <c r="AV286" s="19" t="s">
        <v>385</v>
      </c>
    </row>
    <row r="287" spans="1:48" x14ac:dyDescent="0.25">
      <c r="A287" s="18" t="s">
        <v>660</v>
      </c>
      <c r="B287" s="10">
        <v>19980810</v>
      </c>
      <c r="C287" s="9">
        <v>12</v>
      </c>
      <c r="D287" s="8" t="str">
        <f t="shared" si="49"/>
        <v>N</v>
      </c>
      <c r="E287" s="8" t="str">
        <f t="shared" si="50"/>
        <v>Y</v>
      </c>
      <c r="F287" s="8" t="str">
        <f t="shared" si="51"/>
        <v>Y</v>
      </c>
      <c r="G287" s="8" t="str">
        <f t="shared" si="52"/>
        <v>Y</v>
      </c>
      <c r="H287" s="8" t="str">
        <f t="shared" si="53"/>
        <v>Upper</v>
      </c>
      <c r="I287" s="8" t="str">
        <f t="shared" si="54"/>
        <v>West Fork and Below Lake</v>
      </c>
      <c r="J287" s="8" t="str">
        <f t="shared" si="55"/>
        <v>Sonoma (d/s of Clov. Gage)</v>
      </c>
      <c r="K287" s="8" t="str">
        <f t="shared" si="56"/>
        <v>Post-1949</v>
      </c>
      <c r="L287" s="8">
        <f t="shared" si="57"/>
        <v>1998</v>
      </c>
      <c r="M287" s="8" t="str">
        <f t="shared" si="59"/>
        <v>1991-present</v>
      </c>
      <c r="N287" s="10" t="s">
        <v>242</v>
      </c>
      <c r="O287" s="10" t="s">
        <v>241</v>
      </c>
      <c r="P287" s="10" t="s">
        <v>242</v>
      </c>
      <c r="Q287" s="10" t="s">
        <v>242</v>
      </c>
      <c r="R287" s="10" t="s">
        <v>241</v>
      </c>
      <c r="S287" s="10" t="s">
        <v>242</v>
      </c>
      <c r="T287" s="10" t="s">
        <v>241</v>
      </c>
      <c r="U287" s="10" t="s">
        <v>241</v>
      </c>
      <c r="V287" s="10" t="s">
        <v>241</v>
      </c>
      <c r="W287" s="10" t="s">
        <v>242</v>
      </c>
      <c r="X287" s="15">
        <f>IF(ISERROR(VLOOKUP($A287,'13. Updated Demand'!A:Z,15,FALSE)),0,VLOOKUP($A287,'13. Updated Demand'!A:Z,15,FALSE))</f>
        <v>0</v>
      </c>
      <c r="Y287" s="16">
        <f>IF(ISERROR(VLOOKUP($A287,'13. Updated Demand'!A:Z,16,FALSE)),0,VLOOKUP($A287,'13. Updated Demand'!A:Z,16,FALSE))</f>
        <v>0</v>
      </c>
      <c r="Z287" s="16">
        <f>IF(ISERROR(VLOOKUP($A287,'13. Updated Demand'!A:Z,17,FALSE)),0,VLOOKUP($A287,'13. Updated Demand'!A:Z,17,FALSE))</f>
        <v>0</v>
      </c>
      <c r="AA287" s="16">
        <f>IF(ISERROR(VLOOKUP($A287,'13. Updated Demand'!A:Z,18,FALSE)),0,VLOOKUP($A287,'13. Updated Demand'!A:Z,18,FALSE))</f>
        <v>0</v>
      </c>
      <c r="AB287" s="16">
        <f>IF(ISERROR(VLOOKUP($A287,'13. Updated Demand'!A:Z,19,FALSE)),0,VLOOKUP($A287,'13. Updated Demand'!A:Z,19,FALSE))</f>
        <v>0</v>
      </c>
      <c r="AC287" s="16">
        <f>IF(ISERROR(VLOOKUP($A287,'13. Updated Demand'!A:Z,20,FALSE)),0,VLOOKUP($A287,'13. Updated Demand'!A:Z,20,FALSE))</f>
        <v>0</v>
      </c>
      <c r="AD287" s="16">
        <f>IF(ISERROR(VLOOKUP($A287,'13. Updated Demand'!A:Z,21,FALSE)),0,VLOOKUP($A287,'13. Updated Demand'!A:Z,21,FALSE))</f>
        <v>0</v>
      </c>
      <c r="AE287" s="16">
        <f>IF(ISERROR(VLOOKUP($A287,'13. Updated Demand'!A:Z,22,FALSE)),0,VLOOKUP($A287,'13. Updated Demand'!A:Z,22,FALSE))</f>
        <v>0</v>
      </c>
      <c r="AF287" s="16">
        <f>IF(ISERROR(VLOOKUP($A287,'13. Updated Demand'!A:Z,23,FALSE)),0,VLOOKUP($A287,'13. Updated Demand'!A:Z,23,FALSE))</f>
        <v>0</v>
      </c>
      <c r="AG287" s="16">
        <f>IF(ISERROR(VLOOKUP($A287,'13. Updated Demand'!A:Z,24,FALSE)),0,VLOOKUP($A287,'13. Updated Demand'!A:Z,24,FALSE))</f>
        <v>0</v>
      </c>
      <c r="AH287" s="16">
        <f>IF(ISERROR(VLOOKUP($A287,'13. Updated Demand'!A:Z,25,FALSE)),0,VLOOKUP($A287,'13. Updated Demand'!A:Z,25,FALSE))</f>
        <v>0</v>
      </c>
      <c r="AI287" s="16">
        <f>IF(ISERROR(VLOOKUP($A287,'13. Updated Demand'!A:Z,26,FALSE)),0,VLOOKUP($A287,'13. Updated Demand'!A:Z,26,FALSE))</f>
        <v>0</v>
      </c>
      <c r="AJ287" s="16">
        <f t="shared" si="60"/>
        <v>0</v>
      </c>
      <c r="AK287" s="19">
        <v>0</v>
      </c>
      <c r="AL287" s="16">
        <f t="shared" si="58"/>
        <v>0</v>
      </c>
      <c r="AM287" s="17">
        <v>0</v>
      </c>
      <c r="AN287" s="19"/>
      <c r="AO287" s="19"/>
      <c r="AP287" s="19">
        <v>15.2</v>
      </c>
      <c r="AQ287" s="19" t="s">
        <v>307</v>
      </c>
      <c r="AR287" s="9" t="s">
        <v>311</v>
      </c>
      <c r="AS287" s="12">
        <v>0</v>
      </c>
      <c r="AT287" s="19">
        <v>38.606299999999997</v>
      </c>
      <c r="AU287" s="19">
        <v>-122.758</v>
      </c>
      <c r="AV287" s="19" t="s">
        <v>417</v>
      </c>
    </row>
    <row r="288" spans="1:48" x14ac:dyDescent="0.25">
      <c r="A288" s="18" t="s">
        <v>661</v>
      </c>
      <c r="B288" s="10">
        <v>19980203</v>
      </c>
      <c r="C288" s="9">
        <v>12</v>
      </c>
      <c r="D288" s="8" t="str">
        <f t="shared" si="49"/>
        <v>N</v>
      </c>
      <c r="E288" s="8" t="str">
        <f t="shared" si="50"/>
        <v>Y</v>
      </c>
      <c r="F288" s="8" t="str">
        <f t="shared" si="51"/>
        <v>Y</v>
      </c>
      <c r="G288" s="8" t="str">
        <f t="shared" si="52"/>
        <v>Y</v>
      </c>
      <c r="H288" s="8" t="str">
        <f t="shared" si="53"/>
        <v>Upper</v>
      </c>
      <c r="I288" s="8" t="str">
        <f t="shared" si="54"/>
        <v>West Fork and Below Lake</v>
      </c>
      <c r="J288" s="8" t="str">
        <f t="shared" si="55"/>
        <v>Sonoma (d/s of Clov. Gage)</v>
      </c>
      <c r="K288" s="8" t="str">
        <f t="shared" si="56"/>
        <v>Post-1949</v>
      </c>
      <c r="L288" s="8">
        <f t="shared" si="57"/>
        <v>1998</v>
      </c>
      <c r="M288" s="8" t="str">
        <f t="shared" si="59"/>
        <v>1991-present</v>
      </c>
      <c r="N288" s="10" t="s">
        <v>242</v>
      </c>
      <c r="O288" s="10" t="s">
        <v>241</v>
      </c>
      <c r="P288" s="10" t="s">
        <v>242</v>
      </c>
      <c r="Q288" s="10" t="s">
        <v>242</v>
      </c>
      <c r="R288" s="10" t="s">
        <v>241</v>
      </c>
      <c r="S288" s="10" t="s">
        <v>242</v>
      </c>
      <c r="T288" s="10" t="s">
        <v>241</v>
      </c>
      <c r="U288" s="10" t="s">
        <v>241</v>
      </c>
      <c r="V288" s="10" t="s">
        <v>241</v>
      </c>
      <c r="W288" s="10" t="s">
        <v>242</v>
      </c>
      <c r="X288" s="15">
        <f>IF(ISERROR(VLOOKUP($A288,'13. Updated Demand'!A:Z,15,FALSE)),0,VLOOKUP($A288,'13. Updated Demand'!A:Z,15,FALSE))</f>
        <v>0</v>
      </c>
      <c r="Y288" s="16">
        <f>IF(ISERROR(VLOOKUP($A288,'13. Updated Demand'!A:Z,16,FALSE)),0,VLOOKUP($A288,'13. Updated Demand'!A:Z,16,FALSE))</f>
        <v>0</v>
      </c>
      <c r="Z288" s="16">
        <f>IF(ISERROR(VLOOKUP($A288,'13. Updated Demand'!A:Z,17,FALSE)),0,VLOOKUP($A288,'13. Updated Demand'!A:Z,17,FALSE))</f>
        <v>0</v>
      </c>
      <c r="AA288" s="16">
        <f>IF(ISERROR(VLOOKUP($A288,'13. Updated Demand'!A:Z,18,FALSE)),0,VLOOKUP($A288,'13. Updated Demand'!A:Z,18,FALSE))</f>
        <v>0</v>
      </c>
      <c r="AB288" s="16">
        <f>IF(ISERROR(VLOOKUP($A288,'13. Updated Demand'!A:Z,19,FALSE)),0,VLOOKUP($A288,'13. Updated Demand'!A:Z,19,FALSE))</f>
        <v>0</v>
      </c>
      <c r="AC288" s="16">
        <f>IF(ISERROR(VLOOKUP($A288,'13. Updated Demand'!A:Z,20,FALSE)),0,VLOOKUP($A288,'13. Updated Demand'!A:Z,20,FALSE))</f>
        <v>0</v>
      </c>
      <c r="AD288" s="16">
        <f>IF(ISERROR(VLOOKUP($A288,'13. Updated Demand'!A:Z,21,FALSE)),0,VLOOKUP($A288,'13. Updated Demand'!A:Z,21,FALSE))</f>
        <v>0</v>
      </c>
      <c r="AE288" s="16">
        <f>IF(ISERROR(VLOOKUP($A288,'13. Updated Demand'!A:Z,22,FALSE)),0,VLOOKUP($A288,'13. Updated Demand'!A:Z,22,FALSE))</f>
        <v>0</v>
      </c>
      <c r="AF288" s="16">
        <f>IF(ISERROR(VLOOKUP($A288,'13. Updated Demand'!A:Z,23,FALSE)),0,VLOOKUP($A288,'13. Updated Demand'!A:Z,23,FALSE))</f>
        <v>0</v>
      </c>
      <c r="AG288" s="16">
        <f>IF(ISERROR(VLOOKUP($A288,'13. Updated Demand'!A:Z,24,FALSE)),0,VLOOKUP($A288,'13. Updated Demand'!A:Z,24,FALSE))</f>
        <v>0</v>
      </c>
      <c r="AH288" s="16">
        <f>IF(ISERROR(VLOOKUP($A288,'13. Updated Demand'!A:Z,25,FALSE)),0,VLOOKUP($A288,'13. Updated Demand'!A:Z,25,FALSE))</f>
        <v>0</v>
      </c>
      <c r="AI288" s="16">
        <f>IF(ISERROR(VLOOKUP($A288,'13. Updated Demand'!A:Z,26,FALSE)),0,VLOOKUP($A288,'13. Updated Demand'!A:Z,26,FALSE))</f>
        <v>0</v>
      </c>
      <c r="AJ288" s="16">
        <f t="shared" si="60"/>
        <v>0</v>
      </c>
      <c r="AK288" s="19">
        <v>0</v>
      </c>
      <c r="AL288" s="16">
        <f t="shared" si="58"/>
        <v>0</v>
      </c>
      <c r="AM288" s="17">
        <v>0</v>
      </c>
      <c r="AN288" s="19"/>
      <c r="AO288" s="19"/>
      <c r="AP288" s="19">
        <v>19</v>
      </c>
      <c r="AQ288" s="19" t="s">
        <v>307</v>
      </c>
      <c r="AR288" s="9" t="s">
        <v>311</v>
      </c>
      <c r="AS288" s="12">
        <v>0</v>
      </c>
      <c r="AT288" s="19">
        <v>38.600999999999999</v>
      </c>
      <c r="AU288" s="19">
        <v>-122.7535</v>
      </c>
      <c r="AV288" s="19" t="s">
        <v>417</v>
      </c>
    </row>
    <row r="289" spans="1:48" x14ac:dyDescent="0.25">
      <c r="A289" s="18" t="s">
        <v>662</v>
      </c>
      <c r="B289" s="10">
        <v>19980309</v>
      </c>
      <c r="C289" s="9">
        <v>12</v>
      </c>
      <c r="D289" s="8" t="str">
        <f t="shared" si="49"/>
        <v>N</v>
      </c>
      <c r="E289" s="8" t="str">
        <f t="shared" si="50"/>
        <v>Y</v>
      </c>
      <c r="F289" s="8" t="str">
        <f t="shared" si="51"/>
        <v>Y</v>
      </c>
      <c r="G289" s="8" t="str">
        <f t="shared" si="52"/>
        <v>Y</v>
      </c>
      <c r="H289" s="8" t="str">
        <f t="shared" si="53"/>
        <v>Upper</v>
      </c>
      <c r="I289" s="8" t="str">
        <f t="shared" si="54"/>
        <v>West Fork and Below Lake</v>
      </c>
      <c r="J289" s="8" t="str">
        <f t="shared" si="55"/>
        <v>Sonoma (d/s of Clov. Gage)</v>
      </c>
      <c r="K289" s="8" t="str">
        <f t="shared" si="56"/>
        <v>Post-1949</v>
      </c>
      <c r="L289" s="8">
        <f t="shared" si="57"/>
        <v>1998</v>
      </c>
      <c r="M289" s="8" t="str">
        <f t="shared" si="59"/>
        <v>1991-present</v>
      </c>
      <c r="N289" s="10" t="s">
        <v>242</v>
      </c>
      <c r="O289" s="10" t="s">
        <v>241</v>
      </c>
      <c r="P289" s="10" t="s">
        <v>242</v>
      </c>
      <c r="Q289" s="10" t="s">
        <v>242</v>
      </c>
      <c r="R289" s="10" t="s">
        <v>241</v>
      </c>
      <c r="S289" s="10" t="s">
        <v>242</v>
      </c>
      <c r="T289" s="10" t="s">
        <v>242</v>
      </c>
      <c r="U289" s="10" t="s">
        <v>242</v>
      </c>
      <c r="V289" s="10" t="s">
        <v>241</v>
      </c>
      <c r="W289" s="10" t="s">
        <v>242</v>
      </c>
      <c r="X289" s="15">
        <f>IF(ISERROR(VLOOKUP($A289,'13. Updated Demand'!A:Z,15,FALSE)),0,VLOOKUP($A289,'13. Updated Demand'!A:Z,15,FALSE))</f>
        <v>2.66</v>
      </c>
      <c r="Y289" s="16">
        <f>IF(ISERROR(VLOOKUP($A289,'13. Updated Demand'!A:Z,16,FALSE)),0,VLOOKUP($A289,'13. Updated Demand'!A:Z,16,FALSE))</f>
        <v>3.33</v>
      </c>
      <c r="Z289" s="16">
        <f>IF(ISERROR(VLOOKUP($A289,'13. Updated Demand'!A:Z,17,FALSE)),0,VLOOKUP($A289,'13. Updated Demand'!A:Z,17,FALSE))</f>
        <v>1.33</v>
      </c>
      <c r="AA289" s="16">
        <f>IF(ISERROR(VLOOKUP($A289,'13. Updated Demand'!A:Z,18,FALSE)),0,VLOOKUP($A289,'13. Updated Demand'!A:Z,18,FALSE))</f>
        <v>0.66</v>
      </c>
      <c r="AB289" s="16">
        <f>IF(ISERROR(VLOOKUP($A289,'13. Updated Demand'!A:Z,19,FALSE)),0,VLOOKUP($A289,'13. Updated Demand'!A:Z,19,FALSE))</f>
        <v>0</v>
      </c>
      <c r="AC289" s="16">
        <f>IF(ISERROR(VLOOKUP($A289,'13. Updated Demand'!A:Z,20,FALSE)),0,VLOOKUP($A289,'13. Updated Demand'!A:Z,20,FALSE))</f>
        <v>0</v>
      </c>
      <c r="AD289" s="16">
        <f>IF(ISERROR(VLOOKUP($A289,'13. Updated Demand'!A:Z,21,FALSE)),0,VLOOKUP($A289,'13. Updated Demand'!A:Z,21,FALSE))</f>
        <v>0</v>
      </c>
      <c r="AE289" s="16">
        <f>IF(ISERROR(VLOOKUP($A289,'13. Updated Demand'!A:Z,22,FALSE)),0,VLOOKUP($A289,'13. Updated Demand'!A:Z,22,FALSE))</f>
        <v>0</v>
      </c>
      <c r="AF289" s="16">
        <f>IF(ISERROR(VLOOKUP($A289,'13. Updated Demand'!A:Z,23,FALSE)),0,VLOOKUP($A289,'13. Updated Demand'!A:Z,23,FALSE))</f>
        <v>0</v>
      </c>
      <c r="AG289" s="16">
        <f>IF(ISERROR(VLOOKUP($A289,'13. Updated Demand'!A:Z,24,FALSE)),0,VLOOKUP($A289,'13. Updated Demand'!A:Z,24,FALSE))</f>
        <v>0</v>
      </c>
      <c r="AH289" s="16">
        <f>IF(ISERROR(VLOOKUP($A289,'13. Updated Demand'!A:Z,25,FALSE)),0,VLOOKUP($A289,'13. Updated Demand'!A:Z,25,FALSE))</f>
        <v>0</v>
      </c>
      <c r="AI289" s="16">
        <f>IF(ISERROR(VLOOKUP($A289,'13. Updated Demand'!A:Z,26,FALSE)),0,VLOOKUP($A289,'13. Updated Demand'!A:Z,26,FALSE))</f>
        <v>1.33</v>
      </c>
      <c r="AJ289" s="16">
        <f t="shared" si="60"/>
        <v>9.31</v>
      </c>
      <c r="AK289" s="19">
        <v>0</v>
      </c>
      <c r="AL289" s="16">
        <f t="shared" si="58"/>
        <v>0</v>
      </c>
      <c r="AM289" s="17">
        <v>0.40579710143478265</v>
      </c>
      <c r="AN289" s="19"/>
      <c r="AO289" s="19"/>
      <c r="AP289" s="19">
        <v>23</v>
      </c>
      <c r="AQ289" s="19" t="s">
        <v>307</v>
      </c>
      <c r="AR289" s="9" t="s">
        <v>311</v>
      </c>
      <c r="AS289" s="12">
        <v>3.4039024194010059E-4</v>
      </c>
      <c r="AT289" s="19">
        <v>38.649523240000001</v>
      </c>
      <c r="AU289" s="19">
        <v>-122.76898349</v>
      </c>
      <c r="AV289" s="19" t="s">
        <v>417</v>
      </c>
    </row>
    <row r="290" spans="1:48" x14ac:dyDescent="0.25">
      <c r="A290" s="18" t="s">
        <v>663</v>
      </c>
      <c r="B290" s="10">
        <v>19981130</v>
      </c>
      <c r="C290" s="9">
        <v>5</v>
      </c>
      <c r="D290" s="8" t="str">
        <f t="shared" si="49"/>
        <v>Y</v>
      </c>
      <c r="E290" s="8" t="str">
        <f t="shared" si="50"/>
        <v>N</v>
      </c>
      <c r="F290" s="8" t="str">
        <f t="shared" si="51"/>
        <v>Y</v>
      </c>
      <c r="G290" s="8" t="str">
        <f t="shared" si="52"/>
        <v>Y</v>
      </c>
      <c r="H290" s="8" t="str">
        <f t="shared" si="53"/>
        <v>Upper</v>
      </c>
      <c r="I290" s="8" t="str">
        <f t="shared" si="54"/>
        <v>West Fork and Below Lake</v>
      </c>
      <c r="J290" s="8" t="str">
        <f t="shared" si="55"/>
        <v>Mendocino (d/s of lake)</v>
      </c>
      <c r="K290" s="8" t="str">
        <f t="shared" si="56"/>
        <v>Post-1949</v>
      </c>
      <c r="L290" s="8">
        <f t="shared" si="57"/>
        <v>1998</v>
      </c>
      <c r="M290" s="8" t="str">
        <f t="shared" si="59"/>
        <v>1991-present</v>
      </c>
      <c r="N290" s="10" t="s">
        <v>242</v>
      </c>
      <c r="O290" s="10" t="s">
        <v>241</v>
      </c>
      <c r="P290" s="10" t="s">
        <v>242</v>
      </c>
      <c r="Q290" s="10" t="s">
        <v>242</v>
      </c>
      <c r="R290" s="10" t="s">
        <v>241</v>
      </c>
      <c r="S290" s="10" t="s">
        <v>242</v>
      </c>
      <c r="T290" s="10" t="s">
        <v>241</v>
      </c>
      <c r="U290" s="10" t="s">
        <v>241</v>
      </c>
      <c r="V290" s="10" t="s">
        <v>241</v>
      </c>
      <c r="W290" s="10" t="s">
        <v>242</v>
      </c>
      <c r="X290" s="15">
        <f>IF(ISERROR(VLOOKUP($A290,'13. Updated Demand'!A:Z,15,FALSE)),0,VLOOKUP($A290,'13. Updated Demand'!A:Z,15,FALSE))</f>
        <v>0</v>
      </c>
      <c r="Y290" s="16">
        <f>IF(ISERROR(VLOOKUP($A290,'13. Updated Demand'!A:Z,16,FALSE)),0,VLOOKUP($A290,'13. Updated Demand'!A:Z,16,FALSE))</f>
        <v>0</v>
      </c>
      <c r="Z290" s="16">
        <f>IF(ISERROR(VLOOKUP($A290,'13. Updated Demand'!A:Z,17,FALSE)),0,VLOOKUP($A290,'13. Updated Demand'!A:Z,17,FALSE))</f>
        <v>0</v>
      </c>
      <c r="AA290" s="16">
        <f>IF(ISERROR(VLOOKUP($A290,'13. Updated Demand'!A:Z,18,FALSE)),0,VLOOKUP($A290,'13. Updated Demand'!A:Z,18,FALSE))</f>
        <v>0</v>
      </c>
      <c r="AB290" s="16">
        <f>IF(ISERROR(VLOOKUP($A290,'13. Updated Demand'!A:Z,19,FALSE)),0,VLOOKUP($A290,'13. Updated Demand'!A:Z,19,FALSE))</f>
        <v>0</v>
      </c>
      <c r="AC290" s="16">
        <f>IF(ISERROR(VLOOKUP($A290,'13. Updated Demand'!A:Z,20,FALSE)),0,VLOOKUP($A290,'13. Updated Demand'!A:Z,20,FALSE))</f>
        <v>0</v>
      </c>
      <c r="AD290" s="16">
        <f>IF(ISERROR(VLOOKUP($A290,'13. Updated Demand'!A:Z,21,FALSE)),0,VLOOKUP($A290,'13. Updated Demand'!A:Z,21,FALSE))</f>
        <v>0</v>
      </c>
      <c r="AE290" s="16">
        <f>IF(ISERROR(VLOOKUP($A290,'13. Updated Demand'!A:Z,22,FALSE)),0,VLOOKUP($A290,'13. Updated Demand'!A:Z,22,FALSE))</f>
        <v>0</v>
      </c>
      <c r="AF290" s="16">
        <f>IF(ISERROR(VLOOKUP($A290,'13. Updated Demand'!A:Z,23,FALSE)),0,VLOOKUP($A290,'13. Updated Demand'!A:Z,23,FALSE))</f>
        <v>0</v>
      </c>
      <c r="AG290" s="16">
        <f>IF(ISERROR(VLOOKUP($A290,'13. Updated Demand'!A:Z,24,FALSE)),0,VLOOKUP($A290,'13. Updated Demand'!A:Z,24,FALSE))</f>
        <v>0</v>
      </c>
      <c r="AH290" s="16">
        <f>IF(ISERROR(VLOOKUP($A290,'13. Updated Demand'!A:Z,25,FALSE)),0,VLOOKUP($A290,'13. Updated Demand'!A:Z,25,FALSE))</f>
        <v>0</v>
      </c>
      <c r="AI290" s="16">
        <f>IF(ISERROR(VLOOKUP($A290,'13. Updated Demand'!A:Z,26,FALSE)),0,VLOOKUP($A290,'13. Updated Demand'!A:Z,26,FALSE))</f>
        <v>0</v>
      </c>
      <c r="AJ290" s="16">
        <f t="shared" si="60"/>
        <v>0</v>
      </c>
      <c r="AK290" s="19">
        <v>0</v>
      </c>
      <c r="AL290" s="16">
        <f t="shared" si="58"/>
        <v>0</v>
      </c>
      <c r="AM290" s="17">
        <v>0</v>
      </c>
      <c r="AN290" s="19"/>
      <c r="AO290" s="19"/>
      <c r="AP290" s="19">
        <v>28.2</v>
      </c>
      <c r="AQ290" s="19" t="s">
        <v>307</v>
      </c>
      <c r="AR290" s="9" t="s">
        <v>333</v>
      </c>
      <c r="AS290" s="12">
        <v>0</v>
      </c>
      <c r="AT290" s="19">
        <v>39.040599999999998</v>
      </c>
      <c r="AU290" s="19">
        <v>-123.1527</v>
      </c>
      <c r="AV290" s="19" t="s">
        <v>664</v>
      </c>
    </row>
    <row r="291" spans="1:48" x14ac:dyDescent="0.25">
      <c r="A291" s="18" t="s">
        <v>665</v>
      </c>
      <c r="B291" s="10">
        <v>19981130</v>
      </c>
      <c r="C291" s="9">
        <v>5</v>
      </c>
      <c r="D291" s="8" t="str">
        <f t="shared" si="49"/>
        <v>Y</v>
      </c>
      <c r="E291" s="8" t="str">
        <f t="shared" si="50"/>
        <v>N</v>
      </c>
      <c r="F291" s="8" t="str">
        <f t="shared" si="51"/>
        <v>Y</v>
      </c>
      <c r="G291" s="8" t="str">
        <f t="shared" si="52"/>
        <v>Y</v>
      </c>
      <c r="H291" s="8" t="str">
        <f t="shared" si="53"/>
        <v>Upper</v>
      </c>
      <c r="I291" s="8" t="str">
        <f t="shared" si="54"/>
        <v>West Fork and Below Lake</v>
      </c>
      <c r="J291" s="8" t="str">
        <f t="shared" si="55"/>
        <v>Mendocino (d/s of lake)</v>
      </c>
      <c r="K291" s="8" t="str">
        <f t="shared" si="56"/>
        <v>Post-1949</v>
      </c>
      <c r="L291" s="8">
        <f t="shared" si="57"/>
        <v>1998</v>
      </c>
      <c r="M291" s="8" t="str">
        <f t="shared" si="59"/>
        <v>1991-present</v>
      </c>
      <c r="N291" s="10" t="s">
        <v>242</v>
      </c>
      <c r="O291" s="10" t="s">
        <v>241</v>
      </c>
      <c r="P291" s="10" t="s">
        <v>242</v>
      </c>
      <c r="Q291" s="10" t="s">
        <v>242</v>
      </c>
      <c r="R291" s="10" t="s">
        <v>241</v>
      </c>
      <c r="S291" s="10" t="s">
        <v>242</v>
      </c>
      <c r="T291" s="10" t="s">
        <v>241</v>
      </c>
      <c r="U291" s="10" t="s">
        <v>241</v>
      </c>
      <c r="V291" s="10" t="s">
        <v>241</v>
      </c>
      <c r="W291" s="10" t="s">
        <v>242</v>
      </c>
      <c r="X291" s="15">
        <f>IF(ISERROR(VLOOKUP($A291,'13. Updated Demand'!A:Z,15,FALSE)),0,VLOOKUP($A291,'13. Updated Demand'!A:Z,15,FALSE))</f>
        <v>0</v>
      </c>
      <c r="Y291" s="16">
        <f>IF(ISERROR(VLOOKUP($A291,'13. Updated Demand'!A:Z,16,FALSE)),0,VLOOKUP($A291,'13. Updated Demand'!A:Z,16,FALSE))</f>
        <v>0</v>
      </c>
      <c r="Z291" s="16">
        <f>IF(ISERROR(VLOOKUP($A291,'13. Updated Demand'!A:Z,17,FALSE)),0,VLOOKUP($A291,'13. Updated Demand'!A:Z,17,FALSE))</f>
        <v>0</v>
      </c>
      <c r="AA291" s="16">
        <f>IF(ISERROR(VLOOKUP($A291,'13. Updated Demand'!A:Z,18,FALSE)),0,VLOOKUP($A291,'13. Updated Demand'!A:Z,18,FALSE))</f>
        <v>0</v>
      </c>
      <c r="AB291" s="16">
        <f>IF(ISERROR(VLOOKUP($A291,'13. Updated Demand'!A:Z,19,FALSE)),0,VLOOKUP($A291,'13. Updated Demand'!A:Z,19,FALSE))</f>
        <v>0</v>
      </c>
      <c r="AC291" s="16">
        <f>IF(ISERROR(VLOOKUP($A291,'13. Updated Demand'!A:Z,20,FALSE)),0,VLOOKUP($A291,'13. Updated Demand'!A:Z,20,FALSE))</f>
        <v>0</v>
      </c>
      <c r="AD291" s="16">
        <f>IF(ISERROR(VLOOKUP($A291,'13. Updated Demand'!A:Z,21,FALSE)),0,VLOOKUP($A291,'13. Updated Demand'!A:Z,21,FALSE))</f>
        <v>0</v>
      </c>
      <c r="AE291" s="16">
        <f>IF(ISERROR(VLOOKUP($A291,'13. Updated Demand'!A:Z,22,FALSE)),0,VLOOKUP($A291,'13. Updated Demand'!A:Z,22,FALSE))</f>
        <v>0</v>
      </c>
      <c r="AF291" s="16">
        <f>IF(ISERROR(VLOOKUP($A291,'13. Updated Demand'!A:Z,23,FALSE)),0,VLOOKUP($A291,'13. Updated Demand'!A:Z,23,FALSE))</f>
        <v>0</v>
      </c>
      <c r="AG291" s="16">
        <f>IF(ISERROR(VLOOKUP($A291,'13. Updated Demand'!A:Z,24,FALSE)),0,VLOOKUP($A291,'13. Updated Demand'!A:Z,24,FALSE))</f>
        <v>0</v>
      </c>
      <c r="AH291" s="16">
        <f>IF(ISERROR(VLOOKUP($A291,'13. Updated Demand'!A:Z,25,FALSE)),0,VLOOKUP($A291,'13. Updated Demand'!A:Z,25,FALSE))</f>
        <v>0</v>
      </c>
      <c r="AI291" s="16">
        <f>IF(ISERROR(VLOOKUP($A291,'13. Updated Demand'!A:Z,26,FALSE)),0,VLOOKUP($A291,'13. Updated Demand'!A:Z,26,FALSE))</f>
        <v>0</v>
      </c>
      <c r="AJ291" s="16">
        <f t="shared" si="60"/>
        <v>0</v>
      </c>
      <c r="AK291" s="19">
        <v>0</v>
      </c>
      <c r="AL291" s="16">
        <f t="shared" si="58"/>
        <v>0</v>
      </c>
      <c r="AM291" s="17">
        <v>0</v>
      </c>
      <c r="AN291" s="19"/>
      <c r="AO291" s="19"/>
      <c r="AP291" s="19">
        <v>15.8</v>
      </c>
      <c r="AQ291" s="19" t="s">
        <v>307</v>
      </c>
      <c r="AR291" s="9" t="s">
        <v>333</v>
      </c>
      <c r="AS291" s="12">
        <v>0</v>
      </c>
      <c r="AT291" s="19">
        <v>39.04</v>
      </c>
      <c r="AU291" s="19">
        <v>-123.1575</v>
      </c>
      <c r="AV291" s="19" t="s">
        <v>385</v>
      </c>
    </row>
    <row r="292" spans="1:48" x14ac:dyDescent="0.25">
      <c r="A292" s="18" t="s">
        <v>666</v>
      </c>
      <c r="B292" s="10">
        <v>19981130</v>
      </c>
      <c r="C292" s="9">
        <v>5</v>
      </c>
      <c r="D292" s="8" t="str">
        <f t="shared" si="49"/>
        <v>Y</v>
      </c>
      <c r="E292" s="8" t="str">
        <f t="shared" si="50"/>
        <v>N</v>
      </c>
      <c r="F292" s="8" t="str">
        <f t="shared" si="51"/>
        <v>Y</v>
      </c>
      <c r="G292" s="8" t="str">
        <f t="shared" si="52"/>
        <v>Y</v>
      </c>
      <c r="H292" s="8" t="str">
        <f t="shared" si="53"/>
        <v>Upper</v>
      </c>
      <c r="I292" s="8" t="str">
        <f t="shared" si="54"/>
        <v>West Fork and Below Lake</v>
      </c>
      <c r="J292" s="8" t="str">
        <f t="shared" si="55"/>
        <v>Mendocino (d/s of lake)</v>
      </c>
      <c r="K292" s="8" t="str">
        <f t="shared" si="56"/>
        <v>Post-1949</v>
      </c>
      <c r="L292" s="8">
        <f t="shared" si="57"/>
        <v>1998</v>
      </c>
      <c r="M292" s="8" t="str">
        <f t="shared" si="59"/>
        <v>1991-present</v>
      </c>
      <c r="N292" s="10" t="s">
        <v>242</v>
      </c>
      <c r="O292" s="10" t="s">
        <v>241</v>
      </c>
      <c r="P292" s="10" t="s">
        <v>242</v>
      </c>
      <c r="Q292" s="10" t="s">
        <v>242</v>
      </c>
      <c r="R292" s="10" t="s">
        <v>241</v>
      </c>
      <c r="S292" s="10" t="s">
        <v>242</v>
      </c>
      <c r="T292" s="10" t="s">
        <v>241</v>
      </c>
      <c r="U292" s="10" t="s">
        <v>241</v>
      </c>
      <c r="V292" s="10" t="s">
        <v>241</v>
      </c>
      <c r="W292" s="10" t="s">
        <v>242</v>
      </c>
      <c r="X292" s="15">
        <f>IF(ISERROR(VLOOKUP($A292,'13. Updated Demand'!A:Z,15,FALSE)),0,VLOOKUP($A292,'13. Updated Demand'!A:Z,15,FALSE))</f>
        <v>0</v>
      </c>
      <c r="Y292" s="16">
        <f>IF(ISERROR(VLOOKUP($A292,'13. Updated Demand'!A:Z,16,FALSE)),0,VLOOKUP($A292,'13. Updated Demand'!A:Z,16,FALSE))</f>
        <v>0</v>
      </c>
      <c r="Z292" s="16">
        <f>IF(ISERROR(VLOOKUP($A292,'13. Updated Demand'!A:Z,17,FALSE)),0,VLOOKUP($A292,'13. Updated Demand'!A:Z,17,FALSE))</f>
        <v>0</v>
      </c>
      <c r="AA292" s="16">
        <f>IF(ISERROR(VLOOKUP($A292,'13. Updated Demand'!A:Z,18,FALSE)),0,VLOOKUP($A292,'13. Updated Demand'!A:Z,18,FALSE))</f>
        <v>0</v>
      </c>
      <c r="AB292" s="16">
        <f>IF(ISERROR(VLOOKUP($A292,'13. Updated Demand'!A:Z,19,FALSE)),0,VLOOKUP($A292,'13. Updated Demand'!A:Z,19,FALSE))</f>
        <v>0</v>
      </c>
      <c r="AC292" s="16">
        <f>IF(ISERROR(VLOOKUP($A292,'13. Updated Demand'!A:Z,20,FALSE)),0,VLOOKUP($A292,'13. Updated Demand'!A:Z,20,FALSE))</f>
        <v>0</v>
      </c>
      <c r="AD292" s="16">
        <f>IF(ISERROR(VLOOKUP($A292,'13. Updated Demand'!A:Z,21,FALSE)),0,VLOOKUP($A292,'13. Updated Demand'!A:Z,21,FALSE))</f>
        <v>0</v>
      </c>
      <c r="AE292" s="16">
        <f>IF(ISERROR(VLOOKUP($A292,'13. Updated Demand'!A:Z,22,FALSE)),0,VLOOKUP($A292,'13. Updated Demand'!A:Z,22,FALSE))</f>
        <v>0</v>
      </c>
      <c r="AF292" s="16">
        <f>IF(ISERROR(VLOOKUP($A292,'13. Updated Demand'!A:Z,23,FALSE)),0,VLOOKUP($A292,'13. Updated Demand'!A:Z,23,FALSE))</f>
        <v>0</v>
      </c>
      <c r="AG292" s="16">
        <f>IF(ISERROR(VLOOKUP($A292,'13. Updated Demand'!A:Z,24,FALSE)),0,VLOOKUP($A292,'13. Updated Demand'!A:Z,24,FALSE))</f>
        <v>0</v>
      </c>
      <c r="AH292" s="16">
        <f>IF(ISERROR(VLOOKUP($A292,'13. Updated Demand'!A:Z,25,FALSE)),0,VLOOKUP($A292,'13. Updated Demand'!A:Z,25,FALSE))</f>
        <v>0</v>
      </c>
      <c r="AI292" s="16">
        <f>IF(ISERROR(VLOOKUP($A292,'13. Updated Demand'!A:Z,26,FALSE)),0,VLOOKUP($A292,'13. Updated Demand'!A:Z,26,FALSE))</f>
        <v>0</v>
      </c>
      <c r="AJ292" s="16">
        <f t="shared" si="60"/>
        <v>0</v>
      </c>
      <c r="AK292" s="19">
        <v>0</v>
      </c>
      <c r="AL292" s="16">
        <f t="shared" si="58"/>
        <v>0</v>
      </c>
      <c r="AM292" s="17">
        <v>0</v>
      </c>
      <c r="AN292" s="19"/>
      <c r="AO292" s="19"/>
      <c r="AP292" s="19">
        <v>20</v>
      </c>
      <c r="AQ292" s="19" t="s">
        <v>307</v>
      </c>
      <c r="AR292" s="9" t="s">
        <v>333</v>
      </c>
      <c r="AS292" s="12">
        <v>0</v>
      </c>
      <c r="AT292" s="19">
        <v>39.040599999999998</v>
      </c>
      <c r="AU292" s="19">
        <v>-123.1527</v>
      </c>
      <c r="AV292" s="19" t="s">
        <v>664</v>
      </c>
    </row>
    <row r="293" spans="1:48" x14ac:dyDescent="0.25">
      <c r="A293" s="18" t="s">
        <v>667</v>
      </c>
      <c r="B293" s="10">
        <v>19981130</v>
      </c>
      <c r="C293" s="9">
        <v>5</v>
      </c>
      <c r="D293" s="8" t="str">
        <f t="shared" si="49"/>
        <v>Y</v>
      </c>
      <c r="E293" s="8" t="str">
        <f t="shared" si="50"/>
        <v>N</v>
      </c>
      <c r="F293" s="8" t="str">
        <f t="shared" si="51"/>
        <v>Y</v>
      </c>
      <c r="G293" s="8" t="str">
        <f t="shared" si="52"/>
        <v>Y</v>
      </c>
      <c r="H293" s="8" t="str">
        <f t="shared" si="53"/>
        <v>Upper</v>
      </c>
      <c r="I293" s="8" t="str">
        <f t="shared" si="54"/>
        <v>West Fork and Below Lake</v>
      </c>
      <c r="J293" s="8" t="str">
        <f t="shared" si="55"/>
        <v>Mendocino (d/s of lake)</v>
      </c>
      <c r="K293" s="8" t="str">
        <f t="shared" si="56"/>
        <v>Post-1949</v>
      </c>
      <c r="L293" s="8">
        <f t="shared" si="57"/>
        <v>1998</v>
      </c>
      <c r="M293" s="8" t="str">
        <f t="shared" si="59"/>
        <v>1991-present</v>
      </c>
      <c r="N293" s="10" t="s">
        <v>242</v>
      </c>
      <c r="O293" s="10" t="s">
        <v>241</v>
      </c>
      <c r="P293" s="10" t="s">
        <v>242</v>
      </c>
      <c r="Q293" s="10" t="s">
        <v>242</v>
      </c>
      <c r="R293" s="10" t="s">
        <v>241</v>
      </c>
      <c r="S293" s="10" t="s">
        <v>242</v>
      </c>
      <c r="T293" s="10" t="s">
        <v>241</v>
      </c>
      <c r="U293" s="10" t="s">
        <v>241</v>
      </c>
      <c r="V293" s="10" t="s">
        <v>241</v>
      </c>
      <c r="W293" s="10" t="s">
        <v>242</v>
      </c>
      <c r="X293" s="15">
        <f>IF(ISERROR(VLOOKUP($A293,'13. Updated Demand'!A:Z,15,FALSE)),0,VLOOKUP($A293,'13. Updated Demand'!A:Z,15,FALSE))</f>
        <v>0</v>
      </c>
      <c r="Y293" s="16">
        <f>IF(ISERROR(VLOOKUP($A293,'13. Updated Demand'!A:Z,16,FALSE)),0,VLOOKUP($A293,'13. Updated Demand'!A:Z,16,FALSE))</f>
        <v>0</v>
      </c>
      <c r="Z293" s="16">
        <f>IF(ISERROR(VLOOKUP($A293,'13. Updated Demand'!A:Z,17,FALSE)),0,VLOOKUP($A293,'13. Updated Demand'!A:Z,17,FALSE))</f>
        <v>0</v>
      </c>
      <c r="AA293" s="16">
        <f>IF(ISERROR(VLOOKUP($A293,'13. Updated Demand'!A:Z,18,FALSE)),0,VLOOKUP($A293,'13. Updated Demand'!A:Z,18,FALSE))</f>
        <v>0</v>
      </c>
      <c r="AB293" s="16">
        <f>IF(ISERROR(VLOOKUP($A293,'13. Updated Demand'!A:Z,19,FALSE)),0,VLOOKUP($A293,'13. Updated Demand'!A:Z,19,FALSE))</f>
        <v>0</v>
      </c>
      <c r="AC293" s="16">
        <f>IF(ISERROR(VLOOKUP($A293,'13. Updated Demand'!A:Z,20,FALSE)),0,VLOOKUP($A293,'13. Updated Demand'!A:Z,20,FALSE))</f>
        <v>0</v>
      </c>
      <c r="AD293" s="16">
        <f>IF(ISERROR(VLOOKUP($A293,'13. Updated Demand'!A:Z,21,FALSE)),0,VLOOKUP($A293,'13. Updated Demand'!A:Z,21,FALSE))</f>
        <v>0</v>
      </c>
      <c r="AE293" s="16">
        <f>IF(ISERROR(VLOOKUP($A293,'13. Updated Demand'!A:Z,22,FALSE)),0,VLOOKUP($A293,'13. Updated Demand'!A:Z,22,FALSE))</f>
        <v>0</v>
      </c>
      <c r="AF293" s="16">
        <f>IF(ISERROR(VLOOKUP($A293,'13. Updated Demand'!A:Z,23,FALSE)),0,VLOOKUP($A293,'13. Updated Demand'!A:Z,23,FALSE))</f>
        <v>0</v>
      </c>
      <c r="AG293" s="16">
        <f>IF(ISERROR(VLOOKUP($A293,'13. Updated Demand'!A:Z,24,FALSE)),0,VLOOKUP($A293,'13. Updated Demand'!A:Z,24,FALSE))</f>
        <v>0</v>
      </c>
      <c r="AH293" s="16">
        <f>IF(ISERROR(VLOOKUP($A293,'13. Updated Demand'!A:Z,25,FALSE)),0,VLOOKUP($A293,'13. Updated Demand'!A:Z,25,FALSE))</f>
        <v>0</v>
      </c>
      <c r="AI293" s="16">
        <f>IF(ISERROR(VLOOKUP($A293,'13. Updated Demand'!A:Z,26,FALSE)),0,VLOOKUP($A293,'13. Updated Demand'!A:Z,26,FALSE))</f>
        <v>0</v>
      </c>
      <c r="AJ293" s="16">
        <f t="shared" si="60"/>
        <v>0</v>
      </c>
      <c r="AK293" s="19">
        <v>0</v>
      </c>
      <c r="AL293" s="16">
        <f t="shared" si="58"/>
        <v>0</v>
      </c>
      <c r="AM293" s="17">
        <v>0</v>
      </c>
      <c r="AN293" s="19"/>
      <c r="AO293" s="19"/>
      <c r="AP293" s="19">
        <v>15.2</v>
      </c>
      <c r="AQ293" s="19" t="s">
        <v>307</v>
      </c>
      <c r="AR293" s="9" t="s">
        <v>333</v>
      </c>
      <c r="AS293" s="12">
        <v>0</v>
      </c>
      <c r="AT293" s="19">
        <v>39.039000000000001</v>
      </c>
      <c r="AU293" s="19">
        <v>-123.14919999999999</v>
      </c>
      <c r="AV293" s="19" t="s">
        <v>664</v>
      </c>
    </row>
    <row r="294" spans="1:48" x14ac:dyDescent="0.25">
      <c r="A294" s="18" t="s">
        <v>668</v>
      </c>
      <c r="B294" s="10">
        <v>19981026</v>
      </c>
      <c r="C294" s="9">
        <v>18</v>
      </c>
      <c r="D294" s="8" t="str">
        <f t="shared" si="49"/>
        <v>N</v>
      </c>
      <c r="E294" s="8" t="str">
        <f t="shared" si="50"/>
        <v>N</v>
      </c>
      <c r="F294" s="8" t="str">
        <f t="shared" si="51"/>
        <v>N</v>
      </c>
      <c r="G294" s="8" t="str">
        <f t="shared" si="52"/>
        <v>N</v>
      </c>
      <c r="H294" s="8" t="str">
        <f t="shared" si="53"/>
        <v>Lower</v>
      </c>
      <c r="I294" s="8" t="str">
        <f t="shared" si="54"/>
        <v>Outside</v>
      </c>
      <c r="J294" s="8" t="str">
        <f t="shared" si="55"/>
        <v>Outside</v>
      </c>
      <c r="K294" s="8" t="str">
        <f t="shared" si="56"/>
        <v>Post-1949</v>
      </c>
      <c r="L294" s="8">
        <f t="shared" si="57"/>
        <v>1998</v>
      </c>
      <c r="M294" s="8" t="str">
        <f t="shared" si="59"/>
        <v>1991-present</v>
      </c>
      <c r="N294" s="10" t="s">
        <v>241</v>
      </c>
      <c r="O294" s="10" t="s">
        <v>242</v>
      </c>
      <c r="P294" s="10" t="s">
        <v>242</v>
      </c>
      <c r="Q294" s="10" t="s">
        <v>242</v>
      </c>
      <c r="R294" s="10" t="s">
        <v>241</v>
      </c>
      <c r="S294" s="10" t="s">
        <v>242</v>
      </c>
      <c r="T294" s="10" t="s">
        <v>241</v>
      </c>
      <c r="U294" s="10" t="s">
        <v>241</v>
      </c>
      <c r="V294" s="10" t="s">
        <v>241</v>
      </c>
      <c r="W294" s="10" t="s">
        <v>242</v>
      </c>
      <c r="X294" s="15">
        <f>IF(ISERROR(VLOOKUP($A294,'13. Updated Demand'!A:Z,15,FALSE)),0,VLOOKUP($A294,'13. Updated Demand'!A:Z,15,FALSE))</f>
        <v>0</v>
      </c>
      <c r="Y294" s="16">
        <f>IF(ISERROR(VLOOKUP($A294,'13. Updated Demand'!A:Z,16,FALSE)),0,VLOOKUP($A294,'13. Updated Demand'!A:Z,16,FALSE))</f>
        <v>0</v>
      </c>
      <c r="Z294" s="16">
        <f>IF(ISERROR(VLOOKUP($A294,'13. Updated Demand'!A:Z,17,FALSE)),0,VLOOKUP($A294,'13. Updated Demand'!A:Z,17,FALSE))</f>
        <v>0</v>
      </c>
      <c r="AA294" s="16">
        <f>IF(ISERROR(VLOOKUP($A294,'13. Updated Demand'!A:Z,18,FALSE)),0,VLOOKUP($A294,'13. Updated Demand'!A:Z,18,FALSE))</f>
        <v>0</v>
      </c>
      <c r="AB294" s="16">
        <f>IF(ISERROR(VLOOKUP($A294,'13. Updated Demand'!A:Z,19,FALSE)),0,VLOOKUP($A294,'13. Updated Demand'!A:Z,19,FALSE))</f>
        <v>0</v>
      </c>
      <c r="AC294" s="16">
        <f>IF(ISERROR(VLOOKUP($A294,'13. Updated Demand'!A:Z,20,FALSE)),0,VLOOKUP($A294,'13. Updated Demand'!A:Z,20,FALSE))</f>
        <v>0</v>
      </c>
      <c r="AD294" s="16">
        <f>IF(ISERROR(VLOOKUP($A294,'13. Updated Demand'!A:Z,21,FALSE)),0,VLOOKUP($A294,'13. Updated Demand'!A:Z,21,FALSE))</f>
        <v>0</v>
      </c>
      <c r="AE294" s="16">
        <f>IF(ISERROR(VLOOKUP($A294,'13. Updated Demand'!A:Z,22,FALSE)),0,VLOOKUP($A294,'13. Updated Demand'!A:Z,22,FALSE))</f>
        <v>0</v>
      </c>
      <c r="AF294" s="16">
        <f>IF(ISERROR(VLOOKUP($A294,'13. Updated Demand'!A:Z,23,FALSE)),0,VLOOKUP($A294,'13. Updated Demand'!A:Z,23,FALSE))</f>
        <v>0</v>
      </c>
      <c r="AG294" s="16">
        <f>IF(ISERROR(VLOOKUP($A294,'13. Updated Demand'!A:Z,24,FALSE)),0,VLOOKUP($A294,'13. Updated Demand'!A:Z,24,FALSE))</f>
        <v>0</v>
      </c>
      <c r="AH294" s="16">
        <f>IF(ISERROR(VLOOKUP($A294,'13. Updated Demand'!A:Z,25,FALSE)),0,VLOOKUP($A294,'13. Updated Demand'!A:Z,25,FALSE))</f>
        <v>0</v>
      </c>
      <c r="AI294" s="16">
        <f>IF(ISERROR(VLOOKUP($A294,'13. Updated Demand'!A:Z,26,FALSE)),0,VLOOKUP($A294,'13. Updated Demand'!A:Z,26,FALSE))</f>
        <v>0</v>
      </c>
      <c r="AJ294" s="16">
        <f t="shared" si="60"/>
        <v>0</v>
      </c>
      <c r="AK294" s="19">
        <v>0</v>
      </c>
      <c r="AL294" s="16">
        <f t="shared" si="58"/>
        <v>0</v>
      </c>
      <c r="AM294" s="17">
        <v>0</v>
      </c>
      <c r="AN294" s="19"/>
      <c r="AO294" s="19"/>
      <c r="AP294" s="19">
        <v>8.9</v>
      </c>
      <c r="AQ294" s="19" t="s">
        <v>307</v>
      </c>
      <c r="AR294" s="9" t="s">
        <v>352</v>
      </c>
      <c r="AS294" s="12">
        <v>0</v>
      </c>
      <c r="AT294" s="19">
        <v>38.515369560000003</v>
      </c>
      <c r="AU294" s="19">
        <v>-122.8678508</v>
      </c>
      <c r="AV294" s="19" t="s">
        <v>548</v>
      </c>
    </row>
    <row r="295" spans="1:48" x14ac:dyDescent="0.25">
      <c r="A295" s="18" t="s">
        <v>669</v>
      </c>
      <c r="B295" s="10">
        <v>19980325</v>
      </c>
      <c r="C295" s="9">
        <v>18</v>
      </c>
      <c r="D295" s="8" t="str">
        <f t="shared" si="49"/>
        <v>N</v>
      </c>
      <c r="E295" s="8" t="str">
        <f t="shared" si="50"/>
        <v>N</v>
      </c>
      <c r="F295" s="8" t="str">
        <f t="shared" si="51"/>
        <v>N</v>
      </c>
      <c r="G295" s="8" t="str">
        <f t="shared" si="52"/>
        <v>N</v>
      </c>
      <c r="H295" s="8" t="str">
        <f t="shared" si="53"/>
        <v>Lower</v>
      </c>
      <c r="I295" s="8" t="str">
        <f t="shared" si="54"/>
        <v>Outside</v>
      </c>
      <c r="J295" s="8" t="str">
        <f t="shared" si="55"/>
        <v>Outside</v>
      </c>
      <c r="K295" s="8" t="str">
        <f t="shared" si="56"/>
        <v>Post-1949</v>
      </c>
      <c r="L295" s="8">
        <f t="shared" si="57"/>
        <v>1998</v>
      </c>
      <c r="M295" s="8" t="str">
        <f t="shared" si="59"/>
        <v>1991-present</v>
      </c>
      <c r="N295" s="10" t="s">
        <v>242</v>
      </c>
      <c r="O295" s="10" t="s">
        <v>242</v>
      </c>
      <c r="P295" s="10" t="s">
        <v>242</v>
      </c>
      <c r="Q295" s="10" t="s">
        <v>242</v>
      </c>
      <c r="R295" s="10" t="s">
        <v>241</v>
      </c>
      <c r="S295" s="10" t="s">
        <v>242</v>
      </c>
      <c r="T295" s="10" t="s">
        <v>242</v>
      </c>
      <c r="U295" s="10" t="s">
        <v>241</v>
      </c>
      <c r="V295" s="10" t="s">
        <v>241</v>
      </c>
      <c r="W295" s="10" t="s">
        <v>242</v>
      </c>
      <c r="X295" s="15">
        <f>IF(ISERROR(VLOOKUP($A295,'13. Updated Demand'!A:Z,15,FALSE)),0,VLOOKUP($A295,'13. Updated Demand'!A:Z,15,FALSE))</f>
        <v>0</v>
      </c>
      <c r="Y295" s="16">
        <f>IF(ISERROR(VLOOKUP($A295,'13. Updated Demand'!A:Z,16,FALSE)),0,VLOOKUP($A295,'13. Updated Demand'!A:Z,16,FALSE))</f>
        <v>0</v>
      </c>
      <c r="Z295" s="16">
        <f>IF(ISERROR(VLOOKUP($A295,'13. Updated Demand'!A:Z,17,FALSE)),0,VLOOKUP($A295,'13. Updated Demand'!A:Z,17,FALSE))</f>
        <v>0</v>
      </c>
      <c r="AA295" s="16">
        <f>IF(ISERROR(VLOOKUP($A295,'13. Updated Demand'!A:Z,18,FALSE)),0,VLOOKUP($A295,'13. Updated Demand'!A:Z,18,FALSE))</f>
        <v>0</v>
      </c>
      <c r="AB295" s="16">
        <f>IF(ISERROR(VLOOKUP($A295,'13. Updated Demand'!A:Z,19,FALSE)),0,VLOOKUP($A295,'13. Updated Demand'!A:Z,19,FALSE))</f>
        <v>0</v>
      </c>
      <c r="AC295" s="16">
        <f>IF(ISERROR(VLOOKUP($A295,'13. Updated Demand'!A:Z,20,FALSE)),0,VLOOKUP($A295,'13. Updated Demand'!A:Z,20,FALSE))</f>
        <v>0</v>
      </c>
      <c r="AD295" s="16">
        <f>IF(ISERROR(VLOOKUP($A295,'13. Updated Demand'!A:Z,21,FALSE)),0,VLOOKUP($A295,'13. Updated Demand'!A:Z,21,FALSE))</f>
        <v>0</v>
      </c>
      <c r="AE295" s="16">
        <f>IF(ISERROR(VLOOKUP($A295,'13. Updated Demand'!A:Z,22,FALSE)),0,VLOOKUP($A295,'13. Updated Demand'!A:Z,22,FALSE))</f>
        <v>0</v>
      </c>
      <c r="AF295" s="16">
        <f>IF(ISERROR(VLOOKUP($A295,'13. Updated Demand'!A:Z,23,FALSE)),0,VLOOKUP($A295,'13. Updated Demand'!A:Z,23,FALSE))</f>
        <v>0</v>
      </c>
      <c r="AG295" s="16">
        <f>IF(ISERROR(VLOOKUP($A295,'13. Updated Demand'!A:Z,24,FALSE)),0,VLOOKUP($A295,'13. Updated Demand'!A:Z,24,FALSE))</f>
        <v>0</v>
      </c>
      <c r="AH295" s="16">
        <f>IF(ISERROR(VLOOKUP($A295,'13. Updated Demand'!A:Z,25,FALSE)),0,VLOOKUP($A295,'13. Updated Demand'!A:Z,25,FALSE))</f>
        <v>0</v>
      </c>
      <c r="AI295" s="16">
        <f>IF(ISERROR(VLOOKUP($A295,'13. Updated Demand'!A:Z,26,FALSE)),0,VLOOKUP($A295,'13. Updated Demand'!A:Z,26,FALSE))</f>
        <v>0</v>
      </c>
      <c r="AJ295" s="16">
        <f t="shared" si="60"/>
        <v>0</v>
      </c>
      <c r="AK295" s="19">
        <v>0</v>
      </c>
      <c r="AL295" s="16">
        <f t="shared" si="58"/>
        <v>0</v>
      </c>
      <c r="AM295" s="17">
        <v>0</v>
      </c>
      <c r="AN295" s="19"/>
      <c r="AO295" s="19"/>
      <c r="AP295" s="19">
        <v>5</v>
      </c>
      <c r="AQ295" s="19" t="s">
        <v>307</v>
      </c>
      <c r="AR295" s="9" t="s">
        <v>352</v>
      </c>
      <c r="AS295" s="12">
        <v>0</v>
      </c>
      <c r="AT295" s="19">
        <v>38.5625</v>
      </c>
      <c r="AU295" s="19">
        <v>-122.9757</v>
      </c>
      <c r="AV295" s="19" t="s">
        <v>417</v>
      </c>
    </row>
    <row r="296" spans="1:48" x14ac:dyDescent="0.25">
      <c r="A296" s="18" t="s">
        <v>670</v>
      </c>
      <c r="B296" s="10">
        <v>19980615</v>
      </c>
      <c r="C296" s="9">
        <v>6</v>
      </c>
      <c r="D296" s="8" t="str">
        <f t="shared" si="49"/>
        <v>Y</v>
      </c>
      <c r="E296" s="8" t="str">
        <f t="shared" si="50"/>
        <v>N</v>
      </c>
      <c r="F296" s="8" t="str">
        <f t="shared" si="51"/>
        <v>Y</v>
      </c>
      <c r="G296" s="8" t="str">
        <f t="shared" si="52"/>
        <v>Y</v>
      </c>
      <c r="H296" s="8" t="str">
        <f t="shared" si="53"/>
        <v>Upper</v>
      </c>
      <c r="I296" s="8" t="str">
        <f t="shared" si="54"/>
        <v>West Fork and Below Lake</v>
      </c>
      <c r="J296" s="8" t="str">
        <f t="shared" si="55"/>
        <v>Mendocino (d/s of lake)</v>
      </c>
      <c r="K296" s="8" t="str">
        <f t="shared" si="56"/>
        <v>Post-1949</v>
      </c>
      <c r="L296" s="8">
        <f t="shared" si="57"/>
        <v>1998</v>
      </c>
      <c r="M296" s="8" t="str">
        <f t="shared" si="59"/>
        <v>1991-present</v>
      </c>
      <c r="N296" s="10" t="s">
        <v>241</v>
      </c>
      <c r="O296" s="10" t="s">
        <v>241</v>
      </c>
      <c r="P296" s="10" t="s">
        <v>242</v>
      </c>
      <c r="Q296" s="10" t="s">
        <v>242</v>
      </c>
      <c r="R296" s="10" t="s">
        <v>241</v>
      </c>
      <c r="S296" s="10" t="s">
        <v>242</v>
      </c>
      <c r="T296" s="10" t="s">
        <v>241</v>
      </c>
      <c r="U296" s="10" t="s">
        <v>241</v>
      </c>
      <c r="V296" s="10" t="s">
        <v>241</v>
      </c>
      <c r="W296" s="10" t="s">
        <v>242</v>
      </c>
      <c r="X296" s="15">
        <f>IF(ISERROR(VLOOKUP($A296,'13. Updated Demand'!A:Z,15,FALSE)),0,VLOOKUP($A296,'13. Updated Demand'!A:Z,15,FALSE))</f>
        <v>0</v>
      </c>
      <c r="Y296" s="16">
        <f>IF(ISERROR(VLOOKUP($A296,'13. Updated Demand'!A:Z,16,FALSE)),0,VLOOKUP($A296,'13. Updated Demand'!A:Z,16,FALSE))</f>
        <v>0</v>
      </c>
      <c r="Z296" s="16">
        <f>IF(ISERROR(VLOOKUP($A296,'13. Updated Demand'!A:Z,17,FALSE)),0,VLOOKUP($A296,'13. Updated Demand'!A:Z,17,FALSE))</f>
        <v>0</v>
      </c>
      <c r="AA296" s="16">
        <f>IF(ISERROR(VLOOKUP($A296,'13. Updated Demand'!A:Z,18,FALSE)),0,VLOOKUP($A296,'13. Updated Demand'!A:Z,18,FALSE))</f>
        <v>0</v>
      </c>
      <c r="AB296" s="16">
        <f>IF(ISERROR(VLOOKUP($A296,'13. Updated Demand'!A:Z,19,FALSE)),0,VLOOKUP($A296,'13. Updated Demand'!A:Z,19,FALSE))</f>
        <v>0</v>
      </c>
      <c r="AC296" s="16">
        <f>IF(ISERROR(VLOOKUP($A296,'13. Updated Demand'!A:Z,20,FALSE)),0,VLOOKUP($A296,'13. Updated Demand'!A:Z,20,FALSE))</f>
        <v>0</v>
      </c>
      <c r="AD296" s="16">
        <f>IF(ISERROR(VLOOKUP($A296,'13. Updated Demand'!A:Z,21,FALSE)),0,VLOOKUP($A296,'13. Updated Demand'!A:Z,21,FALSE))</f>
        <v>0</v>
      </c>
      <c r="AE296" s="16">
        <f>IF(ISERROR(VLOOKUP($A296,'13. Updated Demand'!A:Z,22,FALSE)),0,VLOOKUP($A296,'13. Updated Demand'!A:Z,22,FALSE))</f>
        <v>0</v>
      </c>
      <c r="AF296" s="16">
        <f>IF(ISERROR(VLOOKUP($A296,'13. Updated Demand'!A:Z,23,FALSE)),0,VLOOKUP($A296,'13. Updated Demand'!A:Z,23,FALSE))</f>
        <v>0</v>
      </c>
      <c r="AG296" s="16">
        <f>IF(ISERROR(VLOOKUP($A296,'13. Updated Demand'!A:Z,24,FALSE)),0,VLOOKUP($A296,'13. Updated Demand'!A:Z,24,FALSE))</f>
        <v>0</v>
      </c>
      <c r="AH296" s="16">
        <f>IF(ISERROR(VLOOKUP($A296,'13. Updated Demand'!A:Z,25,FALSE)),0,VLOOKUP($A296,'13. Updated Demand'!A:Z,25,FALSE))</f>
        <v>0</v>
      </c>
      <c r="AI296" s="16">
        <f>IF(ISERROR(VLOOKUP($A296,'13. Updated Demand'!A:Z,26,FALSE)),0,VLOOKUP($A296,'13. Updated Demand'!A:Z,26,FALSE))</f>
        <v>0</v>
      </c>
      <c r="AJ296" s="16">
        <f t="shared" si="60"/>
        <v>0</v>
      </c>
      <c r="AK296" s="19">
        <v>0</v>
      </c>
      <c r="AL296" s="16">
        <f t="shared" si="58"/>
        <v>0</v>
      </c>
      <c r="AM296" s="17">
        <v>0</v>
      </c>
      <c r="AN296" s="19"/>
      <c r="AO296" s="19"/>
      <c r="AP296" s="19">
        <v>24.5</v>
      </c>
      <c r="AQ296" s="19" t="s">
        <v>307</v>
      </c>
      <c r="AR296" s="9" t="s">
        <v>319</v>
      </c>
      <c r="AS296" s="12">
        <v>0</v>
      </c>
      <c r="AT296" s="19">
        <v>38.977682360000003</v>
      </c>
      <c r="AU296" s="19">
        <v>-123.10487628</v>
      </c>
      <c r="AV296" s="19" t="s">
        <v>387</v>
      </c>
    </row>
    <row r="297" spans="1:48" x14ac:dyDescent="0.25">
      <c r="A297" s="18" t="s">
        <v>671</v>
      </c>
      <c r="B297" s="10">
        <v>19980729</v>
      </c>
      <c r="C297" s="9">
        <v>16</v>
      </c>
      <c r="D297" s="8" t="str">
        <f t="shared" si="49"/>
        <v>N</v>
      </c>
      <c r="E297" s="8" t="str">
        <f t="shared" si="50"/>
        <v>N</v>
      </c>
      <c r="F297" s="8" t="str">
        <f t="shared" si="51"/>
        <v>N</v>
      </c>
      <c r="G297" s="8" t="str">
        <f t="shared" si="52"/>
        <v>N</v>
      </c>
      <c r="H297" s="8" t="str">
        <f t="shared" si="53"/>
        <v>Lower</v>
      </c>
      <c r="I297" s="8" t="str">
        <f t="shared" si="54"/>
        <v>Outside</v>
      </c>
      <c r="J297" s="8" t="str">
        <f t="shared" si="55"/>
        <v>Outside</v>
      </c>
      <c r="K297" s="8" t="str">
        <f t="shared" si="56"/>
        <v>Post-1949</v>
      </c>
      <c r="L297" s="8">
        <f t="shared" si="57"/>
        <v>1998</v>
      </c>
      <c r="M297" s="8" t="str">
        <f t="shared" si="59"/>
        <v>1991-present</v>
      </c>
      <c r="N297" s="10" t="s">
        <v>242</v>
      </c>
      <c r="O297" s="10" t="s">
        <v>242</v>
      </c>
      <c r="P297" s="10" t="s">
        <v>242</v>
      </c>
      <c r="Q297" s="10" t="s">
        <v>242</v>
      </c>
      <c r="R297" s="10" t="s">
        <v>241</v>
      </c>
      <c r="S297" s="10" t="s">
        <v>242</v>
      </c>
      <c r="T297" s="10" t="s">
        <v>242</v>
      </c>
      <c r="U297" s="10" t="s">
        <v>242</v>
      </c>
      <c r="V297" s="10" t="s">
        <v>241</v>
      </c>
      <c r="W297" s="10" t="s">
        <v>242</v>
      </c>
      <c r="X297" s="15">
        <f>IF(ISERROR(VLOOKUP($A297,'13. Updated Demand'!A:Z,15,FALSE)),0,VLOOKUP($A297,'13. Updated Demand'!A:Z,15,FALSE))</f>
        <v>0.3</v>
      </c>
      <c r="Y297" s="16">
        <f>IF(ISERROR(VLOOKUP($A297,'13. Updated Demand'!A:Z,16,FALSE)),0,VLOOKUP($A297,'13. Updated Demand'!A:Z,16,FALSE))</f>
        <v>0.2</v>
      </c>
      <c r="Z297" s="16">
        <f>IF(ISERROR(VLOOKUP($A297,'13. Updated Demand'!A:Z,17,FALSE)),0,VLOOKUP($A297,'13. Updated Demand'!A:Z,17,FALSE))</f>
        <v>4.4999999999999998E-2</v>
      </c>
      <c r="AA297" s="16">
        <f>IF(ISERROR(VLOOKUP($A297,'13. Updated Demand'!A:Z,18,FALSE)),0,VLOOKUP($A297,'13. Updated Demand'!A:Z,18,FALSE))</f>
        <v>0</v>
      </c>
      <c r="AB297" s="16">
        <f>IF(ISERROR(VLOOKUP($A297,'13. Updated Demand'!A:Z,19,FALSE)),0,VLOOKUP($A297,'13. Updated Demand'!A:Z,19,FALSE))</f>
        <v>0</v>
      </c>
      <c r="AC297" s="16">
        <f>IF(ISERROR(VLOOKUP($A297,'13. Updated Demand'!A:Z,20,FALSE)),0,VLOOKUP($A297,'13. Updated Demand'!A:Z,20,FALSE))</f>
        <v>0</v>
      </c>
      <c r="AD297" s="16">
        <f>IF(ISERROR(VLOOKUP($A297,'13. Updated Demand'!A:Z,21,FALSE)),0,VLOOKUP($A297,'13. Updated Demand'!A:Z,21,FALSE))</f>
        <v>0</v>
      </c>
      <c r="AE297" s="16">
        <f>IF(ISERROR(VLOOKUP($A297,'13. Updated Demand'!A:Z,22,FALSE)),0,VLOOKUP($A297,'13. Updated Demand'!A:Z,22,FALSE))</f>
        <v>0</v>
      </c>
      <c r="AF297" s="16">
        <f>IF(ISERROR(VLOOKUP($A297,'13. Updated Demand'!A:Z,23,FALSE)),0,VLOOKUP($A297,'13. Updated Demand'!A:Z,23,FALSE))</f>
        <v>0</v>
      </c>
      <c r="AG297" s="16">
        <f>IF(ISERROR(VLOOKUP($A297,'13. Updated Demand'!A:Z,24,FALSE)),0,VLOOKUP($A297,'13. Updated Demand'!A:Z,24,FALSE))</f>
        <v>2.2499999999999999E-2</v>
      </c>
      <c r="AH297" s="16">
        <f>IF(ISERROR(VLOOKUP($A297,'13. Updated Demand'!A:Z,25,FALSE)),0,VLOOKUP($A297,'13. Updated Demand'!A:Z,25,FALSE))</f>
        <v>0.1</v>
      </c>
      <c r="AI297" s="16">
        <f>IF(ISERROR(VLOOKUP($A297,'13. Updated Demand'!A:Z,26,FALSE)),0,VLOOKUP($A297,'13. Updated Demand'!A:Z,26,FALSE))</f>
        <v>0.15</v>
      </c>
      <c r="AJ297" s="16">
        <f t="shared" si="60"/>
        <v>0.8175</v>
      </c>
      <c r="AK297" s="19">
        <v>0</v>
      </c>
      <c r="AL297" s="16">
        <f t="shared" si="58"/>
        <v>0</v>
      </c>
      <c r="AM297" s="17">
        <v>0.204375</v>
      </c>
      <c r="AN297" s="19"/>
      <c r="AO297" s="19"/>
      <c r="AP297" s="19">
        <v>4</v>
      </c>
      <c r="AQ297" s="19" t="s">
        <v>307</v>
      </c>
      <c r="AR297" s="9" t="s">
        <v>394</v>
      </c>
      <c r="AS297" s="12">
        <v>3.4039024194010059E-4</v>
      </c>
      <c r="AT297" s="19">
        <v>38.59785523</v>
      </c>
      <c r="AU297" s="19">
        <v>-122.90804568</v>
      </c>
      <c r="AV297" s="19" t="s">
        <v>417</v>
      </c>
    </row>
    <row r="298" spans="1:48" x14ac:dyDescent="0.25">
      <c r="A298" s="18" t="s">
        <v>672</v>
      </c>
      <c r="B298" s="10">
        <v>19980522</v>
      </c>
      <c r="C298" s="9">
        <v>11</v>
      </c>
      <c r="D298" s="8" t="str">
        <f t="shared" si="49"/>
        <v>N</v>
      </c>
      <c r="E298" s="8" t="str">
        <f t="shared" si="50"/>
        <v>Y</v>
      </c>
      <c r="F298" s="8" t="str">
        <f t="shared" si="51"/>
        <v>Y</v>
      </c>
      <c r="G298" s="8" t="str">
        <f t="shared" si="52"/>
        <v>Y</v>
      </c>
      <c r="H298" s="8" t="str">
        <f t="shared" si="53"/>
        <v>Upper</v>
      </c>
      <c r="I298" s="8" t="str">
        <f t="shared" si="54"/>
        <v>West Fork and Below Lake</v>
      </c>
      <c r="J298" s="8" t="str">
        <f t="shared" si="55"/>
        <v>Sonoma (d/s of Clov. Gage)</v>
      </c>
      <c r="K298" s="8" t="str">
        <f t="shared" si="56"/>
        <v>Post-1949</v>
      </c>
      <c r="L298" s="8">
        <f t="shared" si="57"/>
        <v>1998</v>
      </c>
      <c r="M298" s="8" t="str">
        <f t="shared" si="59"/>
        <v>1991-present</v>
      </c>
      <c r="N298" s="10" t="s">
        <v>242</v>
      </c>
      <c r="O298" s="10" t="s">
        <v>241</v>
      </c>
      <c r="P298" s="10" t="s">
        <v>242</v>
      </c>
      <c r="Q298" s="10" t="s">
        <v>242</v>
      </c>
      <c r="R298" s="10" t="s">
        <v>241</v>
      </c>
      <c r="S298" s="10" t="s">
        <v>242</v>
      </c>
      <c r="T298" s="10" t="s">
        <v>242</v>
      </c>
      <c r="U298" s="10" t="s">
        <v>242</v>
      </c>
      <c r="V298" s="10" t="s">
        <v>242</v>
      </c>
      <c r="W298" s="10" t="s">
        <v>242</v>
      </c>
      <c r="X298" s="15">
        <f>IF(ISERROR(VLOOKUP($A298,'13. Updated Demand'!A:Z,15,FALSE)),0,VLOOKUP($A298,'13. Updated Demand'!A:Z,15,FALSE))</f>
        <v>1.5345000000000001E-3</v>
      </c>
      <c r="Y298" s="16">
        <f>IF(ISERROR(VLOOKUP($A298,'13. Updated Demand'!A:Z,16,FALSE)),0,VLOOKUP($A298,'13. Updated Demand'!A:Z,16,FALSE))</f>
        <v>1.5345000000000001E-3</v>
      </c>
      <c r="Z298" s="16">
        <f>IF(ISERROR(VLOOKUP($A298,'13. Updated Demand'!A:Z,17,FALSE)),0,VLOOKUP($A298,'13. Updated Demand'!A:Z,17,FALSE))</f>
        <v>1.5345000000000001E-3</v>
      </c>
      <c r="AA298" s="16">
        <f>IF(ISERROR(VLOOKUP($A298,'13. Updated Demand'!A:Z,18,FALSE)),0,VLOOKUP($A298,'13. Updated Demand'!A:Z,18,FALSE))</f>
        <v>1.5345000000000001E-3</v>
      </c>
      <c r="AB298" s="16">
        <f>IF(ISERROR(VLOOKUP($A298,'13. Updated Demand'!A:Z,19,FALSE)),0,VLOOKUP($A298,'13. Updated Demand'!A:Z,19,FALSE))</f>
        <v>1.5345000000000001E-3</v>
      </c>
      <c r="AC298" s="16">
        <f>IF(ISERROR(VLOOKUP($A298,'13. Updated Demand'!A:Z,20,FALSE)),0,VLOOKUP($A298,'13. Updated Demand'!A:Z,20,FALSE))</f>
        <v>1.5345000000000001E-3</v>
      </c>
      <c r="AD298" s="16">
        <f>IF(ISERROR(VLOOKUP($A298,'13. Updated Demand'!A:Z,21,FALSE)),0,VLOOKUP($A298,'13. Updated Demand'!A:Z,21,FALSE))</f>
        <v>1.5345000000000001E-3</v>
      </c>
      <c r="AE298" s="16">
        <f>IF(ISERROR(VLOOKUP($A298,'13. Updated Demand'!A:Z,22,FALSE)),0,VLOOKUP($A298,'13. Updated Demand'!A:Z,22,FALSE))</f>
        <v>1.5345000000000001E-3</v>
      </c>
      <c r="AF298" s="16">
        <f>IF(ISERROR(VLOOKUP($A298,'13. Updated Demand'!A:Z,23,FALSE)),0,VLOOKUP($A298,'13. Updated Demand'!A:Z,23,FALSE))</f>
        <v>1.5345000000000001E-3</v>
      </c>
      <c r="AG298" s="16">
        <f>IF(ISERROR(VLOOKUP($A298,'13. Updated Demand'!A:Z,24,FALSE)),0,VLOOKUP($A298,'13. Updated Demand'!A:Z,24,FALSE))</f>
        <v>1.5345000000000001E-3</v>
      </c>
      <c r="AH298" s="16">
        <f>IF(ISERROR(VLOOKUP($A298,'13. Updated Demand'!A:Z,25,FALSE)),0,VLOOKUP($A298,'13. Updated Demand'!A:Z,25,FALSE))</f>
        <v>1.5345000000000001E-3</v>
      </c>
      <c r="AI298" s="16">
        <f>IF(ISERROR(VLOOKUP($A298,'13. Updated Demand'!A:Z,26,FALSE)),0,VLOOKUP($A298,'13. Updated Demand'!A:Z,26,FALSE))</f>
        <v>1.5345000000000001E-3</v>
      </c>
      <c r="AJ298" s="16">
        <f t="shared" si="60"/>
        <v>1.8414E-2</v>
      </c>
      <c r="AK298" s="19">
        <v>7.6725000000000005E-3</v>
      </c>
      <c r="AL298" s="16">
        <f t="shared" si="58"/>
        <v>2.5448808520119796E-5</v>
      </c>
      <c r="AM298" s="17">
        <v>2.0459999999999999E-2</v>
      </c>
      <c r="AN298" s="19"/>
      <c r="AO298" s="19"/>
      <c r="AP298" s="19">
        <v>0.9</v>
      </c>
      <c r="AQ298" s="19" t="s">
        <v>307</v>
      </c>
      <c r="AR298" s="9" t="s">
        <v>308</v>
      </c>
      <c r="AS298" s="12">
        <v>3.4039024194010059E-4</v>
      </c>
      <c r="AT298" s="19">
        <v>38.67859455</v>
      </c>
      <c r="AU298" s="19">
        <v>-122.66332708</v>
      </c>
      <c r="AV298" s="19" t="s">
        <v>430</v>
      </c>
    </row>
    <row r="299" spans="1:48" x14ac:dyDescent="0.25">
      <c r="A299" s="18" t="s">
        <v>673</v>
      </c>
      <c r="B299" s="10">
        <v>19980225</v>
      </c>
      <c r="C299" s="9">
        <v>12</v>
      </c>
      <c r="D299" s="8" t="str">
        <f t="shared" si="49"/>
        <v>N</v>
      </c>
      <c r="E299" s="8" t="str">
        <f t="shared" si="50"/>
        <v>Y</v>
      </c>
      <c r="F299" s="8" t="str">
        <f t="shared" si="51"/>
        <v>Y</v>
      </c>
      <c r="G299" s="8" t="str">
        <f t="shared" si="52"/>
        <v>Y</v>
      </c>
      <c r="H299" s="8" t="str">
        <f t="shared" si="53"/>
        <v>Upper</v>
      </c>
      <c r="I299" s="8" t="str">
        <f t="shared" si="54"/>
        <v>West Fork and Below Lake</v>
      </c>
      <c r="J299" s="8" t="str">
        <f t="shared" si="55"/>
        <v>Sonoma (d/s of Clov. Gage)</v>
      </c>
      <c r="K299" s="8" t="str">
        <f t="shared" si="56"/>
        <v>Post-1949</v>
      </c>
      <c r="L299" s="8">
        <f t="shared" si="57"/>
        <v>1998</v>
      </c>
      <c r="M299" s="8" t="str">
        <f t="shared" si="59"/>
        <v>1991-present</v>
      </c>
      <c r="N299" s="10" t="s">
        <v>242</v>
      </c>
      <c r="O299" s="10" t="s">
        <v>241</v>
      </c>
      <c r="P299" s="10" t="s">
        <v>242</v>
      </c>
      <c r="Q299" s="10" t="s">
        <v>242</v>
      </c>
      <c r="R299" s="10" t="s">
        <v>241</v>
      </c>
      <c r="S299" s="10" t="s">
        <v>242</v>
      </c>
      <c r="T299" s="10" t="s">
        <v>242</v>
      </c>
      <c r="U299" s="10" t="s">
        <v>241</v>
      </c>
      <c r="V299" s="10" t="s">
        <v>241</v>
      </c>
      <c r="W299" s="10" t="s">
        <v>242</v>
      </c>
      <c r="X299" s="15">
        <f>IF(ISERROR(VLOOKUP($A299,'13. Updated Demand'!A:Z,15,FALSE)),0,VLOOKUP($A299,'13. Updated Demand'!A:Z,15,FALSE))</f>
        <v>0</v>
      </c>
      <c r="Y299" s="16">
        <f>IF(ISERROR(VLOOKUP($A299,'13. Updated Demand'!A:Z,16,FALSE)),0,VLOOKUP($A299,'13. Updated Demand'!A:Z,16,FALSE))</f>
        <v>0</v>
      </c>
      <c r="Z299" s="16">
        <f>IF(ISERROR(VLOOKUP($A299,'13. Updated Demand'!A:Z,17,FALSE)),0,VLOOKUP($A299,'13. Updated Demand'!A:Z,17,FALSE))</f>
        <v>0</v>
      </c>
      <c r="AA299" s="16">
        <f>IF(ISERROR(VLOOKUP($A299,'13. Updated Demand'!A:Z,18,FALSE)),0,VLOOKUP($A299,'13. Updated Demand'!A:Z,18,FALSE))</f>
        <v>0</v>
      </c>
      <c r="AB299" s="16">
        <f>IF(ISERROR(VLOOKUP($A299,'13. Updated Demand'!A:Z,19,FALSE)),0,VLOOKUP($A299,'13. Updated Demand'!A:Z,19,FALSE))</f>
        <v>0</v>
      </c>
      <c r="AC299" s="16">
        <f>IF(ISERROR(VLOOKUP($A299,'13. Updated Demand'!A:Z,20,FALSE)),0,VLOOKUP($A299,'13. Updated Demand'!A:Z,20,FALSE))</f>
        <v>0</v>
      </c>
      <c r="AD299" s="16">
        <f>IF(ISERROR(VLOOKUP($A299,'13. Updated Demand'!A:Z,21,FALSE)),0,VLOOKUP($A299,'13. Updated Demand'!A:Z,21,FALSE))</f>
        <v>0</v>
      </c>
      <c r="AE299" s="16">
        <f>IF(ISERROR(VLOOKUP($A299,'13. Updated Demand'!A:Z,22,FALSE)),0,VLOOKUP($A299,'13. Updated Demand'!A:Z,22,FALSE))</f>
        <v>0</v>
      </c>
      <c r="AF299" s="16">
        <f>IF(ISERROR(VLOOKUP($A299,'13. Updated Demand'!A:Z,23,FALSE)),0,VLOOKUP($A299,'13. Updated Demand'!A:Z,23,FALSE))</f>
        <v>0</v>
      </c>
      <c r="AG299" s="16">
        <f>IF(ISERROR(VLOOKUP($A299,'13. Updated Demand'!A:Z,24,FALSE)),0,VLOOKUP($A299,'13. Updated Demand'!A:Z,24,FALSE))</f>
        <v>0</v>
      </c>
      <c r="AH299" s="16">
        <f>IF(ISERROR(VLOOKUP($A299,'13. Updated Demand'!A:Z,25,FALSE)),0,VLOOKUP($A299,'13. Updated Demand'!A:Z,25,FALSE))</f>
        <v>0</v>
      </c>
      <c r="AI299" s="16">
        <f>IF(ISERROR(VLOOKUP($A299,'13. Updated Demand'!A:Z,26,FALSE)),0,VLOOKUP($A299,'13. Updated Demand'!A:Z,26,FALSE))</f>
        <v>0</v>
      </c>
      <c r="AJ299" s="16">
        <f t="shared" si="60"/>
        <v>0</v>
      </c>
      <c r="AK299" s="19">
        <v>0</v>
      </c>
      <c r="AL299" s="16">
        <f t="shared" si="58"/>
        <v>0</v>
      </c>
      <c r="AM299" s="17">
        <v>0</v>
      </c>
      <c r="AN299" s="19"/>
      <c r="AO299" s="19"/>
      <c r="AP299" s="19">
        <v>1</v>
      </c>
      <c r="AQ299" s="19" t="s">
        <v>307</v>
      </c>
      <c r="AR299" s="9" t="s">
        <v>311</v>
      </c>
      <c r="AS299" s="12">
        <v>3.4039024194010059E-4</v>
      </c>
      <c r="AT299" s="19">
        <v>38.619399710000003</v>
      </c>
      <c r="AU299" s="19">
        <v>-122.75640771</v>
      </c>
      <c r="AV299" s="19" t="s">
        <v>417</v>
      </c>
    </row>
    <row r="300" spans="1:48" x14ac:dyDescent="0.25">
      <c r="A300" s="18" t="s">
        <v>674</v>
      </c>
      <c r="B300" s="10">
        <v>19980225</v>
      </c>
      <c r="C300" s="9">
        <v>12</v>
      </c>
      <c r="D300" s="8" t="str">
        <f t="shared" si="49"/>
        <v>N</v>
      </c>
      <c r="E300" s="8" t="str">
        <f t="shared" si="50"/>
        <v>Y</v>
      </c>
      <c r="F300" s="8" t="str">
        <f t="shared" si="51"/>
        <v>Y</v>
      </c>
      <c r="G300" s="8" t="str">
        <f t="shared" si="52"/>
        <v>Y</v>
      </c>
      <c r="H300" s="8" t="str">
        <f t="shared" si="53"/>
        <v>Upper</v>
      </c>
      <c r="I300" s="8" t="str">
        <f t="shared" si="54"/>
        <v>West Fork and Below Lake</v>
      </c>
      <c r="J300" s="8" t="str">
        <f t="shared" si="55"/>
        <v>Sonoma (d/s of Clov. Gage)</v>
      </c>
      <c r="K300" s="8" t="str">
        <f t="shared" si="56"/>
        <v>Post-1949</v>
      </c>
      <c r="L300" s="8">
        <f t="shared" si="57"/>
        <v>1998</v>
      </c>
      <c r="M300" s="8" t="str">
        <f t="shared" si="59"/>
        <v>1991-present</v>
      </c>
      <c r="N300" s="10" t="s">
        <v>242</v>
      </c>
      <c r="O300" s="10" t="s">
        <v>241</v>
      </c>
      <c r="P300" s="10" t="s">
        <v>242</v>
      </c>
      <c r="Q300" s="10" t="s">
        <v>242</v>
      </c>
      <c r="R300" s="10" t="s">
        <v>241</v>
      </c>
      <c r="S300" s="10" t="s">
        <v>242</v>
      </c>
      <c r="T300" s="10" t="s">
        <v>242</v>
      </c>
      <c r="U300" s="10" t="s">
        <v>242</v>
      </c>
      <c r="V300" s="10" t="s">
        <v>241</v>
      </c>
      <c r="W300" s="10" t="s">
        <v>242</v>
      </c>
      <c r="X300" s="15">
        <f>IF(ISERROR(VLOOKUP($A300,'13. Updated Demand'!A:Z,15,FALSE)),0,VLOOKUP($A300,'13. Updated Demand'!A:Z,15,FALSE))</f>
        <v>0.03</v>
      </c>
      <c r="Y300" s="16">
        <f>IF(ISERROR(VLOOKUP($A300,'13. Updated Demand'!A:Z,16,FALSE)),0,VLOOKUP($A300,'13. Updated Demand'!A:Z,16,FALSE))</f>
        <v>0.93</v>
      </c>
      <c r="Z300" s="16">
        <f>IF(ISERROR(VLOOKUP($A300,'13. Updated Demand'!A:Z,17,FALSE)),0,VLOOKUP($A300,'13. Updated Demand'!A:Z,17,FALSE))</f>
        <v>0.1</v>
      </c>
      <c r="AA300" s="16">
        <f>IF(ISERROR(VLOOKUP($A300,'13. Updated Demand'!A:Z,18,FALSE)),0,VLOOKUP($A300,'13. Updated Demand'!A:Z,18,FALSE))</f>
        <v>0.36</v>
      </c>
      <c r="AB300" s="16">
        <f>IF(ISERROR(VLOOKUP($A300,'13. Updated Demand'!A:Z,19,FALSE)),0,VLOOKUP($A300,'13. Updated Demand'!A:Z,19,FALSE))</f>
        <v>0</v>
      </c>
      <c r="AC300" s="16">
        <f>IF(ISERROR(VLOOKUP($A300,'13. Updated Demand'!A:Z,20,FALSE)),0,VLOOKUP($A300,'13. Updated Demand'!A:Z,20,FALSE))</f>
        <v>0</v>
      </c>
      <c r="AD300" s="16">
        <f>IF(ISERROR(VLOOKUP($A300,'13. Updated Demand'!A:Z,21,FALSE)),0,VLOOKUP($A300,'13. Updated Demand'!A:Z,21,FALSE))</f>
        <v>0</v>
      </c>
      <c r="AE300" s="16">
        <f>IF(ISERROR(VLOOKUP($A300,'13. Updated Demand'!A:Z,22,FALSE)),0,VLOOKUP($A300,'13. Updated Demand'!A:Z,22,FALSE))</f>
        <v>0</v>
      </c>
      <c r="AF300" s="16">
        <f>IF(ISERROR(VLOOKUP($A300,'13. Updated Demand'!A:Z,23,FALSE)),0,VLOOKUP($A300,'13. Updated Demand'!A:Z,23,FALSE))</f>
        <v>0</v>
      </c>
      <c r="AG300" s="16">
        <f>IF(ISERROR(VLOOKUP($A300,'13. Updated Demand'!A:Z,24,FALSE)),0,VLOOKUP($A300,'13. Updated Demand'!A:Z,24,FALSE))</f>
        <v>0</v>
      </c>
      <c r="AH300" s="16">
        <f>IF(ISERROR(VLOOKUP($A300,'13. Updated Demand'!A:Z,25,FALSE)),0,VLOOKUP($A300,'13. Updated Demand'!A:Z,25,FALSE))</f>
        <v>0.56000000000000005</v>
      </c>
      <c r="AI300" s="16">
        <f>IF(ISERROR(VLOOKUP($A300,'13. Updated Demand'!A:Z,26,FALSE)),0,VLOOKUP($A300,'13. Updated Demand'!A:Z,26,FALSE))</f>
        <v>0.46</v>
      </c>
      <c r="AJ300" s="16">
        <f t="shared" si="60"/>
        <v>2.44</v>
      </c>
      <c r="AK300" s="19">
        <v>0</v>
      </c>
      <c r="AL300" s="16">
        <f t="shared" si="58"/>
        <v>0</v>
      </c>
      <c r="AM300" s="17">
        <v>0.49333333340000002</v>
      </c>
      <c r="AN300" s="19"/>
      <c r="AO300" s="19"/>
      <c r="AP300" s="19">
        <v>5</v>
      </c>
      <c r="AQ300" s="19" t="s">
        <v>307</v>
      </c>
      <c r="AR300" s="9" t="s">
        <v>311</v>
      </c>
      <c r="AS300" s="12">
        <v>3.4039024194010059E-4</v>
      </c>
      <c r="AT300" s="19">
        <v>38.60715914</v>
      </c>
      <c r="AU300" s="19">
        <v>-122.75960255</v>
      </c>
      <c r="AV300" s="19" t="s">
        <v>417</v>
      </c>
    </row>
    <row r="301" spans="1:48" x14ac:dyDescent="0.25">
      <c r="A301" s="18" t="s">
        <v>675</v>
      </c>
      <c r="B301" s="10">
        <v>19980223</v>
      </c>
      <c r="C301" s="9">
        <v>12</v>
      </c>
      <c r="D301" s="8" t="str">
        <f t="shared" si="49"/>
        <v>N</v>
      </c>
      <c r="E301" s="8" t="str">
        <f t="shared" si="50"/>
        <v>Y</v>
      </c>
      <c r="F301" s="8" t="str">
        <f t="shared" si="51"/>
        <v>Y</v>
      </c>
      <c r="G301" s="8" t="str">
        <f t="shared" si="52"/>
        <v>Y</v>
      </c>
      <c r="H301" s="8" t="str">
        <f t="shared" si="53"/>
        <v>Upper</v>
      </c>
      <c r="I301" s="8" t="str">
        <f t="shared" si="54"/>
        <v>West Fork and Below Lake</v>
      </c>
      <c r="J301" s="8" t="str">
        <f t="shared" si="55"/>
        <v>Sonoma (d/s of Clov. Gage)</v>
      </c>
      <c r="K301" s="8" t="str">
        <f t="shared" si="56"/>
        <v>Post-1949</v>
      </c>
      <c r="L301" s="8">
        <f t="shared" si="57"/>
        <v>1998</v>
      </c>
      <c r="M301" s="8" t="str">
        <f t="shared" si="59"/>
        <v>1991-present</v>
      </c>
      <c r="N301" s="10" t="s">
        <v>242</v>
      </c>
      <c r="O301" s="10" t="s">
        <v>241</v>
      </c>
      <c r="P301" s="10" t="s">
        <v>242</v>
      </c>
      <c r="Q301" s="10" t="s">
        <v>242</v>
      </c>
      <c r="R301" s="10" t="s">
        <v>241</v>
      </c>
      <c r="S301" s="10" t="s">
        <v>242</v>
      </c>
      <c r="T301" s="10" t="s">
        <v>242</v>
      </c>
      <c r="U301" s="10" t="s">
        <v>241</v>
      </c>
      <c r="V301" s="10" t="s">
        <v>241</v>
      </c>
      <c r="W301" s="10" t="s">
        <v>242</v>
      </c>
      <c r="X301" s="15">
        <f>IF(ISERROR(VLOOKUP($A301,'13. Updated Demand'!A:Z,15,FALSE)),0,VLOOKUP($A301,'13. Updated Demand'!A:Z,15,FALSE))</f>
        <v>0</v>
      </c>
      <c r="Y301" s="16">
        <f>IF(ISERROR(VLOOKUP($A301,'13. Updated Demand'!A:Z,16,FALSE)),0,VLOOKUP($A301,'13. Updated Demand'!A:Z,16,FALSE))</f>
        <v>0</v>
      </c>
      <c r="Z301" s="16">
        <f>IF(ISERROR(VLOOKUP($A301,'13. Updated Demand'!A:Z,17,FALSE)),0,VLOOKUP($A301,'13. Updated Demand'!A:Z,17,FALSE))</f>
        <v>0</v>
      </c>
      <c r="AA301" s="16">
        <f>IF(ISERROR(VLOOKUP($A301,'13. Updated Demand'!A:Z,18,FALSE)),0,VLOOKUP($A301,'13. Updated Demand'!A:Z,18,FALSE))</f>
        <v>0</v>
      </c>
      <c r="AB301" s="16">
        <f>IF(ISERROR(VLOOKUP($A301,'13. Updated Demand'!A:Z,19,FALSE)),0,VLOOKUP($A301,'13. Updated Demand'!A:Z,19,FALSE))</f>
        <v>0</v>
      </c>
      <c r="AC301" s="16">
        <f>IF(ISERROR(VLOOKUP($A301,'13. Updated Demand'!A:Z,20,FALSE)),0,VLOOKUP($A301,'13. Updated Demand'!A:Z,20,FALSE))</f>
        <v>0</v>
      </c>
      <c r="AD301" s="16">
        <f>IF(ISERROR(VLOOKUP($A301,'13. Updated Demand'!A:Z,21,FALSE)),0,VLOOKUP($A301,'13. Updated Demand'!A:Z,21,FALSE))</f>
        <v>0</v>
      </c>
      <c r="AE301" s="16">
        <f>IF(ISERROR(VLOOKUP($A301,'13. Updated Demand'!A:Z,22,FALSE)),0,VLOOKUP($A301,'13. Updated Demand'!A:Z,22,FALSE))</f>
        <v>0</v>
      </c>
      <c r="AF301" s="16">
        <f>IF(ISERROR(VLOOKUP($A301,'13. Updated Demand'!A:Z,23,FALSE)),0,VLOOKUP($A301,'13. Updated Demand'!A:Z,23,FALSE))</f>
        <v>0</v>
      </c>
      <c r="AG301" s="16">
        <f>IF(ISERROR(VLOOKUP($A301,'13. Updated Demand'!A:Z,24,FALSE)),0,VLOOKUP($A301,'13. Updated Demand'!A:Z,24,FALSE))</f>
        <v>0</v>
      </c>
      <c r="AH301" s="16">
        <f>IF(ISERROR(VLOOKUP($A301,'13. Updated Demand'!A:Z,25,FALSE)),0,VLOOKUP($A301,'13. Updated Demand'!A:Z,25,FALSE))</f>
        <v>0</v>
      </c>
      <c r="AI301" s="16">
        <f>IF(ISERROR(VLOOKUP($A301,'13. Updated Demand'!A:Z,26,FALSE)),0,VLOOKUP($A301,'13. Updated Demand'!A:Z,26,FALSE))</f>
        <v>0</v>
      </c>
      <c r="AJ301" s="16">
        <f t="shared" si="60"/>
        <v>0</v>
      </c>
      <c r="AK301" s="19">
        <v>0</v>
      </c>
      <c r="AL301" s="16">
        <f t="shared" si="58"/>
        <v>0</v>
      </c>
      <c r="AM301" s="17">
        <v>0</v>
      </c>
      <c r="AN301" s="19"/>
      <c r="AO301" s="19"/>
      <c r="AP301" s="19">
        <v>10</v>
      </c>
      <c r="AQ301" s="19" t="s">
        <v>307</v>
      </c>
      <c r="AR301" s="9" t="s">
        <v>311</v>
      </c>
      <c r="AS301" s="12">
        <v>3.4039024194010059E-4</v>
      </c>
      <c r="AT301" s="19">
        <v>38.619</v>
      </c>
      <c r="AU301" s="19">
        <v>-122.6537</v>
      </c>
      <c r="AV301" s="19" t="s">
        <v>417</v>
      </c>
    </row>
    <row r="302" spans="1:48" x14ac:dyDescent="0.25">
      <c r="A302" s="18" t="s">
        <v>676</v>
      </c>
      <c r="B302" s="10">
        <v>19980904</v>
      </c>
      <c r="C302" s="9">
        <v>11</v>
      </c>
      <c r="D302" s="8" t="str">
        <f t="shared" si="49"/>
        <v>N</v>
      </c>
      <c r="E302" s="8" t="str">
        <f t="shared" si="50"/>
        <v>Y</v>
      </c>
      <c r="F302" s="8" t="str">
        <f t="shared" si="51"/>
        <v>Y</v>
      </c>
      <c r="G302" s="8" t="str">
        <f t="shared" si="52"/>
        <v>Y</v>
      </c>
      <c r="H302" s="8" t="str">
        <f t="shared" si="53"/>
        <v>Upper</v>
      </c>
      <c r="I302" s="8" t="str">
        <f t="shared" si="54"/>
        <v>West Fork and Below Lake</v>
      </c>
      <c r="J302" s="8" t="str">
        <f t="shared" si="55"/>
        <v>Sonoma (d/s of Clov. Gage)</v>
      </c>
      <c r="K302" s="8" t="str">
        <f t="shared" si="56"/>
        <v>Post-1949</v>
      </c>
      <c r="L302" s="8">
        <f t="shared" si="57"/>
        <v>1998</v>
      </c>
      <c r="M302" s="8" t="str">
        <f t="shared" si="59"/>
        <v>1991-present</v>
      </c>
      <c r="N302" s="10" t="s">
        <v>242</v>
      </c>
      <c r="O302" s="10" t="s">
        <v>241</v>
      </c>
      <c r="P302" s="10" t="s">
        <v>242</v>
      </c>
      <c r="Q302" s="10" t="s">
        <v>242</v>
      </c>
      <c r="R302" s="10" t="s">
        <v>241</v>
      </c>
      <c r="S302" s="10" t="s">
        <v>242</v>
      </c>
      <c r="T302" s="10" t="s">
        <v>242</v>
      </c>
      <c r="U302" s="10" t="s">
        <v>241</v>
      </c>
      <c r="V302" s="10" t="s">
        <v>241</v>
      </c>
      <c r="W302" s="10" t="s">
        <v>242</v>
      </c>
      <c r="X302" s="15">
        <f>IF(ISERROR(VLOOKUP($A302,'13. Updated Demand'!A:Z,15,FALSE)),0,VLOOKUP($A302,'13. Updated Demand'!A:Z,15,FALSE))</f>
        <v>0</v>
      </c>
      <c r="Y302" s="16">
        <f>IF(ISERROR(VLOOKUP($A302,'13. Updated Demand'!A:Z,16,FALSE)),0,VLOOKUP($A302,'13. Updated Demand'!A:Z,16,FALSE))</f>
        <v>0</v>
      </c>
      <c r="Z302" s="16">
        <f>IF(ISERROR(VLOOKUP($A302,'13. Updated Demand'!A:Z,17,FALSE)),0,VLOOKUP($A302,'13. Updated Demand'!A:Z,17,FALSE))</f>
        <v>0</v>
      </c>
      <c r="AA302" s="16">
        <f>IF(ISERROR(VLOOKUP($A302,'13. Updated Demand'!A:Z,18,FALSE)),0,VLOOKUP($A302,'13. Updated Demand'!A:Z,18,FALSE))</f>
        <v>0</v>
      </c>
      <c r="AB302" s="16">
        <f>IF(ISERROR(VLOOKUP($A302,'13. Updated Demand'!A:Z,19,FALSE)),0,VLOOKUP($A302,'13. Updated Demand'!A:Z,19,FALSE))</f>
        <v>0</v>
      </c>
      <c r="AC302" s="16">
        <f>IF(ISERROR(VLOOKUP($A302,'13. Updated Demand'!A:Z,20,FALSE)),0,VLOOKUP($A302,'13. Updated Demand'!A:Z,20,FALSE))</f>
        <v>0</v>
      </c>
      <c r="AD302" s="16">
        <f>IF(ISERROR(VLOOKUP($A302,'13. Updated Demand'!A:Z,21,FALSE)),0,VLOOKUP($A302,'13. Updated Demand'!A:Z,21,FALSE))</f>
        <v>0</v>
      </c>
      <c r="AE302" s="16">
        <f>IF(ISERROR(VLOOKUP($A302,'13. Updated Demand'!A:Z,22,FALSE)),0,VLOOKUP($A302,'13. Updated Demand'!A:Z,22,FALSE))</f>
        <v>0</v>
      </c>
      <c r="AF302" s="16">
        <f>IF(ISERROR(VLOOKUP($A302,'13. Updated Demand'!A:Z,23,FALSE)),0,VLOOKUP($A302,'13. Updated Demand'!A:Z,23,FALSE))</f>
        <v>0</v>
      </c>
      <c r="AG302" s="16">
        <f>IF(ISERROR(VLOOKUP($A302,'13. Updated Demand'!A:Z,24,FALSE)),0,VLOOKUP($A302,'13. Updated Demand'!A:Z,24,FALSE))</f>
        <v>0</v>
      </c>
      <c r="AH302" s="16">
        <f>IF(ISERROR(VLOOKUP($A302,'13. Updated Demand'!A:Z,25,FALSE)),0,VLOOKUP($A302,'13. Updated Demand'!A:Z,25,FALSE))</f>
        <v>0</v>
      </c>
      <c r="AI302" s="16">
        <f>IF(ISERROR(VLOOKUP($A302,'13. Updated Demand'!A:Z,26,FALSE)),0,VLOOKUP($A302,'13. Updated Demand'!A:Z,26,FALSE))</f>
        <v>0</v>
      </c>
      <c r="AJ302" s="16">
        <f t="shared" si="60"/>
        <v>0</v>
      </c>
      <c r="AK302" s="19">
        <v>0</v>
      </c>
      <c r="AL302" s="16">
        <f t="shared" si="58"/>
        <v>0</v>
      </c>
      <c r="AM302" s="17">
        <v>0</v>
      </c>
      <c r="AN302" s="19"/>
      <c r="AO302" s="19"/>
      <c r="AP302" s="19">
        <v>8</v>
      </c>
      <c r="AQ302" s="19" t="s">
        <v>307</v>
      </c>
      <c r="AR302" s="9" t="s">
        <v>308</v>
      </c>
      <c r="AS302" s="12">
        <v>3.4039024194010059E-4</v>
      </c>
      <c r="AT302" s="19">
        <v>38.690364469999999</v>
      </c>
      <c r="AU302" s="19">
        <v>-122.66991849999999</v>
      </c>
      <c r="AV302" s="19" t="s">
        <v>417</v>
      </c>
    </row>
    <row r="303" spans="1:48" x14ac:dyDescent="0.25">
      <c r="A303" s="18" t="s">
        <v>677</v>
      </c>
      <c r="B303" s="10">
        <v>19980825</v>
      </c>
      <c r="C303" s="9">
        <v>12</v>
      </c>
      <c r="D303" s="8" t="str">
        <f t="shared" si="49"/>
        <v>N</v>
      </c>
      <c r="E303" s="8" t="str">
        <f t="shared" si="50"/>
        <v>Y</v>
      </c>
      <c r="F303" s="8" t="str">
        <f t="shared" si="51"/>
        <v>Y</v>
      </c>
      <c r="G303" s="8" t="str">
        <f t="shared" si="52"/>
        <v>Y</v>
      </c>
      <c r="H303" s="8" t="str">
        <f t="shared" si="53"/>
        <v>Upper</v>
      </c>
      <c r="I303" s="8" t="str">
        <f t="shared" si="54"/>
        <v>West Fork and Below Lake</v>
      </c>
      <c r="J303" s="8" t="str">
        <f t="shared" si="55"/>
        <v>Sonoma (d/s of Clov. Gage)</v>
      </c>
      <c r="K303" s="8" t="str">
        <f t="shared" si="56"/>
        <v>Post-1949</v>
      </c>
      <c r="L303" s="8">
        <f t="shared" si="57"/>
        <v>1998</v>
      </c>
      <c r="M303" s="8" t="str">
        <f t="shared" si="59"/>
        <v>1991-present</v>
      </c>
      <c r="N303" s="10" t="s">
        <v>242</v>
      </c>
      <c r="O303" s="10" t="s">
        <v>241</v>
      </c>
      <c r="P303" s="10" t="s">
        <v>242</v>
      </c>
      <c r="Q303" s="10" t="s">
        <v>242</v>
      </c>
      <c r="R303" s="10" t="s">
        <v>241</v>
      </c>
      <c r="S303" s="10" t="s">
        <v>242</v>
      </c>
      <c r="T303" s="10" t="s">
        <v>242</v>
      </c>
      <c r="U303" s="10" t="s">
        <v>242</v>
      </c>
      <c r="V303" s="10" t="s">
        <v>241</v>
      </c>
      <c r="W303" s="10" t="s">
        <v>242</v>
      </c>
      <c r="X303" s="15">
        <f>IF(ISERROR(VLOOKUP($A303,'13. Updated Demand'!A:Z,15,FALSE)),0,VLOOKUP($A303,'13. Updated Demand'!A:Z,15,FALSE))</f>
        <v>0.13</v>
      </c>
      <c r="Y303" s="16">
        <f>IF(ISERROR(VLOOKUP($A303,'13. Updated Demand'!A:Z,16,FALSE)),0,VLOOKUP($A303,'13. Updated Demand'!A:Z,16,FALSE))</f>
        <v>0.1</v>
      </c>
      <c r="Z303" s="16">
        <f>IF(ISERROR(VLOOKUP($A303,'13. Updated Demand'!A:Z,17,FALSE)),0,VLOOKUP($A303,'13. Updated Demand'!A:Z,17,FALSE))</f>
        <v>0.13</v>
      </c>
      <c r="AA303" s="16">
        <f>IF(ISERROR(VLOOKUP($A303,'13. Updated Demand'!A:Z,18,FALSE)),0,VLOOKUP($A303,'13. Updated Demand'!A:Z,18,FALSE))</f>
        <v>0</v>
      </c>
      <c r="AB303" s="16">
        <f>IF(ISERROR(VLOOKUP($A303,'13. Updated Demand'!A:Z,19,FALSE)),0,VLOOKUP($A303,'13. Updated Demand'!A:Z,19,FALSE))</f>
        <v>0</v>
      </c>
      <c r="AC303" s="16">
        <f>IF(ISERROR(VLOOKUP($A303,'13. Updated Demand'!A:Z,20,FALSE)),0,VLOOKUP($A303,'13. Updated Demand'!A:Z,20,FALSE))</f>
        <v>0</v>
      </c>
      <c r="AD303" s="16">
        <f>IF(ISERROR(VLOOKUP($A303,'13. Updated Demand'!A:Z,21,FALSE)),0,VLOOKUP($A303,'13. Updated Demand'!A:Z,21,FALSE))</f>
        <v>0</v>
      </c>
      <c r="AE303" s="16">
        <f>IF(ISERROR(VLOOKUP($A303,'13. Updated Demand'!A:Z,22,FALSE)),0,VLOOKUP($A303,'13. Updated Demand'!A:Z,22,FALSE))</f>
        <v>0</v>
      </c>
      <c r="AF303" s="16">
        <f>IF(ISERROR(VLOOKUP($A303,'13. Updated Demand'!A:Z,23,FALSE)),0,VLOOKUP($A303,'13. Updated Demand'!A:Z,23,FALSE))</f>
        <v>0</v>
      </c>
      <c r="AG303" s="16">
        <f>IF(ISERROR(VLOOKUP($A303,'13. Updated Demand'!A:Z,24,FALSE)),0,VLOOKUP($A303,'13. Updated Demand'!A:Z,24,FALSE))</f>
        <v>0</v>
      </c>
      <c r="AH303" s="16">
        <f>IF(ISERROR(VLOOKUP($A303,'13. Updated Demand'!A:Z,25,FALSE)),0,VLOOKUP($A303,'13. Updated Demand'!A:Z,25,FALSE))</f>
        <v>0.1</v>
      </c>
      <c r="AI303" s="16">
        <f>IF(ISERROR(VLOOKUP($A303,'13. Updated Demand'!A:Z,26,FALSE)),0,VLOOKUP($A303,'13. Updated Demand'!A:Z,26,FALSE))</f>
        <v>0.2</v>
      </c>
      <c r="AJ303" s="16">
        <f t="shared" si="60"/>
        <v>0.65999999999999992</v>
      </c>
      <c r="AK303" s="19">
        <v>0</v>
      </c>
      <c r="AL303" s="16">
        <f t="shared" si="58"/>
        <v>0</v>
      </c>
      <c r="AM303" s="17">
        <v>0.66666666600000002</v>
      </c>
      <c r="AN303" s="19"/>
      <c r="AO303" s="19"/>
      <c r="AP303" s="19">
        <v>1</v>
      </c>
      <c r="AQ303" s="19" t="s">
        <v>307</v>
      </c>
      <c r="AR303" s="9" t="s">
        <v>311</v>
      </c>
      <c r="AS303" s="12">
        <v>3.4039024194010059E-4</v>
      </c>
      <c r="AT303" s="19">
        <v>38.577893889999999</v>
      </c>
      <c r="AU303" s="19">
        <v>-122.64979794</v>
      </c>
      <c r="AV303" s="19" t="s">
        <v>417</v>
      </c>
    </row>
    <row r="304" spans="1:48" x14ac:dyDescent="0.25">
      <c r="A304" s="18" t="s">
        <v>678</v>
      </c>
      <c r="B304" s="10">
        <v>19980326</v>
      </c>
      <c r="C304" s="9">
        <v>12</v>
      </c>
      <c r="D304" s="8" t="str">
        <f t="shared" si="49"/>
        <v>N</v>
      </c>
      <c r="E304" s="8" t="str">
        <f t="shared" si="50"/>
        <v>Y</v>
      </c>
      <c r="F304" s="8" t="str">
        <f t="shared" si="51"/>
        <v>Y</v>
      </c>
      <c r="G304" s="8" t="str">
        <f t="shared" si="52"/>
        <v>Y</v>
      </c>
      <c r="H304" s="8" t="str">
        <f t="shared" si="53"/>
        <v>Upper</v>
      </c>
      <c r="I304" s="8" t="str">
        <f t="shared" si="54"/>
        <v>West Fork and Below Lake</v>
      </c>
      <c r="J304" s="8" t="str">
        <f t="shared" si="55"/>
        <v>Sonoma (d/s of Clov. Gage)</v>
      </c>
      <c r="K304" s="8" t="str">
        <f t="shared" si="56"/>
        <v>Post-1949</v>
      </c>
      <c r="L304" s="8">
        <f t="shared" si="57"/>
        <v>1998</v>
      </c>
      <c r="M304" s="8" t="str">
        <f t="shared" si="59"/>
        <v>1991-present</v>
      </c>
      <c r="N304" s="10" t="s">
        <v>242</v>
      </c>
      <c r="O304" s="10" t="s">
        <v>241</v>
      </c>
      <c r="P304" s="10" t="s">
        <v>242</v>
      </c>
      <c r="Q304" s="10" t="s">
        <v>242</v>
      </c>
      <c r="R304" s="10" t="s">
        <v>241</v>
      </c>
      <c r="S304" s="10" t="s">
        <v>242</v>
      </c>
      <c r="T304" s="10" t="s">
        <v>242</v>
      </c>
      <c r="U304" s="10" t="s">
        <v>242</v>
      </c>
      <c r="V304" s="10" t="s">
        <v>242</v>
      </c>
      <c r="W304" s="10" t="s">
        <v>242</v>
      </c>
      <c r="X304" s="15">
        <f>IF(ISERROR(VLOOKUP($A304,'13. Updated Demand'!A:Z,15,FALSE)),0,VLOOKUP($A304,'13. Updated Demand'!A:Z,15,FALSE))</f>
        <v>1.25</v>
      </c>
      <c r="Y304" s="16">
        <f>IF(ISERROR(VLOOKUP($A304,'13. Updated Demand'!A:Z,16,FALSE)),0,VLOOKUP($A304,'13. Updated Demand'!A:Z,16,FALSE))</f>
        <v>1.25</v>
      </c>
      <c r="Z304" s="16">
        <f>IF(ISERROR(VLOOKUP($A304,'13. Updated Demand'!A:Z,17,FALSE)),0,VLOOKUP($A304,'13. Updated Demand'!A:Z,17,FALSE))</f>
        <v>1.25</v>
      </c>
      <c r="AA304" s="16">
        <f>IF(ISERROR(VLOOKUP($A304,'13. Updated Demand'!A:Z,18,FALSE)),0,VLOOKUP($A304,'13. Updated Demand'!A:Z,18,FALSE))</f>
        <v>1.25</v>
      </c>
      <c r="AB304" s="16">
        <f>IF(ISERROR(VLOOKUP($A304,'13. Updated Demand'!A:Z,19,FALSE)),0,VLOOKUP($A304,'13. Updated Demand'!A:Z,19,FALSE))</f>
        <v>1.25</v>
      </c>
      <c r="AC304" s="16">
        <f>IF(ISERROR(VLOOKUP($A304,'13. Updated Demand'!A:Z,20,FALSE)),0,VLOOKUP($A304,'13. Updated Demand'!A:Z,20,FALSE))</f>
        <v>0</v>
      </c>
      <c r="AD304" s="16">
        <f>IF(ISERROR(VLOOKUP($A304,'13. Updated Demand'!A:Z,21,FALSE)),0,VLOOKUP($A304,'13. Updated Demand'!A:Z,21,FALSE))</f>
        <v>0</v>
      </c>
      <c r="AE304" s="16">
        <f>IF(ISERROR(VLOOKUP($A304,'13. Updated Demand'!A:Z,22,FALSE)),0,VLOOKUP($A304,'13. Updated Demand'!A:Z,22,FALSE))</f>
        <v>0</v>
      </c>
      <c r="AF304" s="16">
        <f>IF(ISERROR(VLOOKUP($A304,'13. Updated Demand'!A:Z,23,FALSE)),0,VLOOKUP($A304,'13. Updated Demand'!A:Z,23,FALSE))</f>
        <v>0</v>
      </c>
      <c r="AG304" s="16">
        <f>IF(ISERROR(VLOOKUP($A304,'13. Updated Demand'!A:Z,24,FALSE)),0,VLOOKUP($A304,'13. Updated Demand'!A:Z,24,FALSE))</f>
        <v>1.25</v>
      </c>
      <c r="AH304" s="16">
        <f>IF(ISERROR(VLOOKUP($A304,'13. Updated Demand'!A:Z,25,FALSE)),0,VLOOKUP($A304,'13. Updated Demand'!A:Z,25,FALSE))</f>
        <v>1.25</v>
      </c>
      <c r="AI304" s="16">
        <f>IF(ISERROR(VLOOKUP($A304,'13. Updated Demand'!A:Z,26,FALSE)),0,VLOOKUP($A304,'13. Updated Demand'!A:Z,26,FALSE))</f>
        <v>1.25</v>
      </c>
      <c r="AJ304" s="16">
        <f t="shared" si="60"/>
        <v>10</v>
      </c>
      <c r="AK304" s="19">
        <v>1.25</v>
      </c>
      <c r="AL304" s="16">
        <f t="shared" si="58"/>
        <v>4.1461076116193858E-3</v>
      </c>
      <c r="AM304" s="17">
        <v>1</v>
      </c>
      <c r="AN304" s="19"/>
      <c r="AO304" s="19"/>
      <c r="AP304" s="19">
        <v>10</v>
      </c>
      <c r="AQ304" s="19" t="s">
        <v>307</v>
      </c>
      <c r="AR304" s="9" t="s">
        <v>311</v>
      </c>
      <c r="AS304" s="12">
        <v>3.4039024194010059E-4</v>
      </c>
      <c r="AT304" s="19">
        <v>38.605400000000003</v>
      </c>
      <c r="AU304" s="19">
        <v>-122.7683</v>
      </c>
      <c r="AV304" s="19" t="s">
        <v>417</v>
      </c>
    </row>
    <row r="305" spans="1:48" x14ac:dyDescent="0.25">
      <c r="A305" s="18" t="s">
        <v>679</v>
      </c>
      <c r="B305" s="10">
        <v>19980316</v>
      </c>
      <c r="C305" s="9">
        <v>12</v>
      </c>
      <c r="D305" s="8" t="str">
        <f t="shared" si="49"/>
        <v>N</v>
      </c>
      <c r="E305" s="8" t="str">
        <f t="shared" si="50"/>
        <v>Y</v>
      </c>
      <c r="F305" s="8" t="str">
        <f t="shared" si="51"/>
        <v>Y</v>
      </c>
      <c r="G305" s="8" t="str">
        <f t="shared" si="52"/>
        <v>Y</v>
      </c>
      <c r="H305" s="8" t="str">
        <f t="shared" si="53"/>
        <v>Upper</v>
      </c>
      <c r="I305" s="8" t="str">
        <f t="shared" si="54"/>
        <v>West Fork and Below Lake</v>
      </c>
      <c r="J305" s="8" t="str">
        <f t="shared" si="55"/>
        <v>Sonoma (d/s of Clov. Gage)</v>
      </c>
      <c r="K305" s="8" t="str">
        <f t="shared" si="56"/>
        <v>Post-1949</v>
      </c>
      <c r="L305" s="8">
        <f t="shared" si="57"/>
        <v>1998</v>
      </c>
      <c r="M305" s="8" t="str">
        <f t="shared" si="59"/>
        <v>1991-present</v>
      </c>
      <c r="N305" s="10" t="s">
        <v>242</v>
      </c>
      <c r="O305" s="10" t="s">
        <v>241</v>
      </c>
      <c r="P305" s="10" t="s">
        <v>242</v>
      </c>
      <c r="Q305" s="10" t="s">
        <v>242</v>
      </c>
      <c r="R305" s="10" t="s">
        <v>241</v>
      </c>
      <c r="S305" s="10" t="s">
        <v>242</v>
      </c>
      <c r="T305" s="10" t="s">
        <v>242</v>
      </c>
      <c r="U305" s="10" t="s">
        <v>241</v>
      </c>
      <c r="V305" s="10" t="s">
        <v>241</v>
      </c>
      <c r="W305" s="10" t="s">
        <v>242</v>
      </c>
      <c r="X305" s="15">
        <f>IF(ISERROR(VLOOKUP($A305,'13. Updated Demand'!A:Z,15,FALSE)),0,VLOOKUP($A305,'13. Updated Demand'!A:Z,15,FALSE))</f>
        <v>0</v>
      </c>
      <c r="Y305" s="16">
        <f>IF(ISERROR(VLOOKUP($A305,'13. Updated Demand'!A:Z,16,FALSE)),0,VLOOKUP($A305,'13. Updated Demand'!A:Z,16,FALSE))</f>
        <v>0</v>
      </c>
      <c r="Z305" s="16">
        <f>IF(ISERROR(VLOOKUP($A305,'13. Updated Demand'!A:Z,17,FALSE)),0,VLOOKUP($A305,'13. Updated Demand'!A:Z,17,FALSE))</f>
        <v>0</v>
      </c>
      <c r="AA305" s="16">
        <f>IF(ISERROR(VLOOKUP($A305,'13. Updated Demand'!A:Z,18,FALSE)),0,VLOOKUP($A305,'13. Updated Demand'!A:Z,18,FALSE))</f>
        <v>0</v>
      </c>
      <c r="AB305" s="16">
        <f>IF(ISERROR(VLOOKUP($A305,'13. Updated Demand'!A:Z,19,FALSE)),0,VLOOKUP($A305,'13. Updated Demand'!A:Z,19,FALSE))</f>
        <v>0</v>
      </c>
      <c r="AC305" s="16">
        <f>IF(ISERROR(VLOOKUP($A305,'13. Updated Demand'!A:Z,20,FALSE)),0,VLOOKUP($A305,'13. Updated Demand'!A:Z,20,FALSE))</f>
        <v>0</v>
      </c>
      <c r="AD305" s="16">
        <f>IF(ISERROR(VLOOKUP($A305,'13. Updated Demand'!A:Z,21,FALSE)),0,VLOOKUP($A305,'13. Updated Demand'!A:Z,21,FALSE))</f>
        <v>0</v>
      </c>
      <c r="AE305" s="16">
        <f>IF(ISERROR(VLOOKUP($A305,'13. Updated Demand'!A:Z,22,FALSE)),0,VLOOKUP($A305,'13. Updated Demand'!A:Z,22,FALSE))</f>
        <v>0</v>
      </c>
      <c r="AF305" s="16">
        <f>IF(ISERROR(VLOOKUP($A305,'13. Updated Demand'!A:Z,23,FALSE)),0,VLOOKUP($A305,'13. Updated Demand'!A:Z,23,FALSE))</f>
        <v>0</v>
      </c>
      <c r="AG305" s="16">
        <f>IF(ISERROR(VLOOKUP($A305,'13. Updated Demand'!A:Z,24,FALSE)),0,VLOOKUP($A305,'13. Updated Demand'!A:Z,24,FALSE))</f>
        <v>0</v>
      </c>
      <c r="AH305" s="16">
        <f>IF(ISERROR(VLOOKUP($A305,'13. Updated Demand'!A:Z,25,FALSE)),0,VLOOKUP($A305,'13. Updated Demand'!A:Z,25,FALSE))</f>
        <v>0</v>
      </c>
      <c r="AI305" s="16">
        <f>IF(ISERROR(VLOOKUP($A305,'13. Updated Demand'!A:Z,26,FALSE)),0,VLOOKUP($A305,'13. Updated Demand'!A:Z,26,FALSE))</f>
        <v>0</v>
      </c>
      <c r="AJ305" s="16">
        <f t="shared" si="60"/>
        <v>0</v>
      </c>
      <c r="AK305" s="19">
        <v>0</v>
      </c>
      <c r="AL305" s="16">
        <f t="shared" si="58"/>
        <v>0</v>
      </c>
      <c r="AM305" s="17">
        <v>0</v>
      </c>
      <c r="AN305" s="19"/>
      <c r="AO305" s="19"/>
      <c r="AP305" s="19">
        <v>10</v>
      </c>
      <c r="AQ305" s="19" t="s">
        <v>307</v>
      </c>
      <c r="AR305" s="9" t="s">
        <v>311</v>
      </c>
      <c r="AS305" s="12">
        <v>3.4039024194010059E-4</v>
      </c>
      <c r="AT305" s="19">
        <v>38.5687</v>
      </c>
      <c r="AU305" s="19">
        <v>-122.64490000000001</v>
      </c>
      <c r="AV305" s="19" t="s">
        <v>417</v>
      </c>
    </row>
    <row r="306" spans="1:48" x14ac:dyDescent="0.25">
      <c r="A306" s="18" t="s">
        <v>680</v>
      </c>
      <c r="B306" s="10">
        <v>19980818</v>
      </c>
      <c r="C306" s="9">
        <v>12</v>
      </c>
      <c r="D306" s="8" t="str">
        <f t="shared" si="49"/>
        <v>N</v>
      </c>
      <c r="E306" s="8" t="str">
        <f t="shared" si="50"/>
        <v>Y</v>
      </c>
      <c r="F306" s="8" t="str">
        <f t="shared" si="51"/>
        <v>Y</v>
      </c>
      <c r="G306" s="8" t="str">
        <f t="shared" si="52"/>
        <v>Y</v>
      </c>
      <c r="H306" s="8" t="str">
        <f t="shared" si="53"/>
        <v>Upper</v>
      </c>
      <c r="I306" s="8" t="str">
        <f t="shared" si="54"/>
        <v>West Fork and Below Lake</v>
      </c>
      <c r="J306" s="8" t="str">
        <f t="shared" si="55"/>
        <v>Sonoma (d/s of Clov. Gage)</v>
      </c>
      <c r="K306" s="8" t="str">
        <f t="shared" si="56"/>
        <v>Post-1949</v>
      </c>
      <c r="L306" s="8">
        <f t="shared" si="57"/>
        <v>1998</v>
      </c>
      <c r="M306" s="8" t="str">
        <f t="shared" si="59"/>
        <v>1991-present</v>
      </c>
      <c r="N306" s="10" t="s">
        <v>242</v>
      </c>
      <c r="O306" s="10" t="s">
        <v>241</v>
      </c>
      <c r="P306" s="10" t="s">
        <v>242</v>
      </c>
      <c r="Q306" s="10" t="s">
        <v>242</v>
      </c>
      <c r="R306" s="10" t="s">
        <v>241</v>
      </c>
      <c r="S306" s="10" t="s">
        <v>242</v>
      </c>
      <c r="T306" s="10" t="s">
        <v>242</v>
      </c>
      <c r="U306" s="10" t="s">
        <v>241</v>
      </c>
      <c r="V306" s="10" t="s">
        <v>241</v>
      </c>
      <c r="W306" s="10" t="s">
        <v>242</v>
      </c>
      <c r="X306" s="15">
        <f>IF(ISERROR(VLOOKUP($A306,'13. Updated Demand'!A:Z,15,FALSE)),0,VLOOKUP($A306,'13. Updated Demand'!A:Z,15,FALSE))</f>
        <v>0</v>
      </c>
      <c r="Y306" s="16">
        <f>IF(ISERROR(VLOOKUP($A306,'13. Updated Demand'!A:Z,16,FALSE)),0,VLOOKUP($A306,'13. Updated Demand'!A:Z,16,FALSE))</f>
        <v>0</v>
      </c>
      <c r="Z306" s="16">
        <f>IF(ISERROR(VLOOKUP($A306,'13. Updated Demand'!A:Z,17,FALSE)),0,VLOOKUP($A306,'13. Updated Demand'!A:Z,17,FALSE))</f>
        <v>0</v>
      </c>
      <c r="AA306" s="16">
        <f>IF(ISERROR(VLOOKUP($A306,'13. Updated Demand'!A:Z,18,FALSE)),0,VLOOKUP($A306,'13. Updated Demand'!A:Z,18,FALSE))</f>
        <v>0</v>
      </c>
      <c r="AB306" s="16">
        <f>IF(ISERROR(VLOOKUP($A306,'13. Updated Demand'!A:Z,19,FALSE)),0,VLOOKUP($A306,'13. Updated Demand'!A:Z,19,FALSE))</f>
        <v>0</v>
      </c>
      <c r="AC306" s="16">
        <f>IF(ISERROR(VLOOKUP($A306,'13. Updated Demand'!A:Z,20,FALSE)),0,VLOOKUP($A306,'13. Updated Demand'!A:Z,20,FALSE))</f>
        <v>0</v>
      </c>
      <c r="AD306" s="16">
        <f>IF(ISERROR(VLOOKUP($A306,'13. Updated Demand'!A:Z,21,FALSE)),0,VLOOKUP($A306,'13. Updated Demand'!A:Z,21,FALSE))</f>
        <v>0</v>
      </c>
      <c r="AE306" s="16">
        <f>IF(ISERROR(VLOOKUP($A306,'13. Updated Demand'!A:Z,22,FALSE)),0,VLOOKUP($A306,'13. Updated Demand'!A:Z,22,FALSE))</f>
        <v>0</v>
      </c>
      <c r="AF306" s="16">
        <f>IF(ISERROR(VLOOKUP($A306,'13. Updated Demand'!A:Z,23,FALSE)),0,VLOOKUP($A306,'13. Updated Demand'!A:Z,23,FALSE))</f>
        <v>0</v>
      </c>
      <c r="AG306" s="16">
        <f>IF(ISERROR(VLOOKUP($A306,'13. Updated Demand'!A:Z,24,FALSE)),0,VLOOKUP($A306,'13. Updated Demand'!A:Z,24,FALSE))</f>
        <v>0</v>
      </c>
      <c r="AH306" s="16">
        <f>IF(ISERROR(VLOOKUP($A306,'13. Updated Demand'!A:Z,25,FALSE)),0,VLOOKUP($A306,'13. Updated Demand'!A:Z,25,FALSE))</f>
        <v>0</v>
      </c>
      <c r="AI306" s="16">
        <f>IF(ISERROR(VLOOKUP($A306,'13. Updated Demand'!A:Z,26,FALSE)),0,VLOOKUP($A306,'13. Updated Demand'!A:Z,26,FALSE))</f>
        <v>0</v>
      </c>
      <c r="AJ306" s="16">
        <f t="shared" si="60"/>
        <v>0</v>
      </c>
      <c r="AK306" s="19">
        <v>0</v>
      </c>
      <c r="AL306" s="16">
        <f t="shared" si="58"/>
        <v>0</v>
      </c>
      <c r="AM306" s="17">
        <v>0</v>
      </c>
      <c r="AN306" s="19"/>
      <c r="AO306" s="19"/>
      <c r="AP306" s="19">
        <v>10</v>
      </c>
      <c r="AQ306" s="19" t="s">
        <v>307</v>
      </c>
      <c r="AR306" s="9" t="s">
        <v>311</v>
      </c>
      <c r="AS306" s="12">
        <v>3.4039024194010059E-4</v>
      </c>
      <c r="AT306" s="19">
        <v>38.605146949999998</v>
      </c>
      <c r="AU306" s="19">
        <v>-122.76993281</v>
      </c>
      <c r="AV306" s="19" t="s">
        <v>417</v>
      </c>
    </row>
    <row r="307" spans="1:48" x14ac:dyDescent="0.25">
      <c r="A307" s="18" t="s">
        <v>681</v>
      </c>
      <c r="B307" s="10">
        <v>19980917</v>
      </c>
      <c r="C307" s="9">
        <v>11</v>
      </c>
      <c r="D307" s="8" t="str">
        <f t="shared" si="49"/>
        <v>N</v>
      </c>
      <c r="E307" s="8" t="str">
        <f t="shared" si="50"/>
        <v>Y</v>
      </c>
      <c r="F307" s="8" t="str">
        <f t="shared" si="51"/>
        <v>Y</v>
      </c>
      <c r="G307" s="8" t="str">
        <f t="shared" si="52"/>
        <v>Y</v>
      </c>
      <c r="H307" s="8" t="str">
        <f t="shared" si="53"/>
        <v>Upper</v>
      </c>
      <c r="I307" s="8" t="str">
        <f t="shared" si="54"/>
        <v>West Fork and Below Lake</v>
      </c>
      <c r="J307" s="8" t="str">
        <f t="shared" si="55"/>
        <v>Sonoma (d/s of Clov. Gage)</v>
      </c>
      <c r="K307" s="8" t="str">
        <f t="shared" si="56"/>
        <v>Post-1949</v>
      </c>
      <c r="L307" s="8">
        <f t="shared" si="57"/>
        <v>1998</v>
      </c>
      <c r="M307" s="8" t="str">
        <f t="shared" si="59"/>
        <v>1991-present</v>
      </c>
      <c r="N307" s="10" t="s">
        <v>242</v>
      </c>
      <c r="O307" s="10" t="s">
        <v>241</v>
      </c>
      <c r="P307" s="10" t="s">
        <v>242</v>
      </c>
      <c r="Q307" s="10" t="s">
        <v>242</v>
      </c>
      <c r="R307" s="10" t="s">
        <v>241</v>
      </c>
      <c r="S307" s="10" t="s">
        <v>242</v>
      </c>
      <c r="T307" s="10" t="s">
        <v>242</v>
      </c>
      <c r="U307" s="10" t="s">
        <v>242</v>
      </c>
      <c r="V307" s="10" t="s">
        <v>241</v>
      </c>
      <c r="W307" s="10" t="s">
        <v>242</v>
      </c>
      <c r="X307" s="15">
        <f>IF(ISERROR(VLOOKUP($A307,'13. Updated Demand'!A:Z,15,FALSE)),0,VLOOKUP($A307,'13. Updated Demand'!A:Z,15,FALSE))</f>
        <v>6.3666670000000003E-3</v>
      </c>
      <c r="Y307" s="16">
        <f>IF(ISERROR(VLOOKUP($A307,'13. Updated Demand'!A:Z,16,FALSE)),0,VLOOKUP($A307,'13. Updated Demand'!A:Z,16,FALSE))</f>
        <v>0</v>
      </c>
      <c r="Z307" s="16">
        <f>IF(ISERROR(VLOOKUP($A307,'13. Updated Demand'!A:Z,17,FALSE)),0,VLOOKUP($A307,'13. Updated Demand'!A:Z,17,FALSE))</f>
        <v>0</v>
      </c>
      <c r="AA307" s="16">
        <f>IF(ISERROR(VLOOKUP($A307,'13. Updated Demand'!A:Z,18,FALSE)),0,VLOOKUP($A307,'13. Updated Demand'!A:Z,18,FALSE))</f>
        <v>0</v>
      </c>
      <c r="AB307" s="16">
        <f>IF(ISERROR(VLOOKUP($A307,'13. Updated Demand'!A:Z,19,FALSE)),0,VLOOKUP($A307,'13. Updated Demand'!A:Z,19,FALSE))</f>
        <v>0</v>
      </c>
      <c r="AC307" s="16">
        <f>IF(ISERROR(VLOOKUP($A307,'13. Updated Demand'!A:Z,20,FALSE)),0,VLOOKUP($A307,'13. Updated Demand'!A:Z,20,FALSE))</f>
        <v>0</v>
      </c>
      <c r="AD307" s="16">
        <f>IF(ISERROR(VLOOKUP($A307,'13. Updated Demand'!A:Z,21,FALSE)),0,VLOOKUP($A307,'13. Updated Demand'!A:Z,21,FALSE))</f>
        <v>0</v>
      </c>
      <c r="AE307" s="16">
        <f>IF(ISERROR(VLOOKUP($A307,'13. Updated Demand'!A:Z,22,FALSE)),0,VLOOKUP($A307,'13. Updated Demand'!A:Z,22,FALSE))</f>
        <v>0</v>
      </c>
      <c r="AF307" s="16">
        <f>IF(ISERROR(VLOOKUP($A307,'13. Updated Demand'!A:Z,23,FALSE)),0,VLOOKUP($A307,'13. Updated Demand'!A:Z,23,FALSE))</f>
        <v>0</v>
      </c>
      <c r="AG307" s="16">
        <f>IF(ISERROR(VLOOKUP($A307,'13. Updated Demand'!A:Z,24,FALSE)),0,VLOOKUP($A307,'13. Updated Demand'!A:Z,24,FALSE))</f>
        <v>0</v>
      </c>
      <c r="AH307" s="16">
        <f>IF(ISERROR(VLOOKUP($A307,'13. Updated Demand'!A:Z,25,FALSE)),0,VLOOKUP($A307,'13. Updated Demand'!A:Z,25,FALSE))</f>
        <v>6.4000000000000003E-3</v>
      </c>
      <c r="AI307" s="16">
        <f>IF(ISERROR(VLOOKUP($A307,'13. Updated Demand'!A:Z,26,FALSE)),0,VLOOKUP($A307,'13. Updated Demand'!A:Z,26,FALSE))</f>
        <v>0.14000000000000001</v>
      </c>
      <c r="AJ307" s="16">
        <f t="shared" si="60"/>
        <v>0.15276666700000002</v>
      </c>
      <c r="AK307" s="19">
        <v>0</v>
      </c>
      <c r="AL307" s="16">
        <f t="shared" si="58"/>
        <v>0</v>
      </c>
      <c r="AM307" s="17">
        <v>1.6220000000000002E-2</v>
      </c>
      <c r="AN307" s="19"/>
      <c r="AO307" s="19"/>
      <c r="AP307" s="19">
        <v>10</v>
      </c>
      <c r="AQ307" s="19" t="s">
        <v>307</v>
      </c>
      <c r="AR307" s="9" t="s">
        <v>308</v>
      </c>
      <c r="AS307" s="12">
        <v>3.4039024194010059E-4</v>
      </c>
      <c r="AT307" s="19">
        <v>38.656095759999999</v>
      </c>
      <c r="AU307" s="19">
        <v>-122.72913106</v>
      </c>
      <c r="AV307" s="19" t="s">
        <v>417</v>
      </c>
    </row>
    <row r="308" spans="1:48" x14ac:dyDescent="0.25">
      <c r="A308" s="18" t="s">
        <v>682</v>
      </c>
      <c r="B308" s="10">
        <v>19980604</v>
      </c>
      <c r="C308" s="9">
        <v>16</v>
      </c>
      <c r="D308" s="8" t="str">
        <f t="shared" si="49"/>
        <v>N</v>
      </c>
      <c r="E308" s="8" t="str">
        <f t="shared" si="50"/>
        <v>N</v>
      </c>
      <c r="F308" s="8" t="str">
        <f t="shared" si="51"/>
        <v>N</v>
      </c>
      <c r="G308" s="8" t="str">
        <f t="shared" si="52"/>
        <v>N</v>
      </c>
      <c r="H308" s="8" t="str">
        <f t="shared" si="53"/>
        <v>Lower</v>
      </c>
      <c r="I308" s="8" t="str">
        <f t="shared" si="54"/>
        <v>Outside</v>
      </c>
      <c r="J308" s="8" t="str">
        <f t="shared" si="55"/>
        <v>Outside</v>
      </c>
      <c r="K308" s="8" t="str">
        <f t="shared" si="56"/>
        <v>Post-1949</v>
      </c>
      <c r="L308" s="8">
        <f t="shared" si="57"/>
        <v>1998</v>
      </c>
      <c r="M308" s="8" t="str">
        <f t="shared" si="59"/>
        <v>1991-present</v>
      </c>
      <c r="N308" s="10" t="s">
        <v>242</v>
      </c>
      <c r="O308" s="10" t="s">
        <v>242</v>
      </c>
      <c r="P308" s="10" t="s">
        <v>242</v>
      </c>
      <c r="Q308" s="10" t="s">
        <v>242</v>
      </c>
      <c r="R308" s="10" t="s">
        <v>241</v>
      </c>
      <c r="S308" s="10" t="s">
        <v>242</v>
      </c>
      <c r="T308" s="10" t="s">
        <v>241</v>
      </c>
      <c r="U308" s="10" t="s">
        <v>241</v>
      </c>
      <c r="V308" s="10" t="s">
        <v>241</v>
      </c>
      <c r="W308" s="10" t="s">
        <v>242</v>
      </c>
      <c r="X308" s="15">
        <f>IF(ISERROR(VLOOKUP($A308,'13. Updated Demand'!A:Z,15,FALSE)),0,VLOOKUP($A308,'13. Updated Demand'!A:Z,15,FALSE))</f>
        <v>0</v>
      </c>
      <c r="Y308" s="16">
        <f>IF(ISERROR(VLOOKUP($A308,'13. Updated Demand'!A:Z,16,FALSE)),0,VLOOKUP($A308,'13. Updated Demand'!A:Z,16,FALSE))</f>
        <v>0</v>
      </c>
      <c r="Z308" s="16">
        <f>IF(ISERROR(VLOOKUP($A308,'13. Updated Demand'!A:Z,17,FALSE)),0,VLOOKUP($A308,'13. Updated Demand'!A:Z,17,FALSE))</f>
        <v>0</v>
      </c>
      <c r="AA308" s="16">
        <f>IF(ISERROR(VLOOKUP($A308,'13. Updated Demand'!A:Z,18,FALSE)),0,VLOOKUP($A308,'13. Updated Demand'!A:Z,18,FALSE))</f>
        <v>0</v>
      </c>
      <c r="AB308" s="16">
        <f>IF(ISERROR(VLOOKUP($A308,'13. Updated Demand'!A:Z,19,FALSE)),0,VLOOKUP($A308,'13. Updated Demand'!A:Z,19,FALSE))</f>
        <v>0</v>
      </c>
      <c r="AC308" s="16">
        <f>IF(ISERROR(VLOOKUP($A308,'13. Updated Demand'!A:Z,20,FALSE)),0,VLOOKUP($A308,'13. Updated Demand'!A:Z,20,FALSE))</f>
        <v>0</v>
      </c>
      <c r="AD308" s="16">
        <f>IF(ISERROR(VLOOKUP($A308,'13. Updated Demand'!A:Z,21,FALSE)),0,VLOOKUP($A308,'13. Updated Demand'!A:Z,21,FALSE))</f>
        <v>0</v>
      </c>
      <c r="AE308" s="16">
        <f>IF(ISERROR(VLOOKUP($A308,'13. Updated Demand'!A:Z,22,FALSE)),0,VLOOKUP($A308,'13. Updated Demand'!A:Z,22,FALSE))</f>
        <v>0</v>
      </c>
      <c r="AF308" s="16">
        <f>IF(ISERROR(VLOOKUP($A308,'13. Updated Demand'!A:Z,23,FALSE)),0,VLOOKUP($A308,'13. Updated Demand'!A:Z,23,FALSE))</f>
        <v>0</v>
      </c>
      <c r="AG308" s="16">
        <f>IF(ISERROR(VLOOKUP($A308,'13. Updated Demand'!A:Z,24,FALSE)),0,VLOOKUP($A308,'13. Updated Demand'!A:Z,24,FALSE))</f>
        <v>0</v>
      </c>
      <c r="AH308" s="16">
        <f>IF(ISERROR(VLOOKUP($A308,'13. Updated Demand'!A:Z,25,FALSE)),0,VLOOKUP($A308,'13. Updated Demand'!A:Z,25,FALSE))</f>
        <v>0</v>
      </c>
      <c r="AI308" s="16">
        <f>IF(ISERROR(VLOOKUP($A308,'13. Updated Demand'!A:Z,26,FALSE)),0,VLOOKUP($A308,'13. Updated Demand'!A:Z,26,FALSE))</f>
        <v>0</v>
      </c>
      <c r="AJ308" s="16">
        <f t="shared" si="60"/>
        <v>0</v>
      </c>
      <c r="AK308" s="19">
        <v>0</v>
      </c>
      <c r="AL308" s="16">
        <f t="shared" si="58"/>
        <v>0</v>
      </c>
      <c r="AM308" s="17">
        <v>0</v>
      </c>
      <c r="AN308" s="19"/>
      <c r="AO308" s="19"/>
      <c r="AP308" s="19">
        <v>61</v>
      </c>
      <c r="AQ308" s="19" t="s">
        <v>307</v>
      </c>
      <c r="AR308" s="9" t="s">
        <v>394</v>
      </c>
      <c r="AS308" s="12">
        <v>0</v>
      </c>
      <c r="AT308" s="19">
        <v>38.646418730000001</v>
      </c>
      <c r="AU308" s="19">
        <v>-122.89570806</v>
      </c>
      <c r="AV308" s="19" t="s">
        <v>417</v>
      </c>
    </row>
    <row r="309" spans="1:48" x14ac:dyDescent="0.25">
      <c r="A309" s="18" t="s">
        <v>683</v>
      </c>
      <c r="B309" s="10">
        <v>19980603</v>
      </c>
      <c r="C309" s="9">
        <v>19</v>
      </c>
      <c r="D309" s="8" t="str">
        <f t="shared" si="49"/>
        <v>N</v>
      </c>
      <c r="E309" s="8" t="str">
        <f t="shared" si="50"/>
        <v>N</v>
      </c>
      <c r="F309" s="8" t="str">
        <f t="shared" si="51"/>
        <v>N</v>
      </c>
      <c r="G309" s="8" t="str">
        <f t="shared" si="52"/>
        <v>N</v>
      </c>
      <c r="H309" s="8" t="str">
        <f t="shared" si="53"/>
        <v>Lower</v>
      </c>
      <c r="I309" s="8" t="str">
        <f t="shared" si="54"/>
        <v>Outside</v>
      </c>
      <c r="J309" s="8" t="str">
        <f t="shared" si="55"/>
        <v>Outside</v>
      </c>
      <c r="K309" s="8" t="str">
        <f t="shared" si="56"/>
        <v>Post-1949</v>
      </c>
      <c r="L309" s="8">
        <f t="shared" si="57"/>
        <v>1998</v>
      </c>
      <c r="M309" s="8" t="str">
        <f t="shared" si="59"/>
        <v>1991-present</v>
      </c>
      <c r="N309" s="10" t="s">
        <v>242</v>
      </c>
      <c r="O309" s="10" t="s">
        <v>242</v>
      </c>
      <c r="P309" s="10" t="s">
        <v>242</v>
      </c>
      <c r="Q309" s="10" t="s">
        <v>242</v>
      </c>
      <c r="R309" s="10" t="s">
        <v>241</v>
      </c>
      <c r="S309" s="10" t="s">
        <v>242</v>
      </c>
      <c r="T309" s="10" t="s">
        <v>242</v>
      </c>
      <c r="U309" s="10" t="s">
        <v>241</v>
      </c>
      <c r="V309" s="10" t="s">
        <v>241</v>
      </c>
      <c r="W309" s="10" t="s">
        <v>242</v>
      </c>
      <c r="X309" s="15">
        <f>IF(ISERROR(VLOOKUP($A309,'13. Updated Demand'!A:Z,15,FALSE)),0,VLOOKUP($A309,'13. Updated Demand'!A:Z,15,FALSE))</f>
        <v>0</v>
      </c>
      <c r="Y309" s="16">
        <f>IF(ISERROR(VLOOKUP($A309,'13. Updated Demand'!A:Z,16,FALSE)),0,VLOOKUP($A309,'13. Updated Demand'!A:Z,16,FALSE))</f>
        <v>0</v>
      </c>
      <c r="Z309" s="16">
        <f>IF(ISERROR(VLOOKUP($A309,'13. Updated Demand'!A:Z,17,FALSE)),0,VLOOKUP($A309,'13. Updated Demand'!A:Z,17,FALSE))</f>
        <v>0</v>
      </c>
      <c r="AA309" s="16">
        <f>IF(ISERROR(VLOOKUP($A309,'13. Updated Demand'!A:Z,18,FALSE)),0,VLOOKUP($A309,'13. Updated Demand'!A:Z,18,FALSE))</f>
        <v>0</v>
      </c>
      <c r="AB309" s="16">
        <f>IF(ISERROR(VLOOKUP($A309,'13. Updated Demand'!A:Z,19,FALSE)),0,VLOOKUP($A309,'13. Updated Demand'!A:Z,19,FALSE))</f>
        <v>0</v>
      </c>
      <c r="AC309" s="16">
        <f>IF(ISERROR(VLOOKUP($A309,'13. Updated Demand'!A:Z,20,FALSE)),0,VLOOKUP($A309,'13. Updated Demand'!A:Z,20,FALSE))</f>
        <v>0</v>
      </c>
      <c r="AD309" s="16">
        <f>IF(ISERROR(VLOOKUP($A309,'13. Updated Demand'!A:Z,21,FALSE)),0,VLOOKUP($A309,'13. Updated Demand'!A:Z,21,FALSE))</f>
        <v>0</v>
      </c>
      <c r="AE309" s="16">
        <f>IF(ISERROR(VLOOKUP($A309,'13. Updated Demand'!A:Z,22,FALSE)),0,VLOOKUP($A309,'13. Updated Demand'!A:Z,22,FALSE))</f>
        <v>0</v>
      </c>
      <c r="AF309" s="16">
        <f>IF(ISERROR(VLOOKUP($A309,'13. Updated Demand'!A:Z,23,FALSE)),0,VLOOKUP($A309,'13. Updated Demand'!A:Z,23,FALSE))</f>
        <v>0</v>
      </c>
      <c r="AG309" s="16">
        <f>IF(ISERROR(VLOOKUP($A309,'13. Updated Demand'!A:Z,24,FALSE)),0,VLOOKUP($A309,'13. Updated Demand'!A:Z,24,FALSE))</f>
        <v>0</v>
      </c>
      <c r="AH309" s="16">
        <f>IF(ISERROR(VLOOKUP($A309,'13. Updated Demand'!A:Z,25,FALSE)),0,VLOOKUP($A309,'13. Updated Demand'!A:Z,25,FALSE))</f>
        <v>0</v>
      </c>
      <c r="AI309" s="16">
        <f>IF(ISERROR(VLOOKUP($A309,'13. Updated Demand'!A:Z,26,FALSE)),0,VLOOKUP($A309,'13. Updated Demand'!A:Z,26,FALSE))</f>
        <v>0</v>
      </c>
      <c r="AJ309" s="16">
        <f t="shared" si="60"/>
        <v>0</v>
      </c>
      <c r="AK309" s="19">
        <v>0</v>
      </c>
      <c r="AL309" s="16">
        <f t="shared" si="58"/>
        <v>0</v>
      </c>
      <c r="AM309" s="17">
        <v>0</v>
      </c>
      <c r="AN309" s="19"/>
      <c r="AO309" s="19"/>
      <c r="AP309" s="19">
        <v>10</v>
      </c>
      <c r="AQ309" s="19" t="s">
        <v>307</v>
      </c>
      <c r="AR309" s="9" t="s">
        <v>684</v>
      </c>
      <c r="AS309" s="12">
        <v>3.4039024194010059E-4</v>
      </c>
      <c r="AT309" s="19">
        <v>38.522147990000001</v>
      </c>
      <c r="AU309" s="19">
        <v>-122.94903008</v>
      </c>
      <c r="AV309" s="19" t="s">
        <v>417</v>
      </c>
    </row>
    <row r="310" spans="1:48" x14ac:dyDescent="0.25">
      <c r="A310" s="18" t="s">
        <v>685</v>
      </c>
      <c r="B310" s="10">
        <v>19970729</v>
      </c>
      <c r="C310" s="9">
        <v>12</v>
      </c>
      <c r="D310" s="8" t="str">
        <f t="shared" si="49"/>
        <v>N</v>
      </c>
      <c r="E310" s="8" t="str">
        <f t="shared" si="50"/>
        <v>Y</v>
      </c>
      <c r="F310" s="8" t="str">
        <f t="shared" si="51"/>
        <v>Y</v>
      </c>
      <c r="G310" s="8" t="str">
        <f t="shared" si="52"/>
        <v>Y</v>
      </c>
      <c r="H310" s="8" t="str">
        <f t="shared" si="53"/>
        <v>Upper</v>
      </c>
      <c r="I310" s="8" t="str">
        <f t="shared" si="54"/>
        <v>West Fork and Below Lake</v>
      </c>
      <c r="J310" s="8" t="str">
        <f t="shared" si="55"/>
        <v>Sonoma (d/s of Clov. Gage)</v>
      </c>
      <c r="K310" s="8" t="str">
        <f t="shared" si="56"/>
        <v>Post-1949</v>
      </c>
      <c r="L310" s="8">
        <f t="shared" si="57"/>
        <v>1997</v>
      </c>
      <c r="M310" s="8" t="str">
        <f t="shared" si="59"/>
        <v>1991-present</v>
      </c>
      <c r="N310" s="10" t="s">
        <v>242</v>
      </c>
      <c r="O310" s="10" t="s">
        <v>241</v>
      </c>
      <c r="P310" s="10" t="s">
        <v>242</v>
      </c>
      <c r="Q310" s="10" t="s">
        <v>242</v>
      </c>
      <c r="R310" s="10" t="s">
        <v>241</v>
      </c>
      <c r="S310" s="10" t="s">
        <v>242</v>
      </c>
      <c r="T310" s="10" t="s">
        <v>241</v>
      </c>
      <c r="U310" s="10" t="s">
        <v>241</v>
      </c>
      <c r="V310" s="10" t="s">
        <v>241</v>
      </c>
      <c r="W310" s="10" t="s">
        <v>242</v>
      </c>
      <c r="X310" s="15">
        <f>IF(ISERROR(VLOOKUP($A310,'13. Updated Demand'!A:Z,15,FALSE)),0,VLOOKUP($A310,'13. Updated Demand'!A:Z,15,FALSE))</f>
        <v>0</v>
      </c>
      <c r="Y310" s="16">
        <f>IF(ISERROR(VLOOKUP($A310,'13. Updated Demand'!A:Z,16,FALSE)),0,VLOOKUP($A310,'13. Updated Demand'!A:Z,16,FALSE))</f>
        <v>0</v>
      </c>
      <c r="Z310" s="16">
        <f>IF(ISERROR(VLOOKUP($A310,'13. Updated Demand'!A:Z,17,FALSE)),0,VLOOKUP($A310,'13. Updated Demand'!A:Z,17,FALSE))</f>
        <v>0</v>
      </c>
      <c r="AA310" s="16">
        <f>IF(ISERROR(VLOOKUP($A310,'13. Updated Demand'!A:Z,18,FALSE)),0,VLOOKUP($A310,'13. Updated Demand'!A:Z,18,FALSE))</f>
        <v>0</v>
      </c>
      <c r="AB310" s="16">
        <f>IF(ISERROR(VLOOKUP($A310,'13. Updated Demand'!A:Z,19,FALSE)),0,VLOOKUP($A310,'13. Updated Demand'!A:Z,19,FALSE))</f>
        <v>0</v>
      </c>
      <c r="AC310" s="16">
        <f>IF(ISERROR(VLOOKUP($A310,'13. Updated Demand'!A:Z,20,FALSE)),0,VLOOKUP($A310,'13. Updated Demand'!A:Z,20,FALSE))</f>
        <v>0</v>
      </c>
      <c r="AD310" s="16">
        <f>IF(ISERROR(VLOOKUP($A310,'13. Updated Demand'!A:Z,21,FALSE)),0,VLOOKUP($A310,'13. Updated Demand'!A:Z,21,FALSE))</f>
        <v>0</v>
      </c>
      <c r="AE310" s="16">
        <f>IF(ISERROR(VLOOKUP($A310,'13. Updated Demand'!A:Z,22,FALSE)),0,VLOOKUP($A310,'13. Updated Demand'!A:Z,22,FALSE))</f>
        <v>0</v>
      </c>
      <c r="AF310" s="16">
        <f>IF(ISERROR(VLOOKUP($A310,'13. Updated Demand'!A:Z,23,FALSE)),0,VLOOKUP($A310,'13. Updated Demand'!A:Z,23,FALSE))</f>
        <v>0</v>
      </c>
      <c r="AG310" s="16">
        <f>IF(ISERROR(VLOOKUP($A310,'13. Updated Demand'!A:Z,24,FALSE)),0,VLOOKUP($A310,'13. Updated Demand'!A:Z,24,FALSE))</f>
        <v>0</v>
      </c>
      <c r="AH310" s="16">
        <f>IF(ISERROR(VLOOKUP($A310,'13. Updated Demand'!A:Z,25,FALSE)),0,VLOOKUP($A310,'13. Updated Demand'!A:Z,25,FALSE))</f>
        <v>0</v>
      </c>
      <c r="AI310" s="16">
        <f>IF(ISERROR(VLOOKUP($A310,'13. Updated Demand'!A:Z,26,FALSE)),0,VLOOKUP($A310,'13. Updated Demand'!A:Z,26,FALSE))</f>
        <v>0</v>
      </c>
      <c r="AJ310" s="16">
        <f t="shared" si="60"/>
        <v>0</v>
      </c>
      <c r="AK310" s="19">
        <v>0</v>
      </c>
      <c r="AL310" s="16">
        <f t="shared" si="58"/>
        <v>0</v>
      </c>
      <c r="AM310" s="17">
        <v>0</v>
      </c>
      <c r="AN310" s="19"/>
      <c r="AO310" s="19"/>
      <c r="AP310" s="19">
        <v>26</v>
      </c>
      <c r="AQ310" s="19" t="s">
        <v>307</v>
      </c>
      <c r="AR310" s="9" t="s">
        <v>311</v>
      </c>
      <c r="AS310" s="12">
        <v>0</v>
      </c>
      <c r="AT310" s="19">
        <v>38.615977579999999</v>
      </c>
      <c r="AU310" s="19">
        <v>-122.68847024</v>
      </c>
      <c r="AV310" s="19" t="s">
        <v>417</v>
      </c>
    </row>
    <row r="311" spans="1:48" x14ac:dyDescent="0.25">
      <c r="A311" s="18" t="s">
        <v>686</v>
      </c>
      <c r="B311" s="10">
        <v>19971222</v>
      </c>
      <c r="C311" s="9">
        <v>6</v>
      </c>
      <c r="D311" s="8" t="str">
        <f t="shared" si="49"/>
        <v>Y</v>
      </c>
      <c r="E311" s="8" t="str">
        <f t="shared" si="50"/>
        <v>N</v>
      </c>
      <c r="F311" s="8" t="str">
        <f t="shared" si="51"/>
        <v>Y</v>
      </c>
      <c r="G311" s="8" t="str">
        <f t="shared" si="52"/>
        <v>Y</v>
      </c>
      <c r="H311" s="8" t="str">
        <f t="shared" si="53"/>
        <v>Upper</v>
      </c>
      <c r="I311" s="8" t="str">
        <f t="shared" si="54"/>
        <v>West Fork and Below Lake</v>
      </c>
      <c r="J311" s="8" t="str">
        <f t="shared" si="55"/>
        <v>Mendocino (d/s of lake)</v>
      </c>
      <c r="K311" s="8" t="str">
        <f t="shared" si="56"/>
        <v>Post-1949</v>
      </c>
      <c r="L311" s="8">
        <f t="shared" si="57"/>
        <v>1997</v>
      </c>
      <c r="M311" s="8" t="str">
        <f t="shared" si="59"/>
        <v>1991-present</v>
      </c>
      <c r="N311" s="10" t="s">
        <v>242</v>
      </c>
      <c r="O311" s="10" t="s">
        <v>241</v>
      </c>
      <c r="P311" s="10" t="s">
        <v>242</v>
      </c>
      <c r="Q311" s="10" t="s">
        <v>242</v>
      </c>
      <c r="R311" s="10" t="s">
        <v>241</v>
      </c>
      <c r="S311" s="10" t="s">
        <v>242</v>
      </c>
      <c r="T311" s="10" t="s">
        <v>242</v>
      </c>
      <c r="U311" s="10" t="s">
        <v>242</v>
      </c>
      <c r="V311" s="10" t="s">
        <v>241</v>
      </c>
      <c r="W311" s="10" t="s">
        <v>242</v>
      </c>
      <c r="X311" s="15">
        <f>IF(ISERROR(VLOOKUP($A311,'13. Updated Demand'!A:Z,15,FALSE)),0,VLOOKUP($A311,'13. Updated Demand'!A:Z,15,FALSE))</f>
        <v>0.03</v>
      </c>
      <c r="Y311" s="16">
        <f>IF(ISERROR(VLOOKUP($A311,'13. Updated Demand'!A:Z,16,FALSE)),0,VLOOKUP($A311,'13. Updated Demand'!A:Z,16,FALSE))</f>
        <v>0.03</v>
      </c>
      <c r="Z311" s="16">
        <f>IF(ISERROR(VLOOKUP($A311,'13. Updated Demand'!A:Z,17,FALSE)),0,VLOOKUP($A311,'13. Updated Demand'!A:Z,17,FALSE))</f>
        <v>0</v>
      </c>
      <c r="AA311" s="16">
        <f>IF(ISERROR(VLOOKUP($A311,'13. Updated Demand'!A:Z,18,FALSE)),0,VLOOKUP($A311,'13. Updated Demand'!A:Z,18,FALSE))</f>
        <v>0</v>
      </c>
      <c r="AB311" s="16">
        <f>IF(ISERROR(VLOOKUP($A311,'13. Updated Demand'!A:Z,19,FALSE)),0,VLOOKUP($A311,'13. Updated Demand'!A:Z,19,FALSE))</f>
        <v>0</v>
      </c>
      <c r="AC311" s="16">
        <f>IF(ISERROR(VLOOKUP($A311,'13. Updated Demand'!A:Z,20,FALSE)),0,VLOOKUP($A311,'13. Updated Demand'!A:Z,20,FALSE))</f>
        <v>0</v>
      </c>
      <c r="AD311" s="16">
        <f>IF(ISERROR(VLOOKUP($A311,'13. Updated Demand'!A:Z,21,FALSE)),0,VLOOKUP($A311,'13. Updated Demand'!A:Z,21,FALSE))</f>
        <v>0</v>
      </c>
      <c r="AE311" s="16">
        <f>IF(ISERROR(VLOOKUP($A311,'13. Updated Demand'!A:Z,22,FALSE)),0,VLOOKUP($A311,'13. Updated Demand'!A:Z,22,FALSE))</f>
        <v>0</v>
      </c>
      <c r="AF311" s="16">
        <f>IF(ISERROR(VLOOKUP($A311,'13. Updated Demand'!A:Z,23,FALSE)),0,VLOOKUP($A311,'13. Updated Demand'!A:Z,23,FALSE))</f>
        <v>0</v>
      </c>
      <c r="AG311" s="16">
        <f>IF(ISERROR(VLOOKUP($A311,'13. Updated Demand'!A:Z,24,FALSE)),0,VLOOKUP($A311,'13. Updated Demand'!A:Z,24,FALSE))</f>
        <v>0</v>
      </c>
      <c r="AH311" s="16">
        <f>IF(ISERROR(VLOOKUP($A311,'13. Updated Demand'!A:Z,25,FALSE)),0,VLOOKUP($A311,'13. Updated Demand'!A:Z,25,FALSE))</f>
        <v>0.06</v>
      </c>
      <c r="AI311" s="16">
        <f>IF(ISERROR(VLOOKUP($A311,'13. Updated Demand'!A:Z,26,FALSE)),0,VLOOKUP($A311,'13. Updated Demand'!A:Z,26,FALSE))</f>
        <v>0.1</v>
      </c>
      <c r="AJ311" s="16">
        <f t="shared" si="60"/>
        <v>0.22</v>
      </c>
      <c r="AK311" s="19">
        <v>0</v>
      </c>
      <c r="AL311" s="16">
        <f t="shared" si="58"/>
        <v>0</v>
      </c>
      <c r="AM311" s="17">
        <v>0.1166666665</v>
      </c>
      <c r="AN311" s="19"/>
      <c r="AO311" s="19"/>
      <c r="AP311" s="19">
        <v>2</v>
      </c>
      <c r="AQ311" s="19" t="s">
        <v>307</v>
      </c>
      <c r="AR311" s="9" t="s">
        <v>319</v>
      </c>
      <c r="AS311" s="12">
        <v>0</v>
      </c>
      <c r="AT311" s="19">
        <v>38.96107121</v>
      </c>
      <c r="AU311" s="19">
        <v>-123.06304806999999</v>
      </c>
      <c r="AV311" s="19" t="s">
        <v>417</v>
      </c>
    </row>
    <row r="312" spans="1:48" x14ac:dyDescent="0.25">
      <c r="A312" s="18" t="s">
        <v>687</v>
      </c>
      <c r="B312" s="10">
        <v>19971222</v>
      </c>
      <c r="C312" s="9">
        <v>6</v>
      </c>
      <c r="D312" s="8" t="str">
        <f t="shared" si="49"/>
        <v>Y</v>
      </c>
      <c r="E312" s="8" t="str">
        <f t="shared" si="50"/>
        <v>N</v>
      </c>
      <c r="F312" s="8" t="str">
        <f t="shared" si="51"/>
        <v>Y</v>
      </c>
      <c r="G312" s="8" t="str">
        <f t="shared" si="52"/>
        <v>Y</v>
      </c>
      <c r="H312" s="8" t="str">
        <f t="shared" si="53"/>
        <v>Upper</v>
      </c>
      <c r="I312" s="8" t="str">
        <f t="shared" si="54"/>
        <v>West Fork and Below Lake</v>
      </c>
      <c r="J312" s="8" t="str">
        <f t="shared" si="55"/>
        <v>Mendocino (d/s of lake)</v>
      </c>
      <c r="K312" s="8" t="str">
        <f t="shared" si="56"/>
        <v>Post-1949</v>
      </c>
      <c r="L312" s="8">
        <f t="shared" si="57"/>
        <v>1997</v>
      </c>
      <c r="M312" s="8" t="str">
        <f t="shared" si="59"/>
        <v>1991-present</v>
      </c>
      <c r="N312" s="10" t="s">
        <v>242</v>
      </c>
      <c r="O312" s="10" t="s">
        <v>241</v>
      </c>
      <c r="P312" s="10" t="s">
        <v>242</v>
      </c>
      <c r="Q312" s="10" t="s">
        <v>242</v>
      </c>
      <c r="R312" s="10" t="s">
        <v>241</v>
      </c>
      <c r="S312" s="10" t="s">
        <v>242</v>
      </c>
      <c r="T312" s="10" t="s">
        <v>242</v>
      </c>
      <c r="U312" s="10" t="s">
        <v>242</v>
      </c>
      <c r="V312" s="10" t="s">
        <v>241</v>
      </c>
      <c r="W312" s="10" t="s">
        <v>242</v>
      </c>
      <c r="X312" s="15">
        <f>IF(ISERROR(VLOOKUP($A312,'13. Updated Demand'!A:Z,15,FALSE)),0,VLOOKUP($A312,'13. Updated Demand'!A:Z,15,FALSE))</f>
        <v>0.3</v>
      </c>
      <c r="Y312" s="16">
        <f>IF(ISERROR(VLOOKUP($A312,'13. Updated Demand'!A:Z,16,FALSE)),0,VLOOKUP($A312,'13. Updated Demand'!A:Z,16,FALSE))</f>
        <v>0.36</v>
      </c>
      <c r="Z312" s="16">
        <f>IF(ISERROR(VLOOKUP($A312,'13. Updated Demand'!A:Z,17,FALSE)),0,VLOOKUP($A312,'13. Updated Demand'!A:Z,17,FALSE))</f>
        <v>0</v>
      </c>
      <c r="AA312" s="16">
        <f>IF(ISERROR(VLOOKUP($A312,'13. Updated Demand'!A:Z,18,FALSE)),0,VLOOKUP($A312,'13. Updated Demand'!A:Z,18,FALSE))</f>
        <v>0</v>
      </c>
      <c r="AB312" s="16">
        <f>IF(ISERROR(VLOOKUP($A312,'13. Updated Demand'!A:Z,19,FALSE)),0,VLOOKUP($A312,'13. Updated Demand'!A:Z,19,FALSE))</f>
        <v>0</v>
      </c>
      <c r="AC312" s="16">
        <f>IF(ISERROR(VLOOKUP($A312,'13. Updated Demand'!A:Z,20,FALSE)),0,VLOOKUP($A312,'13. Updated Demand'!A:Z,20,FALSE))</f>
        <v>0</v>
      </c>
      <c r="AD312" s="16">
        <f>IF(ISERROR(VLOOKUP($A312,'13. Updated Demand'!A:Z,21,FALSE)),0,VLOOKUP($A312,'13. Updated Demand'!A:Z,21,FALSE))</f>
        <v>0</v>
      </c>
      <c r="AE312" s="16">
        <f>IF(ISERROR(VLOOKUP($A312,'13. Updated Demand'!A:Z,22,FALSE)),0,VLOOKUP($A312,'13. Updated Demand'!A:Z,22,FALSE))</f>
        <v>0</v>
      </c>
      <c r="AF312" s="16">
        <f>IF(ISERROR(VLOOKUP($A312,'13. Updated Demand'!A:Z,23,FALSE)),0,VLOOKUP($A312,'13. Updated Demand'!A:Z,23,FALSE))</f>
        <v>0</v>
      </c>
      <c r="AG312" s="16">
        <f>IF(ISERROR(VLOOKUP($A312,'13. Updated Demand'!A:Z,24,FALSE)),0,VLOOKUP($A312,'13. Updated Demand'!A:Z,24,FALSE))</f>
        <v>0.06</v>
      </c>
      <c r="AH312" s="16">
        <f>IF(ISERROR(VLOOKUP($A312,'13. Updated Demand'!A:Z,25,FALSE)),0,VLOOKUP($A312,'13. Updated Demand'!A:Z,25,FALSE))</f>
        <v>0.33</v>
      </c>
      <c r="AI312" s="16">
        <f>IF(ISERROR(VLOOKUP($A312,'13. Updated Demand'!A:Z,26,FALSE)),0,VLOOKUP($A312,'13. Updated Demand'!A:Z,26,FALSE))</f>
        <v>0.63</v>
      </c>
      <c r="AJ312" s="16">
        <f t="shared" si="60"/>
        <v>1.6800000000000002</v>
      </c>
      <c r="AK312" s="19">
        <v>0</v>
      </c>
      <c r="AL312" s="16">
        <f t="shared" si="58"/>
        <v>0</v>
      </c>
      <c r="AM312" s="17">
        <v>0.34</v>
      </c>
      <c r="AN312" s="19"/>
      <c r="AO312" s="19"/>
      <c r="AP312" s="19">
        <v>5</v>
      </c>
      <c r="AQ312" s="19" t="s">
        <v>307</v>
      </c>
      <c r="AR312" s="9" t="s">
        <v>319</v>
      </c>
      <c r="AS312" s="12">
        <v>0</v>
      </c>
      <c r="AT312" s="19">
        <v>38.949764969999997</v>
      </c>
      <c r="AU312" s="19">
        <v>-123.05320816</v>
      </c>
      <c r="AV312" s="19" t="s">
        <v>417</v>
      </c>
    </row>
    <row r="313" spans="1:48" x14ac:dyDescent="0.25">
      <c r="A313" s="18" t="s">
        <v>688</v>
      </c>
      <c r="B313" s="10">
        <v>19971222</v>
      </c>
      <c r="C313" s="9">
        <v>6</v>
      </c>
      <c r="D313" s="8" t="str">
        <f t="shared" si="49"/>
        <v>Y</v>
      </c>
      <c r="E313" s="8" t="str">
        <f t="shared" si="50"/>
        <v>N</v>
      </c>
      <c r="F313" s="8" t="str">
        <f t="shared" si="51"/>
        <v>Y</v>
      </c>
      <c r="G313" s="8" t="str">
        <f t="shared" si="52"/>
        <v>Y</v>
      </c>
      <c r="H313" s="8" t="str">
        <f t="shared" si="53"/>
        <v>Upper</v>
      </c>
      <c r="I313" s="8" t="str">
        <f t="shared" si="54"/>
        <v>West Fork and Below Lake</v>
      </c>
      <c r="J313" s="8" t="str">
        <f t="shared" si="55"/>
        <v>Mendocino (d/s of lake)</v>
      </c>
      <c r="K313" s="8" t="str">
        <f t="shared" si="56"/>
        <v>Post-1949</v>
      </c>
      <c r="L313" s="8">
        <f t="shared" si="57"/>
        <v>1997</v>
      </c>
      <c r="M313" s="8" t="str">
        <f t="shared" si="59"/>
        <v>1991-present</v>
      </c>
      <c r="N313" s="10" t="s">
        <v>242</v>
      </c>
      <c r="O313" s="10" t="s">
        <v>241</v>
      </c>
      <c r="P313" s="10" t="s">
        <v>242</v>
      </c>
      <c r="Q313" s="10" t="s">
        <v>242</v>
      </c>
      <c r="R313" s="10" t="s">
        <v>241</v>
      </c>
      <c r="S313" s="10" t="s">
        <v>242</v>
      </c>
      <c r="T313" s="10" t="s">
        <v>242</v>
      </c>
      <c r="U313" s="10" t="s">
        <v>242</v>
      </c>
      <c r="V313" s="10" t="s">
        <v>241</v>
      </c>
      <c r="W313" s="10" t="s">
        <v>242</v>
      </c>
      <c r="X313" s="15">
        <f>IF(ISERROR(VLOOKUP($A313,'13. Updated Demand'!A:Z,15,FALSE)),0,VLOOKUP($A313,'13. Updated Demand'!A:Z,15,FALSE))</f>
        <v>0.3</v>
      </c>
      <c r="Y313" s="16">
        <f>IF(ISERROR(VLOOKUP($A313,'13. Updated Demand'!A:Z,16,FALSE)),0,VLOOKUP($A313,'13. Updated Demand'!A:Z,16,FALSE))</f>
        <v>0.4</v>
      </c>
      <c r="Z313" s="16">
        <f>IF(ISERROR(VLOOKUP($A313,'13. Updated Demand'!A:Z,17,FALSE)),0,VLOOKUP($A313,'13. Updated Demand'!A:Z,17,FALSE))</f>
        <v>0</v>
      </c>
      <c r="AA313" s="16">
        <f>IF(ISERROR(VLOOKUP($A313,'13. Updated Demand'!A:Z,18,FALSE)),0,VLOOKUP($A313,'13. Updated Demand'!A:Z,18,FALSE))</f>
        <v>0</v>
      </c>
      <c r="AB313" s="16">
        <f>IF(ISERROR(VLOOKUP($A313,'13. Updated Demand'!A:Z,19,FALSE)),0,VLOOKUP($A313,'13. Updated Demand'!A:Z,19,FALSE))</f>
        <v>0</v>
      </c>
      <c r="AC313" s="16">
        <f>IF(ISERROR(VLOOKUP($A313,'13. Updated Demand'!A:Z,20,FALSE)),0,VLOOKUP($A313,'13. Updated Demand'!A:Z,20,FALSE))</f>
        <v>0</v>
      </c>
      <c r="AD313" s="16">
        <f>IF(ISERROR(VLOOKUP($A313,'13. Updated Demand'!A:Z,21,FALSE)),0,VLOOKUP($A313,'13. Updated Demand'!A:Z,21,FALSE))</f>
        <v>0</v>
      </c>
      <c r="AE313" s="16">
        <f>IF(ISERROR(VLOOKUP($A313,'13. Updated Demand'!A:Z,22,FALSE)),0,VLOOKUP($A313,'13. Updated Demand'!A:Z,22,FALSE))</f>
        <v>0</v>
      </c>
      <c r="AF313" s="16">
        <f>IF(ISERROR(VLOOKUP($A313,'13. Updated Demand'!A:Z,23,FALSE)),0,VLOOKUP($A313,'13. Updated Demand'!A:Z,23,FALSE))</f>
        <v>0</v>
      </c>
      <c r="AG313" s="16">
        <f>IF(ISERROR(VLOOKUP($A313,'13. Updated Demand'!A:Z,24,FALSE)),0,VLOOKUP($A313,'13. Updated Demand'!A:Z,24,FALSE))</f>
        <v>0.06</v>
      </c>
      <c r="AH313" s="16">
        <f>IF(ISERROR(VLOOKUP($A313,'13. Updated Demand'!A:Z,25,FALSE)),0,VLOOKUP($A313,'13. Updated Demand'!A:Z,25,FALSE))</f>
        <v>0.33</v>
      </c>
      <c r="AI313" s="16">
        <f>IF(ISERROR(VLOOKUP($A313,'13. Updated Demand'!A:Z,26,FALSE)),0,VLOOKUP($A313,'13. Updated Demand'!A:Z,26,FALSE))</f>
        <v>0.66</v>
      </c>
      <c r="AJ313" s="16">
        <f t="shared" si="60"/>
        <v>1.75</v>
      </c>
      <c r="AK313" s="19">
        <v>0</v>
      </c>
      <c r="AL313" s="16">
        <f t="shared" si="58"/>
        <v>0</v>
      </c>
      <c r="AM313" s="17">
        <v>0.3533333334</v>
      </c>
      <c r="AN313" s="19"/>
      <c r="AO313" s="19"/>
      <c r="AP313" s="19">
        <v>5</v>
      </c>
      <c r="AQ313" s="19" t="s">
        <v>307</v>
      </c>
      <c r="AR313" s="9" t="s">
        <v>319</v>
      </c>
      <c r="AS313" s="12">
        <v>0</v>
      </c>
      <c r="AT313" s="19">
        <v>38.938244769999997</v>
      </c>
      <c r="AU313" s="19">
        <v>-123.05180679999999</v>
      </c>
      <c r="AV313" s="19" t="s">
        <v>417</v>
      </c>
    </row>
    <row r="314" spans="1:48" x14ac:dyDescent="0.25">
      <c r="A314" s="18" t="s">
        <v>689</v>
      </c>
      <c r="B314" s="10">
        <v>19971222</v>
      </c>
      <c r="C314" s="9">
        <v>6</v>
      </c>
      <c r="D314" s="8" t="str">
        <f t="shared" si="49"/>
        <v>Y</v>
      </c>
      <c r="E314" s="8" t="str">
        <f t="shared" si="50"/>
        <v>N</v>
      </c>
      <c r="F314" s="8" t="str">
        <f t="shared" si="51"/>
        <v>Y</v>
      </c>
      <c r="G314" s="8" t="str">
        <f t="shared" si="52"/>
        <v>Y</v>
      </c>
      <c r="H314" s="8" t="str">
        <f t="shared" si="53"/>
        <v>Upper</v>
      </c>
      <c r="I314" s="8" t="str">
        <f t="shared" si="54"/>
        <v>West Fork and Below Lake</v>
      </c>
      <c r="J314" s="8" t="str">
        <f t="shared" si="55"/>
        <v>Mendocino (d/s of lake)</v>
      </c>
      <c r="K314" s="8" t="str">
        <f t="shared" si="56"/>
        <v>Post-1949</v>
      </c>
      <c r="L314" s="8">
        <f t="shared" si="57"/>
        <v>1997</v>
      </c>
      <c r="M314" s="8" t="str">
        <f t="shared" si="59"/>
        <v>1991-present</v>
      </c>
      <c r="N314" s="10" t="s">
        <v>242</v>
      </c>
      <c r="O314" s="10" t="s">
        <v>241</v>
      </c>
      <c r="P314" s="10" t="s">
        <v>242</v>
      </c>
      <c r="Q314" s="10" t="s">
        <v>242</v>
      </c>
      <c r="R314" s="10" t="s">
        <v>241</v>
      </c>
      <c r="S314" s="10" t="s">
        <v>242</v>
      </c>
      <c r="T314" s="10" t="s">
        <v>242</v>
      </c>
      <c r="U314" s="10" t="s">
        <v>242</v>
      </c>
      <c r="V314" s="10" t="s">
        <v>241</v>
      </c>
      <c r="W314" s="10" t="s">
        <v>242</v>
      </c>
      <c r="X314" s="15">
        <f>IF(ISERROR(VLOOKUP($A314,'13. Updated Demand'!A:Z,15,FALSE)),0,VLOOKUP($A314,'13. Updated Demand'!A:Z,15,FALSE))</f>
        <v>0.13</v>
      </c>
      <c r="Y314" s="16">
        <f>IF(ISERROR(VLOOKUP($A314,'13. Updated Demand'!A:Z,16,FALSE)),0,VLOOKUP($A314,'13. Updated Demand'!A:Z,16,FALSE))</f>
        <v>0.16</v>
      </c>
      <c r="Z314" s="16">
        <f>IF(ISERROR(VLOOKUP($A314,'13. Updated Demand'!A:Z,17,FALSE)),0,VLOOKUP($A314,'13. Updated Demand'!A:Z,17,FALSE))</f>
        <v>0</v>
      </c>
      <c r="AA314" s="16">
        <f>IF(ISERROR(VLOOKUP($A314,'13. Updated Demand'!A:Z,18,FALSE)),0,VLOOKUP($A314,'13. Updated Demand'!A:Z,18,FALSE))</f>
        <v>0</v>
      </c>
      <c r="AB314" s="16">
        <f>IF(ISERROR(VLOOKUP($A314,'13. Updated Demand'!A:Z,19,FALSE)),0,VLOOKUP($A314,'13. Updated Demand'!A:Z,19,FALSE))</f>
        <v>0</v>
      </c>
      <c r="AC314" s="16">
        <f>IF(ISERROR(VLOOKUP($A314,'13. Updated Demand'!A:Z,20,FALSE)),0,VLOOKUP($A314,'13. Updated Demand'!A:Z,20,FALSE))</f>
        <v>0</v>
      </c>
      <c r="AD314" s="16">
        <f>IF(ISERROR(VLOOKUP($A314,'13. Updated Demand'!A:Z,21,FALSE)),0,VLOOKUP($A314,'13. Updated Demand'!A:Z,21,FALSE))</f>
        <v>0</v>
      </c>
      <c r="AE314" s="16">
        <f>IF(ISERROR(VLOOKUP($A314,'13. Updated Demand'!A:Z,22,FALSE)),0,VLOOKUP($A314,'13. Updated Demand'!A:Z,22,FALSE))</f>
        <v>0</v>
      </c>
      <c r="AF314" s="16">
        <f>IF(ISERROR(VLOOKUP($A314,'13. Updated Demand'!A:Z,23,FALSE)),0,VLOOKUP($A314,'13. Updated Demand'!A:Z,23,FALSE))</f>
        <v>0</v>
      </c>
      <c r="AG314" s="16">
        <f>IF(ISERROR(VLOOKUP($A314,'13. Updated Demand'!A:Z,24,FALSE)),0,VLOOKUP($A314,'13. Updated Demand'!A:Z,24,FALSE))</f>
        <v>0.03</v>
      </c>
      <c r="AH314" s="16">
        <f>IF(ISERROR(VLOOKUP($A314,'13. Updated Demand'!A:Z,25,FALSE)),0,VLOOKUP($A314,'13. Updated Demand'!A:Z,25,FALSE))</f>
        <v>0.13</v>
      </c>
      <c r="AI314" s="16">
        <f>IF(ISERROR(VLOOKUP($A314,'13. Updated Demand'!A:Z,26,FALSE)),0,VLOOKUP($A314,'13. Updated Demand'!A:Z,26,FALSE))</f>
        <v>0.26</v>
      </c>
      <c r="AJ314" s="16">
        <f t="shared" si="60"/>
        <v>0.71000000000000008</v>
      </c>
      <c r="AK314" s="19">
        <v>0</v>
      </c>
      <c r="AL314" s="16">
        <f t="shared" si="58"/>
        <v>0</v>
      </c>
      <c r="AM314" s="17">
        <v>8.1481481444444448E-2</v>
      </c>
      <c r="AN314" s="19"/>
      <c r="AO314" s="19"/>
      <c r="AP314" s="19">
        <v>9</v>
      </c>
      <c r="AQ314" s="19" t="s">
        <v>307</v>
      </c>
      <c r="AR314" s="9" t="s">
        <v>319</v>
      </c>
      <c r="AS314" s="12">
        <v>0</v>
      </c>
      <c r="AT314" s="19">
        <v>38.93320507</v>
      </c>
      <c r="AU314" s="19">
        <v>-123.04733745999999</v>
      </c>
      <c r="AV314" s="19" t="s">
        <v>417</v>
      </c>
    </row>
    <row r="315" spans="1:48" x14ac:dyDescent="0.25">
      <c r="A315" s="18" t="s">
        <v>690</v>
      </c>
      <c r="B315" s="10">
        <v>19971222</v>
      </c>
      <c r="C315" s="9">
        <v>6</v>
      </c>
      <c r="D315" s="8" t="str">
        <f t="shared" si="49"/>
        <v>Y</v>
      </c>
      <c r="E315" s="8" t="str">
        <f t="shared" si="50"/>
        <v>N</v>
      </c>
      <c r="F315" s="8" t="str">
        <f t="shared" si="51"/>
        <v>Y</v>
      </c>
      <c r="G315" s="8" t="str">
        <f t="shared" si="52"/>
        <v>Y</v>
      </c>
      <c r="H315" s="8" t="str">
        <f t="shared" si="53"/>
        <v>Upper</v>
      </c>
      <c r="I315" s="8" t="str">
        <f t="shared" si="54"/>
        <v>West Fork and Below Lake</v>
      </c>
      <c r="J315" s="8" t="str">
        <f t="shared" si="55"/>
        <v>Mendocino (d/s of lake)</v>
      </c>
      <c r="K315" s="8" t="str">
        <f t="shared" si="56"/>
        <v>Post-1949</v>
      </c>
      <c r="L315" s="8">
        <f t="shared" si="57"/>
        <v>1997</v>
      </c>
      <c r="M315" s="8" t="str">
        <f t="shared" si="59"/>
        <v>1991-present</v>
      </c>
      <c r="N315" s="10" t="s">
        <v>242</v>
      </c>
      <c r="O315" s="10" t="s">
        <v>241</v>
      </c>
      <c r="P315" s="10" t="s">
        <v>242</v>
      </c>
      <c r="Q315" s="10" t="s">
        <v>242</v>
      </c>
      <c r="R315" s="10" t="s">
        <v>241</v>
      </c>
      <c r="S315" s="10" t="s">
        <v>242</v>
      </c>
      <c r="T315" s="10" t="s">
        <v>242</v>
      </c>
      <c r="U315" s="10" t="s">
        <v>242</v>
      </c>
      <c r="V315" s="10" t="s">
        <v>241</v>
      </c>
      <c r="W315" s="10" t="s">
        <v>242</v>
      </c>
      <c r="X315" s="15">
        <f>IF(ISERROR(VLOOKUP($A315,'13. Updated Demand'!A:Z,15,FALSE)),0,VLOOKUP($A315,'13. Updated Demand'!A:Z,15,FALSE))</f>
        <v>0.1</v>
      </c>
      <c r="Y315" s="16">
        <f>IF(ISERROR(VLOOKUP($A315,'13. Updated Demand'!A:Z,16,FALSE)),0,VLOOKUP($A315,'13. Updated Demand'!A:Z,16,FALSE))</f>
        <v>0.1</v>
      </c>
      <c r="Z315" s="16">
        <f>IF(ISERROR(VLOOKUP($A315,'13. Updated Demand'!A:Z,17,FALSE)),0,VLOOKUP($A315,'13. Updated Demand'!A:Z,17,FALSE))</f>
        <v>0</v>
      </c>
      <c r="AA315" s="16">
        <f>IF(ISERROR(VLOOKUP($A315,'13. Updated Demand'!A:Z,18,FALSE)),0,VLOOKUP($A315,'13. Updated Demand'!A:Z,18,FALSE))</f>
        <v>0</v>
      </c>
      <c r="AB315" s="16">
        <f>IF(ISERROR(VLOOKUP($A315,'13. Updated Demand'!A:Z,19,FALSE)),0,VLOOKUP($A315,'13. Updated Demand'!A:Z,19,FALSE))</f>
        <v>0</v>
      </c>
      <c r="AC315" s="16">
        <f>IF(ISERROR(VLOOKUP($A315,'13. Updated Demand'!A:Z,20,FALSE)),0,VLOOKUP($A315,'13. Updated Demand'!A:Z,20,FALSE))</f>
        <v>0</v>
      </c>
      <c r="AD315" s="16">
        <f>IF(ISERROR(VLOOKUP($A315,'13. Updated Demand'!A:Z,21,FALSE)),0,VLOOKUP($A315,'13. Updated Demand'!A:Z,21,FALSE))</f>
        <v>0</v>
      </c>
      <c r="AE315" s="16">
        <f>IF(ISERROR(VLOOKUP($A315,'13. Updated Demand'!A:Z,22,FALSE)),0,VLOOKUP($A315,'13. Updated Demand'!A:Z,22,FALSE))</f>
        <v>0</v>
      </c>
      <c r="AF315" s="16">
        <f>IF(ISERROR(VLOOKUP($A315,'13. Updated Demand'!A:Z,23,FALSE)),0,VLOOKUP($A315,'13. Updated Demand'!A:Z,23,FALSE))</f>
        <v>0</v>
      </c>
      <c r="AG315" s="16">
        <f>IF(ISERROR(VLOOKUP($A315,'13. Updated Demand'!A:Z,24,FALSE)),0,VLOOKUP($A315,'13. Updated Demand'!A:Z,24,FALSE))</f>
        <v>0.06</v>
      </c>
      <c r="AH315" s="16">
        <f>IF(ISERROR(VLOOKUP($A315,'13. Updated Demand'!A:Z,25,FALSE)),0,VLOOKUP($A315,'13. Updated Demand'!A:Z,25,FALSE))</f>
        <v>0.1</v>
      </c>
      <c r="AI315" s="16">
        <f>IF(ISERROR(VLOOKUP($A315,'13. Updated Demand'!A:Z,26,FALSE)),0,VLOOKUP($A315,'13. Updated Demand'!A:Z,26,FALSE))</f>
        <v>0.36</v>
      </c>
      <c r="AJ315" s="16">
        <f t="shared" si="60"/>
        <v>0.72</v>
      </c>
      <c r="AK315" s="19">
        <v>0</v>
      </c>
      <c r="AL315" s="16">
        <f t="shared" si="58"/>
        <v>0</v>
      </c>
      <c r="AM315" s="17">
        <v>0.18333333350000003</v>
      </c>
      <c r="AN315" s="19"/>
      <c r="AO315" s="19"/>
      <c r="AP315" s="19">
        <v>4</v>
      </c>
      <c r="AQ315" s="19" t="s">
        <v>307</v>
      </c>
      <c r="AR315" s="9" t="s">
        <v>319</v>
      </c>
      <c r="AS315" s="12">
        <v>0</v>
      </c>
      <c r="AT315" s="19">
        <v>38.945122990000002</v>
      </c>
      <c r="AU315" s="19">
        <v>-123.06544676999999</v>
      </c>
      <c r="AV315" s="19" t="s">
        <v>417</v>
      </c>
    </row>
    <row r="316" spans="1:48" x14ac:dyDescent="0.25">
      <c r="A316" s="18" t="s">
        <v>691</v>
      </c>
      <c r="B316" s="10">
        <v>19971222</v>
      </c>
      <c r="C316" s="9">
        <v>6</v>
      </c>
      <c r="D316" s="8" t="str">
        <f t="shared" si="49"/>
        <v>Y</v>
      </c>
      <c r="E316" s="8" t="str">
        <f t="shared" si="50"/>
        <v>N</v>
      </c>
      <c r="F316" s="8" t="str">
        <f t="shared" si="51"/>
        <v>Y</v>
      </c>
      <c r="G316" s="8" t="str">
        <f t="shared" si="52"/>
        <v>Y</v>
      </c>
      <c r="H316" s="8" t="str">
        <f t="shared" si="53"/>
        <v>Upper</v>
      </c>
      <c r="I316" s="8" t="str">
        <f t="shared" si="54"/>
        <v>West Fork and Below Lake</v>
      </c>
      <c r="J316" s="8" t="str">
        <f t="shared" si="55"/>
        <v>Mendocino (d/s of lake)</v>
      </c>
      <c r="K316" s="8" t="str">
        <f t="shared" si="56"/>
        <v>Post-1949</v>
      </c>
      <c r="L316" s="8">
        <f t="shared" si="57"/>
        <v>1997</v>
      </c>
      <c r="M316" s="8" t="str">
        <f t="shared" si="59"/>
        <v>1991-present</v>
      </c>
      <c r="N316" s="10" t="s">
        <v>241</v>
      </c>
      <c r="O316" s="10" t="s">
        <v>241</v>
      </c>
      <c r="P316" s="10" t="s">
        <v>242</v>
      </c>
      <c r="Q316" s="10" t="s">
        <v>242</v>
      </c>
      <c r="R316" s="10" t="s">
        <v>241</v>
      </c>
      <c r="S316" s="10" t="s">
        <v>242</v>
      </c>
      <c r="T316" s="10" t="s">
        <v>242</v>
      </c>
      <c r="U316" s="10" t="s">
        <v>242</v>
      </c>
      <c r="V316" s="10" t="s">
        <v>241</v>
      </c>
      <c r="W316" s="10" t="s">
        <v>242</v>
      </c>
      <c r="X316" s="15">
        <f>IF(ISERROR(VLOOKUP($A316,'13. Updated Demand'!A:Z,15,FALSE)),0,VLOOKUP($A316,'13. Updated Demand'!A:Z,15,FALSE))</f>
        <v>0.13</v>
      </c>
      <c r="Y316" s="16">
        <f>IF(ISERROR(VLOOKUP($A316,'13. Updated Demand'!A:Z,16,FALSE)),0,VLOOKUP($A316,'13. Updated Demand'!A:Z,16,FALSE))</f>
        <v>0.2</v>
      </c>
      <c r="Z316" s="16">
        <f>IF(ISERROR(VLOOKUP($A316,'13. Updated Demand'!A:Z,17,FALSE)),0,VLOOKUP($A316,'13. Updated Demand'!A:Z,17,FALSE))</f>
        <v>0</v>
      </c>
      <c r="AA316" s="16">
        <f>IF(ISERROR(VLOOKUP($A316,'13. Updated Demand'!A:Z,18,FALSE)),0,VLOOKUP($A316,'13. Updated Demand'!A:Z,18,FALSE))</f>
        <v>0</v>
      </c>
      <c r="AB316" s="16">
        <f>IF(ISERROR(VLOOKUP($A316,'13. Updated Demand'!A:Z,19,FALSE)),0,VLOOKUP($A316,'13. Updated Demand'!A:Z,19,FALSE))</f>
        <v>0</v>
      </c>
      <c r="AC316" s="16">
        <f>IF(ISERROR(VLOOKUP($A316,'13. Updated Demand'!A:Z,20,FALSE)),0,VLOOKUP($A316,'13. Updated Demand'!A:Z,20,FALSE))</f>
        <v>0</v>
      </c>
      <c r="AD316" s="16">
        <f>IF(ISERROR(VLOOKUP($A316,'13. Updated Demand'!A:Z,21,FALSE)),0,VLOOKUP($A316,'13. Updated Demand'!A:Z,21,FALSE))</f>
        <v>0</v>
      </c>
      <c r="AE316" s="16">
        <f>IF(ISERROR(VLOOKUP($A316,'13. Updated Demand'!A:Z,22,FALSE)),0,VLOOKUP($A316,'13. Updated Demand'!A:Z,22,FALSE))</f>
        <v>0</v>
      </c>
      <c r="AF316" s="16">
        <f>IF(ISERROR(VLOOKUP($A316,'13. Updated Demand'!A:Z,23,FALSE)),0,VLOOKUP($A316,'13. Updated Demand'!A:Z,23,FALSE))</f>
        <v>0</v>
      </c>
      <c r="AG316" s="16">
        <f>IF(ISERROR(VLOOKUP($A316,'13. Updated Demand'!A:Z,24,FALSE)),0,VLOOKUP($A316,'13. Updated Demand'!A:Z,24,FALSE))</f>
        <v>0.03</v>
      </c>
      <c r="AH316" s="16">
        <f>IF(ISERROR(VLOOKUP($A316,'13. Updated Demand'!A:Z,25,FALSE)),0,VLOOKUP($A316,'13. Updated Demand'!A:Z,25,FALSE))</f>
        <v>0.13</v>
      </c>
      <c r="AI316" s="16">
        <f>IF(ISERROR(VLOOKUP($A316,'13. Updated Demand'!A:Z,26,FALSE)),0,VLOOKUP($A316,'13. Updated Demand'!A:Z,26,FALSE))</f>
        <v>0.33</v>
      </c>
      <c r="AJ316" s="16">
        <f t="shared" si="60"/>
        <v>0.82000000000000006</v>
      </c>
      <c r="AK316" s="19">
        <v>0</v>
      </c>
      <c r="AL316" s="16">
        <f t="shared" si="58"/>
        <v>0</v>
      </c>
      <c r="AM316" s="17">
        <v>0.18518518518518498</v>
      </c>
      <c r="AN316" s="19"/>
      <c r="AO316" s="19"/>
      <c r="AP316" s="19">
        <v>4.5</v>
      </c>
      <c r="AQ316" s="19" t="s">
        <v>307</v>
      </c>
      <c r="AR316" s="9" t="s">
        <v>319</v>
      </c>
      <c r="AS316" s="12">
        <v>0</v>
      </c>
      <c r="AT316" s="19">
        <v>38.944037539999997</v>
      </c>
      <c r="AU316" s="19">
        <v>-123.07896846</v>
      </c>
      <c r="AV316" s="19" t="s">
        <v>417</v>
      </c>
    </row>
    <row r="317" spans="1:48" x14ac:dyDescent="0.25">
      <c r="A317" s="18" t="s">
        <v>692</v>
      </c>
      <c r="B317" s="10">
        <v>19971222</v>
      </c>
      <c r="C317" s="9">
        <v>6</v>
      </c>
      <c r="D317" s="8" t="str">
        <f t="shared" si="49"/>
        <v>Y</v>
      </c>
      <c r="E317" s="8" t="str">
        <f t="shared" si="50"/>
        <v>N</v>
      </c>
      <c r="F317" s="8" t="str">
        <f t="shared" si="51"/>
        <v>Y</v>
      </c>
      <c r="G317" s="8" t="str">
        <f t="shared" si="52"/>
        <v>Y</v>
      </c>
      <c r="H317" s="8" t="str">
        <f t="shared" si="53"/>
        <v>Upper</v>
      </c>
      <c r="I317" s="8" t="str">
        <f t="shared" si="54"/>
        <v>West Fork and Below Lake</v>
      </c>
      <c r="J317" s="8" t="str">
        <f t="shared" si="55"/>
        <v>Mendocino (d/s of lake)</v>
      </c>
      <c r="K317" s="8" t="str">
        <f t="shared" si="56"/>
        <v>Post-1949</v>
      </c>
      <c r="L317" s="8">
        <f t="shared" si="57"/>
        <v>1997</v>
      </c>
      <c r="M317" s="8" t="str">
        <f t="shared" si="59"/>
        <v>1991-present</v>
      </c>
      <c r="N317" s="10" t="s">
        <v>242</v>
      </c>
      <c r="O317" s="10" t="s">
        <v>241</v>
      </c>
      <c r="P317" s="10" t="s">
        <v>242</v>
      </c>
      <c r="Q317" s="10" t="s">
        <v>242</v>
      </c>
      <c r="R317" s="10" t="s">
        <v>241</v>
      </c>
      <c r="S317" s="10" t="s">
        <v>242</v>
      </c>
      <c r="T317" s="10" t="s">
        <v>242</v>
      </c>
      <c r="U317" s="10" t="s">
        <v>242</v>
      </c>
      <c r="V317" s="10" t="s">
        <v>241</v>
      </c>
      <c r="W317" s="10" t="s">
        <v>242</v>
      </c>
      <c r="X317" s="15">
        <f>IF(ISERROR(VLOOKUP($A317,'13. Updated Demand'!A:Z,15,FALSE)),0,VLOOKUP($A317,'13. Updated Demand'!A:Z,15,FALSE))</f>
        <v>0.1</v>
      </c>
      <c r="Y317" s="16">
        <f>IF(ISERROR(VLOOKUP($A317,'13. Updated Demand'!A:Z,16,FALSE)),0,VLOOKUP($A317,'13. Updated Demand'!A:Z,16,FALSE))</f>
        <v>0.1</v>
      </c>
      <c r="Z317" s="16">
        <f>IF(ISERROR(VLOOKUP($A317,'13. Updated Demand'!A:Z,17,FALSE)),0,VLOOKUP($A317,'13. Updated Demand'!A:Z,17,FALSE))</f>
        <v>0</v>
      </c>
      <c r="AA317" s="16">
        <f>IF(ISERROR(VLOOKUP($A317,'13. Updated Demand'!A:Z,18,FALSE)),0,VLOOKUP($A317,'13. Updated Demand'!A:Z,18,FALSE))</f>
        <v>0</v>
      </c>
      <c r="AB317" s="16">
        <f>IF(ISERROR(VLOOKUP($A317,'13. Updated Demand'!A:Z,19,FALSE)),0,VLOOKUP($A317,'13. Updated Demand'!A:Z,19,FALSE))</f>
        <v>0</v>
      </c>
      <c r="AC317" s="16">
        <f>IF(ISERROR(VLOOKUP($A317,'13. Updated Demand'!A:Z,20,FALSE)),0,VLOOKUP($A317,'13. Updated Demand'!A:Z,20,FALSE))</f>
        <v>0</v>
      </c>
      <c r="AD317" s="16">
        <f>IF(ISERROR(VLOOKUP($A317,'13. Updated Demand'!A:Z,21,FALSE)),0,VLOOKUP($A317,'13. Updated Demand'!A:Z,21,FALSE))</f>
        <v>0</v>
      </c>
      <c r="AE317" s="16">
        <f>IF(ISERROR(VLOOKUP($A317,'13. Updated Demand'!A:Z,22,FALSE)),0,VLOOKUP($A317,'13. Updated Demand'!A:Z,22,FALSE))</f>
        <v>0</v>
      </c>
      <c r="AF317" s="16">
        <f>IF(ISERROR(VLOOKUP($A317,'13. Updated Demand'!A:Z,23,FALSE)),0,VLOOKUP($A317,'13. Updated Demand'!A:Z,23,FALSE))</f>
        <v>0</v>
      </c>
      <c r="AG317" s="16">
        <f>IF(ISERROR(VLOOKUP($A317,'13. Updated Demand'!A:Z,24,FALSE)),0,VLOOKUP($A317,'13. Updated Demand'!A:Z,24,FALSE))</f>
        <v>0.03</v>
      </c>
      <c r="AH317" s="16">
        <f>IF(ISERROR(VLOOKUP($A317,'13. Updated Demand'!A:Z,25,FALSE)),0,VLOOKUP($A317,'13. Updated Demand'!A:Z,25,FALSE))</f>
        <v>0.1</v>
      </c>
      <c r="AI317" s="16">
        <f>IF(ISERROR(VLOOKUP($A317,'13. Updated Demand'!A:Z,26,FALSE)),0,VLOOKUP($A317,'13. Updated Demand'!A:Z,26,FALSE))</f>
        <v>0.16</v>
      </c>
      <c r="AJ317" s="16">
        <f t="shared" si="60"/>
        <v>0.49</v>
      </c>
      <c r="AK317" s="19">
        <v>0</v>
      </c>
      <c r="AL317" s="16">
        <f t="shared" si="58"/>
        <v>0</v>
      </c>
      <c r="AM317" s="17">
        <v>0.125</v>
      </c>
      <c r="AN317" s="19"/>
      <c r="AO317" s="19"/>
      <c r="AP317" s="19">
        <v>4</v>
      </c>
      <c r="AQ317" s="19" t="s">
        <v>307</v>
      </c>
      <c r="AR317" s="9" t="s">
        <v>319</v>
      </c>
      <c r="AS317" s="12">
        <v>0</v>
      </c>
      <c r="AT317" s="19">
        <v>38.924122539999999</v>
      </c>
      <c r="AU317" s="19">
        <v>-123.01872928</v>
      </c>
      <c r="AV317" s="19" t="s">
        <v>417</v>
      </c>
    </row>
    <row r="318" spans="1:48" x14ac:dyDescent="0.25">
      <c r="A318" s="18" t="s">
        <v>693</v>
      </c>
      <c r="B318" s="10">
        <v>19971229</v>
      </c>
      <c r="C318" s="9">
        <v>9</v>
      </c>
      <c r="D318" s="8" t="str">
        <f t="shared" si="49"/>
        <v>N</v>
      </c>
      <c r="E318" s="8" t="str">
        <f t="shared" si="50"/>
        <v>Y</v>
      </c>
      <c r="F318" s="8" t="str">
        <f t="shared" si="51"/>
        <v>Y</v>
      </c>
      <c r="G318" s="8" t="str">
        <f t="shared" si="52"/>
        <v>Y</v>
      </c>
      <c r="H318" s="8" t="str">
        <f t="shared" si="53"/>
        <v>Upper</v>
      </c>
      <c r="I318" s="8" t="str">
        <f t="shared" si="54"/>
        <v>West Fork and Below Lake</v>
      </c>
      <c r="J318" s="8" t="str">
        <f t="shared" si="55"/>
        <v>Sonoma (d/s of Clov. Gage)</v>
      </c>
      <c r="K318" s="8" t="str">
        <f t="shared" si="56"/>
        <v>Post-1949</v>
      </c>
      <c r="L318" s="8">
        <f t="shared" si="57"/>
        <v>1997</v>
      </c>
      <c r="M318" s="8" t="str">
        <f t="shared" si="59"/>
        <v>1991-present</v>
      </c>
      <c r="N318" s="10" t="s">
        <v>242</v>
      </c>
      <c r="O318" s="10" t="s">
        <v>241</v>
      </c>
      <c r="P318" s="10" t="s">
        <v>242</v>
      </c>
      <c r="Q318" s="10" t="s">
        <v>242</v>
      </c>
      <c r="R318" s="10" t="s">
        <v>241</v>
      </c>
      <c r="S318" s="10" t="s">
        <v>242</v>
      </c>
      <c r="T318" s="10" t="s">
        <v>242</v>
      </c>
      <c r="U318" s="10" t="s">
        <v>242</v>
      </c>
      <c r="V318" s="10" t="s">
        <v>241</v>
      </c>
      <c r="W318" s="10" t="s">
        <v>242</v>
      </c>
      <c r="X318" s="15">
        <f>IF(ISERROR(VLOOKUP($A318,'13. Updated Demand'!A:Z,15,FALSE)),0,VLOOKUP($A318,'13. Updated Demand'!A:Z,15,FALSE))</f>
        <v>0.09</v>
      </c>
      <c r="Y318" s="16">
        <f>IF(ISERROR(VLOOKUP($A318,'13. Updated Demand'!A:Z,16,FALSE)),0,VLOOKUP($A318,'13. Updated Demand'!A:Z,16,FALSE))</f>
        <v>0.03</v>
      </c>
      <c r="Z318" s="16">
        <f>IF(ISERROR(VLOOKUP($A318,'13. Updated Demand'!A:Z,17,FALSE)),0,VLOOKUP($A318,'13. Updated Demand'!A:Z,17,FALSE))</f>
        <v>7.0000000000000007E-2</v>
      </c>
      <c r="AA318" s="16">
        <f>IF(ISERROR(VLOOKUP($A318,'13. Updated Demand'!A:Z,18,FALSE)),0,VLOOKUP($A318,'13. Updated Demand'!A:Z,18,FALSE))</f>
        <v>0.05</v>
      </c>
      <c r="AB318" s="16">
        <f>IF(ISERROR(VLOOKUP($A318,'13. Updated Demand'!A:Z,19,FALSE)),0,VLOOKUP($A318,'13. Updated Demand'!A:Z,19,FALSE))</f>
        <v>0</v>
      </c>
      <c r="AC318" s="16">
        <f>IF(ISERROR(VLOOKUP($A318,'13. Updated Demand'!A:Z,20,FALSE)),0,VLOOKUP($A318,'13. Updated Demand'!A:Z,20,FALSE))</f>
        <v>0</v>
      </c>
      <c r="AD318" s="16">
        <f>IF(ISERROR(VLOOKUP($A318,'13. Updated Demand'!A:Z,21,FALSE)),0,VLOOKUP($A318,'13. Updated Demand'!A:Z,21,FALSE))</f>
        <v>0</v>
      </c>
      <c r="AE318" s="16">
        <f>IF(ISERROR(VLOOKUP($A318,'13. Updated Demand'!A:Z,22,FALSE)),0,VLOOKUP($A318,'13. Updated Demand'!A:Z,22,FALSE))</f>
        <v>0</v>
      </c>
      <c r="AF318" s="16">
        <f>IF(ISERROR(VLOOKUP($A318,'13. Updated Demand'!A:Z,23,FALSE)),0,VLOOKUP($A318,'13. Updated Demand'!A:Z,23,FALSE))</f>
        <v>0</v>
      </c>
      <c r="AG318" s="16">
        <f>IF(ISERROR(VLOOKUP($A318,'13. Updated Demand'!A:Z,24,FALSE)),0,VLOOKUP($A318,'13. Updated Demand'!A:Z,24,FALSE))</f>
        <v>0.01</v>
      </c>
      <c r="AH318" s="16">
        <f>IF(ISERROR(VLOOKUP($A318,'13. Updated Demand'!A:Z,25,FALSE)),0,VLOOKUP($A318,'13. Updated Demand'!A:Z,25,FALSE))</f>
        <v>0.03</v>
      </c>
      <c r="AI318" s="16">
        <f>IF(ISERROR(VLOOKUP($A318,'13. Updated Demand'!A:Z,26,FALSE)),0,VLOOKUP($A318,'13. Updated Demand'!A:Z,26,FALSE))</f>
        <v>0.04</v>
      </c>
      <c r="AJ318" s="16">
        <f t="shared" si="60"/>
        <v>0.32</v>
      </c>
      <c r="AK318" s="19">
        <v>0</v>
      </c>
      <c r="AL318" s="16">
        <f t="shared" si="58"/>
        <v>0</v>
      </c>
      <c r="AM318" s="17">
        <v>0.50009523857142857</v>
      </c>
      <c r="AN318" s="19"/>
      <c r="AO318" s="19"/>
      <c r="AP318" s="19">
        <v>0.7</v>
      </c>
      <c r="AQ318" s="19" t="s">
        <v>307</v>
      </c>
      <c r="AR318" s="9" t="s">
        <v>354</v>
      </c>
      <c r="AS318" s="12">
        <v>0</v>
      </c>
      <c r="AT318" s="19">
        <v>38.87129041</v>
      </c>
      <c r="AU318" s="19">
        <v>-123.01187455</v>
      </c>
      <c r="AV318" s="19" t="s">
        <v>694</v>
      </c>
    </row>
    <row r="319" spans="1:48" x14ac:dyDescent="0.25">
      <c r="A319" s="18" t="s">
        <v>695</v>
      </c>
      <c r="B319" s="10">
        <v>19971229</v>
      </c>
      <c r="C319" s="9">
        <v>9</v>
      </c>
      <c r="D319" s="8" t="str">
        <f t="shared" si="49"/>
        <v>N</v>
      </c>
      <c r="E319" s="8" t="str">
        <f t="shared" si="50"/>
        <v>Y</v>
      </c>
      <c r="F319" s="8" t="str">
        <f t="shared" si="51"/>
        <v>Y</v>
      </c>
      <c r="G319" s="8" t="str">
        <f t="shared" si="52"/>
        <v>Y</v>
      </c>
      <c r="H319" s="8" t="str">
        <f t="shared" si="53"/>
        <v>Upper</v>
      </c>
      <c r="I319" s="8" t="str">
        <f t="shared" si="54"/>
        <v>West Fork and Below Lake</v>
      </c>
      <c r="J319" s="8" t="str">
        <f t="shared" si="55"/>
        <v>Sonoma (d/s of Clov. Gage)</v>
      </c>
      <c r="K319" s="8" t="str">
        <f t="shared" si="56"/>
        <v>Post-1949</v>
      </c>
      <c r="L319" s="8">
        <f t="shared" si="57"/>
        <v>1997</v>
      </c>
      <c r="M319" s="8" t="str">
        <f t="shared" si="59"/>
        <v>1991-present</v>
      </c>
      <c r="N319" s="10" t="s">
        <v>242</v>
      </c>
      <c r="O319" s="10" t="s">
        <v>241</v>
      </c>
      <c r="P319" s="10" t="s">
        <v>242</v>
      </c>
      <c r="Q319" s="10" t="s">
        <v>242</v>
      </c>
      <c r="R319" s="10" t="s">
        <v>241</v>
      </c>
      <c r="S319" s="10" t="s">
        <v>242</v>
      </c>
      <c r="T319" s="10" t="s">
        <v>242</v>
      </c>
      <c r="U319" s="10" t="s">
        <v>241</v>
      </c>
      <c r="V319" s="10" t="s">
        <v>241</v>
      </c>
      <c r="W319" s="10" t="s">
        <v>242</v>
      </c>
      <c r="X319" s="15">
        <f>IF(ISERROR(VLOOKUP($A319,'13. Updated Demand'!A:Z,15,FALSE)),0,VLOOKUP($A319,'13. Updated Demand'!A:Z,15,FALSE))</f>
        <v>0</v>
      </c>
      <c r="Y319" s="16">
        <f>IF(ISERROR(VLOOKUP($A319,'13. Updated Demand'!A:Z,16,FALSE)),0,VLOOKUP($A319,'13. Updated Demand'!A:Z,16,FALSE))</f>
        <v>0</v>
      </c>
      <c r="Z319" s="16">
        <f>IF(ISERROR(VLOOKUP($A319,'13. Updated Demand'!A:Z,17,FALSE)),0,VLOOKUP($A319,'13. Updated Demand'!A:Z,17,FALSE))</f>
        <v>0</v>
      </c>
      <c r="AA319" s="16">
        <f>IF(ISERROR(VLOOKUP($A319,'13. Updated Demand'!A:Z,18,FALSE)),0,VLOOKUP($A319,'13. Updated Demand'!A:Z,18,FALSE))</f>
        <v>0</v>
      </c>
      <c r="AB319" s="16">
        <f>IF(ISERROR(VLOOKUP($A319,'13. Updated Demand'!A:Z,19,FALSE)),0,VLOOKUP($A319,'13. Updated Demand'!A:Z,19,FALSE))</f>
        <v>0</v>
      </c>
      <c r="AC319" s="16">
        <f>IF(ISERROR(VLOOKUP($A319,'13. Updated Demand'!A:Z,20,FALSE)),0,VLOOKUP($A319,'13. Updated Demand'!A:Z,20,FALSE))</f>
        <v>0</v>
      </c>
      <c r="AD319" s="16">
        <f>IF(ISERROR(VLOOKUP($A319,'13. Updated Demand'!A:Z,21,FALSE)),0,VLOOKUP($A319,'13. Updated Demand'!A:Z,21,FALSE))</f>
        <v>0</v>
      </c>
      <c r="AE319" s="16">
        <f>IF(ISERROR(VLOOKUP($A319,'13. Updated Demand'!A:Z,22,FALSE)),0,VLOOKUP($A319,'13. Updated Demand'!A:Z,22,FALSE))</f>
        <v>0</v>
      </c>
      <c r="AF319" s="16">
        <f>IF(ISERROR(VLOOKUP($A319,'13. Updated Demand'!A:Z,23,FALSE)),0,VLOOKUP($A319,'13. Updated Demand'!A:Z,23,FALSE))</f>
        <v>0</v>
      </c>
      <c r="AG319" s="16">
        <f>IF(ISERROR(VLOOKUP($A319,'13. Updated Demand'!A:Z,24,FALSE)),0,VLOOKUP($A319,'13. Updated Demand'!A:Z,24,FALSE))</f>
        <v>0</v>
      </c>
      <c r="AH319" s="16">
        <f>IF(ISERROR(VLOOKUP($A319,'13. Updated Demand'!A:Z,25,FALSE)),0,VLOOKUP($A319,'13. Updated Demand'!A:Z,25,FALSE))</f>
        <v>0</v>
      </c>
      <c r="AI319" s="16">
        <f>IF(ISERROR(VLOOKUP($A319,'13. Updated Demand'!A:Z,26,FALSE)),0,VLOOKUP($A319,'13. Updated Demand'!A:Z,26,FALSE))</f>
        <v>0</v>
      </c>
      <c r="AJ319" s="16">
        <f t="shared" si="60"/>
        <v>0</v>
      </c>
      <c r="AK319" s="19">
        <v>0</v>
      </c>
      <c r="AL319" s="16">
        <f t="shared" si="58"/>
        <v>0</v>
      </c>
      <c r="AM319" s="17">
        <v>0</v>
      </c>
      <c r="AN319" s="19"/>
      <c r="AO319" s="19"/>
      <c r="AP319" s="19">
        <v>2.8</v>
      </c>
      <c r="AQ319" s="19" t="s">
        <v>307</v>
      </c>
      <c r="AR319" s="9" t="s">
        <v>354</v>
      </c>
      <c r="AS319" s="12">
        <v>0</v>
      </c>
      <c r="AT319" s="19">
        <v>38.863389179999999</v>
      </c>
      <c r="AU319" s="19">
        <v>-123.02737452</v>
      </c>
      <c r="AV319" s="19" t="s">
        <v>417</v>
      </c>
    </row>
    <row r="320" spans="1:48" x14ac:dyDescent="0.25">
      <c r="A320" s="18" t="s">
        <v>696</v>
      </c>
      <c r="B320" s="10">
        <v>19971222</v>
      </c>
      <c r="C320" s="9">
        <v>6</v>
      </c>
      <c r="D320" s="8" t="str">
        <f t="shared" si="49"/>
        <v>Y</v>
      </c>
      <c r="E320" s="8" t="str">
        <f t="shared" si="50"/>
        <v>N</v>
      </c>
      <c r="F320" s="8" t="str">
        <f t="shared" si="51"/>
        <v>Y</v>
      </c>
      <c r="G320" s="8" t="str">
        <f t="shared" si="52"/>
        <v>Y</v>
      </c>
      <c r="H320" s="8" t="str">
        <f t="shared" si="53"/>
        <v>Upper</v>
      </c>
      <c r="I320" s="8" t="str">
        <f t="shared" si="54"/>
        <v>West Fork and Below Lake</v>
      </c>
      <c r="J320" s="8" t="str">
        <f t="shared" si="55"/>
        <v>Mendocino (d/s of lake)</v>
      </c>
      <c r="K320" s="8" t="str">
        <f t="shared" si="56"/>
        <v>Post-1949</v>
      </c>
      <c r="L320" s="8">
        <f t="shared" si="57"/>
        <v>1997</v>
      </c>
      <c r="M320" s="8" t="str">
        <f t="shared" si="59"/>
        <v>1991-present</v>
      </c>
      <c r="N320" s="10" t="s">
        <v>242</v>
      </c>
      <c r="O320" s="10" t="s">
        <v>241</v>
      </c>
      <c r="P320" s="10" t="s">
        <v>242</v>
      </c>
      <c r="Q320" s="10" t="s">
        <v>242</v>
      </c>
      <c r="R320" s="10" t="s">
        <v>241</v>
      </c>
      <c r="S320" s="10" t="s">
        <v>242</v>
      </c>
      <c r="T320" s="10" t="s">
        <v>242</v>
      </c>
      <c r="U320" s="10" t="s">
        <v>242</v>
      </c>
      <c r="V320" s="10" t="s">
        <v>241</v>
      </c>
      <c r="W320" s="10" t="s">
        <v>242</v>
      </c>
      <c r="X320" s="15">
        <f>IF(ISERROR(VLOOKUP($A320,'13. Updated Demand'!A:Z,15,FALSE)),0,VLOOKUP($A320,'13. Updated Demand'!A:Z,15,FALSE))</f>
        <v>1.9</v>
      </c>
      <c r="Y320" s="16">
        <f>IF(ISERROR(VLOOKUP($A320,'13. Updated Demand'!A:Z,16,FALSE)),0,VLOOKUP($A320,'13. Updated Demand'!A:Z,16,FALSE))</f>
        <v>0.63</v>
      </c>
      <c r="Z320" s="16">
        <f>IF(ISERROR(VLOOKUP($A320,'13. Updated Demand'!A:Z,17,FALSE)),0,VLOOKUP($A320,'13. Updated Demand'!A:Z,17,FALSE))</f>
        <v>0</v>
      </c>
      <c r="AA320" s="16">
        <f>IF(ISERROR(VLOOKUP($A320,'13. Updated Demand'!A:Z,18,FALSE)),0,VLOOKUP($A320,'13. Updated Demand'!A:Z,18,FALSE))</f>
        <v>0</v>
      </c>
      <c r="AB320" s="16">
        <f>IF(ISERROR(VLOOKUP($A320,'13. Updated Demand'!A:Z,19,FALSE)),0,VLOOKUP($A320,'13. Updated Demand'!A:Z,19,FALSE))</f>
        <v>0</v>
      </c>
      <c r="AC320" s="16">
        <f>IF(ISERROR(VLOOKUP($A320,'13. Updated Demand'!A:Z,20,FALSE)),0,VLOOKUP($A320,'13. Updated Demand'!A:Z,20,FALSE))</f>
        <v>0</v>
      </c>
      <c r="AD320" s="16">
        <f>IF(ISERROR(VLOOKUP($A320,'13. Updated Demand'!A:Z,21,FALSE)),0,VLOOKUP($A320,'13. Updated Demand'!A:Z,21,FALSE))</f>
        <v>0</v>
      </c>
      <c r="AE320" s="16">
        <f>IF(ISERROR(VLOOKUP($A320,'13. Updated Demand'!A:Z,22,FALSE)),0,VLOOKUP($A320,'13. Updated Demand'!A:Z,22,FALSE))</f>
        <v>0</v>
      </c>
      <c r="AF320" s="16">
        <f>IF(ISERROR(VLOOKUP($A320,'13. Updated Demand'!A:Z,23,FALSE)),0,VLOOKUP($A320,'13. Updated Demand'!A:Z,23,FALSE))</f>
        <v>0</v>
      </c>
      <c r="AG320" s="16">
        <f>IF(ISERROR(VLOOKUP($A320,'13. Updated Demand'!A:Z,24,FALSE)),0,VLOOKUP($A320,'13. Updated Demand'!A:Z,24,FALSE))</f>
        <v>0.26</v>
      </c>
      <c r="AH320" s="16">
        <f>IF(ISERROR(VLOOKUP($A320,'13. Updated Demand'!A:Z,25,FALSE)),0,VLOOKUP($A320,'13. Updated Demand'!A:Z,25,FALSE))</f>
        <v>1.1599999999999999</v>
      </c>
      <c r="AI320" s="16">
        <f>IF(ISERROR(VLOOKUP($A320,'13. Updated Demand'!A:Z,26,FALSE)),0,VLOOKUP($A320,'13. Updated Demand'!A:Z,26,FALSE))</f>
        <v>2.36</v>
      </c>
      <c r="AJ320" s="16">
        <f t="shared" si="60"/>
        <v>6.3100000000000005</v>
      </c>
      <c r="AK320" s="19">
        <v>0</v>
      </c>
      <c r="AL320" s="16">
        <f t="shared" si="58"/>
        <v>0</v>
      </c>
      <c r="AM320" s="17">
        <v>0.66666666673684216</v>
      </c>
      <c r="AN320" s="19"/>
      <c r="AO320" s="19"/>
      <c r="AP320" s="19">
        <v>9.5</v>
      </c>
      <c r="AQ320" s="19" t="s">
        <v>307</v>
      </c>
      <c r="AR320" s="9" t="s">
        <v>319</v>
      </c>
      <c r="AS320" s="12">
        <v>0</v>
      </c>
      <c r="AT320" s="19">
        <v>38.934885749999999</v>
      </c>
      <c r="AU320" s="19">
        <v>-123.05067419</v>
      </c>
      <c r="AV320" s="19" t="s">
        <v>417</v>
      </c>
    </row>
    <row r="321" spans="1:48" x14ac:dyDescent="0.25">
      <c r="A321" s="18" t="s">
        <v>697</v>
      </c>
      <c r="B321" s="10">
        <v>19971218</v>
      </c>
      <c r="C321" s="9">
        <v>9</v>
      </c>
      <c r="D321" s="8" t="str">
        <f t="shared" si="49"/>
        <v>N</v>
      </c>
      <c r="E321" s="8" t="str">
        <f t="shared" si="50"/>
        <v>Y</v>
      </c>
      <c r="F321" s="8" t="str">
        <f t="shared" si="51"/>
        <v>Y</v>
      </c>
      <c r="G321" s="8" t="str">
        <f t="shared" si="52"/>
        <v>Y</v>
      </c>
      <c r="H321" s="8" t="str">
        <f t="shared" si="53"/>
        <v>Upper</v>
      </c>
      <c r="I321" s="8" t="str">
        <f t="shared" si="54"/>
        <v>West Fork and Below Lake</v>
      </c>
      <c r="J321" s="8" t="str">
        <f t="shared" si="55"/>
        <v>Sonoma (d/s of Clov. Gage)</v>
      </c>
      <c r="K321" s="8" t="str">
        <f t="shared" si="56"/>
        <v>Post-1949</v>
      </c>
      <c r="L321" s="8">
        <f t="shared" si="57"/>
        <v>1997</v>
      </c>
      <c r="M321" s="8" t="str">
        <f t="shared" si="59"/>
        <v>1991-present</v>
      </c>
      <c r="N321" s="10" t="s">
        <v>242</v>
      </c>
      <c r="O321" s="10" t="s">
        <v>241</v>
      </c>
      <c r="P321" s="10" t="s">
        <v>242</v>
      </c>
      <c r="Q321" s="10" t="s">
        <v>242</v>
      </c>
      <c r="R321" s="10" t="s">
        <v>241</v>
      </c>
      <c r="S321" s="10" t="s">
        <v>242</v>
      </c>
      <c r="T321" s="10" t="s">
        <v>241</v>
      </c>
      <c r="U321" s="10" t="s">
        <v>241</v>
      </c>
      <c r="V321" s="10" t="s">
        <v>241</v>
      </c>
      <c r="W321" s="10" t="s">
        <v>242</v>
      </c>
      <c r="X321" s="15">
        <f>IF(ISERROR(VLOOKUP($A321,'13. Updated Demand'!A:Z,15,FALSE)),0,VLOOKUP($A321,'13. Updated Demand'!A:Z,15,FALSE))</f>
        <v>0</v>
      </c>
      <c r="Y321" s="16">
        <f>IF(ISERROR(VLOOKUP($A321,'13. Updated Demand'!A:Z,16,FALSE)),0,VLOOKUP($A321,'13. Updated Demand'!A:Z,16,FALSE))</f>
        <v>0</v>
      </c>
      <c r="Z321" s="16">
        <f>IF(ISERROR(VLOOKUP($A321,'13. Updated Demand'!A:Z,17,FALSE)),0,VLOOKUP($A321,'13. Updated Demand'!A:Z,17,FALSE))</f>
        <v>0</v>
      </c>
      <c r="AA321" s="16">
        <f>IF(ISERROR(VLOOKUP($A321,'13. Updated Demand'!A:Z,18,FALSE)),0,VLOOKUP($A321,'13. Updated Demand'!A:Z,18,FALSE))</f>
        <v>0</v>
      </c>
      <c r="AB321" s="16">
        <f>IF(ISERROR(VLOOKUP($A321,'13. Updated Demand'!A:Z,19,FALSE)),0,VLOOKUP($A321,'13. Updated Demand'!A:Z,19,FALSE))</f>
        <v>0</v>
      </c>
      <c r="AC321" s="16">
        <f>IF(ISERROR(VLOOKUP($A321,'13. Updated Demand'!A:Z,20,FALSE)),0,VLOOKUP($A321,'13. Updated Demand'!A:Z,20,FALSE))</f>
        <v>0</v>
      </c>
      <c r="AD321" s="16">
        <f>IF(ISERROR(VLOOKUP($A321,'13. Updated Demand'!A:Z,21,FALSE)),0,VLOOKUP($A321,'13. Updated Demand'!A:Z,21,FALSE))</f>
        <v>0</v>
      </c>
      <c r="AE321" s="16">
        <f>IF(ISERROR(VLOOKUP($A321,'13. Updated Demand'!A:Z,22,FALSE)),0,VLOOKUP($A321,'13. Updated Demand'!A:Z,22,FALSE))</f>
        <v>0</v>
      </c>
      <c r="AF321" s="16">
        <f>IF(ISERROR(VLOOKUP($A321,'13. Updated Demand'!A:Z,23,FALSE)),0,VLOOKUP($A321,'13. Updated Demand'!A:Z,23,FALSE))</f>
        <v>0</v>
      </c>
      <c r="AG321" s="16">
        <f>IF(ISERROR(VLOOKUP($A321,'13. Updated Demand'!A:Z,24,FALSE)),0,VLOOKUP($A321,'13. Updated Demand'!A:Z,24,FALSE))</f>
        <v>0</v>
      </c>
      <c r="AH321" s="16">
        <f>IF(ISERROR(VLOOKUP($A321,'13. Updated Demand'!A:Z,25,FALSE)),0,VLOOKUP($A321,'13. Updated Demand'!A:Z,25,FALSE))</f>
        <v>0</v>
      </c>
      <c r="AI321" s="16">
        <f>IF(ISERROR(VLOOKUP($A321,'13. Updated Demand'!A:Z,26,FALSE)),0,VLOOKUP($A321,'13. Updated Demand'!A:Z,26,FALSE))</f>
        <v>0</v>
      </c>
      <c r="AJ321" s="16">
        <f t="shared" si="60"/>
        <v>0</v>
      </c>
      <c r="AK321" s="19">
        <v>0</v>
      </c>
      <c r="AL321" s="16">
        <f t="shared" si="58"/>
        <v>0</v>
      </c>
      <c r="AM321" s="17">
        <v>0</v>
      </c>
      <c r="AN321" s="19"/>
      <c r="AO321" s="19"/>
      <c r="AP321" s="19">
        <v>1.4</v>
      </c>
      <c r="AQ321" s="19" t="s">
        <v>307</v>
      </c>
      <c r="AR321" s="9" t="s">
        <v>354</v>
      </c>
      <c r="AS321" s="12">
        <v>0</v>
      </c>
      <c r="AT321" s="19">
        <v>38.865785780000003</v>
      </c>
      <c r="AU321" s="19">
        <v>-123.03705223</v>
      </c>
      <c r="AV321" s="19" t="s">
        <v>417</v>
      </c>
    </row>
    <row r="322" spans="1:48" x14ac:dyDescent="0.25">
      <c r="A322" s="18" t="s">
        <v>698</v>
      </c>
      <c r="B322" s="10">
        <v>19971229</v>
      </c>
      <c r="C322" s="9">
        <v>9</v>
      </c>
      <c r="D322" s="8" t="str">
        <f t="shared" ref="D322:D385" si="61">IF(OR(C322=4,C322=5,C322=6),"Y","N")</f>
        <v>N</v>
      </c>
      <c r="E322" s="8" t="str">
        <f t="shared" ref="E322:E385" si="62">IF(AND(C322&gt;6,C322&lt;14),"Y","N")</f>
        <v>Y</v>
      </c>
      <c r="F322" s="8" t="str">
        <f t="shared" ref="F322:F385" si="63">IF(C322&lt;14,"Y","N")</f>
        <v>Y</v>
      </c>
      <c r="G322" s="8" t="str">
        <f t="shared" ref="G322:G385" si="64">IF(OR(C322=1,AND(C322&gt;3,C322&lt;14)),"Y","N")</f>
        <v>Y</v>
      </c>
      <c r="H322" s="8" t="str">
        <f t="shared" ref="H322:H385" si="65">IF(C322&lt;14,"Upper","Lower")</f>
        <v>Upper</v>
      </c>
      <c r="I322" s="8" t="str">
        <f t="shared" ref="I322:I385" si="66">IF(G322="Y","West Fork and Below Lake","Outside")</f>
        <v>West Fork and Below Lake</v>
      </c>
      <c r="J322" s="8" t="str">
        <f t="shared" ref="J322:J385" si="67">IF(D322="Y", "Mendocino (d/s of lake)", IF(E322="Y", "Sonoma (d/s of Clov. Gage)","Outside"))</f>
        <v>Sonoma (d/s of Clov. Gage)</v>
      </c>
      <c r="K322" s="8" t="str">
        <f t="shared" ref="K322:K385" si="68">IF(P322="Y","pre-1914",IF(Q322="Y","Pre-1949",IF(R322="Y","Post-1949",IF(S322="Y","Riparian","Unknown"))))</f>
        <v>Post-1949</v>
      </c>
      <c r="L322" s="8">
        <f t="shared" ref="L322:L385" si="69">_xlfn.NUMBERVALUE(LEFT(B322,4))</f>
        <v>1997</v>
      </c>
      <c r="M322" s="8" t="str">
        <f t="shared" si="59"/>
        <v>1991-present</v>
      </c>
      <c r="N322" s="10" t="s">
        <v>242</v>
      </c>
      <c r="O322" s="10" t="s">
        <v>241</v>
      </c>
      <c r="P322" s="10" t="s">
        <v>242</v>
      </c>
      <c r="Q322" s="10" t="s">
        <v>242</v>
      </c>
      <c r="R322" s="10" t="s">
        <v>241</v>
      </c>
      <c r="S322" s="10" t="s">
        <v>242</v>
      </c>
      <c r="T322" s="10" t="s">
        <v>242</v>
      </c>
      <c r="U322" s="10" t="s">
        <v>241</v>
      </c>
      <c r="V322" s="10" t="s">
        <v>241</v>
      </c>
      <c r="W322" s="10" t="s">
        <v>242</v>
      </c>
      <c r="X322" s="15">
        <f>IF(ISERROR(VLOOKUP($A322,'13. Updated Demand'!A:Z,15,FALSE)),0,VLOOKUP($A322,'13. Updated Demand'!A:Z,15,FALSE))</f>
        <v>0</v>
      </c>
      <c r="Y322" s="16">
        <f>IF(ISERROR(VLOOKUP($A322,'13. Updated Demand'!A:Z,16,FALSE)),0,VLOOKUP($A322,'13. Updated Demand'!A:Z,16,FALSE))</f>
        <v>0</v>
      </c>
      <c r="Z322" s="16">
        <f>IF(ISERROR(VLOOKUP($A322,'13. Updated Demand'!A:Z,17,FALSE)),0,VLOOKUP($A322,'13. Updated Demand'!A:Z,17,FALSE))</f>
        <v>0</v>
      </c>
      <c r="AA322" s="16">
        <f>IF(ISERROR(VLOOKUP($A322,'13. Updated Demand'!A:Z,18,FALSE)),0,VLOOKUP($A322,'13. Updated Demand'!A:Z,18,FALSE))</f>
        <v>0</v>
      </c>
      <c r="AB322" s="16">
        <f>IF(ISERROR(VLOOKUP($A322,'13. Updated Demand'!A:Z,19,FALSE)),0,VLOOKUP($A322,'13. Updated Demand'!A:Z,19,FALSE))</f>
        <v>0</v>
      </c>
      <c r="AC322" s="16">
        <f>IF(ISERROR(VLOOKUP($A322,'13. Updated Demand'!A:Z,20,FALSE)),0,VLOOKUP($A322,'13. Updated Demand'!A:Z,20,FALSE))</f>
        <v>0</v>
      </c>
      <c r="AD322" s="16">
        <f>IF(ISERROR(VLOOKUP($A322,'13. Updated Demand'!A:Z,21,FALSE)),0,VLOOKUP($A322,'13. Updated Demand'!A:Z,21,FALSE))</f>
        <v>0</v>
      </c>
      <c r="AE322" s="16">
        <f>IF(ISERROR(VLOOKUP($A322,'13. Updated Demand'!A:Z,22,FALSE)),0,VLOOKUP($A322,'13. Updated Demand'!A:Z,22,FALSE))</f>
        <v>0</v>
      </c>
      <c r="AF322" s="16">
        <f>IF(ISERROR(VLOOKUP($A322,'13. Updated Demand'!A:Z,23,FALSE)),0,VLOOKUP($A322,'13. Updated Demand'!A:Z,23,FALSE))</f>
        <v>0</v>
      </c>
      <c r="AG322" s="16">
        <f>IF(ISERROR(VLOOKUP($A322,'13. Updated Demand'!A:Z,24,FALSE)),0,VLOOKUP($A322,'13. Updated Demand'!A:Z,24,FALSE))</f>
        <v>0</v>
      </c>
      <c r="AH322" s="16">
        <f>IF(ISERROR(VLOOKUP($A322,'13. Updated Demand'!A:Z,25,FALSE)),0,VLOOKUP($A322,'13. Updated Demand'!A:Z,25,FALSE))</f>
        <v>0</v>
      </c>
      <c r="AI322" s="16">
        <f>IF(ISERROR(VLOOKUP($A322,'13. Updated Demand'!A:Z,26,FALSE)),0,VLOOKUP($A322,'13. Updated Demand'!A:Z,26,FALSE))</f>
        <v>0</v>
      </c>
      <c r="AJ322" s="16">
        <f t="shared" si="60"/>
        <v>0</v>
      </c>
      <c r="AK322" s="19">
        <v>0</v>
      </c>
      <c r="AL322" s="16">
        <f t="shared" ref="AL322:AL385" si="70">AK322/152/1.983471</f>
        <v>0</v>
      </c>
      <c r="AM322" s="17">
        <v>0</v>
      </c>
      <c r="AN322" s="19"/>
      <c r="AO322" s="19"/>
      <c r="AP322" s="19">
        <v>1.4</v>
      </c>
      <c r="AQ322" s="19" t="s">
        <v>307</v>
      </c>
      <c r="AR322" s="9" t="s">
        <v>354</v>
      </c>
      <c r="AS322" s="12">
        <v>0</v>
      </c>
      <c r="AT322" s="19">
        <v>38.864889390000002</v>
      </c>
      <c r="AU322" s="19">
        <v>-123.03687269</v>
      </c>
      <c r="AV322" s="19" t="s">
        <v>417</v>
      </c>
    </row>
    <row r="323" spans="1:48" x14ac:dyDescent="0.25">
      <c r="A323" s="18" t="s">
        <v>699</v>
      </c>
      <c r="B323" s="10">
        <v>19970404</v>
      </c>
      <c r="C323" s="9">
        <v>17</v>
      </c>
      <c r="D323" s="8" t="str">
        <f t="shared" si="61"/>
        <v>N</v>
      </c>
      <c r="E323" s="8" t="str">
        <f t="shared" si="62"/>
        <v>N</v>
      </c>
      <c r="F323" s="8" t="str">
        <f t="shared" si="63"/>
        <v>N</v>
      </c>
      <c r="G323" s="8" t="str">
        <f t="shared" si="64"/>
        <v>N</v>
      </c>
      <c r="H323" s="8" t="str">
        <f t="shared" si="65"/>
        <v>Lower</v>
      </c>
      <c r="I323" s="8" t="str">
        <f t="shared" si="66"/>
        <v>Outside</v>
      </c>
      <c r="J323" s="8" t="str">
        <f t="shared" si="67"/>
        <v>Outside</v>
      </c>
      <c r="K323" s="8" t="str">
        <f t="shared" si="68"/>
        <v>Post-1949</v>
      </c>
      <c r="L323" s="8">
        <f t="shared" si="69"/>
        <v>1997</v>
      </c>
      <c r="M323" s="8" t="str">
        <f t="shared" ref="M323:M386" si="71">IF(L323=1949,"1949",IF(AND(L323&gt;1949,L323&lt;1953),"1950-1952",IF(AND(L323&gt;1952,L323&lt;1955),"1953-1954",IF(AND(L323&gt;1954,L323&lt;1957),"1955-1956",IF(AND(L323&gt;1956,L323&lt;1960),"1957-1959",IF(AND(L323&gt;1959,L323&lt;1971),"1960-1970",IF(AND(L323&gt;1970,L323&lt;1991),"1971-1990",IF(L323&gt;1990,"1991-present","-"))))))))</f>
        <v>1991-present</v>
      </c>
      <c r="N323" s="10" t="s">
        <v>241</v>
      </c>
      <c r="O323" s="10" t="s">
        <v>242</v>
      </c>
      <c r="P323" s="10" t="s">
        <v>242</v>
      </c>
      <c r="Q323" s="10" t="s">
        <v>242</v>
      </c>
      <c r="R323" s="10" t="s">
        <v>241</v>
      </c>
      <c r="S323" s="10" t="s">
        <v>242</v>
      </c>
      <c r="T323" s="10" t="s">
        <v>242</v>
      </c>
      <c r="U323" s="10" t="s">
        <v>242</v>
      </c>
      <c r="V323" s="10" t="s">
        <v>242</v>
      </c>
      <c r="W323" s="10" t="s">
        <v>242</v>
      </c>
      <c r="X323" s="15">
        <f>IF(ISERROR(VLOOKUP($A323,'13. Updated Demand'!A:Z,15,FALSE)),0,VLOOKUP($A323,'13. Updated Demand'!A:Z,15,FALSE))</f>
        <v>2.2832999999999999E-2</v>
      </c>
      <c r="Y323" s="16">
        <f>IF(ISERROR(VLOOKUP($A323,'13. Updated Demand'!A:Z,16,FALSE)),0,VLOOKUP($A323,'13. Updated Demand'!A:Z,16,FALSE))</f>
        <v>6.9774000000000003E-2</v>
      </c>
      <c r="Z323" s="16">
        <f>IF(ISERROR(VLOOKUP($A323,'13. Updated Demand'!A:Z,17,FALSE)),0,VLOOKUP($A323,'13. Updated Demand'!A:Z,17,FALSE))</f>
        <v>8.7238999999999997E-2</v>
      </c>
      <c r="AA323" s="16">
        <f>IF(ISERROR(VLOOKUP($A323,'13. Updated Demand'!A:Z,18,FALSE)),0,VLOOKUP($A323,'13. Updated Demand'!A:Z,18,FALSE))</f>
        <v>9.3448000000000003E-2</v>
      </c>
      <c r="AB323" s="16">
        <f>IF(ISERROR(VLOOKUP($A323,'13. Updated Demand'!A:Z,19,FALSE)),0,VLOOKUP($A323,'13. Updated Demand'!A:Z,19,FALSE))</f>
        <v>0.10331700000000001</v>
      </c>
      <c r="AC323" s="16">
        <f>IF(ISERROR(VLOOKUP($A323,'13. Updated Demand'!A:Z,20,FALSE)),0,VLOOKUP($A323,'13. Updated Demand'!A:Z,20,FALSE))</f>
        <v>0.11683300000000001</v>
      </c>
      <c r="AD323" s="16">
        <f>IF(ISERROR(VLOOKUP($A323,'13. Updated Demand'!A:Z,21,FALSE)),0,VLOOKUP($A323,'13. Updated Demand'!A:Z,21,FALSE))</f>
        <v>0.12709999999999999</v>
      </c>
      <c r="AE323" s="16">
        <f>IF(ISERROR(VLOOKUP($A323,'13. Updated Demand'!A:Z,22,FALSE)),0,VLOOKUP($A323,'13. Updated Demand'!A:Z,22,FALSE))</f>
        <v>0.134712</v>
      </c>
      <c r="AF323" s="16">
        <f>IF(ISERROR(VLOOKUP($A323,'13. Updated Demand'!A:Z,23,FALSE)),0,VLOOKUP($A323,'13. Updated Demand'!A:Z,23,FALSE))</f>
        <v>0.118121</v>
      </c>
      <c r="AG323" s="16">
        <f>IF(ISERROR(VLOOKUP($A323,'13. Updated Demand'!A:Z,24,FALSE)),0,VLOOKUP($A323,'13. Updated Demand'!A:Z,24,FALSE))</f>
        <v>8.9807999999999999E-2</v>
      </c>
      <c r="AH323" s="16">
        <f>IF(ISERROR(VLOOKUP($A323,'13. Updated Demand'!A:Z,25,FALSE)),0,VLOOKUP($A323,'13. Updated Demand'!A:Z,25,FALSE))</f>
        <v>7.5441999999999995E-2</v>
      </c>
      <c r="AI323" s="16">
        <f>IF(ISERROR(VLOOKUP($A323,'13. Updated Demand'!A:Z,26,FALSE)),0,VLOOKUP($A323,'13. Updated Demand'!A:Z,26,FALSE))</f>
        <v>1.8551000000000002E-2</v>
      </c>
      <c r="AJ323" s="16">
        <f t="shared" si="60"/>
        <v>1.057178</v>
      </c>
      <c r="AK323" s="19">
        <v>0.60008300000000003</v>
      </c>
      <c r="AL323" s="16">
        <f t="shared" si="70"/>
        <v>1.9904069551227171E-3</v>
      </c>
      <c r="AM323" s="17">
        <v>0.2114356</v>
      </c>
      <c r="AN323" s="19"/>
      <c r="AO323" s="19"/>
      <c r="AP323" s="19">
        <v>5</v>
      </c>
      <c r="AQ323" s="19" t="s">
        <v>307</v>
      </c>
      <c r="AR323" s="9" t="s">
        <v>486</v>
      </c>
      <c r="AS323" s="12">
        <v>3.4039024194010059E-4</v>
      </c>
      <c r="AT323" s="19">
        <v>38.539310039999997</v>
      </c>
      <c r="AU323" s="19">
        <v>-122.861149</v>
      </c>
      <c r="AV323" s="19" t="s">
        <v>548</v>
      </c>
    </row>
    <row r="324" spans="1:48" x14ac:dyDescent="0.25">
      <c r="A324" s="18" t="s">
        <v>700</v>
      </c>
      <c r="B324" s="10">
        <v>19970915</v>
      </c>
      <c r="C324" s="9">
        <v>16</v>
      </c>
      <c r="D324" s="8" t="str">
        <f t="shared" si="61"/>
        <v>N</v>
      </c>
      <c r="E324" s="8" t="str">
        <f t="shared" si="62"/>
        <v>N</v>
      </c>
      <c r="F324" s="8" t="str">
        <f t="shared" si="63"/>
        <v>N</v>
      </c>
      <c r="G324" s="8" t="str">
        <f t="shared" si="64"/>
        <v>N</v>
      </c>
      <c r="H324" s="8" t="str">
        <f t="shared" si="65"/>
        <v>Lower</v>
      </c>
      <c r="I324" s="8" t="str">
        <f t="shared" si="66"/>
        <v>Outside</v>
      </c>
      <c r="J324" s="8" t="str">
        <f t="shared" si="67"/>
        <v>Outside</v>
      </c>
      <c r="K324" s="8" t="str">
        <f t="shared" si="68"/>
        <v>Post-1949</v>
      </c>
      <c r="L324" s="8">
        <f t="shared" si="69"/>
        <v>1997</v>
      </c>
      <c r="M324" s="8" t="str">
        <f t="shared" si="71"/>
        <v>1991-present</v>
      </c>
      <c r="N324" s="10" t="s">
        <v>242</v>
      </c>
      <c r="O324" s="10" t="s">
        <v>242</v>
      </c>
      <c r="P324" s="10" t="s">
        <v>242</v>
      </c>
      <c r="Q324" s="10" t="s">
        <v>242</v>
      </c>
      <c r="R324" s="10" t="s">
        <v>241</v>
      </c>
      <c r="S324" s="10" t="s">
        <v>242</v>
      </c>
      <c r="T324" s="10" t="s">
        <v>241</v>
      </c>
      <c r="U324" s="10" t="s">
        <v>241</v>
      </c>
      <c r="V324" s="10" t="s">
        <v>241</v>
      </c>
      <c r="W324" s="10" t="s">
        <v>242</v>
      </c>
      <c r="X324" s="15">
        <f>IF(ISERROR(VLOOKUP($A324,'13. Updated Demand'!A:Z,15,FALSE)),0,VLOOKUP($A324,'13. Updated Demand'!A:Z,15,FALSE))</f>
        <v>0</v>
      </c>
      <c r="Y324" s="16">
        <f>IF(ISERROR(VLOOKUP($A324,'13. Updated Demand'!A:Z,16,FALSE)),0,VLOOKUP($A324,'13. Updated Demand'!A:Z,16,FALSE))</f>
        <v>0</v>
      </c>
      <c r="Z324" s="16">
        <f>IF(ISERROR(VLOOKUP($A324,'13. Updated Demand'!A:Z,17,FALSE)),0,VLOOKUP($A324,'13. Updated Demand'!A:Z,17,FALSE))</f>
        <v>0</v>
      </c>
      <c r="AA324" s="16">
        <f>IF(ISERROR(VLOOKUP($A324,'13. Updated Demand'!A:Z,18,FALSE)),0,VLOOKUP($A324,'13. Updated Demand'!A:Z,18,FALSE))</f>
        <v>0</v>
      </c>
      <c r="AB324" s="16">
        <f>IF(ISERROR(VLOOKUP($A324,'13. Updated Demand'!A:Z,19,FALSE)),0,VLOOKUP($A324,'13. Updated Demand'!A:Z,19,FALSE))</f>
        <v>0</v>
      </c>
      <c r="AC324" s="16">
        <f>IF(ISERROR(VLOOKUP($A324,'13. Updated Demand'!A:Z,20,FALSE)),0,VLOOKUP($A324,'13. Updated Demand'!A:Z,20,FALSE))</f>
        <v>0</v>
      </c>
      <c r="AD324" s="16">
        <f>IF(ISERROR(VLOOKUP($A324,'13. Updated Demand'!A:Z,21,FALSE)),0,VLOOKUP($A324,'13. Updated Demand'!A:Z,21,FALSE))</f>
        <v>0</v>
      </c>
      <c r="AE324" s="16">
        <f>IF(ISERROR(VLOOKUP($A324,'13. Updated Demand'!A:Z,22,FALSE)),0,VLOOKUP($A324,'13. Updated Demand'!A:Z,22,FALSE))</f>
        <v>0</v>
      </c>
      <c r="AF324" s="16">
        <f>IF(ISERROR(VLOOKUP($A324,'13. Updated Demand'!A:Z,23,FALSE)),0,VLOOKUP($A324,'13. Updated Demand'!A:Z,23,FALSE))</f>
        <v>0</v>
      </c>
      <c r="AG324" s="16">
        <f>IF(ISERROR(VLOOKUP($A324,'13. Updated Demand'!A:Z,24,FALSE)),0,VLOOKUP($A324,'13. Updated Demand'!A:Z,24,FALSE))</f>
        <v>0</v>
      </c>
      <c r="AH324" s="16">
        <f>IF(ISERROR(VLOOKUP($A324,'13. Updated Demand'!A:Z,25,FALSE)),0,VLOOKUP($A324,'13. Updated Demand'!A:Z,25,FALSE))</f>
        <v>0</v>
      </c>
      <c r="AI324" s="16">
        <f>IF(ISERROR(VLOOKUP($A324,'13. Updated Demand'!A:Z,26,FALSE)),0,VLOOKUP($A324,'13. Updated Demand'!A:Z,26,FALSE))</f>
        <v>0</v>
      </c>
      <c r="AJ324" s="16">
        <f t="shared" si="60"/>
        <v>0</v>
      </c>
      <c r="AK324" s="19">
        <v>0</v>
      </c>
      <c r="AL324" s="16">
        <f t="shared" si="70"/>
        <v>0</v>
      </c>
      <c r="AM324" s="17">
        <v>0</v>
      </c>
      <c r="AN324" s="19"/>
      <c r="AO324" s="19"/>
      <c r="AP324" s="19">
        <v>880</v>
      </c>
      <c r="AQ324" s="19" t="s">
        <v>307</v>
      </c>
      <c r="AR324" s="9" t="s">
        <v>394</v>
      </c>
      <c r="AS324" s="12">
        <v>0</v>
      </c>
      <c r="AT324" s="19">
        <v>38.60456508</v>
      </c>
      <c r="AU324" s="19">
        <v>-122.88151329</v>
      </c>
      <c r="AV324" s="19" t="s">
        <v>701</v>
      </c>
    </row>
    <row r="325" spans="1:48" x14ac:dyDescent="0.25">
      <c r="A325" s="18" t="s">
        <v>702</v>
      </c>
      <c r="B325" s="10">
        <v>19971223</v>
      </c>
      <c r="C325" s="9">
        <v>2</v>
      </c>
      <c r="D325" s="8" t="str">
        <f t="shared" si="61"/>
        <v>N</v>
      </c>
      <c r="E325" s="8" t="str">
        <f t="shared" si="62"/>
        <v>N</v>
      </c>
      <c r="F325" s="8" t="str">
        <f t="shared" si="63"/>
        <v>Y</v>
      </c>
      <c r="G325" s="8" t="str">
        <f t="shared" si="64"/>
        <v>N</v>
      </c>
      <c r="H325" s="8" t="str">
        <f t="shared" si="65"/>
        <v>Upper</v>
      </c>
      <c r="I325" s="8" t="str">
        <f t="shared" si="66"/>
        <v>Outside</v>
      </c>
      <c r="J325" s="8" t="str">
        <f t="shared" si="67"/>
        <v>Outside</v>
      </c>
      <c r="K325" s="8" t="str">
        <f t="shared" si="68"/>
        <v>Post-1949</v>
      </c>
      <c r="L325" s="8">
        <f t="shared" si="69"/>
        <v>1997</v>
      </c>
      <c r="M325" s="8" t="str">
        <f t="shared" si="71"/>
        <v>1991-present</v>
      </c>
      <c r="N325" s="10" t="s">
        <v>242</v>
      </c>
      <c r="O325" s="10" t="s">
        <v>241</v>
      </c>
      <c r="P325" s="10" t="s">
        <v>242</v>
      </c>
      <c r="Q325" s="10" t="s">
        <v>242</v>
      </c>
      <c r="R325" s="10" t="s">
        <v>241</v>
      </c>
      <c r="S325" s="10" t="s">
        <v>242</v>
      </c>
      <c r="T325" s="10" t="s">
        <v>242</v>
      </c>
      <c r="U325" s="10" t="s">
        <v>242</v>
      </c>
      <c r="V325" s="10" t="s">
        <v>241</v>
      </c>
      <c r="W325" s="10" t="s">
        <v>242</v>
      </c>
      <c r="X325" s="15">
        <f>IF(ISERROR(VLOOKUP($A325,'13. Updated Demand'!A:Z,15,FALSE)),0,VLOOKUP($A325,'13. Updated Demand'!A:Z,15,FALSE))</f>
        <v>0.66</v>
      </c>
      <c r="Y325" s="16">
        <f>IF(ISERROR(VLOOKUP($A325,'13. Updated Demand'!A:Z,16,FALSE)),0,VLOOKUP($A325,'13. Updated Demand'!A:Z,16,FALSE))</f>
        <v>0.66</v>
      </c>
      <c r="Z325" s="16">
        <f>IF(ISERROR(VLOOKUP($A325,'13. Updated Demand'!A:Z,17,FALSE)),0,VLOOKUP($A325,'13. Updated Demand'!A:Z,17,FALSE))</f>
        <v>0</v>
      </c>
      <c r="AA325" s="16">
        <f>IF(ISERROR(VLOOKUP($A325,'13. Updated Demand'!A:Z,18,FALSE)),0,VLOOKUP($A325,'13. Updated Demand'!A:Z,18,FALSE))</f>
        <v>0</v>
      </c>
      <c r="AB325" s="16">
        <f>IF(ISERROR(VLOOKUP($A325,'13. Updated Demand'!A:Z,19,FALSE)),0,VLOOKUP($A325,'13. Updated Demand'!A:Z,19,FALSE))</f>
        <v>0</v>
      </c>
      <c r="AC325" s="16">
        <f>IF(ISERROR(VLOOKUP($A325,'13. Updated Demand'!A:Z,20,FALSE)),0,VLOOKUP($A325,'13. Updated Demand'!A:Z,20,FALSE))</f>
        <v>0</v>
      </c>
      <c r="AD325" s="16">
        <f>IF(ISERROR(VLOOKUP($A325,'13. Updated Demand'!A:Z,21,FALSE)),0,VLOOKUP($A325,'13. Updated Demand'!A:Z,21,FALSE))</f>
        <v>0</v>
      </c>
      <c r="AE325" s="16">
        <f>IF(ISERROR(VLOOKUP($A325,'13. Updated Demand'!A:Z,22,FALSE)),0,VLOOKUP($A325,'13. Updated Demand'!A:Z,22,FALSE))</f>
        <v>0</v>
      </c>
      <c r="AF325" s="16">
        <f>IF(ISERROR(VLOOKUP($A325,'13. Updated Demand'!A:Z,23,FALSE)),0,VLOOKUP($A325,'13. Updated Demand'!A:Z,23,FALSE))</f>
        <v>0</v>
      </c>
      <c r="AG325" s="16">
        <f>IF(ISERROR(VLOOKUP($A325,'13. Updated Demand'!A:Z,24,FALSE)),0,VLOOKUP($A325,'13. Updated Demand'!A:Z,24,FALSE))</f>
        <v>0</v>
      </c>
      <c r="AH325" s="16">
        <f>IF(ISERROR(VLOOKUP($A325,'13. Updated Demand'!A:Z,25,FALSE)),0,VLOOKUP($A325,'13. Updated Demand'!A:Z,25,FALSE))</f>
        <v>0</v>
      </c>
      <c r="AI325" s="16">
        <f>IF(ISERROR(VLOOKUP($A325,'13. Updated Demand'!A:Z,26,FALSE)),0,VLOOKUP($A325,'13. Updated Demand'!A:Z,26,FALSE))</f>
        <v>0</v>
      </c>
      <c r="AJ325" s="16">
        <f t="shared" si="60"/>
        <v>1.32</v>
      </c>
      <c r="AK325" s="19">
        <v>0</v>
      </c>
      <c r="AL325" s="16">
        <f t="shared" si="70"/>
        <v>0</v>
      </c>
      <c r="AM325" s="17">
        <v>0.26666666680000001</v>
      </c>
      <c r="AN325" s="19"/>
      <c r="AO325" s="19"/>
      <c r="AP325" s="19">
        <v>5</v>
      </c>
      <c r="AQ325" s="19" t="s">
        <v>307</v>
      </c>
      <c r="AR325" s="9" t="s">
        <v>348</v>
      </c>
      <c r="AS325" s="12">
        <v>0</v>
      </c>
      <c r="AT325" s="19">
        <v>39.296557010000001</v>
      </c>
      <c r="AU325" s="19">
        <v>-123.03489648999999</v>
      </c>
      <c r="AV325" s="19" t="s">
        <v>417</v>
      </c>
    </row>
    <row r="326" spans="1:48" x14ac:dyDescent="0.25">
      <c r="A326" s="18" t="s">
        <v>703</v>
      </c>
      <c r="B326" s="10">
        <v>19960520</v>
      </c>
      <c r="C326" s="9">
        <v>6</v>
      </c>
      <c r="D326" s="8" t="str">
        <f t="shared" si="61"/>
        <v>Y</v>
      </c>
      <c r="E326" s="8" t="str">
        <f t="shared" si="62"/>
        <v>N</v>
      </c>
      <c r="F326" s="8" t="str">
        <f t="shared" si="63"/>
        <v>Y</v>
      </c>
      <c r="G326" s="8" t="str">
        <f t="shared" si="64"/>
        <v>Y</v>
      </c>
      <c r="H326" s="8" t="str">
        <f t="shared" si="65"/>
        <v>Upper</v>
      </c>
      <c r="I326" s="8" t="str">
        <f t="shared" si="66"/>
        <v>West Fork and Below Lake</v>
      </c>
      <c r="J326" s="8" t="str">
        <f t="shared" si="67"/>
        <v>Mendocino (d/s of lake)</v>
      </c>
      <c r="K326" s="8" t="str">
        <f t="shared" si="68"/>
        <v>Post-1949</v>
      </c>
      <c r="L326" s="8">
        <f t="shared" si="69"/>
        <v>1996</v>
      </c>
      <c r="M326" s="8" t="str">
        <f t="shared" si="71"/>
        <v>1991-present</v>
      </c>
      <c r="N326" s="10" t="s">
        <v>241</v>
      </c>
      <c r="O326" s="10" t="s">
        <v>241</v>
      </c>
      <c r="P326" s="10" t="s">
        <v>242</v>
      </c>
      <c r="Q326" s="10" t="s">
        <v>242</v>
      </c>
      <c r="R326" s="10" t="s">
        <v>241</v>
      </c>
      <c r="S326" s="10" t="s">
        <v>242</v>
      </c>
      <c r="T326" s="10" t="s">
        <v>241</v>
      </c>
      <c r="U326" s="10" t="s">
        <v>241</v>
      </c>
      <c r="V326" s="10" t="s">
        <v>241</v>
      </c>
      <c r="W326" s="10" t="s">
        <v>242</v>
      </c>
      <c r="X326" s="15">
        <f>IF(ISERROR(VLOOKUP($A326,'13. Updated Demand'!A:Z,15,FALSE)),0,VLOOKUP($A326,'13. Updated Demand'!A:Z,15,FALSE))</f>
        <v>0</v>
      </c>
      <c r="Y326" s="16">
        <f>IF(ISERROR(VLOOKUP($A326,'13. Updated Demand'!A:Z,16,FALSE)),0,VLOOKUP($A326,'13. Updated Demand'!A:Z,16,FALSE))</f>
        <v>0</v>
      </c>
      <c r="Z326" s="16">
        <f>IF(ISERROR(VLOOKUP($A326,'13. Updated Demand'!A:Z,17,FALSE)),0,VLOOKUP($A326,'13. Updated Demand'!A:Z,17,FALSE))</f>
        <v>0</v>
      </c>
      <c r="AA326" s="16">
        <f>IF(ISERROR(VLOOKUP($A326,'13. Updated Demand'!A:Z,18,FALSE)),0,VLOOKUP($A326,'13. Updated Demand'!A:Z,18,FALSE))</f>
        <v>0</v>
      </c>
      <c r="AB326" s="16">
        <f>IF(ISERROR(VLOOKUP($A326,'13. Updated Demand'!A:Z,19,FALSE)),0,VLOOKUP($A326,'13. Updated Demand'!A:Z,19,FALSE))</f>
        <v>0</v>
      </c>
      <c r="AC326" s="16">
        <f>IF(ISERROR(VLOOKUP($A326,'13. Updated Demand'!A:Z,20,FALSE)),0,VLOOKUP($A326,'13. Updated Demand'!A:Z,20,FALSE))</f>
        <v>0</v>
      </c>
      <c r="AD326" s="16">
        <f>IF(ISERROR(VLOOKUP($A326,'13. Updated Demand'!A:Z,21,FALSE)),0,VLOOKUP($A326,'13. Updated Demand'!A:Z,21,FALSE))</f>
        <v>0</v>
      </c>
      <c r="AE326" s="16">
        <f>IF(ISERROR(VLOOKUP($A326,'13. Updated Demand'!A:Z,22,FALSE)),0,VLOOKUP($A326,'13. Updated Demand'!A:Z,22,FALSE))</f>
        <v>0</v>
      </c>
      <c r="AF326" s="16">
        <f>IF(ISERROR(VLOOKUP($A326,'13. Updated Demand'!A:Z,23,FALSE)),0,VLOOKUP($A326,'13. Updated Demand'!A:Z,23,FALSE))</f>
        <v>0</v>
      </c>
      <c r="AG326" s="16">
        <f>IF(ISERROR(VLOOKUP($A326,'13. Updated Demand'!A:Z,24,FALSE)),0,VLOOKUP($A326,'13. Updated Demand'!A:Z,24,FALSE))</f>
        <v>0</v>
      </c>
      <c r="AH326" s="16">
        <f>IF(ISERROR(VLOOKUP($A326,'13. Updated Demand'!A:Z,25,FALSE)),0,VLOOKUP($A326,'13. Updated Demand'!A:Z,25,FALSE))</f>
        <v>0</v>
      </c>
      <c r="AI326" s="16">
        <f>IF(ISERROR(VLOOKUP($A326,'13. Updated Demand'!A:Z,26,FALSE)),0,VLOOKUP($A326,'13. Updated Demand'!A:Z,26,FALSE))</f>
        <v>0</v>
      </c>
      <c r="AJ326" s="16">
        <f t="shared" si="60"/>
        <v>0</v>
      </c>
      <c r="AK326" s="19">
        <v>0</v>
      </c>
      <c r="AL326" s="16">
        <f t="shared" si="70"/>
        <v>0</v>
      </c>
      <c r="AM326" s="17">
        <v>0</v>
      </c>
      <c r="AN326" s="19"/>
      <c r="AO326" s="19"/>
      <c r="AP326" s="19">
        <v>40</v>
      </c>
      <c r="AQ326" s="19" t="s">
        <v>307</v>
      </c>
      <c r="AR326" s="9" t="s">
        <v>319</v>
      </c>
      <c r="AS326" s="12">
        <v>0</v>
      </c>
      <c r="AT326" s="19">
        <v>38.984699999999997</v>
      </c>
      <c r="AU326" s="19">
        <v>-123.12730000000001</v>
      </c>
      <c r="AV326" s="19" t="s">
        <v>385</v>
      </c>
    </row>
    <row r="327" spans="1:48" x14ac:dyDescent="0.25">
      <c r="A327" s="18" t="s">
        <v>704</v>
      </c>
      <c r="B327" s="10">
        <v>19960520</v>
      </c>
      <c r="C327" s="9">
        <v>6</v>
      </c>
      <c r="D327" s="8" t="str">
        <f t="shared" si="61"/>
        <v>Y</v>
      </c>
      <c r="E327" s="8" t="str">
        <f t="shared" si="62"/>
        <v>N</v>
      </c>
      <c r="F327" s="8" t="str">
        <f t="shared" si="63"/>
        <v>Y</v>
      </c>
      <c r="G327" s="8" t="str">
        <f t="shared" si="64"/>
        <v>Y</v>
      </c>
      <c r="H327" s="8" t="str">
        <f t="shared" si="65"/>
        <v>Upper</v>
      </c>
      <c r="I327" s="8" t="str">
        <f t="shared" si="66"/>
        <v>West Fork and Below Lake</v>
      </c>
      <c r="J327" s="8" t="str">
        <f t="shared" si="67"/>
        <v>Mendocino (d/s of lake)</v>
      </c>
      <c r="K327" s="8" t="str">
        <f t="shared" si="68"/>
        <v>Post-1949</v>
      </c>
      <c r="L327" s="8">
        <f t="shared" si="69"/>
        <v>1996</v>
      </c>
      <c r="M327" s="8" t="str">
        <f t="shared" si="71"/>
        <v>1991-present</v>
      </c>
      <c r="N327" s="10" t="s">
        <v>241</v>
      </c>
      <c r="O327" s="10" t="s">
        <v>241</v>
      </c>
      <c r="P327" s="10" t="s">
        <v>242</v>
      </c>
      <c r="Q327" s="10" t="s">
        <v>242</v>
      </c>
      <c r="R327" s="10" t="s">
        <v>241</v>
      </c>
      <c r="S327" s="10" t="s">
        <v>242</v>
      </c>
      <c r="T327" s="10" t="s">
        <v>241</v>
      </c>
      <c r="U327" s="10" t="s">
        <v>241</v>
      </c>
      <c r="V327" s="10" t="s">
        <v>241</v>
      </c>
      <c r="W327" s="10" t="s">
        <v>242</v>
      </c>
      <c r="X327" s="15">
        <f>IF(ISERROR(VLOOKUP($A327,'13. Updated Demand'!A:Z,15,FALSE)),0,VLOOKUP($A327,'13. Updated Demand'!A:Z,15,FALSE))</f>
        <v>0</v>
      </c>
      <c r="Y327" s="16">
        <f>IF(ISERROR(VLOOKUP($A327,'13. Updated Demand'!A:Z,16,FALSE)),0,VLOOKUP($A327,'13. Updated Demand'!A:Z,16,FALSE))</f>
        <v>0</v>
      </c>
      <c r="Z327" s="16">
        <f>IF(ISERROR(VLOOKUP($A327,'13. Updated Demand'!A:Z,17,FALSE)),0,VLOOKUP($A327,'13. Updated Demand'!A:Z,17,FALSE))</f>
        <v>0</v>
      </c>
      <c r="AA327" s="16">
        <f>IF(ISERROR(VLOOKUP($A327,'13. Updated Demand'!A:Z,18,FALSE)),0,VLOOKUP($A327,'13. Updated Demand'!A:Z,18,FALSE))</f>
        <v>0</v>
      </c>
      <c r="AB327" s="16">
        <f>IF(ISERROR(VLOOKUP($A327,'13. Updated Demand'!A:Z,19,FALSE)),0,VLOOKUP($A327,'13. Updated Demand'!A:Z,19,FALSE))</f>
        <v>0</v>
      </c>
      <c r="AC327" s="16">
        <f>IF(ISERROR(VLOOKUP($A327,'13. Updated Demand'!A:Z,20,FALSE)),0,VLOOKUP($A327,'13. Updated Demand'!A:Z,20,FALSE))</f>
        <v>0</v>
      </c>
      <c r="AD327" s="16">
        <f>IF(ISERROR(VLOOKUP($A327,'13. Updated Demand'!A:Z,21,FALSE)),0,VLOOKUP($A327,'13. Updated Demand'!A:Z,21,FALSE))</f>
        <v>0</v>
      </c>
      <c r="AE327" s="16">
        <f>IF(ISERROR(VLOOKUP($A327,'13. Updated Demand'!A:Z,22,FALSE)),0,VLOOKUP($A327,'13. Updated Demand'!A:Z,22,FALSE))</f>
        <v>0</v>
      </c>
      <c r="AF327" s="16">
        <f>IF(ISERROR(VLOOKUP($A327,'13. Updated Demand'!A:Z,23,FALSE)),0,VLOOKUP($A327,'13. Updated Demand'!A:Z,23,FALSE))</f>
        <v>0</v>
      </c>
      <c r="AG327" s="16">
        <f>IF(ISERROR(VLOOKUP($A327,'13. Updated Demand'!A:Z,24,FALSE)),0,VLOOKUP($A327,'13. Updated Demand'!A:Z,24,FALSE))</f>
        <v>0</v>
      </c>
      <c r="AH327" s="16">
        <f>IF(ISERROR(VLOOKUP($A327,'13. Updated Demand'!A:Z,25,FALSE)),0,VLOOKUP($A327,'13. Updated Demand'!A:Z,25,FALSE))</f>
        <v>0</v>
      </c>
      <c r="AI327" s="16">
        <f>IF(ISERROR(VLOOKUP($A327,'13. Updated Demand'!A:Z,26,FALSE)),0,VLOOKUP($A327,'13. Updated Demand'!A:Z,26,FALSE))</f>
        <v>0</v>
      </c>
      <c r="AJ327" s="16">
        <f t="shared" si="60"/>
        <v>0</v>
      </c>
      <c r="AK327" s="19">
        <v>0</v>
      </c>
      <c r="AL327" s="16">
        <f t="shared" si="70"/>
        <v>0</v>
      </c>
      <c r="AM327" s="17">
        <v>0</v>
      </c>
      <c r="AN327" s="19"/>
      <c r="AO327" s="19"/>
      <c r="AP327" s="19">
        <v>45</v>
      </c>
      <c r="AQ327" s="19" t="s">
        <v>307</v>
      </c>
      <c r="AR327" s="9" t="s">
        <v>319</v>
      </c>
      <c r="AS327" s="12">
        <v>0</v>
      </c>
      <c r="AT327" s="19">
        <v>39.011899999999997</v>
      </c>
      <c r="AU327" s="19">
        <v>-123.14149999999999</v>
      </c>
      <c r="AV327" s="19" t="s">
        <v>385</v>
      </c>
    </row>
    <row r="328" spans="1:48" x14ac:dyDescent="0.25">
      <c r="A328" s="18" t="s">
        <v>705</v>
      </c>
      <c r="B328" s="10">
        <v>19960916</v>
      </c>
      <c r="C328" s="9">
        <v>4</v>
      </c>
      <c r="D328" s="8" t="str">
        <f t="shared" si="61"/>
        <v>Y</v>
      </c>
      <c r="E328" s="8" t="str">
        <f t="shared" si="62"/>
        <v>N</v>
      </c>
      <c r="F328" s="8" t="str">
        <f t="shared" si="63"/>
        <v>Y</v>
      </c>
      <c r="G328" s="8" t="str">
        <f t="shared" si="64"/>
        <v>Y</v>
      </c>
      <c r="H328" s="8" t="str">
        <f t="shared" si="65"/>
        <v>Upper</v>
      </c>
      <c r="I328" s="8" t="str">
        <f t="shared" si="66"/>
        <v>West Fork and Below Lake</v>
      </c>
      <c r="J328" s="8" t="str">
        <f t="shared" si="67"/>
        <v>Mendocino (d/s of lake)</v>
      </c>
      <c r="K328" s="8" t="str">
        <f t="shared" si="68"/>
        <v>Post-1949</v>
      </c>
      <c r="L328" s="8">
        <f t="shared" si="69"/>
        <v>1996</v>
      </c>
      <c r="M328" s="8" t="str">
        <f t="shared" si="71"/>
        <v>1991-present</v>
      </c>
      <c r="N328" s="10" t="s">
        <v>242</v>
      </c>
      <c r="O328" s="10" t="s">
        <v>241</v>
      </c>
      <c r="P328" s="10" t="s">
        <v>242</v>
      </c>
      <c r="Q328" s="10" t="s">
        <v>242</v>
      </c>
      <c r="R328" s="10" t="s">
        <v>241</v>
      </c>
      <c r="S328" s="10" t="s">
        <v>242</v>
      </c>
      <c r="T328" s="10" t="s">
        <v>241</v>
      </c>
      <c r="U328" s="10" t="s">
        <v>241</v>
      </c>
      <c r="V328" s="10" t="s">
        <v>241</v>
      </c>
      <c r="W328" s="10" t="s">
        <v>242</v>
      </c>
      <c r="X328" s="15">
        <f>IF(ISERROR(VLOOKUP($A328,'13. Updated Demand'!A:Z,15,FALSE)),0,VLOOKUP($A328,'13. Updated Demand'!A:Z,15,FALSE))</f>
        <v>0</v>
      </c>
      <c r="Y328" s="16">
        <f>IF(ISERROR(VLOOKUP($A328,'13. Updated Demand'!A:Z,16,FALSE)),0,VLOOKUP($A328,'13. Updated Demand'!A:Z,16,FALSE))</f>
        <v>0</v>
      </c>
      <c r="Z328" s="16">
        <f>IF(ISERROR(VLOOKUP($A328,'13. Updated Demand'!A:Z,17,FALSE)),0,VLOOKUP($A328,'13. Updated Demand'!A:Z,17,FALSE))</f>
        <v>0</v>
      </c>
      <c r="AA328" s="16">
        <f>IF(ISERROR(VLOOKUP($A328,'13. Updated Demand'!A:Z,18,FALSE)),0,VLOOKUP($A328,'13. Updated Demand'!A:Z,18,FALSE))</f>
        <v>0</v>
      </c>
      <c r="AB328" s="16">
        <f>IF(ISERROR(VLOOKUP($A328,'13. Updated Demand'!A:Z,19,FALSE)),0,VLOOKUP($A328,'13. Updated Demand'!A:Z,19,FALSE))</f>
        <v>0</v>
      </c>
      <c r="AC328" s="16">
        <f>IF(ISERROR(VLOOKUP($A328,'13. Updated Demand'!A:Z,20,FALSE)),0,VLOOKUP($A328,'13. Updated Demand'!A:Z,20,FALSE))</f>
        <v>0</v>
      </c>
      <c r="AD328" s="16">
        <f>IF(ISERROR(VLOOKUP($A328,'13. Updated Demand'!A:Z,21,FALSE)),0,VLOOKUP($A328,'13. Updated Demand'!A:Z,21,FALSE))</f>
        <v>0</v>
      </c>
      <c r="AE328" s="16">
        <f>IF(ISERROR(VLOOKUP($A328,'13. Updated Demand'!A:Z,22,FALSE)),0,VLOOKUP($A328,'13. Updated Demand'!A:Z,22,FALSE))</f>
        <v>0</v>
      </c>
      <c r="AF328" s="16">
        <f>IF(ISERROR(VLOOKUP($A328,'13. Updated Demand'!A:Z,23,FALSE)),0,VLOOKUP($A328,'13. Updated Demand'!A:Z,23,FALSE))</f>
        <v>0</v>
      </c>
      <c r="AG328" s="16">
        <f>IF(ISERROR(VLOOKUP($A328,'13. Updated Demand'!A:Z,24,FALSE)),0,VLOOKUP($A328,'13. Updated Demand'!A:Z,24,FALSE))</f>
        <v>0</v>
      </c>
      <c r="AH328" s="16">
        <f>IF(ISERROR(VLOOKUP($A328,'13. Updated Demand'!A:Z,25,FALSE)),0,VLOOKUP($A328,'13. Updated Demand'!A:Z,25,FALSE))</f>
        <v>0</v>
      </c>
      <c r="AI328" s="16">
        <f>IF(ISERROR(VLOOKUP($A328,'13. Updated Demand'!A:Z,26,FALSE)),0,VLOOKUP($A328,'13. Updated Demand'!A:Z,26,FALSE))</f>
        <v>0</v>
      </c>
      <c r="AJ328" s="16">
        <f t="shared" si="60"/>
        <v>0</v>
      </c>
      <c r="AK328" s="19">
        <v>0</v>
      </c>
      <c r="AL328" s="16">
        <f t="shared" si="70"/>
        <v>0</v>
      </c>
      <c r="AM328" s="17">
        <v>0</v>
      </c>
      <c r="AN328" s="19"/>
      <c r="AO328" s="19"/>
      <c r="AP328" s="19">
        <v>45</v>
      </c>
      <c r="AQ328" s="19" t="s">
        <v>307</v>
      </c>
      <c r="AR328" s="9" t="s">
        <v>331</v>
      </c>
      <c r="AS328" s="12">
        <v>0</v>
      </c>
      <c r="AT328" s="19">
        <v>39.145710430000001</v>
      </c>
      <c r="AU328" s="19">
        <v>-123.1654673</v>
      </c>
      <c r="AV328" s="19" t="s">
        <v>417</v>
      </c>
    </row>
    <row r="329" spans="1:48" x14ac:dyDescent="0.25">
      <c r="A329" s="18" t="s">
        <v>706</v>
      </c>
      <c r="B329" s="10">
        <v>19960528</v>
      </c>
      <c r="C329" s="9">
        <v>2</v>
      </c>
      <c r="D329" s="8" t="str">
        <f t="shared" si="61"/>
        <v>N</v>
      </c>
      <c r="E329" s="8" t="str">
        <f t="shared" si="62"/>
        <v>N</v>
      </c>
      <c r="F329" s="8" t="str">
        <f t="shared" si="63"/>
        <v>Y</v>
      </c>
      <c r="G329" s="8" t="str">
        <f t="shared" si="64"/>
        <v>N</v>
      </c>
      <c r="H329" s="8" t="str">
        <f t="shared" si="65"/>
        <v>Upper</v>
      </c>
      <c r="I329" s="8" t="str">
        <f t="shared" si="66"/>
        <v>Outside</v>
      </c>
      <c r="J329" s="8" t="str">
        <f t="shared" si="67"/>
        <v>Outside</v>
      </c>
      <c r="K329" s="8" t="str">
        <f t="shared" si="68"/>
        <v>Post-1949</v>
      </c>
      <c r="L329" s="8">
        <f t="shared" si="69"/>
        <v>1996</v>
      </c>
      <c r="M329" s="8" t="str">
        <f t="shared" si="71"/>
        <v>1991-present</v>
      </c>
      <c r="N329" s="10" t="s">
        <v>242</v>
      </c>
      <c r="O329" s="10" t="s">
        <v>241</v>
      </c>
      <c r="P329" s="10" t="s">
        <v>242</v>
      </c>
      <c r="Q329" s="10" t="s">
        <v>242</v>
      </c>
      <c r="R329" s="10" t="s">
        <v>241</v>
      </c>
      <c r="S329" s="10" t="s">
        <v>242</v>
      </c>
      <c r="T329" s="10" t="s">
        <v>242</v>
      </c>
      <c r="U329" s="10" t="s">
        <v>241</v>
      </c>
      <c r="V329" s="10" t="s">
        <v>241</v>
      </c>
      <c r="W329" s="10" t="s">
        <v>242</v>
      </c>
      <c r="X329" s="15">
        <f>IF(ISERROR(VLOOKUP($A329,'13. Updated Demand'!A:Z,15,FALSE)),0,VLOOKUP($A329,'13. Updated Demand'!A:Z,15,FALSE))</f>
        <v>0</v>
      </c>
      <c r="Y329" s="16">
        <f>IF(ISERROR(VLOOKUP($A329,'13. Updated Demand'!A:Z,16,FALSE)),0,VLOOKUP($A329,'13. Updated Demand'!A:Z,16,FALSE))</f>
        <v>0</v>
      </c>
      <c r="Z329" s="16">
        <f>IF(ISERROR(VLOOKUP($A329,'13. Updated Demand'!A:Z,17,FALSE)),0,VLOOKUP($A329,'13. Updated Demand'!A:Z,17,FALSE))</f>
        <v>0</v>
      </c>
      <c r="AA329" s="16">
        <f>IF(ISERROR(VLOOKUP($A329,'13. Updated Demand'!A:Z,18,FALSE)),0,VLOOKUP($A329,'13. Updated Demand'!A:Z,18,FALSE))</f>
        <v>0</v>
      </c>
      <c r="AB329" s="16">
        <f>IF(ISERROR(VLOOKUP($A329,'13. Updated Demand'!A:Z,19,FALSE)),0,VLOOKUP($A329,'13. Updated Demand'!A:Z,19,FALSE))</f>
        <v>0</v>
      </c>
      <c r="AC329" s="16">
        <f>IF(ISERROR(VLOOKUP($A329,'13. Updated Demand'!A:Z,20,FALSE)),0,VLOOKUP($A329,'13. Updated Demand'!A:Z,20,FALSE))</f>
        <v>0</v>
      </c>
      <c r="AD329" s="16">
        <f>IF(ISERROR(VLOOKUP($A329,'13. Updated Demand'!A:Z,21,FALSE)),0,VLOOKUP($A329,'13. Updated Demand'!A:Z,21,FALSE))</f>
        <v>0</v>
      </c>
      <c r="AE329" s="16">
        <f>IF(ISERROR(VLOOKUP($A329,'13. Updated Demand'!A:Z,22,FALSE)),0,VLOOKUP($A329,'13. Updated Demand'!A:Z,22,FALSE))</f>
        <v>0</v>
      </c>
      <c r="AF329" s="16">
        <f>IF(ISERROR(VLOOKUP($A329,'13. Updated Demand'!A:Z,23,FALSE)),0,VLOOKUP($A329,'13. Updated Demand'!A:Z,23,FALSE))</f>
        <v>0</v>
      </c>
      <c r="AG329" s="16">
        <f>IF(ISERROR(VLOOKUP($A329,'13. Updated Demand'!A:Z,24,FALSE)),0,VLOOKUP($A329,'13. Updated Demand'!A:Z,24,FALSE))</f>
        <v>0</v>
      </c>
      <c r="AH329" s="16">
        <f>IF(ISERROR(VLOOKUP($A329,'13. Updated Demand'!A:Z,25,FALSE)),0,VLOOKUP($A329,'13. Updated Demand'!A:Z,25,FALSE))</f>
        <v>0</v>
      </c>
      <c r="AI329" s="16">
        <f>IF(ISERROR(VLOOKUP($A329,'13. Updated Demand'!A:Z,26,FALSE)),0,VLOOKUP($A329,'13. Updated Demand'!A:Z,26,FALSE))</f>
        <v>0</v>
      </c>
      <c r="AJ329" s="16">
        <f t="shared" si="60"/>
        <v>0</v>
      </c>
      <c r="AK329" s="19">
        <v>0</v>
      </c>
      <c r="AL329" s="16">
        <f t="shared" si="70"/>
        <v>0</v>
      </c>
      <c r="AM329" s="17">
        <v>0</v>
      </c>
      <c r="AN329" s="19"/>
      <c r="AO329" s="19"/>
      <c r="AP329" s="19">
        <v>80</v>
      </c>
      <c r="AQ329" s="19" t="s">
        <v>307</v>
      </c>
      <c r="AR329" s="9" t="s">
        <v>348</v>
      </c>
      <c r="AS329" s="12">
        <v>0</v>
      </c>
      <c r="AT329" s="19">
        <v>39.280299999999997</v>
      </c>
      <c r="AU329" s="19">
        <v>-123.0697</v>
      </c>
      <c r="AV329" s="19" t="s">
        <v>417</v>
      </c>
    </row>
    <row r="330" spans="1:48" x14ac:dyDescent="0.25">
      <c r="A330" s="18" t="s">
        <v>707</v>
      </c>
      <c r="B330" s="10">
        <v>19960819</v>
      </c>
      <c r="C330" s="9">
        <v>2</v>
      </c>
      <c r="D330" s="8" t="str">
        <f t="shared" si="61"/>
        <v>N</v>
      </c>
      <c r="E330" s="8" t="str">
        <f t="shared" si="62"/>
        <v>N</v>
      </c>
      <c r="F330" s="8" t="str">
        <f t="shared" si="63"/>
        <v>Y</v>
      </c>
      <c r="G330" s="8" t="str">
        <f t="shared" si="64"/>
        <v>N</v>
      </c>
      <c r="H330" s="8" t="str">
        <f t="shared" si="65"/>
        <v>Upper</v>
      </c>
      <c r="I330" s="8" t="str">
        <f t="shared" si="66"/>
        <v>Outside</v>
      </c>
      <c r="J330" s="8" t="str">
        <f t="shared" si="67"/>
        <v>Outside</v>
      </c>
      <c r="K330" s="8" t="str">
        <f t="shared" si="68"/>
        <v>Post-1949</v>
      </c>
      <c r="L330" s="8">
        <f t="shared" si="69"/>
        <v>1996</v>
      </c>
      <c r="M330" s="8" t="str">
        <f t="shared" si="71"/>
        <v>1991-present</v>
      </c>
      <c r="N330" s="10" t="s">
        <v>242</v>
      </c>
      <c r="O330" s="10" t="s">
        <v>241</v>
      </c>
      <c r="P330" s="10" t="s">
        <v>242</v>
      </c>
      <c r="Q330" s="10" t="s">
        <v>242</v>
      </c>
      <c r="R330" s="10" t="s">
        <v>241</v>
      </c>
      <c r="S330" s="10" t="s">
        <v>242</v>
      </c>
      <c r="T330" s="10" t="s">
        <v>242</v>
      </c>
      <c r="U330" s="10" t="s">
        <v>241</v>
      </c>
      <c r="V330" s="10" t="s">
        <v>241</v>
      </c>
      <c r="W330" s="10" t="s">
        <v>242</v>
      </c>
      <c r="X330" s="15">
        <f>IF(ISERROR(VLOOKUP($A330,'13. Updated Demand'!A:Z,15,FALSE)),0,VLOOKUP($A330,'13. Updated Demand'!A:Z,15,FALSE))</f>
        <v>0</v>
      </c>
      <c r="Y330" s="16">
        <f>IF(ISERROR(VLOOKUP($A330,'13. Updated Demand'!A:Z,16,FALSE)),0,VLOOKUP($A330,'13. Updated Demand'!A:Z,16,FALSE))</f>
        <v>0</v>
      </c>
      <c r="Z330" s="16">
        <f>IF(ISERROR(VLOOKUP($A330,'13. Updated Demand'!A:Z,17,FALSE)),0,VLOOKUP($A330,'13. Updated Demand'!A:Z,17,FALSE))</f>
        <v>0</v>
      </c>
      <c r="AA330" s="16">
        <f>IF(ISERROR(VLOOKUP($A330,'13. Updated Demand'!A:Z,18,FALSE)),0,VLOOKUP($A330,'13. Updated Demand'!A:Z,18,FALSE))</f>
        <v>0</v>
      </c>
      <c r="AB330" s="16">
        <f>IF(ISERROR(VLOOKUP($A330,'13. Updated Demand'!A:Z,19,FALSE)),0,VLOOKUP($A330,'13. Updated Demand'!A:Z,19,FALSE))</f>
        <v>0</v>
      </c>
      <c r="AC330" s="16">
        <f>IF(ISERROR(VLOOKUP($A330,'13. Updated Demand'!A:Z,20,FALSE)),0,VLOOKUP($A330,'13. Updated Demand'!A:Z,20,FALSE))</f>
        <v>0</v>
      </c>
      <c r="AD330" s="16">
        <f>IF(ISERROR(VLOOKUP($A330,'13. Updated Demand'!A:Z,21,FALSE)),0,VLOOKUP($A330,'13. Updated Demand'!A:Z,21,FALSE))</f>
        <v>0</v>
      </c>
      <c r="AE330" s="16">
        <f>IF(ISERROR(VLOOKUP($A330,'13. Updated Demand'!A:Z,22,FALSE)),0,VLOOKUP($A330,'13. Updated Demand'!A:Z,22,FALSE))</f>
        <v>0</v>
      </c>
      <c r="AF330" s="16">
        <f>IF(ISERROR(VLOOKUP($A330,'13. Updated Demand'!A:Z,23,FALSE)),0,VLOOKUP($A330,'13. Updated Demand'!A:Z,23,FALSE))</f>
        <v>0</v>
      </c>
      <c r="AG330" s="16">
        <f>IF(ISERROR(VLOOKUP($A330,'13. Updated Demand'!A:Z,24,FALSE)),0,VLOOKUP($A330,'13. Updated Demand'!A:Z,24,FALSE))</f>
        <v>0</v>
      </c>
      <c r="AH330" s="16">
        <f>IF(ISERROR(VLOOKUP($A330,'13. Updated Demand'!A:Z,25,FALSE)),0,VLOOKUP($A330,'13. Updated Demand'!A:Z,25,FALSE))</f>
        <v>0</v>
      </c>
      <c r="AI330" s="16">
        <f>IF(ISERROR(VLOOKUP($A330,'13. Updated Demand'!A:Z,26,FALSE)),0,VLOOKUP($A330,'13. Updated Demand'!A:Z,26,FALSE))</f>
        <v>0</v>
      </c>
      <c r="AJ330" s="16">
        <f t="shared" si="60"/>
        <v>0</v>
      </c>
      <c r="AK330" s="19">
        <v>0</v>
      </c>
      <c r="AL330" s="16">
        <f t="shared" si="70"/>
        <v>0</v>
      </c>
      <c r="AM330" s="17">
        <v>0</v>
      </c>
      <c r="AN330" s="19"/>
      <c r="AO330" s="19"/>
      <c r="AP330" s="19">
        <v>100</v>
      </c>
      <c r="AQ330" s="19" t="s">
        <v>307</v>
      </c>
      <c r="AR330" s="9" t="s">
        <v>348</v>
      </c>
      <c r="AS330" s="12">
        <v>0</v>
      </c>
      <c r="AT330" s="19">
        <v>39.280299999999997</v>
      </c>
      <c r="AU330" s="19">
        <v>-123.0697</v>
      </c>
      <c r="AV330" s="19" t="s">
        <v>417</v>
      </c>
    </row>
    <row r="331" spans="1:48" x14ac:dyDescent="0.25">
      <c r="A331" s="18" t="s">
        <v>708</v>
      </c>
      <c r="B331" s="10">
        <v>19951113</v>
      </c>
      <c r="C331" s="9">
        <v>6</v>
      </c>
      <c r="D331" s="8" t="str">
        <f t="shared" si="61"/>
        <v>Y</v>
      </c>
      <c r="E331" s="8" t="str">
        <f t="shared" si="62"/>
        <v>N</v>
      </c>
      <c r="F331" s="8" t="str">
        <f t="shared" si="63"/>
        <v>Y</v>
      </c>
      <c r="G331" s="8" t="str">
        <f t="shared" si="64"/>
        <v>Y</v>
      </c>
      <c r="H331" s="8" t="str">
        <f t="shared" si="65"/>
        <v>Upper</v>
      </c>
      <c r="I331" s="8" t="str">
        <f t="shared" si="66"/>
        <v>West Fork and Below Lake</v>
      </c>
      <c r="J331" s="8" t="str">
        <f t="shared" si="67"/>
        <v>Mendocino (d/s of lake)</v>
      </c>
      <c r="K331" s="8" t="str">
        <f t="shared" si="68"/>
        <v>Post-1949</v>
      </c>
      <c r="L331" s="8">
        <f t="shared" si="69"/>
        <v>1995</v>
      </c>
      <c r="M331" s="8" t="str">
        <f t="shared" si="71"/>
        <v>1991-present</v>
      </c>
      <c r="N331" s="10" t="s">
        <v>241</v>
      </c>
      <c r="O331" s="10" t="s">
        <v>241</v>
      </c>
      <c r="P331" s="10" t="s">
        <v>242</v>
      </c>
      <c r="Q331" s="10" t="s">
        <v>242</v>
      </c>
      <c r="R331" s="10" t="s">
        <v>241</v>
      </c>
      <c r="S331" s="10" t="s">
        <v>242</v>
      </c>
      <c r="T331" s="10" t="s">
        <v>241</v>
      </c>
      <c r="U331" s="10" t="s">
        <v>241</v>
      </c>
      <c r="V331" s="10" t="s">
        <v>241</v>
      </c>
      <c r="W331" s="10" t="s">
        <v>242</v>
      </c>
      <c r="X331" s="15">
        <f>IF(ISERROR(VLOOKUP($A331,'13. Updated Demand'!A:Z,15,FALSE)),0,VLOOKUP($A331,'13. Updated Demand'!A:Z,15,FALSE))</f>
        <v>0</v>
      </c>
      <c r="Y331" s="16">
        <f>IF(ISERROR(VLOOKUP($A331,'13. Updated Demand'!A:Z,16,FALSE)),0,VLOOKUP($A331,'13. Updated Demand'!A:Z,16,FALSE))</f>
        <v>0</v>
      </c>
      <c r="Z331" s="16">
        <f>IF(ISERROR(VLOOKUP($A331,'13. Updated Demand'!A:Z,17,FALSE)),0,VLOOKUP($A331,'13. Updated Demand'!A:Z,17,FALSE))</f>
        <v>0</v>
      </c>
      <c r="AA331" s="16">
        <f>IF(ISERROR(VLOOKUP($A331,'13. Updated Demand'!A:Z,18,FALSE)),0,VLOOKUP($A331,'13. Updated Demand'!A:Z,18,FALSE))</f>
        <v>0</v>
      </c>
      <c r="AB331" s="16">
        <f>IF(ISERROR(VLOOKUP($A331,'13. Updated Demand'!A:Z,19,FALSE)),0,VLOOKUP($A331,'13. Updated Demand'!A:Z,19,FALSE))</f>
        <v>0</v>
      </c>
      <c r="AC331" s="16">
        <f>IF(ISERROR(VLOOKUP($A331,'13. Updated Demand'!A:Z,20,FALSE)),0,VLOOKUP($A331,'13. Updated Demand'!A:Z,20,FALSE))</f>
        <v>0</v>
      </c>
      <c r="AD331" s="16">
        <f>IF(ISERROR(VLOOKUP($A331,'13. Updated Demand'!A:Z,21,FALSE)),0,VLOOKUP($A331,'13. Updated Demand'!A:Z,21,FALSE))</f>
        <v>0</v>
      </c>
      <c r="AE331" s="16">
        <f>IF(ISERROR(VLOOKUP($A331,'13. Updated Demand'!A:Z,22,FALSE)),0,VLOOKUP($A331,'13. Updated Demand'!A:Z,22,FALSE))</f>
        <v>0</v>
      </c>
      <c r="AF331" s="16">
        <f>IF(ISERROR(VLOOKUP($A331,'13. Updated Demand'!A:Z,23,FALSE)),0,VLOOKUP($A331,'13. Updated Demand'!A:Z,23,FALSE))</f>
        <v>0</v>
      </c>
      <c r="AG331" s="16">
        <f>IF(ISERROR(VLOOKUP($A331,'13. Updated Demand'!A:Z,24,FALSE)),0,VLOOKUP($A331,'13. Updated Demand'!A:Z,24,FALSE))</f>
        <v>0</v>
      </c>
      <c r="AH331" s="16">
        <f>IF(ISERROR(VLOOKUP($A331,'13. Updated Demand'!A:Z,25,FALSE)),0,VLOOKUP($A331,'13. Updated Demand'!A:Z,25,FALSE))</f>
        <v>0</v>
      </c>
      <c r="AI331" s="16">
        <f>IF(ISERROR(VLOOKUP($A331,'13. Updated Demand'!A:Z,26,FALSE)),0,VLOOKUP($A331,'13. Updated Demand'!A:Z,26,FALSE))</f>
        <v>0</v>
      </c>
      <c r="AJ331" s="16">
        <f t="shared" si="60"/>
        <v>0</v>
      </c>
      <c r="AK331" s="19">
        <v>0</v>
      </c>
      <c r="AL331" s="16">
        <f t="shared" si="70"/>
        <v>0</v>
      </c>
      <c r="AM331" s="17">
        <v>0</v>
      </c>
      <c r="AN331" s="19"/>
      <c r="AO331" s="19"/>
      <c r="AP331" s="19">
        <v>328</v>
      </c>
      <c r="AQ331" s="19" t="s">
        <v>307</v>
      </c>
      <c r="AR331" s="9" t="s">
        <v>319</v>
      </c>
      <c r="AS331" s="12">
        <v>0</v>
      </c>
      <c r="AT331" s="19">
        <v>38.963344499999998</v>
      </c>
      <c r="AU331" s="19">
        <v>-123.07072931</v>
      </c>
      <c r="AV331" s="19" t="s">
        <v>385</v>
      </c>
    </row>
    <row r="332" spans="1:48" x14ac:dyDescent="0.25">
      <c r="A332" s="18" t="s">
        <v>709</v>
      </c>
      <c r="B332" s="10">
        <v>19950126</v>
      </c>
      <c r="C332" s="9">
        <v>1</v>
      </c>
      <c r="D332" s="8" t="str">
        <f t="shared" si="61"/>
        <v>N</v>
      </c>
      <c r="E332" s="8" t="str">
        <f t="shared" si="62"/>
        <v>N</v>
      </c>
      <c r="F332" s="8" t="str">
        <f t="shared" si="63"/>
        <v>Y</v>
      </c>
      <c r="G332" s="8" t="str">
        <f t="shared" si="64"/>
        <v>Y</v>
      </c>
      <c r="H332" s="8" t="str">
        <f t="shared" si="65"/>
        <v>Upper</v>
      </c>
      <c r="I332" s="8" t="str">
        <f t="shared" si="66"/>
        <v>West Fork and Below Lake</v>
      </c>
      <c r="J332" s="8" t="str">
        <f t="shared" si="67"/>
        <v>Outside</v>
      </c>
      <c r="K332" s="8" t="str">
        <f t="shared" si="68"/>
        <v>Post-1949</v>
      </c>
      <c r="L332" s="8">
        <f t="shared" si="69"/>
        <v>1995</v>
      </c>
      <c r="M332" s="8" t="str">
        <f t="shared" si="71"/>
        <v>1991-present</v>
      </c>
      <c r="N332" s="10" t="s">
        <v>242</v>
      </c>
      <c r="O332" s="10" t="s">
        <v>241</v>
      </c>
      <c r="P332" s="10" t="s">
        <v>242</v>
      </c>
      <c r="Q332" s="10" t="s">
        <v>242</v>
      </c>
      <c r="R332" s="10" t="s">
        <v>241</v>
      </c>
      <c r="S332" s="10" t="s">
        <v>242</v>
      </c>
      <c r="T332" s="10" t="s">
        <v>242</v>
      </c>
      <c r="U332" s="10" t="s">
        <v>242</v>
      </c>
      <c r="V332" s="10" t="s">
        <v>241</v>
      </c>
      <c r="W332" s="10" t="s">
        <v>242</v>
      </c>
      <c r="X332" s="15">
        <f>IF(ISERROR(VLOOKUP($A332,'13. Updated Demand'!A:Z,15,FALSE)),0,VLOOKUP($A332,'13. Updated Demand'!A:Z,15,FALSE))</f>
        <v>0.09</v>
      </c>
      <c r="Y332" s="16">
        <f>IF(ISERROR(VLOOKUP($A332,'13. Updated Demand'!A:Z,16,FALSE)),0,VLOOKUP($A332,'13. Updated Demand'!A:Z,16,FALSE))</f>
        <v>0.09</v>
      </c>
      <c r="Z332" s="16">
        <f>IF(ISERROR(VLOOKUP($A332,'13. Updated Demand'!A:Z,17,FALSE)),0,VLOOKUP($A332,'13. Updated Demand'!A:Z,17,FALSE))</f>
        <v>0.09</v>
      </c>
      <c r="AA332" s="16">
        <f>IF(ISERROR(VLOOKUP($A332,'13. Updated Demand'!A:Z,18,FALSE)),0,VLOOKUP($A332,'13. Updated Demand'!A:Z,18,FALSE))</f>
        <v>0.09</v>
      </c>
      <c r="AB332" s="16">
        <f>IF(ISERROR(VLOOKUP($A332,'13. Updated Demand'!A:Z,19,FALSE)),0,VLOOKUP($A332,'13. Updated Demand'!A:Z,19,FALSE))</f>
        <v>0</v>
      </c>
      <c r="AC332" s="16">
        <f>IF(ISERROR(VLOOKUP($A332,'13. Updated Demand'!A:Z,20,FALSE)),0,VLOOKUP($A332,'13. Updated Demand'!A:Z,20,FALSE))</f>
        <v>0</v>
      </c>
      <c r="AD332" s="16">
        <f>IF(ISERROR(VLOOKUP($A332,'13. Updated Demand'!A:Z,21,FALSE)),0,VLOOKUP($A332,'13. Updated Demand'!A:Z,21,FALSE))</f>
        <v>0</v>
      </c>
      <c r="AE332" s="16">
        <f>IF(ISERROR(VLOOKUP($A332,'13. Updated Demand'!A:Z,22,FALSE)),0,VLOOKUP($A332,'13. Updated Demand'!A:Z,22,FALSE))</f>
        <v>0</v>
      </c>
      <c r="AF332" s="16">
        <f>IF(ISERROR(VLOOKUP($A332,'13. Updated Demand'!A:Z,23,FALSE)),0,VLOOKUP($A332,'13. Updated Demand'!A:Z,23,FALSE))</f>
        <v>0</v>
      </c>
      <c r="AG332" s="16">
        <f>IF(ISERROR(VLOOKUP($A332,'13. Updated Demand'!A:Z,24,FALSE)),0,VLOOKUP($A332,'13. Updated Demand'!A:Z,24,FALSE))</f>
        <v>0</v>
      </c>
      <c r="AH332" s="16">
        <f>IF(ISERROR(VLOOKUP($A332,'13. Updated Demand'!A:Z,25,FALSE)),0,VLOOKUP($A332,'13. Updated Demand'!A:Z,25,FALSE))</f>
        <v>0</v>
      </c>
      <c r="AI332" s="16">
        <f>IF(ISERROR(VLOOKUP($A332,'13. Updated Demand'!A:Z,26,FALSE)),0,VLOOKUP($A332,'13. Updated Demand'!A:Z,26,FALSE))</f>
        <v>0.09</v>
      </c>
      <c r="AJ332" s="16">
        <f t="shared" si="60"/>
        <v>0.44999999999999996</v>
      </c>
      <c r="AK332" s="19">
        <v>0</v>
      </c>
      <c r="AL332" s="16">
        <f t="shared" si="70"/>
        <v>0</v>
      </c>
      <c r="AM332" s="17">
        <v>6.1378000000000002E-2</v>
      </c>
      <c r="AN332" s="19"/>
      <c r="AO332" s="19"/>
      <c r="AP332" s="19">
        <v>7.5</v>
      </c>
      <c r="AQ332" s="19" t="s">
        <v>307</v>
      </c>
      <c r="AR332" s="9" t="s">
        <v>317</v>
      </c>
      <c r="AS332" s="12">
        <v>3.4039024194010059E-4</v>
      </c>
      <c r="AT332" s="19">
        <v>39.246482409999999</v>
      </c>
      <c r="AU332" s="19">
        <v>-123.30941742</v>
      </c>
      <c r="AV332" s="19" t="s">
        <v>417</v>
      </c>
    </row>
    <row r="333" spans="1:48" x14ac:dyDescent="0.25">
      <c r="A333" s="18" t="s">
        <v>710</v>
      </c>
      <c r="B333" s="10">
        <v>19950710</v>
      </c>
      <c r="C333" s="9">
        <v>21</v>
      </c>
      <c r="D333" s="8" t="str">
        <f t="shared" si="61"/>
        <v>N</v>
      </c>
      <c r="E333" s="8" t="str">
        <f t="shared" si="62"/>
        <v>N</v>
      </c>
      <c r="F333" s="8" t="str">
        <f t="shared" si="63"/>
        <v>N</v>
      </c>
      <c r="G333" s="8" t="str">
        <f t="shared" si="64"/>
        <v>N</v>
      </c>
      <c r="H333" s="8" t="str">
        <f t="shared" si="65"/>
        <v>Lower</v>
      </c>
      <c r="I333" s="8" t="str">
        <f t="shared" si="66"/>
        <v>Outside</v>
      </c>
      <c r="J333" s="8" t="str">
        <f t="shared" si="67"/>
        <v>Outside</v>
      </c>
      <c r="K333" s="8" t="str">
        <f t="shared" si="68"/>
        <v>Post-1949</v>
      </c>
      <c r="L333" s="8">
        <f t="shared" si="69"/>
        <v>1995</v>
      </c>
      <c r="M333" s="8" t="str">
        <f t="shared" si="71"/>
        <v>1991-present</v>
      </c>
      <c r="N333" s="10" t="s">
        <v>242</v>
      </c>
      <c r="O333" s="10" t="s">
        <v>242</v>
      </c>
      <c r="P333" s="10" t="s">
        <v>242</v>
      </c>
      <c r="Q333" s="10" t="s">
        <v>242</v>
      </c>
      <c r="R333" s="10" t="s">
        <v>241</v>
      </c>
      <c r="S333" s="10" t="s">
        <v>242</v>
      </c>
      <c r="T333" s="10" t="s">
        <v>242</v>
      </c>
      <c r="U333" s="10" t="s">
        <v>242</v>
      </c>
      <c r="V333" s="10" t="s">
        <v>241</v>
      </c>
      <c r="W333" s="10" t="s">
        <v>242</v>
      </c>
      <c r="X333" s="15">
        <f>IF(ISERROR(VLOOKUP($A333,'13. Updated Demand'!A:Z,15,FALSE)),0,VLOOKUP($A333,'13. Updated Demand'!A:Z,15,FALSE))</f>
        <v>1.3333333329999999</v>
      </c>
      <c r="Y333" s="16">
        <f>IF(ISERROR(VLOOKUP($A333,'13. Updated Demand'!A:Z,16,FALSE)),0,VLOOKUP($A333,'13. Updated Demand'!A:Z,16,FALSE))</f>
        <v>0.33333333300000001</v>
      </c>
      <c r="Z333" s="16">
        <f>IF(ISERROR(VLOOKUP($A333,'13. Updated Demand'!A:Z,17,FALSE)),0,VLOOKUP($A333,'13. Updated Demand'!A:Z,17,FALSE))</f>
        <v>0.33333333300000001</v>
      </c>
      <c r="AA333" s="16">
        <f>IF(ISERROR(VLOOKUP($A333,'13. Updated Demand'!A:Z,18,FALSE)),0,VLOOKUP($A333,'13. Updated Demand'!A:Z,18,FALSE))</f>
        <v>0.33333333300000001</v>
      </c>
      <c r="AB333" s="16">
        <f>IF(ISERROR(VLOOKUP($A333,'13. Updated Demand'!A:Z,19,FALSE)),0,VLOOKUP($A333,'13. Updated Demand'!A:Z,19,FALSE))</f>
        <v>0</v>
      </c>
      <c r="AC333" s="16">
        <f>IF(ISERROR(VLOOKUP($A333,'13. Updated Demand'!A:Z,20,FALSE)),0,VLOOKUP($A333,'13. Updated Demand'!A:Z,20,FALSE))</f>
        <v>0</v>
      </c>
      <c r="AD333" s="16">
        <f>IF(ISERROR(VLOOKUP($A333,'13. Updated Demand'!A:Z,21,FALSE)),0,VLOOKUP($A333,'13. Updated Demand'!A:Z,21,FALSE))</f>
        <v>0</v>
      </c>
      <c r="AE333" s="16">
        <f>IF(ISERROR(VLOOKUP($A333,'13. Updated Demand'!A:Z,22,FALSE)),0,VLOOKUP($A333,'13. Updated Demand'!A:Z,22,FALSE))</f>
        <v>0</v>
      </c>
      <c r="AF333" s="16">
        <f>IF(ISERROR(VLOOKUP($A333,'13. Updated Demand'!A:Z,23,FALSE)),0,VLOOKUP($A333,'13. Updated Demand'!A:Z,23,FALSE))</f>
        <v>0</v>
      </c>
      <c r="AG333" s="16">
        <f>IF(ISERROR(VLOOKUP($A333,'13. Updated Demand'!A:Z,24,FALSE)),0,VLOOKUP($A333,'13. Updated Demand'!A:Z,24,FALSE))</f>
        <v>0.33333333300000001</v>
      </c>
      <c r="AH333" s="16">
        <f>IF(ISERROR(VLOOKUP($A333,'13. Updated Demand'!A:Z,25,FALSE)),0,VLOOKUP($A333,'13. Updated Demand'!A:Z,25,FALSE))</f>
        <v>1.3333333329999999</v>
      </c>
      <c r="AI333" s="16">
        <f>IF(ISERROR(VLOOKUP($A333,'13. Updated Demand'!A:Z,26,FALSE)),0,VLOOKUP($A333,'13. Updated Demand'!A:Z,26,FALSE))</f>
        <v>1.6666666670000001</v>
      </c>
      <c r="AJ333" s="16">
        <f t="shared" si="60"/>
        <v>5.6666666650000002</v>
      </c>
      <c r="AK333" s="19">
        <v>0</v>
      </c>
      <c r="AL333" s="16">
        <f t="shared" si="70"/>
        <v>0</v>
      </c>
      <c r="AM333" s="17">
        <v>0.56666666649999997</v>
      </c>
      <c r="AN333" s="19"/>
      <c r="AO333" s="19"/>
      <c r="AP333" s="19">
        <v>10</v>
      </c>
      <c r="AQ333" s="19" t="s">
        <v>307</v>
      </c>
      <c r="AR333" s="9" t="s">
        <v>403</v>
      </c>
      <c r="AS333" s="12">
        <v>3.4039024194010059E-4</v>
      </c>
      <c r="AT333" s="19">
        <v>38.415088930000003</v>
      </c>
      <c r="AU333" s="19">
        <v>-122.96122333</v>
      </c>
      <c r="AV333" s="19" t="s">
        <v>417</v>
      </c>
    </row>
    <row r="334" spans="1:48" x14ac:dyDescent="0.25">
      <c r="A334" s="18" t="s">
        <v>711</v>
      </c>
      <c r="B334" s="10">
        <v>19940222</v>
      </c>
      <c r="C334" s="9">
        <v>1</v>
      </c>
      <c r="D334" s="8" t="str">
        <f t="shared" si="61"/>
        <v>N</v>
      </c>
      <c r="E334" s="8" t="str">
        <f t="shared" si="62"/>
        <v>N</v>
      </c>
      <c r="F334" s="8" t="str">
        <f t="shared" si="63"/>
        <v>Y</v>
      </c>
      <c r="G334" s="8" t="str">
        <f t="shared" si="64"/>
        <v>Y</v>
      </c>
      <c r="H334" s="8" t="str">
        <f t="shared" si="65"/>
        <v>Upper</v>
      </c>
      <c r="I334" s="8" t="str">
        <f t="shared" si="66"/>
        <v>West Fork and Below Lake</v>
      </c>
      <c r="J334" s="8" t="str">
        <f t="shared" si="67"/>
        <v>Outside</v>
      </c>
      <c r="K334" s="8" t="str">
        <f t="shared" si="68"/>
        <v>Post-1949</v>
      </c>
      <c r="L334" s="8">
        <f t="shared" si="69"/>
        <v>1994</v>
      </c>
      <c r="M334" s="8" t="str">
        <f t="shared" si="71"/>
        <v>1991-present</v>
      </c>
      <c r="N334" s="10" t="s">
        <v>242</v>
      </c>
      <c r="O334" s="10" t="s">
        <v>241</v>
      </c>
      <c r="P334" s="10" t="s">
        <v>242</v>
      </c>
      <c r="Q334" s="10" t="s">
        <v>242</v>
      </c>
      <c r="R334" s="10" t="s">
        <v>241</v>
      </c>
      <c r="S334" s="10" t="s">
        <v>242</v>
      </c>
      <c r="T334" s="10" t="s">
        <v>242</v>
      </c>
      <c r="U334" s="10" t="s">
        <v>242</v>
      </c>
      <c r="V334" s="10" t="s">
        <v>241</v>
      </c>
      <c r="W334" s="10" t="s">
        <v>242</v>
      </c>
      <c r="X334" s="15">
        <f>IF(ISERROR(VLOOKUP($A334,'13. Updated Demand'!A:Z,15,FALSE)),0,VLOOKUP($A334,'13. Updated Demand'!A:Z,15,FALSE))</f>
        <v>3.84</v>
      </c>
      <c r="Y334" s="16">
        <f>IF(ISERROR(VLOOKUP($A334,'13. Updated Demand'!A:Z,16,FALSE)),0,VLOOKUP($A334,'13. Updated Demand'!A:Z,16,FALSE))</f>
        <v>0</v>
      </c>
      <c r="Z334" s="16">
        <f>IF(ISERROR(VLOOKUP($A334,'13. Updated Demand'!A:Z,17,FALSE)),0,VLOOKUP($A334,'13. Updated Demand'!A:Z,17,FALSE))</f>
        <v>1.3</v>
      </c>
      <c r="AA334" s="16">
        <f>IF(ISERROR(VLOOKUP($A334,'13. Updated Demand'!A:Z,18,FALSE)),0,VLOOKUP($A334,'13. Updated Demand'!A:Z,18,FALSE))</f>
        <v>0.06</v>
      </c>
      <c r="AB334" s="16">
        <f>IF(ISERROR(VLOOKUP($A334,'13. Updated Demand'!A:Z,19,FALSE)),0,VLOOKUP($A334,'13. Updated Demand'!A:Z,19,FALSE))</f>
        <v>0</v>
      </c>
      <c r="AC334" s="16">
        <f>IF(ISERROR(VLOOKUP($A334,'13. Updated Demand'!A:Z,20,FALSE)),0,VLOOKUP($A334,'13. Updated Demand'!A:Z,20,FALSE))</f>
        <v>0</v>
      </c>
      <c r="AD334" s="16">
        <f>IF(ISERROR(VLOOKUP($A334,'13. Updated Demand'!A:Z,21,FALSE)),0,VLOOKUP($A334,'13. Updated Demand'!A:Z,21,FALSE))</f>
        <v>0</v>
      </c>
      <c r="AE334" s="16">
        <f>IF(ISERROR(VLOOKUP($A334,'13. Updated Demand'!A:Z,22,FALSE)),0,VLOOKUP($A334,'13. Updated Demand'!A:Z,22,FALSE))</f>
        <v>0</v>
      </c>
      <c r="AF334" s="16">
        <f>IF(ISERROR(VLOOKUP($A334,'13. Updated Demand'!A:Z,23,FALSE)),0,VLOOKUP($A334,'13. Updated Demand'!A:Z,23,FALSE))</f>
        <v>0</v>
      </c>
      <c r="AG334" s="16">
        <f>IF(ISERROR(VLOOKUP($A334,'13. Updated Demand'!A:Z,24,FALSE)),0,VLOOKUP($A334,'13. Updated Demand'!A:Z,24,FALSE))</f>
        <v>0</v>
      </c>
      <c r="AH334" s="16">
        <f>IF(ISERROR(VLOOKUP($A334,'13. Updated Demand'!A:Z,25,FALSE)),0,VLOOKUP($A334,'13. Updated Demand'!A:Z,25,FALSE))</f>
        <v>0</v>
      </c>
      <c r="AI334" s="16">
        <f>IF(ISERROR(VLOOKUP($A334,'13. Updated Demand'!A:Z,26,FALSE)),0,VLOOKUP($A334,'13. Updated Demand'!A:Z,26,FALSE))</f>
        <v>0</v>
      </c>
      <c r="AJ334" s="16">
        <f t="shared" si="60"/>
        <v>5.1999999999999993</v>
      </c>
      <c r="AK334" s="19">
        <v>0</v>
      </c>
      <c r="AL334" s="16">
        <f t="shared" si="70"/>
        <v>0</v>
      </c>
      <c r="AM334" s="17">
        <v>0.62771084337349392</v>
      </c>
      <c r="AN334" s="19"/>
      <c r="AO334" s="19"/>
      <c r="AP334" s="19">
        <v>8.3000000000000007</v>
      </c>
      <c r="AQ334" s="19" t="s">
        <v>307</v>
      </c>
      <c r="AR334" s="9" t="s">
        <v>317</v>
      </c>
      <c r="AS334" s="12">
        <v>0</v>
      </c>
      <c r="AT334" s="19">
        <v>39.314512000000001</v>
      </c>
      <c r="AU334" s="19">
        <v>-123.21373551000001</v>
      </c>
      <c r="AV334" s="19" t="s">
        <v>417</v>
      </c>
    </row>
    <row r="335" spans="1:48" x14ac:dyDescent="0.25">
      <c r="A335" s="18" t="s">
        <v>712</v>
      </c>
      <c r="B335" s="10">
        <v>19940510</v>
      </c>
      <c r="C335" s="9">
        <v>1</v>
      </c>
      <c r="D335" s="8" t="str">
        <f t="shared" si="61"/>
        <v>N</v>
      </c>
      <c r="E335" s="8" t="str">
        <f t="shared" si="62"/>
        <v>N</v>
      </c>
      <c r="F335" s="8" t="str">
        <f t="shared" si="63"/>
        <v>Y</v>
      </c>
      <c r="G335" s="8" t="str">
        <f t="shared" si="64"/>
        <v>Y</v>
      </c>
      <c r="H335" s="8" t="str">
        <f t="shared" si="65"/>
        <v>Upper</v>
      </c>
      <c r="I335" s="8" t="str">
        <f t="shared" si="66"/>
        <v>West Fork and Below Lake</v>
      </c>
      <c r="J335" s="8" t="str">
        <f t="shared" si="67"/>
        <v>Outside</v>
      </c>
      <c r="K335" s="8" t="str">
        <f t="shared" si="68"/>
        <v>Post-1949</v>
      </c>
      <c r="L335" s="8">
        <f t="shared" si="69"/>
        <v>1994</v>
      </c>
      <c r="M335" s="8" t="str">
        <f t="shared" si="71"/>
        <v>1991-present</v>
      </c>
      <c r="N335" s="10" t="s">
        <v>242</v>
      </c>
      <c r="O335" s="10" t="s">
        <v>241</v>
      </c>
      <c r="P335" s="10" t="s">
        <v>242</v>
      </c>
      <c r="Q335" s="10" t="s">
        <v>242</v>
      </c>
      <c r="R335" s="10" t="s">
        <v>241</v>
      </c>
      <c r="S335" s="10" t="s">
        <v>242</v>
      </c>
      <c r="T335" s="10" t="s">
        <v>242</v>
      </c>
      <c r="U335" s="10" t="s">
        <v>242</v>
      </c>
      <c r="V335" s="10" t="s">
        <v>241</v>
      </c>
      <c r="W335" s="10" t="s">
        <v>242</v>
      </c>
      <c r="X335" s="15">
        <f>IF(ISERROR(VLOOKUP($A335,'13. Updated Demand'!A:Z,15,FALSE)),0,VLOOKUP($A335,'13. Updated Demand'!A:Z,15,FALSE))</f>
        <v>0</v>
      </c>
      <c r="Y335" s="16">
        <f>IF(ISERROR(VLOOKUP($A335,'13. Updated Demand'!A:Z,16,FALSE)),0,VLOOKUP($A335,'13. Updated Demand'!A:Z,16,FALSE))</f>
        <v>3.01</v>
      </c>
      <c r="Z335" s="16">
        <f>IF(ISERROR(VLOOKUP($A335,'13. Updated Demand'!A:Z,17,FALSE)),0,VLOOKUP($A335,'13. Updated Demand'!A:Z,17,FALSE))</f>
        <v>5.76</v>
      </c>
      <c r="AA335" s="16">
        <f>IF(ISERROR(VLOOKUP($A335,'13. Updated Demand'!A:Z,18,FALSE)),0,VLOOKUP($A335,'13. Updated Demand'!A:Z,18,FALSE))</f>
        <v>0</v>
      </c>
      <c r="AB335" s="16">
        <f>IF(ISERROR(VLOOKUP($A335,'13. Updated Demand'!A:Z,19,FALSE)),0,VLOOKUP($A335,'13. Updated Demand'!A:Z,19,FALSE))</f>
        <v>0</v>
      </c>
      <c r="AC335" s="16">
        <f>IF(ISERROR(VLOOKUP($A335,'13. Updated Demand'!A:Z,20,FALSE)),0,VLOOKUP($A335,'13. Updated Demand'!A:Z,20,FALSE))</f>
        <v>0</v>
      </c>
      <c r="AD335" s="16">
        <f>IF(ISERROR(VLOOKUP($A335,'13. Updated Demand'!A:Z,21,FALSE)),0,VLOOKUP($A335,'13. Updated Demand'!A:Z,21,FALSE))</f>
        <v>0</v>
      </c>
      <c r="AE335" s="16">
        <f>IF(ISERROR(VLOOKUP($A335,'13. Updated Demand'!A:Z,22,FALSE)),0,VLOOKUP($A335,'13. Updated Demand'!A:Z,22,FALSE))</f>
        <v>0</v>
      </c>
      <c r="AF335" s="16">
        <f>IF(ISERROR(VLOOKUP($A335,'13. Updated Demand'!A:Z,23,FALSE)),0,VLOOKUP($A335,'13. Updated Demand'!A:Z,23,FALSE))</f>
        <v>0</v>
      </c>
      <c r="AG335" s="16">
        <f>IF(ISERROR(VLOOKUP($A335,'13. Updated Demand'!A:Z,24,FALSE)),0,VLOOKUP($A335,'13. Updated Demand'!A:Z,24,FALSE))</f>
        <v>0</v>
      </c>
      <c r="AH335" s="16">
        <f>IF(ISERROR(VLOOKUP($A335,'13. Updated Demand'!A:Z,25,FALSE)),0,VLOOKUP($A335,'13. Updated Demand'!A:Z,25,FALSE))</f>
        <v>0</v>
      </c>
      <c r="AI335" s="16">
        <f>IF(ISERROR(VLOOKUP($A335,'13. Updated Demand'!A:Z,26,FALSE)),0,VLOOKUP($A335,'13. Updated Demand'!A:Z,26,FALSE))</f>
        <v>0</v>
      </c>
      <c r="AJ335" s="16">
        <f t="shared" si="60"/>
        <v>8.77</v>
      </c>
      <c r="AK335" s="19">
        <v>0</v>
      </c>
      <c r="AL335" s="16">
        <f t="shared" si="70"/>
        <v>0</v>
      </c>
      <c r="AM335" s="17">
        <v>0.87833333339999997</v>
      </c>
      <c r="AN335" s="19"/>
      <c r="AO335" s="19"/>
      <c r="AP335" s="19">
        <v>10</v>
      </c>
      <c r="AQ335" s="19" t="s">
        <v>307</v>
      </c>
      <c r="AR335" s="9" t="s">
        <v>317</v>
      </c>
      <c r="AS335" s="12">
        <v>0</v>
      </c>
      <c r="AT335" s="19">
        <v>39.267681150000001</v>
      </c>
      <c r="AU335" s="19">
        <v>-123.24127942</v>
      </c>
      <c r="AV335" s="19" t="s">
        <v>713</v>
      </c>
    </row>
    <row r="336" spans="1:48" x14ac:dyDescent="0.25">
      <c r="A336" s="18" t="s">
        <v>714</v>
      </c>
      <c r="B336" s="10">
        <v>19940207</v>
      </c>
      <c r="C336" s="9">
        <v>9</v>
      </c>
      <c r="D336" s="8" t="str">
        <f t="shared" si="61"/>
        <v>N</v>
      </c>
      <c r="E336" s="8" t="str">
        <f t="shared" si="62"/>
        <v>Y</v>
      </c>
      <c r="F336" s="8" t="str">
        <f t="shared" si="63"/>
        <v>Y</v>
      </c>
      <c r="G336" s="8" t="str">
        <f t="shared" si="64"/>
        <v>Y</v>
      </c>
      <c r="H336" s="8" t="str">
        <f t="shared" si="65"/>
        <v>Upper</v>
      </c>
      <c r="I336" s="8" t="str">
        <f t="shared" si="66"/>
        <v>West Fork and Below Lake</v>
      </c>
      <c r="J336" s="8" t="str">
        <f t="shared" si="67"/>
        <v>Sonoma (d/s of Clov. Gage)</v>
      </c>
      <c r="K336" s="8" t="str">
        <f t="shared" si="68"/>
        <v>Post-1949</v>
      </c>
      <c r="L336" s="8">
        <f t="shared" si="69"/>
        <v>1994</v>
      </c>
      <c r="M336" s="8" t="str">
        <f t="shared" si="71"/>
        <v>1991-present</v>
      </c>
      <c r="N336" s="10" t="s">
        <v>241</v>
      </c>
      <c r="O336" s="10" t="s">
        <v>241</v>
      </c>
      <c r="P336" s="10" t="s">
        <v>242</v>
      </c>
      <c r="Q336" s="10" t="s">
        <v>242</v>
      </c>
      <c r="R336" s="10" t="s">
        <v>241</v>
      </c>
      <c r="S336" s="10" t="s">
        <v>242</v>
      </c>
      <c r="T336" s="10" t="s">
        <v>242</v>
      </c>
      <c r="U336" s="10" t="s">
        <v>242</v>
      </c>
      <c r="V336" s="10" t="s">
        <v>241</v>
      </c>
      <c r="W336" s="10" t="s">
        <v>242</v>
      </c>
      <c r="X336" s="15">
        <f>IF(ISERROR(VLOOKUP($A336,'13. Updated Demand'!A:Z,15,FALSE)),0,VLOOKUP($A336,'13. Updated Demand'!A:Z,15,FALSE))</f>
        <v>6.48</v>
      </c>
      <c r="Y336" s="16">
        <f>IF(ISERROR(VLOOKUP($A336,'13. Updated Demand'!A:Z,16,FALSE)),0,VLOOKUP($A336,'13. Updated Demand'!A:Z,16,FALSE))</f>
        <v>3.91</v>
      </c>
      <c r="Z336" s="16">
        <f>IF(ISERROR(VLOOKUP($A336,'13. Updated Demand'!A:Z,17,FALSE)),0,VLOOKUP($A336,'13. Updated Demand'!A:Z,17,FALSE))</f>
        <v>2.3199999999999998</v>
      </c>
      <c r="AA336" s="16">
        <f>IF(ISERROR(VLOOKUP($A336,'13. Updated Demand'!A:Z,18,FALSE)),0,VLOOKUP($A336,'13. Updated Demand'!A:Z,18,FALSE))</f>
        <v>0</v>
      </c>
      <c r="AB336" s="16">
        <f>IF(ISERROR(VLOOKUP($A336,'13. Updated Demand'!A:Z,19,FALSE)),0,VLOOKUP($A336,'13. Updated Demand'!A:Z,19,FALSE))</f>
        <v>0</v>
      </c>
      <c r="AC336" s="16">
        <f>IF(ISERROR(VLOOKUP($A336,'13. Updated Demand'!A:Z,20,FALSE)),0,VLOOKUP($A336,'13. Updated Demand'!A:Z,20,FALSE))</f>
        <v>0</v>
      </c>
      <c r="AD336" s="16">
        <f>IF(ISERROR(VLOOKUP($A336,'13. Updated Demand'!A:Z,21,FALSE)),0,VLOOKUP($A336,'13. Updated Demand'!A:Z,21,FALSE))</f>
        <v>0</v>
      </c>
      <c r="AE336" s="16">
        <f>IF(ISERROR(VLOOKUP($A336,'13. Updated Demand'!A:Z,22,FALSE)),0,VLOOKUP($A336,'13. Updated Demand'!A:Z,22,FALSE))</f>
        <v>0</v>
      </c>
      <c r="AF336" s="16">
        <f>IF(ISERROR(VLOOKUP($A336,'13. Updated Demand'!A:Z,23,FALSE)),0,VLOOKUP($A336,'13. Updated Demand'!A:Z,23,FALSE))</f>
        <v>0</v>
      </c>
      <c r="AG336" s="16">
        <f>IF(ISERROR(VLOOKUP($A336,'13. Updated Demand'!A:Z,24,FALSE)),0,VLOOKUP($A336,'13. Updated Demand'!A:Z,24,FALSE))</f>
        <v>0</v>
      </c>
      <c r="AH336" s="16">
        <f>IF(ISERROR(VLOOKUP($A336,'13. Updated Demand'!A:Z,25,FALSE)),0,VLOOKUP($A336,'13. Updated Demand'!A:Z,25,FALSE))</f>
        <v>0</v>
      </c>
      <c r="AI336" s="16">
        <f>IF(ISERROR(VLOOKUP($A336,'13. Updated Demand'!A:Z,26,FALSE)),0,VLOOKUP($A336,'13. Updated Demand'!A:Z,26,FALSE))</f>
        <v>0</v>
      </c>
      <c r="AJ336" s="16">
        <f t="shared" ref="AJ336:AJ399" si="72">SUM(X336:AI336)</f>
        <v>12.71</v>
      </c>
      <c r="AK336" s="19">
        <v>0</v>
      </c>
      <c r="AL336" s="16">
        <f t="shared" si="70"/>
        <v>0</v>
      </c>
      <c r="AM336" s="17">
        <v>0.55352965217391303</v>
      </c>
      <c r="AN336" s="19"/>
      <c r="AO336" s="19"/>
      <c r="AP336" s="19">
        <v>23</v>
      </c>
      <c r="AQ336" s="19" t="s">
        <v>307</v>
      </c>
      <c r="AR336" s="9" t="s">
        <v>354</v>
      </c>
      <c r="AS336" s="12">
        <v>0</v>
      </c>
      <c r="AT336" s="19">
        <v>38.739916059999999</v>
      </c>
      <c r="AU336" s="19">
        <v>-122.94832033</v>
      </c>
      <c r="AV336" s="19" t="s">
        <v>417</v>
      </c>
    </row>
    <row r="337" spans="1:48" x14ac:dyDescent="0.25">
      <c r="A337" s="18" t="s">
        <v>715</v>
      </c>
      <c r="B337" s="10">
        <v>19940222</v>
      </c>
      <c r="C337" s="9">
        <v>9</v>
      </c>
      <c r="D337" s="8" t="str">
        <f t="shared" si="61"/>
        <v>N</v>
      </c>
      <c r="E337" s="8" t="str">
        <f t="shared" si="62"/>
        <v>Y</v>
      </c>
      <c r="F337" s="8" t="str">
        <f t="shared" si="63"/>
        <v>Y</v>
      </c>
      <c r="G337" s="8" t="str">
        <f t="shared" si="64"/>
        <v>Y</v>
      </c>
      <c r="H337" s="8" t="str">
        <f t="shared" si="65"/>
        <v>Upper</v>
      </c>
      <c r="I337" s="8" t="str">
        <f t="shared" si="66"/>
        <v>West Fork and Below Lake</v>
      </c>
      <c r="J337" s="8" t="str">
        <f t="shared" si="67"/>
        <v>Sonoma (d/s of Clov. Gage)</v>
      </c>
      <c r="K337" s="8" t="str">
        <f t="shared" si="68"/>
        <v>Post-1949</v>
      </c>
      <c r="L337" s="8">
        <f t="shared" si="69"/>
        <v>1994</v>
      </c>
      <c r="M337" s="8" t="str">
        <f t="shared" si="71"/>
        <v>1991-present</v>
      </c>
      <c r="N337" s="10" t="s">
        <v>241</v>
      </c>
      <c r="O337" s="10" t="s">
        <v>241</v>
      </c>
      <c r="P337" s="10" t="s">
        <v>242</v>
      </c>
      <c r="Q337" s="10" t="s">
        <v>242</v>
      </c>
      <c r="R337" s="10" t="s">
        <v>241</v>
      </c>
      <c r="S337" s="10" t="s">
        <v>242</v>
      </c>
      <c r="T337" s="10" t="s">
        <v>242</v>
      </c>
      <c r="U337" s="10" t="s">
        <v>241</v>
      </c>
      <c r="V337" s="10" t="s">
        <v>241</v>
      </c>
      <c r="W337" s="10" t="s">
        <v>242</v>
      </c>
      <c r="X337" s="15">
        <f>IF(ISERROR(VLOOKUP($A337,'13. Updated Demand'!A:Z,15,FALSE)),0,VLOOKUP($A337,'13. Updated Demand'!A:Z,15,FALSE))</f>
        <v>0</v>
      </c>
      <c r="Y337" s="16">
        <f>IF(ISERROR(VLOOKUP($A337,'13. Updated Demand'!A:Z,16,FALSE)),0,VLOOKUP($A337,'13. Updated Demand'!A:Z,16,FALSE))</f>
        <v>0</v>
      </c>
      <c r="Z337" s="16">
        <f>IF(ISERROR(VLOOKUP($A337,'13. Updated Demand'!A:Z,17,FALSE)),0,VLOOKUP($A337,'13. Updated Demand'!A:Z,17,FALSE))</f>
        <v>0</v>
      </c>
      <c r="AA337" s="16">
        <f>IF(ISERROR(VLOOKUP($A337,'13. Updated Demand'!A:Z,18,FALSE)),0,VLOOKUP($A337,'13. Updated Demand'!A:Z,18,FALSE))</f>
        <v>0</v>
      </c>
      <c r="AB337" s="16">
        <f>IF(ISERROR(VLOOKUP($A337,'13. Updated Demand'!A:Z,19,FALSE)),0,VLOOKUP($A337,'13. Updated Demand'!A:Z,19,FALSE))</f>
        <v>0</v>
      </c>
      <c r="AC337" s="16">
        <f>IF(ISERROR(VLOOKUP($A337,'13. Updated Demand'!A:Z,20,FALSE)),0,VLOOKUP($A337,'13. Updated Demand'!A:Z,20,FALSE))</f>
        <v>0</v>
      </c>
      <c r="AD337" s="16">
        <f>IF(ISERROR(VLOOKUP($A337,'13. Updated Demand'!A:Z,21,FALSE)),0,VLOOKUP($A337,'13. Updated Demand'!A:Z,21,FALSE))</f>
        <v>0</v>
      </c>
      <c r="AE337" s="16">
        <f>IF(ISERROR(VLOOKUP($A337,'13. Updated Demand'!A:Z,22,FALSE)),0,VLOOKUP($A337,'13. Updated Demand'!A:Z,22,FALSE))</f>
        <v>0</v>
      </c>
      <c r="AF337" s="16">
        <f>IF(ISERROR(VLOOKUP($A337,'13. Updated Demand'!A:Z,23,FALSE)),0,VLOOKUP($A337,'13. Updated Demand'!A:Z,23,FALSE))</f>
        <v>0</v>
      </c>
      <c r="AG337" s="16">
        <f>IF(ISERROR(VLOOKUP($A337,'13. Updated Demand'!A:Z,24,FALSE)),0,VLOOKUP($A337,'13. Updated Demand'!A:Z,24,FALSE))</f>
        <v>0</v>
      </c>
      <c r="AH337" s="16">
        <f>IF(ISERROR(VLOOKUP($A337,'13. Updated Demand'!A:Z,25,FALSE)),0,VLOOKUP($A337,'13. Updated Demand'!A:Z,25,FALSE))</f>
        <v>0</v>
      </c>
      <c r="AI337" s="16">
        <f>IF(ISERROR(VLOOKUP($A337,'13. Updated Demand'!A:Z,26,FALSE)),0,VLOOKUP($A337,'13. Updated Demand'!A:Z,26,FALSE))</f>
        <v>0</v>
      </c>
      <c r="AJ337" s="16">
        <f t="shared" si="72"/>
        <v>0</v>
      </c>
      <c r="AK337" s="19">
        <v>0</v>
      </c>
      <c r="AL337" s="16">
        <f t="shared" si="70"/>
        <v>0</v>
      </c>
      <c r="AM337" s="17">
        <v>0</v>
      </c>
      <c r="AN337" s="19"/>
      <c r="AO337" s="19"/>
      <c r="AP337" s="19">
        <v>5</v>
      </c>
      <c r="AQ337" s="19" t="s">
        <v>307</v>
      </c>
      <c r="AR337" s="9" t="s">
        <v>354</v>
      </c>
      <c r="AS337" s="12">
        <v>0</v>
      </c>
      <c r="AT337" s="19">
        <v>38.740246689999999</v>
      </c>
      <c r="AU337" s="19">
        <v>-122.94818447999999</v>
      </c>
      <c r="AV337" s="19" t="s">
        <v>417</v>
      </c>
    </row>
    <row r="338" spans="1:48" x14ac:dyDescent="0.25">
      <c r="A338" s="18" t="s">
        <v>716</v>
      </c>
      <c r="B338" s="10">
        <v>19940805</v>
      </c>
      <c r="C338" s="9">
        <v>17</v>
      </c>
      <c r="D338" s="8" t="str">
        <f t="shared" si="61"/>
        <v>N</v>
      </c>
      <c r="E338" s="8" t="str">
        <f t="shared" si="62"/>
        <v>N</v>
      </c>
      <c r="F338" s="8" t="str">
        <f t="shared" si="63"/>
        <v>N</v>
      </c>
      <c r="G338" s="8" t="str">
        <f t="shared" si="64"/>
        <v>N</v>
      </c>
      <c r="H338" s="8" t="str">
        <f t="shared" si="65"/>
        <v>Lower</v>
      </c>
      <c r="I338" s="8" t="str">
        <f t="shared" si="66"/>
        <v>Outside</v>
      </c>
      <c r="J338" s="8" t="str">
        <f t="shared" si="67"/>
        <v>Outside</v>
      </c>
      <c r="K338" s="8" t="str">
        <f t="shared" si="68"/>
        <v>Post-1949</v>
      </c>
      <c r="L338" s="8">
        <f t="shared" si="69"/>
        <v>1994</v>
      </c>
      <c r="M338" s="8" t="str">
        <f t="shared" si="71"/>
        <v>1991-present</v>
      </c>
      <c r="N338" s="10" t="s">
        <v>241</v>
      </c>
      <c r="O338" s="10" t="s">
        <v>242</v>
      </c>
      <c r="P338" s="10" t="s">
        <v>242</v>
      </c>
      <c r="Q338" s="10" t="s">
        <v>242</v>
      </c>
      <c r="R338" s="10" t="s">
        <v>241</v>
      </c>
      <c r="S338" s="10" t="s">
        <v>242</v>
      </c>
      <c r="T338" s="10" t="s">
        <v>242</v>
      </c>
      <c r="U338" s="10" t="s">
        <v>242</v>
      </c>
      <c r="V338" s="10" t="s">
        <v>241</v>
      </c>
      <c r="W338" s="10" t="s">
        <v>242</v>
      </c>
      <c r="X338" s="15">
        <f>IF(ISERROR(VLOOKUP($A338,'13. Updated Demand'!A:Z,15,FALSE)),0,VLOOKUP($A338,'13. Updated Demand'!A:Z,15,FALSE))</f>
        <v>0.26100000000000001</v>
      </c>
      <c r="Y338" s="16">
        <f>IF(ISERROR(VLOOKUP($A338,'13. Updated Demand'!A:Z,16,FALSE)),0,VLOOKUP($A338,'13. Updated Demand'!A:Z,16,FALSE))</f>
        <v>0.22366666700000001</v>
      </c>
      <c r="Z338" s="16">
        <f>IF(ISERROR(VLOOKUP($A338,'13. Updated Demand'!A:Z,17,FALSE)),0,VLOOKUP($A338,'13. Updated Demand'!A:Z,17,FALSE))</f>
        <v>0.29633333299999998</v>
      </c>
      <c r="AA338" s="16">
        <f>IF(ISERROR(VLOOKUP($A338,'13. Updated Demand'!A:Z,18,FALSE)),0,VLOOKUP($A338,'13. Updated Demand'!A:Z,18,FALSE))</f>
        <v>0.50666666699999996</v>
      </c>
      <c r="AB338" s="16">
        <f>IF(ISERROR(VLOOKUP($A338,'13. Updated Demand'!A:Z,19,FALSE)),0,VLOOKUP($A338,'13. Updated Demand'!A:Z,19,FALSE))</f>
        <v>0</v>
      </c>
      <c r="AC338" s="16">
        <f>IF(ISERROR(VLOOKUP($A338,'13. Updated Demand'!A:Z,20,FALSE)),0,VLOOKUP($A338,'13. Updated Demand'!A:Z,20,FALSE))</f>
        <v>0</v>
      </c>
      <c r="AD338" s="16">
        <f>IF(ISERROR(VLOOKUP($A338,'13. Updated Demand'!A:Z,21,FALSE)),0,VLOOKUP($A338,'13. Updated Demand'!A:Z,21,FALSE))</f>
        <v>0</v>
      </c>
      <c r="AE338" s="16">
        <f>IF(ISERROR(VLOOKUP($A338,'13. Updated Demand'!A:Z,22,FALSE)),0,VLOOKUP($A338,'13. Updated Demand'!A:Z,22,FALSE))</f>
        <v>0</v>
      </c>
      <c r="AF338" s="16">
        <f>IF(ISERROR(VLOOKUP($A338,'13. Updated Demand'!A:Z,23,FALSE)),0,VLOOKUP($A338,'13. Updated Demand'!A:Z,23,FALSE))</f>
        <v>0</v>
      </c>
      <c r="AG338" s="16">
        <f>IF(ISERROR(VLOOKUP($A338,'13. Updated Demand'!A:Z,24,FALSE)),0,VLOOKUP($A338,'13. Updated Demand'!A:Z,24,FALSE))</f>
        <v>1.003333333</v>
      </c>
      <c r="AH338" s="16">
        <f>IF(ISERROR(VLOOKUP($A338,'13. Updated Demand'!A:Z,25,FALSE)),0,VLOOKUP($A338,'13. Updated Demand'!A:Z,25,FALSE))</f>
        <v>0.27600000000000002</v>
      </c>
      <c r="AI338" s="16">
        <f>IF(ISERROR(VLOOKUP($A338,'13. Updated Demand'!A:Z,26,FALSE)),0,VLOOKUP($A338,'13. Updated Demand'!A:Z,26,FALSE))</f>
        <v>0.121333333</v>
      </c>
      <c r="AJ338" s="16">
        <f t="shared" si="72"/>
        <v>2.6883333330000001</v>
      </c>
      <c r="AK338" s="19">
        <v>0</v>
      </c>
      <c r="AL338" s="16">
        <f t="shared" si="70"/>
        <v>0</v>
      </c>
      <c r="AM338" s="17">
        <v>1.3441666665000001E-2</v>
      </c>
      <c r="AN338" s="19"/>
      <c r="AO338" s="19"/>
      <c r="AP338" s="19">
        <v>200</v>
      </c>
      <c r="AQ338" s="19" t="s">
        <v>307</v>
      </c>
      <c r="AR338" s="9" t="s">
        <v>486</v>
      </c>
      <c r="AS338" s="12">
        <v>3.4039024194010059E-4</v>
      </c>
      <c r="AT338" s="19">
        <v>38.536613359999997</v>
      </c>
      <c r="AU338" s="19">
        <v>-122.85447361999999</v>
      </c>
      <c r="AV338" s="19" t="s">
        <v>548</v>
      </c>
    </row>
    <row r="339" spans="1:48" x14ac:dyDescent="0.25">
      <c r="A339" s="18" t="s">
        <v>717</v>
      </c>
      <c r="B339" s="10">
        <v>19940818</v>
      </c>
      <c r="C339" s="9">
        <v>12</v>
      </c>
      <c r="D339" s="8" t="str">
        <f t="shared" si="61"/>
        <v>N</v>
      </c>
      <c r="E339" s="8" t="str">
        <f t="shared" si="62"/>
        <v>Y</v>
      </c>
      <c r="F339" s="8" t="str">
        <f t="shared" si="63"/>
        <v>Y</v>
      </c>
      <c r="G339" s="8" t="str">
        <f t="shared" si="64"/>
        <v>Y</v>
      </c>
      <c r="H339" s="8" t="str">
        <f t="shared" si="65"/>
        <v>Upper</v>
      </c>
      <c r="I339" s="8" t="str">
        <f t="shared" si="66"/>
        <v>West Fork and Below Lake</v>
      </c>
      <c r="J339" s="8" t="str">
        <f t="shared" si="67"/>
        <v>Sonoma (d/s of Clov. Gage)</v>
      </c>
      <c r="K339" s="8" t="str">
        <f t="shared" si="68"/>
        <v>Post-1949</v>
      </c>
      <c r="L339" s="8">
        <f t="shared" si="69"/>
        <v>1994</v>
      </c>
      <c r="M339" s="8" t="str">
        <f t="shared" si="71"/>
        <v>1991-present</v>
      </c>
      <c r="N339" s="10" t="s">
        <v>241</v>
      </c>
      <c r="O339" s="10" t="s">
        <v>241</v>
      </c>
      <c r="P339" s="10" t="s">
        <v>242</v>
      </c>
      <c r="Q339" s="10" t="s">
        <v>242</v>
      </c>
      <c r="R339" s="10" t="s">
        <v>241</v>
      </c>
      <c r="S339" s="10" t="s">
        <v>242</v>
      </c>
      <c r="T339" s="10" t="s">
        <v>242</v>
      </c>
      <c r="U339" s="10" t="s">
        <v>241</v>
      </c>
      <c r="V339" s="10" t="s">
        <v>241</v>
      </c>
      <c r="W339" s="10" t="s">
        <v>242</v>
      </c>
      <c r="X339" s="15">
        <f>IF(ISERROR(VLOOKUP($A339,'13. Updated Demand'!A:Z,15,FALSE)),0,VLOOKUP($A339,'13. Updated Demand'!A:Z,15,FALSE))</f>
        <v>0</v>
      </c>
      <c r="Y339" s="16">
        <f>IF(ISERROR(VLOOKUP($A339,'13. Updated Demand'!A:Z,16,FALSE)),0,VLOOKUP($A339,'13. Updated Demand'!A:Z,16,FALSE))</f>
        <v>0</v>
      </c>
      <c r="Z339" s="16">
        <f>IF(ISERROR(VLOOKUP($A339,'13. Updated Demand'!A:Z,17,FALSE)),0,VLOOKUP($A339,'13. Updated Demand'!A:Z,17,FALSE))</f>
        <v>0</v>
      </c>
      <c r="AA339" s="16">
        <f>IF(ISERROR(VLOOKUP($A339,'13. Updated Demand'!A:Z,18,FALSE)),0,VLOOKUP($A339,'13. Updated Demand'!A:Z,18,FALSE))</f>
        <v>0</v>
      </c>
      <c r="AB339" s="16">
        <f>IF(ISERROR(VLOOKUP($A339,'13. Updated Demand'!A:Z,19,FALSE)),0,VLOOKUP($A339,'13. Updated Demand'!A:Z,19,FALSE))</f>
        <v>0</v>
      </c>
      <c r="AC339" s="16">
        <f>IF(ISERROR(VLOOKUP($A339,'13. Updated Demand'!A:Z,20,FALSE)),0,VLOOKUP($A339,'13. Updated Demand'!A:Z,20,FALSE))</f>
        <v>0</v>
      </c>
      <c r="AD339" s="16">
        <f>IF(ISERROR(VLOOKUP($A339,'13. Updated Demand'!A:Z,21,FALSE)),0,VLOOKUP($A339,'13. Updated Demand'!A:Z,21,FALSE))</f>
        <v>0</v>
      </c>
      <c r="AE339" s="16">
        <f>IF(ISERROR(VLOOKUP($A339,'13. Updated Demand'!A:Z,22,FALSE)),0,VLOOKUP($A339,'13. Updated Demand'!A:Z,22,FALSE))</f>
        <v>0</v>
      </c>
      <c r="AF339" s="16">
        <f>IF(ISERROR(VLOOKUP($A339,'13. Updated Demand'!A:Z,23,FALSE)),0,VLOOKUP($A339,'13. Updated Demand'!A:Z,23,FALSE))</f>
        <v>0</v>
      </c>
      <c r="AG339" s="16">
        <f>IF(ISERROR(VLOOKUP($A339,'13. Updated Demand'!A:Z,24,FALSE)),0,VLOOKUP($A339,'13. Updated Demand'!A:Z,24,FALSE))</f>
        <v>0</v>
      </c>
      <c r="AH339" s="16">
        <f>IF(ISERROR(VLOOKUP($A339,'13. Updated Demand'!A:Z,25,FALSE)),0,VLOOKUP($A339,'13. Updated Demand'!A:Z,25,FALSE))</f>
        <v>0</v>
      </c>
      <c r="AI339" s="16">
        <f>IF(ISERROR(VLOOKUP($A339,'13. Updated Demand'!A:Z,26,FALSE)),0,VLOOKUP($A339,'13. Updated Demand'!A:Z,26,FALSE))</f>
        <v>0</v>
      </c>
      <c r="AJ339" s="16">
        <f t="shared" si="72"/>
        <v>0</v>
      </c>
      <c r="AK339" s="19">
        <v>0</v>
      </c>
      <c r="AL339" s="16">
        <f t="shared" si="70"/>
        <v>0</v>
      </c>
      <c r="AM339" s="17">
        <v>0</v>
      </c>
      <c r="AN339" s="19"/>
      <c r="AO339" s="19"/>
      <c r="AP339" s="19">
        <v>4</v>
      </c>
      <c r="AQ339" s="19" t="s">
        <v>307</v>
      </c>
      <c r="AR339" s="9" t="s">
        <v>311</v>
      </c>
      <c r="AS339" s="12">
        <v>0</v>
      </c>
      <c r="AT339" s="19">
        <v>38.640808120000003</v>
      </c>
      <c r="AU339" s="19">
        <v>-122.79900076</v>
      </c>
      <c r="AV339" s="19" t="s">
        <v>548</v>
      </c>
    </row>
    <row r="340" spans="1:48" x14ac:dyDescent="0.25">
      <c r="A340" s="18" t="s">
        <v>104</v>
      </c>
      <c r="B340" s="10">
        <v>19940927</v>
      </c>
      <c r="C340" s="9">
        <v>12</v>
      </c>
      <c r="D340" s="8" t="str">
        <f t="shared" si="61"/>
        <v>N</v>
      </c>
      <c r="E340" s="8" t="str">
        <f t="shared" si="62"/>
        <v>Y</v>
      </c>
      <c r="F340" s="8" t="str">
        <f t="shared" si="63"/>
        <v>Y</v>
      </c>
      <c r="G340" s="8" t="str">
        <f t="shared" si="64"/>
        <v>Y</v>
      </c>
      <c r="H340" s="8" t="str">
        <f t="shared" si="65"/>
        <v>Upper</v>
      </c>
      <c r="I340" s="8" t="str">
        <f t="shared" si="66"/>
        <v>West Fork and Below Lake</v>
      </c>
      <c r="J340" s="8" t="str">
        <f t="shared" si="67"/>
        <v>Sonoma (d/s of Clov. Gage)</v>
      </c>
      <c r="K340" s="8" t="str">
        <f t="shared" si="68"/>
        <v>Post-1949</v>
      </c>
      <c r="L340" s="8">
        <f t="shared" si="69"/>
        <v>1994</v>
      </c>
      <c r="M340" s="8" t="str">
        <f t="shared" si="71"/>
        <v>1991-present</v>
      </c>
      <c r="N340" s="10" t="s">
        <v>241</v>
      </c>
      <c r="O340" s="10" t="s">
        <v>241</v>
      </c>
      <c r="P340" s="10" t="s">
        <v>242</v>
      </c>
      <c r="Q340" s="10" t="s">
        <v>242</v>
      </c>
      <c r="R340" s="10" t="s">
        <v>241</v>
      </c>
      <c r="S340" s="10" t="s">
        <v>242</v>
      </c>
      <c r="T340" s="10" t="s">
        <v>242</v>
      </c>
      <c r="U340" s="10" t="s">
        <v>242</v>
      </c>
      <c r="V340" s="10" t="s">
        <v>242</v>
      </c>
      <c r="W340" s="10" t="s">
        <v>242</v>
      </c>
      <c r="X340" s="15">
        <f>IF(ISERROR(VLOOKUP($A340,'13. Updated Demand'!A:Z,15,FALSE)),0,VLOOKUP($A340,'13. Updated Demand'!A:Z,15,FALSE))</f>
        <v>0.02</v>
      </c>
      <c r="Y340" s="16">
        <f>IF(ISERROR(VLOOKUP($A340,'13. Updated Demand'!A:Z,16,FALSE)),0,VLOOKUP($A340,'13. Updated Demand'!A:Z,16,FALSE))</f>
        <v>3.3333333333333301E-3</v>
      </c>
      <c r="Z340" s="16">
        <f>IF(ISERROR(VLOOKUP($A340,'13. Updated Demand'!A:Z,17,FALSE)),0,VLOOKUP($A340,'13. Updated Demand'!A:Z,17,FALSE))</f>
        <v>0.01</v>
      </c>
      <c r="AA340" s="16">
        <f>IF(ISERROR(VLOOKUP($A340,'13. Updated Demand'!A:Z,18,FALSE)),0,VLOOKUP($A340,'13. Updated Demand'!A:Z,18,FALSE))</f>
        <v>0.01</v>
      </c>
      <c r="AB340" s="16">
        <f>IF(ISERROR(VLOOKUP($A340,'13. Updated Demand'!A:Z,19,FALSE)),0,VLOOKUP($A340,'13. Updated Demand'!A:Z,19,FALSE))</f>
        <v>0.5</v>
      </c>
      <c r="AC340" s="16">
        <f>IF(ISERROR(VLOOKUP($A340,'13. Updated Demand'!A:Z,20,FALSE)),0,VLOOKUP($A340,'13. Updated Demand'!A:Z,20,FALSE))</f>
        <v>0.99</v>
      </c>
      <c r="AD340" s="16">
        <f>IF(ISERROR(VLOOKUP($A340,'13. Updated Demand'!A:Z,21,FALSE)),0,VLOOKUP($A340,'13. Updated Demand'!A:Z,21,FALSE))</f>
        <v>1.68</v>
      </c>
      <c r="AE340" s="16">
        <f>IF(ISERROR(VLOOKUP($A340,'13. Updated Demand'!A:Z,22,FALSE)),0,VLOOKUP($A340,'13. Updated Demand'!A:Z,22,FALSE))</f>
        <v>1.7</v>
      </c>
      <c r="AF340" s="16">
        <f>IF(ISERROR(VLOOKUP($A340,'13. Updated Demand'!A:Z,23,FALSE)),0,VLOOKUP($A340,'13. Updated Demand'!A:Z,23,FALSE))</f>
        <v>1.23</v>
      </c>
      <c r="AG340" s="16">
        <f>IF(ISERROR(VLOOKUP($A340,'13. Updated Demand'!A:Z,24,FALSE)),0,VLOOKUP($A340,'13. Updated Demand'!A:Z,24,FALSE))</f>
        <v>7.0000000000000007E-2</v>
      </c>
      <c r="AH340" s="16">
        <f>IF(ISERROR(VLOOKUP($A340,'13. Updated Demand'!A:Z,25,FALSE)),0,VLOOKUP($A340,'13. Updated Demand'!A:Z,25,FALSE))</f>
        <v>0.06</v>
      </c>
      <c r="AI340" s="16">
        <f>IF(ISERROR(VLOOKUP($A340,'13. Updated Demand'!A:Z,26,FALSE)),0,VLOOKUP($A340,'13. Updated Demand'!A:Z,26,FALSE))</f>
        <v>3.3333333333333301E-3</v>
      </c>
      <c r="AJ340" s="16">
        <f t="shared" si="72"/>
        <v>6.2766666666666655</v>
      </c>
      <c r="AK340" s="19">
        <v>6.1200000000000028</v>
      </c>
      <c r="AL340" s="16">
        <f t="shared" si="70"/>
        <v>2.0299342866488525E-2</v>
      </c>
      <c r="AM340" s="17">
        <v>0.31533333333333352</v>
      </c>
      <c r="AN340" s="19"/>
      <c r="AO340" s="19"/>
      <c r="AP340" s="19">
        <v>20</v>
      </c>
      <c r="AQ340" s="19" t="s">
        <v>307</v>
      </c>
      <c r="AR340" s="9" t="s">
        <v>311</v>
      </c>
      <c r="AS340" s="12">
        <v>3.4039024194010059E-4</v>
      </c>
      <c r="AT340" s="19">
        <v>38.64412471</v>
      </c>
      <c r="AU340" s="19">
        <v>-122.7958866</v>
      </c>
      <c r="AV340" s="19" t="s">
        <v>548</v>
      </c>
    </row>
    <row r="341" spans="1:48" x14ac:dyDescent="0.25">
      <c r="A341" s="18" t="s">
        <v>718</v>
      </c>
      <c r="B341" s="10">
        <v>19941227</v>
      </c>
      <c r="C341" s="9">
        <v>23</v>
      </c>
      <c r="D341" s="8" t="str">
        <f t="shared" si="61"/>
        <v>N</v>
      </c>
      <c r="E341" s="8" t="str">
        <f t="shared" si="62"/>
        <v>N</v>
      </c>
      <c r="F341" s="8" t="str">
        <f t="shared" si="63"/>
        <v>N</v>
      </c>
      <c r="G341" s="8" t="str">
        <f t="shared" si="64"/>
        <v>N</v>
      </c>
      <c r="H341" s="8" t="str">
        <f t="shared" si="65"/>
        <v>Lower</v>
      </c>
      <c r="I341" s="8" t="str">
        <f t="shared" si="66"/>
        <v>Outside</v>
      </c>
      <c r="J341" s="8" t="str">
        <f t="shared" si="67"/>
        <v>Outside</v>
      </c>
      <c r="K341" s="8" t="str">
        <f t="shared" si="68"/>
        <v>Post-1949</v>
      </c>
      <c r="L341" s="8">
        <f t="shared" si="69"/>
        <v>1994</v>
      </c>
      <c r="M341" s="8" t="str">
        <f t="shared" si="71"/>
        <v>1991-present</v>
      </c>
      <c r="N341" s="10" t="s">
        <v>242</v>
      </c>
      <c r="O341" s="10" t="s">
        <v>242</v>
      </c>
      <c r="P341" s="10" t="s">
        <v>242</v>
      </c>
      <c r="Q341" s="10" t="s">
        <v>242</v>
      </c>
      <c r="R341" s="10" t="s">
        <v>241</v>
      </c>
      <c r="S341" s="10" t="s">
        <v>242</v>
      </c>
      <c r="T341" s="10" t="s">
        <v>241</v>
      </c>
      <c r="U341" s="10" t="s">
        <v>241</v>
      </c>
      <c r="V341" s="10" t="s">
        <v>241</v>
      </c>
      <c r="W341" s="10" t="s">
        <v>242</v>
      </c>
      <c r="X341" s="15">
        <f>IF(ISERROR(VLOOKUP($A341,'13. Updated Demand'!A:Z,15,FALSE)),0,VLOOKUP($A341,'13. Updated Demand'!A:Z,15,FALSE))</f>
        <v>0</v>
      </c>
      <c r="Y341" s="16">
        <f>IF(ISERROR(VLOOKUP($A341,'13. Updated Demand'!A:Z,16,FALSE)),0,VLOOKUP($A341,'13. Updated Demand'!A:Z,16,FALSE))</f>
        <v>0</v>
      </c>
      <c r="Z341" s="16">
        <f>IF(ISERROR(VLOOKUP($A341,'13. Updated Demand'!A:Z,17,FALSE)),0,VLOOKUP($A341,'13. Updated Demand'!A:Z,17,FALSE))</f>
        <v>0</v>
      </c>
      <c r="AA341" s="16">
        <f>IF(ISERROR(VLOOKUP($A341,'13. Updated Demand'!A:Z,18,FALSE)),0,VLOOKUP($A341,'13. Updated Demand'!A:Z,18,FALSE))</f>
        <v>0</v>
      </c>
      <c r="AB341" s="16">
        <f>IF(ISERROR(VLOOKUP($A341,'13. Updated Demand'!A:Z,19,FALSE)),0,VLOOKUP($A341,'13. Updated Demand'!A:Z,19,FALSE))</f>
        <v>0</v>
      </c>
      <c r="AC341" s="16">
        <f>IF(ISERROR(VLOOKUP($A341,'13. Updated Demand'!A:Z,20,FALSE)),0,VLOOKUP($A341,'13. Updated Demand'!A:Z,20,FALSE))</f>
        <v>0</v>
      </c>
      <c r="AD341" s="16">
        <f>IF(ISERROR(VLOOKUP($A341,'13. Updated Demand'!A:Z,21,FALSE)),0,VLOOKUP($A341,'13. Updated Demand'!A:Z,21,FALSE))</f>
        <v>0</v>
      </c>
      <c r="AE341" s="16">
        <f>IF(ISERROR(VLOOKUP($A341,'13. Updated Demand'!A:Z,22,FALSE)),0,VLOOKUP($A341,'13. Updated Demand'!A:Z,22,FALSE))</f>
        <v>0</v>
      </c>
      <c r="AF341" s="16">
        <f>IF(ISERROR(VLOOKUP($A341,'13. Updated Demand'!A:Z,23,FALSE)),0,VLOOKUP($A341,'13. Updated Demand'!A:Z,23,FALSE))</f>
        <v>0</v>
      </c>
      <c r="AG341" s="16">
        <f>IF(ISERROR(VLOOKUP($A341,'13. Updated Demand'!A:Z,24,FALSE)),0,VLOOKUP($A341,'13. Updated Demand'!A:Z,24,FALSE))</f>
        <v>0</v>
      </c>
      <c r="AH341" s="16">
        <f>IF(ISERROR(VLOOKUP($A341,'13. Updated Demand'!A:Z,25,FALSE)),0,VLOOKUP($A341,'13. Updated Demand'!A:Z,25,FALSE))</f>
        <v>0</v>
      </c>
      <c r="AI341" s="16">
        <f>IF(ISERROR(VLOOKUP($A341,'13. Updated Demand'!A:Z,26,FALSE)),0,VLOOKUP($A341,'13. Updated Demand'!A:Z,26,FALSE))</f>
        <v>0</v>
      </c>
      <c r="AJ341" s="16">
        <f t="shared" si="72"/>
        <v>0</v>
      </c>
      <c r="AK341" s="19">
        <v>0</v>
      </c>
      <c r="AL341" s="16">
        <f t="shared" si="70"/>
        <v>0</v>
      </c>
      <c r="AM341" s="17">
        <v>0</v>
      </c>
      <c r="AN341" s="19"/>
      <c r="AO341" s="19"/>
      <c r="AP341" s="19">
        <v>27</v>
      </c>
      <c r="AQ341" s="19" t="s">
        <v>307</v>
      </c>
      <c r="AR341" s="9" t="s">
        <v>378</v>
      </c>
      <c r="AS341" s="12">
        <v>0</v>
      </c>
      <c r="AT341" s="19">
        <v>38.398700820000002</v>
      </c>
      <c r="AU341" s="19">
        <v>-122.63521681</v>
      </c>
      <c r="AV341" s="19" t="s">
        <v>417</v>
      </c>
    </row>
    <row r="342" spans="1:48" x14ac:dyDescent="0.25">
      <c r="A342" s="18" t="s">
        <v>719</v>
      </c>
      <c r="B342" s="10">
        <v>19940407</v>
      </c>
      <c r="C342" s="9">
        <v>1</v>
      </c>
      <c r="D342" s="8" t="str">
        <f t="shared" si="61"/>
        <v>N</v>
      </c>
      <c r="E342" s="8" t="str">
        <f t="shared" si="62"/>
        <v>N</v>
      </c>
      <c r="F342" s="8" t="str">
        <f t="shared" si="63"/>
        <v>Y</v>
      </c>
      <c r="G342" s="8" t="str">
        <f t="shared" si="64"/>
        <v>Y</v>
      </c>
      <c r="H342" s="8" t="str">
        <f t="shared" si="65"/>
        <v>Upper</v>
      </c>
      <c r="I342" s="8" t="str">
        <f t="shared" si="66"/>
        <v>West Fork and Below Lake</v>
      </c>
      <c r="J342" s="8" t="str">
        <f t="shared" si="67"/>
        <v>Outside</v>
      </c>
      <c r="K342" s="8" t="str">
        <f t="shared" si="68"/>
        <v>Post-1949</v>
      </c>
      <c r="L342" s="8">
        <f t="shared" si="69"/>
        <v>1994</v>
      </c>
      <c r="M342" s="8" t="str">
        <f t="shared" si="71"/>
        <v>1991-present</v>
      </c>
      <c r="N342" s="10" t="s">
        <v>242</v>
      </c>
      <c r="O342" s="10" t="s">
        <v>241</v>
      </c>
      <c r="P342" s="10" t="s">
        <v>242</v>
      </c>
      <c r="Q342" s="10" t="s">
        <v>242</v>
      </c>
      <c r="R342" s="10" t="s">
        <v>241</v>
      </c>
      <c r="S342" s="10" t="s">
        <v>242</v>
      </c>
      <c r="T342" s="10" t="s">
        <v>242</v>
      </c>
      <c r="U342" s="10" t="s">
        <v>242</v>
      </c>
      <c r="V342" s="10" t="s">
        <v>242</v>
      </c>
      <c r="W342" s="10" t="s">
        <v>242</v>
      </c>
      <c r="X342" s="15">
        <f>IF(ISERROR(VLOOKUP($A342,'13. Updated Demand'!A:Z,15,FALSE)),0,VLOOKUP($A342,'13. Updated Demand'!A:Z,15,FALSE))</f>
        <v>0.1</v>
      </c>
      <c r="Y342" s="16">
        <f>IF(ISERROR(VLOOKUP($A342,'13. Updated Demand'!A:Z,16,FALSE)),0,VLOOKUP($A342,'13. Updated Demand'!A:Z,16,FALSE))</f>
        <v>0.1</v>
      </c>
      <c r="Z342" s="16">
        <f>IF(ISERROR(VLOOKUP($A342,'13. Updated Demand'!A:Z,17,FALSE)),0,VLOOKUP($A342,'13. Updated Demand'!A:Z,17,FALSE))</f>
        <v>0.1</v>
      </c>
      <c r="AA342" s="16">
        <f>IF(ISERROR(VLOOKUP($A342,'13. Updated Demand'!A:Z,18,FALSE)),0,VLOOKUP($A342,'13. Updated Demand'!A:Z,18,FALSE))</f>
        <v>0.1</v>
      </c>
      <c r="AB342" s="16">
        <f>IF(ISERROR(VLOOKUP($A342,'13. Updated Demand'!A:Z,19,FALSE)),0,VLOOKUP($A342,'13. Updated Demand'!A:Z,19,FALSE))</f>
        <v>0.03</v>
      </c>
      <c r="AC342" s="16">
        <f>IF(ISERROR(VLOOKUP($A342,'13. Updated Demand'!A:Z,20,FALSE)),0,VLOOKUP($A342,'13. Updated Demand'!A:Z,20,FALSE))</f>
        <v>0.03</v>
      </c>
      <c r="AD342" s="16">
        <f>IF(ISERROR(VLOOKUP($A342,'13. Updated Demand'!A:Z,21,FALSE)),0,VLOOKUP($A342,'13. Updated Demand'!A:Z,21,FALSE))</f>
        <v>0.03</v>
      </c>
      <c r="AE342" s="16">
        <f>IF(ISERROR(VLOOKUP($A342,'13. Updated Demand'!A:Z,22,FALSE)),0,VLOOKUP($A342,'13. Updated Demand'!A:Z,22,FALSE))</f>
        <v>0.03</v>
      </c>
      <c r="AF342" s="16">
        <f>IF(ISERROR(VLOOKUP($A342,'13. Updated Demand'!A:Z,23,FALSE)),0,VLOOKUP($A342,'13. Updated Demand'!A:Z,23,FALSE))</f>
        <v>0.03</v>
      </c>
      <c r="AG342" s="16">
        <f>IF(ISERROR(VLOOKUP($A342,'13. Updated Demand'!A:Z,24,FALSE)),0,VLOOKUP($A342,'13. Updated Demand'!A:Z,24,FALSE))</f>
        <v>0.03</v>
      </c>
      <c r="AH342" s="16">
        <f>IF(ISERROR(VLOOKUP($A342,'13. Updated Demand'!A:Z,25,FALSE)),0,VLOOKUP($A342,'13. Updated Demand'!A:Z,25,FALSE))</f>
        <v>0.1</v>
      </c>
      <c r="AI342" s="16">
        <f>IF(ISERROR(VLOOKUP($A342,'13. Updated Demand'!A:Z,26,FALSE)),0,VLOOKUP($A342,'13. Updated Demand'!A:Z,26,FALSE))</f>
        <v>0.1</v>
      </c>
      <c r="AJ342" s="16">
        <f t="shared" si="72"/>
        <v>0.78000000000000014</v>
      </c>
      <c r="AK342" s="19">
        <v>0.16666666499999999</v>
      </c>
      <c r="AL342" s="16">
        <f t="shared" si="70"/>
        <v>5.5281434268777464E-4</v>
      </c>
      <c r="AM342" s="17">
        <v>0.41666666600000002</v>
      </c>
      <c r="AN342" s="19"/>
      <c r="AO342" s="19"/>
      <c r="AP342" s="19">
        <v>2</v>
      </c>
      <c r="AQ342" s="19" t="s">
        <v>307</v>
      </c>
      <c r="AR342" s="9" t="s">
        <v>317</v>
      </c>
      <c r="AS342" s="12">
        <v>3.4039024194010059E-4</v>
      </c>
      <c r="AT342" s="19">
        <v>39.2515869</v>
      </c>
      <c r="AU342" s="19">
        <v>-123.32397878</v>
      </c>
      <c r="AV342" s="19" t="s">
        <v>417</v>
      </c>
    </row>
    <row r="343" spans="1:48" x14ac:dyDescent="0.25">
      <c r="A343" s="18" t="s">
        <v>720</v>
      </c>
      <c r="B343" s="10">
        <v>19940415</v>
      </c>
      <c r="C343" s="9">
        <v>18</v>
      </c>
      <c r="D343" s="8" t="str">
        <f t="shared" si="61"/>
        <v>N</v>
      </c>
      <c r="E343" s="8" t="str">
        <f t="shared" si="62"/>
        <v>N</v>
      </c>
      <c r="F343" s="8" t="str">
        <f t="shared" si="63"/>
        <v>N</v>
      </c>
      <c r="G343" s="8" t="str">
        <f t="shared" si="64"/>
        <v>N</v>
      </c>
      <c r="H343" s="8" t="str">
        <f t="shared" si="65"/>
        <v>Lower</v>
      </c>
      <c r="I343" s="8" t="str">
        <f t="shared" si="66"/>
        <v>Outside</v>
      </c>
      <c r="J343" s="8" t="str">
        <f t="shared" si="67"/>
        <v>Outside</v>
      </c>
      <c r="K343" s="8" t="str">
        <f t="shared" si="68"/>
        <v>Post-1949</v>
      </c>
      <c r="L343" s="8">
        <f t="shared" si="69"/>
        <v>1994</v>
      </c>
      <c r="M343" s="8" t="str">
        <f t="shared" si="71"/>
        <v>1991-present</v>
      </c>
      <c r="N343" s="10" t="s">
        <v>242</v>
      </c>
      <c r="O343" s="10" t="s">
        <v>242</v>
      </c>
      <c r="P343" s="10" t="s">
        <v>242</v>
      </c>
      <c r="Q343" s="10" t="s">
        <v>242</v>
      </c>
      <c r="R343" s="10" t="s">
        <v>241</v>
      </c>
      <c r="S343" s="10" t="s">
        <v>242</v>
      </c>
      <c r="T343" s="10" t="s">
        <v>242</v>
      </c>
      <c r="U343" s="10" t="s">
        <v>241</v>
      </c>
      <c r="V343" s="10" t="s">
        <v>241</v>
      </c>
      <c r="W343" s="10" t="s">
        <v>242</v>
      </c>
      <c r="X343" s="15">
        <f>IF(ISERROR(VLOOKUP($A343,'13. Updated Demand'!A:Z,15,FALSE)),0,VLOOKUP($A343,'13. Updated Demand'!A:Z,15,FALSE))</f>
        <v>0</v>
      </c>
      <c r="Y343" s="16">
        <f>IF(ISERROR(VLOOKUP($A343,'13. Updated Demand'!A:Z,16,FALSE)),0,VLOOKUP($A343,'13. Updated Demand'!A:Z,16,FALSE))</f>
        <v>0</v>
      </c>
      <c r="Z343" s="16">
        <f>IF(ISERROR(VLOOKUP($A343,'13. Updated Demand'!A:Z,17,FALSE)),0,VLOOKUP($A343,'13. Updated Demand'!A:Z,17,FALSE))</f>
        <v>0</v>
      </c>
      <c r="AA343" s="16">
        <f>IF(ISERROR(VLOOKUP($A343,'13. Updated Demand'!A:Z,18,FALSE)),0,VLOOKUP($A343,'13. Updated Demand'!A:Z,18,FALSE))</f>
        <v>0</v>
      </c>
      <c r="AB343" s="16">
        <f>IF(ISERROR(VLOOKUP($A343,'13. Updated Demand'!A:Z,19,FALSE)),0,VLOOKUP($A343,'13. Updated Demand'!A:Z,19,FALSE))</f>
        <v>0</v>
      </c>
      <c r="AC343" s="16">
        <f>IF(ISERROR(VLOOKUP($A343,'13. Updated Demand'!A:Z,20,FALSE)),0,VLOOKUP($A343,'13. Updated Demand'!A:Z,20,FALSE))</f>
        <v>0</v>
      </c>
      <c r="AD343" s="16">
        <f>IF(ISERROR(VLOOKUP($A343,'13. Updated Demand'!A:Z,21,FALSE)),0,VLOOKUP($A343,'13. Updated Demand'!A:Z,21,FALSE))</f>
        <v>0</v>
      </c>
      <c r="AE343" s="16">
        <f>IF(ISERROR(VLOOKUP($A343,'13. Updated Demand'!A:Z,22,FALSE)),0,VLOOKUP($A343,'13. Updated Demand'!A:Z,22,FALSE))</f>
        <v>0</v>
      </c>
      <c r="AF343" s="16">
        <f>IF(ISERROR(VLOOKUP($A343,'13. Updated Demand'!A:Z,23,FALSE)),0,VLOOKUP($A343,'13. Updated Demand'!A:Z,23,FALSE))</f>
        <v>0</v>
      </c>
      <c r="AG343" s="16">
        <f>IF(ISERROR(VLOOKUP($A343,'13. Updated Demand'!A:Z,24,FALSE)),0,VLOOKUP($A343,'13. Updated Demand'!A:Z,24,FALSE))</f>
        <v>0</v>
      </c>
      <c r="AH343" s="16">
        <f>IF(ISERROR(VLOOKUP($A343,'13. Updated Demand'!A:Z,25,FALSE)),0,VLOOKUP($A343,'13. Updated Demand'!A:Z,25,FALSE))</f>
        <v>0</v>
      </c>
      <c r="AI343" s="16">
        <f>IF(ISERROR(VLOOKUP($A343,'13. Updated Demand'!A:Z,26,FALSE)),0,VLOOKUP($A343,'13. Updated Demand'!A:Z,26,FALSE))</f>
        <v>0</v>
      </c>
      <c r="AJ343" s="16">
        <f t="shared" si="72"/>
        <v>0</v>
      </c>
      <c r="AK343" s="19">
        <v>0</v>
      </c>
      <c r="AL343" s="16">
        <f t="shared" si="70"/>
        <v>0</v>
      </c>
      <c r="AM343" s="17">
        <v>0</v>
      </c>
      <c r="AN343" s="19"/>
      <c r="AO343" s="19"/>
      <c r="AP343" s="19">
        <v>1.5</v>
      </c>
      <c r="AQ343" s="19" t="s">
        <v>307</v>
      </c>
      <c r="AR343" s="9" t="s">
        <v>352</v>
      </c>
      <c r="AS343" s="12">
        <v>3.4039024194010059E-4</v>
      </c>
      <c r="AT343" s="19">
        <v>38.372693869999999</v>
      </c>
      <c r="AU343" s="19">
        <v>-122.88862198</v>
      </c>
      <c r="AV343" s="19" t="s">
        <v>417</v>
      </c>
    </row>
    <row r="344" spans="1:48" x14ac:dyDescent="0.25">
      <c r="A344" s="18" t="s">
        <v>721</v>
      </c>
      <c r="B344" s="10">
        <v>19930326</v>
      </c>
      <c r="C344" s="9">
        <v>10</v>
      </c>
      <c r="D344" s="8" t="str">
        <f t="shared" si="61"/>
        <v>N</v>
      </c>
      <c r="E344" s="8" t="str">
        <f t="shared" si="62"/>
        <v>Y</v>
      </c>
      <c r="F344" s="8" t="str">
        <f t="shared" si="63"/>
        <v>Y</v>
      </c>
      <c r="G344" s="8" t="str">
        <f t="shared" si="64"/>
        <v>Y</v>
      </c>
      <c r="H344" s="8" t="str">
        <f t="shared" si="65"/>
        <v>Upper</v>
      </c>
      <c r="I344" s="8" t="str">
        <f t="shared" si="66"/>
        <v>West Fork and Below Lake</v>
      </c>
      <c r="J344" s="8" t="str">
        <f t="shared" si="67"/>
        <v>Sonoma (d/s of Clov. Gage)</v>
      </c>
      <c r="K344" s="8" t="str">
        <f t="shared" si="68"/>
        <v>Post-1949</v>
      </c>
      <c r="L344" s="8">
        <f t="shared" si="69"/>
        <v>1993</v>
      </c>
      <c r="M344" s="8" t="str">
        <f t="shared" si="71"/>
        <v>1991-present</v>
      </c>
      <c r="N344" s="10" t="s">
        <v>242</v>
      </c>
      <c r="O344" s="10" t="s">
        <v>241</v>
      </c>
      <c r="P344" s="10" t="s">
        <v>242</v>
      </c>
      <c r="Q344" s="10" t="s">
        <v>242</v>
      </c>
      <c r="R344" s="10" t="s">
        <v>241</v>
      </c>
      <c r="S344" s="10" t="s">
        <v>242</v>
      </c>
      <c r="T344" s="10" t="s">
        <v>241</v>
      </c>
      <c r="U344" s="10" t="s">
        <v>241</v>
      </c>
      <c r="V344" s="10" t="s">
        <v>241</v>
      </c>
      <c r="W344" s="10" t="s">
        <v>242</v>
      </c>
      <c r="X344" s="15">
        <f>IF(ISERROR(VLOOKUP($A344,'13. Updated Demand'!A:Z,15,FALSE)),0,VLOOKUP($A344,'13. Updated Demand'!A:Z,15,FALSE))</f>
        <v>0</v>
      </c>
      <c r="Y344" s="16">
        <f>IF(ISERROR(VLOOKUP($A344,'13. Updated Demand'!A:Z,16,FALSE)),0,VLOOKUP($A344,'13. Updated Demand'!A:Z,16,FALSE))</f>
        <v>0</v>
      </c>
      <c r="Z344" s="16">
        <f>IF(ISERROR(VLOOKUP($A344,'13. Updated Demand'!A:Z,17,FALSE)),0,VLOOKUP($A344,'13. Updated Demand'!A:Z,17,FALSE))</f>
        <v>0</v>
      </c>
      <c r="AA344" s="16">
        <f>IF(ISERROR(VLOOKUP($A344,'13. Updated Demand'!A:Z,18,FALSE)),0,VLOOKUP($A344,'13. Updated Demand'!A:Z,18,FALSE))</f>
        <v>0</v>
      </c>
      <c r="AB344" s="16">
        <f>IF(ISERROR(VLOOKUP($A344,'13. Updated Demand'!A:Z,19,FALSE)),0,VLOOKUP($A344,'13. Updated Demand'!A:Z,19,FALSE))</f>
        <v>0</v>
      </c>
      <c r="AC344" s="16">
        <f>IF(ISERROR(VLOOKUP($A344,'13. Updated Demand'!A:Z,20,FALSE)),0,VLOOKUP($A344,'13. Updated Demand'!A:Z,20,FALSE))</f>
        <v>0</v>
      </c>
      <c r="AD344" s="16">
        <f>IF(ISERROR(VLOOKUP($A344,'13. Updated Demand'!A:Z,21,FALSE)),0,VLOOKUP($A344,'13. Updated Demand'!A:Z,21,FALSE))</f>
        <v>0</v>
      </c>
      <c r="AE344" s="16">
        <f>IF(ISERROR(VLOOKUP($A344,'13. Updated Demand'!A:Z,22,FALSE)),0,VLOOKUP($A344,'13. Updated Demand'!A:Z,22,FALSE))</f>
        <v>0</v>
      </c>
      <c r="AF344" s="16">
        <f>IF(ISERROR(VLOOKUP($A344,'13. Updated Demand'!A:Z,23,FALSE)),0,VLOOKUP($A344,'13. Updated Demand'!A:Z,23,FALSE))</f>
        <v>0</v>
      </c>
      <c r="AG344" s="16">
        <f>IF(ISERROR(VLOOKUP($A344,'13. Updated Demand'!A:Z,24,FALSE)),0,VLOOKUP($A344,'13. Updated Demand'!A:Z,24,FALSE))</f>
        <v>0</v>
      </c>
      <c r="AH344" s="16">
        <f>IF(ISERROR(VLOOKUP($A344,'13. Updated Demand'!A:Z,25,FALSE)),0,VLOOKUP($A344,'13. Updated Demand'!A:Z,25,FALSE))</f>
        <v>0</v>
      </c>
      <c r="AI344" s="16">
        <f>IF(ISERROR(VLOOKUP($A344,'13. Updated Demand'!A:Z,26,FALSE)),0,VLOOKUP($A344,'13. Updated Demand'!A:Z,26,FALSE))</f>
        <v>0</v>
      </c>
      <c r="AJ344" s="16">
        <f t="shared" si="72"/>
        <v>0</v>
      </c>
      <c r="AK344" s="19">
        <v>0</v>
      </c>
      <c r="AL344" s="16">
        <f t="shared" si="70"/>
        <v>0</v>
      </c>
      <c r="AM344" s="17">
        <v>0</v>
      </c>
      <c r="AN344" s="19"/>
      <c r="AO344" s="19"/>
      <c r="AP344" s="19">
        <v>17.3</v>
      </c>
      <c r="AQ344" s="19" t="s">
        <v>307</v>
      </c>
      <c r="AR344" s="9" t="s">
        <v>436</v>
      </c>
      <c r="AS344" s="12">
        <v>0</v>
      </c>
      <c r="AT344" s="19">
        <v>38.701166829999998</v>
      </c>
      <c r="AU344" s="19">
        <v>-122.82631035</v>
      </c>
      <c r="AV344" s="19" t="s">
        <v>417</v>
      </c>
    </row>
    <row r="345" spans="1:48" x14ac:dyDescent="0.25">
      <c r="A345" s="18" t="s">
        <v>722</v>
      </c>
      <c r="B345" s="10">
        <v>19930810</v>
      </c>
      <c r="C345" s="9">
        <v>10</v>
      </c>
      <c r="D345" s="8" t="str">
        <f t="shared" si="61"/>
        <v>N</v>
      </c>
      <c r="E345" s="8" t="str">
        <f t="shared" si="62"/>
        <v>Y</v>
      </c>
      <c r="F345" s="8" t="str">
        <f t="shared" si="63"/>
        <v>Y</v>
      </c>
      <c r="G345" s="8" t="str">
        <f t="shared" si="64"/>
        <v>Y</v>
      </c>
      <c r="H345" s="8" t="str">
        <f t="shared" si="65"/>
        <v>Upper</v>
      </c>
      <c r="I345" s="8" t="str">
        <f t="shared" si="66"/>
        <v>West Fork and Below Lake</v>
      </c>
      <c r="J345" s="8" t="str">
        <f t="shared" si="67"/>
        <v>Sonoma (d/s of Clov. Gage)</v>
      </c>
      <c r="K345" s="8" t="str">
        <f t="shared" si="68"/>
        <v>Post-1949</v>
      </c>
      <c r="L345" s="8">
        <f t="shared" si="69"/>
        <v>1993</v>
      </c>
      <c r="M345" s="8" t="str">
        <f t="shared" si="71"/>
        <v>1991-present</v>
      </c>
      <c r="N345" s="10" t="s">
        <v>241</v>
      </c>
      <c r="O345" s="10" t="s">
        <v>241</v>
      </c>
      <c r="P345" s="10" t="s">
        <v>242</v>
      </c>
      <c r="Q345" s="10" t="s">
        <v>242</v>
      </c>
      <c r="R345" s="10" t="s">
        <v>241</v>
      </c>
      <c r="S345" s="10" t="s">
        <v>242</v>
      </c>
      <c r="T345" s="10" t="s">
        <v>242</v>
      </c>
      <c r="U345" s="10" t="s">
        <v>241</v>
      </c>
      <c r="V345" s="10" t="s">
        <v>241</v>
      </c>
      <c r="W345" s="10" t="s">
        <v>242</v>
      </c>
      <c r="X345" s="15">
        <f>IF(ISERROR(VLOOKUP($A345,'13. Updated Demand'!A:Z,15,FALSE)),0,VLOOKUP($A345,'13. Updated Demand'!A:Z,15,FALSE))</f>
        <v>0</v>
      </c>
      <c r="Y345" s="16">
        <f>IF(ISERROR(VLOOKUP($A345,'13. Updated Demand'!A:Z,16,FALSE)),0,VLOOKUP($A345,'13. Updated Demand'!A:Z,16,FALSE))</f>
        <v>0</v>
      </c>
      <c r="Z345" s="16">
        <f>IF(ISERROR(VLOOKUP($A345,'13. Updated Demand'!A:Z,17,FALSE)),0,VLOOKUP($A345,'13. Updated Demand'!A:Z,17,FALSE))</f>
        <v>0</v>
      </c>
      <c r="AA345" s="16">
        <f>IF(ISERROR(VLOOKUP($A345,'13. Updated Demand'!A:Z,18,FALSE)),0,VLOOKUP($A345,'13. Updated Demand'!A:Z,18,FALSE))</f>
        <v>0</v>
      </c>
      <c r="AB345" s="16">
        <f>IF(ISERROR(VLOOKUP($A345,'13. Updated Demand'!A:Z,19,FALSE)),0,VLOOKUP($A345,'13. Updated Demand'!A:Z,19,FALSE))</f>
        <v>0</v>
      </c>
      <c r="AC345" s="16">
        <f>IF(ISERROR(VLOOKUP($A345,'13. Updated Demand'!A:Z,20,FALSE)),0,VLOOKUP($A345,'13. Updated Demand'!A:Z,20,FALSE))</f>
        <v>0</v>
      </c>
      <c r="AD345" s="16">
        <f>IF(ISERROR(VLOOKUP($A345,'13. Updated Demand'!A:Z,21,FALSE)),0,VLOOKUP($A345,'13. Updated Demand'!A:Z,21,FALSE))</f>
        <v>0</v>
      </c>
      <c r="AE345" s="16">
        <f>IF(ISERROR(VLOOKUP($A345,'13. Updated Demand'!A:Z,22,FALSE)),0,VLOOKUP($A345,'13. Updated Demand'!A:Z,22,FALSE))</f>
        <v>0</v>
      </c>
      <c r="AF345" s="16">
        <f>IF(ISERROR(VLOOKUP($A345,'13. Updated Demand'!A:Z,23,FALSE)),0,VLOOKUP($A345,'13. Updated Demand'!A:Z,23,FALSE))</f>
        <v>0</v>
      </c>
      <c r="AG345" s="16">
        <f>IF(ISERROR(VLOOKUP($A345,'13. Updated Demand'!A:Z,24,FALSE)),0,VLOOKUP($A345,'13. Updated Demand'!A:Z,24,FALSE))</f>
        <v>0</v>
      </c>
      <c r="AH345" s="16">
        <f>IF(ISERROR(VLOOKUP($A345,'13. Updated Demand'!A:Z,25,FALSE)),0,VLOOKUP($A345,'13. Updated Demand'!A:Z,25,FALSE))</f>
        <v>0</v>
      </c>
      <c r="AI345" s="16">
        <f>IF(ISERROR(VLOOKUP($A345,'13. Updated Demand'!A:Z,26,FALSE)),0,VLOOKUP($A345,'13. Updated Demand'!A:Z,26,FALSE))</f>
        <v>0</v>
      </c>
      <c r="AJ345" s="16">
        <f t="shared" si="72"/>
        <v>0</v>
      </c>
      <c r="AK345" s="19">
        <v>0</v>
      </c>
      <c r="AL345" s="16">
        <f t="shared" si="70"/>
        <v>0</v>
      </c>
      <c r="AM345" s="17">
        <v>0</v>
      </c>
      <c r="AN345" s="19"/>
      <c r="AO345" s="19"/>
      <c r="AP345" s="19">
        <v>9.8000000000000007</v>
      </c>
      <c r="AQ345" s="19" t="s">
        <v>307</v>
      </c>
      <c r="AR345" s="9" t="s">
        <v>436</v>
      </c>
      <c r="AS345" s="12">
        <v>0</v>
      </c>
      <c r="AT345" s="19">
        <v>38.672767780000001</v>
      </c>
      <c r="AU345" s="19">
        <v>-122.82317875</v>
      </c>
      <c r="AV345" s="19" t="s">
        <v>417</v>
      </c>
    </row>
    <row r="346" spans="1:48" x14ac:dyDescent="0.25">
      <c r="A346" s="18" t="s">
        <v>723</v>
      </c>
      <c r="B346" s="10">
        <v>19930826</v>
      </c>
      <c r="C346" s="9">
        <v>5</v>
      </c>
      <c r="D346" s="8" t="str">
        <f t="shared" si="61"/>
        <v>Y</v>
      </c>
      <c r="E346" s="8" t="str">
        <f t="shared" si="62"/>
        <v>N</v>
      </c>
      <c r="F346" s="8" t="str">
        <f t="shared" si="63"/>
        <v>Y</v>
      </c>
      <c r="G346" s="8" t="str">
        <f t="shared" si="64"/>
        <v>Y</v>
      </c>
      <c r="H346" s="8" t="str">
        <f t="shared" si="65"/>
        <v>Upper</v>
      </c>
      <c r="I346" s="8" t="str">
        <f t="shared" si="66"/>
        <v>West Fork and Below Lake</v>
      </c>
      <c r="J346" s="8" t="str">
        <f t="shared" si="67"/>
        <v>Mendocino (d/s of lake)</v>
      </c>
      <c r="K346" s="8" t="str">
        <f t="shared" si="68"/>
        <v>Post-1949</v>
      </c>
      <c r="L346" s="8">
        <f t="shared" si="69"/>
        <v>1993</v>
      </c>
      <c r="M346" s="8" t="str">
        <f t="shared" si="71"/>
        <v>1991-present</v>
      </c>
      <c r="N346" s="10" t="s">
        <v>241</v>
      </c>
      <c r="O346" s="10" t="s">
        <v>241</v>
      </c>
      <c r="P346" s="10" t="s">
        <v>242</v>
      </c>
      <c r="Q346" s="10" t="s">
        <v>242</v>
      </c>
      <c r="R346" s="10" t="s">
        <v>241</v>
      </c>
      <c r="S346" s="10" t="s">
        <v>242</v>
      </c>
      <c r="T346" s="10" t="s">
        <v>241</v>
      </c>
      <c r="U346" s="10" t="s">
        <v>241</v>
      </c>
      <c r="V346" s="10" t="s">
        <v>241</v>
      </c>
      <c r="W346" s="10" t="s">
        <v>242</v>
      </c>
      <c r="X346" s="15">
        <f>IF(ISERROR(VLOOKUP($A346,'13. Updated Demand'!A:Z,15,FALSE)),0,VLOOKUP($A346,'13. Updated Demand'!A:Z,15,FALSE))</f>
        <v>0</v>
      </c>
      <c r="Y346" s="16">
        <f>IF(ISERROR(VLOOKUP($A346,'13. Updated Demand'!A:Z,16,FALSE)),0,VLOOKUP($A346,'13. Updated Demand'!A:Z,16,FALSE))</f>
        <v>0</v>
      </c>
      <c r="Z346" s="16">
        <f>IF(ISERROR(VLOOKUP($A346,'13. Updated Demand'!A:Z,17,FALSE)),0,VLOOKUP($A346,'13. Updated Demand'!A:Z,17,FALSE))</f>
        <v>0</v>
      </c>
      <c r="AA346" s="16">
        <f>IF(ISERROR(VLOOKUP($A346,'13. Updated Demand'!A:Z,18,FALSE)),0,VLOOKUP($A346,'13. Updated Demand'!A:Z,18,FALSE))</f>
        <v>0</v>
      </c>
      <c r="AB346" s="16">
        <f>IF(ISERROR(VLOOKUP($A346,'13. Updated Demand'!A:Z,19,FALSE)),0,VLOOKUP($A346,'13. Updated Demand'!A:Z,19,FALSE))</f>
        <v>0</v>
      </c>
      <c r="AC346" s="16">
        <f>IF(ISERROR(VLOOKUP($A346,'13. Updated Demand'!A:Z,20,FALSE)),0,VLOOKUP($A346,'13. Updated Demand'!A:Z,20,FALSE))</f>
        <v>0</v>
      </c>
      <c r="AD346" s="16">
        <f>IF(ISERROR(VLOOKUP($A346,'13. Updated Demand'!A:Z,21,FALSE)),0,VLOOKUP($A346,'13. Updated Demand'!A:Z,21,FALSE))</f>
        <v>0</v>
      </c>
      <c r="AE346" s="16">
        <f>IF(ISERROR(VLOOKUP($A346,'13. Updated Demand'!A:Z,22,FALSE)),0,VLOOKUP($A346,'13. Updated Demand'!A:Z,22,FALSE))</f>
        <v>0</v>
      </c>
      <c r="AF346" s="16">
        <f>IF(ISERROR(VLOOKUP($A346,'13. Updated Demand'!A:Z,23,FALSE)),0,VLOOKUP($A346,'13. Updated Demand'!A:Z,23,FALSE))</f>
        <v>0</v>
      </c>
      <c r="AG346" s="16">
        <f>IF(ISERROR(VLOOKUP($A346,'13. Updated Demand'!A:Z,24,FALSE)),0,VLOOKUP($A346,'13. Updated Demand'!A:Z,24,FALSE))</f>
        <v>0</v>
      </c>
      <c r="AH346" s="16">
        <f>IF(ISERROR(VLOOKUP($A346,'13. Updated Demand'!A:Z,25,FALSE)),0,VLOOKUP($A346,'13. Updated Demand'!A:Z,25,FALSE))</f>
        <v>0</v>
      </c>
      <c r="AI346" s="16">
        <f>IF(ISERROR(VLOOKUP($A346,'13. Updated Demand'!A:Z,26,FALSE)),0,VLOOKUP($A346,'13. Updated Demand'!A:Z,26,FALSE))</f>
        <v>0</v>
      </c>
      <c r="AJ346" s="16">
        <f t="shared" si="72"/>
        <v>0</v>
      </c>
      <c r="AK346" s="19">
        <v>0</v>
      </c>
      <c r="AL346" s="16">
        <f t="shared" si="70"/>
        <v>0</v>
      </c>
      <c r="AM346" s="17">
        <v>0</v>
      </c>
      <c r="AN346" s="19"/>
      <c r="AO346" s="19"/>
      <c r="AP346" s="19">
        <v>17</v>
      </c>
      <c r="AQ346" s="19" t="s">
        <v>307</v>
      </c>
      <c r="AR346" s="9" t="s">
        <v>333</v>
      </c>
      <c r="AS346" s="12">
        <v>3.4039024194010059E-4</v>
      </c>
      <c r="AT346" s="19">
        <v>39.04460907</v>
      </c>
      <c r="AU346" s="19">
        <v>-123.1441781</v>
      </c>
      <c r="AV346" s="19" t="s">
        <v>417</v>
      </c>
    </row>
    <row r="347" spans="1:48" x14ac:dyDescent="0.25">
      <c r="A347" s="18" t="s">
        <v>724</v>
      </c>
      <c r="B347" s="10">
        <v>19930308</v>
      </c>
      <c r="C347" s="9">
        <v>23</v>
      </c>
      <c r="D347" s="8" t="str">
        <f t="shared" si="61"/>
        <v>N</v>
      </c>
      <c r="E347" s="8" t="str">
        <f t="shared" si="62"/>
        <v>N</v>
      </c>
      <c r="F347" s="8" t="str">
        <f t="shared" si="63"/>
        <v>N</v>
      </c>
      <c r="G347" s="8" t="str">
        <f t="shared" si="64"/>
        <v>N</v>
      </c>
      <c r="H347" s="8" t="str">
        <f t="shared" si="65"/>
        <v>Lower</v>
      </c>
      <c r="I347" s="8" t="str">
        <f t="shared" si="66"/>
        <v>Outside</v>
      </c>
      <c r="J347" s="8" t="str">
        <f t="shared" si="67"/>
        <v>Outside</v>
      </c>
      <c r="K347" s="8" t="str">
        <f t="shared" si="68"/>
        <v>Post-1949</v>
      </c>
      <c r="L347" s="8">
        <f t="shared" si="69"/>
        <v>1993</v>
      </c>
      <c r="M347" s="8" t="str">
        <f t="shared" si="71"/>
        <v>1991-present</v>
      </c>
      <c r="N347" s="10" t="s">
        <v>242</v>
      </c>
      <c r="O347" s="10" t="s">
        <v>242</v>
      </c>
      <c r="P347" s="10" t="s">
        <v>242</v>
      </c>
      <c r="Q347" s="10" t="s">
        <v>242</v>
      </c>
      <c r="R347" s="10" t="s">
        <v>241</v>
      </c>
      <c r="S347" s="10" t="s">
        <v>242</v>
      </c>
      <c r="T347" s="10" t="s">
        <v>241</v>
      </c>
      <c r="U347" s="10" t="s">
        <v>241</v>
      </c>
      <c r="V347" s="10" t="s">
        <v>241</v>
      </c>
      <c r="W347" s="10" t="s">
        <v>242</v>
      </c>
      <c r="X347" s="15">
        <f>IF(ISERROR(VLOOKUP($A347,'13. Updated Demand'!A:Z,15,FALSE)),0,VLOOKUP($A347,'13. Updated Demand'!A:Z,15,FALSE))</f>
        <v>0</v>
      </c>
      <c r="Y347" s="16">
        <f>IF(ISERROR(VLOOKUP($A347,'13. Updated Demand'!A:Z,16,FALSE)),0,VLOOKUP($A347,'13. Updated Demand'!A:Z,16,FALSE))</f>
        <v>0</v>
      </c>
      <c r="Z347" s="16">
        <f>IF(ISERROR(VLOOKUP($A347,'13. Updated Demand'!A:Z,17,FALSE)),0,VLOOKUP($A347,'13. Updated Demand'!A:Z,17,FALSE))</f>
        <v>0</v>
      </c>
      <c r="AA347" s="16">
        <f>IF(ISERROR(VLOOKUP($A347,'13. Updated Demand'!A:Z,18,FALSE)),0,VLOOKUP($A347,'13. Updated Demand'!A:Z,18,FALSE))</f>
        <v>0</v>
      </c>
      <c r="AB347" s="16">
        <f>IF(ISERROR(VLOOKUP($A347,'13. Updated Demand'!A:Z,19,FALSE)),0,VLOOKUP($A347,'13. Updated Demand'!A:Z,19,FALSE))</f>
        <v>0</v>
      </c>
      <c r="AC347" s="16">
        <f>IF(ISERROR(VLOOKUP($A347,'13. Updated Demand'!A:Z,20,FALSE)),0,VLOOKUP($A347,'13. Updated Demand'!A:Z,20,FALSE))</f>
        <v>0</v>
      </c>
      <c r="AD347" s="16">
        <f>IF(ISERROR(VLOOKUP($A347,'13. Updated Demand'!A:Z,21,FALSE)),0,VLOOKUP($A347,'13. Updated Demand'!A:Z,21,FALSE))</f>
        <v>0</v>
      </c>
      <c r="AE347" s="16">
        <f>IF(ISERROR(VLOOKUP($A347,'13. Updated Demand'!A:Z,22,FALSE)),0,VLOOKUP($A347,'13. Updated Demand'!A:Z,22,FALSE))</f>
        <v>0</v>
      </c>
      <c r="AF347" s="16">
        <f>IF(ISERROR(VLOOKUP($A347,'13. Updated Demand'!A:Z,23,FALSE)),0,VLOOKUP($A347,'13. Updated Demand'!A:Z,23,FALSE))</f>
        <v>0</v>
      </c>
      <c r="AG347" s="16">
        <f>IF(ISERROR(VLOOKUP($A347,'13. Updated Demand'!A:Z,24,FALSE)),0,VLOOKUP($A347,'13. Updated Demand'!A:Z,24,FALSE))</f>
        <v>0</v>
      </c>
      <c r="AH347" s="16">
        <f>IF(ISERROR(VLOOKUP($A347,'13. Updated Demand'!A:Z,25,FALSE)),0,VLOOKUP($A347,'13. Updated Demand'!A:Z,25,FALSE))</f>
        <v>0</v>
      </c>
      <c r="AI347" s="16">
        <f>IF(ISERROR(VLOOKUP($A347,'13. Updated Demand'!A:Z,26,FALSE)),0,VLOOKUP($A347,'13. Updated Demand'!A:Z,26,FALSE))</f>
        <v>0</v>
      </c>
      <c r="AJ347" s="16">
        <f t="shared" si="72"/>
        <v>0</v>
      </c>
      <c r="AK347" s="19">
        <v>0</v>
      </c>
      <c r="AL347" s="16">
        <f t="shared" si="70"/>
        <v>0</v>
      </c>
      <c r="AM347" s="17">
        <v>0</v>
      </c>
      <c r="AN347" s="19"/>
      <c r="AO347" s="19"/>
      <c r="AP347" s="19">
        <v>10</v>
      </c>
      <c r="AQ347" s="19" t="s">
        <v>307</v>
      </c>
      <c r="AR347" s="9" t="s">
        <v>725</v>
      </c>
      <c r="AS347" s="12">
        <v>3.4039024194010059E-4</v>
      </c>
      <c r="AT347" s="19">
        <v>38.481994360000002</v>
      </c>
      <c r="AU347" s="19">
        <v>-122.72997474</v>
      </c>
      <c r="AV347" s="19" t="s">
        <v>417</v>
      </c>
    </row>
    <row r="348" spans="1:48" x14ac:dyDescent="0.25">
      <c r="A348" s="18" t="s">
        <v>726</v>
      </c>
      <c r="B348" s="10">
        <v>19930510</v>
      </c>
      <c r="C348" s="9">
        <v>6</v>
      </c>
      <c r="D348" s="8" t="str">
        <f t="shared" si="61"/>
        <v>Y</v>
      </c>
      <c r="E348" s="8" t="str">
        <f t="shared" si="62"/>
        <v>N</v>
      </c>
      <c r="F348" s="8" t="str">
        <f t="shared" si="63"/>
        <v>Y</v>
      </c>
      <c r="G348" s="8" t="str">
        <f t="shared" si="64"/>
        <v>Y</v>
      </c>
      <c r="H348" s="8" t="str">
        <f t="shared" si="65"/>
        <v>Upper</v>
      </c>
      <c r="I348" s="8" t="str">
        <f t="shared" si="66"/>
        <v>West Fork and Below Lake</v>
      </c>
      <c r="J348" s="8" t="str">
        <f t="shared" si="67"/>
        <v>Mendocino (d/s of lake)</v>
      </c>
      <c r="K348" s="8" t="str">
        <f t="shared" si="68"/>
        <v>Post-1949</v>
      </c>
      <c r="L348" s="8">
        <f t="shared" si="69"/>
        <v>1993</v>
      </c>
      <c r="M348" s="8" t="str">
        <f t="shared" si="71"/>
        <v>1991-present</v>
      </c>
      <c r="N348" s="10" t="s">
        <v>241</v>
      </c>
      <c r="O348" s="10" t="s">
        <v>241</v>
      </c>
      <c r="P348" s="10" t="s">
        <v>242</v>
      </c>
      <c r="Q348" s="10" t="s">
        <v>242</v>
      </c>
      <c r="R348" s="10" t="s">
        <v>241</v>
      </c>
      <c r="S348" s="10" t="s">
        <v>242</v>
      </c>
      <c r="T348" s="10" t="s">
        <v>241</v>
      </c>
      <c r="U348" s="10" t="s">
        <v>241</v>
      </c>
      <c r="V348" s="10" t="s">
        <v>241</v>
      </c>
      <c r="W348" s="10" t="s">
        <v>242</v>
      </c>
      <c r="X348" s="15">
        <f>IF(ISERROR(VLOOKUP($A348,'13. Updated Demand'!A:Z,15,FALSE)),0,VLOOKUP($A348,'13. Updated Demand'!A:Z,15,FALSE))</f>
        <v>0</v>
      </c>
      <c r="Y348" s="16">
        <f>IF(ISERROR(VLOOKUP($A348,'13. Updated Demand'!A:Z,16,FALSE)),0,VLOOKUP($A348,'13. Updated Demand'!A:Z,16,FALSE))</f>
        <v>0</v>
      </c>
      <c r="Z348" s="16">
        <f>IF(ISERROR(VLOOKUP($A348,'13. Updated Demand'!A:Z,17,FALSE)),0,VLOOKUP($A348,'13. Updated Demand'!A:Z,17,FALSE))</f>
        <v>0</v>
      </c>
      <c r="AA348" s="16">
        <f>IF(ISERROR(VLOOKUP($A348,'13. Updated Demand'!A:Z,18,FALSE)),0,VLOOKUP($A348,'13. Updated Demand'!A:Z,18,FALSE))</f>
        <v>0</v>
      </c>
      <c r="AB348" s="16">
        <f>IF(ISERROR(VLOOKUP($A348,'13. Updated Demand'!A:Z,19,FALSE)),0,VLOOKUP($A348,'13. Updated Demand'!A:Z,19,FALSE))</f>
        <v>0</v>
      </c>
      <c r="AC348" s="16">
        <f>IF(ISERROR(VLOOKUP($A348,'13. Updated Demand'!A:Z,20,FALSE)),0,VLOOKUP($A348,'13. Updated Demand'!A:Z,20,FALSE))</f>
        <v>0</v>
      </c>
      <c r="AD348" s="16">
        <f>IF(ISERROR(VLOOKUP($A348,'13. Updated Demand'!A:Z,21,FALSE)),0,VLOOKUP($A348,'13. Updated Demand'!A:Z,21,FALSE))</f>
        <v>0</v>
      </c>
      <c r="AE348" s="16">
        <f>IF(ISERROR(VLOOKUP($A348,'13. Updated Demand'!A:Z,22,FALSE)),0,VLOOKUP($A348,'13. Updated Demand'!A:Z,22,FALSE))</f>
        <v>0</v>
      </c>
      <c r="AF348" s="16">
        <f>IF(ISERROR(VLOOKUP($A348,'13. Updated Demand'!A:Z,23,FALSE)),0,VLOOKUP($A348,'13. Updated Demand'!A:Z,23,FALSE))</f>
        <v>0</v>
      </c>
      <c r="AG348" s="16">
        <f>IF(ISERROR(VLOOKUP($A348,'13. Updated Demand'!A:Z,24,FALSE)),0,VLOOKUP($A348,'13. Updated Demand'!A:Z,24,FALSE))</f>
        <v>0</v>
      </c>
      <c r="AH348" s="16">
        <f>IF(ISERROR(VLOOKUP($A348,'13. Updated Demand'!A:Z,25,FALSE)),0,VLOOKUP($A348,'13. Updated Demand'!A:Z,25,FALSE))</f>
        <v>0</v>
      </c>
      <c r="AI348" s="16">
        <f>IF(ISERROR(VLOOKUP($A348,'13. Updated Demand'!A:Z,26,FALSE)),0,VLOOKUP($A348,'13. Updated Demand'!A:Z,26,FALSE))</f>
        <v>0</v>
      </c>
      <c r="AJ348" s="16">
        <f t="shared" si="72"/>
        <v>0</v>
      </c>
      <c r="AK348" s="19">
        <v>0</v>
      </c>
      <c r="AL348" s="16">
        <f t="shared" si="70"/>
        <v>0</v>
      </c>
      <c r="AM348" s="17">
        <v>0</v>
      </c>
      <c r="AN348" s="19"/>
      <c r="AO348" s="19"/>
      <c r="AP348" s="19">
        <v>322.7</v>
      </c>
      <c r="AQ348" s="19" t="s">
        <v>307</v>
      </c>
      <c r="AR348" s="9" t="s">
        <v>319</v>
      </c>
      <c r="AS348" s="12">
        <v>0</v>
      </c>
      <c r="AT348" s="19">
        <v>38.971927110000003</v>
      </c>
      <c r="AU348" s="19">
        <v>-123.1063029</v>
      </c>
      <c r="AV348" s="19" t="s">
        <v>387</v>
      </c>
    </row>
    <row r="349" spans="1:48" ht="13.5" customHeight="1" x14ac:dyDescent="0.25">
      <c r="A349" s="18" t="s">
        <v>727</v>
      </c>
      <c r="B349" s="10">
        <v>19930204</v>
      </c>
      <c r="C349" s="9">
        <v>13</v>
      </c>
      <c r="D349" s="8" t="str">
        <f t="shared" si="61"/>
        <v>N</v>
      </c>
      <c r="E349" s="8" t="str">
        <f t="shared" si="62"/>
        <v>Y</v>
      </c>
      <c r="F349" s="8" t="str">
        <f t="shared" si="63"/>
        <v>Y</v>
      </c>
      <c r="G349" s="8" t="str">
        <f t="shared" si="64"/>
        <v>Y</v>
      </c>
      <c r="H349" s="8" t="str">
        <f t="shared" si="65"/>
        <v>Upper</v>
      </c>
      <c r="I349" s="8" t="str">
        <f t="shared" si="66"/>
        <v>West Fork and Below Lake</v>
      </c>
      <c r="J349" s="8" t="str">
        <f t="shared" si="67"/>
        <v>Sonoma (d/s of Clov. Gage)</v>
      </c>
      <c r="K349" s="8" t="str">
        <f t="shared" si="68"/>
        <v>Post-1949</v>
      </c>
      <c r="L349" s="8">
        <f t="shared" si="69"/>
        <v>1993</v>
      </c>
      <c r="M349" s="8" t="str">
        <f t="shared" si="71"/>
        <v>1991-present</v>
      </c>
      <c r="N349" s="10" t="s">
        <v>241</v>
      </c>
      <c r="O349" s="10" t="s">
        <v>241</v>
      </c>
      <c r="P349" s="10" t="s">
        <v>242</v>
      </c>
      <c r="Q349" s="10" t="s">
        <v>242</v>
      </c>
      <c r="R349" s="10" t="s">
        <v>241</v>
      </c>
      <c r="S349" s="10" t="s">
        <v>242</v>
      </c>
      <c r="T349" s="10" t="s">
        <v>242</v>
      </c>
      <c r="U349" s="10" t="s">
        <v>242</v>
      </c>
      <c r="V349" s="10" t="s">
        <v>242</v>
      </c>
      <c r="W349" s="10" t="s">
        <v>242</v>
      </c>
      <c r="X349" s="15">
        <f>IF(ISERROR(VLOOKUP($A349,'13. Updated Demand'!A:Z,15,FALSE)),0,VLOOKUP($A349,'13. Updated Demand'!A:Z,15,FALSE))</f>
        <v>0.08</v>
      </c>
      <c r="Y349" s="16">
        <f>IF(ISERROR(VLOOKUP($A349,'13. Updated Demand'!A:Z,16,FALSE)),0,VLOOKUP($A349,'13. Updated Demand'!A:Z,16,FALSE))</f>
        <v>0.08</v>
      </c>
      <c r="Z349" s="16">
        <f>IF(ISERROR(VLOOKUP($A349,'13. Updated Demand'!A:Z,17,FALSE)),0,VLOOKUP($A349,'13. Updated Demand'!A:Z,17,FALSE))</f>
        <v>0.08</v>
      </c>
      <c r="AA349" s="16">
        <f>IF(ISERROR(VLOOKUP($A349,'13. Updated Demand'!A:Z,18,FALSE)),0,VLOOKUP($A349,'13. Updated Demand'!A:Z,18,FALSE))</f>
        <v>0.08</v>
      </c>
      <c r="AB349" s="16">
        <f>IF(ISERROR(VLOOKUP($A349,'13. Updated Demand'!A:Z,19,FALSE)),0,VLOOKUP($A349,'13. Updated Demand'!A:Z,19,FALSE))</f>
        <v>0.08</v>
      </c>
      <c r="AC349" s="16">
        <f>IF(ISERROR(VLOOKUP($A349,'13. Updated Demand'!A:Z,20,FALSE)),0,VLOOKUP($A349,'13. Updated Demand'!A:Z,20,FALSE))</f>
        <v>0.08</v>
      </c>
      <c r="AD349" s="16">
        <f>IF(ISERROR(VLOOKUP($A349,'13. Updated Demand'!A:Z,21,FALSE)),0,VLOOKUP($A349,'13. Updated Demand'!A:Z,21,FALSE))</f>
        <v>0.08</v>
      </c>
      <c r="AE349" s="16">
        <f>IF(ISERROR(VLOOKUP($A349,'13. Updated Demand'!A:Z,22,FALSE)),0,VLOOKUP($A349,'13. Updated Demand'!A:Z,22,FALSE))</f>
        <v>0.08</v>
      </c>
      <c r="AF349" s="16">
        <f>IF(ISERROR(VLOOKUP($A349,'13. Updated Demand'!A:Z,23,FALSE)),0,VLOOKUP($A349,'13. Updated Demand'!A:Z,23,FALSE))</f>
        <v>0.08</v>
      </c>
      <c r="AG349" s="16">
        <f>IF(ISERROR(VLOOKUP($A349,'13. Updated Demand'!A:Z,24,FALSE)),0,VLOOKUP($A349,'13. Updated Demand'!A:Z,24,FALSE))</f>
        <v>0.08</v>
      </c>
      <c r="AH349" s="16">
        <f>IF(ISERROR(VLOOKUP($A349,'13. Updated Demand'!A:Z,25,FALSE)),0,VLOOKUP($A349,'13. Updated Demand'!A:Z,25,FALSE))</f>
        <v>0.08</v>
      </c>
      <c r="AI349" s="16">
        <f>IF(ISERROR(VLOOKUP($A349,'13. Updated Demand'!A:Z,26,FALSE)),0,VLOOKUP($A349,'13. Updated Demand'!A:Z,26,FALSE))</f>
        <v>0.08</v>
      </c>
      <c r="AJ349" s="16">
        <f t="shared" si="72"/>
        <v>0.95999999999999985</v>
      </c>
      <c r="AK349" s="19">
        <v>0.40734999999999999</v>
      </c>
      <c r="AL349" s="16">
        <f t="shared" si="70"/>
        <v>1.3511335484745256E-3</v>
      </c>
      <c r="AM349" s="17">
        <v>0.97764000000000018</v>
      </c>
      <c r="AN349" s="19"/>
      <c r="AO349" s="19"/>
      <c r="AP349" s="19">
        <v>1</v>
      </c>
      <c r="AQ349" s="19" t="s">
        <v>307</v>
      </c>
      <c r="AR349" s="9" t="s">
        <v>507</v>
      </c>
      <c r="AS349" s="12">
        <v>3.4039024194010059E-4</v>
      </c>
      <c r="AT349" s="19">
        <v>38.6149165</v>
      </c>
      <c r="AU349" s="19">
        <v>-122.8298612</v>
      </c>
      <c r="AV349" s="19" t="s">
        <v>548</v>
      </c>
    </row>
    <row r="350" spans="1:48" x14ac:dyDescent="0.25">
      <c r="A350" s="18" t="s">
        <v>728</v>
      </c>
      <c r="B350" s="10">
        <v>19930512</v>
      </c>
      <c r="C350" s="9">
        <v>21</v>
      </c>
      <c r="D350" s="8" t="str">
        <f t="shared" si="61"/>
        <v>N</v>
      </c>
      <c r="E350" s="8" t="str">
        <f t="shared" si="62"/>
        <v>N</v>
      </c>
      <c r="F350" s="8" t="str">
        <f t="shared" si="63"/>
        <v>N</v>
      </c>
      <c r="G350" s="8" t="str">
        <f t="shared" si="64"/>
        <v>N</v>
      </c>
      <c r="H350" s="8" t="str">
        <f t="shared" si="65"/>
        <v>Lower</v>
      </c>
      <c r="I350" s="8" t="str">
        <f t="shared" si="66"/>
        <v>Outside</v>
      </c>
      <c r="J350" s="8" t="str">
        <f t="shared" si="67"/>
        <v>Outside</v>
      </c>
      <c r="K350" s="8" t="str">
        <f t="shared" si="68"/>
        <v>Post-1949</v>
      </c>
      <c r="L350" s="8">
        <f t="shared" si="69"/>
        <v>1993</v>
      </c>
      <c r="M350" s="8" t="str">
        <f t="shared" si="71"/>
        <v>1991-present</v>
      </c>
      <c r="N350" s="10" t="s">
        <v>242</v>
      </c>
      <c r="O350" s="10" t="s">
        <v>242</v>
      </c>
      <c r="P350" s="10" t="s">
        <v>242</v>
      </c>
      <c r="Q350" s="10" t="s">
        <v>242</v>
      </c>
      <c r="R350" s="10" t="s">
        <v>241</v>
      </c>
      <c r="S350" s="10" t="s">
        <v>242</v>
      </c>
      <c r="T350" s="10" t="s">
        <v>241</v>
      </c>
      <c r="U350" s="10" t="s">
        <v>241</v>
      </c>
      <c r="V350" s="10" t="s">
        <v>241</v>
      </c>
      <c r="W350" s="10" t="s">
        <v>242</v>
      </c>
      <c r="X350" s="15">
        <f>IF(ISERROR(VLOOKUP($A350,'13. Updated Demand'!A:Z,15,FALSE)),0,VLOOKUP($A350,'13. Updated Demand'!A:Z,15,FALSE))</f>
        <v>0</v>
      </c>
      <c r="Y350" s="16">
        <f>IF(ISERROR(VLOOKUP($A350,'13. Updated Demand'!A:Z,16,FALSE)),0,VLOOKUP($A350,'13. Updated Demand'!A:Z,16,FALSE))</f>
        <v>0</v>
      </c>
      <c r="Z350" s="16">
        <f>IF(ISERROR(VLOOKUP($A350,'13. Updated Demand'!A:Z,17,FALSE)),0,VLOOKUP($A350,'13. Updated Demand'!A:Z,17,FALSE))</f>
        <v>0</v>
      </c>
      <c r="AA350" s="16">
        <f>IF(ISERROR(VLOOKUP($A350,'13. Updated Demand'!A:Z,18,FALSE)),0,VLOOKUP($A350,'13. Updated Demand'!A:Z,18,FALSE))</f>
        <v>0</v>
      </c>
      <c r="AB350" s="16">
        <f>IF(ISERROR(VLOOKUP($A350,'13. Updated Demand'!A:Z,19,FALSE)),0,VLOOKUP($A350,'13. Updated Demand'!A:Z,19,FALSE))</f>
        <v>0</v>
      </c>
      <c r="AC350" s="16">
        <f>IF(ISERROR(VLOOKUP($A350,'13. Updated Demand'!A:Z,20,FALSE)),0,VLOOKUP($A350,'13. Updated Demand'!A:Z,20,FALSE))</f>
        <v>0</v>
      </c>
      <c r="AD350" s="16">
        <f>IF(ISERROR(VLOOKUP($A350,'13. Updated Demand'!A:Z,21,FALSE)),0,VLOOKUP($A350,'13. Updated Demand'!A:Z,21,FALSE))</f>
        <v>0</v>
      </c>
      <c r="AE350" s="16">
        <f>IF(ISERROR(VLOOKUP($A350,'13. Updated Demand'!A:Z,22,FALSE)),0,VLOOKUP($A350,'13. Updated Demand'!A:Z,22,FALSE))</f>
        <v>0</v>
      </c>
      <c r="AF350" s="16">
        <f>IF(ISERROR(VLOOKUP($A350,'13. Updated Demand'!A:Z,23,FALSE)),0,VLOOKUP($A350,'13. Updated Demand'!A:Z,23,FALSE))</f>
        <v>0</v>
      </c>
      <c r="AG350" s="16">
        <f>IF(ISERROR(VLOOKUP($A350,'13. Updated Demand'!A:Z,24,FALSE)),0,VLOOKUP($A350,'13. Updated Demand'!A:Z,24,FALSE))</f>
        <v>0</v>
      </c>
      <c r="AH350" s="16">
        <f>IF(ISERROR(VLOOKUP($A350,'13. Updated Demand'!A:Z,25,FALSE)),0,VLOOKUP($A350,'13. Updated Demand'!A:Z,25,FALSE))</f>
        <v>0</v>
      </c>
      <c r="AI350" s="16">
        <f>IF(ISERROR(VLOOKUP($A350,'13. Updated Demand'!A:Z,26,FALSE)),0,VLOOKUP($A350,'13. Updated Demand'!A:Z,26,FALSE))</f>
        <v>0</v>
      </c>
      <c r="AJ350" s="16">
        <f t="shared" si="72"/>
        <v>0</v>
      </c>
      <c r="AK350" s="19">
        <v>0</v>
      </c>
      <c r="AL350" s="16">
        <f t="shared" si="70"/>
        <v>0</v>
      </c>
      <c r="AM350" s="17">
        <v>0</v>
      </c>
      <c r="AN350" s="19"/>
      <c r="AO350" s="19"/>
      <c r="AP350" s="19">
        <v>2</v>
      </c>
      <c r="AQ350" s="19" t="s">
        <v>307</v>
      </c>
      <c r="AR350" s="9" t="s">
        <v>403</v>
      </c>
      <c r="AS350" s="12">
        <v>3.4039024194010059E-4</v>
      </c>
      <c r="AT350" s="19">
        <v>38.426581040000002</v>
      </c>
      <c r="AU350" s="19">
        <v>-122.98249763</v>
      </c>
      <c r="AV350" s="19" t="s">
        <v>417</v>
      </c>
    </row>
    <row r="351" spans="1:48" x14ac:dyDescent="0.25">
      <c r="A351" s="18" t="s">
        <v>729</v>
      </c>
      <c r="B351" s="10">
        <v>19930928</v>
      </c>
      <c r="C351" s="9">
        <v>9</v>
      </c>
      <c r="D351" s="8" t="str">
        <f t="shared" si="61"/>
        <v>N</v>
      </c>
      <c r="E351" s="8" t="str">
        <f t="shared" si="62"/>
        <v>Y</v>
      </c>
      <c r="F351" s="8" t="str">
        <f t="shared" si="63"/>
        <v>Y</v>
      </c>
      <c r="G351" s="8" t="str">
        <f t="shared" si="64"/>
        <v>Y</v>
      </c>
      <c r="H351" s="8" t="str">
        <f t="shared" si="65"/>
        <v>Upper</v>
      </c>
      <c r="I351" s="8" t="str">
        <f t="shared" si="66"/>
        <v>West Fork and Below Lake</v>
      </c>
      <c r="J351" s="8" t="str">
        <f t="shared" si="67"/>
        <v>Sonoma (d/s of Clov. Gage)</v>
      </c>
      <c r="K351" s="8" t="str">
        <f t="shared" si="68"/>
        <v>Post-1949</v>
      </c>
      <c r="L351" s="8">
        <f t="shared" si="69"/>
        <v>1993</v>
      </c>
      <c r="M351" s="8" t="str">
        <f t="shared" si="71"/>
        <v>1991-present</v>
      </c>
      <c r="N351" s="10" t="s">
        <v>241</v>
      </c>
      <c r="O351" s="10" t="s">
        <v>241</v>
      </c>
      <c r="P351" s="10" t="s">
        <v>242</v>
      </c>
      <c r="Q351" s="10" t="s">
        <v>242</v>
      </c>
      <c r="R351" s="10" t="s">
        <v>241</v>
      </c>
      <c r="S351" s="10" t="s">
        <v>242</v>
      </c>
      <c r="T351" s="10" t="s">
        <v>242</v>
      </c>
      <c r="U351" s="10" t="s">
        <v>242</v>
      </c>
      <c r="V351" s="10" t="s">
        <v>241</v>
      </c>
      <c r="W351" s="10" t="s">
        <v>242</v>
      </c>
      <c r="X351" s="15">
        <f>IF(ISERROR(VLOOKUP($A351,'13. Updated Demand'!A:Z,15,FALSE)),0,VLOOKUP($A351,'13. Updated Demand'!A:Z,15,FALSE))</f>
        <v>0.05</v>
      </c>
      <c r="Y351" s="16">
        <f>IF(ISERROR(VLOOKUP($A351,'13. Updated Demand'!A:Z,16,FALSE)),0,VLOOKUP($A351,'13. Updated Demand'!A:Z,16,FALSE))</f>
        <v>0.05</v>
      </c>
      <c r="Z351" s="16">
        <f>IF(ISERROR(VLOOKUP($A351,'13. Updated Demand'!A:Z,17,FALSE)),0,VLOOKUP($A351,'13. Updated Demand'!A:Z,17,FALSE))</f>
        <v>0.03</v>
      </c>
      <c r="AA351" s="16">
        <f>IF(ISERROR(VLOOKUP($A351,'13. Updated Demand'!A:Z,18,FALSE)),0,VLOOKUP($A351,'13. Updated Demand'!A:Z,18,FALSE))</f>
        <v>0.01</v>
      </c>
      <c r="AB351" s="16">
        <f>IF(ISERROR(VLOOKUP($A351,'13. Updated Demand'!A:Z,19,FALSE)),0,VLOOKUP($A351,'13. Updated Demand'!A:Z,19,FALSE))</f>
        <v>0</v>
      </c>
      <c r="AC351" s="16">
        <f>IF(ISERROR(VLOOKUP($A351,'13. Updated Demand'!A:Z,20,FALSE)),0,VLOOKUP($A351,'13. Updated Demand'!A:Z,20,FALSE))</f>
        <v>0</v>
      </c>
      <c r="AD351" s="16">
        <f>IF(ISERROR(VLOOKUP($A351,'13. Updated Demand'!A:Z,21,FALSE)),0,VLOOKUP($A351,'13. Updated Demand'!A:Z,21,FALSE))</f>
        <v>0</v>
      </c>
      <c r="AE351" s="16">
        <f>IF(ISERROR(VLOOKUP($A351,'13. Updated Demand'!A:Z,22,FALSE)),0,VLOOKUP($A351,'13. Updated Demand'!A:Z,22,FALSE))</f>
        <v>0</v>
      </c>
      <c r="AF351" s="16">
        <f>IF(ISERROR(VLOOKUP($A351,'13. Updated Demand'!A:Z,23,FALSE)),0,VLOOKUP($A351,'13. Updated Demand'!A:Z,23,FALSE))</f>
        <v>0</v>
      </c>
      <c r="AG351" s="16">
        <f>IF(ISERROR(VLOOKUP($A351,'13. Updated Demand'!A:Z,24,FALSE)),0,VLOOKUP($A351,'13. Updated Demand'!A:Z,24,FALSE))</f>
        <v>0.03</v>
      </c>
      <c r="AH351" s="16">
        <f>IF(ISERROR(VLOOKUP($A351,'13. Updated Demand'!A:Z,25,FALSE)),0,VLOOKUP($A351,'13. Updated Demand'!A:Z,25,FALSE))</f>
        <v>0.05</v>
      </c>
      <c r="AI351" s="16">
        <f>IF(ISERROR(VLOOKUP($A351,'13. Updated Demand'!A:Z,26,FALSE)),0,VLOOKUP($A351,'13. Updated Demand'!A:Z,26,FALSE))</f>
        <v>0.05</v>
      </c>
      <c r="AJ351" s="16">
        <f t="shared" si="72"/>
        <v>0.27</v>
      </c>
      <c r="AK351" s="19">
        <v>0</v>
      </c>
      <c r="AL351" s="16">
        <f t="shared" si="70"/>
        <v>0</v>
      </c>
      <c r="AM351" s="17">
        <v>2.7333333333333331E-2</v>
      </c>
      <c r="AN351" s="19"/>
      <c r="AO351" s="19"/>
      <c r="AP351" s="19">
        <v>10</v>
      </c>
      <c r="AQ351" s="19" t="s">
        <v>307</v>
      </c>
      <c r="AR351" s="9" t="s">
        <v>354</v>
      </c>
      <c r="AS351" s="12">
        <v>3.4039024194010059E-4</v>
      </c>
      <c r="AT351" s="19">
        <v>38.748801610000001</v>
      </c>
      <c r="AU351" s="19">
        <v>-122.9531025</v>
      </c>
      <c r="AV351" s="19" t="s">
        <v>417</v>
      </c>
    </row>
    <row r="352" spans="1:48" x14ac:dyDescent="0.25">
      <c r="A352" s="18" t="s">
        <v>730</v>
      </c>
      <c r="B352" s="10">
        <v>19920505</v>
      </c>
      <c r="C352" s="9">
        <v>23</v>
      </c>
      <c r="D352" s="8" t="str">
        <f t="shared" si="61"/>
        <v>N</v>
      </c>
      <c r="E352" s="8" t="str">
        <f t="shared" si="62"/>
        <v>N</v>
      </c>
      <c r="F352" s="8" t="str">
        <f t="shared" si="63"/>
        <v>N</v>
      </c>
      <c r="G352" s="8" t="str">
        <f t="shared" si="64"/>
        <v>N</v>
      </c>
      <c r="H352" s="8" t="str">
        <f t="shared" si="65"/>
        <v>Lower</v>
      </c>
      <c r="I352" s="8" t="str">
        <f t="shared" si="66"/>
        <v>Outside</v>
      </c>
      <c r="J352" s="8" t="str">
        <f t="shared" si="67"/>
        <v>Outside</v>
      </c>
      <c r="K352" s="8" t="str">
        <f t="shared" si="68"/>
        <v>Post-1949</v>
      </c>
      <c r="L352" s="8">
        <f t="shared" si="69"/>
        <v>1992</v>
      </c>
      <c r="M352" s="8" t="str">
        <f t="shared" si="71"/>
        <v>1991-present</v>
      </c>
      <c r="N352" s="10" t="s">
        <v>242</v>
      </c>
      <c r="O352" s="10" t="s">
        <v>242</v>
      </c>
      <c r="P352" s="10" t="s">
        <v>242</v>
      </c>
      <c r="Q352" s="10" t="s">
        <v>242</v>
      </c>
      <c r="R352" s="10" t="s">
        <v>241</v>
      </c>
      <c r="S352" s="10" t="s">
        <v>242</v>
      </c>
      <c r="T352" s="10" t="s">
        <v>242</v>
      </c>
      <c r="U352" s="10" t="s">
        <v>241</v>
      </c>
      <c r="V352" s="10" t="s">
        <v>241</v>
      </c>
      <c r="W352" s="10" t="s">
        <v>242</v>
      </c>
      <c r="X352" s="15">
        <f>IF(ISERROR(VLOOKUP($A352,'13. Updated Demand'!A:Z,15,FALSE)),0,VLOOKUP($A352,'13. Updated Demand'!A:Z,15,FALSE))</f>
        <v>0</v>
      </c>
      <c r="Y352" s="16">
        <f>IF(ISERROR(VLOOKUP($A352,'13. Updated Demand'!A:Z,16,FALSE)),0,VLOOKUP($A352,'13. Updated Demand'!A:Z,16,FALSE))</f>
        <v>0</v>
      </c>
      <c r="Z352" s="16">
        <f>IF(ISERROR(VLOOKUP($A352,'13. Updated Demand'!A:Z,17,FALSE)),0,VLOOKUP($A352,'13. Updated Demand'!A:Z,17,FALSE))</f>
        <v>0</v>
      </c>
      <c r="AA352" s="16">
        <f>IF(ISERROR(VLOOKUP($A352,'13. Updated Demand'!A:Z,18,FALSE)),0,VLOOKUP($A352,'13. Updated Demand'!A:Z,18,FALSE))</f>
        <v>0</v>
      </c>
      <c r="AB352" s="16">
        <f>IF(ISERROR(VLOOKUP($A352,'13. Updated Demand'!A:Z,19,FALSE)),0,VLOOKUP($A352,'13. Updated Demand'!A:Z,19,FALSE))</f>
        <v>0</v>
      </c>
      <c r="AC352" s="16">
        <f>IF(ISERROR(VLOOKUP($A352,'13. Updated Demand'!A:Z,20,FALSE)),0,VLOOKUP($A352,'13. Updated Demand'!A:Z,20,FALSE))</f>
        <v>0</v>
      </c>
      <c r="AD352" s="16">
        <f>IF(ISERROR(VLOOKUP($A352,'13. Updated Demand'!A:Z,21,FALSE)),0,VLOOKUP($A352,'13. Updated Demand'!A:Z,21,FALSE))</f>
        <v>0</v>
      </c>
      <c r="AE352" s="16">
        <f>IF(ISERROR(VLOOKUP($A352,'13. Updated Demand'!A:Z,22,FALSE)),0,VLOOKUP($A352,'13. Updated Demand'!A:Z,22,FALSE))</f>
        <v>0</v>
      </c>
      <c r="AF352" s="16">
        <f>IF(ISERROR(VLOOKUP($A352,'13. Updated Demand'!A:Z,23,FALSE)),0,VLOOKUP($A352,'13. Updated Demand'!A:Z,23,FALSE))</f>
        <v>0</v>
      </c>
      <c r="AG352" s="16">
        <f>IF(ISERROR(VLOOKUP($A352,'13. Updated Demand'!A:Z,24,FALSE)),0,VLOOKUP($A352,'13. Updated Demand'!A:Z,24,FALSE))</f>
        <v>0</v>
      </c>
      <c r="AH352" s="16">
        <f>IF(ISERROR(VLOOKUP($A352,'13. Updated Demand'!A:Z,25,FALSE)),0,VLOOKUP($A352,'13. Updated Demand'!A:Z,25,FALSE))</f>
        <v>0</v>
      </c>
      <c r="AI352" s="16">
        <f>IF(ISERROR(VLOOKUP($A352,'13. Updated Demand'!A:Z,26,FALSE)),0,VLOOKUP($A352,'13. Updated Demand'!A:Z,26,FALSE))</f>
        <v>0</v>
      </c>
      <c r="AJ352" s="16">
        <f t="shared" si="72"/>
        <v>0</v>
      </c>
      <c r="AK352" s="19">
        <v>0</v>
      </c>
      <c r="AL352" s="16">
        <f t="shared" si="70"/>
        <v>0</v>
      </c>
      <c r="AM352" s="17">
        <v>0</v>
      </c>
      <c r="AN352" s="19"/>
      <c r="AO352" s="19"/>
      <c r="AP352" s="19">
        <v>49</v>
      </c>
      <c r="AQ352" s="19" t="s">
        <v>307</v>
      </c>
      <c r="AR352" s="9" t="s">
        <v>378</v>
      </c>
      <c r="AS352" s="12">
        <v>0</v>
      </c>
      <c r="AT352" s="19">
        <v>38.509599999999999</v>
      </c>
      <c r="AU352" s="19">
        <v>-122.5478</v>
      </c>
      <c r="AV352" s="19" t="s">
        <v>417</v>
      </c>
    </row>
    <row r="353" spans="1:48" x14ac:dyDescent="0.25">
      <c r="A353" s="18" t="s">
        <v>731</v>
      </c>
      <c r="B353" s="10">
        <v>19920505</v>
      </c>
      <c r="C353" s="9">
        <v>23</v>
      </c>
      <c r="D353" s="8" t="str">
        <f t="shared" si="61"/>
        <v>N</v>
      </c>
      <c r="E353" s="8" t="str">
        <f t="shared" si="62"/>
        <v>N</v>
      </c>
      <c r="F353" s="8" t="str">
        <f t="shared" si="63"/>
        <v>N</v>
      </c>
      <c r="G353" s="8" t="str">
        <f t="shared" si="64"/>
        <v>N</v>
      </c>
      <c r="H353" s="8" t="str">
        <f t="shared" si="65"/>
        <v>Lower</v>
      </c>
      <c r="I353" s="8" t="str">
        <f t="shared" si="66"/>
        <v>Outside</v>
      </c>
      <c r="J353" s="8" t="str">
        <f t="shared" si="67"/>
        <v>Outside</v>
      </c>
      <c r="K353" s="8" t="str">
        <f t="shared" si="68"/>
        <v>Post-1949</v>
      </c>
      <c r="L353" s="8">
        <f t="shared" si="69"/>
        <v>1992</v>
      </c>
      <c r="M353" s="8" t="str">
        <f t="shared" si="71"/>
        <v>1991-present</v>
      </c>
      <c r="N353" s="10" t="s">
        <v>242</v>
      </c>
      <c r="O353" s="10" t="s">
        <v>242</v>
      </c>
      <c r="P353" s="10" t="s">
        <v>242</v>
      </c>
      <c r="Q353" s="10" t="s">
        <v>242</v>
      </c>
      <c r="R353" s="10" t="s">
        <v>241</v>
      </c>
      <c r="S353" s="10" t="s">
        <v>242</v>
      </c>
      <c r="T353" s="10" t="s">
        <v>242</v>
      </c>
      <c r="U353" s="10" t="s">
        <v>242</v>
      </c>
      <c r="V353" s="10" t="s">
        <v>241</v>
      </c>
      <c r="W353" s="10" t="s">
        <v>242</v>
      </c>
      <c r="X353" s="15">
        <f>IF(ISERROR(VLOOKUP($A353,'13. Updated Demand'!A:Z,15,FALSE)),0,VLOOKUP($A353,'13. Updated Demand'!A:Z,15,FALSE))</f>
        <v>0</v>
      </c>
      <c r="Y353" s="16">
        <f>IF(ISERROR(VLOOKUP($A353,'13. Updated Demand'!A:Z,16,FALSE)),0,VLOOKUP($A353,'13. Updated Demand'!A:Z,16,FALSE))</f>
        <v>0</v>
      </c>
      <c r="Z353" s="16">
        <f>IF(ISERROR(VLOOKUP($A353,'13. Updated Demand'!A:Z,17,FALSE)),0,VLOOKUP($A353,'13. Updated Demand'!A:Z,17,FALSE))</f>
        <v>0</v>
      </c>
      <c r="AA353" s="16">
        <f>IF(ISERROR(VLOOKUP($A353,'13. Updated Demand'!A:Z,18,FALSE)),0,VLOOKUP($A353,'13. Updated Demand'!A:Z,18,FALSE))</f>
        <v>0</v>
      </c>
      <c r="AB353" s="16">
        <f>IF(ISERROR(VLOOKUP($A353,'13. Updated Demand'!A:Z,19,FALSE)),0,VLOOKUP($A353,'13. Updated Demand'!A:Z,19,FALSE))</f>
        <v>0</v>
      </c>
      <c r="AC353" s="16">
        <f>IF(ISERROR(VLOOKUP($A353,'13. Updated Demand'!A:Z,20,FALSE)),0,VLOOKUP($A353,'13. Updated Demand'!A:Z,20,FALSE))</f>
        <v>0</v>
      </c>
      <c r="AD353" s="16">
        <f>IF(ISERROR(VLOOKUP($A353,'13. Updated Demand'!A:Z,21,FALSE)),0,VLOOKUP($A353,'13. Updated Demand'!A:Z,21,FALSE))</f>
        <v>0</v>
      </c>
      <c r="AE353" s="16">
        <f>IF(ISERROR(VLOOKUP($A353,'13. Updated Demand'!A:Z,22,FALSE)),0,VLOOKUP($A353,'13. Updated Demand'!A:Z,22,FALSE))</f>
        <v>0</v>
      </c>
      <c r="AF353" s="16">
        <f>IF(ISERROR(VLOOKUP($A353,'13. Updated Demand'!A:Z,23,FALSE)),0,VLOOKUP($A353,'13. Updated Demand'!A:Z,23,FALSE))</f>
        <v>0</v>
      </c>
      <c r="AG353" s="16">
        <f>IF(ISERROR(VLOOKUP($A353,'13. Updated Demand'!A:Z,24,FALSE)),0,VLOOKUP($A353,'13. Updated Demand'!A:Z,24,FALSE))</f>
        <v>0</v>
      </c>
      <c r="AH353" s="16">
        <f>IF(ISERROR(VLOOKUP($A353,'13. Updated Demand'!A:Z,25,FALSE)),0,VLOOKUP($A353,'13. Updated Demand'!A:Z,25,FALSE))</f>
        <v>0</v>
      </c>
      <c r="AI353" s="16">
        <f>IF(ISERROR(VLOOKUP($A353,'13. Updated Demand'!A:Z,26,FALSE)),0,VLOOKUP($A353,'13. Updated Demand'!A:Z,26,FALSE))</f>
        <v>0</v>
      </c>
      <c r="AJ353" s="16">
        <f t="shared" si="72"/>
        <v>0</v>
      </c>
      <c r="AK353" s="19">
        <v>0</v>
      </c>
      <c r="AL353" s="16">
        <f t="shared" si="70"/>
        <v>0</v>
      </c>
      <c r="AM353" s="17">
        <v>1.3095238107142857E-2</v>
      </c>
      <c r="AN353" s="19"/>
      <c r="AO353" s="19"/>
      <c r="AP353" s="19">
        <v>28</v>
      </c>
      <c r="AQ353" s="19" t="s">
        <v>307</v>
      </c>
      <c r="AR353" s="9" t="s">
        <v>378</v>
      </c>
      <c r="AS353" s="12">
        <v>0</v>
      </c>
      <c r="AT353" s="19">
        <v>38.509361519999999</v>
      </c>
      <c r="AU353" s="19">
        <v>-122.5473021</v>
      </c>
      <c r="AV353" s="19" t="s">
        <v>417</v>
      </c>
    </row>
    <row r="354" spans="1:48" x14ac:dyDescent="0.25">
      <c r="A354" s="18" t="s">
        <v>732</v>
      </c>
      <c r="B354" s="10">
        <v>19920221</v>
      </c>
      <c r="C354" s="9">
        <v>12</v>
      </c>
      <c r="D354" s="8" t="str">
        <f t="shared" si="61"/>
        <v>N</v>
      </c>
      <c r="E354" s="8" t="str">
        <f t="shared" si="62"/>
        <v>Y</v>
      </c>
      <c r="F354" s="8" t="str">
        <f t="shared" si="63"/>
        <v>Y</v>
      </c>
      <c r="G354" s="8" t="str">
        <f t="shared" si="64"/>
        <v>Y</v>
      </c>
      <c r="H354" s="8" t="str">
        <f t="shared" si="65"/>
        <v>Upper</v>
      </c>
      <c r="I354" s="8" t="str">
        <f t="shared" si="66"/>
        <v>West Fork and Below Lake</v>
      </c>
      <c r="J354" s="8" t="str">
        <f t="shared" si="67"/>
        <v>Sonoma (d/s of Clov. Gage)</v>
      </c>
      <c r="K354" s="8" t="str">
        <f t="shared" si="68"/>
        <v>Post-1949</v>
      </c>
      <c r="L354" s="8">
        <f t="shared" si="69"/>
        <v>1992</v>
      </c>
      <c r="M354" s="8" t="str">
        <f t="shared" si="71"/>
        <v>1991-present</v>
      </c>
      <c r="N354" s="10" t="s">
        <v>242</v>
      </c>
      <c r="O354" s="10" t="s">
        <v>241</v>
      </c>
      <c r="P354" s="10" t="s">
        <v>242</v>
      </c>
      <c r="Q354" s="10" t="s">
        <v>242</v>
      </c>
      <c r="R354" s="10" t="s">
        <v>241</v>
      </c>
      <c r="S354" s="10" t="s">
        <v>242</v>
      </c>
      <c r="T354" s="10" t="s">
        <v>241</v>
      </c>
      <c r="U354" s="10" t="s">
        <v>241</v>
      </c>
      <c r="V354" s="10" t="s">
        <v>241</v>
      </c>
      <c r="W354" s="10" t="s">
        <v>242</v>
      </c>
      <c r="X354" s="15">
        <f>IF(ISERROR(VLOOKUP($A354,'13. Updated Demand'!A:Z,15,FALSE)),0,VLOOKUP($A354,'13. Updated Demand'!A:Z,15,FALSE))</f>
        <v>0</v>
      </c>
      <c r="Y354" s="16">
        <f>IF(ISERROR(VLOOKUP($A354,'13. Updated Demand'!A:Z,16,FALSE)),0,VLOOKUP($A354,'13. Updated Demand'!A:Z,16,FALSE))</f>
        <v>0</v>
      </c>
      <c r="Z354" s="16">
        <f>IF(ISERROR(VLOOKUP($A354,'13. Updated Demand'!A:Z,17,FALSE)),0,VLOOKUP($A354,'13. Updated Demand'!A:Z,17,FALSE))</f>
        <v>0</v>
      </c>
      <c r="AA354" s="16">
        <f>IF(ISERROR(VLOOKUP($A354,'13. Updated Demand'!A:Z,18,FALSE)),0,VLOOKUP($A354,'13. Updated Demand'!A:Z,18,FALSE))</f>
        <v>0</v>
      </c>
      <c r="AB354" s="16">
        <f>IF(ISERROR(VLOOKUP($A354,'13. Updated Demand'!A:Z,19,FALSE)),0,VLOOKUP($A354,'13. Updated Demand'!A:Z,19,FALSE))</f>
        <v>0</v>
      </c>
      <c r="AC354" s="16">
        <f>IF(ISERROR(VLOOKUP($A354,'13. Updated Demand'!A:Z,20,FALSE)),0,VLOOKUP($A354,'13. Updated Demand'!A:Z,20,FALSE))</f>
        <v>0</v>
      </c>
      <c r="AD354" s="16">
        <f>IF(ISERROR(VLOOKUP($A354,'13. Updated Demand'!A:Z,21,FALSE)),0,VLOOKUP($A354,'13. Updated Demand'!A:Z,21,FALSE))</f>
        <v>0</v>
      </c>
      <c r="AE354" s="16">
        <f>IF(ISERROR(VLOOKUP($A354,'13. Updated Demand'!A:Z,22,FALSE)),0,VLOOKUP($A354,'13. Updated Demand'!A:Z,22,FALSE))</f>
        <v>0</v>
      </c>
      <c r="AF354" s="16">
        <f>IF(ISERROR(VLOOKUP($A354,'13. Updated Demand'!A:Z,23,FALSE)),0,VLOOKUP($A354,'13. Updated Demand'!A:Z,23,FALSE))</f>
        <v>0</v>
      </c>
      <c r="AG354" s="16">
        <f>IF(ISERROR(VLOOKUP($A354,'13. Updated Demand'!A:Z,24,FALSE)),0,VLOOKUP($A354,'13. Updated Demand'!A:Z,24,FALSE))</f>
        <v>0</v>
      </c>
      <c r="AH354" s="16">
        <f>IF(ISERROR(VLOOKUP($A354,'13. Updated Demand'!A:Z,25,FALSE)),0,VLOOKUP($A354,'13. Updated Demand'!A:Z,25,FALSE))</f>
        <v>0</v>
      </c>
      <c r="AI354" s="16">
        <f>IF(ISERROR(VLOOKUP($A354,'13. Updated Demand'!A:Z,26,FALSE)),0,VLOOKUP($A354,'13. Updated Demand'!A:Z,26,FALSE))</f>
        <v>0</v>
      </c>
      <c r="AJ354" s="16">
        <f t="shared" si="72"/>
        <v>0</v>
      </c>
      <c r="AK354" s="19">
        <v>0</v>
      </c>
      <c r="AL354" s="16">
        <f t="shared" si="70"/>
        <v>0</v>
      </c>
      <c r="AM354" s="17">
        <v>0</v>
      </c>
      <c r="AN354" s="19"/>
      <c r="AO354" s="19"/>
      <c r="AP354" s="19">
        <v>11</v>
      </c>
      <c r="AQ354" s="19" t="s">
        <v>307</v>
      </c>
      <c r="AR354" s="9" t="s">
        <v>311</v>
      </c>
      <c r="AS354" s="12">
        <v>3.4039024194010059E-4</v>
      </c>
      <c r="AT354" s="19">
        <v>38.668523829999998</v>
      </c>
      <c r="AU354" s="19">
        <v>-122.80176339</v>
      </c>
      <c r="AV354" s="19" t="s">
        <v>417</v>
      </c>
    </row>
    <row r="355" spans="1:48" x14ac:dyDescent="0.25">
      <c r="A355" s="18" t="s">
        <v>733</v>
      </c>
      <c r="B355" s="10">
        <v>19920511</v>
      </c>
      <c r="C355" s="9">
        <v>12</v>
      </c>
      <c r="D355" s="8" t="str">
        <f t="shared" si="61"/>
        <v>N</v>
      </c>
      <c r="E355" s="8" t="str">
        <f t="shared" si="62"/>
        <v>Y</v>
      </c>
      <c r="F355" s="8" t="str">
        <f t="shared" si="63"/>
        <v>Y</v>
      </c>
      <c r="G355" s="8" t="str">
        <f t="shared" si="64"/>
        <v>Y</v>
      </c>
      <c r="H355" s="8" t="str">
        <f t="shared" si="65"/>
        <v>Upper</v>
      </c>
      <c r="I355" s="8" t="str">
        <f t="shared" si="66"/>
        <v>West Fork and Below Lake</v>
      </c>
      <c r="J355" s="8" t="str">
        <f t="shared" si="67"/>
        <v>Sonoma (d/s of Clov. Gage)</v>
      </c>
      <c r="K355" s="8" t="str">
        <f t="shared" si="68"/>
        <v>Post-1949</v>
      </c>
      <c r="L355" s="8">
        <f t="shared" si="69"/>
        <v>1992</v>
      </c>
      <c r="M355" s="8" t="str">
        <f t="shared" si="71"/>
        <v>1991-present</v>
      </c>
      <c r="N355" s="10" t="s">
        <v>242</v>
      </c>
      <c r="O355" s="10" t="s">
        <v>241</v>
      </c>
      <c r="P355" s="10" t="s">
        <v>242</v>
      </c>
      <c r="Q355" s="10" t="s">
        <v>242</v>
      </c>
      <c r="R355" s="10" t="s">
        <v>241</v>
      </c>
      <c r="S355" s="10" t="s">
        <v>242</v>
      </c>
      <c r="T355" s="10" t="s">
        <v>242</v>
      </c>
      <c r="U355" s="10" t="s">
        <v>242</v>
      </c>
      <c r="V355" s="10" t="s">
        <v>241</v>
      </c>
      <c r="W355" s="10" t="s">
        <v>242</v>
      </c>
      <c r="X355" s="15">
        <f>IF(ISERROR(VLOOKUP($A355,'13. Updated Demand'!A:Z,15,FALSE)),0,VLOOKUP($A355,'13. Updated Demand'!A:Z,15,FALSE))</f>
        <v>3.56</v>
      </c>
      <c r="Y355" s="16">
        <f>IF(ISERROR(VLOOKUP($A355,'13. Updated Demand'!A:Z,16,FALSE)),0,VLOOKUP($A355,'13. Updated Demand'!A:Z,16,FALSE))</f>
        <v>1.99</v>
      </c>
      <c r="Z355" s="16">
        <f>IF(ISERROR(VLOOKUP($A355,'13. Updated Demand'!A:Z,17,FALSE)),0,VLOOKUP($A355,'13. Updated Demand'!A:Z,17,FALSE))</f>
        <v>1</v>
      </c>
      <c r="AA355" s="16">
        <f>IF(ISERROR(VLOOKUP($A355,'13. Updated Demand'!A:Z,18,FALSE)),0,VLOOKUP($A355,'13. Updated Demand'!A:Z,18,FALSE))</f>
        <v>0.33</v>
      </c>
      <c r="AB355" s="16">
        <f>IF(ISERROR(VLOOKUP($A355,'13. Updated Demand'!A:Z,19,FALSE)),0,VLOOKUP($A355,'13. Updated Demand'!A:Z,19,FALSE))</f>
        <v>0</v>
      </c>
      <c r="AC355" s="16">
        <f>IF(ISERROR(VLOOKUP($A355,'13. Updated Demand'!A:Z,20,FALSE)),0,VLOOKUP($A355,'13. Updated Demand'!A:Z,20,FALSE))</f>
        <v>0</v>
      </c>
      <c r="AD355" s="16">
        <f>IF(ISERROR(VLOOKUP($A355,'13. Updated Demand'!A:Z,21,FALSE)),0,VLOOKUP($A355,'13. Updated Demand'!A:Z,21,FALSE))</f>
        <v>0</v>
      </c>
      <c r="AE355" s="16">
        <f>IF(ISERROR(VLOOKUP($A355,'13. Updated Demand'!A:Z,22,FALSE)),0,VLOOKUP($A355,'13. Updated Demand'!A:Z,22,FALSE))</f>
        <v>0</v>
      </c>
      <c r="AF355" s="16">
        <f>IF(ISERROR(VLOOKUP($A355,'13. Updated Demand'!A:Z,23,FALSE)),0,VLOOKUP($A355,'13. Updated Demand'!A:Z,23,FALSE))</f>
        <v>0</v>
      </c>
      <c r="AG355" s="16">
        <f>IF(ISERROR(VLOOKUP($A355,'13. Updated Demand'!A:Z,24,FALSE)),0,VLOOKUP($A355,'13. Updated Demand'!A:Z,24,FALSE))</f>
        <v>0</v>
      </c>
      <c r="AH355" s="16">
        <f>IF(ISERROR(VLOOKUP($A355,'13. Updated Demand'!A:Z,25,FALSE)),0,VLOOKUP($A355,'13. Updated Demand'!A:Z,25,FALSE))</f>
        <v>1</v>
      </c>
      <c r="AI355" s="16">
        <f>IF(ISERROR(VLOOKUP($A355,'13. Updated Demand'!A:Z,26,FALSE)),0,VLOOKUP($A355,'13. Updated Demand'!A:Z,26,FALSE))</f>
        <v>2</v>
      </c>
      <c r="AJ355" s="16">
        <f t="shared" si="72"/>
        <v>9.879999999999999</v>
      </c>
      <c r="AK355" s="19">
        <v>0</v>
      </c>
      <c r="AL355" s="16">
        <f t="shared" si="70"/>
        <v>0</v>
      </c>
      <c r="AM355" s="17">
        <v>0.65955555553333345</v>
      </c>
      <c r="AN355" s="19"/>
      <c r="AO355" s="19"/>
      <c r="AP355" s="19">
        <v>15</v>
      </c>
      <c r="AQ355" s="19" t="s">
        <v>307</v>
      </c>
      <c r="AR355" s="9" t="s">
        <v>311</v>
      </c>
      <c r="AS355" s="12">
        <v>0</v>
      </c>
      <c r="AT355" s="19">
        <v>38.649557870000002</v>
      </c>
      <c r="AU355" s="19">
        <v>-122.76373126</v>
      </c>
      <c r="AV355" s="19" t="s">
        <v>417</v>
      </c>
    </row>
    <row r="356" spans="1:48" x14ac:dyDescent="0.25">
      <c r="A356" s="18" t="s">
        <v>734</v>
      </c>
      <c r="B356" s="10">
        <v>19920828</v>
      </c>
      <c r="C356" s="9">
        <v>23</v>
      </c>
      <c r="D356" s="8" t="str">
        <f t="shared" si="61"/>
        <v>N</v>
      </c>
      <c r="E356" s="8" t="str">
        <f t="shared" si="62"/>
        <v>N</v>
      </c>
      <c r="F356" s="8" t="str">
        <f t="shared" si="63"/>
        <v>N</v>
      </c>
      <c r="G356" s="8" t="str">
        <f t="shared" si="64"/>
        <v>N</v>
      </c>
      <c r="H356" s="8" t="str">
        <f t="shared" si="65"/>
        <v>Lower</v>
      </c>
      <c r="I356" s="8" t="str">
        <f t="shared" si="66"/>
        <v>Outside</v>
      </c>
      <c r="J356" s="8" t="str">
        <f t="shared" si="67"/>
        <v>Outside</v>
      </c>
      <c r="K356" s="8" t="str">
        <f t="shared" si="68"/>
        <v>Post-1949</v>
      </c>
      <c r="L356" s="8">
        <f t="shared" si="69"/>
        <v>1992</v>
      </c>
      <c r="M356" s="8" t="str">
        <f t="shared" si="71"/>
        <v>1991-present</v>
      </c>
      <c r="N356" s="10" t="s">
        <v>242</v>
      </c>
      <c r="O356" s="10" t="s">
        <v>242</v>
      </c>
      <c r="P356" s="10" t="s">
        <v>242</v>
      </c>
      <c r="Q356" s="10" t="s">
        <v>242</v>
      </c>
      <c r="R356" s="10" t="s">
        <v>241</v>
      </c>
      <c r="S356" s="10" t="s">
        <v>242</v>
      </c>
      <c r="T356" s="10" t="s">
        <v>241</v>
      </c>
      <c r="U356" s="10" t="s">
        <v>241</v>
      </c>
      <c r="V356" s="10" t="s">
        <v>241</v>
      </c>
      <c r="W356" s="10" t="s">
        <v>242</v>
      </c>
      <c r="X356" s="15">
        <f>IF(ISERROR(VLOOKUP($A356,'13. Updated Demand'!A:Z,15,FALSE)),0,VLOOKUP($A356,'13. Updated Demand'!A:Z,15,FALSE))</f>
        <v>0</v>
      </c>
      <c r="Y356" s="16">
        <f>IF(ISERROR(VLOOKUP($A356,'13. Updated Demand'!A:Z,16,FALSE)),0,VLOOKUP($A356,'13. Updated Demand'!A:Z,16,FALSE))</f>
        <v>0</v>
      </c>
      <c r="Z356" s="16">
        <f>IF(ISERROR(VLOOKUP($A356,'13. Updated Demand'!A:Z,17,FALSE)),0,VLOOKUP($A356,'13. Updated Demand'!A:Z,17,FALSE))</f>
        <v>0</v>
      </c>
      <c r="AA356" s="16">
        <f>IF(ISERROR(VLOOKUP($A356,'13. Updated Demand'!A:Z,18,FALSE)),0,VLOOKUP($A356,'13. Updated Demand'!A:Z,18,FALSE))</f>
        <v>0</v>
      </c>
      <c r="AB356" s="16">
        <f>IF(ISERROR(VLOOKUP($A356,'13. Updated Demand'!A:Z,19,FALSE)),0,VLOOKUP($A356,'13. Updated Demand'!A:Z,19,FALSE))</f>
        <v>0</v>
      </c>
      <c r="AC356" s="16">
        <f>IF(ISERROR(VLOOKUP($A356,'13. Updated Demand'!A:Z,20,FALSE)),0,VLOOKUP($A356,'13. Updated Demand'!A:Z,20,FALSE))</f>
        <v>0</v>
      </c>
      <c r="AD356" s="16">
        <f>IF(ISERROR(VLOOKUP($A356,'13. Updated Demand'!A:Z,21,FALSE)),0,VLOOKUP($A356,'13. Updated Demand'!A:Z,21,FALSE))</f>
        <v>0</v>
      </c>
      <c r="AE356" s="16">
        <f>IF(ISERROR(VLOOKUP($A356,'13. Updated Demand'!A:Z,22,FALSE)),0,VLOOKUP($A356,'13. Updated Demand'!A:Z,22,FALSE))</f>
        <v>0</v>
      </c>
      <c r="AF356" s="16">
        <f>IF(ISERROR(VLOOKUP($A356,'13. Updated Demand'!A:Z,23,FALSE)),0,VLOOKUP($A356,'13. Updated Demand'!A:Z,23,FALSE))</f>
        <v>0</v>
      </c>
      <c r="AG356" s="16">
        <f>IF(ISERROR(VLOOKUP($A356,'13. Updated Demand'!A:Z,24,FALSE)),0,VLOOKUP($A356,'13. Updated Demand'!A:Z,24,FALSE))</f>
        <v>0</v>
      </c>
      <c r="AH356" s="16">
        <f>IF(ISERROR(VLOOKUP($A356,'13. Updated Demand'!A:Z,25,FALSE)),0,VLOOKUP($A356,'13. Updated Demand'!A:Z,25,FALSE))</f>
        <v>0</v>
      </c>
      <c r="AI356" s="16">
        <f>IF(ISERROR(VLOOKUP($A356,'13. Updated Demand'!A:Z,26,FALSE)),0,VLOOKUP($A356,'13. Updated Demand'!A:Z,26,FALSE))</f>
        <v>0</v>
      </c>
      <c r="AJ356" s="16">
        <f t="shared" si="72"/>
        <v>0</v>
      </c>
      <c r="AK356" s="19">
        <v>0</v>
      </c>
      <c r="AL356" s="16">
        <f t="shared" si="70"/>
        <v>0</v>
      </c>
      <c r="AM356" s="17">
        <v>0</v>
      </c>
      <c r="AN356" s="19"/>
      <c r="AO356" s="19"/>
      <c r="AP356" s="19">
        <v>40</v>
      </c>
      <c r="AQ356" s="19" t="s">
        <v>307</v>
      </c>
      <c r="AR356" s="9" t="s">
        <v>323</v>
      </c>
      <c r="AS356" s="12">
        <v>0</v>
      </c>
      <c r="AT356" s="19">
        <v>38.495326640000002</v>
      </c>
      <c r="AU356" s="19">
        <v>-122.86743272</v>
      </c>
      <c r="AV356" s="19" t="s">
        <v>735</v>
      </c>
    </row>
    <row r="357" spans="1:48" x14ac:dyDescent="0.25">
      <c r="A357" s="18" t="s">
        <v>736</v>
      </c>
      <c r="B357" s="10">
        <v>19920427</v>
      </c>
      <c r="C357" s="9">
        <v>21</v>
      </c>
      <c r="D357" s="8" t="str">
        <f t="shared" si="61"/>
        <v>N</v>
      </c>
      <c r="E357" s="8" t="str">
        <f t="shared" si="62"/>
        <v>N</v>
      </c>
      <c r="F357" s="8" t="str">
        <f t="shared" si="63"/>
        <v>N</v>
      </c>
      <c r="G357" s="8" t="str">
        <f t="shared" si="64"/>
        <v>N</v>
      </c>
      <c r="H357" s="8" t="str">
        <f t="shared" si="65"/>
        <v>Lower</v>
      </c>
      <c r="I357" s="8" t="str">
        <f t="shared" si="66"/>
        <v>Outside</v>
      </c>
      <c r="J357" s="8" t="str">
        <f t="shared" si="67"/>
        <v>Outside</v>
      </c>
      <c r="K357" s="8" t="str">
        <f t="shared" si="68"/>
        <v>Post-1949</v>
      </c>
      <c r="L357" s="8">
        <f t="shared" si="69"/>
        <v>1992</v>
      </c>
      <c r="M357" s="8" t="str">
        <f t="shared" si="71"/>
        <v>1991-present</v>
      </c>
      <c r="N357" s="10" t="s">
        <v>242</v>
      </c>
      <c r="O357" s="10" t="s">
        <v>242</v>
      </c>
      <c r="P357" s="10" t="s">
        <v>242</v>
      </c>
      <c r="Q357" s="10" t="s">
        <v>242</v>
      </c>
      <c r="R357" s="10" t="s">
        <v>241</v>
      </c>
      <c r="S357" s="10" t="s">
        <v>242</v>
      </c>
      <c r="T357" s="10" t="s">
        <v>242</v>
      </c>
      <c r="U357" s="10" t="s">
        <v>242</v>
      </c>
      <c r="V357" s="10" t="s">
        <v>242</v>
      </c>
      <c r="W357" s="10" t="s">
        <v>242</v>
      </c>
      <c r="X357" s="15">
        <f>IF(ISERROR(VLOOKUP($A357,'13. Updated Demand'!A:Z,15,FALSE)),0,VLOOKUP($A357,'13. Updated Demand'!A:Z,15,FALSE))</f>
        <v>0.26816400000000001</v>
      </c>
      <c r="Y357" s="16">
        <f>IF(ISERROR(VLOOKUP($A357,'13. Updated Demand'!A:Z,16,FALSE)),0,VLOOKUP($A357,'13. Updated Demand'!A:Z,16,FALSE))</f>
        <v>0.308558</v>
      </c>
      <c r="Z357" s="16">
        <f>IF(ISERROR(VLOOKUP($A357,'13. Updated Demand'!A:Z,17,FALSE)),0,VLOOKUP($A357,'13. Updated Demand'!A:Z,17,FALSE))</f>
        <v>0.27720349999999999</v>
      </c>
      <c r="AA357" s="16">
        <f>IF(ISERROR(VLOOKUP($A357,'13. Updated Demand'!A:Z,18,FALSE)),0,VLOOKUP($A357,'13. Updated Demand'!A:Z,18,FALSE))</f>
        <v>0.31590550000000001</v>
      </c>
      <c r="AB357" s="16">
        <f>IF(ISERROR(VLOOKUP($A357,'13. Updated Demand'!A:Z,19,FALSE)),0,VLOOKUP($A357,'13. Updated Demand'!A:Z,19,FALSE))</f>
        <v>0.36971349999999997</v>
      </c>
      <c r="AC357" s="16">
        <f>IF(ISERROR(VLOOKUP($A357,'13. Updated Demand'!A:Z,20,FALSE)),0,VLOOKUP($A357,'13. Updated Demand'!A:Z,20,FALSE))</f>
        <v>0.34859200000000001</v>
      </c>
      <c r="AD357" s="16">
        <f>IF(ISERROR(VLOOKUP($A357,'13. Updated Demand'!A:Z,21,FALSE)),0,VLOOKUP($A357,'13. Updated Demand'!A:Z,21,FALSE))</f>
        <v>0.39569799999999999</v>
      </c>
      <c r="AE357" s="16">
        <f>IF(ISERROR(VLOOKUP($A357,'13. Updated Demand'!A:Z,22,FALSE)),0,VLOOKUP($A357,'13. Updated Demand'!A:Z,22,FALSE))</f>
        <v>0.48418600000000001</v>
      </c>
      <c r="AF357" s="16">
        <f>IF(ISERROR(VLOOKUP($A357,'13. Updated Demand'!A:Z,23,FALSE)),0,VLOOKUP($A357,'13. Updated Demand'!A:Z,23,FALSE))</f>
        <v>0.42573</v>
      </c>
      <c r="AG357" s="16">
        <f>IF(ISERROR(VLOOKUP($A357,'13. Updated Demand'!A:Z,24,FALSE)),0,VLOOKUP($A357,'13. Updated Demand'!A:Z,24,FALSE))</f>
        <v>0.32080750000000002</v>
      </c>
      <c r="AH357" s="16">
        <f>IF(ISERROR(VLOOKUP($A357,'13. Updated Demand'!A:Z,25,FALSE)),0,VLOOKUP($A357,'13. Updated Demand'!A:Z,25,FALSE))</f>
        <v>0.33210899999999999</v>
      </c>
      <c r="AI357" s="16">
        <f>IF(ISERROR(VLOOKUP($A357,'13. Updated Demand'!A:Z,26,FALSE)),0,VLOOKUP($A357,'13. Updated Demand'!A:Z,26,FALSE))</f>
        <v>0.36043950000000002</v>
      </c>
      <c r="AJ357" s="16">
        <f t="shared" si="72"/>
        <v>4.2071065000000001</v>
      </c>
      <c r="AK357" s="19">
        <v>2.0239194999999999</v>
      </c>
      <c r="AL357" s="16">
        <f t="shared" si="70"/>
        <v>6.7131104354039217E-3</v>
      </c>
      <c r="AM357" s="17">
        <v>0.42071065000000002</v>
      </c>
      <c r="AN357" s="19"/>
      <c r="AO357" s="19"/>
      <c r="AP357" s="19">
        <v>10</v>
      </c>
      <c r="AQ357" s="19" t="s">
        <v>307</v>
      </c>
      <c r="AR357" s="9" t="s">
        <v>403</v>
      </c>
      <c r="AS357" s="12">
        <v>3.4039024194010059E-4</v>
      </c>
      <c r="AT357" s="19">
        <v>38.478900000000003</v>
      </c>
      <c r="AU357" s="19">
        <v>-123.0508</v>
      </c>
      <c r="AV357" s="19" t="s">
        <v>737</v>
      </c>
    </row>
    <row r="358" spans="1:48" x14ac:dyDescent="0.25">
      <c r="A358" s="18" t="s">
        <v>738</v>
      </c>
      <c r="B358" s="10">
        <v>19920827</v>
      </c>
      <c r="C358" s="9">
        <v>16</v>
      </c>
      <c r="D358" s="8" t="str">
        <f t="shared" si="61"/>
        <v>N</v>
      </c>
      <c r="E358" s="8" t="str">
        <f t="shared" si="62"/>
        <v>N</v>
      </c>
      <c r="F358" s="8" t="str">
        <f t="shared" si="63"/>
        <v>N</v>
      </c>
      <c r="G358" s="8" t="str">
        <f t="shared" si="64"/>
        <v>N</v>
      </c>
      <c r="H358" s="8" t="str">
        <f t="shared" si="65"/>
        <v>Lower</v>
      </c>
      <c r="I358" s="8" t="str">
        <f t="shared" si="66"/>
        <v>Outside</v>
      </c>
      <c r="J358" s="8" t="str">
        <f t="shared" si="67"/>
        <v>Outside</v>
      </c>
      <c r="K358" s="8" t="str">
        <f t="shared" si="68"/>
        <v>Post-1949</v>
      </c>
      <c r="L358" s="8">
        <f t="shared" si="69"/>
        <v>1992</v>
      </c>
      <c r="M358" s="8" t="str">
        <f t="shared" si="71"/>
        <v>1991-present</v>
      </c>
      <c r="N358" s="10" t="s">
        <v>242</v>
      </c>
      <c r="O358" s="10" t="s">
        <v>242</v>
      </c>
      <c r="P358" s="10" t="s">
        <v>242</v>
      </c>
      <c r="Q358" s="10" t="s">
        <v>242</v>
      </c>
      <c r="R358" s="10" t="s">
        <v>241</v>
      </c>
      <c r="S358" s="10" t="s">
        <v>242</v>
      </c>
      <c r="T358" s="10" t="s">
        <v>242</v>
      </c>
      <c r="U358" s="10" t="s">
        <v>242</v>
      </c>
      <c r="V358" s="10" t="s">
        <v>241</v>
      </c>
      <c r="W358" s="10" t="s">
        <v>242</v>
      </c>
      <c r="X358" s="15">
        <f>IF(ISERROR(VLOOKUP($A358,'13. Updated Demand'!A:Z,15,FALSE)),0,VLOOKUP($A358,'13. Updated Demand'!A:Z,15,FALSE))</f>
        <v>0.16666666699999999</v>
      </c>
      <c r="Y358" s="16">
        <f>IF(ISERROR(VLOOKUP($A358,'13. Updated Demand'!A:Z,16,FALSE)),0,VLOOKUP($A358,'13. Updated Demand'!A:Z,16,FALSE))</f>
        <v>0</v>
      </c>
      <c r="Z358" s="16">
        <f>IF(ISERROR(VLOOKUP($A358,'13. Updated Demand'!A:Z,17,FALSE)),0,VLOOKUP($A358,'13. Updated Demand'!A:Z,17,FALSE))</f>
        <v>0</v>
      </c>
      <c r="AA358" s="16">
        <f>IF(ISERROR(VLOOKUP($A358,'13. Updated Demand'!A:Z,18,FALSE)),0,VLOOKUP($A358,'13. Updated Demand'!A:Z,18,FALSE))</f>
        <v>0</v>
      </c>
      <c r="AB358" s="16">
        <f>IF(ISERROR(VLOOKUP($A358,'13. Updated Demand'!A:Z,19,FALSE)),0,VLOOKUP($A358,'13. Updated Demand'!A:Z,19,FALSE))</f>
        <v>0</v>
      </c>
      <c r="AC358" s="16">
        <f>IF(ISERROR(VLOOKUP($A358,'13. Updated Demand'!A:Z,20,FALSE)),0,VLOOKUP($A358,'13. Updated Demand'!A:Z,20,FALSE))</f>
        <v>0</v>
      </c>
      <c r="AD358" s="16">
        <f>IF(ISERROR(VLOOKUP($A358,'13. Updated Demand'!A:Z,21,FALSE)),0,VLOOKUP($A358,'13. Updated Demand'!A:Z,21,FALSE))</f>
        <v>0</v>
      </c>
      <c r="AE358" s="16">
        <f>IF(ISERROR(VLOOKUP($A358,'13. Updated Demand'!A:Z,22,FALSE)),0,VLOOKUP($A358,'13. Updated Demand'!A:Z,22,FALSE))</f>
        <v>0</v>
      </c>
      <c r="AF358" s="16">
        <f>IF(ISERROR(VLOOKUP($A358,'13. Updated Demand'!A:Z,23,FALSE)),0,VLOOKUP($A358,'13. Updated Demand'!A:Z,23,FALSE))</f>
        <v>0</v>
      </c>
      <c r="AG358" s="16">
        <f>IF(ISERROR(VLOOKUP($A358,'13. Updated Demand'!A:Z,24,FALSE)),0,VLOOKUP($A358,'13. Updated Demand'!A:Z,24,FALSE))</f>
        <v>0</v>
      </c>
      <c r="AH358" s="16">
        <f>IF(ISERROR(VLOOKUP($A358,'13. Updated Demand'!A:Z,25,FALSE)),0,VLOOKUP($A358,'13. Updated Demand'!A:Z,25,FALSE))</f>
        <v>0.86666666699999995</v>
      </c>
      <c r="AI358" s="16">
        <f>IF(ISERROR(VLOOKUP($A358,'13. Updated Demand'!A:Z,26,FALSE)),0,VLOOKUP($A358,'13. Updated Demand'!A:Z,26,FALSE))</f>
        <v>2.8666666670000001</v>
      </c>
      <c r="AJ358" s="16">
        <f t="shared" si="72"/>
        <v>3.900000001</v>
      </c>
      <c r="AK358" s="19">
        <v>0</v>
      </c>
      <c r="AL358" s="16">
        <f t="shared" si="70"/>
        <v>0</v>
      </c>
      <c r="AM358" s="17">
        <v>0.26000000006666668</v>
      </c>
      <c r="AN358" s="19"/>
      <c r="AO358" s="19"/>
      <c r="AP358" s="19">
        <v>15</v>
      </c>
      <c r="AQ358" s="19" t="s">
        <v>307</v>
      </c>
      <c r="AR358" s="9" t="s">
        <v>394</v>
      </c>
      <c r="AS358" s="12">
        <v>0</v>
      </c>
      <c r="AT358" s="19">
        <v>38.655900000000003</v>
      </c>
      <c r="AU358" s="19">
        <v>-122.8847</v>
      </c>
      <c r="AV358" s="19" t="s">
        <v>417</v>
      </c>
    </row>
    <row r="359" spans="1:48" x14ac:dyDescent="0.25">
      <c r="A359" s="18" t="s">
        <v>739</v>
      </c>
      <c r="B359" s="10">
        <v>19921215</v>
      </c>
      <c r="C359" s="9">
        <v>5</v>
      </c>
      <c r="D359" s="8" t="str">
        <f t="shared" si="61"/>
        <v>Y</v>
      </c>
      <c r="E359" s="8" t="str">
        <f t="shared" si="62"/>
        <v>N</v>
      </c>
      <c r="F359" s="8" t="str">
        <f t="shared" si="63"/>
        <v>Y</v>
      </c>
      <c r="G359" s="8" t="str">
        <f t="shared" si="64"/>
        <v>Y</v>
      </c>
      <c r="H359" s="8" t="str">
        <f t="shared" si="65"/>
        <v>Upper</v>
      </c>
      <c r="I359" s="8" t="str">
        <f t="shared" si="66"/>
        <v>West Fork and Below Lake</v>
      </c>
      <c r="J359" s="8" t="str">
        <f t="shared" si="67"/>
        <v>Mendocino (d/s of lake)</v>
      </c>
      <c r="K359" s="8" t="str">
        <f t="shared" si="68"/>
        <v>Post-1949</v>
      </c>
      <c r="L359" s="8">
        <f t="shared" si="69"/>
        <v>1992</v>
      </c>
      <c r="M359" s="8" t="str">
        <f t="shared" si="71"/>
        <v>1991-present</v>
      </c>
      <c r="N359" s="10" t="s">
        <v>241</v>
      </c>
      <c r="O359" s="10" t="s">
        <v>241</v>
      </c>
      <c r="P359" s="10" t="s">
        <v>242</v>
      </c>
      <c r="Q359" s="10" t="s">
        <v>242</v>
      </c>
      <c r="R359" s="10" t="s">
        <v>241</v>
      </c>
      <c r="S359" s="10" t="s">
        <v>242</v>
      </c>
      <c r="T359" s="10" t="s">
        <v>241</v>
      </c>
      <c r="U359" s="10" t="s">
        <v>241</v>
      </c>
      <c r="V359" s="10" t="s">
        <v>241</v>
      </c>
      <c r="W359" s="10" t="s">
        <v>242</v>
      </c>
      <c r="X359" s="15">
        <f>IF(ISERROR(VLOOKUP($A359,'13. Updated Demand'!A:Z,15,FALSE)),0,VLOOKUP($A359,'13. Updated Demand'!A:Z,15,FALSE))</f>
        <v>0</v>
      </c>
      <c r="Y359" s="16">
        <f>IF(ISERROR(VLOOKUP($A359,'13. Updated Demand'!A:Z,16,FALSE)),0,VLOOKUP($A359,'13. Updated Demand'!A:Z,16,FALSE))</f>
        <v>0</v>
      </c>
      <c r="Z359" s="16">
        <f>IF(ISERROR(VLOOKUP($A359,'13. Updated Demand'!A:Z,17,FALSE)),0,VLOOKUP($A359,'13. Updated Demand'!A:Z,17,FALSE))</f>
        <v>0</v>
      </c>
      <c r="AA359" s="16">
        <f>IF(ISERROR(VLOOKUP($A359,'13. Updated Demand'!A:Z,18,FALSE)),0,VLOOKUP($A359,'13. Updated Demand'!A:Z,18,FALSE))</f>
        <v>0</v>
      </c>
      <c r="AB359" s="16">
        <f>IF(ISERROR(VLOOKUP($A359,'13. Updated Demand'!A:Z,19,FALSE)),0,VLOOKUP($A359,'13. Updated Demand'!A:Z,19,FALSE))</f>
        <v>0</v>
      </c>
      <c r="AC359" s="16">
        <f>IF(ISERROR(VLOOKUP($A359,'13. Updated Demand'!A:Z,20,FALSE)),0,VLOOKUP($A359,'13. Updated Demand'!A:Z,20,FALSE))</f>
        <v>0</v>
      </c>
      <c r="AD359" s="16">
        <f>IF(ISERROR(VLOOKUP($A359,'13. Updated Demand'!A:Z,21,FALSE)),0,VLOOKUP($A359,'13. Updated Demand'!A:Z,21,FALSE))</f>
        <v>0</v>
      </c>
      <c r="AE359" s="16">
        <f>IF(ISERROR(VLOOKUP($A359,'13. Updated Demand'!A:Z,22,FALSE)),0,VLOOKUP($A359,'13. Updated Demand'!A:Z,22,FALSE))</f>
        <v>0</v>
      </c>
      <c r="AF359" s="16">
        <f>IF(ISERROR(VLOOKUP($A359,'13. Updated Demand'!A:Z,23,FALSE)),0,VLOOKUP($A359,'13. Updated Demand'!A:Z,23,FALSE))</f>
        <v>0</v>
      </c>
      <c r="AG359" s="16">
        <f>IF(ISERROR(VLOOKUP($A359,'13. Updated Demand'!A:Z,24,FALSE)),0,VLOOKUP($A359,'13. Updated Demand'!A:Z,24,FALSE))</f>
        <v>0</v>
      </c>
      <c r="AH359" s="16">
        <f>IF(ISERROR(VLOOKUP($A359,'13. Updated Demand'!A:Z,25,FALSE)),0,VLOOKUP($A359,'13. Updated Demand'!A:Z,25,FALSE))</f>
        <v>0</v>
      </c>
      <c r="AI359" s="16">
        <f>IF(ISERROR(VLOOKUP($A359,'13. Updated Demand'!A:Z,26,FALSE)),0,VLOOKUP($A359,'13. Updated Demand'!A:Z,26,FALSE))</f>
        <v>0</v>
      </c>
      <c r="AJ359" s="16">
        <f t="shared" si="72"/>
        <v>0</v>
      </c>
      <c r="AK359" s="19">
        <v>0</v>
      </c>
      <c r="AL359" s="16">
        <f t="shared" si="70"/>
        <v>0</v>
      </c>
      <c r="AM359" s="17">
        <v>0</v>
      </c>
      <c r="AN359" s="19"/>
      <c r="AO359" s="19"/>
      <c r="AP359" s="19">
        <v>122.6</v>
      </c>
      <c r="AQ359" s="19" t="s">
        <v>307</v>
      </c>
      <c r="AR359" s="9" t="s">
        <v>333</v>
      </c>
      <c r="AS359" s="12">
        <v>0</v>
      </c>
      <c r="AT359" s="19">
        <v>39.081700099999999</v>
      </c>
      <c r="AU359" s="19">
        <v>-123.16931958000001</v>
      </c>
      <c r="AV359" s="19" t="s">
        <v>387</v>
      </c>
    </row>
    <row r="360" spans="1:48" x14ac:dyDescent="0.25">
      <c r="A360" s="18" t="s">
        <v>740</v>
      </c>
      <c r="B360" s="10">
        <v>19921205</v>
      </c>
      <c r="C360" s="9">
        <v>6</v>
      </c>
      <c r="D360" s="8" t="str">
        <f t="shared" si="61"/>
        <v>Y</v>
      </c>
      <c r="E360" s="8" t="str">
        <f t="shared" si="62"/>
        <v>N</v>
      </c>
      <c r="F360" s="8" t="str">
        <f t="shared" si="63"/>
        <v>Y</v>
      </c>
      <c r="G360" s="8" t="str">
        <f t="shared" si="64"/>
        <v>Y</v>
      </c>
      <c r="H360" s="8" t="str">
        <f t="shared" si="65"/>
        <v>Upper</v>
      </c>
      <c r="I360" s="8" t="str">
        <f t="shared" si="66"/>
        <v>West Fork and Below Lake</v>
      </c>
      <c r="J360" s="8" t="str">
        <f t="shared" si="67"/>
        <v>Mendocino (d/s of lake)</v>
      </c>
      <c r="K360" s="8" t="str">
        <f t="shared" si="68"/>
        <v>Post-1949</v>
      </c>
      <c r="L360" s="8">
        <f t="shared" si="69"/>
        <v>1992</v>
      </c>
      <c r="M360" s="8" t="str">
        <f t="shared" si="71"/>
        <v>1991-present</v>
      </c>
      <c r="N360" s="10" t="s">
        <v>241</v>
      </c>
      <c r="O360" s="10" t="s">
        <v>241</v>
      </c>
      <c r="P360" s="10" t="s">
        <v>242</v>
      </c>
      <c r="Q360" s="10" t="s">
        <v>242</v>
      </c>
      <c r="R360" s="10" t="s">
        <v>241</v>
      </c>
      <c r="S360" s="10" t="s">
        <v>242</v>
      </c>
      <c r="T360" s="10" t="s">
        <v>241</v>
      </c>
      <c r="U360" s="10" t="s">
        <v>241</v>
      </c>
      <c r="V360" s="10" t="s">
        <v>241</v>
      </c>
      <c r="W360" s="10" t="s">
        <v>242</v>
      </c>
      <c r="X360" s="15">
        <f>IF(ISERROR(VLOOKUP($A360,'13. Updated Demand'!A:Z,15,FALSE)),0,VLOOKUP($A360,'13. Updated Demand'!A:Z,15,FALSE))</f>
        <v>0</v>
      </c>
      <c r="Y360" s="16">
        <f>IF(ISERROR(VLOOKUP($A360,'13. Updated Demand'!A:Z,16,FALSE)),0,VLOOKUP($A360,'13. Updated Demand'!A:Z,16,FALSE))</f>
        <v>0</v>
      </c>
      <c r="Z360" s="16">
        <f>IF(ISERROR(VLOOKUP($A360,'13. Updated Demand'!A:Z,17,FALSE)),0,VLOOKUP($A360,'13. Updated Demand'!A:Z,17,FALSE))</f>
        <v>0</v>
      </c>
      <c r="AA360" s="16">
        <f>IF(ISERROR(VLOOKUP($A360,'13. Updated Demand'!A:Z,18,FALSE)),0,VLOOKUP($A360,'13. Updated Demand'!A:Z,18,FALSE))</f>
        <v>0</v>
      </c>
      <c r="AB360" s="16">
        <f>IF(ISERROR(VLOOKUP($A360,'13. Updated Demand'!A:Z,19,FALSE)),0,VLOOKUP($A360,'13. Updated Demand'!A:Z,19,FALSE))</f>
        <v>0</v>
      </c>
      <c r="AC360" s="16">
        <f>IF(ISERROR(VLOOKUP($A360,'13. Updated Demand'!A:Z,20,FALSE)),0,VLOOKUP($A360,'13. Updated Demand'!A:Z,20,FALSE))</f>
        <v>0</v>
      </c>
      <c r="AD360" s="16">
        <f>IF(ISERROR(VLOOKUP($A360,'13. Updated Demand'!A:Z,21,FALSE)),0,VLOOKUP($A360,'13. Updated Demand'!A:Z,21,FALSE))</f>
        <v>0</v>
      </c>
      <c r="AE360" s="16">
        <f>IF(ISERROR(VLOOKUP($A360,'13. Updated Demand'!A:Z,22,FALSE)),0,VLOOKUP($A360,'13. Updated Demand'!A:Z,22,FALSE))</f>
        <v>0</v>
      </c>
      <c r="AF360" s="16">
        <f>IF(ISERROR(VLOOKUP($A360,'13. Updated Demand'!A:Z,23,FALSE)),0,VLOOKUP($A360,'13. Updated Demand'!A:Z,23,FALSE))</f>
        <v>0</v>
      </c>
      <c r="AG360" s="16">
        <f>IF(ISERROR(VLOOKUP($A360,'13. Updated Demand'!A:Z,24,FALSE)),0,VLOOKUP($A360,'13. Updated Demand'!A:Z,24,FALSE))</f>
        <v>0</v>
      </c>
      <c r="AH360" s="16">
        <f>IF(ISERROR(VLOOKUP($A360,'13. Updated Demand'!A:Z,25,FALSE)),0,VLOOKUP($A360,'13. Updated Demand'!A:Z,25,FALSE))</f>
        <v>0</v>
      </c>
      <c r="AI360" s="16">
        <f>IF(ISERROR(VLOOKUP($A360,'13. Updated Demand'!A:Z,26,FALSE)),0,VLOOKUP($A360,'13. Updated Demand'!A:Z,26,FALSE))</f>
        <v>0</v>
      </c>
      <c r="AJ360" s="16">
        <f t="shared" si="72"/>
        <v>0</v>
      </c>
      <c r="AK360" s="19">
        <v>0</v>
      </c>
      <c r="AL360" s="16">
        <f t="shared" si="70"/>
        <v>0</v>
      </c>
      <c r="AM360" s="17">
        <v>0</v>
      </c>
      <c r="AN360" s="19"/>
      <c r="AO360" s="19"/>
      <c r="AP360" s="19">
        <v>50</v>
      </c>
      <c r="AQ360" s="19" t="s">
        <v>307</v>
      </c>
      <c r="AR360" s="9" t="s">
        <v>319</v>
      </c>
      <c r="AS360" s="12">
        <v>0</v>
      </c>
      <c r="AT360" s="19">
        <v>39.012168879999997</v>
      </c>
      <c r="AU360" s="19">
        <v>-123.11924924</v>
      </c>
      <c r="AV360" s="19" t="s">
        <v>387</v>
      </c>
    </row>
    <row r="361" spans="1:48" x14ac:dyDescent="0.25">
      <c r="A361" s="18" t="s">
        <v>741</v>
      </c>
      <c r="B361" s="10">
        <v>19921215</v>
      </c>
      <c r="C361" s="9">
        <v>5</v>
      </c>
      <c r="D361" s="8" t="str">
        <f t="shared" si="61"/>
        <v>Y</v>
      </c>
      <c r="E361" s="8" t="str">
        <f t="shared" si="62"/>
        <v>N</v>
      </c>
      <c r="F361" s="8" t="str">
        <f t="shared" si="63"/>
        <v>Y</v>
      </c>
      <c r="G361" s="8" t="str">
        <f t="shared" si="64"/>
        <v>Y</v>
      </c>
      <c r="H361" s="8" t="str">
        <f t="shared" si="65"/>
        <v>Upper</v>
      </c>
      <c r="I361" s="8" t="str">
        <f t="shared" si="66"/>
        <v>West Fork and Below Lake</v>
      </c>
      <c r="J361" s="8" t="str">
        <f t="shared" si="67"/>
        <v>Mendocino (d/s of lake)</v>
      </c>
      <c r="K361" s="8" t="str">
        <f t="shared" si="68"/>
        <v>Post-1949</v>
      </c>
      <c r="L361" s="8">
        <f t="shared" si="69"/>
        <v>1992</v>
      </c>
      <c r="M361" s="8" t="str">
        <f t="shared" si="71"/>
        <v>1991-present</v>
      </c>
      <c r="N361" s="10" t="s">
        <v>241</v>
      </c>
      <c r="O361" s="10" t="s">
        <v>241</v>
      </c>
      <c r="P361" s="10" t="s">
        <v>242</v>
      </c>
      <c r="Q361" s="10" t="s">
        <v>242</v>
      </c>
      <c r="R361" s="10" t="s">
        <v>241</v>
      </c>
      <c r="S361" s="10" t="s">
        <v>242</v>
      </c>
      <c r="T361" s="10" t="s">
        <v>241</v>
      </c>
      <c r="U361" s="10" t="s">
        <v>241</v>
      </c>
      <c r="V361" s="10" t="s">
        <v>241</v>
      </c>
      <c r="W361" s="10" t="s">
        <v>242</v>
      </c>
      <c r="X361" s="15">
        <f>IF(ISERROR(VLOOKUP($A361,'13. Updated Demand'!A:Z,15,FALSE)),0,VLOOKUP($A361,'13. Updated Demand'!A:Z,15,FALSE))</f>
        <v>0</v>
      </c>
      <c r="Y361" s="16">
        <f>IF(ISERROR(VLOOKUP($A361,'13. Updated Demand'!A:Z,16,FALSE)),0,VLOOKUP($A361,'13. Updated Demand'!A:Z,16,FALSE))</f>
        <v>0</v>
      </c>
      <c r="Z361" s="16">
        <f>IF(ISERROR(VLOOKUP($A361,'13. Updated Demand'!A:Z,17,FALSE)),0,VLOOKUP($A361,'13. Updated Demand'!A:Z,17,FALSE))</f>
        <v>0</v>
      </c>
      <c r="AA361" s="16">
        <f>IF(ISERROR(VLOOKUP($A361,'13. Updated Demand'!A:Z,18,FALSE)),0,VLOOKUP($A361,'13. Updated Demand'!A:Z,18,FALSE))</f>
        <v>0</v>
      </c>
      <c r="AB361" s="16">
        <f>IF(ISERROR(VLOOKUP($A361,'13. Updated Demand'!A:Z,19,FALSE)),0,VLOOKUP($A361,'13. Updated Demand'!A:Z,19,FALSE))</f>
        <v>0</v>
      </c>
      <c r="AC361" s="16">
        <f>IF(ISERROR(VLOOKUP($A361,'13. Updated Demand'!A:Z,20,FALSE)),0,VLOOKUP($A361,'13. Updated Demand'!A:Z,20,FALSE))</f>
        <v>0</v>
      </c>
      <c r="AD361" s="16">
        <f>IF(ISERROR(VLOOKUP($A361,'13. Updated Demand'!A:Z,21,FALSE)),0,VLOOKUP($A361,'13. Updated Demand'!A:Z,21,FALSE))</f>
        <v>0</v>
      </c>
      <c r="AE361" s="16">
        <f>IF(ISERROR(VLOOKUP($A361,'13. Updated Demand'!A:Z,22,FALSE)),0,VLOOKUP($A361,'13. Updated Demand'!A:Z,22,FALSE))</f>
        <v>0</v>
      </c>
      <c r="AF361" s="16">
        <f>IF(ISERROR(VLOOKUP($A361,'13. Updated Demand'!A:Z,23,FALSE)),0,VLOOKUP($A361,'13. Updated Demand'!A:Z,23,FALSE))</f>
        <v>0</v>
      </c>
      <c r="AG361" s="16">
        <f>IF(ISERROR(VLOOKUP($A361,'13. Updated Demand'!A:Z,24,FALSE)),0,VLOOKUP($A361,'13. Updated Demand'!A:Z,24,FALSE))</f>
        <v>0</v>
      </c>
      <c r="AH361" s="16">
        <f>IF(ISERROR(VLOOKUP($A361,'13. Updated Demand'!A:Z,25,FALSE)),0,VLOOKUP($A361,'13. Updated Demand'!A:Z,25,FALSE))</f>
        <v>0</v>
      </c>
      <c r="AI361" s="16">
        <f>IF(ISERROR(VLOOKUP($A361,'13. Updated Demand'!A:Z,26,FALSE)),0,VLOOKUP($A361,'13. Updated Demand'!A:Z,26,FALSE))</f>
        <v>0</v>
      </c>
      <c r="AJ361" s="16">
        <f t="shared" si="72"/>
        <v>0</v>
      </c>
      <c r="AK361" s="19">
        <v>0</v>
      </c>
      <c r="AL361" s="16">
        <f t="shared" si="70"/>
        <v>0</v>
      </c>
      <c r="AM361" s="17">
        <v>0</v>
      </c>
      <c r="AN361" s="19"/>
      <c r="AO361" s="19"/>
      <c r="AP361" s="19">
        <v>72</v>
      </c>
      <c r="AQ361" s="19" t="s">
        <v>307</v>
      </c>
      <c r="AR361" s="9" t="s">
        <v>333</v>
      </c>
      <c r="AS361" s="12">
        <v>0</v>
      </c>
      <c r="AT361" s="19">
        <v>39.092336799999998</v>
      </c>
      <c r="AU361" s="19">
        <v>-123.17654256</v>
      </c>
      <c r="AV361" s="19" t="s">
        <v>387</v>
      </c>
    </row>
    <row r="362" spans="1:48" x14ac:dyDescent="0.25">
      <c r="A362" s="18" t="s">
        <v>742</v>
      </c>
      <c r="B362" s="10">
        <v>19921205</v>
      </c>
      <c r="C362" s="9">
        <v>6</v>
      </c>
      <c r="D362" s="8" t="str">
        <f t="shared" si="61"/>
        <v>Y</v>
      </c>
      <c r="E362" s="8" t="str">
        <f t="shared" si="62"/>
        <v>N</v>
      </c>
      <c r="F362" s="8" t="str">
        <f t="shared" si="63"/>
        <v>Y</v>
      </c>
      <c r="G362" s="8" t="str">
        <f t="shared" si="64"/>
        <v>Y</v>
      </c>
      <c r="H362" s="8" t="str">
        <f t="shared" si="65"/>
        <v>Upper</v>
      </c>
      <c r="I362" s="8" t="str">
        <f t="shared" si="66"/>
        <v>West Fork and Below Lake</v>
      </c>
      <c r="J362" s="8" t="str">
        <f t="shared" si="67"/>
        <v>Mendocino (d/s of lake)</v>
      </c>
      <c r="K362" s="8" t="str">
        <f t="shared" si="68"/>
        <v>Post-1949</v>
      </c>
      <c r="L362" s="8">
        <f t="shared" si="69"/>
        <v>1992</v>
      </c>
      <c r="M362" s="8" t="str">
        <f t="shared" si="71"/>
        <v>1991-present</v>
      </c>
      <c r="N362" s="10" t="s">
        <v>241</v>
      </c>
      <c r="O362" s="10" t="s">
        <v>241</v>
      </c>
      <c r="P362" s="10" t="s">
        <v>242</v>
      </c>
      <c r="Q362" s="10" t="s">
        <v>242</v>
      </c>
      <c r="R362" s="10" t="s">
        <v>241</v>
      </c>
      <c r="S362" s="10" t="s">
        <v>242</v>
      </c>
      <c r="T362" s="10" t="s">
        <v>241</v>
      </c>
      <c r="U362" s="10" t="s">
        <v>241</v>
      </c>
      <c r="V362" s="10" t="s">
        <v>241</v>
      </c>
      <c r="W362" s="10" t="s">
        <v>242</v>
      </c>
      <c r="X362" s="15">
        <f>IF(ISERROR(VLOOKUP($A362,'13. Updated Demand'!A:Z,15,FALSE)),0,VLOOKUP($A362,'13. Updated Demand'!A:Z,15,FALSE))</f>
        <v>0</v>
      </c>
      <c r="Y362" s="16">
        <f>IF(ISERROR(VLOOKUP($A362,'13. Updated Demand'!A:Z,16,FALSE)),0,VLOOKUP($A362,'13. Updated Demand'!A:Z,16,FALSE))</f>
        <v>0</v>
      </c>
      <c r="Z362" s="16">
        <f>IF(ISERROR(VLOOKUP($A362,'13. Updated Demand'!A:Z,17,FALSE)),0,VLOOKUP($A362,'13. Updated Demand'!A:Z,17,FALSE))</f>
        <v>0</v>
      </c>
      <c r="AA362" s="16">
        <f>IF(ISERROR(VLOOKUP($A362,'13. Updated Demand'!A:Z,18,FALSE)),0,VLOOKUP($A362,'13. Updated Demand'!A:Z,18,FALSE))</f>
        <v>0</v>
      </c>
      <c r="AB362" s="16">
        <f>IF(ISERROR(VLOOKUP($A362,'13. Updated Demand'!A:Z,19,FALSE)),0,VLOOKUP($A362,'13. Updated Demand'!A:Z,19,FALSE))</f>
        <v>0</v>
      </c>
      <c r="AC362" s="16">
        <f>IF(ISERROR(VLOOKUP($A362,'13. Updated Demand'!A:Z,20,FALSE)),0,VLOOKUP($A362,'13. Updated Demand'!A:Z,20,FALSE))</f>
        <v>0</v>
      </c>
      <c r="AD362" s="16">
        <f>IF(ISERROR(VLOOKUP($A362,'13. Updated Demand'!A:Z,21,FALSE)),0,VLOOKUP($A362,'13. Updated Demand'!A:Z,21,FALSE))</f>
        <v>0</v>
      </c>
      <c r="AE362" s="16">
        <f>IF(ISERROR(VLOOKUP($A362,'13. Updated Demand'!A:Z,22,FALSE)),0,VLOOKUP($A362,'13. Updated Demand'!A:Z,22,FALSE))</f>
        <v>0</v>
      </c>
      <c r="AF362" s="16">
        <f>IF(ISERROR(VLOOKUP($A362,'13. Updated Demand'!A:Z,23,FALSE)),0,VLOOKUP($A362,'13. Updated Demand'!A:Z,23,FALSE))</f>
        <v>0</v>
      </c>
      <c r="AG362" s="16">
        <f>IF(ISERROR(VLOOKUP($A362,'13. Updated Demand'!A:Z,24,FALSE)),0,VLOOKUP($A362,'13. Updated Demand'!A:Z,24,FALSE))</f>
        <v>0</v>
      </c>
      <c r="AH362" s="16">
        <f>IF(ISERROR(VLOOKUP($A362,'13. Updated Demand'!A:Z,25,FALSE)),0,VLOOKUP($A362,'13. Updated Demand'!A:Z,25,FALSE))</f>
        <v>0</v>
      </c>
      <c r="AI362" s="16">
        <f>IF(ISERROR(VLOOKUP($A362,'13. Updated Demand'!A:Z,26,FALSE)),0,VLOOKUP($A362,'13. Updated Demand'!A:Z,26,FALSE))</f>
        <v>0</v>
      </c>
      <c r="AJ362" s="16">
        <f t="shared" si="72"/>
        <v>0</v>
      </c>
      <c r="AK362" s="19">
        <v>0</v>
      </c>
      <c r="AL362" s="16">
        <f t="shared" si="70"/>
        <v>0</v>
      </c>
      <c r="AM362" s="17">
        <v>0</v>
      </c>
      <c r="AN362" s="19"/>
      <c r="AO362" s="19"/>
      <c r="AP362" s="19">
        <v>338</v>
      </c>
      <c r="AQ362" s="19" t="s">
        <v>307</v>
      </c>
      <c r="AR362" s="9" t="s">
        <v>319</v>
      </c>
      <c r="AS362" s="12">
        <v>0</v>
      </c>
      <c r="AT362" s="19">
        <v>38.994055279999998</v>
      </c>
      <c r="AU362" s="19">
        <v>-123.13181647</v>
      </c>
      <c r="AV362" s="19" t="s">
        <v>417</v>
      </c>
    </row>
    <row r="363" spans="1:48" x14ac:dyDescent="0.25">
      <c r="A363" s="18" t="s">
        <v>743</v>
      </c>
      <c r="B363" s="10">
        <v>19921215</v>
      </c>
      <c r="C363" s="9">
        <v>5</v>
      </c>
      <c r="D363" s="8" t="str">
        <f t="shared" si="61"/>
        <v>Y</v>
      </c>
      <c r="E363" s="8" t="str">
        <f t="shared" si="62"/>
        <v>N</v>
      </c>
      <c r="F363" s="8" t="str">
        <f t="shared" si="63"/>
        <v>Y</v>
      </c>
      <c r="G363" s="8" t="str">
        <f t="shared" si="64"/>
        <v>Y</v>
      </c>
      <c r="H363" s="8" t="str">
        <f t="shared" si="65"/>
        <v>Upper</v>
      </c>
      <c r="I363" s="8" t="str">
        <f t="shared" si="66"/>
        <v>West Fork and Below Lake</v>
      </c>
      <c r="J363" s="8" t="str">
        <f t="shared" si="67"/>
        <v>Mendocino (d/s of lake)</v>
      </c>
      <c r="K363" s="8" t="str">
        <f t="shared" si="68"/>
        <v>Post-1949</v>
      </c>
      <c r="L363" s="8">
        <f t="shared" si="69"/>
        <v>1992</v>
      </c>
      <c r="M363" s="8" t="str">
        <f t="shared" si="71"/>
        <v>1991-present</v>
      </c>
      <c r="N363" s="10" t="s">
        <v>241</v>
      </c>
      <c r="O363" s="10" t="s">
        <v>241</v>
      </c>
      <c r="P363" s="10" t="s">
        <v>242</v>
      </c>
      <c r="Q363" s="10" t="s">
        <v>242</v>
      </c>
      <c r="R363" s="10" t="s">
        <v>241</v>
      </c>
      <c r="S363" s="10" t="s">
        <v>242</v>
      </c>
      <c r="T363" s="10" t="s">
        <v>242</v>
      </c>
      <c r="U363" s="10" t="s">
        <v>241</v>
      </c>
      <c r="V363" s="10" t="s">
        <v>241</v>
      </c>
      <c r="W363" s="10" t="s">
        <v>242</v>
      </c>
      <c r="X363" s="15">
        <f>IF(ISERROR(VLOOKUP($A363,'13. Updated Demand'!A:Z,15,FALSE)),0,VLOOKUP($A363,'13. Updated Demand'!A:Z,15,FALSE))</f>
        <v>0</v>
      </c>
      <c r="Y363" s="16">
        <f>IF(ISERROR(VLOOKUP($A363,'13. Updated Demand'!A:Z,16,FALSE)),0,VLOOKUP($A363,'13. Updated Demand'!A:Z,16,FALSE))</f>
        <v>0</v>
      </c>
      <c r="Z363" s="16">
        <f>IF(ISERROR(VLOOKUP($A363,'13. Updated Demand'!A:Z,17,FALSE)),0,VLOOKUP($A363,'13. Updated Demand'!A:Z,17,FALSE))</f>
        <v>0</v>
      </c>
      <c r="AA363" s="16">
        <f>IF(ISERROR(VLOOKUP($A363,'13. Updated Demand'!A:Z,18,FALSE)),0,VLOOKUP($A363,'13. Updated Demand'!A:Z,18,FALSE))</f>
        <v>0</v>
      </c>
      <c r="AB363" s="16">
        <f>IF(ISERROR(VLOOKUP($A363,'13. Updated Demand'!A:Z,19,FALSE)),0,VLOOKUP($A363,'13. Updated Demand'!A:Z,19,FALSE))</f>
        <v>0</v>
      </c>
      <c r="AC363" s="16">
        <f>IF(ISERROR(VLOOKUP($A363,'13. Updated Demand'!A:Z,20,FALSE)),0,VLOOKUP($A363,'13. Updated Demand'!A:Z,20,FALSE))</f>
        <v>0</v>
      </c>
      <c r="AD363" s="16">
        <f>IF(ISERROR(VLOOKUP($A363,'13. Updated Demand'!A:Z,21,FALSE)),0,VLOOKUP($A363,'13. Updated Demand'!A:Z,21,FALSE))</f>
        <v>0</v>
      </c>
      <c r="AE363" s="16">
        <f>IF(ISERROR(VLOOKUP($A363,'13. Updated Demand'!A:Z,22,FALSE)),0,VLOOKUP($A363,'13. Updated Demand'!A:Z,22,FALSE))</f>
        <v>0</v>
      </c>
      <c r="AF363" s="16">
        <f>IF(ISERROR(VLOOKUP($A363,'13. Updated Demand'!A:Z,23,FALSE)),0,VLOOKUP($A363,'13. Updated Demand'!A:Z,23,FALSE))</f>
        <v>0</v>
      </c>
      <c r="AG363" s="16">
        <f>IF(ISERROR(VLOOKUP($A363,'13. Updated Demand'!A:Z,24,FALSE)),0,VLOOKUP($A363,'13. Updated Demand'!A:Z,24,FALSE))</f>
        <v>0</v>
      </c>
      <c r="AH363" s="16">
        <f>IF(ISERROR(VLOOKUP($A363,'13. Updated Demand'!A:Z,25,FALSE)),0,VLOOKUP($A363,'13. Updated Demand'!A:Z,25,FALSE))</f>
        <v>0</v>
      </c>
      <c r="AI363" s="16">
        <f>IF(ISERROR(VLOOKUP($A363,'13. Updated Demand'!A:Z,26,FALSE)),0,VLOOKUP($A363,'13. Updated Demand'!A:Z,26,FALSE))</f>
        <v>0</v>
      </c>
      <c r="AJ363" s="16">
        <f t="shared" si="72"/>
        <v>0</v>
      </c>
      <c r="AK363" s="19">
        <v>0</v>
      </c>
      <c r="AL363" s="16">
        <f t="shared" si="70"/>
        <v>0</v>
      </c>
      <c r="AM363" s="17">
        <v>0</v>
      </c>
      <c r="AN363" s="19"/>
      <c r="AO363" s="19"/>
      <c r="AP363" s="19">
        <v>91</v>
      </c>
      <c r="AQ363" s="19" t="s">
        <v>307</v>
      </c>
      <c r="AR363" s="9" t="s">
        <v>333</v>
      </c>
      <c r="AS363" s="12">
        <v>3.4039024194010059E-4</v>
      </c>
      <c r="AT363" s="19">
        <v>39.092336799999998</v>
      </c>
      <c r="AU363" s="19">
        <v>-123.17654256</v>
      </c>
      <c r="AV363" s="19" t="s">
        <v>387</v>
      </c>
    </row>
    <row r="364" spans="1:48" x14ac:dyDescent="0.25">
      <c r="A364" s="18" t="s">
        <v>744</v>
      </c>
      <c r="B364" s="10">
        <v>19921215</v>
      </c>
      <c r="C364" s="9">
        <v>6</v>
      </c>
      <c r="D364" s="8" t="str">
        <f t="shared" si="61"/>
        <v>Y</v>
      </c>
      <c r="E364" s="8" t="str">
        <f t="shared" si="62"/>
        <v>N</v>
      </c>
      <c r="F364" s="8" t="str">
        <f t="shared" si="63"/>
        <v>Y</v>
      </c>
      <c r="G364" s="8" t="str">
        <f t="shared" si="64"/>
        <v>Y</v>
      </c>
      <c r="H364" s="8" t="str">
        <f t="shared" si="65"/>
        <v>Upper</v>
      </c>
      <c r="I364" s="8" t="str">
        <f t="shared" si="66"/>
        <v>West Fork and Below Lake</v>
      </c>
      <c r="J364" s="8" t="str">
        <f t="shared" si="67"/>
        <v>Mendocino (d/s of lake)</v>
      </c>
      <c r="K364" s="8" t="str">
        <f t="shared" si="68"/>
        <v>Post-1949</v>
      </c>
      <c r="L364" s="8">
        <f t="shared" si="69"/>
        <v>1992</v>
      </c>
      <c r="M364" s="8" t="str">
        <f t="shared" si="71"/>
        <v>1991-present</v>
      </c>
      <c r="N364" s="10" t="s">
        <v>241</v>
      </c>
      <c r="O364" s="10" t="s">
        <v>241</v>
      </c>
      <c r="P364" s="10" t="s">
        <v>242</v>
      </c>
      <c r="Q364" s="10" t="s">
        <v>242</v>
      </c>
      <c r="R364" s="10" t="s">
        <v>241</v>
      </c>
      <c r="S364" s="10" t="s">
        <v>242</v>
      </c>
      <c r="T364" s="10" t="s">
        <v>241</v>
      </c>
      <c r="U364" s="10" t="s">
        <v>241</v>
      </c>
      <c r="V364" s="10" t="s">
        <v>241</v>
      </c>
      <c r="W364" s="10" t="s">
        <v>242</v>
      </c>
      <c r="X364" s="15">
        <f>IF(ISERROR(VLOOKUP($A364,'13. Updated Demand'!A:Z,15,FALSE)),0,VLOOKUP($A364,'13. Updated Demand'!A:Z,15,FALSE))</f>
        <v>0</v>
      </c>
      <c r="Y364" s="16">
        <f>IF(ISERROR(VLOOKUP($A364,'13. Updated Demand'!A:Z,16,FALSE)),0,VLOOKUP($A364,'13. Updated Demand'!A:Z,16,FALSE))</f>
        <v>0</v>
      </c>
      <c r="Z364" s="16">
        <f>IF(ISERROR(VLOOKUP($A364,'13. Updated Demand'!A:Z,17,FALSE)),0,VLOOKUP($A364,'13. Updated Demand'!A:Z,17,FALSE))</f>
        <v>0</v>
      </c>
      <c r="AA364" s="16">
        <f>IF(ISERROR(VLOOKUP($A364,'13. Updated Demand'!A:Z,18,FALSE)),0,VLOOKUP($A364,'13. Updated Demand'!A:Z,18,FALSE))</f>
        <v>0</v>
      </c>
      <c r="AB364" s="16">
        <f>IF(ISERROR(VLOOKUP($A364,'13. Updated Demand'!A:Z,19,FALSE)),0,VLOOKUP($A364,'13. Updated Demand'!A:Z,19,FALSE))</f>
        <v>0</v>
      </c>
      <c r="AC364" s="16">
        <f>IF(ISERROR(VLOOKUP($A364,'13. Updated Demand'!A:Z,20,FALSE)),0,VLOOKUP($A364,'13. Updated Demand'!A:Z,20,FALSE))</f>
        <v>0</v>
      </c>
      <c r="AD364" s="16">
        <f>IF(ISERROR(VLOOKUP($A364,'13. Updated Demand'!A:Z,21,FALSE)),0,VLOOKUP($A364,'13. Updated Demand'!A:Z,21,FALSE))</f>
        <v>0</v>
      </c>
      <c r="AE364" s="16">
        <f>IF(ISERROR(VLOOKUP($A364,'13. Updated Demand'!A:Z,22,FALSE)),0,VLOOKUP($A364,'13. Updated Demand'!A:Z,22,FALSE))</f>
        <v>0</v>
      </c>
      <c r="AF364" s="16">
        <f>IF(ISERROR(VLOOKUP($A364,'13. Updated Demand'!A:Z,23,FALSE)),0,VLOOKUP($A364,'13. Updated Demand'!A:Z,23,FALSE))</f>
        <v>0</v>
      </c>
      <c r="AG364" s="16">
        <f>IF(ISERROR(VLOOKUP($A364,'13. Updated Demand'!A:Z,24,FALSE)),0,VLOOKUP($A364,'13. Updated Demand'!A:Z,24,FALSE))</f>
        <v>0</v>
      </c>
      <c r="AH364" s="16">
        <f>IF(ISERROR(VLOOKUP($A364,'13. Updated Demand'!A:Z,25,FALSE)),0,VLOOKUP($A364,'13. Updated Demand'!A:Z,25,FALSE))</f>
        <v>0</v>
      </c>
      <c r="AI364" s="16">
        <f>IF(ISERROR(VLOOKUP($A364,'13. Updated Demand'!A:Z,26,FALSE)),0,VLOOKUP($A364,'13. Updated Demand'!A:Z,26,FALSE))</f>
        <v>0</v>
      </c>
      <c r="AJ364" s="16">
        <f t="shared" si="72"/>
        <v>0</v>
      </c>
      <c r="AK364" s="19">
        <v>0</v>
      </c>
      <c r="AL364" s="16">
        <f t="shared" si="70"/>
        <v>0</v>
      </c>
      <c r="AM364" s="17">
        <v>0</v>
      </c>
      <c r="AN364" s="19"/>
      <c r="AO364" s="19"/>
      <c r="AP364" s="19">
        <v>52</v>
      </c>
      <c r="AQ364" s="19" t="s">
        <v>307</v>
      </c>
      <c r="AR364" s="9" t="s">
        <v>319</v>
      </c>
      <c r="AS364" s="12">
        <v>3.4039024194010059E-4</v>
      </c>
      <c r="AT364" s="19">
        <v>39.011000000000003</v>
      </c>
      <c r="AU364" s="19">
        <v>-123.113</v>
      </c>
      <c r="AV364" s="19" t="s">
        <v>417</v>
      </c>
    </row>
    <row r="365" spans="1:48" x14ac:dyDescent="0.25">
      <c r="A365" s="18" t="s">
        <v>745</v>
      </c>
      <c r="B365" s="10">
        <v>19921205</v>
      </c>
      <c r="C365" s="9">
        <v>6</v>
      </c>
      <c r="D365" s="8" t="str">
        <f t="shared" si="61"/>
        <v>Y</v>
      </c>
      <c r="E365" s="8" t="str">
        <f t="shared" si="62"/>
        <v>N</v>
      </c>
      <c r="F365" s="8" t="str">
        <f t="shared" si="63"/>
        <v>Y</v>
      </c>
      <c r="G365" s="8" t="str">
        <f t="shared" si="64"/>
        <v>Y</v>
      </c>
      <c r="H365" s="8" t="str">
        <f t="shared" si="65"/>
        <v>Upper</v>
      </c>
      <c r="I365" s="8" t="str">
        <f t="shared" si="66"/>
        <v>West Fork and Below Lake</v>
      </c>
      <c r="J365" s="8" t="str">
        <f t="shared" si="67"/>
        <v>Mendocino (d/s of lake)</v>
      </c>
      <c r="K365" s="8" t="str">
        <f t="shared" si="68"/>
        <v>Post-1949</v>
      </c>
      <c r="L365" s="8">
        <f t="shared" si="69"/>
        <v>1992</v>
      </c>
      <c r="M365" s="8" t="str">
        <f t="shared" si="71"/>
        <v>1991-present</v>
      </c>
      <c r="N365" s="10" t="s">
        <v>241</v>
      </c>
      <c r="O365" s="10" t="s">
        <v>241</v>
      </c>
      <c r="P365" s="10" t="s">
        <v>242</v>
      </c>
      <c r="Q365" s="10" t="s">
        <v>242</v>
      </c>
      <c r="R365" s="10" t="s">
        <v>241</v>
      </c>
      <c r="S365" s="10" t="s">
        <v>242</v>
      </c>
      <c r="T365" s="10" t="s">
        <v>241</v>
      </c>
      <c r="U365" s="10" t="s">
        <v>241</v>
      </c>
      <c r="V365" s="10" t="s">
        <v>241</v>
      </c>
      <c r="W365" s="10" t="s">
        <v>242</v>
      </c>
      <c r="X365" s="15">
        <f>IF(ISERROR(VLOOKUP($A365,'13. Updated Demand'!A:Z,15,FALSE)),0,VLOOKUP($A365,'13. Updated Demand'!A:Z,15,FALSE))</f>
        <v>0</v>
      </c>
      <c r="Y365" s="16">
        <f>IF(ISERROR(VLOOKUP($A365,'13. Updated Demand'!A:Z,16,FALSE)),0,VLOOKUP($A365,'13. Updated Demand'!A:Z,16,FALSE))</f>
        <v>0</v>
      </c>
      <c r="Z365" s="16">
        <f>IF(ISERROR(VLOOKUP($A365,'13. Updated Demand'!A:Z,17,FALSE)),0,VLOOKUP($A365,'13. Updated Demand'!A:Z,17,FALSE))</f>
        <v>0</v>
      </c>
      <c r="AA365" s="16">
        <f>IF(ISERROR(VLOOKUP($A365,'13. Updated Demand'!A:Z,18,FALSE)),0,VLOOKUP($A365,'13. Updated Demand'!A:Z,18,FALSE))</f>
        <v>0</v>
      </c>
      <c r="AB365" s="16">
        <f>IF(ISERROR(VLOOKUP($A365,'13. Updated Demand'!A:Z,19,FALSE)),0,VLOOKUP($A365,'13. Updated Demand'!A:Z,19,FALSE))</f>
        <v>0</v>
      </c>
      <c r="AC365" s="16">
        <f>IF(ISERROR(VLOOKUP($A365,'13. Updated Demand'!A:Z,20,FALSE)),0,VLOOKUP($A365,'13. Updated Demand'!A:Z,20,FALSE))</f>
        <v>0</v>
      </c>
      <c r="AD365" s="16">
        <f>IF(ISERROR(VLOOKUP($A365,'13. Updated Demand'!A:Z,21,FALSE)),0,VLOOKUP($A365,'13. Updated Demand'!A:Z,21,FALSE))</f>
        <v>0</v>
      </c>
      <c r="AE365" s="16">
        <f>IF(ISERROR(VLOOKUP($A365,'13. Updated Demand'!A:Z,22,FALSE)),0,VLOOKUP($A365,'13. Updated Demand'!A:Z,22,FALSE))</f>
        <v>0</v>
      </c>
      <c r="AF365" s="16">
        <f>IF(ISERROR(VLOOKUP($A365,'13. Updated Demand'!A:Z,23,FALSE)),0,VLOOKUP($A365,'13. Updated Demand'!A:Z,23,FALSE))</f>
        <v>0</v>
      </c>
      <c r="AG365" s="16">
        <f>IF(ISERROR(VLOOKUP($A365,'13. Updated Demand'!A:Z,24,FALSE)),0,VLOOKUP($A365,'13. Updated Demand'!A:Z,24,FALSE))</f>
        <v>0</v>
      </c>
      <c r="AH365" s="16">
        <f>IF(ISERROR(VLOOKUP($A365,'13. Updated Demand'!A:Z,25,FALSE)),0,VLOOKUP($A365,'13. Updated Demand'!A:Z,25,FALSE))</f>
        <v>0</v>
      </c>
      <c r="AI365" s="16">
        <f>IF(ISERROR(VLOOKUP($A365,'13. Updated Demand'!A:Z,26,FALSE)),0,VLOOKUP($A365,'13. Updated Demand'!A:Z,26,FALSE))</f>
        <v>0</v>
      </c>
      <c r="AJ365" s="16">
        <f t="shared" si="72"/>
        <v>0</v>
      </c>
      <c r="AK365" s="19">
        <v>0</v>
      </c>
      <c r="AL365" s="16">
        <f t="shared" si="70"/>
        <v>0</v>
      </c>
      <c r="AM365" s="17">
        <v>0</v>
      </c>
      <c r="AN365" s="19"/>
      <c r="AO365" s="19"/>
      <c r="AP365" s="19">
        <v>21.5</v>
      </c>
      <c r="AQ365" s="19" t="s">
        <v>307</v>
      </c>
      <c r="AR365" s="9" t="s">
        <v>319</v>
      </c>
      <c r="AS365" s="12">
        <v>0</v>
      </c>
      <c r="AT365" s="19">
        <v>38.964372259999998</v>
      </c>
      <c r="AU365" s="19">
        <v>-123.09211573</v>
      </c>
      <c r="AV365" s="19" t="s">
        <v>548</v>
      </c>
    </row>
    <row r="366" spans="1:48" x14ac:dyDescent="0.25">
      <c r="A366" s="18" t="s">
        <v>746</v>
      </c>
      <c r="B366" s="10">
        <v>19921205</v>
      </c>
      <c r="C366" s="9">
        <v>6</v>
      </c>
      <c r="D366" s="8" t="str">
        <f t="shared" si="61"/>
        <v>Y</v>
      </c>
      <c r="E366" s="8" t="str">
        <f t="shared" si="62"/>
        <v>N</v>
      </c>
      <c r="F366" s="8" t="str">
        <f t="shared" si="63"/>
        <v>Y</v>
      </c>
      <c r="G366" s="8" t="str">
        <f t="shared" si="64"/>
        <v>Y</v>
      </c>
      <c r="H366" s="8" t="str">
        <f t="shared" si="65"/>
        <v>Upper</v>
      </c>
      <c r="I366" s="8" t="str">
        <f t="shared" si="66"/>
        <v>West Fork and Below Lake</v>
      </c>
      <c r="J366" s="8" t="str">
        <f t="shared" si="67"/>
        <v>Mendocino (d/s of lake)</v>
      </c>
      <c r="K366" s="8" t="str">
        <f t="shared" si="68"/>
        <v>Post-1949</v>
      </c>
      <c r="L366" s="8">
        <f t="shared" si="69"/>
        <v>1992</v>
      </c>
      <c r="M366" s="8" t="str">
        <f t="shared" si="71"/>
        <v>1991-present</v>
      </c>
      <c r="N366" s="10" t="s">
        <v>241</v>
      </c>
      <c r="O366" s="10" t="s">
        <v>241</v>
      </c>
      <c r="P366" s="10" t="s">
        <v>242</v>
      </c>
      <c r="Q366" s="10" t="s">
        <v>242</v>
      </c>
      <c r="R366" s="10" t="s">
        <v>241</v>
      </c>
      <c r="S366" s="10" t="s">
        <v>242</v>
      </c>
      <c r="T366" s="10" t="s">
        <v>241</v>
      </c>
      <c r="U366" s="10" t="s">
        <v>241</v>
      </c>
      <c r="V366" s="10" t="s">
        <v>241</v>
      </c>
      <c r="W366" s="10" t="s">
        <v>242</v>
      </c>
      <c r="X366" s="15">
        <f>IF(ISERROR(VLOOKUP($A366,'13. Updated Demand'!A:Z,15,FALSE)),0,VLOOKUP($A366,'13. Updated Demand'!A:Z,15,FALSE))</f>
        <v>0</v>
      </c>
      <c r="Y366" s="16">
        <f>IF(ISERROR(VLOOKUP($A366,'13. Updated Demand'!A:Z,16,FALSE)),0,VLOOKUP($A366,'13. Updated Demand'!A:Z,16,FALSE))</f>
        <v>0</v>
      </c>
      <c r="Z366" s="16">
        <f>IF(ISERROR(VLOOKUP($A366,'13. Updated Demand'!A:Z,17,FALSE)),0,VLOOKUP($A366,'13. Updated Demand'!A:Z,17,FALSE))</f>
        <v>0</v>
      </c>
      <c r="AA366" s="16">
        <f>IF(ISERROR(VLOOKUP($A366,'13. Updated Demand'!A:Z,18,FALSE)),0,VLOOKUP($A366,'13. Updated Demand'!A:Z,18,FALSE))</f>
        <v>0</v>
      </c>
      <c r="AB366" s="16">
        <f>IF(ISERROR(VLOOKUP($A366,'13. Updated Demand'!A:Z,19,FALSE)),0,VLOOKUP($A366,'13. Updated Demand'!A:Z,19,FALSE))</f>
        <v>0</v>
      </c>
      <c r="AC366" s="16">
        <f>IF(ISERROR(VLOOKUP($A366,'13. Updated Demand'!A:Z,20,FALSE)),0,VLOOKUP($A366,'13. Updated Demand'!A:Z,20,FALSE))</f>
        <v>0</v>
      </c>
      <c r="AD366" s="16">
        <f>IF(ISERROR(VLOOKUP($A366,'13. Updated Demand'!A:Z,21,FALSE)),0,VLOOKUP($A366,'13. Updated Demand'!A:Z,21,FALSE))</f>
        <v>0</v>
      </c>
      <c r="AE366" s="16">
        <f>IF(ISERROR(VLOOKUP($A366,'13. Updated Demand'!A:Z,22,FALSE)),0,VLOOKUP($A366,'13. Updated Demand'!A:Z,22,FALSE))</f>
        <v>0</v>
      </c>
      <c r="AF366" s="16">
        <f>IF(ISERROR(VLOOKUP($A366,'13. Updated Demand'!A:Z,23,FALSE)),0,VLOOKUP($A366,'13. Updated Demand'!A:Z,23,FALSE))</f>
        <v>0</v>
      </c>
      <c r="AG366" s="16">
        <f>IF(ISERROR(VLOOKUP($A366,'13. Updated Demand'!A:Z,24,FALSE)),0,VLOOKUP($A366,'13. Updated Demand'!A:Z,24,FALSE))</f>
        <v>0</v>
      </c>
      <c r="AH366" s="16">
        <f>IF(ISERROR(VLOOKUP($A366,'13. Updated Demand'!A:Z,25,FALSE)),0,VLOOKUP($A366,'13. Updated Demand'!A:Z,25,FALSE))</f>
        <v>0</v>
      </c>
      <c r="AI366" s="16">
        <f>IF(ISERROR(VLOOKUP($A366,'13. Updated Demand'!A:Z,26,FALSE)),0,VLOOKUP($A366,'13. Updated Demand'!A:Z,26,FALSE))</f>
        <v>0</v>
      </c>
      <c r="AJ366" s="16">
        <f t="shared" si="72"/>
        <v>0</v>
      </c>
      <c r="AK366" s="19">
        <v>0</v>
      </c>
      <c r="AL366" s="16">
        <f t="shared" si="70"/>
        <v>0</v>
      </c>
      <c r="AM366" s="17">
        <v>0</v>
      </c>
      <c r="AN366" s="19"/>
      <c r="AO366" s="19"/>
      <c r="AP366" s="19">
        <v>30</v>
      </c>
      <c r="AQ366" s="19" t="s">
        <v>307</v>
      </c>
      <c r="AR366" s="9" t="s">
        <v>319</v>
      </c>
      <c r="AS366" s="12">
        <v>0</v>
      </c>
      <c r="AT366" s="19">
        <v>38.961239089999999</v>
      </c>
      <c r="AU366" s="19">
        <v>-123.10340549</v>
      </c>
      <c r="AV366" s="19" t="s">
        <v>548</v>
      </c>
    </row>
    <row r="367" spans="1:48" x14ac:dyDescent="0.25">
      <c r="A367" s="18" t="s">
        <v>747</v>
      </c>
      <c r="B367" s="10">
        <v>19920407</v>
      </c>
      <c r="C367" s="9">
        <v>15</v>
      </c>
      <c r="D367" s="8" t="str">
        <f t="shared" si="61"/>
        <v>N</v>
      </c>
      <c r="E367" s="8" t="str">
        <f t="shared" si="62"/>
        <v>N</v>
      </c>
      <c r="F367" s="8" t="str">
        <f t="shared" si="63"/>
        <v>N</v>
      </c>
      <c r="G367" s="8" t="str">
        <f t="shared" si="64"/>
        <v>N</v>
      </c>
      <c r="H367" s="8" t="str">
        <f t="shared" si="65"/>
        <v>Lower</v>
      </c>
      <c r="I367" s="8" t="str">
        <f t="shared" si="66"/>
        <v>Outside</v>
      </c>
      <c r="J367" s="8" t="str">
        <f t="shared" si="67"/>
        <v>Outside</v>
      </c>
      <c r="K367" s="8" t="str">
        <f t="shared" si="68"/>
        <v>Post-1949</v>
      </c>
      <c r="L367" s="8">
        <f t="shared" si="69"/>
        <v>1992</v>
      </c>
      <c r="M367" s="8" t="str">
        <f t="shared" si="71"/>
        <v>1991-present</v>
      </c>
      <c r="N367" s="10" t="s">
        <v>242</v>
      </c>
      <c r="O367" s="10" t="s">
        <v>242</v>
      </c>
      <c r="P367" s="10" t="s">
        <v>242</v>
      </c>
      <c r="Q367" s="10" t="s">
        <v>242</v>
      </c>
      <c r="R367" s="10" t="s">
        <v>241</v>
      </c>
      <c r="S367" s="10" t="s">
        <v>242</v>
      </c>
      <c r="T367" s="10" t="s">
        <v>242</v>
      </c>
      <c r="U367" s="10" t="s">
        <v>241</v>
      </c>
      <c r="V367" s="10" t="s">
        <v>241</v>
      </c>
      <c r="W367" s="10" t="s">
        <v>242</v>
      </c>
      <c r="X367" s="15">
        <f>IF(ISERROR(VLOOKUP($A367,'13. Updated Demand'!A:Z,15,FALSE)),0,VLOOKUP($A367,'13. Updated Demand'!A:Z,15,FALSE))</f>
        <v>0</v>
      </c>
      <c r="Y367" s="16">
        <f>IF(ISERROR(VLOOKUP($A367,'13. Updated Demand'!A:Z,16,FALSE)),0,VLOOKUP($A367,'13. Updated Demand'!A:Z,16,FALSE))</f>
        <v>0</v>
      </c>
      <c r="Z367" s="16">
        <f>IF(ISERROR(VLOOKUP($A367,'13. Updated Demand'!A:Z,17,FALSE)),0,VLOOKUP($A367,'13. Updated Demand'!A:Z,17,FALSE))</f>
        <v>0</v>
      </c>
      <c r="AA367" s="16">
        <f>IF(ISERROR(VLOOKUP($A367,'13. Updated Demand'!A:Z,18,FALSE)),0,VLOOKUP($A367,'13. Updated Demand'!A:Z,18,FALSE))</f>
        <v>0</v>
      </c>
      <c r="AB367" s="16">
        <f>IF(ISERROR(VLOOKUP($A367,'13. Updated Demand'!A:Z,19,FALSE)),0,VLOOKUP($A367,'13. Updated Demand'!A:Z,19,FALSE))</f>
        <v>0</v>
      </c>
      <c r="AC367" s="16">
        <f>IF(ISERROR(VLOOKUP($A367,'13. Updated Demand'!A:Z,20,FALSE)),0,VLOOKUP($A367,'13. Updated Demand'!A:Z,20,FALSE))</f>
        <v>0</v>
      </c>
      <c r="AD367" s="16">
        <f>IF(ISERROR(VLOOKUP($A367,'13. Updated Demand'!A:Z,21,FALSE)),0,VLOOKUP($A367,'13. Updated Demand'!A:Z,21,FALSE))</f>
        <v>0</v>
      </c>
      <c r="AE367" s="16">
        <f>IF(ISERROR(VLOOKUP($A367,'13. Updated Demand'!A:Z,22,FALSE)),0,VLOOKUP($A367,'13. Updated Demand'!A:Z,22,FALSE))</f>
        <v>0</v>
      </c>
      <c r="AF367" s="16">
        <f>IF(ISERROR(VLOOKUP($A367,'13. Updated Demand'!A:Z,23,FALSE)),0,VLOOKUP($A367,'13. Updated Demand'!A:Z,23,FALSE))</f>
        <v>0</v>
      </c>
      <c r="AG367" s="16">
        <f>IF(ISERROR(VLOOKUP($A367,'13. Updated Demand'!A:Z,24,FALSE)),0,VLOOKUP($A367,'13. Updated Demand'!A:Z,24,FALSE))</f>
        <v>0</v>
      </c>
      <c r="AH367" s="16">
        <f>IF(ISERROR(VLOOKUP($A367,'13. Updated Demand'!A:Z,25,FALSE)),0,VLOOKUP($A367,'13. Updated Demand'!A:Z,25,FALSE))</f>
        <v>0</v>
      </c>
      <c r="AI367" s="16">
        <f>IF(ISERROR(VLOOKUP($A367,'13. Updated Demand'!A:Z,26,FALSE)),0,VLOOKUP($A367,'13. Updated Demand'!A:Z,26,FALSE))</f>
        <v>0</v>
      </c>
      <c r="AJ367" s="16">
        <f t="shared" si="72"/>
        <v>0</v>
      </c>
      <c r="AK367" s="19">
        <v>0</v>
      </c>
      <c r="AL367" s="16">
        <f t="shared" si="70"/>
        <v>0</v>
      </c>
      <c r="AM367" s="17">
        <v>0</v>
      </c>
      <c r="AN367" s="19"/>
      <c r="AO367" s="19"/>
      <c r="AP367" s="19">
        <v>8</v>
      </c>
      <c r="AQ367" s="19" t="s">
        <v>307</v>
      </c>
      <c r="AR367" s="9" t="s">
        <v>489</v>
      </c>
      <c r="AS367" s="12">
        <v>3.4039024194010059E-4</v>
      </c>
      <c r="AT367" s="19">
        <v>38.690542979999996</v>
      </c>
      <c r="AU367" s="19">
        <v>-122.94146166</v>
      </c>
      <c r="AV367" s="19" t="s">
        <v>417</v>
      </c>
    </row>
    <row r="368" spans="1:48" x14ac:dyDescent="0.25">
      <c r="A368" s="18" t="s">
        <v>748</v>
      </c>
      <c r="B368" s="10">
        <v>19921215</v>
      </c>
      <c r="C368" s="9">
        <v>13</v>
      </c>
      <c r="D368" s="8" t="str">
        <f t="shared" si="61"/>
        <v>N</v>
      </c>
      <c r="E368" s="8" t="str">
        <f t="shared" si="62"/>
        <v>Y</v>
      </c>
      <c r="F368" s="8" t="str">
        <f t="shared" si="63"/>
        <v>Y</v>
      </c>
      <c r="G368" s="8" t="str">
        <f t="shared" si="64"/>
        <v>Y</v>
      </c>
      <c r="H368" s="8" t="str">
        <f t="shared" si="65"/>
        <v>Upper</v>
      </c>
      <c r="I368" s="8" t="str">
        <f t="shared" si="66"/>
        <v>West Fork and Below Lake</v>
      </c>
      <c r="J368" s="8" t="str">
        <f t="shared" si="67"/>
        <v>Sonoma (d/s of Clov. Gage)</v>
      </c>
      <c r="K368" s="8" t="str">
        <f t="shared" si="68"/>
        <v>Post-1949</v>
      </c>
      <c r="L368" s="8">
        <f t="shared" si="69"/>
        <v>1992</v>
      </c>
      <c r="M368" s="8" t="str">
        <f t="shared" si="71"/>
        <v>1991-present</v>
      </c>
      <c r="N368" s="10" t="s">
        <v>241</v>
      </c>
      <c r="O368" s="10" t="s">
        <v>241</v>
      </c>
      <c r="P368" s="10" t="s">
        <v>242</v>
      </c>
      <c r="Q368" s="10" t="s">
        <v>242</v>
      </c>
      <c r="R368" s="10" t="s">
        <v>241</v>
      </c>
      <c r="S368" s="10" t="s">
        <v>242</v>
      </c>
      <c r="T368" s="10" t="s">
        <v>242</v>
      </c>
      <c r="U368" s="10" t="s">
        <v>242</v>
      </c>
      <c r="V368" s="10" t="s">
        <v>242</v>
      </c>
      <c r="W368" s="10" t="s">
        <v>242</v>
      </c>
      <c r="X368" s="15">
        <f>IF(ISERROR(VLOOKUP($A368,'13. Updated Demand'!A:Z,15,FALSE)),0,VLOOKUP($A368,'13. Updated Demand'!A:Z,15,FALSE))</f>
        <v>0.04</v>
      </c>
      <c r="Y368" s="16">
        <f>IF(ISERROR(VLOOKUP($A368,'13. Updated Demand'!A:Z,16,FALSE)),0,VLOOKUP($A368,'13. Updated Demand'!A:Z,16,FALSE))</f>
        <v>0.04</v>
      </c>
      <c r="Z368" s="16">
        <f>IF(ISERROR(VLOOKUP($A368,'13. Updated Demand'!A:Z,17,FALSE)),0,VLOOKUP($A368,'13. Updated Demand'!A:Z,17,FALSE))</f>
        <v>0.04</v>
      </c>
      <c r="AA368" s="16">
        <f>IF(ISERROR(VLOOKUP($A368,'13. Updated Demand'!A:Z,18,FALSE)),0,VLOOKUP($A368,'13. Updated Demand'!A:Z,18,FALSE))</f>
        <v>0.04</v>
      </c>
      <c r="AB368" s="16">
        <f>IF(ISERROR(VLOOKUP($A368,'13. Updated Demand'!A:Z,19,FALSE)),0,VLOOKUP($A368,'13. Updated Demand'!A:Z,19,FALSE))</f>
        <v>0.04</v>
      </c>
      <c r="AC368" s="16">
        <f>IF(ISERROR(VLOOKUP($A368,'13. Updated Demand'!A:Z,20,FALSE)),0,VLOOKUP($A368,'13. Updated Demand'!A:Z,20,FALSE))</f>
        <v>0.04</v>
      </c>
      <c r="AD368" s="16">
        <f>IF(ISERROR(VLOOKUP($A368,'13. Updated Demand'!A:Z,21,FALSE)),0,VLOOKUP($A368,'13. Updated Demand'!A:Z,21,FALSE))</f>
        <v>0.04</v>
      </c>
      <c r="AE368" s="16">
        <f>IF(ISERROR(VLOOKUP($A368,'13. Updated Demand'!A:Z,22,FALSE)),0,VLOOKUP($A368,'13. Updated Demand'!A:Z,22,FALSE))</f>
        <v>0.04</v>
      </c>
      <c r="AF368" s="16">
        <f>IF(ISERROR(VLOOKUP($A368,'13. Updated Demand'!A:Z,23,FALSE)),0,VLOOKUP($A368,'13. Updated Demand'!A:Z,23,FALSE))</f>
        <v>0.04</v>
      </c>
      <c r="AG368" s="16">
        <f>IF(ISERROR(VLOOKUP($A368,'13. Updated Demand'!A:Z,24,FALSE)),0,VLOOKUP($A368,'13. Updated Demand'!A:Z,24,FALSE))</f>
        <v>0.04</v>
      </c>
      <c r="AH368" s="16">
        <f>IF(ISERROR(VLOOKUP($A368,'13. Updated Demand'!A:Z,25,FALSE)),0,VLOOKUP($A368,'13. Updated Demand'!A:Z,25,FALSE))</f>
        <v>0.04</v>
      </c>
      <c r="AI368" s="16">
        <f>IF(ISERROR(VLOOKUP($A368,'13. Updated Demand'!A:Z,26,FALSE)),0,VLOOKUP($A368,'13. Updated Demand'!A:Z,26,FALSE))</f>
        <v>0.04</v>
      </c>
      <c r="AJ368" s="16">
        <f t="shared" si="72"/>
        <v>0.47999999999999993</v>
      </c>
      <c r="AK368" s="19">
        <v>0.24934999999999999</v>
      </c>
      <c r="AL368" s="16">
        <f t="shared" si="70"/>
        <v>8.2706554636583515E-4</v>
      </c>
      <c r="AM368" s="17">
        <v>0.99739999999999984</v>
      </c>
      <c r="AN368" s="19"/>
      <c r="AO368" s="19"/>
      <c r="AP368" s="19">
        <v>0.6</v>
      </c>
      <c r="AQ368" s="19" t="s">
        <v>307</v>
      </c>
      <c r="AR368" s="9" t="s">
        <v>507</v>
      </c>
      <c r="AS368" s="12">
        <v>3.4039024194010059E-4</v>
      </c>
      <c r="AT368" s="19">
        <v>38.6149165</v>
      </c>
      <c r="AU368" s="19">
        <v>-122.8298612</v>
      </c>
      <c r="AV368" s="19" t="s">
        <v>548</v>
      </c>
    </row>
    <row r="369" spans="1:48" x14ac:dyDescent="0.25">
      <c r="A369" s="18" t="s">
        <v>749</v>
      </c>
      <c r="B369" s="10">
        <v>19910124</v>
      </c>
      <c r="C369" s="9">
        <v>18</v>
      </c>
      <c r="D369" s="8" t="str">
        <f t="shared" si="61"/>
        <v>N</v>
      </c>
      <c r="E369" s="8" t="str">
        <f t="shared" si="62"/>
        <v>N</v>
      </c>
      <c r="F369" s="8" t="str">
        <f t="shared" si="63"/>
        <v>N</v>
      </c>
      <c r="G369" s="8" t="str">
        <f t="shared" si="64"/>
        <v>N</v>
      </c>
      <c r="H369" s="8" t="str">
        <f t="shared" si="65"/>
        <v>Lower</v>
      </c>
      <c r="I369" s="8" t="str">
        <f t="shared" si="66"/>
        <v>Outside</v>
      </c>
      <c r="J369" s="8" t="str">
        <f t="shared" si="67"/>
        <v>Outside</v>
      </c>
      <c r="K369" s="8" t="str">
        <f t="shared" si="68"/>
        <v>Post-1949</v>
      </c>
      <c r="L369" s="8">
        <f t="shared" si="69"/>
        <v>1991</v>
      </c>
      <c r="M369" s="8" t="str">
        <f t="shared" si="71"/>
        <v>1991-present</v>
      </c>
      <c r="N369" s="10" t="s">
        <v>241</v>
      </c>
      <c r="O369" s="10" t="s">
        <v>242</v>
      </c>
      <c r="P369" s="10" t="s">
        <v>242</v>
      </c>
      <c r="Q369" s="10" t="s">
        <v>242</v>
      </c>
      <c r="R369" s="10" t="s">
        <v>241</v>
      </c>
      <c r="S369" s="10" t="s">
        <v>242</v>
      </c>
      <c r="T369" s="10" t="s">
        <v>242</v>
      </c>
      <c r="U369" s="10" t="s">
        <v>242</v>
      </c>
      <c r="V369" s="10" t="s">
        <v>242</v>
      </c>
      <c r="W369" s="10" t="s">
        <v>242</v>
      </c>
      <c r="X369" s="15">
        <f>IF(ISERROR(VLOOKUP($A369,'13. Updated Demand'!A:Z,15,FALSE)),0,VLOOKUP($A369,'13. Updated Demand'!A:Z,15,FALSE))</f>
        <v>7.9133333329999997</v>
      </c>
      <c r="Y369" s="16">
        <f>IF(ISERROR(VLOOKUP($A369,'13. Updated Demand'!A:Z,16,FALSE)),0,VLOOKUP($A369,'13. Updated Demand'!A:Z,16,FALSE))</f>
        <v>6.5233333330000001</v>
      </c>
      <c r="Z369" s="16">
        <f>IF(ISERROR(VLOOKUP($A369,'13. Updated Demand'!A:Z,17,FALSE)),0,VLOOKUP($A369,'13. Updated Demand'!A:Z,17,FALSE))</f>
        <v>10.48666667</v>
      </c>
      <c r="AA369" s="16">
        <f>IF(ISERROR(VLOOKUP($A369,'13. Updated Demand'!A:Z,18,FALSE)),0,VLOOKUP($A369,'13. Updated Demand'!A:Z,18,FALSE))</f>
        <v>11.81</v>
      </c>
      <c r="AB369" s="16">
        <f>IF(ISERROR(VLOOKUP($A369,'13. Updated Demand'!A:Z,19,FALSE)),0,VLOOKUP($A369,'13. Updated Demand'!A:Z,19,FALSE))</f>
        <v>12.11333333</v>
      </c>
      <c r="AC369" s="16">
        <f>IF(ISERROR(VLOOKUP($A369,'13. Updated Demand'!A:Z,20,FALSE)),0,VLOOKUP($A369,'13. Updated Demand'!A:Z,20,FALSE))</f>
        <v>16.853333330000002</v>
      </c>
      <c r="AD369" s="16">
        <f>IF(ISERROR(VLOOKUP($A369,'13. Updated Demand'!A:Z,21,FALSE)),0,VLOOKUP($A369,'13. Updated Demand'!A:Z,21,FALSE))</f>
        <v>20.6</v>
      </c>
      <c r="AE369" s="16">
        <f>IF(ISERROR(VLOOKUP($A369,'13. Updated Demand'!A:Z,22,FALSE)),0,VLOOKUP($A369,'13. Updated Demand'!A:Z,22,FALSE))</f>
        <v>23.66333333</v>
      </c>
      <c r="AF369" s="16">
        <f>IF(ISERROR(VLOOKUP($A369,'13. Updated Demand'!A:Z,23,FALSE)),0,VLOOKUP($A369,'13. Updated Demand'!A:Z,23,FALSE))</f>
        <v>18.986666670000002</v>
      </c>
      <c r="AG369" s="16">
        <f>IF(ISERROR(VLOOKUP($A369,'13. Updated Demand'!A:Z,24,FALSE)),0,VLOOKUP($A369,'13. Updated Demand'!A:Z,24,FALSE))</f>
        <v>16.37</v>
      </c>
      <c r="AH369" s="16">
        <f>IF(ISERROR(VLOOKUP($A369,'13. Updated Demand'!A:Z,25,FALSE)),0,VLOOKUP($A369,'13. Updated Demand'!A:Z,25,FALSE))</f>
        <v>13.19</v>
      </c>
      <c r="AI369" s="16">
        <f>IF(ISERROR(VLOOKUP($A369,'13. Updated Demand'!A:Z,26,FALSE)),0,VLOOKUP($A369,'13. Updated Demand'!A:Z,26,FALSE))</f>
        <v>11.12</v>
      </c>
      <c r="AJ369" s="16">
        <f t="shared" si="72"/>
        <v>169.62999999600001</v>
      </c>
      <c r="AK369" s="19">
        <v>92.216666660000016</v>
      </c>
      <c r="AL369" s="16">
        <f t="shared" si="70"/>
        <v>0.30587217884575502</v>
      </c>
      <c r="AM369" s="17">
        <v>0.56168874170860927</v>
      </c>
      <c r="AN369" s="19"/>
      <c r="AO369" s="19"/>
      <c r="AP369" s="19">
        <v>302</v>
      </c>
      <c r="AQ369" s="19" t="s">
        <v>307</v>
      </c>
      <c r="AR369" s="9" t="s">
        <v>352</v>
      </c>
      <c r="AS369" s="12">
        <v>0</v>
      </c>
      <c r="AT369" s="19">
        <v>38.50082879</v>
      </c>
      <c r="AU369" s="19">
        <v>-122.90209507</v>
      </c>
      <c r="AV369" s="19" t="s">
        <v>548</v>
      </c>
    </row>
    <row r="370" spans="1:48" x14ac:dyDescent="0.25">
      <c r="A370" s="18" t="s">
        <v>750</v>
      </c>
      <c r="B370" s="10">
        <v>19910307</v>
      </c>
      <c r="C370" s="9">
        <v>9</v>
      </c>
      <c r="D370" s="8" t="str">
        <f t="shared" si="61"/>
        <v>N</v>
      </c>
      <c r="E370" s="8" t="str">
        <f t="shared" si="62"/>
        <v>Y</v>
      </c>
      <c r="F370" s="8" t="str">
        <f t="shared" si="63"/>
        <v>Y</v>
      </c>
      <c r="G370" s="8" t="str">
        <f t="shared" si="64"/>
        <v>Y</v>
      </c>
      <c r="H370" s="8" t="str">
        <f t="shared" si="65"/>
        <v>Upper</v>
      </c>
      <c r="I370" s="8" t="str">
        <f t="shared" si="66"/>
        <v>West Fork and Below Lake</v>
      </c>
      <c r="J370" s="8" t="str">
        <f t="shared" si="67"/>
        <v>Sonoma (d/s of Clov. Gage)</v>
      </c>
      <c r="K370" s="8" t="str">
        <f t="shared" si="68"/>
        <v>Post-1949</v>
      </c>
      <c r="L370" s="8">
        <f t="shared" si="69"/>
        <v>1991</v>
      </c>
      <c r="M370" s="8" t="str">
        <f t="shared" si="71"/>
        <v>1991-present</v>
      </c>
      <c r="N370" s="10" t="s">
        <v>242</v>
      </c>
      <c r="O370" s="10" t="s">
        <v>241</v>
      </c>
      <c r="P370" s="10" t="s">
        <v>242</v>
      </c>
      <c r="Q370" s="10" t="s">
        <v>242</v>
      </c>
      <c r="R370" s="10" t="s">
        <v>241</v>
      </c>
      <c r="S370" s="10" t="s">
        <v>242</v>
      </c>
      <c r="T370" s="10" t="s">
        <v>242</v>
      </c>
      <c r="U370" s="10" t="s">
        <v>242</v>
      </c>
      <c r="V370" s="10" t="s">
        <v>241</v>
      </c>
      <c r="W370" s="10" t="s">
        <v>242</v>
      </c>
      <c r="X370" s="15">
        <f>IF(ISERROR(VLOOKUP($A370,'13. Updated Demand'!A:Z,15,FALSE)),0,VLOOKUP($A370,'13. Updated Demand'!A:Z,15,FALSE))</f>
        <v>10.88</v>
      </c>
      <c r="Y370" s="16">
        <f>IF(ISERROR(VLOOKUP($A370,'13. Updated Demand'!A:Z,16,FALSE)),0,VLOOKUP($A370,'13. Updated Demand'!A:Z,16,FALSE))</f>
        <v>10.130000000000001</v>
      </c>
      <c r="Z370" s="16">
        <f>IF(ISERROR(VLOOKUP($A370,'13. Updated Demand'!A:Z,17,FALSE)),0,VLOOKUP($A370,'13. Updated Demand'!A:Z,17,FALSE))</f>
        <v>11.58</v>
      </c>
      <c r="AA370" s="16">
        <f>IF(ISERROR(VLOOKUP($A370,'13. Updated Demand'!A:Z,18,FALSE)),0,VLOOKUP($A370,'13. Updated Demand'!A:Z,18,FALSE))</f>
        <v>1</v>
      </c>
      <c r="AB370" s="16">
        <f>IF(ISERROR(VLOOKUP($A370,'13. Updated Demand'!A:Z,19,FALSE)),0,VLOOKUP($A370,'13. Updated Demand'!A:Z,19,FALSE))</f>
        <v>0</v>
      </c>
      <c r="AC370" s="16">
        <f>IF(ISERROR(VLOOKUP($A370,'13. Updated Demand'!A:Z,20,FALSE)),0,VLOOKUP($A370,'13. Updated Demand'!A:Z,20,FALSE))</f>
        <v>0</v>
      </c>
      <c r="AD370" s="16">
        <f>IF(ISERROR(VLOOKUP($A370,'13. Updated Demand'!A:Z,21,FALSE)),0,VLOOKUP($A370,'13. Updated Demand'!A:Z,21,FALSE))</f>
        <v>0</v>
      </c>
      <c r="AE370" s="16">
        <f>IF(ISERROR(VLOOKUP($A370,'13. Updated Demand'!A:Z,22,FALSE)),0,VLOOKUP($A370,'13. Updated Demand'!A:Z,22,FALSE))</f>
        <v>0</v>
      </c>
      <c r="AF370" s="16">
        <f>IF(ISERROR(VLOOKUP($A370,'13. Updated Demand'!A:Z,23,FALSE)),0,VLOOKUP($A370,'13. Updated Demand'!A:Z,23,FALSE))</f>
        <v>0</v>
      </c>
      <c r="AG370" s="16">
        <f>IF(ISERROR(VLOOKUP($A370,'13. Updated Demand'!A:Z,24,FALSE)),0,VLOOKUP($A370,'13. Updated Demand'!A:Z,24,FALSE))</f>
        <v>0</v>
      </c>
      <c r="AH370" s="16">
        <f>IF(ISERROR(VLOOKUP($A370,'13. Updated Demand'!A:Z,25,FALSE)),0,VLOOKUP($A370,'13. Updated Demand'!A:Z,25,FALSE))</f>
        <v>0</v>
      </c>
      <c r="AI370" s="16">
        <f>IF(ISERROR(VLOOKUP($A370,'13. Updated Demand'!A:Z,26,FALSE)),0,VLOOKUP($A370,'13. Updated Demand'!A:Z,26,FALSE))</f>
        <v>1.72</v>
      </c>
      <c r="AJ370" s="16">
        <f t="shared" si="72"/>
        <v>35.31</v>
      </c>
      <c r="AK370" s="19">
        <v>0</v>
      </c>
      <c r="AL370" s="16">
        <f t="shared" si="70"/>
        <v>0</v>
      </c>
      <c r="AM370" s="17">
        <v>0.95495495495495575</v>
      </c>
      <c r="AN370" s="19"/>
      <c r="AO370" s="19"/>
      <c r="AP370" s="19">
        <v>37</v>
      </c>
      <c r="AQ370" s="19" t="s">
        <v>307</v>
      </c>
      <c r="AR370" s="9" t="s">
        <v>354</v>
      </c>
      <c r="AS370" s="12">
        <v>0</v>
      </c>
      <c r="AT370" s="19">
        <v>38.742699999999999</v>
      </c>
      <c r="AU370" s="19">
        <v>-122.9002</v>
      </c>
      <c r="AV370" s="19" t="s">
        <v>417</v>
      </c>
    </row>
    <row r="371" spans="1:48" x14ac:dyDescent="0.25">
      <c r="A371" s="18" t="s">
        <v>751</v>
      </c>
      <c r="B371" s="10">
        <v>19910913</v>
      </c>
      <c r="C371" s="9">
        <v>6</v>
      </c>
      <c r="D371" s="8" t="str">
        <f t="shared" si="61"/>
        <v>Y</v>
      </c>
      <c r="E371" s="8" t="str">
        <f t="shared" si="62"/>
        <v>N</v>
      </c>
      <c r="F371" s="8" t="str">
        <f t="shared" si="63"/>
        <v>Y</v>
      </c>
      <c r="G371" s="8" t="str">
        <f t="shared" si="64"/>
        <v>Y</v>
      </c>
      <c r="H371" s="8" t="str">
        <f t="shared" si="65"/>
        <v>Upper</v>
      </c>
      <c r="I371" s="8" t="str">
        <f t="shared" si="66"/>
        <v>West Fork and Below Lake</v>
      </c>
      <c r="J371" s="8" t="str">
        <f t="shared" si="67"/>
        <v>Mendocino (d/s of lake)</v>
      </c>
      <c r="K371" s="8" t="str">
        <f t="shared" si="68"/>
        <v>Post-1949</v>
      </c>
      <c r="L371" s="8">
        <f t="shared" si="69"/>
        <v>1991</v>
      </c>
      <c r="M371" s="8" t="str">
        <f t="shared" si="71"/>
        <v>1991-present</v>
      </c>
      <c r="N371" s="10" t="s">
        <v>242</v>
      </c>
      <c r="O371" s="10" t="s">
        <v>241</v>
      </c>
      <c r="P371" s="10" t="s">
        <v>242</v>
      </c>
      <c r="Q371" s="10" t="s">
        <v>242</v>
      </c>
      <c r="R371" s="10" t="s">
        <v>241</v>
      </c>
      <c r="S371" s="10" t="s">
        <v>242</v>
      </c>
      <c r="T371" s="10" t="s">
        <v>241</v>
      </c>
      <c r="U371" s="10" t="s">
        <v>241</v>
      </c>
      <c r="V371" s="10" t="s">
        <v>241</v>
      </c>
      <c r="W371" s="10" t="s">
        <v>242</v>
      </c>
      <c r="X371" s="15">
        <f>IF(ISERROR(VLOOKUP($A371,'13. Updated Demand'!A:Z,15,FALSE)),0,VLOOKUP($A371,'13. Updated Demand'!A:Z,15,FALSE))</f>
        <v>0</v>
      </c>
      <c r="Y371" s="16">
        <f>IF(ISERROR(VLOOKUP($A371,'13. Updated Demand'!A:Z,16,FALSE)),0,VLOOKUP($A371,'13. Updated Demand'!A:Z,16,FALSE))</f>
        <v>0</v>
      </c>
      <c r="Z371" s="16">
        <f>IF(ISERROR(VLOOKUP($A371,'13. Updated Demand'!A:Z,17,FALSE)),0,VLOOKUP($A371,'13. Updated Demand'!A:Z,17,FALSE))</f>
        <v>0</v>
      </c>
      <c r="AA371" s="16">
        <f>IF(ISERROR(VLOOKUP($A371,'13. Updated Demand'!A:Z,18,FALSE)),0,VLOOKUP($A371,'13. Updated Demand'!A:Z,18,FALSE))</f>
        <v>0</v>
      </c>
      <c r="AB371" s="16">
        <f>IF(ISERROR(VLOOKUP($A371,'13. Updated Demand'!A:Z,19,FALSE)),0,VLOOKUP($A371,'13. Updated Demand'!A:Z,19,FALSE))</f>
        <v>0</v>
      </c>
      <c r="AC371" s="16">
        <f>IF(ISERROR(VLOOKUP($A371,'13. Updated Demand'!A:Z,20,FALSE)),0,VLOOKUP($A371,'13. Updated Demand'!A:Z,20,FALSE))</f>
        <v>0</v>
      </c>
      <c r="AD371" s="16">
        <f>IF(ISERROR(VLOOKUP($A371,'13. Updated Demand'!A:Z,21,FALSE)),0,VLOOKUP($A371,'13. Updated Demand'!A:Z,21,FALSE))</f>
        <v>0</v>
      </c>
      <c r="AE371" s="16">
        <f>IF(ISERROR(VLOOKUP($A371,'13. Updated Demand'!A:Z,22,FALSE)),0,VLOOKUP($A371,'13. Updated Demand'!A:Z,22,FALSE))</f>
        <v>0</v>
      </c>
      <c r="AF371" s="16">
        <f>IF(ISERROR(VLOOKUP($A371,'13. Updated Demand'!A:Z,23,FALSE)),0,VLOOKUP($A371,'13. Updated Demand'!A:Z,23,FALSE))</f>
        <v>0</v>
      </c>
      <c r="AG371" s="16">
        <f>IF(ISERROR(VLOOKUP($A371,'13. Updated Demand'!A:Z,24,FALSE)),0,VLOOKUP($A371,'13. Updated Demand'!A:Z,24,FALSE))</f>
        <v>0</v>
      </c>
      <c r="AH371" s="16">
        <f>IF(ISERROR(VLOOKUP($A371,'13. Updated Demand'!A:Z,25,FALSE)),0,VLOOKUP($A371,'13. Updated Demand'!A:Z,25,FALSE))</f>
        <v>0</v>
      </c>
      <c r="AI371" s="16">
        <f>IF(ISERROR(VLOOKUP($A371,'13. Updated Demand'!A:Z,26,FALSE)),0,VLOOKUP($A371,'13. Updated Demand'!A:Z,26,FALSE))</f>
        <v>0</v>
      </c>
      <c r="AJ371" s="16">
        <f t="shared" si="72"/>
        <v>0</v>
      </c>
      <c r="AK371" s="19">
        <v>0</v>
      </c>
      <c r="AL371" s="16">
        <f t="shared" si="70"/>
        <v>0</v>
      </c>
      <c r="AM371" s="17">
        <v>0</v>
      </c>
      <c r="AN371" s="19"/>
      <c r="AO371" s="19"/>
      <c r="AP371" s="19">
        <v>101</v>
      </c>
      <c r="AQ371" s="19" t="s">
        <v>307</v>
      </c>
      <c r="AR371" s="9" t="s">
        <v>319</v>
      </c>
      <c r="AS371" s="12">
        <v>0</v>
      </c>
      <c r="AT371" s="19">
        <v>38.949473560000001</v>
      </c>
      <c r="AU371" s="19">
        <v>-123.05935782</v>
      </c>
      <c r="AV371" s="19" t="s">
        <v>476</v>
      </c>
    </row>
    <row r="372" spans="1:48" x14ac:dyDescent="0.25">
      <c r="A372" s="18" t="s">
        <v>752</v>
      </c>
      <c r="B372" s="10">
        <v>19911008</v>
      </c>
      <c r="C372" s="9">
        <v>4</v>
      </c>
      <c r="D372" s="8" t="str">
        <f t="shared" si="61"/>
        <v>Y</v>
      </c>
      <c r="E372" s="8" t="str">
        <f t="shared" si="62"/>
        <v>N</v>
      </c>
      <c r="F372" s="8" t="str">
        <f t="shared" si="63"/>
        <v>Y</v>
      </c>
      <c r="G372" s="8" t="str">
        <f t="shared" si="64"/>
        <v>Y</v>
      </c>
      <c r="H372" s="8" t="str">
        <f t="shared" si="65"/>
        <v>Upper</v>
      </c>
      <c r="I372" s="8" t="str">
        <f t="shared" si="66"/>
        <v>West Fork and Below Lake</v>
      </c>
      <c r="J372" s="8" t="str">
        <f t="shared" si="67"/>
        <v>Mendocino (d/s of lake)</v>
      </c>
      <c r="K372" s="8" t="str">
        <f t="shared" si="68"/>
        <v>Post-1949</v>
      </c>
      <c r="L372" s="8">
        <f t="shared" si="69"/>
        <v>1991</v>
      </c>
      <c r="M372" s="8" t="str">
        <f t="shared" si="71"/>
        <v>1991-present</v>
      </c>
      <c r="N372" s="10" t="s">
        <v>241</v>
      </c>
      <c r="O372" s="10" t="s">
        <v>241</v>
      </c>
      <c r="P372" s="10" t="s">
        <v>242</v>
      </c>
      <c r="Q372" s="10" t="s">
        <v>242</v>
      </c>
      <c r="R372" s="10" t="s">
        <v>241</v>
      </c>
      <c r="S372" s="10" t="s">
        <v>242</v>
      </c>
      <c r="T372" s="10" t="s">
        <v>242</v>
      </c>
      <c r="U372" s="10" t="s">
        <v>242</v>
      </c>
      <c r="V372" s="10" t="s">
        <v>242</v>
      </c>
      <c r="W372" s="10" t="s">
        <v>242</v>
      </c>
      <c r="X372" s="15">
        <f>IF(ISERROR(VLOOKUP($A372,'13. Updated Demand'!A:Z,15,FALSE)),0,VLOOKUP($A372,'13. Updated Demand'!A:Z,15,FALSE))</f>
        <v>0</v>
      </c>
      <c r="Y372" s="16">
        <f>IF(ISERROR(VLOOKUP($A372,'13. Updated Demand'!A:Z,16,FALSE)),0,VLOOKUP($A372,'13. Updated Demand'!A:Z,16,FALSE))</f>
        <v>0.16</v>
      </c>
      <c r="Z372" s="16">
        <f>IF(ISERROR(VLOOKUP($A372,'13. Updated Demand'!A:Z,17,FALSE)),0,VLOOKUP($A372,'13. Updated Demand'!A:Z,17,FALSE))</f>
        <v>2.66</v>
      </c>
      <c r="AA372" s="16">
        <f>IF(ISERROR(VLOOKUP($A372,'13. Updated Demand'!A:Z,18,FALSE)),0,VLOOKUP($A372,'13. Updated Demand'!A:Z,18,FALSE))</f>
        <v>3.73</v>
      </c>
      <c r="AB372" s="16">
        <f>IF(ISERROR(VLOOKUP($A372,'13. Updated Demand'!A:Z,19,FALSE)),0,VLOOKUP($A372,'13. Updated Demand'!A:Z,19,FALSE))</f>
        <v>0.83</v>
      </c>
      <c r="AC372" s="16">
        <f>IF(ISERROR(VLOOKUP($A372,'13. Updated Demand'!A:Z,20,FALSE)),0,VLOOKUP($A372,'13. Updated Demand'!A:Z,20,FALSE))</f>
        <v>0</v>
      </c>
      <c r="AD372" s="16">
        <f>IF(ISERROR(VLOOKUP($A372,'13. Updated Demand'!A:Z,21,FALSE)),0,VLOOKUP($A372,'13. Updated Demand'!A:Z,21,FALSE))</f>
        <v>0</v>
      </c>
      <c r="AE372" s="16">
        <f>IF(ISERROR(VLOOKUP($A372,'13. Updated Demand'!A:Z,22,FALSE)),0,VLOOKUP($A372,'13. Updated Demand'!A:Z,22,FALSE))</f>
        <v>0</v>
      </c>
      <c r="AF372" s="16">
        <f>IF(ISERROR(VLOOKUP($A372,'13. Updated Demand'!A:Z,23,FALSE)),0,VLOOKUP($A372,'13. Updated Demand'!A:Z,23,FALSE))</f>
        <v>0</v>
      </c>
      <c r="AG372" s="16">
        <f>IF(ISERROR(VLOOKUP($A372,'13. Updated Demand'!A:Z,24,FALSE)),0,VLOOKUP($A372,'13. Updated Demand'!A:Z,24,FALSE))</f>
        <v>0</v>
      </c>
      <c r="AH372" s="16">
        <f>IF(ISERROR(VLOOKUP($A372,'13. Updated Demand'!A:Z,25,FALSE)),0,VLOOKUP($A372,'13. Updated Demand'!A:Z,25,FALSE))</f>
        <v>0</v>
      </c>
      <c r="AI372" s="16">
        <f>IF(ISERROR(VLOOKUP($A372,'13. Updated Demand'!A:Z,26,FALSE)),0,VLOOKUP($A372,'13. Updated Demand'!A:Z,26,FALSE))</f>
        <v>0</v>
      </c>
      <c r="AJ372" s="16">
        <f t="shared" si="72"/>
        <v>7.3800000000000008</v>
      </c>
      <c r="AK372" s="19">
        <v>0.83333333333333304</v>
      </c>
      <c r="AL372" s="16">
        <f t="shared" si="70"/>
        <v>2.7640717410795899E-3</v>
      </c>
      <c r="AM372" s="17">
        <v>9.9462365591397831E-2</v>
      </c>
      <c r="AN372" s="19"/>
      <c r="AO372" s="19"/>
      <c r="AP372" s="19">
        <v>74.400000000000006</v>
      </c>
      <c r="AQ372" s="19" t="s">
        <v>307</v>
      </c>
      <c r="AR372" s="9" t="s">
        <v>331</v>
      </c>
      <c r="AS372" s="12">
        <v>0</v>
      </c>
      <c r="AT372" s="19">
        <v>39.142487150000001</v>
      </c>
      <c r="AU372" s="19">
        <v>-123.18593371</v>
      </c>
      <c r="AV372" s="19" t="s">
        <v>548</v>
      </c>
    </row>
    <row r="373" spans="1:48" x14ac:dyDescent="0.25">
      <c r="A373" s="18" t="s">
        <v>753</v>
      </c>
      <c r="B373" s="10">
        <v>19910807</v>
      </c>
      <c r="C373" s="9">
        <v>16</v>
      </c>
      <c r="D373" s="8" t="str">
        <f t="shared" si="61"/>
        <v>N</v>
      </c>
      <c r="E373" s="8" t="str">
        <f t="shared" si="62"/>
        <v>N</v>
      </c>
      <c r="F373" s="8" t="str">
        <f t="shared" si="63"/>
        <v>N</v>
      </c>
      <c r="G373" s="8" t="str">
        <f t="shared" si="64"/>
        <v>N</v>
      </c>
      <c r="H373" s="8" t="str">
        <f t="shared" si="65"/>
        <v>Lower</v>
      </c>
      <c r="I373" s="8" t="str">
        <f t="shared" si="66"/>
        <v>Outside</v>
      </c>
      <c r="J373" s="8" t="str">
        <f t="shared" si="67"/>
        <v>Outside</v>
      </c>
      <c r="K373" s="8" t="str">
        <f t="shared" si="68"/>
        <v>Post-1949</v>
      </c>
      <c r="L373" s="8">
        <f t="shared" si="69"/>
        <v>1991</v>
      </c>
      <c r="M373" s="8" t="str">
        <f t="shared" si="71"/>
        <v>1991-present</v>
      </c>
      <c r="N373" s="10" t="s">
        <v>242</v>
      </c>
      <c r="O373" s="10" t="s">
        <v>242</v>
      </c>
      <c r="P373" s="10" t="s">
        <v>242</v>
      </c>
      <c r="Q373" s="10" t="s">
        <v>242</v>
      </c>
      <c r="R373" s="10" t="s">
        <v>241</v>
      </c>
      <c r="S373" s="10" t="s">
        <v>242</v>
      </c>
      <c r="T373" s="10" t="s">
        <v>242</v>
      </c>
      <c r="U373" s="10" t="s">
        <v>242</v>
      </c>
      <c r="V373" s="10" t="s">
        <v>241</v>
      </c>
      <c r="W373" s="10" t="s">
        <v>242</v>
      </c>
      <c r="X373" s="15">
        <f>IF(ISERROR(VLOOKUP($A373,'13. Updated Demand'!A:Z,15,FALSE)),0,VLOOKUP($A373,'13. Updated Demand'!A:Z,15,FALSE))</f>
        <v>5.3333333329999997</v>
      </c>
      <c r="Y373" s="16">
        <f>IF(ISERROR(VLOOKUP($A373,'13. Updated Demand'!A:Z,16,FALSE)),0,VLOOKUP($A373,'13. Updated Demand'!A:Z,16,FALSE))</f>
        <v>3.6666666669999999</v>
      </c>
      <c r="Z373" s="16">
        <f>IF(ISERROR(VLOOKUP($A373,'13. Updated Demand'!A:Z,17,FALSE)),0,VLOOKUP($A373,'13. Updated Demand'!A:Z,17,FALSE))</f>
        <v>4.3333333329999997</v>
      </c>
      <c r="AA373" s="16">
        <f>IF(ISERROR(VLOOKUP($A373,'13. Updated Demand'!A:Z,18,FALSE)),0,VLOOKUP($A373,'13. Updated Demand'!A:Z,18,FALSE))</f>
        <v>1.3333333329999999</v>
      </c>
      <c r="AB373" s="16">
        <f>IF(ISERROR(VLOOKUP($A373,'13. Updated Demand'!A:Z,19,FALSE)),0,VLOOKUP($A373,'13. Updated Demand'!A:Z,19,FALSE))</f>
        <v>0</v>
      </c>
      <c r="AC373" s="16">
        <f>IF(ISERROR(VLOOKUP($A373,'13. Updated Demand'!A:Z,20,FALSE)),0,VLOOKUP($A373,'13. Updated Demand'!A:Z,20,FALSE))</f>
        <v>0</v>
      </c>
      <c r="AD373" s="16">
        <f>IF(ISERROR(VLOOKUP($A373,'13. Updated Demand'!A:Z,21,FALSE)),0,VLOOKUP($A373,'13. Updated Demand'!A:Z,21,FALSE))</f>
        <v>0</v>
      </c>
      <c r="AE373" s="16">
        <f>IF(ISERROR(VLOOKUP($A373,'13. Updated Demand'!A:Z,22,FALSE)),0,VLOOKUP($A373,'13. Updated Demand'!A:Z,22,FALSE))</f>
        <v>0</v>
      </c>
      <c r="AF373" s="16">
        <f>IF(ISERROR(VLOOKUP($A373,'13. Updated Demand'!A:Z,23,FALSE)),0,VLOOKUP($A373,'13. Updated Demand'!A:Z,23,FALSE))</f>
        <v>0</v>
      </c>
      <c r="AG373" s="16">
        <f>IF(ISERROR(VLOOKUP($A373,'13. Updated Demand'!A:Z,24,FALSE)),0,VLOOKUP($A373,'13. Updated Demand'!A:Z,24,FALSE))</f>
        <v>0</v>
      </c>
      <c r="AH373" s="16">
        <f>IF(ISERROR(VLOOKUP($A373,'13. Updated Demand'!A:Z,25,FALSE)),0,VLOOKUP($A373,'13. Updated Demand'!A:Z,25,FALSE))</f>
        <v>0</v>
      </c>
      <c r="AI373" s="16">
        <f>IF(ISERROR(VLOOKUP($A373,'13. Updated Demand'!A:Z,26,FALSE)),0,VLOOKUP($A373,'13. Updated Demand'!A:Z,26,FALSE))</f>
        <v>1.3333333329999999</v>
      </c>
      <c r="AJ373" s="16">
        <f t="shared" si="72"/>
        <v>15.999999999</v>
      </c>
      <c r="AK373" s="19">
        <v>0</v>
      </c>
      <c r="AL373" s="16">
        <f t="shared" si="70"/>
        <v>0</v>
      </c>
      <c r="AM373" s="17">
        <v>0.76190476185714284</v>
      </c>
      <c r="AN373" s="19"/>
      <c r="AO373" s="19"/>
      <c r="AP373" s="19">
        <v>21</v>
      </c>
      <c r="AQ373" s="19" t="s">
        <v>307</v>
      </c>
      <c r="AR373" s="9" t="s">
        <v>394</v>
      </c>
      <c r="AS373" s="12">
        <v>0</v>
      </c>
      <c r="AT373" s="19">
        <v>38.581989219999997</v>
      </c>
      <c r="AU373" s="19">
        <v>-122.90568381</v>
      </c>
      <c r="AV373" s="19" t="s">
        <v>417</v>
      </c>
    </row>
    <row r="374" spans="1:48" x14ac:dyDescent="0.25">
      <c r="A374" s="18" t="s">
        <v>754</v>
      </c>
      <c r="B374" s="10">
        <v>19910402</v>
      </c>
      <c r="C374" s="9">
        <v>16</v>
      </c>
      <c r="D374" s="8" t="str">
        <f t="shared" si="61"/>
        <v>N</v>
      </c>
      <c r="E374" s="8" t="str">
        <f t="shared" si="62"/>
        <v>N</v>
      </c>
      <c r="F374" s="8" t="str">
        <f t="shared" si="63"/>
        <v>N</v>
      </c>
      <c r="G374" s="8" t="str">
        <f t="shared" si="64"/>
        <v>N</v>
      </c>
      <c r="H374" s="8" t="str">
        <f t="shared" si="65"/>
        <v>Lower</v>
      </c>
      <c r="I374" s="8" t="str">
        <f t="shared" si="66"/>
        <v>Outside</v>
      </c>
      <c r="J374" s="8" t="str">
        <f t="shared" si="67"/>
        <v>Outside</v>
      </c>
      <c r="K374" s="8" t="str">
        <f t="shared" si="68"/>
        <v>Post-1949</v>
      </c>
      <c r="L374" s="8">
        <f t="shared" si="69"/>
        <v>1991</v>
      </c>
      <c r="M374" s="8" t="str">
        <f t="shared" si="71"/>
        <v>1991-present</v>
      </c>
      <c r="N374" s="10" t="s">
        <v>242</v>
      </c>
      <c r="O374" s="10" t="s">
        <v>242</v>
      </c>
      <c r="P374" s="10" t="s">
        <v>242</v>
      </c>
      <c r="Q374" s="10" t="s">
        <v>242</v>
      </c>
      <c r="R374" s="10" t="s">
        <v>241</v>
      </c>
      <c r="S374" s="10" t="s">
        <v>242</v>
      </c>
      <c r="T374" s="10" t="s">
        <v>242</v>
      </c>
      <c r="U374" s="10" t="s">
        <v>242</v>
      </c>
      <c r="V374" s="10" t="s">
        <v>241</v>
      </c>
      <c r="W374" s="10" t="s">
        <v>242</v>
      </c>
      <c r="X374" s="15">
        <f>IF(ISERROR(VLOOKUP($A374,'13. Updated Demand'!A:Z,15,FALSE)),0,VLOOKUP($A374,'13. Updated Demand'!A:Z,15,FALSE))</f>
        <v>3</v>
      </c>
      <c r="Y374" s="16">
        <f>IF(ISERROR(VLOOKUP($A374,'13. Updated Demand'!A:Z,16,FALSE)),0,VLOOKUP($A374,'13. Updated Demand'!A:Z,16,FALSE))</f>
        <v>1.6666666670000001</v>
      </c>
      <c r="Z374" s="16">
        <f>IF(ISERROR(VLOOKUP($A374,'13. Updated Demand'!A:Z,17,FALSE)),0,VLOOKUP($A374,'13. Updated Demand'!A:Z,17,FALSE))</f>
        <v>1.6666666670000001</v>
      </c>
      <c r="AA374" s="16">
        <f>IF(ISERROR(VLOOKUP($A374,'13. Updated Demand'!A:Z,18,FALSE)),0,VLOOKUP($A374,'13. Updated Demand'!A:Z,18,FALSE))</f>
        <v>1.3333333329999999</v>
      </c>
      <c r="AB374" s="16">
        <f>IF(ISERROR(VLOOKUP($A374,'13. Updated Demand'!A:Z,19,FALSE)),0,VLOOKUP($A374,'13. Updated Demand'!A:Z,19,FALSE))</f>
        <v>0</v>
      </c>
      <c r="AC374" s="16">
        <f>IF(ISERROR(VLOOKUP($A374,'13. Updated Demand'!A:Z,20,FALSE)),0,VLOOKUP($A374,'13. Updated Demand'!A:Z,20,FALSE))</f>
        <v>0</v>
      </c>
      <c r="AD374" s="16">
        <f>IF(ISERROR(VLOOKUP($A374,'13. Updated Demand'!A:Z,21,FALSE)),0,VLOOKUP($A374,'13. Updated Demand'!A:Z,21,FALSE))</f>
        <v>0</v>
      </c>
      <c r="AE374" s="16">
        <f>IF(ISERROR(VLOOKUP($A374,'13. Updated Demand'!A:Z,22,FALSE)),0,VLOOKUP($A374,'13. Updated Demand'!A:Z,22,FALSE))</f>
        <v>0</v>
      </c>
      <c r="AF374" s="16">
        <f>IF(ISERROR(VLOOKUP($A374,'13. Updated Demand'!A:Z,23,FALSE)),0,VLOOKUP($A374,'13. Updated Demand'!A:Z,23,FALSE))</f>
        <v>0</v>
      </c>
      <c r="AG374" s="16">
        <f>IF(ISERROR(VLOOKUP($A374,'13. Updated Demand'!A:Z,24,FALSE)),0,VLOOKUP($A374,'13. Updated Demand'!A:Z,24,FALSE))</f>
        <v>0</v>
      </c>
      <c r="AH374" s="16">
        <f>IF(ISERROR(VLOOKUP($A374,'13. Updated Demand'!A:Z,25,FALSE)),0,VLOOKUP($A374,'13. Updated Demand'!A:Z,25,FALSE))</f>
        <v>0</v>
      </c>
      <c r="AI374" s="16">
        <f>IF(ISERROR(VLOOKUP($A374,'13. Updated Demand'!A:Z,26,FALSE)),0,VLOOKUP($A374,'13. Updated Demand'!A:Z,26,FALSE))</f>
        <v>1</v>
      </c>
      <c r="AJ374" s="16">
        <f t="shared" si="72"/>
        <v>8.6666666670000012</v>
      </c>
      <c r="AK374" s="19">
        <v>0</v>
      </c>
      <c r="AL374" s="16">
        <f t="shared" si="70"/>
        <v>0</v>
      </c>
      <c r="AM374" s="17">
        <v>0</v>
      </c>
      <c r="AN374" s="19"/>
      <c r="AO374" s="19"/>
      <c r="AP374" s="19">
        <v>0</v>
      </c>
      <c r="AQ374" s="19" t="s">
        <v>307</v>
      </c>
      <c r="AR374" s="9" t="s">
        <v>394</v>
      </c>
      <c r="AS374" s="12">
        <v>0</v>
      </c>
      <c r="AT374" s="19">
        <v>38.592154890000003</v>
      </c>
      <c r="AU374" s="19">
        <v>-122.91707049</v>
      </c>
      <c r="AV374" s="19" t="s">
        <v>417</v>
      </c>
    </row>
    <row r="375" spans="1:48" x14ac:dyDescent="0.25">
      <c r="A375" s="18" t="s">
        <v>755</v>
      </c>
      <c r="B375" s="10">
        <v>19910109</v>
      </c>
      <c r="C375" s="9">
        <v>17</v>
      </c>
      <c r="D375" s="8" t="str">
        <f t="shared" si="61"/>
        <v>N</v>
      </c>
      <c r="E375" s="8" t="str">
        <f t="shared" si="62"/>
        <v>N</v>
      </c>
      <c r="F375" s="8" t="str">
        <f t="shared" si="63"/>
        <v>N</v>
      </c>
      <c r="G375" s="8" t="str">
        <f t="shared" si="64"/>
        <v>N</v>
      </c>
      <c r="H375" s="8" t="str">
        <f t="shared" si="65"/>
        <v>Lower</v>
      </c>
      <c r="I375" s="8" t="str">
        <f t="shared" si="66"/>
        <v>Outside</v>
      </c>
      <c r="J375" s="8" t="str">
        <f t="shared" si="67"/>
        <v>Outside</v>
      </c>
      <c r="K375" s="8" t="str">
        <f t="shared" si="68"/>
        <v>Post-1949</v>
      </c>
      <c r="L375" s="8">
        <f t="shared" si="69"/>
        <v>1991</v>
      </c>
      <c r="M375" s="8" t="str">
        <f t="shared" si="71"/>
        <v>1991-present</v>
      </c>
      <c r="N375" s="10" t="s">
        <v>242</v>
      </c>
      <c r="O375" s="10" t="s">
        <v>242</v>
      </c>
      <c r="P375" s="10" t="s">
        <v>242</v>
      </c>
      <c r="Q375" s="10" t="s">
        <v>242</v>
      </c>
      <c r="R375" s="10" t="s">
        <v>241</v>
      </c>
      <c r="S375" s="10" t="s">
        <v>242</v>
      </c>
      <c r="T375" s="10" t="s">
        <v>242</v>
      </c>
      <c r="U375" s="10" t="s">
        <v>242</v>
      </c>
      <c r="V375" s="10" t="s">
        <v>241</v>
      </c>
      <c r="W375" s="10" t="s">
        <v>242</v>
      </c>
      <c r="X375" s="15">
        <f>IF(ISERROR(VLOOKUP($A375,'13. Updated Demand'!A:Z,15,FALSE)),0,VLOOKUP($A375,'13. Updated Demand'!A:Z,15,FALSE))</f>
        <v>1</v>
      </c>
      <c r="Y375" s="16">
        <f>IF(ISERROR(VLOOKUP($A375,'13. Updated Demand'!A:Z,16,FALSE)),0,VLOOKUP($A375,'13. Updated Demand'!A:Z,16,FALSE))</f>
        <v>1</v>
      </c>
      <c r="Z375" s="16">
        <f>IF(ISERROR(VLOOKUP($A375,'13. Updated Demand'!A:Z,17,FALSE)),0,VLOOKUP($A375,'13. Updated Demand'!A:Z,17,FALSE))</f>
        <v>0.66666666699999999</v>
      </c>
      <c r="AA375" s="16">
        <f>IF(ISERROR(VLOOKUP($A375,'13. Updated Demand'!A:Z,18,FALSE)),0,VLOOKUP($A375,'13. Updated Demand'!A:Z,18,FALSE))</f>
        <v>1.6666666670000001</v>
      </c>
      <c r="AB375" s="16">
        <f>IF(ISERROR(VLOOKUP($A375,'13. Updated Demand'!A:Z,19,FALSE)),0,VLOOKUP($A375,'13. Updated Demand'!A:Z,19,FALSE))</f>
        <v>0</v>
      </c>
      <c r="AC375" s="16">
        <f>IF(ISERROR(VLOOKUP($A375,'13. Updated Demand'!A:Z,20,FALSE)),0,VLOOKUP($A375,'13. Updated Demand'!A:Z,20,FALSE))</f>
        <v>0</v>
      </c>
      <c r="AD375" s="16">
        <f>IF(ISERROR(VLOOKUP($A375,'13. Updated Demand'!A:Z,21,FALSE)),0,VLOOKUP($A375,'13. Updated Demand'!A:Z,21,FALSE))</f>
        <v>0</v>
      </c>
      <c r="AE375" s="16">
        <f>IF(ISERROR(VLOOKUP($A375,'13. Updated Demand'!A:Z,22,FALSE)),0,VLOOKUP($A375,'13. Updated Demand'!A:Z,22,FALSE))</f>
        <v>0</v>
      </c>
      <c r="AF375" s="16">
        <f>IF(ISERROR(VLOOKUP($A375,'13. Updated Demand'!A:Z,23,FALSE)),0,VLOOKUP($A375,'13. Updated Demand'!A:Z,23,FALSE))</f>
        <v>0</v>
      </c>
      <c r="AG375" s="16">
        <f>IF(ISERROR(VLOOKUP($A375,'13. Updated Demand'!A:Z,24,FALSE)),0,VLOOKUP($A375,'13. Updated Demand'!A:Z,24,FALSE))</f>
        <v>0</v>
      </c>
      <c r="AH375" s="16">
        <f>IF(ISERROR(VLOOKUP($A375,'13. Updated Demand'!A:Z,25,FALSE)),0,VLOOKUP($A375,'13. Updated Demand'!A:Z,25,FALSE))</f>
        <v>0</v>
      </c>
      <c r="AI375" s="16">
        <f>IF(ISERROR(VLOOKUP($A375,'13. Updated Demand'!A:Z,26,FALSE)),0,VLOOKUP($A375,'13. Updated Demand'!A:Z,26,FALSE))</f>
        <v>2</v>
      </c>
      <c r="AJ375" s="16">
        <f t="shared" si="72"/>
        <v>6.3333333339999998</v>
      </c>
      <c r="AK375" s="19">
        <v>0</v>
      </c>
      <c r="AL375" s="16">
        <f t="shared" si="70"/>
        <v>0</v>
      </c>
      <c r="AM375" s="17">
        <v>0</v>
      </c>
      <c r="AN375" s="19"/>
      <c r="AO375" s="19"/>
      <c r="AP375" s="19">
        <v>0</v>
      </c>
      <c r="AQ375" s="19" t="s">
        <v>307</v>
      </c>
      <c r="AR375" s="9" t="s">
        <v>486</v>
      </c>
      <c r="AS375" s="12">
        <v>0</v>
      </c>
      <c r="AT375" s="19">
        <v>38.560294990000003</v>
      </c>
      <c r="AU375" s="19">
        <v>-122.88238659</v>
      </c>
      <c r="AV375" s="19" t="s">
        <v>417</v>
      </c>
    </row>
    <row r="376" spans="1:48" x14ac:dyDescent="0.25">
      <c r="A376" s="18" t="s">
        <v>756</v>
      </c>
      <c r="B376" s="10">
        <v>19910826</v>
      </c>
      <c r="C376" s="9">
        <v>2</v>
      </c>
      <c r="D376" s="8" t="str">
        <f t="shared" si="61"/>
        <v>N</v>
      </c>
      <c r="E376" s="8" t="str">
        <f t="shared" si="62"/>
        <v>N</v>
      </c>
      <c r="F376" s="8" t="str">
        <f t="shared" si="63"/>
        <v>Y</v>
      </c>
      <c r="G376" s="8" t="str">
        <f t="shared" si="64"/>
        <v>N</v>
      </c>
      <c r="H376" s="8" t="str">
        <f t="shared" si="65"/>
        <v>Upper</v>
      </c>
      <c r="I376" s="8" t="str">
        <f t="shared" si="66"/>
        <v>Outside</v>
      </c>
      <c r="J376" s="8" t="str">
        <f t="shared" si="67"/>
        <v>Outside</v>
      </c>
      <c r="K376" s="8" t="str">
        <f t="shared" si="68"/>
        <v>Post-1949</v>
      </c>
      <c r="L376" s="8">
        <f t="shared" si="69"/>
        <v>1991</v>
      </c>
      <c r="M376" s="8" t="str">
        <f t="shared" si="71"/>
        <v>1991-present</v>
      </c>
      <c r="N376" s="10" t="s">
        <v>242</v>
      </c>
      <c r="O376" s="10" t="s">
        <v>241</v>
      </c>
      <c r="P376" s="10" t="s">
        <v>242</v>
      </c>
      <c r="Q376" s="10" t="s">
        <v>242</v>
      </c>
      <c r="R376" s="10" t="s">
        <v>241</v>
      </c>
      <c r="S376" s="10" t="s">
        <v>242</v>
      </c>
      <c r="T376" s="10" t="s">
        <v>242</v>
      </c>
      <c r="U376" s="10" t="s">
        <v>241</v>
      </c>
      <c r="V376" s="10" t="s">
        <v>241</v>
      </c>
      <c r="W376" s="10" t="s">
        <v>242</v>
      </c>
      <c r="X376" s="15">
        <f>IF(ISERROR(VLOOKUP($A376,'13. Updated Demand'!A:Z,15,FALSE)),0,VLOOKUP($A376,'13. Updated Demand'!A:Z,15,FALSE))</f>
        <v>0</v>
      </c>
      <c r="Y376" s="16">
        <f>IF(ISERROR(VLOOKUP($A376,'13. Updated Demand'!A:Z,16,FALSE)),0,VLOOKUP($A376,'13. Updated Demand'!A:Z,16,FALSE))</f>
        <v>0</v>
      </c>
      <c r="Z376" s="16">
        <f>IF(ISERROR(VLOOKUP($A376,'13. Updated Demand'!A:Z,17,FALSE)),0,VLOOKUP($A376,'13. Updated Demand'!A:Z,17,FALSE))</f>
        <v>0</v>
      </c>
      <c r="AA376" s="16">
        <f>IF(ISERROR(VLOOKUP($A376,'13. Updated Demand'!A:Z,18,FALSE)),0,VLOOKUP($A376,'13. Updated Demand'!A:Z,18,FALSE))</f>
        <v>0</v>
      </c>
      <c r="AB376" s="16">
        <f>IF(ISERROR(VLOOKUP($A376,'13. Updated Demand'!A:Z,19,FALSE)),0,VLOOKUP($A376,'13. Updated Demand'!A:Z,19,FALSE))</f>
        <v>0</v>
      </c>
      <c r="AC376" s="16">
        <f>IF(ISERROR(VLOOKUP($A376,'13. Updated Demand'!A:Z,20,FALSE)),0,VLOOKUP($A376,'13. Updated Demand'!A:Z,20,FALSE))</f>
        <v>0</v>
      </c>
      <c r="AD376" s="16">
        <f>IF(ISERROR(VLOOKUP($A376,'13. Updated Demand'!A:Z,21,FALSE)),0,VLOOKUP($A376,'13. Updated Demand'!A:Z,21,FALSE))</f>
        <v>0</v>
      </c>
      <c r="AE376" s="16">
        <f>IF(ISERROR(VLOOKUP($A376,'13. Updated Demand'!A:Z,22,FALSE)),0,VLOOKUP($A376,'13. Updated Demand'!A:Z,22,FALSE))</f>
        <v>0</v>
      </c>
      <c r="AF376" s="16">
        <f>IF(ISERROR(VLOOKUP($A376,'13. Updated Demand'!A:Z,23,FALSE)),0,VLOOKUP($A376,'13. Updated Demand'!A:Z,23,FALSE))</f>
        <v>0</v>
      </c>
      <c r="AG376" s="16">
        <f>IF(ISERROR(VLOOKUP($A376,'13. Updated Demand'!A:Z,24,FALSE)),0,VLOOKUP($A376,'13. Updated Demand'!A:Z,24,FALSE))</f>
        <v>0</v>
      </c>
      <c r="AH376" s="16">
        <f>IF(ISERROR(VLOOKUP($A376,'13. Updated Demand'!A:Z,25,FALSE)),0,VLOOKUP($A376,'13. Updated Demand'!A:Z,25,FALSE))</f>
        <v>0</v>
      </c>
      <c r="AI376" s="16">
        <f>IF(ISERROR(VLOOKUP($A376,'13. Updated Demand'!A:Z,26,FALSE)),0,VLOOKUP($A376,'13. Updated Demand'!A:Z,26,FALSE))</f>
        <v>0</v>
      </c>
      <c r="AJ376" s="16">
        <f t="shared" si="72"/>
        <v>0</v>
      </c>
      <c r="AK376" s="19">
        <v>0</v>
      </c>
      <c r="AL376" s="16">
        <f t="shared" si="70"/>
        <v>0</v>
      </c>
      <c r="AM376" s="17">
        <v>0</v>
      </c>
      <c r="AN376" s="19"/>
      <c r="AO376" s="19"/>
      <c r="AP376" s="19">
        <v>21</v>
      </c>
      <c r="AQ376" s="19" t="s">
        <v>307</v>
      </c>
      <c r="AR376" s="9" t="s">
        <v>348</v>
      </c>
      <c r="AS376" s="12">
        <v>0</v>
      </c>
      <c r="AT376" s="19">
        <v>39.279863599999999</v>
      </c>
      <c r="AU376" s="19">
        <v>-123.06360171999999</v>
      </c>
      <c r="AV376" s="19" t="s">
        <v>417</v>
      </c>
    </row>
    <row r="377" spans="1:48" x14ac:dyDescent="0.25">
      <c r="A377" s="18" t="s">
        <v>757</v>
      </c>
      <c r="B377" s="10">
        <v>19901116</v>
      </c>
      <c r="C377" s="9">
        <v>15</v>
      </c>
      <c r="D377" s="8" t="str">
        <f t="shared" si="61"/>
        <v>N</v>
      </c>
      <c r="E377" s="8" t="str">
        <f t="shared" si="62"/>
        <v>N</v>
      </c>
      <c r="F377" s="8" t="str">
        <f t="shared" si="63"/>
        <v>N</v>
      </c>
      <c r="G377" s="8" t="str">
        <f t="shared" si="64"/>
        <v>N</v>
      </c>
      <c r="H377" s="8" t="str">
        <f t="shared" si="65"/>
        <v>Lower</v>
      </c>
      <c r="I377" s="8" t="str">
        <f t="shared" si="66"/>
        <v>Outside</v>
      </c>
      <c r="J377" s="8" t="str">
        <f t="shared" si="67"/>
        <v>Outside</v>
      </c>
      <c r="K377" s="8" t="str">
        <f t="shared" si="68"/>
        <v>Post-1949</v>
      </c>
      <c r="L377" s="8">
        <f t="shared" si="69"/>
        <v>1990</v>
      </c>
      <c r="M377" s="8" t="str">
        <f t="shared" si="71"/>
        <v>1971-1990</v>
      </c>
      <c r="N377" s="10" t="s">
        <v>242</v>
      </c>
      <c r="O377" s="10" t="s">
        <v>242</v>
      </c>
      <c r="P377" s="10" t="s">
        <v>242</v>
      </c>
      <c r="Q377" s="10" t="s">
        <v>242</v>
      </c>
      <c r="R377" s="10" t="s">
        <v>241</v>
      </c>
      <c r="S377" s="10" t="s">
        <v>242</v>
      </c>
      <c r="T377" s="10" t="s">
        <v>242</v>
      </c>
      <c r="U377" s="10" t="s">
        <v>242</v>
      </c>
      <c r="V377" s="10" t="s">
        <v>241</v>
      </c>
      <c r="W377" s="10" t="s">
        <v>242</v>
      </c>
      <c r="X377" s="15">
        <f>IF(ISERROR(VLOOKUP($A377,'13. Updated Demand'!A:Z,15,FALSE)),0,VLOOKUP($A377,'13. Updated Demand'!A:Z,15,FALSE))</f>
        <v>3.333333E-3</v>
      </c>
      <c r="Y377" s="16">
        <f>IF(ISERROR(VLOOKUP($A377,'13. Updated Demand'!A:Z,16,FALSE)),0,VLOOKUP($A377,'13. Updated Demand'!A:Z,16,FALSE))</f>
        <v>6.6666670000000003E-3</v>
      </c>
      <c r="Z377" s="16">
        <f>IF(ISERROR(VLOOKUP($A377,'13. Updated Demand'!A:Z,17,FALSE)),0,VLOOKUP($A377,'13. Updated Demand'!A:Z,17,FALSE))</f>
        <v>3.333333E-3</v>
      </c>
      <c r="AA377" s="16">
        <f>IF(ISERROR(VLOOKUP($A377,'13. Updated Demand'!A:Z,18,FALSE)),0,VLOOKUP($A377,'13. Updated Demand'!A:Z,18,FALSE))</f>
        <v>6.6666670000000003E-3</v>
      </c>
      <c r="AB377" s="16">
        <f>IF(ISERROR(VLOOKUP($A377,'13. Updated Demand'!A:Z,19,FALSE)),0,VLOOKUP($A377,'13. Updated Demand'!A:Z,19,FALSE))</f>
        <v>0</v>
      </c>
      <c r="AC377" s="16">
        <f>IF(ISERROR(VLOOKUP($A377,'13. Updated Demand'!A:Z,20,FALSE)),0,VLOOKUP($A377,'13. Updated Demand'!A:Z,20,FALSE))</f>
        <v>0</v>
      </c>
      <c r="AD377" s="16">
        <f>IF(ISERROR(VLOOKUP($A377,'13. Updated Demand'!A:Z,21,FALSE)),0,VLOOKUP($A377,'13. Updated Demand'!A:Z,21,FALSE))</f>
        <v>0</v>
      </c>
      <c r="AE377" s="16">
        <f>IF(ISERROR(VLOOKUP($A377,'13. Updated Demand'!A:Z,22,FALSE)),0,VLOOKUP($A377,'13. Updated Demand'!A:Z,22,FALSE))</f>
        <v>0</v>
      </c>
      <c r="AF377" s="16">
        <f>IF(ISERROR(VLOOKUP($A377,'13. Updated Demand'!A:Z,23,FALSE)),0,VLOOKUP($A377,'13. Updated Demand'!A:Z,23,FALSE))</f>
        <v>0</v>
      </c>
      <c r="AG377" s="16">
        <f>IF(ISERROR(VLOOKUP($A377,'13. Updated Demand'!A:Z,24,FALSE)),0,VLOOKUP($A377,'13. Updated Demand'!A:Z,24,FALSE))</f>
        <v>0</v>
      </c>
      <c r="AH377" s="16">
        <f>IF(ISERROR(VLOOKUP($A377,'13. Updated Demand'!A:Z,25,FALSE)),0,VLOOKUP($A377,'13. Updated Demand'!A:Z,25,FALSE))</f>
        <v>0</v>
      </c>
      <c r="AI377" s="16">
        <f>IF(ISERROR(VLOOKUP($A377,'13. Updated Demand'!A:Z,26,FALSE)),0,VLOOKUP($A377,'13. Updated Demand'!A:Z,26,FALSE))</f>
        <v>3.333333E-3</v>
      </c>
      <c r="AJ377" s="16">
        <f t="shared" si="72"/>
        <v>2.3333333000000001E-2</v>
      </c>
      <c r="AK377" s="19">
        <v>0</v>
      </c>
      <c r="AL377" s="16">
        <f t="shared" si="70"/>
        <v>0</v>
      </c>
      <c r="AM377" s="17">
        <v>7.5268816129032256E-3</v>
      </c>
      <c r="AN377" s="19"/>
      <c r="AO377" s="19"/>
      <c r="AP377" s="19">
        <v>3.1</v>
      </c>
      <c r="AQ377" s="19" t="s">
        <v>307</v>
      </c>
      <c r="AR377" s="9" t="s">
        <v>489</v>
      </c>
      <c r="AS377" s="12">
        <v>3.4039024194010059E-4</v>
      </c>
      <c r="AT377" s="19">
        <v>38.674774960000001</v>
      </c>
      <c r="AU377" s="19">
        <v>-122.95561587</v>
      </c>
      <c r="AV377" s="19" t="s">
        <v>417</v>
      </c>
    </row>
    <row r="378" spans="1:48" x14ac:dyDescent="0.25">
      <c r="A378" s="18" t="s">
        <v>758</v>
      </c>
      <c r="B378" s="10">
        <v>19900220</v>
      </c>
      <c r="C378" s="9">
        <v>9</v>
      </c>
      <c r="D378" s="8" t="str">
        <f t="shared" si="61"/>
        <v>N</v>
      </c>
      <c r="E378" s="8" t="str">
        <f t="shared" si="62"/>
        <v>Y</v>
      </c>
      <c r="F378" s="8" t="str">
        <f t="shared" si="63"/>
        <v>Y</v>
      </c>
      <c r="G378" s="8" t="str">
        <f t="shared" si="64"/>
        <v>Y</v>
      </c>
      <c r="H378" s="8" t="str">
        <f t="shared" si="65"/>
        <v>Upper</v>
      </c>
      <c r="I378" s="8" t="str">
        <f t="shared" si="66"/>
        <v>West Fork and Below Lake</v>
      </c>
      <c r="J378" s="8" t="str">
        <f t="shared" si="67"/>
        <v>Sonoma (d/s of Clov. Gage)</v>
      </c>
      <c r="K378" s="8" t="str">
        <f t="shared" si="68"/>
        <v>Post-1949</v>
      </c>
      <c r="L378" s="8">
        <f t="shared" si="69"/>
        <v>1990</v>
      </c>
      <c r="M378" s="8" t="str">
        <f t="shared" si="71"/>
        <v>1971-1990</v>
      </c>
      <c r="N378" s="10" t="s">
        <v>241</v>
      </c>
      <c r="O378" s="10" t="s">
        <v>241</v>
      </c>
      <c r="P378" s="10" t="s">
        <v>242</v>
      </c>
      <c r="Q378" s="10" t="s">
        <v>242</v>
      </c>
      <c r="R378" s="10" t="s">
        <v>241</v>
      </c>
      <c r="S378" s="10" t="s">
        <v>242</v>
      </c>
      <c r="T378" s="10" t="s">
        <v>242</v>
      </c>
      <c r="U378" s="10" t="s">
        <v>241</v>
      </c>
      <c r="V378" s="10" t="s">
        <v>241</v>
      </c>
      <c r="W378" s="10" t="s">
        <v>242</v>
      </c>
      <c r="X378" s="15">
        <f>IF(ISERROR(VLOOKUP($A378,'13. Updated Demand'!A:Z,15,FALSE)),0,VLOOKUP($A378,'13. Updated Demand'!A:Z,15,FALSE))</f>
        <v>0</v>
      </c>
      <c r="Y378" s="16">
        <f>IF(ISERROR(VLOOKUP($A378,'13. Updated Demand'!A:Z,16,FALSE)),0,VLOOKUP($A378,'13. Updated Demand'!A:Z,16,FALSE))</f>
        <v>0</v>
      </c>
      <c r="Z378" s="16">
        <f>IF(ISERROR(VLOOKUP($A378,'13. Updated Demand'!A:Z,17,FALSE)),0,VLOOKUP($A378,'13. Updated Demand'!A:Z,17,FALSE))</f>
        <v>0</v>
      </c>
      <c r="AA378" s="16">
        <f>IF(ISERROR(VLOOKUP($A378,'13. Updated Demand'!A:Z,18,FALSE)),0,VLOOKUP($A378,'13. Updated Demand'!A:Z,18,FALSE))</f>
        <v>0</v>
      </c>
      <c r="AB378" s="16">
        <f>IF(ISERROR(VLOOKUP($A378,'13. Updated Demand'!A:Z,19,FALSE)),0,VLOOKUP($A378,'13. Updated Demand'!A:Z,19,FALSE))</f>
        <v>0</v>
      </c>
      <c r="AC378" s="16">
        <f>IF(ISERROR(VLOOKUP($A378,'13. Updated Demand'!A:Z,20,FALSE)),0,VLOOKUP($A378,'13. Updated Demand'!A:Z,20,FALSE))</f>
        <v>0</v>
      </c>
      <c r="AD378" s="16">
        <f>IF(ISERROR(VLOOKUP($A378,'13. Updated Demand'!A:Z,21,FALSE)),0,VLOOKUP($A378,'13. Updated Demand'!A:Z,21,FALSE))</f>
        <v>0</v>
      </c>
      <c r="AE378" s="16">
        <f>IF(ISERROR(VLOOKUP($A378,'13. Updated Demand'!A:Z,22,FALSE)),0,VLOOKUP($A378,'13. Updated Demand'!A:Z,22,FALSE))</f>
        <v>0</v>
      </c>
      <c r="AF378" s="16">
        <f>IF(ISERROR(VLOOKUP($A378,'13. Updated Demand'!A:Z,23,FALSE)),0,VLOOKUP($A378,'13. Updated Demand'!A:Z,23,FALSE))</f>
        <v>0</v>
      </c>
      <c r="AG378" s="16">
        <f>IF(ISERROR(VLOOKUP($A378,'13. Updated Demand'!A:Z,24,FALSE)),0,VLOOKUP($A378,'13. Updated Demand'!A:Z,24,FALSE))</f>
        <v>0</v>
      </c>
      <c r="AH378" s="16">
        <f>IF(ISERROR(VLOOKUP($A378,'13. Updated Demand'!A:Z,25,FALSE)),0,VLOOKUP($A378,'13. Updated Demand'!A:Z,25,FALSE))</f>
        <v>0</v>
      </c>
      <c r="AI378" s="16">
        <f>IF(ISERROR(VLOOKUP($A378,'13. Updated Demand'!A:Z,26,FALSE)),0,VLOOKUP($A378,'13. Updated Demand'!A:Z,26,FALSE))</f>
        <v>0</v>
      </c>
      <c r="AJ378" s="16">
        <f t="shared" si="72"/>
        <v>0</v>
      </c>
      <c r="AK378" s="19">
        <v>0</v>
      </c>
      <c r="AL378" s="16">
        <f t="shared" si="70"/>
        <v>0</v>
      </c>
      <c r="AM378" s="17">
        <v>0</v>
      </c>
      <c r="AN378" s="19"/>
      <c r="AO378" s="19"/>
      <c r="AP378" s="19">
        <v>27.6</v>
      </c>
      <c r="AQ378" s="19" t="s">
        <v>307</v>
      </c>
      <c r="AR378" s="9" t="s">
        <v>354</v>
      </c>
      <c r="AS378" s="12">
        <v>0</v>
      </c>
      <c r="AT378" s="19">
        <v>38.751807479999997</v>
      </c>
      <c r="AU378" s="19">
        <v>-122.95489615</v>
      </c>
      <c r="AV378" s="19" t="s">
        <v>548</v>
      </c>
    </row>
    <row r="379" spans="1:48" x14ac:dyDescent="0.25">
      <c r="A379" s="18" t="s">
        <v>759</v>
      </c>
      <c r="B379" s="10">
        <v>19900305</v>
      </c>
      <c r="C379" s="9">
        <v>17</v>
      </c>
      <c r="D379" s="8" t="str">
        <f t="shared" si="61"/>
        <v>N</v>
      </c>
      <c r="E379" s="8" t="str">
        <f t="shared" si="62"/>
        <v>N</v>
      </c>
      <c r="F379" s="8" t="str">
        <f t="shared" si="63"/>
        <v>N</v>
      </c>
      <c r="G379" s="8" t="str">
        <f t="shared" si="64"/>
        <v>N</v>
      </c>
      <c r="H379" s="8" t="str">
        <f t="shared" si="65"/>
        <v>Lower</v>
      </c>
      <c r="I379" s="8" t="str">
        <f t="shared" si="66"/>
        <v>Outside</v>
      </c>
      <c r="J379" s="8" t="str">
        <f t="shared" si="67"/>
        <v>Outside</v>
      </c>
      <c r="K379" s="8" t="str">
        <f t="shared" si="68"/>
        <v>Post-1949</v>
      </c>
      <c r="L379" s="8">
        <f t="shared" si="69"/>
        <v>1990</v>
      </c>
      <c r="M379" s="8" t="str">
        <f t="shared" si="71"/>
        <v>1971-1990</v>
      </c>
      <c r="N379" s="10" t="s">
        <v>242</v>
      </c>
      <c r="O379" s="10" t="s">
        <v>242</v>
      </c>
      <c r="P379" s="10" t="s">
        <v>242</v>
      </c>
      <c r="Q379" s="10" t="s">
        <v>242</v>
      </c>
      <c r="R379" s="10" t="s">
        <v>241</v>
      </c>
      <c r="S379" s="10" t="s">
        <v>242</v>
      </c>
      <c r="T379" s="10" t="s">
        <v>242</v>
      </c>
      <c r="U379" s="10" t="s">
        <v>242</v>
      </c>
      <c r="V379" s="10" t="s">
        <v>241</v>
      </c>
      <c r="W379" s="10" t="s">
        <v>242</v>
      </c>
      <c r="X379" s="15">
        <f>IF(ISERROR(VLOOKUP($A379,'13. Updated Demand'!A:Z,15,FALSE)),0,VLOOKUP($A379,'13. Updated Demand'!A:Z,15,FALSE))</f>
        <v>0.66333333299999997</v>
      </c>
      <c r="Y379" s="16">
        <f>IF(ISERROR(VLOOKUP($A379,'13. Updated Demand'!A:Z,16,FALSE)),0,VLOOKUP($A379,'13. Updated Demand'!A:Z,16,FALSE))</f>
        <v>0.24333333300000001</v>
      </c>
      <c r="Z379" s="16">
        <f>IF(ISERROR(VLOOKUP($A379,'13. Updated Demand'!A:Z,17,FALSE)),0,VLOOKUP($A379,'13. Updated Demand'!A:Z,17,FALSE))</f>
        <v>0.15</v>
      </c>
      <c r="AA379" s="16">
        <f>IF(ISERROR(VLOOKUP($A379,'13. Updated Demand'!A:Z,18,FALSE)),0,VLOOKUP($A379,'13. Updated Demand'!A:Z,18,FALSE))</f>
        <v>0</v>
      </c>
      <c r="AB379" s="16">
        <f>IF(ISERROR(VLOOKUP($A379,'13. Updated Demand'!A:Z,19,FALSE)),0,VLOOKUP($A379,'13. Updated Demand'!A:Z,19,FALSE))</f>
        <v>0</v>
      </c>
      <c r="AC379" s="16">
        <f>IF(ISERROR(VLOOKUP($A379,'13. Updated Demand'!A:Z,20,FALSE)),0,VLOOKUP($A379,'13. Updated Demand'!A:Z,20,FALSE))</f>
        <v>0</v>
      </c>
      <c r="AD379" s="16">
        <f>IF(ISERROR(VLOOKUP($A379,'13. Updated Demand'!A:Z,21,FALSE)),0,VLOOKUP($A379,'13. Updated Demand'!A:Z,21,FALSE))</f>
        <v>0</v>
      </c>
      <c r="AE379" s="16">
        <f>IF(ISERROR(VLOOKUP($A379,'13. Updated Demand'!A:Z,22,FALSE)),0,VLOOKUP($A379,'13. Updated Demand'!A:Z,22,FALSE))</f>
        <v>0</v>
      </c>
      <c r="AF379" s="16">
        <f>IF(ISERROR(VLOOKUP($A379,'13. Updated Demand'!A:Z,23,FALSE)),0,VLOOKUP($A379,'13. Updated Demand'!A:Z,23,FALSE))</f>
        <v>0</v>
      </c>
      <c r="AG379" s="16">
        <f>IF(ISERROR(VLOOKUP($A379,'13. Updated Demand'!A:Z,24,FALSE)),0,VLOOKUP($A379,'13. Updated Demand'!A:Z,24,FALSE))</f>
        <v>0</v>
      </c>
      <c r="AH379" s="16">
        <f>IF(ISERROR(VLOOKUP($A379,'13. Updated Demand'!A:Z,25,FALSE)),0,VLOOKUP($A379,'13. Updated Demand'!A:Z,25,FALSE))</f>
        <v>0.70666666700000003</v>
      </c>
      <c r="AI379" s="16">
        <f>IF(ISERROR(VLOOKUP($A379,'13. Updated Demand'!A:Z,26,FALSE)),0,VLOOKUP($A379,'13. Updated Demand'!A:Z,26,FALSE))</f>
        <v>1.56</v>
      </c>
      <c r="AJ379" s="16">
        <f t="shared" si="72"/>
        <v>3.3233333329999999</v>
      </c>
      <c r="AK379" s="19">
        <v>0</v>
      </c>
      <c r="AL379" s="16">
        <f t="shared" si="70"/>
        <v>0</v>
      </c>
      <c r="AM379" s="17">
        <v>0.36925925922222219</v>
      </c>
      <c r="AN379" s="19"/>
      <c r="AO379" s="19"/>
      <c r="AP379" s="19">
        <v>9</v>
      </c>
      <c r="AQ379" s="19" t="s">
        <v>307</v>
      </c>
      <c r="AR379" s="9" t="s">
        <v>486</v>
      </c>
      <c r="AS379" s="12">
        <v>0</v>
      </c>
      <c r="AT379" s="19">
        <v>38.560294990000003</v>
      </c>
      <c r="AU379" s="19">
        <v>-122.88238659</v>
      </c>
      <c r="AV379" s="19" t="s">
        <v>417</v>
      </c>
    </row>
    <row r="380" spans="1:48" x14ac:dyDescent="0.25">
      <c r="A380" s="18" t="s">
        <v>760</v>
      </c>
      <c r="B380" s="10">
        <v>19900201</v>
      </c>
      <c r="C380" s="9">
        <v>9</v>
      </c>
      <c r="D380" s="8" t="str">
        <f t="shared" si="61"/>
        <v>N</v>
      </c>
      <c r="E380" s="8" t="str">
        <f t="shared" si="62"/>
        <v>Y</v>
      </c>
      <c r="F380" s="8" t="str">
        <f t="shared" si="63"/>
        <v>Y</v>
      </c>
      <c r="G380" s="8" t="str">
        <f t="shared" si="64"/>
        <v>Y</v>
      </c>
      <c r="H380" s="8" t="str">
        <f t="shared" si="65"/>
        <v>Upper</v>
      </c>
      <c r="I380" s="8" t="str">
        <f t="shared" si="66"/>
        <v>West Fork and Below Lake</v>
      </c>
      <c r="J380" s="8" t="str">
        <f t="shared" si="67"/>
        <v>Sonoma (d/s of Clov. Gage)</v>
      </c>
      <c r="K380" s="8" t="str">
        <f t="shared" si="68"/>
        <v>Post-1949</v>
      </c>
      <c r="L380" s="8">
        <f t="shared" si="69"/>
        <v>1990</v>
      </c>
      <c r="M380" s="8" t="str">
        <f t="shared" si="71"/>
        <v>1971-1990</v>
      </c>
      <c r="N380" s="10" t="s">
        <v>242</v>
      </c>
      <c r="O380" s="10" t="s">
        <v>241</v>
      </c>
      <c r="P380" s="10" t="s">
        <v>242</v>
      </c>
      <c r="Q380" s="10" t="s">
        <v>242</v>
      </c>
      <c r="R380" s="10" t="s">
        <v>241</v>
      </c>
      <c r="S380" s="10" t="s">
        <v>242</v>
      </c>
      <c r="T380" s="10" t="s">
        <v>242</v>
      </c>
      <c r="U380" s="10" t="s">
        <v>242</v>
      </c>
      <c r="V380" s="10" t="s">
        <v>241</v>
      </c>
      <c r="W380" s="10" t="s">
        <v>242</v>
      </c>
      <c r="X380" s="15">
        <f>IF(ISERROR(VLOOKUP($A380,'13. Updated Demand'!A:Z,15,FALSE)),0,VLOOKUP($A380,'13. Updated Demand'!A:Z,15,FALSE))</f>
        <v>36.5</v>
      </c>
      <c r="Y380" s="16">
        <f>IF(ISERROR(VLOOKUP($A380,'13. Updated Demand'!A:Z,16,FALSE)),0,VLOOKUP($A380,'13. Updated Demand'!A:Z,16,FALSE))</f>
        <v>8.73</v>
      </c>
      <c r="Z380" s="16">
        <f>IF(ISERROR(VLOOKUP($A380,'13. Updated Demand'!A:Z,17,FALSE)),0,VLOOKUP($A380,'13. Updated Demand'!A:Z,17,FALSE))</f>
        <v>19.93</v>
      </c>
      <c r="AA380" s="16">
        <f>IF(ISERROR(VLOOKUP($A380,'13. Updated Demand'!A:Z,18,FALSE)),0,VLOOKUP($A380,'13. Updated Demand'!A:Z,18,FALSE))</f>
        <v>4.66</v>
      </c>
      <c r="AB380" s="16">
        <f>IF(ISERROR(VLOOKUP($A380,'13. Updated Demand'!A:Z,19,FALSE)),0,VLOOKUP($A380,'13. Updated Demand'!A:Z,19,FALSE))</f>
        <v>0</v>
      </c>
      <c r="AC380" s="16">
        <f>IF(ISERROR(VLOOKUP($A380,'13. Updated Demand'!A:Z,20,FALSE)),0,VLOOKUP($A380,'13. Updated Demand'!A:Z,20,FALSE))</f>
        <v>0</v>
      </c>
      <c r="AD380" s="16">
        <f>IF(ISERROR(VLOOKUP($A380,'13. Updated Demand'!A:Z,21,FALSE)),0,VLOOKUP($A380,'13. Updated Demand'!A:Z,21,FALSE))</f>
        <v>0</v>
      </c>
      <c r="AE380" s="16">
        <f>IF(ISERROR(VLOOKUP($A380,'13. Updated Demand'!A:Z,22,FALSE)),0,VLOOKUP($A380,'13. Updated Demand'!A:Z,22,FALSE))</f>
        <v>0</v>
      </c>
      <c r="AF380" s="16">
        <f>IF(ISERROR(VLOOKUP($A380,'13. Updated Demand'!A:Z,23,FALSE)),0,VLOOKUP($A380,'13. Updated Demand'!A:Z,23,FALSE))</f>
        <v>0</v>
      </c>
      <c r="AG380" s="16">
        <f>IF(ISERROR(VLOOKUP($A380,'13. Updated Demand'!A:Z,24,FALSE)),0,VLOOKUP($A380,'13. Updated Demand'!A:Z,24,FALSE))</f>
        <v>0</v>
      </c>
      <c r="AH380" s="16">
        <f>IF(ISERROR(VLOOKUP($A380,'13. Updated Demand'!A:Z,25,FALSE)),0,VLOOKUP($A380,'13. Updated Demand'!A:Z,25,FALSE))</f>
        <v>2.0299999999999998</v>
      </c>
      <c r="AI380" s="16">
        <f>IF(ISERROR(VLOOKUP($A380,'13. Updated Demand'!A:Z,26,FALSE)),0,VLOOKUP($A380,'13. Updated Demand'!A:Z,26,FALSE))</f>
        <v>31.7</v>
      </c>
      <c r="AJ380" s="16">
        <f t="shared" si="72"/>
        <v>103.55</v>
      </c>
      <c r="AK380" s="19">
        <v>0</v>
      </c>
      <c r="AL380" s="16">
        <f t="shared" si="70"/>
        <v>0</v>
      </c>
      <c r="AM380" s="17">
        <v>0.51783333331500003</v>
      </c>
      <c r="AN380" s="19"/>
      <c r="AO380" s="19"/>
      <c r="AP380" s="19">
        <v>200</v>
      </c>
      <c r="AQ380" s="19" t="s">
        <v>307</v>
      </c>
      <c r="AR380" s="9" t="s">
        <v>354</v>
      </c>
      <c r="AS380" s="12">
        <v>0</v>
      </c>
      <c r="AT380" s="19">
        <v>38.748362049999997</v>
      </c>
      <c r="AU380" s="19">
        <v>-122.97449988</v>
      </c>
      <c r="AV380" s="19" t="s">
        <v>417</v>
      </c>
    </row>
    <row r="381" spans="1:48" x14ac:dyDescent="0.25">
      <c r="A381" s="18" t="s">
        <v>761</v>
      </c>
      <c r="B381" s="10">
        <v>19900411</v>
      </c>
      <c r="C381" s="9">
        <v>1</v>
      </c>
      <c r="D381" s="8" t="str">
        <f t="shared" si="61"/>
        <v>N</v>
      </c>
      <c r="E381" s="8" t="str">
        <f t="shared" si="62"/>
        <v>N</v>
      </c>
      <c r="F381" s="8" t="str">
        <f t="shared" si="63"/>
        <v>Y</v>
      </c>
      <c r="G381" s="8" t="str">
        <f t="shared" si="64"/>
        <v>Y</v>
      </c>
      <c r="H381" s="8" t="str">
        <f t="shared" si="65"/>
        <v>Upper</v>
      </c>
      <c r="I381" s="8" t="str">
        <f t="shared" si="66"/>
        <v>West Fork and Below Lake</v>
      </c>
      <c r="J381" s="8" t="str">
        <f t="shared" si="67"/>
        <v>Outside</v>
      </c>
      <c r="K381" s="8" t="str">
        <f t="shared" si="68"/>
        <v>Post-1949</v>
      </c>
      <c r="L381" s="8">
        <f t="shared" si="69"/>
        <v>1990</v>
      </c>
      <c r="M381" s="8" t="str">
        <f t="shared" si="71"/>
        <v>1971-1990</v>
      </c>
      <c r="N381" s="10" t="s">
        <v>242</v>
      </c>
      <c r="O381" s="10" t="s">
        <v>241</v>
      </c>
      <c r="P381" s="10" t="s">
        <v>242</v>
      </c>
      <c r="Q381" s="10" t="s">
        <v>242</v>
      </c>
      <c r="R381" s="10" t="s">
        <v>241</v>
      </c>
      <c r="S381" s="10" t="s">
        <v>242</v>
      </c>
      <c r="T381" s="10" t="s">
        <v>242</v>
      </c>
      <c r="U381" s="10" t="s">
        <v>242</v>
      </c>
      <c r="V381" s="10" t="s">
        <v>241</v>
      </c>
      <c r="W381" s="10" t="s">
        <v>242</v>
      </c>
      <c r="X381" s="15">
        <f>IF(ISERROR(VLOOKUP($A381,'13. Updated Demand'!A:Z,15,FALSE)),0,VLOOKUP($A381,'13. Updated Demand'!A:Z,15,FALSE))</f>
        <v>17.329999999999998</v>
      </c>
      <c r="Y381" s="16">
        <f>IF(ISERROR(VLOOKUP($A381,'13. Updated Demand'!A:Z,16,FALSE)),0,VLOOKUP($A381,'13. Updated Demand'!A:Z,16,FALSE))</f>
        <v>0</v>
      </c>
      <c r="Z381" s="16">
        <f>IF(ISERROR(VLOOKUP($A381,'13. Updated Demand'!A:Z,17,FALSE)),0,VLOOKUP($A381,'13. Updated Demand'!A:Z,17,FALSE))</f>
        <v>0</v>
      </c>
      <c r="AA381" s="16">
        <f>IF(ISERROR(VLOOKUP($A381,'13. Updated Demand'!A:Z,18,FALSE)),0,VLOOKUP($A381,'13. Updated Demand'!A:Z,18,FALSE))</f>
        <v>0</v>
      </c>
      <c r="AB381" s="16">
        <f>IF(ISERROR(VLOOKUP($A381,'13. Updated Demand'!A:Z,19,FALSE)),0,VLOOKUP($A381,'13. Updated Demand'!A:Z,19,FALSE))</f>
        <v>0</v>
      </c>
      <c r="AC381" s="16">
        <f>IF(ISERROR(VLOOKUP($A381,'13. Updated Demand'!A:Z,20,FALSE)),0,VLOOKUP($A381,'13. Updated Demand'!A:Z,20,FALSE))</f>
        <v>0</v>
      </c>
      <c r="AD381" s="16">
        <f>IF(ISERROR(VLOOKUP($A381,'13. Updated Demand'!A:Z,21,FALSE)),0,VLOOKUP($A381,'13. Updated Demand'!A:Z,21,FALSE))</f>
        <v>0</v>
      </c>
      <c r="AE381" s="16">
        <f>IF(ISERROR(VLOOKUP($A381,'13. Updated Demand'!A:Z,22,FALSE)),0,VLOOKUP($A381,'13. Updated Demand'!A:Z,22,FALSE))</f>
        <v>0</v>
      </c>
      <c r="AF381" s="16">
        <f>IF(ISERROR(VLOOKUP($A381,'13. Updated Demand'!A:Z,23,FALSE)),0,VLOOKUP($A381,'13. Updated Demand'!A:Z,23,FALSE))</f>
        <v>0</v>
      </c>
      <c r="AG381" s="16">
        <f>IF(ISERROR(VLOOKUP($A381,'13. Updated Demand'!A:Z,24,FALSE)),0,VLOOKUP($A381,'13. Updated Demand'!A:Z,24,FALSE))</f>
        <v>0</v>
      </c>
      <c r="AH381" s="16">
        <f>IF(ISERROR(VLOOKUP($A381,'13. Updated Demand'!A:Z,25,FALSE)),0,VLOOKUP($A381,'13. Updated Demand'!A:Z,25,FALSE))</f>
        <v>0</v>
      </c>
      <c r="AI381" s="16">
        <f>IF(ISERROR(VLOOKUP($A381,'13. Updated Demand'!A:Z,26,FALSE)),0,VLOOKUP($A381,'13. Updated Demand'!A:Z,26,FALSE))</f>
        <v>0</v>
      </c>
      <c r="AJ381" s="16">
        <f t="shared" si="72"/>
        <v>17.329999999999998</v>
      </c>
      <c r="AK381" s="19">
        <v>0</v>
      </c>
      <c r="AL381" s="16">
        <f t="shared" si="70"/>
        <v>0</v>
      </c>
      <c r="AM381" s="17">
        <v>0.33986928098039215</v>
      </c>
      <c r="AN381" s="19"/>
      <c r="AO381" s="19"/>
      <c r="AP381" s="19">
        <v>51</v>
      </c>
      <c r="AQ381" s="19" t="s">
        <v>307</v>
      </c>
      <c r="AR381" s="9" t="s">
        <v>317</v>
      </c>
      <c r="AS381" s="12">
        <v>0</v>
      </c>
      <c r="AT381" s="19">
        <v>39.268500000000003</v>
      </c>
      <c r="AU381" s="19">
        <v>-123.1739</v>
      </c>
      <c r="AV381" s="19" t="s">
        <v>417</v>
      </c>
    </row>
    <row r="382" spans="1:48" x14ac:dyDescent="0.25">
      <c r="A382" s="18" t="s">
        <v>762</v>
      </c>
      <c r="B382" s="10">
        <v>19900423</v>
      </c>
      <c r="C382" s="9">
        <v>4</v>
      </c>
      <c r="D382" s="8" t="str">
        <f t="shared" si="61"/>
        <v>Y</v>
      </c>
      <c r="E382" s="8" t="str">
        <f t="shared" si="62"/>
        <v>N</v>
      </c>
      <c r="F382" s="8" t="str">
        <f t="shared" si="63"/>
        <v>Y</v>
      </c>
      <c r="G382" s="8" t="str">
        <f t="shared" si="64"/>
        <v>Y</v>
      </c>
      <c r="H382" s="8" t="str">
        <f t="shared" si="65"/>
        <v>Upper</v>
      </c>
      <c r="I382" s="8" t="str">
        <f t="shared" si="66"/>
        <v>West Fork and Below Lake</v>
      </c>
      <c r="J382" s="8" t="str">
        <f t="shared" si="67"/>
        <v>Mendocino (d/s of lake)</v>
      </c>
      <c r="K382" s="8" t="str">
        <f t="shared" si="68"/>
        <v>Post-1949</v>
      </c>
      <c r="L382" s="8">
        <f t="shared" si="69"/>
        <v>1990</v>
      </c>
      <c r="M382" s="8" t="str">
        <f t="shared" si="71"/>
        <v>1971-1990</v>
      </c>
      <c r="N382" s="10" t="s">
        <v>241</v>
      </c>
      <c r="O382" s="10" t="s">
        <v>241</v>
      </c>
      <c r="P382" s="10" t="s">
        <v>242</v>
      </c>
      <c r="Q382" s="10" t="s">
        <v>242</v>
      </c>
      <c r="R382" s="10" t="s">
        <v>241</v>
      </c>
      <c r="S382" s="10" t="s">
        <v>242</v>
      </c>
      <c r="T382" s="10" t="s">
        <v>242</v>
      </c>
      <c r="U382" s="10" t="s">
        <v>242</v>
      </c>
      <c r="V382" s="10" t="s">
        <v>242</v>
      </c>
      <c r="W382" s="10" t="s">
        <v>242</v>
      </c>
      <c r="X382" s="15">
        <f>IF(ISERROR(VLOOKUP($A382,'13. Updated Demand'!A:Z,15,FALSE)),0,VLOOKUP($A382,'13. Updated Demand'!A:Z,15,FALSE))</f>
        <v>0</v>
      </c>
      <c r="Y382" s="16">
        <f>IF(ISERROR(VLOOKUP($A382,'13. Updated Demand'!A:Z,16,FALSE)),0,VLOOKUP($A382,'13. Updated Demand'!A:Z,16,FALSE))</f>
        <v>0</v>
      </c>
      <c r="Z382" s="16">
        <f>IF(ISERROR(VLOOKUP($A382,'13. Updated Demand'!A:Z,17,FALSE)),0,VLOOKUP($A382,'13. Updated Demand'!A:Z,17,FALSE))</f>
        <v>1</v>
      </c>
      <c r="AA382" s="16">
        <f>IF(ISERROR(VLOOKUP($A382,'13. Updated Demand'!A:Z,18,FALSE)),0,VLOOKUP($A382,'13. Updated Demand'!A:Z,18,FALSE))</f>
        <v>5.25</v>
      </c>
      <c r="AB382" s="16">
        <f>IF(ISERROR(VLOOKUP($A382,'13. Updated Demand'!A:Z,19,FALSE)),0,VLOOKUP($A382,'13. Updated Demand'!A:Z,19,FALSE))</f>
        <v>0.56000000000000005</v>
      </c>
      <c r="AC382" s="16">
        <f>IF(ISERROR(VLOOKUP($A382,'13. Updated Demand'!A:Z,20,FALSE)),0,VLOOKUP($A382,'13. Updated Demand'!A:Z,20,FALSE))</f>
        <v>0</v>
      </c>
      <c r="AD382" s="16">
        <f>IF(ISERROR(VLOOKUP($A382,'13. Updated Demand'!A:Z,21,FALSE)),0,VLOOKUP($A382,'13. Updated Demand'!A:Z,21,FALSE))</f>
        <v>0</v>
      </c>
      <c r="AE382" s="16">
        <f>IF(ISERROR(VLOOKUP($A382,'13. Updated Demand'!A:Z,22,FALSE)),0,VLOOKUP($A382,'13. Updated Demand'!A:Z,22,FALSE))</f>
        <v>0</v>
      </c>
      <c r="AF382" s="16">
        <f>IF(ISERROR(VLOOKUP($A382,'13. Updated Demand'!A:Z,23,FALSE)),0,VLOOKUP($A382,'13. Updated Demand'!A:Z,23,FALSE))</f>
        <v>0</v>
      </c>
      <c r="AG382" s="16">
        <f>IF(ISERROR(VLOOKUP($A382,'13. Updated Demand'!A:Z,24,FALSE)),0,VLOOKUP($A382,'13. Updated Demand'!A:Z,24,FALSE))</f>
        <v>0</v>
      </c>
      <c r="AH382" s="16">
        <f>IF(ISERROR(VLOOKUP($A382,'13. Updated Demand'!A:Z,25,FALSE)),0,VLOOKUP($A382,'13. Updated Demand'!A:Z,25,FALSE))</f>
        <v>0</v>
      </c>
      <c r="AI382" s="16">
        <f>IF(ISERROR(VLOOKUP($A382,'13. Updated Demand'!A:Z,26,FALSE)),0,VLOOKUP($A382,'13. Updated Demand'!A:Z,26,FALSE))</f>
        <v>0</v>
      </c>
      <c r="AJ382" s="16">
        <f t="shared" si="72"/>
        <v>6.8100000000000005</v>
      </c>
      <c r="AK382" s="19">
        <v>0.56666666700000001</v>
      </c>
      <c r="AL382" s="16">
        <f t="shared" si="70"/>
        <v>1.8795687850397505E-3</v>
      </c>
      <c r="AM382" s="17">
        <v>0.78379310344827591</v>
      </c>
      <c r="AN382" s="19"/>
      <c r="AO382" s="19"/>
      <c r="AP382" s="19">
        <v>8.6999999999999993</v>
      </c>
      <c r="AQ382" s="19" t="s">
        <v>307</v>
      </c>
      <c r="AR382" s="9" t="s">
        <v>331</v>
      </c>
      <c r="AS382" s="12">
        <v>0</v>
      </c>
      <c r="AT382" s="19">
        <v>39.171797920000003</v>
      </c>
      <c r="AU382" s="19">
        <v>-123.19260872</v>
      </c>
      <c r="AV382" s="19" t="s">
        <v>387</v>
      </c>
    </row>
    <row r="383" spans="1:48" x14ac:dyDescent="0.25">
      <c r="A383" s="18" t="s">
        <v>763</v>
      </c>
      <c r="B383" s="10">
        <v>19900409</v>
      </c>
      <c r="C383" s="9">
        <v>17</v>
      </c>
      <c r="D383" s="8" t="str">
        <f t="shared" si="61"/>
        <v>N</v>
      </c>
      <c r="E383" s="8" t="str">
        <f t="shared" si="62"/>
        <v>N</v>
      </c>
      <c r="F383" s="8" t="str">
        <f t="shared" si="63"/>
        <v>N</v>
      </c>
      <c r="G383" s="8" t="str">
        <f t="shared" si="64"/>
        <v>N</v>
      </c>
      <c r="H383" s="8" t="str">
        <f t="shared" si="65"/>
        <v>Lower</v>
      </c>
      <c r="I383" s="8" t="str">
        <f t="shared" si="66"/>
        <v>Outside</v>
      </c>
      <c r="J383" s="8" t="str">
        <f t="shared" si="67"/>
        <v>Outside</v>
      </c>
      <c r="K383" s="8" t="str">
        <f t="shared" si="68"/>
        <v>Post-1949</v>
      </c>
      <c r="L383" s="8">
        <f t="shared" si="69"/>
        <v>1990</v>
      </c>
      <c r="M383" s="8" t="str">
        <f t="shared" si="71"/>
        <v>1971-1990</v>
      </c>
      <c r="N383" s="10" t="s">
        <v>241</v>
      </c>
      <c r="O383" s="10" t="s">
        <v>242</v>
      </c>
      <c r="P383" s="10" t="s">
        <v>242</v>
      </c>
      <c r="Q383" s="10" t="s">
        <v>242</v>
      </c>
      <c r="R383" s="10" t="s">
        <v>241</v>
      </c>
      <c r="S383" s="10" t="s">
        <v>242</v>
      </c>
      <c r="T383" s="10" t="s">
        <v>241</v>
      </c>
      <c r="U383" s="10" t="s">
        <v>241</v>
      </c>
      <c r="V383" s="10" t="s">
        <v>241</v>
      </c>
      <c r="W383" s="10" t="s">
        <v>242</v>
      </c>
      <c r="X383" s="15">
        <f>IF(ISERROR(VLOOKUP($A383,'13. Updated Demand'!A:Z,15,FALSE)),0,VLOOKUP($A383,'13. Updated Demand'!A:Z,15,FALSE))</f>
        <v>0</v>
      </c>
      <c r="Y383" s="16">
        <f>IF(ISERROR(VLOOKUP($A383,'13. Updated Demand'!A:Z,16,FALSE)),0,VLOOKUP($A383,'13. Updated Demand'!A:Z,16,FALSE))</f>
        <v>0</v>
      </c>
      <c r="Z383" s="16">
        <f>IF(ISERROR(VLOOKUP($A383,'13. Updated Demand'!A:Z,17,FALSE)),0,VLOOKUP($A383,'13. Updated Demand'!A:Z,17,FALSE))</f>
        <v>0</v>
      </c>
      <c r="AA383" s="16">
        <f>IF(ISERROR(VLOOKUP($A383,'13. Updated Demand'!A:Z,18,FALSE)),0,VLOOKUP($A383,'13. Updated Demand'!A:Z,18,FALSE))</f>
        <v>0</v>
      </c>
      <c r="AB383" s="16">
        <f>IF(ISERROR(VLOOKUP($A383,'13. Updated Demand'!A:Z,19,FALSE)),0,VLOOKUP($A383,'13. Updated Demand'!A:Z,19,FALSE))</f>
        <v>0</v>
      </c>
      <c r="AC383" s="16">
        <f>IF(ISERROR(VLOOKUP($A383,'13. Updated Demand'!A:Z,20,FALSE)),0,VLOOKUP($A383,'13. Updated Demand'!A:Z,20,FALSE))</f>
        <v>0</v>
      </c>
      <c r="AD383" s="16">
        <f>IF(ISERROR(VLOOKUP($A383,'13. Updated Demand'!A:Z,21,FALSE)),0,VLOOKUP($A383,'13. Updated Demand'!A:Z,21,FALSE))</f>
        <v>0</v>
      </c>
      <c r="AE383" s="16">
        <f>IF(ISERROR(VLOOKUP($A383,'13. Updated Demand'!A:Z,22,FALSE)),0,VLOOKUP($A383,'13. Updated Demand'!A:Z,22,FALSE))</f>
        <v>0</v>
      </c>
      <c r="AF383" s="16">
        <f>IF(ISERROR(VLOOKUP($A383,'13. Updated Demand'!A:Z,23,FALSE)),0,VLOOKUP($A383,'13. Updated Demand'!A:Z,23,FALSE))</f>
        <v>0</v>
      </c>
      <c r="AG383" s="16">
        <f>IF(ISERROR(VLOOKUP($A383,'13. Updated Demand'!A:Z,24,FALSE)),0,VLOOKUP($A383,'13. Updated Demand'!A:Z,24,FALSE))</f>
        <v>0</v>
      </c>
      <c r="AH383" s="16">
        <f>IF(ISERROR(VLOOKUP($A383,'13. Updated Demand'!A:Z,25,FALSE)),0,VLOOKUP($A383,'13. Updated Demand'!A:Z,25,FALSE))</f>
        <v>0</v>
      </c>
      <c r="AI383" s="16">
        <f>IF(ISERROR(VLOOKUP($A383,'13. Updated Demand'!A:Z,26,FALSE)),0,VLOOKUP($A383,'13. Updated Demand'!A:Z,26,FALSE))</f>
        <v>0</v>
      </c>
      <c r="AJ383" s="16">
        <f t="shared" si="72"/>
        <v>0</v>
      </c>
      <c r="AK383" s="19">
        <v>0</v>
      </c>
      <c r="AL383" s="16">
        <f t="shared" si="70"/>
        <v>0</v>
      </c>
      <c r="AM383" s="17">
        <v>0</v>
      </c>
      <c r="AN383" s="19"/>
      <c r="AO383" s="19"/>
      <c r="AP383" s="19">
        <v>4725</v>
      </c>
      <c r="AQ383" s="19" t="s">
        <v>307</v>
      </c>
      <c r="AR383" s="9" t="s">
        <v>486</v>
      </c>
      <c r="AS383" s="12">
        <v>0</v>
      </c>
      <c r="AT383" s="19">
        <v>38.555277029999999</v>
      </c>
      <c r="AU383" s="19">
        <v>-122.85574616</v>
      </c>
      <c r="AV383" s="19" t="s">
        <v>548</v>
      </c>
    </row>
    <row r="384" spans="1:48" x14ac:dyDescent="0.25">
      <c r="A384" s="18" t="s">
        <v>764</v>
      </c>
      <c r="B384" s="10">
        <v>19900530</v>
      </c>
      <c r="C384" s="9">
        <v>9</v>
      </c>
      <c r="D384" s="8" t="str">
        <f t="shared" si="61"/>
        <v>N</v>
      </c>
      <c r="E384" s="8" t="str">
        <f t="shared" si="62"/>
        <v>Y</v>
      </c>
      <c r="F384" s="8" t="str">
        <f t="shared" si="63"/>
        <v>Y</v>
      </c>
      <c r="G384" s="8" t="str">
        <f t="shared" si="64"/>
        <v>Y</v>
      </c>
      <c r="H384" s="8" t="str">
        <f t="shared" si="65"/>
        <v>Upper</v>
      </c>
      <c r="I384" s="8" t="str">
        <f t="shared" si="66"/>
        <v>West Fork and Below Lake</v>
      </c>
      <c r="J384" s="8" t="str">
        <f t="shared" si="67"/>
        <v>Sonoma (d/s of Clov. Gage)</v>
      </c>
      <c r="K384" s="8" t="str">
        <f t="shared" si="68"/>
        <v>Post-1949</v>
      </c>
      <c r="L384" s="8">
        <f t="shared" si="69"/>
        <v>1990</v>
      </c>
      <c r="M384" s="8" t="str">
        <f t="shared" si="71"/>
        <v>1971-1990</v>
      </c>
      <c r="N384" s="10" t="s">
        <v>242</v>
      </c>
      <c r="O384" s="10" t="s">
        <v>241</v>
      </c>
      <c r="P384" s="10" t="s">
        <v>242</v>
      </c>
      <c r="Q384" s="10" t="s">
        <v>242</v>
      </c>
      <c r="R384" s="10" t="s">
        <v>241</v>
      </c>
      <c r="S384" s="10" t="s">
        <v>242</v>
      </c>
      <c r="T384" s="10" t="s">
        <v>242</v>
      </c>
      <c r="U384" s="10" t="s">
        <v>242</v>
      </c>
      <c r="V384" s="10" t="s">
        <v>241</v>
      </c>
      <c r="W384" s="10" t="s">
        <v>242</v>
      </c>
      <c r="X384" s="15">
        <f>IF(ISERROR(VLOOKUP($A384,'13. Updated Demand'!A:Z,15,FALSE)),0,VLOOKUP($A384,'13. Updated Demand'!A:Z,15,FALSE))</f>
        <v>16.46</v>
      </c>
      <c r="Y384" s="16">
        <f>IF(ISERROR(VLOOKUP($A384,'13. Updated Demand'!A:Z,16,FALSE)),0,VLOOKUP($A384,'13. Updated Demand'!A:Z,16,FALSE))</f>
        <v>0</v>
      </c>
      <c r="Z384" s="16">
        <f>IF(ISERROR(VLOOKUP($A384,'13. Updated Demand'!A:Z,17,FALSE)),0,VLOOKUP($A384,'13. Updated Demand'!A:Z,17,FALSE))</f>
        <v>2.7</v>
      </c>
      <c r="AA384" s="16">
        <f>IF(ISERROR(VLOOKUP($A384,'13. Updated Demand'!A:Z,18,FALSE)),0,VLOOKUP($A384,'13. Updated Demand'!A:Z,18,FALSE))</f>
        <v>0</v>
      </c>
      <c r="AB384" s="16">
        <f>IF(ISERROR(VLOOKUP($A384,'13. Updated Demand'!A:Z,19,FALSE)),0,VLOOKUP($A384,'13. Updated Demand'!A:Z,19,FALSE))</f>
        <v>0</v>
      </c>
      <c r="AC384" s="16">
        <f>IF(ISERROR(VLOOKUP($A384,'13. Updated Demand'!A:Z,20,FALSE)),0,VLOOKUP($A384,'13. Updated Demand'!A:Z,20,FALSE))</f>
        <v>0</v>
      </c>
      <c r="AD384" s="16">
        <f>IF(ISERROR(VLOOKUP($A384,'13. Updated Demand'!A:Z,21,FALSE)),0,VLOOKUP($A384,'13. Updated Demand'!A:Z,21,FALSE))</f>
        <v>0</v>
      </c>
      <c r="AE384" s="16">
        <f>IF(ISERROR(VLOOKUP($A384,'13. Updated Demand'!A:Z,22,FALSE)),0,VLOOKUP($A384,'13. Updated Demand'!A:Z,22,FALSE))</f>
        <v>0</v>
      </c>
      <c r="AF384" s="16">
        <f>IF(ISERROR(VLOOKUP($A384,'13. Updated Demand'!A:Z,23,FALSE)),0,VLOOKUP($A384,'13. Updated Demand'!A:Z,23,FALSE))</f>
        <v>0</v>
      </c>
      <c r="AG384" s="16">
        <f>IF(ISERROR(VLOOKUP($A384,'13. Updated Demand'!A:Z,24,FALSE)),0,VLOOKUP($A384,'13. Updated Demand'!A:Z,24,FALSE))</f>
        <v>0</v>
      </c>
      <c r="AH384" s="16">
        <f>IF(ISERROR(VLOOKUP($A384,'13. Updated Demand'!A:Z,25,FALSE)),0,VLOOKUP($A384,'13. Updated Demand'!A:Z,25,FALSE))</f>
        <v>0.5</v>
      </c>
      <c r="AI384" s="16">
        <f>IF(ISERROR(VLOOKUP($A384,'13. Updated Demand'!A:Z,26,FALSE)),0,VLOOKUP($A384,'13. Updated Demand'!A:Z,26,FALSE))</f>
        <v>4.9000000000000004</v>
      </c>
      <c r="AJ384" s="16">
        <f t="shared" si="72"/>
        <v>24.560000000000002</v>
      </c>
      <c r="AK384" s="19">
        <v>0</v>
      </c>
      <c r="AL384" s="16">
        <f t="shared" si="70"/>
        <v>0</v>
      </c>
      <c r="AM384" s="17">
        <v>0.50136054421768772</v>
      </c>
      <c r="AN384" s="19"/>
      <c r="AO384" s="19"/>
      <c r="AP384" s="19">
        <v>49</v>
      </c>
      <c r="AQ384" s="19" t="s">
        <v>307</v>
      </c>
      <c r="AR384" s="9" t="s">
        <v>354</v>
      </c>
      <c r="AS384" s="12">
        <v>0</v>
      </c>
      <c r="AT384" s="19">
        <v>38.742664150000003</v>
      </c>
      <c r="AU384" s="19">
        <v>-122.96476674</v>
      </c>
      <c r="AV384" s="19" t="s">
        <v>417</v>
      </c>
    </row>
    <row r="385" spans="1:48" x14ac:dyDescent="0.25">
      <c r="A385" s="18" t="s">
        <v>765</v>
      </c>
      <c r="B385" s="10">
        <v>19900402</v>
      </c>
      <c r="C385" s="9">
        <v>6</v>
      </c>
      <c r="D385" s="8" t="str">
        <f t="shared" si="61"/>
        <v>Y</v>
      </c>
      <c r="E385" s="8" t="str">
        <f t="shared" si="62"/>
        <v>N</v>
      </c>
      <c r="F385" s="8" t="str">
        <f t="shared" si="63"/>
        <v>Y</v>
      </c>
      <c r="G385" s="8" t="str">
        <f t="shared" si="64"/>
        <v>Y</v>
      </c>
      <c r="H385" s="8" t="str">
        <f t="shared" si="65"/>
        <v>Upper</v>
      </c>
      <c r="I385" s="8" t="str">
        <f t="shared" si="66"/>
        <v>West Fork and Below Lake</v>
      </c>
      <c r="J385" s="8" t="str">
        <f t="shared" si="67"/>
        <v>Mendocino (d/s of lake)</v>
      </c>
      <c r="K385" s="8" t="str">
        <f t="shared" si="68"/>
        <v>Post-1949</v>
      </c>
      <c r="L385" s="8">
        <f t="shared" si="69"/>
        <v>1990</v>
      </c>
      <c r="M385" s="8" t="str">
        <f t="shared" si="71"/>
        <v>1971-1990</v>
      </c>
      <c r="N385" s="10" t="s">
        <v>241</v>
      </c>
      <c r="O385" s="10" t="s">
        <v>241</v>
      </c>
      <c r="P385" s="10" t="s">
        <v>242</v>
      </c>
      <c r="Q385" s="10" t="s">
        <v>242</v>
      </c>
      <c r="R385" s="10" t="s">
        <v>241</v>
      </c>
      <c r="S385" s="10" t="s">
        <v>242</v>
      </c>
      <c r="T385" s="10" t="s">
        <v>241</v>
      </c>
      <c r="U385" s="10" t="s">
        <v>241</v>
      </c>
      <c r="V385" s="10" t="s">
        <v>241</v>
      </c>
      <c r="W385" s="10" t="s">
        <v>242</v>
      </c>
      <c r="X385" s="15">
        <f>IF(ISERROR(VLOOKUP($A385,'13. Updated Demand'!A:Z,15,FALSE)),0,VLOOKUP($A385,'13. Updated Demand'!A:Z,15,FALSE))</f>
        <v>0</v>
      </c>
      <c r="Y385" s="16">
        <f>IF(ISERROR(VLOOKUP($A385,'13. Updated Demand'!A:Z,16,FALSE)),0,VLOOKUP($A385,'13. Updated Demand'!A:Z,16,FALSE))</f>
        <v>0</v>
      </c>
      <c r="Z385" s="16">
        <f>IF(ISERROR(VLOOKUP($A385,'13. Updated Demand'!A:Z,17,FALSE)),0,VLOOKUP($A385,'13. Updated Demand'!A:Z,17,FALSE))</f>
        <v>0</v>
      </c>
      <c r="AA385" s="16">
        <f>IF(ISERROR(VLOOKUP($A385,'13. Updated Demand'!A:Z,18,FALSE)),0,VLOOKUP($A385,'13. Updated Demand'!A:Z,18,FALSE))</f>
        <v>0</v>
      </c>
      <c r="AB385" s="16">
        <f>IF(ISERROR(VLOOKUP($A385,'13. Updated Demand'!A:Z,19,FALSE)),0,VLOOKUP($A385,'13. Updated Demand'!A:Z,19,FALSE))</f>
        <v>0</v>
      </c>
      <c r="AC385" s="16">
        <f>IF(ISERROR(VLOOKUP($A385,'13. Updated Demand'!A:Z,20,FALSE)),0,VLOOKUP($A385,'13. Updated Demand'!A:Z,20,FALSE))</f>
        <v>0</v>
      </c>
      <c r="AD385" s="16">
        <f>IF(ISERROR(VLOOKUP($A385,'13. Updated Demand'!A:Z,21,FALSE)),0,VLOOKUP($A385,'13. Updated Demand'!A:Z,21,FALSE))</f>
        <v>0</v>
      </c>
      <c r="AE385" s="16">
        <f>IF(ISERROR(VLOOKUP($A385,'13. Updated Demand'!A:Z,22,FALSE)),0,VLOOKUP($A385,'13. Updated Demand'!A:Z,22,FALSE))</f>
        <v>0</v>
      </c>
      <c r="AF385" s="16">
        <f>IF(ISERROR(VLOOKUP($A385,'13. Updated Demand'!A:Z,23,FALSE)),0,VLOOKUP($A385,'13. Updated Demand'!A:Z,23,FALSE))</f>
        <v>0</v>
      </c>
      <c r="AG385" s="16">
        <f>IF(ISERROR(VLOOKUP($A385,'13. Updated Demand'!A:Z,24,FALSE)),0,VLOOKUP($A385,'13. Updated Demand'!A:Z,24,FALSE))</f>
        <v>0</v>
      </c>
      <c r="AH385" s="16">
        <f>IF(ISERROR(VLOOKUP($A385,'13. Updated Demand'!A:Z,25,FALSE)),0,VLOOKUP($A385,'13. Updated Demand'!A:Z,25,FALSE))</f>
        <v>0</v>
      </c>
      <c r="AI385" s="16">
        <f>IF(ISERROR(VLOOKUP($A385,'13. Updated Demand'!A:Z,26,FALSE)),0,VLOOKUP($A385,'13. Updated Demand'!A:Z,26,FALSE))</f>
        <v>0</v>
      </c>
      <c r="AJ385" s="16">
        <f t="shared" si="72"/>
        <v>0</v>
      </c>
      <c r="AK385" s="19">
        <v>0</v>
      </c>
      <c r="AL385" s="16">
        <f t="shared" si="70"/>
        <v>0</v>
      </c>
      <c r="AM385" s="17">
        <v>0</v>
      </c>
      <c r="AN385" s="19"/>
      <c r="AO385" s="19"/>
      <c r="AP385" s="19">
        <v>237</v>
      </c>
      <c r="AQ385" s="19" t="s">
        <v>307</v>
      </c>
      <c r="AR385" s="9" t="s">
        <v>319</v>
      </c>
      <c r="AS385" s="12">
        <v>0</v>
      </c>
      <c r="AT385" s="19">
        <v>38.983482539999997</v>
      </c>
      <c r="AU385" s="19">
        <v>-123.1032963</v>
      </c>
      <c r="AV385" s="19" t="s">
        <v>766</v>
      </c>
    </row>
    <row r="386" spans="1:48" x14ac:dyDescent="0.25">
      <c r="A386" s="18" t="s">
        <v>767</v>
      </c>
      <c r="B386" s="10">
        <v>19900522</v>
      </c>
      <c r="C386" s="9">
        <v>5</v>
      </c>
      <c r="D386" s="8" t="str">
        <f t="shared" ref="D386:D449" si="73">IF(OR(C386=4,C386=5,C386=6),"Y","N")</f>
        <v>Y</v>
      </c>
      <c r="E386" s="8" t="str">
        <f t="shared" ref="E386:E449" si="74">IF(AND(C386&gt;6,C386&lt;14),"Y","N")</f>
        <v>N</v>
      </c>
      <c r="F386" s="8" t="str">
        <f t="shared" ref="F386:F449" si="75">IF(C386&lt;14,"Y","N")</f>
        <v>Y</v>
      </c>
      <c r="G386" s="8" t="str">
        <f t="shared" ref="G386:G449" si="76">IF(OR(C386=1,AND(C386&gt;3,C386&lt;14)),"Y","N")</f>
        <v>Y</v>
      </c>
      <c r="H386" s="8" t="str">
        <f t="shared" ref="H386:H449" si="77">IF(C386&lt;14,"Upper","Lower")</f>
        <v>Upper</v>
      </c>
      <c r="I386" s="8" t="str">
        <f t="shared" ref="I386:I449" si="78">IF(G386="Y","West Fork and Below Lake","Outside")</f>
        <v>West Fork and Below Lake</v>
      </c>
      <c r="J386" s="8" t="str">
        <f t="shared" ref="J386:J449" si="79">IF(D386="Y", "Mendocino (d/s of lake)", IF(E386="Y", "Sonoma (d/s of Clov. Gage)","Outside"))</f>
        <v>Mendocino (d/s of lake)</v>
      </c>
      <c r="K386" s="8" t="str">
        <f t="shared" ref="K386:K449" si="80">IF(P386="Y","pre-1914",IF(Q386="Y","Pre-1949",IF(R386="Y","Post-1949",IF(S386="Y","Riparian","Unknown"))))</f>
        <v>Post-1949</v>
      </c>
      <c r="L386" s="8">
        <f t="shared" ref="L386:L449" si="81">_xlfn.NUMBERVALUE(LEFT(B386,4))</f>
        <v>1990</v>
      </c>
      <c r="M386" s="8" t="str">
        <f t="shared" si="71"/>
        <v>1971-1990</v>
      </c>
      <c r="N386" s="10" t="s">
        <v>241</v>
      </c>
      <c r="O386" s="10" t="s">
        <v>241</v>
      </c>
      <c r="P386" s="10" t="s">
        <v>242</v>
      </c>
      <c r="Q386" s="10" t="s">
        <v>242</v>
      </c>
      <c r="R386" s="10" t="s">
        <v>241</v>
      </c>
      <c r="S386" s="10" t="s">
        <v>242</v>
      </c>
      <c r="T386" s="10" t="s">
        <v>241</v>
      </c>
      <c r="U386" s="10" t="s">
        <v>241</v>
      </c>
      <c r="V386" s="10" t="s">
        <v>241</v>
      </c>
      <c r="W386" s="10" t="s">
        <v>242</v>
      </c>
      <c r="X386" s="15">
        <f>IF(ISERROR(VLOOKUP($A386,'13. Updated Demand'!A:Z,15,FALSE)),0,VLOOKUP($A386,'13. Updated Demand'!A:Z,15,FALSE))</f>
        <v>0</v>
      </c>
      <c r="Y386" s="16">
        <f>IF(ISERROR(VLOOKUP($A386,'13. Updated Demand'!A:Z,16,FALSE)),0,VLOOKUP($A386,'13. Updated Demand'!A:Z,16,FALSE))</f>
        <v>0</v>
      </c>
      <c r="Z386" s="16">
        <f>IF(ISERROR(VLOOKUP($A386,'13. Updated Demand'!A:Z,17,FALSE)),0,VLOOKUP($A386,'13. Updated Demand'!A:Z,17,FALSE))</f>
        <v>0</v>
      </c>
      <c r="AA386" s="16">
        <f>IF(ISERROR(VLOOKUP($A386,'13. Updated Demand'!A:Z,18,FALSE)),0,VLOOKUP($A386,'13. Updated Demand'!A:Z,18,FALSE))</f>
        <v>0</v>
      </c>
      <c r="AB386" s="16">
        <f>IF(ISERROR(VLOOKUP($A386,'13. Updated Demand'!A:Z,19,FALSE)),0,VLOOKUP($A386,'13. Updated Demand'!A:Z,19,FALSE))</f>
        <v>0</v>
      </c>
      <c r="AC386" s="16">
        <f>IF(ISERROR(VLOOKUP($A386,'13. Updated Demand'!A:Z,20,FALSE)),0,VLOOKUP($A386,'13. Updated Demand'!A:Z,20,FALSE))</f>
        <v>0</v>
      </c>
      <c r="AD386" s="16">
        <f>IF(ISERROR(VLOOKUP($A386,'13. Updated Demand'!A:Z,21,FALSE)),0,VLOOKUP($A386,'13. Updated Demand'!A:Z,21,FALSE))</f>
        <v>0</v>
      </c>
      <c r="AE386" s="16">
        <f>IF(ISERROR(VLOOKUP($A386,'13. Updated Demand'!A:Z,22,FALSE)),0,VLOOKUP($A386,'13. Updated Demand'!A:Z,22,FALSE))</f>
        <v>0</v>
      </c>
      <c r="AF386" s="16">
        <f>IF(ISERROR(VLOOKUP($A386,'13. Updated Demand'!A:Z,23,FALSE)),0,VLOOKUP($A386,'13. Updated Demand'!A:Z,23,FALSE))</f>
        <v>0</v>
      </c>
      <c r="AG386" s="16">
        <f>IF(ISERROR(VLOOKUP($A386,'13. Updated Demand'!A:Z,24,FALSE)),0,VLOOKUP($A386,'13. Updated Demand'!A:Z,24,FALSE))</f>
        <v>0</v>
      </c>
      <c r="AH386" s="16">
        <f>IF(ISERROR(VLOOKUP($A386,'13. Updated Demand'!A:Z,25,FALSE)),0,VLOOKUP($A386,'13. Updated Demand'!A:Z,25,FALSE))</f>
        <v>0</v>
      </c>
      <c r="AI386" s="16">
        <f>IF(ISERROR(VLOOKUP($A386,'13. Updated Demand'!A:Z,26,FALSE)),0,VLOOKUP($A386,'13. Updated Demand'!A:Z,26,FALSE))</f>
        <v>0</v>
      </c>
      <c r="AJ386" s="16">
        <f t="shared" si="72"/>
        <v>0</v>
      </c>
      <c r="AK386" s="19">
        <v>0</v>
      </c>
      <c r="AL386" s="16">
        <f t="shared" ref="AL386:AL449" si="82">AK386/152/1.983471</f>
        <v>0</v>
      </c>
      <c r="AM386" s="17">
        <v>0</v>
      </c>
      <c r="AN386" s="19"/>
      <c r="AO386" s="19"/>
      <c r="AP386" s="19">
        <v>139</v>
      </c>
      <c r="AQ386" s="19" t="s">
        <v>307</v>
      </c>
      <c r="AR386" s="9" t="s">
        <v>333</v>
      </c>
      <c r="AS386" s="12">
        <v>0</v>
      </c>
      <c r="AT386" s="19">
        <v>39.060242580000001</v>
      </c>
      <c r="AU386" s="19">
        <v>-123.15819113000001</v>
      </c>
      <c r="AV386" s="19" t="s">
        <v>417</v>
      </c>
    </row>
    <row r="387" spans="1:48" x14ac:dyDescent="0.25">
      <c r="A387" s="18" t="s">
        <v>768</v>
      </c>
      <c r="B387" s="10">
        <v>19900705</v>
      </c>
      <c r="C387" s="9">
        <v>23</v>
      </c>
      <c r="D387" s="8" t="str">
        <f t="shared" si="73"/>
        <v>N</v>
      </c>
      <c r="E387" s="8" t="str">
        <f t="shared" si="74"/>
        <v>N</v>
      </c>
      <c r="F387" s="8" t="str">
        <f t="shared" si="75"/>
        <v>N</v>
      </c>
      <c r="G387" s="8" t="str">
        <f t="shared" si="76"/>
        <v>N</v>
      </c>
      <c r="H387" s="8" t="str">
        <f t="shared" si="77"/>
        <v>Lower</v>
      </c>
      <c r="I387" s="8" t="str">
        <f t="shared" si="78"/>
        <v>Outside</v>
      </c>
      <c r="J387" s="8" t="str">
        <f t="shared" si="79"/>
        <v>Outside</v>
      </c>
      <c r="K387" s="8" t="str">
        <f t="shared" si="80"/>
        <v>Post-1949</v>
      </c>
      <c r="L387" s="8">
        <f t="shared" si="81"/>
        <v>1990</v>
      </c>
      <c r="M387" s="8" t="str">
        <f t="shared" ref="M387:M450" si="83">IF(L387=1949,"1949",IF(AND(L387&gt;1949,L387&lt;1953),"1950-1952",IF(AND(L387&gt;1952,L387&lt;1955),"1953-1954",IF(AND(L387&gt;1954,L387&lt;1957),"1955-1956",IF(AND(L387&gt;1956,L387&lt;1960),"1957-1959",IF(AND(L387&gt;1959,L387&lt;1971),"1960-1970",IF(AND(L387&gt;1970,L387&lt;1991),"1971-1990",IF(L387&gt;1990,"1991-present","-"))))))))</f>
        <v>1971-1990</v>
      </c>
      <c r="N387" s="10" t="s">
        <v>242</v>
      </c>
      <c r="O387" s="10" t="s">
        <v>242</v>
      </c>
      <c r="P387" s="10" t="s">
        <v>242</v>
      </c>
      <c r="Q387" s="10" t="s">
        <v>242</v>
      </c>
      <c r="R387" s="10" t="s">
        <v>241</v>
      </c>
      <c r="S387" s="10" t="s">
        <v>242</v>
      </c>
      <c r="T387" s="10" t="s">
        <v>242</v>
      </c>
      <c r="U387" s="10" t="s">
        <v>242</v>
      </c>
      <c r="V387" s="10" t="s">
        <v>241</v>
      </c>
      <c r="W387" s="10" t="s">
        <v>242</v>
      </c>
      <c r="X387" s="15">
        <f>IF(ISERROR(VLOOKUP($A387,'13. Updated Demand'!A:Z,15,FALSE)),0,VLOOKUP($A387,'13. Updated Demand'!A:Z,15,FALSE))</f>
        <v>2.1</v>
      </c>
      <c r="Y387" s="16">
        <f>IF(ISERROR(VLOOKUP($A387,'13. Updated Demand'!A:Z,16,FALSE)),0,VLOOKUP($A387,'13. Updated Demand'!A:Z,16,FALSE))</f>
        <v>4.5</v>
      </c>
      <c r="Z387" s="16">
        <f>IF(ISERROR(VLOOKUP($A387,'13. Updated Demand'!A:Z,17,FALSE)),0,VLOOKUP($A387,'13. Updated Demand'!A:Z,17,FALSE))</f>
        <v>0</v>
      </c>
      <c r="AA387" s="16">
        <f>IF(ISERROR(VLOOKUP($A387,'13. Updated Demand'!A:Z,18,FALSE)),0,VLOOKUP($A387,'13. Updated Demand'!A:Z,18,FALSE))</f>
        <v>0</v>
      </c>
      <c r="AB387" s="16">
        <f>IF(ISERROR(VLOOKUP($A387,'13. Updated Demand'!A:Z,19,FALSE)),0,VLOOKUP($A387,'13. Updated Demand'!A:Z,19,FALSE))</f>
        <v>0</v>
      </c>
      <c r="AC387" s="16">
        <f>IF(ISERROR(VLOOKUP($A387,'13. Updated Demand'!A:Z,20,FALSE)),0,VLOOKUP($A387,'13. Updated Demand'!A:Z,20,FALSE))</f>
        <v>0</v>
      </c>
      <c r="AD387" s="16">
        <f>IF(ISERROR(VLOOKUP($A387,'13. Updated Demand'!A:Z,21,FALSE)),0,VLOOKUP($A387,'13. Updated Demand'!A:Z,21,FALSE))</f>
        <v>0</v>
      </c>
      <c r="AE387" s="16">
        <f>IF(ISERROR(VLOOKUP($A387,'13. Updated Demand'!A:Z,22,FALSE)),0,VLOOKUP($A387,'13. Updated Demand'!A:Z,22,FALSE))</f>
        <v>0</v>
      </c>
      <c r="AF387" s="16">
        <f>IF(ISERROR(VLOOKUP($A387,'13. Updated Demand'!A:Z,23,FALSE)),0,VLOOKUP($A387,'13. Updated Demand'!A:Z,23,FALSE))</f>
        <v>0</v>
      </c>
      <c r="AG387" s="16">
        <f>IF(ISERROR(VLOOKUP($A387,'13. Updated Demand'!A:Z,24,FALSE)),0,VLOOKUP($A387,'13. Updated Demand'!A:Z,24,FALSE))</f>
        <v>0</v>
      </c>
      <c r="AH387" s="16">
        <f>IF(ISERROR(VLOOKUP($A387,'13. Updated Demand'!A:Z,25,FALSE)),0,VLOOKUP($A387,'13. Updated Demand'!A:Z,25,FALSE))</f>
        <v>0.33333333300000001</v>
      </c>
      <c r="AI387" s="16">
        <f>IF(ISERROR(VLOOKUP($A387,'13. Updated Demand'!A:Z,26,FALSE)),0,VLOOKUP($A387,'13. Updated Demand'!A:Z,26,FALSE))</f>
        <v>2.0333333329999999</v>
      </c>
      <c r="AJ387" s="16">
        <f t="shared" si="72"/>
        <v>8.9666666659999983</v>
      </c>
      <c r="AK387" s="19">
        <v>0</v>
      </c>
      <c r="AL387" s="16">
        <f t="shared" si="82"/>
        <v>0</v>
      </c>
      <c r="AM387" s="17">
        <v>0.22416666664999996</v>
      </c>
      <c r="AN387" s="19"/>
      <c r="AO387" s="19"/>
      <c r="AP387" s="19">
        <v>40</v>
      </c>
      <c r="AQ387" s="19" t="s">
        <v>307</v>
      </c>
      <c r="AR387" s="9" t="s">
        <v>391</v>
      </c>
      <c r="AS387" s="12">
        <v>0</v>
      </c>
      <c r="AT387" s="19">
        <v>38.534017630000001</v>
      </c>
      <c r="AU387" s="19">
        <v>-122.8338155</v>
      </c>
      <c r="AV387" s="19" t="s">
        <v>417</v>
      </c>
    </row>
    <row r="388" spans="1:48" x14ac:dyDescent="0.25">
      <c r="A388" s="18" t="s">
        <v>769</v>
      </c>
      <c r="B388" s="10">
        <v>19900725</v>
      </c>
      <c r="C388" s="9">
        <v>6</v>
      </c>
      <c r="D388" s="8" t="str">
        <f t="shared" si="73"/>
        <v>Y</v>
      </c>
      <c r="E388" s="8" t="str">
        <f t="shared" si="74"/>
        <v>N</v>
      </c>
      <c r="F388" s="8" t="str">
        <f t="shared" si="75"/>
        <v>Y</v>
      </c>
      <c r="G388" s="8" t="str">
        <f t="shared" si="76"/>
        <v>Y</v>
      </c>
      <c r="H388" s="8" t="str">
        <f t="shared" si="77"/>
        <v>Upper</v>
      </c>
      <c r="I388" s="8" t="str">
        <f t="shared" si="78"/>
        <v>West Fork and Below Lake</v>
      </c>
      <c r="J388" s="8" t="str">
        <f t="shared" si="79"/>
        <v>Mendocino (d/s of lake)</v>
      </c>
      <c r="K388" s="8" t="str">
        <f t="shared" si="80"/>
        <v>Post-1949</v>
      </c>
      <c r="L388" s="8">
        <f t="shared" si="81"/>
        <v>1990</v>
      </c>
      <c r="M388" s="8" t="str">
        <f t="shared" si="83"/>
        <v>1971-1990</v>
      </c>
      <c r="N388" s="10" t="s">
        <v>242</v>
      </c>
      <c r="O388" s="10" t="s">
        <v>241</v>
      </c>
      <c r="P388" s="10" t="s">
        <v>242</v>
      </c>
      <c r="Q388" s="10" t="s">
        <v>242</v>
      </c>
      <c r="R388" s="10" t="s">
        <v>241</v>
      </c>
      <c r="S388" s="10" t="s">
        <v>242</v>
      </c>
      <c r="T388" s="10" t="s">
        <v>241</v>
      </c>
      <c r="U388" s="10" t="s">
        <v>241</v>
      </c>
      <c r="V388" s="10" t="s">
        <v>241</v>
      </c>
      <c r="W388" s="10" t="s">
        <v>242</v>
      </c>
      <c r="X388" s="15">
        <f>IF(ISERROR(VLOOKUP($A388,'13. Updated Demand'!A:Z,15,FALSE)),0,VLOOKUP($A388,'13. Updated Demand'!A:Z,15,FALSE))</f>
        <v>0</v>
      </c>
      <c r="Y388" s="16">
        <f>IF(ISERROR(VLOOKUP($A388,'13. Updated Demand'!A:Z,16,FALSE)),0,VLOOKUP($A388,'13. Updated Demand'!A:Z,16,FALSE))</f>
        <v>0</v>
      </c>
      <c r="Z388" s="16">
        <f>IF(ISERROR(VLOOKUP($A388,'13. Updated Demand'!A:Z,17,FALSE)),0,VLOOKUP($A388,'13. Updated Demand'!A:Z,17,FALSE))</f>
        <v>0</v>
      </c>
      <c r="AA388" s="16">
        <f>IF(ISERROR(VLOOKUP($A388,'13. Updated Demand'!A:Z,18,FALSE)),0,VLOOKUP($A388,'13. Updated Demand'!A:Z,18,FALSE))</f>
        <v>0</v>
      </c>
      <c r="AB388" s="16">
        <f>IF(ISERROR(VLOOKUP($A388,'13. Updated Demand'!A:Z,19,FALSE)),0,VLOOKUP($A388,'13. Updated Demand'!A:Z,19,FALSE))</f>
        <v>0</v>
      </c>
      <c r="AC388" s="16">
        <f>IF(ISERROR(VLOOKUP($A388,'13. Updated Demand'!A:Z,20,FALSE)),0,VLOOKUP($A388,'13. Updated Demand'!A:Z,20,FALSE))</f>
        <v>0</v>
      </c>
      <c r="AD388" s="16">
        <f>IF(ISERROR(VLOOKUP($A388,'13. Updated Demand'!A:Z,21,FALSE)),0,VLOOKUP($A388,'13. Updated Demand'!A:Z,21,FALSE))</f>
        <v>0</v>
      </c>
      <c r="AE388" s="16">
        <f>IF(ISERROR(VLOOKUP($A388,'13. Updated Demand'!A:Z,22,FALSE)),0,VLOOKUP($A388,'13. Updated Demand'!A:Z,22,FALSE))</f>
        <v>0</v>
      </c>
      <c r="AF388" s="16">
        <f>IF(ISERROR(VLOOKUP($A388,'13. Updated Demand'!A:Z,23,FALSE)),0,VLOOKUP($A388,'13. Updated Demand'!A:Z,23,FALSE))</f>
        <v>0</v>
      </c>
      <c r="AG388" s="16">
        <f>IF(ISERROR(VLOOKUP($A388,'13. Updated Demand'!A:Z,24,FALSE)),0,VLOOKUP($A388,'13. Updated Demand'!A:Z,24,FALSE))</f>
        <v>0</v>
      </c>
      <c r="AH388" s="16">
        <f>IF(ISERROR(VLOOKUP($A388,'13. Updated Demand'!A:Z,25,FALSE)),0,VLOOKUP($A388,'13. Updated Demand'!A:Z,25,FALSE))</f>
        <v>0</v>
      </c>
      <c r="AI388" s="16">
        <f>IF(ISERROR(VLOOKUP($A388,'13. Updated Demand'!A:Z,26,FALSE)),0,VLOOKUP($A388,'13. Updated Demand'!A:Z,26,FALSE))</f>
        <v>0</v>
      </c>
      <c r="AJ388" s="16">
        <f t="shared" si="72"/>
        <v>0</v>
      </c>
      <c r="AK388" s="19">
        <v>0</v>
      </c>
      <c r="AL388" s="16">
        <f t="shared" si="82"/>
        <v>0</v>
      </c>
      <c r="AM388" s="17">
        <v>0</v>
      </c>
      <c r="AN388" s="19"/>
      <c r="AO388" s="19"/>
      <c r="AP388" s="19">
        <v>24.1</v>
      </c>
      <c r="AQ388" s="19" t="s">
        <v>307</v>
      </c>
      <c r="AR388" s="9" t="s">
        <v>319</v>
      </c>
      <c r="AS388" s="12">
        <v>0</v>
      </c>
      <c r="AT388" s="19">
        <v>38.964044829999999</v>
      </c>
      <c r="AU388" s="19">
        <v>-123.05610895</v>
      </c>
      <c r="AV388" s="19" t="s">
        <v>417</v>
      </c>
    </row>
    <row r="389" spans="1:48" x14ac:dyDescent="0.25">
      <c r="A389" s="18" t="s">
        <v>770</v>
      </c>
      <c r="B389" s="10">
        <v>19900803</v>
      </c>
      <c r="C389" s="9">
        <v>9</v>
      </c>
      <c r="D389" s="8" t="str">
        <f t="shared" si="73"/>
        <v>N</v>
      </c>
      <c r="E389" s="8" t="str">
        <f t="shared" si="74"/>
        <v>Y</v>
      </c>
      <c r="F389" s="8" t="str">
        <f t="shared" si="75"/>
        <v>Y</v>
      </c>
      <c r="G389" s="8" t="str">
        <f t="shared" si="76"/>
        <v>Y</v>
      </c>
      <c r="H389" s="8" t="str">
        <f t="shared" si="77"/>
        <v>Upper</v>
      </c>
      <c r="I389" s="8" t="str">
        <f t="shared" si="78"/>
        <v>West Fork and Below Lake</v>
      </c>
      <c r="J389" s="8" t="str">
        <f t="shared" si="79"/>
        <v>Sonoma (d/s of Clov. Gage)</v>
      </c>
      <c r="K389" s="8" t="str">
        <f t="shared" si="80"/>
        <v>Post-1949</v>
      </c>
      <c r="L389" s="8">
        <f t="shared" si="81"/>
        <v>1990</v>
      </c>
      <c r="M389" s="8" t="str">
        <f t="shared" si="83"/>
        <v>1971-1990</v>
      </c>
      <c r="N389" s="10" t="s">
        <v>241</v>
      </c>
      <c r="O389" s="10" t="s">
        <v>241</v>
      </c>
      <c r="P389" s="10" t="s">
        <v>242</v>
      </c>
      <c r="Q389" s="10" t="s">
        <v>242</v>
      </c>
      <c r="R389" s="10" t="s">
        <v>241</v>
      </c>
      <c r="S389" s="10" t="s">
        <v>242</v>
      </c>
      <c r="T389" s="10" t="s">
        <v>242</v>
      </c>
      <c r="U389" s="10" t="s">
        <v>241</v>
      </c>
      <c r="V389" s="10" t="s">
        <v>241</v>
      </c>
      <c r="W389" s="10" t="s">
        <v>242</v>
      </c>
      <c r="X389" s="15">
        <f>IF(ISERROR(VLOOKUP($A389,'13. Updated Demand'!A:Z,15,FALSE)),0,VLOOKUP($A389,'13. Updated Demand'!A:Z,15,FALSE))</f>
        <v>0</v>
      </c>
      <c r="Y389" s="16">
        <f>IF(ISERROR(VLOOKUP($A389,'13. Updated Demand'!A:Z,16,FALSE)),0,VLOOKUP($A389,'13. Updated Demand'!A:Z,16,FALSE))</f>
        <v>0</v>
      </c>
      <c r="Z389" s="16">
        <f>IF(ISERROR(VLOOKUP($A389,'13. Updated Demand'!A:Z,17,FALSE)),0,VLOOKUP($A389,'13. Updated Demand'!A:Z,17,FALSE))</f>
        <v>0</v>
      </c>
      <c r="AA389" s="16">
        <f>IF(ISERROR(VLOOKUP($A389,'13. Updated Demand'!A:Z,18,FALSE)),0,VLOOKUP($A389,'13. Updated Demand'!A:Z,18,FALSE))</f>
        <v>0</v>
      </c>
      <c r="AB389" s="16">
        <f>IF(ISERROR(VLOOKUP($A389,'13. Updated Demand'!A:Z,19,FALSE)),0,VLOOKUP($A389,'13. Updated Demand'!A:Z,19,FALSE))</f>
        <v>0</v>
      </c>
      <c r="AC389" s="16">
        <f>IF(ISERROR(VLOOKUP($A389,'13. Updated Demand'!A:Z,20,FALSE)),0,VLOOKUP($A389,'13. Updated Demand'!A:Z,20,FALSE))</f>
        <v>0</v>
      </c>
      <c r="AD389" s="16">
        <f>IF(ISERROR(VLOOKUP($A389,'13. Updated Demand'!A:Z,21,FALSE)),0,VLOOKUP($A389,'13. Updated Demand'!A:Z,21,FALSE))</f>
        <v>0</v>
      </c>
      <c r="AE389" s="16">
        <f>IF(ISERROR(VLOOKUP($A389,'13. Updated Demand'!A:Z,22,FALSE)),0,VLOOKUP($A389,'13. Updated Demand'!A:Z,22,FALSE))</f>
        <v>0</v>
      </c>
      <c r="AF389" s="16">
        <f>IF(ISERROR(VLOOKUP($A389,'13. Updated Demand'!A:Z,23,FALSE)),0,VLOOKUP($A389,'13. Updated Demand'!A:Z,23,FALSE))</f>
        <v>0</v>
      </c>
      <c r="AG389" s="16">
        <f>IF(ISERROR(VLOOKUP($A389,'13. Updated Demand'!A:Z,24,FALSE)),0,VLOOKUP($A389,'13. Updated Demand'!A:Z,24,FALSE))</f>
        <v>0</v>
      </c>
      <c r="AH389" s="16">
        <f>IF(ISERROR(VLOOKUP($A389,'13. Updated Demand'!A:Z,25,FALSE)),0,VLOOKUP($A389,'13. Updated Demand'!A:Z,25,FALSE))</f>
        <v>0</v>
      </c>
      <c r="AI389" s="16">
        <f>IF(ISERROR(VLOOKUP($A389,'13. Updated Demand'!A:Z,26,FALSE)),0,VLOOKUP($A389,'13. Updated Demand'!A:Z,26,FALSE))</f>
        <v>0</v>
      </c>
      <c r="AJ389" s="16">
        <f t="shared" si="72"/>
        <v>0</v>
      </c>
      <c r="AK389" s="19">
        <v>0</v>
      </c>
      <c r="AL389" s="16">
        <f t="shared" si="82"/>
        <v>0</v>
      </c>
      <c r="AM389" s="17">
        <v>0</v>
      </c>
      <c r="AN389" s="19"/>
      <c r="AO389" s="19"/>
      <c r="AP389" s="19">
        <v>483</v>
      </c>
      <c r="AQ389" s="19" t="s">
        <v>307</v>
      </c>
      <c r="AR389" s="9" t="s">
        <v>354</v>
      </c>
      <c r="AS389" s="12">
        <v>0</v>
      </c>
      <c r="AT389" s="19">
        <v>38.784819730000002</v>
      </c>
      <c r="AU389" s="19">
        <v>-122.99673849</v>
      </c>
      <c r="AV389" s="19" t="s">
        <v>548</v>
      </c>
    </row>
    <row r="390" spans="1:48" x14ac:dyDescent="0.25">
      <c r="A390" s="18" t="s">
        <v>771</v>
      </c>
      <c r="B390" s="10">
        <v>19900817</v>
      </c>
      <c r="C390" s="9">
        <v>23</v>
      </c>
      <c r="D390" s="8" t="str">
        <f t="shared" si="73"/>
        <v>N</v>
      </c>
      <c r="E390" s="8" t="str">
        <f t="shared" si="74"/>
        <v>N</v>
      </c>
      <c r="F390" s="8" t="str">
        <f t="shared" si="75"/>
        <v>N</v>
      </c>
      <c r="G390" s="8" t="str">
        <f t="shared" si="76"/>
        <v>N</v>
      </c>
      <c r="H390" s="8" t="str">
        <f t="shared" si="77"/>
        <v>Lower</v>
      </c>
      <c r="I390" s="8" t="str">
        <f t="shared" si="78"/>
        <v>Outside</v>
      </c>
      <c r="J390" s="8" t="str">
        <f t="shared" si="79"/>
        <v>Outside</v>
      </c>
      <c r="K390" s="8" t="str">
        <f t="shared" si="80"/>
        <v>Post-1949</v>
      </c>
      <c r="L390" s="8">
        <f t="shared" si="81"/>
        <v>1990</v>
      </c>
      <c r="M390" s="8" t="str">
        <f t="shared" si="83"/>
        <v>1971-1990</v>
      </c>
      <c r="N390" s="10" t="s">
        <v>242</v>
      </c>
      <c r="O390" s="10" t="s">
        <v>242</v>
      </c>
      <c r="P390" s="10" t="s">
        <v>242</v>
      </c>
      <c r="Q390" s="10" t="s">
        <v>242</v>
      </c>
      <c r="R390" s="10" t="s">
        <v>241</v>
      </c>
      <c r="S390" s="10" t="s">
        <v>242</v>
      </c>
      <c r="T390" s="10" t="s">
        <v>242</v>
      </c>
      <c r="U390" s="10" t="s">
        <v>241</v>
      </c>
      <c r="V390" s="10" t="s">
        <v>241</v>
      </c>
      <c r="W390" s="10" t="s">
        <v>242</v>
      </c>
      <c r="X390" s="15">
        <f>IF(ISERROR(VLOOKUP($A390,'13. Updated Demand'!A:Z,15,FALSE)),0,VLOOKUP($A390,'13. Updated Demand'!A:Z,15,FALSE))</f>
        <v>0</v>
      </c>
      <c r="Y390" s="16">
        <f>IF(ISERROR(VLOOKUP($A390,'13. Updated Demand'!A:Z,16,FALSE)),0,VLOOKUP($A390,'13. Updated Demand'!A:Z,16,FALSE))</f>
        <v>0</v>
      </c>
      <c r="Z390" s="16">
        <f>IF(ISERROR(VLOOKUP($A390,'13. Updated Demand'!A:Z,17,FALSE)),0,VLOOKUP($A390,'13. Updated Demand'!A:Z,17,FALSE))</f>
        <v>0</v>
      </c>
      <c r="AA390" s="16">
        <f>IF(ISERROR(VLOOKUP($A390,'13. Updated Demand'!A:Z,18,FALSE)),0,VLOOKUP($A390,'13. Updated Demand'!A:Z,18,FALSE))</f>
        <v>0</v>
      </c>
      <c r="AB390" s="16">
        <f>IF(ISERROR(VLOOKUP($A390,'13. Updated Demand'!A:Z,19,FALSE)),0,VLOOKUP($A390,'13. Updated Demand'!A:Z,19,FALSE))</f>
        <v>0</v>
      </c>
      <c r="AC390" s="16">
        <f>IF(ISERROR(VLOOKUP($A390,'13. Updated Demand'!A:Z,20,FALSE)),0,VLOOKUP($A390,'13. Updated Demand'!A:Z,20,FALSE))</f>
        <v>0</v>
      </c>
      <c r="AD390" s="16">
        <f>IF(ISERROR(VLOOKUP($A390,'13. Updated Demand'!A:Z,21,FALSE)),0,VLOOKUP($A390,'13. Updated Demand'!A:Z,21,FALSE))</f>
        <v>0</v>
      </c>
      <c r="AE390" s="16">
        <f>IF(ISERROR(VLOOKUP($A390,'13. Updated Demand'!A:Z,22,FALSE)),0,VLOOKUP($A390,'13. Updated Demand'!A:Z,22,FALSE))</f>
        <v>0</v>
      </c>
      <c r="AF390" s="16">
        <f>IF(ISERROR(VLOOKUP($A390,'13. Updated Demand'!A:Z,23,FALSE)),0,VLOOKUP($A390,'13. Updated Demand'!A:Z,23,FALSE))</f>
        <v>0</v>
      </c>
      <c r="AG390" s="16">
        <f>IF(ISERROR(VLOOKUP($A390,'13. Updated Demand'!A:Z,24,FALSE)),0,VLOOKUP($A390,'13. Updated Demand'!A:Z,24,FALSE))</f>
        <v>0</v>
      </c>
      <c r="AH390" s="16">
        <f>IF(ISERROR(VLOOKUP($A390,'13. Updated Demand'!A:Z,25,FALSE)),0,VLOOKUP($A390,'13. Updated Demand'!A:Z,25,FALSE))</f>
        <v>0</v>
      </c>
      <c r="AI390" s="16">
        <f>IF(ISERROR(VLOOKUP($A390,'13. Updated Demand'!A:Z,26,FALSE)),0,VLOOKUP($A390,'13. Updated Demand'!A:Z,26,FALSE))</f>
        <v>0</v>
      </c>
      <c r="AJ390" s="16">
        <f t="shared" si="72"/>
        <v>0</v>
      </c>
      <c r="AK390" s="19">
        <v>0</v>
      </c>
      <c r="AL390" s="16">
        <f t="shared" si="82"/>
        <v>0</v>
      </c>
      <c r="AM390" s="17">
        <v>0</v>
      </c>
      <c r="AN390" s="19"/>
      <c r="AO390" s="19"/>
      <c r="AP390" s="19">
        <v>40</v>
      </c>
      <c r="AQ390" s="19" t="s">
        <v>307</v>
      </c>
      <c r="AR390" s="9" t="s">
        <v>323</v>
      </c>
      <c r="AS390" s="12">
        <v>0</v>
      </c>
      <c r="AT390" s="19">
        <v>38.498169679999997</v>
      </c>
      <c r="AU390" s="19">
        <v>-122.8543633</v>
      </c>
      <c r="AV390" s="19" t="s">
        <v>417</v>
      </c>
    </row>
    <row r="391" spans="1:48" x14ac:dyDescent="0.25">
      <c r="A391" s="18" t="s">
        <v>772</v>
      </c>
      <c r="B391" s="10">
        <v>19901101</v>
      </c>
      <c r="C391" s="9">
        <v>23</v>
      </c>
      <c r="D391" s="8" t="str">
        <f t="shared" si="73"/>
        <v>N</v>
      </c>
      <c r="E391" s="8" t="str">
        <f t="shared" si="74"/>
        <v>N</v>
      </c>
      <c r="F391" s="8" t="str">
        <f t="shared" si="75"/>
        <v>N</v>
      </c>
      <c r="G391" s="8" t="str">
        <f t="shared" si="76"/>
        <v>N</v>
      </c>
      <c r="H391" s="8" t="str">
        <f t="shared" si="77"/>
        <v>Lower</v>
      </c>
      <c r="I391" s="8" t="str">
        <f t="shared" si="78"/>
        <v>Outside</v>
      </c>
      <c r="J391" s="8" t="str">
        <f t="shared" si="79"/>
        <v>Outside</v>
      </c>
      <c r="K391" s="8" t="str">
        <f t="shared" si="80"/>
        <v>Post-1949</v>
      </c>
      <c r="L391" s="8">
        <f t="shared" si="81"/>
        <v>1990</v>
      </c>
      <c r="M391" s="8" t="str">
        <f t="shared" si="83"/>
        <v>1971-1990</v>
      </c>
      <c r="N391" s="10" t="s">
        <v>242</v>
      </c>
      <c r="O391" s="10" t="s">
        <v>242</v>
      </c>
      <c r="P391" s="10" t="s">
        <v>242</v>
      </c>
      <c r="Q391" s="10" t="s">
        <v>242</v>
      </c>
      <c r="R391" s="10" t="s">
        <v>241</v>
      </c>
      <c r="S391" s="10" t="s">
        <v>242</v>
      </c>
      <c r="T391" s="10" t="s">
        <v>242</v>
      </c>
      <c r="U391" s="10" t="s">
        <v>242</v>
      </c>
      <c r="V391" s="10" t="s">
        <v>241</v>
      </c>
      <c r="W391" s="10" t="s">
        <v>242</v>
      </c>
      <c r="X391" s="15">
        <f>IF(ISERROR(VLOOKUP($A391,'13. Updated Demand'!A:Z,15,FALSE)),0,VLOOKUP($A391,'13. Updated Demand'!A:Z,15,FALSE))</f>
        <v>0</v>
      </c>
      <c r="Y391" s="16">
        <f>IF(ISERROR(VLOOKUP($A391,'13. Updated Demand'!A:Z,16,FALSE)),0,VLOOKUP($A391,'13. Updated Demand'!A:Z,16,FALSE))</f>
        <v>0</v>
      </c>
      <c r="Z391" s="16">
        <f>IF(ISERROR(VLOOKUP($A391,'13. Updated Demand'!A:Z,17,FALSE)),0,VLOOKUP($A391,'13. Updated Demand'!A:Z,17,FALSE))</f>
        <v>0</v>
      </c>
      <c r="AA391" s="16">
        <f>IF(ISERROR(VLOOKUP($A391,'13. Updated Demand'!A:Z,18,FALSE)),0,VLOOKUP($A391,'13. Updated Demand'!A:Z,18,FALSE))</f>
        <v>0</v>
      </c>
      <c r="AB391" s="16">
        <f>IF(ISERROR(VLOOKUP($A391,'13. Updated Demand'!A:Z,19,FALSE)),0,VLOOKUP($A391,'13. Updated Demand'!A:Z,19,FALSE))</f>
        <v>0</v>
      </c>
      <c r="AC391" s="16">
        <f>IF(ISERROR(VLOOKUP($A391,'13. Updated Demand'!A:Z,20,FALSE)),0,VLOOKUP($A391,'13. Updated Demand'!A:Z,20,FALSE))</f>
        <v>0</v>
      </c>
      <c r="AD391" s="16">
        <f>IF(ISERROR(VLOOKUP($A391,'13. Updated Demand'!A:Z,21,FALSE)),0,VLOOKUP($A391,'13. Updated Demand'!A:Z,21,FALSE))</f>
        <v>0</v>
      </c>
      <c r="AE391" s="16">
        <f>IF(ISERROR(VLOOKUP($A391,'13. Updated Demand'!A:Z,22,FALSE)),0,VLOOKUP($A391,'13. Updated Demand'!A:Z,22,FALSE))</f>
        <v>0</v>
      </c>
      <c r="AF391" s="16">
        <f>IF(ISERROR(VLOOKUP($A391,'13. Updated Demand'!A:Z,23,FALSE)),0,VLOOKUP($A391,'13. Updated Demand'!A:Z,23,FALSE))</f>
        <v>0</v>
      </c>
      <c r="AG391" s="16">
        <f>IF(ISERROR(VLOOKUP($A391,'13. Updated Demand'!A:Z,24,FALSE)),0,VLOOKUP($A391,'13. Updated Demand'!A:Z,24,FALSE))</f>
        <v>0</v>
      </c>
      <c r="AH391" s="16">
        <f>IF(ISERROR(VLOOKUP($A391,'13. Updated Demand'!A:Z,25,FALSE)),0,VLOOKUP($A391,'13. Updated Demand'!A:Z,25,FALSE))</f>
        <v>0</v>
      </c>
      <c r="AI391" s="16">
        <f>IF(ISERROR(VLOOKUP($A391,'13. Updated Demand'!A:Z,26,FALSE)),0,VLOOKUP($A391,'13. Updated Demand'!A:Z,26,FALSE))</f>
        <v>1.3333333329999999</v>
      </c>
      <c r="AJ391" s="16">
        <f t="shared" si="72"/>
        <v>1.3333333329999999</v>
      </c>
      <c r="AK391" s="19">
        <v>0</v>
      </c>
      <c r="AL391" s="16">
        <f t="shared" si="82"/>
        <v>0</v>
      </c>
      <c r="AM391" s="17">
        <v>2.0512820507692306E-2</v>
      </c>
      <c r="AN391" s="19"/>
      <c r="AO391" s="19"/>
      <c r="AP391" s="19">
        <v>65</v>
      </c>
      <c r="AQ391" s="19" t="s">
        <v>307</v>
      </c>
      <c r="AR391" s="9" t="s">
        <v>391</v>
      </c>
      <c r="AS391" s="12">
        <v>0</v>
      </c>
      <c r="AT391" s="19">
        <v>38.568199999999997</v>
      </c>
      <c r="AU391" s="19">
        <v>-122.7667</v>
      </c>
      <c r="AV391" s="19" t="s">
        <v>417</v>
      </c>
    </row>
    <row r="392" spans="1:48" x14ac:dyDescent="0.25">
      <c r="A392" s="18" t="s">
        <v>773</v>
      </c>
      <c r="B392" s="10">
        <v>19901101</v>
      </c>
      <c r="C392" s="9">
        <v>23</v>
      </c>
      <c r="D392" s="8" t="str">
        <f t="shared" si="73"/>
        <v>N</v>
      </c>
      <c r="E392" s="8" t="str">
        <f t="shared" si="74"/>
        <v>N</v>
      </c>
      <c r="F392" s="8" t="str">
        <f t="shared" si="75"/>
        <v>N</v>
      </c>
      <c r="G392" s="8" t="str">
        <f t="shared" si="76"/>
        <v>N</v>
      </c>
      <c r="H392" s="8" t="str">
        <f t="shared" si="77"/>
        <v>Lower</v>
      </c>
      <c r="I392" s="8" t="str">
        <f t="shared" si="78"/>
        <v>Outside</v>
      </c>
      <c r="J392" s="8" t="str">
        <f t="shared" si="79"/>
        <v>Outside</v>
      </c>
      <c r="K392" s="8" t="str">
        <f t="shared" si="80"/>
        <v>Post-1949</v>
      </c>
      <c r="L392" s="8">
        <f t="shared" si="81"/>
        <v>1990</v>
      </c>
      <c r="M392" s="8" t="str">
        <f t="shared" si="83"/>
        <v>1971-1990</v>
      </c>
      <c r="N392" s="10" t="s">
        <v>242</v>
      </c>
      <c r="O392" s="10" t="s">
        <v>242</v>
      </c>
      <c r="P392" s="10" t="s">
        <v>242</v>
      </c>
      <c r="Q392" s="10" t="s">
        <v>242</v>
      </c>
      <c r="R392" s="10" t="s">
        <v>241</v>
      </c>
      <c r="S392" s="10" t="s">
        <v>242</v>
      </c>
      <c r="T392" s="10" t="s">
        <v>242</v>
      </c>
      <c r="U392" s="10" t="s">
        <v>241</v>
      </c>
      <c r="V392" s="10" t="s">
        <v>241</v>
      </c>
      <c r="W392" s="10" t="s">
        <v>242</v>
      </c>
      <c r="X392" s="15">
        <f>IF(ISERROR(VLOOKUP($A392,'13. Updated Demand'!A:Z,15,FALSE)),0,VLOOKUP($A392,'13. Updated Demand'!A:Z,15,FALSE))</f>
        <v>0</v>
      </c>
      <c r="Y392" s="16">
        <f>IF(ISERROR(VLOOKUP($A392,'13. Updated Demand'!A:Z,16,FALSE)),0,VLOOKUP($A392,'13. Updated Demand'!A:Z,16,FALSE))</f>
        <v>0</v>
      </c>
      <c r="Z392" s="16">
        <f>IF(ISERROR(VLOOKUP($A392,'13. Updated Demand'!A:Z,17,FALSE)),0,VLOOKUP($A392,'13. Updated Demand'!A:Z,17,FALSE))</f>
        <v>0</v>
      </c>
      <c r="AA392" s="16">
        <f>IF(ISERROR(VLOOKUP($A392,'13. Updated Demand'!A:Z,18,FALSE)),0,VLOOKUP($A392,'13. Updated Demand'!A:Z,18,FALSE))</f>
        <v>0</v>
      </c>
      <c r="AB392" s="16">
        <f>IF(ISERROR(VLOOKUP($A392,'13. Updated Demand'!A:Z,19,FALSE)),0,VLOOKUP($A392,'13. Updated Demand'!A:Z,19,FALSE))</f>
        <v>0</v>
      </c>
      <c r="AC392" s="16">
        <f>IF(ISERROR(VLOOKUP($A392,'13. Updated Demand'!A:Z,20,FALSE)),0,VLOOKUP($A392,'13. Updated Demand'!A:Z,20,FALSE))</f>
        <v>0</v>
      </c>
      <c r="AD392" s="16">
        <f>IF(ISERROR(VLOOKUP($A392,'13. Updated Demand'!A:Z,21,FALSE)),0,VLOOKUP($A392,'13. Updated Demand'!A:Z,21,FALSE))</f>
        <v>0</v>
      </c>
      <c r="AE392" s="16">
        <f>IF(ISERROR(VLOOKUP($A392,'13. Updated Demand'!A:Z,22,FALSE)),0,VLOOKUP($A392,'13. Updated Demand'!A:Z,22,FALSE))</f>
        <v>0</v>
      </c>
      <c r="AF392" s="16">
        <f>IF(ISERROR(VLOOKUP($A392,'13. Updated Demand'!A:Z,23,FALSE)),0,VLOOKUP($A392,'13. Updated Demand'!A:Z,23,FALSE))</f>
        <v>0</v>
      </c>
      <c r="AG392" s="16">
        <f>IF(ISERROR(VLOOKUP($A392,'13. Updated Demand'!A:Z,24,FALSE)),0,VLOOKUP($A392,'13. Updated Demand'!A:Z,24,FALSE))</f>
        <v>0</v>
      </c>
      <c r="AH392" s="16">
        <f>IF(ISERROR(VLOOKUP($A392,'13. Updated Demand'!A:Z,25,FALSE)),0,VLOOKUP($A392,'13. Updated Demand'!A:Z,25,FALSE))</f>
        <v>0</v>
      </c>
      <c r="AI392" s="16">
        <f>IF(ISERROR(VLOOKUP($A392,'13. Updated Demand'!A:Z,26,FALSE)),0,VLOOKUP($A392,'13. Updated Demand'!A:Z,26,FALSE))</f>
        <v>0</v>
      </c>
      <c r="AJ392" s="16">
        <f t="shared" si="72"/>
        <v>0</v>
      </c>
      <c r="AK392" s="19">
        <v>0</v>
      </c>
      <c r="AL392" s="16">
        <f t="shared" si="82"/>
        <v>0</v>
      </c>
      <c r="AM392" s="17">
        <v>0</v>
      </c>
      <c r="AN392" s="19"/>
      <c r="AO392" s="19"/>
      <c r="AP392" s="19">
        <v>100</v>
      </c>
      <c r="AQ392" s="19" t="s">
        <v>307</v>
      </c>
      <c r="AR392" s="9" t="s">
        <v>391</v>
      </c>
      <c r="AS392" s="12">
        <v>0</v>
      </c>
      <c r="AT392" s="19">
        <v>38.563767519999999</v>
      </c>
      <c r="AU392" s="19">
        <v>-122.78100025000001</v>
      </c>
      <c r="AV392" s="19" t="s">
        <v>417</v>
      </c>
    </row>
    <row r="393" spans="1:48" x14ac:dyDescent="0.25">
      <c r="A393" s="18" t="s">
        <v>774</v>
      </c>
      <c r="B393" s="10">
        <v>19901101</v>
      </c>
      <c r="C393" s="9">
        <v>23</v>
      </c>
      <c r="D393" s="8" t="str">
        <f t="shared" si="73"/>
        <v>N</v>
      </c>
      <c r="E393" s="8" t="str">
        <f t="shared" si="74"/>
        <v>N</v>
      </c>
      <c r="F393" s="8" t="str">
        <f t="shared" si="75"/>
        <v>N</v>
      </c>
      <c r="G393" s="8" t="str">
        <f t="shared" si="76"/>
        <v>N</v>
      </c>
      <c r="H393" s="8" t="str">
        <f t="shared" si="77"/>
        <v>Lower</v>
      </c>
      <c r="I393" s="8" t="str">
        <f t="shared" si="78"/>
        <v>Outside</v>
      </c>
      <c r="J393" s="8" t="str">
        <f t="shared" si="79"/>
        <v>Outside</v>
      </c>
      <c r="K393" s="8" t="str">
        <f t="shared" si="80"/>
        <v>Post-1949</v>
      </c>
      <c r="L393" s="8">
        <f t="shared" si="81"/>
        <v>1990</v>
      </c>
      <c r="M393" s="8" t="str">
        <f t="shared" si="83"/>
        <v>1971-1990</v>
      </c>
      <c r="N393" s="10" t="s">
        <v>242</v>
      </c>
      <c r="O393" s="10" t="s">
        <v>242</v>
      </c>
      <c r="P393" s="10" t="s">
        <v>242</v>
      </c>
      <c r="Q393" s="10" t="s">
        <v>242</v>
      </c>
      <c r="R393" s="10" t="s">
        <v>241</v>
      </c>
      <c r="S393" s="10" t="s">
        <v>242</v>
      </c>
      <c r="T393" s="10" t="s">
        <v>242</v>
      </c>
      <c r="U393" s="10" t="s">
        <v>242</v>
      </c>
      <c r="V393" s="10" t="s">
        <v>241</v>
      </c>
      <c r="W393" s="10" t="s">
        <v>242</v>
      </c>
      <c r="X393" s="15">
        <f>IF(ISERROR(VLOOKUP($A393,'13. Updated Demand'!A:Z,15,FALSE)),0,VLOOKUP($A393,'13. Updated Demand'!A:Z,15,FALSE))</f>
        <v>2.6</v>
      </c>
      <c r="Y393" s="16">
        <f>IF(ISERROR(VLOOKUP($A393,'13. Updated Demand'!A:Z,16,FALSE)),0,VLOOKUP($A393,'13. Updated Demand'!A:Z,16,FALSE))</f>
        <v>6</v>
      </c>
      <c r="Z393" s="16">
        <f>IF(ISERROR(VLOOKUP($A393,'13. Updated Demand'!A:Z,17,FALSE)),0,VLOOKUP($A393,'13. Updated Demand'!A:Z,17,FALSE))</f>
        <v>4.1333333330000004</v>
      </c>
      <c r="AA393" s="16">
        <f>IF(ISERROR(VLOOKUP($A393,'13. Updated Demand'!A:Z,18,FALSE)),0,VLOOKUP($A393,'13. Updated Demand'!A:Z,18,FALSE))</f>
        <v>0</v>
      </c>
      <c r="AB393" s="16">
        <f>IF(ISERROR(VLOOKUP($A393,'13. Updated Demand'!A:Z,19,FALSE)),0,VLOOKUP($A393,'13. Updated Demand'!A:Z,19,FALSE))</f>
        <v>0</v>
      </c>
      <c r="AC393" s="16">
        <f>IF(ISERROR(VLOOKUP($A393,'13. Updated Demand'!A:Z,20,FALSE)),0,VLOOKUP($A393,'13. Updated Demand'!A:Z,20,FALSE))</f>
        <v>0</v>
      </c>
      <c r="AD393" s="16">
        <f>IF(ISERROR(VLOOKUP($A393,'13. Updated Demand'!A:Z,21,FALSE)),0,VLOOKUP($A393,'13. Updated Demand'!A:Z,21,FALSE))</f>
        <v>0</v>
      </c>
      <c r="AE393" s="16">
        <f>IF(ISERROR(VLOOKUP($A393,'13. Updated Demand'!A:Z,22,FALSE)),0,VLOOKUP($A393,'13. Updated Demand'!A:Z,22,FALSE))</f>
        <v>0</v>
      </c>
      <c r="AF393" s="16">
        <f>IF(ISERROR(VLOOKUP($A393,'13. Updated Demand'!A:Z,23,FALSE)),0,VLOOKUP($A393,'13. Updated Demand'!A:Z,23,FALSE))</f>
        <v>0</v>
      </c>
      <c r="AG393" s="16">
        <f>IF(ISERROR(VLOOKUP($A393,'13. Updated Demand'!A:Z,24,FALSE)),0,VLOOKUP($A393,'13. Updated Demand'!A:Z,24,FALSE))</f>
        <v>0</v>
      </c>
      <c r="AH393" s="16">
        <f>IF(ISERROR(VLOOKUP($A393,'13. Updated Demand'!A:Z,25,FALSE)),0,VLOOKUP($A393,'13. Updated Demand'!A:Z,25,FALSE))</f>
        <v>0</v>
      </c>
      <c r="AI393" s="16">
        <f>IF(ISERROR(VLOOKUP($A393,'13. Updated Demand'!A:Z,26,FALSE)),0,VLOOKUP($A393,'13. Updated Demand'!A:Z,26,FALSE))</f>
        <v>2.0666666669999998</v>
      </c>
      <c r="AJ393" s="16">
        <f t="shared" si="72"/>
        <v>14.8</v>
      </c>
      <c r="AK393" s="19">
        <v>0</v>
      </c>
      <c r="AL393" s="16">
        <f t="shared" si="82"/>
        <v>0</v>
      </c>
      <c r="AM393" s="17">
        <v>0.64347826086956528</v>
      </c>
      <c r="AN393" s="19"/>
      <c r="AO393" s="19"/>
      <c r="AP393" s="19">
        <v>23</v>
      </c>
      <c r="AQ393" s="19" t="s">
        <v>307</v>
      </c>
      <c r="AR393" s="9" t="s">
        <v>391</v>
      </c>
      <c r="AS393" s="12">
        <v>0</v>
      </c>
      <c r="AT393" s="19">
        <v>38.568199999999997</v>
      </c>
      <c r="AU393" s="19">
        <v>-122.7667</v>
      </c>
      <c r="AV393" s="19"/>
    </row>
    <row r="394" spans="1:48" x14ac:dyDescent="0.25">
      <c r="A394" s="18" t="s">
        <v>775</v>
      </c>
      <c r="B394" s="10">
        <v>19901113</v>
      </c>
      <c r="C394" s="9">
        <v>23</v>
      </c>
      <c r="D394" s="8" t="str">
        <f t="shared" si="73"/>
        <v>N</v>
      </c>
      <c r="E394" s="8" t="str">
        <f t="shared" si="74"/>
        <v>N</v>
      </c>
      <c r="F394" s="8" t="str">
        <f t="shared" si="75"/>
        <v>N</v>
      </c>
      <c r="G394" s="8" t="str">
        <f t="shared" si="76"/>
        <v>N</v>
      </c>
      <c r="H394" s="8" t="str">
        <f t="shared" si="77"/>
        <v>Lower</v>
      </c>
      <c r="I394" s="8" t="str">
        <f t="shared" si="78"/>
        <v>Outside</v>
      </c>
      <c r="J394" s="8" t="str">
        <f t="shared" si="79"/>
        <v>Outside</v>
      </c>
      <c r="K394" s="8" t="str">
        <f t="shared" si="80"/>
        <v>Post-1949</v>
      </c>
      <c r="L394" s="8">
        <f t="shared" si="81"/>
        <v>1990</v>
      </c>
      <c r="M394" s="8" t="str">
        <f t="shared" si="83"/>
        <v>1971-1990</v>
      </c>
      <c r="N394" s="10" t="s">
        <v>242</v>
      </c>
      <c r="O394" s="10" t="s">
        <v>242</v>
      </c>
      <c r="P394" s="10" t="s">
        <v>242</v>
      </c>
      <c r="Q394" s="10" t="s">
        <v>242</v>
      </c>
      <c r="R394" s="10" t="s">
        <v>241</v>
      </c>
      <c r="S394" s="10" t="s">
        <v>242</v>
      </c>
      <c r="T394" s="10" t="s">
        <v>242</v>
      </c>
      <c r="U394" s="10" t="s">
        <v>242</v>
      </c>
      <c r="V394" s="10" t="s">
        <v>241</v>
      </c>
      <c r="W394" s="10" t="s">
        <v>242</v>
      </c>
      <c r="X394" s="15">
        <f>IF(ISERROR(VLOOKUP($A394,'13. Updated Demand'!A:Z,15,FALSE)),0,VLOOKUP($A394,'13. Updated Demand'!A:Z,15,FALSE))</f>
        <v>2.8333333330000001</v>
      </c>
      <c r="Y394" s="16">
        <f>IF(ISERROR(VLOOKUP($A394,'13. Updated Demand'!A:Z,16,FALSE)),0,VLOOKUP($A394,'13. Updated Demand'!A:Z,16,FALSE))</f>
        <v>2.5</v>
      </c>
      <c r="Z394" s="16">
        <f>IF(ISERROR(VLOOKUP($A394,'13. Updated Demand'!A:Z,17,FALSE)),0,VLOOKUP($A394,'13. Updated Demand'!A:Z,17,FALSE))</f>
        <v>0.16666666699999999</v>
      </c>
      <c r="AA394" s="16">
        <f>IF(ISERROR(VLOOKUP($A394,'13. Updated Demand'!A:Z,18,FALSE)),0,VLOOKUP($A394,'13. Updated Demand'!A:Z,18,FALSE))</f>
        <v>0</v>
      </c>
      <c r="AB394" s="16">
        <f>IF(ISERROR(VLOOKUP($A394,'13. Updated Demand'!A:Z,19,FALSE)),0,VLOOKUP($A394,'13. Updated Demand'!A:Z,19,FALSE))</f>
        <v>0</v>
      </c>
      <c r="AC394" s="16">
        <f>IF(ISERROR(VLOOKUP($A394,'13. Updated Demand'!A:Z,20,FALSE)),0,VLOOKUP($A394,'13. Updated Demand'!A:Z,20,FALSE))</f>
        <v>0</v>
      </c>
      <c r="AD394" s="16">
        <f>IF(ISERROR(VLOOKUP($A394,'13. Updated Demand'!A:Z,21,FALSE)),0,VLOOKUP($A394,'13. Updated Demand'!A:Z,21,FALSE))</f>
        <v>0</v>
      </c>
      <c r="AE394" s="16">
        <f>IF(ISERROR(VLOOKUP($A394,'13. Updated Demand'!A:Z,22,FALSE)),0,VLOOKUP($A394,'13. Updated Demand'!A:Z,22,FALSE))</f>
        <v>0</v>
      </c>
      <c r="AF394" s="16">
        <f>IF(ISERROR(VLOOKUP($A394,'13. Updated Demand'!A:Z,23,FALSE)),0,VLOOKUP($A394,'13. Updated Demand'!A:Z,23,FALSE))</f>
        <v>0</v>
      </c>
      <c r="AG394" s="16">
        <f>IF(ISERROR(VLOOKUP($A394,'13. Updated Demand'!A:Z,24,FALSE)),0,VLOOKUP($A394,'13. Updated Demand'!A:Z,24,FALSE))</f>
        <v>0</v>
      </c>
      <c r="AH394" s="16">
        <f>IF(ISERROR(VLOOKUP($A394,'13. Updated Demand'!A:Z,25,FALSE)),0,VLOOKUP($A394,'13. Updated Demand'!A:Z,25,FALSE))</f>
        <v>0.16666666699999999</v>
      </c>
      <c r="AI394" s="16">
        <f>IF(ISERROR(VLOOKUP($A394,'13. Updated Demand'!A:Z,26,FALSE)),0,VLOOKUP($A394,'13. Updated Demand'!A:Z,26,FALSE))</f>
        <v>1.3</v>
      </c>
      <c r="AJ394" s="16">
        <f t="shared" si="72"/>
        <v>6.966666667000001</v>
      </c>
      <c r="AK394" s="19">
        <v>0</v>
      </c>
      <c r="AL394" s="16">
        <f t="shared" si="82"/>
        <v>0</v>
      </c>
      <c r="AM394" s="17">
        <v>0.30289855073913047</v>
      </c>
      <c r="AN394" s="19"/>
      <c r="AO394" s="19"/>
      <c r="AP394" s="19">
        <v>23</v>
      </c>
      <c r="AQ394" s="19" t="s">
        <v>307</v>
      </c>
      <c r="AR394" s="9" t="s">
        <v>323</v>
      </c>
      <c r="AS394" s="12">
        <v>0</v>
      </c>
      <c r="AT394" s="19">
        <v>38.550800000000002</v>
      </c>
      <c r="AU394" s="19">
        <v>-122.6221</v>
      </c>
      <c r="AV394" s="19" t="s">
        <v>417</v>
      </c>
    </row>
    <row r="395" spans="1:48" x14ac:dyDescent="0.25">
      <c r="A395" s="18" t="s">
        <v>776</v>
      </c>
      <c r="B395" s="10">
        <v>19900131</v>
      </c>
      <c r="C395" s="9">
        <v>9</v>
      </c>
      <c r="D395" s="8" t="str">
        <f t="shared" si="73"/>
        <v>N</v>
      </c>
      <c r="E395" s="8" t="str">
        <f t="shared" si="74"/>
        <v>Y</v>
      </c>
      <c r="F395" s="8" t="str">
        <f t="shared" si="75"/>
        <v>Y</v>
      </c>
      <c r="G395" s="8" t="str">
        <f t="shared" si="76"/>
        <v>Y</v>
      </c>
      <c r="H395" s="8" t="str">
        <f t="shared" si="77"/>
        <v>Upper</v>
      </c>
      <c r="I395" s="8" t="str">
        <f t="shared" si="78"/>
        <v>West Fork and Below Lake</v>
      </c>
      <c r="J395" s="8" t="str">
        <f t="shared" si="79"/>
        <v>Sonoma (d/s of Clov. Gage)</v>
      </c>
      <c r="K395" s="8" t="str">
        <f t="shared" si="80"/>
        <v>Post-1949</v>
      </c>
      <c r="L395" s="8">
        <f t="shared" si="81"/>
        <v>1990</v>
      </c>
      <c r="M395" s="8" t="str">
        <f t="shared" si="83"/>
        <v>1971-1990</v>
      </c>
      <c r="N395" s="10" t="s">
        <v>242</v>
      </c>
      <c r="O395" s="10" t="s">
        <v>241</v>
      </c>
      <c r="P395" s="10" t="s">
        <v>242</v>
      </c>
      <c r="Q395" s="10" t="s">
        <v>242</v>
      </c>
      <c r="R395" s="10" t="s">
        <v>241</v>
      </c>
      <c r="S395" s="10" t="s">
        <v>242</v>
      </c>
      <c r="T395" s="10" t="s">
        <v>242</v>
      </c>
      <c r="U395" s="10" t="s">
        <v>241</v>
      </c>
      <c r="V395" s="10" t="s">
        <v>241</v>
      </c>
      <c r="W395" s="10" t="s">
        <v>242</v>
      </c>
      <c r="X395" s="15">
        <f>IF(ISERROR(VLOOKUP($A395,'13. Updated Demand'!A:Z,15,FALSE)),0,VLOOKUP($A395,'13. Updated Demand'!A:Z,15,FALSE))</f>
        <v>0</v>
      </c>
      <c r="Y395" s="16">
        <f>IF(ISERROR(VLOOKUP($A395,'13. Updated Demand'!A:Z,16,FALSE)),0,VLOOKUP($A395,'13. Updated Demand'!A:Z,16,FALSE))</f>
        <v>0</v>
      </c>
      <c r="Z395" s="16">
        <f>IF(ISERROR(VLOOKUP($A395,'13. Updated Demand'!A:Z,17,FALSE)),0,VLOOKUP($A395,'13. Updated Demand'!A:Z,17,FALSE))</f>
        <v>0</v>
      </c>
      <c r="AA395" s="16">
        <f>IF(ISERROR(VLOOKUP($A395,'13. Updated Demand'!A:Z,18,FALSE)),0,VLOOKUP($A395,'13. Updated Demand'!A:Z,18,FALSE))</f>
        <v>0</v>
      </c>
      <c r="AB395" s="16">
        <f>IF(ISERROR(VLOOKUP($A395,'13. Updated Demand'!A:Z,19,FALSE)),0,VLOOKUP($A395,'13. Updated Demand'!A:Z,19,FALSE))</f>
        <v>0</v>
      </c>
      <c r="AC395" s="16">
        <f>IF(ISERROR(VLOOKUP($A395,'13. Updated Demand'!A:Z,20,FALSE)),0,VLOOKUP($A395,'13. Updated Demand'!A:Z,20,FALSE))</f>
        <v>0</v>
      </c>
      <c r="AD395" s="16">
        <f>IF(ISERROR(VLOOKUP($A395,'13. Updated Demand'!A:Z,21,FALSE)),0,VLOOKUP($A395,'13. Updated Demand'!A:Z,21,FALSE))</f>
        <v>0</v>
      </c>
      <c r="AE395" s="16">
        <f>IF(ISERROR(VLOOKUP($A395,'13. Updated Demand'!A:Z,22,FALSE)),0,VLOOKUP($A395,'13. Updated Demand'!A:Z,22,FALSE))</f>
        <v>0</v>
      </c>
      <c r="AF395" s="16">
        <f>IF(ISERROR(VLOOKUP($A395,'13. Updated Demand'!A:Z,23,FALSE)),0,VLOOKUP($A395,'13. Updated Demand'!A:Z,23,FALSE))</f>
        <v>0</v>
      </c>
      <c r="AG395" s="16">
        <f>IF(ISERROR(VLOOKUP($A395,'13. Updated Demand'!A:Z,24,FALSE)),0,VLOOKUP($A395,'13. Updated Demand'!A:Z,24,FALSE))</f>
        <v>0</v>
      </c>
      <c r="AH395" s="16">
        <f>IF(ISERROR(VLOOKUP($A395,'13. Updated Demand'!A:Z,25,FALSE)),0,VLOOKUP($A395,'13. Updated Demand'!A:Z,25,FALSE))</f>
        <v>0</v>
      </c>
      <c r="AI395" s="16">
        <f>IF(ISERROR(VLOOKUP($A395,'13. Updated Demand'!A:Z,26,FALSE)),0,VLOOKUP($A395,'13. Updated Demand'!A:Z,26,FALSE))</f>
        <v>0</v>
      </c>
      <c r="AJ395" s="16">
        <f t="shared" si="72"/>
        <v>0</v>
      </c>
      <c r="AK395" s="19">
        <v>0</v>
      </c>
      <c r="AL395" s="16">
        <f t="shared" si="82"/>
        <v>0</v>
      </c>
      <c r="AM395" s="17">
        <v>0</v>
      </c>
      <c r="AN395" s="19"/>
      <c r="AO395" s="19"/>
      <c r="AP395" s="19">
        <v>1.9</v>
      </c>
      <c r="AQ395" s="19" t="s">
        <v>307</v>
      </c>
      <c r="AR395" s="9" t="s">
        <v>354</v>
      </c>
      <c r="AS395" s="12">
        <v>3.4039024194010059E-4</v>
      </c>
      <c r="AT395" s="19">
        <v>38.757223660000001</v>
      </c>
      <c r="AU395" s="19">
        <v>-122.89534845999999</v>
      </c>
      <c r="AV395" s="19" t="s">
        <v>417</v>
      </c>
    </row>
    <row r="396" spans="1:48" x14ac:dyDescent="0.25">
      <c r="A396" s="18" t="s">
        <v>777</v>
      </c>
      <c r="B396" s="10">
        <v>19890111</v>
      </c>
      <c r="C396" s="9">
        <v>17</v>
      </c>
      <c r="D396" s="8" t="str">
        <f t="shared" si="73"/>
        <v>N</v>
      </c>
      <c r="E396" s="8" t="str">
        <f t="shared" si="74"/>
        <v>N</v>
      </c>
      <c r="F396" s="8" t="str">
        <f t="shared" si="75"/>
        <v>N</v>
      </c>
      <c r="G396" s="8" t="str">
        <f t="shared" si="76"/>
        <v>N</v>
      </c>
      <c r="H396" s="8" t="str">
        <f t="shared" si="77"/>
        <v>Lower</v>
      </c>
      <c r="I396" s="8" t="str">
        <f t="shared" si="78"/>
        <v>Outside</v>
      </c>
      <c r="J396" s="8" t="str">
        <f t="shared" si="79"/>
        <v>Outside</v>
      </c>
      <c r="K396" s="8" t="str">
        <f t="shared" si="80"/>
        <v>Post-1949</v>
      </c>
      <c r="L396" s="8">
        <f t="shared" si="81"/>
        <v>1989</v>
      </c>
      <c r="M396" s="8" t="str">
        <f t="shared" si="83"/>
        <v>1971-1990</v>
      </c>
      <c r="N396" s="10" t="s">
        <v>241</v>
      </c>
      <c r="O396" s="10" t="s">
        <v>242</v>
      </c>
      <c r="P396" s="10" t="s">
        <v>242</v>
      </c>
      <c r="Q396" s="10" t="s">
        <v>242</v>
      </c>
      <c r="R396" s="10" t="s">
        <v>241</v>
      </c>
      <c r="S396" s="10" t="s">
        <v>242</v>
      </c>
      <c r="T396" s="10" t="s">
        <v>242</v>
      </c>
      <c r="U396" s="10" t="s">
        <v>242</v>
      </c>
      <c r="V396" s="10" t="s">
        <v>241</v>
      </c>
      <c r="W396" s="10" t="s">
        <v>242</v>
      </c>
      <c r="X396" s="15">
        <f>IF(ISERROR(VLOOKUP($A396,'13. Updated Demand'!A:Z,15,FALSE)),0,VLOOKUP($A396,'13. Updated Demand'!A:Z,15,FALSE))</f>
        <v>0</v>
      </c>
      <c r="Y396" s="16">
        <f>IF(ISERROR(VLOOKUP($A396,'13. Updated Demand'!A:Z,16,FALSE)),0,VLOOKUP($A396,'13. Updated Demand'!A:Z,16,FALSE))</f>
        <v>0</v>
      </c>
      <c r="Z396" s="16">
        <f>IF(ISERROR(VLOOKUP($A396,'13. Updated Demand'!A:Z,17,FALSE)),0,VLOOKUP($A396,'13. Updated Demand'!A:Z,17,FALSE))</f>
        <v>0</v>
      </c>
      <c r="AA396" s="16">
        <f>IF(ISERROR(VLOOKUP($A396,'13. Updated Demand'!A:Z,18,FALSE)),0,VLOOKUP($A396,'13. Updated Demand'!A:Z,18,FALSE))</f>
        <v>0</v>
      </c>
      <c r="AB396" s="16">
        <f>IF(ISERROR(VLOOKUP($A396,'13. Updated Demand'!A:Z,19,FALSE)),0,VLOOKUP($A396,'13. Updated Demand'!A:Z,19,FALSE))</f>
        <v>0</v>
      </c>
      <c r="AC396" s="16">
        <f>IF(ISERROR(VLOOKUP($A396,'13. Updated Demand'!A:Z,20,FALSE)),0,VLOOKUP($A396,'13. Updated Demand'!A:Z,20,FALSE))</f>
        <v>0</v>
      </c>
      <c r="AD396" s="16">
        <f>IF(ISERROR(VLOOKUP($A396,'13. Updated Demand'!A:Z,21,FALSE)),0,VLOOKUP($A396,'13. Updated Demand'!A:Z,21,FALSE))</f>
        <v>0</v>
      </c>
      <c r="AE396" s="16">
        <f>IF(ISERROR(VLOOKUP($A396,'13. Updated Demand'!A:Z,22,FALSE)),0,VLOOKUP($A396,'13. Updated Demand'!A:Z,22,FALSE))</f>
        <v>0</v>
      </c>
      <c r="AF396" s="16">
        <f>IF(ISERROR(VLOOKUP($A396,'13. Updated Demand'!A:Z,23,FALSE)),0,VLOOKUP($A396,'13. Updated Demand'!A:Z,23,FALSE))</f>
        <v>0</v>
      </c>
      <c r="AG396" s="16">
        <f>IF(ISERROR(VLOOKUP($A396,'13. Updated Demand'!A:Z,24,FALSE)),0,VLOOKUP($A396,'13. Updated Demand'!A:Z,24,FALSE))</f>
        <v>0</v>
      </c>
      <c r="AH396" s="16">
        <f>IF(ISERROR(VLOOKUP($A396,'13. Updated Demand'!A:Z,25,FALSE)),0,VLOOKUP($A396,'13. Updated Demand'!A:Z,25,FALSE))</f>
        <v>0.3</v>
      </c>
      <c r="AI396" s="16">
        <f>IF(ISERROR(VLOOKUP($A396,'13. Updated Demand'!A:Z,26,FALSE)),0,VLOOKUP($A396,'13. Updated Demand'!A:Z,26,FALSE))</f>
        <v>0</v>
      </c>
      <c r="AJ396" s="16">
        <f t="shared" si="72"/>
        <v>0.3</v>
      </c>
      <c r="AK396" s="19">
        <v>0</v>
      </c>
      <c r="AL396" s="16">
        <f t="shared" si="82"/>
        <v>0</v>
      </c>
      <c r="AM396" s="17">
        <v>8.5714285714285715E-2</v>
      </c>
      <c r="AN396" s="19"/>
      <c r="AO396" s="19"/>
      <c r="AP396" s="19">
        <v>3.5</v>
      </c>
      <c r="AQ396" s="19" t="s">
        <v>307</v>
      </c>
      <c r="AR396" s="9" t="s">
        <v>486</v>
      </c>
      <c r="AS396" s="12">
        <v>0</v>
      </c>
      <c r="AT396" s="19">
        <v>38.523100650000003</v>
      </c>
      <c r="AU396" s="19">
        <v>-122.86698345000001</v>
      </c>
      <c r="AV396" s="19" t="s">
        <v>417</v>
      </c>
    </row>
    <row r="397" spans="1:48" x14ac:dyDescent="0.25">
      <c r="A397" s="18" t="s">
        <v>778</v>
      </c>
      <c r="B397" s="10">
        <v>19890119</v>
      </c>
      <c r="C397" s="9">
        <v>1</v>
      </c>
      <c r="D397" s="8" t="str">
        <f t="shared" si="73"/>
        <v>N</v>
      </c>
      <c r="E397" s="8" t="str">
        <f t="shared" si="74"/>
        <v>N</v>
      </c>
      <c r="F397" s="8" t="str">
        <f t="shared" si="75"/>
        <v>Y</v>
      </c>
      <c r="G397" s="8" t="str">
        <f t="shared" si="76"/>
        <v>Y</v>
      </c>
      <c r="H397" s="8" t="str">
        <f t="shared" si="77"/>
        <v>Upper</v>
      </c>
      <c r="I397" s="8" t="str">
        <f t="shared" si="78"/>
        <v>West Fork and Below Lake</v>
      </c>
      <c r="J397" s="8" t="str">
        <f t="shared" si="79"/>
        <v>Outside</v>
      </c>
      <c r="K397" s="8" t="str">
        <f t="shared" si="80"/>
        <v>Post-1949</v>
      </c>
      <c r="L397" s="8">
        <f t="shared" si="81"/>
        <v>1989</v>
      </c>
      <c r="M397" s="8" t="str">
        <f t="shared" si="83"/>
        <v>1971-1990</v>
      </c>
      <c r="N397" s="10" t="s">
        <v>242</v>
      </c>
      <c r="O397" s="10" t="s">
        <v>241</v>
      </c>
      <c r="P397" s="10" t="s">
        <v>242</v>
      </c>
      <c r="Q397" s="10" t="s">
        <v>242</v>
      </c>
      <c r="R397" s="10" t="s">
        <v>241</v>
      </c>
      <c r="S397" s="10" t="s">
        <v>242</v>
      </c>
      <c r="T397" s="10" t="s">
        <v>242</v>
      </c>
      <c r="U397" s="10" t="s">
        <v>242</v>
      </c>
      <c r="V397" s="10" t="s">
        <v>241</v>
      </c>
      <c r="W397" s="10" t="s">
        <v>242</v>
      </c>
      <c r="X397" s="15">
        <f>IF(ISERROR(VLOOKUP($A397,'13. Updated Demand'!A:Z,15,FALSE)),0,VLOOKUP($A397,'13. Updated Demand'!A:Z,15,FALSE))</f>
        <v>6.66</v>
      </c>
      <c r="Y397" s="16">
        <f>IF(ISERROR(VLOOKUP($A397,'13. Updated Demand'!A:Z,16,FALSE)),0,VLOOKUP($A397,'13. Updated Demand'!A:Z,16,FALSE))</f>
        <v>0</v>
      </c>
      <c r="Z397" s="16">
        <f>IF(ISERROR(VLOOKUP($A397,'13. Updated Demand'!A:Z,17,FALSE)),0,VLOOKUP($A397,'13. Updated Demand'!A:Z,17,FALSE))</f>
        <v>0</v>
      </c>
      <c r="AA397" s="16">
        <f>IF(ISERROR(VLOOKUP($A397,'13. Updated Demand'!A:Z,18,FALSE)),0,VLOOKUP($A397,'13. Updated Demand'!A:Z,18,FALSE))</f>
        <v>0</v>
      </c>
      <c r="AB397" s="16">
        <f>IF(ISERROR(VLOOKUP($A397,'13. Updated Demand'!A:Z,19,FALSE)),0,VLOOKUP($A397,'13. Updated Demand'!A:Z,19,FALSE))</f>
        <v>0</v>
      </c>
      <c r="AC397" s="16">
        <f>IF(ISERROR(VLOOKUP($A397,'13. Updated Demand'!A:Z,20,FALSE)),0,VLOOKUP($A397,'13. Updated Demand'!A:Z,20,FALSE))</f>
        <v>0</v>
      </c>
      <c r="AD397" s="16">
        <f>IF(ISERROR(VLOOKUP($A397,'13. Updated Demand'!A:Z,21,FALSE)),0,VLOOKUP($A397,'13. Updated Demand'!A:Z,21,FALSE))</f>
        <v>0</v>
      </c>
      <c r="AE397" s="16">
        <f>IF(ISERROR(VLOOKUP($A397,'13. Updated Demand'!A:Z,22,FALSE)),0,VLOOKUP($A397,'13. Updated Demand'!A:Z,22,FALSE))</f>
        <v>0</v>
      </c>
      <c r="AF397" s="16">
        <f>IF(ISERROR(VLOOKUP($A397,'13. Updated Demand'!A:Z,23,FALSE)),0,VLOOKUP($A397,'13. Updated Demand'!A:Z,23,FALSE))</f>
        <v>0</v>
      </c>
      <c r="AG397" s="16">
        <f>IF(ISERROR(VLOOKUP($A397,'13. Updated Demand'!A:Z,24,FALSE)),0,VLOOKUP($A397,'13. Updated Demand'!A:Z,24,FALSE))</f>
        <v>0</v>
      </c>
      <c r="AH397" s="16">
        <f>IF(ISERROR(VLOOKUP($A397,'13. Updated Demand'!A:Z,25,FALSE)),0,VLOOKUP($A397,'13. Updated Demand'!A:Z,25,FALSE))</f>
        <v>0</v>
      </c>
      <c r="AI397" s="16">
        <f>IF(ISERROR(VLOOKUP($A397,'13. Updated Demand'!A:Z,26,FALSE)),0,VLOOKUP($A397,'13. Updated Demand'!A:Z,26,FALSE))</f>
        <v>0</v>
      </c>
      <c r="AJ397" s="16">
        <f t="shared" si="72"/>
        <v>6.66</v>
      </c>
      <c r="AK397" s="19">
        <v>0</v>
      </c>
      <c r="AL397" s="16">
        <f t="shared" si="82"/>
        <v>0</v>
      </c>
      <c r="AM397" s="17">
        <v>0.66666666670000008</v>
      </c>
      <c r="AN397" s="19"/>
      <c r="AO397" s="19"/>
      <c r="AP397" s="19">
        <v>10</v>
      </c>
      <c r="AQ397" s="19" t="s">
        <v>307</v>
      </c>
      <c r="AR397" s="9" t="s">
        <v>317</v>
      </c>
      <c r="AS397" s="12">
        <v>0</v>
      </c>
      <c r="AT397" s="19">
        <v>39.268169880000002</v>
      </c>
      <c r="AU397" s="19">
        <v>-123.17637744</v>
      </c>
      <c r="AV397" s="19" t="s">
        <v>417</v>
      </c>
    </row>
    <row r="398" spans="1:48" x14ac:dyDescent="0.25">
      <c r="A398" s="18" t="s">
        <v>779</v>
      </c>
      <c r="B398" s="10">
        <v>19890130</v>
      </c>
      <c r="C398" s="9">
        <v>17</v>
      </c>
      <c r="D398" s="8" t="str">
        <f t="shared" si="73"/>
        <v>N</v>
      </c>
      <c r="E398" s="8" t="str">
        <f t="shared" si="74"/>
        <v>N</v>
      </c>
      <c r="F398" s="8" t="str">
        <f t="shared" si="75"/>
        <v>N</v>
      </c>
      <c r="G398" s="8" t="str">
        <f t="shared" si="76"/>
        <v>N</v>
      </c>
      <c r="H398" s="8" t="str">
        <f t="shared" si="77"/>
        <v>Lower</v>
      </c>
      <c r="I398" s="8" t="str">
        <f t="shared" si="78"/>
        <v>Outside</v>
      </c>
      <c r="J398" s="8" t="str">
        <f t="shared" si="79"/>
        <v>Outside</v>
      </c>
      <c r="K398" s="8" t="str">
        <f t="shared" si="80"/>
        <v>Post-1949</v>
      </c>
      <c r="L398" s="8">
        <f t="shared" si="81"/>
        <v>1989</v>
      </c>
      <c r="M398" s="8" t="str">
        <f t="shared" si="83"/>
        <v>1971-1990</v>
      </c>
      <c r="N398" s="10" t="s">
        <v>241</v>
      </c>
      <c r="O398" s="10" t="s">
        <v>242</v>
      </c>
      <c r="P398" s="10" t="s">
        <v>242</v>
      </c>
      <c r="Q398" s="10" t="s">
        <v>242</v>
      </c>
      <c r="R398" s="10" t="s">
        <v>241</v>
      </c>
      <c r="S398" s="10" t="s">
        <v>242</v>
      </c>
      <c r="T398" s="10" t="s">
        <v>242</v>
      </c>
      <c r="U398" s="10" t="s">
        <v>242</v>
      </c>
      <c r="V398" s="10" t="s">
        <v>242</v>
      </c>
      <c r="W398" s="10" t="s">
        <v>242</v>
      </c>
      <c r="X398" s="15">
        <f>IF(ISERROR(VLOOKUP($A398,'13. Updated Demand'!A:Z,15,FALSE)),0,VLOOKUP($A398,'13. Updated Demand'!A:Z,15,FALSE))</f>
        <v>2.1666666669999999</v>
      </c>
      <c r="Y398" s="16">
        <f>IF(ISERROR(VLOOKUP($A398,'13. Updated Demand'!A:Z,16,FALSE)),0,VLOOKUP($A398,'13. Updated Demand'!A:Z,16,FALSE))</f>
        <v>5.6</v>
      </c>
      <c r="Z398" s="16">
        <f>IF(ISERROR(VLOOKUP($A398,'13. Updated Demand'!A:Z,17,FALSE)),0,VLOOKUP($A398,'13. Updated Demand'!A:Z,17,FALSE))</f>
        <v>0.9</v>
      </c>
      <c r="AA398" s="16">
        <f>IF(ISERROR(VLOOKUP($A398,'13. Updated Demand'!A:Z,18,FALSE)),0,VLOOKUP($A398,'13. Updated Demand'!A:Z,18,FALSE))</f>
        <v>1.8666666670000001</v>
      </c>
      <c r="AB398" s="16">
        <f>IF(ISERROR(VLOOKUP($A398,'13. Updated Demand'!A:Z,19,FALSE)),0,VLOOKUP($A398,'13. Updated Demand'!A:Z,19,FALSE))</f>
        <v>1.4666666669999999</v>
      </c>
      <c r="AC398" s="16">
        <f>IF(ISERROR(VLOOKUP($A398,'13. Updated Demand'!A:Z,20,FALSE)),0,VLOOKUP($A398,'13. Updated Demand'!A:Z,20,FALSE))</f>
        <v>4.1666666670000003</v>
      </c>
      <c r="AD398" s="16">
        <f>IF(ISERROR(VLOOKUP($A398,'13. Updated Demand'!A:Z,21,FALSE)),0,VLOOKUP($A398,'13. Updated Demand'!A:Z,21,FALSE))</f>
        <v>11.83333333</v>
      </c>
      <c r="AE398" s="16">
        <f>IF(ISERROR(VLOOKUP($A398,'13. Updated Demand'!A:Z,22,FALSE)),0,VLOOKUP($A398,'13. Updated Demand'!A:Z,22,FALSE))</f>
        <v>11.633333329999999</v>
      </c>
      <c r="AF398" s="16">
        <f>IF(ISERROR(VLOOKUP($A398,'13. Updated Demand'!A:Z,23,FALSE)),0,VLOOKUP($A398,'13. Updated Demand'!A:Z,23,FALSE))</f>
        <v>0</v>
      </c>
      <c r="AG398" s="16">
        <f>IF(ISERROR(VLOOKUP($A398,'13. Updated Demand'!A:Z,24,FALSE)),0,VLOOKUP($A398,'13. Updated Demand'!A:Z,24,FALSE))</f>
        <v>0</v>
      </c>
      <c r="AH398" s="16">
        <f>IF(ISERROR(VLOOKUP($A398,'13. Updated Demand'!A:Z,25,FALSE)),0,VLOOKUP($A398,'13. Updated Demand'!A:Z,25,FALSE))</f>
        <v>0.53333333299999997</v>
      </c>
      <c r="AI398" s="16">
        <f>IF(ISERROR(VLOOKUP($A398,'13. Updated Demand'!A:Z,26,FALSE)),0,VLOOKUP($A398,'13. Updated Demand'!A:Z,26,FALSE))</f>
        <v>6.9666666670000001</v>
      </c>
      <c r="AJ398" s="16">
        <f t="shared" si="72"/>
        <v>47.133333327999999</v>
      </c>
      <c r="AK398" s="19">
        <v>29.099999994000001</v>
      </c>
      <c r="AL398" s="16">
        <f t="shared" si="82"/>
        <v>9.6521385178597999E-2</v>
      </c>
      <c r="AM398" s="17">
        <v>0.31846846843243243</v>
      </c>
      <c r="AN398" s="19"/>
      <c r="AO398" s="19"/>
      <c r="AP398" s="19">
        <v>148</v>
      </c>
      <c r="AQ398" s="19" t="s">
        <v>307</v>
      </c>
      <c r="AR398" s="9" t="s">
        <v>486</v>
      </c>
      <c r="AS398" s="12">
        <v>0</v>
      </c>
      <c r="AT398" s="19">
        <v>38.555549030000002</v>
      </c>
      <c r="AU398" s="19">
        <v>-122.85609914</v>
      </c>
      <c r="AV398" s="19" t="s">
        <v>548</v>
      </c>
    </row>
    <row r="399" spans="1:48" x14ac:dyDescent="0.25">
      <c r="A399" s="18" t="s">
        <v>780</v>
      </c>
      <c r="B399" s="10">
        <v>19890201</v>
      </c>
      <c r="C399" s="9">
        <v>4</v>
      </c>
      <c r="D399" s="8" t="str">
        <f t="shared" si="73"/>
        <v>Y</v>
      </c>
      <c r="E399" s="8" t="str">
        <f t="shared" si="74"/>
        <v>N</v>
      </c>
      <c r="F399" s="8" t="str">
        <f t="shared" si="75"/>
        <v>Y</v>
      </c>
      <c r="G399" s="8" t="str">
        <f t="shared" si="76"/>
        <v>Y</v>
      </c>
      <c r="H399" s="8" t="str">
        <f t="shared" si="77"/>
        <v>Upper</v>
      </c>
      <c r="I399" s="8" t="str">
        <f t="shared" si="78"/>
        <v>West Fork and Below Lake</v>
      </c>
      <c r="J399" s="8" t="str">
        <f t="shared" si="79"/>
        <v>Mendocino (d/s of lake)</v>
      </c>
      <c r="K399" s="8" t="str">
        <f t="shared" si="80"/>
        <v>Post-1949</v>
      </c>
      <c r="L399" s="8">
        <f t="shared" si="81"/>
        <v>1989</v>
      </c>
      <c r="M399" s="8" t="str">
        <f t="shared" si="83"/>
        <v>1971-1990</v>
      </c>
      <c r="N399" s="10" t="s">
        <v>241</v>
      </c>
      <c r="O399" s="10" t="s">
        <v>241</v>
      </c>
      <c r="P399" s="10" t="s">
        <v>242</v>
      </c>
      <c r="Q399" s="10" t="s">
        <v>242</v>
      </c>
      <c r="R399" s="10" t="s">
        <v>241</v>
      </c>
      <c r="S399" s="10" t="s">
        <v>242</v>
      </c>
      <c r="T399" s="10" t="s">
        <v>242</v>
      </c>
      <c r="U399" s="10" t="s">
        <v>242</v>
      </c>
      <c r="V399" s="10" t="s">
        <v>242</v>
      </c>
      <c r="W399" s="10" t="s">
        <v>242</v>
      </c>
      <c r="X399" s="15">
        <f>IF(ISERROR(VLOOKUP($A399,'13. Updated Demand'!A:Z,15,FALSE)),0,VLOOKUP($A399,'13. Updated Demand'!A:Z,15,FALSE))</f>
        <v>0</v>
      </c>
      <c r="Y399" s="16">
        <f>IF(ISERROR(VLOOKUP($A399,'13. Updated Demand'!A:Z,16,FALSE)),0,VLOOKUP($A399,'13. Updated Demand'!A:Z,16,FALSE))</f>
        <v>0</v>
      </c>
      <c r="Z399" s="16">
        <f>IF(ISERROR(VLOOKUP($A399,'13. Updated Demand'!A:Z,17,FALSE)),0,VLOOKUP($A399,'13. Updated Demand'!A:Z,17,FALSE))</f>
        <v>0</v>
      </c>
      <c r="AA399" s="16">
        <f>IF(ISERROR(VLOOKUP($A399,'13. Updated Demand'!A:Z,18,FALSE)),0,VLOOKUP($A399,'13. Updated Demand'!A:Z,18,FALSE))</f>
        <v>0</v>
      </c>
      <c r="AB399" s="16">
        <f>IF(ISERROR(VLOOKUP($A399,'13. Updated Demand'!A:Z,19,FALSE)),0,VLOOKUP($A399,'13. Updated Demand'!A:Z,19,FALSE))</f>
        <v>0</v>
      </c>
      <c r="AC399" s="16">
        <f>IF(ISERROR(VLOOKUP($A399,'13. Updated Demand'!A:Z,20,FALSE)),0,VLOOKUP($A399,'13. Updated Demand'!A:Z,20,FALSE))</f>
        <v>1.03</v>
      </c>
      <c r="AD399" s="16">
        <f>IF(ISERROR(VLOOKUP($A399,'13. Updated Demand'!A:Z,21,FALSE)),0,VLOOKUP($A399,'13. Updated Demand'!A:Z,21,FALSE))</f>
        <v>0</v>
      </c>
      <c r="AE399" s="16">
        <f>IF(ISERROR(VLOOKUP($A399,'13. Updated Demand'!A:Z,22,FALSE)),0,VLOOKUP($A399,'13. Updated Demand'!A:Z,22,FALSE))</f>
        <v>0</v>
      </c>
      <c r="AF399" s="16">
        <f>IF(ISERROR(VLOOKUP($A399,'13. Updated Demand'!A:Z,23,FALSE)),0,VLOOKUP($A399,'13. Updated Demand'!A:Z,23,FALSE))</f>
        <v>0</v>
      </c>
      <c r="AG399" s="16">
        <f>IF(ISERROR(VLOOKUP($A399,'13. Updated Demand'!A:Z,24,FALSE)),0,VLOOKUP($A399,'13. Updated Demand'!A:Z,24,FALSE))</f>
        <v>0</v>
      </c>
      <c r="AH399" s="16">
        <f>IF(ISERROR(VLOOKUP($A399,'13. Updated Demand'!A:Z,25,FALSE)),0,VLOOKUP($A399,'13. Updated Demand'!A:Z,25,FALSE))</f>
        <v>0</v>
      </c>
      <c r="AI399" s="16">
        <f>IF(ISERROR(VLOOKUP($A399,'13. Updated Demand'!A:Z,26,FALSE)),0,VLOOKUP($A399,'13. Updated Demand'!A:Z,26,FALSE))</f>
        <v>0</v>
      </c>
      <c r="AJ399" s="16">
        <f t="shared" si="72"/>
        <v>1.03</v>
      </c>
      <c r="AK399" s="19">
        <v>1.0335173333333301</v>
      </c>
      <c r="AL399" s="16">
        <f t="shared" si="82"/>
        <v>3.4280592659791122E-3</v>
      </c>
      <c r="AM399" s="17">
        <v>6.9832252252252022E-2</v>
      </c>
      <c r="AN399" s="19"/>
      <c r="AO399" s="19"/>
      <c r="AP399" s="19">
        <v>14.8</v>
      </c>
      <c r="AQ399" s="19" t="s">
        <v>307</v>
      </c>
      <c r="AR399" s="9" t="s">
        <v>331</v>
      </c>
      <c r="AS399" s="12">
        <v>0</v>
      </c>
      <c r="AT399" s="19">
        <v>39.171797920000003</v>
      </c>
      <c r="AU399" s="19">
        <v>-123.19260872</v>
      </c>
      <c r="AV399" s="19" t="s">
        <v>387</v>
      </c>
    </row>
    <row r="400" spans="1:48" x14ac:dyDescent="0.25">
      <c r="A400" s="18" t="s">
        <v>781</v>
      </c>
      <c r="B400" s="10">
        <v>19890214</v>
      </c>
      <c r="C400" s="9">
        <v>12</v>
      </c>
      <c r="D400" s="8" t="str">
        <f t="shared" si="73"/>
        <v>N</v>
      </c>
      <c r="E400" s="8" t="str">
        <f t="shared" si="74"/>
        <v>Y</v>
      </c>
      <c r="F400" s="8" t="str">
        <f t="shared" si="75"/>
        <v>Y</v>
      </c>
      <c r="G400" s="8" t="str">
        <f t="shared" si="76"/>
        <v>Y</v>
      </c>
      <c r="H400" s="8" t="str">
        <f t="shared" si="77"/>
        <v>Upper</v>
      </c>
      <c r="I400" s="8" t="str">
        <f t="shared" si="78"/>
        <v>West Fork and Below Lake</v>
      </c>
      <c r="J400" s="8" t="str">
        <f t="shared" si="79"/>
        <v>Sonoma (d/s of Clov. Gage)</v>
      </c>
      <c r="K400" s="8" t="str">
        <f t="shared" si="80"/>
        <v>Post-1949</v>
      </c>
      <c r="L400" s="8">
        <f t="shared" si="81"/>
        <v>1989</v>
      </c>
      <c r="M400" s="8" t="str">
        <f t="shared" si="83"/>
        <v>1971-1990</v>
      </c>
      <c r="N400" s="10" t="s">
        <v>241</v>
      </c>
      <c r="O400" s="10" t="s">
        <v>241</v>
      </c>
      <c r="P400" s="10" t="s">
        <v>242</v>
      </c>
      <c r="Q400" s="10" t="s">
        <v>242</v>
      </c>
      <c r="R400" s="10" t="s">
        <v>241</v>
      </c>
      <c r="S400" s="10" t="s">
        <v>242</v>
      </c>
      <c r="T400" s="10" t="s">
        <v>242</v>
      </c>
      <c r="U400" s="10" t="s">
        <v>242</v>
      </c>
      <c r="V400" s="10" t="s">
        <v>242</v>
      </c>
      <c r="W400" s="10" t="s">
        <v>242</v>
      </c>
      <c r="X400" s="15">
        <f>IF(ISERROR(VLOOKUP($A400,'13. Updated Demand'!A:Z,15,FALSE)),0,VLOOKUP($A400,'13. Updated Demand'!A:Z,15,FALSE))</f>
        <v>0</v>
      </c>
      <c r="Y400" s="16">
        <f>IF(ISERROR(VLOOKUP($A400,'13. Updated Demand'!A:Z,16,FALSE)),0,VLOOKUP($A400,'13. Updated Demand'!A:Z,16,FALSE))</f>
        <v>0</v>
      </c>
      <c r="Z400" s="16">
        <f>IF(ISERROR(VLOOKUP($A400,'13. Updated Demand'!A:Z,17,FALSE)),0,VLOOKUP($A400,'13. Updated Demand'!A:Z,17,FALSE))</f>
        <v>0</v>
      </c>
      <c r="AA400" s="16">
        <f>IF(ISERROR(VLOOKUP($A400,'13. Updated Demand'!A:Z,18,FALSE)),0,VLOOKUP($A400,'13. Updated Demand'!A:Z,18,FALSE))</f>
        <v>0</v>
      </c>
      <c r="AB400" s="16">
        <f>IF(ISERROR(VLOOKUP($A400,'13. Updated Demand'!A:Z,19,FALSE)),0,VLOOKUP($A400,'13. Updated Demand'!A:Z,19,FALSE))</f>
        <v>0.02</v>
      </c>
      <c r="AC400" s="16">
        <f>IF(ISERROR(VLOOKUP($A400,'13. Updated Demand'!A:Z,20,FALSE)),0,VLOOKUP($A400,'13. Updated Demand'!A:Z,20,FALSE))</f>
        <v>0.02</v>
      </c>
      <c r="AD400" s="16">
        <f>IF(ISERROR(VLOOKUP($A400,'13. Updated Demand'!A:Z,21,FALSE)),0,VLOOKUP($A400,'13. Updated Demand'!A:Z,21,FALSE))</f>
        <v>0.2</v>
      </c>
      <c r="AE400" s="16">
        <f>IF(ISERROR(VLOOKUP($A400,'13. Updated Demand'!A:Z,22,FALSE)),0,VLOOKUP($A400,'13. Updated Demand'!A:Z,22,FALSE))</f>
        <v>0.16</v>
      </c>
      <c r="AF400" s="16">
        <f>IF(ISERROR(VLOOKUP($A400,'13. Updated Demand'!A:Z,23,FALSE)),0,VLOOKUP($A400,'13. Updated Demand'!A:Z,23,FALSE))</f>
        <v>0.1</v>
      </c>
      <c r="AG400" s="16">
        <f>IF(ISERROR(VLOOKUP($A400,'13. Updated Demand'!A:Z,24,FALSE)),0,VLOOKUP($A400,'13. Updated Demand'!A:Z,24,FALSE))</f>
        <v>0.11</v>
      </c>
      <c r="AH400" s="16">
        <f>IF(ISERROR(VLOOKUP($A400,'13. Updated Demand'!A:Z,25,FALSE)),0,VLOOKUP($A400,'13. Updated Demand'!A:Z,25,FALSE))</f>
        <v>0</v>
      </c>
      <c r="AI400" s="16">
        <f>IF(ISERROR(VLOOKUP($A400,'13. Updated Demand'!A:Z,26,FALSE)),0,VLOOKUP($A400,'13. Updated Demand'!A:Z,26,FALSE))</f>
        <v>0</v>
      </c>
      <c r="AJ400" s="16">
        <f t="shared" ref="AJ400:AJ463" si="84">SUM(X400:AI400)</f>
        <v>0.61</v>
      </c>
      <c r="AK400" s="19">
        <v>0.52292666666666598</v>
      </c>
      <c r="AL400" s="16">
        <f t="shared" si="82"/>
        <v>1.734488186388334E-3</v>
      </c>
      <c r="AM400" s="17">
        <v>0.15835383333333325</v>
      </c>
      <c r="AN400" s="19"/>
      <c r="AO400" s="19"/>
      <c r="AP400" s="19">
        <v>4</v>
      </c>
      <c r="AQ400" s="19" t="s">
        <v>307</v>
      </c>
      <c r="AR400" s="9" t="s">
        <v>311</v>
      </c>
      <c r="AS400" s="12">
        <v>0</v>
      </c>
      <c r="AT400" s="19">
        <v>38.640808120000003</v>
      </c>
      <c r="AU400" s="19">
        <v>-122.79900076</v>
      </c>
      <c r="AV400" s="19" t="s">
        <v>548</v>
      </c>
    </row>
    <row r="401" spans="1:48" x14ac:dyDescent="0.25">
      <c r="A401" s="18" t="s">
        <v>782</v>
      </c>
      <c r="B401" s="10">
        <v>19890214</v>
      </c>
      <c r="C401" s="9">
        <v>12</v>
      </c>
      <c r="D401" s="8" t="str">
        <f t="shared" si="73"/>
        <v>N</v>
      </c>
      <c r="E401" s="8" t="str">
        <f t="shared" si="74"/>
        <v>Y</v>
      </c>
      <c r="F401" s="8" t="str">
        <f t="shared" si="75"/>
        <v>Y</v>
      </c>
      <c r="G401" s="8" t="str">
        <f t="shared" si="76"/>
        <v>Y</v>
      </c>
      <c r="H401" s="8" t="str">
        <f t="shared" si="77"/>
        <v>Upper</v>
      </c>
      <c r="I401" s="8" t="str">
        <f t="shared" si="78"/>
        <v>West Fork and Below Lake</v>
      </c>
      <c r="J401" s="8" t="str">
        <f t="shared" si="79"/>
        <v>Sonoma (d/s of Clov. Gage)</v>
      </c>
      <c r="K401" s="8" t="str">
        <f t="shared" si="80"/>
        <v>Post-1949</v>
      </c>
      <c r="L401" s="8">
        <f t="shared" si="81"/>
        <v>1989</v>
      </c>
      <c r="M401" s="8" t="str">
        <f t="shared" si="83"/>
        <v>1971-1990</v>
      </c>
      <c r="N401" s="10" t="s">
        <v>241</v>
      </c>
      <c r="O401" s="10" t="s">
        <v>241</v>
      </c>
      <c r="P401" s="10" t="s">
        <v>242</v>
      </c>
      <c r="Q401" s="10" t="s">
        <v>242</v>
      </c>
      <c r="R401" s="10" t="s">
        <v>241</v>
      </c>
      <c r="S401" s="10" t="s">
        <v>242</v>
      </c>
      <c r="T401" s="10" t="s">
        <v>242</v>
      </c>
      <c r="U401" s="10" t="s">
        <v>242</v>
      </c>
      <c r="V401" s="10" t="s">
        <v>242</v>
      </c>
      <c r="W401" s="10" t="s">
        <v>242</v>
      </c>
      <c r="X401" s="15">
        <f>IF(ISERROR(VLOOKUP($A401,'13. Updated Demand'!A:Z,15,FALSE)),0,VLOOKUP($A401,'13. Updated Demand'!A:Z,15,FALSE))</f>
        <v>0</v>
      </c>
      <c r="Y401" s="16">
        <f>IF(ISERROR(VLOOKUP($A401,'13. Updated Demand'!A:Z,16,FALSE)),0,VLOOKUP($A401,'13. Updated Demand'!A:Z,16,FALSE))</f>
        <v>0</v>
      </c>
      <c r="Z401" s="16">
        <f>IF(ISERROR(VLOOKUP($A401,'13. Updated Demand'!A:Z,17,FALSE)),0,VLOOKUP($A401,'13. Updated Demand'!A:Z,17,FALSE))</f>
        <v>0</v>
      </c>
      <c r="AA401" s="16">
        <f>IF(ISERROR(VLOOKUP($A401,'13. Updated Demand'!A:Z,18,FALSE)),0,VLOOKUP($A401,'13. Updated Demand'!A:Z,18,FALSE))</f>
        <v>0</v>
      </c>
      <c r="AB401" s="16">
        <f>IF(ISERROR(VLOOKUP($A401,'13. Updated Demand'!A:Z,19,FALSE)),0,VLOOKUP($A401,'13. Updated Demand'!A:Z,19,FALSE))</f>
        <v>0</v>
      </c>
      <c r="AC401" s="16">
        <f>IF(ISERROR(VLOOKUP($A401,'13. Updated Demand'!A:Z,20,FALSE)),0,VLOOKUP($A401,'13. Updated Demand'!A:Z,20,FALSE))</f>
        <v>0</v>
      </c>
      <c r="AD401" s="16">
        <f>IF(ISERROR(VLOOKUP($A401,'13. Updated Demand'!A:Z,21,FALSE)),0,VLOOKUP($A401,'13. Updated Demand'!A:Z,21,FALSE))</f>
        <v>0</v>
      </c>
      <c r="AE401" s="16">
        <f>IF(ISERROR(VLOOKUP($A401,'13. Updated Demand'!A:Z,22,FALSE)),0,VLOOKUP($A401,'13. Updated Demand'!A:Z,22,FALSE))</f>
        <v>0</v>
      </c>
      <c r="AF401" s="16">
        <f>IF(ISERROR(VLOOKUP($A401,'13. Updated Demand'!A:Z,23,FALSE)),0,VLOOKUP($A401,'13. Updated Demand'!A:Z,23,FALSE))</f>
        <v>0.19</v>
      </c>
      <c r="AG401" s="16">
        <f>IF(ISERROR(VLOOKUP($A401,'13. Updated Demand'!A:Z,24,FALSE)),0,VLOOKUP($A401,'13. Updated Demand'!A:Z,24,FALSE))</f>
        <v>0.34</v>
      </c>
      <c r="AH401" s="16">
        <f>IF(ISERROR(VLOOKUP($A401,'13. Updated Demand'!A:Z,25,FALSE)),0,VLOOKUP($A401,'13. Updated Demand'!A:Z,25,FALSE))</f>
        <v>0</v>
      </c>
      <c r="AI401" s="16">
        <f>IF(ISERROR(VLOOKUP($A401,'13. Updated Demand'!A:Z,26,FALSE)),0,VLOOKUP($A401,'13. Updated Demand'!A:Z,26,FALSE))</f>
        <v>0</v>
      </c>
      <c r="AJ401" s="16">
        <f t="shared" si="84"/>
        <v>0.53</v>
      </c>
      <c r="AK401" s="19">
        <v>0.19640666666666701</v>
      </c>
      <c r="AL401" s="16">
        <f t="shared" si="82"/>
        <v>6.5145854051156774E-4</v>
      </c>
      <c r="AM401" s="17">
        <v>2.5719777777777807E-2</v>
      </c>
      <c r="AN401" s="19"/>
      <c r="AO401" s="19"/>
      <c r="AP401" s="19">
        <v>21</v>
      </c>
      <c r="AQ401" s="19" t="s">
        <v>307</v>
      </c>
      <c r="AR401" s="9" t="s">
        <v>311</v>
      </c>
      <c r="AS401" s="12">
        <v>0</v>
      </c>
      <c r="AT401" s="19">
        <v>38.642490909999999</v>
      </c>
      <c r="AU401" s="19">
        <v>-122.79874018</v>
      </c>
      <c r="AV401" s="19" t="s">
        <v>548</v>
      </c>
    </row>
    <row r="402" spans="1:48" x14ac:dyDescent="0.25">
      <c r="A402" s="18" t="s">
        <v>63</v>
      </c>
      <c r="B402" s="10">
        <v>19890228</v>
      </c>
      <c r="C402" s="9">
        <v>9</v>
      </c>
      <c r="D402" s="8" t="str">
        <f t="shared" si="73"/>
        <v>N</v>
      </c>
      <c r="E402" s="8" t="str">
        <f t="shared" si="74"/>
        <v>Y</v>
      </c>
      <c r="F402" s="8" t="str">
        <f t="shared" si="75"/>
        <v>Y</v>
      </c>
      <c r="G402" s="8" t="str">
        <f t="shared" si="76"/>
        <v>Y</v>
      </c>
      <c r="H402" s="8" t="str">
        <f t="shared" si="77"/>
        <v>Upper</v>
      </c>
      <c r="I402" s="8" t="str">
        <f t="shared" si="78"/>
        <v>West Fork and Below Lake</v>
      </c>
      <c r="J402" s="8" t="str">
        <f t="shared" si="79"/>
        <v>Sonoma (d/s of Clov. Gage)</v>
      </c>
      <c r="K402" s="8" t="str">
        <f t="shared" si="80"/>
        <v>Post-1949</v>
      </c>
      <c r="L402" s="8">
        <f t="shared" si="81"/>
        <v>1989</v>
      </c>
      <c r="M402" s="8" t="str">
        <f t="shared" si="83"/>
        <v>1971-1990</v>
      </c>
      <c r="N402" s="10" t="s">
        <v>241</v>
      </c>
      <c r="O402" s="10" t="s">
        <v>241</v>
      </c>
      <c r="P402" s="10" t="s">
        <v>242</v>
      </c>
      <c r="Q402" s="10" t="s">
        <v>242</v>
      </c>
      <c r="R402" s="10" t="s">
        <v>241</v>
      </c>
      <c r="S402" s="10" t="s">
        <v>242</v>
      </c>
      <c r="T402" s="10" t="s">
        <v>242</v>
      </c>
      <c r="U402" s="10" t="s">
        <v>242</v>
      </c>
      <c r="V402" s="10" t="s">
        <v>242</v>
      </c>
      <c r="W402" s="10" t="s">
        <v>242</v>
      </c>
      <c r="X402" s="15">
        <f>IF(ISERROR(VLOOKUP($A402,'13. Updated Demand'!A:Z,15,FALSE)),0,VLOOKUP($A402,'13. Updated Demand'!A:Z,15,FALSE))</f>
        <v>8.6999999999999993</v>
      </c>
      <c r="Y402" s="16">
        <f>IF(ISERROR(VLOOKUP($A402,'13. Updated Demand'!A:Z,16,FALSE)),0,VLOOKUP($A402,'13. Updated Demand'!A:Z,16,FALSE))</f>
        <v>6.93</v>
      </c>
      <c r="Z402" s="16">
        <f>IF(ISERROR(VLOOKUP($A402,'13. Updated Demand'!A:Z,17,FALSE)),0,VLOOKUP($A402,'13. Updated Demand'!A:Z,17,FALSE))</f>
        <v>6.03</v>
      </c>
      <c r="AA402" s="16">
        <f>IF(ISERROR(VLOOKUP($A402,'13. Updated Demand'!A:Z,18,FALSE)),0,VLOOKUP($A402,'13. Updated Demand'!A:Z,18,FALSE))</f>
        <v>7.26</v>
      </c>
      <c r="AB402" s="16">
        <f>IF(ISERROR(VLOOKUP($A402,'13. Updated Demand'!A:Z,19,FALSE)),0,VLOOKUP($A402,'13. Updated Demand'!A:Z,19,FALSE))</f>
        <v>9.73</v>
      </c>
      <c r="AC402" s="16">
        <f>IF(ISERROR(VLOOKUP($A402,'13. Updated Demand'!A:Z,20,FALSE)),0,VLOOKUP($A402,'13. Updated Demand'!A:Z,20,FALSE))</f>
        <v>11.5</v>
      </c>
      <c r="AD402" s="16">
        <f>IF(ISERROR(VLOOKUP($A402,'13. Updated Demand'!A:Z,21,FALSE)),0,VLOOKUP($A402,'13. Updated Demand'!A:Z,21,FALSE))</f>
        <v>12.13</v>
      </c>
      <c r="AE402" s="16">
        <f>IF(ISERROR(VLOOKUP($A402,'13. Updated Demand'!A:Z,22,FALSE)),0,VLOOKUP($A402,'13. Updated Demand'!A:Z,22,FALSE))</f>
        <v>18.73</v>
      </c>
      <c r="AF402" s="16">
        <f>IF(ISERROR(VLOOKUP($A402,'13. Updated Demand'!A:Z,23,FALSE)),0,VLOOKUP($A402,'13. Updated Demand'!A:Z,23,FALSE))</f>
        <v>24.56</v>
      </c>
      <c r="AG402" s="16">
        <f>IF(ISERROR(VLOOKUP($A402,'13. Updated Demand'!A:Z,24,FALSE)),0,VLOOKUP($A402,'13. Updated Demand'!A:Z,24,FALSE))</f>
        <v>22.36</v>
      </c>
      <c r="AH402" s="16">
        <f>IF(ISERROR(VLOOKUP($A402,'13. Updated Demand'!A:Z,25,FALSE)),0,VLOOKUP($A402,'13. Updated Demand'!A:Z,25,FALSE))</f>
        <v>17.059999999999999</v>
      </c>
      <c r="AI402" s="16">
        <f>IF(ISERROR(VLOOKUP($A402,'13. Updated Demand'!A:Z,26,FALSE)),0,VLOOKUP($A402,'13. Updated Demand'!A:Z,26,FALSE))</f>
        <v>8.9</v>
      </c>
      <c r="AJ402" s="16">
        <f t="shared" si="84"/>
        <v>153.89000000000001</v>
      </c>
      <c r="AK402" s="19">
        <v>76.666666666666629</v>
      </c>
      <c r="AL402" s="16">
        <f t="shared" si="82"/>
        <v>0.25429460017932226</v>
      </c>
      <c r="AM402" s="17">
        <v>0.38483333333333336</v>
      </c>
      <c r="AN402" s="19"/>
      <c r="AO402" s="19"/>
      <c r="AP402" s="19">
        <v>400</v>
      </c>
      <c r="AQ402" s="19" t="s">
        <v>307</v>
      </c>
      <c r="AR402" s="9" t="s">
        <v>354</v>
      </c>
      <c r="AS402" s="12">
        <v>3.4039024194010059E-4</v>
      </c>
      <c r="AT402" s="19">
        <v>38.785362839999998</v>
      </c>
      <c r="AU402" s="19">
        <v>-122.99744779</v>
      </c>
      <c r="AV402" s="19" t="s">
        <v>548</v>
      </c>
    </row>
    <row r="403" spans="1:48" x14ac:dyDescent="0.25">
      <c r="A403" s="18" t="s">
        <v>64</v>
      </c>
      <c r="B403" s="10">
        <v>19890228</v>
      </c>
      <c r="C403" s="9">
        <v>9</v>
      </c>
      <c r="D403" s="8" t="str">
        <f t="shared" si="73"/>
        <v>N</v>
      </c>
      <c r="E403" s="8" t="str">
        <f t="shared" si="74"/>
        <v>Y</v>
      </c>
      <c r="F403" s="8" t="str">
        <f t="shared" si="75"/>
        <v>Y</v>
      </c>
      <c r="G403" s="8" t="str">
        <f t="shared" si="76"/>
        <v>Y</v>
      </c>
      <c r="H403" s="8" t="str">
        <f t="shared" si="77"/>
        <v>Upper</v>
      </c>
      <c r="I403" s="8" t="str">
        <f t="shared" si="78"/>
        <v>West Fork and Below Lake</v>
      </c>
      <c r="J403" s="8" t="str">
        <f t="shared" si="79"/>
        <v>Sonoma (d/s of Clov. Gage)</v>
      </c>
      <c r="K403" s="8" t="str">
        <f t="shared" si="80"/>
        <v>Post-1949</v>
      </c>
      <c r="L403" s="8">
        <f t="shared" si="81"/>
        <v>1989</v>
      </c>
      <c r="M403" s="8" t="str">
        <f t="shared" si="83"/>
        <v>1971-1990</v>
      </c>
      <c r="N403" s="10" t="s">
        <v>241</v>
      </c>
      <c r="O403" s="10" t="s">
        <v>241</v>
      </c>
      <c r="P403" s="10" t="s">
        <v>242</v>
      </c>
      <c r="Q403" s="10" t="s">
        <v>242</v>
      </c>
      <c r="R403" s="10" t="s">
        <v>241</v>
      </c>
      <c r="S403" s="10" t="s">
        <v>242</v>
      </c>
      <c r="T403" s="10" t="s">
        <v>242</v>
      </c>
      <c r="U403" s="10" t="s">
        <v>242</v>
      </c>
      <c r="V403" s="10" t="s">
        <v>242</v>
      </c>
      <c r="W403" s="10" t="s">
        <v>242</v>
      </c>
      <c r="X403" s="15">
        <f>IF(ISERROR(VLOOKUP($A403,'13. Updated Demand'!A:Z,15,FALSE)),0,VLOOKUP($A403,'13. Updated Demand'!A:Z,15,FALSE))</f>
        <v>0.06</v>
      </c>
      <c r="Y403" s="16">
        <f>IF(ISERROR(VLOOKUP($A403,'13. Updated Demand'!A:Z,16,FALSE)),0,VLOOKUP($A403,'13. Updated Demand'!A:Z,16,FALSE))</f>
        <v>0.03</v>
      </c>
      <c r="Z403" s="16">
        <f>IF(ISERROR(VLOOKUP($A403,'13. Updated Demand'!A:Z,17,FALSE)),0,VLOOKUP($A403,'13. Updated Demand'!A:Z,17,FALSE))</f>
        <v>0.03</v>
      </c>
      <c r="AA403" s="16">
        <f>IF(ISERROR(VLOOKUP($A403,'13. Updated Demand'!A:Z,18,FALSE)),0,VLOOKUP($A403,'13. Updated Demand'!A:Z,18,FALSE))</f>
        <v>0.06</v>
      </c>
      <c r="AB403" s="16">
        <f>IF(ISERROR(VLOOKUP($A403,'13. Updated Demand'!A:Z,19,FALSE)),0,VLOOKUP($A403,'13. Updated Demand'!A:Z,19,FALSE))</f>
        <v>2.36</v>
      </c>
      <c r="AC403" s="16">
        <f>IF(ISERROR(VLOOKUP($A403,'13. Updated Demand'!A:Z,20,FALSE)),0,VLOOKUP($A403,'13. Updated Demand'!A:Z,20,FALSE))</f>
        <v>9.4</v>
      </c>
      <c r="AD403" s="16">
        <f>IF(ISERROR(VLOOKUP($A403,'13. Updated Demand'!A:Z,21,FALSE)),0,VLOOKUP($A403,'13. Updated Demand'!A:Z,21,FALSE))</f>
        <v>8.26</v>
      </c>
      <c r="AE403" s="16">
        <f>IF(ISERROR(VLOOKUP($A403,'13. Updated Demand'!A:Z,22,FALSE)),0,VLOOKUP($A403,'13. Updated Demand'!A:Z,22,FALSE))</f>
        <v>0</v>
      </c>
      <c r="AF403" s="16">
        <f>IF(ISERROR(VLOOKUP($A403,'13. Updated Demand'!A:Z,23,FALSE)),0,VLOOKUP($A403,'13. Updated Demand'!A:Z,23,FALSE))</f>
        <v>0</v>
      </c>
      <c r="AG403" s="16">
        <f>IF(ISERROR(VLOOKUP($A403,'13. Updated Demand'!A:Z,24,FALSE)),0,VLOOKUP($A403,'13. Updated Demand'!A:Z,24,FALSE))</f>
        <v>0</v>
      </c>
      <c r="AH403" s="16">
        <f>IF(ISERROR(VLOOKUP($A403,'13. Updated Demand'!A:Z,25,FALSE)),0,VLOOKUP($A403,'13. Updated Demand'!A:Z,25,FALSE))</f>
        <v>0.03</v>
      </c>
      <c r="AI403" s="16">
        <f>IF(ISERROR(VLOOKUP($A403,'13. Updated Demand'!A:Z,26,FALSE)),0,VLOOKUP($A403,'13. Updated Demand'!A:Z,26,FALSE))</f>
        <v>0</v>
      </c>
      <c r="AJ403" s="16">
        <f t="shared" si="84"/>
        <v>20.230000000000004</v>
      </c>
      <c r="AK403" s="19">
        <v>20.033333333333339</v>
      </c>
      <c r="AL403" s="16">
        <f t="shared" si="82"/>
        <v>6.6448284655553372E-2</v>
      </c>
      <c r="AM403" s="17">
        <v>2.9457364341085285E-2</v>
      </c>
      <c r="AN403" s="19"/>
      <c r="AO403" s="19"/>
      <c r="AP403" s="19">
        <v>688</v>
      </c>
      <c r="AQ403" s="19" t="s">
        <v>307</v>
      </c>
      <c r="AR403" s="9" t="s">
        <v>354</v>
      </c>
      <c r="AS403" s="12">
        <v>0</v>
      </c>
      <c r="AT403" s="19">
        <v>38.765829320000002</v>
      </c>
      <c r="AU403" s="19">
        <v>-122.96937719</v>
      </c>
      <c r="AV403" s="19" t="s">
        <v>548</v>
      </c>
    </row>
    <row r="404" spans="1:48" x14ac:dyDescent="0.25">
      <c r="A404" s="18" t="s">
        <v>783</v>
      </c>
      <c r="B404" s="10">
        <v>19890314</v>
      </c>
      <c r="C404" s="9">
        <v>9</v>
      </c>
      <c r="D404" s="8" t="str">
        <f t="shared" si="73"/>
        <v>N</v>
      </c>
      <c r="E404" s="8" t="str">
        <f t="shared" si="74"/>
        <v>Y</v>
      </c>
      <c r="F404" s="8" t="str">
        <f t="shared" si="75"/>
        <v>Y</v>
      </c>
      <c r="G404" s="8" t="str">
        <f t="shared" si="76"/>
        <v>Y</v>
      </c>
      <c r="H404" s="8" t="str">
        <f t="shared" si="77"/>
        <v>Upper</v>
      </c>
      <c r="I404" s="8" t="str">
        <f t="shared" si="78"/>
        <v>West Fork and Below Lake</v>
      </c>
      <c r="J404" s="8" t="str">
        <f t="shared" si="79"/>
        <v>Sonoma (d/s of Clov. Gage)</v>
      </c>
      <c r="K404" s="8" t="str">
        <f t="shared" si="80"/>
        <v>Post-1949</v>
      </c>
      <c r="L404" s="8">
        <f t="shared" si="81"/>
        <v>1989</v>
      </c>
      <c r="M404" s="8" t="str">
        <f t="shared" si="83"/>
        <v>1971-1990</v>
      </c>
      <c r="N404" s="10" t="s">
        <v>241</v>
      </c>
      <c r="O404" s="10" t="s">
        <v>241</v>
      </c>
      <c r="P404" s="10" t="s">
        <v>242</v>
      </c>
      <c r="Q404" s="10" t="s">
        <v>242</v>
      </c>
      <c r="R404" s="10" t="s">
        <v>241</v>
      </c>
      <c r="S404" s="10" t="s">
        <v>242</v>
      </c>
      <c r="T404" s="10" t="s">
        <v>242</v>
      </c>
      <c r="U404" s="10" t="s">
        <v>241</v>
      </c>
      <c r="V404" s="10" t="s">
        <v>241</v>
      </c>
      <c r="W404" s="10" t="s">
        <v>242</v>
      </c>
      <c r="X404" s="15">
        <f>IF(ISERROR(VLOOKUP($A404,'13. Updated Demand'!A:Z,15,FALSE)),0,VLOOKUP($A404,'13. Updated Demand'!A:Z,15,FALSE))</f>
        <v>0</v>
      </c>
      <c r="Y404" s="16">
        <f>IF(ISERROR(VLOOKUP($A404,'13. Updated Demand'!A:Z,16,FALSE)),0,VLOOKUP($A404,'13. Updated Demand'!A:Z,16,FALSE))</f>
        <v>0</v>
      </c>
      <c r="Z404" s="16">
        <f>IF(ISERROR(VLOOKUP($A404,'13. Updated Demand'!A:Z,17,FALSE)),0,VLOOKUP($A404,'13. Updated Demand'!A:Z,17,FALSE))</f>
        <v>0</v>
      </c>
      <c r="AA404" s="16">
        <f>IF(ISERROR(VLOOKUP($A404,'13. Updated Demand'!A:Z,18,FALSE)),0,VLOOKUP($A404,'13. Updated Demand'!A:Z,18,FALSE))</f>
        <v>0</v>
      </c>
      <c r="AB404" s="16">
        <f>IF(ISERROR(VLOOKUP($A404,'13. Updated Demand'!A:Z,19,FALSE)),0,VLOOKUP($A404,'13. Updated Demand'!A:Z,19,FALSE))</f>
        <v>0</v>
      </c>
      <c r="AC404" s="16">
        <f>IF(ISERROR(VLOOKUP($A404,'13. Updated Demand'!A:Z,20,FALSE)),0,VLOOKUP($A404,'13. Updated Demand'!A:Z,20,FALSE))</f>
        <v>0</v>
      </c>
      <c r="AD404" s="16">
        <f>IF(ISERROR(VLOOKUP($A404,'13. Updated Demand'!A:Z,21,FALSE)),0,VLOOKUP($A404,'13. Updated Demand'!A:Z,21,FALSE))</f>
        <v>0</v>
      </c>
      <c r="AE404" s="16">
        <f>IF(ISERROR(VLOOKUP($A404,'13. Updated Demand'!A:Z,22,FALSE)),0,VLOOKUP($A404,'13. Updated Demand'!A:Z,22,FALSE))</f>
        <v>0</v>
      </c>
      <c r="AF404" s="16">
        <f>IF(ISERROR(VLOOKUP($A404,'13. Updated Demand'!A:Z,23,FALSE)),0,VLOOKUP($A404,'13. Updated Demand'!A:Z,23,FALSE))</f>
        <v>0</v>
      </c>
      <c r="AG404" s="16">
        <f>IF(ISERROR(VLOOKUP($A404,'13. Updated Demand'!A:Z,24,FALSE)),0,VLOOKUP($A404,'13. Updated Demand'!A:Z,24,FALSE))</f>
        <v>0</v>
      </c>
      <c r="AH404" s="16">
        <f>IF(ISERROR(VLOOKUP($A404,'13. Updated Demand'!A:Z,25,FALSE)),0,VLOOKUP($A404,'13. Updated Demand'!A:Z,25,FALSE))</f>
        <v>0</v>
      </c>
      <c r="AI404" s="16">
        <f>IF(ISERROR(VLOOKUP($A404,'13. Updated Demand'!A:Z,26,FALSE)),0,VLOOKUP($A404,'13. Updated Demand'!A:Z,26,FALSE))</f>
        <v>0</v>
      </c>
      <c r="AJ404" s="16">
        <f t="shared" si="84"/>
        <v>0</v>
      </c>
      <c r="AK404" s="19">
        <v>0</v>
      </c>
      <c r="AL404" s="16">
        <f t="shared" si="82"/>
        <v>0</v>
      </c>
      <c r="AM404" s="17">
        <v>0</v>
      </c>
      <c r="AN404" s="19"/>
      <c r="AO404" s="19"/>
      <c r="AP404" s="19">
        <v>300</v>
      </c>
      <c r="AQ404" s="19" t="s">
        <v>307</v>
      </c>
      <c r="AR404" s="9" t="s">
        <v>354</v>
      </c>
      <c r="AS404" s="12">
        <v>0</v>
      </c>
      <c r="AT404" s="19">
        <v>38.765829320000002</v>
      </c>
      <c r="AU404" s="19">
        <v>-122.96937719</v>
      </c>
      <c r="AV404" s="19" t="s">
        <v>548</v>
      </c>
    </row>
    <row r="405" spans="1:48" x14ac:dyDescent="0.25">
      <c r="A405" s="18" t="s">
        <v>784</v>
      </c>
      <c r="B405" s="10">
        <v>19890324</v>
      </c>
      <c r="C405" s="9">
        <v>17</v>
      </c>
      <c r="D405" s="8" t="str">
        <f t="shared" si="73"/>
        <v>N</v>
      </c>
      <c r="E405" s="8" t="str">
        <f t="shared" si="74"/>
        <v>N</v>
      </c>
      <c r="F405" s="8" t="str">
        <f t="shared" si="75"/>
        <v>N</v>
      </c>
      <c r="G405" s="8" t="str">
        <f t="shared" si="76"/>
        <v>N</v>
      </c>
      <c r="H405" s="8" t="str">
        <f t="shared" si="77"/>
        <v>Lower</v>
      </c>
      <c r="I405" s="8" t="str">
        <f t="shared" si="78"/>
        <v>Outside</v>
      </c>
      <c r="J405" s="8" t="str">
        <f t="shared" si="79"/>
        <v>Outside</v>
      </c>
      <c r="K405" s="8" t="str">
        <f t="shared" si="80"/>
        <v>Post-1949</v>
      </c>
      <c r="L405" s="8">
        <f t="shared" si="81"/>
        <v>1989</v>
      </c>
      <c r="M405" s="8" t="str">
        <f t="shared" si="83"/>
        <v>1971-1990</v>
      </c>
      <c r="N405" s="10" t="s">
        <v>241</v>
      </c>
      <c r="O405" s="10" t="s">
        <v>242</v>
      </c>
      <c r="P405" s="10" t="s">
        <v>242</v>
      </c>
      <c r="Q405" s="10" t="s">
        <v>242</v>
      </c>
      <c r="R405" s="10" t="s">
        <v>241</v>
      </c>
      <c r="S405" s="10" t="s">
        <v>242</v>
      </c>
      <c r="T405" s="10" t="s">
        <v>242</v>
      </c>
      <c r="U405" s="10" t="s">
        <v>242</v>
      </c>
      <c r="V405" s="10" t="s">
        <v>242</v>
      </c>
      <c r="W405" s="10" t="s">
        <v>242</v>
      </c>
      <c r="X405" s="15">
        <f>IF(ISERROR(VLOOKUP($A405,'13. Updated Demand'!A:Z,15,FALSE)),0,VLOOKUP($A405,'13. Updated Demand'!A:Z,15,FALSE))</f>
        <v>1.5120000000000001E-3</v>
      </c>
      <c r="Y405" s="16">
        <f>IF(ISERROR(VLOOKUP($A405,'13. Updated Demand'!A:Z,16,FALSE)),0,VLOOKUP($A405,'13. Updated Demand'!A:Z,16,FALSE))</f>
        <v>1.5293329999999999E-3</v>
      </c>
      <c r="Z405" s="16">
        <f>IF(ISERROR(VLOOKUP($A405,'13. Updated Demand'!A:Z,17,FALSE)),0,VLOOKUP($A405,'13. Updated Demand'!A:Z,17,FALSE))</f>
        <v>2.8349999999999998E-3</v>
      </c>
      <c r="AA405" s="16">
        <f>IF(ISERROR(VLOOKUP($A405,'13. Updated Demand'!A:Z,18,FALSE)),0,VLOOKUP($A405,'13. Updated Demand'!A:Z,18,FALSE))</f>
        <v>4.45E-3</v>
      </c>
      <c r="AB405" s="16">
        <f>IF(ISERROR(VLOOKUP($A405,'13. Updated Demand'!A:Z,19,FALSE)),0,VLOOKUP($A405,'13. Updated Demand'!A:Z,19,FALSE))</f>
        <v>1.7385667E-2</v>
      </c>
      <c r="AC405" s="16">
        <f>IF(ISERROR(VLOOKUP($A405,'13. Updated Demand'!A:Z,20,FALSE)),0,VLOOKUP($A405,'13. Updated Demand'!A:Z,20,FALSE))</f>
        <v>0.148617</v>
      </c>
      <c r="AD405" s="16">
        <f>IF(ISERROR(VLOOKUP($A405,'13. Updated Demand'!A:Z,21,FALSE)),0,VLOOKUP($A405,'13. Updated Demand'!A:Z,21,FALSE))</f>
        <v>0.34325800000000001</v>
      </c>
      <c r="AE405" s="16">
        <f>IF(ISERROR(VLOOKUP($A405,'13. Updated Demand'!A:Z,22,FALSE)),0,VLOOKUP($A405,'13. Updated Demand'!A:Z,22,FALSE))</f>
        <v>0.43672899999999998</v>
      </c>
      <c r="AF405" s="16">
        <f>IF(ISERROR(VLOOKUP($A405,'13. Updated Demand'!A:Z,23,FALSE)),0,VLOOKUP($A405,'13. Updated Demand'!A:Z,23,FALSE))</f>
        <v>0.56955266699999996</v>
      </c>
      <c r="AG405" s="16">
        <f>IF(ISERROR(VLOOKUP($A405,'13. Updated Demand'!A:Z,24,FALSE)),0,VLOOKUP($A405,'13. Updated Demand'!A:Z,24,FALSE))</f>
        <v>8.7217332999999994E-2</v>
      </c>
      <c r="AH405" s="16">
        <f>IF(ISERROR(VLOOKUP($A405,'13. Updated Demand'!A:Z,25,FALSE)),0,VLOOKUP($A405,'13. Updated Demand'!A:Z,25,FALSE))</f>
        <v>6.738267E-3</v>
      </c>
      <c r="AI405" s="16">
        <f>IF(ISERROR(VLOOKUP($A405,'13. Updated Demand'!A:Z,26,FALSE)),0,VLOOKUP($A405,'13. Updated Demand'!A:Z,26,FALSE))</f>
        <v>4.2514670000000001E-3</v>
      </c>
      <c r="AJ405" s="16">
        <f t="shared" si="84"/>
        <v>1.6240757339999998</v>
      </c>
      <c r="AK405" s="19">
        <v>1.5155423333333338</v>
      </c>
      <c r="AL405" s="16">
        <f t="shared" si="82"/>
        <v>5.026881283171792E-3</v>
      </c>
      <c r="AM405" s="17">
        <v>8.120378666666668E-2</v>
      </c>
      <c r="AN405" s="19"/>
      <c r="AO405" s="19"/>
      <c r="AP405" s="19">
        <v>20</v>
      </c>
      <c r="AQ405" s="19" t="s">
        <v>307</v>
      </c>
      <c r="AR405" s="9" t="s">
        <v>486</v>
      </c>
      <c r="AS405" s="12">
        <v>0</v>
      </c>
      <c r="AT405" s="19">
        <v>38.541200000000003</v>
      </c>
      <c r="AU405" s="19">
        <v>-122.8605</v>
      </c>
      <c r="AV405" s="19" t="s">
        <v>548</v>
      </c>
    </row>
    <row r="406" spans="1:48" x14ac:dyDescent="0.25">
      <c r="A406" s="18" t="s">
        <v>785</v>
      </c>
      <c r="B406" s="10">
        <v>19890418</v>
      </c>
      <c r="C406" s="9">
        <v>11</v>
      </c>
      <c r="D406" s="8" t="str">
        <f t="shared" si="73"/>
        <v>N</v>
      </c>
      <c r="E406" s="8" t="str">
        <f t="shared" si="74"/>
        <v>Y</v>
      </c>
      <c r="F406" s="8" t="str">
        <f t="shared" si="75"/>
        <v>Y</v>
      </c>
      <c r="G406" s="8" t="str">
        <f t="shared" si="76"/>
        <v>Y</v>
      </c>
      <c r="H406" s="8" t="str">
        <f t="shared" si="77"/>
        <v>Upper</v>
      </c>
      <c r="I406" s="8" t="str">
        <f t="shared" si="78"/>
        <v>West Fork and Below Lake</v>
      </c>
      <c r="J406" s="8" t="str">
        <f t="shared" si="79"/>
        <v>Sonoma (d/s of Clov. Gage)</v>
      </c>
      <c r="K406" s="8" t="str">
        <f t="shared" si="80"/>
        <v>Post-1949</v>
      </c>
      <c r="L406" s="8">
        <f t="shared" si="81"/>
        <v>1989</v>
      </c>
      <c r="M406" s="8" t="str">
        <f t="shared" si="83"/>
        <v>1971-1990</v>
      </c>
      <c r="N406" s="10" t="s">
        <v>242</v>
      </c>
      <c r="O406" s="10" t="s">
        <v>241</v>
      </c>
      <c r="P406" s="10" t="s">
        <v>242</v>
      </c>
      <c r="Q406" s="10" t="s">
        <v>242</v>
      </c>
      <c r="R406" s="10" t="s">
        <v>241</v>
      </c>
      <c r="S406" s="10" t="s">
        <v>242</v>
      </c>
      <c r="T406" s="10" t="s">
        <v>242</v>
      </c>
      <c r="U406" s="10" t="s">
        <v>242</v>
      </c>
      <c r="V406" s="10" t="s">
        <v>241</v>
      </c>
      <c r="W406" s="10" t="s">
        <v>242</v>
      </c>
      <c r="X406" s="15">
        <f>IF(ISERROR(VLOOKUP($A406,'13. Updated Demand'!A:Z,15,FALSE)),0,VLOOKUP($A406,'13. Updated Demand'!A:Z,15,FALSE))</f>
        <v>0.21</v>
      </c>
      <c r="Y406" s="16">
        <f>IF(ISERROR(VLOOKUP($A406,'13. Updated Demand'!A:Z,16,FALSE)),0,VLOOKUP($A406,'13. Updated Demand'!A:Z,16,FALSE))</f>
        <v>0.21</v>
      </c>
      <c r="Z406" s="16">
        <f>IF(ISERROR(VLOOKUP($A406,'13. Updated Demand'!A:Z,17,FALSE)),0,VLOOKUP($A406,'13. Updated Demand'!A:Z,17,FALSE))</f>
        <v>0.21</v>
      </c>
      <c r="AA406" s="16">
        <f>IF(ISERROR(VLOOKUP($A406,'13. Updated Demand'!A:Z,18,FALSE)),0,VLOOKUP($A406,'13. Updated Demand'!A:Z,18,FALSE))</f>
        <v>0.21</v>
      </c>
      <c r="AB406" s="16">
        <f>IF(ISERROR(VLOOKUP($A406,'13. Updated Demand'!A:Z,19,FALSE)),0,VLOOKUP($A406,'13. Updated Demand'!A:Z,19,FALSE))</f>
        <v>0</v>
      </c>
      <c r="AC406" s="16">
        <f>IF(ISERROR(VLOOKUP($A406,'13. Updated Demand'!A:Z,20,FALSE)),0,VLOOKUP($A406,'13. Updated Demand'!A:Z,20,FALSE))</f>
        <v>0</v>
      </c>
      <c r="AD406" s="16">
        <f>IF(ISERROR(VLOOKUP($A406,'13. Updated Demand'!A:Z,21,FALSE)),0,VLOOKUP($A406,'13. Updated Demand'!A:Z,21,FALSE))</f>
        <v>0</v>
      </c>
      <c r="AE406" s="16">
        <f>IF(ISERROR(VLOOKUP($A406,'13. Updated Demand'!A:Z,22,FALSE)),0,VLOOKUP($A406,'13. Updated Demand'!A:Z,22,FALSE))</f>
        <v>0</v>
      </c>
      <c r="AF406" s="16">
        <f>IF(ISERROR(VLOOKUP($A406,'13. Updated Demand'!A:Z,23,FALSE)),0,VLOOKUP($A406,'13. Updated Demand'!A:Z,23,FALSE))</f>
        <v>0</v>
      </c>
      <c r="AG406" s="16">
        <f>IF(ISERROR(VLOOKUP($A406,'13. Updated Demand'!A:Z,24,FALSE)),0,VLOOKUP($A406,'13. Updated Demand'!A:Z,24,FALSE))</f>
        <v>0</v>
      </c>
      <c r="AH406" s="16">
        <f>IF(ISERROR(VLOOKUP($A406,'13. Updated Demand'!A:Z,25,FALSE)),0,VLOOKUP($A406,'13. Updated Demand'!A:Z,25,FALSE))</f>
        <v>0.21</v>
      </c>
      <c r="AI406" s="16">
        <f>IF(ISERROR(VLOOKUP($A406,'13. Updated Demand'!A:Z,26,FALSE)),0,VLOOKUP($A406,'13. Updated Demand'!A:Z,26,FALSE))</f>
        <v>0.21</v>
      </c>
      <c r="AJ406" s="16">
        <f t="shared" si="84"/>
        <v>1.26</v>
      </c>
      <c r="AK406" s="19">
        <v>0</v>
      </c>
      <c r="AL406" s="16">
        <f t="shared" si="82"/>
        <v>0</v>
      </c>
      <c r="AM406" s="17">
        <v>9.6923076923076917E-2</v>
      </c>
      <c r="AN406" s="19"/>
      <c r="AO406" s="19"/>
      <c r="AP406" s="19">
        <v>13</v>
      </c>
      <c r="AQ406" s="19" t="s">
        <v>307</v>
      </c>
      <c r="AR406" s="9" t="s">
        <v>308</v>
      </c>
      <c r="AS406" s="12">
        <v>0</v>
      </c>
      <c r="AT406" s="19">
        <v>38.654687490000001</v>
      </c>
      <c r="AU406" s="19">
        <v>-122.71445740999999</v>
      </c>
      <c r="AV406" s="19" t="s">
        <v>417</v>
      </c>
    </row>
    <row r="407" spans="1:48" x14ac:dyDescent="0.25">
      <c r="A407" s="18" t="s">
        <v>786</v>
      </c>
      <c r="B407" s="10">
        <v>19890403</v>
      </c>
      <c r="C407" s="9">
        <v>5</v>
      </c>
      <c r="D407" s="8" t="str">
        <f t="shared" si="73"/>
        <v>Y</v>
      </c>
      <c r="E407" s="8" t="str">
        <f t="shared" si="74"/>
        <v>N</v>
      </c>
      <c r="F407" s="8" t="str">
        <f t="shared" si="75"/>
        <v>Y</v>
      </c>
      <c r="G407" s="8" t="str">
        <f t="shared" si="76"/>
        <v>Y</v>
      </c>
      <c r="H407" s="8" t="str">
        <f t="shared" si="77"/>
        <v>Upper</v>
      </c>
      <c r="I407" s="8" t="str">
        <f t="shared" si="78"/>
        <v>West Fork and Below Lake</v>
      </c>
      <c r="J407" s="8" t="str">
        <f t="shared" si="79"/>
        <v>Mendocino (d/s of lake)</v>
      </c>
      <c r="K407" s="8" t="str">
        <f t="shared" si="80"/>
        <v>Post-1949</v>
      </c>
      <c r="L407" s="8">
        <f t="shared" si="81"/>
        <v>1989</v>
      </c>
      <c r="M407" s="8" t="str">
        <f t="shared" si="83"/>
        <v>1971-1990</v>
      </c>
      <c r="N407" s="10" t="s">
        <v>242</v>
      </c>
      <c r="O407" s="10" t="s">
        <v>241</v>
      </c>
      <c r="P407" s="10" t="s">
        <v>242</v>
      </c>
      <c r="Q407" s="10" t="s">
        <v>242</v>
      </c>
      <c r="R407" s="10" t="s">
        <v>241</v>
      </c>
      <c r="S407" s="10" t="s">
        <v>242</v>
      </c>
      <c r="T407" s="10" t="s">
        <v>242</v>
      </c>
      <c r="U407" s="10" t="s">
        <v>242</v>
      </c>
      <c r="V407" s="10" t="s">
        <v>241</v>
      </c>
      <c r="W407" s="10" t="s">
        <v>242</v>
      </c>
      <c r="X407" s="15">
        <f>IF(ISERROR(VLOOKUP($A407,'13. Updated Demand'!A:Z,15,FALSE)),0,VLOOKUP($A407,'13. Updated Demand'!A:Z,15,FALSE))</f>
        <v>3.1</v>
      </c>
      <c r="Y407" s="16">
        <f>IF(ISERROR(VLOOKUP($A407,'13. Updated Demand'!A:Z,16,FALSE)),0,VLOOKUP($A407,'13. Updated Demand'!A:Z,16,FALSE))</f>
        <v>0</v>
      </c>
      <c r="Z407" s="16">
        <f>IF(ISERROR(VLOOKUP($A407,'13. Updated Demand'!A:Z,17,FALSE)),0,VLOOKUP($A407,'13. Updated Demand'!A:Z,17,FALSE))</f>
        <v>0</v>
      </c>
      <c r="AA407" s="16">
        <f>IF(ISERROR(VLOOKUP($A407,'13. Updated Demand'!A:Z,18,FALSE)),0,VLOOKUP($A407,'13. Updated Demand'!A:Z,18,FALSE))</f>
        <v>0</v>
      </c>
      <c r="AB407" s="16">
        <f>IF(ISERROR(VLOOKUP($A407,'13. Updated Demand'!A:Z,19,FALSE)),0,VLOOKUP($A407,'13. Updated Demand'!A:Z,19,FALSE))</f>
        <v>0</v>
      </c>
      <c r="AC407" s="16">
        <f>IF(ISERROR(VLOOKUP($A407,'13. Updated Demand'!A:Z,20,FALSE)),0,VLOOKUP($A407,'13. Updated Demand'!A:Z,20,FALSE))</f>
        <v>0</v>
      </c>
      <c r="AD407" s="16">
        <f>IF(ISERROR(VLOOKUP($A407,'13. Updated Demand'!A:Z,21,FALSE)),0,VLOOKUP($A407,'13. Updated Demand'!A:Z,21,FALSE))</f>
        <v>0</v>
      </c>
      <c r="AE407" s="16">
        <f>IF(ISERROR(VLOOKUP($A407,'13. Updated Demand'!A:Z,22,FALSE)),0,VLOOKUP($A407,'13. Updated Demand'!A:Z,22,FALSE))</f>
        <v>0</v>
      </c>
      <c r="AF407" s="16">
        <f>IF(ISERROR(VLOOKUP($A407,'13. Updated Demand'!A:Z,23,FALSE)),0,VLOOKUP($A407,'13. Updated Demand'!A:Z,23,FALSE))</f>
        <v>0</v>
      </c>
      <c r="AG407" s="16">
        <f>IF(ISERROR(VLOOKUP($A407,'13. Updated Demand'!A:Z,24,FALSE)),0,VLOOKUP($A407,'13. Updated Demand'!A:Z,24,FALSE))</f>
        <v>0</v>
      </c>
      <c r="AH407" s="16">
        <f>IF(ISERROR(VLOOKUP($A407,'13. Updated Demand'!A:Z,25,FALSE)),0,VLOOKUP($A407,'13. Updated Demand'!A:Z,25,FALSE))</f>
        <v>0</v>
      </c>
      <c r="AI407" s="16">
        <f>IF(ISERROR(VLOOKUP($A407,'13. Updated Demand'!A:Z,26,FALSE)),0,VLOOKUP($A407,'13. Updated Demand'!A:Z,26,FALSE))</f>
        <v>0</v>
      </c>
      <c r="AJ407" s="16">
        <f t="shared" si="84"/>
        <v>3.1</v>
      </c>
      <c r="AK407" s="19">
        <v>0</v>
      </c>
      <c r="AL407" s="16">
        <f t="shared" si="82"/>
        <v>0</v>
      </c>
      <c r="AM407" s="17">
        <v>1</v>
      </c>
      <c r="AN407" s="19"/>
      <c r="AO407" s="19"/>
      <c r="AP407" s="19">
        <v>3.1</v>
      </c>
      <c r="AQ407" s="19" t="s">
        <v>307</v>
      </c>
      <c r="AR407" s="9" t="s">
        <v>333</v>
      </c>
      <c r="AS407" s="12">
        <v>0</v>
      </c>
      <c r="AT407" s="19">
        <v>39.127099999999999</v>
      </c>
      <c r="AU407" s="19">
        <v>-123.1508</v>
      </c>
      <c r="AV407" s="19" t="s">
        <v>417</v>
      </c>
    </row>
    <row r="408" spans="1:48" x14ac:dyDescent="0.25">
      <c r="A408" s="18" t="s">
        <v>787</v>
      </c>
      <c r="B408" s="10">
        <v>19890428</v>
      </c>
      <c r="C408" s="9">
        <v>1</v>
      </c>
      <c r="D408" s="8" t="str">
        <f t="shared" si="73"/>
        <v>N</v>
      </c>
      <c r="E408" s="8" t="str">
        <f t="shared" si="74"/>
        <v>N</v>
      </c>
      <c r="F408" s="8" t="str">
        <f t="shared" si="75"/>
        <v>Y</v>
      </c>
      <c r="G408" s="8" t="str">
        <f t="shared" si="76"/>
        <v>Y</v>
      </c>
      <c r="H408" s="8" t="str">
        <f t="shared" si="77"/>
        <v>Upper</v>
      </c>
      <c r="I408" s="8" t="str">
        <f t="shared" si="78"/>
        <v>West Fork and Below Lake</v>
      </c>
      <c r="J408" s="8" t="str">
        <f t="shared" si="79"/>
        <v>Outside</v>
      </c>
      <c r="K408" s="8" t="str">
        <f t="shared" si="80"/>
        <v>Post-1949</v>
      </c>
      <c r="L408" s="8">
        <f t="shared" si="81"/>
        <v>1989</v>
      </c>
      <c r="M408" s="8" t="str">
        <f t="shared" si="83"/>
        <v>1971-1990</v>
      </c>
      <c r="N408" s="10" t="s">
        <v>242</v>
      </c>
      <c r="O408" s="10" t="s">
        <v>241</v>
      </c>
      <c r="P408" s="10" t="s">
        <v>242</v>
      </c>
      <c r="Q408" s="10" t="s">
        <v>242</v>
      </c>
      <c r="R408" s="10" t="s">
        <v>241</v>
      </c>
      <c r="S408" s="10" t="s">
        <v>242</v>
      </c>
      <c r="T408" s="10" t="s">
        <v>242</v>
      </c>
      <c r="U408" s="10" t="s">
        <v>242</v>
      </c>
      <c r="V408" s="10" t="s">
        <v>241</v>
      </c>
      <c r="W408" s="10" t="s">
        <v>242</v>
      </c>
      <c r="X408" s="15">
        <f>IF(ISERROR(VLOOKUP($A408,'13. Updated Demand'!A:Z,15,FALSE)),0,VLOOKUP($A408,'13. Updated Demand'!A:Z,15,FALSE))</f>
        <v>2.2999999999999998</v>
      </c>
      <c r="Y408" s="16">
        <f>IF(ISERROR(VLOOKUP($A408,'13. Updated Demand'!A:Z,16,FALSE)),0,VLOOKUP($A408,'13. Updated Demand'!A:Z,16,FALSE))</f>
        <v>3.77</v>
      </c>
      <c r="Z408" s="16">
        <f>IF(ISERROR(VLOOKUP($A408,'13. Updated Demand'!A:Z,17,FALSE)),0,VLOOKUP($A408,'13. Updated Demand'!A:Z,17,FALSE))</f>
        <v>0</v>
      </c>
      <c r="AA408" s="16">
        <f>IF(ISERROR(VLOOKUP($A408,'13. Updated Demand'!A:Z,18,FALSE)),0,VLOOKUP($A408,'13. Updated Demand'!A:Z,18,FALSE))</f>
        <v>0.7</v>
      </c>
      <c r="AB408" s="16">
        <f>IF(ISERROR(VLOOKUP($A408,'13. Updated Demand'!A:Z,19,FALSE)),0,VLOOKUP($A408,'13. Updated Demand'!A:Z,19,FALSE))</f>
        <v>0</v>
      </c>
      <c r="AC408" s="16">
        <f>IF(ISERROR(VLOOKUP($A408,'13. Updated Demand'!A:Z,20,FALSE)),0,VLOOKUP($A408,'13. Updated Demand'!A:Z,20,FALSE))</f>
        <v>0</v>
      </c>
      <c r="AD408" s="16">
        <f>IF(ISERROR(VLOOKUP($A408,'13. Updated Demand'!A:Z,21,FALSE)),0,VLOOKUP($A408,'13. Updated Demand'!A:Z,21,FALSE))</f>
        <v>0</v>
      </c>
      <c r="AE408" s="16">
        <f>IF(ISERROR(VLOOKUP($A408,'13. Updated Demand'!A:Z,22,FALSE)),0,VLOOKUP($A408,'13. Updated Demand'!A:Z,22,FALSE))</f>
        <v>0</v>
      </c>
      <c r="AF408" s="16">
        <f>IF(ISERROR(VLOOKUP($A408,'13. Updated Demand'!A:Z,23,FALSE)),0,VLOOKUP($A408,'13. Updated Demand'!A:Z,23,FALSE))</f>
        <v>0</v>
      </c>
      <c r="AG408" s="16">
        <f>IF(ISERROR(VLOOKUP($A408,'13. Updated Demand'!A:Z,24,FALSE)),0,VLOOKUP($A408,'13. Updated Demand'!A:Z,24,FALSE))</f>
        <v>0</v>
      </c>
      <c r="AH408" s="16">
        <f>IF(ISERROR(VLOOKUP($A408,'13. Updated Demand'!A:Z,25,FALSE)),0,VLOOKUP($A408,'13. Updated Demand'!A:Z,25,FALSE))</f>
        <v>0</v>
      </c>
      <c r="AI408" s="16">
        <f>IF(ISERROR(VLOOKUP($A408,'13. Updated Demand'!A:Z,26,FALSE)),0,VLOOKUP($A408,'13. Updated Demand'!A:Z,26,FALSE))</f>
        <v>0</v>
      </c>
      <c r="AJ408" s="16">
        <f t="shared" si="84"/>
        <v>6.7700000000000005</v>
      </c>
      <c r="AK408" s="19">
        <v>0</v>
      </c>
      <c r="AL408" s="16">
        <f t="shared" si="82"/>
        <v>0</v>
      </c>
      <c r="AM408" s="17">
        <v>0.9292237443835617</v>
      </c>
      <c r="AN408" s="19"/>
      <c r="AO408" s="19"/>
      <c r="AP408" s="19">
        <v>7.3</v>
      </c>
      <c r="AQ408" s="19" t="s">
        <v>307</v>
      </c>
      <c r="AR408" s="9" t="s">
        <v>317</v>
      </c>
      <c r="AS408" s="12">
        <v>0</v>
      </c>
      <c r="AT408" s="19">
        <v>39.282800000000002</v>
      </c>
      <c r="AU408" s="19">
        <v>-123.2227</v>
      </c>
      <c r="AV408" s="19" t="s">
        <v>417</v>
      </c>
    </row>
    <row r="409" spans="1:48" x14ac:dyDescent="0.25">
      <c r="A409" s="18" t="s">
        <v>788</v>
      </c>
      <c r="B409" s="10">
        <v>19890614</v>
      </c>
      <c r="C409" s="9">
        <v>18</v>
      </c>
      <c r="D409" s="8" t="str">
        <f t="shared" si="73"/>
        <v>N</v>
      </c>
      <c r="E409" s="8" t="str">
        <f t="shared" si="74"/>
        <v>N</v>
      </c>
      <c r="F409" s="8" t="str">
        <f t="shared" si="75"/>
        <v>N</v>
      </c>
      <c r="G409" s="8" t="str">
        <f t="shared" si="76"/>
        <v>N</v>
      </c>
      <c r="H409" s="8" t="str">
        <f t="shared" si="77"/>
        <v>Lower</v>
      </c>
      <c r="I409" s="8" t="str">
        <f t="shared" si="78"/>
        <v>Outside</v>
      </c>
      <c r="J409" s="8" t="str">
        <f t="shared" si="79"/>
        <v>Outside</v>
      </c>
      <c r="K409" s="8" t="str">
        <f t="shared" si="80"/>
        <v>Post-1949</v>
      </c>
      <c r="L409" s="8">
        <f t="shared" si="81"/>
        <v>1989</v>
      </c>
      <c r="M409" s="8" t="str">
        <f t="shared" si="83"/>
        <v>1971-1990</v>
      </c>
      <c r="N409" s="10" t="s">
        <v>242</v>
      </c>
      <c r="O409" s="10" t="s">
        <v>242</v>
      </c>
      <c r="P409" s="10" t="s">
        <v>242</v>
      </c>
      <c r="Q409" s="10" t="s">
        <v>242</v>
      </c>
      <c r="R409" s="10" t="s">
        <v>241</v>
      </c>
      <c r="S409" s="10" t="s">
        <v>242</v>
      </c>
      <c r="T409" s="10" t="s">
        <v>242</v>
      </c>
      <c r="U409" s="10" t="s">
        <v>242</v>
      </c>
      <c r="V409" s="10" t="s">
        <v>241</v>
      </c>
      <c r="W409" s="10" t="s">
        <v>242</v>
      </c>
      <c r="X409" s="15">
        <f>IF(ISERROR(VLOOKUP($A409,'13. Updated Demand'!A:Z,15,FALSE)),0,VLOOKUP($A409,'13. Updated Demand'!A:Z,15,FALSE))</f>
        <v>1</v>
      </c>
      <c r="Y409" s="16">
        <f>IF(ISERROR(VLOOKUP($A409,'13. Updated Demand'!A:Z,16,FALSE)),0,VLOOKUP($A409,'13. Updated Demand'!A:Z,16,FALSE))</f>
        <v>1</v>
      </c>
      <c r="Z409" s="16">
        <f>IF(ISERROR(VLOOKUP($A409,'13. Updated Demand'!A:Z,17,FALSE)),0,VLOOKUP($A409,'13. Updated Demand'!A:Z,17,FALSE))</f>
        <v>0</v>
      </c>
      <c r="AA409" s="16">
        <f>IF(ISERROR(VLOOKUP($A409,'13. Updated Demand'!A:Z,18,FALSE)),0,VLOOKUP($A409,'13. Updated Demand'!A:Z,18,FALSE))</f>
        <v>0</v>
      </c>
      <c r="AB409" s="16">
        <f>IF(ISERROR(VLOOKUP($A409,'13. Updated Demand'!A:Z,19,FALSE)),0,VLOOKUP($A409,'13. Updated Demand'!A:Z,19,FALSE))</f>
        <v>0</v>
      </c>
      <c r="AC409" s="16">
        <f>IF(ISERROR(VLOOKUP($A409,'13. Updated Demand'!A:Z,20,FALSE)),0,VLOOKUP($A409,'13. Updated Demand'!A:Z,20,FALSE))</f>
        <v>0</v>
      </c>
      <c r="AD409" s="16">
        <f>IF(ISERROR(VLOOKUP($A409,'13. Updated Demand'!A:Z,21,FALSE)),0,VLOOKUP($A409,'13. Updated Demand'!A:Z,21,FALSE))</f>
        <v>0</v>
      </c>
      <c r="AE409" s="16">
        <f>IF(ISERROR(VLOOKUP($A409,'13. Updated Demand'!A:Z,22,FALSE)),0,VLOOKUP($A409,'13. Updated Demand'!A:Z,22,FALSE))</f>
        <v>0</v>
      </c>
      <c r="AF409" s="16">
        <f>IF(ISERROR(VLOOKUP($A409,'13. Updated Demand'!A:Z,23,FALSE)),0,VLOOKUP($A409,'13. Updated Demand'!A:Z,23,FALSE))</f>
        <v>0</v>
      </c>
      <c r="AG409" s="16">
        <f>IF(ISERROR(VLOOKUP($A409,'13. Updated Demand'!A:Z,24,FALSE)),0,VLOOKUP($A409,'13. Updated Demand'!A:Z,24,FALSE))</f>
        <v>0</v>
      </c>
      <c r="AH409" s="16">
        <f>IF(ISERROR(VLOOKUP($A409,'13. Updated Demand'!A:Z,25,FALSE)),0,VLOOKUP($A409,'13. Updated Demand'!A:Z,25,FALSE))</f>
        <v>0.5</v>
      </c>
      <c r="AI409" s="16">
        <f>IF(ISERROR(VLOOKUP($A409,'13. Updated Demand'!A:Z,26,FALSE)),0,VLOOKUP($A409,'13. Updated Demand'!A:Z,26,FALSE))</f>
        <v>0.5</v>
      </c>
      <c r="AJ409" s="16">
        <f t="shared" si="84"/>
        <v>3</v>
      </c>
      <c r="AK409" s="19">
        <v>0</v>
      </c>
      <c r="AL409" s="16">
        <f t="shared" si="82"/>
        <v>0</v>
      </c>
      <c r="AM409" s="17">
        <v>0.16666666666666666</v>
      </c>
      <c r="AN409" s="19"/>
      <c r="AO409" s="19"/>
      <c r="AP409" s="19">
        <v>18</v>
      </c>
      <c r="AQ409" s="19" t="s">
        <v>307</v>
      </c>
      <c r="AR409" s="9" t="s">
        <v>352</v>
      </c>
      <c r="AS409" s="12">
        <v>0</v>
      </c>
      <c r="AT409" s="19">
        <v>38.416104830000002</v>
      </c>
      <c r="AU409" s="19">
        <v>-122.88549571999999</v>
      </c>
      <c r="AV409" s="19" t="s">
        <v>417</v>
      </c>
    </row>
    <row r="410" spans="1:48" x14ac:dyDescent="0.25">
      <c r="A410" s="18" t="s">
        <v>789</v>
      </c>
      <c r="B410" s="10">
        <v>19890322</v>
      </c>
      <c r="C410" s="9">
        <v>5</v>
      </c>
      <c r="D410" s="8" t="str">
        <f t="shared" si="73"/>
        <v>Y</v>
      </c>
      <c r="E410" s="8" t="str">
        <f t="shared" si="74"/>
        <v>N</v>
      </c>
      <c r="F410" s="8" t="str">
        <f t="shared" si="75"/>
        <v>Y</v>
      </c>
      <c r="G410" s="8" t="str">
        <f t="shared" si="76"/>
        <v>Y</v>
      </c>
      <c r="H410" s="8" t="str">
        <f t="shared" si="77"/>
        <v>Upper</v>
      </c>
      <c r="I410" s="8" t="str">
        <f t="shared" si="78"/>
        <v>West Fork and Below Lake</v>
      </c>
      <c r="J410" s="8" t="str">
        <f t="shared" si="79"/>
        <v>Mendocino (d/s of lake)</v>
      </c>
      <c r="K410" s="8" t="str">
        <f t="shared" si="80"/>
        <v>Post-1949</v>
      </c>
      <c r="L410" s="8">
        <f t="shared" si="81"/>
        <v>1989</v>
      </c>
      <c r="M410" s="8" t="str">
        <f t="shared" si="83"/>
        <v>1971-1990</v>
      </c>
      <c r="N410" s="10" t="s">
        <v>242</v>
      </c>
      <c r="O410" s="10" t="s">
        <v>241</v>
      </c>
      <c r="P410" s="10" t="s">
        <v>242</v>
      </c>
      <c r="Q410" s="10" t="s">
        <v>242</v>
      </c>
      <c r="R410" s="10" t="s">
        <v>241</v>
      </c>
      <c r="S410" s="10" t="s">
        <v>242</v>
      </c>
      <c r="T410" s="10" t="s">
        <v>242</v>
      </c>
      <c r="U410" s="10" t="s">
        <v>242</v>
      </c>
      <c r="V410" s="10" t="s">
        <v>241</v>
      </c>
      <c r="W410" s="10" t="s">
        <v>242</v>
      </c>
      <c r="X410" s="15">
        <f>IF(ISERROR(VLOOKUP($A410,'13. Updated Demand'!A:Z,15,FALSE)),0,VLOOKUP($A410,'13. Updated Demand'!A:Z,15,FALSE))</f>
        <v>3.24</v>
      </c>
      <c r="Y410" s="16">
        <f>IF(ISERROR(VLOOKUP($A410,'13. Updated Demand'!A:Z,16,FALSE)),0,VLOOKUP($A410,'13. Updated Demand'!A:Z,16,FALSE))</f>
        <v>0</v>
      </c>
      <c r="Z410" s="16">
        <f>IF(ISERROR(VLOOKUP($A410,'13. Updated Demand'!A:Z,17,FALSE)),0,VLOOKUP($A410,'13. Updated Demand'!A:Z,17,FALSE))</f>
        <v>3.15</v>
      </c>
      <c r="AA410" s="16">
        <f>IF(ISERROR(VLOOKUP($A410,'13. Updated Demand'!A:Z,18,FALSE)),0,VLOOKUP($A410,'13. Updated Demand'!A:Z,18,FALSE))</f>
        <v>0</v>
      </c>
      <c r="AB410" s="16">
        <f>IF(ISERROR(VLOOKUP($A410,'13. Updated Demand'!A:Z,19,FALSE)),0,VLOOKUP($A410,'13. Updated Demand'!A:Z,19,FALSE))</f>
        <v>0</v>
      </c>
      <c r="AC410" s="16">
        <f>IF(ISERROR(VLOOKUP($A410,'13. Updated Demand'!A:Z,20,FALSE)),0,VLOOKUP($A410,'13. Updated Demand'!A:Z,20,FALSE))</f>
        <v>0</v>
      </c>
      <c r="AD410" s="16">
        <f>IF(ISERROR(VLOOKUP($A410,'13. Updated Demand'!A:Z,21,FALSE)),0,VLOOKUP($A410,'13. Updated Demand'!A:Z,21,FALSE))</f>
        <v>0</v>
      </c>
      <c r="AE410" s="16">
        <f>IF(ISERROR(VLOOKUP($A410,'13. Updated Demand'!A:Z,22,FALSE)),0,VLOOKUP($A410,'13. Updated Demand'!A:Z,22,FALSE))</f>
        <v>0</v>
      </c>
      <c r="AF410" s="16">
        <f>IF(ISERROR(VLOOKUP($A410,'13. Updated Demand'!A:Z,23,FALSE)),0,VLOOKUP($A410,'13. Updated Demand'!A:Z,23,FALSE))</f>
        <v>0</v>
      </c>
      <c r="AG410" s="16">
        <f>IF(ISERROR(VLOOKUP($A410,'13. Updated Demand'!A:Z,24,FALSE)),0,VLOOKUP($A410,'13. Updated Demand'!A:Z,24,FALSE))</f>
        <v>0</v>
      </c>
      <c r="AH410" s="16">
        <f>IF(ISERROR(VLOOKUP($A410,'13. Updated Demand'!A:Z,25,FALSE)),0,VLOOKUP($A410,'13. Updated Demand'!A:Z,25,FALSE))</f>
        <v>0</v>
      </c>
      <c r="AI410" s="16">
        <f>IF(ISERROR(VLOOKUP($A410,'13. Updated Demand'!A:Z,26,FALSE)),0,VLOOKUP($A410,'13. Updated Demand'!A:Z,26,FALSE))</f>
        <v>0</v>
      </c>
      <c r="AJ410" s="16">
        <f t="shared" si="84"/>
        <v>6.3900000000000006</v>
      </c>
      <c r="AK410" s="19">
        <v>0</v>
      </c>
      <c r="AL410" s="16">
        <f t="shared" si="82"/>
        <v>0</v>
      </c>
      <c r="AM410" s="17">
        <v>0.1937373737272727</v>
      </c>
      <c r="AN410" s="19"/>
      <c r="AO410" s="19"/>
      <c r="AP410" s="19">
        <v>33</v>
      </c>
      <c r="AQ410" s="19" t="s">
        <v>307</v>
      </c>
      <c r="AR410" s="9" t="s">
        <v>333</v>
      </c>
      <c r="AS410" s="12">
        <v>0</v>
      </c>
      <c r="AT410" s="19">
        <v>39.099289089999999</v>
      </c>
      <c r="AU410" s="19">
        <v>-123.19498335999999</v>
      </c>
      <c r="AV410" s="19" t="s">
        <v>417</v>
      </c>
    </row>
    <row r="411" spans="1:48" x14ac:dyDescent="0.25">
      <c r="A411" s="18" t="s">
        <v>790</v>
      </c>
      <c r="B411" s="10">
        <v>19890627</v>
      </c>
      <c r="C411" s="9">
        <v>23</v>
      </c>
      <c r="D411" s="8" t="str">
        <f t="shared" si="73"/>
        <v>N</v>
      </c>
      <c r="E411" s="8" t="str">
        <f t="shared" si="74"/>
        <v>N</v>
      </c>
      <c r="F411" s="8" t="str">
        <f t="shared" si="75"/>
        <v>N</v>
      </c>
      <c r="G411" s="8" t="str">
        <f t="shared" si="76"/>
        <v>N</v>
      </c>
      <c r="H411" s="8" t="str">
        <f t="shared" si="77"/>
        <v>Lower</v>
      </c>
      <c r="I411" s="8" t="str">
        <f t="shared" si="78"/>
        <v>Outside</v>
      </c>
      <c r="J411" s="8" t="str">
        <f t="shared" si="79"/>
        <v>Outside</v>
      </c>
      <c r="K411" s="8" t="str">
        <f t="shared" si="80"/>
        <v>Post-1949</v>
      </c>
      <c r="L411" s="8">
        <f t="shared" si="81"/>
        <v>1989</v>
      </c>
      <c r="M411" s="8" t="str">
        <f t="shared" si="83"/>
        <v>1971-1990</v>
      </c>
      <c r="N411" s="10" t="s">
        <v>242</v>
      </c>
      <c r="O411" s="10" t="s">
        <v>242</v>
      </c>
      <c r="P411" s="10" t="s">
        <v>242</v>
      </c>
      <c r="Q411" s="10" t="s">
        <v>242</v>
      </c>
      <c r="R411" s="10" t="s">
        <v>241</v>
      </c>
      <c r="S411" s="10" t="s">
        <v>242</v>
      </c>
      <c r="T411" s="10" t="s">
        <v>242</v>
      </c>
      <c r="U411" s="10" t="s">
        <v>242</v>
      </c>
      <c r="V411" s="10" t="s">
        <v>241</v>
      </c>
      <c r="W411" s="10" t="s">
        <v>242</v>
      </c>
      <c r="X411" s="15">
        <f>IF(ISERROR(VLOOKUP($A411,'13. Updated Demand'!A:Z,15,FALSE)),0,VLOOKUP($A411,'13. Updated Demand'!A:Z,15,FALSE))</f>
        <v>5.25</v>
      </c>
      <c r="Y411" s="16">
        <f>IF(ISERROR(VLOOKUP($A411,'13. Updated Demand'!A:Z,16,FALSE)),0,VLOOKUP($A411,'13. Updated Demand'!A:Z,16,FALSE))</f>
        <v>1.45</v>
      </c>
      <c r="Z411" s="16">
        <f>IF(ISERROR(VLOOKUP($A411,'13. Updated Demand'!A:Z,17,FALSE)),0,VLOOKUP($A411,'13. Updated Demand'!A:Z,17,FALSE))</f>
        <v>0.25</v>
      </c>
      <c r="AA411" s="16">
        <f>IF(ISERROR(VLOOKUP($A411,'13. Updated Demand'!A:Z,18,FALSE)),0,VLOOKUP($A411,'13. Updated Demand'!A:Z,18,FALSE))</f>
        <v>0</v>
      </c>
      <c r="AB411" s="16">
        <f>IF(ISERROR(VLOOKUP($A411,'13. Updated Demand'!A:Z,19,FALSE)),0,VLOOKUP($A411,'13. Updated Demand'!A:Z,19,FALSE))</f>
        <v>0</v>
      </c>
      <c r="AC411" s="16">
        <f>IF(ISERROR(VLOOKUP($A411,'13. Updated Demand'!A:Z,20,FALSE)),0,VLOOKUP($A411,'13. Updated Demand'!A:Z,20,FALSE))</f>
        <v>0</v>
      </c>
      <c r="AD411" s="16">
        <f>IF(ISERROR(VLOOKUP($A411,'13. Updated Demand'!A:Z,21,FALSE)),0,VLOOKUP($A411,'13. Updated Demand'!A:Z,21,FALSE))</f>
        <v>0</v>
      </c>
      <c r="AE411" s="16">
        <f>IF(ISERROR(VLOOKUP($A411,'13. Updated Demand'!A:Z,22,FALSE)),0,VLOOKUP($A411,'13. Updated Demand'!A:Z,22,FALSE))</f>
        <v>0</v>
      </c>
      <c r="AF411" s="16">
        <f>IF(ISERROR(VLOOKUP($A411,'13. Updated Demand'!A:Z,23,FALSE)),0,VLOOKUP($A411,'13. Updated Demand'!A:Z,23,FALSE))</f>
        <v>0</v>
      </c>
      <c r="AG411" s="16">
        <f>IF(ISERROR(VLOOKUP($A411,'13. Updated Demand'!A:Z,24,FALSE)),0,VLOOKUP($A411,'13. Updated Demand'!A:Z,24,FALSE))</f>
        <v>0</v>
      </c>
      <c r="AH411" s="16">
        <f>IF(ISERROR(VLOOKUP($A411,'13. Updated Demand'!A:Z,25,FALSE)),0,VLOOKUP($A411,'13. Updated Demand'!A:Z,25,FALSE))</f>
        <v>0.16666666699999999</v>
      </c>
      <c r="AI411" s="16">
        <f>IF(ISERROR(VLOOKUP($A411,'13. Updated Demand'!A:Z,26,FALSE)),0,VLOOKUP($A411,'13. Updated Demand'!A:Z,26,FALSE))</f>
        <v>2.9166666669999999</v>
      </c>
      <c r="AJ411" s="16">
        <f t="shared" si="84"/>
        <v>10.033333334</v>
      </c>
      <c r="AK411" s="19">
        <v>0</v>
      </c>
      <c r="AL411" s="16">
        <f t="shared" si="82"/>
        <v>0</v>
      </c>
      <c r="AM411" s="17">
        <v>0.7166666666666669</v>
      </c>
      <c r="AN411" s="19"/>
      <c r="AO411" s="19"/>
      <c r="AP411" s="19">
        <v>14</v>
      </c>
      <c r="AQ411" s="19" t="s">
        <v>307</v>
      </c>
      <c r="AR411" s="9" t="s">
        <v>378</v>
      </c>
      <c r="AS411" s="12">
        <v>0</v>
      </c>
      <c r="AT411" s="19">
        <v>38.397599999999997</v>
      </c>
      <c r="AU411" s="19">
        <v>-122.6409</v>
      </c>
      <c r="AV411" s="19" t="s">
        <v>417</v>
      </c>
    </row>
    <row r="412" spans="1:48" x14ac:dyDescent="0.25">
      <c r="A412" s="18" t="s">
        <v>791</v>
      </c>
      <c r="B412" s="10">
        <v>19890706</v>
      </c>
      <c r="C412" s="9">
        <v>12</v>
      </c>
      <c r="D412" s="8" t="str">
        <f t="shared" si="73"/>
        <v>N</v>
      </c>
      <c r="E412" s="8" t="str">
        <f t="shared" si="74"/>
        <v>Y</v>
      </c>
      <c r="F412" s="8" t="str">
        <f t="shared" si="75"/>
        <v>Y</v>
      </c>
      <c r="G412" s="8" t="str">
        <f t="shared" si="76"/>
        <v>Y</v>
      </c>
      <c r="H412" s="8" t="str">
        <f t="shared" si="77"/>
        <v>Upper</v>
      </c>
      <c r="I412" s="8" t="str">
        <f t="shared" si="78"/>
        <v>West Fork and Below Lake</v>
      </c>
      <c r="J412" s="8" t="str">
        <f t="shared" si="79"/>
        <v>Sonoma (d/s of Clov. Gage)</v>
      </c>
      <c r="K412" s="8" t="str">
        <f t="shared" si="80"/>
        <v>Post-1949</v>
      </c>
      <c r="L412" s="8">
        <f t="shared" si="81"/>
        <v>1989</v>
      </c>
      <c r="M412" s="8" t="str">
        <f t="shared" si="83"/>
        <v>1971-1990</v>
      </c>
      <c r="N412" s="10" t="s">
        <v>241</v>
      </c>
      <c r="O412" s="10" t="s">
        <v>241</v>
      </c>
      <c r="P412" s="10" t="s">
        <v>242</v>
      </c>
      <c r="Q412" s="10" t="s">
        <v>242</v>
      </c>
      <c r="R412" s="10" t="s">
        <v>241</v>
      </c>
      <c r="S412" s="10" t="s">
        <v>242</v>
      </c>
      <c r="T412" s="10" t="s">
        <v>242</v>
      </c>
      <c r="U412" s="10" t="s">
        <v>241</v>
      </c>
      <c r="V412" s="10" t="s">
        <v>241</v>
      </c>
      <c r="W412" s="10" t="s">
        <v>242</v>
      </c>
      <c r="X412" s="15">
        <f>IF(ISERROR(VLOOKUP($A412,'13. Updated Demand'!A:Z,15,FALSE)),0,VLOOKUP($A412,'13. Updated Demand'!A:Z,15,FALSE))</f>
        <v>0</v>
      </c>
      <c r="Y412" s="16">
        <f>IF(ISERROR(VLOOKUP($A412,'13. Updated Demand'!A:Z,16,FALSE)),0,VLOOKUP($A412,'13. Updated Demand'!A:Z,16,FALSE))</f>
        <v>0</v>
      </c>
      <c r="Z412" s="16">
        <f>IF(ISERROR(VLOOKUP($A412,'13. Updated Demand'!A:Z,17,FALSE)),0,VLOOKUP($A412,'13. Updated Demand'!A:Z,17,FALSE))</f>
        <v>0</v>
      </c>
      <c r="AA412" s="16">
        <f>IF(ISERROR(VLOOKUP($A412,'13. Updated Demand'!A:Z,18,FALSE)),0,VLOOKUP($A412,'13. Updated Demand'!A:Z,18,FALSE))</f>
        <v>0</v>
      </c>
      <c r="AB412" s="16">
        <f>IF(ISERROR(VLOOKUP($A412,'13. Updated Demand'!A:Z,19,FALSE)),0,VLOOKUP($A412,'13. Updated Demand'!A:Z,19,FALSE))</f>
        <v>0</v>
      </c>
      <c r="AC412" s="16">
        <f>IF(ISERROR(VLOOKUP($A412,'13. Updated Demand'!A:Z,20,FALSE)),0,VLOOKUP($A412,'13. Updated Demand'!A:Z,20,FALSE))</f>
        <v>0</v>
      </c>
      <c r="AD412" s="16">
        <f>IF(ISERROR(VLOOKUP($A412,'13. Updated Demand'!A:Z,21,FALSE)),0,VLOOKUP($A412,'13. Updated Demand'!A:Z,21,FALSE))</f>
        <v>0</v>
      </c>
      <c r="AE412" s="16">
        <f>IF(ISERROR(VLOOKUP($A412,'13. Updated Demand'!A:Z,22,FALSE)),0,VLOOKUP($A412,'13. Updated Demand'!A:Z,22,FALSE))</f>
        <v>0</v>
      </c>
      <c r="AF412" s="16">
        <f>IF(ISERROR(VLOOKUP($A412,'13. Updated Demand'!A:Z,23,FALSE)),0,VLOOKUP($A412,'13. Updated Demand'!A:Z,23,FALSE))</f>
        <v>0</v>
      </c>
      <c r="AG412" s="16">
        <f>IF(ISERROR(VLOOKUP($A412,'13. Updated Demand'!A:Z,24,FALSE)),0,VLOOKUP($A412,'13. Updated Demand'!A:Z,24,FALSE))</f>
        <v>0</v>
      </c>
      <c r="AH412" s="16">
        <f>IF(ISERROR(VLOOKUP($A412,'13. Updated Demand'!A:Z,25,FALSE)),0,VLOOKUP($A412,'13. Updated Demand'!A:Z,25,FALSE))</f>
        <v>0</v>
      </c>
      <c r="AI412" s="16">
        <f>IF(ISERROR(VLOOKUP($A412,'13. Updated Demand'!A:Z,26,FALSE)),0,VLOOKUP($A412,'13. Updated Demand'!A:Z,26,FALSE))</f>
        <v>0</v>
      </c>
      <c r="AJ412" s="16">
        <f t="shared" si="84"/>
        <v>0</v>
      </c>
      <c r="AK412" s="19">
        <v>0</v>
      </c>
      <c r="AL412" s="16">
        <f t="shared" si="82"/>
        <v>0</v>
      </c>
      <c r="AM412" s="17">
        <v>0</v>
      </c>
      <c r="AN412" s="19"/>
      <c r="AO412" s="19"/>
      <c r="AP412" s="19">
        <v>14</v>
      </c>
      <c r="AQ412" s="19" t="s">
        <v>307</v>
      </c>
      <c r="AR412" s="9" t="s">
        <v>311</v>
      </c>
      <c r="AS412" s="12">
        <v>0</v>
      </c>
      <c r="AT412" s="19">
        <v>38.642490909999999</v>
      </c>
      <c r="AU412" s="19">
        <v>-122.79874018</v>
      </c>
      <c r="AV412" s="19" t="s">
        <v>548</v>
      </c>
    </row>
    <row r="413" spans="1:48" x14ac:dyDescent="0.25">
      <c r="A413" s="18" t="s">
        <v>792</v>
      </c>
      <c r="B413" s="10">
        <v>19890725</v>
      </c>
      <c r="C413" s="9">
        <v>5</v>
      </c>
      <c r="D413" s="8" t="str">
        <f t="shared" si="73"/>
        <v>Y</v>
      </c>
      <c r="E413" s="8" t="str">
        <f t="shared" si="74"/>
        <v>N</v>
      </c>
      <c r="F413" s="8" t="str">
        <f t="shared" si="75"/>
        <v>Y</v>
      </c>
      <c r="G413" s="8" t="str">
        <f t="shared" si="76"/>
        <v>Y</v>
      </c>
      <c r="H413" s="8" t="str">
        <f t="shared" si="77"/>
        <v>Upper</v>
      </c>
      <c r="I413" s="8" t="str">
        <f t="shared" si="78"/>
        <v>West Fork and Below Lake</v>
      </c>
      <c r="J413" s="8" t="str">
        <f t="shared" si="79"/>
        <v>Mendocino (d/s of lake)</v>
      </c>
      <c r="K413" s="8" t="str">
        <f t="shared" si="80"/>
        <v>Post-1949</v>
      </c>
      <c r="L413" s="8">
        <f t="shared" si="81"/>
        <v>1989</v>
      </c>
      <c r="M413" s="8" t="str">
        <f t="shared" si="83"/>
        <v>1971-1990</v>
      </c>
      <c r="N413" s="10" t="s">
        <v>241</v>
      </c>
      <c r="O413" s="10" t="s">
        <v>241</v>
      </c>
      <c r="P413" s="10" t="s">
        <v>242</v>
      </c>
      <c r="Q413" s="10" t="s">
        <v>242</v>
      </c>
      <c r="R413" s="10" t="s">
        <v>241</v>
      </c>
      <c r="S413" s="10" t="s">
        <v>242</v>
      </c>
      <c r="T413" s="10" t="s">
        <v>241</v>
      </c>
      <c r="U413" s="10" t="s">
        <v>241</v>
      </c>
      <c r="V413" s="10" t="s">
        <v>241</v>
      </c>
      <c r="W413" s="10" t="s">
        <v>242</v>
      </c>
      <c r="X413" s="15">
        <f>IF(ISERROR(VLOOKUP($A413,'13. Updated Demand'!A:Z,15,FALSE)),0,VLOOKUP($A413,'13. Updated Demand'!A:Z,15,FALSE))</f>
        <v>0</v>
      </c>
      <c r="Y413" s="16">
        <f>IF(ISERROR(VLOOKUP($A413,'13. Updated Demand'!A:Z,16,FALSE)),0,VLOOKUP($A413,'13. Updated Demand'!A:Z,16,FALSE))</f>
        <v>0</v>
      </c>
      <c r="Z413" s="16">
        <f>IF(ISERROR(VLOOKUP($A413,'13. Updated Demand'!A:Z,17,FALSE)),0,VLOOKUP($A413,'13. Updated Demand'!A:Z,17,FALSE))</f>
        <v>0</v>
      </c>
      <c r="AA413" s="16">
        <f>IF(ISERROR(VLOOKUP($A413,'13. Updated Demand'!A:Z,18,FALSE)),0,VLOOKUP($A413,'13. Updated Demand'!A:Z,18,FALSE))</f>
        <v>0</v>
      </c>
      <c r="AB413" s="16">
        <f>IF(ISERROR(VLOOKUP($A413,'13. Updated Demand'!A:Z,19,FALSE)),0,VLOOKUP($A413,'13. Updated Demand'!A:Z,19,FALSE))</f>
        <v>0</v>
      </c>
      <c r="AC413" s="16">
        <f>IF(ISERROR(VLOOKUP($A413,'13. Updated Demand'!A:Z,20,FALSE)),0,VLOOKUP($A413,'13. Updated Demand'!A:Z,20,FALSE))</f>
        <v>0</v>
      </c>
      <c r="AD413" s="16">
        <f>IF(ISERROR(VLOOKUP($A413,'13. Updated Demand'!A:Z,21,FALSE)),0,VLOOKUP($A413,'13. Updated Demand'!A:Z,21,FALSE))</f>
        <v>0</v>
      </c>
      <c r="AE413" s="16">
        <f>IF(ISERROR(VLOOKUP($A413,'13. Updated Demand'!A:Z,22,FALSE)),0,VLOOKUP($A413,'13. Updated Demand'!A:Z,22,FALSE))</f>
        <v>0</v>
      </c>
      <c r="AF413" s="16">
        <f>IF(ISERROR(VLOOKUP($A413,'13. Updated Demand'!A:Z,23,FALSE)),0,VLOOKUP($A413,'13. Updated Demand'!A:Z,23,FALSE))</f>
        <v>0</v>
      </c>
      <c r="AG413" s="16">
        <f>IF(ISERROR(VLOOKUP($A413,'13. Updated Demand'!A:Z,24,FALSE)),0,VLOOKUP($A413,'13. Updated Demand'!A:Z,24,FALSE))</f>
        <v>0</v>
      </c>
      <c r="AH413" s="16">
        <f>IF(ISERROR(VLOOKUP($A413,'13. Updated Demand'!A:Z,25,FALSE)),0,VLOOKUP($A413,'13. Updated Demand'!A:Z,25,FALSE))</f>
        <v>0</v>
      </c>
      <c r="AI413" s="16">
        <f>IF(ISERROR(VLOOKUP($A413,'13. Updated Demand'!A:Z,26,FALSE)),0,VLOOKUP($A413,'13. Updated Demand'!A:Z,26,FALSE))</f>
        <v>0</v>
      </c>
      <c r="AJ413" s="16">
        <f t="shared" si="84"/>
        <v>0</v>
      </c>
      <c r="AK413" s="19">
        <v>0</v>
      </c>
      <c r="AL413" s="16">
        <f t="shared" si="82"/>
        <v>0</v>
      </c>
      <c r="AM413" s="17">
        <v>0</v>
      </c>
      <c r="AN413" s="19"/>
      <c r="AO413" s="19"/>
      <c r="AP413" s="19">
        <v>5.6</v>
      </c>
      <c r="AQ413" s="19" t="s">
        <v>307</v>
      </c>
      <c r="AR413" s="9" t="s">
        <v>333</v>
      </c>
      <c r="AS413" s="12">
        <v>0</v>
      </c>
      <c r="AT413" s="19">
        <v>39.059292139999997</v>
      </c>
      <c r="AU413" s="19">
        <v>-123.14447146000001</v>
      </c>
      <c r="AV413" s="19" t="s">
        <v>387</v>
      </c>
    </row>
    <row r="414" spans="1:48" x14ac:dyDescent="0.25">
      <c r="A414" s="18" t="s">
        <v>793</v>
      </c>
      <c r="B414" s="10">
        <v>19890725</v>
      </c>
      <c r="C414" s="9">
        <v>5</v>
      </c>
      <c r="D414" s="8" t="str">
        <f t="shared" si="73"/>
        <v>Y</v>
      </c>
      <c r="E414" s="8" t="str">
        <f t="shared" si="74"/>
        <v>N</v>
      </c>
      <c r="F414" s="8" t="str">
        <f t="shared" si="75"/>
        <v>Y</v>
      </c>
      <c r="G414" s="8" t="str">
        <f t="shared" si="76"/>
        <v>Y</v>
      </c>
      <c r="H414" s="8" t="str">
        <f t="shared" si="77"/>
        <v>Upper</v>
      </c>
      <c r="I414" s="8" t="str">
        <f t="shared" si="78"/>
        <v>West Fork and Below Lake</v>
      </c>
      <c r="J414" s="8" t="str">
        <f t="shared" si="79"/>
        <v>Mendocino (d/s of lake)</v>
      </c>
      <c r="K414" s="8" t="str">
        <f t="shared" si="80"/>
        <v>Post-1949</v>
      </c>
      <c r="L414" s="8">
        <f t="shared" si="81"/>
        <v>1989</v>
      </c>
      <c r="M414" s="8" t="str">
        <f t="shared" si="83"/>
        <v>1971-1990</v>
      </c>
      <c r="N414" s="10" t="s">
        <v>241</v>
      </c>
      <c r="O414" s="10" t="s">
        <v>241</v>
      </c>
      <c r="P414" s="10" t="s">
        <v>242</v>
      </c>
      <c r="Q414" s="10" t="s">
        <v>242</v>
      </c>
      <c r="R414" s="10" t="s">
        <v>241</v>
      </c>
      <c r="S414" s="10" t="s">
        <v>242</v>
      </c>
      <c r="T414" s="10" t="s">
        <v>241</v>
      </c>
      <c r="U414" s="10" t="s">
        <v>241</v>
      </c>
      <c r="V414" s="10" t="s">
        <v>241</v>
      </c>
      <c r="W414" s="10" t="s">
        <v>242</v>
      </c>
      <c r="X414" s="15">
        <f>IF(ISERROR(VLOOKUP($A414,'13. Updated Demand'!A:Z,15,FALSE)),0,VLOOKUP($A414,'13. Updated Demand'!A:Z,15,FALSE))</f>
        <v>0</v>
      </c>
      <c r="Y414" s="16">
        <f>IF(ISERROR(VLOOKUP($A414,'13. Updated Demand'!A:Z,16,FALSE)),0,VLOOKUP($A414,'13. Updated Demand'!A:Z,16,FALSE))</f>
        <v>0</v>
      </c>
      <c r="Z414" s="16">
        <f>IF(ISERROR(VLOOKUP($A414,'13. Updated Demand'!A:Z,17,FALSE)),0,VLOOKUP($A414,'13. Updated Demand'!A:Z,17,FALSE))</f>
        <v>0</v>
      </c>
      <c r="AA414" s="16">
        <f>IF(ISERROR(VLOOKUP($A414,'13. Updated Demand'!A:Z,18,FALSE)),0,VLOOKUP($A414,'13. Updated Demand'!A:Z,18,FALSE))</f>
        <v>0</v>
      </c>
      <c r="AB414" s="16">
        <f>IF(ISERROR(VLOOKUP($A414,'13. Updated Demand'!A:Z,19,FALSE)),0,VLOOKUP($A414,'13. Updated Demand'!A:Z,19,FALSE))</f>
        <v>0</v>
      </c>
      <c r="AC414" s="16">
        <f>IF(ISERROR(VLOOKUP($A414,'13. Updated Demand'!A:Z,20,FALSE)),0,VLOOKUP($A414,'13. Updated Demand'!A:Z,20,FALSE))</f>
        <v>0</v>
      </c>
      <c r="AD414" s="16">
        <f>IF(ISERROR(VLOOKUP($A414,'13. Updated Demand'!A:Z,21,FALSE)),0,VLOOKUP($A414,'13. Updated Demand'!A:Z,21,FALSE))</f>
        <v>0</v>
      </c>
      <c r="AE414" s="16">
        <f>IF(ISERROR(VLOOKUP($A414,'13. Updated Demand'!A:Z,22,FALSE)),0,VLOOKUP($A414,'13. Updated Demand'!A:Z,22,FALSE))</f>
        <v>0</v>
      </c>
      <c r="AF414" s="16">
        <f>IF(ISERROR(VLOOKUP($A414,'13. Updated Demand'!A:Z,23,FALSE)),0,VLOOKUP($A414,'13. Updated Demand'!A:Z,23,FALSE))</f>
        <v>0</v>
      </c>
      <c r="AG414" s="16">
        <f>IF(ISERROR(VLOOKUP($A414,'13. Updated Demand'!A:Z,24,FALSE)),0,VLOOKUP($A414,'13. Updated Demand'!A:Z,24,FALSE))</f>
        <v>0</v>
      </c>
      <c r="AH414" s="16">
        <f>IF(ISERROR(VLOOKUP($A414,'13. Updated Demand'!A:Z,25,FALSE)),0,VLOOKUP($A414,'13. Updated Demand'!A:Z,25,FALSE))</f>
        <v>0</v>
      </c>
      <c r="AI414" s="16">
        <f>IF(ISERROR(VLOOKUP($A414,'13. Updated Demand'!A:Z,26,FALSE)),0,VLOOKUP($A414,'13. Updated Demand'!A:Z,26,FALSE))</f>
        <v>0</v>
      </c>
      <c r="AJ414" s="16">
        <f t="shared" si="84"/>
        <v>0</v>
      </c>
      <c r="AK414" s="19">
        <v>0</v>
      </c>
      <c r="AL414" s="16">
        <f t="shared" si="82"/>
        <v>0</v>
      </c>
      <c r="AM414" s="17">
        <v>0</v>
      </c>
      <c r="AN414" s="19"/>
      <c r="AO414" s="19"/>
      <c r="AP414" s="19">
        <v>24.7</v>
      </c>
      <c r="AQ414" s="19" t="s">
        <v>307</v>
      </c>
      <c r="AR414" s="9" t="s">
        <v>333</v>
      </c>
      <c r="AS414" s="12">
        <v>0</v>
      </c>
      <c r="AT414" s="19">
        <v>39.05906607</v>
      </c>
      <c r="AU414" s="19">
        <v>-123.1448257</v>
      </c>
      <c r="AV414" s="19" t="s">
        <v>387</v>
      </c>
    </row>
    <row r="415" spans="1:48" x14ac:dyDescent="0.25">
      <c r="A415" s="18" t="s">
        <v>44</v>
      </c>
      <c r="B415" s="10">
        <v>19890822</v>
      </c>
      <c r="C415" s="9">
        <v>12</v>
      </c>
      <c r="D415" s="8" t="str">
        <f t="shared" si="73"/>
        <v>N</v>
      </c>
      <c r="E415" s="8" t="str">
        <f t="shared" si="74"/>
        <v>Y</v>
      </c>
      <c r="F415" s="8" t="str">
        <f t="shared" si="75"/>
        <v>Y</v>
      </c>
      <c r="G415" s="8" t="str">
        <f t="shared" si="76"/>
        <v>Y</v>
      </c>
      <c r="H415" s="8" t="str">
        <f t="shared" si="77"/>
        <v>Upper</v>
      </c>
      <c r="I415" s="8" t="str">
        <f t="shared" si="78"/>
        <v>West Fork and Below Lake</v>
      </c>
      <c r="J415" s="8" t="str">
        <f t="shared" si="79"/>
        <v>Sonoma (d/s of Clov. Gage)</v>
      </c>
      <c r="K415" s="8" t="str">
        <f t="shared" si="80"/>
        <v>Post-1949</v>
      </c>
      <c r="L415" s="8">
        <f t="shared" si="81"/>
        <v>1989</v>
      </c>
      <c r="M415" s="8" t="str">
        <f t="shared" si="83"/>
        <v>1971-1990</v>
      </c>
      <c r="N415" s="10" t="s">
        <v>241</v>
      </c>
      <c r="O415" s="10" t="s">
        <v>241</v>
      </c>
      <c r="P415" s="10" t="s">
        <v>242</v>
      </c>
      <c r="Q415" s="10" t="s">
        <v>242</v>
      </c>
      <c r="R415" s="10" t="s">
        <v>241</v>
      </c>
      <c r="S415" s="10" t="s">
        <v>242</v>
      </c>
      <c r="T415" s="10" t="s">
        <v>242</v>
      </c>
      <c r="U415" s="10" t="s">
        <v>242</v>
      </c>
      <c r="V415" s="10" t="s">
        <v>241</v>
      </c>
      <c r="W415" s="10" t="s">
        <v>242</v>
      </c>
      <c r="X415" s="15">
        <f>IF(ISERROR(VLOOKUP($A415,'13. Updated Demand'!A:Z,15,FALSE)),0,VLOOKUP($A415,'13. Updated Demand'!A:Z,15,FALSE))</f>
        <v>10.06</v>
      </c>
      <c r="Y415" s="16">
        <f>IF(ISERROR(VLOOKUP($A415,'13. Updated Demand'!A:Z,16,FALSE)),0,VLOOKUP($A415,'13. Updated Demand'!A:Z,16,FALSE))</f>
        <v>0</v>
      </c>
      <c r="Z415" s="16">
        <f>IF(ISERROR(VLOOKUP($A415,'13. Updated Demand'!A:Z,17,FALSE)),0,VLOOKUP($A415,'13. Updated Demand'!A:Z,17,FALSE))</f>
        <v>0.26</v>
      </c>
      <c r="AA415" s="16">
        <f>IF(ISERROR(VLOOKUP($A415,'13. Updated Demand'!A:Z,18,FALSE)),0,VLOOKUP($A415,'13. Updated Demand'!A:Z,18,FALSE))</f>
        <v>0</v>
      </c>
      <c r="AB415" s="16">
        <f>IF(ISERROR(VLOOKUP($A415,'13. Updated Demand'!A:Z,19,FALSE)),0,VLOOKUP($A415,'13. Updated Demand'!A:Z,19,FALSE))</f>
        <v>0</v>
      </c>
      <c r="AC415" s="16">
        <f>IF(ISERROR(VLOOKUP($A415,'13. Updated Demand'!A:Z,20,FALSE)),0,VLOOKUP($A415,'13. Updated Demand'!A:Z,20,FALSE))</f>
        <v>0</v>
      </c>
      <c r="AD415" s="16">
        <f>IF(ISERROR(VLOOKUP($A415,'13. Updated Demand'!A:Z,21,FALSE)),0,VLOOKUP($A415,'13. Updated Demand'!A:Z,21,FALSE))</f>
        <v>0</v>
      </c>
      <c r="AE415" s="16">
        <f>IF(ISERROR(VLOOKUP($A415,'13. Updated Demand'!A:Z,22,FALSE)),0,VLOOKUP($A415,'13. Updated Demand'!A:Z,22,FALSE))</f>
        <v>0</v>
      </c>
      <c r="AF415" s="16">
        <f>IF(ISERROR(VLOOKUP($A415,'13. Updated Demand'!A:Z,23,FALSE)),0,VLOOKUP($A415,'13. Updated Demand'!A:Z,23,FALSE))</f>
        <v>0</v>
      </c>
      <c r="AG415" s="16">
        <f>IF(ISERROR(VLOOKUP($A415,'13. Updated Demand'!A:Z,24,FALSE)),0,VLOOKUP($A415,'13. Updated Demand'!A:Z,24,FALSE))</f>
        <v>0</v>
      </c>
      <c r="AH415" s="16">
        <f>IF(ISERROR(VLOOKUP($A415,'13. Updated Demand'!A:Z,25,FALSE)),0,VLOOKUP($A415,'13. Updated Demand'!A:Z,25,FALSE))</f>
        <v>0</v>
      </c>
      <c r="AI415" s="16">
        <f>IF(ISERROR(VLOOKUP($A415,'13. Updated Demand'!A:Z,26,FALSE)),0,VLOOKUP($A415,'13. Updated Demand'!A:Z,26,FALSE))</f>
        <v>0</v>
      </c>
      <c r="AJ415" s="16">
        <f t="shared" si="84"/>
        <v>10.32</v>
      </c>
      <c r="AK415" s="19">
        <v>0</v>
      </c>
      <c r="AL415" s="16">
        <f t="shared" si="82"/>
        <v>0</v>
      </c>
      <c r="AM415" s="17">
        <v>0.18386714116251543</v>
      </c>
      <c r="AN415" s="19"/>
      <c r="AO415" s="19"/>
      <c r="AP415" s="19">
        <v>56.2</v>
      </c>
      <c r="AQ415" s="19" t="s">
        <v>307</v>
      </c>
      <c r="AR415" s="9" t="s">
        <v>311</v>
      </c>
      <c r="AS415" s="12">
        <v>0</v>
      </c>
      <c r="AT415" s="19">
        <v>38.638366179999998</v>
      </c>
      <c r="AU415" s="19">
        <v>-122.79670811</v>
      </c>
      <c r="AV415" s="19" t="s">
        <v>548</v>
      </c>
    </row>
    <row r="416" spans="1:48" x14ac:dyDescent="0.25">
      <c r="A416" s="18" t="s">
        <v>794</v>
      </c>
      <c r="B416" s="10">
        <v>19890614</v>
      </c>
      <c r="C416" s="9">
        <v>14</v>
      </c>
      <c r="D416" s="8" t="str">
        <f t="shared" si="73"/>
        <v>N</v>
      </c>
      <c r="E416" s="8" t="str">
        <f t="shared" si="74"/>
        <v>N</v>
      </c>
      <c r="F416" s="8" t="str">
        <f t="shared" si="75"/>
        <v>N</v>
      </c>
      <c r="G416" s="8" t="str">
        <f t="shared" si="76"/>
        <v>N</v>
      </c>
      <c r="H416" s="8" t="str">
        <f t="shared" si="77"/>
        <v>Lower</v>
      </c>
      <c r="I416" s="8" t="str">
        <f t="shared" si="78"/>
        <v>Outside</v>
      </c>
      <c r="J416" s="8" t="str">
        <f t="shared" si="79"/>
        <v>Outside</v>
      </c>
      <c r="K416" s="8" t="str">
        <f t="shared" si="80"/>
        <v>Post-1949</v>
      </c>
      <c r="L416" s="8">
        <f t="shared" si="81"/>
        <v>1989</v>
      </c>
      <c r="M416" s="8" t="str">
        <f t="shared" si="83"/>
        <v>1971-1990</v>
      </c>
      <c r="N416" s="10" t="s">
        <v>242</v>
      </c>
      <c r="O416" s="10" t="s">
        <v>242</v>
      </c>
      <c r="P416" s="10" t="s">
        <v>242</v>
      </c>
      <c r="Q416" s="10" t="s">
        <v>242</v>
      </c>
      <c r="R416" s="10" t="s">
        <v>241</v>
      </c>
      <c r="S416" s="10" t="s">
        <v>242</v>
      </c>
      <c r="T416" s="10" t="s">
        <v>242</v>
      </c>
      <c r="U416" s="10" t="s">
        <v>242</v>
      </c>
      <c r="V416" s="10" t="s">
        <v>241</v>
      </c>
      <c r="W416" s="10" t="s">
        <v>242</v>
      </c>
      <c r="X416" s="15">
        <f>IF(ISERROR(VLOOKUP($A416,'13. Updated Demand'!A:Z,15,FALSE)),0,VLOOKUP($A416,'13. Updated Demand'!A:Z,15,FALSE))</f>
        <v>2.9</v>
      </c>
      <c r="Y416" s="16">
        <f>IF(ISERROR(VLOOKUP($A416,'13. Updated Demand'!A:Z,16,FALSE)),0,VLOOKUP($A416,'13. Updated Demand'!A:Z,16,FALSE))</f>
        <v>3.3333333E-2</v>
      </c>
      <c r="Z416" s="16">
        <f>IF(ISERROR(VLOOKUP($A416,'13. Updated Demand'!A:Z,17,FALSE)),0,VLOOKUP($A416,'13. Updated Demand'!A:Z,17,FALSE))</f>
        <v>0</v>
      </c>
      <c r="AA416" s="16">
        <f>IF(ISERROR(VLOOKUP($A416,'13. Updated Demand'!A:Z,18,FALSE)),0,VLOOKUP($A416,'13. Updated Demand'!A:Z,18,FALSE))</f>
        <v>0</v>
      </c>
      <c r="AB416" s="16">
        <f>IF(ISERROR(VLOOKUP($A416,'13. Updated Demand'!A:Z,19,FALSE)),0,VLOOKUP($A416,'13. Updated Demand'!A:Z,19,FALSE))</f>
        <v>0</v>
      </c>
      <c r="AC416" s="16">
        <f>IF(ISERROR(VLOOKUP($A416,'13. Updated Demand'!A:Z,20,FALSE)),0,VLOOKUP($A416,'13. Updated Demand'!A:Z,20,FALSE))</f>
        <v>0</v>
      </c>
      <c r="AD416" s="16">
        <f>IF(ISERROR(VLOOKUP($A416,'13. Updated Demand'!A:Z,21,FALSE)),0,VLOOKUP($A416,'13. Updated Demand'!A:Z,21,FALSE))</f>
        <v>0</v>
      </c>
      <c r="AE416" s="16">
        <f>IF(ISERROR(VLOOKUP($A416,'13. Updated Demand'!A:Z,22,FALSE)),0,VLOOKUP($A416,'13. Updated Demand'!A:Z,22,FALSE))</f>
        <v>0</v>
      </c>
      <c r="AF416" s="16">
        <f>IF(ISERROR(VLOOKUP($A416,'13. Updated Demand'!A:Z,23,FALSE)),0,VLOOKUP($A416,'13. Updated Demand'!A:Z,23,FALSE))</f>
        <v>0</v>
      </c>
      <c r="AG416" s="16">
        <f>IF(ISERROR(VLOOKUP($A416,'13. Updated Demand'!A:Z,24,FALSE)),0,VLOOKUP($A416,'13. Updated Demand'!A:Z,24,FALSE))</f>
        <v>0</v>
      </c>
      <c r="AH416" s="16">
        <f>IF(ISERROR(VLOOKUP($A416,'13. Updated Demand'!A:Z,25,FALSE)),0,VLOOKUP($A416,'13. Updated Demand'!A:Z,25,FALSE))</f>
        <v>5.9333333330000002</v>
      </c>
      <c r="AI416" s="16">
        <f>IF(ISERROR(VLOOKUP($A416,'13. Updated Demand'!A:Z,26,FALSE)),0,VLOOKUP($A416,'13. Updated Demand'!A:Z,26,FALSE))</f>
        <v>6.0666666669999998</v>
      </c>
      <c r="AJ416" s="16">
        <f t="shared" si="84"/>
        <v>14.933333333</v>
      </c>
      <c r="AK416" s="19">
        <v>0</v>
      </c>
      <c r="AL416" s="16">
        <f t="shared" si="82"/>
        <v>0</v>
      </c>
      <c r="AM416" s="17">
        <v>0.28444444443809525</v>
      </c>
      <c r="AN416" s="19"/>
      <c r="AO416" s="19"/>
      <c r="AP416" s="19">
        <v>52.5</v>
      </c>
      <c r="AQ416" s="19" t="s">
        <v>307</v>
      </c>
      <c r="AR416" s="9" t="s">
        <v>493</v>
      </c>
      <c r="AS416" s="12">
        <v>0</v>
      </c>
      <c r="AT416" s="19">
        <v>38.6995</v>
      </c>
      <c r="AU416" s="19">
        <v>-122.9902</v>
      </c>
      <c r="AV416" s="19" t="s">
        <v>385</v>
      </c>
    </row>
    <row r="417" spans="1:48" x14ac:dyDescent="0.25">
      <c r="A417" s="18" t="s">
        <v>795</v>
      </c>
      <c r="B417" s="10">
        <v>19891026</v>
      </c>
      <c r="C417" s="9">
        <v>1</v>
      </c>
      <c r="D417" s="8" t="str">
        <f t="shared" si="73"/>
        <v>N</v>
      </c>
      <c r="E417" s="8" t="str">
        <f t="shared" si="74"/>
        <v>N</v>
      </c>
      <c r="F417" s="8" t="str">
        <f t="shared" si="75"/>
        <v>Y</v>
      </c>
      <c r="G417" s="8" t="str">
        <f t="shared" si="76"/>
        <v>Y</v>
      </c>
      <c r="H417" s="8" t="str">
        <f t="shared" si="77"/>
        <v>Upper</v>
      </c>
      <c r="I417" s="8" t="str">
        <f t="shared" si="78"/>
        <v>West Fork and Below Lake</v>
      </c>
      <c r="J417" s="8" t="str">
        <f t="shared" si="79"/>
        <v>Outside</v>
      </c>
      <c r="K417" s="8" t="str">
        <f t="shared" si="80"/>
        <v>Post-1949</v>
      </c>
      <c r="L417" s="8">
        <f t="shared" si="81"/>
        <v>1989</v>
      </c>
      <c r="M417" s="8" t="str">
        <f t="shared" si="83"/>
        <v>1971-1990</v>
      </c>
      <c r="N417" s="10" t="s">
        <v>242</v>
      </c>
      <c r="O417" s="10" t="s">
        <v>241</v>
      </c>
      <c r="P417" s="10" t="s">
        <v>242</v>
      </c>
      <c r="Q417" s="10" t="s">
        <v>242</v>
      </c>
      <c r="R417" s="10" t="s">
        <v>241</v>
      </c>
      <c r="S417" s="10" t="s">
        <v>242</v>
      </c>
      <c r="T417" s="10" t="s">
        <v>242</v>
      </c>
      <c r="U417" s="10" t="s">
        <v>242</v>
      </c>
      <c r="V417" s="10" t="s">
        <v>241</v>
      </c>
      <c r="W417" s="10" t="s">
        <v>242</v>
      </c>
      <c r="X417" s="15">
        <f>IF(ISERROR(VLOOKUP($A417,'13. Updated Demand'!A:Z,15,FALSE)),0,VLOOKUP($A417,'13. Updated Demand'!A:Z,15,FALSE))</f>
        <v>3.58</v>
      </c>
      <c r="Y417" s="16">
        <f>IF(ISERROR(VLOOKUP($A417,'13. Updated Demand'!A:Z,16,FALSE)),0,VLOOKUP($A417,'13. Updated Demand'!A:Z,16,FALSE))</f>
        <v>0</v>
      </c>
      <c r="Z417" s="16">
        <f>IF(ISERROR(VLOOKUP($A417,'13. Updated Demand'!A:Z,17,FALSE)),0,VLOOKUP($A417,'13. Updated Demand'!A:Z,17,FALSE))</f>
        <v>0.25</v>
      </c>
      <c r="AA417" s="16">
        <f>IF(ISERROR(VLOOKUP($A417,'13. Updated Demand'!A:Z,18,FALSE)),0,VLOOKUP($A417,'13. Updated Demand'!A:Z,18,FALSE))</f>
        <v>0</v>
      </c>
      <c r="AB417" s="16">
        <f>IF(ISERROR(VLOOKUP($A417,'13. Updated Demand'!A:Z,19,FALSE)),0,VLOOKUP($A417,'13. Updated Demand'!A:Z,19,FALSE))</f>
        <v>0</v>
      </c>
      <c r="AC417" s="16">
        <f>IF(ISERROR(VLOOKUP($A417,'13. Updated Demand'!A:Z,20,FALSE)),0,VLOOKUP($A417,'13. Updated Demand'!A:Z,20,FALSE))</f>
        <v>0</v>
      </c>
      <c r="AD417" s="16">
        <f>IF(ISERROR(VLOOKUP($A417,'13. Updated Demand'!A:Z,21,FALSE)),0,VLOOKUP($A417,'13. Updated Demand'!A:Z,21,FALSE))</f>
        <v>0</v>
      </c>
      <c r="AE417" s="16">
        <f>IF(ISERROR(VLOOKUP($A417,'13. Updated Demand'!A:Z,22,FALSE)),0,VLOOKUP($A417,'13. Updated Demand'!A:Z,22,FALSE))</f>
        <v>0</v>
      </c>
      <c r="AF417" s="16">
        <f>IF(ISERROR(VLOOKUP($A417,'13. Updated Demand'!A:Z,23,FALSE)),0,VLOOKUP($A417,'13. Updated Demand'!A:Z,23,FALSE))</f>
        <v>0</v>
      </c>
      <c r="AG417" s="16">
        <f>IF(ISERROR(VLOOKUP($A417,'13. Updated Demand'!A:Z,24,FALSE)),0,VLOOKUP($A417,'13. Updated Demand'!A:Z,24,FALSE))</f>
        <v>0</v>
      </c>
      <c r="AH417" s="16">
        <f>IF(ISERROR(VLOOKUP($A417,'13. Updated Demand'!A:Z,25,FALSE)),0,VLOOKUP($A417,'13. Updated Demand'!A:Z,25,FALSE))</f>
        <v>0</v>
      </c>
      <c r="AI417" s="16">
        <f>IF(ISERROR(VLOOKUP($A417,'13. Updated Demand'!A:Z,26,FALSE)),0,VLOOKUP($A417,'13. Updated Demand'!A:Z,26,FALSE))</f>
        <v>1.06</v>
      </c>
      <c r="AJ417" s="16">
        <f t="shared" si="84"/>
        <v>4.8900000000000006</v>
      </c>
      <c r="AK417" s="19">
        <v>0</v>
      </c>
      <c r="AL417" s="16">
        <f t="shared" si="82"/>
        <v>0</v>
      </c>
      <c r="AM417" s="17">
        <v>0.17500000000000002</v>
      </c>
      <c r="AN417" s="19"/>
      <c r="AO417" s="19"/>
      <c r="AP417" s="19">
        <v>28</v>
      </c>
      <c r="AQ417" s="19" t="s">
        <v>307</v>
      </c>
      <c r="AR417" s="9" t="s">
        <v>317</v>
      </c>
      <c r="AS417" s="12">
        <v>0</v>
      </c>
      <c r="AT417" s="19">
        <v>39.322602510000003</v>
      </c>
      <c r="AU417" s="19">
        <v>-123.21467008</v>
      </c>
      <c r="AV417" s="19" t="s">
        <v>417</v>
      </c>
    </row>
    <row r="418" spans="1:48" x14ac:dyDescent="0.25">
      <c r="A418" s="18" t="s">
        <v>796</v>
      </c>
      <c r="B418" s="10">
        <v>19891109</v>
      </c>
      <c r="C418" s="9">
        <v>18</v>
      </c>
      <c r="D418" s="8" t="str">
        <f t="shared" si="73"/>
        <v>N</v>
      </c>
      <c r="E418" s="8" t="str">
        <f t="shared" si="74"/>
        <v>N</v>
      </c>
      <c r="F418" s="8" t="str">
        <f t="shared" si="75"/>
        <v>N</v>
      </c>
      <c r="G418" s="8" t="str">
        <f t="shared" si="76"/>
        <v>N</v>
      </c>
      <c r="H418" s="8" t="str">
        <f t="shared" si="77"/>
        <v>Lower</v>
      </c>
      <c r="I418" s="8" t="str">
        <f t="shared" si="78"/>
        <v>Outside</v>
      </c>
      <c r="J418" s="8" t="str">
        <f t="shared" si="79"/>
        <v>Outside</v>
      </c>
      <c r="K418" s="8" t="str">
        <f t="shared" si="80"/>
        <v>Post-1949</v>
      </c>
      <c r="L418" s="8">
        <f t="shared" si="81"/>
        <v>1989</v>
      </c>
      <c r="M418" s="8" t="str">
        <f t="shared" si="83"/>
        <v>1971-1990</v>
      </c>
      <c r="N418" s="10" t="s">
        <v>242</v>
      </c>
      <c r="O418" s="10" t="s">
        <v>242</v>
      </c>
      <c r="P418" s="10" t="s">
        <v>242</v>
      </c>
      <c r="Q418" s="10" t="s">
        <v>242</v>
      </c>
      <c r="R418" s="10" t="s">
        <v>241</v>
      </c>
      <c r="S418" s="10" t="s">
        <v>242</v>
      </c>
      <c r="T418" s="10" t="s">
        <v>242</v>
      </c>
      <c r="U418" s="10" t="s">
        <v>242</v>
      </c>
      <c r="V418" s="10" t="s">
        <v>241</v>
      </c>
      <c r="W418" s="10" t="s">
        <v>242</v>
      </c>
      <c r="X418" s="15">
        <f>IF(ISERROR(VLOOKUP($A418,'13. Updated Demand'!A:Z,15,FALSE)),0,VLOOKUP($A418,'13. Updated Demand'!A:Z,15,FALSE))</f>
        <v>1</v>
      </c>
      <c r="Y418" s="16">
        <f>IF(ISERROR(VLOOKUP($A418,'13. Updated Demand'!A:Z,16,FALSE)),0,VLOOKUP($A418,'13. Updated Demand'!A:Z,16,FALSE))</f>
        <v>0</v>
      </c>
      <c r="Z418" s="16">
        <f>IF(ISERROR(VLOOKUP($A418,'13. Updated Demand'!A:Z,17,FALSE)),0,VLOOKUP($A418,'13. Updated Demand'!A:Z,17,FALSE))</f>
        <v>0</v>
      </c>
      <c r="AA418" s="16">
        <f>IF(ISERROR(VLOOKUP($A418,'13. Updated Demand'!A:Z,18,FALSE)),0,VLOOKUP($A418,'13. Updated Demand'!A:Z,18,FALSE))</f>
        <v>0</v>
      </c>
      <c r="AB418" s="16">
        <f>IF(ISERROR(VLOOKUP($A418,'13. Updated Demand'!A:Z,19,FALSE)),0,VLOOKUP($A418,'13. Updated Demand'!A:Z,19,FALSE))</f>
        <v>0</v>
      </c>
      <c r="AC418" s="16">
        <f>IF(ISERROR(VLOOKUP($A418,'13. Updated Demand'!A:Z,20,FALSE)),0,VLOOKUP($A418,'13. Updated Demand'!A:Z,20,FALSE))</f>
        <v>0</v>
      </c>
      <c r="AD418" s="16">
        <f>IF(ISERROR(VLOOKUP($A418,'13. Updated Demand'!A:Z,21,FALSE)),0,VLOOKUP($A418,'13. Updated Demand'!A:Z,21,FALSE))</f>
        <v>0</v>
      </c>
      <c r="AE418" s="16">
        <f>IF(ISERROR(VLOOKUP($A418,'13. Updated Demand'!A:Z,22,FALSE)),0,VLOOKUP($A418,'13. Updated Demand'!A:Z,22,FALSE))</f>
        <v>0</v>
      </c>
      <c r="AF418" s="16">
        <f>IF(ISERROR(VLOOKUP($A418,'13. Updated Demand'!A:Z,23,FALSE)),0,VLOOKUP($A418,'13. Updated Demand'!A:Z,23,FALSE))</f>
        <v>0</v>
      </c>
      <c r="AG418" s="16">
        <f>IF(ISERROR(VLOOKUP($A418,'13. Updated Demand'!A:Z,24,FALSE)),0,VLOOKUP($A418,'13. Updated Demand'!A:Z,24,FALSE))</f>
        <v>0</v>
      </c>
      <c r="AH418" s="16">
        <f>IF(ISERROR(VLOOKUP($A418,'13. Updated Demand'!A:Z,25,FALSE)),0,VLOOKUP($A418,'13. Updated Demand'!A:Z,25,FALSE))</f>
        <v>0</v>
      </c>
      <c r="AI418" s="16">
        <f>IF(ISERROR(VLOOKUP($A418,'13. Updated Demand'!A:Z,26,FALSE)),0,VLOOKUP($A418,'13. Updated Demand'!A:Z,26,FALSE))</f>
        <v>3.5</v>
      </c>
      <c r="AJ418" s="16">
        <f t="shared" si="84"/>
        <v>4.5</v>
      </c>
      <c r="AK418" s="19">
        <v>0</v>
      </c>
      <c r="AL418" s="16">
        <f t="shared" si="82"/>
        <v>0</v>
      </c>
      <c r="AM418" s="17">
        <v>0.47368421052631576</v>
      </c>
      <c r="AN418" s="19"/>
      <c r="AO418" s="19"/>
      <c r="AP418" s="19">
        <v>9.5</v>
      </c>
      <c r="AQ418" s="19" t="s">
        <v>307</v>
      </c>
      <c r="AR418" s="9" t="s">
        <v>352</v>
      </c>
      <c r="AS418" s="12">
        <v>0</v>
      </c>
      <c r="AT418" s="19">
        <v>38.431100000000001</v>
      </c>
      <c r="AU418" s="19">
        <v>-122.9104</v>
      </c>
      <c r="AV418" s="19" t="s">
        <v>417</v>
      </c>
    </row>
    <row r="419" spans="1:48" x14ac:dyDescent="0.25">
      <c r="A419" s="18" t="s">
        <v>797</v>
      </c>
      <c r="B419" s="10">
        <v>19891101</v>
      </c>
      <c r="C419" s="9">
        <v>9</v>
      </c>
      <c r="D419" s="8" t="str">
        <f t="shared" si="73"/>
        <v>N</v>
      </c>
      <c r="E419" s="8" t="str">
        <f t="shared" si="74"/>
        <v>Y</v>
      </c>
      <c r="F419" s="8" t="str">
        <f t="shared" si="75"/>
        <v>Y</v>
      </c>
      <c r="G419" s="8" t="str">
        <f t="shared" si="76"/>
        <v>Y</v>
      </c>
      <c r="H419" s="8" t="str">
        <f t="shared" si="77"/>
        <v>Upper</v>
      </c>
      <c r="I419" s="8" t="str">
        <f t="shared" si="78"/>
        <v>West Fork and Below Lake</v>
      </c>
      <c r="J419" s="8" t="str">
        <f t="shared" si="79"/>
        <v>Sonoma (d/s of Clov. Gage)</v>
      </c>
      <c r="K419" s="8" t="str">
        <f t="shared" si="80"/>
        <v>Post-1949</v>
      </c>
      <c r="L419" s="8">
        <f t="shared" si="81"/>
        <v>1989</v>
      </c>
      <c r="M419" s="8" t="str">
        <f t="shared" si="83"/>
        <v>1971-1990</v>
      </c>
      <c r="N419" s="10" t="s">
        <v>242</v>
      </c>
      <c r="O419" s="10" t="s">
        <v>241</v>
      </c>
      <c r="P419" s="10" t="s">
        <v>242</v>
      </c>
      <c r="Q419" s="10" t="s">
        <v>242</v>
      </c>
      <c r="R419" s="10" t="s">
        <v>241</v>
      </c>
      <c r="S419" s="10" t="s">
        <v>242</v>
      </c>
      <c r="T419" s="10" t="s">
        <v>242</v>
      </c>
      <c r="U419" s="10" t="s">
        <v>242</v>
      </c>
      <c r="V419" s="10" t="s">
        <v>242</v>
      </c>
      <c r="W419" s="10" t="s">
        <v>242</v>
      </c>
      <c r="X419" s="15">
        <f>IF(ISERROR(VLOOKUP($A419,'13. Updated Demand'!A:Z,15,FALSE)),0,VLOOKUP($A419,'13. Updated Demand'!A:Z,15,FALSE))</f>
        <v>68.36</v>
      </c>
      <c r="Y419" s="16">
        <f>IF(ISERROR(VLOOKUP($A419,'13. Updated Demand'!A:Z,16,FALSE)),0,VLOOKUP($A419,'13. Updated Demand'!A:Z,16,FALSE))</f>
        <v>43.56</v>
      </c>
      <c r="Z419" s="16">
        <f>IF(ISERROR(VLOOKUP($A419,'13. Updated Demand'!A:Z,17,FALSE)),0,VLOOKUP($A419,'13. Updated Demand'!A:Z,17,FALSE))</f>
        <v>10.5</v>
      </c>
      <c r="AA419" s="16">
        <f>IF(ISERROR(VLOOKUP($A419,'13. Updated Demand'!A:Z,18,FALSE)),0,VLOOKUP($A419,'13. Updated Demand'!A:Z,18,FALSE))</f>
        <v>2.2599999999999998</v>
      </c>
      <c r="AB419" s="16">
        <f>IF(ISERROR(VLOOKUP($A419,'13. Updated Demand'!A:Z,19,FALSE)),0,VLOOKUP($A419,'13. Updated Demand'!A:Z,19,FALSE))</f>
        <v>6.56</v>
      </c>
      <c r="AC419" s="16">
        <f>IF(ISERROR(VLOOKUP($A419,'13. Updated Demand'!A:Z,20,FALSE)),0,VLOOKUP($A419,'13. Updated Demand'!A:Z,20,FALSE))</f>
        <v>0</v>
      </c>
      <c r="AD419" s="16">
        <f>IF(ISERROR(VLOOKUP($A419,'13. Updated Demand'!A:Z,21,FALSE)),0,VLOOKUP($A419,'13. Updated Demand'!A:Z,21,FALSE))</f>
        <v>0</v>
      </c>
      <c r="AE419" s="16">
        <f>IF(ISERROR(VLOOKUP($A419,'13. Updated Demand'!A:Z,22,FALSE)),0,VLOOKUP($A419,'13. Updated Demand'!A:Z,22,FALSE))</f>
        <v>0</v>
      </c>
      <c r="AF419" s="16">
        <f>IF(ISERROR(VLOOKUP($A419,'13. Updated Demand'!A:Z,23,FALSE)),0,VLOOKUP($A419,'13. Updated Demand'!A:Z,23,FALSE))</f>
        <v>0</v>
      </c>
      <c r="AG419" s="16">
        <f>IF(ISERROR(VLOOKUP($A419,'13. Updated Demand'!A:Z,24,FALSE)),0,VLOOKUP($A419,'13. Updated Demand'!A:Z,24,FALSE))</f>
        <v>0</v>
      </c>
      <c r="AH419" s="16">
        <f>IF(ISERROR(VLOOKUP($A419,'13. Updated Demand'!A:Z,25,FALSE)),0,VLOOKUP($A419,'13. Updated Demand'!A:Z,25,FALSE))</f>
        <v>0</v>
      </c>
      <c r="AI419" s="16">
        <f>IF(ISERROR(VLOOKUP($A419,'13. Updated Demand'!A:Z,26,FALSE)),0,VLOOKUP($A419,'13. Updated Demand'!A:Z,26,FALSE))</f>
        <v>2.73</v>
      </c>
      <c r="AJ419" s="16">
        <f t="shared" si="84"/>
        <v>133.97</v>
      </c>
      <c r="AK419" s="19">
        <v>6.5666666669999998</v>
      </c>
      <c r="AL419" s="16">
        <f t="shared" si="82"/>
        <v>2.1780885320812807E-2</v>
      </c>
      <c r="AM419" s="17">
        <v>0.33500000001749997</v>
      </c>
      <c r="AN419" s="19"/>
      <c r="AO419" s="19"/>
      <c r="AP419" s="19">
        <v>400</v>
      </c>
      <c r="AQ419" s="19" t="s">
        <v>307</v>
      </c>
      <c r="AR419" s="9" t="s">
        <v>354</v>
      </c>
      <c r="AS419" s="12">
        <v>0</v>
      </c>
      <c r="AT419" s="19">
        <v>38.758354509999997</v>
      </c>
      <c r="AU419" s="19">
        <v>-122.9928611</v>
      </c>
      <c r="AV419" s="19" t="s">
        <v>417</v>
      </c>
    </row>
    <row r="420" spans="1:48" x14ac:dyDescent="0.25">
      <c r="A420" s="18" t="s">
        <v>798</v>
      </c>
      <c r="B420" s="10">
        <v>19891117</v>
      </c>
      <c r="C420" s="9">
        <v>14</v>
      </c>
      <c r="D420" s="8" t="str">
        <f t="shared" si="73"/>
        <v>N</v>
      </c>
      <c r="E420" s="8" t="str">
        <f t="shared" si="74"/>
        <v>N</v>
      </c>
      <c r="F420" s="8" t="str">
        <f t="shared" si="75"/>
        <v>N</v>
      </c>
      <c r="G420" s="8" t="str">
        <f t="shared" si="76"/>
        <v>N</v>
      </c>
      <c r="H420" s="8" t="str">
        <f t="shared" si="77"/>
        <v>Lower</v>
      </c>
      <c r="I420" s="8" t="str">
        <f t="shared" si="78"/>
        <v>Outside</v>
      </c>
      <c r="J420" s="8" t="str">
        <f t="shared" si="79"/>
        <v>Outside</v>
      </c>
      <c r="K420" s="8" t="str">
        <f t="shared" si="80"/>
        <v>Post-1949</v>
      </c>
      <c r="L420" s="8">
        <f t="shared" si="81"/>
        <v>1989</v>
      </c>
      <c r="M420" s="8" t="str">
        <f t="shared" si="83"/>
        <v>1971-1990</v>
      </c>
      <c r="N420" s="10" t="s">
        <v>242</v>
      </c>
      <c r="O420" s="10" t="s">
        <v>242</v>
      </c>
      <c r="P420" s="10" t="s">
        <v>242</v>
      </c>
      <c r="Q420" s="10" t="s">
        <v>242</v>
      </c>
      <c r="R420" s="10" t="s">
        <v>241</v>
      </c>
      <c r="S420" s="10" t="s">
        <v>242</v>
      </c>
      <c r="T420" s="10" t="s">
        <v>242</v>
      </c>
      <c r="U420" s="10" t="s">
        <v>242</v>
      </c>
      <c r="V420" s="10" t="s">
        <v>241</v>
      </c>
      <c r="W420" s="10" t="s">
        <v>242</v>
      </c>
      <c r="X420" s="15">
        <f>IF(ISERROR(VLOOKUP($A420,'13. Updated Demand'!A:Z,15,FALSE)),0,VLOOKUP($A420,'13. Updated Demand'!A:Z,15,FALSE))</f>
        <v>0</v>
      </c>
      <c r="Y420" s="16">
        <f>IF(ISERROR(VLOOKUP($A420,'13. Updated Demand'!A:Z,16,FALSE)),0,VLOOKUP($A420,'13. Updated Demand'!A:Z,16,FALSE))</f>
        <v>0</v>
      </c>
      <c r="Z420" s="16">
        <f>IF(ISERROR(VLOOKUP($A420,'13. Updated Demand'!A:Z,17,FALSE)),0,VLOOKUP($A420,'13. Updated Demand'!A:Z,17,FALSE))</f>
        <v>120.2</v>
      </c>
      <c r="AA420" s="16">
        <f>IF(ISERROR(VLOOKUP($A420,'13. Updated Demand'!A:Z,18,FALSE)),0,VLOOKUP($A420,'13. Updated Demand'!A:Z,18,FALSE))</f>
        <v>0</v>
      </c>
      <c r="AB420" s="16">
        <f>IF(ISERROR(VLOOKUP($A420,'13. Updated Demand'!A:Z,19,FALSE)),0,VLOOKUP($A420,'13. Updated Demand'!A:Z,19,FALSE))</f>
        <v>0</v>
      </c>
      <c r="AC420" s="16">
        <f>IF(ISERROR(VLOOKUP($A420,'13. Updated Demand'!A:Z,20,FALSE)),0,VLOOKUP($A420,'13. Updated Demand'!A:Z,20,FALSE))</f>
        <v>0</v>
      </c>
      <c r="AD420" s="16">
        <f>IF(ISERROR(VLOOKUP($A420,'13. Updated Demand'!A:Z,21,FALSE)),0,VLOOKUP($A420,'13. Updated Demand'!A:Z,21,FALSE))</f>
        <v>0</v>
      </c>
      <c r="AE420" s="16">
        <f>IF(ISERROR(VLOOKUP($A420,'13. Updated Demand'!A:Z,22,FALSE)),0,VLOOKUP($A420,'13. Updated Demand'!A:Z,22,FALSE))</f>
        <v>0</v>
      </c>
      <c r="AF420" s="16">
        <f>IF(ISERROR(VLOOKUP($A420,'13. Updated Demand'!A:Z,23,FALSE)),0,VLOOKUP($A420,'13. Updated Demand'!A:Z,23,FALSE))</f>
        <v>0</v>
      </c>
      <c r="AG420" s="16">
        <f>IF(ISERROR(VLOOKUP($A420,'13. Updated Demand'!A:Z,24,FALSE)),0,VLOOKUP($A420,'13. Updated Demand'!A:Z,24,FALSE))</f>
        <v>0</v>
      </c>
      <c r="AH420" s="16">
        <f>IF(ISERROR(VLOOKUP($A420,'13. Updated Demand'!A:Z,25,FALSE)),0,VLOOKUP($A420,'13. Updated Demand'!A:Z,25,FALSE))</f>
        <v>0</v>
      </c>
      <c r="AI420" s="16">
        <f>IF(ISERROR(VLOOKUP($A420,'13. Updated Demand'!A:Z,26,FALSE)),0,VLOOKUP($A420,'13. Updated Demand'!A:Z,26,FALSE))</f>
        <v>0</v>
      </c>
      <c r="AJ420" s="16">
        <f t="shared" si="84"/>
        <v>120.2</v>
      </c>
      <c r="AK420" s="19">
        <v>0</v>
      </c>
      <c r="AL420" s="16">
        <f t="shared" si="82"/>
        <v>0</v>
      </c>
      <c r="AM420" s="17">
        <v>0.80133333333333334</v>
      </c>
      <c r="AN420" s="19"/>
      <c r="AO420" s="19"/>
      <c r="AP420" s="19">
        <v>150</v>
      </c>
      <c r="AQ420" s="19" t="s">
        <v>307</v>
      </c>
      <c r="AR420" s="9" t="s">
        <v>493</v>
      </c>
      <c r="AS420" s="12">
        <v>0</v>
      </c>
      <c r="AT420" s="19">
        <v>38.694200000000002</v>
      </c>
      <c r="AU420" s="19">
        <v>-122.9914</v>
      </c>
      <c r="AV420" s="19" t="s">
        <v>619</v>
      </c>
    </row>
    <row r="421" spans="1:48" x14ac:dyDescent="0.25">
      <c r="A421" s="18" t="s">
        <v>799</v>
      </c>
      <c r="B421" s="10">
        <v>19891227</v>
      </c>
      <c r="C421" s="9">
        <v>6</v>
      </c>
      <c r="D421" s="8" t="str">
        <f t="shared" si="73"/>
        <v>Y</v>
      </c>
      <c r="E421" s="8" t="str">
        <f t="shared" si="74"/>
        <v>N</v>
      </c>
      <c r="F421" s="8" t="str">
        <f t="shared" si="75"/>
        <v>Y</v>
      </c>
      <c r="G421" s="8" t="str">
        <f t="shared" si="76"/>
        <v>Y</v>
      </c>
      <c r="H421" s="8" t="str">
        <f t="shared" si="77"/>
        <v>Upper</v>
      </c>
      <c r="I421" s="8" t="str">
        <f t="shared" si="78"/>
        <v>West Fork and Below Lake</v>
      </c>
      <c r="J421" s="8" t="str">
        <f t="shared" si="79"/>
        <v>Mendocino (d/s of lake)</v>
      </c>
      <c r="K421" s="8" t="str">
        <f t="shared" si="80"/>
        <v>Post-1949</v>
      </c>
      <c r="L421" s="8">
        <f t="shared" si="81"/>
        <v>1989</v>
      </c>
      <c r="M421" s="8" t="str">
        <f t="shared" si="83"/>
        <v>1971-1990</v>
      </c>
      <c r="N421" s="10" t="s">
        <v>242</v>
      </c>
      <c r="O421" s="10" t="s">
        <v>241</v>
      </c>
      <c r="P421" s="10" t="s">
        <v>242</v>
      </c>
      <c r="Q421" s="10" t="s">
        <v>242</v>
      </c>
      <c r="R421" s="10" t="s">
        <v>241</v>
      </c>
      <c r="S421" s="10" t="s">
        <v>242</v>
      </c>
      <c r="T421" s="10" t="s">
        <v>242</v>
      </c>
      <c r="U421" s="10" t="s">
        <v>242</v>
      </c>
      <c r="V421" s="10" t="s">
        <v>241</v>
      </c>
      <c r="W421" s="10" t="s">
        <v>242</v>
      </c>
      <c r="X421" s="15">
        <f>IF(ISERROR(VLOOKUP($A421,'13. Updated Demand'!A:Z,15,FALSE)),0,VLOOKUP($A421,'13. Updated Demand'!A:Z,15,FALSE))</f>
        <v>30.33</v>
      </c>
      <c r="Y421" s="16">
        <f>IF(ISERROR(VLOOKUP($A421,'13. Updated Demand'!A:Z,16,FALSE)),0,VLOOKUP($A421,'13. Updated Demand'!A:Z,16,FALSE))</f>
        <v>0</v>
      </c>
      <c r="Z421" s="16">
        <f>IF(ISERROR(VLOOKUP($A421,'13. Updated Demand'!A:Z,17,FALSE)),0,VLOOKUP($A421,'13. Updated Demand'!A:Z,17,FALSE))</f>
        <v>0</v>
      </c>
      <c r="AA421" s="16">
        <f>IF(ISERROR(VLOOKUP($A421,'13. Updated Demand'!A:Z,18,FALSE)),0,VLOOKUP($A421,'13. Updated Demand'!A:Z,18,FALSE))</f>
        <v>0</v>
      </c>
      <c r="AB421" s="16">
        <f>IF(ISERROR(VLOOKUP($A421,'13. Updated Demand'!A:Z,19,FALSE)),0,VLOOKUP($A421,'13. Updated Demand'!A:Z,19,FALSE))</f>
        <v>0</v>
      </c>
      <c r="AC421" s="16">
        <f>IF(ISERROR(VLOOKUP($A421,'13. Updated Demand'!A:Z,20,FALSE)),0,VLOOKUP($A421,'13. Updated Demand'!A:Z,20,FALSE))</f>
        <v>0</v>
      </c>
      <c r="AD421" s="16">
        <f>IF(ISERROR(VLOOKUP($A421,'13. Updated Demand'!A:Z,21,FALSE)),0,VLOOKUP($A421,'13. Updated Demand'!A:Z,21,FALSE))</f>
        <v>0</v>
      </c>
      <c r="AE421" s="16">
        <f>IF(ISERROR(VLOOKUP($A421,'13. Updated Demand'!A:Z,22,FALSE)),0,VLOOKUP($A421,'13. Updated Demand'!A:Z,22,FALSE))</f>
        <v>0</v>
      </c>
      <c r="AF421" s="16">
        <f>IF(ISERROR(VLOOKUP($A421,'13. Updated Demand'!A:Z,23,FALSE)),0,VLOOKUP($A421,'13. Updated Demand'!A:Z,23,FALSE))</f>
        <v>0</v>
      </c>
      <c r="AG421" s="16">
        <f>IF(ISERROR(VLOOKUP($A421,'13. Updated Demand'!A:Z,24,FALSE)),0,VLOOKUP($A421,'13. Updated Demand'!A:Z,24,FALSE))</f>
        <v>0</v>
      </c>
      <c r="AH421" s="16">
        <f>IF(ISERROR(VLOOKUP($A421,'13. Updated Demand'!A:Z,25,FALSE)),0,VLOOKUP($A421,'13. Updated Demand'!A:Z,25,FALSE))</f>
        <v>4</v>
      </c>
      <c r="AI421" s="16">
        <f>IF(ISERROR(VLOOKUP($A421,'13. Updated Demand'!A:Z,26,FALSE)),0,VLOOKUP($A421,'13. Updated Demand'!A:Z,26,FALSE))</f>
        <v>0.12</v>
      </c>
      <c r="AJ421" s="16">
        <f t="shared" si="84"/>
        <v>34.449999999999996</v>
      </c>
      <c r="AK421" s="19">
        <v>0</v>
      </c>
      <c r="AL421" s="16">
        <f t="shared" si="82"/>
        <v>0</v>
      </c>
      <c r="AM421" s="17">
        <v>0.36659574464893624</v>
      </c>
      <c r="AN421" s="19"/>
      <c r="AO421" s="19"/>
      <c r="AP421" s="19">
        <v>94</v>
      </c>
      <c r="AQ421" s="19" t="s">
        <v>307</v>
      </c>
      <c r="AR421" s="9" t="s">
        <v>319</v>
      </c>
      <c r="AS421" s="12">
        <v>0</v>
      </c>
      <c r="AT421" s="19">
        <v>38.927392769999997</v>
      </c>
      <c r="AU421" s="19">
        <v>-123.08240707</v>
      </c>
      <c r="AV421" s="19" t="s">
        <v>417</v>
      </c>
    </row>
    <row r="422" spans="1:48" x14ac:dyDescent="0.25">
      <c r="A422" s="18" t="s">
        <v>800</v>
      </c>
      <c r="B422" s="10">
        <v>19890817</v>
      </c>
      <c r="C422" s="9">
        <v>16</v>
      </c>
      <c r="D422" s="8" t="str">
        <f t="shared" si="73"/>
        <v>N</v>
      </c>
      <c r="E422" s="8" t="str">
        <f t="shared" si="74"/>
        <v>N</v>
      </c>
      <c r="F422" s="8" t="str">
        <f t="shared" si="75"/>
        <v>N</v>
      </c>
      <c r="G422" s="8" t="str">
        <f t="shared" si="76"/>
        <v>N</v>
      </c>
      <c r="H422" s="8" t="str">
        <f t="shared" si="77"/>
        <v>Lower</v>
      </c>
      <c r="I422" s="8" t="str">
        <f t="shared" si="78"/>
        <v>Outside</v>
      </c>
      <c r="J422" s="8" t="str">
        <f t="shared" si="79"/>
        <v>Outside</v>
      </c>
      <c r="K422" s="8" t="str">
        <f t="shared" si="80"/>
        <v>Post-1949</v>
      </c>
      <c r="L422" s="8">
        <f t="shared" si="81"/>
        <v>1989</v>
      </c>
      <c r="M422" s="8" t="str">
        <f t="shared" si="83"/>
        <v>1971-1990</v>
      </c>
      <c r="N422" s="10" t="s">
        <v>242</v>
      </c>
      <c r="O422" s="10" t="s">
        <v>242</v>
      </c>
      <c r="P422" s="10" t="s">
        <v>242</v>
      </c>
      <c r="Q422" s="10" t="s">
        <v>242</v>
      </c>
      <c r="R422" s="10" t="s">
        <v>241</v>
      </c>
      <c r="S422" s="10" t="s">
        <v>242</v>
      </c>
      <c r="T422" s="10" t="s">
        <v>242</v>
      </c>
      <c r="U422" s="10" t="s">
        <v>242</v>
      </c>
      <c r="V422" s="10" t="s">
        <v>241</v>
      </c>
      <c r="W422" s="10" t="s">
        <v>242</v>
      </c>
      <c r="X422" s="15">
        <f>IF(ISERROR(VLOOKUP($A422,'13. Updated Demand'!A:Z,15,FALSE)),0,VLOOKUP($A422,'13. Updated Demand'!A:Z,15,FALSE))</f>
        <v>0.1</v>
      </c>
      <c r="Y422" s="16">
        <f>IF(ISERROR(VLOOKUP($A422,'13. Updated Demand'!A:Z,16,FALSE)),0,VLOOKUP($A422,'13. Updated Demand'!A:Z,16,FALSE))</f>
        <v>0</v>
      </c>
      <c r="Z422" s="16">
        <f>IF(ISERROR(VLOOKUP($A422,'13. Updated Demand'!A:Z,17,FALSE)),0,VLOOKUP($A422,'13. Updated Demand'!A:Z,17,FALSE))</f>
        <v>0</v>
      </c>
      <c r="AA422" s="16">
        <f>IF(ISERROR(VLOOKUP($A422,'13. Updated Demand'!A:Z,18,FALSE)),0,VLOOKUP($A422,'13. Updated Demand'!A:Z,18,FALSE))</f>
        <v>0</v>
      </c>
      <c r="AB422" s="16">
        <f>IF(ISERROR(VLOOKUP($A422,'13. Updated Demand'!A:Z,19,FALSE)),0,VLOOKUP($A422,'13. Updated Demand'!A:Z,19,FALSE))</f>
        <v>0</v>
      </c>
      <c r="AC422" s="16">
        <f>IF(ISERROR(VLOOKUP($A422,'13. Updated Demand'!A:Z,20,FALSE)),0,VLOOKUP($A422,'13. Updated Demand'!A:Z,20,FALSE))</f>
        <v>0</v>
      </c>
      <c r="AD422" s="16">
        <f>IF(ISERROR(VLOOKUP($A422,'13. Updated Demand'!A:Z,21,FALSE)),0,VLOOKUP($A422,'13. Updated Demand'!A:Z,21,FALSE))</f>
        <v>0</v>
      </c>
      <c r="AE422" s="16">
        <f>IF(ISERROR(VLOOKUP($A422,'13. Updated Demand'!A:Z,22,FALSE)),0,VLOOKUP($A422,'13. Updated Demand'!A:Z,22,FALSE))</f>
        <v>0</v>
      </c>
      <c r="AF422" s="16">
        <f>IF(ISERROR(VLOOKUP($A422,'13. Updated Demand'!A:Z,23,FALSE)),0,VLOOKUP($A422,'13. Updated Demand'!A:Z,23,FALSE))</f>
        <v>0</v>
      </c>
      <c r="AG422" s="16">
        <f>IF(ISERROR(VLOOKUP($A422,'13. Updated Demand'!A:Z,24,FALSE)),0,VLOOKUP($A422,'13. Updated Demand'!A:Z,24,FALSE))</f>
        <v>0</v>
      </c>
      <c r="AH422" s="16">
        <f>IF(ISERROR(VLOOKUP($A422,'13. Updated Demand'!A:Z,25,FALSE)),0,VLOOKUP($A422,'13. Updated Demand'!A:Z,25,FALSE))</f>
        <v>1.6</v>
      </c>
      <c r="AI422" s="16">
        <f>IF(ISERROR(VLOOKUP($A422,'13. Updated Demand'!A:Z,26,FALSE)),0,VLOOKUP($A422,'13. Updated Demand'!A:Z,26,FALSE))</f>
        <v>1.766666667</v>
      </c>
      <c r="AJ422" s="16">
        <f t="shared" si="84"/>
        <v>3.4666666670000001</v>
      </c>
      <c r="AK422" s="19">
        <v>0</v>
      </c>
      <c r="AL422" s="16">
        <f t="shared" si="82"/>
        <v>0</v>
      </c>
      <c r="AM422" s="17">
        <v>0.24761904764285717</v>
      </c>
      <c r="AN422" s="19"/>
      <c r="AO422" s="19"/>
      <c r="AP422" s="19">
        <v>14</v>
      </c>
      <c r="AQ422" s="19" t="s">
        <v>307</v>
      </c>
      <c r="AR422" s="9" t="s">
        <v>394</v>
      </c>
      <c r="AS422" s="12">
        <v>0</v>
      </c>
      <c r="AT422" s="19">
        <v>38.613300000000002</v>
      </c>
      <c r="AU422" s="19">
        <v>-122.8991</v>
      </c>
      <c r="AV422" s="19" t="s">
        <v>417</v>
      </c>
    </row>
    <row r="423" spans="1:48" x14ac:dyDescent="0.25">
      <c r="A423" s="18" t="s">
        <v>801</v>
      </c>
      <c r="B423" s="10">
        <v>19890703</v>
      </c>
      <c r="C423" s="9">
        <v>16</v>
      </c>
      <c r="D423" s="8" t="str">
        <f t="shared" si="73"/>
        <v>N</v>
      </c>
      <c r="E423" s="8" t="str">
        <f t="shared" si="74"/>
        <v>N</v>
      </c>
      <c r="F423" s="8" t="str">
        <f t="shared" si="75"/>
        <v>N</v>
      </c>
      <c r="G423" s="8" t="str">
        <f t="shared" si="76"/>
        <v>N</v>
      </c>
      <c r="H423" s="8" t="str">
        <f t="shared" si="77"/>
        <v>Lower</v>
      </c>
      <c r="I423" s="8" t="str">
        <f t="shared" si="78"/>
        <v>Outside</v>
      </c>
      <c r="J423" s="8" t="str">
        <f t="shared" si="79"/>
        <v>Outside</v>
      </c>
      <c r="K423" s="8" t="str">
        <f t="shared" si="80"/>
        <v>Post-1949</v>
      </c>
      <c r="L423" s="8">
        <f t="shared" si="81"/>
        <v>1989</v>
      </c>
      <c r="M423" s="8" t="str">
        <f t="shared" si="83"/>
        <v>1971-1990</v>
      </c>
      <c r="N423" s="10" t="s">
        <v>242</v>
      </c>
      <c r="O423" s="10" t="s">
        <v>242</v>
      </c>
      <c r="P423" s="10" t="s">
        <v>242</v>
      </c>
      <c r="Q423" s="10" t="s">
        <v>242</v>
      </c>
      <c r="R423" s="10" t="s">
        <v>241</v>
      </c>
      <c r="S423" s="10" t="s">
        <v>242</v>
      </c>
      <c r="T423" s="10" t="s">
        <v>242</v>
      </c>
      <c r="U423" s="10" t="s">
        <v>241</v>
      </c>
      <c r="V423" s="10" t="s">
        <v>241</v>
      </c>
      <c r="W423" s="10" t="s">
        <v>242</v>
      </c>
      <c r="X423" s="15">
        <f>IF(ISERROR(VLOOKUP($A423,'13. Updated Demand'!A:Z,15,FALSE)),0,VLOOKUP($A423,'13. Updated Demand'!A:Z,15,FALSE))</f>
        <v>0</v>
      </c>
      <c r="Y423" s="16">
        <f>IF(ISERROR(VLOOKUP($A423,'13. Updated Demand'!A:Z,16,FALSE)),0,VLOOKUP($A423,'13. Updated Demand'!A:Z,16,FALSE))</f>
        <v>0</v>
      </c>
      <c r="Z423" s="16">
        <f>IF(ISERROR(VLOOKUP($A423,'13. Updated Demand'!A:Z,17,FALSE)),0,VLOOKUP($A423,'13. Updated Demand'!A:Z,17,FALSE))</f>
        <v>0</v>
      </c>
      <c r="AA423" s="16">
        <f>IF(ISERROR(VLOOKUP($A423,'13. Updated Demand'!A:Z,18,FALSE)),0,VLOOKUP($A423,'13. Updated Demand'!A:Z,18,FALSE))</f>
        <v>0</v>
      </c>
      <c r="AB423" s="16">
        <f>IF(ISERROR(VLOOKUP($A423,'13. Updated Demand'!A:Z,19,FALSE)),0,VLOOKUP($A423,'13. Updated Demand'!A:Z,19,FALSE))</f>
        <v>0</v>
      </c>
      <c r="AC423" s="16">
        <f>IF(ISERROR(VLOOKUP($A423,'13. Updated Demand'!A:Z,20,FALSE)),0,VLOOKUP($A423,'13. Updated Demand'!A:Z,20,FALSE))</f>
        <v>0</v>
      </c>
      <c r="AD423" s="16">
        <f>IF(ISERROR(VLOOKUP($A423,'13. Updated Demand'!A:Z,21,FALSE)),0,VLOOKUP($A423,'13. Updated Demand'!A:Z,21,FALSE))</f>
        <v>0</v>
      </c>
      <c r="AE423" s="16">
        <f>IF(ISERROR(VLOOKUP($A423,'13. Updated Demand'!A:Z,22,FALSE)),0,VLOOKUP($A423,'13. Updated Demand'!A:Z,22,FALSE))</f>
        <v>0</v>
      </c>
      <c r="AF423" s="16">
        <f>IF(ISERROR(VLOOKUP($A423,'13. Updated Demand'!A:Z,23,FALSE)),0,VLOOKUP($A423,'13. Updated Demand'!A:Z,23,FALSE))</f>
        <v>0</v>
      </c>
      <c r="AG423" s="16">
        <f>IF(ISERROR(VLOOKUP($A423,'13. Updated Demand'!A:Z,24,FALSE)),0,VLOOKUP($A423,'13. Updated Demand'!A:Z,24,FALSE))</f>
        <v>0</v>
      </c>
      <c r="AH423" s="16">
        <f>IF(ISERROR(VLOOKUP($A423,'13. Updated Demand'!A:Z,25,FALSE)),0,VLOOKUP($A423,'13. Updated Demand'!A:Z,25,FALSE))</f>
        <v>0</v>
      </c>
      <c r="AI423" s="16">
        <f>IF(ISERROR(VLOOKUP($A423,'13. Updated Demand'!A:Z,26,FALSE)),0,VLOOKUP($A423,'13. Updated Demand'!A:Z,26,FALSE))</f>
        <v>0</v>
      </c>
      <c r="AJ423" s="16">
        <f t="shared" si="84"/>
        <v>0</v>
      </c>
      <c r="AK423" s="19">
        <v>0</v>
      </c>
      <c r="AL423" s="16">
        <f t="shared" si="82"/>
        <v>0</v>
      </c>
      <c r="AM423" s="17">
        <v>0</v>
      </c>
      <c r="AN423" s="19"/>
      <c r="AO423" s="19"/>
      <c r="AP423" s="19">
        <v>0.6</v>
      </c>
      <c r="AQ423" s="19" t="s">
        <v>307</v>
      </c>
      <c r="AR423" s="9" t="s">
        <v>394</v>
      </c>
      <c r="AS423" s="12">
        <v>3.4039024194010059E-4</v>
      </c>
      <c r="AT423" s="19">
        <v>38.579626130000001</v>
      </c>
      <c r="AU423" s="19">
        <v>-122.88612394</v>
      </c>
      <c r="AV423" s="19" t="s">
        <v>802</v>
      </c>
    </row>
    <row r="424" spans="1:48" x14ac:dyDescent="0.25">
      <c r="A424" s="18" t="s">
        <v>803</v>
      </c>
      <c r="B424" s="10">
        <v>19890327</v>
      </c>
      <c r="C424" s="9">
        <v>1</v>
      </c>
      <c r="D424" s="8" t="str">
        <f t="shared" si="73"/>
        <v>N</v>
      </c>
      <c r="E424" s="8" t="str">
        <f t="shared" si="74"/>
        <v>N</v>
      </c>
      <c r="F424" s="8" t="str">
        <f t="shared" si="75"/>
        <v>Y</v>
      </c>
      <c r="G424" s="8" t="str">
        <f t="shared" si="76"/>
        <v>Y</v>
      </c>
      <c r="H424" s="8" t="str">
        <f t="shared" si="77"/>
        <v>Upper</v>
      </c>
      <c r="I424" s="8" t="str">
        <f t="shared" si="78"/>
        <v>West Fork and Below Lake</v>
      </c>
      <c r="J424" s="8" t="str">
        <f t="shared" si="79"/>
        <v>Outside</v>
      </c>
      <c r="K424" s="8" t="str">
        <f t="shared" si="80"/>
        <v>Post-1949</v>
      </c>
      <c r="L424" s="8">
        <f t="shared" si="81"/>
        <v>1989</v>
      </c>
      <c r="M424" s="8" t="str">
        <f t="shared" si="83"/>
        <v>1971-1990</v>
      </c>
      <c r="N424" s="10" t="s">
        <v>242</v>
      </c>
      <c r="O424" s="10" t="s">
        <v>241</v>
      </c>
      <c r="P424" s="10" t="s">
        <v>242</v>
      </c>
      <c r="Q424" s="10" t="s">
        <v>242</v>
      </c>
      <c r="R424" s="10" t="s">
        <v>241</v>
      </c>
      <c r="S424" s="10" t="s">
        <v>242</v>
      </c>
      <c r="T424" s="10" t="s">
        <v>242</v>
      </c>
      <c r="U424" s="10" t="s">
        <v>241</v>
      </c>
      <c r="V424" s="10" t="s">
        <v>241</v>
      </c>
      <c r="W424" s="10" t="s">
        <v>242</v>
      </c>
      <c r="X424" s="15">
        <f>IF(ISERROR(VLOOKUP($A424,'13. Updated Demand'!A:Z,15,FALSE)),0,VLOOKUP($A424,'13. Updated Demand'!A:Z,15,FALSE))</f>
        <v>0</v>
      </c>
      <c r="Y424" s="16">
        <f>IF(ISERROR(VLOOKUP($A424,'13. Updated Demand'!A:Z,16,FALSE)),0,VLOOKUP($A424,'13. Updated Demand'!A:Z,16,FALSE))</f>
        <v>0</v>
      </c>
      <c r="Z424" s="16">
        <f>IF(ISERROR(VLOOKUP($A424,'13. Updated Demand'!A:Z,17,FALSE)),0,VLOOKUP($A424,'13. Updated Demand'!A:Z,17,FALSE))</f>
        <v>0</v>
      </c>
      <c r="AA424" s="16">
        <f>IF(ISERROR(VLOOKUP($A424,'13. Updated Demand'!A:Z,18,FALSE)),0,VLOOKUP($A424,'13. Updated Demand'!A:Z,18,FALSE))</f>
        <v>0</v>
      </c>
      <c r="AB424" s="16">
        <f>IF(ISERROR(VLOOKUP($A424,'13. Updated Demand'!A:Z,19,FALSE)),0,VLOOKUP($A424,'13. Updated Demand'!A:Z,19,FALSE))</f>
        <v>0</v>
      </c>
      <c r="AC424" s="16">
        <f>IF(ISERROR(VLOOKUP($A424,'13. Updated Demand'!A:Z,20,FALSE)),0,VLOOKUP($A424,'13. Updated Demand'!A:Z,20,FALSE))</f>
        <v>0</v>
      </c>
      <c r="AD424" s="16">
        <f>IF(ISERROR(VLOOKUP($A424,'13. Updated Demand'!A:Z,21,FALSE)),0,VLOOKUP($A424,'13. Updated Demand'!A:Z,21,FALSE))</f>
        <v>0</v>
      </c>
      <c r="AE424" s="16">
        <f>IF(ISERROR(VLOOKUP($A424,'13. Updated Demand'!A:Z,22,FALSE)),0,VLOOKUP($A424,'13. Updated Demand'!A:Z,22,FALSE))</f>
        <v>0</v>
      </c>
      <c r="AF424" s="16">
        <f>IF(ISERROR(VLOOKUP($A424,'13. Updated Demand'!A:Z,23,FALSE)),0,VLOOKUP($A424,'13. Updated Demand'!A:Z,23,FALSE))</f>
        <v>0</v>
      </c>
      <c r="AG424" s="16">
        <f>IF(ISERROR(VLOOKUP($A424,'13. Updated Demand'!A:Z,24,FALSE)),0,VLOOKUP($A424,'13. Updated Demand'!A:Z,24,FALSE))</f>
        <v>0</v>
      </c>
      <c r="AH424" s="16">
        <f>IF(ISERROR(VLOOKUP($A424,'13. Updated Demand'!A:Z,25,FALSE)),0,VLOOKUP($A424,'13. Updated Demand'!A:Z,25,FALSE))</f>
        <v>0</v>
      </c>
      <c r="AI424" s="16">
        <f>IF(ISERROR(VLOOKUP($A424,'13. Updated Demand'!A:Z,26,FALSE)),0,VLOOKUP($A424,'13. Updated Demand'!A:Z,26,FALSE))</f>
        <v>0</v>
      </c>
      <c r="AJ424" s="16">
        <f t="shared" si="84"/>
        <v>0</v>
      </c>
      <c r="AK424" s="19">
        <v>0</v>
      </c>
      <c r="AL424" s="16">
        <f t="shared" si="82"/>
        <v>0</v>
      </c>
      <c r="AM424" s="17">
        <v>0</v>
      </c>
      <c r="AN424" s="19"/>
      <c r="AO424" s="19"/>
      <c r="AP424" s="19">
        <v>5</v>
      </c>
      <c r="AQ424" s="19" t="s">
        <v>307</v>
      </c>
      <c r="AR424" s="9" t="s">
        <v>317</v>
      </c>
      <c r="AS424" s="12">
        <v>3.4039024194010059E-4</v>
      </c>
      <c r="AT424" s="19">
        <v>39.238500000000002</v>
      </c>
      <c r="AU424" s="19">
        <v>-123.2878</v>
      </c>
      <c r="AV424" s="19" t="s">
        <v>385</v>
      </c>
    </row>
    <row r="425" spans="1:48" x14ac:dyDescent="0.25">
      <c r="A425" s="18" t="s">
        <v>804</v>
      </c>
      <c r="B425" s="10">
        <v>19890920</v>
      </c>
      <c r="C425" s="9">
        <v>1</v>
      </c>
      <c r="D425" s="8" t="str">
        <f t="shared" si="73"/>
        <v>N</v>
      </c>
      <c r="E425" s="8" t="str">
        <f t="shared" si="74"/>
        <v>N</v>
      </c>
      <c r="F425" s="8" t="str">
        <f t="shared" si="75"/>
        <v>Y</v>
      </c>
      <c r="G425" s="8" t="str">
        <f t="shared" si="76"/>
        <v>Y</v>
      </c>
      <c r="H425" s="8" t="str">
        <f t="shared" si="77"/>
        <v>Upper</v>
      </c>
      <c r="I425" s="8" t="str">
        <f t="shared" si="78"/>
        <v>West Fork and Below Lake</v>
      </c>
      <c r="J425" s="8" t="str">
        <f t="shared" si="79"/>
        <v>Outside</v>
      </c>
      <c r="K425" s="8" t="str">
        <f t="shared" si="80"/>
        <v>Post-1949</v>
      </c>
      <c r="L425" s="8">
        <f t="shared" si="81"/>
        <v>1989</v>
      </c>
      <c r="M425" s="8" t="str">
        <f t="shared" si="83"/>
        <v>1971-1990</v>
      </c>
      <c r="N425" s="10" t="s">
        <v>242</v>
      </c>
      <c r="O425" s="10" t="s">
        <v>241</v>
      </c>
      <c r="P425" s="10" t="s">
        <v>242</v>
      </c>
      <c r="Q425" s="10" t="s">
        <v>242</v>
      </c>
      <c r="R425" s="10" t="s">
        <v>241</v>
      </c>
      <c r="S425" s="10" t="s">
        <v>242</v>
      </c>
      <c r="T425" s="10" t="s">
        <v>242</v>
      </c>
      <c r="U425" s="10" t="s">
        <v>241</v>
      </c>
      <c r="V425" s="10" t="s">
        <v>241</v>
      </c>
      <c r="W425" s="10" t="s">
        <v>242</v>
      </c>
      <c r="X425" s="15">
        <f>IF(ISERROR(VLOOKUP($A425,'13. Updated Demand'!A:Z,15,FALSE)),0,VLOOKUP($A425,'13. Updated Demand'!A:Z,15,FALSE))</f>
        <v>0</v>
      </c>
      <c r="Y425" s="16">
        <f>IF(ISERROR(VLOOKUP($A425,'13. Updated Demand'!A:Z,16,FALSE)),0,VLOOKUP($A425,'13. Updated Demand'!A:Z,16,FALSE))</f>
        <v>0</v>
      </c>
      <c r="Z425" s="16">
        <f>IF(ISERROR(VLOOKUP($A425,'13. Updated Demand'!A:Z,17,FALSE)),0,VLOOKUP($A425,'13. Updated Demand'!A:Z,17,FALSE))</f>
        <v>0</v>
      </c>
      <c r="AA425" s="16">
        <f>IF(ISERROR(VLOOKUP($A425,'13. Updated Demand'!A:Z,18,FALSE)),0,VLOOKUP($A425,'13. Updated Demand'!A:Z,18,FALSE))</f>
        <v>0</v>
      </c>
      <c r="AB425" s="16">
        <f>IF(ISERROR(VLOOKUP($A425,'13. Updated Demand'!A:Z,19,FALSE)),0,VLOOKUP($A425,'13. Updated Demand'!A:Z,19,FALSE))</f>
        <v>0</v>
      </c>
      <c r="AC425" s="16">
        <f>IF(ISERROR(VLOOKUP($A425,'13. Updated Demand'!A:Z,20,FALSE)),0,VLOOKUP($A425,'13. Updated Demand'!A:Z,20,FALSE))</f>
        <v>0</v>
      </c>
      <c r="AD425" s="16">
        <f>IF(ISERROR(VLOOKUP($A425,'13. Updated Demand'!A:Z,21,FALSE)),0,VLOOKUP($A425,'13. Updated Demand'!A:Z,21,FALSE))</f>
        <v>0</v>
      </c>
      <c r="AE425" s="16">
        <f>IF(ISERROR(VLOOKUP($A425,'13. Updated Demand'!A:Z,22,FALSE)),0,VLOOKUP($A425,'13. Updated Demand'!A:Z,22,FALSE))</f>
        <v>0</v>
      </c>
      <c r="AF425" s="16">
        <f>IF(ISERROR(VLOOKUP($A425,'13. Updated Demand'!A:Z,23,FALSE)),0,VLOOKUP($A425,'13. Updated Demand'!A:Z,23,FALSE))</f>
        <v>0</v>
      </c>
      <c r="AG425" s="16">
        <f>IF(ISERROR(VLOOKUP($A425,'13. Updated Demand'!A:Z,24,FALSE)),0,VLOOKUP($A425,'13. Updated Demand'!A:Z,24,FALSE))</f>
        <v>0</v>
      </c>
      <c r="AH425" s="16">
        <f>IF(ISERROR(VLOOKUP($A425,'13. Updated Demand'!A:Z,25,FALSE)),0,VLOOKUP($A425,'13. Updated Demand'!A:Z,25,FALSE))</f>
        <v>0</v>
      </c>
      <c r="AI425" s="16">
        <f>IF(ISERROR(VLOOKUP($A425,'13. Updated Demand'!A:Z,26,FALSE)),0,VLOOKUP($A425,'13. Updated Demand'!A:Z,26,FALSE))</f>
        <v>0</v>
      </c>
      <c r="AJ425" s="16">
        <f t="shared" si="84"/>
        <v>0</v>
      </c>
      <c r="AK425" s="19">
        <v>0</v>
      </c>
      <c r="AL425" s="16">
        <f t="shared" si="82"/>
        <v>0</v>
      </c>
      <c r="AM425" s="17">
        <v>0</v>
      </c>
      <c r="AN425" s="19"/>
      <c r="AO425" s="19"/>
      <c r="AP425" s="19">
        <v>2.5</v>
      </c>
      <c r="AQ425" s="19" t="s">
        <v>307</v>
      </c>
      <c r="AR425" s="9" t="s">
        <v>317</v>
      </c>
      <c r="AS425" s="12">
        <v>3.4039024194010059E-4</v>
      </c>
      <c r="AT425" s="19">
        <v>39.300516450000003</v>
      </c>
      <c r="AU425" s="19">
        <v>-123.22612958000001</v>
      </c>
      <c r="AV425" s="19" t="s">
        <v>417</v>
      </c>
    </row>
    <row r="426" spans="1:48" x14ac:dyDescent="0.25">
      <c r="A426" s="18" t="s">
        <v>805</v>
      </c>
      <c r="B426" s="10">
        <v>19880310</v>
      </c>
      <c r="C426" s="9">
        <v>1</v>
      </c>
      <c r="D426" s="8" t="str">
        <f t="shared" si="73"/>
        <v>N</v>
      </c>
      <c r="E426" s="8" t="str">
        <f t="shared" si="74"/>
        <v>N</v>
      </c>
      <c r="F426" s="8" t="str">
        <f t="shared" si="75"/>
        <v>Y</v>
      </c>
      <c r="G426" s="8" t="str">
        <f t="shared" si="76"/>
        <v>Y</v>
      </c>
      <c r="H426" s="8" t="str">
        <f t="shared" si="77"/>
        <v>Upper</v>
      </c>
      <c r="I426" s="8" t="str">
        <f t="shared" si="78"/>
        <v>West Fork and Below Lake</v>
      </c>
      <c r="J426" s="8" t="str">
        <f t="shared" si="79"/>
        <v>Outside</v>
      </c>
      <c r="K426" s="8" t="str">
        <f t="shared" si="80"/>
        <v>Post-1949</v>
      </c>
      <c r="L426" s="8">
        <f t="shared" si="81"/>
        <v>1988</v>
      </c>
      <c r="M426" s="8" t="str">
        <f t="shared" si="83"/>
        <v>1971-1990</v>
      </c>
      <c r="N426" s="10" t="s">
        <v>242</v>
      </c>
      <c r="O426" s="10" t="s">
        <v>241</v>
      </c>
      <c r="P426" s="10" t="s">
        <v>242</v>
      </c>
      <c r="Q426" s="10" t="s">
        <v>242</v>
      </c>
      <c r="R426" s="10" t="s">
        <v>241</v>
      </c>
      <c r="S426" s="10" t="s">
        <v>242</v>
      </c>
      <c r="T426" s="10" t="s">
        <v>242</v>
      </c>
      <c r="U426" s="10" t="s">
        <v>242</v>
      </c>
      <c r="V426" s="10" t="s">
        <v>241</v>
      </c>
      <c r="W426" s="10" t="s">
        <v>242</v>
      </c>
      <c r="X426" s="15">
        <f>IF(ISERROR(VLOOKUP($A426,'13. Updated Demand'!A:Z,15,FALSE)),0,VLOOKUP($A426,'13. Updated Demand'!A:Z,15,FALSE))</f>
        <v>46.56</v>
      </c>
      <c r="Y426" s="16">
        <f>IF(ISERROR(VLOOKUP($A426,'13. Updated Demand'!A:Z,16,FALSE)),0,VLOOKUP($A426,'13. Updated Demand'!A:Z,16,FALSE))</f>
        <v>0</v>
      </c>
      <c r="Z426" s="16">
        <f>IF(ISERROR(VLOOKUP($A426,'13. Updated Demand'!A:Z,17,FALSE)),0,VLOOKUP($A426,'13. Updated Demand'!A:Z,17,FALSE))</f>
        <v>0</v>
      </c>
      <c r="AA426" s="16">
        <f>IF(ISERROR(VLOOKUP($A426,'13. Updated Demand'!A:Z,18,FALSE)),0,VLOOKUP($A426,'13. Updated Demand'!A:Z,18,FALSE))</f>
        <v>0</v>
      </c>
      <c r="AB426" s="16">
        <f>IF(ISERROR(VLOOKUP($A426,'13. Updated Demand'!A:Z,19,FALSE)),0,VLOOKUP($A426,'13. Updated Demand'!A:Z,19,FALSE))</f>
        <v>0</v>
      </c>
      <c r="AC426" s="16">
        <f>IF(ISERROR(VLOOKUP($A426,'13. Updated Demand'!A:Z,20,FALSE)),0,VLOOKUP($A426,'13. Updated Demand'!A:Z,20,FALSE))</f>
        <v>0</v>
      </c>
      <c r="AD426" s="16">
        <f>IF(ISERROR(VLOOKUP($A426,'13. Updated Demand'!A:Z,21,FALSE)),0,VLOOKUP($A426,'13. Updated Demand'!A:Z,21,FALSE))</f>
        <v>0</v>
      </c>
      <c r="AE426" s="16">
        <f>IF(ISERROR(VLOOKUP($A426,'13. Updated Demand'!A:Z,22,FALSE)),0,VLOOKUP($A426,'13. Updated Demand'!A:Z,22,FALSE))</f>
        <v>0</v>
      </c>
      <c r="AF426" s="16">
        <f>IF(ISERROR(VLOOKUP($A426,'13. Updated Demand'!A:Z,23,FALSE)),0,VLOOKUP($A426,'13. Updated Demand'!A:Z,23,FALSE))</f>
        <v>0</v>
      </c>
      <c r="AG426" s="16">
        <f>IF(ISERROR(VLOOKUP($A426,'13. Updated Demand'!A:Z,24,FALSE)),0,VLOOKUP($A426,'13. Updated Demand'!A:Z,24,FALSE))</f>
        <v>0</v>
      </c>
      <c r="AH426" s="16">
        <f>IF(ISERROR(VLOOKUP($A426,'13. Updated Demand'!A:Z,25,FALSE)),0,VLOOKUP($A426,'13. Updated Demand'!A:Z,25,FALSE))</f>
        <v>0</v>
      </c>
      <c r="AI426" s="16">
        <f>IF(ISERROR(VLOOKUP($A426,'13. Updated Demand'!A:Z,26,FALSE)),0,VLOOKUP($A426,'13. Updated Demand'!A:Z,26,FALSE))</f>
        <v>0</v>
      </c>
      <c r="AJ426" s="16">
        <f t="shared" si="84"/>
        <v>46.56</v>
      </c>
      <c r="AK426" s="19">
        <v>0</v>
      </c>
      <c r="AL426" s="16">
        <f t="shared" si="82"/>
        <v>0</v>
      </c>
      <c r="AM426" s="17">
        <v>0.35820512823076922</v>
      </c>
      <c r="AN426" s="19"/>
      <c r="AO426" s="19"/>
      <c r="AP426" s="19">
        <v>130</v>
      </c>
      <c r="AQ426" s="19" t="s">
        <v>307</v>
      </c>
      <c r="AR426" s="9" t="s">
        <v>317</v>
      </c>
      <c r="AS426" s="12">
        <v>0</v>
      </c>
      <c r="AT426" s="19">
        <v>39.28925959</v>
      </c>
      <c r="AU426" s="19">
        <v>-123.22602247</v>
      </c>
      <c r="AV426" s="19" t="s">
        <v>417</v>
      </c>
    </row>
    <row r="427" spans="1:48" x14ac:dyDescent="0.25">
      <c r="A427" s="18" t="s">
        <v>806</v>
      </c>
      <c r="B427" s="10">
        <v>19880310</v>
      </c>
      <c r="C427" s="9">
        <v>1</v>
      </c>
      <c r="D427" s="8" t="str">
        <f t="shared" si="73"/>
        <v>N</v>
      </c>
      <c r="E427" s="8" t="str">
        <f t="shared" si="74"/>
        <v>N</v>
      </c>
      <c r="F427" s="8" t="str">
        <f t="shared" si="75"/>
        <v>Y</v>
      </c>
      <c r="G427" s="8" t="str">
        <f t="shared" si="76"/>
        <v>Y</v>
      </c>
      <c r="H427" s="8" t="str">
        <f t="shared" si="77"/>
        <v>Upper</v>
      </c>
      <c r="I427" s="8" t="str">
        <f t="shared" si="78"/>
        <v>West Fork and Below Lake</v>
      </c>
      <c r="J427" s="8" t="str">
        <f t="shared" si="79"/>
        <v>Outside</v>
      </c>
      <c r="K427" s="8" t="str">
        <f t="shared" si="80"/>
        <v>Post-1949</v>
      </c>
      <c r="L427" s="8">
        <f t="shared" si="81"/>
        <v>1988</v>
      </c>
      <c r="M427" s="8" t="str">
        <f t="shared" si="83"/>
        <v>1971-1990</v>
      </c>
      <c r="N427" s="10" t="s">
        <v>242</v>
      </c>
      <c r="O427" s="10" t="s">
        <v>241</v>
      </c>
      <c r="P427" s="10" t="s">
        <v>242</v>
      </c>
      <c r="Q427" s="10" t="s">
        <v>242</v>
      </c>
      <c r="R427" s="10" t="s">
        <v>241</v>
      </c>
      <c r="S427" s="10" t="s">
        <v>242</v>
      </c>
      <c r="T427" s="10" t="s">
        <v>242</v>
      </c>
      <c r="U427" s="10" t="s">
        <v>241</v>
      </c>
      <c r="V427" s="10" t="s">
        <v>241</v>
      </c>
      <c r="W427" s="10" t="s">
        <v>242</v>
      </c>
      <c r="X427" s="15">
        <f>IF(ISERROR(VLOOKUP($A427,'13. Updated Demand'!A:Z,15,FALSE)),0,VLOOKUP($A427,'13. Updated Demand'!A:Z,15,FALSE))</f>
        <v>0</v>
      </c>
      <c r="Y427" s="16">
        <f>IF(ISERROR(VLOOKUP($A427,'13. Updated Demand'!A:Z,16,FALSE)),0,VLOOKUP($A427,'13. Updated Demand'!A:Z,16,FALSE))</f>
        <v>0</v>
      </c>
      <c r="Z427" s="16">
        <f>IF(ISERROR(VLOOKUP($A427,'13. Updated Demand'!A:Z,17,FALSE)),0,VLOOKUP($A427,'13. Updated Demand'!A:Z,17,FALSE))</f>
        <v>0</v>
      </c>
      <c r="AA427" s="16">
        <f>IF(ISERROR(VLOOKUP($A427,'13. Updated Demand'!A:Z,18,FALSE)),0,VLOOKUP($A427,'13. Updated Demand'!A:Z,18,FALSE))</f>
        <v>0</v>
      </c>
      <c r="AB427" s="16">
        <f>IF(ISERROR(VLOOKUP($A427,'13. Updated Demand'!A:Z,19,FALSE)),0,VLOOKUP($A427,'13. Updated Demand'!A:Z,19,FALSE))</f>
        <v>0</v>
      </c>
      <c r="AC427" s="16">
        <f>IF(ISERROR(VLOOKUP($A427,'13. Updated Demand'!A:Z,20,FALSE)),0,VLOOKUP($A427,'13. Updated Demand'!A:Z,20,FALSE))</f>
        <v>0</v>
      </c>
      <c r="AD427" s="16">
        <f>IF(ISERROR(VLOOKUP($A427,'13. Updated Demand'!A:Z,21,FALSE)),0,VLOOKUP($A427,'13. Updated Demand'!A:Z,21,FALSE))</f>
        <v>0</v>
      </c>
      <c r="AE427" s="16">
        <f>IF(ISERROR(VLOOKUP($A427,'13. Updated Demand'!A:Z,22,FALSE)),0,VLOOKUP($A427,'13. Updated Demand'!A:Z,22,FALSE))</f>
        <v>0</v>
      </c>
      <c r="AF427" s="16">
        <f>IF(ISERROR(VLOOKUP($A427,'13. Updated Demand'!A:Z,23,FALSE)),0,VLOOKUP($A427,'13. Updated Demand'!A:Z,23,FALSE))</f>
        <v>0</v>
      </c>
      <c r="AG427" s="16">
        <f>IF(ISERROR(VLOOKUP($A427,'13. Updated Demand'!A:Z,24,FALSE)),0,VLOOKUP($A427,'13. Updated Demand'!A:Z,24,FALSE))</f>
        <v>0</v>
      </c>
      <c r="AH427" s="16">
        <f>IF(ISERROR(VLOOKUP($A427,'13. Updated Demand'!A:Z,25,FALSE)),0,VLOOKUP($A427,'13. Updated Demand'!A:Z,25,FALSE))</f>
        <v>0</v>
      </c>
      <c r="AI427" s="16">
        <f>IF(ISERROR(VLOOKUP($A427,'13. Updated Demand'!A:Z,26,FALSE)),0,VLOOKUP($A427,'13. Updated Demand'!A:Z,26,FALSE))</f>
        <v>0</v>
      </c>
      <c r="AJ427" s="16">
        <f t="shared" si="84"/>
        <v>0</v>
      </c>
      <c r="AK427" s="19">
        <v>0</v>
      </c>
      <c r="AL427" s="16">
        <f t="shared" si="82"/>
        <v>0</v>
      </c>
      <c r="AM427" s="17">
        <v>0</v>
      </c>
      <c r="AN427" s="19"/>
      <c r="AO427" s="19"/>
      <c r="AP427" s="19">
        <v>120</v>
      </c>
      <c r="AQ427" s="19" t="s">
        <v>307</v>
      </c>
      <c r="AR427" s="9" t="s">
        <v>317</v>
      </c>
      <c r="AS427" s="12">
        <v>0</v>
      </c>
      <c r="AT427" s="19">
        <v>39.28925959</v>
      </c>
      <c r="AU427" s="19">
        <v>-123.22602247</v>
      </c>
      <c r="AV427" s="19" t="s">
        <v>417</v>
      </c>
    </row>
    <row r="428" spans="1:48" x14ac:dyDescent="0.25">
      <c r="A428" s="18" t="s">
        <v>807</v>
      </c>
      <c r="B428" s="10">
        <v>19880615</v>
      </c>
      <c r="C428" s="9">
        <v>11</v>
      </c>
      <c r="D428" s="8" t="str">
        <f t="shared" si="73"/>
        <v>N</v>
      </c>
      <c r="E428" s="8" t="str">
        <f t="shared" si="74"/>
        <v>Y</v>
      </c>
      <c r="F428" s="8" t="str">
        <f t="shared" si="75"/>
        <v>Y</v>
      </c>
      <c r="G428" s="8" t="str">
        <f t="shared" si="76"/>
        <v>Y</v>
      </c>
      <c r="H428" s="8" t="str">
        <f t="shared" si="77"/>
        <v>Upper</v>
      </c>
      <c r="I428" s="8" t="str">
        <f t="shared" si="78"/>
        <v>West Fork and Below Lake</v>
      </c>
      <c r="J428" s="8" t="str">
        <f t="shared" si="79"/>
        <v>Sonoma (d/s of Clov. Gage)</v>
      </c>
      <c r="K428" s="8" t="str">
        <f t="shared" si="80"/>
        <v>Post-1949</v>
      </c>
      <c r="L428" s="8">
        <f t="shared" si="81"/>
        <v>1988</v>
      </c>
      <c r="M428" s="8" t="str">
        <f t="shared" si="83"/>
        <v>1971-1990</v>
      </c>
      <c r="N428" s="10" t="s">
        <v>242</v>
      </c>
      <c r="O428" s="10" t="s">
        <v>241</v>
      </c>
      <c r="P428" s="10" t="s">
        <v>242</v>
      </c>
      <c r="Q428" s="10" t="s">
        <v>242</v>
      </c>
      <c r="R428" s="10" t="s">
        <v>241</v>
      </c>
      <c r="S428" s="10" t="s">
        <v>242</v>
      </c>
      <c r="T428" s="10" t="s">
        <v>242</v>
      </c>
      <c r="U428" s="10" t="s">
        <v>241</v>
      </c>
      <c r="V428" s="10" t="s">
        <v>241</v>
      </c>
      <c r="W428" s="10" t="s">
        <v>242</v>
      </c>
      <c r="X428" s="15">
        <f>IF(ISERROR(VLOOKUP($A428,'13. Updated Demand'!A:Z,15,FALSE)),0,VLOOKUP($A428,'13. Updated Demand'!A:Z,15,FALSE))</f>
        <v>0</v>
      </c>
      <c r="Y428" s="16">
        <f>IF(ISERROR(VLOOKUP($A428,'13. Updated Demand'!A:Z,16,FALSE)),0,VLOOKUP($A428,'13. Updated Demand'!A:Z,16,FALSE))</f>
        <v>0</v>
      </c>
      <c r="Z428" s="16">
        <f>IF(ISERROR(VLOOKUP($A428,'13. Updated Demand'!A:Z,17,FALSE)),0,VLOOKUP($A428,'13. Updated Demand'!A:Z,17,FALSE))</f>
        <v>0</v>
      </c>
      <c r="AA428" s="16">
        <f>IF(ISERROR(VLOOKUP($A428,'13. Updated Demand'!A:Z,18,FALSE)),0,VLOOKUP($A428,'13. Updated Demand'!A:Z,18,FALSE))</f>
        <v>0</v>
      </c>
      <c r="AB428" s="16">
        <f>IF(ISERROR(VLOOKUP($A428,'13. Updated Demand'!A:Z,19,FALSE)),0,VLOOKUP($A428,'13. Updated Demand'!A:Z,19,FALSE))</f>
        <v>0</v>
      </c>
      <c r="AC428" s="16">
        <f>IF(ISERROR(VLOOKUP($A428,'13. Updated Demand'!A:Z,20,FALSE)),0,VLOOKUP($A428,'13. Updated Demand'!A:Z,20,FALSE))</f>
        <v>0</v>
      </c>
      <c r="AD428" s="16">
        <f>IF(ISERROR(VLOOKUP($A428,'13. Updated Demand'!A:Z,21,FALSE)),0,VLOOKUP($A428,'13. Updated Demand'!A:Z,21,FALSE))</f>
        <v>0</v>
      </c>
      <c r="AE428" s="16">
        <f>IF(ISERROR(VLOOKUP($A428,'13. Updated Demand'!A:Z,22,FALSE)),0,VLOOKUP($A428,'13. Updated Demand'!A:Z,22,FALSE))</f>
        <v>0</v>
      </c>
      <c r="AF428" s="16">
        <f>IF(ISERROR(VLOOKUP($A428,'13. Updated Demand'!A:Z,23,FALSE)),0,VLOOKUP($A428,'13. Updated Demand'!A:Z,23,FALSE))</f>
        <v>0</v>
      </c>
      <c r="AG428" s="16">
        <f>IF(ISERROR(VLOOKUP($A428,'13. Updated Demand'!A:Z,24,FALSE)),0,VLOOKUP($A428,'13. Updated Demand'!A:Z,24,FALSE))</f>
        <v>0</v>
      </c>
      <c r="AH428" s="16">
        <f>IF(ISERROR(VLOOKUP($A428,'13. Updated Demand'!A:Z,25,FALSE)),0,VLOOKUP($A428,'13. Updated Demand'!A:Z,25,FALSE))</f>
        <v>0</v>
      </c>
      <c r="AI428" s="16">
        <f>IF(ISERROR(VLOOKUP($A428,'13. Updated Demand'!A:Z,26,FALSE)),0,VLOOKUP($A428,'13. Updated Demand'!A:Z,26,FALSE))</f>
        <v>0</v>
      </c>
      <c r="AJ428" s="16">
        <f t="shared" si="84"/>
        <v>0</v>
      </c>
      <c r="AK428" s="19">
        <v>0</v>
      </c>
      <c r="AL428" s="16">
        <f t="shared" si="82"/>
        <v>0</v>
      </c>
      <c r="AM428" s="17">
        <v>0</v>
      </c>
      <c r="AN428" s="19"/>
      <c r="AO428" s="19"/>
      <c r="AP428" s="19">
        <v>35</v>
      </c>
      <c r="AQ428" s="19" t="s">
        <v>307</v>
      </c>
      <c r="AR428" s="9" t="s">
        <v>308</v>
      </c>
      <c r="AS428" s="12">
        <v>0</v>
      </c>
      <c r="AT428" s="19">
        <v>38.639866019999999</v>
      </c>
      <c r="AU428" s="19">
        <v>-122.71154641</v>
      </c>
      <c r="AV428" s="19" t="s">
        <v>808</v>
      </c>
    </row>
    <row r="429" spans="1:48" x14ac:dyDescent="0.25">
      <c r="A429" s="18" t="s">
        <v>809</v>
      </c>
      <c r="B429" s="10">
        <v>19880615</v>
      </c>
      <c r="C429" s="9">
        <v>21</v>
      </c>
      <c r="D429" s="8" t="str">
        <f t="shared" si="73"/>
        <v>N</v>
      </c>
      <c r="E429" s="8" t="str">
        <f t="shared" si="74"/>
        <v>N</v>
      </c>
      <c r="F429" s="8" t="str">
        <f t="shared" si="75"/>
        <v>N</v>
      </c>
      <c r="G429" s="8" t="str">
        <f t="shared" si="76"/>
        <v>N</v>
      </c>
      <c r="H429" s="8" t="str">
        <f t="shared" si="77"/>
        <v>Lower</v>
      </c>
      <c r="I429" s="8" t="str">
        <f t="shared" si="78"/>
        <v>Outside</v>
      </c>
      <c r="J429" s="8" t="str">
        <f t="shared" si="79"/>
        <v>Outside</v>
      </c>
      <c r="K429" s="8" t="str">
        <f t="shared" si="80"/>
        <v>Post-1949</v>
      </c>
      <c r="L429" s="8">
        <f t="shared" si="81"/>
        <v>1988</v>
      </c>
      <c r="M429" s="8" t="str">
        <f t="shared" si="83"/>
        <v>1971-1990</v>
      </c>
      <c r="N429" s="10" t="s">
        <v>242</v>
      </c>
      <c r="O429" s="10" t="s">
        <v>242</v>
      </c>
      <c r="P429" s="10" t="s">
        <v>242</v>
      </c>
      <c r="Q429" s="10" t="s">
        <v>242</v>
      </c>
      <c r="R429" s="10" t="s">
        <v>241</v>
      </c>
      <c r="S429" s="10" t="s">
        <v>242</v>
      </c>
      <c r="T429" s="10" t="s">
        <v>242</v>
      </c>
      <c r="U429" s="10" t="s">
        <v>242</v>
      </c>
      <c r="V429" s="10" t="s">
        <v>242</v>
      </c>
      <c r="W429" s="10" t="s">
        <v>242</v>
      </c>
      <c r="X429" s="15">
        <f>IF(ISERROR(VLOOKUP($A429,'13. Updated Demand'!A:Z,15,FALSE)),0,VLOOKUP($A429,'13. Updated Demand'!A:Z,15,FALSE))</f>
        <v>1.4035043330000001</v>
      </c>
      <c r="Y429" s="16">
        <f>IF(ISERROR(VLOOKUP($A429,'13. Updated Demand'!A:Z,16,FALSE)),0,VLOOKUP($A429,'13. Updated Demand'!A:Z,16,FALSE))</f>
        <v>1.240853333</v>
      </c>
      <c r="Z429" s="16">
        <f>IF(ISERROR(VLOOKUP($A429,'13. Updated Demand'!A:Z,17,FALSE)),0,VLOOKUP($A429,'13. Updated Demand'!A:Z,17,FALSE))</f>
        <v>1.101730667</v>
      </c>
      <c r="AA429" s="16">
        <f>IF(ISERROR(VLOOKUP($A429,'13. Updated Demand'!A:Z,18,FALSE)),0,VLOOKUP($A429,'13. Updated Demand'!A:Z,18,FALSE))</f>
        <v>1.0587660000000001</v>
      </c>
      <c r="AB429" s="16">
        <f>IF(ISERROR(VLOOKUP($A429,'13. Updated Demand'!A:Z,19,FALSE)),0,VLOOKUP($A429,'13. Updated Demand'!A:Z,19,FALSE))</f>
        <v>1.0925240000000001</v>
      </c>
      <c r="AC429" s="16">
        <f>IF(ISERROR(VLOOKUP($A429,'13. Updated Demand'!A:Z,20,FALSE)),0,VLOOKUP($A429,'13. Updated Demand'!A:Z,20,FALSE))</f>
        <v>1.421918</v>
      </c>
      <c r="AD429" s="16">
        <f>IF(ISERROR(VLOOKUP($A429,'13. Updated Demand'!A:Z,21,FALSE)),0,VLOOKUP($A429,'13. Updated Demand'!A:Z,21,FALSE))</f>
        <v>1.420895</v>
      </c>
      <c r="AE429" s="16">
        <f>IF(ISERROR(VLOOKUP($A429,'13. Updated Demand'!A:Z,22,FALSE)),0,VLOOKUP($A429,'13. Updated Demand'!A:Z,22,FALSE))</f>
        <v>1.4802266669999999</v>
      </c>
      <c r="AF429" s="16">
        <f>IF(ISERROR(VLOOKUP($A429,'13. Updated Demand'!A:Z,23,FALSE)),0,VLOOKUP($A429,'13. Updated Demand'!A:Z,23,FALSE))</f>
        <v>1.3073456670000001</v>
      </c>
      <c r="AG429" s="16">
        <f>IF(ISERROR(VLOOKUP($A429,'13. Updated Demand'!A:Z,24,FALSE)),0,VLOOKUP($A429,'13. Updated Demand'!A:Z,24,FALSE))</f>
        <v>1.350310667</v>
      </c>
      <c r="AH429" s="16">
        <f>IF(ISERROR(VLOOKUP($A429,'13. Updated Demand'!A:Z,25,FALSE)),0,VLOOKUP($A429,'13. Updated Demand'!A:Z,25,FALSE))</f>
        <v>1.2756339999999999</v>
      </c>
      <c r="AI429" s="16">
        <f>IF(ISERROR(VLOOKUP($A429,'13. Updated Demand'!A:Z,26,FALSE)),0,VLOOKUP($A429,'13. Updated Demand'!A:Z,26,FALSE))</f>
        <v>1.365654667</v>
      </c>
      <c r="AJ429" s="16">
        <f t="shared" si="84"/>
        <v>15.519363001</v>
      </c>
      <c r="AK429" s="19">
        <v>6.7229093339999997</v>
      </c>
      <c r="AL429" s="16">
        <f t="shared" si="82"/>
        <v>2.2299124449539534E-2</v>
      </c>
      <c r="AM429" s="17">
        <v>0.49267819050793654</v>
      </c>
      <c r="AN429" s="19"/>
      <c r="AO429" s="19"/>
      <c r="AP429" s="19">
        <v>31.5</v>
      </c>
      <c r="AQ429" s="19" t="s">
        <v>307</v>
      </c>
      <c r="AR429" s="9" t="s">
        <v>403</v>
      </c>
      <c r="AS429" s="12">
        <v>0</v>
      </c>
      <c r="AT429" s="19">
        <v>38.456841679999997</v>
      </c>
      <c r="AU429" s="19">
        <v>-123.11300439</v>
      </c>
      <c r="AV429" s="19" t="s">
        <v>810</v>
      </c>
    </row>
    <row r="430" spans="1:48" x14ac:dyDescent="0.25">
      <c r="A430" s="18" t="s">
        <v>811</v>
      </c>
      <c r="B430" s="10">
        <v>19880621</v>
      </c>
      <c r="C430" s="9">
        <v>23</v>
      </c>
      <c r="D430" s="8" t="str">
        <f t="shared" si="73"/>
        <v>N</v>
      </c>
      <c r="E430" s="8" t="str">
        <f t="shared" si="74"/>
        <v>N</v>
      </c>
      <c r="F430" s="8" t="str">
        <f t="shared" si="75"/>
        <v>N</v>
      </c>
      <c r="G430" s="8" t="str">
        <f t="shared" si="76"/>
        <v>N</v>
      </c>
      <c r="H430" s="8" t="str">
        <f t="shared" si="77"/>
        <v>Lower</v>
      </c>
      <c r="I430" s="8" t="str">
        <f t="shared" si="78"/>
        <v>Outside</v>
      </c>
      <c r="J430" s="8" t="str">
        <f t="shared" si="79"/>
        <v>Outside</v>
      </c>
      <c r="K430" s="8" t="str">
        <f t="shared" si="80"/>
        <v>Post-1949</v>
      </c>
      <c r="L430" s="8">
        <f t="shared" si="81"/>
        <v>1988</v>
      </c>
      <c r="M430" s="8" t="str">
        <f t="shared" si="83"/>
        <v>1971-1990</v>
      </c>
      <c r="N430" s="10" t="s">
        <v>242</v>
      </c>
      <c r="O430" s="10" t="s">
        <v>242</v>
      </c>
      <c r="P430" s="10" t="s">
        <v>242</v>
      </c>
      <c r="Q430" s="10" t="s">
        <v>242</v>
      </c>
      <c r="R430" s="10" t="s">
        <v>241</v>
      </c>
      <c r="S430" s="10" t="s">
        <v>242</v>
      </c>
      <c r="T430" s="10" t="s">
        <v>242</v>
      </c>
      <c r="U430" s="10" t="s">
        <v>241</v>
      </c>
      <c r="V430" s="10" t="s">
        <v>241</v>
      </c>
      <c r="W430" s="10" t="s">
        <v>242</v>
      </c>
      <c r="X430" s="15">
        <f>IF(ISERROR(VLOOKUP($A430,'13. Updated Demand'!A:Z,15,FALSE)),0,VLOOKUP($A430,'13. Updated Demand'!A:Z,15,FALSE))</f>
        <v>0</v>
      </c>
      <c r="Y430" s="16">
        <f>IF(ISERROR(VLOOKUP($A430,'13. Updated Demand'!A:Z,16,FALSE)),0,VLOOKUP($A430,'13. Updated Demand'!A:Z,16,FALSE))</f>
        <v>0</v>
      </c>
      <c r="Z430" s="16">
        <f>IF(ISERROR(VLOOKUP($A430,'13. Updated Demand'!A:Z,17,FALSE)),0,VLOOKUP($A430,'13. Updated Demand'!A:Z,17,FALSE))</f>
        <v>0</v>
      </c>
      <c r="AA430" s="16">
        <f>IF(ISERROR(VLOOKUP($A430,'13. Updated Demand'!A:Z,18,FALSE)),0,VLOOKUP($A430,'13. Updated Demand'!A:Z,18,FALSE))</f>
        <v>0</v>
      </c>
      <c r="AB430" s="16">
        <f>IF(ISERROR(VLOOKUP($A430,'13. Updated Demand'!A:Z,19,FALSE)),0,VLOOKUP($A430,'13. Updated Demand'!A:Z,19,FALSE))</f>
        <v>0</v>
      </c>
      <c r="AC430" s="16">
        <f>IF(ISERROR(VLOOKUP($A430,'13. Updated Demand'!A:Z,20,FALSE)),0,VLOOKUP($A430,'13. Updated Demand'!A:Z,20,FALSE))</f>
        <v>0</v>
      </c>
      <c r="AD430" s="16">
        <f>IF(ISERROR(VLOOKUP($A430,'13. Updated Demand'!A:Z,21,FALSE)),0,VLOOKUP($A430,'13. Updated Demand'!A:Z,21,FALSE))</f>
        <v>0</v>
      </c>
      <c r="AE430" s="16">
        <f>IF(ISERROR(VLOOKUP($A430,'13. Updated Demand'!A:Z,22,FALSE)),0,VLOOKUP($A430,'13. Updated Demand'!A:Z,22,FALSE))</f>
        <v>0</v>
      </c>
      <c r="AF430" s="16">
        <f>IF(ISERROR(VLOOKUP($A430,'13. Updated Demand'!A:Z,23,FALSE)),0,VLOOKUP($A430,'13. Updated Demand'!A:Z,23,FALSE))</f>
        <v>0</v>
      </c>
      <c r="AG430" s="16">
        <f>IF(ISERROR(VLOOKUP($A430,'13. Updated Demand'!A:Z,24,FALSE)),0,VLOOKUP($A430,'13. Updated Demand'!A:Z,24,FALSE))</f>
        <v>0</v>
      </c>
      <c r="AH430" s="16">
        <f>IF(ISERROR(VLOOKUP($A430,'13. Updated Demand'!A:Z,25,FALSE)),0,VLOOKUP($A430,'13. Updated Demand'!A:Z,25,FALSE))</f>
        <v>0</v>
      </c>
      <c r="AI430" s="16">
        <f>IF(ISERROR(VLOOKUP($A430,'13. Updated Demand'!A:Z,26,FALSE)),0,VLOOKUP($A430,'13. Updated Demand'!A:Z,26,FALSE))</f>
        <v>0</v>
      </c>
      <c r="AJ430" s="16">
        <f t="shared" si="84"/>
        <v>0</v>
      </c>
      <c r="AK430" s="19">
        <v>0</v>
      </c>
      <c r="AL430" s="16">
        <f t="shared" si="82"/>
        <v>0</v>
      </c>
      <c r="AM430" s="17">
        <v>0</v>
      </c>
      <c r="AN430" s="19"/>
      <c r="AO430" s="19"/>
      <c r="AP430" s="19">
        <v>5</v>
      </c>
      <c r="AQ430" s="19" t="s">
        <v>307</v>
      </c>
      <c r="AR430" s="9" t="s">
        <v>391</v>
      </c>
      <c r="AS430" s="12">
        <v>0</v>
      </c>
      <c r="AT430" s="19">
        <v>38.516664839999997</v>
      </c>
      <c r="AU430" s="19">
        <v>-122.84112773</v>
      </c>
      <c r="AV430" s="19" t="s">
        <v>417</v>
      </c>
    </row>
    <row r="431" spans="1:48" x14ac:dyDescent="0.25">
      <c r="A431" s="18" t="s">
        <v>812</v>
      </c>
      <c r="B431" s="10">
        <v>19880822</v>
      </c>
      <c r="C431" s="9">
        <v>9</v>
      </c>
      <c r="D431" s="8" t="str">
        <f t="shared" si="73"/>
        <v>N</v>
      </c>
      <c r="E431" s="8" t="str">
        <f t="shared" si="74"/>
        <v>Y</v>
      </c>
      <c r="F431" s="8" t="str">
        <f t="shared" si="75"/>
        <v>Y</v>
      </c>
      <c r="G431" s="8" t="str">
        <f t="shared" si="76"/>
        <v>Y</v>
      </c>
      <c r="H431" s="8" t="str">
        <f t="shared" si="77"/>
        <v>Upper</v>
      </c>
      <c r="I431" s="8" t="str">
        <f t="shared" si="78"/>
        <v>West Fork and Below Lake</v>
      </c>
      <c r="J431" s="8" t="str">
        <f t="shared" si="79"/>
        <v>Sonoma (d/s of Clov. Gage)</v>
      </c>
      <c r="K431" s="8" t="str">
        <f t="shared" si="80"/>
        <v>Post-1949</v>
      </c>
      <c r="L431" s="8">
        <f t="shared" si="81"/>
        <v>1988</v>
      </c>
      <c r="M431" s="8" t="str">
        <f t="shared" si="83"/>
        <v>1971-1990</v>
      </c>
      <c r="N431" s="10" t="s">
        <v>242</v>
      </c>
      <c r="O431" s="10" t="s">
        <v>241</v>
      </c>
      <c r="P431" s="10" t="s">
        <v>242</v>
      </c>
      <c r="Q431" s="10" t="s">
        <v>242</v>
      </c>
      <c r="R431" s="10" t="s">
        <v>241</v>
      </c>
      <c r="S431" s="10" t="s">
        <v>242</v>
      </c>
      <c r="T431" s="10" t="s">
        <v>242</v>
      </c>
      <c r="U431" s="10" t="s">
        <v>242</v>
      </c>
      <c r="V431" s="10" t="s">
        <v>241</v>
      </c>
      <c r="W431" s="10" t="s">
        <v>242</v>
      </c>
      <c r="X431" s="15">
        <f>IF(ISERROR(VLOOKUP($A431,'13. Updated Demand'!A:Z,15,FALSE)),0,VLOOKUP($A431,'13. Updated Demand'!A:Z,15,FALSE))</f>
        <v>1.74</v>
      </c>
      <c r="Y431" s="16">
        <f>IF(ISERROR(VLOOKUP($A431,'13. Updated Demand'!A:Z,16,FALSE)),0,VLOOKUP($A431,'13. Updated Demand'!A:Z,16,FALSE))</f>
        <v>0.52</v>
      </c>
      <c r="Z431" s="16">
        <f>IF(ISERROR(VLOOKUP($A431,'13. Updated Demand'!A:Z,17,FALSE)),0,VLOOKUP($A431,'13. Updated Demand'!A:Z,17,FALSE))</f>
        <v>0.28000000000000003</v>
      </c>
      <c r="AA431" s="16">
        <f>IF(ISERROR(VLOOKUP($A431,'13. Updated Demand'!A:Z,18,FALSE)),0,VLOOKUP($A431,'13. Updated Demand'!A:Z,18,FALSE))</f>
        <v>0</v>
      </c>
      <c r="AB431" s="16">
        <f>IF(ISERROR(VLOOKUP($A431,'13. Updated Demand'!A:Z,19,FALSE)),0,VLOOKUP($A431,'13. Updated Demand'!A:Z,19,FALSE))</f>
        <v>0</v>
      </c>
      <c r="AC431" s="16">
        <f>IF(ISERROR(VLOOKUP($A431,'13. Updated Demand'!A:Z,20,FALSE)),0,VLOOKUP($A431,'13. Updated Demand'!A:Z,20,FALSE))</f>
        <v>0</v>
      </c>
      <c r="AD431" s="16">
        <f>IF(ISERROR(VLOOKUP($A431,'13. Updated Demand'!A:Z,21,FALSE)),0,VLOOKUP($A431,'13. Updated Demand'!A:Z,21,FALSE))</f>
        <v>0</v>
      </c>
      <c r="AE431" s="16">
        <f>IF(ISERROR(VLOOKUP($A431,'13. Updated Demand'!A:Z,22,FALSE)),0,VLOOKUP($A431,'13. Updated Demand'!A:Z,22,FALSE))</f>
        <v>0</v>
      </c>
      <c r="AF431" s="16">
        <f>IF(ISERROR(VLOOKUP($A431,'13. Updated Demand'!A:Z,23,FALSE)),0,VLOOKUP($A431,'13. Updated Demand'!A:Z,23,FALSE))</f>
        <v>0</v>
      </c>
      <c r="AG431" s="16">
        <f>IF(ISERROR(VLOOKUP($A431,'13. Updated Demand'!A:Z,24,FALSE)),0,VLOOKUP($A431,'13. Updated Demand'!A:Z,24,FALSE))</f>
        <v>0.01</v>
      </c>
      <c r="AH431" s="16">
        <f>IF(ISERROR(VLOOKUP($A431,'13. Updated Demand'!A:Z,25,FALSE)),0,VLOOKUP($A431,'13. Updated Demand'!A:Z,25,FALSE))</f>
        <v>0.45</v>
      </c>
      <c r="AI431" s="16">
        <f>IF(ISERROR(VLOOKUP($A431,'13. Updated Demand'!A:Z,26,FALSE)),0,VLOOKUP($A431,'13. Updated Demand'!A:Z,26,FALSE))</f>
        <v>0.46</v>
      </c>
      <c r="AJ431" s="16">
        <f t="shared" si="84"/>
        <v>3.46</v>
      </c>
      <c r="AK431" s="19">
        <v>0</v>
      </c>
      <c r="AL431" s="16">
        <f t="shared" si="82"/>
        <v>0</v>
      </c>
      <c r="AM431" s="17">
        <v>0.54601562484374999</v>
      </c>
      <c r="AN431" s="19"/>
      <c r="AO431" s="19"/>
      <c r="AP431" s="19">
        <v>6.4</v>
      </c>
      <c r="AQ431" s="19" t="s">
        <v>307</v>
      </c>
      <c r="AR431" s="9" t="s">
        <v>354</v>
      </c>
      <c r="AS431" s="12">
        <v>3.4039024194010059E-4</v>
      </c>
      <c r="AT431" s="19">
        <v>38.771018410000003</v>
      </c>
      <c r="AU431" s="19">
        <v>-123.0076475</v>
      </c>
      <c r="AV431" s="19" t="s">
        <v>417</v>
      </c>
    </row>
    <row r="432" spans="1:48" x14ac:dyDescent="0.25">
      <c r="A432" s="18" t="s">
        <v>813</v>
      </c>
      <c r="B432" s="10">
        <v>19880906</v>
      </c>
      <c r="C432" s="9">
        <v>23</v>
      </c>
      <c r="D432" s="8" t="str">
        <f t="shared" si="73"/>
        <v>N</v>
      </c>
      <c r="E432" s="8" t="str">
        <f t="shared" si="74"/>
        <v>N</v>
      </c>
      <c r="F432" s="8" t="str">
        <f t="shared" si="75"/>
        <v>N</v>
      </c>
      <c r="G432" s="8" t="str">
        <f t="shared" si="76"/>
        <v>N</v>
      </c>
      <c r="H432" s="8" t="str">
        <f t="shared" si="77"/>
        <v>Lower</v>
      </c>
      <c r="I432" s="8" t="str">
        <f t="shared" si="78"/>
        <v>Outside</v>
      </c>
      <c r="J432" s="8" t="str">
        <f t="shared" si="79"/>
        <v>Outside</v>
      </c>
      <c r="K432" s="8" t="str">
        <f t="shared" si="80"/>
        <v>Post-1949</v>
      </c>
      <c r="L432" s="8">
        <f t="shared" si="81"/>
        <v>1988</v>
      </c>
      <c r="M432" s="8" t="str">
        <f t="shared" si="83"/>
        <v>1971-1990</v>
      </c>
      <c r="N432" s="10" t="s">
        <v>242</v>
      </c>
      <c r="O432" s="10" t="s">
        <v>242</v>
      </c>
      <c r="P432" s="10" t="s">
        <v>242</v>
      </c>
      <c r="Q432" s="10" t="s">
        <v>242</v>
      </c>
      <c r="R432" s="10" t="s">
        <v>241</v>
      </c>
      <c r="S432" s="10" t="s">
        <v>242</v>
      </c>
      <c r="T432" s="10" t="s">
        <v>242</v>
      </c>
      <c r="U432" s="10" t="s">
        <v>241</v>
      </c>
      <c r="V432" s="10" t="s">
        <v>241</v>
      </c>
      <c r="W432" s="10" t="s">
        <v>242</v>
      </c>
      <c r="X432" s="15">
        <f>IF(ISERROR(VLOOKUP($A432,'13. Updated Demand'!A:Z,15,FALSE)),0,VLOOKUP($A432,'13. Updated Demand'!A:Z,15,FALSE))</f>
        <v>0</v>
      </c>
      <c r="Y432" s="16">
        <f>IF(ISERROR(VLOOKUP($A432,'13. Updated Demand'!A:Z,16,FALSE)),0,VLOOKUP($A432,'13. Updated Demand'!A:Z,16,FALSE))</f>
        <v>0</v>
      </c>
      <c r="Z432" s="16">
        <f>IF(ISERROR(VLOOKUP($A432,'13. Updated Demand'!A:Z,17,FALSE)),0,VLOOKUP($A432,'13. Updated Demand'!A:Z,17,FALSE))</f>
        <v>0</v>
      </c>
      <c r="AA432" s="16">
        <f>IF(ISERROR(VLOOKUP($A432,'13. Updated Demand'!A:Z,18,FALSE)),0,VLOOKUP($A432,'13. Updated Demand'!A:Z,18,FALSE))</f>
        <v>0</v>
      </c>
      <c r="AB432" s="16">
        <f>IF(ISERROR(VLOOKUP($A432,'13. Updated Demand'!A:Z,19,FALSE)),0,VLOOKUP($A432,'13. Updated Demand'!A:Z,19,FALSE))</f>
        <v>0</v>
      </c>
      <c r="AC432" s="16">
        <f>IF(ISERROR(VLOOKUP($A432,'13. Updated Demand'!A:Z,20,FALSE)),0,VLOOKUP($A432,'13. Updated Demand'!A:Z,20,FALSE))</f>
        <v>0</v>
      </c>
      <c r="AD432" s="16">
        <f>IF(ISERROR(VLOOKUP($A432,'13. Updated Demand'!A:Z,21,FALSE)),0,VLOOKUP($A432,'13. Updated Demand'!A:Z,21,FALSE))</f>
        <v>0</v>
      </c>
      <c r="AE432" s="16">
        <f>IF(ISERROR(VLOOKUP($A432,'13. Updated Demand'!A:Z,22,FALSE)),0,VLOOKUP($A432,'13. Updated Demand'!A:Z,22,FALSE))</f>
        <v>0</v>
      </c>
      <c r="AF432" s="16">
        <f>IF(ISERROR(VLOOKUP($A432,'13. Updated Demand'!A:Z,23,FALSE)),0,VLOOKUP($A432,'13. Updated Demand'!A:Z,23,FALSE))</f>
        <v>0</v>
      </c>
      <c r="AG432" s="16">
        <f>IF(ISERROR(VLOOKUP($A432,'13. Updated Demand'!A:Z,24,FALSE)),0,VLOOKUP($A432,'13. Updated Demand'!A:Z,24,FALSE))</f>
        <v>0</v>
      </c>
      <c r="AH432" s="16">
        <f>IF(ISERROR(VLOOKUP($A432,'13. Updated Demand'!A:Z,25,FALSE)),0,VLOOKUP($A432,'13. Updated Demand'!A:Z,25,FALSE))</f>
        <v>0</v>
      </c>
      <c r="AI432" s="16">
        <f>IF(ISERROR(VLOOKUP($A432,'13. Updated Demand'!A:Z,26,FALSE)),0,VLOOKUP($A432,'13. Updated Demand'!A:Z,26,FALSE))</f>
        <v>0</v>
      </c>
      <c r="AJ432" s="16">
        <f t="shared" si="84"/>
        <v>0</v>
      </c>
      <c r="AK432" s="19">
        <v>0</v>
      </c>
      <c r="AL432" s="16">
        <f t="shared" si="82"/>
        <v>0</v>
      </c>
      <c r="AM432" s="17">
        <v>0</v>
      </c>
      <c r="AN432" s="19"/>
      <c r="AO432" s="19"/>
      <c r="AP432" s="19">
        <v>31.3</v>
      </c>
      <c r="AQ432" s="19" t="s">
        <v>307</v>
      </c>
      <c r="AR432" s="9" t="s">
        <v>725</v>
      </c>
      <c r="AS432" s="12">
        <v>0</v>
      </c>
      <c r="AT432" s="19">
        <v>38.48791473</v>
      </c>
      <c r="AU432" s="19">
        <v>-122.73387825</v>
      </c>
      <c r="AV432" s="19" t="s">
        <v>417</v>
      </c>
    </row>
    <row r="433" spans="1:48" x14ac:dyDescent="0.25">
      <c r="A433" s="18" t="s">
        <v>814</v>
      </c>
      <c r="B433" s="10">
        <v>19880906</v>
      </c>
      <c r="C433" s="9">
        <v>18</v>
      </c>
      <c r="D433" s="8" t="str">
        <f t="shared" si="73"/>
        <v>N</v>
      </c>
      <c r="E433" s="8" t="str">
        <f t="shared" si="74"/>
        <v>N</v>
      </c>
      <c r="F433" s="8" t="str">
        <f t="shared" si="75"/>
        <v>N</v>
      </c>
      <c r="G433" s="8" t="str">
        <f t="shared" si="76"/>
        <v>N</v>
      </c>
      <c r="H433" s="8" t="str">
        <f t="shared" si="77"/>
        <v>Lower</v>
      </c>
      <c r="I433" s="8" t="str">
        <f t="shared" si="78"/>
        <v>Outside</v>
      </c>
      <c r="J433" s="8" t="str">
        <f t="shared" si="79"/>
        <v>Outside</v>
      </c>
      <c r="K433" s="8" t="str">
        <f t="shared" si="80"/>
        <v>Post-1949</v>
      </c>
      <c r="L433" s="8">
        <f t="shared" si="81"/>
        <v>1988</v>
      </c>
      <c r="M433" s="8" t="str">
        <f t="shared" si="83"/>
        <v>1971-1990</v>
      </c>
      <c r="N433" s="10" t="s">
        <v>242</v>
      </c>
      <c r="O433" s="10" t="s">
        <v>242</v>
      </c>
      <c r="P433" s="10" t="s">
        <v>242</v>
      </c>
      <c r="Q433" s="10" t="s">
        <v>242</v>
      </c>
      <c r="R433" s="10" t="s">
        <v>241</v>
      </c>
      <c r="S433" s="10" t="s">
        <v>242</v>
      </c>
      <c r="T433" s="10" t="s">
        <v>242</v>
      </c>
      <c r="U433" s="10" t="s">
        <v>242</v>
      </c>
      <c r="V433" s="10" t="s">
        <v>242</v>
      </c>
      <c r="W433" s="10" t="s">
        <v>242</v>
      </c>
      <c r="X433" s="15">
        <f>IF(ISERROR(VLOOKUP($A433,'13. Updated Demand'!A:Z,15,FALSE)),0,VLOOKUP($A433,'13. Updated Demand'!A:Z,15,FALSE))</f>
        <v>0</v>
      </c>
      <c r="Y433" s="16">
        <f>IF(ISERROR(VLOOKUP($A433,'13. Updated Demand'!A:Z,16,FALSE)),0,VLOOKUP($A433,'13. Updated Demand'!A:Z,16,FALSE))</f>
        <v>0</v>
      </c>
      <c r="Z433" s="16">
        <f>IF(ISERROR(VLOOKUP($A433,'13. Updated Demand'!A:Z,17,FALSE)),0,VLOOKUP($A433,'13. Updated Demand'!A:Z,17,FALSE))</f>
        <v>3.8808100000000002E-3</v>
      </c>
      <c r="AA433" s="16">
        <f>IF(ISERROR(VLOOKUP($A433,'13. Updated Demand'!A:Z,18,FALSE)),0,VLOOKUP($A433,'13. Updated Demand'!A:Z,18,FALSE))</f>
        <v>0</v>
      </c>
      <c r="AB433" s="16">
        <f>IF(ISERROR(VLOOKUP($A433,'13. Updated Demand'!A:Z,19,FALSE)),0,VLOOKUP($A433,'13. Updated Demand'!A:Z,19,FALSE))</f>
        <v>0</v>
      </c>
      <c r="AC433" s="16">
        <f>IF(ISERROR(VLOOKUP($A433,'13. Updated Demand'!A:Z,20,FALSE)),0,VLOOKUP($A433,'13. Updated Demand'!A:Z,20,FALSE))</f>
        <v>1.6699999999999999E-5</v>
      </c>
      <c r="AD433" s="16">
        <f>IF(ISERROR(VLOOKUP($A433,'13. Updated Demand'!A:Z,21,FALSE)),0,VLOOKUP($A433,'13. Updated Demand'!A:Z,21,FALSE))</f>
        <v>0.16879866700000001</v>
      </c>
      <c r="AE433" s="16">
        <f>IF(ISERROR(VLOOKUP($A433,'13. Updated Demand'!A:Z,22,FALSE)),0,VLOOKUP($A433,'13. Updated Demand'!A:Z,22,FALSE))</f>
        <v>1.0000000000000001E-5</v>
      </c>
      <c r="AF433" s="16">
        <f>IF(ISERROR(VLOOKUP($A433,'13. Updated Demand'!A:Z,23,FALSE)),0,VLOOKUP($A433,'13. Updated Demand'!A:Z,23,FALSE))</f>
        <v>2.6699999999999998E-5</v>
      </c>
      <c r="AG433" s="16">
        <f>IF(ISERROR(VLOOKUP($A433,'13. Updated Demand'!A:Z,24,FALSE)),0,VLOOKUP($A433,'13. Updated Demand'!A:Z,24,FALSE))</f>
        <v>0</v>
      </c>
      <c r="AH433" s="16">
        <f>IF(ISERROR(VLOOKUP($A433,'13. Updated Demand'!A:Z,25,FALSE)),0,VLOOKUP($A433,'13. Updated Demand'!A:Z,25,FALSE))</f>
        <v>0</v>
      </c>
      <c r="AI433" s="16">
        <f>IF(ISERROR(VLOOKUP($A433,'13. Updated Demand'!A:Z,26,FALSE)),0,VLOOKUP($A433,'13. Updated Demand'!A:Z,26,FALSE))</f>
        <v>0</v>
      </c>
      <c r="AJ433" s="16">
        <f t="shared" si="84"/>
        <v>0.17273287700000001</v>
      </c>
      <c r="AK433" s="19">
        <v>0.16885206700000002</v>
      </c>
      <c r="AL433" s="16">
        <f t="shared" si="82"/>
        <v>5.6006307218109332E-4</v>
      </c>
      <c r="AM433" s="17">
        <v>1.3494756015625E-2</v>
      </c>
      <c r="AN433" s="19"/>
      <c r="AO433" s="19"/>
      <c r="AP433" s="19">
        <v>12.8</v>
      </c>
      <c r="AQ433" s="19" t="s">
        <v>307</v>
      </c>
      <c r="AR433" s="9" t="s">
        <v>352</v>
      </c>
      <c r="AS433" s="12">
        <v>0</v>
      </c>
      <c r="AT433" s="19">
        <v>38.438701010000003</v>
      </c>
      <c r="AU433" s="19">
        <v>-122.89310728</v>
      </c>
      <c r="AV433" s="19" t="s">
        <v>417</v>
      </c>
    </row>
    <row r="434" spans="1:48" x14ac:dyDescent="0.25">
      <c r="A434" s="18" t="s">
        <v>815</v>
      </c>
      <c r="B434" s="10">
        <v>19880928</v>
      </c>
      <c r="C434" s="9">
        <v>4</v>
      </c>
      <c r="D434" s="8" t="str">
        <f t="shared" si="73"/>
        <v>Y</v>
      </c>
      <c r="E434" s="8" t="str">
        <f t="shared" si="74"/>
        <v>N</v>
      </c>
      <c r="F434" s="8" t="str">
        <f t="shared" si="75"/>
        <v>Y</v>
      </c>
      <c r="G434" s="8" t="str">
        <f t="shared" si="76"/>
        <v>Y</v>
      </c>
      <c r="H434" s="8" t="str">
        <f t="shared" si="77"/>
        <v>Upper</v>
      </c>
      <c r="I434" s="8" t="str">
        <f t="shared" si="78"/>
        <v>West Fork and Below Lake</v>
      </c>
      <c r="J434" s="8" t="str">
        <f t="shared" si="79"/>
        <v>Mendocino (d/s of lake)</v>
      </c>
      <c r="K434" s="8" t="str">
        <f t="shared" si="80"/>
        <v>Post-1949</v>
      </c>
      <c r="L434" s="8">
        <f t="shared" si="81"/>
        <v>1988</v>
      </c>
      <c r="M434" s="8" t="str">
        <f t="shared" si="83"/>
        <v>1971-1990</v>
      </c>
      <c r="N434" s="10" t="s">
        <v>242</v>
      </c>
      <c r="O434" s="10" t="s">
        <v>241</v>
      </c>
      <c r="P434" s="10" t="s">
        <v>242</v>
      </c>
      <c r="Q434" s="10" t="s">
        <v>242</v>
      </c>
      <c r="R434" s="10" t="s">
        <v>241</v>
      </c>
      <c r="S434" s="10" t="s">
        <v>242</v>
      </c>
      <c r="T434" s="10" t="s">
        <v>242</v>
      </c>
      <c r="U434" s="10" t="s">
        <v>241</v>
      </c>
      <c r="V434" s="10" t="s">
        <v>241</v>
      </c>
      <c r="W434" s="10" t="s">
        <v>242</v>
      </c>
      <c r="X434" s="15">
        <f>IF(ISERROR(VLOOKUP($A434,'13. Updated Demand'!A:Z,15,FALSE)),0,VLOOKUP($A434,'13. Updated Demand'!A:Z,15,FALSE))</f>
        <v>0</v>
      </c>
      <c r="Y434" s="16">
        <f>IF(ISERROR(VLOOKUP($A434,'13. Updated Demand'!A:Z,16,FALSE)),0,VLOOKUP($A434,'13. Updated Demand'!A:Z,16,FALSE))</f>
        <v>0</v>
      </c>
      <c r="Z434" s="16">
        <f>IF(ISERROR(VLOOKUP($A434,'13. Updated Demand'!A:Z,17,FALSE)),0,VLOOKUP($A434,'13. Updated Demand'!A:Z,17,FALSE))</f>
        <v>0</v>
      </c>
      <c r="AA434" s="16">
        <f>IF(ISERROR(VLOOKUP($A434,'13. Updated Demand'!A:Z,18,FALSE)),0,VLOOKUP($A434,'13. Updated Demand'!A:Z,18,FALSE))</f>
        <v>0</v>
      </c>
      <c r="AB434" s="16">
        <f>IF(ISERROR(VLOOKUP($A434,'13. Updated Demand'!A:Z,19,FALSE)),0,VLOOKUP($A434,'13. Updated Demand'!A:Z,19,FALSE))</f>
        <v>0</v>
      </c>
      <c r="AC434" s="16">
        <f>IF(ISERROR(VLOOKUP($A434,'13. Updated Demand'!A:Z,20,FALSE)),0,VLOOKUP($A434,'13. Updated Demand'!A:Z,20,FALSE))</f>
        <v>0</v>
      </c>
      <c r="AD434" s="16">
        <f>IF(ISERROR(VLOOKUP($A434,'13. Updated Demand'!A:Z,21,FALSE)),0,VLOOKUP($A434,'13. Updated Demand'!A:Z,21,FALSE))</f>
        <v>0</v>
      </c>
      <c r="AE434" s="16">
        <f>IF(ISERROR(VLOOKUP($A434,'13. Updated Demand'!A:Z,22,FALSE)),0,VLOOKUP($A434,'13. Updated Demand'!A:Z,22,FALSE))</f>
        <v>0</v>
      </c>
      <c r="AF434" s="16">
        <f>IF(ISERROR(VLOOKUP($A434,'13. Updated Demand'!A:Z,23,FALSE)),0,VLOOKUP($A434,'13. Updated Demand'!A:Z,23,FALSE))</f>
        <v>0</v>
      </c>
      <c r="AG434" s="16">
        <f>IF(ISERROR(VLOOKUP($A434,'13. Updated Demand'!A:Z,24,FALSE)),0,VLOOKUP($A434,'13. Updated Demand'!A:Z,24,FALSE))</f>
        <v>0</v>
      </c>
      <c r="AH434" s="16">
        <f>IF(ISERROR(VLOOKUP($A434,'13. Updated Demand'!A:Z,25,FALSE)),0,VLOOKUP($A434,'13. Updated Demand'!A:Z,25,FALSE))</f>
        <v>0</v>
      </c>
      <c r="AI434" s="16">
        <f>IF(ISERROR(VLOOKUP($A434,'13. Updated Demand'!A:Z,26,FALSE)),0,VLOOKUP($A434,'13. Updated Demand'!A:Z,26,FALSE))</f>
        <v>0</v>
      </c>
      <c r="AJ434" s="16">
        <f t="shared" si="84"/>
        <v>0</v>
      </c>
      <c r="AK434" s="19">
        <v>0</v>
      </c>
      <c r="AL434" s="16">
        <f t="shared" si="82"/>
        <v>0</v>
      </c>
      <c r="AM434" s="17">
        <v>0</v>
      </c>
      <c r="AN434" s="19"/>
      <c r="AO434" s="19"/>
      <c r="AP434" s="19">
        <v>13.4</v>
      </c>
      <c r="AQ434" s="19" t="s">
        <v>307</v>
      </c>
      <c r="AR434" s="9" t="s">
        <v>331</v>
      </c>
      <c r="AS434" s="12">
        <v>0</v>
      </c>
      <c r="AT434" s="19">
        <v>39.2012</v>
      </c>
      <c r="AU434" s="19">
        <v>-123.2272</v>
      </c>
      <c r="AV434" s="19" t="s">
        <v>417</v>
      </c>
    </row>
    <row r="435" spans="1:48" x14ac:dyDescent="0.25">
      <c r="A435" s="18" t="s">
        <v>816</v>
      </c>
      <c r="B435" s="10">
        <v>19881118</v>
      </c>
      <c r="C435" s="9">
        <v>9</v>
      </c>
      <c r="D435" s="8" t="str">
        <f t="shared" si="73"/>
        <v>N</v>
      </c>
      <c r="E435" s="8" t="str">
        <f t="shared" si="74"/>
        <v>Y</v>
      </c>
      <c r="F435" s="8" t="str">
        <f t="shared" si="75"/>
        <v>Y</v>
      </c>
      <c r="G435" s="8" t="str">
        <f t="shared" si="76"/>
        <v>Y</v>
      </c>
      <c r="H435" s="8" t="str">
        <f t="shared" si="77"/>
        <v>Upper</v>
      </c>
      <c r="I435" s="8" t="str">
        <f t="shared" si="78"/>
        <v>West Fork and Below Lake</v>
      </c>
      <c r="J435" s="8" t="str">
        <f t="shared" si="79"/>
        <v>Sonoma (d/s of Clov. Gage)</v>
      </c>
      <c r="K435" s="8" t="str">
        <f t="shared" si="80"/>
        <v>Post-1949</v>
      </c>
      <c r="L435" s="8">
        <f t="shared" si="81"/>
        <v>1988</v>
      </c>
      <c r="M435" s="8" t="str">
        <f t="shared" si="83"/>
        <v>1971-1990</v>
      </c>
      <c r="N435" s="10" t="s">
        <v>242</v>
      </c>
      <c r="O435" s="10" t="s">
        <v>241</v>
      </c>
      <c r="P435" s="10" t="s">
        <v>242</v>
      </c>
      <c r="Q435" s="10" t="s">
        <v>242</v>
      </c>
      <c r="R435" s="10" t="s">
        <v>241</v>
      </c>
      <c r="S435" s="10" t="s">
        <v>242</v>
      </c>
      <c r="T435" s="10" t="s">
        <v>242</v>
      </c>
      <c r="U435" s="10" t="s">
        <v>242</v>
      </c>
      <c r="V435" s="10" t="s">
        <v>242</v>
      </c>
      <c r="W435" s="10" t="s">
        <v>242</v>
      </c>
      <c r="X435" s="15">
        <f>IF(ISERROR(VLOOKUP($A435,'13. Updated Demand'!A:Z,15,FALSE)),0,VLOOKUP($A435,'13. Updated Demand'!A:Z,15,FALSE))</f>
        <v>0.61</v>
      </c>
      <c r="Y435" s="16">
        <f>IF(ISERROR(VLOOKUP($A435,'13. Updated Demand'!A:Z,16,FALSE)),0,VLOOKUP($A435,'13. Updated Demand'!A:Z,16,FALSE))</f>
        <v>0.51</v>
      </c>
      <c r="Z435" s="16">
        <f>IF(ISERROR(VLOOKUP($A435,'13. Updated Demand'!A:Z,17,FALSE)),0,VLOOKUP($A435,'13. Updated Demand'!A:Z,17,FALSE))</f>
        <v>0.46</v>
      </c>
      <c r="AA435" s="16">
        <f>IF(ISERROR(VLOOKUP($A435,'13. Updated Demand'!A:Z,18,FALSE)),0,VLOOKUP($A435,'13. Updated Demand'!A:Z,18,FALSE))</f>
        <v>0</v>
      </c>
      <c r="AB435" s="16">
        <f>IF(ISERROR(VLOOKUP($A435,'13. Updated Demand'!A:Z,19,FALSE)),0,VLOOKUP($A435,'13. Updated Demand'!A:Z,19,FALSE))</f>
        <v>0.05</v>
      </c>
      <c r="AC435" s="16">
        <f>IF(ISERROR(VLOOKUP($A435,'13. Updated Demand'!A:Z,20,FALSE)),0,VLOOKUP($A435,'13. Updated Demand'!A:Z,20,FALSE))</f>
        <v>0</v>
      </c>
      <c r="AD435" s="16">
        <f>IF(ISERROR(VLOOKUP($A435,'13. Updated Demand'!A:Z,21,FALSE)),0,VLOOKUP($A435,'13. Updated Demand'!A:Z,21,FALSE))</f>
        <v>0</v>
      </c>
      <c r="AE435" s="16">
        <f>IF(ISERROR(VLOOKUP($A435,'13. Updated Demand'!A:Z,22,FALSE)),0,VLOOKUP($A435,'13. Updated Demand'!A:Z,22,FALSE))</f>
        <v>0</v>
      </c>
      <c r="AF435" s="16">
        <f>IF(ISERROR(VLOOKUP($A435,'13. Updated Demand'!A:Z,23,FALSE)),0,VLOOKUP($A435,'13. Updated Demand'!A:Z,23,FALSE))</f>
        <v>0</v>
      </c>
      <c r="AG435" s="16">
        <f>IF(ISERROR(VLOOKUP($A435,'13. Updated Demand'!A:Z,24,FALSE)),0,VLOOKUP($A435,'13. Updated Demand'!A:Z,24,FALSE))</f>
        <v>0</v>
      </c>
      <c r="AH435" s="16">
        <f>IF(ISERROR(VLOOKUP($A435,'13. Updated Demand'!A:Z,25,FALSE)),0,VLOOKUP($A435,'13. Updated Demand'!A:Z,25,FALSE))</f>
        <v>0.08</v>
      </c>
      <c r="AI435" s="16">
        <f>IF(ISERROR(VLOOKUP($A435,'13. Updated Demand'!A:Z,26,FALSE)),0,VLOOKUP($A435,'13. Updated Demand'!A:Z,26,FALSE))</f>
        <v>0.25</v>
      </c>
      <c r="AJ435" s="16">
        <f t="shared" si="84"/>
        <v>1.9600000000000002</v>
      </c>
      <c r="AK435" s="19">
        <v>5.1147999999999999E-2</v>
      </c>
      <c r="AL435" s="16">
        <f t="shared" si="82"/>
        <v>1.6965208969528669E-4</v>
      </c>
      <c r="AM435" s="17">
        <v>0.2861328985507246</v>
      </c>
      <c r="AN435" s="19"/>
      <c r="AO435" s="19"/>
      <c r="AP435" s="19">
        <v>6.9</v>
      </c>
      <c r="AQ435" s="19" t="s">
        <v>307</v>
      </c>
      <c r="AR435" s="9" t="s">
        <v>354</v>
      </c>
      <c r="AS435" s="12">
        <v>0</v>
      </c>
      <c r="AT435" s="19">
        <v>38.761106429999998</v>
      </c>
      <c r="AU435" s="19">
        <v>-123.00495401000001</v>
      </c>
      <c r="AV435" s="19" t="s">
        <v>417</v>
      </c>
    </row>
    <row r="436" spans="1:48" x14ac:dyDescent="0.25">
      <c r="A436" s="18" t="s">
        <v>817</v>
      </c>
      <c r="B436" s="10">
        <v>19881102</v>
      </c>
      <c r="C436" s="9">
        <v>4</v>
      </c>
      <c r="D436" s="8" t="str">
        <f t="shared" si="73"/>
        <v>Y</v>
      </c>
      <c r="E436" s="8" t="str">
        <f t="shared" si="74"/>
        <v>N</v>
      </c>
      <c r="F436" s="8" t="str">
        <f t="shared" si="75"/>
        <v>Y</v>
      </c>
      <c r="G436" s="8" t="str">
        <f t="shared" si="76"/>
        <v>Y</v>
      </c>
      <c r="H436" s="8" t="str">
        <f t="shared" si="77"/>
        <v>Upper</v>
      </c>
      <c r="I436" s="8" t="str">
        <f t="shared" si="78"/>
        <v>West Fork and Below Lake</v>
      </c>
      <c r="J436" s="8" t="str">
        <f t="shared" si="79"/>
        <v>Mendocino (d/s of lake)</v>
      </c>
      <c r="K436" s="8" t="str">
        <f t="shared" si="80"/>
        <v>Post-1949</v>
      </c>
      <c r="L436" s="8">
        <f t="shared" si="81"/>
        <v>1988</v>
      </c>
      <c r="M436" s="8" t="str">
        <f t="shared" si="83"/>
        <v>1971-1990</v>
      </c>
      <c r="N436" s="10" t="s">
        <v>241</v>
      </c>
      <c r="O436" s="10" t="s">
        <v>241</v>
      </c>
      <c r="P436" s="10" t="s">
        <v>242</v>
      </c>
      <c r="Q436" s="10" t="s">
        <v>242</v>
      </c>
      <c r="R436" s="10" t="s">
        <v>241</v>
      </c>
      <c r="S436" s="10" t="s">
        <v>242</v>
      </c>
      <c r="T436" s="10" t="s">
        <v>242</v>
      </c>
      <c r="U436" s="10" t="s">
        <v>242</v>
      </c>
      <c r="V436" s="10" t="s">
        <v>241</v>
      </c>
      <c r="W436" s="10" t="s">
        <v>242</v>
      </c>
      <c r="X436" s="15">
        <f>IF(ISERROR(VLOOKUP($A436,'13. Updated Demand'!A:Z,15,FALSE)),0,VLOOKUP($A436,'13. Updated Demand'!A:Z,15,FALSE))</f>
        <v>0</v>
      </c>
      <c r="Y436" s="16">
        <f>IF(ISERROR(VLOOKUP($A436,'13. Updated Demand'!A:Z,16,FALSE)),0,VLOOKUP($A436,'13. Updated Demand'!A:Z,16,FALSE))</f>
        <v>0</v>
      </c>
      <c r="Z436" s="16">
        <f>IF(ISERROR(VLOOKUP($A436,'13. Updated Demand'!A:Z,17,FALSE)),0,VLOOKUP($A436,'13. Updated Demand'!A:Z,17,FALSE))</f>
        <v>0.5</v>
      </c>
      <c r="AA436" s="16">
        <f>IF(ISERROR(VLOOKUP($A436,'13. Updated Demand'!A:Z,18,FALSE)),0,VLOOKUP($A436,'13. Updated Demand'!A:Z,18,FALSE))</f>
        <v>1.33</v>
      </c>
      <c r="AB436" s="16">
        <f>IF(ISERROR(VLOOKUP($A436,'13. Updated Demand'!A:Z,19,FALSE)),0,VLOOKUP($A436,'13. Updated Demand'!A:Z,19,FALSE))</f>
        <v>0</v>
      </c>
      <c r="AC436" s="16">
        <f>IF(ISERROR(VLOOKUP($A436,'13. Updated Demand'!A:Z,20,FALSE)),0,VLOOKUP($A436,'13. Updated Demand'!A:Z,20,FALSE))</f>
        <v>0</v>
      </c>
      <c r="AD436" s="16">
        <f>IF(ISERROR(VLOOKUP($A436,'13. Updated Demand'!A:Z,21,FALSE)),0,VLOOKUP($A436,'13. Updated Demand'!A:Z,21,FALSE))</f>
        <v>0</v>
      </c>
      <c r="AE436" s="16">
        <f>IF(ISERROR(VLOOKUP($A436,'13. Updated Demand'!A:Z,22,FALSE)),0,VLOOKUP($A436,'13. Updated Demand'!A:Z,22,FALSE))</f>
        <v>0</v>
      </c>
      <c r="AF436" s="16">
        <f>IF(ISERROR(VLOOKUP($A436,'13. Updated Demand'!A:Z,23,FALSE)),0,VLOOKUP($A436,'13. Updated Demand'!A:Z,23,FALSE))</f>
        <v>0</v>
      </c>
      <c r="AG436" s="16">
        <f>IF(ISERROR(VLOOKUP($A436,'13. Updated Demand'!A:Z,24,FALSE)),0,VLOOKUP($A436,'13. Updated Demand'!A:Z,24,FALSE))</f>
        <v>0</v>
      </c>
      <c r="AH436" s="16">
        <f>IF(ISERROR(VLOOKUP($A436,'13. Updated Demand'!A:Z,25,FALSE)),0,VLOOKUP($A436,'13. Updated Demand'!A:Z,25,FALSE))</f>
        <v>0</v>
      </c>
      <c r="AI436" s="16">
        <f>IF(ISERROR(VLOOKUP($A436,'13. Updated Demand'!A:Z,26,FALSE)),0,VLOOKUP($A436,'13. Updated Demand'!A:Z,26,FALSE))</f>
        <v>0</v>
      </c>
      <c r="AJ436" s="16">
        <f t="shared" si="84"/>
        <v>1.83</v>
      </c>
      <c r="AK436" s="19">
        <v>0</v>
      </c>
      <c r="AL436" s="16">
        <f t="shared" si="82"/>
        <v>0</v>
      </c>
      <c r="AM436" s="17">
        <v>6.1111111111110998E-2</v>
      </c>
      <c r="AN436" s="19"/>
      <c r="AO436" s="19"/>
      <c r="AP436" s="19">
        <v>30</v>
      </c>
      <c r="AQ436" s="19" t="s">
        <v>307</v>
      </c>
      <c r="AR436" s="9" t="s">
        <v>331</v>
      </c>
      <c r="AS436" s="12">
        <v>0</v>
      </c>
      <c r="AT436" s="19">
        <v>39.142487150000001</v>
      </c>
      <c r="AU436" s="19">
        <v>-123.18593371</v>
      </c>
      <c r="AV436" s="19" t="s">
        <v>548</v>
      </c>
    </row>
    <row r="437" spans="1:48" x14ac:dyDescent="0.25">
      <c r="A437" s="18" t="s">
        <v>818</v>
      </c>
      <c r="B437" s="10">
        <v>19881102</v>
      </c>
      <c r="C437" s="9">
        <v>4</v>
      </c>
      <c r="D437" s="8" t="str">
        <f t="shared" si="73"/>
        <v>Y</v>
      </c>
      <c r="E437" s="8" t="str">
        <f t="shared" si="74"/>
        <v>N</v>
      </c>
      <c r="F437" s="8" t="str">
        <f t="shared" si="75"/>
        <v>Y</v>
      </c>
      <c r="G437" s="8" t="str">
        <f t="shared" si="76"/>
        <v>Y</v>
      </c>
      <c r="H437" s="8" t="str">
        <f t="shared" si="77"/>
        <v>Upper</v>
      </c>
      <c r="I437" s="8" t="str">
        <f t="shared" si="78"/>
        <v>West Fork and Below Lake</v>
      </c>
      <c r="J437" s="8" t="str">
        <f t="shared" si="79"/>
        <v>Mendocino (d/s of lake)</v>
      </c>
      <c r="K437" s="8" t="str">
        <f t="shared" si="80"/>
        <v>Post-1949</v>
      </c>
      <c r="L437" s="8">
        <f t="shared" si="81"/>
        <v>1988</v>
      </c>
      <c r="M437" s="8" t="str">
        <f t="shared" si="83"/>
        <v>1971-1990</v>
      </c>
      <c r="N437" s="10" t="s">
        <v>241</v>
      </c>
      <c r="O437" s="10" t="s">
        <v>241</v>
      </c>
      <c r="P437" s="10" t="s">
        <v>242</v>
      </c>
      <c r="Q437" s="10" t="s">
        <v>242</v>
      </c>
      <c r="R437" s="10" t="s">
        <v>241</v>
      </c>
      <c r="S437" s="10" t="s">
        <v>242</v>
      </c>
      <c r="T437" s="10" t="s">
        <v>242</v>
      </c>
      <c r="U437" s="10" t="s">
        <v>242</v>
      </c>
      <c r="V437" s="10" t="s">
        <v>242</v>
      </c>
      <c r="W437" s="10" t="s">
        <v>242</v>
      </c>
      <c r="X437" s="15">
        <f>IF(ISERROR(VLOOKUP($A437,'13. Updated Demand'!A:Z,15,FALSE)),0,VLOOKUP($A437,'13. Updated Demand'!A:Z,15,FALSE))</f>
        <v>0</v>
      </c>
      <c r="Y437" s="16">
        <f>IF(ISERROR(VLOOKUP($A437,'13. Updated Demand'!A:Z,16,FALSE)),0,VLOOKUP($A437,'13. Updated Demand'!A:Z,16,FALSE))</f>
        <v>0</v>
      </c>
      <c r="Z437" s="16">
        <f>IF(ISERROR(VLOOKUP($A437,'13. Updated Demand'!A:Z,17,FALSE)),0,VLOOKUP($A437,'13. Updated Demand'!A:Z,17,FALSE))</f>
        <v>0</v>
      </c>
      <c r="AA437" s="16">
        <f>IF(ISERROR(VLOOKUP($A437,'13. Updated Demand'!A:Z,18,FALSE)),0,VLOOKUP($A437,'13. Updated Demand'!A:Z,18,FALSE))</f>
        <v>0.66</v>
      </c>
      <c r="AB437" s="16">
        <f>IF(ISERROR(VLOOKUP($A437,'13. Updated Demand'!A:Z,19,FALSE)),0,VLOOKUP($A437,'13. Updated Demand'!A:Z,19,FALSE))</f>
        <v>28.33</v>
      </c>
      <c r="AC437" s="16">
        <f>IF(ISERROR(VLOOKUP($A437,'13. Updated Demand'!A:Z,20,FALSE)),0,VLOOKUP($A437,'13. Updated Demand'!A:Z,20,FALSE))</f>
        <v>31.66</v>
      </c>
      <c r="AD437" s="16">
        <f>IF(ISERROR(VLOOKUP($A437,'13. Updated Demand'!A:Z,21,FALSE)),0,VLOOKUP($A437,'13. Updated Demand'!A:Z,21,FALSE))</f>
        <v>0</v>
      </c>
      <c r="AE437" s="16">
        <f>IF(ISERROR(VLOOKUP($A437,'13. Updated Demand'!A:Z,22,FALSE)),0,VLOOKUP($A437,'13. Updated Demand'!A:Z,22,FALSE))</f>
        <v>0</v>
      </c>
      <c r="AF437" s="16">
        <f>IF(ISERROR(VLOOKUP($A437,'13. Updated Demand'!A:Z,23,FALSE)),0,VLOOKUP($A437,'13. Updated Demand'!A:Z,23,FALSE))</f>
        <v>0</v>
      </c>
      <c r="AG437" s="16">
        <f>IF(ISERROR(VLOOKUP($A437,'13. Updated Demand'!A:Z,24,FALSE)),0,VLOOKUP($A437,'13. Updated Demand'!A:Z,24,FALSE))</f>
        <v>0</v>
      </c>
      <c r="AH437" s="16">
        <f>IF(ISERROR(VLOOKUP($A437,'13. Updated Demand'!A:Z,25,FALSE)),0,VLOOKUP($A437,'13. Updated Demand'!A:Z,25,FALSE))</f>
        <v>0</v>
      </c>
      <c r="AI437" s="16">
        <f>IF(ISERROR(VLOOKUP($A437,'13. Updated Demand'!A:Z,26,FALSE)),0,VLOOKUP($A437,'13. Updated Demand'!A:Z,26,FALSE))</f>
        <v>0</v>
      </c>
      <c r="AJ437" s="16">
        <f t="shared" si="84"/>
        <v>60.65</v>
      </c>
      <c r="AK437" s="19">
        <v>60</v>
      </c>
      <c r="AL437" s="16">
        <f t="shared" si="82"/>
        <v>0.19901316535773056</v>
      </c>
      <c r="AM437" s="17">
        <v>0.33703703703703708</v>
      </c>
      <c r="AN437" s="19"/>
      <c r="AO437" s="19"/>
      <c r="AP437" s="19">
        <v>180</v>
      </c>
      <c r="AQ437" s="19" t="s">
        <v>307</v>
      </c>
      <c r="AR437" s="9" t="s">
        <v>331</v>
      </c>
      <c r="AS437" s="12">
        <v>3.4039024194010059E-4</v>
      </c>
      <c r="AT437" s="19">
        <v>39.142487150000001</v>
      </c>
      <c r="AU437" s="19">
        <v>-123.18593371</v>
      </c>
      <c r="AV437" s="19" t="s">
        <v>548</v>
      </c>
    </row>
    <row r="438" spans="1:48" x14ac:dyDescent="0.25">
      <c r="A438" s="18" t="s">
        <v>819</v>
      </c>
      <c r="B438" s="10">
        <v>19880327</v>
      </c>
      <c r="C438" s="9">
        <v>18</v>
      </c>
      <c r="D438" s="8" t="str">
        <f t="shared" si="73"/>
        <v>N</v>
      </c>
      <c r="E438" s="8" t="str">
        <f t="shared" si="74"/>
        <v>N</v>
      </c>
      <c r="F438" s="8" t="str">
        <f t="shared" si="75"/>
        <v>N</v>
      </c>
      <c r="G438" s="8" t="str">
        <f t="shared" si="76"/>
        <v>N</v>
      </c>
      <c r="H438" s="8" t="str">
        <f t="shared" si="77"/>
        <v>Lower</v>
      </c>
      <c r="I438" s="8" t="str">
        <f t="shared" si="78"/>
        <v>Outside</v>
      </c>
      <c r="J438" s="8" t="str">
        <f t="shared" si="79"/>
        <v>Outside</v>
      </c>
      <c r="K438" s="8" t="str">
        <f t="shared" si="80"/>
        <v>Post-1949</v>
      </c>
      <c r="L438" s="8">
        <f t="shared" si="81"/>
        <v>1988</v>
      </c>
      <c r="M438" s="8" t="str">
        <f t="shared" si="83"/>
        <v>1971-1990</v>
      </c>
      <c r="N438" s="10" t="s">
        <v>241</v>
      </c>
      <c r="O438" s="10" t="s">
        <v>242</v>
      </c>
      <c r="P438" s="10" t="s">
        <v>242</v>
      </c>
      <c r="Q438" s="10" t="s">
        <v>242</v>
      </c>
      <c r="R438" s="10" t="s">
        <v>241</v>
      </c>
      <c r="S438" s="10" t="s">
        <v>242</v>
      </c>
      <c r="T438" s="10" t="s">
        <v>241</v>
      </c>
      <c r="U438" s="10" t="s">
        <v>241</v>
      </c>
      <c r="V438" s="10" t="s">
        <v>241</v>
      </c>
      <c r="W438" s="10" t="s">
        <v>242</v>
      </c>
      <c r="X438" s="15">
        <f>IF(ISERROR(VLOOKUP($A438,'13. Updated Demand'!A:Z,15,FALSE)),0,VLOOKUP($A438,'13. Updated Demand'!A:Z,15,FALSE))</f>
        <v>0</v>
      </c>
      <c r="Y438" s="16">
        <f>IF(ISERROR(VLOOKUP($A438,'13. Updated Demand'!A:Z,16,FALSE)),0,VLOOKUP($A438,'13. Updated Demand'!A:Z,16,FALSE))</f>
        <v>0</v>
      </c>
      <c r="Z438" s="16">
        <f>IF(ISERROR(VLOOKUP($A438,'13. Updated Demand'!A:Z,17,FALSE)),0,VLOOKUP($A438,'13. Updated Demand'!A:Z,17,FALSE))</f>
        <v>0</v>
      </c>
      <c r="AA438" s="16">
        <f>IF(ISERROR(VLOOKUP($A438,'13. Updated Demand'!A:Z,18,FALSE)),0,VLOOKUP($A438,'13. Updated Demand'!A:Z,18,FALSE))</f>
        <v>0</v>
      </c>
      <c r="AB438" s="16">
        <f>IF(ISERROR(VLOOKUP($A438,'13. Updated Demand'!A:Z,19,FALSE)),0,VLOOKUP($A438,'13. Updated Demand'!A:Z,19,FALSE))</f>
        <v>0</v>
      </c>
      <c r="AC438" s="16">
        <f>IF(ISERROR(VLOOKUP($A438,'13. Updated Demand'!A:Z,20,FALSE)),0,VLOOKUP($A438,'13. Updated Demand'!A:Z,20,FALSE))</f>
        <v>0</v>
      </c>
      <c r="AD438" s="16">
        <f>IF(ISERROR(VLOOKUP($A438,'13. Updated Demand'!A:Z,21,FALSE)),0,VLOOKUP($A438,'13. Updated Demand'!A:Z,21,FALSE))</f>
        <v>0</v>
      </c>
      <c r="AE438" s="16">
        <f>IF(ISERROR(VLOOKUP($A438,'13. Updated Demand'!A:Z,22,FALSE)),0,VLOOKUP($A438,'13. Updated Demand'!A:Z,22,FALSE))</f>
        <v>0</v>
      </c>
      <c r="AF438" s="16">
        <f>IF(ISERROR(VLOOKUP($A438,'13. Updated Demand'!A:Z,23,FALSE)),0,VLOOKUP($A438,'13. Updated Demand'!A:Z,23,FALSE))</f>
        <v>0</v>
      </c>
      <c r="AG438" s="16">
        <f>IF(ISERROR(VLOOKUP($A438,'13. Updated Demand'!A:Z,24,FALSE)),0,VLOOKUP($A438,'13. Updated Demand'!A:Z,24,FALSE))</f>
        <v>0</v>
      </c>
      <c r="AH438" s="16">
        <f>IF(ISERROR(VLOOKUP($A438,'13. Updated Demand'!A:Z,25,FALSE)),0,VLOOKUP($A438,'13. Updated Demand'!A:Z,25,FALSE))</f>
        <v>0</v>
      </c>
      <c r="AI438" s="16">
        <f>IF(ISERROR(VLOOKUP($A438,'13. Updated Demand'!A:Z,26,FALSE)),0,VLOOKUP($A438,'13. Updated Demand'!A:Z,26,FALSE))</f>
        <v>0</v>
      </c>
      <c r="AJ438" s="16">
        <f t="shared" si="84"/>
        <v>0</v>
      </c>
      <c r="AK438" s="19">
        <v>0</v>
      </c>
      <c r="AL438" s="16">
        <f t="shared" si="82"/>
        <v>0</v>
      </c>
      <c r="AM438" s="17">
        <v>0</v>
      </c>
      <c r="AN438" s="19"/>
      <c r="AO438" s="19"/>
      <c r="AP438" s="19">
        <v>12.8</v>
      </c>
      <c r="AQ438" s="19" t="s">
        <v>307</v>
      </c>
      <c r="AR438" s="9" t="s">
        <v>352</v>
      </c>
      <c r="AS438" s="12">
        <v>3.4039024194010059E-4</v>
      </c>
      <c r="AT438" s="19">
        <v>38.515369560000003</v>
      </c>
      <c r="AU438" s="19">
        <v>-122.8678508</v>
      </c>
      <c r="AV438" s="19" t="s">
        <v>548</v>
      </c>
    </row>
    <row r="439" spans="1:48" x14ac:dyDescent="0.25">
      <c r="A439" s="18" t="s">
        <v>820</v>
      </c>
      <c r="B439" s="10">
        <v>19870604</v>
      </c>
      <c r="C439" s="9">
        <v>23</v>
      </c>
      <c r="D439" s="8" t="str">
        <f t="shared" si="73"/>
        <v>N</v>
      </c>
      <c r="E439" s="8" t="str">
        <f t="shared" si="74"/>
        <v>N</v>
      </c>
      <c r="F439" s="8" t="str">
        <f t="shared" si="75"/>
        <v>N</v>
      </c>
      <c r="G439" s="8" t="str">
        <f t="shared" si="76"/>
        <v>N</v>
      </c>
      <c r="H439" s="8" t="str">
        <f t="shared" si="77"/>
        <v>Lower</v>
      </c>
      <c r="I439" s="8" t="str">
        <f t="shared" si="78"/>
        <v>Outside</v>
      </c>
      <c r="J439" s="8" t="str">
        <f t="shared" si="79"/>
        <v>Outside</v>
      </c>
      <c r="K439" s="8" t="str">
        <f t="shared" si="80"/>
        <v>Post-1949</v>
      </c>
      <c r="L439" s="8">
        <f t="shared" si="81"/>
        <v>1987</v>
      </c>
      <c r="M439" s="8" t="str">
        <f t="shared" si="83"/>
        <v>1971-1990</v>
      </c>
      <c r="N439" s="10" t="s">
        <v>242</v>
      </c>
      <c r="O439" s="10" t="s">
        <v>242</v>
      </c>
      <c r="P439" s="10" t="s">
        <v>242</v>
      </c>
      <c r="Q439" s="10" t="s">
        <v>242</v>
      </c>
      <c r="R439" s="10" t="s">
        <v>241</v>
      </c>
      <c r="S439" s="10" t="s">
        <v>242</v>
      </c>
      <c r="T439" s="10" t="s">
        <v>242</v>
      </c>
      <c r="U439" s="10" t="s">
        <v>241</v>
      </c>
      <c r="V439" s="10" t="s">
        <v>241</v>
      </c>
      <c r="W439" s="10" t="s">
        <v>242</v>
      </c>
      <c r="X439" s="15">
        <f>IF(ISERROR(VLOOKUP($A439,'13. Updated Demand'!A:Z,15,FALSE)),0,VLOOKUP($A439,'13. Updated Demand'!A:Z,15,FALSE))</f>
        <v>0</v>
      </c>
      <c r="Y439" s="16">
        <f>IF(ISERROR(VLOOKUP($A439,'13. Updated Demand'!A:Z,16,FALSE)),0,VLOOKUP($A439,'13. Updated Demand'!A:Z,16,FALSE))</f>
        <v>0</v>
      </c>
      <c r="Z439" s="16">
        <f>IF(ISERROR(VLOOKUP($A439,'13. Updated Demand'!A:Z,17,FALSE)),0,VLOOKUP($A439,'13. Updated Demand'!A:Z,17,FALSE))</f>
        <v>0</v>
      </c>
      <c r="AA439" s="16">
        <f>IF(ISERROR(VLOOKUP($A439,'13. Updated Demand'!A:Z,18,FALSE)),0,VLOOKUP($A439,'13. Updated Demand'!A:Z,18,FALSE))</f>
        <v>0</v>
      </c>
      <c r="AB439" s="16">
        <f>IF(ISERROR(VLOOKUP($A439,'13. Updated Demand'!A:Z,19,FALSE)),0,VLOOKUP($A439,'13. Updated Demand'!A:Z,19,FALSE))</f>
        <v>0</v>
      </c>
      <c r="AC439" s="16">
        <f>IF(ISERROR(VLOOKUP($A439,'13. Updated Demand'!A:Z,20,FALSE)),0,VLOOKUP($A439,'13. Updated Demand'!A:Z,20,FALSE))</f>
        <v>0</v>
      </c>
      <c r="AD439" s="16">
        <f>IF(ISERROR(VLOOKUP($A439,'13. Updated Demand'!A:Z,21,FALSE)),0,VLOOKUP($A439,'13. Updated Demand'!A:Z,21,FALSE))</f>
        <v>0</v>
      </c>
      <c r="AE439" s="16">
        <f>IF(ISERROR(VLOOKUP($A439,'13. Updated Demand'!A:Z,22,FALSE)),0,VLOOKUP($A439,'13. Updated Demand'!A:Z,22,FALSE))</f>
        <v>0</v>
      </c>
      <c r="AF439" s="16">
        <f>IF(ISERROR(VLOOKUP($A439,'13. Updated Demand'!A:Z,23,FALSE)),0,VLOOKUP($A439,'13. Updated Demand'!A:Z,23,FALSE))</f>
        <v>0</v>
      </c>
      <c r="AG439" s="16">
        <f>IF(ISERROR(VLOOKUP($A439,'13. Updated Demand'!A:Z,24,FALSE)),0,VLOOKUP($A439,'13. Updated Demand'!A:Z,24,FALSE))</f>
        <v>0</v>
      </c>
      <c r="AH439" s="16">
        <f>IF(ISERROR(VLOOKUP($A439,'13. Updated Demand'!A:Z,25,FALSE)),0,VLOOKUP($A439,'13. Updated Demand'!A:Z,25,FALSE))</f>
        <v>0</v>
      </c>
      <c r="AI439" s="16">
        <f>IF(ISERROR(VLOOKUP($A439,'13. Updated Demand'!A:Z,26,FALSE)),0,VLOOKUP($A439,'13. Updated Demand'!A:Z,26,FALSE))</f>
        <v>0</v>
      </c>
      <c r="AJ439" s="16">
        <f t="shared" si="84"/>
        <v>0</v>
      </c>
      <c r="AK439" s="19">
        <v>0</v>
      </c>
      <c r="AL439" s="16">
        <f t="shared" si="82"/>
        <v>0</v>
      </c>
      <c r="AM439" s="17">
        <v>0</v>
      </c>
      <c r="AN439" s="19"/>
      <c r="AO439" s="19"/>
      <c r="AP439" s="19">
        <v>4.5</v>
      </c>
      <c r="AQ439" s="19" t="s">
        <v>307</v>
      </c>
      <c r="AR439" s="9" t="s">
        <v>323</v>
      </c>
      <c r="AS439" s="12">
        <v>0</v>
      </c>
      <c r="AT439" s="19">
        <v>38.561377159999999</v>
      </c>
      <c r="AU439" s="19">
        <v>-122.63233579</v>
      </c>
      <c r="AV439" s="19" t="s">
        <v>417</v>
      </c>
    </row>
    <row r="440" spans="1:48" x14ac:dyDescent="0.25">
      <c r="A440" s="18" t="s">
        <v>821</v>
      </c>
      <c r="B440" s="10">
        <v>19870716</v>
      </c>
      <c r="C440" s="9">
        <v>23</v>
      </c>
      <c r="D440" s="8" t="str">
        <f t="shared" si="73"/>
        <v>N</v>
      </c>
      <c r="E440" s="8" t="str">
        <f t="shared" si="74"/>
        <v>N</v>
      </c>
      <c r="F440" s="8" t="str">
        <f t="shared" si="75"/>
        <v>N</v>
      </c>
      <c r="G440" s="8" t="str">
        <f t="shared" si="76"/>
        <v>N</v>
      </c>
      <c r="H440" s="8" t="str">
        <f t="shared" si="77"/>
        <v>Lower</v>
      </c>
      <c r="I440" s="8" t="str">
        <f t="shared" si="78"/>
        <v>Outside</v>
      </c>
      <c r="J440" s="8" t="str">
        <f t="shared" si="79"/>
        <v>Outside</v>
      </c>
      <c r="K440" s="8" t="str">
        <f t="shared" si="80"/>
        <v>Post-1949</v>
      </c>
      <c r="L440" s="8">
        <f t="shared" si="81"/>
        <v>1987</v>
      </c>
      <c r="M440" s="8" t="str">
        <f t="shared" si="83"/>
        <v>1971-1990</v>
      </c>
      <c r="N440" s="10" t="s">
        <v>242</v>
      </c>
      <c r="O440" s="10" t="s">
        <v>242</v>
      </c>
      <c r="P440" s="10" t="s">
        <v>242</v>
      </c>
      <c r="Q440" s="10" t="s">
        <v>242</v>
      </c>
      <c r="R440" s="10" t="s">
        <v>241</v>
      </c>
      <c r="S440" s="10" t="s">
        <v>242</v>
      </c>
      <c r="T440" s="10" t="s">
        <v>242</v>
      </c>
      <c r="U440" s="10" t="s">
        <v>241</v>
      </c>
      <c r="V440" s="10" t="s">
        <v>241</v>
      </c>
      <c r="W440" s="10" t="s">
        <v>242</v>
      </c>
      <c r="X440" s="15">
        <f>IF(ISERROR(VLOOKUP($A440,'13. Updated Demand'!A:Z,15,FALSE)),0,VLOOKUP($A440,'13. Updated Demand'!A:Z,15,FALSE))</f>
        <v>0</v>
      </c>
      <c r="Y440" s="16">
        <f>IF(ISERROR(VLOOKUP($A440,'13. Updated Demand'!A:Z,16,FALSE)),0,VLOOKUP($A440,'13. Updated Demand'!A:Z,16,FALSE))</f>
        <v>0</v>
      </c>
      <c r="Z440" s="16">
        <f>IF(ISERROR(VLOOKUP($A440,'13. Updated Demand'!A:Z,17,FALSE)),0,VLOOKUP($A440,'13. Updated Demand'!A:Z,17,FALSE))</f>
        <v>0</v>
      </c>
      <c r="AA440" s="16">
        <f>IF(ISERROR(VLOOKUP($A440,'13. Updated Demand'!A:Z,18,FALSE)),0,VLOOKUP($A440,'13. Updated Demand'!A:Z,18,FALSE))</f>
        <v>0</v>
      </c>
      <c r="AB440" s="16">
        <f>IF(ISERROR(VLOOKUP($A440,'13. Updated Demand'!A:Z,19,FALSE)),0,VLOOKUP($A440,'13. Updated Demand'!A:Z,19,FALSE))</f>
        <v>0</v>
      </c>
      <c r="AC440" s="16">
        <f>IF(ISERROR(VLOOKUP($A440,'13. Updated Demand'!A:Z,20,FALSE)),0,VLOOKUP($A440,'13. Updated Demand'!A:Z,20,FALSE))</f>
        <v>0</v>
      </c>
      <c r="AD440" s="16">
        <f>IF(ISERROR(VLOOKUP($A440,'13. Updated Demand'!A:Z,21,FALSE)),0,VLOOKUP($A440,'13. Updated Demand'!A:Z,21,FALSE))</f>
        <v>0</v>
      </c>
      <c r="AE440" s="16">
        <f>IF(ISERROR(VLOOKUP($A440,'13. Updated Demand'!A:Z,22,FALSE)),0,VLOOKUP($A440,'13. Updated Demand'!A:Z,22,FALSE))</f>
        <v>0</v>
      </c>
      <c r="AF440" s="16">
        <f>IF(ISERROR(VLOOKUP($A440,'13. Updated Demand'!A:Z,23,FALSE)),0,VLOOKUP($A440,'13. Updated Demand'!A:Z,23,FALSE))</f>
        <v>0</v>
      </c>
      <c r="AG440" s="16">
        <f>IF(ISERROR(VLOOKUP($A440,'13. Updated Demand'!A:Z,24,FALSE)),0,VLOOKUP($A440,'13. Updated Demand'!A:Z,24,FALSE))</f>
        <v>0</v>
      </c>
      <c r="AH440" s="16">
        <f>IF(ISERROR(VLOOKUP($A440,'13. Updated Demand'!A:Z,25,FALSE)),0,VLOOKUP($A440,'13. Updated Demand'!A:Z,25,FALSE))</f>
        <v>0</v>
      </c>
      <c r="AI440" s="16">
        <f>IF(ISERROR(VLOOKUP($A440,'13. Updated Demand'!A:Z,26,FALSE)),0,VLOOKUP($A440,'13. Updated Demand'!A:Z,26,FALSE))</f>
        <v>0</v>
      </c>
      <c r="AJ440" s="16">
        <f t="shared" si="84"/>
        <v>0</v>
      </c>
      <c r="AK440" s="19">
        <v>0</v>
      </c>
      <c r="AL440" s="16">
        <f t="shared" si="82"/>
        <v>0</v>
      </c>
      <c r="AM440" s="17">
        <v>0</v>
      </c>
      <c r="AN440" s="19"/>
      <c r="AO440" s="19"/>
      <c r="AP440" s="19">
        <v>325</v>
      </c>
      <c r="AQ440" s="19" t="s">
        <v>307</v>
      </c>
      <c r="AR440" s="9" t="s">
        <v>391</v>
      </c>
      <c r="AS440" s="12">
        <v>0</v>
      </c>
      <c r="AT440" s="19">
        <v>38.544928290000001</v>
      </c>
      <c r="AU440" s="19">
        <v>-122.73498867000001</v>
      </c>
      <c r="AV440" s="19" t="s">
        <v>417</v>
      </c>
    </row>
    <row r="441" spans="1:48" x14ac:dyDescent="0.25">
      <c r="A441" s="18" t="s">
        <v>822</v>
      </c>
      <c r="B441" s="10">
        <v>19870810</v>
      </c>
      <c r="C441" s="9">
        <v>7</v>
      </c>
      <c r="D441" s="8" t="str">
        <f t="shared" si="73"/>
        <v>N</v>
      </c>
      <c r="E441" s="8" t="str">
        <f t="shared" si="74"/>
        <v>Y</v>
      </c>
      <c r="F441" s="8" t="str">
        <f t="shared" si="75"/>
        <v>Y</v>
      </c>
      <c r="G441" s="8" t="str">
        <f t="shared" si="76"/>
        <v>Y</v>
      </c>
      <c r="H441" s="8" t="str">
        <f t="shared" si="77"/>
        <v>Upper</v>
      </c>
      <c r="I441" s="8" t="str">
        <f t="shared" si="78"/>
        <v>West Fork and Below Lake</v>
      </c>
      <c r="J441" s="8" t="str">
        <f t="shared" si="79"/>
        <v>Sonoma (d/s of Clov. Gage)</v>
      </c>
      <c r="K441" s="8" t="str">
        <f t="shared" si="80"/>
        <v>Post-1949</v>
      </c>
      <c r="L441" s="8">
        <f t="shared" si="81"/>
        <v>1987</v>
      </c>
      <c r="M441" s="8" t="str">
        <f t="shared" si="83"/>
        <v>1971-1990</v>
      </c>
      <c r="N441" s="10" t="s">
        <v>242</v>
      </c>
      <c r="O441" s="10" t="s">
        <v>241</v>
      </c>
      <c r="P441" s="10" t="s">
        <v>242</v>
      </c>
      <c r="Q441" s="10" t="s">
        <v>242</v>
      </c>
      <c r="R441" s="10" t="s">
        <v>241</v>
      </c>
      <c r="S441" s="10" t="s">
        <v>242</v>
      </c>
      <c r="T441" s="10" t="s">
        <v>242</v>
      </c>
      <c r="U441" s="10" t="s">
        <v>241</v>
      </c>
      <c r="V441" s="10" t="s">
        <v>241</v>
      </c>
      <c r="W441" s="10" t="s">
        <v>242</v>
      </c>
      <c r="X441" s="15">
        <f>IF(ISERROR(VLOOKUP($A441,'13. Updated Demand'!A:Z,15,FALSE)),0,VLOOKUP($A441,'13. Updated Demand'!A:Z,15,FALSE))</f>
        <v>0</v>
      </c>
      <c r="Y441" s="16">
        <f>IF(ISERROR(VLOOKUP($A441,'13. Updated Demand'!A:Z,16,FALSE)),0,VLOOKUP($A441,'13. Updated Demand'!A:Z,16,FALSE))</f>
        <v>0</v>
      </c>
      <c r="Z441" s="16">
        <f>IF(ISERROR(VLOOKUP($A441,'13. Updated Demand'!A:Z,17,FALSE)),0,VLOOKUP($A441,'13. Updated Demand'!A:Z,17,FALSE))</f>
        <v>0</v>
      </c>
      <c r="AA441" s="16">
        <f>IF(ISERROR(VLOOKUP($A441,'13. Updated Demand'!A:Z,18,FALSE)),0,VLOOKUP($A441,'13. Updated Demand'!A:Z,18,FALSE))</f>
        <v>0</v>
      </c>
      <c r="AB441" s="16">
        <f>IF(ISERROR(VLOOKUP($A441,'13. Updated Demand'!A:Z,19,FALSE)),0,VLOOKUP($A441,'13. Updated Demand'!A:Z,19,FALSE))</f>
        <v>0</v>
      </c>
      <c r="AC441" s="16">
        <f>IF(ISERROR(VLOOKUP($A441,'13. Updated Demand'!A:Z,20,FALSE)),0,VLOOKUP($A441,'13. Updated Demand'!A:Z,20,FALSE))</f>
        <v>0</v>
      </c>
      <c r="AD441" s="16">
        <f>IF(ISERROR(VLOOKUP($A441,'13. Updated Demand'!A:Z,21,FALSE)),0,VLOOKUP($A441,'13. Updated Demand'!A:Z,21,FALSE))</f>
        <v>0</v>
      </c>
      <c r="AE441" s="16">
        <f>IF(ISERROR(VLOOKUP($A441,'13. Updated Demand'!A:Z,22,FALSE)),0,VLOOKUP($A441,'13. Updated Demand'!A:Z,22,FALSE))</f>
        <v>0</v>
      </c>
      <c r="AF441" s="16">
        <f>IF(ISERROR(VLOOKUP($A441,'13. Updated Demand'!A:Z,23,FALSE)),0,VLOOKUP($A441,'13. Updated Demand'!A:Z,23,FALSE))</f>
        <v>0</v>
      </c>
      <c r="AG441" s="16">
        <f>IF(ISERROR(VLOOKUP($A441,'13. Updated Demand'!A:Z,24,FALSE)),0,VLOOKUP($A441,'13. Updated Demand'!A:Z,24,FALSE))</f>
        <v>0</v>
      </c>
      <c r="AH441" s="16">
        <f>IF(ISERROR(VLOOKUP($A441,'13. Updated Demand'!A:Z,25,FALSE)),0,VLOOKUP($A441,'13. Updated Demand'!A:Z,25,FALSE))</f>
        <v>0</v>
      </c>
      <c r="AI441" s="16">
        <f>IF(ISERROR(VLOOKUP($A441,'13. Updated Demand'!A:Z,26,FALSE)),0,VLOOKUP($A441,'13. Updated Demand'!A:Z,26,FALSE))</f>
        <v>0</v>
      </c>
      <c r="AJ441" s="16">
        <f t="shared" si="84"/>
        <v>0</v>
      </c>
      <c r="AK441" s="19">
        <v>0</v>
      </c>
      <c r="AL441" s="16">
        <f t="shared" si="82"/>
        <v>0</v>
      </c>
      <c r="AM441" s="17">
        <v>0</v>
      </c>
      <c r="AN441" s="19"/>
      <c r="AO441" s="19"/>
      <c r="AP441" s="19">
        <v>12.5</v>
      </c>
      <c r="AQ441" s="19" t="s">
        <v>307</v>
      </c>
      <c r="AR441" s="9" t="s">
        <v>823</v>
      </c>
      <c r="AS441" s="12">
        <v>0</v>
      </c>
      <c r="AT441" s="19">
        <v>38.777366469999997</v>
      </c>
      <c r="AU441" s="19">
        <v>-122.74510701</v>
      </c>
      <c r="AV441" s="19" t="s">
        <v>417</v>
      </c>
    </row>
    <row r="442" spans="1:48" x14ac:dyDescent="0.25">
      <c r="A442" s="18" t="s">
        <v>824</v>
      </c>
      <c r="B442" s="10">
        <v>19870810</v>
      </c>
      <c r="C442" s="9">
        <v>7</v>
      </c>
      <c r="D442" s="8" t="str">
        <f t="shared" si="73"/>
        <v>N</v>
      </c>
      <c r="E442" s="8" t="str">
        <f t="shared" si="74"/>
        <v>Y</v>
      </c>
      <c r="F442" s="8" t="str">
        <f t="shared" si="75"/>
        <v>Y</v>
      </c>
      <c r="G442" s="8" t="str">
        <f t="shared" si="76"/>
        <v>Y</v>
      </c>
      <c r="H442" s="8" t="str">
        <f t="shared" si="77"/>
        <v>Upper</v>
      </c>
      <c r="I442" s="8" t="str">
        <f t="shared" si="78"/>
        <v>West Fork and Below Lake</v>
      </c>
      <c r="J442" s="8" t="str">
        <f t="shared" si="79"/>
        <v>Sonoma (d/s of Clov. Gage)</v>
      </c>
      <c r="K442" s="8" t="str">
        <f t="shared" si="80"/>
        <v>Post-1949</v>
      </c>
      <c r="L442" s="8">
        <f t="shared" si="81"/>
        <v>1987</v>
      </c>
      <c r="M442" s="8" t="str">
        <f t="shared" si="83"/>
        <v>1971-1990</v>
      </c>
      <c r="N442" s="10" t="s">
        <v>242</v>
      </c>
      <c r="O442" s="10" t="s">
        <v>241</v>
      </c>
      <c r="P442" s="10" t="s">
        <v>242</v>
      </c>
      <c r="Q442" s="10" t="s">
        <v>242</v>
      </c>
      <c r="R442" s="10" t="s">
        <v>241</v>
      </c>
      <c r="S442" s="10" t="s">
        <v>242</v>
      </c>
      <c r="T442" s="10" t="s">
        <v>242</v>
      </c>
      <c r="U442" s="10" t="s">
        <v>242</v>
      </c>
      <c r="V442" s="10" t="s">
        <v>241</v>
      </c>
      <c r="W442" s="10" t="s">
        <v>242</v>
      </c>
      <c r="X442" s="15">
        <f>IF(ISERROR(VLOOKUP($A442,'13. Updated Demand'!A:Z,15,FALSE)),0,VLOOKUP($A442,'13. Updated Demand'!A:Z,15,FALSE))</f>
        <v>0</v>
      </c>
      <c r="Y442" s="16">
        <f>IF(ISERROR(VLOOKUP($A442,'13. Updated Demand'!A:Z,16,FALSE)),0,VLOOKUP($A442,'13. Updated Demand'!A:Z,16,FALSE))</f>
        <v>0</v>
      </c>
      <c r="Z442" s="16">
        <f>IF(ISERROR(VLOOKUP($A442,'13. Updated Demand'!A:Z,17,FALSE)),0,VLOOKUP($A442,'13. Updated Demand'!A:Z,17,FALSE))</f>
        <v>0</v>
      </c>
      <c r="AA442" s="16">
        <f>IF(ISERROR(VLOOKUP($A442,'13. Updated Demand'!A:Z,18,FALSE)),0,VLOOKUP($A442,'13. Updated Demand'!A:Z,18,FALSE))</f>
        <v>0</v>
      </c>
      <c r="AB442" s="16">
        <f>IF(ISERROR(VLOOKUP($A442,'13. Updated Demand'!A:Z,19,FALSE)),0,VLOOKUP($A442,'13. Updated Demand'!A:Z,19,FALSE))</f>
        <v>0</v>
      </c>
      <c r="AC442" s="16">
        <f>IF(ISERROR(VLOOKUP($A442,'13. Updated Demand'!A:Z,20,FALSE)),0,VLOOKUP($A442,'13. Updated Demand'!A:Z,20,FALSE))</f>
        <v>0</v>
      </c>
      <c r="AD442" s="16">
        <f>IF(ISERROR(VLOOKUP($A442,'13. Updated Demand'!A:Z,21,FALSE)),0,VLOOKUP($A442,'13. Updated Demand'!A:Z,21,FALSE))</f>
        <v>0</v>
      </c>
      <c r="AE442" s="16">
        <f>IF(ISERROR(VLOOKUP($A442,'13. Updated Demand'!A:Z,22,FALSE)),0,VLOOKUP($A442,'13. Updated Demand'!A:Z,22,FALSE))</f>
        <v>0</v>
      </c>
      <c r="AF442" s="16">
        <f>IF(ISERROR(VLOOKUP($A442,'13. Updated Demand'!A:Z,23,FALSE)),0,VLOOKUP($A442,'13. Updated Demand'!A:Z,23,FALSE))</f>
        <v>0</v>
      </c>
      <c r="AG442" s="16">
        <f>IF(ISERROR(VLOOKUP($A442,'13. Updated Demand'!A:Z,24,FALSE)),0,VLOOKUP($A442,'13. Updated Demand'!A:Z,24,FALSE))</f>
        <v>0</v>
      </c>
      <c r="AH442" s="16">
        <f>IF(ISERROR(VLOOKUP($A442,'13. Updated Demand'!A:Z,25,FALSE)),0,VLOOKUP($A442,'13. Updated Demand'!A:Z,25,FALSE))</f>
        <v>0.6</v>
      </c>
      <c r="AI442" s="16">
        <f>IF(ISERROR(VLOOKUP($A442,'13. Updated Demand'!A:Z,26,FALSE)),0,VLOOKUP($A442,'13. Updated Demand'!A:Z,26,FALSE))</f>
        <v>0.63</v>
      </c>
      <c r="AJ442" s="16">
        <f t="shared" si="84"/>
        <v>1.23</v>
      </c>
      <c r="AK442" s="19">
        <v>0</v>
      </c>
      <c r="AL442" s="16">
        <f t="shared" si="82"/>
        <v>0</v>
      </c>
      <c r="AM442" s="17">
        <v>0.64736842105263159</v>
      </c>
      <c r="AN442" s="19"/>
      <c r="AO442" s="19"/>
      <c r="AP442" s="19">
        <v>1.9</v>
      </c>
      <c r="AQ442" s="19" t="s">
        <v>307</v>
      </c>
      <c r="AR442" s="9" t="s">
        <v>823</v>
      </c>
      <c r="AS442" s="12">
        <v>0</v>
      </c>
      <c r="AT442" s="19">
        <v>38.805382639999998</v>
      </c>
      <c r="AU442" s="19">
        <v>-122.76505258</v>
      </c>
      <c r="AV442" s="19" t="s">
        <v>417</v>
      </c>
    </row>
    <row r="443" spans="1:48" x14ac:dyDescent="0.25">
      <c r="A443" s="18" t="s">
        <v>825</v>
      </c>
      <c r="B443" s="10">
        <v>19870911</v>
      </c>
      <c r="C443" s="9">
        <v>12</v>
      </c>
      <c r="D443" s="8" t="str">
        <f t="shared" si="73"/>
        <v>N</v>
      </c>
      <c r="E443" s="8" t="str">
        <f t="shared" si="74"/>
        <v>Y</v>
      </c>
      <c r="F443" s="8" t="str">
        <f t="shared" si="75"/>
        <v>Y</v>
      </c>
      <c r="G443" s="8" t="str">
        <f t="shared" si="76"/>
        <v>Y</v>
      </c>
      <c r="H443" s="8" t="str">
        <f t="shared" si="77"/>
        <v>Upper</v>
      </c>
      <c r="I443" s="8" t="str">
        <f t="shared" si="78"/>
        <v>West Fork and Below Lake</v>
      </c>
      <c r="J443" s="8" t="str">
        <f t="shared" si="79"/>
        <v>Sonoma (d/s of Clov. Gage)</v>
      </c>
      <c r="K443" s="8" t="str">
        <f t="shared" si="80"/>
        <v>Post-1949</v>
      </c>
      <c r="L443" s="8">
        <f t="shared" si="81"/>
        <v>1987</v>
      </c>
      <c r="M443" s="8" t="str">
        <f t="shared" si="83"/>
        <v>1971-1990</v>
      </c>
      <c r="N443" s="10" t="s">
        <v>242</v>
      </c>
      <c r="O443" s="10" t="s">
        <v>241</v>
      </c>
      <c r="P443" s="10" t="s">
        <v>242</v>
      </c>
      <c r="Q443" s="10" t="s">
        <v>242</v>
      </c>
      <c r="R443" s="10" t="s">
        <v>241</v>
      </c>
      <c r="S443" s="10" t="s">
        <v>242</v>
      </c>
      <c r="T443" s="10" t="s">
        <v>242</v>
      </c>
      <c r="U443" s="10" t="s">
        <v>242</v>
      </c>
      <c r="V443" s="10" t="s">
        <v>241</v>
      </c>
      <c r="W443" s="10" t="s">
        <v>242</v>
      </c>
      <c r="X443" s="15">
        <f>IF(ISERROR(VLOOKUP($A443,'13. Updated Demand'!A:Z,15,FALSE)),0,VLOOKUP($A443,'13. Updated Demand'!A:Z,15,FALSE))</f>
        <v>2.13</v>
      </c>
      <c r="Y443" s="16">
        <f>IF(ISERROR(VLOOKUP($A443,'13. Updated Demand'!A:Z,16,FALSE)),0,VLOOKUP($A443,'13. Updated Demand'!A:Z,16,FALSE))</f>
        <v>0.8</v>
      </c>
      <c r="Z443" s="16">
        <f>IF(ISERROR(VLOOKUP($A443,'13. Updated Demand'!A:Z,17,FALSE)),0,VLOOKUP($A443,'13. Updated Demand'!A:Z,17,FALSE))</f>
        <v>1.38</v>
      </c>
      <c r="AA443" s="16">
        <f>IF(ISERROR(VLOOKUP($A443,'13. Updated Demand'!A:Z,18,FALSE)),0,VLOOKUP($A443,'13. Updated Demand'!A:Z,18,FALSE))</f>
        <v>0</v>
      </c>
      <c r="AB443" s="16">
        <f>IF(ISERROR(VLOOKUP($A443,'13. Updated Demand'!A:Z,19,FALSE)),0,VLOOKUP($A443,'13. Updated Demand'!A:Z,19,FALSE))</f>
        <v>0</v>
      </c>
      <c r="AC443" s="16">
        <f>IF(ISERROR(VLOOKUP($A443,'13. Updated Demand'!A:Z,20,FALSE)),0,VLOOKUP($A443,'13. Updated Demand'!A:Z,20,FALSE))</f>
        <v>0</v>
      </c>
      <c r="AD443" s="16">
        <f>IF(ISERROR(VLOOKUP($A443,'13. Updated Demand'!A:Z,21,FALSE)),0,VLOOKUP($A443,'13. Updated Demand'!A:Z,21,FALSE))</f>
        <v>0</v>
      </c>
      <c r="AE443" s="16">
        <f>IF(ISERROR(VLOOKUP($A443,'13. Updated Demand'!A:Z,22,FALSE)),0,VLOOKUP($A443,'13. Updated Demand'!A:Z,22,FALSE))</f>
        <v>0</v>
      </c>
      <c r="AF443" s="16">
        <f>IF(ISERROR(VLOOKUP($A443,'13. Updated Demand'!A:Z,23,FALSE)),0,VLOOKUP($A443,'13. Updated Demand'!A:Z,23,FALSE))</f>
        <v>0</v>
      </c>
      <c r="AG443" s="16">
        <f>IF(ISERROR(VLOOKUP($A443,'13. Updated Demand'!A:Z,24,FALSE)),0,VLOOKUP($A443,'13. Updated Demand'!A:Z,24,FALSE))</f>
        <v>0</v>
      </c>
      <c r="AH443" s="16">
        <f>IF(ISERROR(VLOOKUP($A443,'13. Updated Demand'!A:Z,25,FALSE)),0,VLOOKUP($A443,'13. Updated Demand'!A:Z,25,FALSE))</f>
        <v>0</v>
      </c>
      <c r="AI443" s="16">
        <f>IF(ISERROR(VLOOKUP($A443,'13. Updated Demand'!A:Z,26,FALSE)),0,VLOOKUP($A443,'13. Updated Demand'!A:Z,26,FALSE))</f>
        <v>0.4</v>
      </c>
      <c r="AJ443" s="16">
        <f t="shared" si="84"/>
        <v>4.71</v>
      </c>
      <c r="AK443" s="19">
        <v>0</v>
      </c>
      <c r="AL443" s="16">
        <f t="shared" si="82"/>
        <v>0</v>
      </c>
      <c r="AM443" s="17">
        <v>0.40689655172413802</v>
      </c>
      <c r="AN443" s="19"/>
      <c r="AO443" s="19"/>
      <c r="AP443" s="19">
        <v>11.6</v>
      </c>
      <c r="AQ443" s="19" t="s">
        <v>307</v>
      </c>
      <c r="AR443" s="9" t="s">
        <v>311</v>
      </c>
      <c r="AS443" s="12">
        <v>0</v>
      </c>
      <c r="AT443" s="19">
        <v>38.613254499999996</v>
      </c>
      <c r="AU443" s="19">
        <v>-122.68459405</v>
      </c>
      <c r="AV443" s="19" t="s">
        <v>826</v>
      </c>
    </row>
    <row r="444" spans="1:48" x14ac:dyDescent="0.25">
      <c r="A444" s="18" t="s">
        <v>827</v>
      </c>
      <c r="B444" s="10">
        <v>19871006</v>
      </c>
      <c r="C444" s="9">
        <v>10</v>
      </c>
      <c r="D444" s="8" t="str">
        <f t="shared" si="73"/>
        <v>N</v>
      </c>
      <c r="E444" s="8" t="str">
        <f t="shared" si="74"/>
        <v>Y</v>
      </c>
      <c r="F444" s="8" t="str">
        <f t="shared" si="75"/>
        <v>Y</v>
      </c>
      <c r="G444" s="8" t="str">
        <f t="shared" si="76"/>
        <v>Y</v>
      </c>
      <c r="H444" s="8" t="str">
        <f t="shared" si="77"/>
        <v>Upper</v>
      </c>
      <c r="I444" s="8" t="str">
        <f t="shared" si="78"/>
        <v>West Fork and Below Lake</v>
      </c>
      <c r="J444" s="8" t="str">
        <f t="shared" si="79"/>
        <v>Sonoma (d/s of Clov. Gage)</v>
      </c>
      <c r="K444" s="8" t="str">
        <f t="shared" si="80"/>
        <v>Post-1949</v>
      </c>
      <c r="L444" s="8">
        <f t="shared" si="81"/>
        <v>1987</v>
      </c>
      <c r="M444" s="8" t="str">
        <f t="shared" si="83"/>
        <v>1971-1990</v>
      </c>
      <c r="N444" s="10" t="s">
        <v>242</v>
      </c>
      <c r="O444" s="10" t="s">
        <v>241</v>
      </c>
      <c r="P444" s="10" t="s">
        <v>242</v>
      </c>
      <c r="Q444" s="10" t="s">
        <v>242</v>
      </c>
      <c r="R444" s="10" t="s">
        <v>241</v>
      </c>
      <c r="S444" s="10" t="s">
        <v>242</v>
      </c>
      <c r="T444" s="10" t="s">
        <v>242</v>
      </c>
      <c r="U444" s="10" t="s">
        <v>242</v>
      </c>
      <c r="V444" s="10" t="s">
        <v>241</v>
      </c>
      <c r="W444" s="10" t="s">
        <v>242</v>
      </c>
      <c r="X444" s="15">
        <f>IF(ISERROR(VLOOKUP($A444,'13. Updated Demand'!A:Z,15,FALSE)),0,VLOOKUP($A444,'13. Updated Demand'!A:Z,15,FALSE))</f>
        <v>0.96</v>
      </c>
      <c r="Y444" s="16">
        <f>IF(ISERROR(VLOOKUP($A444,'13. Updated Demand'!A:Z,16,FALSE)),0,VLOOKUP($A444,'13. Updated Demand'!A:Z,16,FALSE))</f>
        <v>0</v>
      </c>
      <c r="Z444" s="16">
        <f>IF(ISERROR(VLOOKUP($A444,'13. Updated Demand'!A:Z,17,FALSE)),0,VLOOKUP($A444,'13. Updated Demand'!A:Z,17,FALSE))</f>
        <v>0</v>
      </c>
      <c r="AA444" s="16">
        <f>IF(ISERROR(VLOOKUP($A444,'13. Updated Demand'!A:Z,18,FALSE)),0,VLOOKUP($A444,'13. Updated Demand'!A:Z,18,FALSE))</f>
        <v>0</v>
      </c>
      <c r="AB444" s="16">
        <f>IF(ISERROR(VLOOKUP($A444,'13. Updated Demand'!A:Z,19,FALSE)),0,VLOOKUP($A444,'13. Updated Demand'!A:Z,19,FALSE))</f>
        <v>0</v>
      </c>
      <c r="AC444" s="16">
        <f>IF(ISERROR(VLOOKUP($A444,'13. Updated Demand'!A:Z,20,FALSE)),0,VLOOKUP($A444,'13. Updated Demand'!A:Z,20,FALSE))</f>
        <v>0</v>
      </c>
      <c r="AD444" s="16">
        <f>IF(ISERROR(VLOOKUP($A444,'13. Updated Demand'!A:Z,21,FALSE)),0,VLOOKUP($A444,'13. Updated Demand'!A:Z,21,FALSE))</f>
        <v>0</v>
      </c>
      <c r="AE444" s="16">
        <f>IF(ISERROR(VLOOKUP($A444,'13. Updated Demand'!A:Z,22,FALSE)),0,VLOOKUP($A444,'13. Updated Demand'!A:Z,22,FALSE))</f>
        <v>0</v>
      </c>
      <c r="AF444" s="16">
        <f>IF(ISERROR(VLOOKUP($A444,'13. Updated Demand'!A:Z,23,FALSE)),0,VLOOKUP($A444,'13. Updated Demand'!A:Z,23,FALSE))</f>
        <v>0</v>
      </c>
      <c r="AG444" s="16">
        <f>IF(ISERROR(VLOOKUP($A444,'13. Updated Demand'!A:Z,24,FALSE)),0,VLOOKUP($A444,'13. Updated Demand'!A:Z,24,FALSE))</f>
        <v>0</v>
      </c>
      <c r="AH444" s="16">
        <f>IF(ISERROR(VLOOKUP($A444,'13. Updated Demand'!A:Z,25,FALSE)),0,VLOOKUP($A444,'13. Updated Demand'!A:Z,25,FALSE))</f>
        <v>0.6</v>
      </c>
      <c r="AI444" s="16">
        <f>IF(ISERROR(VLOOKUP($A444,'13. Updated Demand'!A:Z,26,FALSE)),0,VLOOKUP($A444,'13. Updated Demand'!A:Z,26,FALSE))</f>
        <v>0.23</v>
      </c>
      <c r="AJ444" s="16">
        <f t="shared" si="84"/>
        <v>1.79</v>
      </c>
      <c r="AK444" s="19">
        <v>0</v>
      </c>
      <c r="AL444" s="16">
        <f t="shared" si="82"/>
        <v>0</v>
      </c>
      <c r="AM444" s="17">
        <v>0.12000000000000001</v>
      </c>
      <c r="AN444" s="19"/>
      <c r="AO444" s="19"/>
      <c r="AP444" s="19">
        <v>15</v>
      </c>
      <c r="AQ444" s="19" t="s">
        <v>307</v>
      </c>
      <c r="AR444" s="9" t="s">
        <v>436</v>
      </c>
      <c r="AS444" s="12">
        <v>0</v>
      </c>
      <c r="AT444" s="19">
        <v>38.715204700000001</v>
      </c>
      <c r="AU444" s="19">
        <v>-122.87799646000001</v>
      </c>
      <c r="AV444" s="19" t="s">
        <v>417</v>
      </c>
    </row>
    <row r="445" spans="1:48" x14ac:dyDescent="0.25">
      <c r="A445" s="18" t="s">
        <v>828</v>
      </c>
      <c r="B445" s="10">
        <v>19860812</v>
      </c>
      <c r="C445" s="9">
        <v>16</v>
      </c>
      <c r="D445" s="8" t="str">
        <f t="shared" si="73"/>
        <v>N</v>
      </c>
      <c r="E445" s="8" t="str">
        <f t="shared" si="74"/>
        <v>N</v>
      </c>
      <c r="F445" s="8" t="str">
        <f t="shared" si="75"/>
        <v>N</v>
      </c>
      <c r="G445" s="8" t="str">
        <f t="shared" si="76"/>
        <v>N</v>
      </c>
      <c r="H445" s="8" t="str">
        <f t="shared" si="77"/>
        <v>Lower</v>
      </c>
      <c r="I445" s="8" t="str">
        <f t="shared" si="78"/>
        <v>Outside</v>
      </c>
      <c r="J445" s="8" t="str">
        <f t="shared" si="79"/>
        <v>Outside</v>
      </c>
      <c r="K445" s="8" t="str">
        <f t="shared" si="80"/>
        <v>Post-1949</v>
      </c>
      <c r="L445" s="8">
        <f t="shared" si="81"/>
        <v>1986</v>
      </c>
      <c r="M445" s="8" t="str">
        <f t="shared" si="83"/>
        <v>1971-1990</v>
      </c>
      <c r="N445" s="10" t="s">
        <v>242</v>
      </c>
      <c r="O445" s="10" t="s">
        <v>242</v>
      </c>
      <c r="P445" s="10" t="s">
        <v>242</v>
      </c>
      <c r="Q445" s="10" t="s">
        <v>242</v>
      </c>
      <c r="R445" s="10" t="s">
        <v>241</v>
      </c>
      <c r="S445" s="10" t="s">
        <v>242</v>
      </c>
      <c r="T445" s="10" t="s">
        <v>242</v>
      </c>
      <c r="U445" s="10" t="s">
        <v>242</v>
      </c>
      <c r="V445" s="10" t="s">
        <v>242</v>
      </c>
      <c r="W445" s="10" t="s">
        <v>242</v>
      </c>
      <c r="X445" s="15">
        <f>IF(ISERROR(VLOOKUP($A445,'13. Updated Demand'!A:Z,15,FALSE)),0,VLOOKUP($A445,'13. Updated Demand'!A:Z,15,FALSE))</f>
        <v>6.8533299999999999E-4</v>
      </c>
      <c r="Y445" s="16">
        <f>IF(ISERROR(VLOOKUP($A445,'13. Updated Demand'!A:Z,16,FALSE)),0,VLOOKUP($A445,'13. Updated Demand'!A:Z,16,FALSE))</f>
        <v>6.8533299999999999E-4</v>
      </c>
      <c r="Z445" s="16">
        <f>IF(ISERROR(VLOOKUP($A445,'13. Updated Demand'!A:Z,17,FALSE)),0,VLOOKUP($A445,'13. Updated Demand'!A:Z,17,FALSE))</f>
        <v>6.8533299999999999E-4</v>
      </c>
      <c r="AA445" s="16">
        <f>IF(ISERROR(VLOOKUP($A445,'13. Updated Demand'!A:Z,18,FALSE)),0,VLOOKUP($A445,'13. Updated Demand'!A:Z,18,FALSE))</f>
        <v>6.8533299999999999E-4</v>
      </c>
      <c r="AB445" s="16">
        <f>IF(ISERROR(VLOOKUP($A445,'13. Updated Demand'!A:Z,19,FALSE)),0,VLOOKUP($A445,'13. Updated Demand'!A:Z,19,FALSE))</f>
        <v>6.8533299999999999E-4</v>
      </c>
      <c r="AC445" s="16">
        <f>IF(ISERROR(VLOOKUP($A445,'13. Updated Demand'!A:Z,20,FALSE)),0,VLOOKUP($A445,'13. Updated Demand'!A:Z,20,FALSE))</f>
        <v>6.8533299999999999E-4</v>
      </c>
      <c r="AD445" s="16">
        <f>IF(ISERROR(VLOOKUP($A445,'13. Updated Demand'!A:Z,21,FALSE)),0,VLOOKUP($A445,'13. Updated Demand'!A:Z,21,FALSE))</f>
        <v>6.8533299999999999E-4</v>
      </c>
      <c r="AE445" s="16">
        <f>IF(ISERROR(VLOOKUP($A445,'13. Updated Demand'!A:Z,22,FALSE)),0,VLOOKUP($A445,'13. Updated Demand'!A:Z,22,FALSE))</f>
        <v>6.8533299999999999E-4</v>
      </c>
      <c r="AF445" s="16">
        <f>IF(ISERROR(VLOOKUP($A445,'13. Updated Demand'!A:Z,23,FALSE)),0,VLOOKUP($A445,'13. Updated Demand'!A:Z,23,FALSE))</f>
        <v>6.8533299999999999E-4</v>
      </c>
      <c r="AG445" s="16">
        <f>IF(ISERROR(VLOOKUP($A445,'13. Updated Demand'!A:Z,24,FALSE)),0,VLOOKUP($A445,'13. Updated Demand'!A:Z,24,FALSE))</f>
        <v>6.8533299999999999E-4</v>
      </c>
      <c r="AH445" s="16">
        <f>IF(ISERROR(VLOOKUP($A445,'13. Updated Demand'!A:Z,25,FALSE)),0,VLOOKUP($A445,'13. Updated Demand'!A:Z,25,FALSE))</f>
        <v>6.8533299999999999E-4</v>
      </c>
      <c r="AI445" s="16">
        <f>IF(ISERROR(VLOOKUP($A445,'13. Updated Demand'!A:Z,26,FALSE)),0,VLOOKUP($A445,'13. Updated Demand'!A:Z,26,FALSE))</f>
        <v>6.8533299999999999E-4</v>
      </c>
      <c r="AJ445" s="16">
        <f t="shared" si="84"/>
        <v>8.223995999999999E-3</v>
      </c>
      <c r="AK445" s="19">
        <v>3.4266649999999997E-3</v>
      </c>
      <c r="AL445" s="16">
        <f t="shared" si="82"/>
        <v>1.1365857471175795E-5</v>
      </c>
      <c r="AM445" s="17">
        <v>1.0279994999999998E-2</v>
      </c>
      <c r="AN445" s="19"/>
      <c r="AO445" s="19"/>
      <c r="AP445" s="19">
        <v>0.8</v>
      </c>
      <c r="AQ445" s="19" t="s">
        <v>307</v>
      </c>
      <c r="AR445" s="9" t="s">
        <v>394</v>
      </c>
      <c r="AS445" s="12">
        <v>3.4039024194010059E-4</v>
      </c>
      <c r="AT445" s="19">
        <v>38.603946299999997</v>
      </c>
      <c r="AU445" s="19">
        <v>-122.88380134000001</v>
      </c>
      <c r="AV445" s="19" t="s">
        <v>701</v>
      </c>
    </row>
    <row r="446" spans="1:48" x14ac:dyDescent="0.25">
      <c r="A446" s="18" t="s">
        <v>829</v>
      </c>
      <c r="B446" s="10">
        <v>19860408</v>
      </c>
      <c r="C446" s="9">
        <v>2</v>
      </c>
      <c r="D446" s="8" t="str">
        <f t="shared" si="73"/>
        <v>N</v>
      </c>
      <c r="E446" s="8" t="str">
        <f t="shared" si="74"/>
        <v>N</v>
      </c>
      <c r="F446" s="8" t="str">
        <f t="shared" si="75"/>
        <v>Y</v>
      </c>
      <c r="G446" s="8" t="str">
        <f t="shared" si="76"/>
        <v>N</v>
      </c>
      <c r="H446" s="8" t="str">
        <f t="shared" si="77"/>
        <v>Upper</v>
      </c>
      <c r="I446" s="8" t="str">
        <f t="shared" si="78"/>
        <v>Outside</v>
      </c>
      <c r="J446" s="8" t="str">
        <f t="shared" si="79"/>
        <v>Outside</v>
      </c>
      <c r="K446" s="8" t="str">
        <f t="shared" si="80"/>
        <v>Post-1949</v>
      </c>
      <c r="L446" s="8">
        <f t="shared" si="81"/>
        <v>1986</v>
      </c>
      <c r="M446" s="8" t="str">
        <f t="shared" si="83"/>
        <v>1971-1990</v>
      </c>
      <c r="N446" s="10" t="s">
        <v>242</v>
      </c>
      <c r="O446" s="10" t="s">
        <v>241</v>
      </c>
      <c r="P446" s="10" t="s">
        <v>242</v>
      </c>
      <c r="Q446" s="10" t="s">
        <v>242</v>
      </c>
      <c r="R446" s="10" t="s">
        <v>241</v>
      </c>
      <c r="S446" s="10" t="s">
        <v>242</v>
      </c>
      <c r="T446" s="10" t="s">
        <v>242</v>
      </c>
      <c r="U446" s="10" t="s">
        <v>242</v>
      </c>
      <c r="V446" s="10" t="s">
        <v>242</v>
      </c>
      <c r="W446" s="10" t="s">
        <v>242</v>
      </c>
      <c r="X446" s="15">
        <f>IF(ISERROR(VLOOKUP($A446,'13. Updated Demand'!A:Z,15,FALSE)),0,VLOOKUP($A446,'13. Updated Demand'!A:Z,15,FALSE))</f>
        <v>1.33</v>
      </c>
      <c r="Y446" s="16">
        <f>IF(ISERROR(VLOOKUP($A446,'13. Updated Demand'!A:Z,16,FALSE)),0,VLOOKUP($A446,'13. Updated Demand'!A:Z,16,FALSE))</f>
        <v>1</v>
      </c>
      <c r="Z446" s="16">
        <f>IF(ISERROR(VLOOKUP($A446,'13. Updated Demand'!A:Z,17,FALSE)),0,VLOOKUP($A446,'13. Updated Demand'!A:Z,17,FALSE))</f>
        <v>1.66</v>
      </c>
      <c r="AA446" s="16">
        <f>IF(ISERROR(VLOOKUP($A446,'13. Updated Demand'!A:Z,18,FALSE)),0,VLOOKUP($A446,'13. Updated Demand'!A:Z,18,FALSE))</f>
        <v>1.33</v>
      </c>
      <c r="AB446" s="16">
        <f>IF(ISERROR(VLOOKUP($A446,'13. Updated Demand'!A:Z,19,FALSE)),0,VLOOKUP($A446,'13. Updated Demand'!A:Z,19,FALSE))</f>
        <v>1.33</v>
      </c>
      <c r="AC446" s="16">
        <f>IF(ISERROR(VLOOKUP($A446,'13. Updated Demand'!A:Z,20,FALSE)),0,VLOOKUP($A446,'13. Updated Demand'!A:Z,20,FALSE))</f>
        <v>2.33</v>
      </c>
      <c r="AD446" s="16">
        <f>IF(ISERROR(VLOOKUP($A446,'13. Updated Demand'!A:Z,21,FALSE)),0,VLOOKUP($A446,'13. Updated Demand'!A:Z,21,FALSE))</f>
        <v>3.33</v>
      </c>
      <c r="AE446" s="16">
        <f>IF(ISERROR(VLOOKUP($A446,'13. Updated Demand'!A:Z,22,FALSE)),0,VLOOKUP($A446,'13. Updated Demand'!A:Z,22,FALSE))</f>
        <v>3</v>
      </c>
      <c r="AF446" s="16">
        <f>IF(ISERROR(VLOOKUP($A446,'13. Updated Demand'!A:Z,23,FALSE)),0,VLOOKUP($A446,'13. Updated Demand'!A:Z,23,FALSE))</f>
        <v>1</v>
      </c>
      <c r="AG446" s="16">
        <f>IF(ISERROR(VLOOKUP($A446,'13. Updated Demand'!A:Z,24,FALSE)),0,VLOOKUP($A446,'13. Updated Demand'!A:Z,24,FALSE))</f>
        <v>0</v>
      </c>
      <c r="AH446" s="16">
        <f>IF(ISERROR(VLOOKUP($A446,'13. Updated Demand'!A:Z,25,FALSE)),0,VLOOKUP($A446,'13. Updated Demand'!A:Z,25,FALSE))</f>
        <v>0.66</v>
      </c>
      <c r="AI446" s="16">
        <f>IF(ISERROR(VLOOKUP($A446,'13. Updated Demand'!A:Z,26,FALSE)),0,VLOOKUP($A446,'13. Updated Demand'!A:Z,26,FALSE))</f>
        <v>1</v>
      </c>
      <c r="AJ446" s="16">
        <f t="shared" si="84"/>
        <v>17.970000000000002</v>
      </c>
      <c r="AK446" s="19">
        <v>10.999999999</v>
      </c>
      <c r="AL446" s="16">
        <f t="shared" si="82"/>
        <v>3.6485746978933718E-2</v>
      </c>
      <c r="AM446" s="17">
        <v>0.78260869560869584</v>
      </c>
      <c r="AN446" s="19"/>
      <c r="AO446" s="19"/>
      <c r="AP446" s="19">
        <v>23</v>
      </c>
      <c r="AQ446" s="19" t="s">
        <v>307</v>
      </c>
      <c r="AR446" s="9" t="s">
        <v>348</v>
      </c>
      <c r="AS446" s="12">
        <v>0</v>
      </c>
      <c r="AT446" s="19">
        <v>39.326104059999999</v>
      </c>
      <c r="AU446" s="19">
        <v>-123.13942568</v>
      </c>
      <c r="AV446" s="19" t="s">
        <v>417</v>
      </c>
    </row>
    <row r="447" spans="1:48" x14ac:dyDescent="0.25">
      <c r="A447" s="18" t="s">
        <v>830</v>
      </c>
      <c r="B447" s="10">
        <v>19860114</v>
      </c>
      <c r="C447" s="9">
        <v>1</v>
      </c>
      <c r="D447" s="8" t="str">
        <f t="shared" si="73"/>
        <v>N</v>
      </c>
      <c r="E447" s="8" t="str">
        <f t="shared" si="74"/>
        <v>N</v>
      </c>
      <c r="F447" s="8" t="str">
        <f t="shared" si="75"/>
        <v>Y</v>
      </c>
      <c r="G447" s="8" t="str">
        <f t="shared" si="76"/>
        <v>Y</v>
      </c>
      <c r="H447" s="8" t="str">
        <f t="shared" si="77"/>
        <v>Upper</v>
      </c>
      <c r="I447" s="8" t="str">
        <f t="shared" si="78"/>
        <v>West Fork and Below Lake</v>
      </c>
      <c r="J447" s="8" t="str">
        <f t="shared" si="79"/>
        <v>Outside</v>
      </c>
      <c r="K447" s="8" t="str">
        <f t="shared" si="80"/>
        <v>Post-1949</v>
      </c>
      <c r="L447" s="8">
        <f t="shared" si="81"/>
        <v>1986</v>
      </c>
      <c r="M447" s="8" t="str">
        <f t="shared" si="83"/>
        <v>1971-1990</v>
      </c>
      <c r="N447" s="10" t="s">
        <v>242</v>
      </c>
      <c r="O447" s="10" t="s">
        <v>241</v>
      </c>
      <c r="P447" s="10" t="s">
        <v>242</v>
      </c>
      <c r="Q447" s="10" t="s">
        <v>242</v>
      </c>
      <c r="R447" s="10" t="s">
        <v>241</v>
      </c>
      <c r="S447" s="10" t="s">
        <v>242</v>
      </c>
      <c r="T447" s="10" t="s">
        <v>242</v>
      </c>
      <c r="U447" s="10" t="s">
        <v>242</v>
      </c>
      <c r="V447" s="10" t="s">
        <v>242</v>
      </c>
      <c r="W447" s="10" t="s">
        <v>242</v>
      </c>
      <c r="X447" s="15">
        <f>IF(ISERROR(VLOOKUP($A447,'13. Updated Demand'!A:Z,15,FALSE)),0,VLOOKUP($A447,'13. Updated Demand'!A:Z,15,FALSE))</f>
        <v>0.24</v>
      </c>
      <c r="Y447" s="16">
        <f>IF(ISERROR(VLOOKUP($A447,'13. Updated Demand'!A:Z,16,FALSE)),0,VLOOKUP($A447,'13. Updated Demand'!A:Z,16,FALSE))</f>
        <v>0.24</v>
      </c>
      <c r="Z447" s="16">
        <f>IF(ISERROR(VLOOKUP($A447,'13. Updated Demand'!A:Z,17,FALSE)),0,VLOOKUP($A447,'13. Updated Demand'!A:Z,17,FALSE))</f>
        <v>0.24</v>
      </c>
      <c r="AA447" s="16">
        <f>IF(ISERROR(VLOOKUP($A447,'13. Updated Demand'!A:Z,18,FALSE)),0,VLOOKUP($A447,'13. Updated Demand'!A:Z,18,FALSE))</f>
        <v>0.1</v>
      </c>
      <c r="AB447" s="16">
        <f>IF(ISERROR(VLOOKUP($A447,'13. Updated Demand'!A:Z,19,FALSE)),0,VLOOKUP($A447,'13. Updated Demand'!A:Z,19,FALSE))</f>
        <v>7.0000000000000007E-2</v>
      </c>
      <c r="AC447" s="16">
        <f>IF(ISERROR(VLOOKUP($A447,'13. Updated Demand'!A:Z,20,FALSE)),0,VLOOKUP($A447,'13. Updated Demand'!A:Z,20,FALSE))</f>
        <v>7.0000000000000007E-2</v>
      </c>
      <c r="AD447" s="16">
        <f>IF(ISERROR(VLOOKUP($A447,'13. Updated Demand'!A:Z,21,FALSE)),0,VLOOKUP($A447,'13. Updated Demand'!A:Z,21,FALSE))</f>
        <v>7.0000000000000007E-2</v>
      </c>
      <c r="AE447" s="16">
        <f>IF(ISERROR(VLOOKUP($A447,'13. Updated Demand'!A:Z,22,FALSE)),0,VLOOKUP($A447,'13. Updated Demand'!A:Z,22,FALSE))</f>
        <v>7.0000000000000007E-2</v>
      </c>
      <c r="AF447" s="16">
        <f>IF(ISERROR(VLOOKUP($A447,'13. Updated Demand'!A:Z,23,FALSE)),0,VLOOKUP($A447,'13. Updated Demand'!A:Z,23,FALSE))</f>
        <v>0.31</v>
      </c>
      <c r="AG447" s="16">
        <f>IF(ISERROR(VLOOKUP($A447,'13. Updated Demand'!A:Z,24,FALSE)),0,VLOOKUP($A447,'13. Updated Demand'!A:Z,24,FALSE))</f>
        <v>0.24</v>
      </c>
      <c r="AH447" s="16">
        <f>IF(ISERROR(VLOOKUP($A447,'13. Updated Demand'!A:Z,25,FALSE)),0,VLOOKUP($A447,'13. Updated Demand'!A:Z,25,FALSE))</f>
        <v>0.24</v>
      </c>
      <c r="AI447" s="16">
        <f>IF(ISERROR(VLOOKUP($A447,'13. Updated Demand'!A:Z,26,FALSE)),0,VLOOKUP($A447,'13. Updated Demand'!A:Z,26,FALSE))</f>
        <v>0.24</v>
      </c>
      <c r="AJ447" s="16">
        <f t="shared" si="84"/>
        <v>2.13</v>
      </c>
      <c r="AK447" s="19">
        <v>0.59000000000000008</v>
      </c>
      <c r="AL447" s="16">
        <f t="shared" si="82"/>
        <v>1.9569627926843505E-3</v>
      </c>
      <c r="AM447" s="17">
        <v>0.92753623173913069</v>
      </c>
      <c r="AN447" s="19"/>
      <c r="AO447" s="19"/>
      <c r="AP447" s="19">
        <v>2.2999999999999998</v>
      </c>
      <c r="AQ447" s="19" t="s">
        <v>307</v>
      </c>
      <c r="AR447" s="9" t="s">
        <v>317</v>
      </c>
      <c r="AS447" s="12">
        <v>3.4039024194010059E-4</v>
      </c>
      <c r="AT447" s="19">
        <v>39.237116749999998</v>
      </c>
      <c r="AU447" s="19">
        <v>-123.32425083</v>
      </c>
      <c r="AV447" s="19" t="s">
        <v>417</v>
      </c>
    </row>
    <row r="448" spans="1:48" x14ac:dyDescent="0.25">
      <c r="A448" s="18" t="s">
        <v>831</v>
      </c>
      <c r="B448" s="10">
        <v>19860117</v>
      </c>
      <c r="C448" s="9">
        <v>1</v>
      </c>
      <c r="D448" s="8" t="str">
        <f t="shared" si="73"/>
        <v>N</v>
      </c>
      <c r="E448" s="8" t="str">
        <f t="shared" si="74"/>
        <v>N</v>
      </c>
      <c r="F448" s="8" t="str">
        <f t="shared" si="75"/>
        <v>Y</v>
      </c>
      <c r="G448" s="8" t="str">
        <f t="shared" si="76"/>
        <v>Y</v>
      </c>
      <c r="H448" s="8" t="str">
        <f t="shared" si="77"/>
        <v>Upper</v>
      </c>
      <c r="I448" s="8" t="str">
        <f t="shared" si="78"/>
        <v>West Fork and Below Lake</v>
      </c>
      <c r="J448" s="8" t="str">
        <f t="shared" si="79"/>
        <v>Outside</v>
      </c>
      <c r="K448" s="8" t="str">
        <f t="shared" si="80"/>
        <v>Post-1949</v>
      </c>
      <c r="L448" s="8">
        <f t="shared" si="81"/>
        <v>1986</v>
      </c>
      <c r="M448" s="8" t="str">
        <f t="shared" si="83"/>
        <v>1971-1990</v>
      </c>
      <c r="N448" s="10" t="s">
        <v>242</v>
      </c>
      <c r="O448" s="10" t="s">
        <v>241</v>
      </c>
      <c r="P448" s="10" t="s">
        <v>242</v>
      </c>
      <c r="Q448" s="10" t="s">
        <v>242</v>
      </c>
      <c r="R448" s="10" t="s">
        <v>241</v>
      </c>
      <c r="S448" s="10" t="s">
        <v>242</v>
      </c>
      <c r="T448" s="10" t="s">
        <v>242</v>
      </c>
      <c r="U448" s="10" t="s">
        <v>242</v>
      </c>
      <c r="V448" s="10" t="s">
        <v>241</v>
      </c>
      <c r="W448" s="10" t="s">
        <v>242</v>
      </c>
      <c r="X448" s="15">
        <f>IF(ISERROR(VLOOKUP($A448,'13. Updated Demand'!A:Z,15,FALSE)),0,VLOOKUP($A448,'13. Updated Demand'!A:Z,15,FALSE))</f>
        <v>0.23</v>
      </c>
      <c r="Y448" s="16">
        <f>IF(ISERROR(VLOOKUP($A448,'13. Updated Demand'!A:Z,16,FALSE)),0,VLOOKUP($A448,'13. Updated Demand'!A:Z,16,FALSE))</f>
        <v>0</v>
      </c>
      <c r="Z448" s="16">
        <f>IF(ISERROR(VLOOKUP($A448,'13. Updated Demand'!A:Z,17,FALSE)),0,VLOOKUP($A448,'13. Updated Demand'!A:Z,17,FALSE))</f>
        <v>0</v>
      </c>
      <c r="AA448" s="16">
        <f>IF(ISERROR(VLOOKUP($A448,'13. Updated Demand'!A:Z,18,FALSE)),0,VLOOKUP($A448,'13. Updated Demand'!A:Z,18,FALSE))</f>
        <v>0</v>
      </c>
      <c r="AB448" s="16">
        <f>IF(ISERROR(VLOOKUP($A448,'13. Updated Demand'!A:Z,19,FALSE)),0,VLOOKUP($A448,'13. Updated Demand'!A:Z,19,FALSE))</f>
        <v>0</v>
      </c>
      <c r="AC448" s="16">
        <f>IF(ISERROR(VLOOKUP($A448,'13. Updated Demand'!A:Z,20,FALSE)),0,VLOOKUP($A448,'13. Updated Demand'!A:Z,20,FALSE))</f>
        <v>0</v>
      </c>
      <c r="AD448" s="16">
        <f>IF(ISERROR(VLOOKUP($A448,'13. Updated Demand'!A:Z,21,FALSE)),0,VLOOKUP($A448,'13. Updated Demand'!A:Z,21,FALSE))</f>
        <v>0</v>
      </c>
      <c r="AE448" s="16">
        <f>IF(ISERROR(VLOOKUP($A448,'13. Updated Demand'!A:Z,22,FALSE)),0,VLOOKUP($A448,'13. Updated Demand'!A:Z,22,FALSE))</f>
        <v>0</v>
      </c>
      <c r="AF448" s="16">
        <f>IF(ISERROR(VLOOKUP($A448,'13. Updated Demand'!A:Z,23,FALSE)),0,VLOOKUP($A448,'13. Updated Demand'!A:Z,23,FALSE))</f>
        <v>0</v>
      </c>
      <c r="AG448" s="16">
        <f>IF(ISERROR(VLOOKUP($A448,'13. Updated Demand'!A:Z,24,FALSE)),0,VLOOKUP($A448,'13. Updated Demand'!A:Z,24,FALSE))</f>
        <v>0</v>
      </c>
      <c r="AH448" s="16">
        <f>IF(ISERROR(VLOOKUP($A448,'13. Updated Demand'!A:Z,25,FALSE)),0,VLOOKUP($A448,'13. Updated Demand'!A:Z,25,FALSE))</f>
        <v>0.55000000000000004</v>
      </c>
      <c r="AI448" s="16">
        <f>IF(ISERROR(VLOOKUP($A448,'13. Updated Demand'!A:Z,26,FALSE)),0,VLOOKUP($A448,'13. Updated Demand'!A:Z,26,FALSE))</f>
        <v>0.3</v>
      </c>
      <c r="AJ448" s="16">
        <f t="shared" si="84"/>
        <v>1.08</v>
      </c>
      <c r="AK448" s="19">
        <v>0</v>
      </c>
      <c r="AL448" s="16">
        <f t="shared" si="82"/>
        <v>0</v>
      </c>
      <c r="AM448" s="17">
        <v>0.84615358769230775</v>
      </c>
      <c r="AN448" s="19"/>
      <c r="AO448" s="19"/>
      <c r="AP448" s="19">
        <v>1.3</v>
      </c>
      <c r="AQ448" s="19" t="s">
        <v>307</v>
      </c>
      <c r="AR448" s="9" t="s">
        <v>317</v>
      </c>
      <c r="AS448" s="12">
        <v>0</v>
      </c>
      <c r="AT448" s="19">
        <v>39.233702090000001</v>
      </c>
      <c r="AU448" s="19">
        <v>-123.33477944000001</v>
      </c>
      <c r="AV448" s="19" t="s">
        <v>417</v>
      </c>
    </row>
    <row r="449" spans="1:48" x14ac:dyDescent="0.25">
      <c r="A449" s="18" t="s">
        <v>832</v>
      </c>
      <c r="B449" s="10">
        <v>19860128</v>
      </c>
      <c r="C449" s="9">
        <v>1</v>
      </c>
      <c r="D449" s="8" t="str">
        <f t="shared" si="73"/>
        <v>N</v>
      </c>
      <c r="E449" s="8" t="str">
        <f t="shared" si="74"/>
        <v>N</v>
      </c>
      <c r="F449" s="8" t="str">
        <f t="shared" si="75"/>
        <v>Y</v>
      </c>
      <c r="G449" s="8" t="str">
        <f t="shared" si="76"/>
        <v>Y</v>
      </c>
      <c r="H449" s="8" t="str">
        <f t="shared" si="77"/>
        <v>Upper</v>
      </c>
      <c r="I449" s="8" t="str">
        <f t="shared" si="78"/>
        <v>West Fork and Below Lake</v>
      </c>
      <c r="J449" s="8" t="str">
        <f t="shared" si="79"/>
        <v>Outside</v>
      </c>
      <c r="K449" s="8" t="str">
        <f t="shared" si="80"/>
        <v>Post-1949</v>
      </c>
      <c r="L449" s="8">
        <f t="shared" si="81"/>
        <v>1986</v>
      </c>
      <c r="M449" s="8" t="str">
        <f t="shared" si="83"/>
        <v>1971-1990</v>
      </c>
      <c r="N449" s="10" t="s">
        <v>242</v>
      </c>
      <c r="O449" s="10" t="s">
        <v>241</v>
      </c>
      <c r="P449" s="10" t="s">
        <v>242</v>
      </c>
      <c r="Q449" s="10" t="s">
        <v>242</v>
      </c>
      <c r="R449" s="10" t="s">
        <v>241</v>
      </c>
      <c r="S449" s="10" t="s">
        <v>242</v>
      </c>
      <c r="T449" s="10" t="s">
        <v>242</v>
      </c>
      <c r="U449" s="10" t="s">
        <v>241</v>
      </c>
      <c r="V449" s="10" t="s">
        <v>241</v>
      </c>
      <c r="W449" s="10" t="s">
        <v>242</v>
      </c>
      <c r="X449" s="15">
        <f>IF(ISERROR(VLOOKUP($A449,'13. Updated Demand'!A:Z,15,FALSE)),0,VLOOKUP($A449,'13. Updated Demand'!A:Z,15,FALSE))</f>
        <v>0</v>
      </c>
      <c r="Y449" s="16">
        <f>IF(ISERROR(VLOOKUP($A449,'13. Updated Demand'!A:Z,16,FALSE)),0,VLOOKUP($A449,'13. Updated Demand'!A:Z,16,FALSE))</f>
        <v>0</v>
      </c>
      <c r="Z449" s="16">
        <f>IF(ISERROR(VLOOKUP($A449,'13. Updated Demand'!A:Z,17,FALSE)),0,VLOOKUP($A449,'13. Updated Demand'!A:Z,17,FALSE))</f>
        <v>0</v>
      </c>
      <c r="AA449" s="16">
        <f>IF(ISERROR(VLOOKUP($A449,'13. Updated Demand'!A:Z,18,FALSE)),0,VLOOKUP($A449,'13. Updated Demand'!A:Z,18,FALSE))</f>
        <v>0</v>
      </c>
      <c r="AB449" s="16">
        <f>IF(ISERROR(VLOOKUP($A449,'13. Updated Demand'!A:Z,19,FALSE)),0,VLOOKUP($A449,'13. Updated Demand'!A:Z,19,FALSE))</f>
        <v>0</v>
      </c>
      <c r="AC449" s="16">
        <f>IF(ISERROR(VLOOKUP($A449,'13. Updated Demand'!A:Z,20,FALSE)),0,VLOOKUP($A449,'13. Updated Demand'!A:Z,20,FALSE))</f>
        <v>0</v>
      </c>
      <c r="AD449" s="16">
        <f>IF(ISERROR(VLOOKUP($A449,'13. Updated Demand'!A:Z,21,FALSE)),0,VLOOKUP($A449,'13. Updated Demand'!A:Z,21,FALSE))</f>
        <v>0</v>
      </c>
      <c r="AE449" s="16">
        <f>IF(ISERROR(VLOOKUP($A449,'13. Updated Demand'!A:Z,22,FALSE)),0,VLOOKUP($A449,'13. Updated Demand'!A:Z,22,FALSE))</f>
        <v>0</v>
      </c>
      <c r="AF449" s="16">
        <f>IF(ISERROR(VLOOKUP($A449,'13. Updated Demand'!A:Z,23,FALSE)),0,VLOOKUP($A449,'13. Updated Demand'!A:Z,23,FALSE))</f>
        <v>0</v>
      </c>
      <c r="AG449" s="16">
        <f>IF(ISERROR(VLOOKUP($A449,'13. Updated Demand'!A:Z,24,FALSE)),0,VLOOKUP($A449,'13. Updated Demand'!A:Z,24,FALSE))</f>
        <v>0</v>
      </c>
      <c r="AH449" s="16">
        <f>IF(ISERROR(VLOOKUP($A449,'13. Updated Demand'!A:Z,25,FALSE)),0,VLOOKUP($A449,'13. Updated Demand'!A:Z,25,FALSE))</f>
        <v>0</v>
      </c>
      <c r="AI449" s="16">
        <f>IF(ISERROR(VLOOKUP($A449,'13. Updated Demand'!A:Z,26,FALSE)),0,VLOOKUP($A449,'13. Updated Demand'!A:Z,26,FALSE))</f>
        <v>0</v>
      </c>
      <c r="AJ449" s="16">
        <f t="shared" si="84"/>
        <v>0</v>
      </c>
      <c r="AK449" s="19">
        <v>0</v>
      </c>
      <c r="AL449" s="16">
        <f t="shared" si="82"/>
        <v>0</v>
      </c>
      <c r="AM449" s="17">
        <v>0</v>
      </c>
      <c r="AN449" s="19"/>
      <c r="AO449" s="19"/>
      <c r="AP449" s="19">
        <v>24.6</v>
      </c>
      <c r="AQ449" s="19" t="s">
        <v>307</v>
      </c>
      <c r="AR449" s="9" t="s">
        <v>317</v>
      </c>
      <c r="AS449" s="12">
        <v>3.4039024194010059E-4</v>
      </c>
      <c r="AT449" s="19">
        <v>39.246953300000001</v>
      </c>
      <c r="AU449" s="19">
        <v>-123.30412889999999</v>
      </c>
      <c r="AV449" s="19" t="s">
        <v>833</v>
      </c>
    </row>
    <row r="450" spans="1:48" x14ac:dyDescent="0.25">
      <c r="A450" s="18" t="s">
        <v>834</v>
      </c>
      <c r="B450" s="10">
        <v>19860128</v>
      </c>
      <c r="C450" s="9">
        <v>1</v>
      </c>
      <c r="D450" s="8" t="str">
        <f t="shared" ref="D450:D513" si="85">IF(OR(C450=4,C450=5,C450=6),"Y","N")</f>
        <v>N</v>
      </c>
      <c r="E450" s="8" t="str">
        <f t="shared" ref="E450:E513" si="86">IF(AND(C450&gt;6,C450&lt;14),"Y","N")</f>
        <v>N</v>
      </c>
      <c r="F450" s="8" t="str">
        <f t="shared" ref="F450:F513" si="87">IF(C450&lt;14,"Y","N")</f>
        <v>Y</v>
      </c>
      <c r="G450" s="8" t="str">
        <f t="shared" ref="G450:G513" si="88">IF(OR(C450=1,AND(C450&gt;3,C450&lt;14)),"Y","N")</f>
        <v>Y</v>
      </c>
      <c r="H450" s="8" t="str">
        <f t="shared" ref="H450:H513" si="89">IF(C450&lt;14,"Upper","Lower")</f>
        <v>Upper</v>
      </c>
      <c r="I450" s="8" t="str">
        <f t="shared" ref="I450:I513" si="90">IF(G450="Y","West Fork and Below Lake","Outside")</f>
        <v>West Fork and Below Lake</v>
      </c>
      <c r="J450" s="8" t="str">
        <f t="shared" ref="J450:J513" si="91">IF(D450="Y", "Mendocino (d/s of lake)", IF(E450="Y", "Sonoma (d/s of Clov. Gage)","Outside"))</f>
        <v>Outside</v>
      </c>
      <c r="K450" s="8" t="str">
        <f t="shared" ref="K450:K513" si="92">IF(P450="Y","pre-1914",IF(Q450="Y","Pre-1949",IF(R450="Y","Post-1949",IF(S450="Y","Riparian","Unknown"))))</f>
        <v>Post-1949</v>
      </c>
      <c r="L450" s="8">
        <f t="shared" ref="L450:L513" si="93">_xlfn.NUMBERVALUE(LEFT(B450,4))</f>
        <v>1986</v>
      </c>
      <c r="M450" s="8" t="str">
        <f t="shared" si="83"/>
        <v>1971-1990</v>
      </c>
      <c r="N450" s="10" t="s">
        <v>242</v>
      </c>
      <c r="O450" s="10" t="s">
        <v>241</v>
      </c>
      <c r="P450" s="10" t="s">
        <v>242</v>
      </c>
      <c r="Q450" s="10" t="s">
        <v>242</v>
      </c>
      <c r="R450" s="10" t="s">
        <v>241</v>
      </c>
      <c r="S450" s="10" t="s">
        <v>242</v>
      </c>
      <c r="T450" s="10" t="s">
        <v>242</v>
      </c>
      <c r="U450" s="10" t="s">
        <v>242</v>
      </c>
      <c r="V450" s="10" t="s">
        <v>242</v>
      </c>
      <c r="W450" s="10" t="s">
        <v>242</v>
      </c>
      <c r="X450" s="15">
        <f>IF(ISERROR(VLOOKUP($A450,'13. Updated Demand'!A:Z,15,FALSE)),0,VLOOKUP($A450,'13. Updated Demand'!A:Z,15,FALSE))</f>
        <v>0</v>
      </c>
      <c r="Y450" s="16">
        <f>IF(ISERROR(VLOOKUP($A450,'13. Updated Demand'!A:Z,16,FALSE)),0,VLOOKUP($A450,'13. Updated Demand'!A:Z,16,FALSE))</f>
        <v>0</v>
      </c>
      <c r="Z450" s="16">
        <f>IF(ISERROR(VLOOKUP($A450,'13. Updated Demand'!A:Z,17,FALSE)),0,VLOOKUP($A450,'13. Updated Demand'!A:Z,17,FALSE))</f>
        <v>0</v>
      </c>
      <c r="AA450" s="16">
        <f>IF(ISERROR(VLOOKUP($A450,'13. Updated Demand'!A:Z,18,FALSE)),0,VLOOKUP($A450,'13. Updated Demand'!A:Z,18,FALSE))</f>
        <v>0</v>
      </c>
      <c r="AB450" s="16">
        <f>IF(ISERROR(VLOOKUP($A450,'13. Updated Demand'!A:Z,19,FALSE)),0,VLOOKUP($A450,'13. Updated Demand'!A:Z,19,FALSE))</f>
        <v>6.76</v>
      </c>
      <c r="AC450" s="16">
        <f>IF(ISERROR(VLOOKUP($A450,'13. Updated Demand'!A:Z,20,FALSE)),0,VLOOKUP($A450,'13. Updated Demand'!A:Z,20,FALSE))</f>
        <v>1.1000000000000001</v>
      </c>
      <c r="AD450" s="16">
        <f>IF(ISERROR(VLOOKUP($A450,'13. Updated Demand'!A:Z,21,FALSE)),0,VLOOKUP($A450,'13. Updated Demand'!A:Z,21,FALSE))</f>
        <v>0.43</v>
      </c>
      <c r="AE450" s="16">
        <f>IF(ISERROR(VLOOKUP($A450,'13. Updated Demand'!A:Z,22,FALSE)),0,VLOOKUP($A450,'13. Updated Demand'!A:Z,22,FALSE))</f>
        <v>0</v>
      </c>
      <c r="AF450" s="16">
        <f>IF(ISERROR(VLOOKUP($A450,'13. Updated Demand'!A:Z,23,FALSE)),0,VLOOKUP($A450,'13. Updated Demand'!A:Z,23,FALSE))</f>
        <v>0</v>
      </c>
      <c r="AG450" s="16">
        <f>IF(ISERROR(VLOOKUP($A450,'13. Updated Demand'!A:Z,24,FALSE)),0,VLOOKUP($A450,'13. Updated Demand'!A:Z,24,FALSE))</f>
        <v>0</v>
      </c>
      <c r="AH450" s="16">
        <f>IF(ISERROR(VLOOKUP($A450,'13. Updated Demand'!A:Z,25,FALSE)),0,VLOOKUP($A450,'13. Updated Demand'!A:Z,25,FALSE))</f>
        <v>0</v>
      </c>
      <c r="AI450" s="16">
        <f>IF(ISERROR(VLOOKUP($A450,'13. Updated Demand'!A:Z,26,FALSE)),0,VLOOKUP($A450,'13. Updated Demand'!A:Z,26,FALSE))</f>
        <v>0</v>
      </c>
      <c r="AJ450" s="16">
        <f t="shared" si="84"/>
        <v>8.2899999999999991</v>
      </c>
      <c r="AK450" s="19">
        <v>8.3000000000000007</v>
      </c>
      <c r="AL450" s="16">
        <f t="shared" ref="AL450:AL513" si="94">AK450/152/1.983471</f>
        <v>2.7530154541152728E-2</v>
      </c>
      <c r="AM450" s="17">
        <v>1</v>
      </c>
      <c r="AN450" s="19"/>
      <c r="AO450" s="19"/>
      <c r="AP450" s="19">
        <v>8.3000000000000007</v>
      </c>
      <c r="AQ450" s="19" t="s">
        <v>307</v>
      </c>
      <c r="AR450" s="9" t="s">
        <v>317</v>
      </c>
      <c r="AS450" s="12">
        <v>0</v>
      </c>
      <c r="AT450" s="19">
        <v>39.246678760000002</v>
      </c>
      <c r="AU450" s="19">
        <v>-123.30412382999999</v>
      </c>
      <c r="AV450" s="19" t="s">
        <v>833</v>
      </c>
    </row>
    <row r="451" spans="1:48" x14ac:dyDescent="0.25">
      <c r="A451" s="18" t="s">
        <v>835</v>
      </c>
      <c r="B451" s="10">
        <v>19860130</v>
      </c>
      <c r="C451" s="9">
        <v>12</v>
      </c>
      <c r="D451" s="8" t="str">
        <f t="shared" si="85"/>
        <v>N</v>
      </c>
      <c r="E451" s="8" t="str">
        <f t="shared" si="86"/>
        <v>Y</v>
      </c>
      <c r="F451" s="8" t="str">
        <f t="shared" si="87"/>
        <v>Y</v>
      </c>
      <c r="G451" s="8" t="str">
        <f t="shared" si="88"/>
        <v>Y</v>
      </c>
      <c r="H451" s="8" t="str">
        <f t="shared" si="89"/>
        <v>Upper</v>
      </c>
      <c r="I451" s="8" t="str">
        <f t="shared" si="90"/>
        <v>West Fork and Below Lake</v>
      </c>
      <c r="J451" s="8" t="str">
        <f t="shared" si="91"/>
        <v>Sonoma (d/s of Clov. Gage)</v>
      </c>
      <c r="K451" s="8" t="str">
        <f t="shared" si="92"/>
        <v>Post-1949</v>
      </c>
      <c r="L451" s="8">
        <f t="shared" si="93"/>
        <v>1986</v>
      </c>
      <c r="M451" s="8" t="str">
        <f t="shared" ref="M451:M514" si="95">IF(L451=1949,"1949",IF(AND(L451&gt;1949,L451&lt;1953),"1950-1952",IF(AND(L451&gt;1952,L451&lt;1955),"1953-1954",IF(AND(L451&gt;1954,L451&lt;1957),"1955-1956",IF(AND(L451&gt;1956,L451&lt;1960),"1957-1959",IF(AND(L451&gt;1959,L451&lt;1971),"1960-1970",IF(AND(L451&gt;1970,L451&lt;1991),"1971-1990",IF(L451&gt;1990,"1991-present","-"))))))))</f>
        <v>1971-1990</v>
      </c>
      <c r="N451" s="10" t="s">
        <v>242</v>
      </c>
      <c r="O451" s="10" t="s">
        <v>241</v>
      </c>
      <c r="P451" s="10" t="s">
        <v>242</v>
      </c>
      <c r="Q451" s="10" t="s">
        <v>242</v>
      </c>
      <c r="R451" s="10" t="s">
        <v>241</v>
      </c>
      <c r="S451" s="10" t="s">
        <v>242</v>
      </c>
      <c r="T451" s="10" t="s">
        <v>242</v>
      </c>
      <c r="U451" s="10" t="s">
        <v>242</v>
      </c>
      <c r="V451" s="10" t="s">
        <v>242</v>
      </c>
      <c r="W451" s="10" t="s">
        <v>242</v>
      </c>
      <c r="X451" s="15">
        <f>IF(ISERROR(VLOOKUP($A451,'13. Updated Demand'!A:Z,15,FALSE)),0,VLOOKUP($A451,'13. Updated Demand'!A:Z,15,FALSE))</f>
        <v>0.96</v>
      </c>
      <c r="Y451" s="16">
        <f>IF(ISERROR(VLOOKUP($A451,'13. Updated Demand'!A:Z,16,FALSE)),0,VLOOKUP($A451,'13. Updated Demand'!A:Z,16,FALSE))</f>
        <v>0.96</v>
      </c>
      <c r="Z451" s="16">
        <f>IF(ISERROR(VLOOKUP($A451,'13. Updated Demand'!A:Z,17,FALSE)),0,VLOOKUP($A451,'13. Updated Demand'!A:Z,17,FALSE))</f>
        <v>0.66</v>
      </c>
      <c r="AA451" s="16">
        <f>IF(ISERROR(VLOOKUP($A451,'13. Updated Demand'!A:Z,18,FALSE)),0,VLOOKUP($A451,'13. Updated Demand'!A:Z,18,FALSE))</f>
        <v>0.26</v>
      </c>
      <c r="AB451" s="16">
        <f>IF(ISERROR(VLOOKUP($A451,'13. Updated Demand'!A:Z,19,FALSE)),0,VLOOKUP($A451,'13. Updated Demand'!A:Z,19,FALSE))</f>
        <v>0.26</v>
      </c>
      <c r="AC451" s="16">
        <f>IF(ISERROR(VLOOKUP($A451,'13. Updated Demand'!A:Z,20,FALSE)),0,VLOOKUP($A451,'13. Updated Demand'!A:Z,20,FALSE))</f>
        <v>0</v>
      </c>
      <c r="AD451" s="16">
        <f>IF(ISERROR(VLOOKUP($A451,'13. Updated Demand'!A:Z,21,FALSE)),0,VLOOKUP($A451,'13. Updated Demand'!A:Z,21,FALSE))</f>
        <v>0</v>
      </c>
      <c r="AE451" s="16">
        <f>IF(ISERROR(VLOOKUP($A451,'13. Updated Demand'!A:Z,22,FALSE)),0,VLOOKUP($A451,'13. Updated Demand'!A:Z,22,FALSE))</f>
        <v>0</v>
      </c>
      <c r="AF451" s="16">
        <f>IF(ISERROR(VLOOKUP($A451,'13. Updated Demand'!A:Z,23,FALSE)),0,VLOOKUP($A451,'13. Updated Demand'!A:Z,23,FALSE))</f>
        <v>0</v>
      </c>
      <c r="AG451" s="16">
        <f>IF(ISERROR(VLOOKUP($A451,'13. Updated Demand'!A:Z,24,FALSE)),0,VLOOKUP($A451,'13. Updated Demand'!A:Z,24,FALSE))</f>
        <v>0.03</v>
      </c>
      <c r="AH451" s="16">
        <f>IF(ISERROR(VLOOKUP($A451,'13. Updated Demand'!A:Z,25,FALSE)),0,VLOOKUP($A451,'13. Updated Demand'!A:Z,25,FALSE))</f>
        <v>0.63</v>
      </c>
      <c r="AI451" s="16">
        <f>IF(ISERROR(VLOOKUP($A451,'13. Updated Demand'!A:Z,26,FALSE)),0,VLOOKUP($A451,'13. Updated Demand'!A:Z,26,FALSE))</f>
        <v>0.76</v>
      </c>
      <c r="AJ451" s="16">
        <f t="shared" si="84"/>
        <v>4.5199999999999996</v>
      </c>
      <c r="AK451" s="19">
        <v>0.266666666666667</v>
      </c>
      <c r="AL451" s="16">
        <f t="shared" si="94"/>
        <v>8.845029571454702E-4</v>
      </c>
      <c r="AM451" s="17">
        <v>0.65238095238095262</v>
      </c>
      <c r="AN451" s="19"/>
      <c r="AO451" s="19"/>
      <c r="AP451" s="19">
        <v>7</v>
      </c>
      <c r="AQ451" s="19" t="s">
        <v>307</v>
      </c>
      <c r="AR451" s="9" t="s">
        <v>311</v>
      </c>
      <c r="AS451" s="12">
        <v>0</v>
      </c>
      <c r="AT451" s="19">
        <v>38.645446389999996</v>
      </c>
      <c r="AU451" s="19">
        <v>-122.77503917999999</v>
      </c>
      <c r="AV451" s="19" t="s">
        <v>417</v>
      </c>
    </row>
    <row r="452" spans="1:48" x14ac:dyDescent="0.25">
      <c r="A452" s="18" t="s">
        <v>836</v>
      </c>
      <c r="B452" s="10">
        <v>19860418</v>
      </c>
      <c r="C452" s="9">
        <v>21</v>
      </c>
      <c r="D452" s="8" t="str">
        <f t="shared" si="85"/>
        <v>N</v>
      </c>
      <c r="E452" s="8" t="str">
        <f t="shared" si="86"/>
        <v>N</v>
      </c>
      <c r="F452" s="8" t="str">
        <f t="shared" si="87"/>
        <v>N</v>
      </c>
      <c r="G452" s="8" t="str">
        <f t="shared" si="88"/>
        <v>N</v>
      </c>
      <c r="H452" s="8" t="str">
        <f t="shared" si="89"/>
        <v>Lower</v>
      </c>
      <c r="I452" s="8" t="str">
        <f t="shared" si="90"/>
        <v>Outside</v>
      </c>
      <c r="J452" s="8" t="str">
        <f t="shared" si="91"/>
        <v>Outside</v>
      </c>
      <c r="K452" s="8" t="str">
        <f t="shared" si="92"/>
        <v>Post-1949</v>
      </c>
      <c r="L452" s="8">
        <f t="shared" si="93"/>
        <v>1986</v>
      </c>
      <c r="M452" s="8" t="str">
        <f t="shared" si="95"/>
        <v>1971-1990</v>
      </c>
      <c r="N452" s="10" t="s">
        <v>242</v>
      </c>
      <c r="O452" s="10" t="s">
        <v>242</v>
      </c>
      <c r="P452" s="10" t="s">
        <v>242</v>
      </c>
      <c r="Q452" s="10" t="s">
        <v>242</v>
      </c>
      <c r="R452" s="10" t="s">
        <v>241</v>
      </c>
      <c r="S452" s="10" t="s">
        <v>242</v>
      </c>
      <c r="T452" s="10" t="s">
        <v>242</v>
      </c>
      <c r="U452" s="10" t="s">
        <v>242</v>
      </c>
      <c r="V452" s="10" t="s">
        <v>241</v>
      </c>
      <c r="W452" s="10" t="s">
        <v>242</v>
      </c>
      <c r="X452" s="15">
        <f>IF(ISERROR(VLOOKUP($A452,'13. Updated Demand'!A:Z,15,FALSE)),0,VLOOKUP($A452,'13. Updated Demand'!A:Z,15,FALSE))</f>
        <v>1</v>
      </c>
      <c r="Y452" s="16">
        <f>IF(ISERROR(VLOOKUP($A452,'13. Updated Demand'!A:Z,16,FALSE)),0,VLOOKUP($A452,'13. Updated Demand'!A:Z,16,FALSE))</f>
        <v>0.66666666699999999</v>
      </c>
      <c r="Z452" s="16">
        <f>IF(ISERROR(VLOOKUP($A452,'13. Updated Demand'!A:Z,17,FALSE)),0,VLOOKUP($A452,'13. Updated Demand'!A:Z,17,FALSE))</f>
        <v>0.5</v>
      </c>
      <c r="AA452" s="16">
        <f>IF(ISERROR(VLOOKUP($A452,'13. Updated Demand'!A:Z,18,FALSE)),0,VLOOKUP($A452,'13. Updated Demand'!A:Z,18,FALSE))</f>
        <v>0.16666666699999999</v>
      </c>
      <c r="AB452" s="16">
        <f>IF(ISERROR(VLOOKUP($A452,'13. Updated Demand'!A:Z,19,FALSE)),0,VLOOKUP($A452,'13. Updated Demand'!A:Z,19,FALSE))</f>
        <v>0</v>
      </c>
      <c r="AC452" s="16">
        <f>IF(ISERROR(VLOOKUP($A452,'13. Updated Demand'!A:Z,20,FALSE)),0,VLOOKUP($A452,'13. Updated Demand'!A:Z,20,FALSE))</f>
        <v>0</v>
      </c>
      <c r="AD452" s="16">
        <f>IF(ISERROR(VLOOKUP($A452,'13. Updated Demand'!A:Z,21,FALSE)),0,VLOOKUP($A452,'13. Updated Demand'!A:Z,21,FALSE))</f>
        <v>0</v>
      </c>
      <c r="AE452" s="16">
        <f>IF(ISERROR(VLOOKUP($A452,'13. Updated Demand'!A:Z,22,FALSE)),0,VLOOKUP($A452,'13. Updated Demand'!A:Z,22,FALSE))</f>
        <v>0</v>
      </c>
      <c r="AF452" s="16">
        <f>IF(ISERROR(VLOOKUP($A452,'13. Updated Demand'!A:Z,23,FALSE)),0,VLOOKUP($A452,'13. Updated Demand'!A:Z,23,FALSE))</f>
        <v>0</v>
      </c>
      <c r="AG452" s="16">
        <f>IF(ISERROR(VLOOKUP($A452,'13. Updated Demand'!A:Z,24,FALSE)),0,VLOOKUP($A452,'13. Updated Demand'!A:Z,24,FALSE))</f>
        <v>0</v>
      </c>
      <c r="AH452" s="16">
        <f>IF(ISERROR(VLOOKUP($A452,'13. Updated Demand'!A:Z,25,FALSE)),0,VLOOKUP($A452,'13. Updated Demand'!A:Z,25,FALSE))</f>
        <v>0.33333333300000001</v>
      </c>
      <c r="AI452" s="16">
        <f>IF(ISERROR(VLOOKUP($A452,'13. Updated Demand'!A:Z,26,FALSE)),0,VLOOKUP($A452,'13. Updated Demand'!A:Z,26,FALSE))</f>
        <v>0.33333333300000001</v>
      </c>
      <c r="AJ452" s="16">
        <f t="shared" si="84"/>
        <v>3</v>
      </c>
      <c r="AK452" s="19">
        <v>0</v>
      </c>
      <c r="AL452" s="16">
        <f t="shared" si="94"/>
        <v>0</v>
      </c>
      <c r="AM452" s="17">
        <v>1</v>
      </c>
      <c r="AN452" s="19"/>
      <c r="AO452" s="19"/>
      <c r="AP452" s="19">
        <v>3</v>
      </c>
      <c r="AQ452" s="19" t="s">
        <v>307</v>
      </c>
      <c r="AR452" s="9" t="s">
        <v>403</v>
      </c>
      <c r="AS452" s="12">
        <v>0</v>
      </c>
      <c r="AT452" s="19">
        <v>38.417729199999997</v>
      </c>
      <c r="AU452" s="19">
        <v>-122.95741925999999</v>
      </c>
      <c r="AV452" s="19" t="s">
        <v>417</v>
      </c>
    </row>
    <row r="453" spans="1:48" x14ac:dyDescent="0.25">
      <c r="A453" s="18" t="s">
        <v>837</v>
      </c>
      <c r="B453" s="10">
        <v>19860609</v>
      </c>
      <c r="C453" s="9">
        <v>5</v>
      </c>
      <c r="D453" s="8" t="str">
        <f t="shared" si="85"/>
        <v>Y</v>
      </c>
      <c r="E453" s="8" t="str">
        <f t="shared" si="86"/>
        <v>N</v>
      </c>
      <c r="F453" s="8" t="str">
        <f t="shared" si="87"/>
        <v>Y</v>
      </c>
      <c r="G453" s="8" t="str">
        <f t="shared" si="88"/>
        <v>Y</v>
      </c>
      <c r="H453" s="8" t="str">
        <f t="shared" si="89"/>
        <v>Upper</v>
      </c>
      <c r="I453" s="8" t="str">
        <f t="shared" si="90"/>
        <v>West Fork and Below Lake</v>
      </c>
      <c r="J453" s="8" t="str">
        <f t="shared" si="91"/>
        <v>Mendocino (d/s of lake)</v>
      </c>
      <c r="K453" s="8" t="str">
        <f t="shared" si="92"/>
        <v>Post-1949</v>
      </c>
      <c r="L453" s="8">
        <f t="shared" si="93"/>
        <v>1986</v>
      </c>
      <c r="M453" s="8" t="str">
        <f t="shared" si="95"/>
        <v>1971-1990</v>
      </c>
      <c r="N453" s="10" t="s">
        <v>241</v>
      </c>
      <c r="O453" s="10" t="s">
        <v>241</v>
      </c>
      <c r="P453" s="10" t="s">
        <v>242</v>
      </c>
      <c r="Q453" s="10" t="s">
        <v>242</v>
      </c>
      <c r="R453" s="10" t="s">
        <v>241</v>
      </c>
      <c r="S453" s="10" t="s">
        <v>242</v>
      </c>
      <c r="T453" s="10" t="s">
        <v>242</v>
      </c>
      <c r="U453" s="10" t="s">
        <v>242</v>
      </c>
      <c r="V453" s="10" t="s">
        <v>241</v>
      </c>
      <c r="W453" s="10" t="s">
        <v>242</v>
      </c>
      <c r="X453" s="15">
        <f>IF(ISERROR(VLOOKUP($A453,'13. Updated Demand'!A:Z,15,FALSE)),0,VLOOKUP($A453,'13. Updated Demand'!A:Z,15,FALSE))</f>
        <v>0</v>
      </c>
      <c r="Y453" s="16">
        <f>IF(ISERROR(VLOOKUP($A453,'13. Updated Demand'!A:Z,16,FALSE)),0,VLOOKUP($A453,'13. Updated Demand'!A:Z,16,FALSE))</f>
        <v>0</v>
      </c>
      <c r="Z453" s="16">
        <f>IF(ISERROR(VLOOKUP($A453,'13. Updated Demand'!A:Z,17,FALSE)),0,VLOOKUP($A453,'13. Updated Demand'!A:Z,17,FALSE))</f>
        <v>2.58</v>
      </c>
      <c r="AA453" s="16">
        <f>IF(ISERROR(VLOOKUP($A453,'13. Updated Demand'!A:Z,18,FALSE)),0,VLOOKUP($A453,'13. Updated Demand'!A:Z,18,FALSE))</f>
        <v>0</v>
      </c>
      <c r="AB453" s="16">
        <f>IF(ISERROR(VLOOKUP($A453,'13. Updated Demand'!A:Z,19,FALSE)),0,VLOOKUP($A453,'13. Updated Demand'!A:Z,19,FALSE))</f>
        <v>0</v>
      </c>
      <c r="AC453" s="16">
        <f>IF(ISERROR(VLOOKUP($A453,'13. Updated Demand'!A:Z,20,FALSE)),0,VLOOKUP($A453,'13. Updated Demand'!A:Z,20,FALSE))</f>
        <v>0</v>
      </c>
      <c r="AD453" s="16">
        <f>IF(ISERROR(VLOOKUP($A453,'13. Updated Demand'!A:Z,21,FALSE)),0,VLOOKUP($A453,'13. Updated Demand'!A:Z,21,FALSE))</f>
        <v>0</v>
      </c>
      <c r="AE453" s="16">
        <f>IF(ISERROR(VLOOKUP($A453,'13. Updated Demand'!A:Z,22,FALSE)),0,VLOOKUP($A453,'13. Updated Demand'!A:Z,22,FALSE))</f>
        <v>0</v>
      </c>
      <c r="AF453" s="16">
        <f>IF(ISERROR(VLOOKUP($A453,'13. Updated Demand'!A:Z,23,FALSE)),0,VLOOKUP($A453,'13. Updated Demand'!A:Z,23,FALSE))</f>
        <v>0</v>
      </c>
      <c r="AG453" s="16">
        <f>IF(ISERROR(VLOOKUP($A453,'13. Updated Demand'!A:Z,24,FALSE)),0,VLOOKUP($A453,'13. Updated Demand'!A:Z,24,FALSE))</f>
        <v>0</v>
      </c>
      <c r="AH453" s="16">
        <f>IF(ISERROR(VLOOKUP($A453,'13. Updated Demand'!A:Z,25,FALSE)),0,VLOOKUP($A453,'13. Updated Demand'!A:Z,25,FALSE))</f>
        <v>0</v>
      </c>
      <c r="AI453" s="16">
        <f>IF(ISERROR(VLOOKUP($A453,'13. Updated Demand'!A:Z,26,FALSE)),0,VLOOKUP($A453,'13. Updated Demand'!A:Z,26,FALSE))</f>
        <v>0</v>
      </c>
      <c r="AJ453" s="16">
        <f t="shared" si="84"/>
        <v>2.58</v>
      </c>
      <c r="AK453" s="19">
        <v>0</v>
      </c>
      <c r="AL453" s="16">
        <f t="shared" si="94"/>
        <v>0</v>
      </c>
      <c r="AM453" s="17">
        <v>2.5833333333333298E-2</v>
      </c>
      <c r="AN453" s="19"/>
      <c r="AO453" s="19"/>
      <c r="AP453" s="19">
        <v>100</v>
      </c>
      <c r="AQ453" s="19" t="s">
        <v>307</v>
      </c>
      <c r="AR453" s="9" t="s">
        <v>333</v>
      </c>
      <c r="AS453" s="12">
        <v>0</v>
      </c>
      <c r="AT453" s="19">
        <v>39.102213470000002</v>
      </c>
      <c r="AU453" s="19">
        <v>-123.17741135</v>
      </c>
      <c r="AV453" s="19" t="s">
        <v>548</v>
      </c>
    </row>
    <row r="454" spans="1:48" x14ac:dyDescent="0.25">
      <c r="A454" s="18" t="s">
        <v>838</v>
      </c>
      <c r="B454" s="10">
        <v>19860609</v>
      </c>
      <c r="C454" s="9">
        <v>12</v>
      </c>
      <c r="D454" s="8" t="str">
        <f t="shared" si="85"/>
        <v>N</v>
      </c>
      <c r="E454" s="8" t="str">
        <f t="shared" si="86"/>
        <v>Y</v>
      </c>
      <c r="F454" s="8" t="str">
        <f t="shared" si="87"/>
        <v>Y</v>
      </c>
      <c r="G454" s="8" t="str">
        <f t="shared" si="88"/>
        <v>Y</v>
      </c>
      <c r="H454" s="8" t="str">
        <f t="shared" si="89"/>
        <v>Upper</v>
      </c>
      <c r="I454" s="8" t="str">
        <f t="shared" si="90"/>
        <v>West Fork and Below Lake</v>
      </c>
      <c r="J454" s="8" t="str">
        <f t="shared" si="91"/>
        <v>Sonoma (d/s of Clov. Gage)</v>
      </c>
      <c r="K454" s="8" t="str">
        <f t="shared" si="92"/>
        <v>Post-1949</v>
      </c>
      <c r="L454" s="8">
        <f t="shared" si="93"/>
        <v>1986</v>
      </c>
      <c r="M454" s="8" t="str">
        <f t="shared" si="95"/>
        <v>1971-1990</v>
      </c>
      <c r="N454" s="10" t="s">
        <v>241</v>
      </c>
      <c r="O454" s="10" t="s">
        <v>241</v>
      </c>
      <c r="P454" s="10" t="s">
        <v>242</v>
      </c>
      <c r="Q454" s="10" t="s">
        <v>242</v>
      </c>
      <c r="R454" s="10" t="s">
        <v>241</v>
      </c>
      <c r="S454" s="10" t="s">
        <v>242</v>
      </c>
      <c r="T454" s="10" t="s">
        <v>242</v>
      </c>
      <c r="U454" s="10" t="s">
        <v>242</v>
      </c>
      <c r="V454" s="10" t="s">
        <v>241</v>
      </c>
      <c r="W454" s="10" t="s">
        <v>242</v>
      </c>
      <c r="X454" s="15">
        <f>IF(ISERROR(VLOOKUP($A454,'13. Updated Demand'!A:Z,15,FALSE)),0,VLOOKUP($A454,'13. Updated Demand'!A:Z,15,FALSE))</f>
        <v>8.66</v>
      </c>
      <c r="Y454" s="16">
        <f>IF(ISERROR(VLOOKUP($A454,'13. Updated Demand'!A:Z,16,FALSE)),0,VLOOKUP($A454,'13. Updated Demand'!A:Z,16,FALSE))</f>
        <v>0</v>
      </c>
      <c r="Z454" s="16">
        <f>IF(ISERROR(VLOOKUP($A454,'13. Updated Demand'!A:Z,17,FALSE)),0,VLOOKUP($A454,'13. Updated Demand'!A:Z,17,FALSE))</f>
        <v>0</v>
      </c>
      <c r="AA454" s="16">
        <f>IF(ISERROR(VLOOKUP($A454,'13. Updated Demand'!A:Z,18,FALSE)),0,VLOOKUP($A454,'13. Updated Demand'!A:Z,18,FALSE))</f>
        <v>0</v>
      </c>
      <c r="AB454" s="16">
        <f>IF(ISERROR(VLOOKUP($A454,'13. Updated Demand'!A:Z,19,FALSE)),0,VLOOKUP($A454,'13. Updated Demand'!A:Z,19,FALSE))</f>
        <v>0</v>
      </c>
      <c r="AC454" s="16">
        <f>IF(ISERROR(VLOOKUP($A454,'13. Updated Demand'!A:Z,20,FALSE)),0,VLOOKUP($A454,'13. Updated Demand'!A:Z,20,FALSE))</f>
        <v>0</v>
      </c>
      <c r="AD454" s="16">
        <f>IF(ISERROR(VLOOKUP($A454,'13. Updated Demand'!A:Z,21,FALSE)),0,VLOOKUP($A454,'13. Updated Demand'!A:Z,21,FALSE))</f>
        <v>0</v>
      </c>
      <c r="AE454" s="16">
        <f>IF(ISERROR(VLOOKUP($A454,'13. Updated Demand'!A:Z,22,FALSE)),0,VLOOKUP($A454,'13. Updated Demand'!A:Z,22,FALSE))</f>
        <v>0</v>
      </c>
      <c r="AF454" s="16">
        <f>IF(ISERROR(VLOOKUP($A454,'13. Updated Demand'!A:Z,23,FALSE)),0,VLOOKUP($A454,'13. Updated Demand'!A:Z,23,FALSE))</f>
        <v>0</v>
      </c>
      <c r="AG454" s="16">
        <f>IF(ISERROR(VLOOKUP($A454,'13. Updated Demand'!A:Z,24,FALSE)),0,VLOOKUP($A454,'13. Updated Demand'!A:Z,24,FALSE))</f>
        <v>0</v>
      </c>
      <c r="AH454" s="16">
        <f>IF(ISERROR(VLOOKUP($A454,'13. Updated Demand'!A:Z,25,FALSE)),0,VLOOKUP($A454,'13. Updated Demand'!A:Z,25,FALSE))</f>
        <v>0</v>
      </c>
      <c r="AI454" s="16">
        <f>IF(ISERROR(VLOOKUP($A454,'13. Updated Demand'!A:Z,26,FALSE)),0,VLOOKUP($A454,'13. Updated Demand'!A:Z,26,FALSE))</f>
        <v>0</v>
      </c>
      <c r="AJ454" s="16">
        <f t="shared" si="84"/>
        <v>8.66</v>
      </c>
      <c r="AK454" s="19">
        <v>0</v>
      </c>
      <c r="AL454" s="16">
        <f t="shared" si="94"/>
        <v>0</v>
      </c>
      <c r="AM454" s="17">
        <v>0.54166666666666685</v>
      </c>
      <c r="AN454" s="19"/>
      <c r="AO454" s="19"/>
      <c r="AP454" s="19">
        <v>16</v>
      </c>
      <c r="AQ454" s="19" t="s">
        <v>307</v>
      </c>
      <c r="AR454" s="9" t="s">
        <v>311</v>
      </c>
      <c r="AS454" s="12">
        <v>0</v>
      </c>
      <c r="AT454" s="19">
        <v>38.635983680000002</v>
      </c>
      <c r="AU454" s="19">
        <v>-122.80174755</v>
      </c>
      <c r="AV454" s="19" t="s">
        <v>417</v>
      </c>
    </row>
    <row r="455" spans="1:48" x14ac:dyDescent="0.25">
      <c r="A455" s="18" t="s">
        <v>839</v>
      </c>
      <c r="B455" s="10">
        <v>19860619</v>
      </c>
      <c r="C455" s="9">
        <v>21</v>
      </c>
      <c r="D455" s="8" t="str">
        <f t="shared" si="85"/>
        <v>N</v>
      </c>
      <c r="E455" s="8" t="str">
        <f t="shared" si="86"/>
        <v>N</v>
      </c>
      <c r="F455" s="8" t="str">
        <f t="shared" si="87"/>
        <v>N</v>
      </c>
      <c r="G455" s="8" t="str">
        <f t="shared" si="88"/>
        <v>N</v>
      </c>
      <c r="H455" s="8" t="str">
        <f t="shared" si="89"/>
        <v>Lower</v>
      </c>
      <c r="I455" s="8" t="str">
        <f t="shared" si="90"/>
        <v>Outside</v>
      </c>
      <c r="J455" s="8" t="str">
        <f t="shared" si="91"/>
        <v>Outside</v>
      </c>
      <c r="K455" s="8" t="str">
        <f t="shared" si="92"/>
        <v>Post-1949</v>
      </c>
      <c r="L455" s="8">
        <f t="shared" si="93"/>
        <v>1986</v>
      </c>
      <c r="M455" s="8" t="str">
        <f t="shared" si="95"/>
        <v>1971-1990</v>
      </c>
      <c r="N455" s="10" t="s">
        <v>242</v>
      </c>
      <c r="O455" s="10" t="s">
        <v>242</v>
      </c>
      <c r="P455" s="10" t="s">
        <v>242</v>
      </c>
      <c r="Q455" s="10" t="s">
        <v>242</v>
      </c>
      <c r="R455" s="10" t="s">
        <v>241</v>
      </c>
      <c r="S455" s="10" t="s">
        <v>242</v>
      </c>
      <c r="T455" s="10" t="s">
        <v>242</v>
      </c>
      <c r="U455" s="10" t="s">
        <v>241</v>
      </c>
      <c r="V455" s="10" t="s">
        <v>241</v>
      </c>
      <c r="W455" s="10" t="s">
        <v>242</v>
      </c>
      <c r="X455" s="15">
        <f>IF(ISERROR(VLOOKUP($A455,'13. Updated Demand'!A:Z,15,FALSE)),0,VLOOKUP($A455,'13. Updated Demand'!A:Z,15,FALSE))</f>
        <v>0</v>
      </c>
      <c r="Y455" s="16">
        <f>IF(ISERROR(VLOOKUP($A455,'13. Updated Demand'!A:Z,16,FALSE)),0,VLOOKUP($A455,'13. Updated Demand'!A:Z,16,FALSE))</f>
        <v>0</v>
      </c>
      <c r="Z455" s="16">
        <f>IF(ISERROR(VLOOKUP($A455,'13. Updated Demand'!A:Z,17,FALSE)),0,VLOOKUP($A455,'13. Updated Demand'!A:Z,17,FALSE))</f>
        <v>0</v>
      </c>
      <c r="AA455" s="16">
        <f>IF(ISERROR(VLOOKUP($A455,'13. Updated Demand'!A:Z,18,FALSE)),0,VLOOKUP($A455,'13. Updated Demand'!A:Z,18,FALSE))</f>
        <v>0</v>
      </c>
      <c r="AB455" s="16">
        <f>IF(ISERROR(VLOOKUP($A455,'13. Updated Demand'!A:Z,19,FALSE)),0,VLOOKUP($A455,'13. Updated Demand'!A:Z,19,FALSE))</f>
        <v>0</v>
      </c>
      <c r="AC455" s="16">
        <f>IF(ISERROR(VLOOKUP($A455,'13. Updated Demand'!A:Z,20,FALSE)),0,VLOOKUP($A455,'13. Updated Demand'!A:Z,20,FALSE))</f>
        <v>0</v>
      </c>
      <c r="AD455" s="16">
        <f>IF(ISERROR(VLOOKUP($A455,'13. Updated Demand'!A:Z,21,FALSE)),0,VLOOKUP($A455,'13. Updated Demand'!A:Z,21,FALSE))</f>
        <v>0</v>
      </c>
      <c r="AE455" s="16">
        <f>IF(ISERROR(VLOOKUP($A455,'13. Updated Demand'!A:Z,22,FALSE)),0,VLOOKUP($A455,'13. Updated Demand'!A:Z,22,FALSE))</f>
        <v>0</v>
      </c>
      <c r="AF455" s="16">
        <f>IF(ISERROR(VLOOKUP($A455,'13. Updated Demand'!A:Z,23,FALSE)),0,VLOOKUP($A455,'13. Updated Demand'!A:Z,23,FALSE))</f>
        <v>0</v>
      </c>
      <c r="AG455" s="16">
        <f>IF(ISERROR(VLOOKUP($A455,'13. Updated Demand'!A:Z,24,FALSE)),0,VLOOKUP($A455,'13. Updated Demand'!A:Z,24,FALSE))</f>
        <v>0</v>
      </c>
      <c r="AH455" s="16">
        <f>IF(ISERROR(VLOOKUP($A455,'13. Updated Demand'!A:Z,25,FALSE)),0,VLOOKUP($A455,'13. Updated Demand'!A:Z,25,FALSE))</f>
        <v>0</v>
      </c>
      <c r="AI455" s="16">
        <f>IF(ISERROR(VLOOKUP($A455,'13. Updated Demand'!A:Z,26,FALSE)),0,VLOOKUP($A455,'13. Updated Demand'!A:Z,26,FALSE))</f>
        <v>0</v>
      </c>
      <c r="AJ455" s="16">
        <f t="shared" si="84"/>
        <v>0</v>
      </c>
      <c r="AK455" s="19">
        <v>0</v>
      </c>
      <c r="AL455" s="16">
        <f t="shared" si="94"/>
        <v>0</v>
      </c>
      <c r="AM455" s="17">
        <v>0</v>
      </c>
      <c r="AN455" s="19"/>
      <c r="AO455" s="19"/>
      <c r="AP455" s="19">
        <v>108.6</v>
      </c>
      <c r="AQ455" s="19" t="s">
        <v>307</v>
      </c>
      <c r="AR455" s="9" t="s">
        <v>403</v>
      </c>
      <c r="AS455" s="12">
        <v>3.4039024194010059E-4</v>
      </c>
      <c r="AT455" s="19">
        <v>38.4758</v>
      </c>
      <c r="AU455" s="19">
        <v>-123.0497</v>
      </c>
      <c r="AV455" s="19" t="s">
        <v>528</v>
      </c>
    </row>
    <row r="456" spans="1:48" x14ac:dyDescent="0.25">
      <c r="A456" s="18" t="s">
        <v>840</v>
      </c>
      <c r="B456" s="10">
        <v>19860908</v>
      </c>
      <c r="C456" s="9">
        <v>5</v>
      </c>
      <c r="D456" s="8" t="str">
        <f t="shared" si="85"/>
        <v>Y</v>
      </c>
      <c r="E456" s="8" t="str">
        <f t="shared" si="86"/>
        <v>N</v>
      </c>
      <c r="F456" s="8" t="str">
        <f t="shared" si="87"/>
        <v>Y</v>
      </c>
      <c r="G456" s="8" t="str">
        <f t="shared" si="88"/>
        <v>Y</v>
      </c>
      <c r="H456" s="8" t="str">
        <f t="shared" si="89"/>
        <v>Upper</v>
      </c>
      <c r="I456" s="8" t="str">
        <f t="shared" si="90"/>
        <v>West Fork and Below Lake</v>
      </c>
      <c r="J456" s="8" t="str">
        <f t="shared" si="91"/>
        <v>Mendocino (d/s of lake)</v>
      </c>
      <c r="K456" s="8" t="str">
        <f t="shared" si="92"/>
        <v>Post-1949</v>
      </c>
      <c r="L456" s="8">
        <f t="shared" si="93"/>
        <v>1986</v>
      </c>
      <c r="M456" s="8" t="str">
        <f t="shared" si="95"/>
        <v>1971-1990</v>
      </c>
      <c r="N456" s="10" t="s">
        <v>241</v>
      </c>
      <c r="O456" s="10" t="s">
        <v>241</v>
      </c>
      <c r="P456" s="10" t="s">
        <v>242</v>
      </c>
      <c r="Q456" s="10" t="s">
        <v>242</v>
      </c>
      <c r="R456" s="10" t="s">
        <v>241</v>
      </c>
      <c r="S456" s="10" t="s">
        <v>242</v>
      </c>
      <c r="T456" s="10" t="s">
        <v>242</v>
      </c>
      <c r="U456" s="10" t="s">
        <v>242</v>
      </c>
      <c r="V456" s="10" t="s">
        <v>241</v>
      </c>
      <c r="W456" s="10" t="s">
        <v>242</v>
      </c>
      <c r="X456" s="15">
        <f>IF(ISERROR(VLOOKUP($A456,'13. Updated Demand'!A:Z,15,FALSE)),0,VLOOKUP($A456,'13. Updated Demand'!A:Z,15,FALSE))</f>
        <v>4.66</v>
      </c>
      <c r="Y456" s="16">
        <f>IF(ISERROR(VLOOKUP($A456,'13. Updated Demand'!A:Z,16,FALSE)),0,VLOOKUP($A456,'13. Updated Demand'!A:Z,16,FALSE))</f>
        <v>1.33</v>
      </c>
      <c r="Z456" s="16">
        <f>IF(ISERROR(VLOOKUP($A456,'13. Updated Demand'!A:Z,17,FALSE)),0,VLOOKUP($A456,'13. Updated Demand'!A:Z,17,FALSE))</f>
        <v>0</v>
      </c>
      <c r="AA456" s="16">
        <f>IF(ISERROR(VLOOKUP($A456,'13. Updated Demand'!A:Z,18,FALSE)),0,VLOOKUP($A456,'13. Updated Demand'!A:Z,18,FALSE))</f>
        <v>0</v>
      </c>
      <c r="AB456" s="16">
        <f>IF(ISERROR(VLOOKUP($A456,'13. Updated Demand'!A:Z,19,FALSE)),0,VLOOKUP($A456,'13. Updated Demand'!A:Z,19,FALSE))</f>
        <v>0</v>
      </c>
      <c r="AC456" s="16">
        <f>IF(ISERROR(VLOOKUP($A456,'13. Updated Demand'!A:Z,20,FALSE)),0,VLOOKUP($A456,'13. Updated Demand'!A:Z,20,FALSE))</f>
        <v>0</v>
      </c>
      <c r="AD456" s="16">
        <f>IF(ISERROR(VLOOKUP($A456,'13. Updated Demand'!A:Z,21,FALSE)),0,VLOOKUP($A456,'13. Updated Demand'!A:Z,21,FALSE))</f>
        <v>0</v>
      </c>
      <c r="AE456" s="16">
        <f>IF(ISERROR(VLOOKUP($A456,'13. Updated Demand'!A:Z,22,FALSE)),0,VLOOKUP($A456,'13. Updated Demand'!A:Z,22,FALSE))</f>
        <v>0</v>
      </c>
      <c r="AF456" s="16">
        <f>IF(ISERROR(VLOOKUP($A456,'13. Updated Demand'!A:Z,23,FALSE)),0,VLOOKUP($A456,'13. Updated Demand'!A:Z,23,FALSE))</f>
        <v>0</v>
      </c>
      <c r="AG456" s="16">
        <f>IF(ISERROR(VLOOKUP($A456,'13. Updated Demand'!A:Z,24,FALSE)),0,VLOOKUP($A456,'13. Updated Demand'!A:Z,24,FALSE))</f>
        <v>0</v>
      </c>
      <c r="AH456" s="16">
        <f>IF(ISERROR(VLOOKUP($A456,'13. Updated Demand'!A:Z,25,FALSE)),0,VLOOKUP($A456,'13. Updated Demand'!A:Z,25,FALSE))</f>
        <v>0</v>
      </c>
      <c r="AI456" s="16">
        <f>IF(ISERROR(VLOOKUP($A456,'13. Updated Demand'!A:Z,26,FALSE)),0,VLOOKUP($A456,'13. Updated Demand'!A:Z,26,FALSE))</f>
        <v>0</v>
      </c>
      <c r="AJ456" s="16">
        <f t="shared" si="84"/>
        <v>5.99</v>
      </c>
      <c r="AK456" s="19">
        <v>0</v>
      </c>
      <c r="AL456" s="16">
        <f t="shared" si="94"/>
        <v>0</v>
      </c>
      <c r="AM456" s="17">
        <v>1</v>
      </c>
      <c r="AN456" s="19"/>
      <c r="AO456" s="19"/>
      <c r="AP456" s="19">
        <v>6</v>
      </c>
      <c r="AQ456" s="19" t="s">
        <v>307</v>
      </c>
      <c r="AR456" s="9" t="s">
        <v>333</v>
      </c>
      <c r="AS456" s="12">
        <v>0</v>
      </c>
      <c r="AT456" s="19">
        <v>39.044600000000003</v>
      </c>
      <c r="AU456" s="19">
        <v>-123.1442</v>
      </c>
      <c r="AV456" s="19" t="s">
        <v>417</v>
      </c>
    </row>
    <row r="457" spans="1:48" x14ac:dyDescent="0.25">
      <c r="A457" s="18" t="s">
        <v>841</v>
      </c>
      <c r="B457" s="10">
        <v>19861022</v>
      </c>
      <c r="C457" s="9">
        <v>1</v>
      </c>
      <c r="D457" s="8" t="str">
        <f t="shared" si="85"/>
        <v>N</v>
      </c>
      <c r="E457" s="8" t="str">
        <f t="shared" si="86"/>
        <v>N</v>
      </c>
      <c r="F457" s="8" t="str">
        <f t="shared" si="87"/>
        <v>Y</v>
      </c>
      <c r="G457" s="8" t="str">
        <f t="shared" si="88"/>
        <v>Y</v>
      </c>
      <c r="H457" s="8" t="str">
        <f t="shared" si="89"/>
        <v>Upper</v>
      </c>
      <c r="I457" s="8" t="str">
        <f t="shared" si="90"/>
        <v>West Fork and Below Lake</v>
      </c>
      <c r="J457" s="8" t="str">
        <f t="shared" si="91"/>
        <v>Outside</v>
      </c>
      <c r="K457" s="8" t="str">
        <f t="shared" si="92"/>
        <v>Post-1949</v>
      </c>
      <c r="L457" s="8">
        <f t="shared" si="93"/>
        <v>1986</v>
      </c>
      <c r="M457" s="8" t="str">
        <f t="shared" si="95"/>
        <v>1971-1990</v>
      </c>
      <c r="N457" s="10" t="s">
        <v>242</v>
      </c>
      <c r="O457" s="10" t="s">
        <v>241</v>
      </c>
      <c r="P457" s="10" t="s">
        <v>242</v>
      </c>
      <c r="Q457" s="10" t="s">
        <v>242</v>
      </c>
      <c r="R457" s="10" t="s">
        <v>241</v>
      </c>
      <c r="S457" s="10" t="s">
        <v>242</v>
      </c>
      <c r="T457" s="10" t="s">
        <v>242</v>
      </c>
      <c r="U457" s="10" t="s">
        <v>241</v>
      </c>
      <c r="V457" s="10" t="s">
        <v>241</v>
      </c>
      <c r="W457" s="10" t="s">
        <v>242</v>
      </c>
      <c r="X457" s="15">
        <f>IF(ISERROR(VLOOKUP($A457,'13. Updated Demand'!A:Z,15,FALSE)),0,VLOOKUP($A457,'13. Updated Demand'!A:Z,15,FALSE))</f>
        <v>0</v>
      </c>
      <c r="Y457" s="16">
        <f>IF(ISERROR(VLOOKUP($A457,'13. Updated Demand'!A:Z,16,FALSE)),0,VLOOKUP($A457,'13. Updated Demand'!A:Z,16,FALSE))</f>
        <v>0</v>
      </c>
      <c r="Z457" s="16">
        <f>IF(ISERROR(VLOOKUP($A457,'13. Updated Demand'!A:Z,17,FALSE)),0,VLOOKUP($A457,'13. Updated Demand'!A:Z,17,FALSE))</f>
        <v>0</v>
      </c>
      <c r="AA457" s="16">
        <f>IF(ISERROR(VLOOKUP($A457,'13. Updated Demand'!A:Z,18,FALSE)),0,VLOOKUP($A457,'13. Updated Demand'!A:Z,18,FALSE))</f>
        <v>0</v>
      </c>
      <c r="AB457" s="16">
        <f>IF(ISERROR(VLOOKUP($A457,'13. Updated Demand'!A:Z,19,FALSE)),0,VLOOKUP($A457,'13. Updated Demand'!A:Z,19,FALSE))</f>
        <v>0</v>
      </c>
      <c r="AC457" s="16">
        <f>IF(ISERROR(VLOOKUP($A457,'13. Updated Demand'!A:Z,20,FALSE)),0,VLOOKUP($A457,'13. Updated Demand'!A:Z,20,FALSE))</f>
        <v>0</v>
      </c>
      <c r="AD457" s="16">
        <f>IF(ISERROR(VLOOKUP($A457,'13. Updated Demand'!A:Z,21,FALSE)),0,VLOOKUP($A457,'13. Updated Demand'!A:Z,21,FALSE))</f>
        <v>0</v>
      </c>
      <c r="AE457" s="16">
        <f>IF(ISERROR(VLOOKUP($A457,'13. Updated Demand'!A:Z,22,FALSE)),0,VLOOKUP($A457,'13. Updated Demand'!A:Z,22,FALSE))</f>
        <v>0</v>
      </c>
      <c r="AF457" s="16">
        <f>IF(ISERROR(VLOOKUP($A457,'13. Updated Demand'!A:Z,23,FALSE)),0,VLOOKUP($A457,'13. Updated Demand'!A:Z,23,FALSE))</f>
        <v>0</v>
      </c>
      <c r="AG457" s="16">
        <f>IF(ISERROR(VLOOKUP($A457,'13. Updated Demand'!A:Z,24,FALSE)),0,VLOOKUP($A457,'13. Updated Demand'!A:Z,24,FALSE))</f>
        <v>0</v>
      </c>
      <c r="AH457" s="16">
        <f>IF(ISERROR(VLOOKUP($A457,'13. Updated Demand'!A:Z,25,FALSE)),0,VLOOKUP($A457,'13. Updated Demand'!A:Z,25,FALSE))</f>
        <v>0</v>
      </c>
      <c r="AI457" s="16">
        <f>IF(ISERROR(VLOOKUP($A457,'13. Updated Demand'!A:Z,26,FALSE)),0,VLOOKUP($A457,'13. Updated Demand'!A:Z,26,FALSE))</f>
        <v>0</v>
      </c>
      <c r="AJ457" s="16">
        <f t="shared" si="84"/>
        <v>0</v>
      </c>
      <c r="AK457" s="19">
        <v>0</v>
      </c>
      <c r="AL457" s="16">
        <f t="shared" si="94"/>
        <v>0</v>
      </c>
      <c r="AM457" s="17">
        <v>0</v>
      </c>
      <c r="AN457" s="19"/>
      <c r="AO457" s="19"/>
      <c r="AP457" s="19">
        <v>2.2000000000000002</v>
      </c>
      <c r="AQ457" s="19" t="s">
        <v>307</v>
      </c>
      <c r="AR457" s="9" t="s">
        <v>317</v>
      </c>
      <c r="AS457" s="12">
        <v>0</v>
      </c>
      <c r="AT457" s="19">
        <v>39.25327377</v>
      </c>
      <c r="AU457" s="19">
        <v>-123.2469421</v>
      </c>
      <c r="AV457" s="19" t="s">
        <v>417</v>
      </c>
    </row>
    <row r="458" spans="1:48" x14ac:dyDescent="0.25">
      <c r="A458" s="18" t="s">
        <v>842</v>
      </c>
      <c r="B458" s="10">
        <v>19861022</v>
      </c>
      <c r="C458" s="9">
        <v>1</v>
      </c>
      <c r="D458" s="8" t="str">
        <f t="shared" si="85"/>
        <v>N</v>
      </c>
      <c r="E458" s="8" t="str">
        <f t="shared" si="86"/>
        <v>N</v>
      </c>
      <c r="F458" s="8" t="str">
        <f t="shared" si="87"/>
        <v>Y</v>
      </c>
      <c r="G458" s="8" t="str">
        <f t="shared" si="88"/>
        <v>Y</v>
      </c>
      <c r="H458" s="8" t="str">
        <f t="shared" si="89"/>
        <v>Upper</v>
      </c>
      <c r="I458" s="8" t="str">
        <f t="shared" si="90"/>
        <v>West Fork and Below Lake</v>
      </c>
      <c r="J458" s="8" t="str">
        <f t="shared" si="91"/>
        <v>Outside</v>
      </c>
      <c r="K458" s="8" t="str">
        <f t="shared" si="92"/>
        <v>Post-1949</v>
      </c>
      <c r="L458" s="8">
        <f t="shared" si="93"/>
        <v>1986</v>
      </c>
      <c r="M458" s="8" t="str">
        <f t="shared" si="95"/>
        <v>1971-1990</v>
      </c>
      <c r="N458" s="10" t="s">
        <v>242</v>
      </c>
      <c r="O458" s="10" t="s">
        <v>241</v>
      </c>
      <c r="P458" s="10" t="s">
        <v>242</v>
      </c>
      <c r="Q458" s="10" t="s">
        <v>242</v>
      </c>
      <c r="R458" s="10" t="s">
        <v>241</v>
      </c>
      <c r="S458" s="10" t="s">
        <v>242</v>
      </c>
      <c r="T458" s="10" t="s">
        <v>242</v>
      </c>
      <c r="U458" s="10" t="s">
        <v>242</v>
      </c>
      <c r="V458" s="10" t="s">
        <v>241</v>
      </c>
      <c r="W458" s="10" t="s">
        <v>242</v>
      </c>
      <c r="X458" s="15">
        <f>IF(ISERROR(VLOOKUP($A458,'13. Updated Demand'!A:Z,15,FALSE)),0,VLOOKUP($A458,'13. Updated Demand'!A:Z,15,FALSE))</f>
        <v>3.84</v>
      </c>
      <c r="Y458" s="16">
        <f>IF(ISERROR(VLOOKUP($A458,'13. Updated Demand'!A:Z,16,FALSE)),0,VLOOKUP($A458,'13. Updated Demand'!A:Z,16,FALSE))</f>
        <v>0</v>
      </c>
      <c r="Z458" s="16">
        <f>IF(ISERROR(VLOOKUP($A458,'13. Updated Demand'!A:Z,17,FALSE)),0,VLOOKUP($A458,'13. Updated Demand'!A:Z,17,FALSE))</f>
        <v>1.3</v>
      </c>
      <c r="AA458" s="16">
        <f>IF(ISERROR(VLOOKUP($A458,'13. Updated Demand'!A:Z,18,FALSE)),0,VLOOKUP($A458,'13. Updated Demand'!A:Z,18,FALSE))</f>
        <v>0.06</v>
      </c>
      <c r="AB458" s="16">
        <f>IF(ISERROR(VLOOKUP($A458,'13. Updated Demand'!A:Z,19,FALSE)),0,VLOOKUP($A458,'13. Updated Demand'!A:Z,19,FALSE))</f>
        <v>0</v>
      </c>
      <c r="AC458" s="16">
        <f>IF(ISERROR(VLOOKUP($A458,'13. Updated Demand'!A:Z,20,FALSE)),0,VLOOKUP($A458,'13. Updated Demand'!A:Z,20,FALSE))</f>
        <v>0</v>
      </c>
      <c r="AD458" s="16">
        <f>IF(ISERROR(VLOOKUP($A458,'13. Updated Demand'!A:Z,21,FALSE)),0,VLOOKUP($A458,'13. Updated Demand'!A:Z,21,FALSE))</f>
        <v>0</v>
      </c>
      <c r="AE458" s="16">
        <f>IF(ISERROR(VLOOKUP($A458,'13. Updated Demand'!A:Z,22,FALSE)),0,VLOOKUP($A458,'13. Updated Demand'!A:Z,22,FALSE))</f>
        <v>0</v>
      </c>
      <c r="AF458" s="16">
        <f>IF(ISERROR(VLOOKUP($A458,'13. Updated Demand'!A:Z,23,FALSE)),0,VLOOKUP($A458,'13. Updated Demand'!A:Z,23,FALSE))</f>
        <v>0</v>
      </c>
      <c r="AG458" s="16">
        <f>IF(ISERROR(VLOOKUP($A458,'13. Updated Demand'!A:Z,24,FALSE)),0,VLOOKUP($A458,'13. Updated Demand'!A:Z,24,FALSE))</f>
        <v>0</v>
      </c>
      <c r="AH458" s="16">
        <f>IF(ISERROR(VLOOKUP($A458,'13. Updated Demand'!A:Z,25,FALSE)),0,VLOOKUP($A458,'13. Updated Demand'!A:Z,25,FALSE))</f>
        <v>0</v>
      </c>
      <c r="AI458" s="16">
        <f>IF(ISERROR(VLOOKUP($A458,'13. Updated Demand'!A:Z,26,FALSE)),0,VLOOKUP($A458,'13. Updated Demand'!A:Z,26,FALSE))</f>
        <v>0</v>
      </c>
      <c r="AJ458" s="16">
        <f t="shared" si="84"/>
        <v>5.1999999999999993</v>
      </c>
      <c r="AK458" s="19">
        <v>0</v>
      </c>
      <c r="AL458" s="16">
        <f t="shared" si="94"/>
        <v>0</v>
      </c>
      <c r="AM458" s="17">
        <v>0.65125</v>
      </c>
      <c r="AN458" s="19"/>
      <c r="AO458" s="19"/>
      <c r="AP458" s="19">
        <v>8</v>
      </c>
      <c r="AQ458" s="19" t="s">
        <v>307</v>
      </c>
      <c r="AR458" s="9" t="s">
        <v>317</v>
      </c>
      <c r="AS458" s="12">
        <v>0</v>
      </c>
      <c r="AT458" s="19">
        <v>39.313824740000001</v>
      </c>
      <c r="AU458" s="19">
        <v>-123.21381207</v>
      </c>
      <c r="AV458" s="19" t="s">
        <v>417</v>
      </c>
    </row>
    <row r="459" spans="1:48" x14ac:dyDescent="0.25">
      <c r="A459" s="18" t="s">
        <v>843</v>
      </c>
      <c r="B459" s="10">
        <v>19861022</v>
      </c>
      <c r="C459" s="9">
        <v>1</v>
      </c>
      <c r="D459" s="8" t="str">
        <f t="shared" si="85"/>
        <v>N</v>
      </c>
      <c r="E459" s="8" t="str">
        <f t="shared" si="86"/>
        <v>N</v>
      </c>
      <c r="F459" s="8" t="str">
        <f t="shared" si="87"/>
        <v>Y</v>
      </c>
      <c r="G459" s="8" t="str">
        <f t="shared" si="88"/>
        <v>Y</v>
      </c>
      <c r="H459" s="8" t="str">
        <f t="shared" si="89"/>
        <v>Upper</v>
      </c>
      <c r="I459" s="8" t="str">
        <f t="shared" si="90"/>
        <v>West Fork and Below Lake</v>
      </c>
      <c r="J459" s="8" t="str">
        <f t="shared" si="91"/>
        <v>Outside</v>
      </c>
      <c r="K459" s="8" t="str">
        <f t="shared" si="92"/>
        <v>Post-1949</v>
      </c>
      <c r="L459" s="8">
        <f t="shared" si="93"/>
        <v>1986</v>
      </c>
      <c r="M459" s="8" t="str">
        <f t="shared" si="95"/>
        <v>1971-1990</v>
      </c>
      <c r="N459" s="10" t="s">
        <v>242</v>
      </c>
      <c r="O459" s="10" t="s">
        <v>241</v>
      </c>
      <c r="P459" s="10" t="s">
        <v>242</v>
      </c>
      <c r="Q459" s="10" t="s">
        <v>242</v>
      </c>
      <c r="R459" s="10" t="s">
        <v>241</v>
      </c>
      <c r="S459" s="10" t="s">
        <v>242</v>
      </c>
      <c r="T459" s="10" t="s">
        <v>242</v>
      </c>
      <c r="U459" s="10" t="s">
        <v>242</v>
      </c>
      <c r="V459" s="10" t="s">
        <v>241</v>
      </c>
      <c r="W459" s="10" t="s">
        <v>242</v>
      </c>
      <c r="X459" s="15">
        <f>IF(ISERROR(VLOOKUP($A459,'13. Updated Demand'!A:Z,15,FALSE)),0,VLOOKUP($A459,'13. Updated Demand'!A:Z,15,FALSE))</f>
        <v>0.11</v>
      </c>
      <c r="Y459" s="16">
        <f>IF(ISERROR(VLOOKUP($A459,'13. Updated Demand'!A:Z,16,FALSE)),0,VLOOKUP($A459,'13. Updated Demand'!A:Z,16,FALSE))</f>
        <v>0</v>
      </c>
      <c r="Z459" s="16">
        <f>IF(ISERROR(VLOOKUP($A459,'13. Updated Demand'!A:Z,17,FALSE)),0,VLOOKUP($A459,'13. Updated Demand'!A:Z,17,FALSE))</f>
        <v>1.33</v>
      </c>
      <c r="AA459" s="16">
        <f>IF(ISERROR(VLOOKUP($A459,'13. Updated Demand'!A:Z,18,FALSE)),0,VLOOKUP($A459,'13. Updated Demand'!A:Z,18,FALSE))</f>
        <v>0.54</v>
      </c>
      <c r="AB459" s="16">
        <f>IF(ISERROR(VLOOKUP($A459,'13. Updated Demand'!A:Z,19,FALSE)),0,VLOOKUP($A459,'13. Updated Demand'!A:Z,19,FALSE))</f>
        <v>0</v>
      </c>
      <c r="AC459" s="16">
        <f>IF(ISERROR(VLOOKUP($A459,'13. Updated Demand'!A:Z,20,FALSE)),0,VLOOKUP($A459,'13. Updated Demand'!A:Z,20,FALSE))</f>
        <v>0</v>
      </c>
      <c r="AD459" s="16">
        <f>IF(ISERROR(VLOOKUP($A459,'13. Updated Demand'!A:Z,21,FALSE)),0,VLOOKUP($A459,'13. Updated Demand'!A:Z,21,FALSE))</f>
        <v>0</v>
      </c>
      <c r="AE459" s="16">
        <f>IF(ISERROR(VLOOKUP($A459,'13. Updated Demand'!A:Z,22,FALSE)),0,VLOOKUP($A459,'13. Updated Demand'!A:Z,22,FALSE))</f>
        <v>0</v>
      </c>
      <c r="AF459" s="16">
        <f>IF(ISERROR(VLOOKUP($A459,'13. Updated Demand'!A:Z,23,FALSE)),0,VLOOKUP($A459,'13. Updated Demand'!A:Z,23,FALSE))</f>
        <v>0</v>
      </c>
      <c r="AG459" s="16">
        <f>IF(ISERROR(VLOOKUP($A459,'13. Updated Demand'!A:Z,24,FALSE)),0,VLOOKUP($A459,'13. Updated Demand'!A:Z,24,FALSE))</f>
        <v>0</v>
      </c>
      <c r="AH459" s="16">
        <f>IF(ISERROR(VLOOKUP($A459,'13. Updated Demand'!A:Z,25,FALSE)),0,VLOOKUP($A459,'13. Updated Demand'!A:Z,25,FALSE))</f>
        <v>2.76</v>
      </c>
      <c r="AI459" s="16">
        <f>IF(ISERROR(VLOOKUP($A459,'13. Updated Demand'!A:Z,26,FALSE)),0,VLOOKUP($A459,'13. Updated Demand'!A:Z,26,FALSE))</f>
        <v>6.3</v>
      </c>
      <c r="AJ459" s="16">
        <f t="shared" si="84"/>
        <v>11.04</v>
      </c>
      <c r="AK459" s="19">
        <v>0</v>
      </c>
      <c r="AL459" s="16">
        <f t="shared" si="94"/>
        <v>0</v>
      </c>
      <c r="AM459" s="17">
        <v>0.30712962963888896</v>
      </c>
      <c r="AN459" s="19"/>
      <c r="AO459" s="19"/>
      <c r="AP459" s="19">
        <v>36</v>
      </c>
      <c r="AQ459" s="19" t="s">
        <v>307</v>
      </c>
      <c r="AR459" s="9" t="s">
        <v>317</v>
      </c>
      <c r="AS459" s="12">
        <v>0</v>
      </c>
      <c r="AT459" s="19">
        <v>39.31931909</v>
      </c>
      <c r="AU459" s="19">
        <v>-123.21355303999999</v>
      </c>
      <c r="AV459" s="19" t="s">
        <v>417</v>
      </c>
    </row>
    <row r="460" spans="1:48" x14ac:dyDescent="0.25">
      <c r="A460" s="18" t="s">
        <v>844</v>
      </c>
      <c r="B460" s="10">
        <v>19850206</v>
      </c>
      <c r="C460" s="9">
        <v>23</v>
      </c>
      <c r="D460" s="8" t="str">
        <f t="shared" si="85"/>
        <v>N</v>
      </c>
      <c r="E460" s="8" t="str">
        <f t="shared" si="86"/>
        <v>N</v>
      </c>
      <c r="F460" s="8" t="str">
        <f t="shared" si="87"/>
        <v>N</v>
      </c>
      <c r="G460" s="8" t="str">
        <f t="shared" si="88"/>
        <v>N</v>
      </c>
      <c r="H460" s="8" t="str">
        <f t="shared" si="89"/>
        <v>Lower</v>
      </c>
      <c r="I460" s="8" t="str">
        <f t="shared" si="90"/>
        <v>Outside</v>
      </c>
      <c r="J460" s="8" t="str">
        <f t="shared" si="91"/>
        <v>Outside</v>
      </c>
      <c r="K460" s="8" t="str">
        <f t="shared" si="92"/>
        <v>Post-1949</v>
      </c>
      <c r="L460" s="8">
        <f t="shared" si="93"/>
        <v>1985</v>
      </c>
      <c r="M460" s="8" t="str">
        <f t="shared" si="95"/>
        <v>1971-1990</v>
      </c>
      <c r="N460" s="10" t="s">
        <v>242</v>
      </c>
      <c r="O460" s="10" t="s">
        <v>242</v>
      </c>
      <c r="P460" s="10" t="s">
        <v>242</v>
      </c>
      <c r="Q460" s="10" t="s">
        <v>242</v>
      </c>
      <c r="R460" s="10" t="s">
        <v>241</v>
      </c>
      <c r="S460" s="10" t="s">
        <v>242</v>
      </c>
      <c r="T460" s="10" t="s">
        <v>241</v>
      </c>
      <c r="U460" s="10" t="s">
        <v>241</v>
      </c>
      <c r="V460" s="10" t="s">
        <v>241</v>
      </c>
      <c r="W460" s="10" t="s">
        <v>242</v>
      </c>
      <c r="X460" s="15">
        <f>IF(ISERROR(VLOOKUP($A460,'13. Updated Demand'!A:Z,15,FALSE)),0,VLOOKUP($A460,'13. Updated Demand'!A:Z,15,FALSE))</f>
        <v>0</v>
      </c>
      <c r="Y460" s="16">
        <f>IF(ISERROR(VLOOKUP($A460,'13. Updated Demand'!A:Z,16,FALSE)),0,VLOOKUP($A460,'13. Updated Demand'!A:Z,16,FALSE))</f>
        <v>0</v>
      </c>
      <c r="Z460" s="16">
        <f>IF(ISERROR(VLOOKUP($A460,'13. Updated Demand'!A:Z,17,FALSE)),0,VLOOKUP($A460,'13. Updated Demand'!A:Z,17,FALSE))</f>
        <v>0</v>
      </c>
      <c r="AA460" s="16">
        <f>IF(ISERROR(VLOOKUP($A460,'13. Updated Demand'!A:Z,18,FALSE)),0,VLOOKUP($A460,'13. Updated Demand'!A:Z,18,FALSE))</f>
        <v>0</v>
      </c>
      <c r="AB460" s="16">
        <f>IF(ISERROR(VLOOKUP($A460,'13. Updated Demand'!A:Z,19,FALSE)),0,VLOOKUP($A460,'13. Updated Demand'!A:Z,19,FALSE))</f>
        <v>0</v>
      </c>
      <c r="AC460" s="16">
        <f>IF(ISERROR(VLOOKUP($A460,'13. Updated Demand'!A:Z,20,FALSE)),0,VLOOKUP($A460,'13. Updated Demand'!A:Z,20,FALSE))</f>
        <v>0</v>
      </c>
      <c r="AD460" s="16">
        <f>IF(ISERROR(VLOOKUP($A460,'13. Updated Demand'!A:Z,21,FALSE)),0,VLOOKUP($A460,'13. Updated Demand'!A:Z,21,FALSE))</f>
        <v>0</v>
      </c>
      <c r="AE460" s="16">
        <f>IF(ISERROR(VLOOKUP($A460,'13. Updated Demand'!A:Z,22,FALSE)),0,VLOOKUP($A460,'13. Updated Demand'!A:Z,22,FALSE))</f>
        <v>0</v>
      </c>
      <c r="AF460" s="16">
        <f>IF(ISERROR(VLOOKUP($A460,'13. Updated Demand'!A:Z,23,FALSE)),0,VLOOKUP($A460,'13. Updated Demand'!A:Z,23,FALSE))</f>
        <v>0</v>
      </c>
      <c r="AG460" s="16">
        <f>IF(ISERROR(VLOOKUP($A460,'13. Updated Demand'!A:Z,24,FALSE)),0,VLOOKUP($A460,'13. Updated Demand'!A:Z,24,FALSE))</f>
        <v>0</v>
      </c>
      <c r="AH460" s="16">
        <f>IF(ISERROR(VLOOKUP($A460,'13. Updated Demand'!A:Z,25,FALSE)),0,VLOOKUP($A460,'13. Updated Demand'!A:Z,25,FALSE))</f>
        <v>0</v>
      </c>
      <c r="AI460" s="16">
        <f>IF(ISERROR(VLOOKUP($A460,'13. Updated Demand'!A:Z,26,FALSE)),0,VLOOKUP($A460,'13. Updated Demand'!A:Z,26,FALSE))</f>
        <v>0</v>
      </c>
      <c r="AJ460" s="16">
        <f t="shared" si="84"/>
        <v>0</v>
      </c>
      <c r="AK460" s="19">
        <v>0</v>
      </c>
      <c r="AL460" s="16">
        <f t="shared" si="94"/>
        <v>0</v>
      </c>
      <c r="AM460" s="17">
        <v>0</v>
      </c>
      <c r="AN460" s="19"/>
      <c r="AO460" s="19"/>
      <c r="AP460" s="19">
        <v>7</v>
      </c>
      <c r="AQ460" s="19" t="s">
        <v>307</v>
      </c>
      <c r="AR460" s="9" t="s">
        <v>323</v>
      </c>
      <c r="AS460" s="12">
        <v>0</v>
      </c>
      <c r="AT460" s="19">
        <v>38.560782830000001</v>
      </c>
      <c r="AU460" s="19">
        <v>-122.62982778999999</v>
      </c>
      <c r="AV460" s="19" t="s">
        <v>320</v>
      </c>
    </row>
    <row r="461" spans="1:48" x14ac:dyDescent="0.25">
      <c r="A461" s="18" t="s">
        <v>845</v>
      </c>
      <c r="B461" s="10">
        <v>19851203</v>
      </c>
      <c r="C461" s="9">
        <v>1</v>
      </c>
      <c r="D461" s="8" t="str">
        <f t="shared" si="85"/>
        <v>N</v>
      </c>
      <c r="E461" s="8" t="str">
        <f t="shared" si="86"/>
        <v>N</v>
      </c>
      <c r="F461" s="8" t="str">
        <f t="shared" si="87"/>
        <v>Y</v>
      </c>
      <c r="G461" s="8" t="str">
        <f t="shared" si="88"/>
        <v>Y</v>
      </c>
      <c r="H461" s="8" t="str">
        <f t="shared" si="89"/>
        <v>Upper</v>
      </c>
      <c r="I461" s="8" t="str">
        <f t="shared" si="90"/>
        <v>West Fork and Below Lake</v>
      </c>
      <c r="J461" s="8" t="str">
        <f t="shared" si="91"/>
        <v>Outside</v>
      </c>
      <c r="K461" s="8" t="str">
        <f t="shared" si="92"/>
        <v>Post-1949</v>
      </c>
      <c r="L461" s="8">
        <f t="shared" si="93"/>
        <v>1985</v>
      </c>
      <c r="M461" s="8" t="str">
        <f t="shared" si="95"/>
        <v>1971-1990</v>
      </c>
      <c r="N461" s="10" t="s">
        <v>242</v>
      </c>
      <c r="O461" s="10" t="s">
        <v>241</v>
      </c>
      <c r="P461" s="10" t="s">
        <v>242</v>
      </c>
      <c r="Q461" s="10" t="s">
        <v>242</v>
      </c>
      <c r="R461" s="10" t="s">
        <v>241</v>
      </c>
      <c r="S461" s="10" t="s">
        <v>242</v>
      </c>
      <c r="T461" s="10" t="s">
        <v>242</v>
      </c>
      <c r="U461" s="10" t="s">
        <v>242</v>
      </c>
      <c r="V461" s="10" t="s">
        <v>241</v>
      </c>
      <c r="W461" s="10" t="s">
        <v>242</v>
      </c>
      <c r="X461" s="15">
        <f>IF(ISERROR(VLOOKUP($A461,'13. Updated Demand'!A:Z,15,FALSE)),0,VLOOKUP($A461,'13. Updated Demand'!A:Z,15,FALSE))</f>
        <v>0.08</v>
      </c>
      <c r="Y461" s="16">
        <f>IF(ISERROR(VLOOKUP($A461,'13. Updated Demand'!A:Z,16,FALSE)),0,VLOOKUP($A461,'13. Updated Demand'!A:Z,16,FALSE))</f>
        <v>0.08</v>
      </c>
      <c r="Z461" s="16">
        <f>IF(ISERROR(VLOOKUP($A461,'13. Updated Demand'!A:Z,17,FALSE)),0,VLOOKUP($A461,'13. Updated Demand'!A:Z,17,FALSE))</f>
        <v>0.08</v>
      </c>
      <c r="AA461" s="16">
        <f>IF(ISERROR(VLOOKUP($A461,'13. Updated Demand'!A:Z,18,FALSE)),0,VLOOKUP($A461,'13. Updated Demand'!A:Z,18,FALSE))</f>
        <v>0.02</v>
      </c>
      <c r="AB461" s="16">
        <f>IF(ISERROR(VLOOKUP($A461,'13. Updated Demand'!A:Z,19,FALSE)),0,VLOOKUP($A461,'13. Updated Demand'!A:Z,19,FALSE))</f>
        <v>0</v>
      </c>
      <c r="AC461" s="16">
        <f>IF(ISERROR(VLOOKUP($A461,'13. Updated Demand'!A:Z,20,FALSE)),0,VLOOKUP($A461,'13. Updated Demand'!A:Z,20,FALSE))</f>
        <v>0</v>
      </c>
      <c r="AD461" s="16">
        <f>IF(ISERROR(VLOOKUP($A461,'13. Updated Demand'!A:Z,21,FALSE)),0,VLOOKUP($A461,'13. Updated Demand'!A:Z,21,FALSE))</f>
        <v>0</v>
      </c>
      <c r="AE461" s="16">
        <f>IF(ISERROR(VLOOKUP($A461,'13. Updated Demand'!A:Z,22,FALSE)),0,VLOOKUP($A461,'13. Updated Demand'!A:Z,22,FALSE))</f>
        <v>0</v>
      </c>
      <c r="AF461" s="16">
        <f>IF(ISERROR(VLOOKUP($A461,'13. Updated Demand'!A:Z,23,FALSE)),0,VLOOKUP($A461,'13. Updated Demand'!A:Z,23,FALSE))</f>
        <v>0</v>
      </c>
      <c r="AG461" s="16">
        <f>IF(ISERROR(VLOOKUP($A461,'13. Updated Demand'!A:Z,24,FALSE)),0,VLOOKUP($A461,'13. Updated Demand'!A:Z,24,FALSE))</f>
        <v>0.04</v>
      </c>
      <c r="AH461" s="16">
        <f>IF(ISERROR(VLOOKUP($A461,'13. Updated Demand'!A:Z,25,FALSE)),0,VLOOKUP($A461,'13. Updated Demand'!A:Z,25,FALSE))</f>
        <v>0.1</v>
      </c>
      <c r="AI461" s="16">
        <f>IF(ISERROR(VLOOKUP($A461,'13. Updated Demand'!A:Z,26,FALSE)),0,VLOOKUP($A461,'13. Updated Demand'!A:Z,26,FALSE))</f>
        <v>0.1</v>
      </c>
      <c r="AJ461" s="16">
        <f t="shared" si="84"/>
        <v>0.5</v>
      </c>
      <c r="AK461" s="19">
        <v>0</v>
      </c>
      <c r="AL461" s="16">
        <f t="shared" si="94"/>
        <v>0</v>
      </c>
      <c r="AM461" s="17">
        <v>0.36666666571428574</v>
      </c>
      <c r="AN461" s="19"/>
      <c r="AO461" s="19"/>
      <c r="AP461" s="19">
        <v>1.4</v>
      </c>
      <c r="AQ461" s="19" t="s">
        <v>307</v>
      </c>
      <c r="AR461" s="9" t="s">
        <v>317</v>
      </c>
      <c r="AS461" s="12">
        <v>3.4039024194010059E-4</v>
      </c>
      <c r="AT461" s="19">
        <v>39.26214555</v>
      </c>
      <c r="AU461" s="19">
        <v>-123.28356903</v>
      </c>
      <c r="AV461" s="19" t="s">
        <v>417</v>
      </c>
    </row>
    <row r="462" spans="1:48" x14ac:dyDescent="0.25">
      <c r="A462" s="18" t="s">
        <v>846</v>
      </c>
      <c r="B462" s="10">
        <v>19851203</v>
      </c>
      <c r="C462" s="9">
        <v>1</v>
      </c>
      <c r="D462" s="8" t="str">
        <f t="shared" si="85"/>
        <v>N</v>
      </c>
      <c r="E462" s="8" t="str">
        <f t="shared" si="86"/>
        <v>N</v>
      </c>
      <c r="F462" s="8" t="str">
        <f t="shared" si="87"/>
        <v>Y</v>
      </c>
      <c r="G462" s="8" t="str">
        <f t="shared" si="88"/>
        <v>Y</v>
      </c>
      <c r="H462" s="8" t="str">
        <f t="shared" si="89"/>
        <v>Upper</v>
      </c>
      <c r="I462" s="8" t="str">
        <f t="shared" si="90"/>
        <v>West Fork and Below Lake</v>
      </c>
      <c r="J462" s="8" t="str">
        <f t="shared" si="91"/>
        <v>Outside</v>
      </c>
      <c r="K462" s="8" t="str">
        <f t="shared" si="92"/>
        <v>Post-1949</v>
      </c>
      <c r="L462" s="8">
        <f t="shared" si="93"/>
        <v>1985</v>
      </c>
      <c r="M462" s="8" t="str">
        <f t="shared" si="95"/>
        <v>1971-1990</v>
      </c>
      <c r="N462" s="10" t="s">
        <v>242</v>
      </c>
      <c r="O462" s="10" t="s">
        <v>241</v>
      </c>
      <c r="P462" s="10" t="s">
        <v>242</v>
      </c>
      <c r="Q462" s="10" t="s">
        <v>242</v>
      </c>
      <c r="R462" s="10" t="s">
        <v>241</v>
      </c>
      <c r="S462" s="10" t="s">
        <v>242</v>
      </c>
      <c r="T462" s="10" t="s">
        <v>242</v>
      </c>
      <c r="U462" s="10" t="s">
        <v>242</v>
      </c>
      <c r="V462" s="10" t="s">
        <v>242</v>
      </c>
      <c r="W462" s="10" t="s">
        <v>242</v>
      </c>
      <c r="X462" s="15">
        <f>IF(ISERROR(VLOOKUP($A462,'13. Updated Demand'!A:Z,15,FALSE)),0,VLOOKUP($A462,'13. Updated Demand'!A:Z,15,FALSE))</f>
        <v>0.08</v>
      </c>
      <c r="Y462" s="16">
        <f>IF(ISERROR(VLOOKUP($A462,'13. Updated Demand'!A:Z,16,FALSE)),0,VLOOKUP($A462,'13. Updated Demand'!A:Z,16,FALSE))</f>
        <v>7.0000000000000007E-2</v>
      </c>
      <c r="Z462" s="16">
        <f>IF(ISERROR(VLOOKUP($A462,'13. Updated Demand'!A:Z,17,FALSE)),0,VLOOKUP($A462,'13. Updated Demand'!A:Z,17,FALSE))</f>
        <v>0.05</v>
      </c>
      <c r="AA462" s="16">
        <f>IF(ISERROR(VLOOKUP($A462,'13. Updated Demand'!A:Z,18,FALSE)),0,VLOOKUP($A462,'13. Updated Demand'!A:Z,18,FALSE))</f>
        <v>0.05</v>
      </c>
      <c r="AB462" s="16">
        <f>IF(ISERROR(VLOOKUP($A462,'13. Updated Demand'!A:Z,19,FALSE)),0,VLOOKUP($A462,'13. Updated Demand'!A:Z,19,FALSE))</f>
        <v>3.3333333333333301E-3</v>
      </c>
      <c r="AC462" s="16">
        <f>IF(ISERROR(VLOOKUP($A462,'13. Updated Demand'!A:Z,20,FALSE)),0,VLOOKUP($A462,'13. Updated Demand'!A:Z,20,FALSE))</f>
        <v>0</v>
      </c>
      <c r="AD462" s="16">
        <f>IF(ISERROR(VLOOKUP($A462,'13. Updated Demand'!A:Z,21,FALSE)),0,VLOOKUP($A462,'13. Updated Demand'!A:Z,21,FALSE))</f>
        <v>0</v>
      </c>
      <c r="AE462" s="16">
        <f>IF(ISERROR(VLOOKUP($A462,'13. Updated Demand'!A:Z,22,FALSE)),0,VLOOKUP($A462,'13. Updated Demand'!A:Z,22,FALSE))</f>
        <v>0</v>
      </c>
      <c r="AF462" s="16">
        <f>IF(ISERROR(VLOOKUP($A462,'13. Updated Demand'!A:Z,23,FALSE)),0,VLOOKUP($A462,'13. Updated Demand'!A:Z,23,FALSE))</f>
        <v>0</v>
      </c>
      <c r="AG462" s="16">
        <f>IF(ISERROR(VLOOKUP($A462,'13. Updated Demand'!A:Z,24,FALSE)),0,VLOOKUP($A462,'13. Updated Demand'!A:Z,24,FALSE))</f>
        <v>0.01</v>
      </c>
      <c r="AH462" s="16">
        <f>IF(ISERROR(VLOOKUP($A462,'13. Updated Demand'!A:Z,25,FALSE)),0,VLOOKUP($A462,'13. Updated Demand'!A:Z,25,FALSE))</f>
        <v>7.0000000000000007E-2</v>
      </c>
      <c r="AI462" s="16">
        <f>IF(ISERROR(VLOOKUP($A462,'13. Updated Demand'!A:Z,26,FALSE)),0,VLOOKUP($A462,'13. Updated Demand'!A:Z,26,FALSE))</f>
        <v>0.1</v>
      </c>
      <c r="AJ462" s="16">
        <f t="shared" si="84"/>
        <v>0.43333333333333335</v>
      </c>
      <c r="AK462" s="19">
        <v>3.3333333333333301E-3</v>
      </c>
      <c r="AL462" s="16">
        <f t="shared" si="94"/>
        <v>1.1056286964318353E-5</v>
      </c>
      <c r="AM462" s="17">
        <v>0.23859649122807</v>
      </c>
      <c r="AN462" s="19"/>
      <c r="AO462" s="19"/>
      <c r="AP462" s="19">
        <v>1.9</v>
      </c>
      <c r="AQ462" s="19" t="s">
        <v>307</v>
      </c>
      <c r="AR462" s="9" t="s">
        <v>317</v>
      </c>
      <c r="AS462" s="12">
        <v>3.4039024194010059E-4</v>
      </c>
      <c r="AT462" s="19">
        <v>39.262</v>
      </c>
      <c r="AU462" s="19">
        <v>-123.2814</v>
      </c>
      <c r="AV462" s="19" t="s">
        <v>417</v>
      </c>
    </row>
    <row r="463" spans="1:48" x14ac:dyDescent="0.25">
      <c r="A463" s="18" t="s">
        <v>847</v>
      </c>
      <c r="B463" s="10">
        <v>19851203</v>
      </c>
      <c r="C463" s="9">
        <v>1</v>
      </c>
      <c r="D463" s="8" t="str">
        <f t="shared" si="85"/>
        <v>N</v>
      </c>
      <c r="E463" s="8" t="str">
        <f t="shared" si="86"/>
        <v>N</v>
      </c>
      <c r="F463" s="8" t="str">
        <f t="shared" si="87"/>
        <v>Y</v>
      </c>
      <c r="G463" s="8" t="str">
        <f t="shared" si="88"/>
        <v>Y</v>
      </c>
      <c r="H463" s="8" t="str">
        <f t="shared" si="89"/>
        <v>Upper</v>
      </c>
      <c r="I463" s="8" t="str">
        <f t="shared" si="90"/>
        <v>West Fork and Below Lake</v>
      </c>
      <c r="J463" s="8" t="str">
        <f t="shared" si="91"/>
        <v>Outside</v>
      </c>
      <c r="K463" s="8" t="str">
        <f t="shared" si="92"/>
        <v>Post-1949</v>
      </c>
      <c r="L463" s="8">
        <f t="shared" si="93"/>
        <v>1985</v>
      </c>
      <c r="M463" s="8" t="str">
        <f t="shared" si="95"/>
        <v>1971-1990</v>
      </c>
      <c r="N463" s="10" t="s">
        <v>242</v>
      </c>
      <c r="O463" s="10" t="s">
        <v>241</v>
      </c>
      <c r="P463" s="10" t="s">
        <v>242</v>
      </c>
      <c r="Q463" s="10" t="s">
        <v>242</v>
      </c>
      <c r="R463" s="10" t="s">
        <v>241</v>
      </c>
      <c r="S463" s="10" t="s">
        <v>242</v>
      </c>
      <c r="T463" s="10" t="s">
        <v>242</v>
      </c>
      <c r="U463" s="10" t="s">
        <v>241</v>
      </c>
      <c r="V463" s="10" t="s">
        <v>241</v>
      </c>
      <c r="W463" s="10" t="s">
        <v>242</v>
      </c>
      <c r="X463" s="15">
        <f>IF(ISERROR(VLOOKUP($A463,'13. Updated Demand'!A:Z,15,FALSE)),0,VLOOKUP($A463,'13. Updated Demand'!A:Z,15,FALSE))</f>
        <v>0</v>
      </c>
      <c r="Y463" s="16">
        <f>IF(ISERROR(VLOOKUP($A463,'13. Updated Demand'!A:Z,16,FALSE)),0,VLOOKUP($A463,'13. Updated Demand'!A:Z,16,FALSE))</f>
        <v>0</v>
      </c>
      <c r="Z463" s="16">
        <f>IF(ISERROR(VLOOKUP($A463,'13. Updated Demand'!A:Z,17,FALSE)),0,VLOOKUP($A463,'13. Updated Demand'!A:Z,17,FALSE))</f>
        <v>0</v>
      </c>
      <c r="AA463" s="16">
        <f>IF(ISERROR(VLOOKUP($A463,'13. Updated Demand'!A:Z,18,FALSE)),0,VLOOKUP($A463,'13. Updated Demand'!A:Z,18,FALSE))</f>
        <v>0</v>
      </c>
      <c r="AB463" s="16">
        <f>IF(ISERROR(VLOOKUP($A463,'13. Updated Demand'!A:Z,19,FALSE)),0,VLOOKUP($A463,'13. Updated Demand'!A:Z,19,FALSE))</f>
        <v>0</v>
      </c>
      <c r="AC463" s="16">
        <f>IF(ISERROR(VLOOKUP($A463,'13. Updated Demand'!A:Z,20,FALSE)),0,VLOOKUP($A463,'13. Updated Demand'!A:Z,20,FALSE))</f>
        <v>0</v>
      </c>
      <c r="AD463" s="16">
        <f>IF(ISERROR(VLOOKUP($A463,'13. Updated Demand'!A:Z,21,FALSE)),0,VLOOKUP($A463,'13. Updated Demand'!A:Z,21,FALSE))</f>
        <v>0</v>
      </c>
      <c r="AE463" s="16">
        <f>IF(ISERROR(VLOOKUP($A463,'13. Updated Demand'!A:Z,22,FALSE)),0,VLOOKUP($A463,'13. Updated Demand'!A:Z,22,FALSE))</f>
        <v>0</v>
      </c>
      <c r="AF463" s="16">
        <f>IF(ISERROR(VLOOKUP($A463,'13. Updated Demand'!A:Z,23,FALSE)),0,VLOOKUP($A463,'13. Updated Demand'!A:Z,23,FALSE))</f>
        <v>0</v>
      </c>
      <c r="AG463" s="16">
        <f>IF(ISERROR(VLOOKUP($A463,'13. Updated Demand'!A:Z,24,FALSE)),0,VLOOKUP($A463,'13. Updated Demand'!A:Z,24,FALSE))</f>
        <v>0</v>
      </c>
      <c r="AH463" s="16">
        <f>IF(ISERROR(VLOOKUP($A463,'13. Updated Demand'!A:Z,25,FALSE)),0,VLOOKUP($A463,'13. Updated Demand'!A:Z,25,FALSE))</f>
        <v>0</v>
      </c>
      <c r="AI463" s="16">
        <f>IF(ISERROR(VLOOKUP($A463,'13. Updated Demand'!A:Z,26,FALSE)),0,VLOOKUP($A463,'13. Updated Demand'!A:Z,26,FALSE))</f>
        <v>0</v>
      </c>
      <c r="AJ463" s="16">
        <f t="shared" si="84"/>
        <v>0</v>
      </c>
      <c r="AK463" s="19">
        <v>0</v>
      </c>
      <c r="AL463" s="16">
        <f t="shared" si="94"/>
        <v>0</v>
      </c>
      <c r="AM463" s="17">
        <v>0</v>
      </c>
      <c r="AN463" s="19"/>
      <c r="AO463" s="19"/>
      <c r="AP463" s="19">
        <v>0.4</v>
      </c>
      <c r="AQ463" s="19" t="s">
        <v>307</v>
      </c>
      <c r="AR463" s="9" t="s">
        <v>317</v>
      </c>
      <c r="AS463" s="12">
        <v>0</v>
      </c>
      <c r="AT463" s="19">
        <v>39.243699999999997</v>
      </c>
      <c r="AU463" s="19">
        <v>-123.3211</v>
      </c>
      <c r="AV463" s="19" t="s">
        <v>417</v>
      </c>
    </row>
    <row r="464" spans="1:48" x14ac:dyDescent="0.25">
      <c r="A464" s="18" t="s">
        <v>848</v>
      </c>
      <c r="B464" s="10">
        <v>19851203</v>
      </c>
      <c r="C464" s="9">
        <v>1</v>
      </c>
      <c r="D464" s="8" t="str">
        <f t="shared" si="85"/>
        <v>N</v>
      </c>
      <c r="E464" s="8" t="str">
        <f t="shared" si="86"/>
        <v>N</v>
      </c>
      <c r="F464" s="8" t="str">
        <f t="shared" si="87"/>
        <v>Y</v>
      </c>
      <c r="G464" s="8" t="str">
        <f t="shared" si="88"/>
        <v>Y</v>
      </c>
      <c r="H464" s="8" t="str">
        <f t="shared" si="89"/>
        <v>Upper</v>
      </c>
      <c r="I464" s="8" t="str">
        <f t="shared" si="90"/>
        <v>West Fork and Below Lake</v>
      </c>
      <c r="J464" s="8" t="str">
        <f t="shared" si="91"/>
        <v>Outside</v>
      </c>
      <c r="K464" s="8" t="str">
        <f t="shared" si="92"/>
        <v>Post-1949</v>
      </c>
      <c r="L464" s="8">
        <f t="shared" si="93"/>
        <v>1985</v>
      </c>
      <c r="M464" s="8" t="str">
        <f t="shared" si="95"/>
        <v>1971-1990</v>
      </c>
      <c r="N464" s="10" t="s">
        <v>242</v>
      </c>
      <c r="O464" s="10" t="s">
        <v>241</v>
      </c>
      <c r="P464" s="10" t="s">
        <v>242</v>
      </c>
      <c r="Q464" s="10" t="s">
        <v>242</v>
      </c>
      <c r="R464" s="10" t="s">
        <v>241</v>
      </c>
      <c r="S464" s="10" t="s">
        <v>242</v>
      </c>
      <c r="T464" s="10" t="s">
        <v>242</v>
      </c>
      <c r="U464" s="10" t="s">
        <v>242</v>
      </c>
      <c r="V464" s="10" t="s">
        <v>242</v>
      </c>
      <c r="W464" s="10" t="s">
        <v>242</v>
      </c>
      <c r="X464" s="15">
        <f>IF(ISERROR(VLOOKUP($A464,'13. Updated Demand'!A:Z,15,FALSE)),0,VLOOKUP($A464,'13. Updated Demand'!A:Z,15,FALSE))</f>
        <v>0.26</v>
      </c>
      <c r="Y464" s="16">
        <f>IF(ISERROR(VLOOKUP($A464,'13. Updated Demand'!A:Z,16,FALSE)),0,VLOOKUP($A464,'13. Updated Demand'!A:Z,16,FALSE))</f>
        <v>0.26</v>
      </c>
      <c r="Z464" s="16">
        <f>IF(ISERROR(VLOOKUP($A464,'13. Updated Demand'!A:Z,17,FALSE)),0,VLOOKUP($A464,'13. Updated Demand'!A:Z,17,FALSE))</f>
        <v>0.26</v>
      </c>
      <c r="AA464" s="16">
        <f>IF(ISERROR(VLOOKUP($A464,'13. Updated Demand'!A:Z,18,FALSE)),0,VLOOKUP($A464,'13. Updated Demand'!A:Z,18,FALSE))</f>
        <v>0.13</v>
      </c>
      <c r="AB464" s="16">
        <f>IF(ISERROR(VLOOKUP($A464,'13. Updated Demand'!A:Z,19,FALSE)),0,VLOOKUP($A464,'13. Updated Demand'!A:Z,19,FALSE))</f>
        <v>0.16</v>
      </c>
      <c r="AC464" s="16">
        <f>IF(ISERROR(VLOOKUP($A464,'13. Updated Demand'!A:Z,20,FALSE)),0,VLOOKUP($A464,'13. Updated Demand'!A:Z,20,FALSE))</f>
        <v>0.03</v>
      </c>
      <c r="AD464" s="16">
        <f>IF(ISERROR(VLOOKUP($A464,'13. Updated Demand'!A:Z,21,FALSE)),0,VLOOKUP($A464,'13. Updated Demand'!A:Z,21,FALSE))</f>
        <v>0.03</v>
      </c>
      <c r="AE464" s="16">
        <f>IF(ISERROR(VLOOKUP($A464,'13. Updated Demand'!A:Z,22,FALSE)),0,VLOOKUP($A464,'13. Updated Demand'!A:Z,22,FALSE))</f>
        <v>0.03</v>
      </c>
      <c r="AF464" s="16">
        <f>IF(ISERROR(VLOOKUP($A464,'13. Updated Demand'!A:Z,23,FALSE)),0,VLOOKUP($A464,'13. Updated Demand'!A:Z,23,FALSE))</f>
        <v>0.03</v>
      </c>
      <c r="AG464" s="16">
        <f>IF(ISERROR(VLOOKUP($A464,'13. Updated Demand'!A:Z,24,FALSE)),0,VLOOKUP($A464,'13. Updated Demand'!A:Z,24,FALSE))</f>
        <v>0.26</v>
      </c>
      <c r="AH464" s="16">
        <f>IF(ISERROR(VLOOKUP($A464,'13. Updated Demand'!A:Z,25,FALSE)),0,VLOOKUP($A464,'13. Updated Demand'!A:Z,25,FALSE))</f>
        <v>0.33</v>
      </c>
      <c r="AI464" s="16">
        <f>IF(ISERROR(VLOOKUP($A464,'13. Updated Demand'!A:Z,26,FALSE)),0,VLOOKUP($A464,'13. Updated Demand'!A:Z,26,FALSE))</f>
        <v>0.83</v>
      </c>
      <c r="AJ464" s="16">
        <f t="shared" ref="AJ464:AJ527" si="96">SUM(X464:AI464)</f>
        <v>2.6100000000000003</v>
      </c>
      <c r="AK464" s="19">
        <v>0.30000000000000016</v>
      </c>
      <c r="AL464" s="16">
        <f t="shared" si="94"/>
        <v>9.9506582678865322E-4</v>
      </c>
      <c r="AM464" s="17">
        <v>1.2121212121212122</v>
      </c>
      <c r="AN464" s="19"/>
      <c r="AO464" s="19"/>
      <c r="AP464" s="19">
        <v>2.2000000000000002</v>
      </c>
      <c r="AQ464" s="19" t="s">
        <v>307</v>
      </c>
      <c r="AR464" s="9" t="s">
        <v>317</v>
      </c>
      <c r="AS464" s="12">
        <v>3.4039024194010059E-4</v>
      </c>
      <c r="AT464" s="19">
        <v>39.26462918</v>
      </c>
      <c r="AU464" s="19">
        <v>-123.26983795</v>
      </c>
      <c r="AV464" s="19" t="s">
        <v>417</v>
      </c>
    </row>
    <row r="465" spans="1:48" x14ac:dyDescent="0.25">
      <c r="A465" s="18" t="s">
        <v>849</v>
      </c>
      <c r="B465" s="10">
        <v>19851203</v>
      </c>
      <c r="C465" s="9">
        <v>1</v>
      </c>
      <c r="D465" s="8" t="str">
        <f t="shared" si="85"/>
        <v>N</v>
      </c>
      <c r="E465" s="8" t="str">
        <f t="shared" si="86"/>
        <v>N</v>
      </c>
      <c r="F465" s="8" t="str">
        <f t="shared" si="87"/>
        <v>Y</v>
      </c>
      <c r="G465" s="8" t="str">
        <f t="shared" si="88"/>
        <v>Y</v>
      </c>
      <c r="H465" s="8" t="str">
        <f t="shared" si="89"/>
        <v>Upper</v>
      </c>
      <c r="I465" s="8" t="str">
        <f t="shared" si="90"/>
        <v>West Fork and Below Lake</v>
      </c>
      <c r="J465" s="8" t="str">
        <f t="shared" si="91"/>
        <v>Outside</v>
      </c>
      <c r="K465" s="8" t="str">
        <f t="shared" si="92"/>
        <v>Post-1949</v>
      </c>
      <c r="L465" s="8">
        <f t="shared" si="93"/>
        <v>1985</v>
      </c>
      <c r="M465" s="8" t="str">
        <f t="shared" si="95"/>
        <v>1971-1990</v>
      </c>
      <c r="N465" s="10" t="s">
        <v>242</v>
      </c>
      <c r="O465" s="10" t="s">
        <v>241</v>
      </c>
      <c r="P465" s="10" t="s">
        <v>242</v>
      </c>
      <c r="Q465" s="10" t="s">
        <v>242</v>
      </c>
      <c r="R465" s="10" t="s">
        <v>241</v>
      </c>
      <c r="S465" s="10" t="s">
        <v>242</v>
      </c>
      <c r="T465" s="10" t="s">
        <v>242</v>
      </c>
      <c r="U465" s="10" t="s">
        <v>242</v>
      </c>
      <c r="V465" s="10" t="s">
        <v>241</v>
      </c>
      <c r="W465" s="10" t="s">
        <v>242</v>
      </c>
      <c r="X465" s="15">
        <f>IF(ISERROR(VLOOKUP($A465,'13. Updated Demand'!A:Z,15,FALSE)),0,VLOOKUP($A465,'13. Updated Demand'!A:Z,15,FALSE))</f>
        <v>0.46</v>
      </c>
      <c r="Y465" s="16">
        <f>IF(ISERROR(VLOOKUP($A465,'13. Updated Demand'!A:Z,16,FALSE)),0,VLOOKUP($A465,'13. Updated Demand'!A:Z,16,FALSE))</f>
        <v>0.46</v>
      </c>
      <c r="Z465" s="16">
        <f>IF(ISERROR(VLOOKUP($A465,'13. Updated Demand'!A:Z,17,FALSE)),0,VLOOKUP($A465,'13. Updated Demand'!A:Z,17,FALSE))</f>
        <v>0.46</v>
      </c>
      <c r="AA465" s="16">
        <f>IF(ISERROR(VLOOKUP($A465,'13. Updated Demand'!A:Z,18,FALSE)),0,VLOOKUP($A465,'13. Updated Demand'!A:Z,18,FALSE))</f>
        <v>0.46</v>
      </c>
      <c r="AB465" s="16">
        <f>IF(ISERROR(VLOOKUP($A465,'13. Updated Demand'!A:Z,19,FALSE)),0,VLOOKUP($A465,'13. Updated Demand'!A:Z,19,FALSE))</f>
        <v>0</v>
      </c>
      <c r="AC465" s="16">
        <f>IF(ISERROR(VLOOKUP($A465,'13. Updated Demand'!A:Z,20,FALSE)),0,VLOOKUP($A465,'13. Updated Demand'!A:Z,20,FALSE))</f>
        <v>0</v>
      </c>
      <c r="AD465" s="16">
        <f>IF(ISERROR(VLOOKUP($A465,'13. Updated Demand'!A:Z,21,FALSE)),0,VLOOKUP($A465,'13. Updated Demand'!A:Z,21,FALSE))</f>
        <v>0</v>
      </c>
      <c r="AE465" s="16">
        <f>IF(ISERROR(VLOOKUP($A465,'13. Updated Demand'!A:Z,22,FALSE)),0,VLOOKUP($A465,'13. Updated Demand'!A:Z,22,FALSE))</f>
        <v>0</v>
      </c>
      <c r="AF465" s="16">
        <f>IF(ISERROR(VLOOKUP($A465,'13. Updated Demand'!A:Z,23,FALSE)),0,VLOOKUP($A465,'13. Updated Demand'!A:Z,23,FALSE))</f>
        <v>0</v>
      </c>
      <c r="AG465" s="16">
        <f>IF(ISERROR(VLOOKUP($A465,'13. Updated Demand'!A:Z,24,FALSE)),0,VLOOKUP($A465,'13. Updated Demand'!A:Z,24,FALSE))</f>
        <v>0</v>
      </c>
      <c r="AH465" s="16">
        <f>IF(ISERROR(VLOOKUP($A465,'13. Updated Demand'!A:Z,25,FALSE)),0,VLOOKUP($A465,'13. Updated Demand'!A:Z,25,FALSE))</f>
        <v>0.46</v>
      </c>
      <c r="AI465" s="16">
        <f>IF(ISERROR(VLOOKUP($A465,'13. Updated Demand'!A:Z,26,FALSE)),0,VLOOKUP($A465,'13. Updated Demand'!A:Z,26,FALSE))</f>
        <v>0.46</v>
      </c>
      <c r="AJ465" s="16">
        <f t="shared" si="96"/>
        <v>2.7600000000000002</v>
      </c>
      <c r="AK465" s="19">
        <v>0</v>
      </c>
      <c r="AL465" s="16">
        <f t="shared" si="94"/>
        <v>0</v>
      </c>
      <c r="AM465" s="17">
        <v>0.552396</v>
      </c>
      <c r="AN465" s="19"/>
      <c r="AO465" s="19"/>
      <c r="AP465" s="19">
        <v>5</v>
      </c>
      <c r="AQ465" s="19" t="s">
        <v>307</v>
      </c>
      <c r="AR465" s="9" t="s">
        <v>317</v>
      </c>
      <c r="AS465" s="12">
        <v>3.4039024194010059E-4</v>
      </c>
      <c r="AT465" s="19">
        <v>39.252918180000002</v>
      </c>
      <c r="AU465" s="19">
        <v>-123.31094935</v>
      </c>
      <c r="AV465" s="19" t="s">
        <v>850</v>
      </c>
    </row>
    <row r="466" spans="1:48" x14ac:dyDescent="0.25">
      <c r="A466" s="18" t="s">
        <v>851</v>
      </c>
      <c r="B466" s="10">
        <v>19851203</v>
      </c>
      <c r="C466" s="9">
        <v>1</v>
      </c>
      <c r="D466" s="8" t="str">
        <f t="shared" si="85"/>
        <v>N</v>
      </c>
      <c r="E466" s="8" t="str">
        <f t="shared" si="86"/>
        <v>N</v>
      </c>
      <c r="F466" s="8" t="str">
        <f t="shared" si="87"/>
        <v>Y</v>
      </c>
      <c r="G466" s="8" t="str">
        <f t="shared" si="88"/>
        <v>Y</v>
      </c>
      <c r="H466" s="8" t="str">
        <f t="shared" si="89"/>
        <v>Upper</v>
      </c>
      <c r="I466" s="8" t="str">
        <f t="shared" si="90"/>
        <v>West Fork and Below Lake</v>
      </c>
      <c r="J466" s="8" t="str">
        <f t="shared" si="91"/>
        <v>Outside</v>
      </c>
      <c r="K466" s="8" t="str">
        <f t="shared" si="92"/>
        <v>Post-1949</v>
      </c>
      <c r="L466" s="8">
        <f t="shared" si="93"/>
        <v>1985</v>
      </c>
      <c r="M466" s="8" t="str">
        <f t="shared" si="95"/>
        <v>1971-1990</v>
      </c>
      <c r="N466" s="10" t="s">
        <v>242</v>
      </c>
      <c r="O466" s="10" t="s">
        <v>241</v>
      </c>
      <c r="P466" s="10" t="s">
        <v>242</v>
      </c>
      <c r="Q466" s="10" t="s">
        <v>242</v>
      </c>
      <c r="R466" s="10" t="s">
        <v>241</v>
      </c>
      <c r="S466" s="10" t="s">
        <v>242</v>
      </c>
      <c r="T466" s="10" t="s">
        <v>242</v>
      </c>
      <c r="U466" s="10" t="s">
        <v>241</v>
      </c>
      <c r="V466" s="10" t="s">
        <v>241</v>
      </c>
      <c r="W466" s="10" t="s">
        <v>242</v>
      </c>
      <c r="X466" s="15">
        <f>IF(ISERROR(VLOOKUP($A466,'13. Updated Demand'!A:Z,15,FALSE)),0,VLOOKUP($A466,'13. Updated Demand'!A:Z,15,FALSE))</f>
        <v>0</v>
      </c>
      <c r="Y466" s="16">
        <f>IF(ISERROR(VLOOKUP($A466,'13. Updated Demand'!A:Z,16,FALSE)),0,VLOOKUP($A466,'13. Updated Demand'!A:Z,16,FALSE))</f>
        <v>0</v>
      </c>
      <c r="Z466" s="16">
        <f>IF(ISERROR(VLOOKUP($A466,'13. Updated Demand'!A:Z,17,FALSE)),0,VLOOKUP($A466,'13. Updated Demand'!A:Z,17,FALSE))</f>
        <v>0</v>
      </c>
      <c r="AA466" s="16">
        <f>IF(ISERROR(VLOOKUP($A466,'13. Updated Demand'!A:Z,18,FALSE)),0,VLOOKUP($A466,'13. Updated Demand'!A:Z,18,FALSE))</f>
        <v>0</v>
      </c>
      <c r="AB466" s="16">
        <f>IF(ISERROR(VLOOKUP($A466,'13. Updated Demand'!A:Z,19,FALSE)),0,VLOOKUP($A466,'13. Updated Demand'!A:Z,19,FALSE))</f>
        <v>0</v>
      </c>
      <c r="AC466" s="16">
        <f>IF(ISERROR(VLOOKUP($A466,'13. Updated Demand'!A:Z,20,FALSE)),0,VLOOKUP($A466,'13. Updated Demand'!A:Z,20,FALSE))</f>
        <v>0</v>
      </c>
      <c r="AD466" s="16">
        <f>IF(ISERROR(VLOOKUP($A466,'13. Updated Demand'!A:Z,21,FALSE)),0,VLOOKUP($A466,'13. Updated Demand'!A:Z,21,FALSE))</f>
        <v>0</v>
      </c>
      <c r="AE466" s="16">
        <f>IF(ISERROR(VLOOKUP($A466,'13. Updated Demand'!A:Z,22,FALSE)),0,VLOOKUP($A466,'13. Updated Demand'!A:Z,22,FALSE))</f>
        <v>0</v>
      </c>
      <c r="AF466" s="16">
        <f>IF(ISERROR(VLOOKUP($A466,'13. Updated Demand'!A:Z,23,FALSE)),0,VLOOKUP($A466,'13. Updated Demand'!A:Z,23,FALSE))</f>
        <v>0</v>
      </c>
      <c r="AG466" s="16">
        <f>IF(ISERROR(VLOOKUP($A466,'13. Updated Demand'!A:Z,24,FALSE)),0,VLOOKUP($A466,'13. Updated Demand'!A:Z,24,FALSE))</f>
        <v>0</v>
      </c>
      <c r="AH466" s="16">
        <f>IF(ISERROR(VLOOKUP($A466,'13. Updated Demand'!A:Z,25,FALSE)),0,VLOOKUP($A466,'13. Updated Demand'!A:Z,25,FALSE))</f>
        <v>0</v>
      </c>
      <c r="AI466" s="16">
        <f>IF(ISERROR(VLOOKUP($A466,'13. Updated Demand'!A:Z,26,FALSE)),0,VLOOKUP($A466,'13. Updated Demand'!A:Z,26,FALSE))</f>
        <v>0</v>
      </c>
      <c r="AJ466" s="16">
        <f t="shared" si="96"/>
        <v>0</v>
      </c>
      <c r="AK466" s="19">
        <v>0</v>
      </c>
      <c r="AL466" s="16">
        <f t="shared" si="94"/>
        <v>0</v>
      </c>
      <c r="AM466" s="17">
        <v>0</v>
      </c>
      <c r="AN466" s="19"/>
      <c r="AO466" s="19"/>
      <c r="AP466" s="19">
        <v>4</v>
      </c>
      <c r="AQ466" s="19" t="s">
        <v>307</v>
      </c>
      <c r="AR466" s="9" t="s">
        <v>317</v>
      </c>
      <c r="AS466" s="12">
        <v>3.4039024194010059E-4</v>
      </c>
      <c r="AT466" s="19">
        <v>39.244182270000003</v>
      </c>
      <c r="AU466" s="19">
        <v>-123.29401344999999</v>
      </c>
      <c r="AV466" s="19" t="s">
        <v>417</v>
      </c>
    </row>
    <row r="467" spans="1:48" x14ac:dyDescent="0.25">
      <c r="A467" s="18" t="s">
        <v>852</v>
      </c>
      <c r="B467" s="10">
        <v>19851203</v>
      </c>
      <c r="C467" s="9">
        <v>1</v>
      </c>
      <c r="D467" s="8" t="str">
        <f t="shared" si="85"/>
        <v>N</v>
      </c>
      <c r="E467" s="8" t="str">
        <f t="shared" si="86"/>
        <v>N</v>
      </c>
      <c r="F467" s="8" t="str">
        <f t="shared" si="87"/>
        <v>Y</v>
      </c>
      <c r="G467" s="8" t="str">
        <f t="shared" si="88"/>
        <v>Y</v>
      </c>
      <c r="H467" s="8" t="str">
        <f t="shared" si="89"/>
        <v>Upper</v>
      </c>
      <c r="I467" s="8" t="str">
        <f t="shared" si="90"/>
        <v>West Fork and Below Lake</v>
      </c>
      <c r="J467" s="8" t="str">
        <f t="shared" si="91"/>
        <v>Outside</v>
      </c>
      <c r="K467" s="8" t="str">
        <f t="shared" si="92"/>
        <v>Post-1949</v>
      </c>
      <c r="L467" s="8">
        <f t="shared" si="93"/>
        <v>1985</v>
      </c>
      <c r="M467" s="8" t="str">
        <f t="shared" si="95"/>
        <v>1971-1990</v>
      </c>
      <c r="N467" s="10" t="s">
        <v>242</v>
      </c>
      <c r="O467" s="10" t="s">
        <v>241</v>
      </c>
      <c r="P467" s="10" t="s">
        <v>242</v>
      </c>
      <c r="Q467" s="10" t="s">
        <v>242</v>
      </c>
      <c r="R467" s="10" t="s">
        <v>241</v>
      </c>
      <c r="S467" s="10" t="s">
        <v>242</v>
      </c>
      <c r="T467" s="10" t="s">
        <v>242</v>
      </c>
      <c r="U467" s="10" t="s">
        <v>242</v>
      </c>
      <c r="V467" s="10" t="s">
        <v>241</v>
      </c>
      <c r="W467" s="10" t="s">
        <v>242</v>
      </c>
      <c r="X467" s="15">
        <f>IF(ISERROR(VLOOKUP($A467,'13. Updated Demand'!A:Z,15,FALSE)),0,VLOOKUP($A467,'13. Updated Demand'!A:Z,15,FALSE))</f>
        <v>0.56000000000000005</v>
      </c>
      <c r="Y467" s="16">
        <f>IF(ISERROR(VLOOKUP($A467,'13. Updated Demand'!A:Z,16,FALSE)),0,VLOOKUP($A467,'13. Updated Demand'!A:Z,16,FALSE))</f>
        <v>0</v>
      </c>
      <c r="Z467" s="16">
        <f>IF(ISERROR(VLOOKUP($A467,'13. Updated Demand'!A:Z,17,FALSE)),0,VLOOKUP($A467,'13. Updated Demand'!A:Z,17,FALSE))</f>
        <v>0</v>
      </c>
      <c r="AA467" s="16">
        <f>IF(ISERROR(VLOOKUP($A467,'13. Updated Demand'!A:Z,18,FALSE)),0,VLOOKUP($A467,'13. Updated Demand'!A:Z,18,FALSE))</f>
        <v>0</v>
      </c>
      <c r="AB467" s="16">
        <f>IF(ISERROR(VLOOKUP($A467,'13. Updated Demand'!A:Z,19,FALSE)),0,VLOOKUP($A467,'13. Updated Demand'!A:Z,19,FALSE))</f>
        <v>0</v>
      </c>
      <c r="AC467" s="16">
        <f>IF(ISERROR(VLOOKUP($A467,'13. Updated Demand'!A:Z,20,FALSE)),0,VLOOKUP($A467,'13. Updated Demand'!A:Z,20,FALSE))</f>
        <v>0</v>
      </c>
      <c r="AD467" s="16">
        <f>IF(ISERROR(VLOOKUP($A467,'13. Updated Demand'!A:Z,21,FALSE)),0,VLOOKUP($A467,'13. Updated Demand'!A:Z,21,FALSE))</f>
        <v>0</v>
      </c>
      <c r="AE467" s="16">
        <f>IF(ISERROR(VLOOKUP($A467,'13. Updated Demand'!A:Z,22,FALSE)),0,VLOOKUP($A467,'13. Updated Demand'!A:Z,22,FALSE))</f>
        <v>0</v>
      </c>
      <c r="AF467" s="16">
        <f>IF(ISERROR(VLOOKUP($A467,'13. Updated Demand'!A:Z,23,FALSE)),0,VLOOKUP($A467,'13. Updated Demand'!A:Z,23,FALSE))</f>
        <v>0</v>
      </c>
      <c r="AG467" s="16">
        <f>IF(ISERROR(VLOOKUP($A467,'13. Updated Demand'!A:Z,24,FALSE)),0,VLOOKUP($A467,'13. Updated Demand'!A:Z,24,FALSE))</f>
        <v>0</v>
      </c>
      <c r="AH467" s="16">
        <f>IF(ISERROR(VLOOKUP($A467,'13. Updated Demand'!A:Z,25,FALSE)),0,VLOOKUP($A467,'13. Updated Demand'!A:Z,25,FALSE))</f>
        <v>0</v>
      </c>
      <c r="AI467" s="16">
        <f>IF(ISERROR(VLOOKUP($A467,'13. Updated Demand'!A:Z,26,FALSE)),0,VLOOKUP($A467,'13. Updated Demand'!A:Z,26,FALSE))</f>
        <v>0</v>
      </c>
      <c r="AJ467" s="16">
        <f t="shared" si="96"/>
        <v>0.56000000000000005</v>
      </c>
      <c r="AK467" s="19">
        <v>0</v>
      </c>
      <c r="AL467" s="16">
        <f t="shared" si="94"/>
        <v>0</v>
      </c>
      <c r="AM467" s="17">
        <v>0.3333333335294118</v>
      </c>
      <c r="AN467" s="19"/>
      <c r="AO467" s="19"/>
      <c r="AP467" s="19">
        <v>1.7</v>
      </c>
      <c r="AQ467" s="19" t="s">
        <v>307</v>
      </c>
      <c r="AR467" s="9" t="s">
        <v>317</v>
      </c>
      <c r="AS467" s="12">
        <v>3.4039024194010059E-4</v>
      </c>
      <c r="AT467" s="19">
        <v>39.256630649999998</v>
      </c>
      <c r="AU467" s="19">
        <v>-123.29812652</v>
      </c>
      <c r="AV467" s="19" t="s">
        <v>417</v>
      </c>
    </row>
    <row r="468" spans="1:48" x14ac:dyDescent="0.25">
      <c r="A468" s="18" t="s">
        <v>853</v>
      </c>
      <c r="B468" s="10">
        <v>19851203</v>
      </c>
      <c r="C468" s="9">
        <v>1</v>
      </c>
      <c r="D468" s="8" t="str">
        <f t="shared" si="85"/>
        <v>N</v>
      </c>
      <c r="E468" s="8" t="str">
        <f t="shared" si="86"/>
        <v>N</v>
      </c>
      <c r="F468" s="8" t="str">
        <f t="shared" si="87"/>
        <v>Y</v>
      </c>
      <c r="G468" s="8" t="str">
        <f t="shared" si="88"/>
        <v>Y</v>
      </c>
      <c r="H468" s="8" t="str">
        <f t="shared" si="89"/>
        <v>Upper</v>
      </c>
      <c r="I468" s="8" t="str">
        <f t="shared" si="90"/>
        <v>West Fork and Below Lake</v>
      </c>
      <c r="J468" s="8" t="str">
        <f t="shared" si="91"/>
        <v>Outside</v>
      </c>
      <c r="K468" s="8" t="str">
        <f t="shared" si="92"/>
        <v>Post-1949</v>
      </c>
      <c r="L468" s="8">
        <f t="shared" si="93"/>
        <v>1985</v>
      </c>
      <c r="M468" s="8" t="str">
        <f t="shared" si="95"/>
        <v>1971-1990</v>
      </c>
      <c r="N468" s="10" t="s">
        <v>242</v>
      </c>
      <c r="O468" s="10" t="s">
        <v>241</v>
      </c>
      <c r="P468" s="10" t="s">
        <v>242</v>
      </c>
      <c r="Q468" s="10" t="s">
        <v>242</v>
      </c>
      <c r="R468" s="10" t="s">
        <v>241</v>
      </c>
      <c r="S468" s="10" t="s">
        <v>242</v>
      </c>
      <c r="T468" s="10" t="s">
        <v>242</v>
      </c>
      <c r="U468" s="10" t="s">
        <v>242</v>
      </c>
      <c r="V468" s="10" t="s">
        <v>241</v>
      </c>
      <c r="W468" s="10" t="s">
        <v>242</v>
      </c>
      <c r="X468" s="15">
        <f>IF(ISERROR(VLOOKUP($A468,'13. Updated Demand'!A:Z,15,FALSE)),0,VLOOKUP($A468,'13. Updated Demand'!A:Z,15,FALSE))</f>
        <v>0.66</v>
      </c>
      <c r="Y468" s="16">
        <f>IF(ISERROR(VLOOKUP($A468,'13. Updated Demand'!A:Z,16,FALSE)),0,VLOOKUP($A468,'13. Updated Demand'!A:Z,16,FALSE))</f>
        <v>0.66</v>
      </c>
      <c r="Z468" s="16">
        <f>IF(ISERROR(VLOOKUP($A468,'13. Updated Demand'!A:Z,17,FALSE)),0,VLOOKUP($A468,'13. Updated Demand'!A:Z,17,FALSE))</f>
        <v>0.33</v>
      </c>
      <c r="AA468" s="16">
        <f>IF(ISERROR(VLOOKUP($A468,'13. Updated Demand'!A:Z,18,FALSE)),0,VLOOKUP($A468,'13. Updated Demand'!A:Z,18,FALSE))</f>
        <v>0.2</v>
      </c>
      <c r="AB468" s="16">
        <f>IF(ISERROR(VLOOKUP($A468,'13. Updated Demand'!A:Z,19,FALSE)),0,VLOOKUP($A468,'13. Updated Demand'!A:Z,19,FALSE))</f>
        <v>0</v>
      </c>
      <c r="AC468" s="16">
        <f>IF(ISERROR(VLOOKUP($A468,'13. Updated Demand'!A:Z,20,FALSE)),0,VLOOKUP($A468,'13. Updated Demand'!A:Z,20,FALSE))</f>
        <v>0</v>
      </c>
      <c r="AD468" s="16">
        <f>IF(ISERROR(VLOOKUP($A468,'13. Updated Demand'!A:Z,21,FALSE)),0,VLOOKUP($A468,'13. Updated Demand'!A:Z,21,FALSE))</f>
        <v>0</v>
      </c>
      <c r="AE468" s="16">
        <f>IF(ISERROR(VLOOKUP($A468,'13. Updated Demand'!A:Z,22,FALSE)),0,VLOOKUP($A468,'13. Updated Demand'!A:Z,22,FALSE))</f>
        <v>0</v>
      </c>
      <c r="AF468" s="16">
        <f>IF(ISERROR(VLOOKUP($A468,'13. Updated Demand'!A:Z,23,FALSE)),0,VLOOKUP($A468,'13. Updated Demand'!A:Z,23,FALSE))</f>
        <v>0</v>
      </c>
      <c r="AG468" s="16">
        <f>IF(ISERROR(VLOOKUP($A468,'13. Updated Demand'!A:Z,24,FALSE)),0,VLOOKUP($A468,'13. Updated Demand'!A:Z,24,FALSE))</f>
        <v>0.03</v>
      </c>
      <c r="AH468" s="16">
        <f>IF(ISERROR(VLOOKUP($A468,'13. Updated Demand'!A:Z,25,FALSE)),0,VLOOKUP($A468,'13. Updated Demand'!A:Z,25,FALSE))</f>
        <v>0.26</v>
      </c>
      <c r="AI468" s="16">
        <f>IF(ISERROR(VLOOKUP($A468,'13. Updated Demand'!A:Z,26,FALSE)),0,VLOOKUP($A468,'13. Updated Demand'!A:Z,26,FALSE))</f>
        <v>0.5</v>
      </c>
      <c r="AJ468" s="16">
        <f t="shared" si="96"/>
        <v>2.64</v>
      </c>
      <c r="AK468" s="19">
        <v>0</v>
      </c>
      <c r="AL468" s="16">
        <f t="shared" si="94"/>
        <v>0</v>
      </c>
      <c r="AM468" s="17">
        <v>0.44444444449999998</v>
      </c>
      <c r="AN468" s="19"/>
      <c r="AO468" s="19"/>
      <c r="AP468" s="19">
        <v>6</v>
      </c>
      <c r="AQ468" s="19" t="s">
        <v>307</v>
      </c>
      <c r="AR468" s="9" t="s">
        <v>317</v>
      </c>
      <c r="AS468" s="12">
        <v>3.4039024194010059E-4</v>
      </c>
      <c r="AT468" s="19">
        <v>39.241300160000002</v>
      </c>
      <c r="AU468" s="19">
        <v>-123.28142496</v>
      </c>
      <c r="AV468" s="19" t="s">
        <v>417</v>
      </c>
    </row>
    <row r="469" spans="1:48" x14ac:dyDescent="0.25">
      <c r="A469" s="18" t="s">
        <v>854</v>
      </c>
      <c r="B469" s="10">
        <v>19851203</v>
      </c>
      <c r="C469" s="9">
        <v>1</v>
      </c>
      <c r="D469" s="8" t="str">
        <f t="shared" si="85"/>
        <v>N</v>
      </c>
      <c r="E469" s="8" t="str">
        <f t="shared" si="86"/>
        <v>N</v>
      </c>
      <c r="F469" s="8" t="str">
        <f t="shared" si="87"/>
        <v>Y</v>
      </c>
      <c r="G469" s="8" t="str">
        <f t="shared" si="88"/>
        <v>Y</v>
      </c>
      <c r="H469" s="8" t="str">
        <f t="shared" si="89"/>
        <v>Upper</v>
      </c>
      <c r="I469" s="8" t="str">
        <f t="shared" si="90"/>
        <v>West Fork and Below Lake</v>
      </c>
      <c r="J469" s="8" t="str">
        <f t="shared" si="91"/>
        <v>Outside</v>
      </c>
      <c r="K469" s="8" t="str">
        <f t="shared" si="92"/>
        <v>Post-1949</v>
      </c>
      <c r="L469" s="8">
        <f t="shared" si="93"/>
        <v>1985</v>
      </c>
      <c r="M469" s="8" t="str">
        <f t="shared" si="95"/>
        <v>1971-1990</v>
      </c>
      <c r="N469" s="10" t="s">
        <v>242</v>
      </c>
      <c r="O469" s="10" t="s">
        <v>241</v>
      </c>
      <c r="P469" s="10" t="s">
        <v>242</v>
      </c>
      <c r="Q469" s="10" t="s">
        <v>242</v>
      </c>
      <c r="R469" s="10" t="s">
        <v>241</v>
      </c>
      <c r="S469" s="10" t="s">
        <v>242</v>
      </c>
      <c r="T469" s="10" t="s">
        <v>241</v>
      </c>
      <c r="U469" s="10" t="s">
        <v>241</v>
      </c>
      <c r="V469" s="10" t="s">
        <v>241</v>
      </c>
      <c r="W469" s="10" t="s">
        <v>242</v>
      </c>
      <c r="X469" s="15">
        <f>IF(ISERROR(VLOOKUP($A469,'13. Updated Demand'!A:Z,15,FALSE)),0,VLOOKUP($A469,'13. Updated Demand'!A:Z,15,FALSE))</f>
        <v>0</v>
      </c>
      <c r="Y469" s="16">
        <f>IF(ISERROR(VLOOKUP($A469,'13. Updated Demand'!A:Z,16,FALSE)),0,VLOOKUP($A469,'13. Updated Demand'!A:Z,16,FALSE))</f>
        <v>0</v>
      </c>
      <c r="Z469" s="16">
        <f>IF(ISERROR(VLOOKUP($A469,'13. Updated Demand'!A:Z,17,FALSE)),0,VLOOKUP($A469,'13. Updated Demand'!A:Z,17,FALSE))</f>
        <v>0</v>
      </c>
      <c r="AA469" s="16">
        <f>IF(ISERROR(VLOOKUP($A469,'13. Updated Demand'!A:Z,18,FALSE)),0,VLOOKUP($A469,'13. Updated Demand'!A:Z,18,FALSE))</f>
        <v>0</v>
      </c>
      <c r="AB469" s="16">
        <f>IF(ISERROR(VLOOKUP($A469,'13. Updated Demand'!A:Z,19,FALSE)),0,VLOOKUP($A469,'13. Updated Demand'!A:Z,19,FALSE))</f>
        <v>0</v>
      </c>
      <c r="AC469" s="16">
        <f>IF(ISERROR(VLOOKUP($A469,'13. Updated Demand'!A:Z,20,FALSE)),0,VLOOKUP($A469,'13. Updated Demand'!A:Z,20,FALSE))</f>
        <v>0</v>
      </c>
      <c r="AD469" s="16">
        <f>IF(ISERROR(VLOOKUP($A469,'13. Updated Demand'!A:Z,21,FALSE)),0,VLOOKUP($A469,'13. Updated Demand'!A:Z,21,FALSE))</f>
        <v>0</v>
      </c>
      <c r="AE469" s="16">
        <f>IF(ISERROR(VLOOKUP($A469,'13. Updated Demand'!A:Z,22,FALSE)),0,VLOOKUP($A469,'13. Updated Demand'!A:Z,22,FALSE))</f>
        <v>0</v>
      </c>
      <c r="AF469" s="16">
        <f>IF(ISERROR(VLOOKUP($A469,'13. Updated Demand'!A:Z,23,FALSE)),0,VLOOKUP($A469,'13. Updated Demand'!A:Z,23,FALSE))</f>
        <v>0</v>
      </c>
      <c r="AG469" s="16">
        <f>IF(ISERROR(VLOOKUP($A469,'13. Updated Demand'!A:Z,24,FALSE)),0,VLOOKUP($A469,'13. Updated Demand'!A:Z,24,FALSE))</f>
        <v>0</v>
      </c>
      <c r="AH469" s="16">
        <f>IF(ISERROR(VLOOKUP($A469,'13. Updated Demand'!A:Z,25,FALSE)),0,VLOOKUP($A469,'13. Updated Demand'!A:Z,25,FALSE))</f>
        <v>0</v>
      </c>
      <c r="AI469" s="16">
        <f>IF(ISERROR(VLOOKUP($A469,'13. Updated Demand'!A:Z,26,FALSE)),0,VLOOKUP($A469,'13. Updated Demand'!A:Z,26,FALSE))</f>
        <v>0</v>
      </c>
      <c r="AJ469" s="16">
        <f t="shared" si="96"/>
        <v>0</v>
      </c>
      <c r="AK469" s="19">
        <v>0</v>
      </c>
      <c r="AL469" s="16">
        <f t="shared" si="94"/>
        <v>0</v>
      </c>
      <c r="AM469" s="17">
        <v>0</v>
      </c>
      <c r="AN469" s="19"/>
      <c r="AO469" s="19"/>
      <c r="AP469" s="19">
        <v>0.7</v>
      </c>
      <c r="AQ469" s="19" t="s">
        <v>307</v>
      </c>
      <c r="AR469" s="9" t="s">
        <v>317</v>
      </c>
      <c r="AS469" s="12">
        <v>3.4039024194010059E-4</v>
      </c>
      <c r="AT469" s="19">
        <v>39.24997509</v>
      </c>
      <c r="AU469" s="19">
        <v>-123.27910998999999</v>
      </c>
      <c r="AV469" s="19" t="s">
        <v>417</v>
      </c>
    </row>
    <row r="470" spans="1:48" x14ac:dyDescent="0.25">
      <c r="A470" s="18" t="s">
        <v>855</v>
      </c>
      <c r="B470" s="10">
        <v>19851203</v>
      </c>
      <c r="C470" s="9">
        <v>1</v>
      </c>
      <c r="D470" s="8" t="str">
        <f t="shared" si="85"/>
        <v>N</v>
      </c>
      <c r="E470" s="8" t="str">
        <f t="shared" si="86"/>
        <v>N</v>
      </c>
      <c r="F470" s="8" t="str">
        <f t="shared" si="87"/>
        <v>Y</v>
      </c>
      <c r="G470" s="8" t="str">
        <f t="shared" si="88"/>
        <v>Y</v>
      </c>
      <c r="H470" s="8" t="str">
        <f t="shared" si="89"/>
        <v>Upper</v>
      </c>
      <c r="I470" s="8" t="str">
        <f t="shared" si="90"/>
        <v>West Fork and Below Lake</v>
      </c>
      <c r="J470" s="8" t="str">
        <f t="shared" si="91"/>
        <v>Outside</v>
      </c>
      <c r="K470" s="8" t="str">
        <f t="shared" si="92"/>
        <v>Post-1949</v>
      </c>
      <c r="L470" s="8">
        <f t="shared" si="93"/>
        <v>1985</v>
      </c>
      <c r="M470" s="8" t="str">
        <f t="shared" si="95"/>
        <v>1971-1990</v>
      </c>
      <c r="N470" s="10" t="s">
        <v>242</v>
      </c>
      <c r="O470" s="10" t="s">
        <v>241</v>
      </c>
      <c r="P470" s="10" t="s">
        <v>242</v>
      </c>
      <c r="Q470" s="10" t="s">
        <v>242</v>
      </c>
      <c r="R470" s="10" t="s">
        <v>241</v>
      </c>
      <c r="S470" s="10" t="s">
        <v>242</v>
      </c>
      <c r="T470" s="10" t="s">
        <v>242</v>
      </c>
      <c r="U470" s="10" t="s">
        <v>242</v>
      </c>
      <c r="V470" s="10" t="s">
        <v>242</v>
      </c>
      <c r="W470" s="10" t="s">
        <v>242</v>
      </c>
      <c r="X470" s="15">
        <f>IF(ISERROR(VLOOKUP($A470,'13. Updated Demand'!A:Z,15,FALSE)),0,VLOOKUP($A470,'13. Updated Demand'!A:Z,15,FALSE))</f>
        <v>0</v>
      </c>
      <c r="Y470" s="16">
        <f>IF(ISERROR(VLOOKUP($A470,'13. Updated Demand'!A:Z,16,FALSE)),0,VLOOKUP($A470,'13. Updated Demand'!A:Z,16,FALSE))</f>
        <v>0</v>
      </c>
      <c r="Z470" s="16">
        <f>IF(ISERROR(VLOOKUP($A470,'13. Updated Demand'!A:Z,17,FALSE)),0,VLOOKUP($A470,'13. Updated Demand'!A:Z,17,FALSE))</f>
        <v>0</v>
      </c>
      <c r="AA470" s="16">
        <f>IF(ISERROR(VLOOKUP($A470,'13. Updated Demand'!A:Z,18,FALSE)),0,VLOOKUP($A470,'13. Updated Demand'!A:Z,18,FALSE))</f>
        <v>0</v>
      </c>
      <c r="AB470" s="16">
        <f>IF(ISERROR(VLOOKUP($A470,'13. Updated Demand'!A:Z,19,FALSE)),0,VLOOKUP($A470,'13. Updated Demand'!A:Z,19,FALSE))</f>
        <v>0</v>
      </c>
      <c r="AC470" s="16">
        <f>IF(ISERROR(VLOOKUP($A470,'13. Updated Demand'!A:Z,20,FALSE)),0,VLOOKUP($A470,'13. Updated Demand'!A:Z,20,FALSE))</f>
        <v>2.3785E-3</v>
      </c>
      <c r="AD470" s="16">
        <f>IF(ISERROR(VLOOKUP($A470,'13. Updated Demand'!A:Z,21,FALSE)),0,VLOOKUP($A470,'13. Updated Demand'!A:Z,21,FALSE))</f>
        <v>2.9615000000000002E-3</v>
      </c>
      <c r="AE470" s="16">
        <f>IF(ISERROR(VLOOKUP($A470,'13. Updated Demand'!A:Z,22,FALSE)),0,VLOOKUP($A470,'13. Updated Demand'!A:Z,22,FALSE))</f>
        <v>2.9615000000000002E-3</v>
      </c>
      <c r="AF470" s="16">
        <f>IF(ISERROR(VLOOKUP($A470,'13. Updated Demand'!A:Z,23,FALSE)),0,VLOOKUP($A470,'13. Updated Demand'!A:Z,23,FALSE))</f>
        <v>2.9155000000000001E-3</v>
      </c>
      <c r="AG470" s="16">
        <f>IF(ISERROR(VLOOKUP($A470,'13. Updated Demand'!A:Z,24,FALSE)),0,VLOOKUP($A470,'13. Updated Demand'!A:Z,24,FALSE))</f>
        <v>2.7234999999999998E-3</v>
      </c>
      <c r="AH470" s="16">
        <f>IF(ISERROR(VLOOKUP($A470,'13. Updated Demand'!A:Z,25,FALSE)),0,VLOOKUP($A470,'13. Updated Demand'!A:Z,25,FALSE))</f>
        <v>0</v>
      </c>
      <c r="AI470" s="16">
        <f>IF(ISERROR(VLOOKUP($A470,'13. Updated Demand'!A:Z,26,FALSE)),0,VLOOKUP($A470,'13. Updated Demand'!A:Z,26,FALSE))</f>
        <v>0</v>
      </c>
      <c r="AJ470" s="16">
        <f t="shared" si="96"/>
        <v>1.39405E-2</v>
      </c>
      <c r="AK470" s="19">
        <v>1.1217E-2</v>
      </c>
      <c r="AL470" s="16">
        <f t="shared" si="94"/>
        <v>3.7205511263627721E-5</v>
      </c>
      <c r="AM470" s="17">
        <v>4.9787500000000005E-3</v>
      </c>
      <c r="AN470" s="19"/>
      <c r="AO470" s="19"/>
      <c r="AP470" s="19">
        <v>2.8</v>
      </c>
      <c r="AQ470" s="19" t="s">
        <v>307</v>
      </c>
      <c r="AR470" s="9" t="s">
        <v>317</v>
      </c>
      <c r="AS470" s="12">
        <v>3.4039024194010059E-4</v>
      </c>
      <c r="AT470" s="19">
        <v>39.236739880000002</v>
      </c>
      <c r="AU470" s="19">
        <v>-123.31382735</v>
      </c>
      <c r="AV470" s="19" t="s">
        <v>417</v>
      </c>
    </row>
    <row r="471" spans="1:48" x14ac:dyDescent="0.25">
      <c r="A471" s="18" t="s">
        <v>856</v>
      </c>
      <c r="B471" s="10">
        <v>19851203</v>
      </c>
      <c r="C471" s="9">
        <v>1</v>
      </c>
      <c r="D471" s="8" t="str">
        <f t="shared" si="85"/>
        <v>N</v>
      </c>
      <c r="E471" s="8" t="str">
        <f t="shared" si="86"/>
        <v>N</v>
      </c>
      <c r="F471" s="8" t="str">
        <f t="shared" si="87"/>
        <v>Y</v>
      </c>
      <c r="G471" s="8" t="str">
        <f t="shared" si="88"/>
        <v>Y</v>
      </c>
      <c r="H471" s="8" t="str">
        <f t="shared" si="89"/>
        <v>Upper</v>
      </c>
      <c r="I471" s="8" t="str">
        <f t="shared" si="90"/>
        <v>West Fork and Below Lake</v>
      </c>
      <c r="J471" s="8" t="str">
        <f t="shared" si="91"/>
        <v>Outside</v>
      </c>
      <c r="K471" s="8" t="str">
        <f t="shared" si="92"/>
        <v>Post-1949</v>
      </c>
      <c r="L471" s="8">
        <f t="shared" si="93"/>
        <v>1985</v>
      </c>
      <c r="M471" s="8" t="str">
        <f t="shared" si="95"/>
        <v>1971-1990</v>
      </c>
      <c r="N471" s="10" t="s">
        <v>242</v>
      </c>
      <c r="O471" s="10" t="s">
        <v>241</v>
      </c>
      <c r="P471" s="10" t="s">
        <v>242</v>
      </c>
      <c r="Q471" s="10" t="s">
        <v>242</v>
      </c>
      <c r="R471" s="10" t="s">
        <v>241</v>
      </c>
      <c r="S471" s="10" t="s">
        <v>242</v>
      </c>
      <c r="T471" s="10" t="s">
        <v>242</v>
      </c>
      <c r="U471" s="10" t="s">
        <v>242</v>
      </c>
      <c r="V471" s="10" t="s">
        <v>241</v>
      </c>
      <c r="W471" s="10" t="s">
        <v>242</v>
      </c>
      <c r="X471" s="15">
        <f>IF(ISERROR(VLOOKUP($A471,'13. Updated Demand'!A:Z,15,FALSE)),0,VLOOKUP($A471,'13. Updated Demand'!A:Z,15,FALSE))</f>
        <v>7.0000000000000007E-2</v>
      </c>
      <c r="Y471" s="16">
        <f>IF(ISERROR(VLOOKUP($A471,'13. Updated Demand'!A:Z,16,FALSE)),0,VLOOKUP($A471,'13. Updated Demand'!A:Z,16,FALSE))</f>
        <v>7.0000000000000007E-2</v>
      </c>
      <c r="Z471" s="16">
        <f>IF(ISERROR(VLOOKUP($A471,'13. Updated Demand'!A:Z,17,FALSE)),0,VLOOKUP($A471,'13. Updated Demand'!A:Z,17,FALSE))</f>
        <v>7.0000000000000007E-2</v>
      </c>
      <c r="AA471" s="16">
        <f>IF(ISERROR(VLOOKUP($A471,'13. Updated Demand'!A:Z,18,FALSE)),0,VLOOKUP($A471,'13. Updated Demand'!A:Z,18,FALSE))</f>
        <v>7.0000000000000007E-2</v>
      </c>
      <c r="AB471" s="16">
        <f>IF(ISERROR(VLOOKUP($A471,'13. Updated Demand'!A:Z,19,FALSE)),0,VLOOKUP($A471,'13. Updated Demand'!A:Z,19,FALSE))</f>
        <v>0</v>
      </c>
      <c r="AC471" s="16">
        <f>IF(ISERROR(VLOOKUP($A471,'13. Updated Demand'!A:Z,20,FALSE)),0,VLOOKUP($A471,'13. Updated Demand'!A:Z,20,FALSE))</f>
        <v>0</v>
      </c>
      <c r="AD471" s="16">
        <f>IF(ISERROR(VLOOKUP($A471,'13. Updated Demand'!A:Z,21,FALSE)),0,VLOOKUP($A471,'13. Updated Demand'!A:Z,21,FALSE))</f>
        <v>0</v>
      </c>
      <c r="AE471" s="16">
        <f>IF(ISERROR(VLOOKUP($A471,'13. Updated Demand'!A:Z,22,FALSE)),0,VLOOKUP($A471,'13. Updated Demand'!A:Z,22,FALSE))</f>
        <v>0</v>
      </c>
      <c r="AF471" s="16">
        <f>IF(ISERROR(VLOOKUP($A471,'13. Updated Demand'!A:Z,23,FALSE)),0,VLOOKUP($A471,'13. Updated Demand'!A:Z,23,FALSE))</f>
        <v>0</v>
      </c>
      <c r="AG471" s="16">
        <f>IF(ISERROR(VLOOKUP($A471,'13. Updated Demand'!A:Z,24,FALSE)),0,VLOOKUP($A471,'13. Updated Demand'!A:Z,24,FALSE))</f>
        <v>0</v>
      </c>
      <c r="AH471" s="16">
        <f>IF(ISERROR(VLOOKUP($A471,'13. Updated Demand'!A:Z,25,FALSE)),0,VLOOKUP($A471,'13. Updated Demand'!A:Z,25,FALSE))</f>
        <v>0.01</v>
      </c>
      <c r="AI471" s="16">
        <f>IF(ISERROR(VLOOKUP($A471,'13. Updated Demand'!A:Z,26,FALSE)),0,VLOOKUP($A471,'13. Updated Demand'!A:Z,26,FALSE))</f>
        <v>7.0000000000000007E-2</v>
      </c>
      <c r="AJ471" s="16">
        <f t="shared" si="96"/>
        <v>0.36000000000000004</v>
      </c>
      <c r="AK471" s="19">
        <v>0</v>
      </c>
      <c r="AL471" s="16">
        <f t="shared" si="94"/>
        <v>0</v>
      </c>
      <c r="AM471" s="17">
        <v>0.35757575818181814</v>
      </c>
      <c r="AN471" s="19"/>
      <c r="AO471" s="19"/>
      <c r="AP471" s="19">
        <v>1.1000000000000001</v>
      </c>
      <c r="AQ471" s="19" t="s">
        <v>307</v>
      </c>
      <c r="AR471" s="9" t="s">
        <v>317</v>
      </c>
      <c r="AS471" s="12">
        <v>3.4039024194010059E-4</v>
      </c>
      <c r="AT471" s="19">
        <v>39.258375970000003</v>
      </c>
      <c r="AU471" s="19">
        <v>-123.26407429</v>
      </c>
      <c r="AV471" s="19" t="s">
        <v>417</v>
      </c>
    </row>
    <row r="472" spans="1:48" x14ac:dyDescent="0.25">
      <c r="A472" s="18" t="s">
        <v>857</v>
      </c>
      <c r="B472" s="10">
        <v>19851203</v>
      </c>
      <c r="C472" s="9">
        <v>1</v>
      </c>
      <c r="D472" s="8" t="str">
        <f t="shared" si="85"/>
        <v>N</v>
      </c>
      <c r="E472" s="8" t="str">
        <f t="shared" si="86"/>
        <v>N</v>
      </c>
      <c r="F472" s="8" t="str">
        <f t="shared" si="87"/>
        <v>Y</v>
      </c>
      <c r="G472" s="8" t="str">
        <f t="shared" si="88"/>
        <v>Y</v>
      </c>
      <c r="H472" s="8" t="str">
        <f t="shared" si="89"/>
        <v>Upper</v>
      </c>
      <c r="I472" s="8" t="str">
        <f t="shared" si="90"/>
        <v>West Fork and Below Lake</v>
      </c>
      <c r="J472" s="8" t="str">
        <f t="shared" si="91"/>
        <v>Outside</v>
      </c>
      <c r="K472" s="8" t="str">
        <f t="shared" si="92"/>
        <v>Post-1949</v>
      </c>
      <c r="L472" s="8">
        <f t="shared" si="93"/>
        <v>1985</v>
      </c>
      <c r="M472" s="8" t="str">
        <f t="shared" si="95"/>
        <v>1971-1990</v>
      </c>
      <c r="N472" s="10" t="s">
        <v>242</v>
      </c>
      <c r="O472" s="10" t="s">
        <v>241</v>
      </c>
      <c r="P472" s="10" t="s">
        <v>242</v>
      </c>
      <c r="Q472" s="10" t="s">
        <v>242</v>
      </c>
      <c r="R472" s="10" t="s">
        <v>241</v>
      </c>
      <c r="S472" s="10" t="s">
        <v>242</v>
      </c>
      <c r="T472" s="10" t="s">
        <v>242</v>
      </c>
      <c r="U472" s="10" t="s">
        <v>242</v>
      </c>
      <c r="V472" s="10" t="s">
        <v>241</v>
      </c>
      <c r="W472" s="10" t="s">
        <v>242</v>
      </c>
      <c r="X472" s="15">
        <f>IF(ISERROR(VLOOKUP($A472,'13. Updated Demand'!A:Z,15,FALSE)),0,VLOOKUP($A472,'13. Updated Demand'!A:Z,15,FALSE))</f>
        <v>0.7</v>
      </c>
      <c r="Y472" s="16">
        <f>IF(ISERROR(VLOOKUP($A472,'13. Updated Demand'!A:Z,16,FALSE)),0,VLOOKUP($A472,'13. Updated Demand'!A:Z,16,FALSE))</f>
        <v>0.7</v>
      </c>
      <c r="Z472" s="16">
        <f>IF(ISERROR(VLOOKUP($A472,'13. Updated Demand'!A:Z,17,FALSE)),0,VLOOKUP($A472,'13. Updated Demand'!A:Z,17,FALSE))</f>
        <v>0.7</v>
      </c>
      <c r="AA472" s="16">
        <f>IF(ISERROR(VLOOKUP($A472,'13. Updated Demand'!A:Z,18,FALSE)),0,VLOOKUP($A472,'13. Updated Demand'!A:Z,18,FALSE))</f>
        <v>0.7</v>
      </c>
      <c r="AB472" s="16">
        <f>IF(ISERROR(VLOOKUP($A472,'13. Updated Demand'!A:Z,19,FALSE)),0,VLOOKUP($A472,'13. Updated Demand'!A:Z,19,FALSE))</f>
        <v>0</v>
      </c>
      <c r="AC472" s="16">
        <f>IF(ISERROR(VLOOKUP($A472,'13. Updated Demand'!A:Z,20,FALSE)),0,VLOOKUP($A472,'13. Updated Demand'!A:Z,20,FALSE))</f>
        <v>0</v>
      </c>
      <c r="AD472" s="16">
        <f>IF(ISERROR(VLOOKUP($A472,'13. Updated Demand'!A:Z,21,FALSE)),0,VLOOKUP($A472,'13. Updated Demand'!A:Z,21,FALSE))</f>
        <v>0</v>
      </c>
      <c r="AE472" s="16">
        <f>IF(ISERROR(VLOOKUP($A472,'13. Updated Demand'!A:Z,22,FALSE)),0,VLOOKUP($A472,'13. Updated Demand'!A:Z,22,FALSE))</f>
        <v>0</v>
      </c>
      <c r="AF472" s="16">
        <f>IF(ISERROR(VLOOKUP($A472,'13. Updated Demand'!A:Z,23,FALSE)),0,VLOOKUP($A472,'13. Updated Demand'!A:Z,23,FALSE))</f>
        <v>0</v>
      </c>
      <c r="AG472" s="16">
        <f>IF(ISERROR(VLOOKUP($A472,'13. Updated Demand'!A:Z,24,FALSE)),0,VLOOKUP($A472,'13. Updated Demand'!A:Z,24,FALSE))</f>
        <v>0</v>
      </c>
      <c r="AH472" s="16">
        <f>IF(ISERROR(VLOOKUP($A472,'13. Updated Demand'!A:Z,25,FALSE)),0,VLOOKUP($A472,'13. Updated Demand'!A:Z,25,FALSE))</f>
        <v>0.7</v>
      </c>
      <c r="AI472" s="16">
        <f>IF(ISERROR(VLOOKUP($A472,'13. Updated Demand'!A:Z,26,FALSE)),0,VLOOKUP($A472,'13. Updated Demand'!A:Z,26,FALSE))</f>
        <v>0.7</v>
      </c>
      <c r="AJ472" s="16">
        <f t="shared" si="96"/>
        <v>4.2</v>
      </c>
      <c r="AK472" s="19">
        <v>0</v>
      </c>
      <c r="AL472" s="16">
        <f t="shared" si="94"/>
        <v>0</v>
      </c>
      <c r="AM472" s="17">
        <v>1</v>
      </c>
      <c r="AN472" s="19"/>
      <c r="AO472" s="19"/>
      <c r="AP472" s="19">
        <v>4.2</v>
      </c>
      <c r="AQ472" s="19" t="s">
        <v>307</v>
      </c>
      <c r="AR472" s="9" t="s">
        <v>317</v>
      </c>
      <c r="AS472" s="12">
        <v>3.4039024194010059E-4</v>
      </c>
      <c r="AT472" s="19">
        <v>39.261358250000001</v>
      </c>
      <c r="AU472" s="19">
        <v>-123.29273846</v>
      </c>
      <c r="AV472" s="19" t="s">
        <v>417</v>
      </c>
    </row>
    <row r="473" spans="1:48" x14ac:dyDescent="0.25">
      <c r="A473" s="18" t="s">
        <v>858</v>
      </c>
      <c r="B473" s="10">
        <v>19851203</v>
      </c>
      <c r="C473" s="9">
        <v>1</v>
      </c>
      <c r="D473" s="8" t="str">
        <f t="shared" si="85"/>
        <v>N</v>
      </c>
      <c r="E473" s="8" t="str">
        <f t="shared" si="86"/>
        <v>N</v>
      </c>
      <c r="F473" s="8" t="str">
        <f t="shared" si="87"/>
        <v>Y</v>
      </c>
      <c r="G473" s="8" t="str">
        <f t="shared" si="88"/>
        <v>Y</v>
      </c>
      <c r="H473" s="8" t="str">
        <f t="shared" si="89"/>
        <v>Upper</v>
      </c>
      <c r="I473" s="8" t="str">
        <f t="shared" si="90"/>
        <v>West Fork and Below Lake</v>
      </c>
      <c r="J473" s="8" t="str">
        <f t="shared" si="91"/>
        <v>Outside</v>
      </c>
      <c r="K473" s="8" t="str">
        <f t="shared" si="92"/>
        <v>Post-1949</v>
      </c>
      <c r="L473" s="8">
        <f t="shared" si="93"/>
        <v>1985</v>
      </c>
      <c r="M473" s="8" t="str">
        <f t="shared" si="95"/>
        <v>1971-1990</v>
      </c>
      <c r="N473" s="10" t="s">
        <v>242</v>
      </c>
      <c r="O473" s="10" t="s">
        <v>241</v>
      </c>
      <c r="P473" s="10" t="s">
        <v>242</v>
      </c>
      <c r="Q473" s="10" t="s">
        <v>242</v>
      </c>
      <c r="R473" s="10" t="s">
        <v>241</v>
      </c>
      <c r="S473" s="10" t="s">
        <v>242</v>
      </c>
      <c r="T473" s="10" t="s">
        <v>241</v>
      </c>
      <c r="U473" s="10" t="s">
        <v>241</v>
      </c>
      <c r="V473" s="10" t="s">
        <v>241</v>
      </c>
      <c r="W473" s="10" t="s">
        <v>242</v>
      </c>
      <c r="X473" s="15">
        <f>IF(ISERROR(VLOOKUP($A473,'13. Updated Demand'!A:Z,15,FALSE)),0,VLOOKUP($A473,'13. Updated Demand'!A:Z,15,FALSE))</f>
        <v>0</v>
      </c>
      <c r="Y473" s="16">
        <f>IF(ISERROR(VLOOKUP($A473,'13. Updated Demand'!A:Z,16,FALSE)),0,VLOOKUP($A473,'13. Updated Demand'!A:Z,16,FALSE))</f>
        <v>0</v>
      </c>
      <c r="Z473" s="16">
        <f>IF(ISERROR(VLOOKUP($A473,'13. Updated Demand'!A:Z,17,FALSE)),0,VLOOKUP($A473,'13. Updated Demand'!A:Z,17,FALSE))</f>
        <v>0</v>
      </c>
      <c r="AA473" s="16">
        <f>IF(ISERROR(VLOOKUP($A473,'13. Updated Demand'!A:Z,18,FALSE)),0,VLOOKUP($A473,'13. Updated Demand'!A:Z,18,FALSE))</f>
        <v>0</v>
      </c>
      <c r="AB473" s="16">
        <f>IF(ISERROR(VLOOKUP($A473,'13. Updated Demand'!A:Z,19,FALSE)),0,VLOOKUP($A473,'13. Updated Demand'!A:Z,19,FALSE))</f>
        <v>0</v>
      </c>
      <c r="AC473" s="16">
        <f>IF(ISERROR(VLOOKUP($A473,'13. Updated Demand'!A:Z,20,FALSE)),0,VLOOKUP($A473,'13. Updated Demand'!A:Z,20,FALSE))</f>
        <v>0</v>
      </c>
      <c r="AD473" s="16">
        <f>IF(ISERROR(VLOOKUP($A473,'13. Updated Demand'!A:Z,21,FALSE)),0,VLOOKUP($A473,'13. Updated Demand'!A:Z,21,FALSE))</f>
        <v>0</v>
      </c>
      <c r="AE473" s="16">
        <f>IF(ISERROR(VLOOKUP($A473,'13. Updated Demand'!A:Z,22,FALSE)),0,VLOOKUP($A473,'13. Updated Demand'!A:Z,22,FALSE))</f>
        <v>0</v>
      </c>
      <c r="AF473" s="16">
        <f>IF(ISERROR(VLOOKUP($A473,'13. Updated Demand'!A:Z,23,FALSE)),0,VLOOKUP($A473,'13. Updated Demand'!A:Z,23,FALSE))</f>
        <v>0</v>
      </c>
      <c r="AG473" s="16">
        <f>IF(ISERROR(VLOOKUP($A473,'13. Updated Demand'!A:Z,24,FALSE)),0,VLOOKUP($A473,'13. Updated Demand'!A:Z,24,FALSE))</f>
        <v>0</v>
      </c>
      <c r="AH473" s="16">
        <f>IF(ISERROR(VLOOKUP($A473,'13. Updated Demand'!A:Z,25,FALSE)),0,VLOOKUP($A473,'13. Updated Demand'!A:Z,25,FALSE))</f>
        <v>0</v>
      </c>
      <c r="AI473" s="16">
        <f>IF(ISERROR(VLOOKUP($A473,'13. Updated Demand'!A:Z,26,FALSE)),0,VLOOKUP($A473,'13. Updated Demand'!A:Z,26,FALSE))</f>
        <v>0</v>
      </c>
      <c r="AJ473" s="16">
        <f t="shared" si="96"/>
        <v>0</v>
      </c>
      <c r="AK473" s="19">
        <v>0</v>
      </c>
      <c r="AL473" s="16">
        <f t="shared" si="94"/>
        <v>0</v>
      </c>
      <c r="AM473" s="17">
        <v>0</v>
      </c>
      <c r="AN473" s="19"/>
      <c r="AO473" s="19"/>
      <c r="AP473" s="19">
        <v>6</v>
      </c>
      <c r="AQ473" s="19" t="s">
        <v>307</v>
      </c>
      <c r="AR473" s="9" t="s">
        <v>317</v>
      </c>
      <c r="AS473" s="12">
        <v>0</v>
      </c>
      <c r="AT473" s="19">
        <v>39.239586150000001</v>
      </c>
      <c r="AU473" s="19">
        <v>-123.28748508</v>
      </c>
      <c r="AV473" s="19" t="s">
        <v>417</v>
      </c>
    </row>
    <row r="474" spans="1:48" x14ac:dyDescent="0.25">
      <c r="A474" s="18" t="s">
        <v>859</v>
      </c>
      <c r="B474" s="10">
        <v>19851204</v>
      </c>
      <c r="C474" s="9">
        <v>1</v>
      </c>
      <c r="D474" s="8" t="str">
        <f t="shared" si="85"/>
        <v>N</v>
      </c>
      <c r="E474" s="8" t="str">
        <f t="shared" si="86"/>
        <v>N</v>
      </c>
      <c r="F474" s="8" t="str">
        <f t="shared" si="87"/>
        <v>Y</v>
      </c>
      <c r="G474" s="8" t="str">
        <f t="shared" si="88"/>
        <v>Y</v>
      </c>
      <c r="H474" s="8" t="str">
        <f t="shared" si="89"/>
        <v>Upper</v>
      </c>
      <c r="I474" s="8" t="str">
        <f t="shared" si="90"/>
        <v>West Fork and Below Lake</v>
      </c>
      <c r="J474" s="8" t="str">
        <f t="shared" si="91"/>
        <v>Outside</v>
      </c>
      <c r="K474" s="8" t="str">
        <f t="shared" si="92"/>
        <v>Post-1949</v>
      </c>
      <c r="L474" s="8">
        <f t="shared" si="93"/>
        <v>1985</v>
      </c>
      <c r="M474" s="8" t="str">
        <f t="shared" si="95"/>
        <v>1971-1990</v>
      </c>
      <c r="N474" s="10" t="s">
        <v>242</v>
      </c>
      <c r="O474" s="10" t="s">
        <v>241</v>
      </c>
      <c r="P474" s="10" t="s">
        <v>242</v>
      </c>
      <c r="Q474" s="10" t="s">
        <v>242</v>
      </c>
      <c r="R474" s="10" t="s">
        <v>241</v>
      </c>
      <c r="S474" s="10" t="s">
        <v>242</v>
      </c>
      <c r="T474" s="10" t="s">
        <v>242</v>
      </c>
      <c r="U474" s="10" t="s">
        <v>241</v>
      </c>
      <c r="V474" s="10" t="s">
        <v>241</v>
      </c>
      <c r="W474" s="10" t="s">
        <v>242</v>
      </c>
      <c r="X474" s="15">
        <f>IF(ISERROR(VLOOKUP($A474,'13. Updated Demand'!A:Z,15,FALSE)),0,VLOOKUP($A474,'13. Updated Demand'!A:Z,15,FALSE))</f>
        <v>0</v>
      </c>
      <c r="Y474" s="16">
        <f>IF(ISERROR(VLOOKUP($A474,'13. Updated Demand'!A:Z,16,FALSE)),0,VLOOKUP($A474,'13. Updated Demand'!A:Z,16,FALSE))</f>
        <v>0</v>
      </c>
      <c r="Z474" s="16">
        <f>IF(ISERROR(VLOOKUP($A474,'13. Updated Demand'!A:Z,17,FALSE)),0,VLOOKUP($A474,'13. Updated Demand'!A:Z,17,FALSE))</f>
        <v>0</v>
      </c>
      <c r="AA474" s="16">
        <f>IF(ISERROR(VLOOKUP($A474,'13. Updated Demand'!A:Z,18,FALSE)),0,VLOOKUP($A474,'13. Updated Demand'!A:Z,18,FALSE))</f>
        <v>0</v>
      </c>
      <c r="AB474" s="16">
        <f>IF(ISERROR(VLOOKUP($A474,'13. Updated Demand'!A:Z,19,FALSE)),0,VLOOKUP($A474,'13. Updated Demand'!A:Z,19,FALSE))</f>
        <v>0</v>
      </c>
      <c r="AC474" s="16">
        <f>IF(ISERROR(VLOOKUP($A474,'13. Updated Demand'!A:Z,20,FALSE)),0,VLOOKUP($A474,'13. Updated Demand'!A:Z,20,FALSE))</f>
        <v>0</v>
      </c>
      <c r="AD474" s="16">
        <f>IF(ISERROR(VLOOKUP($A474,'13. Updated Demand'!A:Z,21,FALSE)),0,VLOOKUP($A474,'13. Updated Demand'!A:Z,21,FALSE))</f>
        <v>0</v>
      </c>
      <c r="AE474" s="16">
        <f>IF(ISERROR(VLOOKUP($A474,'13. Updated Demand'!A:Z,22,FALSE)),0,VLOOKUP($A474,'13. Updated Demand'!A:Z,22,FALSE))</f>
        <v>0</v>
      </c>
      <c r="AF474" s="16">
        <f>IF(ISERROR(VLOOKUP($A474,'13. Updated Demand'!A:Z,23,FALSE)),0,VLOOKUP($A474,'13. Updated Demand'!A:Z,23,FALSE))</f>
        <v>0</v>
      </c>
      <c r="AG474" s="16">
        <f>IF(ISERROR(VLOOKUP($A474,'13. Updated Demand'!A:Z,24,FALSE)),0,VLOOKUP($A474,'13. Updated Demand'!A:Z,24,FALSE))</f>
        <v>0</v>
      </c>
      <c r="AH474" s="16">
        <f>IF(ISERROR(VLOOKUP($A474,'13. Updated Demand'!A:Z,25,FALSE)),0,VLOOKUP($A474,'13. Updated Demand'!A:Z,25,FALSE))</f>
        <v>0</v>
      </c>
      <c r="AI474" s="16">
        <f>IF(ISERROR(VLOOKUP($A474,'13. Updated Demand'!A:Z,26,FALSE)),0,VLOOKUP($A474,'13. Updated Demand'!A:Z,26,FALSE))</f>
        <v>0</v>
      </c>
      <c r="AJ474" s="16">
        <f t="shared" si="96"/>
        <v>0</v>
      </c>
      <c r="AK474" s="19">
        <v>0</v>
      </c>
      <c r="AL474" s="16">
        <f t="shared" si="94"/>
        <v>0</v>
      </c>
      <c r="AM474" s="17">
        <v>0</v>
      </c>
      <c r="AN474" s="19"/>
      <c r="AO474" s="19"/>
      <c r="AP474" s="19">
        <v>2.2999999999999998</v>
      </c>
      <c r="AQ474" s="19" t="s">
        <v>307</v>
      </c>
      <c r="AR474" s="9" t="s">
        <v>317</v>
      </c>
      <c r="AS474" s="12">
        <v>3.4039024194010059E-4</v>
      </c>
      <c r="AT474" s="19">
        <v>39.260616249999998</v>
      </c>
      <c r="AU474" s="19">
        <v>-123.28530732999999</v>
      </c>
      <c r="AV474" s="19" t="s">
        <v>417</v>
      </c>
    </row>
    <row r="475" spans="1:48" x14ac:dyDescent="0.25">
      <c r="A475" s="18" t="s">
        <v>860</v>
      </c>
      <c r="B475" s="10">
        <v>19851223</v>
      </c>
      <c r="C475" s="9">
        <v>1</v>
      </c>
      <c r="D475" s="8" t="str">
        <f t="shared" si="85"/>
        <v>N</v>
      </c>
      <c r="E475" s="8" t="str">
        <f t="shared" si="86"/>
        <v>N</v>
      </c>
      <c r="F475" s="8" t="str">
        <f t="shared" si="87"/>
        <v>Y</v>
      </c>
      <c r="G475" s="8" t="str">
        <f t="shared" si="88"/>
        <v>Y</v>
      </c>
      <c r="H475" s="8" t="str">
        <f t="shared" si="89"/>
        <v>Upper</v>
      </c>
      <c r="I475" s="8" t="str">
        <f t="shared" si="90"/>
        <v>West Fork and Below Lake</v>
      </c>
      <c r="J475" s="8" t="str">
        <f t="shared" si="91"/>
        <v>Outside</v>
      </c>
      <c r="K475" s="8" t="str">
        <f t="shared" si="92"/>
        <v>Post-1949</v>
      </c>
      <c r="L475" s="8">
        <f t="shared" si="93"/>
        <v>1985</v>
      </c>
      <c r="M475" s="8" t="str">
        <f t="shared" si="95"/>
        <v>1971-1990</v>
      </c>
      <c r="N475" s="10" t="s">
        <v>242</v>
      </c>
      <c r="O475" s="10" t="s">
        <v>241</v>
      </c>
      <c r="P475" s="10" t="s">
        <v>242</v>
      </c>
      <c r="Q475" s="10" t="s">
        <v>242</v>
      </c>
      <c r="R475" s="10" t="s">
        <v>241</v>
      </c>
      <c r="S475" s="10" t="s">
        <v>242</v>
      </c>
      <c r="T475" s="10" t="s">
        <v>242</v>
      </c>
      <c r="U475" s="10" t="s">
        <v>241</v>
      </c>
      <c r="V475" s="10" t="s">
        <v>241</v>
      </c>
      <c r="W475" s="10" t="s">
        <v>242</v>
      </c>
      <c r="X475" s="15">
        <f>IF(ISERROR(VLOOKUP($A475,'13. Updated Demand'!A:Z,15,FALSE)),0,VLOOKUP($A475,'13. Updated Demand'!A:Z,15,FALSE))</f>
        <v>0</v>
      </c>
      <c r="Y475" s="16">
        <f>IF(ISERROR(VLOOKUP($A475,'13. Updated Demand'!A:Z,16,FALSE)),0,VLOOKUP($A475,'13. Updated Demand'!A:Z,16,FALSE))</f>
        <v>0</v>
      </c>
      <c r="Z475" s="16">
        <f>IF(ISERROR(VLOOKUP($A475,'13. Updated Demand'!A:Z,17,FALSE)),0,VLOOKUP($A475,'13. Updated Demand'!A:Z,17,FALSE))</f>
        <v>0</v>
      </c>
      <c r="AA475" s="16">
        <f>IF(ISERROR(VLOOKUP($A475,'13. Updated Demand'!A:Z,18,FALSE)),0,VLOOKUP($A475,'13. Updated Demand'!A:Z,18,FALSE))</f>
        <v>0</v>
      </c>
      <c r="AB475" s="16">
        <f>IF(ISERROR(VLOOKUP($A475,'13. Updated Demand'!A:Z,19,FALSE)),0,VLOOKUP($A475,'13. Updated Demand'!A:Z,19,FALSE))</f>
        <v>0</v>
      </c>
      <c r="AC475" s="16">
        <f>IF(ISERROR(VLOOKUP($A475,'13. Updated Demand'!A:Z,20,FALSE)),0,VLOOKUP($A475,'13. Updated Demand'!A:Z,20,FALSE))</f>
        <v>0</v>
      </c>
      <c r="AD475" s="16">
        <f>IF(ISERROR(VLOOKUP($A475,'13. Updated Demand'!A:Z,21,FALSE)),0,VLOOKUP($A475,'13. Updated Demand'!A:Z,21,FALSE))</f>
        <v>0</v>
      </c>
      <c r="AE475" s="16">
        <f>IF(ISERROR(VLOOKUP($A475,'13. Updated Demand'!A:Z,22,FALSE)),0,VLOOKUP($A475,'13. Updated Demand'!A:Z,22,FALSE))</f>
        <v>0</v>
      </c>
      <c r="AF475" s="16">
        <f>IF(ISERROR(VLOOKUP($A475,'13. Updated Demand'!A:Z,23,FALSE)),0,VLOOKUP($A475,'13. Updated Demand'!A:Z,23,FALSE))</f>
        <v>0</v>
      </c>
      <c r="AG475" s="16">
        <f>IF(ISERROR(VLOOKUP($A475,'13. Updated Demand'!A:Z,24,FALSE)),0,VLOOKUP($A475,'13. Updated Demand'!A:Z,24,FALSE))</f>
        <v>0</v>
      </c>
      <c r="AH475" s="16">
        <f>IF(ISERROR(VLOOKUP($A475,'13. Updated Demand'!A:Z,25,FALSE)),0,VLOOKUP($A475,'13. Updated Demand'!A:Z,25,FALSE))</f>
        <v>0</v>
      </c>
      <c r="AI475" s="16">
        <f>IF(ISERROR(VLOOKUP($A475,'13. Updated Demand'!A:Z,26,FALSE)),0,VLOOKUP($A475,'13. Updated Demand'!A:Z,26,FALSE))</f>
        <v>0</v>
      </c>
      <c r="AJ475" s="16">
        <f t="shared" si="96"/>
        <v>0</v>
      </c>
      <c r="AK475" s="19">
        <v>0</v>
      </c>
      <c r="AL475" s="16">
        <f t="shared" si="94"/>
        <v>0</v>
      </c>
      <c r="AM475" s="17">
        <v>0</v>
      </c>
      <c r="AN475" s="19"/>
      <c r="AO475" s="19"/>
      <c r="AP475" s="19">
        <v>3.8</v>
      </c>
      <c r="AQ475" s="19" t="s">
        <v>307</v>
      </c>
      <c r="AR475" s="9" t="s">
        <v>317</v>
      </c>
      <c r="AS475" s="12">
        <v>3.4039024194010059E-4</v>
      </c>
      <c r="AT475" s="19">
        <v>39.246289900000001</v>
      </c>
      <c r="AU475" s="19">
        <v>-123.32044969</v>
      </c>
      <c r="AV475" s="19" t="s">
        <v>417</v>
      </c>
    </row>
    <row r="476" spans="1:48" x14ac:dyDescent="0.25">
      <c r="A476" s="18" t="s">
        <v>861</v>
      </c>
      <c r="B476" s="10">
        <v>19850307</v>
      </c>
      <c r="C476" s="9">
        <v>16</v>
      </c>
      <c r="D476" s="8" t="str">
        <f t="shared" si="85"/>
        <v>N</v>
      </c>
      <c r="E476" s="8" t="str">
        <f t="shared" si="86"/>
        <v>N</v>
      </c>
      <c r="F476" s="8" t="str">
        <f t="shared" si="87"/>
        <v>N</v>
      </c>
      <c r="G476" s="8" t="str">
        <f t="shared" si="88"/>
        <v>N</v>
      </c>
      <c r="H476" s="8" t="str">
        <f t="shared" si="89"/>
        <v>Lower</v>
      </c>
      <c r="I476" s="8" t="str">
        <f t="shared" si="90"/>
        <v>Outside</v>
      </c>
      <c r="J476" s="8" t="str">
        <f t="shared" si="91"/>
        <v>Outside</v>
      </c>
      <c r="K476" s="8" t="str">
        <f t="shared" si="92"/>
        <v>Post-1949</v>
      </c>
      <c r="L476" s="8">
        <f t="shared" si="93"/>
        <v>1985</v>
      </c>
      <c r="M476" s="8" t="str">
        <f t="shared" si="95"/>
        <v>1971-1990</v>
      </c>
      <c r="N476" s="10" t="s">
        <v>242</v>
      </c>
      <c r="O476" s="10" t="s">
        <v>242</v>
      </c>
      <c r="P476" s="10" t="s">
        <v>242</v>
      </c>
      <c r="Q476" s="10" t="s">
        <v>242</v>
      </c>
      <c r="R476" s="10" t="s">
        <v>241</v>
      </c>
      <c r="S476" s="10" t="s">
        <v>242</v>
      </c>
      <c r="T476" s="10" t="s">
        <v>242</v>
      </c>
      <c r="U476" s="10" t="s">
        <v>242</v>
      </c>
      <c r="V476" s="10" t="s">
        <v>241</v>
      </c>
      <c r="W476" s="10" t="s">
        <v>242</v>
      </c>
      <c r="X476" s="15">
        <f>IF(ISERROR(VLOOKUP($A476,'13. Updated Demand'!A:Z,15,FALSE)),0,VLOOKUP($A476,'13. Updated Demand'!A:Z,15,FALSE))</f>
        <v>0.1</v>
      </c>
      <c r="Y476" s="16">
        <f>IF(ISERROR(VLOOKUP($A476,'13. Updated Demand'!A:Z,16,FALSE)),0,VLOOKUP($A476,'13. Updated Demand'!A:Z,16,FALSE))</f>
        <v>0</v>
      </c>
      <c r="Z476" s="16">
        <f>IF(ISERROR(VLOOKUP($A476,'13. Updated Demand'!A:Z,17,FALSE)),0,VLOOKUP($A476,'13. Updated Demand'!A:Z,17,FALSE))</f>
        <v>0</v>
      </c>
      <c r="AA476" s="16">
        <f>IF(ISERROR(VLOOKUP($A476,'13. Updated Demand'!A:Z,18,FALSE)),0,VLOOKUP($A476,'13. Updated Demand'!A:Z,18,FALSE))</f>
        <v>0</v>
      </c>
      <c r="AB476" s="16">
        <f>IF(ISERROR(VLOOKUP($A476,'13. Updated Demand'!A:Z,19,FALSE)),0,VLOOKUP($A476,'13. Updated Demand'!A:Z,19,FALSE))</f>
        <v>0</v>
      </c>
      <c r="AC476" s="16">
        <f>IF(ISERROR(VLOOKUP($A476,'13. Updated Demand'!A:Z,20,FALSE)),0,VLOOKUP($A476,'13. Updated Demand'!A:Z,20,FALSE))</f>
        <v>0</v>
      </c>
      <c r="AD476" s="16">
        <f>IF(ISERROR(VLOOKUP($A476,'13. Updated Demand'!A:Z,21,FALSE)),0,VLOOKUP($A476,'13. Updated Demand'!A:Z,21,FALSE))</f>
        <v>0</v>
      </c>
      <c r="AE476" s="16">
        <f>IF(ISERROR(VLOOKUP($A476,'13. Updated Demand'!A:Z,22,FALSE)),0,VLOOKUP($A476,'13. Updated Demand'!A:Z,22,FALSE))</f>
        <v>0</v>
      </c>
      <c r="AF476" s="16">
        <f>IF(ISERROR(VLOOKUP($A476,'13. Updated Demand'!A:Z,23,FALSE)),0,VLOOKUP($A476,'13. Updated Demand'!A:Z,23,FALSE))</f>
        <v>0</v>
      </c>
      <c r="AG476" s="16">
        <f>IF(ISERROR(VLOOKUP($A476,'13. Updated Demand'!A:Z,24,FALSE)),0,VLOOKUP($A476,'13. Updated Demand'!A:Z,24,FALSE))</f>
        <v>0</v>
      </c>
      <c r="AH476" s="16">
        <f>IF(ISERROR(VLOOKUP($A476,'13. Updated Demand'!A:Z,25,FALSE)),0,VLOOKUP($A476,'13. Updated Demand'!A:Z,25,FALSE))</f>
        <v>0.1</v>
      </c>
      <c r="AI476" s="16">
        <f>IF(ISERROR(VLOOKUP($A476,'13. Updated Demand'!A:Z,26,FALSE)),0,VLOOKUP($A476,'13. Updated Demand'!A:Z,26,FALSE))</f>
        <v>0.233333333</v>
      </c>
      <c r="AJ476" s="16">
        <f t="shared" si="96"/>
        <v>0.43333333299999999</v>
      </c>
      <c r="AK476" s="19">
        <v>0</v>
      </c>
      <c r="AL476" s="16">
        <f t="shared" si="94"/>
        <v>0</v>
      </c>
      <c r="AM476" s="17">
        <v>0.61904761857142854</v>
      </c>
      <c r="AN476" s="19"/>
      <c r="AO476" s="19"/>
      <c r="AP476" s="19">
        <v>0.7</v>
      </c>
      <c r="AQ476" s="19" t="s">
        <v>307</v>
      </c>
      <c r="AR476" s="9" t="s">
        <v>394</v>
      </c>
      <c r="AS476" s="12">
        <v>0</v>
      </c>
      <c r="AT476" s="19">
        <v>38.632880630000002</v>
      </c>
      <c r="AU476" s="19">
        <v>-122.94087562999999</v>
      </c>
      <c r="AV476" s="19" t="s">
        <v>862</v>
      </c>
    </row>
    <row r="477" spans="1:48" x14ac:dyDescent="0.25">
      <c r="A477" s="18" t="s">
        <v>863</v>
      </c>
      <c r="B477" s="10">
        <v>19851218</v>
      </c>
      <c r="C477" s="9">
        <v>2</v>
      </c>
      <c r="D477" s="8" t="str">
        <f t="shared" si="85"/>
        <v>N</v>
      </c>
      <c r="E477" s="8" t="str">
        <f t="shared" si="86"/>
        <v>N</v>
      </c>
      <c r="F477" s="8" t="str">
        <f t="shared" si="87"/>
        <v>Y</v>
      </c>
      <c r="G477" s="8" t="str">
        <f t="shared" si="88"/>
        <v>N</v>
      </c>
      <c r="H477" s="8" t="str">
        <f t="shared" si="89"/>
        <v>Upper</v>
      </c>
      <c r="I477" s="8" t="str">
        <f t="shared" si="90"/>
        <v>Outside</v>
      </c>
      <c r="J477" s="8" t="str">
        <f t="shared" si="91"/>
        <v>Outside</v>
      </c>
      <c r="K477" s="8" t="str">
        <f t="shared" si="92"/>
        <v>Post-1949</v>
      </c>
      <c r="L477" s="8">
        <f t="shared" si="93"/>
        <v>1985</v>
      </c>
      <c r="M477" s="8" t="str">
        <f t="shared" si="95"/>
        <v>1971-1990</v>
      </c>
      <c r="N477" s="10" t="s">
        <v>242</v>
      </c>
      <c r="O477" s="10" t="s">
        <v>241</v>
      </c>
      <c r="P477" s="10" t="s">
        <v>242</v>
      </c>
      <c r="Q477" s="10" t="s">
        <v>242</v>
      </c>
      <c r="R477" s="10" t="s">
        <v>241</v>
      </c>
      <c r="S477" s="10" t="s">
        <v>242</v>
      </c>
      <c r="T477" s="10" t="s">
        <v>242</v>
      </c>
      <c r="U477" s="10" t="s">
        <v>241</v>
      </c>
      <c r="V477" s="10" t="s">
        <v>241</v>
      </c>
      <c r="W477" s="10" t="s">
        <v>241</v>
      </c>
      <c r="X477" s="15">
        <f>IF(ISERROR(VLOOKUP($A477,'13. Updated Demand'!A:Z,15,FALSE)),0,VLOOKUP($A477,'13. Updated Demand'!A:Z,15,FALSE))</f>
        <v>0</v>
      </c>
      <c r="Y477" s="16">
        <f>IF(ISERROR(VLOOKUP($A477,'13. Updated Demand'!A:Z,16,FALSE)),0,VLOOKUP($A477,'13. Updated Demand'!A:Z,16,FALSE))</f>
        <v>0</v>
      </c>
      <c r="Z477" s="16">
        <f>IF(ISERROR(VLOOKUP($A477,'13. Updated Demand'!A:Z,17,FALSE)),0,VLOOKUP($A477,'13. Updated Demand'!A:Z,17,FALSE))</f>
        <v>0</v>
      </c>
      <c r="AA477" s="16">
        <f>IF(ISERROR(VLOOKUP($A477,'13. Updated Demand'!A:Z,18,FALSE)),0,VLOOKUP($A477,'13. Updated Demand'!A:Z,18,FALSE))</f>
        <v>0</v>
      </c>
      <c r="AB477" s="16">
        <f>IF(ISERROR(VLOOKUP($A477,'13. Updated Demand'!A:Z,19,FALSE)),0,VLOOKUP($A477,'13. Updated Demand'!A:Z,19,FALSE))</f>
        <v>0</v>
      </c>
      <c r="AC477" s="16">
        <f>IF(ISERROR(VLOOKUP($A477,'13. Updated Demand'!A:Z,20,FALSE)),0,VLOOKUP($A477,'13. Updated Demand'!A:Z,20,FALSE))</f>
        <v>0</v>
      </c>
      <c r="AD477" s="16">
        <f>IF(ISERROR(VLOOKUP($A477,'13. Updated Demand'!A:Z,21,FALSE)),0,VLOOKUP($A477,'13. Updated Demand'!A:Z,21,FALSE))</f>
        <v>0</v>
      </c>
      <c r="AE477" s="16">
        <f>IF(ISERROR(VLOOKUP($A477,'13. Updated Demand'!A:Z,22,FALSE)),0,VLOOKUP($A477,'13. Updated Demand'!A:Z,22,FALSE))</f>
        <v>0</v>
      </c>
      <c r="AF477" s="16">
        <f>IF(ISERROR(VLOOKUP($A477,'13. Updated Demand'!A:Z,23,FALSE)),0,VLOOKUP($A477,'13. Updated Demand'!A:Z,23,FALSE))</f>
        <v>0</v>
      </c>
      <c r="AG477" s="16">
        <f>IF(ISERROR(VLOOKUP($A477,'13. Updated Demand'!A:Z,24,FALSE)),0,VLOOKUP($A477,'13. Updated Demand'!A:Z,24,FALSE))</f>
        <v>0</v>
      </c>
      <c r="AH477" s="16">
        <f>IF(ISERROR(VLOOKUP($A477,'13. Updated Demand'!A:Z,25,FALSE)),0,VLOOKUP($A477,'13. Updated Demand'!A:Z,25,FALSE))</f>
        <v>0</v>
      </c>
      <c r="AI477" s="16">
        <f>IF(ISERROR(VLOOKUP($A477,'13. Updated Demand'!A:Z,26,FALSE)),0,VLOOKUP($A477,'13. Updated Demand'!A:Z,26,FALSE))</f>
        <v>0</v>
      </c>
      <c r="AJ477" s="16">
        <f t="shared" si="96"/>
        <v>0</v>
      </c>
      <c r="AK477" s="19">
        <v>0</v>
      </c>
      <c r="AL477" s="16">
        <f t="shared" si="94"/>
        <v>0</v>
      </c>
      <c r="AM477" s="17">
        <v>0</v>
      </c>
      <c r="AN477" s="19"/>
      <c r="AO477" s="19"/>
      <c r="AP477" s="19">
        <v>89321</v>
      </c>
      <c r="AQ477" s="19" t="s">
        <v>307</v>
      </c>
      <c r="AR477" s="9" t="s">
        <v>348</v>
      </c>
      <c r="AS477" s="12">
        <v>0</v>
      </c>
      <c r="AT477" s="19">
        <v>39.354463039999999</v>
      </c>
      <c r="AU477" s="19">
        <v>-123.12785492</v>
      </c>
      <c r="AV477" s="19" t="s">
        <v>433</v>
      </c>
    </row>
    <row r="478" spans="1:48" x14ac:dyDescent="0.25">
      <c r="A478" s="18" t="s">
        <v>864</v>
      </c>
      <c r="B478" s="10">
        <v>19840418</v>
      </c>
      <c r="C478" s="9">
        <v>2</v>
      </c>
      <c r="D478" s="8" t="str">
        <f t="shared" si="85"/>
        <v>N</v>
      </c>
      <c r="E478" s="8" t="str">
        <f t="shared" si="86"/>
        <v>N</v>
      </c>
      <c r="F478" s="8" t="str">
        <f t="shared" si="87"/>
        <v>Y</v>
      </c>
      <c r="G478" s="8" t="str">
        <f t="shared" si="88"/>
        <v>N</v>
      </c>
      <c r="H478" s="8" t="str">
        <f t="shared" si="89"/>
        <v>Upper</v>
      </c>
      <c r="I478" s="8" t="str">
        <f t="shared" si="90"/>
        <v>Outside</v>
      </c>
      <c r="J478" s="8" t="str">
        <f t="shared" si="91"/>
        <v>Outside</v>
      </c>
      <c r="K478" s="8" t="str">
        <f t="shared" si="92"/>
        <v>Post-1949</v>
      </c>
      <c r="L478" s="8">
        <f t="shared" si="93"/>
        <v>1984</v>
      </c>
      <c r="M478" s="8" t="str">
        <f t="shared" si="95"/>
        <v>1971-1990</v>
      </c>
      <c r="N478" s="10" t="s">
        <v>242</v>
      </c>
      <c r="O478" s="10" t="s">
        <v>241</v>
      </c>
      <c r="P478" s="10" t="s">
        <v>242</v>
      </c>
      <c r="Q478" s="10" t="s">
        <v>242</v>
      </c>
      <c r="R478" s="10" t="s">
        <v>241</v>
      </c>
      <c r="S478" s="10" t="s">
        <v>242</v>
      </c>
      <c r="T478" s="10" t="s">
        <v>242</v>
      </c>
      <c r="U478" s="10" t="s">
        <v>242</v>
      </c>
      <c r="V478" s="10" t="s">
        <v>242</v>
      </c>
      <c r="W478" s="10" t="s">
        <v>242</v>
      </c>
      <c r="X478" s="15">
        <f>IF(ISERROR(VLOOKUP($A478,'13. Updated Demand'!A:Z,15,FALSE)),0,VLOOKUP($A478,'13. Updated Demand'!A:Z,15,FALSE))</f>
        <v>0</v>
      </c>
      <c r="Y478" s="16">
        <f>IF(ISERROR(VLOOKUP($A478,'13. Updated Demand'!A:Z,16,FALSE)),0,VLOOKUP($A478,'13. Updated Demand'!A:Z,16,FALSE))</f>
        <v>0</v>
      </c>
      <c r="Z478" s="16">
        <f>IF(ISERROR(VLOOKUP($A478,'13. Updated Demand'!A:Z,17,FALSE)),0,VLOOKUP($A478,'13. Updated Demand'!A:Z,17,FALSE))</f>
        <v>0</v>
      </c>
      <c r="AA478" s="16">
        <f>IF(ISERROR(VLOOKUP($A478,'13. Updated Demand'!A:Z,18,FALSE)),0,VLOOKUP($A478,'13. Updated Demand'!A:Z,18,FALSE))</f>
        <v>0</v>
      </c>
      <c r="AB478" s="16">
        <f>IF(ISERROR(VLOOKUP($A478,'13. Updated Demand'!A:Z,19,FALSE)),0,VLOOKUP($A478,'13. Updated Demand'!A:Z,19,FALSE))</f>
        <v>0</v>
      </c>
      <c r="AC478" s="16">
        <f>IF(ISERROR(VLOOKUP($A478,'13. Updated Demand'!A:Z,20,FALSE)),0,VLOOKUP($A478,'13. Updated Demand'!A:Z,20,FALSE))</f>
        <v>2.66</v>
      </c>
      <c r="AD478" s="16">
        <f>IF(ISERROR(VLOOKUP($A478,'13. Updated Demand'!A:Z,21,FALSE)),0,VLOOKUP($A478,'13. Updated Demand'!A:Z,21,FALSE))</f>
        <v>3</v>
      </c>
      <c r="AE478" s="16">
        <f>IF(ISERROR(VLOOKUP($A478,'13. Updated Demand'!A:Z,22,FALSE)),0,VLOOKUP($A478,'13. Updated Demand'!A:Z,22,FALSE))</f>
        <v>3</v>
      </c>
      <c r="AF478" s="16">
        <f>IF(ISERROR(VLOOKUP($A478,'13. Updated Demand'!A:Z,23,FALSE)),0,VLOOKUP($A478,'13. Updated Demand'!A:Z,23,FALSE))</f>
        <v>2</v>
      </c>
      <c r="AG478" s="16">
        <f>IF(ISERROR(VLOOKUP($A478,'13. Updated Demand'!A:Z,24,FALSE)),0,VLOOKUP($A478,'13. Updated Demand'!A:Z,24,FALSE))</f>
        <v>0</v>
      </c>
      <c r="AH478" s="16">
        <f>IF(ISERROR(VLOOKUP($A478,'13. Updated Demand'!A:Z,25,FALSE)),0,VLOOKUP($A478,'13. Updated Demand'!A:Z,25,FALSE))</f>
        <v>0</v>
      </c>
      <c r="AI478" s="16">
        <f>IF(ISERROR(VLOOKUP($A478,'13. Updated Demand'!A:Z,26,FALSE)),0,VLOOKUP($A478,'13. Updated Demand'!A:Z,26,FALSE))</f>
        <v>0</v>
      </c>
      <c r="AJ478" s="16">
        <f t="shared" si="96"/>
        <v>10.66</v>
      </c>
      <c r="AK478" s="19">
        <v>10.666666666999999</v>
      </c>
      <c r="AL478" s="16">
        <f t="shared" si="94"/>
        <v>3.5380118286924389E-2</v>
      </c>
      <c r="AM478" s="17">
        <v>0.62745098041176472</v>
      </c>
      <c r="AN478" s="19"/>
      <c r="AO478" s="19"/>
      <c r="AP478" s="19">
        <v>17</v>
      </c>
      <c r="AQ478" s="19" t="s">
        <v>307</v>
      </c>
      <c r="AR478" s="9" t="s">
        <v>348</v>
      </c>
      <c r="AS478" s="12">
        <v>0</v>
      </c>
      <c r="AT478" s="19">
        <v>39.329621359999997</v>
      </c>
      <c r="AU478" s="19">
        <v>-123.14478585000001</v>
      </c>
      <c r="AV478" s="19" t="s">
        <v>417</v>
      </c>
    </row>
    <row r="479" spans="1:48" x14ac:dyDescent="0.25">
      <c r="A479" s="18" t="s">
        <v>865</v>
      </c>
      <c r="B479" s="10">
        <v>19840119</v>
      </c>
      <c r="C479" s="9">
        <v>15</v>
      </c>
      <c r="D479" s="8" t="str">
        <f t="shared" si="85"/>
        <v>N</v>
      </c>
      <c r="E479" s="8" t="str">
        <f t="shared" si="86"/>
        <v>N</v>
      </c>
      <c r="F479" s="8" t="str">
        <f t="shared" si="87"/>
        <v>N</v>
      </c>
      <c r="G479" s="8" t="str">
        <f t="shared" si="88"/>
        <v>N</v>
      </c>
      <c r="H479" s="8" t="str">
        <f t="shared" si="89"/>
        <v>Lower</v>
      </c>
      <c r="I479" s="8" t="str">
        <f t="shared" si="90"/>
        <v>Outside</v>
      </c>
      <c r="J479" s="8" t="str">
        <f t="shared" si="91"/>
        <v>Outside</v>
      </c>
      <c r="K479" s="8" t="str">
        <f t="shared" si="92"/>
        <v>Post-1949</v>
      </c>
      <c r="L479" s="8">
        <f t="shared" si="93"/>
        <v>1984</v>
      </c>
      <c r="M479" s="8" t="str">
        <f t="shared" si="95"/>
        <v>1971-1990</v>
      </c>
      <c r="N479" s="10" t="s">
        <v>242</v>
      </c>
      <c r="O479" s="10" t="s">
        <v>242</v>
      </c>
      <c r="P479" s="10" t="s">
        <v>242</v>
      </c>
      <c r="Q479" s="10" t="s">
        <v>242</v>
      </c>
      <c r="R479" s="10" t="s">
        <v>241</v>
      </c>
      <c r="S479" s="10" t="s">
        <v>242</v>
      </c>
      <c r="T479" s="10" t="s">
        <v>242</v>
      </c>
      <c r="U479" s="10" t="s">
        <v>242</v>
      </c>
      <c r="V479" s="10" t="s">
        <v>241</v>
      </c>
      <c r="W479" s="10" t="s">
        <v>242</v>
      </c>
      <c r="X479" s="15">
        <f>IF(ISERROR(VLOOKUP($A479,'13. Updated Demand'!A:Z,15,FALSE)),0,VLOOKUP($A479,'13. Updated Demand'!A:Z,15,FALSE))</f>
        <v>0</v>
      </c>
      <c r="Y479" s="16">
        <f>IF(ISERROR(VLOOKUP($A479,'13. Updated Demand'!A:Z,16,FALSE)),0,VLOOKUP($A479,'13. Updated Demand'!A:Z,16,FALSE))</f>
        <v>0</v>
      </c>
      <c r="Z479" s="16">
        <f>IF(ISERROR(VLOOKUP($A479,'13. Updated Demand'!A:Z,17,FALSE)),0,VLOOKUP($A479,'13. Updated Demand'!A:Z,17,FALSE))</f>
        <v>0</v>
      </c>
      <c r="AA479" s="16">
        <f>IF(ISERROR(VLOOKUP($A479,'13. Updated Demand'!A:Z,18,FALSE)),0,VLOOKUP($A479,'13. Updated Demand'!A:Z,18,FALSE))</f>
        <v>0</v>
      </c>
      <c r="AB479" s="16">
        <f>IF(ISERROR(VLOOKUP($A479,'13. Updated Demand'!A:Z,19,FALSE)),0,VLOOKUP($A479,'13. Updated Demand'!A:Z,19,FALSE))</f>
        <v>0</v>
      </c>
      <c r="AC479" s="16">
        <f>IF(ISERROR(VLOOKUP($A479,'13. Updated Demand'!A:Z,20,FALSE)),0,VLOOKUP($A479,'13. Updated Demand'!A:Z,20,FALSE))</f>
        <v>0</v>
      </c>
      <c r="AD479" s="16">
        <f>IF(ISERROR(VLOOKUP($A479,'13. Updated Demand'!A:Z,21,FALSE)),0,VLOOKUP($A479,'13. Updated Demand'!A:Z,21,FALSE))</f>
        <v>0</v>
      </c>
      <c r="AE479" s="16">
        <f>IF(ISERROR(VLOOKUP($A479,'13. Updated Demand'!A:Z,22,FALSE)),0,VLOOKUP($A479,'13. Updated Demand'!A:Z,22,FALSE))</f>
        <v>0</v>
      </c>
      <c r="AF479" s="16">
        <f>IF(ISERROR(VLOOKUP($A479,'13. Updated Demand'!A:Z,23,FALSE)),0,VLOOKUP($A479,'13. Updated Demand'!A:Z,23,FALSE))</f>
        <v>0</v>
      </c>
      <c r="AG479" s="16">
        <f>IF(ISERROR(VLOOKUP($A479,'13. Updated Demand'!A:Z,24,FALSE)),0,VLOOKUP($A479,'13. Updated Demand'!A:Z,24,FALSE))</f>
        <v>0</v>
      </c>
      <c r="AH479" s="16">
        <f>IF(ISERROR(VLOOKUP($A479,'13. Updated Demand'!A:Z,25,FALSE)),0,VLOOKUP($A479,'13. Updated Demand'!A:Z,25,FALSE))</f>
        <v>0.33333333300000001</v>
      </c>
      <c r="AI479" s="16">
        <f>IF(ISERROR(VLOOKUP($A479,'13. Updated Demand'!A:Z,26,FALSE)),0,VLOOKUP($A479,'13. Updated Demand'!A:Z,26,FALSE))</f>
        <v>0.133333333</v>
      </c>
      <c r="AJ479" s="16">
        <f t="shared" si="96"/>
        <v>0.46666666600000001</v>
      </c>
      <c r="AK479" s="19">
        <v>0</v>
      </c>
      <c r="AL479" s="16">
        <f t="shared" si="94"/>
        <v>0</v>
      </c>
      <c r="AM479" s="17">
        <v>1.5053763419354839E-2</v>
      </c>
      <c r="AN479" s="19"/>
      <c r="AO479" s="19"/>
      <c r="AP479" s="19">
        <v>31</v>
      </c>
      <c r="AQ479" s="19" t="s">
        <v>307</v>
      </c>
      <c r="AR479" s="9" t="s">
        <v>489</v>
      </c>
      <c r="AS479" s="12">
        <v>0</v>
      </c>
      <c r="AT479" s="19">
        <v>38.676049190000001</v>
      </c>
      <c r="AU479" s="19">
        <v>-122.91674860000001</v>
      </c>
      <c r="AV479" s="19" t="s">
        <v>417</v>
      </c>
    </row>
    <row r="480" spans="1:48" x14ac:dyDescent="0.25">
      <c r="A480" s="18" t="s">
        <v>163</v>
      </c>
      <c r="B480" s="10">
        <v>19840109</v>
      </c>
      <c r="C480" s="9">
        <v>12</v>
      </c>
      <c r="D480" s="8" t="str">
        <f t="shared" si="85"/>
        <v>N</v>
      </c>
      <c r="E480" s="8" t="str">
        <f t="shared" si="86"/>
        <v>Y</v>
      </c>
      <c r="F480" s="8" t="str">
        <f t="shared" si="87"/>
        <v>Y</v>
      </c>
      <c r="G480" s="8" t="str">
        <f t="shared" si="88"/>
        <v>Y</v>
      </c>
      <c r="H480" s="8" t="str">
        <f t="shared" si="89"/>
        <v>Upper</v>
      </c>
      <c r="I480" s="8" t="str">
        <f t="shared" si="90"/>
        <v>West Fork and Below Lake</v>
      </c>
      <c r="J480" s="8" t="str">
        <f t="shared" si="91"/>
        <v>Sonoma (d/s of Clov. Gage)</v>
      </c>
      <c r="K480" s="8" t="str">
        <f t="shared" si="92"/>
        <v>Post-1949</v>
      </c>
      <c r="L480" s="8">
        <f t="shared" si="93"/>
        <v>1984</v>
      </c>
      <c r="M480" s="8" t="str">
        <f t="shared" si="95"/>
        <v>1971-1990</v>
      </c>
      <c r="N480" s="10" t="s">
        <v>241</v>
      </c>
      <c r="O480" s="10" t="s">
        <v>241</v>
      </c>
      <c r="P480" s="10" t="s">
        <v>242</v>
      </c>
      <c r="Q480" s="10" t="s">
        <v>242</v>
      </c>
      <c r="R480" s="10" t="s">
        <v>241</v>
      </c>
      <c r="S480" s="10" t="s">
        <v>242</v>
      </c>
      <c r="T480" s="10" t="s">
        <v>242</v>
      </c>
      <c r="U480" s="10" t="s">
        <v>242</v>
      </c>
      <c r="V480" s="10" t="s">
        <v>242</v>
      </c>
      <c r="W480" s="10" t="s">
        <v>242</v>
      </c>
      <c r="X480" s="15">
        <f>IF(ISERROR(VLOOKUP($A480,'13. Updated Demand'!A:Z,15,FALSE)),0,VLOOKUP($A480,'13. Updated Demand'!A:Z,15,FALSE))</f>
        <v>6.2</v>
      </c>
      <c r="Y480" s="16">
        <f>IF(ISERROR(VLOOKUP($A480,'13. Updated Demand'!A:Z,16,FALSE)),0,VLOOKUP($A480,'13. Updated Demand'!A:Z,16,FALSE))</f>
        <v>0</v>
      </c>
      <c r="Z480" s="16">
        <f>IF(ISERROR(VLOOKUP($A480,'13. Updated Demand'!A:Z,17,FALSE)),0,VLOOKUP($A480,'13. Updated Demand'!A:Z,17,FALSE))</f>
        <v>0</v>
      </c>
      <c r="AA480" s="16">
        <f>IF(ISERROR(VLOOKUP($A480,'13. Updated Demand'!A:Z,18,FALSE)),0,VLOOKUP($A480,'13. Updated Demand'!A:Z,18,FALSE))</f>
        <v>0</v>
      </c>
      <c r="AB480" s="16">
        <f>IF(ISERROR(VLOOKUP($A480,'13. Updated Demand'!A:Z,19,FALSE)),0,VLOOKUP($A480,'13. Updated Demand'!A:Z,19,FALSE))</f>
        <v>0</v>
      </c>
      <c r="AC480" s="16">
        <f>IF(ISERROR(VLOOKUP($A480,'13. Updated Demand'!A:Z,20,FALSE)),0,VLOOKUP($A480,'13. Updated Demand'!A:Z,20,FALSE))</f>
        <v>1.7</v>
      </c>
      <c r="AD480" s="16">
        <f>IF(ISERROR(VLOOKUP($A480,'13. Updated Demand'!A:Z,21,FALSE)),0,VLOOKUP($A480,'13. Updated Demand'!A:Z,21,FALSE))</f>
        <v>23.36</v>
      </c>
      <c r="AE480" s="16">
        <f>IF(ISERROR(VLOOKUP($A480,'13. Updated Demand'!A:Z,22,FALSE)),0,VLOOKUP($A480,'13. Updated Demand'!A:Z,22,FALSE))</f>
        <v>29.76</v>
      </c>
      <c r="AF480" s="16">
        <f>IF(ISERROR(VLOOKUP($A480,'13. Updated Demand'!A:Z,23,FALSE)),0,VLOOKUP($A480,'13. Updated Demand'!A:Z,23,FALSE))</f>
        <v>13.9</v>
      </c>
      <c r="AG480" s="16">
        <f>IF(ISERROR(VLOOKUP($A480,'13. Updated Demand'!A:Z,24,FALSE)),0,VLOOKUP($A480,'13. Updated Demand'!A:Z,24,FALSE))</f>
        <v>12.13</v>
      </c>
      <c r="AH480" s="16">
        <f>IF(ISERROR(VLOOKUP($A480,'13. Updated Demand'!A:Z,25,FALSE)),0,VLOOKUP($A480,'13. Updated Demand'!A:Z,25,FALSE))</f>
        <v>2.36</v>
      </c>
      <c r="AI480" s="16">
        <f>IF(ISERROR(VLOOKUP($A480,'13. Updated Demand'!A:Z,26,FALSE)),0,VLOOKUP($A480,'13. Updated Demand'!A:Z,26,FALSE))</f>
        <v>0</v>
      </c>
      <c r="AJ480" s="16">
        <f t="shared" si="96"/>
        <v>89.41</v>
      </c>
      <c r="AK480" s="19">
        <v>68.733333333333405</v>
      </c>
      <c r="AL480" s="16">
        <f t="shared" si="94"/>
        <v>0.22798063720424488</v>
      </c>
      <c r="AM480" s="17">
        <v>0.15132543711223923</v>
      </c>
      <c r="AN480" s="19"/>
      <c r="AO480" s="19"/>
      <c r="AP480" s="19">
        <v>591</v>
      </c>
      <c r="AQ480" s="19" t="s">
        <v>307</v>
      </c>
      <c r="AR480" s="9" t="s">
        <v>311</v>
      </c>
      <c r="AS480" s="12">
        <v>0</v>
      </c>
      <c r="AT480" s="19">
        <v>38.65040638</v>
      </c>
      <c r="AU480" s="19">
        <v>-122.80085923999999</v>
      </c>
      <c r="AV480" s="19" t="s">
        <v>548</v>
      </c>
    </row>
    <row r="481" spans="1:48" x14ac:dyDescent="0.25">
      <c r="A481" s="18" t="s">
        <v>165</v>
      </c>
      <c r="B481" s="10">
        <v>19840109</v>
      </c>
      <c r="C481" s="9">
        <v>12</v>
      </c>
      <c r="D481" s="8" t="str">
        <f t="shared" si="85"/>
        <v>N</v>
      </c>
      <c r="E481" s="8" t="str">
        <f t="shared" si="86"/>
        <v>Y</v>
      </c>
      <c r="F481" s="8" t="str">
        <f t="shared" si="87"/>
        <v>Y</v>
      </c>
      <c r="G481" s="8" t="str">
        <f t="shared" si="88"/>
        <v>Y</v>
      </c>
      <c r="H481" s="8" t="str">
        <f t="shared" si="89"/>
        <v>Upper</v>
      </c>
      <c r="I481" s="8" t="str">
        <f t="shared" si="90"/>
        <v>West Fork and Below Lake</v>
      </c>
      <c r="J481" s="8" t="str">
        <f t="shared" si="91"/>
        <v>Sonoma (d/s of Clov. Gage)</v>
      </c>
      <c r="K481" s="8" t="str">
        <f t="shared" si="92"/>
        <v>Post-1949</v>
      </c>
      <c r="L481" s="8">
        <f t="shared" si="93"/>
        <v>1984</v>
      </c>
      <c r="M481" s="8" t="str">
        <f t="shared" si="95"/>
        <v>1971-1990</v>
      </c>
      <c r="N481" s="10" t="s">
        <v>242</v>
      </c>
      <c r="O481" s="10" t="s">
        <v>241</v>
      </c>
      <c r="P481" s="10" t="s">
        <v>242</v>
      </c>
      <c r="Q481" s="10" t="s">
        <v>242</v>
      </c>
      <c r="R481" s="10" t="s">
        <v>241</v>
      </c>
      <c r="S481" s="10" t="s">
        <v>242</v>
      </c>
      <c r="T481" s="10" t="s">
        <v>242</v>
      </c>
      <c r="U481" s="10" t="s">
        <v>241</v>
      </c>
      <c r="V481" s="10" t="s">
        <v>241</v>
      </c>
      <c r="W481" s="10" t="s">
        <v>242</v>
      </c>
      <c r="X481" s="15">
        <f>IF(ISERROR(VLOOKUP($A481,'13. Updated Demand'!A:Z,15,FALSE)),0,VLOOKUP($A481,'13. Updated Demand'!A:Z,15,FALSE))</f>
        <v>0</v>
      </c>
      <c r="Y481" s="16">
        <f>IF(ISERROR(VLOOKUP($A481,'13. Updated Demand'!A:Z,16,FALSE)),0,VLOOKUP($A481,'13. Updated Demand'!A:Z,16,FALSE))</f>
        <v>0</v>
      </c>
      <c r="Z481" s="16">
        <f>IF(ISERROR(VLOOKUP($A481,'13. Updated Demand'!A:Z,17,FALSE)),0,VLOOKUP($A481,'13. Updated Demand'!A:Z,17,FALSE))</f>
        <v>0</v>
      </c>
      <c r="AA481" s="16">
        <f>IF(ISERROR(VLOOKUP($A481,'13. Updated Demand'!A:Z,18,FALSE)),0,VLOOKUP($A481,'13. Updated Demand'!A:Z,18,FALSE))</f>
        <v>0</v>
      </c>
      <c r="AB481" s="16">
        <f>IF(ISERROR(VLOOKUP($A481,'13. Updated Demand'!A:Z,19,FALSE)),0,VLOOKUP($A481,'13. Updated Demand'!A:Z,19,FALSE))</f>
        <v>0</v>
      </c>
      <c r="AC481" s="16">
        <f>IF(ISERROR(VLOOKUP($A481,'13. Updated Demand'!A:Z,20,FALSE)),0,VLOOKUP($A481,'13. Updated Demand'!A:Z,20,FALSE))</f>
        <v>0</v>
      </c>
      <c r="AD481" s="16">
        <f>IF(ISERROR(VLOOKUP($A481,'13. Updated Demand'!A:Z,21,FALSE)),0,VLOOKUP($A481,'13. Updated Demand'!A:Z,21,FALSE))</f>
        <v>0</v>
      </c>
      <c r="AE481" s="16">
        <f>IF(ISERROR(VLOOKUP($A481,'13. Updated Demand'!A:Z,22,FALSE)),0,VLOOKUP($A481,'13. Updated Demand'!A:Z,22,FALSE))</f>
        <v>0</v>
      </c>
      <c r="AF481" s="16">
        <f>IF(ISERROR(VLOOKUP($A481,'13. Updated Demand'!A:Z,23,FALSE)),0,VLOOKUP($A481,'13. Updated Demand'!A:Z,23,FALSE))</f>
        <v>0</v>
      </c>
      <c r="AG481" s="16">
        <f>IF(ISERROR(VLOOKUP($A481,'13. Updated Demand'!A:Z,24,FALSE)),0,VLOOKUP($A481,'13. Updated Demand'!A:Z,24,FALSE))</f>
        <v>0</v>
      </c>
      <c r="AH481" s="16">
        <f>IF(ISERROR(VLOOKUP($A481,'13. Updated Demand'!A:Z,25,FALSE)),0,VLOOKUP($A481,'13. Updated Demand'!A:Z,25,FALSE))</f>
        <v>0</v>
      </c>
      <c r="AI481" s="16">
        <f>IF(ISERROR(VLOOKUP($A481,'13. Updated Demand'!A:Z,26,FALSE)),0,VLOOKUP($A481,'13. Updated Demand'!A:Z,26,FALSE))</f>
        <v>0</v>
      </c>
      <c r="AJ481" s="16">
        <f t="shared" si="96"/>
        <v>0</v>
      </c>
      <c r="AK481" s="19">
        <v>0</v>
      </c>
      <c r="AL481" s="16">
        <f t="shared" si="94"/>
        <v>0</v>
      </c>
      <c r="AM481" s="17">
        <v>0</v>
      </c>
      <c r="AN481" s="19"/>
      <c r="AO481" s="19"/>
      <c r="AP481" s="19">
        <v>160</v>
      </c>
      <c r="AQ481" s="19" t="s">
        <v>307</v>
      </c>
      <c r="AR481" s="9" t="s">
        <v>311</v>
      </c>
      <c r="AS481" s="12">
        <v>0</v>
      </c>
      <c r="AT481" s="19">
        <v>38.665417849999997</v>
      </c>
      <c r="AU481" s="19">
        <v>-122.79419802</v>
      </c>
      <c r="AV481" s="19" t="s">
        <v>417</v>
      </c>
    </row>
    <row r="482" spans="1:48" x14ac:dyDescent="0.25">
      <c r="A482" s="18" t="s">
        <v>166</v>
      </c>
      <c r="B482" s="10">
        <v>19840109</v>
      </c>
      <c r="C482" s="9">
        <v>12</v>
      </c>
      <c r="D482" s="8" t="str">
        <f t="shared" si="85"/>
        <v>N</v>
      </c>
      <c r="E482" s="8" t="str">
        <f t="shared" si="86"/>
        <v>Y</v>
      </c>
      <c r="F482" s="8" t="str">
        <f t="shared" si="87"/>
        <v>Y</v>
      </c>
      <c r="G482" s="8" t="str">
        <f t="shared" si="88"/>
        <v>Y</v>
      </c>
      <c r="H482" s="8" t="str">
        <f t="shared" si="89"/>
        <v>Upper</v>
      </c>
      <c r="I482" s="8" t="str">
        <f t="shared" si="90"/>
        <v>West Fork and Below Lake</v>
      </c>
      <c r="J482" s="8" t="str">
        <f t="shared" si="91"/>
        <v>Sonoma (d/s of Clov. Gage)</v>
      </c>
      <c r="K482" s="8" t="str">
        <f t="shared" si="92"/>
        <v>Post-1949</v>
      </c>
      <c r="L482" s="8">
        <f t="shared" si="93"/>
        <v>1984</v>
      </c>
      <c r="M482" s="8" t="str">
        <f t="shared" si="95"/>
        <v>1971-1990</v>
      </c>
      <c r="N482" s="10" t="s">
        <v>242</v>
      </c>
      <c r="O482" s="10" t="s">
        <v>241</v>
      </c>
      <c r="P482" s="10" t="s">
        <v>242</v>
      </c>
      <c r="Q482" s="10" t="s">
        <v>242</v>
      </c>
      <c r="R482" s="10" t="s">
        <v>241</v>
      </c>
      <c r="S482" s="10" t="s">
        <v>242</v>
      </c>
      <c r="T482" s="10" t="s">
        <v>242</v>
      </c>
      <c r="U482" s="10" t="s">
        <v>242</v>
      </c>
      <c r="V482" s="10" t="s">
        <v>241</v>
      </c>
      <c r="W482" s="10" t="s">
        <v>242</v>
      </c>
      <c r="X482" s="15">
        <f>IF(ISERROR(VLOOKUP($A482,'13. Updated Demand'!A:Z,15,FALSE)),0,VLOOKUP($A482,'13. Updated Demand'!A:Z,15,FALSE))</f>
        <v>17.23</v>
      </c>
      <c r="Y482" s="16">
        <f>IF(ISERROR(VLOOKUP($A482,'13. Updated Demand'!A:Z,16,FALSE)),0,VLOOKUP($A482,'13. Updated Demand'!A:Z,16,FALSE))</f>
        <v>0</v>
      </c>
      <c r="Z482" s="16">
        <f>IF(ISERROR(VLOOKUP($A482,'13. Updated Demand'!A:Z,17,FALSE)),0,VLOOKUP($A482,'13. Updated Demand'!A:Z,17,FALSE))</f>
        <v>0</v>
      </c>
      <c r="AA482" s="16">
        <f>IF(ISERROR(VLOOKUP($A482,'13. Updated Demand'!A:Z,18,FALSE)),0,VLOOKUP($A482,'13. Updated Demand'!A:Z,18,FALSE))</f>
        <v>1.1599999999999999</v>
      </c>
      <c r="AB482" s="16">
        <f>IF(ISERROR(VLOOKUP($A482,'13. Updated Demand'!A:Z,19,FALSE)),0,VLOOKUP($A482,'13. Updated Demand'!A:Z,19,FALSE))</f>
        <v>0</v>
      </c>
      <c r="AC482" s="16">
        <f>IF(ISERROR(VLOOKUP($A482,'13. Updated Demand'!A:Z,20,FALSE)),0,VLOOKUP($A482,'13. Updated Demand'!A:Z,20,FALSE))</f>
        <v>0</v>
      </c>
      <c r="AD482" s="16">
        <f>IF(ISERROR(VLOOKUP($A482,'13. Updated Demand'!A:Z,21,FALSE)),0,VLOOKUP($A482,'13. Updated Demand'!A:Z,21,FALSE))</f>
        <v>0</v>
      </c>
      <c r="AE482" s="16">
        <f>IF(ISERROR(VLOOKUP($A482,'13. Updated Demand'!A:Z,22,FALSE)),0,VLOOKUP($A482,'13. Updated Demand'!A:Z,22,FALSE))</f>
        <v>0</v>
      </c>
      <c r="AF482" s="16">
        <f>IF(ISERROR(VLOOKUP($A482,'13. Updated Demand'!A:Z,23,FALSE)),0,VLOOKUP($A482,'13. Updated Demand'!A:Z,23,FALSE))</f>
        <v>0</v>
      </c>
      <c r="AG482" s="16">
        <f>IF(ISERROR(VLOOKUP($A482,'13. Updated Demand'!A:Z,24,FALSE)),0,VLOOKUP($A482,'13. Updated Demand'!A:Z,24,FALSE))</f>
        <v>1.23</v>
      </c>
      <c r="AH482" s="16">
        <f>IF(ISERROR(VLOOKUP($A482,'13. Updated Demand'!A:Z,25,FALSE)),0,VLOOKUP($A482,'13. Updated Demand'!A:Z,25,FALSE))</f>
        <v>10.029999999999999</v>
      </c>
      <c r="AI482" s="16">
        <f>IF(ISERROR(VLOOKUP($A482,'13. Updated Demand'!A:Z,26,FALSE)),0,VLOOKUP($A482,'13. Updated Demand'!A:Z,26,FALSE))</f>
        <v>0</v>
      </c>
      <c r="AJ482" s="16">
        <f t="shared" si="96"/>
        <v>29.65</v>
      </c>
      <c r="AK482" s="19">
        <v>0</v>
      </c>
      <c r="AL482" s="16">
        <f t="shared" si="94"/>
        <v>0</v>
      </c>
      <c r="AM482" s="17">
        <v>0.74166666666666503</v>
      </c>
      <c r="AN482" s="19"/>
      <c r="AO482" s="19"/>
      <c r="AP482" s="19">
        <v>40</v>
      </c>
      <c r="AQ482" s="19" t="s">
        <v>307</v>
      </c>
      <c r="AR482" s="9" t="s">
        <v>311</v>
      </c>
      <c r="AS482" s="12">
        <v>0</v>
      </c>
      <c r="AT482" s="19">
        <v>38.665417849999997</v>
      </c>
      <c r="AU482" s="19">
        <v>-122.79419802</v>
      </c>
      <c r="AV482" s="19" t="s">
        <v>417</v>
      </c>
    </row>
    <row r="483" spans="1:48" x14ac:dyDescent="0.25">
      <c r="A483" s="18" t="s">
        <v>866</v>
      </c>
      <c r="B483" s="10">
        <v>19840123</v>
      </c>
      <c r="C483" s="9">
        <v>9</v>
      </c>
      <c r="D483" s="8" t="str">
        <f t="shared" si="85"/>
        <v>N</v>
      </c>
      <c r="E483" s="8" t="str">
        <f t="shared" si="86"/>
        <v>Y</v>
      </c>
      <c r="F483" s="8" t="str">
        <f t="shared" si="87"/>
        <v>Y</v>
      </c>
      <c r="G483" s="8" t="str">
        <f t="shared" si="88"/>
        <v>Y</v>
      </c>
      <c r="H483" s="8" t="str">
        <f t="shared" si="89"/>
        <v>Upper</v>
      </c>
      <c r="I483" s="8" t="str">
        <f t="shared" si="90"/>
        <v>West Fork and Below Lake</v>
      </c>
      <c r="J483" s="8" t="str">
        <f t="shared" si="91"/>
        <v>Sonoma (d/s of Clov. Gage)</v>
      </c>
      <c r="K483" s="8" t="str">
        <f t="shared" si="92"/>
        <v>Post-1949</v>
      </c>
      <c r="L483" s="8">
        <f t="shared" si="93"/>
        <v>1984</v>
      </c>
      <c r="M483" s="8" t="str">
        <f t="shared" si="95"/>
        <v>1971-1990</v>
      </c>
      <c r="N483" s="10" t="s">
        <v>241</v>
      </c>
      <c r="O483" s="10" t="s">
        <v>241</v>
      </c>
      <c r="P483" s="10" t="s">
        <v>242</v>
      </c>
      <c r="Q483" s="10" t="s">
        <v>242</v>
      </c>
      <c r="R483" s="10" t="s">
        <v>241</v>
      </c>
      <c r="S483" s="10" t="s">
        <v>242</v>
      </c>
      <c r="T483" s="10" t="s">
        <v>242</v>
      </c>
      <c r="U483" s="10" t="s">
        <v>242</v>
      </c>
      <c r="V483" s="10" t="s">
        <v>241</v>
      </c>
      <c r="W483" s="10" t="s">
        <v>242</v>
      </c>
      <c r="X483" s="15">
        <f>IF(ISERROR(VLOOKUP($A483,'13. Updated Demand'!A:Z,15,FALSE)),0,VLOOKUP($A483,'13. Updated Demand'!A:Z,15,FALSE))</f>
        <v>0</v>
      </c>
      <c r="Y483" s="16">
        <f>IF(ISERROR(VLOOKUP($A483,'13. Updated Demand'!A:Z,16,FALSE)),0,VLOOKUP($A483,'13. Updated Demand'!A:Z,16,FALSE))</f>
        <v>0</v>
      </c>
      <c r="Z483" s="16">
        <f>IF(ISERROR(VLOOKUP($A483,'13. Updated Demand'!A:Z,17,FALSE)),0,VLOOKUP($A483,'13. Updated Demand'!A:Z,17,FALSE))</f>
        <v>2.0299999999999998</v>
      </c>
      <c r="AA483" s="16">
        <f>IF(ISERROR(VLOOKUP($A483,'13. Updated Demand'!A:Z,18,FALSE)),0,VLOOKUP($A483,'13. Updated Demand'!A:Z,18,FALSE))</f>
        <v>0</v>
      </c>
      <c r="AB483" s="16">
        <f>IF(ISERROR(VLOOKUP($A483,'13. Updated Demand'!A:Z,19,FALSE)),0,VLOOKUP($A483,'13. Updated Demand'!A:Z,19,FALSE))</f>
        <v>0</v>
      </c>
      <c r="AC483" s="16">
        <f>IF(ISERROR(VLOOKUP($A483,'13. Updated Demand'!A:Z,20,FALSE)),0,VLOOKUP($A483,'13. Updated Demand'!A:Z,20,FALSE))</f>
        <v>0</v>
      </c>
      <c r="AD483" s="16">
        <f>IF(ISERROR(VLOOKUP($A483,'13. Updated Demand'!A:Z,21,FALSE)),0,VLOOKUP($A483,'13. Updated Demand'!A:Z,21,FALSE))</f>
        <v>0</v>
      </c>
      <c r="AE483" s="16">
        <f>IF(ISERROR(VLOOKUP($A483,'13. Updated Demand'!A:Z,22,FALSE)),0,VLOOKUP($A483,'13. Updated Demand'!A:Z,22,FALSE))</f>
        <v>0</v>
      </c>
      <c r="AF483" s="16">
        <f>IF(ISERROR(VLOOKUP($A483,'13. Updated Demand'!A:Z,23,FALSE)),0,VLOOKUP($A483,'13. Updated Demand'!A:Z,23,FALSE))</f>
        <v>0</v>
      </c>
      <c r="AG483" s="16">
        <f>IF(ISERROR(VLOOKUP($A483,'13. Updated Demand'!A:Z,24,FALSE)),0,VLOOKUP($A483,'13. Updated Demand'!A:Z,24,FALSE))</f>
        <v>0</v>
      </c>
      <c r="AH483" s="16">
        <f>IF(ISERROR(VLOOKUP($A483,'13. Updated Demand'!A:Z,25,FALSE)),0,VLOOKUP($A483,'13. Updated Demand'!A:Z,25,FALSE))</f>
        <v>0</v>
      </c>
      <c r="AI483" s="16">
        <f>IF(ISERROR(VLOOKUP($A483,'13. Updated Demand'!A:Z,26,FALSE)),0,VLOOKUP($A483,'13. Updated Demand'!A:Z,26,FALSE))</f>
        <v>0</v>
      </c>
      <c r="AJ483" s="16">
        <f t="shared" si="96"/>
        <v>2.0299999999999998</v>
      </c>
      <c r="AK483" s="19">
        <v>0</v>
      </c>
      <c r="AL483" s="16">
        <f t="shared" si="94"/>
        <v>0</v>
      </c>
      <c r="AM483" s="17">
        <v>0.16666666666666641</v>
      </c>
      <c r="AN483" s="19"/>
      <c r="AO483" s="19"/>
      <c r="AP483" s="19">
        <v>12.2</v>
      </c>
      <c r="AQ483" s="19" t="s">
        <v>307</v>
      </c>
      <c r="AR483" s="9" t="s">
        <v>354</v>
      </c>
      <c r="AS483" s="12">
        <v>0</v>
      </c>
      <c r="AT483" s="19">
        <v>38.724378469999998</v>
      </c>
      <c r="AU483" s="19">
        <v>-122.90918184</v>
      </c>
      <c r="AV483" s="19" t="s">
        <v>548</v>
      </c>
    </row>
    <row r="484" spans="1:48" x14ac:dyDescent="0.25">
      <c r="A484" s="18" t="s">
        <v>867</v>
      </c>
      <c r="B484" s="10">
        <v>19840306</v>
      </c>
      <c r="C484" s="9">
        <v>5</v>
      </c>
      <c r="D484" s="8" t="str">
        <f t="shared" si="85"/>
        <v>Y</v>
      </c>
      <c r="E484" s="8" t="str">
        <f t="shared" si="86"/>
        <v>N</v>
      </c>
      <c r="F484" s="8" t="str">
        <f t="shared" si="87"/>
        <v>Y</v>
      </c>
      <c r="G484" s="8" t="str">
        <f t="shared" si="88"/>
        <v>Y</v>
      </c>
      <c r="H484" s="8" t="str">
        <f t="shared" si="89"/>
        <v>Upper</v>
      </c>
      <c r="I484" s="8" t="str">
        <f t="shared" si="90"/>
        <v>West Fork and Below Lake</v>
      </c>
      <c r="J484" s="8" t="str">
        <f t="shared" si="91"/>
        <v>Mendocino (d/s of lake)</v>
      </c>
      <c r="K484" s="8" t="str">
        <f t="shared" si="92"/>
        <v>Post-1949</v>
      </c>
      <c r="L484" s="8">
        <f t="shared" si="93"/>
        <v>1984</v>
      </c>
      <c r="M484" s="8" t="str">
        <f t="shared" si="95"/>
        <v>1971-1990</v>
      </c>
      <c r="N484" s="10" t="s">
        <v>241</v>
      </c>
      <c r="O484" s="10" t="s">
        <v>241</v>
      </c>
      <c r="P484" s="10" t="s">
        <v>242</v>
      </c>
      <c r="Q484" s="10" t="s">
        <v>242</v>
      </c>
      <c r="R484" s="10" t="s">
        <v>241</v>
      </c>
      <c r="S484" s="10" t="s">
        <v>242</v>
      </c>
      <c r="T484" s="10" t="s">
        <v>242</v>
      </c>
      <c r="U484" s="10" t="s">
        <v>242</v>
      </c>
      <c r="V484" s="10" t="s">
        <v>241</v>
      </c>
      <c r="W484" s="10" t="s">
        <v>242</v>
      </c>
      <c r="X484" s="15">
        <f>IF(ISERROR(VLOOKUP($A484,'13. Updated Demand'!A:Z,15,FALSE)),0,VLOOKUP($A484,'13. Updated Demand'!A:Z,15,FALSE))</f>
        <v>1.4</v>
      </c>
      <c r="Y484" s="16">
        <f>IF(ISERROR(VLOOKUP($A484,'13. Updated Demand'!A:Z,16,FALSE)),0,VLOOKUP($A484,'13. Updated Demand'!A:Z,16,FALSE))</f>
        <v>1.33</v>
      </c>
      <c r="Z484" s="16">
        <f>IF(ISERROR(VLOOKUP($A484,'13. Updated Demand'!A:Z,17,FALSE)),0,VLOOKUP($A484,'13. Updated Demand'!A:Z,17,FALSE))</f>
        <v>0</v>
      </c>
      <c r="AA484" s="16">
        <f>IF(ISERROR(VLOOKUP($A484,'13. Updated Demand'!A:Z,18,FALSE)),0,VLOOKUP($A484,'13. Updated Demand'!A:Z,18,FALSE))</f>
        <v>0.5</v>
      </c>
      <c r="AB484" s="16">
        <f>IF(ISERROR(VLOOKUP($A484,'13. Updated Demand'!A:Z,19,FALSE)),0,VLOOKUP($A484,'13. Updated Demand'!A:Z,19,FALSE))</f>
        <v>0</v>
      </c>
      <c r="AC484" s="16">
        <f>IF(ISERROR(VLOOKUP($A484,'13. Updated Demand'!A:Z,20,FALSE)),0,VLOOKUP($A484,'13. Updated Demand'!A:Z,20,FALSE))</f>
        <v>0</v>
      </c>
      <c r="AD484" s="16">
        <f>IF(ISERROR(VLOOKUP($A484,'13. Updated Demand'!A:Z,21,FALSE)),0,VLOOKUP($A484,'13. Updated Demand'!A:Z,21,FALSE))</f>
        <v>0</v>
      </c>
      <c r="AE484" s="16">
        <f>IF(ISERROR(VLOOKUP($A484,'13. Updated Demand'!A:Z,22,FALSE)),0,VLOOKUP($A484,'13. Updated Demand'!A:Z,22,FALSE))</f>
        <v>0</v>
      </c>
      <c r="AF484" s="16">
        <f>IF(ISERROR(VLOOKUP($A484,'13. Updated Demand'!A:Z,23,FALSE)),0,VLOOKUP($A484,'13. Updated Demand'!A:Z,23,FALSE))</f>
        <v>0</v>
      </c>
      <c r="AG484" s="16">
        <f>IF(ISERROR(VLOOKUP($A484,'13. Updated Demand'!A:Z,24,FALSE)),0,VLOOKUP($A484,'13. Updated Demand'!A:Z,24,FALSE))</f>
        <v>0</v>
      </c>
      <c r="AH484" s="16">
        <f>IF(ISERROR(VLOOKUP($A484,'13. Updated Demand'!A:Z,25,FALSE)),0,VLOOKUP($A484,'13. Updated Demand'!A:Z,25,FALSE))</f>
        <v>0</v>
      </c>
      <c r="AI484" s="16">
        <f>IF(ISERROR(VLOOKUP($A484,'13. Updated Demand'!A:Z,26,FALSE)),0,VLOOKUP($A484,'13. Updated Demand'!A:Z,26,FALSE))</f>
        <v>0.63</v>
      </c>
      <c r="AJ484" s="16">
        <f t="shared" si="96"/>
        <v>3.86</v>
      </c>
      <c r="AK484" s="19">
        <v>0</v>
      </c>
      <c r="AL484" s="16">
        <f t="shared" si="94"/>
        <v>0</v>
      </c>
      <c r="AM484" s="17">
        <v>0.24166666666666642</v>
      </c>
      <c r="AN484" s="19"/>
      <c r="AO484" s="19"/>
      <c r="AP484" s="19">
        <v>16</v>
      </c>
      <c r="AQ484" s="19" t="s">
        <v>307</v>
      </c>
      <c r="AR484" s="9" t="s">
        <v>333</v>
      </c>
      <c r="AS484" s="12">
        <v>0</v>
      </c>
      <c r="AT484" s="19">
        <v>39.066702800000002</v>
      </c>
      <c r="AU484" s="19">
        <v>-123.14845520999999</v>
      </c>
      <c r="AV484" s="19" t="s">
        <v>417</v>
      </c>
    </row>
    <row r="485" spans="1:48" x14ac:dyDescent="0.25">
      <c r="A485" s="18" t="s">
        <v>868</v>
      </c>
      <c r="B485" s="10">
        <v>19840430</v>
      </c>
      <c r="C485" s="9">
        <v>1</v>
      </c>
      <c r="D485" s="8" t="str">
        <f t="shared" si="85"/>
        <v>N</v>
      </c>
      <c r="E485" s="8" t="str">
        <f t="shared" si="86"/>
        <v>N</v>
      </c>
      <c r="F485" s="8" t="str">
        <f t="shared" si="87"/>
        <v>Y</v>
      </c>
      <c r="G485" s="8" t="str">
        <f t="shared" si="88"/>
        <v>Y</v>
      </c>
      <c r="H485" s="8" t="str">
        <f t="shared" si="89"/>
        <v>Upper</v>
      </c>
      <c r="I485" s="8" t="str">
        <f t="shared" si="90"/>
        <v>West Fork and Below Lake</v>
      </c>
      <c r="J485" s="8" t="str">
        <f t="shared" si="91"/>
        <v>Outside</v>
      </c>
      <c r="K485" s="8" t="str">
        <f t="shared" si="92"/>
        <v>Post-1949</v>
      </c>
      <c r="L485" s="8">
        <f t="shared" si="93"/>
        <v>1984</v>
      </c>
      <c r="M485" s="8" t="str">
        <f t="shared" si="95"/>
        <v>1971-1990</v>
      </c>
      <c r="N485" s="10" t="s">
        <v>242</v>
      </c>
      <c r="O485" s="10" t="s">
        <v>241</v>
      </c>
      <c r="P485" s="10" t="s">
        <v>242</v>
      </c>
      <c r="Q485" s="10" t="s">
        <v>242</v>
      </c>
      <c r="R485" s="10" t="s">
        <v>241</v>
      </c>
      <c r="S485" s="10" t="s">
        <v>242</v>
      </c>
      <c r="T485" s="10" t="s">
        <v>242</v>
      </c>
      <c r="U485" s="10" t="s">
        <v>242</v>
      </c>
      <c r="V485" s="10" t="s">
        <v>241</v>
      </c>
      <c r="W485" s="10" t="s">
        <v>242</v>
      </c>
      <c r="X485" s="15">
        <f>IF(ISERROR(VLOOKUP($A485,'13. Updated Demand'!A:Z,15,FALSE)),0,VLOOKUP($A485,'13. Updated Demand'!A:Z,15,FALSE))</f>
        <v>16</v>
      </c>
      <c r="Y485" s="16">
        <f>IF(ISERROR(VLOOKUP($A485,'13. Updated Demand'!A:Z,16,FALSE)),0,VLOOKUP($A485,'13. Updated Demand'!A:Z,16,FALSE))</f>
        <v>21.33</v>
      </c>
      <c r="Z485" s="16">
        <f>IF(ISERROR(VLOOKUP($A485,'13. Updated Demand'!A:Z,17,FALSE)),0,VLOOKUP($A485,'13. Updated Demand'!A:Z,17,FALSE))</f>
        <v>4.66</v>
      </c>
      <c r="AA485" s="16">
        <f>IF(ISERROR(VLOOKUP($A485,'13. Updated Demand'!A:Z,18,FALSE)),0,VLOOKUP($A485,'13. Updated Demand'!A:Z,18,FALSE))</f>
        <v>0</v>
      </c>
      <c r="AB485" s="16">
        <f>IF(ISERROR(VLOOKUP($A485,'13. Updated Demand'!A:Z,19,FALSE)),0,VLOOKUP($A485,'13. Updated Demand'!A:Z,19,FALSE))</f>
        <v>0</v>
      </c>
      <c r="AC485" s="16">
        <f>IF(ISERROR(VLOOKUP($A485,'13. Updated Demand'!A:Z,20,FALSE)),0,VLOOKUP($A485,'13. Updated Demand'!A:Z,20,FALSE))</f>
        <v>0</v>
      </c>
      <c r="AD485" s="16">
        <f>IF(ISERROR(VLOOKUP($A485,'13. Updated Demand'!A:Z,21,FALSE)),0,VLOOKUP($A485,'13. Updated Demand'!A:Z,21,FALSE))</f>
        <v>0</v>
      </c>
      <c r="AE485" s="16">
        <f>IF(ISERROR(VLOOKUP($A485,'13. Updated Demand'!A:Z,22,FALSE)),0,VLOOKUP($A485,'13. Updated Demand'!A:Z,22,FALSE))</f>
        <v>0</v>
      </c>
      <c r="AF485" s="16">
        <f>IF(ISERROR(VLOOKUP($A485,'13. Updated Demand'!A:Z,23,FALSE)),0,VLOOKUP($A485,'13. Updated Demand'!A:Z,23,FALSE))</f>
        <v>0</v>
      </c>
      <c r="AG485" s="16">
        <f>IF(ISERROR(VLOOKUP($A485,'13. Updated Demand'!A:Z,24,FALSE)),0,VLOOKUP($A485,'13. Updated Demand'!A:Z,24,FALSE))</f>
        <v>0</v>
      </c>
      <c r="AH485" s="16">
        <f>IF(ISERROR(VLOOKUP($A485,'13. Updated Demand'!A:Z,25,FALSE)),0,VLOOKUP($A485,'13. Updated Demand'!A:Z,25,FALSE))</f>
        <v>4.66</v>
      </c>
      <c r="AI485" s="16">
        <f>IF(ISERROR(VLOOKUP($A485,'13. Updated Demand'!A:Z,26,FALSE)),0,VLOOKUP($A485,'13. Updated Demand'!A:Z,26,FALSE))</f>
        <v>2.33</v>
      </c>
      <c r="AJ485" s="16">
        <f t="shared" si="96"/>
        <v>48.97999999999999</v>
      </c>
      <c r="AK485" s="19">
        <v>0</v>
      </c>
      <c r="AL485" s="16">
        <f t="shared" si="94"/>
        <v>0</v>
      </c>
      <c r="AM485" s="17">
        <v>0.99999999993877553</v>
      </c>
      <c r="AN485" s="19"/>
      <c r="AO485" s="19"/>
      <c r="AP485" s="19">
        <v>49</v>
      </c>
      <c r="AQ485" s="19" t="s">
        <v>307</v>
      </c>
      <c r="AR485" s="9" t="s">
        <v>317</v>
      </c>
      <c r="AS485" s="12">
        <v>0</v>
      </c>
      <c r="AT485" s="19">
        <v>39.323667919999998</v>
      </c>
      <c r="AU485" s="19">
        <v>-123.31933397</v>
      </c>
      <c r="AV485" s="19" t="s">
        <v>417</v>
      </c>
    </row>
    <row r="486" spans="1:48" x14ac:dyDescent="0.25">
      <c r="A486" s="18" t="s">
        <v>869</v>
      </c>
      <c r="B486" s="10">
        <v>19840620</v>
      </c>
      <c r="C486" s="9">
        <v>10</v>
      </c>
      <c r="D486" s="8" t="str">
        <f t="shared" si="85"/>
        <v>N</v>
      </c>
      <c r="E486" s="8" t="str">
        <f t="shared" si="86"/>
        <v>Y</v>
      </c>
      <c r="F486" s="8" t="str">
        <f t="shared" si="87"/>
        <v>Y</v>
      </c>
      <c r="G486" s="8" t="str">
        <f t="shared" si="88"/>
        <v>Y</v>
      </c>
      <c r="H486" s="8" t="str">
        <f t="shared" si="89"/>
        <v>Upper</v>
      </c>
      <c r="I486" s="8" t="str">
        <f t="shared" si="90"/>
        <v>West Fork and Below Lake</v>
      </c>
      <c r="J486" s="8" t="str">
        <f t="shared" si="91"/>
        <v>Sonoma (d/s of Clov. Gage)</v>
      </c>
      <c r="K486" s="8" t="str">
        <f t="shared" si="92"/>
        <v>Post-1949</v>
      </c>
      <c r="L486" s="8">
        <f t="shared" si="93"/>
        <v>1984</v>
      </c>
      <c r="M486" s="8" t="str">
        <f t="shared" si="95"/>
        <v>1971-1990</v>
      </c>
      <c r="N486" s="10" t="s">
        <v>242</v>
      </c>
      <c r="O486" s="10" t="s">
        <v>241</v>
      </c>
      <c r="P486" s="10" t="s">
        <v>242</v>
      </c>
      <c r="Q486" s="10" t="s">
        <v>242</v>
      </c>
      <c r="R486" s="10" t="s">
        <v>241</v>
      </c>
      <c r="S486" s="10" t="s">
        <v>242</v>
      </c>
      <c r="T486" s="10" t="s">
        <v>242</v>
      </c>
      <c r="U486" s="10" t="s">
        <v>242</v>
      </c>
      <c r="V486" s="10" t="s">
        <v>241</v>
      </c>
      <c r="W486" s="10" t="s">
        <v>242</v>
      </c>
      <c r="X486" s="15">
        <f>IF(ISERROR(VLOOKUP($A486,'13. Updated Demand'!A:Z,15,FALSE)),0,VLOOKUP($A486,'13. Updated Demand'!A:Z,15,FALSE))</f>
        <v>2.66</v>
      </c>
      <c r="Y486" s="16">
        <f>IF(ISERROR(VLOOKUP($A486,'13. Updated Demand'!A:Z,16,FALSE)),0,VLOOKUP($A486,'13. Updated Demand'!A:Z,16,FALSE))</f>
        <v>0.26</v>
      </c>
      <c r="Z486" s="16">
        <f>IF(ISERROR(VLOOKUP($A486,'13. Updated Demand'!A:Z,17,FALSE)),0,VLOOKUP($A486,'13. Updated Demand'!A:Z,17,FALSE))</f>
        <v>0</v>
      </c>
      <c r="AA486" s="16">
        <f>IF(ISERROR(VLOOKUP($A486,'13. Updated Demand'!A:Z,18,FALSE)),0,VLOOKUP($A486,'13. Updated Demand'!A:Z,18,FALSE))</f>
        <v>0</v>
      </c>
      <c r="AB486" s="16">
        <f>IF(ISERROR(VLOOKUP($A486,'13. Updated Demand'!A:Z,19,FALSE)),0,VLOOKUP($A486,'13. Updated Demand'!A:Z,19,FALSE))</f>
        <v>0</v>
      </c>
      <c r="AC486" s="16">
        <f>IF(ISERROR(VLOOKUP($A486,'13. Updated Demand'!A:Z,20,FALSE)),0,VLOOKUP($A486,'13. Updated Demand'!A:Z,20,FALSE))</f>
        <v>0</v>
      </c>
      <c r="AD486" s="16">
        <f>IF(ISERROR(VLOOKUP($A486,'13. Updated Demand'!A:Z,21,FALSE)),0,VLOOKUP($A486,'13. Updated Demand'!A:Z,21,FALSE))</f>
        <v>0</v>
      </c>
      <c r="AE486" s="16">
        <f>IF(ISERROR(VLOOKUP($A486,'13. Updated Demand'!A:Z,22,FALSE)),0,VLOOKUP($A486,'13. Updated Demand'!A:Z,22,FALSE))</f>
        <v>0</v>
      </c>
      <c r="AF486" s="16">
        <f>IF(ISERROR(VLOOKUP($A486,'13. Updated Demand'!A:Z,23,FALSE)),0,VLOOKUP($A486,'13. Updated Demand'!A:Z,23,FALSE))</f>
        <v>0</v>
      </c>
      <c r="AG486" s="16">
        <f>IF(ISERROR(VLOOKUP($A486,'13. Updated Demand'!A:Z,24,FALSE)),0,VLOOKUP($A486,'13. Updated Demand'!A:Z,24,FALSE))</f>
        <v>0</v>
      </c>
      <c r="AH486" s="16">
        <f>IF(ISERROR(VLOOKUP($A486,'13. Updated Demand'!A:Z,25,FALSE)),0,VLOOKUP($A486,'13. Updated Demand'!A:Z,25,FALSE))</f>
        <v>1.4</v>
      </c>
      <c r="AI486" s="16">
        <f>IF(ISERROR(VLOOKUP($A486,'13. Updated Demand'!A:Z,26,FALSE)),0,VLOOKUP($A486,'13. Updated Demand'!A:Z,26,FALSE))</f>
        <v>27.26</v>
      </c>
      <c r="AJ486" s="16">
        <f t="shared" si="96"/>
        <v>31.580000000000002</v>
      </c>
      <c r="AK486" s="19">
        <v>0</v>
      </c>
      <c r="AL486" s="16">
        <f t="shared" si="94"/>
        <v>0</v>
      </c>
      <c r="AM486" s="17">
        <v>0.68695652182608691</v>
      </c>
      <c r="AN486" s="19"/>
      <c r="AO486" s="19"/>
      <c r="AP486" s="19">
        <v>46</v>
      </c>
      <c r="AQ486" s="19" t="s">
        <v>307</v>
      </c>
      <c r="AR486" s="9" t="s">
        <v>436</v>
      </c>
      <c r="AS486" s="12">
        <v>0</v>
      </c>
      <c r="AT486" s="19">
        <v>38.653399999999998</v>
      </c>
      <c r="AU486" s="19">
        <v>-122.8412</v>
      </c>
      <c r="AV486" s="19" t="s">
        <v>417</v>
      </c>
    </row>
    <row r="487" spans="1:48" x14ac:dyDescent="0.25">
      <c r="A487" s="18" t="s">
        <v>870</v>
      </c>
      <c r="B487" s="10">
        <v>19841109</v>
      </c>
      <c r="C487" s="9">
        <v>7</v>
      </c>
      <c r="D487" s="8" t="str">
        <f t="shared" si="85"/>
        <v>N</v>
      </c>
      <c r="E487" s="8" t="str">
        <f t="shared" si="86"/>
        <v>Y</v>
      </c>
      <c r="F487" s="8" t="str">
        <f t="shared" si="87"/>
        <v>Y</v>
      </c>
      <c r="G487" s="8" t="str">
        <f t="shared" si="88"/>
        <v>Y</v>
      </c>
      <c r="H487" s="8" t="str">
        <f t="shared" si="89"/>
        <v>Upper</v>
      </c>
      <c r="I487" s="8" t="str">
        <f t="shared" si="90"/>
        <v>West Fork and Below Lake</v>
      </c>
      <c r="J487" s="8" t="str">
        <f t="shared" si="91"/>
        <v>Sonoma (d/s of Clov. Gage)</v>
      </c>
      <c r="K487" s="8" t="str">
        <f t="shared" si="92"/>
        <v>Post-1949</v>
      </c>
      <c r="L487" s="8">
        <f t="shared" si="93"/>
        <v>1984</v>
      </c>
      <c r="M487" s="8" t="str">
        <f t="shared" si="95"/>
        <v>1971-1990</v>
      </c>
      <c r="N487" s="10" t="s">
        <v>242</v>
      </c>
      <c r="O487" s="10" t="s">
        <v>241</v>
      </c>
      <c r="P487" s="10" t="s">
        <v>242</v>
      </c>
      <c r="Q487" s="10" t="s">
        <v>242</v>
      </c>
      <c r="R487" s="10" t="s">
        <v>241</v>
      </c>
      <c r="S487" s="10" t="s">
        <v>242</v>
      </c>
      <c r="T487" s="10" t="s">
        <v>242</v>
      </c>
      <c r="U487" s="10" t="s">
        <v>242</v>
      </c>
      <c r="V487" s="10" t="s">
        <v>242</v>
      </c>
      <c r="W487" s="10" t="s">
        <v>242</v>
      </c>
      <c r="X487" s="15">
        <f>IF(ISERROR(VLOOKUP($A487,'13. Updated Demand'!A:Z,15,FALSE)),0,VLOOKUP($A487,'13. Updated Demand'!A:Z,15,FALSE))</f>
        <v>166.63</v>
      </c>
      <c r="Y487" s="16">
        <f>IF(ISERROR(VLOOKUP($A487,'13. Updated Demand'!A:Z,16,FALSE)),0,VLOOKUP($A487,'13. Updated Demand'!A:Z,16,FALSE))</f>
        <v>180.16</v>
      </c>
      <c r="Z487" s="16">
        <f>IF(ISERROR(VLOOKUP($A487,'13. Updated Demand'!A:Z,17,FALSE)),0,VLOOKUP($A487,'13. Updated Demand'!A:Z,17,FALSE))</f>
        <v>216</v>
      </c>
      <c r="AA487" s="16">
        <f>IF(ISERROR(VLOOKUP($A487,'13. Updated Demand'!A:Z,18,FALSE)),0,VLOOKUP($A487,'13. Updated Demand'!A:Z,18,FALSE))</f>
        <v>153.56</v>
      </c>
      <c r="AB487" s="16">
        <f>IF(ISERROR(VLOOKUP($A487,'13. Updated Demand'!A:Z,19,FALSE)),0,VLOOKUP($A487,'13. Updated Demand'!A:Z,19,FALSE))</f>
        <v>5.7333330000000002E-3</v>
      </c>
      <c r="AC487" s="16">
        <f>IF(ISERROR(VLOOKUP($A487,'13. Updated Demand'!A:Z,20,FALSE)),0,VLOOKUP($A487,'13. Updated Demand'!A:Z,20,FALSE))</f>
        <v>0.01</v>
      </c>
      <c r="AD487" s="16">
        <f>IF(ISERROR(VLOOKUP($A487,'13. Updated Demand'!A:Z,21,FALSE)),0,VLOOKUP($A487,'13. Updated Demand'!A:Z,21,FALSE))</f>
        <v>0.01</v>
      </c>
      <c r="AE487" s="16">
        <f>IF(ISERROR(VLOOKUP($A487,'13. Updated Demand'!A:Z,22,FALSE)),0,VLOOKUP($A487,'13. Updated Demand'!A:Z,22,FALSE))</f>
        <v>0.05</v>
      </c>
      <c r="AF487" s="16">
        <f>IF(ISERROR(VLOOKUP($A487,'13. Updated Demand'!A:Z,23,FALSE)),0,VLOOKUP($A487,'13. Updated Demand'!A:Z,23,FALSE))</f>
        <v>0.04</v>
      </c>
      <c r="AG487" s="16">
        <f>IF(ISERROR(VLOOKUP($A487,'13. Updated Demand'!A:Z,24,FALSE)),0,VLOOKUP($A487,'13. Updated Demand'!A:Z,24,FALSE))</f>
        <v>0.03</v>
      </c>
      <c r="AH487" s="16">
        <f>IF(ISERROR(VLOOKUP($A487,'13. Updated Demand'!A:Z,25,FALSE)),0,VLOOKUP($A487,'13. Updated Demand'!A:Z,25,FALSE))</f>
        <v>7.0000000000000007E-2</v>
      </c>
      <c r="AI487" s="16">
        <f>IF(ISERROR(VLOOKUP($A487,'13. Updated Demand'!A:Z,26,FALSE)),0,VLOOKUP($A487,'13. Updated Demand'!A:Z,26,FALSE))</f>
        <v>7.0000000000000007E-2</v>
      </c>
      <c r="AJ487" s="16">
        <f t="shared" si="96"/>
        <v>716.63573333299985</v>
      </c>
      <c r="AK487" s="19">
        <v>0.12933333299999999</v>
      </c>
      <c r="AL487" s="16">
        <f t="shared" si="94"/>
        <v>4.2898393310992377E-4</v>
      </c>
      <c r="AM487" s="17">
        <v>0.22243814400993173</v>
      </c>
      <c r="AN487" s="19"/>
      <c r="AO487" s="19"/>
      <c r="AP487" s="19">
        <v>3222</v>
      </c>
      <c r="AQ487" s="19" t="s">
        <v>307</v>
      </c>
      <c r="AR487" s="9" t="s">
        <v>823</v>
      </c>
      <c r="AS487" s="12">
        <v>0</v>
      </c>
      <c r="AT487" s="19">
        <v>38.786069679999997</v>
      </c>
      <c r="AU487" s="19">
        <v>-122.77887905999999</v>
      </c>
      <c r="AV487" s="19" t="s">
        <v>871</v>
      </c>
    </row>
    <row r="488" spans="1:48" x14ac:dyDescent="0.25">
      <c r="A488" s="18" t="s">
        <v>872</v>
      </c>
      <c r="B488" s="10">
        <v>19841109</v>
      </c>
      <c r="C488" s="9">
        <v>7</v>
      </c>
      <c r="D488" s="8" t="str">
        <f t="shared" si="85"/>
        <v>N</v>
      </c>
      <c r="E488" s="8" t="str">
        <f t="shared" si="86"/>
        <v>Y</v>
      </c>
      <c r="F488" s="8" t="str">
        <f t="shared" si="87"/>
        <v>Y</v>
      </c>
      <c r="G488" s="8" t="str">
        <f t="shared" si="88"/>
        <v>Y</v>
      </c>
      <c r="H488" s="8" t="str">
        <f t="shared" si="89"/>
        <v>Upper</v>
      </c>
      <c r="I488" s="8" t="str">
        <f t="shared" si="90"/>
        <v>West Fork and Below Lake</v>
      </c>
      <c r="J488" s="8" t="str">
        <f t="shared" si="91"/>
        <v>Sonoma (d/s of Clov. Gage)</v>
      </c>
      <c r="K488" s="8" t="str">
        <f t="shared" si="92"/>
        <v>Post-1949</v>
      </c>
      <c r="L488" s="8">
        <f t="shared" si="93"/>
        <v>1984</v>
      </c>
      <c r="M488" s="8" t="str">
        <f t="shared" si="95"/>
        <v>1971-1990</v>
      </c>
      <c r="N488" s="10" t="s">
        <v>242</v>
      </c>
      <c r="O488" s="10" t="s">
        <v>241</v>
      </c>
      <c r="P488" s="10" t="s">
        <v>242</v>
      </c>
      <c r="Q488" s="10" t="s">
        <v>242</v>
      </c>
      <c r="R488" s="10" t="s">
        <v>241</v>
      </c>
      <c r="S488" s="10" t="s">
        <v>242</v>
      </c>
      <c r="T488" s="10" t="s">
        <v>242</v>
      </c>
      <c r="U488" s="10" t="s">
        <v>242</v>
      </c>
      <c r="V488" s="10" t="s">
        <v>242</v>
      </c>
      <c r="W488" s="10" t="s">
        <v>242</v>
      </c>
      <c r="X488" s="15">
        <f>IF(ISERROR(VLOOKUP($A488,'13. Updated Demand'!A:Z,15,FALSE)),0,VLOOKUP($A488,'13. Updated Demand'!A:Z,15,FALSE))</f>
        <v>100.53</v>
      </c>
      <c r="Y488" s="16">
        <f>IF(ISERROR(VLOOKUP($A488,'13. Updated Demand'!A:Z,16,FALSE)),0,VLOOKUP($A488,'13. Updated Demand'!A:Z,16,FALSE))</f>
        <v>99.46</v>
      </c>
      <c r="Z488" s="16">
        <f>IF(ISERROR(VLOOKUP($A488,'13. Updated Demand'!A:Z,17,FALSE)),0,VLOOKUP($A488,'13. Updated Demand'!A:Z,17,FALSE))</f>
        <v>105.48</v>
      </c>
      <c r="AA488" s="16">
        <f>IF(ISERROR(VLOOKUP($A488,'13. Updated Demand'!A:Z,18,FALSE)),0,VLOOKUP($A488,'13. Updated Demand'!A:Z,18,FALSE))</f>
        <v>79.73</v>
      </c>
      <c r="AB488" s="16">
        <f>IF(ISERROR(VLOOKUP($A488,'13. Updated Demand'!A:Z,19,FALSE)),0,VLOOKUP($A488,'13. Updated Demand'!A:Z,19,FALSE))</f>
        <v>15.54</v>
      </c>
      <c r="AC488" s="16">
        <f>IF(ISERROR(VLOOKUP($A488,'13. Updated Demand'!A:Z,20,FALSE)),0,VLOOKUP($A488,'13. Updated Demand'!A:Z,20,FALSE))</f>
        <v>0.02</v>
      </c>
      <c r="AD488" s="16">
        <f>IF(ISERROR(VLOOKUP($A488,'13. Updated Demand'!A:Z,21,FALSE)),0,VLOOKUP($A488,'13. Updated Demand'!A:Z,21,FALSE))</f>
        <v>0.02</v>
      </c>
      <c r="AE488" s="16">
        <f>IF(ISERROR(VLOOKUP($A488,'13. Updated Demand'!A:Z,22,FALSE)),0,VLOOKUP($A488,'13. Updated Demand'!A:Z,22,FALSE))</f>
        <v>0.01</v>
      </c>
      <c r="AF488" s="16">
        <f>IF(ISERROR(VLOOKUP($A488,'13. Updated Demand'!A:Z,23,FALSE)),0,VLOOKUP($A488,'13. Updated Demand'!A:Z,23,FALSE))</f>
        <v>0.03</v>
      </c>
      <c r="AG488" s="16">
        <f>IF(ISERROR(VLOOKUP($A488,'13. Updated Demand'!A:Z,24,FALSE)),0,VLOOKUP($A488,'13. Updated Demand'!A:Z,24,FALSE))</f>
        <v>0.02</v>
      </c>
      <c r="AH488" s="16">
        <f>IF(ISERROR(VLOOKUP($A488,'13. Updated Demand'!A:Z,25,FALSE)),0,VLOOKUP($A488,'13. Updated Demand'!A:Z,25,FALSE))</f>
        <v>0.01</v>
      </c>
      <c r="AI488" s="16">
        <f>IF(ISERROR(VLOOKUP($A488,'13. Updated Demand'!A:Z,26,FALSE)),0,VLOOKUP($A488,'13. Updated Demand'!A:Z,26,FALSE))</f>
        <v>0.03</v>
      </c>
      <c r="AJ488" s="16">
        <f t="shared" si="96"/>
        <v>400.87999999999994</v>
      </c>
      <c r="AK488" s="19">
        <v>15.646666663</v>
      </c>
      <c r="AL488" s="16">
        <f t="shared" si="94"/>
        <v>5.189821099834848E-2</v>
      </c>
      <c r="AM488" s="17">
        <v>0.13816115320330802</v>
      </c>
      <c r="AN488" s="19"/>
      <c r="AO488" s="19"/>
      <c r="AP488" s="19">
        <v>2902</v>
      </c>
      <c r="AQ488" s="19" t="s">
        <v>307</v>
      </c>
      <c r="AR488" s="9" t="s">
        <v>823</v>
      </c>
      <c r="AS488" s="12">
        <v>0</v>
      </c>
      <c r="AT488" s="19">
        <v>38.797718949999997</v>
      </c>
      <c r="AU488" s="19">
        <v>-122.80216595</v>
      </c>
      <c r="AV488" s="19" t="s">
        <v>871</v>
      </c>
    </row>
    <row r="489" spans="1:48" x14ac:dyDescent="0.25">
      <c r="A489" s="18" t="s">
        <v>873</v>
      </c>
      <c r="B489" s="10">
        <v>19840117</v>
      </c>
      <c r="C489" s="9">
        <v>23</v>
      </c>
      <c r="D489" s="8" t="str">
        <f t="shared" si="85"/>
        <v>N</v>
      </c>
      <c r="E489" s="8" t="str">
        <f t="shared" si="86"/>
        <v>N</v>
      </c>
      <c r="F489" s="8" t="str">
        <f t="shared" si="87"/>
        <v>N</v>
      </c>
      <c r="G489" s="8" t="str">
        <f t="shared" si="88"/>
        <v>N</v>
      </c>
      <c r="H489" s="8" t="str">
        <f t="shared" si="89"/>
        <v>Lower</v>
      </c>
      <c r="I489" s="8" t="str">
        <f t="shared" si="90"/>
        <v>Outside</v>
      </c>
      <c r="J489" s="8" t="str">
        <f t="shared" si="91"/>
        <v>Outside</v>
      </c>
      <c r="K489" s="8" t="str">
        <f t="shared" si="92"/>
        <v>Post-1949</v>
      </c>
      <c r="L489" s="8">
        <f t="shared" si="93"/>
        <v>1984</v>
      </c>
      <c r="M489" s="8" t="str">
        <f t="shared" si="95"/>
        <v>1971-1990</v>
      </c>
      <c r="N489" s="10" t="s">
        <v>242</v>
      </c>
      <c r="O489" s="10" t="s">
        <v>242</v>
      </c>
      <c r="P489" s="10" t="s">
        <v>242</v>
      </c>
      <c r="Q489" s="10" t="s">
        <v>242</v>
      </c>
      <c r="R489" s="10" t="s">
        <v>241</v>
      </c>
      <c r="S489" s="10" t="s">
        <v>242</v>
      </c>
      <c r="T489" s="10" t="s">
        <v>242</v>
      </c>
      <c r="U489" s="10" t="s">
        <v>242</v>
      </c>
      <c r="V489" s="10" t="s">
        <v>241</v>
      </c>
      <c r="W489" s="10" t="s">
        <v>242</v>
      </c>
      <c r="X489" s="15">
        <f>IF(ISERROR(VLOOKUP($A489,'13. Updated Demand'!A:Z,15,FALSE)),0,VLOOKUP($A489,'13. Updated Demand'!A:Z,15,FALSE))</f>
        <v>0</v>
      </c>
      <c r="Y489" s="16">
        <f>IF(ISERROR(VLOOKUP($A489,'13. Updated Demand'!A:Z,16,FALSE)),0,VLOOKUP($A489,'13. Updated Demand'!A:Z,16,FALSE))</f>
        <v>0.16666666699999999</v>
      </c>
      <c r="Z489" s="16">
        <f>IF(ISERROR(VLOOKUP($A489,'13. Updated Demand'!A:Z,17,FALSE)),0,VLOOKUP($A489,'13. Updated Demand'!A:Z,17,FALSE))</f>
        <v>0.3</v>
      </c>
      <c r="AA489" s="16">
        <f>IF(ISERROR(VLOOKUP($A489,'13. Updated Demand'!A:Z,18,FALSE)),0,VLOOKUP($A489,'13. Updated Demand'!A:Z,18,FALSE))</f>
        <v>0</v>
      </c>
      <c r="AB489" s="16">
        <f>IF(ISERROR(VLOOKUP($A489,'13. Updated Demand'!A:Z,19,FALSE)),0,VLOOKUP($A489,'13. Updated Demand'!A:Z,19,FALSE))</f>
        <v>0</v>
      </c>
      <c r="AC489" s="16">
        <f>IF(ISERROR(VLOOKUP($A489,'13. Updated Demand'!A:Z,20,FALSE)),0,VLOOKUP($A489,'13. Updated Demand'!A:Z,20,FALSE))</f>
        <v>0</v>
      </c>
      <c r="AD489" s="16">
        <f>IF(ISERROR(VLOOKUP($A489,'13. Updated Demand'!A:Z,21,FALSE)),0,VLOOKUP($A489,'13. Updated Demand'!A:Z,21,FALSE))</f>
        <v>0</v>
      </c>
      <c r="AE489" s="16">
        <f>IF(ISERROR(VLOOKUP($A489,'13. Updated Demand'!A:Z,22,FALSE)),0,VLOOKUP($A489,'13. Updated Demand'!A:Z,22,FALSE))</f>
        <v>0</v>
      </c>
      <c r="AF489" s="16">
        <f>IF(ISERROR(VLOOKUP($A489,'13. Updated Demand'!A:Z,23,FALSE)),0,VLOOKUP($A489,'13. Updated Demand'!A:Z,23,FALSE))</f>
        <v>0</v>
      </c>
      <c r="AG489" s="16">
        <f>IF(ISERROR(VLOOKUP($A489,'13. Updated Demand'!A:Z,24,FALSE)),0,VLOOKUP($A489,'13. Updated Demand'!A:Z,24,FALSE))</f>
        <v>0</v>
      </c>
      <c r="AH489" s="16">
        <f>IF(ISERROR(VLOOKUP($A489,'13. Updated Demand'!A:Z,25,FALSE)),0,VLOOKUP($A489,'13. Updated Demand'!A:Z,25,FALSE))</f>
        <v>0</v>
      </c>
      <c r="AI489" s="16">
        <f>IF(ISERROR(VLOOKUP($A489,'13. Updated Demand'!A:Z,26,FALSE)),0,VLOOKUP($A489,'13. Updated Demand'!A:Z,26,FALSE))</f>
        <v>0.5</v>
      </c>
      <c r="AJ489" s="16">
        <f t="shared" si="96"/>
        <v>0.96666666699999992</v>
      </c>
      <c r="AK489" s="19">
        <v>0</v>
      </c>
      <c r="AL489" s="16">
        <f t="shared" si="94"/>
        <v>0</v>
      </c>
      <c r="AM489" s="17">
        <v>0.10861423224719099</v>
      </c>
      <c r="AN489" s="19"/>
      <c r="AO489" s="19"/>
      <c r="AP489" s="19">
        <v>8.9</v>
      </c>
      <c r="AQ489" s="19" t="s">
        <v>307</v>
      </c>
      <c r="AR489" s="9" t="s">
        <v>378</v>
      </c>
      <c r="AS489" s="12">
        <v>3.4039024194010059E-4</v>
      </c>
      <c r="AT489" s="19">
        <v>38.356413279999998</v>
      </c>
      <c r="AU489" s="19">
        <v>-122.60262964</v>
      </c>
      <c r="AV489" s="19" t="s">
        <v>417</v>
      </c>
    </row>
    <row r="490" spans="1:48" x14ac:dyDescent="0.25">
      <c r="A490" s="18" t="s">
        <v>874</v>
      </c>
      <c r="B490" s="10">
        <v>19841227</v>
      </c>
      <c r="C490" s="9">
        <v>19</v>
      </c>
      <c r="D490" s="8" t="str">
        <f t="shared" si="85"/>
        <v>N</v>
      </c>
      <c r="E490" s="8" t="str">
        <f t="shared" si="86"/>
        <v>N</v>
      </c>
      <c r="F490" s="8" t="str">
        <f t="shared" si="87"/>
        <v>N</v>
      </c>
      <c r="G490" s="8" t="str">
        <f t="shared" si="88"/>
        <v>N</v>
      </c>
      <c r="H490" s="8" t="str">
        <f t="shared" si="89"/>
        <v>Lower</v>
      </c>
      <c r="I490" s="8" t="str">
        <f t="shared" si="90"/>
        <v>Outside</v>
      </c>
      <c r="J490" s="8" t="str">
        <f t="shared" si="91"/>
        <v>Outside</v>
      </c>
      <c r="K490" s="8" t="str">
        <f t="shared" si="92"/>
        <v>Post-1949</v>
      </c>
      <c r="L490" s="8">
        <f t="shared" si="93"/>
        <v>1984</v>
      </c>
      <c r="M490" s="8" t="str">
        <f t="shared" si="95"/>
        <v>1971-1990</v>
      </c>
      <c r="N490" s="10" t="s">
        <v>242</v>
      </c>
      <c r="O490" s="10" t="s">
        <v>242</v>
      </c>
      <c r="P490" s="10" t="s">
        <v>242</v>
      </c>
      <c r="Q490" s="10" t="s">
        <v>242</v>
      </c>
      <c r="R490" s="10" t="s">
        <v>241</v>
      </c>
      <c r="S490" s="10" t="s">
        <v>242</v>
      </c>
      <c r="T490" s="10" t="s">
        <v>242</v>
      </c>
      <c r="U490" s="10" t="s">
        <v>242</v>
      </c>
      <c r="V490" s="10" t="s">
        <v>242</v>
      </c>
      <c r="W490" s="10" t="s">
        <v>242</v>
      </c>
      <c r="X490" s="15">
        <f>IF(ISERROR(VLOOKUP($A490,'13. Updated Demand'!A:Z,15,FALSE)),0,VLOOKUP($A490,'13. Updated Demand'!A:Z,15,FALSE))</f>
        <v>0.09</v>
      </c>
      <c r="Y490" s="16">
        <f>IF(ISERROR(VLOOKUP($A490,'13. Updated Demand'!A:Z,16,FALSE)),0,VLOOKUP($A490,'13. Updated Demand'!A:Z,16,FALSE))</f>
        <v>0.85666666700000005</v>
      </c>
      <c r="Z490" s="16">
        <f>IF(ISERROR(VLOOKUP($A490,'13. Updated Demand'!A:Z,17,FALSE)),0,VLOOKUP($A490,'13. Updated Demand'!A:Z,17,FALSE))</f>
        <v>0.75666666699999996</v>
      </c>
      <c r="AA490" s="16">
        <f>IF(ISERROR(VLOOKUP($A490,'13. Updated Demand'!A:Z,18,FALSE)),0,VLOOKUP($A490,'13. Updated Demand'!A:Z,18,FALSE))</f>
        <v>0.19166666700000001</v>
      </c>
      <c r="AB490" s="16">
        <f>IF(ISERROR(VLOOKUP($A490,'13. Updated Demand'!A:Z,19,FALSE)),0,VLOOKUP($A490,'13. Updated Demand'!A:Z,19,FALSE))</f>
        <v>2.5000000000000001E-2</v>
      </c>
      <c r="AC490" s="16">
        <f>IF(ISERROR(VLOOKUP($A490,'13. Updated Demand'!A:Z,20,FALSE)),0,VLOOKUP($A490,'13. Updated Demand'!A:Z,20,FALSE))</f>
        <v>0</v>
      </c>
      <c r="AD490" s="16">
        <f>IF(ISERROR(VLOOKUP($A490,'13. Updated Demand'!A:Z,21,FALSE)),0,VLOOKUP($A490,'13. Updated Demand'!A:Z,21,FALSE))</f>
        <v>0</v>
      </c>
      <c r="AE490" s="16">
        <f>IF(ISERROR(VLOOKUP($A490,'13. Updated Demand'!A:Z,22,FALSE)),0,VLOOKUP($A490,'13. Updated Demand'!A:Z,22,FALSE))</f>
        <v>0</v>
      </c>
      <c r="AF490" s="16">
        <f>IF(ISERROR(VLOOKUP($A490,'13. Updated Demand'!A:Z,23,FALSE)),0,VLOOKUP($A490,'13. Updated Demand'!A:Z,23,FALSE))</f>
        <v>0</v>
      </c>
      <c r="AG490" s="16">
        <f>IF(ISERROR(VLOOKUP($A490,'13. Updated Demand'!A:Z,24,FALSE)),0,VLOOKUP($A490,'13. Updated Demand'!A:Z,24,FALSE))</f>
        <v>0</v>
      </c>
      <c r="AH490" s="16">
        <f>IF(ISERROR(VLOOKUP($A490,'13. Updated Demand'!A:Z,25,FALSE)),0,VLOOKUP($A490,'13. Updated Demand'!A:Z,25,FALSE))</f>
        <v>0.72333333300000002</v>
      </c>
      <c r="AI490" s="16">
        <f>IF(ISERROR(VLOOKUP($A490,'13. Updated Demand'!A:Z,26,FALSE)),0,VLOOKUP($A490,'13. Updated Demand'!A:Z,26,FALSE))</f>
        <v>0.42333333299999998</v>
      </c>
      <c r="AJ490" s="16">
        <f t="shared" si="96"/>
        <v>3.0666666669999998</v>
      </c>
      <c r="AK490" s="19">
        <v>2.5000000000000001E-2</v>
      </c>
      <c r="AL490" s="16">
        <f t="shared" si="94"/>
        <v>8.2922152232387723E-5</v>
      </c>
      <c r="AM490" s="17">
        <v>0.73015873015873023</v>
      </c>
      <c r="AN490" s="19"/>
      <c r="AO490" s="19"/>
      <c r="AP490" s="19">
        <v>4.2</v>
      </c>
      <c r="AQ490" s="19" t="s">
        <v>307</v>
      </c>
      <c r="AR490" s="9" t="s">
        <v>684</v>
      </c>
      <c r="AS490" s="12">
        <v>0</v>
      </c>
      <c r="AT490" s="19">
        <v>38.48619498</v>
      </c>
      <c r="AU490" s="19">
        <v>-122.9714374</v>
      </c>
      <c r="AV490" s="19" t="s">
        <v>417</v>
      </c>
    </row>
    <row r="491" spans="1:48" x14ac:dyDescent="0.25">
      <c r="A491" s="18" t="s">
        <v>875</v>
      </c>
      <c r="B491" s="10">
        <v>19830524</v>
      </c>
      <c r="C491" s="9">
        <v>17</v>
      </c>
      <c r="D491" s="8" t="str">
        <f t="shared" si="85"/>
        <v>N</v>
      </c>
      <c r="E491" s="8" t="str">
        <f t="shared" si="86"/>
        <v>N</v>
      </c>
      <c r="F491" s="8" t="str">
        <f t="shared" si="87"/>
        <v>N</v>
      </c>
      <c r="G491" s="8" t="str">
        <f t="shared" si="88"/>
        <v>N</v>
      </c>
      <c r="H491" s="8" t="str">
        <f t="shared" si="89"/>
        <v>Lower</v>
      </c>
      <c r="I491" s="8" t="str">
        <f t="shared" si="90"/>
        <v>Outside</v>
      </c>
      <c r="J491" s="8" t="str">
        <f t="shared" si="91"/>
        <v>Outside</v>
      </c>
      <c r="K491" s="8" t="str">
        <f t="shared" si="92"/>
        <v>Post-1949</v>
      </c>
      <c r="L491" s="8">
        <f t="shared" si="93"/>
        <v>1983</v>
      </c>
      <c r="M491" s="8" t="str">
        <f t="shared" si="95"/>
        <v>1971-1990</v>
      </c>
      <c r="N491" s="10" t="s">
        <v>242</v>
      </c>
      <c r="O491" s="10" t="s">
        <v>242</v>
      </c>
      <c r="P491" s="10" t="s">
        <v>242</v>
      </c>
      <c r="Q491" s="10" t="s">
        <v>242</v>
      </c>
      <c r="R491" s="10" t="s">
        <v>241</v>
      </c>
      <c r="S491" s="10" t="s">
        <v>242</v>
      </c>
      <c r="T491" s="10" t="s">
        <v>242</v>
      </c>
      <c r="U491" s="10" t="s">
        <v>242</v>
      </c>
      <c r="V491" s="10" t="s">
        <v>241</v>
      </c>
      <c r="W491" s="10" t="s">
        <v>242</v>
      </c>
      <c r="X491" s="15">
        <f>IF(ISERROR(VLOOKUP($A491,'13. Updated Demand'!A:Z,15,FALSE)),0,VLOOKUP($A491,'13. Updated Demand'!A:Z,15,FALSE))</f>
        <v>2.0666666669999998</v>
      </c>
      <c r="Y491" s="16">
        <f>IF(ISERROR(VLOOKUP($A491,'13. Updated Demand'!A:Z,16,FALSE)),0,VLOOKUP($A491,'13. Updated Demand'!A:Z,16,FALSE))</f>
        <v>0.76666666699999997</v>
      </c>
      <c r="Z491" s="16">
        <f>IF(ISERROR(VLOOKUP($A491,'13. Updated Demand'!A:Z,17,FALSE)),0,VLOOKUP($A491,'13. Updated Demand'!A:Z,17,FALSE))</f>
        <v>0.46666666699999998</v>
      </c>
      <c r="AA491" s="16">
        <f>IF(ISERROR(VLOOKUP($A491,'13. Updated Demand'!A:Z,18,FALSE)),0,VLOOKUP($A491,'13. Updated Demand'!A:Z,18,FALSE))</f>
        <v>0</v>
      </c>
      <c r="AB491" s="16">
        <f>IF(ISERROR(VLOOKUP($A491,'13. Updated Demand'!A:Z,19,FALSE)),0,VLOOKUP($A491,'13. Updated Demand'!A:Z,19,FALSE))</f>
        <v>0</v>
      </c>
      <c r="AC491" s="16">
        <f>IF(ISERROR(VLOOKUP($A491,'13. Updated Demand'!A:Z,20,FALSE)),0,VLOOKUP($A491,'13. Updated Demand'!A:Z,20,FALSE))</f>
        <v>0</v>
      </c>
      <c r="AD491" s="16">
        <f>IF(ISERROR(VLOOKUP($A491,'13. Updated Demand'!A:Z,21,FALSE)),0,VLOOKUP($A491,'13. Updated Demand'!A:Z,21,FALSE))</f>
        <v>0</v>
      </c>
      <c r="AE491" s="16">
        <f>IF(ISERROR(VLOOKUP($A491,'13. Updated Demand'!A:Z,22,FALSE)),0,VLOOKUP($A491,'13. Updated Demand'!A:Z,22,FALSE))</f>
        <v>0</v>
      </c>
      <c r="AF491" s="16">
        <f>IF(ISERROR(VLOOKUP($A491,'13. Updated Demand'!A:Z,23,FALSE)),0,VLOOKUP($A491,'13. Updated Demand'!A:Z,23,FALSE))</f>
        <v>0</v>
      </c>
      <c r="AG491" s="16">
        <f>IF(ISERROR(VLOOKUP($A491,'13. Updated Demand'!A:Z,24,FALSE)),0,VLOOKUP($A491,'13. Updated Demand'!A:Z,24,FALSE))</f>
        <v>0</v>
      </c>
      <c r="AH491" s="16">
        <f>IF(ISERROR(VLOOKUP($A491,'13. Updated Demand'!A:Z,25,FALSE)),0,VLOOKUP($A491,'13. Updated Demand'!A:Z,25,FALSE))</f>
        <v>2.233333333</v>
      </c>
      <c r="AI491" s="16">
        <f>IF(ISERROR(VLOOKUP($A491,'13. Updated Demand'!A:Z,26,FALSE)),0,VLOOKUP($A491,'13. Updated Demand'!A:Z,26,FALSE))</f>
        <v>4.903333333</v>
      </c>
      <c r="AJ491" s="16">
        <f t="shared" si="96"/>
        <v>10.436666667000001</v>
      </c>
      <c r="AK491" s="19">
        <v>0</v>
      </c>
      <c r="AL491" s="16">
        <f t="shared" si="94"/>
        <v>0</v>
      </c>
      <c r="AM491" s="17">
        <v>0.37273809525000001</v>
      </c>
      <c r="AN491" s="19"/>
      <c r="AO491" s="19"/>
      <c r="AP491" s="19">
        <v>28</v>
      </c>
      <c r="AQ491" s="19" t="s">
        <v>307</v>
      </c>
      <c r="AR491" s="9" t="s">
        <v>486</v>
      </c>
      <c r="AS491" s="12">
        <v>0</v>
      </c>
      <c r="AT491" s="19">
        <v>38.560294990000003</v>
      </c>
      <c r="AU491" s="19">
        <v>-122.88238659</v>
      </c>
      <c r="AV491" s="19" t="s">
        <v>417</v>
      </c>
    </row>
    <row r="492" spans="1:48" x14ac:dyDescent="0.25">
      <c r="A492" s="18" t="s">
        <v>876</v>
      </c>
      <c r="B492" s="10">
        <v>19830706</v>
      </c>
      <c r="C492" s="9">
        <v>1</v>
      </c>
      <c r="D492" s="8" t="str">
        <f t="shared" si="85"/>
        <v>N</v>
      </c>
      <c r="E492" s="8" t="str">
        <f t="shared" si="86"/>
        <v>N</v>
      </c>
      <c r="F492" s="8" t="str">
        <f t="shared" si="87"/>
        <v>Y</v>
      </c>
      <c r="G492" s="8" t="str">
        <f t="shared" si="88"/>
        <v>Y</v>
      </c>
      <c r="H492" s="8" t="str">
        <f t="shared" si="89"/>
        <v>Upper</v>
      </c>
      <c r="I492" s="8" t="str">
        <f t="shared" si="90"/>
        <v>West Fork and Below Lake</v>
      </c>
      <c r="J492" s="8" t="str">
        <f t="shared" si="91"/>
        <v>Outside</v>
      </c>
      <c r="K492" s="8" t="str">
        <f t="shared" si="92"/>
        <v>Post-1949</v>
      </c>
      <c r="L492" s="8">
        <f t="shared" si="93"/>
        <v>1983</v>
      </c>
      <c r="M492" s="8" t="str">
        <f t="shared" si="95"/>
        <v>1971-1990</v>
      </c>
      <c r="N492" s="10" t="s">
        <v>242</v>
      </c>
      <c r="O492" s="10" t="s">
        <v>241</v>
      </c>
      <c r="P492" s="10" t="s">
        <v>242</v>
      </c>
      <c r="Q492" s="10" t="s">
        <v>242</v>
      </c>
      <c r="R492" s="10" t="s">
        <v>241</v>
      </c>
      <c r="S492" s="10" t="s">
        <v>242</v>
      </c>
      <c r="T492" s="10" t="s">
        <v>242</v>
      </c>
      <c r="U492" s="10" t="s">
        <v>242</v>
      </c>
      <c r="V492" s="10" t="s">
        <v>242</v>
      </c>
      <c r="W492" s="10" t="s">
        <v>242</v>
      </c>
      <c r="X492" s="15">
        <f>IF(ISERROR(VLOOKUP($A492,'13. Updated Demand'!A:Z,15,FALSE)),0,VLOOKUP($A492,'13. Updated Demand'!A:Z,15,FALSE))</f>
        <v>8.6199999999999992</v>
      </c>
      <c r="Y492" s="16">
        <f>IF(ISERROR(VLOOKUP($A492,'13. Updated Demand'!A:Z,16,FALSE)),0,VLOOKUP($A492,'13. Updated Demand'!A:Z,16,FALSE))</f>
        <v>7.56</v>
      </c>
      <c r="Z492" s="16">
        <f>IF(ISERROR(VLOOKUP($A492,'13. Updated Demand'!A:Z,17,FALSE)),0,VLOOKUP($A492,'13. Updated Demand'!A:Z,17,FALSE))</f>
        <v>4.46</v>
      </c>
      <c r="AA492" s="16">
        <f>IF(ISERROR(VLOOKUP($A492,'13. Updated Demand'!A:Z,18,FALSE)),0,VLOOKUP($A492,'13. Updated Demand'!A:Z,18,FALSE))</f>
        <v>3.06</v>
      </c>
      <c r="AB492" s="16">
        <f>IF(ISERROR(VLOOKUP($A492,'13. Updated Demand'!A:Z,19,FALSE)),0,VLOOKUP($A492,'13. Updated Demand'!A:Z,19,FALSE))</f>
        <v>1.42</v>
      </c>
      <c r="AC492" s="16">
        <f>IF(ISERROR(VLOOKUP($A492,'13. Updated Demand'!A:Z,20,FALSE)),0,VLOOKUP($A492,'13. Updated Demand'!A:Z,20,FALSE))</f>
        <v>0</v>
      </c>
      <c r="AD492" s="16">
        <f>IF(ISERROR(VLOOKUP($A492,'13. Updated Demand'!A:Z,21,FALSE)),0,VLOOKUP($A492,'13. Updated Demand'!A:Z,21,FALSE))</f>
        <v>0</v>
      </c>
      <c r="AE492" s="16">
        <f>IF(ISERROR(VLOOKUP($A492,'13. Updated Demand'!A:Z,22,FALSE)),0,VLOOKUP($A492,'13. Updated Demand'!A:Z,22,FALSE))</f>
        <v>0.01</v>
      </c>
      <c r="AF492" s="16">
        <f>IF(ISERROR(VLOOKUP($A492,'13. Updated Demand'!A:Z,23,FALSE)),0,VLOOKUP($A492,'13. Updated Demand'!A:Z,23,FALSE))</f>
        <v>0.01</v>
      </c>
      <c r="AG492" s="16">
        <f>IF(ISERROR(VLOOKUP($A492,'13. Updated Demand'!A:Z,24,FALSE)),0,VLOOKUP($A492,'13. Updated Demand'!A:Z,24,FALSE))</f>
        <v>0</v>
      </c>
      <c r="AH492" s="16">
        <f>IF(ISERROR(VLOOKUP($A492,'13. Updated Demand'!A:Z,25,FALSE)),0,VLOOKUP($A492,'13. Updated Demand'!A:Z,25,FALSE))</f>
        <v>2.4</v>
      </c>
      <c r="AI492" s="16">
        <f>IF(ISERROR(VLOOKUP($A492,'13. Updated Demand'!A:Z,26,FALSE)),0,VLOOKUP($A492,'13. Updated Demand'!A:Z,26,FALSE))</f>
        <v>3.64</v>
      </c>
      <c r="AJ492" s="16">
        <f t="shared" si="96"/>
        <v>31.18</v>
      </c>
      <c r="AK492" s="19">
        <v>1.446666666</v>
      </c>
      <c r="AL492" s="16">
        <f t="shared" si="94"/>
        <v>4.7984285403029131E-3</v>
      </c>
      <c r="AM492" s="17">
        <v>0.85049954588555843</v>
      </c>
      <c r="AN492" s="19"/>
      <c r="AO492" s="19"/>
      <c r="AP492" s="19">
        <v>36.700000000000003</v>
      </c>
      <c r="AQ492" s="19" t="s">
        <v>307</v>
      </c>
      <c r="AR492" s="9" t="s">
        <v>317</v>
      </c>
      <c r="AS492" s="12">
        <v>0</v>
      </c>
      <c r="AT492" s="19">
        <v>39.301001880000001</v>
      </c>
      <c r="AU492" s="19">
        <v>-123.2058164</v>
      </c>
      <c r="AV492" s="19" t="s">
        <v>417</v>
      </c>
    </row>
    <row r="493" spans="1:48" x14ac:dyDescent="0.25">
      <c r="A493" s="18" t="s">
        <v>877</v>
      </c>
      <c r="B493" s="10">
        <v>19830928</v>
      </c>
      <c r="C493" s="9">
        <v>6</v>
      </c>
      <c r="D493" s="8" t="str">
        <f t="shared" si="85"/>
        <v>Y</v>
      </c>
      <c r="E493" s="8" t="str">
        <f t="shared" si="86"/>
        <v>N</v>
      </c>
      <c r="F493" s="8" t="str">
        <f t="shared" si="87"/>
        <v>Y</v>
      </c>
      <c r="G493" s="8" t="str">
        <f t="shared" si="88"/>
        <v>Y</v>
      </c>
      <c r="H493" s="8" t="str">
        <f t="shared" si="89"/>
        <v>Upper</v>
      </c>
      <c r="I493" s="8" t="str">
        <f t="shared" si="90"/>
        <v>West Fork and Below Lake</v>
      </c>
      <c r="J493" s="8" t="str">
        <f t="shared" si="91"/>
        <v>Mendocino (d/s of lake)</v>
      </c>
      <c r="K493" s="8" t="str">
        <f t="shared" si="92"/>
        <v>Post-1949</v>
      </c>
      <c r="L493" s="8">
        <f t="shared" si="93"/>
        <v>1983</v>
      </c>
      <c r="M493" s="8" t="str">
        <f t="shared" si="95"/>
        <v>1971-1990</v>
      </c>
      <c r="N493" s="10" t="s">
        <v>242</v>
      </c>
      <c r="O493" s="10" t="s">
        <v>241</v>
      </c>
      <c r="P493" s="10" t="s">
        <v>242</v>
      </c>
      <c r="Q493" s="10" t="s">
        <v>242</v>
      </c>
      <c r="R493" s="10" t="s">
        <v>241</v>
      </c>
      <c r="S493" s="10" t="s">
        <v>242</v>
      </c>
      <c r="T493" s="10" t="s">
        <v>242</v>
      </c>
      <c r="U493" s="10" t="s">
        <v>242</v>
      </c>
      <c r="V493" s="10" t="s">
        <v>241</v>
      </c>
      <c r="W493" s="10" t="s">
        <v>242</v>
      </c>
      <c r="X493" s="15">
        <f>IF(ISERROR(VLOOKUP($A493,'13. Updated Demand'!A:Z,15,FALSE)),0,VLOOKUP($A493,'13. Updated Demand'!A:Z,15,FALSE))</f>
        <v>0.33</v>
      </c>
      <c r="Y493" s="16">
        <f>IF(ISERROR(VLOOKUP($A493,'13. Updated Demand'!A:Z,16,FALSE)),0,VLOOKUP($A493,'13. Updated Demand'!A:Z,16,FALSE))</f>
        <v>2.33</v>
      </c>
      <c r="Z493" s="16">
        <f>IF(ISERROR(VLOOKUP($A493,'13. Updated Demand'!A:Z,17,FALSE)),0,VLOOKUP($A493,'13. Updated Demand'!A:Z,17,FALSE))</f>
        <v>0</v>
      </c>
      <c r="AA493" s="16">
        <f>IF(ISERROR(VLOOKUP($A493,'13. Updated Demand'!A:Z,18,FALSE)),0,VLOOKUP($A493,'13. Updated Demand'!A:Z,18,FALSE))</f>
        <v>0</v>
      </c>
      <c r="AB493" s="16">
        <f>IF(ISERROR(VLOOKUP($A493,'13. Updated Demand'!A:Z,19,FALSE)),0,VLOOKUP($A493,'13. Updated Demand'!A:Z,19,FALSE))</f>
        <v>0</v>
      </c>
      <c r="AC493" s="16">
        <f>IF(ISERROR(VLOOKUP($A493,'13. Updated Demand'!A:Z,20,FALSE)),0,VLOOKUP($A493,'13. Updated Demand'!A:Z,20,FALSE))</f>
        <v>0</v>
      </c>
      <c r="AD493" s="16">
        <f>IF(ISERROR(VLOOKUP($A493,'13. Updated Demand'!A:Z,21,FALSE)),0,VLOOKUP($A493,'13. Updated Demand'!A:Z,21,FALSE))</f>
        <v>0</v>
      </c>
      <c r="AE493" s="16">
        <f>IF(ISERROR(VLOOKUP($A493,'13. Updated Demand'!A:Z,22,FALSE)),0,VLOOKUP($A493,'13. Updated Demand'!A:Z,22,FALSE))</f>
        <v>0</v>
      </c>
      <c r="AF493" s="16">
        <f>IF(ISERROR(VLOOKUP($A493,'13. Updated Demand'!A:Z,23,FALSE)),0,VLOOKUP($A493,'13. Updated Demand'!A:Z,23,FALSE))</f>
        <v>0</v>
      </c>
      <c r="AG493" s="16">
        <f>IF(ISERROR(VLOOKUP($A493,'13. Updated Demand'!A:Z,24,FALSE)),0,VLOOKUP($A493,'13. Updated Demand'!A:Z,24,FALSE))</f>
        <v>0.33</v>
      </c>
      <c r="AH493" s="16">
        <f>IF(ISERROR(VLOOKUP($A493,'13. Updated Demand'!A:Z,25,FALSE)),0,VLOOKUP($A493,'13. Updated Demand'!A:Z,25,FALSE))</f>
        <v>9.33</v>
      </c>
      <c r="AI493" s="16">
        <f>IF(ISERROR(VLOOKUP($A493,'13. Updated Demand'!A:Z,26,FALSE)),0,VLOOKUP($A493,'13. Updated Demand'!A:Z,26,FALSE))</f>
        <v>30.66</v>
      </c>
      <c r="AJ493" s="16">
        <f t="shared" si="96"/>
        <v>42.980000000000004</v>
      </c>
      <c r="AK493" s="19">
        <v>0</v>
      </c>
      <c r="AL493" s="16">
        <f t="shared" si="94"/>
        <v>0</v>
      </c>
      <c r="AM493" s="17">
        <v>0.12427745665317919</v>
      </c>
      <c r="AN493" s="19"/>
      <c r="AO493" s="19"/>
      <c r="AP493" s="19">
        <v>346</v>
      </c>
      <c r="AQ493" s="19" t="s">
        <v>307</v>
      </c>
      <c r="AR493" s="9" t="s">
        <v>319</v>
      </c>
      <c r="AS493" s="12">
        <v>3.4039024194010059E-4</v>
      </c>
      <c r="AT493" s="19">
        <v>38.927392769999997</v>
      </c>
      <c r="AU493" s="19">
        <v>-123.08240707</v>
      </c>
      <c r="AV493" s="19" t="s">
        <v>417</v>
      </c>
    </row>
    <row r="494" spans="1:48" x14ac:dyDescent="0.25">
      <c r="A494" s="18" t="s">
        <v>878</v>
      </c>
      <c r="B494" s="10">
        <v>19830404</v>
      </c>
      <c r="C494" s="9">
        <v>16</v>
      </c>
      <c r="D494" s="8" t="str">
        <f t="shared" si="85"/>
        <v>N</v>
      </c>
      <c r="E494" s="8" t="str">
        <f t="shared" si="86"/>
        <v>N</v>
      </c>
      <c r="F494" s="8" t="str">
        <f t="shared" si="87"/>
        <v>N</v>
      </c>
      <c r="G494" s="8" t="str">
        <f t="shared" si="88"/>
        <v>N</v>
      </c>
      <c r="H494" s="8" t="str">
        <f t="shared" si="89"/>
        <v>Lower</v>
      </c>
      <c r="I494" s="8" t="str">
        <f t="shared" si="90"/>
        <v>Outside</v>
      </c>
      <c r="J494" s="8" t="str">
        <f t="shared" si="91"/>
        <v>Outside</v>
      </c>
      <c r="K494" s="8" t="str">
        <f t="shared" si="92"/>
        <v>Post-1949</v>
      </c>
      <c r="L494" s="8">
        <f t="shared" si="93"/>
        <v>1983</v>
      </c>
      <c r="M494" s="8" t="str">
        <f t="shared" si="95"/>
        <v>1971-1990</v>
      </c>
      <c r="N494" s="10" t="s">
        <v>242</v>
      </c>
      <c r="O494" s="10" t="s">
        <v>242</v>
      </c>
      <c r="P494" s="10" t="s">
        <v>242</v>
      </c>
      <c r="Q494" s="10" t="s">
        <v>242</v>
      </c>
      <c r="R494" s="10" t="s">
        <v>241</v>
      </c>
      <c r="S494" s="10" t="s">
        <v>242</v>
      </c>
      <c r="T494" s="10" t="s">
        <v>242</v>
      </c>
      <c r="U494" s="10" t="s">
        <v>242</v>
      </c>
      <c r="V494" s="10" t="s">
        <v>242</v>
      </c>
      <c r="W494" s="10" t="s">
        <v>242</v>
      </c>
      <c r="X494" s="15">
        <f>IF(ISERROR(VLOOKUP($A494,'13. Updated Demand'!A:Z,15,FALSE)),0,VLOOKUP($A494,'13. Updated Demand'!A:Z,15,FALSE))</f>
        <v>0</v>
      </c>
      <c r="Y494" s="16">
        <f>IF(ISERROR(VLOOKUP($A494,'13. Updated Demand'!A:Z,16,FALSE)),0,VLOOKUP($A494,'13. Updated Demand'!A:Z,16,FALSE))</f>
        <v>0</v>
      </c>
      <c r="Z494" s="16">
        <f>IF(ISERROR(VLOOKUP($A494,'13. Updated Demand'!A:Z,17,FALSE)),0,VLOOKUP($A494,'13. Updated Demand'!A:Z,17,FALSE))</f>
        <v>0</v>
      </c>
      <c r="AA494" s="16">
        <f>IF(ISERROR(VLOOKUP($A494,'13. Updated Demand'!A:Z,18,FALSE)),0,VLOOKUP($A494,'13. Updated Demand'!A:Z,18,FALSE))</f>
        <v>0</v>
      </c>
      <c r="AB494" s="16">
        <f>IF(ISERROR(VLOOKUP($A494,'13. Updated Demand'!A:Z,19,FALSE)),0,VLOOKUP($A494,'13. Updated Demand'!A:Z,19,FALSE))</f>
        <v>3.3333333E-2</v>
      </c>
      <c r="AC494" s="16">
        <f>IF(ISERROR(VLOOKUP($A494,'13. Updated Demand'!A:Z,20,FALSE)),0,VLOOKUP($A494,'13. Updated Demand'!A:Z,20,FALSE))</f>
        <v>0</v>
      </c>
      <c r="AD494" s="16">
        <f>IF(ISERROR(VLOOKUP($A494,'13. Updated Demand'!A:Z,21,FALSE)),0,VLOOKUP($A494,'13. Updated Demand'!A:Z,21,FALSE))</f>
        <v>0</v>
      </c>
      <c r="AE494" s="16">
        <f>IF(ISERROR(VLOOKUP($A494,'13. Updated Demand'!A:Z,22,FALSE)),0,VLOOKUP($A494,'13. Updated Demand'!A:Z,22,FALSE))</f>
        <v>0</v>
      </c>
      <c r="AF494" s="16">
        <f>IF(ISERROR(VLOOKUP($A494,'13. Updated Demand'!A:Z,23,FALSE)),0,VLOOKUP($A494,'13. Updated Demand'!A:Z,23,FALSE))</f>
        <v>0</v>
      </c>
      <c r="AG494" s="16">
        <f>IF(ISERROR(VLOOKUP($A494,'13. Updated Demand'!A:Z,24,FALSE)),0,VLOOKUP($A494,'13. Updated Demand'!A:Z,24,FALSE))</f>
        <v>0</v>
      </c>
      <c r="AH494" s="16">
        <f>IF(ISERROR(VLOOKUP($A494,'13. Updated Demand'!A:Z,25,FALSE)),0,VLOOKUP($A494,'13. Updated Demand'!A:Z,25,FALSE))</f>
        <v>0.66666666699999999</v>
      </c>
      <c r="AI494" s="16">
        <f>IF(ISERROR(VLOOKUP($A494,'13. Updated Demand'!A:Z,26,FALSE)),0,VLOOKUP($A494,'13. Updated Demand'!A:Z,26,FALSE))</f>
        <v>0.53333333299999997</v>
      </c>
      <c r="AJ494" s="16">
        <f t="shared" si="96"/>
        <v>1.233333333</v>
      </c>
      <c r="AK494" s="19">
        <v>3.3333333E-2</v>
      </c>
      <c r="AL494" s="16">
        <f t="shared" si="94"/>
        <v>1.1056286853755495E-4</v>
      </c>
      <c r="AM494" s="17">
        <v>1.072463767826087E-2</v>
      </c>
      <c r="AN494" s="19"/>
      <c r="AO494" s="19"/>
      <c r="AP494" s="19">
        <v>115</v>
      </c>
      <c r="AQ494" s="19" t="s">
        <v>307</v>
      </c>
      <c r="AR494" s="9" t="s">
        <v>394</v>
      </c>
      <c r="AS494" s="12">
        <v>0</v>
      </c>
      <c r="AT494" s="19">
        <v>38.671840070000002</v>
      </c>
      <c r="AU494" s="19">
        <v>-122.91073958</v>
      </c>
      <c r="AV494" s="19" t="s">
        <v>417</v>
      </c>
    </row>
    <row r="495" spans="1:48" x14ac:dyDescent="0.25">
      <c r="A495" s="18" t="s">
        <v>879</v>
      </c>
      <c r="B495" s="10">
        <v>19820111</v>
      </c>
      <c r="C495" s="9">
        <v>7</v>
      </c>
      <c r="D495" s="8" t="str">
        <f t="shared" si="85"/>
        <v>N</v>
      </c>
      <c r="E495" s="8" t="str">
        <f t="shared" si="86"/>
        <v>Y</v>
      </c>
      <c r="F495" s="8" t="str">
        <f t="shared" si="87"/>
        <v>Y</v>
      </c>
      <c r="G495" s="8" t="str">
        <f t="shared" si="88"/>
        <v>Y</v>
      </c>
      <c r="H495" s="8" t="str">
        <f t="shared" si="89"/>
        <v>Upper</v>
      </c>
      <c r="I495" s="8" t="str">
        <f t="shared" si="90"/>
        <v>West Fork and Below Lake</v>
      </c>
      <c r="J495" s="8" t="str">
        <f t="shared" si="91"/>
        <v>Sonoma (d/s of Clov. Gage)</v>
      </c>
      <c r="K495" s="8" t="str">
        <f t="shared" si="92"/>
        <v>Post-1949</v>
      </c>
      <c r="L495" s="8">
        <f t="shared" si="93"/>
        <v>1982</v>
      </c>
      <c r="M495" s="8" t="str">
        <f t="shared" si="95"/>
        <v>1971-1990</v>
      </c>
      <c r="N495" s="10" t="s">
        <v>242</v>
      </c>
      <c r="O495" s="10" t="s">
        <v>241</v>
      </c>
      <c r="P495" s="10" t="s">
        <v>242</v>
      </c>
      <c r="Q495" s="10" t="s">
        <v>242</v>
      </c>
      <c r="R495" s="10" t="s">
        <v>241</v>
      </c>
      <c r="S495" s="10" t="s">
        <v>242</v>
      </c>
      <c r="T495" s="10" t="s">
        <v>242</v>
      </c>
      <c r="U495" s="10" t="s">
        <v>241</v>
      </c>
      <c r="V495" s="10" t="s">
        <v>241</v>
      </c>
      <c r="W495" s="10" t="s">
        <v>242</v>
      </c>
      <c r="X495" s="15">
        <f>IF(ISERROR(VLOOKUP($A495,'13. Updated Demand'!A:Z,15,FALSE)),0,VLOOKUP($A495,'13. Updated Demand'!A:Z,15,FALSE))</f>
        <v>0</v>
      </c>
      <c r="Y495" s="16">
        <f>IF(ISERROR(VLOOKUP($A495,'13. Updated Demand'!A:Z,16,FALSE)),0,VLOOKUP($A495,'13. Updated Demand'!A:Z,16,FALSE))</f>
        <v>0</v>
      </c>
      <c r="Z495" s="16">
        <f>IF(ISERROR(VLOOKUP($A495,'13. Updated Demand'!A:Z,17,FALSE)),0,VLOOKUP($A495,'13. Updated Demand'!A:Z,17,FALSE))</f>
        <v>0</v>
      </c>
      <c r="AA495" s="16">
        <f>IF(ISERROR(VLOOKUP($A495,'13. Updated Demand'!A:Z,18,FALSE)),0,VLOOKUP($A495,'13. Updated Demand'!A:Z,18,FALSE))</f>
        <v>0</v>
      </c>
      <c r="AB495" s="16">
        <f>IF(ISERROR(VLOOKUP($A495,'13. Updated Demand'!A:Z,19,FALSE)),0,VLOOKUP($A495,'13. Updated Demand'!A:Z,19,FALSE))</f>
        <v>0</v>
      </c>
      <c r="AC495" s="16">
        <f>IF(ISERROR(VLOOKUP($A495,'13. Updated Demand'!A:Z,20,FALSE)),0,VLOOKUP($A495,'13. Updated Demand'!A:Z,20,FALSE))</f>
        <v>0</v>
      </c>
      <c r="AD495" s="16">
        <f>IF(ISERROR(VLOOKUP($A495,'13. Updated Demand'!A:Z,21,FALSE)),0,VLOOKUP($A495,'13. Updated Demand'!A:Z,21,FALSE))</f>
        <v>0</v>
      </c>
      <c r="AE495" s="16">
        <f>IF(ISERROR(VLOOKUP($A495,'13. Updated Demand'!A:Z,22,FALSE)),0,VLOOKUP($A495,'13. Updated Demand'!A:Z,22,FALSE))</f>
        <v>0</v>
      </c>
      <c r="AF495" s="16">
        <f>IF(ISERROR(VLOOKUP($A495,'13. Updated Demand'!A:Z,23,FALSE)),0,VLOOKUP($A495,'13. Updated Demand'!A:Z,23,FALSE))</f>
        <v>0</v>
      </c>
      <c r="AG495" s="16">
        <f>IF(ISERROR(VLOOKUP($A495,'13. Updated Demand'!A:Z,24,FALSE)),0,VLOOKUP($A495,'13. Updated Demand'!A:Z,24,FALSE))</f>
        <v>0</v>
      </c>
      <c r="AH495" s="16">
        <f>IF(ISERROR(VLOOKUP($A495,'13. Updated Demand'!A:Z,25,FALSE)),0,VLOOKUP($A495,'13. Updated Demand'!A:Z,25,FALSE))</f>
        <v>0</v>
      </c>
      <c r="AI495" s="16">
        <f>IF(ISERROR(VLOOKUP($A495,'13. Updated Demand'!A:Z,26,FALSE)),0,VLOOKUP($A495,'13. Updated Demand'!A:Z,26,FALSE))</f>
        <v>0</v>
      </c>
      <c r="AJ495" s="16">
        <f t="shared" si="96"/>
        <v>0</v>
      </c>
      <c r="AK495" s="19">
        <v>0</v>
      </c>
      <c r="AL495" s="16">
        <f t="shared" si="94"/>
        <v>0</v>
      </c>
      <c r="AM495" s="17">
        <v>0</v>
      </c>
      <c r="AN495" s="19"/>
      <c r="AO495" s="19"/>
      <c r="AP495" s="19">
        <v>5000</v>
      </c>
      <c r="AQ495" s="19" t="s">
        <v>307</v>
      </c>
      <c r="AR495" s="9" t="s">
        <v>823</v>
      </c>
      <c r="AS495" s="12">
        <v>0</v>
      </c>
      <c r="AT495" s="19">
        <v>38.772912390000002</v>
      </c>
      <c r="AU495" s="19">
        <v>-122.75453154</v>
      </c>
      <c r="AV495" s="19" t="s">
        <v>871</v>
      </c>
    </row>
    <row r="496" spans="1:48" x14ac:dyDescent="0.25">
      <c r="A496" s="18" t="s">
        <v>880</v>
      </c>
      <c r="B496" s="10">
        <v>19820315</v>
      </c>
      <c r="C496" s="9">
        <v>21</v>
      </c>
      <c r="D496" s="8" t="str">
        <f t="shared" si="85"/>
        <v>N</v>
      </c>
      <c r="E496" s="8" t="str">
        <f t="shared" si="86"/>
        <v>N</v>
      </c>
      <c r="F496" s="8" t="str">
        <f t="shared" si="87"/>
        <v>N</v>
      </c>
      <c r="G496" s="8" t="str">
        <f t="shared" si="88"/>
        <v>N</v>
      </c>
      <c r="H496" s="8" t="str">
        <f t="shared" si="89"/>
        <v>Lower</v>
      </c>
      <c r="I496" s="8" t="str">
        <f t="shared" si="90"/>
        <v>Outside</v>
      </c>
      <c r="J496" s="8" t="str">
        <f t="shared" si="91"/>
        <v>Outside</v>
      </c>
      <c r="K496" s="8" t="str">
        <f t="shared" si="92"/>
        <v>Post-1949</v>
      </c>
      <c r="L496" s="8">
        <f t="shared" si="93"/>
        <v>1982</v>
      </c>
      <c r="M496" s="8" t="str">
        <f t="shared" si="95"/>
        <v>1971-1990</v>
      </c>
      <c r="N496" s="10" t="s">
        <v>242</v>
      </c>
      <c r="O496" s="10" t="s">
        <v>242</v>
      </c>
      <c r="P496" s="10" t="s">
        <v>242</v>
      </c>
      <c r="Q496" s="10" t="s">
        <v>242</v>
      </c>
      <c r="R496" s="10" t="s">
        <v>241</v>
      </c>
      <c r="S496" s="10" t="s">
        <v>242</v>
      </c>
      <c r="T496" s="10" t="s">
        <v>242</v>
      </c>
      <c r="U496" s="10" t="s">
        <v>241</v>
      </c>
      <c r="V496" s="10" t="s">
        <v>241</v>
      </c>
      <c r="W496" s="10" t="s">
        <v>242</v>
      </c>
      <c r="X496" s="15">
        <f>IF(ISERROR(VLOOKUP($A496,'13. Updated Demand'!A:Z,15,FALSE)),0,VLOOKUP($A496,'13. Updated Demand'!A:Z,15,FALSE))</f>
        <v>0</v>
      </c>
      <c r="Y496" s="16">
        <f>IF(ISERROR(VLOOKUP($A496,'13. Updated Demand'!A:Z,16,FALSE)),0,VLOOKUP($A496,'13. Updated Demand'!A:Z,16,FALSE))</f>
        <v>0</v>
      </c>
      <c r="Z496" s="16">
        <f>IF(ISERROR(VLOOKUP($A496,'13. Updated Demand'!A:Z,17,FALSE)),0,VLOOKUP($A496,'13. Updated Demand'!A:Z,17,FALSE))</f>
        <v>0</v>
      </c>
      <c r="AA496" s="16">
        <f>IF(ISERROR(VLOOKUP($A496,'13. Updated Demand'!A:Z,18,FALSE)),0,VLOOKUP($A496,'13. Updated Demand'!A:Z,18,FALSE))</f>
        <v>0</v>
      </c>
      <c r="AB496" s="16">
        <f>IF(ISERROR(VLOOKUP($A496,'13. Updated Demand'!A:Z,19,FALSE)),0,VLOOKUP($A496,'13. Updated Demand'!A:Z,19,FALSE))</f>
        <v>0</v>
      </c>
      <c r="AC496" s="16">
        <f>IF(ISERROR(VLOOKUP($A496,'13. Updated Demand'!A:Z,20,FALSE)),0,VLOOKUP($A496,'13. Updated Demand'!A:Z,20,FALSE))</f>
        <v>0</v>
      </c>
      <c r="AD496" s="16">
        <f>IF(ISERROR(VLOOKUP($A496,'13. Updated Demand'!A:Z,21,FALSE)),0,VLOOKUP($A496,'13. Updated Demand'!A:Z,21,FALSE))</f>
        <v>0</v>
      </c>
      <c r="AE496" s="16">
        <f>IF(ISERROR(VLOOKUP($A496,'13. Updated Demand'!A:Z,22,FALSE)),0,VLOOKUP($A496,'13. Updated Demand'!A:Z,22,FALSE))</f>
        <v>0</v>
      </c>
      <c r="AF496" s="16">
        <f>IF(ISERROR(VLOOKUP($A496,'13. Updated Demand'!A:Z,23,FALSE)),0,VLOOKUP($A496,'13. Updated Demand'!A:Z,23,FALSE))</f>
        <v>0</v>
      </c>
      <c r="AG496" s="16">
        <f>IF(ISERROR(VLOOKUP($A496,'13. Updated Demand'!A:Z,24,FALSE)),0,VLOOKUP($A496,'13. Updated Demand'!A:Z,24,FALSE))</f>
        <v>0</v>
      </c>
      <c r="AH496" s="16">
        <f>IF(ISERROR(VLOOKUP($A496,'13. Updated Demand'!A:Z,25,FALSE)),0,VLOOKUP($A496,'13. Updated Demand'!A:Z,25,FALSE))</f>
        <v>0</v>
      </c>
      <c r="AI496" s="16">
        <f>IF(ISERROR(VLOOKUP($A496,'13. Updated Demand'!A:Z,26,FALSE)),0,VLOOKUP($A496,'13. Updated Demand'!A:Z,26,FALSE))</f>
        <v>0</v>
      </c>
      <c r="AJ496" s="16">
        <f t="shared" si="96"/>
        <v>0</v>
      </c>
      <c r="AK496" s="19">
        <v>0</v>
      </c>
      <c r="AL496" s="16">
        <f t="shared" si="94"/>
        <v>0</v>
      </c>
      <c r="AM496" s="17">
        <v>0</v>
      </c>
      <c r="AN496" s="19"/>
      <c r="AO496" s="19"/>
      <c r="AP496" s="19">
        <v>9</v>
      </c>
      <c r="AQ496" s="19" t="s">
        <v>307</v>
      </c>
      <c r="AR496" s="9" t="s">
        <v>403</v>
      </c>
      <c r="AS496" s="12">
        <v>3.4039024194010059E-4</v>
      </c>
      <c r="AT496" s="19">
        <v>38.45042771</v>
      </c>
      <c r="AU496" s="19">
        <v>-123.05004719999999</v>
      </c>
      <c r="AV496" s="19" t="s">
        <v>881</v>
      </c>
    </row>
    <row r="497" spans="1:48" x14ac:dyDescent="0.25">
      <c r="A497" s="18" t="s">
        <v>882</v>
      </c>
      <c r="B497" s="10">
        <v>19820419</v>
      </c>
      <c r="C497" s="9">
        <v>1</v>
      </c>
      <c r="D497" s="8" t="str">
        <f t="shared" si="85"/>
        <v>N</v>
      </c>
      <c r="E497" s="8" t="str">
        <f t="shared" si="86"/>
        <v>N</v>
      </c>
      <c r="F497" s="8" t="str">
        <f t="shared" si="87"/>
        <v>Y</v>
      </c>
      <c r="G497" s="8" t="str">
        <f t="shared" si="88"/>
        <v>Y</v>
      </c>
      <c r="H497" s="8" t="str">
        <f t="shared" si="89"/>
        <v>Upper</v>
      </c>
      <c r="I497" s="8" t="str">
        <f t="shared" si="90"/>
        <v>West Fork and Below Lake</v>
      </c>
      <c r="J497" s="8" t="str">
        <f t="shared" si="91"/>
        <v>Outside</v>
      </c>
      <c r="K497" s="8" t="str">
        <f t="shared" si="92"/>
        <v>Post-1949</v>
      </c>
      <c r="L497" s="8">
        <f t="shared" si="93"/>
        <v>1982</v>
      </c>
      <c r="M497" s="8" t="str">
        <f t="shared" si="95"/>
        <v>1971-1990</v>
      </c>
      <c r="N497" s="10" t="s">
        <v>242</v>
      </c>
      <c r="O497" s="10" t="s">
        <v>241</v>
      </c>
      <c r="P497" s="10" t="s">
        <v>242</v>
      </c>
      <c r="Q497" s="10" t="s">
        <v>242</v>
      </c>
      <c r="R497" s="10" t="s">
        <v>241</v>
      </c>
      <c r="S497" s="10" t="s">
        <v>242</v>
      </c>
      <c r="T497" s="10" t="s">
        <v>242</v>
      </c>
      <c r="U497" s="10" t="s">
        <v>241</v>
      </c>
      <c r="V497" s="10" t="s">
        <v>241</v>
      </c>
      <c r="W497" s="10" t="s">
        <v>242</v>
      </c>
      <c r="X497" s="15">
        <f>IF(ISERROR(VLOOKUP($A497,'13. Updated Demand'!A:Z,15,FALSE)),0,VLOOKUP($A497,'13. Updated Demand'!A:Z,15,FALSE))</f>
        <v>0</v>
      </c>
      <c r="Y497" s="16">
        <f>IF(ISERROR(VLOOKUP($A497,'13. Updated Demand'!A:Z,16,FALSE)),0,VLOOKUP($A497,'13. Updated Demand'!A:Z,16,FALSE))</f>
        <v>0</v>
      </c>
      <c r="Z497" s="16">
        <f>IF(ISERROR(VLOOKUP($A497,'13. Updated Demand'!A:Z,17,FALSE)),0,VLOOKUP($A497,'13. Updated Demand'!A:Z,17,FALSE))</f>
        <v>0</v>
      </c>
      <c r="AA497" s="16">
        <f>IF(ISERROR(VLOOKUP($A497,'13. Updated Demand'!A:Z,18,FALSE)),0,VLOOKUP($A497,'13. Updated Demand'!A:Z,18,FALSE))</f>
        <v>0</v>
      </c>
      <c r="AB497" s="16">
        <f>IF(ISERROR(VLOOKUP($A497,'13. Updated Demand'!A:Z,19,FALSE)),0,VLOOKUP($A497,'13. Updated Demand'!A:Z,19,FALSE))</f>
        <v>0</v>
      </c>
      <c r="AC497" s="16">
        <f>IF(ISERROR(VLOOKUP($A497,'13. Updated Demand'!A:Z,20,FALSE)),0,VLOOKUP($A497,'13. Updated Demand'!A:Z,20,FALSE))</f>
        <v>0</v>
      </c>
      <c r="AD497" s="16">
        <f>IF(ISERROR(VLOOKUP($A497,'13. Updated Demand'!A:Z,21,FALSE)),0,VLOOKUP($A497,'13. Updated Demand'!A:Z,21,FALSE))</f>
        <v>0</v>
      </c>
      <c r="AE497" s="16">
        <f>IF(ISERROR(VLOOKUP($A497,'13. Updated Demand'!A:Z,22,FALSE)),0,VLOOKUP($A497,'13. Updated Demand'!A:Z,22,FALSE))</f>
        <v>0</v>
      </c>
      <c r="AF497" s="16">
        <f>IF(ISERROR(VLOOKUP($A497,'13. Updated Demand'!A:Z,23,FALSE)),0,VLOOKUP($A497,'13. Updated Demand'!A:Z,23,FALSE))</f>
        <v>0</v>
      </c>
      <c r="AG497" s="16">
        <f>IF(ISERROR(VLOOKUP($A497,'13. Updated Demand'!A:Z,24,FALSE)),0,VLOOKUP($A497,'13. Updated Demand'!A:Z,24,FALSE))</f>
        <v>0</v>
      </c>
      <c r="AH497" s="16">
        <f>IF(ISERROR(VLOOKUP($A497,'13. Updated Demand'!A:Z,25,FALSE)),0,VLOOKUP($A497,'13. Updated Demand'!A:Z,25,FALSE))</f>
        <v>0</v>
      </c>
      <c r="AI497" s="16">
        <f>IF(ISERROR(VLOOKUP($A497,'13. Updated Demand'!A:Z,26,FALSE)),0,VLOOKUP($A497,'13. Updated Demand'!A:Z,26,FALSE))</f>
        <v>0</v>
      </c>
      <c r="AJ497" s="16">
        <f t="shared" si="96"/>
        <v>0</v>
      </c>
      <c r="AK497" s="19">
        <v>0</v>
      </c>
      <c r="AL497" s="16">
        <f t="shared" si="94"/>
        <v>0</v>
      </c>
      <c r="AM497" s="17">
        <v>0</v>
      </c>
      <c r="AN497" s="19"/>
      <c r="AO497" s="19"/>
      <c r="AP497" s="19">
        <v>4.0999999999999996</v>
      </c>
      <c r="AQ497" s="19" t="s">
        <v>307</v>
      </c>
      <c r="AR497" s="9" t="s">
        <v>317</v>
      </c>
      <c r="AS497" s="12">
        <v>0</v>
      </c>
      <c r="AT497" s="19">
        <v>39.2714</v>
      </c>
      <c r="AU497" s="19">
        <v>-123.254</v>
      </c>
      <c r="AV497" s="19" t="s">
        <v>385</v>
      </c>
    </row>
    <row r="498" spans="1:48" x14ac:dyDescent="0.25">
      <c r="A498" s="18" t="s">
        <v>883</v>
      </c>
      <c r="B498" s="10">
        <v>19820505</v>
      </c>
      <c r="C498" s="9">
        <v>12</v>
      </c>
      <c r="D498" s="8" t="str">
        <f t="shared" si="85"/>
        <v>N</v>
      </c>
      <c r="E498" s="8" t="str">
        <f t="shared" si="86"/>
        <v>Y</v>
      </c>
      <c r="F498" s="8" t="str">
        <f t="shared" si="87"/>
        <v>Y</v>
      </c>
      <c r="G498" s="8" t="str">
        <f t="shared" si="88"/>
        <v>Y</v>
      </c>
      <c r="H498" s="8" t="str">
        <f t="shared" si="89"/>
        <v>Upper</v>
      </c>
      <c r="I498" s="8" t="str">
        <f t="shared" si="90"/>
        <v>West Fork and Below Lake</v>
      </c>
      <c r="J498" s="8" t="str">
        <f t="shared" si="91"/>
        <v>Sonoma (d/s of Clov. Gage)</v>
      </c>
      <c r="K498" s="8" t="str">
        <f t="shared" si="92"/>
        <v>Post-1949</v>
      </c>
      <c r="L498" s="8">
        <f t="shared" si="93"/>
        <v>1982</v>
      </c>
      <c r="M498" s="8" t="str">
        <f t="shared" si="95"/>
        <v>1971-1990</v>
      </c>
      <c r="N498" s="10" t="s">
        <v>241</v>
      </c>
      <c r="O498" s="10" t="s">
        <v>241</v>
      </c>
      <c r="P498" s="10" t="s">
        <v>242</v>
      </c>
      <c r="Q498" s="10" t="s">
        <v>242</v>
      </c>
      <c r="R498" s="10" t="s">
        <v>241</v>
      </c>
      <c r="S498" s="10" t="s">
        <v>242</v>
      </c>
      <c r="T498" s="10" t="s">
        <v>242</v>
      </c>
      <c r="U498" s="10" t="s">
        <v>242</v>
      </c>
      <c r="V498" s="10" t="s">
        <v>241</v>
      </c>
      <c r="W498" s="10" t="s">
        <v>242</v>
      </c>
      <c r="X498" s="15">
        <f>IF(ISERROR(VLOOKUP($A498,'13. Updated Demand'!A:Z,15,FALSE)),0,VLOOKUP($A498,'13. Updated Demand'!A:Z,15,FALSE))</f>
        <v>0</v>
      </c>
      <c r="Y498" s="16">
        <f>IF(ISERROR(VLOOKUP($A498,'13. Updated Demand'!A:Z,16,FALSE)),0,VLOOKUP($A498,'13. Updated Demand'!A:Z,16,FALSE))</f>
        <v>0</v>
      </c>
      <c r="Z498" s="16">
        <f>IF(ISERROR(VLOOKUP($A498,'13. Updated Demand'!A:Z,17,FALSE)),0,VLOOKUP($A498,'13. Updated Demand'!A:Z,17,FALSE))</f>
        <v>0</v>
      </c>
      <c r="AA498" s="16">
        <f>IF(ISERROR(VLOOKUP($A498,'13. Updated Demand'!A:Z,18,FALSE)),0,VLOOKUP($A498,'13. Updated Demand'!A:Z,18,FALSE))</f>
        <v>0</v>
      </c>
      <c r="AB498" s="16">
        <f>IF(ISERROR(VLOOKUP($A498,'13. Updated Demand'!A:Z,19,FALSE)),0,VLOOKUP($A498,'13. Updated Demand'!A:Z,19,FALSE))</f>
        <v>0</v>
      </c>
      <c r="AC498" s="16">
        <f>IF(ISERROR(VLOOKUP($A498,'13. Updated Demand'!A:Z,20,FALSE)),0,VLOOKUP($A498,'13. Updated Demand'!A:Z,20,FALSE))</f>
        <v>0</v>
      </c>
      <c r="AD498" s="16">
        <f>IF(ISERROR(VLOOKUP($A498,'13. Updated Demand'!A:Z,21,FALSE)),0,VLOOKUP($A498,'13. Updated Demand'!A:Z,21,FALSE))</f>
        <v>0</v>
      </c>
      <c r="AE498" s="16">
        <f>IF(ISERROR(VLOOKUP($A498,'13. Updated Demand'!A:Z,22,FALSE)),0,VLOOKUP($A498,'13. Updated Demand'!A:Z,22,FALSE))</f>
        <v>0</v>
      </c>
      <c r="AF498" s="16">
        <f>IF(ISERROR(VLOOKUP($A498,'13. Updated Demand'!A:Z,23,FALSE)),0,VLOOKUP($A498,'13. Updated Demand'!A:Z,23,FALSE))</f>
        <v>0</v>
      </c>
      <c r="AG498" s="16">
        <f>IF(ISERROR(VLOOKUP($A498,'13. Updated Demand'!A:Z,24,FALSE)),0,VLOOKUP($A498,'13. Updated Demand'!A:Z,24,FALSE))</f>
        <v>0</v>
      </c>
      <c r="AH498" s="16">
        <f>IF(ISERROR(VLOOKUP($A498,'13. Updated Demand'!A:Z,25,FALSE)),0,VLOOKUP($A498,'13. Updated Demand'!A:Z,25,FALSE))</f>
        <v>1.5</v>
      </c>
      <c r="AI498" s="16">
        <f>IF(ISERROR(VLOOKUP($A498,'13. Updated Demand'!A:Z,26,FALSE)),0,VLOOKUP($A498,'13. Updated Demand'!A:Z,26,FALSE))</f>
        <v>0.5</v>
      </c>
      <c r="AJ498" s="16">
        <f t="shared" si="96"/>
        <v>2</v>
      </c>
      <c r="AK498" s="19">
        <v>0</v>
      </c>
      <c r="AL498" s="16">
        <f t="shared" si="94"/>
        <v>0</v>
      </c>
      <c r="AM498" s="17">
        <v>0.66666666666666663</v>
      </c>
      <c r="AN498" s="19"/>
      <c r="AO498" s="19"/>
      <c r="AP498" s="19">
        <v>3</v>
      </c>
      <c r="AQ498" s="19" t="s">
        <v>307</v>
      </c>
      <c r="AR498" s="9" t="s">
        <v>311</v>
      </c>
      <c r="AS498" s="12">
        <v>0</v>
      </c>
      <c r="AT498" s="19">
        <v>38.652473649999997</v>
      </c>
      <c r="AU498" s="19">
        <v>-122.81944249999999</v>
      </c>
      <c r="AV498" s="19" t="s">
        <v>387</v>
      </c>
    </row>
    <row r="499" spans="1:48" x14ac:dyDescent="0.25">
      <c r="A499" s="18" t="s">
        <v>884</v>
      </c>
      <c r="B499" s="10">
        <v>19820614</v>
      </c>
      <c r="C499" s="9">
        <v>18</v>
      </c>
      <c r="D499" s="8" t="str">
        <f t="shared" si="85"/>
        <v>N</v>
      </c>
      <c r="E499" s="8" t="str">
        <f t="shared" si="86"/>
        <v>N</v>
      </c>
      <c r="F499" s="8" t="str">
        <f t="shared" si="87"/>
        <v>N</v>
      </c>
      <c r="G499" s="8" t="str">
        <f t="shared" si="88"/>
        <v>N</v>
      </c>
      <c r="H499" s="8" t="str">
        <f t="shared" si="89"/>
        <v>Lower</v>
      </c>
      <c r="I499" s="8" t="str">
        <f t="shared" si="90"/>
        <v>Outside</v>
      </c>
      <c r="J499" s="8" t="str">
        <f t="shared" si="91"/>
        <v>Outside</v>
      </c>
      <c r="K499" s="8" t="str">
        <f t="shared" si="92"/>
        <v>Post-1949</v>
      </c>
      <c r="L499" s="8">
        <f t="shared" si="93"/>
        <v>1982</v>
      </c>
      <c r="M499" s="8" t="str">
        <f t="shared" si="95"/>
        <v>1971-1990</v>
      </c>
      <c r="N499" s="10" t="s">
        <v>241</v>
      </c>
      <c r="O499" s="10" t="s">
        <v>242</v>
      </c>
      <c r="P499" s="10" t="s">
        <v>242</v>
      </c>
      <c r="Q499" s="10" t="s">
        <v>242</v>
      </c>
      <c r="R499" s="10" t="s">
        <v>241</v>
      </c>
      <c r="S499" s="10" t="s">
        <v>242</v>
      </c>
      <c r="T499" s="10" t="s">
        <v>242</v>
      </c>
      <c r="U499" s="10" t="s">
        <v>241</v>
      </c>
      <c r="V499" s="10" t="s">
        <v>241</v>
      </c>
      <c r="W499" s="10" t="s">
        <v>242</v>
      </c>
      <c r="X499" s="15">
        <f>IF(ISERROR(VLOOKUP($A499,'13. Updated Demand'!A:Z,15,FALSE)),0,VLOOKUP($A499,'13. Updated Demand'!A:Z,15,FALSE))</f>
        <v>0</v>
      </c>
      <c r="Y499" s="16">
        <f>IF(ISERROR(VLOOKUP($A499,'13. Updated Demand'!A:Z,16,FALSE)),0,VLOOKUP($A499,'13. Updated Demand'!A:Z,16,FALSE))</f>
        <v>0</v>
      </c>
      <c r="Z499" s="16">
        <f>IF(ISERROR(VLOOKUP($A499,'13. Updated Demand'!A:Z,17,FALSE)),0,VLOOKUP($A499,'13. Updated Demand'!A:Z,17,FALSE))</f>
        <v>0</v>
      </c>
      <c r="AA499" s="16">
        <f>IF(ISERROR(VLOOKUP($A499,'13. Updated Demand'!A:Z,18,FALSE)),0,VLOOKUP($A499,'13. Updated Demand'!A:Z,18,FALSE))</f>
        <v>0</v>
      </c>
      <c r="AB499" s="16">
        <f>IF(ISERROR(VLOOKUP($A499,'13. Updated Demand'!A:Z,19,FALSE)),0,VLOOKUP($A499,'13. Updated Demand'!A:Z,19,FALSE))</f>
        <v>0</v>
      </c>
      <c r="AC499" s="16">
        <f>IF(ISERROR(VLOOKUP($A499,'13. Updated Demand'!A:Z,20,FALSE)),0,VLOOKUP($A499,'13. Updated Demand'!A:Z,20,FALSE))</f>
        <v>0</v>
      </c>
      <c r="AD499" s="16">
        <f>IF(ISERROR(VLOOKUP($A499,'13. Updated Demand'!A:Z,21,FALSE)),0,VLOOKUP($A499,'13. Updated Demand'!A:Z,21,FALSE))</f>
        <v>0</v>
      </c>
      <c r="AE499" s="16">
        <f>IF(ISERROR(VLOOKUP($A499,'13. Updated Demand'!A:Z,22,FALSE)),0,VLOOKUP($A499,'13. Updated Demand'!A:Z,22,FALSE))</f>
        <v>0</v>
      </c>
      <c r="AF499" s="16">
        <f>IF(ISERROR(VLOOKUP($A499,'13. Updated Demand'!A:Z,23,FALSE)),0,VLOOKUP($A499,'13. Updated Demand'!A:Z,23,FALSE))</f>
        <v>0</v>
      </c>
      <c r="AG499" s="16">
        <f>IF(ISERROR(VLOOKUP($A499,'13. Updated Demand'!A:Z,24,FALSE)),0,VLOOKUP($A499,'13. Updated Demand'!A:Z,24,FALSE))</f>
        <v>0</v>
      </c>
      <c r="AH499" s="16">
        <f>IF(ISERROR(VLOOKUP($A499,'13. Updated Demand'!A:Z,25,FALSE)),0,VLOOKUP($A499,'13. Updated Demand'!A:Z,25,FALSE))</f>
        <v>0</v>
      </c>
      <c r="AI499" s="16">
        <f>IF(ISERROR(VLOOKUP($A499,'13. Updated Demand'!A:Z,26,FALSE)),0,VLOOKUP($A499,'13. Updated Demand'!A:Z,26,FALSE))</f>
        <v>0</v>
      </c>
      <c r="AJ499" s="16">
        <f t="shared" si="96"/>
        <v>0</v>
      </c>
      <c r="AK499" s="19">
        <v>0</v>
      </c>
      <c r="AL499" s="16">
        <f t="shared" si="94"/>
        <v>0</v>
      </c>
      <c r="AM499" s="17">
        <v>0</v>
      </c>
      <c r="AN499" s="19"/>
      <c r="AO499" s="19"/>
      <c r="AP499" s="19">
        <v>113</v>
      </c>
      <c r="AQ499" s="19" t="s">
        <v>307</v>
      </c>
      <c r="AR499" s="9" t="s">
        <v>352</v>
      </c>
      <c r="AS499" s="12">
        <v>3.4039024194010059E-4</v>
      </c>
      <c r="AT499" s="19">
        <v>38.5018824</v>
      </c>
      <c r="AU499" s="19">
        <v>-122.90185327</v>
      </c>
      <c r="AV499" s="19" t="s">
        <v>387</v>
      </c>
    </row>
    <row r="500" spans="1:48" x14ac:dyDescent="0.25">
      <c r="A500" s="18" t="s">
        <v>885</v>
      </c>
      <c r="B500" s="10">
        <v>19820714</v>
      </c>
      <c r="C500" s="9">
        <v>23</v>
      </c>
      <c r="D500" s="8" t="str">
        <f t="shared" si="85"/>
        <v>N</v>
      </c>
      <c r="E500" s="8" t="str">
        <f t="shared" si="86"/>
        <v>N</v>
      </c>
      <c r="F500" s="8" t="str">
        <f t="shared" si="87"/>
        <v>N</v>
      </c>
      <c r="G500" s="8" t="str">
        <f t="shared" si="88"/>
        <v>N</v>
      </c>
      <c r="H500" s="8" t="str">
        <f t="shared" si="89"/>
        <v>Lower</v>
      </c>
      <c r="I500" s="8" t="str">
        <f t="shared" si="90"/>
        <v>Outside</v>
      </c>
      <c r="J500" s="8" t="str">
        <f t="shared" si="91"/>
        <v>Outside</v>
      </c>
      <c r="K500" s="8" t="str">
        <f t="shared" si="92"/>
        <v>Post-1949</v>
      </c>
      <c r="L500" s="8">
        <f t="shared" si="93"/>
        <v>1982</v>
      </c>
      <c r="M500" s="8" t="str">
        <f t="shared" si="95"/>
        <v>1971-1990</v>
      </c>
      <c r="N500" s="10" t="s">
        <v>242</v>
      </c>
      <c r="O500" s="10" t="s">
        <v>242</v>
      </c>
      <c r="P500" s="10" t="s">
        <v>242</v>
      </c>
      <c r="Q500" s="10" t="s">
        <v>242</v>
      </c>
      <c r="R500" s="10" t="s">
        <v>241</v>
      </c>
      <c r="S500" s="10" t="s">
        <v>242</v>
      </c>
      <c r="T500" s="10" t="s">
        <v>242</v>
      </c>
      <c r="U500" s="10" t="s">
        <v>241</v>
      </c>
      <c r="V500" s="10" t="s">
        <v>241</v>
      </c>
      <c r="W500" s="10" t="s">
        <v>242</v>
      </c>
      <c r="X500" s="15">
        <f>IF(ISERROR(VLOOKUP($A500,'13. Updated Demand'!A:Z,15,FALSE)),0,VLOOKUP($A500,'13. Updated Demand'!A:Z,15,FALSE))</f>
        <v>0</v>
      </c>
      <c r="Y500" s="16">
        <f>IF(ISERROR(VLOOKUP($A500,'13. Updated Demand'!A:Z,16,FALSE)),0,VLOOKUP($A500,'13. Updated Demand'!A:Z,16,FALSE))</f>
        <v>0</v>
      </c>
      <c r="Z500" s="16">
        <f>IF(ISERROR(VLOOKUP($A500,'13. Updated Demand'!A:Z,17,FALSE)),0,VLOOKUP($A500,'13. Updated Demand'!A:Z,17,FALSE))</f>
        <v>0</v>
      </c>
      <c r="AA500" s="16">
        <f>IF(ISERROR(VLOOKUP($A500,'13. Updated Demand'!A:Z,18,FALSE)),0,VLOOKUP($A500,'13. Updated Demand'!A:Z,18,FALSE))</f>
        <v>0</v>
      </c>
      <c r="AB500" s="16">
        <f>IF(ISERROR(VLOOKUP($A500,'13. Updated Demand'!A:Z,19,FALSE)),0,VLOOKUP($A500,'13. Updated Demand'!A:Z,19,FALSE))</f>
        <v>0</v>
      </c>
      <c r="AC500" s="16">
        <f>IF(ISERROR(VLOOKUP($A500,'13. Updated Demand'!A:Z,20,FALSE)),0,VLOOKUP($A500,'13. Updated Demand'!A:Z,20,FALSE))</f>
        <v>0</v>
      </c>
      <c r="AD500" s="16">
        <f>IF(ISERROR(VLOOKUP($A500,'13. Updated Demand'!A:Z,21,FALSE)),0,VLOOKUP($A500,'13. Updated Demand'!A:Z,21,FALSE))</f>
        <v>0</v>
      </c>
      <c r="AE500" s="16">
        <f>IF(ISERROR(VLOOKUP($A500,'13. Updated Demand'!A:Z,22,FALSE)),0,VLOOKUP($A500,'13. Updated Demand'!A:Z,22,FALSE))</f>
        <v>0</v>
      </c>
      <c r="AF500" s="16">
        <f>IF(ISERROR(VLOOKUP($A500,'13. Updated Demand'!A:Z,23,FALSE)),0,VLOOKUP($A500,'13. Updated Demand'!A:Z,23,FALSE))</f>
        <v>0</v>
      </c>
      <c r="AG500" s="16">
        <f>IF(ISERROR(VLOOKUP($A500,'13. Updated Demand'!A:Z,24,FALSE)),0,VLOOKUP($A500,'13. Updated Demand'!A:Z,24,FALSE))</f>
        <v>0</v>
      </c>
      <c r="AH500" s="16">
        <f>IF(ISERROR(VLOOKUP($A500,'13. Updated Demand'!A:Z,25,FALSE)),0,VLOOKUP($A500,'13. Updated Demand'!A:Z,25,FALSE))</f>
        <v>0</v>
      </c>
      <c r="AI500" s="16">
        <f>IF(ISERROR(VLOOKUP($A500,'13. Updated Demand'!A:Z,26,FALSE)),0,VLOOKUP($A500,'13. Updated Demand'!A:Z,26,FALSE))</f>
        <v>0</v>
      </c>
      <c r="AJ500" s="16">
        <f t="shared" si="96"/>
        <v>0</v>
      </c>
      <c r="AK500" s="19">
        <v>0</v>
      </c>
      <c r="AL500" s="16">
        <f t="shared" si="94"/>
        <v>0</v>
      </c>
      <c r="AM500" s="17">
        <v>0</v>
      </c>
      <c r="AN500" s="19"/>
      <c r="AO500" s="19"/>
      <c r="AP500" s="19">
        <v>3.2</v>
      </c>
      <c r="AQ500" s="19" t="s">
        <v>307</v>
      </c>
      <c r="AR500" s="9" t="s">
        <v>378</v>
      </c>
      <c r="AS500" s="12">
        <v>0</v>
      </c>
      <c r="AT500" s="19">
        <v>38.493741100000001</v>
      </c>
      <c r="AU500" s="19">
        <v>-122.59662278</v>
      </c>
      <c r="AV500" s="19" t="s">
        <v>417</v>
      </c>
    </row>
    <row r="501" spans="1:48" x14ac:dyDescent="0.25">
      <c r="A501" s="18" t="s">
        <v>886</v>
      </c>
      <c r="B501" s="10">
        <v>19820720</v>
      </c>
      <c r="C501" s="9">
        <v>12</v>
      </c>
      <c r="D501" s="8" t="str">
        <f t="shared" si="85"/>
        <v>N</v>
      </c>
      <c r="E501" s="8" t="str">
        <f t="shared" si="86"/>
        <v>Y</v>
      </c>
      <c r="F501" s="8" t="str">
        <f t="shared" si="87"/>
        <v>Y</v>
      </c>
      <c r="G501" s="8" t="str">
        <f t="shared" si="88"/>
        <v>Y</v>
      </c>
      <c r="H501" s="8" t="str">
        <f t="shared" si="89"/>
        <v>Upper</v>
      </c>
      <c r="I501" s="8" t="str">
        <f t="shared" si="90"/>
        <v>West Fork and Below Lake</v>
      </c>
      <c r="J501" s="8" t="str">
        <f t="shared" si="91"/>
        <v>Sonoma (d/s of Clov. Gage)</v>
      </c>
      <c r="K501" s="8" t="str">
        <f t="shared" si="92"/>
        <v>Post-1949</v>
      </c>
      <c r="L501" s="8">
        <f t="shared" si="93"/>
        <v>1982</v>
      </c>
      <c r="M501" s="8" t="str">
        <f t="shared" si="95"/>
        <v>1971-1990</v>
      </c>
      <c r="N501" s="10" t="s">
        <v>242</v>
      </c>
      <c r="O501" s="10" t="s">
        <v>241</v>
      </c>
      <c r="P501" s="10" t="s">
        <v>242</v>
      </c>
      <c r="Q501" s="10" t="s">
        <v>242</v>
      </c>
      <c r="R501" s="10" t="s">
        <v>241</v>
      </c>
      <c r="S501" s="10" t="s">
        <v>242</v>
      </c>
      <c r="T501" s="10" t="s">
        <v>242</v>
      </c>
      <c r="U501" s="10" t="s">
        <v>242</v>
      </c>
      <c r="V501" s="10" t="s">
        <v>242</v>
      </c>
      <c r="W501" s="10" t="s">
        <v>242</v>
      </c>
      <c r="X501" s="15">
        <f>IF(ISERROR(VLOOKUP($A501,'13. Updated Demand'!A:Z,15,FALSE)),0,VLOOKUP($A501,'13. Updated Demand'!A:Z,15,FALSE))</f>
        <v>1</v>
      </c>
      <c r="Y501" s="16">
        <f>IF(ISERROR(VLOOKUP($A501,'13. Updated Demand'!A:Z,16,FALSE)),0,VLOOKUP($A501,'13. Updated Demand'!A:Z,16,FALSE))</f>
        <v>1</v>
      </c>
      <c r="Z501" s="16">
        <f>IF(ISERROR(VLOOKUP($A501,'13. Updated Demand'!A:Z,17,FALSE)),0,VLOOKUP($A501,'13. Updated Demand'!A:Z,17,FALSE))</f>
        <v>1</v>
      </c>
      <c r="AA501" s="16">
        <f>IF(ISERROR(VLOOKUP($A501,'13. Updated Demand'!A:Z,18,FALSE)),0,VLOOKUP($A501,'13. Updated Demand'!A:Z,18,FALSE))</f>
        <v>1</v>
      </c>
      <c r="AB501" s="16">
        <f>IF(ISERROR(VLOOKUP($A501,'13. Updated Demand'!A:Z,19,FALSE)),0,VLOOKUP($A501,'13. Updated Demand'!A:Z,19,FALSE))</f>
        <v>0.66</v>
      </c>
      <c r="AC501" s="16">
        <f>IF(ISERROR(VLOOKUP($A501,'13. Updated Demand'!A:Z,20,FALSE)),0,VLOOKUP($A501,'13. Updated Demand'!A:Z,20,FALSE))</f>
        <v>0</v>
      </c>
      <c r="AD501" s="16">
        <f>IF(ISERROR(VLOOKUP($A501,'13. Updated Demand'!A:Z,21,FALSE)),0,VLOOKUP($A501,'13. Updated Demand'!A:Z,21,FALSE))</f>
        <v>0</v>
      </c>
      <c r="AE501" s="16">
        <f>IF(ISERROR(VLOOKUP($A501,'13. Updated Demand'!A:Z,22,FALSE)),0,VLOOKUP($A501,'13. Updated Demand'!A:Z,22,FALSE))</f>
        <v>0</v>
      </c>
      <c r="AF501" s="16">
        <f>IF(ISERROR(VLOOKUP($A501,'13. Updated Demand'!A:Z,23,FALSE)),0,VLOOKUP($A501,'13. Updated Demand'!A:Z,23,FALSE))</f>
        <v>0</v>
      </c>
      <c r="AG501" s="16">
        <f>IF(ISERROR(VLOOKUP($A501,'13. Updated Demand'!A:Z,24,FALSE)),0,VLOOKUP($A501,'13. Updated Demand'!A:Z,24,FALSE))</f>
        <v>1</v>
      </c>
      <c r="AH501" s="16">
        <f>IF(ISERROR(VLOOKUP($A501,'13. Updated Demand'!A:Z,25,FALSE)),0,VLOOKUP($A501,'13. Updated Demand'!A:Z,25,FALSE))</f>
        <v>1</v>
      </c>
      <c r="AI501" s="16">
        <f>IF(ISERROR(VLOOKUP($A501,'13. Updated Demand'!A:Z,26,FALSE)),0,VLOOKUP($A501,'13. Updated Demand'!A:Z,26,FALSE))</f>
        <v>1</v>
      </c>
      <c r="AJ501" s="16">
        <f t="shared" si="96"/>
        <v>7.66</v>
      </c>
      <c r="AK501" s="19">
        <v>0.66666666699999999</v>
      </c>
      <c r="AL501" s="16">
        <f t="shared" si="94"/>
        <v>2.2112573939693015E-3</v>
      </c>
      <c r="AM501" s="17">
        <v>0.33333333334782611</v>
      </c>
      <c r="AN501" s="19"/>
      <c r="AO501" s="19"/>
      <c r="AP501" s="19">
        <v>23</v>
      </c>
      <c r="AQ501" s="19" t="s">
        <v>307</v>
      </c>
      <c r="AR501" s="9" t="s">
        <v>311</v>
      </c>
      <c r="AS501" s="12">
        <v>0</v>
      </c>
      <c r="AT501" s="19">
        <v>38.584125419999999</v>
      </c>
      <c r="AU501" s="19">
        <v>-122.64023389</v>
      </c>
      <c r="AV501" s="19" t="s">
        <v>417</v>
      </c>
    </row>
    <row r="502" spans="1:48" x14ac:dyDescent="0.25">
      <c r="A502" s="18" t="s">
        <v>887</v>
      </c>
      <c r="B502" s="10">
        <v>19820729</v>
      </c>
      <c r="C502" s="9">
        <v>1</v>
      </c>
      <c r="D502" s="8" t="str">
        <f t="shared" si="85"/>
        <v>N</v>
      </c>
      <c r="E502" s="8" t="str">
        <f t="shared" si="86"/>
        <v>N</v>
      </c>
      <c r="F502" s="8" t="str">
        <f t="shared" si="87"/>
        <v>Y</v>
      </c>
      <c r="G502" s="8" t="str">
        <f t="shared" si="88"/>
        <v>Y</v>
      </c>
      <c r="H502" s="8" t="str">
        <f t="shared" si="89"/>
        <v>Upper</v>
      </c>
      <c r="I502" s="8" t="str">
        <f t="shared" si="90"/>
        <v>West Fork and Below Lake</v>
      </c>
      <c r="J502" s="8" t="str">
        <f t="shared" si="91"/>
        <v>Outside</v>
      </c>
      <c r="K502" s="8" t="str">
        <f t="shared" si="92"/>
        <v>Post-1949</v>
      </c>
      <c r="L502" s="8">
        <f t="shared" si="93"/>
        <v>1982</v>
      </c>
      <c r="M502" s="8" t="str">
        <f t="shared" si="95"/>
        <v>1971-1990</v>
      </c>
      <c r="N502" s="10" t="s">
        <v>242</v>
      </c>
      <c r="O502" s="10" t="s">
        <v>241</v>
      </c>
      <c r="P502" s="10" t="s">
        <v>242</v>
      </c>
      <c r="Q502" s="10" t="s">
        <v>242</v>
      </c>
      <c r="R502" s="10" t="s">
        <v>241</v>
      </c>
      <c r="S502" s="10" t="s">
        <v>242</v>
      </c>
      <c r="T502" s="10" t="s">
        <v>242</v>
      </c>
      <c r="U502" s="10" t="s">
        <v>242</v>
      </c>
      <c r="V502" s="10" t="s">
        <v>242</v>
      </c>
      <c r="W502" s="10" t="s">
        <v>242</v>
      </c>
      <c r="X502" s="15">
        <f>IF(ISERROR(VLOOKUP($A502,'13. Updated Demand'!A:Z,15,FALSE)),0,VLOOKUP($A502,'13. Updated Demand'!A:Z,15,FALSE))</f>
        <v>0</v>
      </c>
      <c r="Y502" s="16">
        <f>IF(ISERROR(VLOOKUP($A502,'13. Updated Demand'!A:Z,16,FALSE)),0,VLOOKUP($A502,'13. Updated Demand'!A:Z,16,FALSE))</f>
        <v>0</v>
      </c>
      <c r="Z502" s="16">
        <f>IF(ISERROR(VLOOKUP($A502,'13. Updated Demand'!A:Z,17,FALSE)),0,VLOOKUP($A502,'13. Updated Demand'!A:Z,17,FALSE))</f>
        <v>0</v>
      </c>
      <c r="AA502" s="16">
        <f>IF(ISERROR(VLOOKUP($A502,'13. Updated Demand'!A:Z,18,FALSE)),0,VLOOKUP($A502,'13. Updated Demand'!A:Z,18,FALSE))</f>
        <v>0</v>
      </c>
      <c r="AB502" s="16">
        <f>IF(ISERROR(VLOOKUP($A502,'13. Updated Demand'!A:Z,19,FALSE)),0,VLOOKUP($A502,'13. Updated Demand'!A:Z,19,FALSE))</f>
        <v>2.1483330000000001E-3</v>
      </c>
      <c r="AC502" s="16">
        <f>IF(ISERROR(VLOOKUP($A502,'13. Updated Demand'!A:Z,20,FALSE)),0,VLOOKUP($A502,'13. Updated Demand'!A:Z,20,FALSE))</f>
        <v>2.1483330000000001E-3</v>
      </c>
      <c r="AD502" s="16">
        <f>IF(ISERROR(VLOOKUP($A502,'13. Updated Demand'!A:Z,21,FALSE)),0,VLOOKUP($A502,'13. Updated Demand'!A:Z,21,FALSE))</f>
        <v>2.1483330000000001E-3</v>
      </c>
      <c r="AE502" s="16">
        <f>IF(ISERROR(VLOOKUP($A502,'13. Updated Demand'!A:Z,22,FALSE)),0,VLOOKUP($A502,'13. Updated Demand'!A:Z,22,FALSE))</f>
        <v>2.1483330000000001E-3</v>
      </c>
      <c r="AF502" s="16">
        <f>IF(ISERROR(VLOOKUP($A502,'13. Updated Demand'!A:Z,23,FALSE)),0,VLOOKUP($A502,'13. Updated Demand'!A:Z,23,FALSE))</f>
        <v>2.1483330000000001E-3</v>
      </c>
      <c r="AG502" s="16">
        <f>IF(ISERROR(VLOOKUP($A502,'13. Updated Demand'!A:Z,24,FALSE)),0,VLOOKUP($A502,'13. Updated Demand'!A:Z,24,FALSE))</f>
        <v>2.1483330000000001E-3</v>
      </c>
      <c r="AH502" s="16">
        <f>IF(ISERROR(VLOOKUP($A502,'13. Updated Demand'!A:Z,25,FALSE)),0,VLOOKUP($A502,'13. Updated Demand'!A:Z,25,FALSE))</f>
        <v>0</v>
      </c>
      <c r="AI502" s="16">
        <f>IF(ISERROR(VLOOKUP($A502,'13. Updated Demand'!A:Z,26,FALSE)),0,VLOOKUP($A502,'13. Updated Demand'!A:Z,26,FALSE))</f>
        <v>0.16</v>
      </c>
      <c r="AJ502" s="16">
        <f t="shared" si="96"/>
        <v>0.17288999800000002</v>
      </c>
      <c r="AK502" s="19">
        <v>1.0741665000000001E-2</v>
      </c>
      <c r="AL502" s="16">
        <f t="shared" si="94"/>
        <v>3.5628879214372448E-5</v>
      </c>
      <c r="AM502" s="17">
        <v>1.2825476071428572E-2</v>
      </c>
      <c r="AN502" s="19"/>
      <c r="AO502" s="19"/>
      <c r="AP502" s="19">
        <v>14</v>
      </c>
      <c r="AQ502" s="19" t="s">
        <v>307</v>
      </c>
      <c r="AR502" s="9" t="s">
        <v>317</v>
      </c>
      <c r="AS502" s="12">
        <v>3.4039024194010059E-4</v>
      </c>
      <c r="AT502" s="19">
        <v>39.251952070000002</v>
      </c>
      <c r="AU502" s="19">
        <v>-123.16877909999999</v>
      </c>
      <c r="AV502" s="19" t="s">
        <v>417</v>
      </c>
    </row>
    <row r="503" spans="1:48" x14ac:dyDescent="0.25">
      <c r="A503" s="18" t="s">
        <v>888</v>
      </c>
      <c r="B503" s="10">
        <v>19820813</v>
      </c>
      <c r="C503" s="9">
        <v>17</v>
      </c>
      <c r="D503" s="8" t="str">
        <f t="shared" si="85"/>
        <v>N</v>
      </c>
      <c r="E503" s="8" t="str">
        <f t="shared" si="86"/>
        <v>N</v>
      </c>
      <c r="F503" s="8" t="str">
        <f t="shared" si="87"/>
        <v>N</v>
      </c>
      <c r="G503" s="8" t="str">
        <f t="shared" si="88"/>
        <v>N</v>
      </c>
      <c r="H503" s="8" t="str">
        <f t="shared" si="89"/>
        <v>Lower</v>
      </c>
      <c r="I503" s="8" t="str">
        <f t="shared" si="90"/>
        <v>Outside</v>
      </c>
      <c r="J503" s="8" t="str">
        <f t="shared" si="91"/>
        <v>Outside</v>
      </c>
      <c r="K503" s="8" t="str">
        <f t="shared" si="92"/>
        <v>Post-1949</v>
      </c>
      <c r="L503" s="8">
        <f t="shared" si="93"/>
        <v>1982</v>
      </c>
      <c r="M503" s="8" t="str">
        <f t="shared" si="95"/>
        <v>1971-1990</v>
      </c>
      <c r="N503" s="10" t="s">
        <v>241</v>
      </c>
      <c r="O503" s="10" t="s">
        <v>242</v>
      </c>
      <c r="P503" s="10" t="s">
        <v>242</v>
      </c>
      <c r="Q503" s="10" t="s">
        <v>242</v>
      </c>
      <c r="R503" s="10" t="s">
        <v>241</v>
      </c>
      <c r="S503" s="10" t="s">
        <v>242</v>
      </c>
      <c r="T503" s="10" t="s">
        <v>242</v>
      </c>
      <c r="U503" s="10" t="s">
        <v>242</v>
      </c>
      <c r="V503" s="10" t="s">
        <v>241</v>
      </c>
      <c r="W503" s="10" t="s">
        <v>242</v>
      </c>
      <c r="X503" s="15">
        <f>IF(ISERROR(VLOOKUP($A503,'13. Updated Demand'!A:Z,15,FALSE)),0,VLOOKUP($A503,'13. Updated Demand'!A:Z,15,FALSE))</f>
        <v>0</v>
      </c>
      <c r="Y503" s="16">
        <f>IF(ISERROR(VLOOKUP($A503,'13. Updated Demand'!A:Z,16,FALSE)),0,VLOOKUP($A503,'13. Updated Demand'!A:Z,16,FALSE))</f>
        <v>0.123333333</v>
      </c>
      <c r="Z503" s="16">
        <f>IF(ISERROR(VLOOKUP($A503,'13. Updated Demand'!A:Z,17,FALSE)),0,VLOOKUP($A503,'13. Updated Demand'!A:Z,17,FALSE))</f>
        <v>0.24666666700000001</v>
      </c>
      <c r="AA503" s="16">
        <f>IF(ISERROR(VLOOKUP($A503,'13. Updated Demand'!A:Z,18,FALSE)),0,VLOOKUP($A503,'13. Updated Demand'!A:Z,18,FALSE))</f>
        <v>0.02</v>
      </c>
      <c r="AB503" s="16">
        <f>IF(ISERROR(VLOOKUP($A503,'13. Updated Demand'!A:Z,19,FALSE)),0,VLOOKUP($A503,'13. Updated Demand'!A:Z,19,FALSE))</f>
        <v>0</v>
      </c>
      <c r="AC503" s="16">
        <f>IF(ISERROR(VLOOKUP($A503,'13. Updated Demand'!A:Z,20,FALSE)),0,VLOOKUP($A503,'13. Updated Demand'!A:Z,20,FALSE))</f>
        <v>0</v>
      </c>
      <c r="AD503" s="16">
        <f>IF(ISERROR(VLOOKUP($A503,'13. Updated Demand'!A:Z,21,FALSE)),0,VLOOKUP($A503,'13. Updated Demand'!A:Z,21,FALSE))</f>
        <v>0</v>
      </c>
      <c r="AE503" s="16">
        <f>IF(ISERROR(VLOOKUP($A503,'13. Updated Demand'!A:Z,22,FALSE)),0,VLOOKUP($A503,'13. Updated Demand'!A:Z,22,FALSE))</f>
        <v>0</v>
      </c>
      <c r="AF503" s="16">
        <f>IF(ISERROR(VLOOKUP($A503,'13. Updated Demand'!A:Z,23,FALSE)),0,VLOOKUP($A503,'13. Updated Demand'!A:Z,23,FALSE))</f>
        <v>0</v>
      </c>
      <c r="AG503" s="16">
        <f>IF(ISERROR(VLOOKUP($A503,'13. Updated Demand'!A:Z,24,FALSE)),0,VLOOKUP($A503,'13. Updated Demand'!A:Z,24,FALSE))</f>
        <v>0</v>
      </c>
      <c r="AH503" s="16">
        <f>IF(ISERROR(VLOOKUP($A503,'13. Updated Demand'!A:Z,25,FALSE)),0,VLOOKUP($A503,'13. Updated Demand'!A:Z,25,FALSE))</f>
        <v>0</v>
      </c>
      <c r="AI503" s="16">
        <f>IF(ISERROR(VLOOKUP($A503,'13. Updated Demand'!A:Z,26,FALSE)),0,VLOOKUP($A503,'13. Updated Demand'!A:Z,26,FALSE))</f>
        <v>0</v>
      </c>
      <c r="AJ503" s="16">
        <f t="shared" si="96"/>
        <v>0.39</v>
      </c>
      <c r="AK503" s="19">
        <v>0</v>
      </c>
      <c r="AL503" s="16">
        <f t="shared" si="94"/>
        <v>0</v>
      </c>
      <c r="AM503" s="17">
        <v>3.7142857142857142E-3</v>
      </c>
      <c r="AN503" s="19"/>
      <c r="AO503" s="19"/>
      <c r="AP503" s="19">
        <v>105</v>
      </c>
      <c r="AQ503" s="19" t="s">
        <v>307</v>
      </c>
      <c r="AR503" s="9" t="s">
        <v>486</v>
      </c>
      <c r="AS503" s="12">
        <v>0</v>
      </c>
      <c r="AT503" s="19">
        <v>38.52781135</v>
      </c>
      <c r="AU503" s="19">
        <v>-122.85646579</v>
      </c>
      <c r="AV503" s="19" t="s">
        <v>548</v>
      </c>
    </row>
    <row r="504" spans="1:48" x14ac:dyDescent="0.25">
      <c r="A504" s="18" t="s">
        <v>889</v>
      </c>
      <c r="B504" s="10">
        <v>19820813</v>
      </c>
      <c r="C504" s="9">
        <v>17</v>
      </c>
      <c r="D504" s="8" t="str">
        <f t="shared" si="85"/>
        <v>N</v>
      </c>
      <c r="E504" s="8" t="str">
        <f t="shared" si="86"/>
        <v>N</v>
      </c>
      <c r="F504" s="8" t="str">
        <f t="shared" si="87"/>
        <v>N</v>
      </c>
      <c r="G504" s="8" t="str">
        <f t="shared" si="88"/>
        <v>N</v>
      </c>
      <c r="H504" s="8" t="str">
        <f t="shared" si="89"/>
        <v>Lower</v>
      </c>
      <c r="I504" s="8" t="str">
        <f t="shared" si="90"/>
        <v>Outside</v>
      </c>
      <c r="J504" s="8" t="str">
        <f t="shared" si="91"/>
        <v>Outside</v>
      </c>
      <c r="K504" s="8" t="str">
        <f t="shared" si="92"/>
        <v>Post-1949</v>
      </c>
      <c r="L504" s="8">
        <f t="shared" si="93"/>
        <v>1982</v>
      </c>
      <c r="M504" s="8" t="str">
        <f t="shared" si="95"/>
        <v>1971-1990</v>
      </c>
      <c r="N504" s="10" t="s">
        <v>241</v>
      </c>
      <c r="O504" s="10" t="s">
        <v>242</v>
      </c>
      <c r="P504" s="10" t="s">
        <v>242</v>
      </c>
      <c r="Q504" s="10" t="s">
        <v>242</v>
      </c>
      <c r="R504" s="10" t="s">
        <v>241</v>
      </c>
      <c r="S504" s="10" t="s">
        <v>242</v>
      </c>
      <c r="T504" s="10" t="s">
        <v>242</v>
      </c>
      <c r="U504" s="10" t="s">
        <v>242</v>
      </c>
      <c r="V504" s="10" t="s">
        <v>242</v>
      </c>
      <c r="W504" s="10" t="s">
        <v>242</v>
      </c>
      <c r="X504" s="15">
        <f>IF(ISERROR(VLOOKUP($A504,'13. Updated Demand'!A:Z,15,FALSE)),0,VLOOKUP($A504,'13. Updated Demand'!A:Z,15,FALSE))</f>
        <v>0</v>
      </c>
      <c r="Y504" s="16">
        <f>IF(ISERROR(VLOOKUP($A504,'13. Updated Demand'!A:Z,16,FALSE)),0,VLOOKUP($A504,'13. Updated Demand'!A:Z,16,FALSE))</f>
        <v>0</v>
      </c>
      <c r="Z504" s="16">
        <f>IF(ISERROR(VLOOKUP($A504,'13. Updated Demand'!A:Z,17,FALSE)),0,VLOOKUP($A504,'13. Updated Demand'!A:Z,17,FALSE))</f>
        <v>0</v>
      </c>
      <c r="AA504" s="16">
        <f>IF(ISERROR(VLOOKUP($A504,'13. Updated Demand'!A:Z,18,FALSE)),0,VLOOKUP($A504,'13. Updated Demand'!A:Z,18,FALSE))</f>
        <v>0</v>
      </c>
      <c r="AB504" s="16">
        <f>IF(ISERROR(VLOOKUP($A504,'13. Updated Demand'!A:Z,19,FALSE)),0,VLOOKUP($A504,'13. Updated Demand'!A:Z,19,FALSE))</f>
        <v>0.133333333</v>
      </c>
      <c r="AC504" s="16">
        <f>IF(ISERROR(VLOOKUP($A504,'13. Updated Demand'!A:Z,20,FALSE)),0,VLOOKUP($A504,'13. Updated Demand'!A:Z,20,FALSE))</f>
        <v>1.066666667</v>
      </c>
      <c r="AD504" s="16">
        <f>IF(ISERROR(VLOOKUP($A504,'13. Updated Demand'!A:Z,21,FALSE)),0,VLOOKUP($A504,'13. Updated Demand'!A:Z,21,FALSE))</f>
        <v>2.8</v>
      </c>
      <c r="AE504" s="16">
        <f>IF(ISERROR(VLOOKUP($A504,'13. Updated Demand'!A:Z,22,FALSE)),0,VLOOKUP($A504,'13. Updated Demand'!A:Z,22,FALSE))</f>
        <v>1.8333333329999999</v>
      </c>
      <c r="AF504" s="16">
        <f>IF(ISERROR(VLOOKUP($A504,'13. Updated Demand'!A:Z,23,FALSE)),0,VLOOKUP($A504,'13. Updated Demand'!A:Z,23,FALSE))</f>
        <v>1.433333333</v>
      </c>
      <c r="AG504" s="16">
        <f>IF(ISERROR(VLOOKUP($A504,'13. Updated Demand'!A:Z,24,FALSE)),0,VLOOKUP($A504,'13. Updated Demand'!A:Z,24,FALSE))</f>
        <v>0.33333333300000001</v>
      </c>
      <c r="AH504" s="16">
        <f>IF(ISERROR(VLOOKUP($A504,'13. Updated Demand'!A:Z,25,FALSE)),0,VLOOKUP($A504,'13. Updated Demand'!A:Z,25,FALSE))</f>
        <v>0</v>
      </c>
      <c r="AI504" s="16">
        <f>IF(ISERROR(VLOOKUP($A504,'13. Updated Demand'!A:Z,26,FALSE)),0,VLOOKUP($A504,'13. Updated Demand'!A:Z,26,FALSE))</f>
        <v>0</v>
      </c>
      <c r="AJ504" s="16">
        <f t="shared" si="96"/>
        <v>7.5999999989999996</v>
      </c>
      <c r="AK504" s="19">
        <v>7.2666666659999999</v>
      </c>
      <c r="AL504" s="16">
        <f t="shared" si="94"/>
        <v>2.4102705580002774E-2</v>
      </c>
      <c r="AM504" s="17">
        <v>2.5333333329999999E-2</v>
      </c>
      <c r="AN504" s="19"/>
      <c r="AO504" s="19"/>
      <c r="AP504" s="19">
        <v>300</v>
      </c>
      <c r="AQ504" s="19" t="s">
        <v>307</v>
      </c>
      <c r="AR504" s="9" t="s">
        <v>486</v>
      </c>
      <c r="AS504" s="12">
        <v>0</v>
      </c>
      <c r="AT504" s="19">
        <v>38.52781135</v>
      </c>
      <c r="AU504" s="19">
        <v>-122.85646579</v>
      </c>
      <c r="AV504" s="19" t="s">
        <v>548</v>
      </c>
    </row>
    <row r="505" spans="1:48" x14ac:dyDescent="0.25">
      <c r="A505" s="18" t="s">
        <v>890</v>
      </c>
      <c r="B505" s="10">
        <v>19820930</v>
      </c>
      <c r="C505" s="9">
        <v>9</v>
      </c>
      <c r="D505" s="8" t="str">
        <f t="shared" si="85"/>
        <v>N</v>
      </c>
      <c r="E505" s="8" t="str">
        <f t="shared" si="86"/>
        <v>Y</v>
      </c>
      <c r="F505" s="8" t="str">
        <f t="shared" si="87"/>
        <v>Y</v>
      </c>
      <c r="G505" s="8" t="str">
        <f t="shared" si="88"/>
        <v>Y</v>
      </c>
      <c r="H505" s="8" t="str">
        <f t="shared" si="89"/>
        <v>Upper</v>
      </c>
      <c r="I505" s="8" t="str">
        <f t="shared" si="90"/>
        <v>West Fork and Below Lake</v>
      </c>
      <c r="J505" s="8" t="str">
        <f t="shared" si="91"/>
        <v>Sonoma (d/s of Clov. Gage)</v>
      </c>
      <c r="K505" s="8" t="str">
        <f t="shared" si="92"/>
        <v>Post-1949</v>
      </c>
      <c r="L505" s="8">
        <f t="shared" si="93"/>
        <v>1982</v>
      </c>
      <c r="M505" s="8" t="str">
        <f t="shared" si="95"/>
        <v>1971-1990</v>
      </c>
      <c r="N505" s="10" t="s">
        <v>242</v>
      </c>
      <c r="O505" s="10" t="s">
        <v>241</v>
      </c>
      <c r="P505" s="10" t="s">
        <v>242</v>
      </c>
      <c r="Q505" s="10" t="s">
        <v>242</v>
      </c>
      <c r="R505" s="10" t="s">
        <v>241</v>
      </c>
      <c r="S505" s="10" t="s">
        <v>242</v>
      </c>
      <c r="T505" s="10" t="s">
        <v>242</v>
      </c>
      <c r="U505" s="10" t="s">
        <v>242</v>
      </c>
      <c r="V505" s="10" t="s">
        <v>241</v>
      </c>
      <c r="W505" s="10" t="s">
        <v>242</v>
      </c>
      <c r="X505" s="15">
        <f>IF(ISERROR(VLOOKUP($A505,'13. Updated Demand'!A:Z,15,FALSE)),0,VLOOKUP($A505,'13. Updated Demand'!A:Z,15,FALSE))</f>
        <v>1.7</v>
      </c>
      <c r="Y505" s="16">
        <f>IF(ISERROR(VLOOKUP($A505,'13. Updated Demand'!A:Z,16,FALSE)),0,VLOOKUP($A505,'13. Updated Demand'!A:Z,16,FALSE))</f>
        <v>0</v>
      </c>
      <c r="Z505" s="16">
        <f>IF(ISERROR(VLOOKUP($A505,'13. Updated Demand'!A:Z,17,FALSE)),0,VLOOKUP($A505,'13. Updated Demand'!A:Z,17,FALSE))</f>
        <v>0</v>
      </c>
      <c r="AA505" s="16">
        <f>IF(ISERROR(VLOOKUP($A505,'13. Updated Demand'!A:Z,18,FALSE)),0,VLOOKUP($A505,'13. Updated Demand'!A:Z,18,FALSE))</f>
        <v>0</v>
      </c>
      <c r="AB505" s="16">
        <f>IF(ISERROR(VLOOKUP($A505,'13. Updated Demand'!A:Z,19,FALSE)),0,VLOOKUP($A505,'13. Updated Demand'!A:Z,19,FALSE))</f>
        <v>0</v>
      </c>
      <c r="AC505" s="16">
        <f>IF(ISERROR(VLOOKUP($A505,'13. Updated Demand'!A:Z,20,FALSE)),0,VLOOKUP($A505,'13. Updated Demand'!A:Z,20,FALSE))</f>
        <v>0</v>
      </c>
      <c r="AD505" s="16">
        <f>IF(ISERROR(VLOOKUP($A505,'13. Updated Demand'!A:Z,21,FALSE)),0,VLOOKUP($A505,'13. Updated Demand'!A:Z,21,FALSE))</f>
        <v>0</v>
      </c>
      <c r="AE505" s="16">
        <f>IF(ISERROR(VLOOKUP($A505,'13. Updated Demand'!A:Z,22,FALSE)),0,VLOOKUP($A505,'13. Updated Demand'!A:Z,22,FALSE))</f>
        <v>0</v>
      </c>
      <c r="AF505" s="16">
        <f>IF(ISERROR(VLOOKUP($A505,'13. Updated Demand'!A:Z,23,FALSE)),0,VLOOKUP($A505,'13. Updated Demand'!A:Z,23,FALSE))</f>
        <v>0</v>
      </c>
      <c r="AG505" s="16">
        <f>IF(ISERROR(VLOOKUP($A505,'13. Updated Demand'!A:Z,24,FALSE)),0,VLOOKUP($A505,'13. Updated Demand'!A:Z,24,FALSE))</f>
        <v>0</v>
      </c>
      <c r="AH505" s="16">
        <f>IF(ISERROR(VLOOKUP($A505,'13. Updated Demand'!A:Z,25,FALSE)),0,VLOOKUP($A505,'13. Updated Demand'!A:Z,25,FALSE))</f>
        <v>0</v>
      </c>
      <c r="AI505" s="16">
        <f>IF(ISERROR(VLOOKUP($A505,'13. Updated Demand'!A:Z,26,FALSE)),0,VLOOKUP($A505,'13. Updated Demand'!A:Z,26,FALSE))</f>
        <v>0</v>
      </c>
      <c r="AJ505" s="16">
        <f t="shared" si="96"/>
        <v>1.7</v>
      </c>
      <c r="AK505" s="19">
        <v>0</v>
      </c>
      <c r="AL505" s="16">
        <f t="shared" si="94"/>
        <v>0</v>
      </c>
      <c r="AM505" s="17">
        <v>0.5</v>
      </c>
      <c r="AN505" s="19"/>
      <c r="AO505" s="19"/>
      <c r="AP505" s="19">
        <v>3.4</v>
      </c>
      <c r="AQ505" s="19" t="s">
        <v>307</v>
      </c>
      <c r="AR505" s="9" t="s">
        <v>354</v>
      </c>
      <c r="AS505" s="12">
        <v>3.4039024194010059E-4</v>
      </c>
      <c r="AT505" s="19">
        <v>38.771987119999999</v>
      </c>
      <c r="AU505" s="19">
        <v>-122.9572678</v>
      </c>
      <c r="AV505" s="19" t="s">
        <v>417</v>
      </c>
    </row>
    <row r="506" spans="1:48" x14ac:dyDescent="0.25">
      <c r="A506" s="18" t="s">
        <v>891</v>
      </c>
      <c r="B506" s="10">
        <v>19821021</v>
      </c>
      <c r="C506" s="9">
        <v>10</v>
      </c>
      <c r="D506" s="8" t="str">
        <f t="shared" si="85"/>
        <v>N</v>
      </c>
      <c r="E506" s="8" t="str">
        <f t="shared" si="86"/>
        <v>Y</v>
      </c>
      <c r="F506" s="8" t="str">
        <f t="shared" si="87"/>
        <v>Y</v>
      </c>
      <c r="G506" s="8" t="str">
        <f t="shared" si="88"/>
        <v>Y</v>
      </c>
      <c r="H506" s="8" t="str">
        <f t="shared" si="89"/>
        <v>Upper</v>
      </c>
      <c r="I506" s="8" t="str">
        <f t="shared" si="90"/>
        <v>West Fork and Below Lake</v>
      </c>
      <c r="J506" s="8" t="str">
        <f t="shared" si="91"/>
        <v>Sonoma (d/s of Clov. Gage)</v>
      </c>
      <c r="K506" s="8" t="str">
        <f t="shared" si="92"/>
        <v>Post-1949</v>
      </c>
      <c r="L506" s="8">
        <f t="shared" si="93"/>
        <v>1982</v>
      </c>
      <c r="M506" s="8" t="str">
        <f t="shared" si="95"/>
        <v>1971-1990</v>
      </c>
      <c r="N506" s="10" t="s">
        <v>242</v>
      </c>
      <c r="O506" s="10" t="s">
        <v>241</v>
      </c>
      <c r="P506" s="10" t="s">
        <v>242</v>
      </c>
      <c r="Q506" s="10" t="s">
        <v>242</v>
      </c>
      <c r="R506" s="10" t="s">
        <v>241</v>
      </c>
      <c r="S506" s="10" t="s">
        <v>242</v>
      </c>
      <c r="T506" s="10" t="s">
        <v>242</v>
      </c>
      <c r="U506" s="10" t="s">
        <v>242</v>
      </c>
      <c r="V506" s="10" t="s">
        <v>241</v>
      </c>
      <c r="W506" s="10" t="s">
        <v>242</v>
      </c>
      <c r="X506" s="15">
        <f>IF(ISERROR(VLOOKUP($A506,'13. Updated Demand'!A:Z,15,FALSE)),0,VLOOKUP($A506,'13. Updated Demand'!A:Z,15,FALSE))</f>
        <v>4</v>
      </c>
      <c r="Y506" s="16">
        <f>IF(ISERROR(VLOOKUP($A506,'13. Updated Demand'!A:Z,16,FALSE)),0,VLOOKUP($A506,'13. Updated Demand'!A:Z,16,FALSE))</f>
        <v>4</v>
      </c>
      <c r="Z506" s="16">
        <f>IF(ISERROR(VLOOKUP($A506,'13. Updated Demand'!A:Z,17,FALSE)),0,VLOOKUP($A506,'13. Updated Demand'!A:Z,17,FALSE))</f>
        <v>2</v>
      </c>
      <c r="AA506" s="16">
        <f>IF(ISERROR(VLOOKUP($A506,'13. Updated Demand'!A:Z,18,FALSE)),0,VLOOKUP($A506,'13. Updated Demand'!A:Z,18,FALSE))</f>
        <v>0</v>
      </c>
      <c r="AB506" s="16">
        <f>IF(ISERROR(VLOOKUP($A506,'13. Updated Demand'!A:Z,19,FALSE)),0,VLOOKUP($A506,'13. Updated Demand'!A:Z,19,FALSE))</f>
        <v>0</v>
      </c>
      <c r="AC506" s="16">
        <f>IF(ISERROR(VLOOKUP($A506,'13. Updated Demand'!A:Z,20,FALSE)),0,VLOOKUP($A506,'13. Updated Demand'!A:Z,20,FALSE))</f>
        <v>0</v>
      </c>
      <c r="AD506" s="16">
        <f>IF(ISERROR(VLOOKUP($A506,'13. Updated Demand'!A:Z,21,FALSE)),0,VLOOKUP($A506,'13. Updated Demand'!A:Z,21,FALSE))</f>
        <v>0</v>
      </c>
      <c r="AE506" s="16">
        <f>IF(ISERROR(VLOOKUP($A506,'13. Updated Demand'!A:Z,22,FALSE)),0,VLOOKUP($A506,'13. Updated Demand'!A:Z,22,FALSE))</f>
        <v>0</v>
      </c>
      <c r="AF506" s="16">
        <f>IF(ISERROR(VLOOKUP($A506,'13. Updated Demand'!A:Z,23,FALSE)),0,VLOOKUP($A506,'13. Updated Demand'!A:Z,23,FALSE))</f>
        <v>0</v>
      </c>
      <c r="AG506" s="16">
        <f>IF(ISERROR(VLOOKUP($A506,'13. Updated Demand'!A:Z,24,FALSE)),0,VLOOKUP($A506,'13. Updated Demand'!A:Z,24,FALSE))</f>
        <v>0</v>
      </c>
      <c r="AH506" s="16">
        <f>IF(ISERROR(VLOOKUP($A506,'13. Updated Demand'!A:Z,25,FALSE)),0,VLOOKUP($A506,'13. Updated Demand'!A:Z,25,FALSE))</f>
        <v>0</v>
      </c>
      <c r="AI506" s="16">
        <f>IF(ISERROR(VLOOKUP($A506,'13. Updated Demand'!A:Z,26,FALSE)),0,VLOOKUP($A506,'13. Updated Demand'!A:Z,26,FALSE))</f>
        <v>4</v>
      </c>
      <c r="AJ506" s="16">
        <f t="shared" si="96"/>
        <v>14</v>
      </c>
      <c r="AK506" s="19">
        <v>0</v>
      </c>
      <c r="AL506" s="16">
        <f t="shared" si="94"/>
        <v>0</v>
      </c>
      <c r="AM506" s="17">
        <v>1</v>
      </c>
      <c r="AN506" s="19"/>
      <c r="AO506" s="19"/>
      <c r="AP506" s="19">
        <v>14</v>
      </c>
      <c r="AQ506" s="19" t="s">
        <v>307</v>
      </c>
      <c r="AR506" s="9" t="s">
        <v>436</v>
      </c>
      <c r="AS506" s="12">
        <v>0</v>
      </c>
      <c r="AT506" s="19">
        <v>38.697057999999998</v>
      </c>
      <c r="AU506" s="19">
        <v>-122.83595099999999</v>
      </c>
      <c r="AV506" s="19" t="s">
        <v>513</v>
      </c>
    </row>
    <row r="507" spans="1:48" x14ac:dyDescent="0.25">
      <c r="A507" s="18" t="s">
        <v>892</v>
      </c>
      <c r="B507" s="10">
        <v>19821112</v>
      </c>
      <c r="C507" s="9">
        <v>5</v>
      </c>
      <c r="D507" s="8" t="str">
        <f t="shared" si="85"/>
        <v>Y</v>
      </c>
      <c r="E507" s="8" t="str">
        <f t="shared" si="86"/>
        <v>N</v>
      </c>
      <c r="F507" s="8" t="str">
        <f t="shared" si="87"/>
        <v>Y</v>
      </c>
      <c r="G507" s="8" t="str">
        <f t="shared" si="88"/>
        <v>Y</v>
      </c>
      <c r="H507" s="8" t="str">
        <f t="shared" si="89"/>
        <v>Upper</v>
      </c>
      <c r="I507" s="8" t="str">
        <f t="shared" si="90"/>
        <v>West Fork and Below Lake</v>
      </c>
      <c r="J507" s="8" t="str">
        <f t="shared" si="91"/>
        <v>Mendocino (d/s of lake)</v>
      </c>
      <c r="K507" s="8" t="str">
        <f t="shared" si="92"/>
        <v>Post-1949</v>
      </c>
      <c r="L507" s="8">
        <f t="shared" si="93"/>
        <v>1982</v>
      </c>
      <c r="M507" s="8" t="str">
        <f t="shared" si="95"/>
        <v>1971-1990</v>
      </c>
      <c r="N507" s="10" t="s">
        <v>241</v>
      </c>
      <c r="O507" s="10" t="s">
        <v>241</v>
      </c>
      <c r="P507" s="10" t="s">
        <v>242</v>
      </c>
      <c r="Q507" s="10" t="s">
        <v>242</v>
      </c>
      <c r="R507" s="10" t="s">
        <v>241</v>
      </c>
      <c r="S507" s="10" t="s">
        <v>242</v>
      </c>
      <c r="T507" s="10" t="s">
        <v>242</v>
      </c>
      <c r="U507" s="10" t="s">
        <v>242</v>
      </c>
      <c r="V507" s="10" t="s">
        <v>242</v>
      </c>
      <c r="W507" s="10" t="s">
        <v>242</v>
      </c>
      <c r="X507" s="15">
        <f>IF(ISERROR(VLOOKUP($A507,'13. Updated Demand'!A:Z,15,FALSE)),0,VLOOKUP($A507,'13. Updated Demand'!A:Z,15,FALSE))</f>
        <v>0</v>
      </c>
      <c r="Y507" s="16">
        <f>IF(ISERROR(VLOOKUP($A507,'13. Updated Demand'!A:Z,16,FALSE)),0,VLOOKUP($A507,'13. Updated Demand'!A:Z,16,FALSE))</f>
        <v>0</v>
      </c>
      <c r="Z507" s="16">
        <f>IF(ISERROR(VLOOKUP($A507,'13. Updated Demand'!A:Z,17,FALSE)),0,VLOOKUP($A507,'13. Updated Demand'!A:Z,17,FALSE))</f>
        <v>7.66</v>
      </c>
      <c r="AA507" s="16">
        <f>IF(ISERROR(VLOOKUP($A507,'13. Updated Demand'!A:Z,18,FALSE)),0,VLOOKUP($A507,'13. Updated Demand'!A:Z,18,FALSE))</f>
        <v>10.33</v>
      </c>
      <c r="AB507" s="16">
        <f>IF(ISERROR(VLOOKUP($A507,'13. Updated Demand'!A:Z,19,FALSE)),0,VLOOKUP($A507,'13. Updated Demand'!A:Z,19,FALSE))</f>
        <v>9.33</v>
      </c>
      <c r="AC507" s="16">
        <f>IF(ISERROR(VLOOKUP($A507,'13. Updated Demand'!A:Z,20,FALSE)),0,VLOOKUP($A507,'13. Updated Demand'!A:Z,20,FALSE))</f>
        <v>0</v>
      </c>
      <c r="AD507" s="16">
        <f>IF(ISERROR(VLOOKUP($A507,'13. Updated Demand'!A:Z,21,FALSE)),0,VLOOKUP($A507,'13. Updated Demand'!A:Z,21,FALSE))</f>
        <v>0</v>
      </c>
      <c r="AE507" s="16">
        <f>IF(ISERROR(VLOOKUP($A507,'13. Updated Demand'!A:Z,22,FALSE)),0,VLOOKUP($A507,'13. Updated Demand'!A:Z,22,FALSE))</f>
        <v>0</v>
      </c>
      <c r="AF507" s="16">
        <f>IF(ISERROR(VLOOKUP($A507,'13. Updated Demand'!A:Z,23,FALSE)),0,VLOOKUP($A507,'13. Updated Demand'!A:Z,23,FALSE))</f>
        <v>0</v>
      </c>
      <c r="AG507" s="16">
        <f>IF(ISERROR(VLOOKUP($A507,'13. Updated Demand'!A:Z,24,FALSE)),0,VLOOKUP($A507,'13. Updated Demand'!A:Z,24,FALSE))</f>
        <v>0</v>
      </c>
      <c r="AH507" s="16">
        <f>IF(ISERROR(VLOOKUP($A507,'13. Updated Demand'!A:Z,25,FALSE)),0,VLOOKUP($A507,'13. Updated Demand'!A:Z,25,FALSE))</f>
        <v>0</v>
      </c>
      <c r="AI507" s="16">
        <f>IF(ISERROR(VLOOKUP($A507,'13. Updated Demand'!A:Z,26,FALSE)),0,VLOOKUP($A507,'13. Updated Demand'!A:Z,26,FALSE))</f>
        <v>0</v>
      </c>
      <c r="AJ507" s="16">
        <f t="shared" si="96"/>
        <v>27.32</v>
      </c>
      <c r="AK507" s="19">
        <v>9.3333333333333304</v>
      </c>
      <c r="AL507" s="16">
        <f t="shared" si="94"/>
        <v>3.0957603500091409E-2</v>
      </c>
      <c r="AM507" s="17">
        <v>0.91111111111110998</v>
      </c>
      <c r="AN507" s="19"/>
      <c r="AO507" s="19"/>
      <c r="AP507" s="19">
        <v>30</v>
      </c>
      <c r="AQ507" s="19" t="s">
        <v>307</v>
      </c>
      <c r="AR507" s="9" t="s">
        <v>333</v>
      </c>
      <c r="AS507" s="12">
        <v>0</v>
      </c>
      <c r="AT507" s="19">
        <v>39.043999999999997</v>
      </c>
      <c r="AU507" s="19">
        <v>-123.1344</v>
      </c>
      <c r="AV507" s="19" t="s">
        <v>387</v>
      </c>
    </row>
    <row r="508" spans="1:48" x14ac:dyDescent="0.25">
      <c r="A508" s="18" t="s">
        <v>893</v>
      </c>
      <c r="B508" s="10">
        <v>19821112</v>
      </c>
      <c r="C508" s="9">
        <v>5</v>
      </c>
      <c r="D508" s="8" t="str">
        <f t="shared" si="85"/>
        <v>Y</v>
      </c>
      <c r="E508" s="8" t="str">
        <f t="shared" si="86"/>
        <v>N</v>
      </c>
      <c r="F508" s="8" t="str">
        <f t="shared" si="87"/>
        <v>Y</v>
      </c>
      <c r="G508" s="8" t="str">
        <f t="shared" si="88"/>
        <v>Y</v>
      </c>
      <c r="H508" s="8" t="str">
        <f t="shared" si="89"/>
        <v>Upper</v>
      </c>
      <c r="I508" s="8" t="str">
        <f t="shared" si="90"/>
        <v>West Fork and Below Lake</v>
      </c>
      <c r="J508" s="8" t="str">
        <f t="shared" si="91"/>
        <v>Mendocino (d/s of lake)</v>
      </c>
      <c r="K508" s="8" t="str">
        <f t="shared" si="92"/>
        <v>Post-1949</v>
      </c>
      <c r="L508" s="8">
        <f t="shared" si="93"/>
        <v>1982</v>
      </c>
      <c r="M508" s="8" t="str">
        <f t="shared" si="95"/>
        <v>1971-1990</v>
      </c>
      <c r="N508" s="10" t="s">
        <v>241</v>
      </c>
      <c r="O508" s="10" t="s">
        <v>241</v>
      </c>
      <c r="P508" s="10" t="s">
        <v>242</v>
      </c>
      <c r="Q508" s="10" t="s">
        <v>242</v>
      </c>
      <c r="R508" s="10" t="s">
        <v>241</v>
      </c>
      <c r="S508" s="10" t="s">
        <v>242</v>
      </c>
      <c r="T508" s="10" t="s">
        <v>242</v>
      </c>
      <c r="U508" s="10" t="s">
        <v>242</v>
      </c>
      <c r="V508" s="10" t="s">
        <v>242</v>
      </c>
      <c r="W508" s="10" t="s">
        <v>242</v>
      </c>
      <c r="X508" s="15">
        <f>IF(ISERROR(VLOOKUP($A508,'13. Updated Demand'!A:Z,15,FALSE)),0,VLOOKUP($A508,'13. Updated Demand'!A:Z,15,FALSE))</f>
        <v>7.33</v>
      </c>
      <c r="Y508" s="16">
        <f>IF(ISERROR(VLOOKUP($A508,'13. Updated Demand'!A:Z,16,FALSE)),0,VLOOKUP($A508,'13. Updated Demand'!A:Z,16,FALSE))</f>
        <v>10.66</v>
      </c>
      <c r="Z508" s="16">
        <f>IF(ISERROR(VLOOKUP($A508,'13. Updated Demand'!A:Z,17,FALSE)),0,VLOOKUP($A508,'13. Updated Demand'!A:Z,17,FALSE))</f>
        <v>6</v>
      </c>
      <c r="AA508" s="16">
        <f>IF(ISERROR(VLOOKUP($A508,'13. Updated Demand'!A:Z,18,FALSE)),0,VLOOKUP($A508,'13. Updated Demand'!A:Z,18,FALSE))</f>
        <v>6.66</v>
      </c>
      <c r="AB508" s="16">
        <f>IF(ISERROR(VLOOKUP($A508,'13. Updated Demand'!A:Z,19,FALSE)),0,VLOOKUP($A508,'13. Updated Demand'!A:Z,19,FALSE))</f>
        <v>11.33</v>
      </c>
      <c r="AC508" s="16">
        <f>IF(ISERROR(VLOOKUP($A508,'13. Updated Demand'!A:Z,20,FALSE)),0,VLOOKUP($A508,'13. Updated Demand'!A:Z,20,FALSE))</f>
        <v>18.329999999999998</v>
      </c>
      <c r="AD508" s="16">
        <f>IF(ISERROR(VLOOKUP($A508,'13. Updated Demand'!A:Z,21,FALSE)),0,VLOOKUP($A508,'13. Updated Demand'!A:Z,21,FALSE))</f>
        <v>18.66</v>
      </c>
      <c r="AE508" s="16">
        <f>IF(ISERROR(VLOOKUP($A508,'13. Updated Demand'!A:Z,22,FALSE)),0,VLOOKUP($A508,'13. Updated Demand'!A:Z,22,FALSE))</f>
        <v>13</v>
      </c>
      <c r="AF508" s="16">
        <f>IF(ISERROR(VLOOKUP($A508,'13. Updated Demand'!A:Z,23,FALSE)),0,VLOOKUP($A508,'13. Updated Demand'!A:Z,23,FALSE))</f>
        <v>10.33</v>
      </c>
      <c r="AG508" s="16">
        <f>IF(ISERROR(VLOOKUP($A508,'13. Updated Demand'!A:Z,24,FALSE)),0,VLOOKUP($A508,'13. Updated Demand'!A:Z,24,FALSE))</f>
        <v>9.33</v>
      </c>
      <c r="AH508" s="16">
        <f>IF(ISERROR(VLOOKUP($A508,'13. Updated Demand'!A:Z,25,FALSE)),0,VLOOKUP($A508,'13. Updated Demand'!A:Z,25,FALSE))</f>
        <v>0</v>
      </c>
      <c r="AI508" s="16">
        <f>IF(ISERROR(VLOOKUP($A508,'13. Updated Demand'!A:Z,26,FALSE)),0,VLOOKUP($A508,'13. Updated Demand'!A:Z,26,FALSE))</f>
        <v>0</v>
      </c>
      <c r="AJ508" s="16">
        <f t="shared" si="96"/>
        <v>111.63</v>
      </c>
      <c r="AK508" s="19">
        <v>71.6666666666666</v>
      </c>
      <c r="AL508" s="16">
        <f t="shared" si="94"/>
        <v>0.23771016973284462</v>
      </c>
      <c r="AM508" s="17">
        <v>0.97101449275362284</v>
      </c>
      <c r="AN508" s="19"/>
      <c r="AO508" s="19"/>
      <c r="AP508" s="19">
        <v>115</v>
      </c>
      <c r="AQ508" s="19" t="s">
        <v>307</v>
      </c>
      <c r="AR508" s="9" t="s">
        <v>333</v>
      </c>
      <c r="AS508" s="12">
        <v>0</v>
      </c>
      <c r="AT508" s="19">
        <v>39.043799999999997</v>
      </c>
      <c r="AU508" s="19">
        <v>-123.1343</v>
      </c>
      <c r="AV508" s="19" t="s">
        <v>387</v>
      </c>
    </row>
    <row r="509" spans="1:48" x14ac:dyDescent="0.25">
      <c r="A509" s="18" t="s">
        <v>894</v>
      </c>
      <c r="B509" s="10">
        <v>19821112</v>
      </c>
      <c r="C509" s="9">
        <v>5</v>
      </c>
      <c r="D509" s="8" t="str">
        <f t="shared" si="85"/>
        <v>Y</v>
      </c>
      <c r="E509" s="8" t="str">
        <f t="shared" si="86"/>
        <v>N</v>
      </c>
      <c r="F509" s="8" t="str">
        <f t="shared" si="87"/>
        <v>Y</v>
      </c>
      <c r="G509" s="8" t="str">
        <f t="shared" si="88"/>
        <v>Y</v>
      </c>
      <c r="H509" s="8" t="str">
        <f t="shared" si="89"/>
        <v>Upper</v>
      </c>
      <c r="I509" s="8" t="str">
        <f t="shared" si="90"/>
        <v>West Fork and Below Lake</v>
      </c>
      <c r="J509" s="8" t="str">
        <f t="shared" si="91"/>
        <v>Mendocino (d/s of lake)</v>
      </c>
      <c r="K509" s="8" t="str">
        <f t="shared" si="92"/>
        <v>Post-1949</v>
      </c>
      <c r="L509" s="8">
        <f t="shared" si="93"/>
        <v>1982</v>
      </c>
      <c r="M509" s="8" t="str">
        <f t="shared" si="95"/>
        <v>1971-1990</v>
      </c>
      <c r="N509" s="10" t="s">
        <v>241</v>
      </c>
      <c r="O509" s="10" t="s">
        <v>241</v>
      </c>
      <c r="P509" s="10" t="s">
        <v>242</v>
      </c>
      <c r="Q509" s="10" t="s">
        <v>242</v>
      </c>
      <c r="R509" s="10" t="s">
        <v>241</v>
      </c>
      <c r="S509" s="10" t="s">
        <v>242</v>
      </c>
      <c r="T509" s="10" t="s">
        <v>242</v>
      </c>
      <c r="U509" s="10" t="s">
        <v>242</v>
      </c>
      <c r="V509" s="10" t="s">
        <v>242</v>
      </c>
      <c r="W509" s="10" t="s">
        <v>242</v>
      </c>
      <c r="X509" s="15">
        <f>IF(ISERROR(VLOOKUP($A509,'13. Updated Demand'!A:Z,15,FALSE)),0,VLOOKUP($A509,'13. Updated Demand'!A:Z,15,FALSE))</f>
        <v>8.33</v>
      </c>
      <c r="Y509" s="16">
        <f>IF(ISERROR(VLOOKUP($A509,'13. Updated Demand'!A:Z,16,FALSE)),0,VLOOKUP($A509,'13. Updated Demand'!A:Z,16,FALSE))</f>
        <v>6.33</v>
      </c>
      <c r="Z509" s="16">
        <f>IF(ISERROR(VLOOKUP($A509,'13. Updated Demand'!A:Z,17,FALSE)),0,VLOOKUP($A509,'13. Updated Demand'!A:Z,17,FALSE))</f>
        <v>5.33</v>
      </c>
      <c r="AA509" s="16">
        <f>IF(ISERROR(VLOOKUP($A509,'13. Updated Demand'!A:Z,18,FALSE)),0,VLOOKUP($A509,'13. Updated Demand'!A:Z,18,FALSE))</f>
        <v>0</v>
      </c>
      <c r="AB509" s="16">
        <f>IF(ISERROR(VLOOKUP($A509,'13. Updated Demand'!A:Z,19,FALSE)),0,VLOOKUP($A509,'13. Updated Demand'!A:Z,19,FALSE))</f>
        <v>4</v>
      </c>
      <c r="AC509" s="16">
        <f>IF(ISERROR(VLOOKUP($A509,'13. Updated Demand'!A:Z,20,FALSE)),0,VLOOKUP($A509,'13. Updated Demand'!A:Z,20,FALSE))</f>
        <v>4.66</v>
      </c>
      <c r="AD509" s="16">
        <f>IF(ISERROR(VLOOKUP($A509,'13. Updated Demand'!A:Z,21,FALSE)),0,VLOOKUP($A509,'13. Updated Demand'!A:Z,21,FALSE))</f>
        <v>4.66</v>
      </c>
      <c r="AE509" s="16">
        <f>IF(ISERROR(VLOOKUP($A509,'13. Updated Demand'!A:Z,22,FALSE)),0,VLOOKUP($A509,'13. Updated Demand'!A:Z,22,FALSE))</f>
        <v>4.33</v>
      </c>
      <c r="AF509" s="16">
        <f>IF(ISERROR(VLOOKUP($A509,'13. Updated Demand'!A:Z,23,FALSE)),0,VLOOKUP($A509,'13. Updated Demand'!A:Z,23,FALSE))</f>
        <v>2.33</v>
      </c>
      <c r="AG509" s="16">
        <f>IF(ISERROR(VLOOKUP($A509,'13. Updated Demand'!A:Z,24,FALSE)),0,VLOOKUP($A509,'13. Updated Demand'!A:Z,24,FALSE))</f>
        <v>0</v>
      </c>
      <c r="AH509" s="16">
        <f>IF(ISERROR(VLOOKUP($A509,'13. Updated Demand'!A:Z,25,FALSE)),0,VLOOKUP($A509,'13. Updated Demand'!A:Z,25,FALSE))</f>
        <v>0</v>
      </c>
      <c r="AI509" s="16">
        <f>IF(ISERROR(VLOOKUP($A509,'13. Updated Demand'!A:Z,26,FALSE)),0,VLOOKUP($A509,'13. Updated Demand'!A:Z,26,FALSE))</f>
        <v>0</v>
      </c>
      <c r="AJ509" s="16">
        <f t="shared" si="96"/>
        <v>39.97</v>
      </c>
      <c r="AK509" s="19">
        <v>20</v>
      </c>
      <c r="AL509" s="16">
        <f t="shared" si="94"/>
        <v>6.6337721785910173E-2</v>
      </c>
      <c r="AM509" s="17">
        <v>0.99999999999999978</v>
      </c>
      <c r="AN509" s="19"/>
      <c r="AO509" s="19"/>
      <c r="AP509" s="19">
        <v>40</v>
      </c>
      <c r="AQ509" s="19" t="s">
        <v>307</v>
      </c>
      <c r="AR509" s="9" t="s">
        <v>333</v>
      </c>
      <c r="AS509" s="12">
        <v>0</v>
      </c>
      <c r="AT509" s="19">
        <v>39.040500000000002</v>
      </c>
      <c r="AU509" s="19">
        <v>-123.1301</v>
      </c>
      <c r="AV509" s="19" t="s">
        <v>387</v>
      </c>
    </row>
    <row r="510" spans="1:48" x14ac:dyDescent="0.25">
      <c r="A510" s="18" t="s">
        <v>895</v>
      </c>
      <c r="B510" s="10">
        <v>19821112</v>
      </c>
      <c r="C510" s="9">
        <v>5</v>
      </c>
      <c r="D510" s="8" t="str">
        <f t="shared" si="85"/>
        <v>Y</v>
      </c>
      <c r="E510" s="8" t="str">
        <f t="shared" si="86"/>
        <v>N</v>
      </c>
      <c r="F510" s="8" t="str">
        <f t="shared" si="87"/>
        <v>Y</v>
      </c>
      <c r="G510" s="8" t="str">
        <f t="shared" si="88"/>
        <v>Y</v>
      </c>
      <c r="H510" s="8" t="str">
        <f t="shared" si="89"/>
        <v>Upper</v>
      </c>
      <c r="I510" s="8" t="str">
        <f t="shared" si="90"/>
        <v>West Fork and Below Lake</v>
      </c>
      <c r="J510" s="8" t="str">
        <f t="shared" si="91"/>
        <v>Mendocino (d/s of lake)</v>
      </c>
      <c r="K510" s="8" t="str">
        <f t="shared" si="92"/>
        <v>Post-1949</v>
      </c>
      <c r="L510" s="8">
        <f t="shared" si="93"/>
        <v>1982</v>
      </c>
      <c r="M510" s="8" t="str">
        <f t="shared" si="95"/>
        <v>1971-1990</v>
      </c>
      <c r="N510" s="10" t="s">
        <v>241</v>
      </c>
      <c r="O510" s="10" t="s">
        <v>241</v>
      </c>
      <c r="P510" s="10" t="s">
        <v>242</v>
      </c>
      <c r="Q510" s="10" t="s">
        <v>242</v>
      </c>
      <c r="R510" s="10" t="s">
        <v>241</v>
      </c>
      <c r="S510" s="10" t="s">
        <v>242</v>
      </c>
      <c r="T510" s="10" t="s">
        <v>242</v>
      </c>
      <c r="U510" s="10" t="s">
        <v>242</v>
      </c>
      <c r="V510" s="10" t="s">
        <v>242</v>
      </c>
      <c r="W510" s="10" t="s">
        <v>242</v>
      </c>
      <c r="X510" s="15">
        <f>IF(ISERROR(VLOOKUP($A510,'13. Updated Demand'!A:Z,15,FALSE)),0,VLOOKUP($A510,'13. Updated Demand'!A:Z,15,FALSE))</f>
        <v>0</v>
      </c>
      <c r="Y510" s="16">
        <f>IF(ISERROR(VLOOKUP($A510,'13. Updated Demand'!A:Z,16,FALSE)),0,VLOOKUP($A510,'13. Updated Demand'!A:Z,16,FALSE))</f>
        <v>0</v>
      </c>
      <c r="Z510" s="16">
        <f>IF(ISERROR(VLOOKUP($A510,'13. Updated Demand'!A:Z,17,FALSE)),0,VLOOKUP($A510,'13. Updated Demand'!A:Z,17,FALSE))</f>
        <v>2.33</v>
      </c>
      <c r="AA510" s="16">
        <f>IF(ISERROR(VLOOKUP($A510,'13. Updated Demand'!A:Z,18,FALSE)),0,VLOOKUP($A510,'13. Updated Demand'!A:Z,18,FALSE))</f>
        <v>4</v>
      </c>
      <c r="AB510" s="16">
        <f>IF(ISERROR(VLOOKUP($A510,'13. Updated Demand'!A:Z,19,FALSE)),0,VLOOKUP($A510,'13. Updated Demand'!A:Z,19,FALSE))</f>
        <v>4.33</v>
      </c>
      <c r="AC510" s="16">
        <f>IF(ISERROR(VLOOKUP($A510,'13. Updated Demand'!A:Z,20,FALSE)),0,VLOOKUP($A510,'13. Updated Demand'!A:Z,20,FALSE))</f>
        <v>0</v>
      </c>
      <c r="AD510" s="16">
        <f>IF(ISERROR(VLOOKUP($A510,'13. Updated Demand'!A:Z,21,FALSE)),0,VLOOKUP($A510,'13. Updated Demand'!A:Z,21,FALSE))</f>
        <v>0</v>
      </c>
      <c r="AE510" s="16">
        <f>IF(ISERROR(VLOOKUP($A510,'13. Updated Demand'!A:Z,22,FALSE)),0,VLOOKUP($A510,'13. Updated Demand'!A:Z,22,FALSE))</f>
        <v>0</v>
      </c>
      <c r="AF510" s="16">
        <f>IF(ISERROR(VLOOKUP($A510,'13. Updated Demand'!A:Z,23,FALSE)),0,VLOOKUP($A510,'13. Updated Demand'!A:Z,23,FALSE))</f>
        <v>0</v>
      </c>
      <c r="AG510" s="16">
        <f>IF(ISERROR(VLOOKUP($A510,'13. Updated Demand'!A:Z,24,FALSE)),0,VLOOKUP($A510,'13. Updated Demand'!A:Z,24,FALSE))</f>
        <v>0</v>
      </c>
      <c r="AH510" s="16">
        <f>IF(ISERROR(VLOOKUP($A510,'13. Updated Demand'!A:Z,25,FALSE)),0,VLOOKUP($A510,'13. Updated Demand'!A:Z,25,FALSE))</f>
        <v>0</v>
      </c>
      <c r="AI510" s="16">
        <f>IF(ISERROR(VLOOKUP($A510,'13. Updated Demand'!A:Z,26,FALSE)),0,VLOOKUP($A510,'13. Updated Demand'!A:Z,26,FALSE))</f>
        <v>0</v>
      </c>
      <c r="AJ510" s="16">
        <f t="shared" si="96"/>
        <v>10.66</v>
      </c>
      <c r="AK510" s="19">
        <v>4.3333333333333304</v>
      </c>
      <c r="AL510" s="16">
        <f t="shared" si="94"/>
        <v>1.4373173053613863E-2</v>
      </c>
      <c r="AM510" s="17">
        <v>0.10158730158730153</v>
      </c>
      <c r="AN510" s="19"/>
      <c r="AO510" s="19"/>
      <c r="AP510" s="19">
        <v>105</v>
      </c>
      <c r="AQ510" s="19" t="s">
        <v>307</v>
      </c>
      <c r="AR510" s="9" t="s">
        <v>333</v>
      </c>
      <c r="AS510" s="12">
        <v>0</v>
      </c>
      <c r="AT510" s="19">
        <v>39.043799999999997</v>
      </c>
      <c r="AU510" s="19">
        <v>-123.1343</v>
      </c>
      <c r="AV510" s="19" t="s">
        <v>387</v>
      </c>
    </row>
    <row r="511" spans="1:48" x14ac:dyDescent="0.25">
      <c r="A511" s="18" t="s">
        <v>896</v>
      </c>
      <c r="B511" s="10">
        <v>19821123</v>
      </c>
      <c r="C511" s="9">
        <v>12</v>
      </c>
      <c r="D511" s="8" t="str">
        <f t="shared" si="85"/>
        <v>N</v>
      </c>
      <c r="E511" s="8" t="str">
        <f t="shared" si="86"/>
        <v>Y</v>
      </c>
      <c r="F511" s="8" t="str">
        <f t="shared" si="87"/>
        <v>Y</v>
      </c>
      <c r="G511" s="8" t="str">
        <f t="shared" si="88"/>
        <v>Y</v>
      </c>
      <c r="H511" s="8" t="str">
        <f t="shared" si="89"/>
        <v>Upper</v>
      </c>
      <c r="I511" s="8" t="str">
        <f t="shared" si="90"/>
        <v>West Fork and Below Lake</v>
      </c>
      <c r="J511" s="8" t="str">
        <f t="shared" si="91"/>
        <v>Sonoma (d/s of Clov. Gage)</v>
      </c>
      <c r="K511" s="8" t="str">
        <f t="shared" si="92"/>
        <v>Post-1949</v>
      </c>
      <c r="L511" s="8">
        <f t="shared" si="93"/>
        <v>1982</v>
      </c>
      <c r="M511" s="8" t="str">
        <f t="shared" si="95"/>
        <v>1971-1990</v>
      </c>
      <c r="N511" s="10" t="s">
        <v>242</v>
      </c>
      <c r="O511" s="10" t="s">
        <v>241</v>
      </c>
      <c r="P511" s="10" t="s">
        <v>242</v>
      </c>
      <c r="Q511" s="10" t="s">
        <v>242</v>
      </c>
      <c r="R511" s="10" t="s">
        <v>241</v>
      </c>
      <c r="S511" s="10" t="s">
        <v>242</v>
      </c>
      <c r="T511" s="10" t="s">
        <v>242</v>
      </c>
      <c r="U511" s="10" t="s">
        <v>242</v>
      </c>
      <c r="V511" s="10" t="s">
        <v>242</v>
      </c>
      <c r="W511" s="10" t="s">
        <v>242</v>
      </c>
      <c r="X511" s="15">
        <f>IF(ISERROR(VLOOKUP($A511,'13. Updated Demand'!A:Z,15,FALSE)),0,VLOOKUP($A511,'13. Updated Demand'!A:Z,15,FALSE))</f>
        <v>0</v>
      </c>
      <c r="Y511" s="16">
        <f>IF(ISERROR(VLOOKUP($A511,'13. Updated Demand'!A:Z,16,FALSE)),0,VLOOKUP($A511,'13. Updated Demand'!A:Z,16,FALSE))</f>
        <v>0</v>
      </c>
      <c r="Z511" s="16">
        <f>IF(ISERROR(VLOOKUP($A511,'13. Updated Demand'!A:Z,17,FALSE)),0,VLOOKUP($A511,'13. Updated Demand'!A:Z,17,FALSE))</f>
        <v>2.2000000000000002</v>
      </c>
      <c r="AA511" s="16">
        <f>IF(ISERROR(VLOOKUP($A511,'13. Updated Demand'!A:Z,18,FALSE)),0,VLOOKUP($A511,'13. Updated Demand'!A:Z,18,FALSE))</f>
        <v>0.66</v>
      </c>
      <c r="AB511" s="16">
        <f>IF(ISERROR(VLOOKUP($A511,'13. Updated Demand'!A:Z,19,FALSE)),0,VLOOKUP($A511,'13. Updated Demand'!A:Z,19,FALSE))</f>
        <v>5.03</v>
      </c>
      <c r="AC511" s="16">
        <f>IF(ISERROR(VLOOKUP($A511,'13. Updated Demand'!A:Z,20,FALSE)),0,VLOOKUP($A511,'13. Updated Demand'!A:Z,20,FALSE))</f>
        <v>3.26</v>
      </c>
      <c r="AD511" s="16">
        <f>IF(ISERROR(VLOOKUP($A511,'13. Updated Demand'!A:Z,21,FALSE)),0,VLOOKUP($A511,'13. Updated Demand'!A:Z,21,FALSE))</f>
        <v>0</v>
      </c>
      <c r="AE511" s="16">
        <f>IF(ISERROR(VLOOKUP($A511,'13. Updated Demand'!A:Z,22,FALSE)),0,VLOOKUP($A511,'13. Updated Demand'!A:Z,22,FALSE))</f>
        <v>0</v>
      </c>
      <c r="AF511" s="16">
        <f>IF(ISERROR(VLOOKUP($A511,'13. Updated Demand'!A:Z,23,FALSE)),0,VLOOKUP($A511,'13. Updated Demand'!A:Z,23,FALSE))</f>
        <v>0</v>
      </c>
      <c r="AG511" s="16">
        <f>IF(ISERROR(VLOOKUP($A511,'13. Updated Demand'!A:Z,24,FALSE)),0,VLOOKUP($A511,'13. Updated Demand'!A:Z,24,FALSE))</f>
        <v>0</v>
      </c>
      <c r="AH511" s="16">
        <f>IF(ISERROR(VLOOKUP($A511,'13. Updated Demand'!A:Z,25,FALSE)),0,VLOOKUP($A511,'13. Updated Demand'!A:Z,25,FALSE))</f>
        <v>0</v>
      </c>
      <c r="AI511" s="16">
        <f>IF(ISERROR(VLOOKUP($A511,'13. Updated Demand'!A:Z,26,FALSE)),0,VLOOKUP($A511,'13. Updated Demand'!A:Z,26,FALSE))</f>
        <v>0</v>
      </c>
      <c r="AJ511" s="16">
        <f t="shared" si="96"/>
        <v>11.15</v>
      </c>
      <c r="AK511" s="19">
        <v>8.3000000000000007</v>
      </c>
      <c r="AL511" s="16">
        <f t="shared" si="94"/>
        <v>2.7530154541152728E-2</v>
      </c>
      <c r="AM511" s="17">
        <v>0.22333333334000002</v>
      </c>
      <c r="AN511" s="19"/>
      <c r="AO511" s="19"/>
      <c r="AP511" s="19">
        <v>50</v>
      </c>
      <c r="AQ511" s="19" t="s">
        <v>307</v>
      </c>
      <c r="AR511" s="9" t="s">
        <v>311</v>
      </c>
      <c r="AS511" s="12">
        <v>0</v>
      </c>
      <c r="AT511" s="19">
        <v>38.631684730000003</v>
      </c>
      <c r="AU511" s="19">
        <v>-122.76739071999999</v>
      </c>
      <c r="AV511" s="19" t="s">
        <v>609</v>
      </c>
    </row>
    <row r="512" spans="1:48" x14ac:dyDescent="0.25">
      <c r="A512" s="18" t="s">
        <v>897</v>
      </c>
      <c r="B512" s="10">
        <v>19810305</v>
      </c>
      <c r="C512" s="9">
        <v>23</v>
      </c>
      <c r="D512" s="8" t="str">
        <f t="shared" si="85"/>
        <v>N</v>
      </c>
      <c r="E512" s="8" t="str">
        <f t="shared" si="86"/>
        <v>N</v>
      </c>
      <c r="F512" s="8" t="str">
        <f t="shared" si="87"/>
        <v>N</v>
      </c>
      <c r="G512" s="8" t="str">
        <f t="shared" si="88"/>
        <v>N</v>
      </c>
      <c r="H512" s="8" t="str">
        <f t="shared" si="89"/>
        <v>Lower</v>
      </c>
      <c r="I512" s="8" t="str">
        <f t="shared" si="90"/>
        <v>Outside</v>
      </c>
      <c r="J512" s="8" t="str">
        <f t="shared" si="91"/>
        <v>Outside</v>
      </c>
      <c r="K512" s="8" t="str">
        <f t="shared" si="92"/>
        <v>Post-1949</v>
      </c>
      <c r="L512" s="8">
        <f t="shared" si="93"/>
        <v>1981</v>
      </c>
      <c r="M512" s="8" t="str">
        <f t="shared" si="95"/>
        <v>1971-1990</v>
      </c>
      <c r="N512" s="10" t="s">
        <v>242</v>
      </c>
      <c r="O512" s="10" t="s">
        <v>242</v>
      </c>
      <c r="P512" s="10" t="s">
        <v>242</v>
      </c>
      <c r="Q512" s="10" t="s">
        <v>242</v>
      </c>
      <c r="R512" s="10" t="s">
        <v>241</v>
      </c>
      <c r="S512" s="10" t="s">
        <v>242</v>
      </c>
      <c r="T512" s="10" t="s">
        <v>242</v>
      </c>
      <c r="U512" s="10" t="s">
        <v>241</v>
      </c>
      <c r="V512" s="10" t="s">
        <v>241</v>
      </c>
      <c r="W512" s="10" t="s">
        <v>242</v>
      </c>
      <c r="X512" s="15">
        <f>IF(ISERROR(VLOOKUP($A512,'13. Updated Demand'!A:Z,15,FALSE)),0,VLOOKUP($A512,'13. Updated Demand'!A:Z,15,FALSE))</f>
        <v>0</v>
      </c>
      <c r="Y512" s="16">
        <f>IF(ISERROR(VLOOKUP($A512,'13. Updated Demand'!A:Z,16,FALSE)),0,VLOOKUP($A512,'13. Updated Demand'!A:Z,16,FALSE))</f>
        <v>0</v>
      </c>
      <c r="Z512" s="16">
        <f>IF(ISERROR(VLOOKUP($A512,'13. Updated Demand'!A:Z,17,FALSE)),0,VLOOKUP($A512,'13. Updated Demand'!A:Z,17,FALSE))</f>
        <v>0</v>
      </c>
      <c r="AA512" s="16">
        <f>IF(ISERROR(VLOOKUP($A512,'13. Updated Demand'!A:Z,18,FALSE)),0,VLOOKUP($A512,'13. Updated Demand'!A:Z,18,FALSE))</f>
        <v>0</v>
      </c>
      <c r="AB512" s="16">
        <f>IF(ISERROR(VLOOKUP($A512,'13. Updated Demand'!A:Z,19,FALSE)),0,VLOOKUP($A512,'13. Updated Demand'!A:Z,19,FALSE))</f>
        <v>0</v>
      </c>
      <c r="AC512" s="16">
        <f>IF(ISERROR(VLOOKUP($A512,'13. Updated Demand'!A:Z,20,FALSE)),0,VLOOKUP($A512,'13. Updated Demand'!A:Z,20,FALSE))</f>
        <v>0</v>
      </c>
      <c r="AD512" s="16">
        <f>IF(ISERROR(VLOOKUP($A512,'13. Updated Demand'!A:Z,21,FALSE)),0,VLOOKUP($A512,'13. Updated Demand'!A:Z,21,FALSE))</f>
        <v>0</v>
      </c>
      <c r="AE512" s="16">
        <f>IF(ISERROR(VLOOKUP($A512,'13. Updated Demand'!A:Z,22,FALSE)),0,VLOOKUP($A512,'13. Updated Demand'!A:Z,22,FALSE))</f>
        <v>0</v>
      </c>
      <c r="AF512" s="16">
        <f>IF(ISERROR(VLOOKUP($A512,'13. Updated Demand'!A:Z,23,FALSE)),0,VLOOKUP($A512,'13. Updated Demand'!A:Z,23,FALSE))</f>
        <v>0</v>
      </c>
      <c r="AG512" s="16">
        <f>IF(ISERROR(VLOOKUP($A512,'13. Updated Demand'!A:Z,24,FALSE)),0,VLOOKUP($A512,'13. Updated Demand'!A:Z,24,FALSE))</f>
        <v>0</v>
      </c>
      <c r="AH512" s="16">
        <f>IF(ISERROR(VLOOKUP($A512,'13. Updated Demand'!A:Z,25,FALSE)),0,VLOOKUP($A512,'13. Updated Demand'!A:Z,25,FALSE))</f>
        <v>0</v>
      </c>
      <c r="AI512" s="16">
        <f>IF(ISERROR(VLOOKUP($A512,'13. Updated Demand'!A:Z,26,FALSE)),0,VLOOKUP($A512,'13. Updated Demand'!A:Z,26,FALSE))</f>
        <v>0</v>
      </c>
      <c r="AJ512" s="16">
        <f t="shared" si="96"/>
        <v>0</v>
      </c>
      <c r="AK512" s="19">
        <v>0</v>
      </c>
      <c r="AL512" s="16">
        <f t="shared" si="94"/>
        <v>0</v>
      </c>
      <c r="AM512" s="17">
        <v>0</v>
      </c>
      <c r="AN512" s="19"/>
      <c r="AO512" s="19"/>
      <c r="AP512" s="19">
        <v>4</v>
      </c>
      <c r="AQ512" s="19" t="s">
        <v>307</v>
      </c>
      <c r="AR512" s="9" t="s">
        <v>378</v>
      </c>
      <c r="AS512" s="12">
        <v>0</v>
      </c>
      <c r="AT512" s="19">
        <v>38.381427279999997</v>
      </c>
      <c r="AU512" s="19">
        <v>-122.59760706</v>
      </c>
      <c r="AV512" s="19" t="s">
        <v>417</v>
      </c>
    </row>
    <row r="513" spans="1:48" x14ac:dyDescent="0.25">
      <c r="A513" s="18" t="s">
        <v>898</v>
      </c>
      <c r="B513" s="10">
        <v>19810721</v>
      </c>
      <c r="C513" s="9">
        <v>1</v>
      </c>
      <c r="D513" s="8" t="str">
        <f t="shared" si="85"/>
        <v>N</v>
      </c>
      <c r="E513" s="8" t="str">
        <f t="shared" si="86"/>
        <v>N</v>
      </c>
      <c r="F513" s="8" t="str">
        <f t="shared" si="87"/>
        <v>Y</v>
      </c>
      <c r="G513" s="8" t="str">
        <f t="shared" si="88"/>
        <v>Y</v>
      </c>
      <c r="H513" s="8" t="str">
        <f t="shared" si="89"/>
        <v>Upper</v>
      </c>
      <c r="I513" s="8" t="str">
        <f t="shared" si="90"/>
        <v>West Fork and Below Lake</v>
      </c>
      <c r="J513" s="8" t="str">
        <f t="shared" si="91"/>
        <v>Outside</v>
      </c>
      <c r="K513" s="8" t="str">
        <f t="shared" si="92"/>
        <v>Post-1949</v>
      </c>
      <c r="L513" s="8">
        <f t="shared" si="93"/>
        <v>1981</v>
      </c>
      <c r="M513" s="8" t="str">
        <f t="shared" si="95"/>
        <v>1971-1990</v>
      </c>
      <c r="N513" s="10" t="s">
        <v>242</v>
      </c>
      <c r="O513" s="10" t="s">
        <v>241</v>
      </c>
      <c r="P513" s="10" t="s">
        <v>242</v>
      </c>
      <c r="Q513" s="10" t="s">
        <v>242</v>
      </c>
      <c r="R513" s="10" t="s">
        <v>241</v>
      </c>
      <c r="S513" s="10" t="s">
        <v>242</v>
      </c>
      <c r="T513" s="10" t="s">
        <v>242</v>
      </c>
      <c r="U513" s="10" t="s">
        <v>242</v>
      </c>
      <c r="V513" s="10" t="s">
        <v>242</v>
      </c>
      <c r="W513" s="10" t="s">
        <v>242</v>
      </c>
      <c r="X513" s="15">
        <f>IF(ISERROR(VLOOKUP($A513,'13. Updated Demand'!A:Z,15,FALSE)),0,VLOOKUP($A513,'13. Updated Demand'!A:Z,15,FALSE))</f>
        <v>0.5</v>
      </c>
      <c r="Y513" s="16">
        <f>IF(ISERROR(VLOOKUP($A513,'13. Updated Demand'!A:Z,16,FALSE)),0,VLOOKUP($A513,'13. Updated Demand'!A:Z,16,FALSE))</f>
        <v>0.46</v>
      </c>
      <c r="Z513" s="16">
        <f>IF(ISERROR(VLOOKUP($A513,'13. Updated Demand'!A:Z,17,FALSE)),0,VLOOKUP($A513,'13. Updated Demand'!A:Z,17,FALSE))</f>
        <v>0.8</v>
      </c>
      <c r="AA513" s="16">
        <f>IF(ISERROR(VLOOKUP($A513,'13. Updated Demand'!A:Z,18,FALSE)),0,VLOOKUP($A513,'13. Updated Demand'!A:Z,18,FALSE))</f>
        <v>0</v>
      </c>
      <c r="AB513" s="16">
        <f>IF(ISERROR(VLOOKUP($A513,'13. Updated Demand'!A:Z,19,FALSE)),0,VLOOKUP($A513,'13. Updated Demand'!A:Z,19,FALSE))</f>
        <v>0.66</v>
      </c>
      <c r="AC513" s="16">
        <f>IF(ISERROR(VLOOKUP($A513,'13. Updated Demand'!A:Z,20,FALSE)),0,VLOOKUP($A513,'13. Updated Demand'!A:Z,20,FALSE))</f>
        <v>0</v>
      </c>
      <c r="AD513" s="16">
        <f>IF(ISERROR(VLOOKUP($A513,'13. Updated Demand'!A:Z,21,FALSE)),0,VLOOKUP($A513,'13. Updated Demand'!A:Z,21,FALSE))</f>
        <v>0</v>
      </c>
      <c r="AE513" s="16">
        <f>IF(ISERROR(VLOOKUP($A513,'13. Updated Demand'!A:Z,22,FALSE)),0,VLOOKUP($A513,'13. Updated Demand'!A:Z,22,FALSE))</f>
        <v>0</v>
      </c>
      <c r="AF513" s="16">
        <f>IF(ISERROR(VLOOKUP($A513,'13. Updated Demand'!A:Z,23,FALSE)),0,VLOOKUP($A513,'13. Updated Demand'!A:Z,23,FALSE))</f>
        <v>0</v>
      </c>
      <c r="AG513" s="16">
        <f>IF(ISERROR(VLOOKUP($A513,'13. Updated Demand'!A:Z,24,FALSE)),0,VLOOKUP($A513,'13. Updated Demand'!A:Z,24,FALSE))</f>
        <v>0.08</v>
      </c>
      <c r="AH513" s="16">
        <f>IF(ISERROR(VLOOKUP($A513,'13. Updated Demand'!A:Z,25,FALSE)),0,VLOOKUP($A513,'13. Updated Demand'!A:Z,25,FALSE))</f>
        <v>1.83</v>
      </c>
      <c r="AI513" s="16">
        <f>IF(ISERROR(VLOOKUP($A513,'13. Updated Demand'!A:Z,26,FALSE)),0,VLOOKUP($A513,'13. Updated Demand'!A:Z,26,FALSE))</f>
        <v>2.33</v>
      </c>
      <c r="AJ513" s="16">
        <f t="shared" si="96"/>
        <v>6.66</v>
      </c>
      <c r="AK513" s="19">
        <v>0.66666666699999999</v>
      </c>
      <c r="AL513" s="16">
        <f t="shared" si="94"/>
        <v>2.2112573939693015E-3</v>
      </c>
      <c r="AM513" s="17">
        <v>0.55694444441666668</v>
      </c>
      <c r="AN513" s="19"/>
      <c r="AO513" s="19"/>
      <c r="AP513" s="19">
        <v>12</v>
      </c>
      <c r="AQ513" s="19" t="s">
        <v>307</v>
      </c>
      <c r="AR513" s="9" t="s">
        <v>317</v>
      </c>
      <c r="AS513" s="12">
        <v>0</v>
      </c>
      <c r="AT513" s="19">
        <v>39.2270374</v>
      </c>
      <c r="AU513" s="19">
        <v>-123.20226012000001</v>
      </c>
      <c r="AV513" s="19" t="s">
        <v>456</v>
      </c>
    </row>
    <row r="514" spans="1:48" x14ac:dyDescent="0.25">
      <c r="A514" s="18" t="s">
        <v>899</v>
      </c>
      <c r="B514" s="10">
        <v>19810901</v>
      </c>
      <c r="C514" s="9">
        <v>23</v>
      </c>
      <c r="D514" s="8" t="str">
        <f t="shared" ref="D514:D577" si="97">IF(OR(C514=4,C514=5,C514=6),"Y","N")</f>
        <v>N</v>
      </c>
      <c r="E514" s="8" t="str">
        <f t="shared" ref="E514:E577" si="98">IF(AND(C514&gt;6,C514&lt;14),"Y","N")</f>
        <v>N</v>
      </c>
      <c r="F514" s="8" t="str">
        <f t="shared" ref="F514:F577" si="99">IF(C514&lt;14,"Y","N")</f>
        <v>N</v>
      </c>
      <c r="G514" s="8" t="str">
        <f t="shared" ref="G514:G577" si="100">IF(OR(C514=1,AND(C514&gt;3,C514&lt;14)),"Y","N")</f>
        <v>N</v>
      </c>
      <c r="H514" s="8" t="str">
        <f t="shared" ref="H514:H577" si="101">IF(C514&lt;14,"Upper","Lower")</f>
        <v>Lower</v>
      </c>
      <c r="I514" s="8" t="str">
        <f t="shared" ref="I514:I577" si="102">IF(G514="Y","West Fork and Below Lake","Outside")</f>
        <v>Outside</v>
      </c>
      <c r="J514" s="8" t="str">
        <f t="shared" ref="J514:J577" si="103">IF(D514="Y", "Mendocino (d/s of lake)", IF(E514="Y", "Sonoma (d/s of Clov. Gage)","Outside"))</f>
        <v>Outside</v>
      </c>
      <c r="K514" s="8" t="str">
        <f t="shared" ref="K514:K577" si="104">IF(P514="Y","pre-1914",IF(Q514="Y","Pre-1949",IF(R514="Y","Post-1949",IF(S514="Y","Riparian","Unknown"))))</f>
        <v>Post-1949</v>
      </c>
      <c r="L514" s="8">
        <f t="shared" ref="L514:L577" si="105">_xlfn.NUMBERVALUE(LEFT(B514,4))</f>
        <v>1981</v>
      </c>
      <c r="M514" s="8" t="str">
        <f t="shared" si="95"/>
        <v>1971-1990</v>
      </c>
      <c r="N514" s="10" t="s">
        <v>242</v>
      </c>
      <c r="O514" s="10" t="s">
        <v>242</v>
      </c>
      <c r="P514" s="10" t="s">
        <v>242</v>
      </c>
      <c r="Q514" s="10" t="s">
        <v>242</v>
      </c>
      <c r="R514" s="10" t="s">
        <v>241</v>
      </c>
      <c r="S514" s="10" t="s">
        <v>242</v>
      </c>
      <c r="T514" s="10" t="s">
        <v>242</v>
      </c>
      <c r="U514" s="10" t="s">
        <v>242</v>
      </c>
      <c r="V514" s="10" t="s">
        <v>241</v>
      </c>
      <c r="W514" s="10" t="s">
        <v>242</v>
      </c>
      <c r="X514" s="15">
        <f>IF(ISERROR(VLOOKUP($A514,'13. Updated Demand'!A:Z,15,FALSE)),0,VLOOKUP($A514,'13. Updated Demand'!A:Z,15,FALSE))</f>
        <v>2.3333333330000001</v>
      </c>
      <c r="Y514" s="16">
        <f>IF(ISERROR(VLOOKUP($A514,'13. Updated Demand'!A:Z,16,FALSE)),0,VLOOKUP($A514,'13. Updated Demand'!A:Z,16,FALSE))</f>
        <v>1.066666667</v>
      </c>
      <c r="Z514" s="16">
        <f>IF(ISERROR(VLOOKUP($A514,'13. Updated Demand'!A:Z,17,FALSE)),0,VLOOKUP($A514,'13. Updated Demand'!A:Z,17,FALSE))</f>
        <v>0.5</v>
      </c>
      <c r="AA514" s="16">
        <f>IF(ISERROR(VLOOKUP($A514,'13. Updated Demand'!A:Z,18,FALSE)),0,VLOOKUP($A514,'13. Updated Demand'!A:Z,18,FALSE))</f>
        <v>0</v>
      </c>
      <c r="AB514" s="16">
        <f>IF(ISERROR(VLOOKUP($A514,'13. Updated Demand'!A:Z,19,FALSE)),0,VLOOKUP($A514,'13. Updated Demand'!A:Z,19,FALSE))</f>
        <v>0</v>
      </c>
      <c r="AC514" s="16">
        <f>IF(ISERROR(VLOOKUP($A514,'13. Updated Demand'!A:Z,20,FALSE)),0,VLOOKUP($A514,'13. Updated Demand'!A:Z,20,FALSE))</f>
        <v>0</v>
      </c>
      <c r="AD514" s="16">
        <f>IF(ISERROR(VLOOKUP($A514,'13. Updated Demand'!A:Z,21,FALSE)),0,VLOOKUP($A514,'13. Updated Demand'!A:Z,21,FALSE))</f>
        <v>0</v>
      </c>
      <c r="AE514" s="16">
        <f>IF(ISERROR(VLOOKUP($A514,'13. Updated Demand'!A:Z,22,FALSE)),0,VLOOKUP($A514,'13. Updated Demand'!A:Z,22,FALSE))</f>
        <v>0</v>
      </c>
      <c r="AF514" s="16">
        <f>IF(ISERROR(VLOOKUP($A514,'13. Updated Demand'!A:Z,23,FALSE)),0,VLOOKUP($A514,'13. Updated Demand'!A:Z,23,FALSE))</f>
        <v>0</v>
      </c>
      <c r="AG514" s="16">
        <f>IF(ISERROR(VLOOKUP($A514,'13. Updated Demand'!A:Z,24,FALSE)),0,VLOOKUP($A514,'13. Updated Demand'!A:Z,24,FALSE))</f>
        <v>0</v>
      </c>
      <c r="AH514" s="16">
        <f>IF(ISERROR(VLOOKUP($A514,'13. Updated Demand'!A:Z,25,FALSE)),0,VLOOKUP($A514,'13. Updated Demand'!A:Z,25,FALSE))</f>
        <v>0.6</v>
      </c>
      <c r="AI514" s="16">
        <f>IF(ISERROR(VLOOKUP($A514,'13. Updated Demand'!A:Z,26,FALSE)),0,VLOOKUP($A514,'13. Updated Demand'!A:Z,26,FALSE))</f>
        <v>0.5</v>
      </c>
      <c r="AJ514" s="16">
        <f t="shared" si="96"/>
        <v>5</v>
      </c>
      <c r="AK514" s="19">
        <v>0</v>
      </c>
      <c r="AL514" s="16">
        <f t="shared" ref="AL514:AL577" si="106">AK514/152/1.983471</f>
        <v>0</v>
      </c>
      <c r="AM514" s="17">
        <v>1</v>
      </c>
      <c r="AN514" s="19"/>
      <c r="AO514" s="19"/>
      <c r="AP514" s="19">
        <v>5</v>
      </c>
      <c r="AQ514" s="19" t="s">
        <v>307</v>
      </c>
      <c r="AR514" s="9" t="s">
        <v>378</v>
      </c>
      <c r="AS514" s="12">
        <v>0</v>
      </c>
      <c r="AT514" s="19">
        <v>38.36627816</v>
      </c>
      <c r="AU514" s="19">
        <v>-122.60654909</v>
      </c>
      <c r="AV514" s="19" t="s">
        <v>417</v>
      </c>
    </row>
    <row r="515" spans="1:48" x14ac:dyDescent="0.25">
      <c r="A515" s="18" t="s">
        <v>900</v>
      </c>
      <c r="B515" s="10">
        <v>19810908</v>
      </c>
      <c r="C515" s="9">
        <v>23</v>
      </c>
      <c r="D515" s="8" t="str">
        <f t="shared" si="97"/>
        <v>N</v>
      </c>
      <c r="E515" s="8" t="str">
        <f t="shared" si="98"/>
        <v>N</v>
      </c>
      <c r="F515" s="8" t="str">
        <f t="shared" si="99"/>
        <v>N</v>
      </c>
      <c r="G515" s="8" t="str">
        <f t="shared" si="100"/>
        <v>N</v>
      </c>
      <c r="H515" s="8" t="str">
        <f t="shared" si="101"/>
        <v>Lower</v>
      </c>
      <c r="I515" s="8" t="str">
        <f t="shared" si="102"/>
        <v>Outside</v>
      </c>
      <c r="J515" s="8" t="str">
        <f t="shared" si="103"/>
        <v>Outside</v>
      </c>
      <c r="K515" s="8" t="str">
        <f t="shared" si="104"/>
        <v>Post-1949</v>
      </c>
      <c r="L515" s="8">
        <f t="shared" si="105"/>
        <v>1981</v>
      </c>
      <c r="M515" s="8" t="str">
        <f t="shared" ref="M515:M578" si="107">IF(L515=1949,"1949",IF(AND(L515&gt;1949,L515&lt;1953),"1950-1952",IF(AND(L515&gt;1952,L515&lt;1955),"1953-1954",IF(AND(L515&gt;1954,L515&lt;1957),"1955-1956",IF(AND(L515&gt;1956,L515&lt;1960),"1957-1959",IF(AND(L515&gt;1959,L515&lt;1971),"1960-1970",IF(AND(L515&gt;1970,L515&lt;1991),"1971-1990",IF(L515&gt;1990,"1991-present","-"))))))))</f>
        <v>1971-1990</v>
      </c>
      <c r="N515" s="10" t="s">
        <v>242</v>
      </c>
      <c r="O515" s="10" t="s">
        <v>242</v>
      </c>
      <c r="P515" s="10" t="s">
        <v>242</v>
      </c>
      <c r="Q515" s="10" t="s">
        <v>242</v>
      </c>
      <c r="R515" s="10" t="s">
        <v>241</v>
      </c>
      <c r="S515" s="10" t="s">
        <v>242</v>
      </c>
      <c r="T515" s="10" t="s">
        <v>242</v>
      </c>
      <c r="U515" s="10" t="s">
        <v>242</v>
      </c>
      <c r="V515" s="10" t="s">
        <v>242</v>
      </c>
      <c r="W515" s="10" t="s">
        <v>242</v>
      </c>
      <c r="X515" s="15">
        <f>IF(ISERROR(VLOOKUP($A515,'13. Updated Demand'!A:Z,15,FALSE)),0,VLOOKUP($A515,'13. Updated Demand'!A:Z,15,FALSE))</f>
        <v>1.2266667E-2</v>
      </c>
      <c r="Y515" s="16">
        <f>IF(ISERROR(VLOOKUP($A515,'13. Updated Demand'!A:Z,16,FALSE)),0,VLOOKUP($A515,'13. Updated Demand'!A:Z,16,FALSE))</f>
        <v>1.2273333000000001E-2</v>
      </c>
      <c r="Z515" s="16">
        <f>IF(ISERROR(VLOOKUP($A515,'13. Updated Demand'!A:Z,17,FALSE)),0,VLOOKUP($A515,'13. Updated Demand'!A:Z,17,FALSE))</f>
        <v>1.5333332999999999E-2</v>
      </c>
      <c r="AA515" s="16">
        <f>IF(ISERROR(VLOOKUP($A515,'13. Updated Demand'!A:Z,18,FALSE)),0,VLOOKUP($A515,'13. Updated Demand'!A:Z,18,FALSE))</f>
        <v>6.1333330000000004E-3</v>
      </c>
      <c r="AB515" s="16">
        <f>IF(ISERROR(VLOOKUP($A515,'13. Updated Demand'!A:Z,19,FALSE)),0,VLOOKUP($A515,'13. Updated Demand'!A:Z,19,FALSE))</f>
        <v>3.0666669999999999E-3</v>
      </c>
      <c r="AC515" s="16">
        <f>IF(ISERROR(VLOOKUP($A515,'13. Updated Demand'!A:Z,20,FALSE)),0,VLOOKUP($A515,'13. Updated Demand'!A:Z,20,FALSE))</f>
        <v>0</v>
      </c>
      <c r="AD515" s="16">
        <f>IF(ISERROR(VLOOKUP($A515,'13. Updated Demand'!A:Z,21,FALSE)),0,VLOOKUP($A515,'13. Updated Demand'!A:Z,21,FALSE))</f>
        <v>0</v>
      </c>
      <c r="AE515" s="16">
        <f>IF(ISERROR(VLOOKUP($A515,'13. Updated Demand'!A:Z,22,FALSE)),0,VLOOKUP($A515,'13. Updated Demand'!A:Z,22,FALSE))</f>
        <v>0</v>
      </c>
      <c r="AF515" s="16">
        <f>IF(ISERROR(VLOOKUP($A515,'13. Updated Demand'!A:Z,23,FALSE)),0,VLOOKUP($A515,'13. Updated Demand'!A:Z,23,FALSE))</f>
        <v>0</v>
      </c>
      <c r="AG515" s="16">
        <f>IF(ISERROR(VLOOKUP($A515,'13. Updated Demand'!A:Z,24,FALSE)),0,VLOOKUP($A515,'13. Updated Demand'!A:Z,24,FALSE))</f>
        <v>0</v>
      </c>
      <c r="AH515" s="16">
        <f>IF(ISERROR(VLOOKUP($A515,'13. Updated Demand'!A:Z,25,FALSE)),0,VLOOKUP($A515,'13. Updated Demand'!A:Z,25,FALSE))</f>
        <v>6.1333330000000004E-3</v>
      </c>
      <c r="AI515" s="16">
        <f>IF(ISERROR(VLOOKUP($A515,'13. Updated Demand'!A:Z,26,FALSE)),0,VLOOKUP($A515,'13. Updated Demand'!A:Z,26,FALSE))</f>
        <v>9.1999999999999998E-3</v>
      </c>
      <c r="AJ515" s="16">
        <f t="shared" si="96"/>
        <v>6.4406666000000001E-2</v>
      </c>
      <c r="AK515" s="19">
        <v>3.0666669999999999E-3</v>
      </c>
      <c r="AL515" s="16">
        <f t="shared" si="106"/>
        <v>1.017178511280159E-5</v>
      </c>
      <c r="AM515" s="17">
        <v>1.6514529743589745E-2</v>
      </c>
      <c r="AN515" s="19"/>
      <c r="AO515" s="19"/>
      <c r="AP515" s="19">
        <v>3.9</v>
      </c>
      <c r="AQ515" s="19" t="s">
        <v>307</v>
      </c>
      <c r="AR515" s="9" t="s">
        <v>391</v>
      </c>
      <c r="AS515" s="12">
        <v>0</v>
      </c>
      <c r="AT515" s="19">
        <v>38.518163360000003</v>
      </c>
      <c r="AU515" s="19">
        <v>-122.84719152</v>
      </c>
      <c r="AV515" s="19" t="s">
        <v>385</v>
      </c>
    </row>
    <row r="516" spans="1:48" x14ac:dyDescent="0.25">
      <c r="A516" s="18" t="s">
        <v>901</v>
      </c>
      <c r="B516" s="10">
        <v>19810923</v>
      </c>
      <c r="C516" s="9">
        <v>23</v>
      </c>
      <c r="D516" s="8" t="str">
        <f t="shared" si="97"/>
        <v>N</v>
      </c>
      <c r="E516" s="8" t="str">
        <f t="shared" si="98"/>
        <v>N</v>
      </c>
      <c r="F516" s="8" t="str">
        <f t="shared" si="99"/>
        <v>N</v>
      </c>
      <c r="G516" s="8" t="str">
        <f t="shared" si="100"/>
        <v>N</v>
      </c>
      <c r="H516" s="8" t="str">
        <f t="shared" si="101"/>
        <v>Lower</v>
      </c>
      <c r="I516" s="8" t="str">
        <f t="shared" si="102"/>
        <v>Outside</v>
      </c>
      <c r="J516" s="8" t="str">
        <f t="shared" si="103"/>
        <v>Outside</v>
      </c>
      <c r="K516" s="8" t="str">
        <f t="shared" si="104"/>
        <v>Post-1949</v>
      </c>
      <c r="L516" s="8">
        <f t="shared" si="105"/>
        <v>1981</v>
      </c>
      <c r="M516" s="8" t="str">
        <f t="shared" si="107"/>
        <v>1971-1990</v>
      </c>
      <c r="N516" s="10" t="s">
        <v>242</v>
      </c>
      <c r="O516" s="10" t="s">
        <v>242</v>
      </c>
      <c r="P516" s="10" t="s">
        <v>242</v>
      </c>
      <c r="Q516" s="10" t="s">
        <v>242</v>
      </c>
      <c r="R516" s="10" t="s">
        <v>241</v>
      </c>
      <c r="S516" s="10" t="s">
        <v>242</v>
      </c>
      <c r="T516" s="10" t="s">
        <v>242</v>
      </c>
      <c r="U516" s="10" t="s">
        <v>242</v>
      </c>
      <c r="V516" s="10" t="s">
        <v>241</v>
      </c>
      <c r="W516" s="10" t="s">
        <v>242</v>
      </c>
      <c r="X516" s="15">
        <f>IF(ISERROR(VLOOKUP($A516,'13. Updated Demand'!A:Z,15,FALSE)),0,VLOOKUP($A516,'13. Updated Demand'!A:Z,15,FALSE))</f>
        <v>1.3333333329999999</v>
      </c>
      <c r="Y516" s="16">
        <f>IF(ISERROR(VLOOKUP($A516,'13. Updated Demand'!A:Z,16,FALSE)),0,VLOOKUP($A516,'13. Updated Demand'!A:Z,16,FALSE))</f>
        <v>0</v>
      </c>
      <c r="Z516" s="16">
        <f>IF(ISERROR(VLOOKUP($A516,'13. Updated Demand'!A:Z,17,FALSE)),0,VLOOKUP($A516,'13. Updated Demand'!A:Z,17,FALSE))</f>
        <v>0</v>
      </c>
      <c r="AA516" s="16">
        <f>IF(ISERROR(VLOOKUP($A516,'13. Updated Demand'!A:Z,18,FALSE)),0,VLOOKUP($A516,'13. Updated Demand'!A:Z,18,FALSE))</f>
        <v>0</v>
      </c>
      <c r="AB516" s="16">
        <f>IF(ISERROR(VLOOKUP($A516,'13. Updated Demand'!A:Z,19,FALSE)),0,VLOOKUP($A516,'13. Updated Demand'!A:Z,19,FALSE))</f>
        <v>0</v>
      </c>
      <c r="AC516" s="16">
        <f>IF(ISERROR(VLOOKUP($A516,'13. Updated Demand'!A:Z,20,FALSE)),0,VLOOKUP($A516,'13. Updated Demand'!A:Z,20,FALSE))</f>
        <v>0</v>
      </c>
      <c r="AD516" s="16">
        <f>IF(ISERROR(VLOOKUP($A516,'13. Updated Demand'!A:Z,21,FALSE)),0,VLOOKUP($A516,'13. Updated Demand'!A:Z,21,FALSE))</f>
        <v>0</v>
      </c>
      <c r="AE516" s="16">
        <f>IF(ISERROR(VLOOKUP($A516,'13. Updated Demand'!A:Z,22,FALSE)),0,VLOOKUP($A516,'13. Updated Demand'!A:Z,22,FALSE))</f>
        <v>0</v>
      </c>
      <c r="AF516" s="16">
        <f>IF(ISERROR(VLOOKUP($A516,'13. Updated Demand'!A:Z,23,FALSE)),0,VLOOKUP($A516,'13. Updated Demand'!A:Z,23,FALSE))</f>
        <v>0</v>
      </c>
      <c r="AG516" s="16">
        <f>IF(ISERROR(VLOOKUP($A516,'13. Updated Demand'!A:Z,24,FALSE)),0,VLOOKUP($A516,'13. Updated Demand'!A:Z,24,FALSE))</f>
        <v>0</v>
      </c>
      <c r="AH516" s="16">
        <f>IF(ISERROR(VLOOKUP($A516,'13. Updated Demand'!A:Z,25,FALSE)),0,VLOOKUP($A516,'13. Updated Demand'!A:Z,25,FALSE))</f>
        <v>3.3333333330000001</v>
      </c>
      <c r="AI516" s="16">
        <f>IF(ISERROR(VLOOKUP($A516,'13. Updated Demand'!A:Z,26,FALSE)),0,VLOOKUP($A516,'13. Updated Demand'!A:Z,26,FALSE))</f>
        <v>4</v>
      </c>
      <c r="AJ516" s="16">
        <f t="shared" si="96"/>
        <v>8.6666666660000011</v>
      </c>
      <c r="AK516" s="19">
        <v>0</v>
      </c>
      <c r="AL516" s="16">
        <f t="shared" si="106"/>
        <v>0</v>
      </c>
      <c r="AM516" s="17">
        <v>0.28888888886666669</v>
      </c>
      <c r="AN516" s="19"/>
      <c r="AO516" s="19"/>
      <c r="AP516" s="19">
        <v>30</v>
      </c>
      <c r="AQ516" s="19" t="s">
        <v>307</v>
      </c>
      <c r="AR516" s="9" t="s">
        <v>725</v>
      </c>
      <c r="AS516" s="12">
        <v>0</v>
      </c>
      <c r="AT516" s="19">
        <v>38.487998650000002</v>
      </c>
      <c r="AU516" s="19">
        <v>-122.73580068</v>
      </c>
      <c r="AV516" s="19" t="s">
        <v>417</v>
      </c>
    </row>
    <row r="517" spans="1:48" x14ac:dyDescent="0.25">
      <c r="A517" s="18" t="s">
        <v>902</v>
      </c>
      <c r="B517" s="10">
        <v>19811007</v>
      </c>
      <c r="C517" s="9">
        <v>1</v>
      </c>
      <c r="D517" s="8" t="str">
        <f t="shared" si="97"/>
        <v>N</v>
      </c>
      <c r="E517" s="8" t="str">
        <f t="shared" si="98"/>
        <v>N</v>
      </c>
      <c r="F517" s="8" t="str">
        <f t="shared" si="99"/>
        <v>Y</v>
      </c>
      <c r="G517" s="8" t="str">
        <f t="shared" si="100"/>
        <v>Y</v>
      </c>
      <c r="H517" s="8" t="str">
        <f t="shared" si="101"/>
        <v>Upper</v>
      </c>
      <c r="I517" s="8" t="str">
        <f t="shared" si="102"/>
        <v>West Fork and Below Lake</v>
      </c>
      <c r="J517" s="8" t="str">
        <f t="shared" si="103"/>
        <v>Outside</v>
      </c>
      <c r="K517" s="8" t="str">
        <f t="shared" si="104"/>
        <v>Post-1949</v>
      </c>
      <c r="L517" s="8">
        <f t="shared" si="105"/>
        <v>1981</v>
      </c>
      <c r="M517" s="8" t="str">
        <f t="shared" si="107"/>
        <v>1971-1990</v>
      </c>
      <c r="N517" s="10" t="s">
        <v>242</v>
      </c>
      <c r="O517" s="10" t="s">
        <v>241</v>
      </c>
      <c r="P517" s="10" t="s">
        <v>242</v>
      </c>
      <c r="Q517" s="10" t="s">
        <v>242</v>
      </c>
      <c r="R517" s="10" t="s">
        <v>241</v>
      </c>
      <c r="S517" s="10" t="s">
        <v>242</v>
      </c>
      <c r="T517" s="10" t="s">
        <v>242</v>
      </c>
      <c r="U517" s="10" t="s">
        <v>241</v>
      </c>
      <c r="V517" s="10" t="s">
        <v>241</v>
      </c>
      <c r="W517" s="10" t="s">
        <v>242</v>
      </c>
      <c r="X517" s="15">
        <f>IF(ISERROR(VLOOKUP($A517,'13. Updated Demand'!A:Z,15,FALSE)),0,VLOOKUP($A517,'13. Updated Demand'!A:Z,15,FALSE))</f>
        <v>0</v>
      </c>
      <c r="Y517" s="16">
        <f>IF(ISERROR(VLOOKUP($A517,'13. Updated Demand'!A:Z,16,FALSE)),0,VLOOKUP($A517,'13. Updated Demand'!A:Z,16,FALSE))</f>
        <v>0</v>
      </c>
      <c r="Z517" s="16">
        <f>IF(ISERROR(VLOOKUP($A517,'13. Updated Demand'!A:Z,17,FALSE)),0,VLOOKUP($A517,'13. Updated Demand'!A:Z,17,FALSE))</f>
        <v>0</v>
      </c>
      <c r="AA517" s="16">
        <f>IF(ISERROR(VLOOKUP($A517,'13. Updated Demand'!A:Z,18,FALSE)),0,VLOOKUP($A517,'13. Updated Demand'!A:Z,18,FALSE))</f>
        <v>0</v>
      </c>
      <c r="AB517" s="16">
        <f>IF(ISERROR(VLOOKUP($A517,'13. Updated Demand'!A:Z,19,FALSE)),0,VLOOKUP($A517,'13. Updated Demand'!A:Z,19,FALSE))</f>
        <v>0</v>
      </c>
      <c r="AC517" s="16">
        <f>IF(ISERROR(VLOOKUP($A517,'13. Updated Demand'!A:Z,20,FALSE)),0,VLOOKUP($A517,'13. Updated Demand'!A:Z,20,FALSE))</f>
        <v>0</v>
      </c>
      <c r="AD517" s="16">
        <f>IF(ISERROR(VLOOKUP($A517,'13. Updated Demand'!A:Z,21,FALSE)),0,VLOOKUP($A517,'13. Updated Demand'!A:Z,21,FALSE))</f>
        <v>0</v>
      </c>
      <c r="AE517" s="16">
        <f>IF(ISERROR(VLOOKUP($A517,'13. Updated Demand'!A:Z,22,FALSE)),0,VLOOKUP($A517,'13. Updated Demand'!A:Z,22,FALSE))</f>
        <v>0</v>
      </c>
      <c r="AF517" s="16">
        <f>IF(ISERROR(VLOOKUP($A517,'13. Updated Demand'!A:Z,23,FALSE)),0,VLOOKUP($A517,'13. Updated Demand'!A:Z,23,FALSE))</f>
        <v>0</v>
      </c>
      <c r="AG517" s="16">
        <f>IF(ISERROR(VLOOKUP($A517,'13. Updated Demand'!A:Z,24,FALSE)),0,VLOOKUP($A517,'13. Updated Demand'!A:Z,24,FALSE))</f>
        <v>0</v>
      </c>
      <c r="AH517" s="16">
        <f>IF(ISERROR(VLOOKUP($A517,'13. Updated Demand'!A:Z,25,FALSE)),0,VLOOKUP($A517,'13. Updated Demand'!A:Z,25,FALSE))</f>
        <v>0</v>
      </c>
      <c r="AI517" s="16">
        <f>IF(ISERROR(VLOOKUP($A517,'13. Updated Demand'!A:Z,26,FALSE)),0,VLOOKUP($A517,'13. Updated Demand'!A:Z,26,FALSE))</f>
        <v>0</v>
      </c>
      <c r="AJ517" s="16">
        <f t="shared" si="96"/>
        <v>0</v>
      </c>
      <c r="AK517" s="19">
        <v>0</v>
      </c>
      <c r="AL517" s="16">
        <f t="shared" si="106"/>
        <v>0</v>
      </c>
      <c r="AM517" s="17">
        <v>0</v>
      </c>
      <c r="AN517" s="19"/>
      <c r="AO517" s="19"/>
      <c r="AP517" s="19">
        <v>5.5</v>
      </c>
      <c r="AQ517" s="19" t="s">
        <v>307</v>
      </c>
      <c r="AR517" s="9" t="s">
        <v>317</v>
      </c>
      <c r="AS517" s="12">
        <v>0</v>
      </c>
      <c r="AT517" s="19">
        <v>39.2545</v>
      </c>
      <c r="AU517" s="19">
        <v>-123.2269</v>
      </c>
      <c r="AV517" s="19" t="s">
        <v>417</v>
      </c>
    </row>
    <row r="518" spans="1:48" x14ac:dyDescent="0.25">
      <c r="A518" s="18" t="s">
        <v>903</v>
      </c>
      <c r="B518" s="10">
        <v>19811016</v>
      </c>
      <c r="C518" s="9">
        <v>23</v>
      </c>
      <c r="D518" s="8" t="str">
        <f t="shared" si="97"/>
        <v>N</v>
      </c>
      <c r="E518" s="8" t="str">
        <f t="shared" si="98"/>
        <v>N</v>
      </c>
      <c r="F518" s="8" t="str">
        <f t="shared" si="99"/>
        <v>N</v>
      </c>
      <c r="G518" s="8" t="str">
        <f t="shared" si="100"/>
        <v>N</v>
      </c>
      <c r="H518" s="8" t="str">
        <f t="shared" si="101"/>
        <v>Lower</v>
      </c>
      <c r="I518" s="8" t="str">
        <f t="shared" si="102"/>
        <v>Outside</v>
      </c>
      <c r="J518" s="8" t="str">
        <f t="shared" si="103"/>
        <v>Outside</v>
      </c>
      <c r="K518" s="8" t="str">
        <f t="shared" si="104"/>
        <v>Post-1949</v>
      </c>
      <c r="L518" s="8">
        <f t="shared" si="105"/>
        <v>1981</v>
      </c>
      <c r="M518" s="8" t="str">
        <f t="shared" si="107"/>
        <v>1971-1990</v>
      </c>
      <c r="N518" s="10" t="s">
        <v>242</v>
      </c>
      <c r="O518" s="10" t="s">
        <v>242</v>
      </c>
      <c r="P518" s="10" t="s">
        <v>242</v>
      </c>
      <c r="Q518" s="10" t="s">
        <v>242</v>
      </c>
      <c r="R518" s="10" t="s">
        <v>241</v>
      </c>
      <c r="S518" s="10" t="s">
        <v>242</v>
      </c>
      <c r="T518" s="10" t="s">
        <v>242</v>
      </c>
      <c r="U518" s="10" t="s">
        <v>242</v>
      </c>
      <c r="V518" s="10" t="s">
        <v>241</v>
      </c>
      <c r="W518" s="10" t="s">
        <v>242</v>
      </c>
      <c r="X518" s="15">
        <f>IF(ISERROR(VLOOKUP($A518,'13. Updated Demand'!A:Z,15,FALSE)),0,VLOOKUP($A518,'13. Updated Demand'!A:Z,15,FALSE))</f>
        <v>3.3333333E-2</v>
      </c>
      <c r="Y518" s="16">
        <f>IF(ISERROR(VLOOKUP($A518,'13. Updated Demand'!A:Z,16,FALSE)),0,VLOOKUP($A518,'13. Updated Demand'!A:Z,16,FALSE))</f>
        <v>3.3333333E-2</v>
      </c>
      <c r="Z518" s="16">
        <f>IF(ISERROR(VLOOKUP($A518,'13. Updated Demand'!A:Z,17,FALSE)),0,VLOOKUP($A518,'13. Updated Demand'!A:Z,17,FALSE))</f>
        <v>3.3333333E-2</v>
      </c>
      <c r="AA518" s="16">
        <f>IF(ISERROR(VLOOKUP($A518,'13. Updated Demand'!A:Z,18,FALSE)),0,VLOOKUP($A518,'13. Updated Demand'!A:Z,18,FALSE))</f>
        <v>3.3333333E-2</v>
      </c>
      <c r="AB518" s="16">
        <f>IF(ISERROR(VLOOKUP($A518,'13. Updated Demand'!A:Z,19,FALSE)),0,VLOOKUP($A518,'13. Updated Demand'!A:Z,19,FALSE))</f>
        <v>0</v>
      </c>
      <c r="AC518" s="16">
        <f>IF(ISERROR(VLOOKUP($A518,'13. Updated Demand'!A:Z,20,FALSE)),0,VLOOKUP($A518,'13. Updated Demand'!A:Z,20,FALSE))</f>
        <v>0</v>
      </c>
      <c r="AD518" s="16">
        <f>IF(ISERROR(VLOOKUP($A518,'13. Updated Demand'!A:Z,21,FALSE)),0,VLOOKUP($A518,'13. Updated Demand'!A:Z,21,FALSE))</f>
        <v>0</v>
      </c>
      <c r="AE518" s="16">
        <f>IF(ISERROR(VLOOKUP($A518,'13. Updated Demand'!A:Z,22,FALSE)),0,VLOOKUP($A518,'13. Updated Demand'!A:Z,22,FALSE))</f>
        <v>0</v>
      </c>
      <c r="AF518" s="16">
        <f>IF(ISERROR(VLOOKUP($A518,'13. Updated Demand'!A:Z,23,FALSE)),0,VLOOKUP($A518,'13. Updated Demand'!A:Z,23,FALSE))</f>
        <v>0</v>
      </c>
      <c r="AG518" s="16">
        <f>IF(ISERROR(VLOOKUP($A518,'13. Updated Demand'!A:Z,24,FALSE)),0,VLOOKUP($A518,'13. Updated Demand'!A:Z,24,FALSE))</f>
        <v>0</v>
      </c>
      <c r="AH518" s="16">
        <f>IF(ISERROR(VLOOKUP($A518,'13. Updated Demand'!A:Z,25,FALSE)),0,VLOOKUP($A518,'13. Updated Demand'!A:Z,25,FALSE))</f>
        <v>0</v>
      </c>
      <c r="AI518" s="16">
        <f>IF(ISERROR(VLOOKUP($A518,'13. Updated Demand'!A:Z,26,FALSE)),0,VLOOKUP($A518,'13. Updated Demand'!A:Z,26,FALSE))</f>
        <v>0</v>
      </c>
      <c r="AJ518" s="16">
        <f t="shared" si="96"/>
        <v>0.133333332</v>
      </c>
      <c r="AK518" s="19">
        <v>0</v>
      </c>
      <c r="AL518" s="16">
        <f t="shared" si="106"/>
        <v>0</v>
      </c>
      <c r="AM518" s="17">
        <v>3.0303029999999998E-2</v>
      </c>
      <c r="AN518" s="19"/>
      <c r="AO518" s="19"/>
      <c r="AP518" s="19">
        <v>4.4000000000000004</v>
      </c>
      <c r="AQ518" s="19" t="s">
        <v>307</v>
      </c>
      <c r="AR518" s="9" t="s">
        <v>323</v>
      </c>
      <c r="AS518" s="12">
        <v>0</v>
      </c>
      <c r="AT518" s="19">
        <v>38.490527159999999</v>
      </c>
      <c r="AU518" s="19">
        <v>-122.72674257</v>
      </c>
      <c r="AV518" s="19" t="s">
        <v>417</v>
      </c>
    </row>
    <row r="519" spans="1:48" x14ac:dyDescent="0.25">
      <c r="A519" s="18" t="s">
        <v>904</v>
      </c>
      <c r="B519" s="10">
        <v>19811102</v>
      </c>
      <c r="C519" s="9">
        <v>4</v>
      </c>
      <c r="D519" s="8" t="str">
        <f t="shared" si="97"/>
        <v>Y</v>
      </c>
      <c r="E519" s="8" t="str">
        <f t="shared" si="98"/>
        <v>N</v>
      </c>
      <c r="F519" s="8" t="str">
        <f t="shared" si="99"/>
        <v>Y</v>
      </c>
      <c r="G519" s="8" t="str">
        <f t="shared" si="100"/>
        <v>Y</v>
      </c>
      <c r="H519" s="8" t="str">
        <f t="shared" si="101"/>
        <v>Upper</v>
      </c>
      <c r="I519" s="8" t="str">
        <f t="shared" si="102"/>
        <v>West Fork and Below Lake</v>
      </c>
      <c r="J519" s="8" t="str">
        <f t="shared" si="103"/>
        <v>Mendocino (d/s of lake)</v>
      </c>
      <c r="K519" s="8" t="str">
        <f t="shared" si="104"/>
        <v>Post-1949</v>
      </c>
      <c r="L519" s="8">
        <f t="shared" si="105"/>
        <v>1981</v>
      </c>
      <c r="M519" s="8" t="str">
        <f t="shared" si="107"/>
        <v>1971-1990</v>
      </c>
      <c r="N519" s="10" t="s">
        <v>242</v>
      </c>
      <c r="O519" s="10" t="s">
        <v>241</v>
      </c>
      <c r="P519" s="10" t="s">
        <v>242</v>
      </c>
      <c r="Q519" s="10" t="s">
        <v>242</v>
      </c>
      <c r="R519" s="10" t="s">
        <v>241</v>
      </c>
      <c r="S519" s="10" t="s">
        <v>242</v>
      </c>
      <c r="T519" s="10" t="s">
        <v>242</v>
      </c>
      <c r="U519" s="10" t="s">
        <v>241</v>
      </c>
      <c r="V519" s="10" t="s">
        <v>241</v>
      </c>
      <c r="W519" s="10" t="s">
        <v>242</v>
      </c>
      <c r="X519" s="15">
        <f>IF(ISERROR(VLOOKUP($A519,'13. Updated Demand'!A:Z,15,FALSE)),0,VLOOKUP($A519,'13. Updated Demand'!A:Z,15,FALSE))</f>
        <v>0</v>
      </c>
      <c r="Y519" s="16">
        <f>IF(ISERROR(VLOOKUP($A519,'13. Updated Demand'!A:Z,16,FALSE)),0,VLOOKUP($A519,'13. Updated Demand'!A:Z,16,FALSE))</f>
        <v>0</v>
      </c>
      <c r="Z519" s="16">
        <f>IF(ISERROR(VLOOKUP($A519,'13. Updated Demand'!A:Z,17,FALSE)),0,VLOOKUP($A519,'13. Updated Demand'!A:Z,17,FALSE))</f>
        <v>0</v>
      </c>
      <c r="AA519" s="16">
        <f>IF(ISERROR(VLOOKUP($A519,'13. Updated Demand'!A:Z,18,FALSE)),0,VLOOKUP($A519,'13. Updated Demand'!A:Z,18,FALSE))</f>
        <v>0</v>
      </c>
      <c r="AB519" s="16">
        <f>IF(ISERROR(VLOOKUP($A519,'13. Updated Demand'!A:Z,19,FALSE)),0,VLOOKUP($A519,'13. Updated Demand'!A:Z,19,FALSE))</f>
        <v>0</v>
      </c>
      <c r="AC519" s="16">
        <f>IF(ISERROR(VLOOKUP($A519,'13. Updated Demand'!A:Z,20,FALSE)),0,VLOOKUP($A519,'13. Updated Demand'!A:Z,20,FALSE))</f>
        <v>0</v>
      </c>
      <c r="AD519" s="16">
        <f>IF(ISERROR(VLOOKUP($A519,'13. Updated Demand'!A:Z,21,FALSE)),0,VLOOKUP($A519,'13. Updated Demand'!A:Z,21,FALSE))</f>
        <v>0</v>
      </c>
      <c r="AE519" s="16">
        <f>IF(ISERROR(VLOOKUP($A519,'13. Updated Demand'!A:Z,22,FALSE)),0,VLOOKUP($A519,'13. Updated Demand'!A:Z,22,FALSE))</f>
        <v>0</v>
      </c>
      <c r="AF519" s="16">
        <f>IF(ISERROR(VLOOKUP($A519,'13. Updated Demand'!A:Z,23,FALSE)),0,VLOOKUP($A519,'13. Updated Demand'!A:Z,23,FALSE))</f>
        <v>0</v>
      </c>
      <c r="AG519" s="16">
        <f>IF(ISERROR(VLOOKUP($A519,'13. Updated Demand'!A:Z,24,FALSE)),0,VLOOKUP($A519,'13. Updated Demand'!A:Z,24,FALSE))</f>
        <v>0</v>
      </c>
      <c r="AH519" s="16">
        <f>IF(ISERROR(VLOOKUP($A519,'13. Updated Demand'!A:Z,25,FALSE)),0,VLOOKUP($A519,'13. Updated Demand'!A:Z,25,FALSE))</f>
        <v>0</v>
      </c>
      <c r="AI519" s="16">
        <f>IF(ISERROR(VLOOKUP($A519,'13. Updated Demand'!A:Z,26,FALSE)),0,VLOOKUP($A519,'13. Updated Demand'!A:Z,26,FALSE))</f>
        <v>0</v>
      </c>
      <c r="AJ519" s="16">
        <f t="shared" si="96"/>
        <v>0</v>
      </c>
      <c r="AK519" s="19">
        <v>0</v>
      </c>
      <c r="AL519" s="16">
        <f t="shared" si="106"/>
        <v>0</v>
      </c>
      <c r="AM519" s="17">
        <v>0</v>
      </c>
      <c r="AN519" s="19"/>
      <c r="AO519" s="19"/>
      <c r="AP519" s="19">
        <v>5.4</v>
      </c>
      <c r="AQ519" s="19" t="s">
        <v>307</v>
      </c>
      <c r="AR519" s="9" t="s">
        <v>331</v>
      </c>
      <c r="AS519" s="12">
        <v>0</v>
      </c>
      <c r="AT519" s="19">
        <v>39.128174549999997</v>
      </c>
      <c r="AU519" s="19">
        <v>-123.16250663</v>
      </c>
      <c r="AV519" s="19" t="s">
        <v>417</v>
      </c>
    </row>
    <row r="520" spans="1:48" x14ac:dyDescent="0.25">
      <c r="A520" s="18" t="s">
        <v>905</v>
      </c>
      <c r="B520" s="10">
        <v>19811105</v>
      </c>
      <c r="C520" s="9">
        <v>21</v>
      </c>
      <c r="D520" s="8" t="str">
        <f t="shared" si="97"/>
        <v>N</v>
      </c>
      <c r="E520" s="8" t="str">
        <f t="shared" si="98"/>
        <v>N</v>
      </c>
      <c r="F520" s="8" t="str">
        <f t="shared" si="99"/>
        <v>N</v>
      </c>
      <c r="G520" s="8" t="str">
        <f t="shared" si="100"/>
        <v>N</v>
      </c>
      <c r="H520" s="8" t="str">
        <f t="shared" si="101"/>
        <v>Lower</v>
      </c>
      <c r="I520" s="8" t="str">
        <f t="shared" si="102"/>
        <v>Outside</v>
      </c>
      <c r="J520" s="8" t="str">
        <f t="shared" si="103"/>
        <v>Outside</v>
      </c>
      <c r="K520" s="8" t="str">
        <f t="shared" si="104"/>
        <v>Post-1949</v>
      </c>
      <c r="L520" s="8">
        <f t="shared" si="105"/>
        <v>1981</v>
      </c>
      <c r="M520" s="8" t="str">
        <f t="shared" si="107"/>
        <v>1971-1990</v>
      </c>
      <c r="N520" s="10" t="s">
        <v>242</v>
      </c>
      <c r="O520" s="10" t="s">
        <v>242</v>
      </c>
      <c r="P520" s="10" t="s">
        <v>242</v>
      </c>
      <c r="Q520" s="10" t="s">
        <v>242</v>
      </c>
      <c r="R520" s="10" t="s">
        <v>241</v>
      </c>
      <c r="S520" s="10" t="s">
        <v>242</v>
      </c>
      <c r="T520" s="10" t="s">
        <v>242</v>
      </c>
      <c r="U520" s="10" t="s">
        <v>241</v>
      </c>
      <c r="V520" s="10" t="s">
        <v>241</v>
      </c>
      <c r="W520" s="10" t="s">
        <v>242</v>
      </c>
      <c r="X520" s="15">
        <f>IF(ISERROR(VLOOKUP($A520,'13. Updated Demand'!A:Z,15,FALSE)),0,VLOOKUP($A520,'13. Updated Demand'!A:Z,15,FALSE))</f>
        <v>0</v>
      </c>
      <c r="Y520" s="16">
        <f>IF(ISERROR(VLOOKUP($A520,'13. Updated Demand'!A:Z,16,FALSE)),0,VLOOKUP($A520,'13. Updated Demand'!A:Z,16,FALSE))</f>
        <v>0</v>
      </c>
      <c r="Z520" s="16">
        <f>IF(ISERROR(VLOOKUP($A520,'13. Updated Demand'!A:Z,17,FALSE)),0,VLOOKUP($A520,'13. Updated Demand'!A:Z,17,FALSE))</f>
        <v>0</v>
      </c>
      <c r="AA520" s="16">
        <f>IF(ISERROR(VLOOKUP($A520,'13. Updated Demand'!A:Z,18,FALSE)),0,VLOOKUP($A520,'13. Updated Demand'!A:Z,18,FALSE))</f>
        <v>0</v>
      </c>
      <c r="AB520" s="16">
        <f>IF(ISERROR(VLOOKUP($A520,'13. Updated Demand'!A:Z,19,FALSE)),0,VLOOKUP($A520,'13. Updated Demand'!A:Z,19,FALSE))</f>
        <v>0</v>
      </c>
      <c r="AC520" s="16">
        <f>IF(ISERROR(VLOOKUP($A520,'13. Updated Demand'!A:Z,20,FALSE)),0,VLOOKUP($A520,'13. Updated Demand'!A:Z,20,FALSE))</f>
        <v>0</v>
      </c>
      <c r="AD520" s="16">
        <f>IF(ISERROR(VLOOKUP($A520,'13. Updated Demand'!A:Z,21,FALSE)),0,VLOOKUP($A520,'13. Updated Demand'!A:Z,21,FALSE))</f>
        <v>0</v>
      </c>
      <c r="AE520" s="16">
        <f>IF(ISERROR(VLOOKUP($A520,'13. Updated Demand'!A:Z,22,FALSE)),0,VLOOKUP($A520,'13. Updated Demand'!A:Z,22,FALSE))</f>
        <v>0</v>
      </c>
      <c r="AF520" s="16">
        <f>IF(ISERROR(VLOOKUP($A520,'13. Updated Demand'!A:Z,23,FALSE)),0,VLOOKUP($A520,'13. Updated Demand'!A:Z,23,FALSE))</f>
        <v>0</v>
      </c>
      <c r="AG520" s="16">
        <f>IF(ISERROR(VLOOKUP($A520,'13. Updated Demand'!A:Z,24,FALSE)),0,VLOOKUP($A520,'13. Updated Demand'!A:Z,24,FALSE))</f>
        <v>0</v>
      </c>
      <c r="AH520" s="16">
        <f>IF(ISERROR(VLOOKUP($A520,'13. Updated Demand'!A:Z,25,FALSE)),0,VLOOKUP($A520,'13. Updated Demand'!A:Z,25,FALSE))</f>
        <v>0</v>
      </c>
      <c r="AI520" s="16">
        <f>IF(ISERROR(VLOOKUP($A520,'13. Updated Demand'!A:Z,26,FALSE)),0,VLOOKUP($A520,'13. Updated Demand'!A:Z,26,FALSE))</f>
        <v>0</v>
      </c>
      <c r="AJ520" s="16">
        <f t="shared" si="96"/>
        <v>0</v>
      </c>
      <c r="AK520" s="19">
        <v>0</v>
      </c>
      <c r="AL520" s="16">
        <f t="shared" si="106"/>
        <v>0</v>
      </c>
      <c r="AM520" s="17">
        <v>0</v>
      </c>
      <c r="AN520" s="19"/>
      <c r="AO520" s="19"/>
      <c r="AP520" s="19">
        <v>1.5</v>
      </c>
      <c r="AQ520" s="19" t="s">
        <v>307</v>
      </c>
      <c r="AR520" s="9" t="s">
        <v>403</v>
      </c>
      <c r="AS520" s="12">
        <v>0</v>
      </c>
      <c r="AT520" s="19">
        <v>38.421152910000004</v>
      </c>
      <c r="AU520" s="19">
        <v>-122.94175717</v>
      </c>
      <c r="AV520" s="19" t="s">
        <v>417</v>
      </c>
    </row>
    <row r="521" spans="1:48" x14ac:dyDescent="0.25">
      <c r="A521" s="18" t="s">
        <v>906</v>
      </c>
      <c r="B521" s="10">
        <v>19811211</v>
      </c>
      <c r="C521" s="9">
        <v>23</v>
      </c>
      <c r="D521" s="8" t="str">
        <f t="shared" si="97"/>
        <v>N</v>
      </c>
      <c r="E521" s="8" t="str">
        <f t="shared" si="98"/>
        <v>N</v>
      </c>
      <c r="F521" s="8" t="str">
        <f t="shared" si="99"/>
        <v>N</v>
      </c>
      <c r="G521" s="8" t="str">
        <f t="shared" si="100"/>
        <v>N</v>
      </c>
      <c r="H521" s="8" t="str">
        <f t="shared" si="101"/>
        <v>Lower</v>
      </c>
      <c r="I521" s="8" t="str">
        <f t="shared" si="102"/>
        <v>Outside</v>
      </c>
      <c r="J521" s="8" t="str">
        <f t="shared" si="103"/>
        <v>Outside</v>
      </c>
      <c r="K521" s="8" t="str">
        <f t="shared" si="104"/>
        <v>Post-1949</v>
      </c>
      <c r="L521" s="8">
        <f t="shared" si="105"/>
        <v>1981</v>
      </c>
      <c r="M521" s="8" t="str">
        <f t="shared" si="107"/>
        <v>1971-1990</v>
      </c>
      <c r="N521" s="10" t="s">
        <v>242</v>
      </c>
      <c r="O521" s="10" t="s">
        <v>242</v>
      </c>
      <c r="P521" s="10" t="s">
        <v>242</v>
      </c>
      <c r="Q521" s="10" t="s">
        <v>242</v>
      </c>
      <c r="R521" s="10" t="s">
        <v>241</v>
      </c>
      <c r="S521" s="10" t="s">
        <v>242</v>
      </c>
      <c r="T521" s="10" t="s">
        <v>242</v>
      </c>
      <c r="U521" s="10" t="s">
        <v>241</v>
      </c>
      <c r="V521" s="10" t="s">
        <v>241</v>
      </c>
      <c r="W521" s="10" t="s">
        <v>242</v>
      </c>
      <c r="X521" s="15">
        <f>IF(ISERROR(VLOOKUP($A521,'13. Updated Demand'!A:Z,15,FALSE)),0,VLOOKUP($A521,'13. Updated Demand'!A:Z,15,FALSE))</f>
        <v>0</v>
      </c>
      <c r="Y521" s="16">
        <f>IF(ISERROR(VLOOKUP($A521,'13. Updated Demand'!A:Z,16,FALSE)),0,VLOOKUP($A521,'13. Updated Demand'!A:Z,16,FALSE))</f>
        <v>0</v>
      </c>
      <c r="Z521" s="16">
        <f>IF(ISERROR(VLOOKUP($A521,'13. Updated Demand'!A:Z,17,FALSE)),0,VLOOKUP($A521,'13. Updated Demand'!A:Z,17,FALSE))</f>
        <v>0</v>
      </c>
      <c r="AA521" s="16">
        <f>IF(ISERROR(VLOOKUP($A521,'13. Updated Demand'!A:Z,18,FALSE)),0,VLOOKUP($A521,'13. Updated Demand'!A:Z,18,FALSE))</f>
        <v>0</v>
      </c>
      <c r="AB521" s="16">
        <f>IF(ISERROR(VLOOKUP($A521,'13. Updated Demand'!A:Z,19,FALSE)),0,VLOOKUP($A521,'13. Updated Demand'!A:Z,19,FALSE))</f>
        <v>0</v>
      </c>
      <c r="AC521" s="16">
        <f>IF(ISERROR(VLOOKUP($A521,'13. Updated Demand'!A:Z,20,FALSE)),0,VLOOKUP($A521,'13. Updated Demand'!A:Z,20,FALSE))</f>
        <v>0</v>
      </c>
      <c r="AD521" s="16">
        <f>IF(ISERROR(VLOOKUP($A521,'13. Updated Demand'!A:Z,21,FALSE)),0,VLOOKUP($A521,'13. Updated Demand'!A:Z,21,FALSE))</f>
        <v>0</v>
      </c>
      <c r="AE521" s="16">
        <f>IF(ISERROR(VLOOKUP($A521,'13. Updated Demand'!A:Z,22,FALSE)),0,VLOOKUP($A521,'13. Updated Demand'!A:Z,22,FALSE))</f>
        <v>0</v>
      </c>
      <c r="AF521" s="16">
        <f>IF(ISERROR(VLOOKUP($A521,'13. Updated Demand'!A:Z,23,FALSE)),0,VLOOKUP($A521,'13. Updated Demand'!A:Z,23,FALSE))</f>
        <v>0</v>
      </c>
      <c r="AG521" s="16">
        <f>IF(ISERROR(VLOOKUP($A521,'13. Updated Demand'!A:Z,24,FALSE)),0,VLOOKUP($A521,'13. Updated Demand'!A:Z,24,FALSE))</f>
        <v>0</v>
      </c>
      <c r="AH521" s="16">
        <f>IF(ISERROR(VLOOKUP($A521,'13. Updated Demand'!A:Z,25,FALSE)),0,VLOOKUP($A521,'13. Updated Demand'!A:Z,25,FALSE))</f>
        <v>0</v>
      </c>
      <c r="AI521" s="16">
        <f>IF(ISERROR(VLOOKUP($A521,'13. Updated Demand'!A:Z,26,FALSE)),0,VLOOKUP($A521,'13. Updated Demand'!A:Z,26,FALSE))</f>
        <v>0</v>
      </c>
      <c r="AJ521" s="16">
        <f t="shared" si="96"/>
        <v>0</v>
      </c>
      <c r="AK521" s="19">
        <v>0</v>
      </c>
      <c r="AL521" s="16">
        <f t="shared" si="106"/>
        <v>0</v>
      </c>
      <c r="AM521" s="17">
        <v>0</v>
      </c>
      <c r="AN521" s="19"/>
      <c r="AO521" s="19"/>
      <c r="AP521" s="19">
        <v>0.6</v>
      </c>
      <c r="AQ521" s="19" t="s">
        <v>307</v>
      </c>
      <c r="AR521" s="9" t="s">
        <v>585</v>
      </c>
      <c r="AS521" s="12">
        <v>0</v>
      </c>
      <c r="AT521" s="19">
        <v>38.375387029999999</v>
      </c>
      <c r="AU521" s="19">
        <v>-122.64848498000001</v>
      </c>
      <c r="AV521" s="19" t="s">
        <v>417</v>
      </c>
    </row>
    <row r="522" spans="1:48" x14ac:dyDescent="0.25">
      <c r="A522" s="18" t="s">
        <v>907</v>
      </c>
      <c r="B522" s="10">
        <v>19811211</v>
      </c>
      <c r="C522" s="9">
        <v>17</v>
      </c>
      <c r="D522" s="8" t="str">
        <f t="shared" si="97"/>
        <v>N</v>
      </c>
      <c r="E522" s="8" t="str">
        <f t="shared" si="98"/>
        <v>N</v>
      </c>
      <c r="F522" s="8" t="str">
        <f t="shared" si="99"/>
        <v>N</v>
      </c>
      <c r="G522" s="8" t="str">
        <f t="shared" si="100"/>
        <v>N</v>
      </c>
      <c r="H522" s="8" t="str">
        <f t="shared" si="101"/>
        <v>Lower</v>
      </c>
      <c r="I522" s="8" t="str">
        <f t="shared" si="102"/>
        <v>Outside</v>
      </c>
      <c r="J522" s="8" t="str">
        <f t="shared" si="103"/>
        <v>Outside</v>
      </c>
      <c r="K522" s="8" t="str">
        <f t="shared" si="104"/>
        <v>Post-1949</v>
      </c>
      <c r="L522" s="8">
        <f t="shared" si="105"/>
        <v>1981</v>
      </c>
      <c r="M522" s="8" t="str">
        <f t="shared" si="107"/>
        <v>1971-1990</v>
      </c>
      <c r="N522" s="10" t="s">
        <v>241</v>
      </c>
      <c r="O522" s="10" t="s">
        <v>242</v>
      </c>
      <c r="P522" s="10" t="s">
        <v>242</v>
      </c>
      <c r="Q522" s="10" t="s">
        <v>242</v>
      </c>
      <c r="R522" s="10" t="s">
        <v>241</v>
      </c>
      <c r="S522" s="10" t="s">
        <v>242</v>
      </c>
      <c r="T522" s="10" t="s">
        <v>242</v>
      </c>
      <c r="U522" s="10" t="s">
        <v>242</v>
      </c>
      <c r="V522" s="10" t="s">
        <v>241</v>
      </c>
      <c r="W522" s="10" t="s">
        <v>242</v>
      </c>
      <c r="X522" s="15">
        <f>IF(ISERROR(VLOOKUP($A522,'13. Updated Demand'!A:Z,15,FALSE)),0,VLOOKUP($A522,'13. Updated Demand'!A:Z,15,FALSE))</f>
        <v>7.1</v>
      </c>
      <c r="Y522" s="16">
        <f>IF(ISERROR(VLOOKUP($A522,'13. Updated Demand'!A:Z,16,FALSE)),0,VLOOKUP($A522,'13. Updated Demand'!A:Z,16,FALSE))</f>
        <v>0</v>
      </c>
      <c r="Z522" s="16">
        <f>IF(ISERROR(VLOOKUP($A522,'13. Updated Demand'!A:Z,17,FALSE)),0,VLOOKUP($A522,'13. Updated Demand'!A:Z,17,FALSE))</f>
        <v>0</v>
      </c>
      <c r="AA522" s="16">
        <f>IF(ISERROR(VLOOKUP($A522,'13. Updated Demand'!A:Z,18,FALSE)),0,VLOOKUP($A522,'13. Updated Demand'!A:Z,18,FALSE))</f>
        <v>0</v>
      </c>
      <c r="AB522" s="16">
        <f>IF(ISERROR(VLOOKUP($A522,'13. Updated Demand'!A:Z,19,FALSE)),0,VLOOKUP($A522,'13. Updated Demand'!A:Z,19,FALSE))</f>
        <v>0</v>
      </c>
      <c r="AC522" s="16">
        <f>IF(ISERROR(VLOOKUP($A522,'13. Updated Demand'!A:Z,20,FALSE)),0,VLOOKUP($A522,'13. Updated Demand'!A:Z,20,FALSE))</f>
        <v>0</v>
      </c>
      <c r="AD522" s="16">
        <f>IF(ISERROR(VLOOKUP($A522,'13. Updated Demand'!A:Z,21,FALSE)),0,VLOOKUP($A522,'13. Updated Demand'!A:Z,21,FALSE))</f>
        <v>0</v>
      </c>
      <c r="AE522" s="16">
        <f>IF(ISERROR(VLOOKUP($A522,'13. Updated Demand'!A:Z,22,FALSE)),0,VLOOKUP($A522,'13. Updated Demand'!A:Z,22,FALSE))</f>
        <v>0</v>
      </c>
      <c r="AF522" s="16">
        <f>IF(ISERROR(VLOOKUP($A522,'13. Updated Demand'!A:Z,23,FALSE)),0,VLOOKUP($A522,'13. Updated Demand'!A:Z,23,FALSE))</f>
        <v>0</v>
      </c>
      <c r="AG522" s="16">
        <f>IF(ISERROR(VLOOKUP($A522,'13. Updated Demand'!A:Z,24,FALSE)),0,VLOOKUP($A522,'13. Updated Demand'!A:Z,24,FALSE))</f>
        <v>0</v>
      </c>
      <c r="AH522" s="16">
        <f>IF(ISERROR(VLOOKUP($A522,'13. Updated Demand'!A:Z,25,FALSE)),0,VLOOKUP($A522,'13. Updated Demand'!A:Z,25,FALSE))</f>
        <v>0.3</v>
      </c>
      <c r="AI522" s="16">
        <f>IF(ISERROR(VLOOKUP($A522,'13. Updated Demand'!A:Z,26,FALSE)),0,VLOOKUP($A522,'13. Updated Demand'!A:Z,26,FALSE))</f>
        <v>0</v>
      </c>
      <c r="AJ522" s="16">
        <f t="shared" si="96"/>
        <v>7.3999999999999995</v>
      </c>
      <c r="AK522" s="19">
        <v>0</v>
      </c>
      <c r="AL522" s="16">
        <f t="shared" si="106"/>
        <v>0</v>
      </c>
      <c r="AM522" s="17">
        <v>0.67272727272727273</v>
      </c>
      <c r="AN522" s="19"/>
      <c r="AO522" s="19"/>
      <c r="AP522" s="19">
        <v>11</v>
      </c>
      <c r="AQ522" s="19" t="s">
        <v>307</v>
      </c>
      <c r="AR522" s="9" t="s">
        <v>486</v>
      </c>
      <c r="AS522" s="12">
        <v>0</v>
      </c>
      <c r="AT522" s="19">
        <v>38.56444553</v>
      </c>
      <c r="AU522" s="19">
        <v>-122.84116616</v>
      </c>
      <c r="AV522" s="19" t="s">
        <v>417</v>
      </c>
    </row>
    <row r="523" spans="1:48" x14ac:dyDescent="0.25">
      <c r="A523" s="18" t="s">
        <v>908</v>
      </c>
      <c r="B523" s="10">
        <v>19811223</v>
      </c>
      <c r="C523" s="9">
        <v>23</v>
      </c>
      <c r="D523" s="8" t="str">
        <f t="shared" si="97"/>
        <v>N</v>
      </c>
      <c r="E523" s="8" t="str">
        <f t="shared" si="98"/>
        <v>N</v>
      </c>
      <c r="F523" s="8" t="str">
        <f t="shared" si="99"/>
        <v>N</v>
      </c>
      <c r="G523" s="8" t="str">
        <f t="shared" si="100"/>
        <v>N</v>
      </c>
      <c r="H523" s="8" t="str">
        <f t="shared" si="101"/>
        <v>Lower</v>
      </c>
      <c r="I523" s="8" t="str">
        <f t="shared" si="102"/>
        <v>Outside</v>
      </c>
      <c r="J523" s="8" t="str">
        <f t="shared" si="103"/>
        <v>Outside</v>
      </c>
      <c r="K523" s="8" t="str">
        <f t="shared" si="104"/>
        <v>Post-1949</v>
      </c>
      <c r="L523" s="8">
        <f t="shared" si="105"/>
        <v>1981</v>
      </c>
      <c r="M523" s="8" t="str">
        <f t="shared" si="107"/>
        <v>1971-1990</v>
      </c>
      <c r="N523" s="10" t="s">
        <v>242</v>
      </c>
      <c r="O523" s="10" t="s">
        <v>242</v>
      </c>
      <c r="P523" s="10" t="s">
        <v>242</v>
      </c>
      <c r="Q523" s="10" t="s">
        <v>242</v>
      </c>
      <c r="R523" s="10" t="s">
        <v>241</v>
      </c>
      <c r="S523" s="10" t="s">
        <v>242</v>
      </c>
      <c r="T523" s="10" t="s">
        <v>242</v>
      </c>
      <c r="U523" s="10" t="s">
        <v>242</v>
      </c>
      <c r="V523" s="10" t="s">
        <v>242</v>
      </c>
      <c r="W523" s="10" t="s">
        <v>242</v>
      </c>
      <c r="X523" s="15">
        <f>IF(ISERROR(VLOOKUP($A523,'13. Updated Demand'!A:Z,15,FALSE)),0,VLOOKUP($A523,'13. Updated Demand'!A:Z,15,FALSE))</f>
        <v>2.9333333E-2</v>
      </c>
      <c r="Y523" s="16">
        <f>IF(ISERROR(VLOOKUP($A523,'13. Updated Demand'!A:Z,16,FALSE)),0,VLOOKUP($A523,'13. Updated Demand'!A:Z,16,FALSE))</f>
        <v>2.9333333E-2</v>
      </c>
      <c r="Z523" s="16">
        <f>IF(ISERROR(VLOOKUP($A523,'13. Updated Demand'!A:Z,17,FALSE)),0,VLOOKUP($A523,'13. Updated Demand'!A:Z,17,FALSE))</f>
        <v>2.9333333E-2</v>
      </c>
      <c r="AA523" s="16">
        <f>IF(ISERROR(VLOOKUP($A523,'13. Updated Demand'!A:Z,18,FALSE)),0,VLOOKUP($A523,'13. Updated Demand'!A:Z,18,FALSE))</f>
        <v>2.9333333E-2</v>
      </c>
      <c r="AB523" s="16">
        <f>IF(ISERROR(VLOOKUP($A523,'13. Updated Demand'!A:Z,19,FALSE)),0,VLOOKUP($A523,'13. Updated Demand'!A:Z,19,FALSE))</f>
        <v>2.9333333E-2</v>
      </c>
      <c r="AC523" s="16">
        <f>IF(ISERROR(VLOOKUP($A523,'13. Updated Demand'!A:Z,20,FALSE)),0,VLOOKUP($A523,'13. Updated Demand'!A:Z,20,FALSE))</f>
        <v>0</v>
      </c>
      <c r="AD523" s="16">
        <f>IF(ISERROR(VLOOKUP($A523,'13. Updated Demand'!A:Z,21,FALSE)),0,VLOOKUP($A523,'13. Updated Demand'!A:Z,21,FALSE))</f>
        <v>0</v>
      </c>
      <c r="AE523" s="16">
        <f>IF(ISERROR(VLOOKUP($A523,'13. Updated Demand'!A:Z,22,FALSE)),0,VLOOKUP($A523,'13. Updated Demand'!A:Z,22,FALSE))</f>
        <v>0</v>
      </c>
      <c r="AF523" s="16">
        <f>IF(ISERROR(VLOOKUP($A523,'13. Updated Demand'!A:Z,23,FALSE)),0,VLOOKUP($A523,'13. Updated Demand'!A:Z,23,FALSE))</f>
        <v>0</v>
      </c>
      <c r="AG523" s="16">
        <f>IF(ISERROR(VLOOKUP($A523,'13. Updated Demand'!A:Z,24,FALSE)),0,VLOOKUP($A523,'13. Updated Demand'!A:Z,24,FALSE))</f>
        <v>0</v>
      </c>
      <c r="AH523" s="16">
        <f>IF(ISERROR(VLOOKUP($A523,'13. Updated Demand'!A:Z,25,FALSE)),0,VLOOKUP($A523,'13. Updated Demand'!A:Z,25,FALSE))</f>
        <v>2.9333333E-2</v>
      </c>
      <c r="AI523" s="16">
        <f>IF(ISERROR(VLOOKUP($A523,'13. Updated Demand'!A:Z,26,FALSE)),0,VLOOKUP($A523,'13. Updated Demand'!A:Z,26,FALSE))</f>
        <v>2.9333333E-2</v>
      </c>
      <c r="AJ523" s="16">
        <f t="shared" si="96"/>
        <v>0.20533333099999998</v>
      </c>
      <c r="AK523" s="19">
        <v>2.9333333333333302E-2</v>
      </c>
      <c r="AL523" s="16">
        <f t="shared" si="106"/>
        <v>9.7295325286001486E-5</v>
      </c>
      <c r="AM523" s="17">
        <v>8.2133333333333242E-3</v>
      </c>
      <c r="AN523" s="19"/>
      <c r="AO523" s="19"/>
      <c r="AP523" s="19">
        <v>25</v>
      </c>
      <c r="AQ523" s="19" t="s">
        <v>307</v>
      </c>
      <c r="AR523" s="9" t="s">
        <v>323</v>
      </c>
      <c r="AS523" s="12">
        <v>0</v>
      </c>
      <c r="AT523" s="19">
        <v>38.502899999999997</v>
      </c>
      <c r="AU523" s="19">
        <v>-122.64530000000001</v>
      </c>
      <c r="AV523" s="19" t="s">
        <v>417</v>
      </c>
    </row>
    <row r="524" spans="1:48" x14ac:dyDescent="0.25">
      <c r="A524" s="18" t="s">
        <v>909</v>
      </c>
      <c r="B524" s="10">
        <v>19811005</v>
      </c>
      <c r="C524" s="9">
        <v>16</v>
      </c>
      <c r="D524" s="8" t="str">
        <f t="shared" si="97"/>
        <v>N</v>
      </c>
      <c r="E524" s="8" t="str">
        <f t="shared" si="98"/>
        <v>N</v>
      </c>
      <c r="F524" s="8" t="str">
        <f t="shared" si="99"/>
        <v>N</v>
      </c>
      <c r="G524" s="8" t="str">
        <f t="shared" si="100"/>
        <v>N</v>
      </c>
      <c r="H524" s="8" t="str">
        <f t="shared" si="101"/>
        <v>Lower</v>
      </c>
      <c r="I524" s="8" t="str">
        <f t="shared" si="102"/>
        <v>Outside</v>
      </c>
      <c r="J524" s="8" t="str">
        <f t="shared" si="103"/>
        <v>Outside</v>
      </c>
      <c r="K524" s="8" t="str">
        <f t="shared" si="104"/>
        <v>Post-1949</v>
      </c>
      <c r="L524" s="8">
        <f t="shared" si="105"/>
        <v>1981</v>
      </c>
      <c r="M524" s="8" t="str">
        <f t="shared" si="107"/>
        <v>1971-1990</v>
      </c>
      <c r="N524" s="10" t="s">
        <v>242</v>
      </c>
      <c r="O524" s="10" t="s">
        <v>242</v>
      </c>
      <c r="P524" s="10" t="s">
        <v>242</v>
      </c>
      <c r="Q524" s="10" t="s">
        <v>242</v>
      </c>
      <c r="R524" s="10" t="s">
        <v>241</v>
      </c>
      <c r="S524" s="10" t="s">
        <v>242</v>
      </c>
      <c r="T524" s="10" t="s">
        <v>242</v>
      </c>
      <c r="U524" s="10" t="s">
        <v>242</v>
      </c>
      <c r="V524" s="10" t="s">
        <v>241</v>
      </c>
      <c r="W524" s="10" t="s">
        <v>242</v>
      </c>
      <c r="X524" s="15">
        <f>IF(ISERROR(VLOOKUP($A524,'13. Updated Demand'!A:Z,15,FALSE)),0,VLOOKUP($A524,'13. Updated Demand'!A:Z,15,FALSE))</f>
        <v>3.3555549999999998</v>
      </c>
      <c r="Y524" s="16">
        <f>IF(ISERROR(VLOOKUP($A524,'13. Updated Demand'!A:Z,16,FALSE)),0,VLOOKUP($A524,'13. Updated Demand'!A:Z,16,FALSE))</f>
        <v>3.3555549999999998</v>
      </c>
      <c r="Z524" s="16">
        <f>IF(ISERROR(VLOOKUP($A524,'13. Updated Demand'!A:Z,17,FALSE)),0,VLOOKUP($A524,'13. Updated Demand'!A:Z,17,FALSE))</f>
        <v>3.35555</v>
      </c>
      <c r="AA524" s="16">
        <f>IF(ISERROR(VLOOKUP($A524,'13. Updated Demand'!A:Z,18,FALSE)),0,VLOOKUP($A524,'13. Updated Demand'!A:Z,18,FALSE))</f>
        <v>3.35555</v>
      </c>
      <c r="AB524" s="16">
        <f>IF(ISERROR(VLOOKUP($A524,'13. Updated Demand'!A:Z,19,FALSE)),0,VLOOKUP($A524,'13. Updated Demand'!A:Z,19,FALSE))</f>
        <v>0</v>
      </c>
      <c r="AC524" s="16">
        <f>IF(ISERROR(VLOOKUP($A524,'13. Updated Demand'!A:Z,20,FALSE)),0,VLOOKUP($A524,'13. Updated Demand'!A:Z,20,FALSE))</f>
        <v>0</v>
      </c>
      <c r="AD524" s="16">
        <f>IF(ISERROR(VLOOKUP($A524,'13. Updated Demand'!A:Z,21,FALSE)),0,VLOOKUP($A524,'13. Updated Demand'!A:Z,21,FALSE))</f>
        <v>0</v>
      </c>
      <c r="AE524" s="16">
        <f>IF(ISERROR(VLOOKUP($A524,'13. Updated Demand'!A:Z,22,FALSE)),0,VLOOKUP($A524,'13. Updated Demand'!A:Z,22,FALSE))</f>
        <v>0</v>
      </c>
      <c r="AF524" s="16">
        <f>IF(ISERROR(VLOOKUP($A524,'13. Updated Demand'!A:Z,23,FALSE)),0,VLOOKUP($A524,'13. Updated Demand'!A:Z,23,FALSE))</f>
        <v>0</v>
      </c>
      <c r="AG524" s="16">
        <f>IF(ISERROR(VLOOKUP($A524,'13. Updated Demand'!A:Z,24,FALSE)),0,VLOOKUP($A524,'13. Updated Demand'!A:Z,24,FALSE))</f>
        <v>0</v>
      </c>
      <c r="AH524" s="16">
        <f>IF(ISERROR(VLOOKUP($A524,'13. Updated Demand'!A:Z,25,FALSE)),0,VLOOKUP($A524,'13. Updated Demand'!A:Z,25,FALSE))</f>
        <v>0</v>
      </c>
      <c r="AI524" s="16">
        <f>IF(ISERROR(VLOOKUP($A524,'13. Updated Demand'!A:Z,26,FALSE)),0,VLOOKUP($A524,'13. Updated Demand'!A:Z,26,FALSE))</f>
        <v>0</v>
      </c>
      <c r="AJ524" s="16">
        <f t="shared" si="96"/>
        <v>13.42221</v>
      </c>
      <c r="AK524" s="19">
        <v>0</v>
      </c>
      <c r="AL524" s="16">
        <f t="shared" si="106"/>
        <v>0</v>
      </c>
      <c r="AM524" s="17">
        <v>0.67111049999999994</v>
      </c>
      <c r="AN524" s="19"/>
      <c r="AO524" s="19"/>
      <c r="AP524" s="19">
        <v>20</v>
      </c>
      <c r="AQ524" s="19" t="s">
        <v>307</v>
      </c>
      <c r="AR524" s="9" t="s">
        <v>394</v>
      </c>
      <c r="AS524" s="12">
        <v>0</v>
      </c>
      <c r="AT524" s="19">
        <v>38.658700000000003</v>
      </c>
      <c r="AU524" s="19">
        <v>-122.90770000000001</v>
      </c>
      <c r="AV524" s="19" t="s">
        <v>417</v>
      </c>
    </row>
    <row r="525" spans="1:48" x14ac:dyDescent="0.25">
      <c r="A525" s="18" t="s">
        <v>910</v>
      </c>
      <c r="B525" s="10">
        <v>19810804</v>
      </c>
      <c r="C525" s="9">
        <v>2</v>
      </c>
      <c r="D525" s="8" t="str">
        <f t="shared" si="97"/>
        <v>N</v>
      </c>
      <c r="E525" s="8" t="str">
        <f t="shared" si="98"/>
        <v>N</v>
      </c>
      <c r="F525" s="8" t="str">
        <f t="shared" si="99"/>
        <v>Y</v>
      </c>
      <c r="G525" s="8" t="str">
        <f t="shared" si="100"/>
        <v>N</v>
      </c>
      <c r="H525" s="8" t="str">
        <f t="shared" si="101"/>
        <v>Upper</v>
      </c>
      <c r="I525" s="8" t="str">
        <f t="shared" si="102"/>
        <v>Outside</v>
      </c>
      <c r="J525" s="8" t="str">
        <f t="shared" si="103"/>
        <v>Outside</v>
      </c>
      <c r="K525" s="8" t="str">
        <f t="shared" si="104"/>
        <v>Post-1949</v>
      </c>
      <c r="L525" s="8">
        <f t="shared" si="105"/>
        <v>1981</v>
      </c>
      <c r="M525" s="8" t="str">
        <f t="shared" si="107"/>
        <v>1971-1990</v>
      </c>
      <c r="N525" s="10" t="s">
        <v>242</v>
      </c>
      <c r="O525" s="10" t="s">
        <v>241</v>
      </c>
      <c r="P525" s="10" t="s">
        <v>242</v>
      </c>
      <c r="Q525" s="10" t="s">
        <v>242</v>
      </c>
      <c r="R525" s="10" t="s">
        <v>241</v>
      </c>
      <c r="S525" s="10" t="s">
        <v>242</v>
      </c>
      <c r="T525" s="10" t="s">
        <v>242</v>
      </c>
      <c r="U525" s="10" t="s">
        <v>242</v>
      </c>
      <c r="V525" s="10" t="s">
        <v>242</v>
      </c>
      <c r="W525" s="10" t="s">
        <v>242</v>
      </c>
      <c r="X525" s="15">
        <f>IF(ISERROR(VLOOKUP($A525,'13. Updated Demand'!A:Z,15,FALSE)),0,VLOOKUP($A525,'13. Updated Demand'!A:Z,15,FALSE))</f>
        <v>0.66</v>
      </c>
      <c r="Y525" s="16">
        <f>IF(ISERROR(VLOOKUP($A525,'13. Updated Demand'!A:Z,16,FALSE)),0,VLOOKUP($A525,'13. Updated Demand'!A:Z,16,FALSE))</f>
        <v>0.33</v>
      </c>
      <c r="Z525" s="16">
        <f>IF(ISERROR(VLOOKUP($A525,'13. Updated Demand'!A:Z,17,FALSE)),0,VLOOKUP($A525,'13. Updated Demand'!A:Z,17,FALSE))</f>
        <v>0.67</v>
      </c>
      <c r="AA525" s="16">
        <f>IF(ISERROR(VLOOKUP($A525,'13. Updated Demand'!A:Z,18,FALSE)),0,VLOOKUP($A525,'13. Updated Demand'!A:Z,18,FALSE))</f>
        <v>0.34</v>
      </c>
      <c r="AB525" s="16">
        <f>IF(ISERROR(VLOOKUP($A525,'13. Updated Demand'!A:Z,19,FALSE)),0,VLOOKUP($A525,'13. Updated Demand'!A:Z,19,FALSE))</f>
        <v>0.34</v>
      </c>
      <c r="AC525" s="16">
        <f>IF(ISERROR(VLOOKUP($A525,'13. Updated Demand'!A:Z,20,FALSE)),0,VLOOKUP($A525,'13. Updated Demand'!A:Z,20,FALSE))</f>
        <v>0.67</v>
      </c>
      <c r="AD525" s="16">
        <f>IF(ISERROR(VLOOKUP($A525,'13. Updated Demand'!A:Z,21,FALSE)),0,VLOOKUP($A525,'13. Updated Demand'!A:Z,21,FALSE))</f>
        <v>0.67</v>
      </c>
      <c r="AE525" s="16">
        <f>IF(ISERROR(VLOOKUP($A525,'13. Updated Demand'!A:Z,22,FALSE)),0,VLOOKUP($A525,'13. Updated Demand'!A:Z,22,FALSE))</f>
        <v>2.0460000000000001E-3</v>
      </c>
      <c r="AF525" s="16">
        <f>IF(ISERROR(VLOOKUP($A525,'13. Updated Demand'!A:Z,23,FALSE)),0,VLOOKUP($A525,'13. Updated Demand'!A:Z,23,FALSE))</f>
        <v>2.0462670000000001E-3</v>
      </c>
      <c r="AG525" s="16">
        <f>IF(ISERROR(VLOOKUP($A525,'13. Updated Demand'!A:Z,24,FALSE)),0,VLOOKUP($A525,'13. Updated Demand'!A:Z,24,FALSE))</f>
        <v>0</v>
      </c>
      <c r="AH525" s="16">
        <f>IF(ISERROR(VLOOKUP($A525,'13. Updated Demand'!A:Z,25,FALSE)),0,VLOOKUP($A525,'13. Updated Demand'!A:Z,25,FALSE))</f>
        <v>0</v>
      </c>
      <c r="AI525" s="16">
        <f>IF(ISERROR(VLOOKUP($A525,'13. Updated Demand'!A:Z,26,FALSE)),0,VLOOKUP($A525,'13. Updated Demand'!A:Z,26,FALSE))</f>
        <v>0</v>
      </c>
      <c r="AJ525" s="16">
        <f t="shared" si="96"/>
        <v>3.6840922669999996</v>
      </c>
      <c r="AK525" s="19">
        <v>1.7046502670000001</v>
      </c>
      <c r="AL525" s="16">
        <f t="shared" si="106"/>
        <v>5.6541307577261755E-3</v>
      </c>
      <c r="AM525" s="17">
        <v>0.26586006671428569</v>
      </c>
      <c r="AN525" s="19"/>
      <c r="AO525" s="19"/>
      <c r="AP525" s="19">
        <v>14</v>
      </c>
      <c r="AQ525" s="19" t="s">
        <v>307</v>
      </c>
      <c r="AR525" s="9" t="s">
        <v>348</v>
      </c>
      <c r="AS525" s="12">
        <v>3.4039024194010059E-4</v>
      </c>
      <c r="AT525" s="19">
        <v>39.298262770000001</v>
      </c>
      <c r="AU525" s="19">
        <v>-123.06334879000001</v>
      </c>
      <c r="AV525" s="19" t="s">
        <v>417</v>
      </c>
    </row>
    <row r="526" spans="1:48" x14ac:dyDescent="0.25">
      <c r="A526" s="18" t="s">
        <v>911</v>
      </c>
      <c r="B526" s="10">
        <v>19810331</v>
      </c>
      <c r="C526" s="9">
        <v>2</v>
      </c>
      <c r="D526" s="8" t="str">
        <f t="shared" si="97"/>
        <v>N</v>
      </c>
      <c r="E526" s="8" t="str">
        <f t="shared" si="98"/>
        <v>N</v>
      </c>
      <c r="F526" s="8" t="str">
        <f t="shared" si="99"/>
        <v>Y</v>
      </c>
      <c r="G526" s="8" t="str">
        <f t="shared" si="100"/>
        <v>N</v>
      </c>
      <c r="H526" s="8" t="str">
        <f t="shared" si="101"/>
        <v>Upper</v>
      </c>
      <c r="I526" s="8" t="str">
        <f t="shared" si="102"/>
        <v>Outside</v>
      </c>
      <c r="J526" s="8" t="str">
        <f t="shared" si="103"/>
        <v>Outside</v>
      </c>
      <c r="K526" s="8" t="str">
        <f t="shared" si="104"/>
        <v>Post-1949</v>
      </c>
      <c r="L526" s="8">
        <f t="shared" si="105"/>
        <v>1981</v>
      </c>
      <c r="M526" s="8" t="str">
        <f t="shared" si="107"/>
        <v>1971-1990</v>
      </c>
      <c r="N526" s="10" t="s">
        <v>242</v>
      </c>
      <c r="O526" s="10" t="s">
        <v>241</v>
      </c>
      <c r="P526" s="10" t="s">
        <v>242</v>
      </c>
      <c r="Q526" s="10" t="s">
        <v>242</v>
      </c>
      <c r="R526" s="10" t="s">
        <v>241</v>
      </c>
      <c r="S526" s="10" t="s">
        <v>242</v>
      </c>
      <c r="T526" s="10" t="s">
        <v>242</v>
      </c>
      <c r="U526" s="10" t="s">
        <v>241</v>
      </c>
      <c r="V526" s="10" t="s">
        <v>241</v>
      </c>
      <c r="W526" s="10" t="s">
        <v>242</v>
      </c>
      <c r="X526" s="15">
        <f>IF(ISERROR(VLOOKUP($A526,'13. Updated Demand'!A:Z,15,FALSE)),0,VLOOKUP($A526,'13. Updated Demand'!A:Z,15,FALSE))</f>
        <v>0</v>
      </c>
      <c r="Y526" s="16">
        <f>IF(ISERROR(VLOOKUP($A526,'13. Updated Demand'!A:Z,16,FALSE)),0,VLOOKUP($A526,'13. Updated Demand'!A:Z,16,FALSE))</f>
        <v>0</v>
      </c>
      <c r="Z526" s="16">
        <f>IF(ISERROR(VLOOKUP($A526,'13. Updated Demand'!A:Z,17,FALSE)),0,VLOOKUP($A526,'13. Updated Demand'!A:Z,17,FALSE))</f>
        <v>0</v>
      </c>
      <c r="AA526" s="16">
        <f>IF(ISERROR(VLOOKUP($A526,'13. Updated Demand'!A:Z,18,FALSE)),0,VLOOKUP($A526,'13. Updated Demand'!A:Z,18,FALSE))</f>
        <v>0</v>
      </c>
      <c r="AB526" s="16">
        <f>IF(ISERROR(VLOOKUP($A526,'13. Updated Demand'!A:Z,19,FALSE)),0,VLOOKUP($A526,'13. Updated Demand'!A:Z,19,FALSE))</f>
        <v>0</v>
      </c>
      <c r="AC526" s="16">
        <f>IF(ISERROR(VLOOKUP($A526,'13. Updated Demand'!A:Z,20,FALSE)),0,VLOOKUP($A526,'13. Updated Demand'!A:Z,20,FALSE))</f>
        <v>0</v>
      </c>
      <c r="AD526" s="16">
        <f>IF(ISERROR(VLOOKUP($A526,'13. Updated Demand'!A:Z,21,FALSE)),0,VLOOKUP($A526,'13. Updated Demand'!A:Z,21,FALSE))</f>
        <v>0</v>
      </c>
      <c r="AE526" s="16">
        <f>IF(ISERROR(VLOOKUP($A526,'13. Updated Demand'!A:Z,22,FALSE)),0,VLOOKUP($A526,'13. Updated Demand'!A:Z,22,FALSE))</f>
        <v>0</v>
      </c>
      <c r="AF526" s="16">
        <f>IF(ISERROR(VLOOKUP($A526,'13. Updated Demand'!A:Z,23,FALSE)),0,VLOOKUP($A526,'13. Updated Demand'!A:Z,23,FALSE))</f>
        <v>0</v>
      </c>
      <c r="AG526" s="16">
        <f>IF(ISERROR(VLOOKUP($A526,'13. Updated Demand'!A:Z,24,FALSE)),0,VLOOKUP($A526,'13. Updated Demand'!A:Z,24,FALSE))</f>
        <v>0</v>
      </c>
      <c r="AH526" s="16">
        <f>IF(ISERROR(VLOOKUP($A526,'13. Updated Demand'!A:Z,25,FALSE)),0,VLOOKUP($A526,'13. Updated Demand'!A:Z,25,FALSE))</f>
        <v>0</v>
      </c>
      <c r="AI526" s="16">
        <f>IF(ISERROR(VLOOKUP($A526,'13. Updated Demand'!A:Z,26,FALSE)),0,VLOOKUP($A526,'13. Updated Demand'!A:Z,26,FALSE))</f>
        <v>0</v>
      </c>
      <c r="AJ526" s="16">
        <f t="shared" si="96"/>
        <v>0</v>
      </c>
      <c r="AK526" s="19">
        <v>0</v>
      </c>
      <c r="AL526" s="16">
        <f t="shared" si="106"/>
        <v>0</v>
      </c>
      <c r="AM526" s="17">
        <v>0</v>
      </c>
      <c r="AN526" s="19"/>
      <c r="AO526" s="19"/>
      <c r="AP526" s="19">
        <v>5</v>
      </c>
      <c r="AQ526" s="19" t="s">
        <v>307</v>
      </c>
      <c r="AR526" s="9" t="s">
        <v>348</v>
      </c>
      <c r="AS526" s="12">
        <v>0</v>
      </c>
      <c r="AT526" s="19">
        <v>39.306572500000001</v>
      </c>
      <c r="AU526" s="19">
        <v>-123.05534485</v>
      </c>
      <c r="AV526" s="19" t="s">
        <v>417</v>
      </c>
    </row>
    <row r="527" spans="1:48" x14ac:dyDescent="0.25">
      <c r="A527" s="18" t="s">
        <v>912</v>
      </c>
      <c r="B527" s="10">
        <v>19800122</v>
      </c>
      <c r="C527" s="9">
        <v>7</v>
      </c>
      <c r="D527" s="8" t="str">
        <f t="shared" si="97"/>
        <v>N</v>
      </c>
      <c r="E527" s="8" t="str">
        <f t="shared" si="98"/>
        <v>Y</v>
      </c>
      <c r="F527" s="8" t="str">
        <f t="shared" si="99"/>
        <v>Y</v>
      </c>
      <c r="G527" s="8" t="str">
        <f t="shared" si="100"/>
        <v>Y</v>
      </c>
      <c r="H527" s="8" t="str">
        <f t="shared" si="101"/>
        <v>Upper</v>
      </c>
      <c r="I527" s="8" t="str">
        <f t="shared" si="102"/>
        <v>West Fork and Below Lake</v>
      </c>
      <c r="J527" s="8" t="str">
        <f t="shared" si="103"/>
        <v>Sonoma (d/s of Clov. Gage)</v>
      </c>
      <c r="K527" s="8" t="str">
        <f t="shared" si="104"/>
        <v>Post-1949</v>
      </c>
      <c r="L527" s="8">
        <f t="shared" si="105"/>
        <v>1980</v>
      </c>
      <c r="M527" s="8" t="str">
        <f t="shared" si="107"/>
        <v>1971-1990</v>
      </c>
      <c r="N527" s="10" t="s">
        <v>242</v>
      </c>
      <c r="O527" s="10" t="s">
        <v>241</v>
      </c>
      <c r="P527" s="10" t="s">
        <v>242</v>
      </c>
      <c r="Q527" s="10" t="s">
        <v>242</v>
      </c>
      <c r="R527" s="10" t="s">
        <v>241</v>
      </c>
      <c r="S527" s="10" t="s">
        <v>242</v>
      </c>
      <c r="T527" s="10" t="s">
        <v>242</v>
      </c>
      <c r="U527" s="10" t="s">
        <v>242</v>
      </c>
      <c r="V527" s="10" t="s">
        <v>241</v>
      </c>
      <c r="W527" s="10" t="s">
        <v>242</v>
      </c>
      <c r="X527" s="15">
        <f>IF(ISERROR(VLOOKUP($A527,'13. Updated Demand'!A:Z,15,FALSE)),0,VLOOKUP($A527,'13. Updated Demand'!A:Z,15,FALSE))</f>
        <v>0</v>
      </c>
      <c r="Y527" s="16">
        <f>IF(ISERROR(VLOOKUP($A527,'13. Updated Demand'!A:Z,16,FALSE)),0,VLOOKUP($A527,'13. Updated Demand'!A:Z,16,FALSE))</f>
        <v>0</v>
      </c>
      <c r="Z527" s="16">
        <f>IF(ISERROR(VLOOKUP($A527,'13. Updated Demand'!A:Z,17,FALSE)),0,VLOOKUP($A527,'13. Updated Demand'!A:Z,17,FALSE))</f>
        <v>0</v>
      </c>
      <c r="AA527" s="16">
        <f>IF(ISERROR(VLOOKUP($A527,'13. Updated Demand'!A:Z,18,FALSE)),0,VLOOKUP($A527,'13. Updated Demand'!A:Z,18,FALSE))</f>
        <v>0</v>
      </c>
      <c r="AB527" s="16">
        <f>IF(ISERROR(VLOOKUP($A527,'13. Updated Demand'!A:Z,19,FALSE)),0,VLOOKUP($A527,'13. Updated Demand'!A:Z,19,FALSE))</f>
        <v>0</v>
      </c>
      <c r="AC527" s="16">
        <f>IF(ISERROR(VLOOKUP($A527,'13. Updated Demand'!A:Z,20,FALSE)),0,VLOOKUP($A527,'13. Updated Demand'!A:Z,20,FALSE))</f>
        <v>0</v>
      </c>
      <c r="AD527" s="16">
        <f>IF(ISERROR(VLOOKUP($A527,'13. Updated Demand'!A:Z,21,FALSE)),0,VLOOKUP($A527,'13. Updated Demand'!A:Z,21,FALSE))</f>
        <v>0</v>
      </c>
      <c r="AE527" s="16">
        <f>IF(ISERROR(VLOOKUP($A527,'13. Updated Demand'!A:Z,22,FALSE)),0,VLOOKUP($A527,'13. Updated Demand'!A:Z,22,FALSE))</f>
        <v>0</v>
      </c>
      <c r="AF527" s="16">
        <f>IF(ISERROR(VLOOKUP($A527,'13. Updated Demand'!A:Z,23,FALSE)),0,VLOOKUP($A527,'13. Updated Demand'!A:Z,23,FALSE))</f>
        <v>0</v>
      </c>
      <c r="AG527" s="16">
        <f>IF(ISERROR(VLOOKUP($A527,'13. Updated Demand'!A:Z,24,FALSE)),0,VLOOKUP($A527,'13. Updated Demand'!A:Z,24,FALSE))</f>
        <v>0</v>
      </c>
      <c r="AH527" s="16">
        <f>IF(ISERROR(VLOOKUP($A527,'13. Updated Demand'!A:Z,25,FALSE)),0,VLOOKUP($A527,'13. Updated Demand'!A:Z,25,FALSE))</f>
        <v>0.43</v>
      </c>
      <c r="AI527" s="16">
        <f>IF(ISERROR(VLOOKUP($A527,'13. Updated Demand'!A:Z,26,FALSE)),0,VLOOKUP($A527,'13. Updated Demand'!A:Z,26,FALSE))</f>
        <v>0.45</v>
      </c>
      <c r="AJ527" s="16">
        <f t="shared" si="96"/>
        <v>0.88</v>
      </c>
      <c r="AK527" s="19">
        <v>0</v>
      </c>
      <c r="AL527" s="16">
        <f t="shared" si="106"/>
        <v>0</v>
      </c>
      <c r="AM527" s="17">
        <v>0.17051282057692307</v>
      </c>
      <c r="AN527" s="19"/>
      <c r="AO527" s="19"/>
      <c r="AP527" s="19">
        <v>5.2</v>
      </c>
      <c r="AQ527" s="19" t="s">
        <v>307</v>
      </c>
      <c r="AR527" s="9" t="s">
        <v>823</v>
      </c>
      <c r="AS527" s="12">
        <v>0</v>
      </c>
      <c r="AT527" s="19">
        <v>38.805519920000002</v>
      </c>
      <c r="AU527" s="19">
        <v>-122.76505406</v>
      </c>
      <c r="AV527" s="19" t="s">
        <v>417</v>
      </c>
    </row>
    <row r="528" spans="1:48" x14ac:dyDescent="0.25">
      <c r="A528" s="18" t="s">
        <v>913</v>
      </c>
      <c r="B528" s="10">
        <v>19800122</v>
      </c>
      <c r="C528" s="9">
        <v>7</v>
      </c>
      <c r="D528" s="8" t="str">
        <f t="shared" si="97"/>
        <v>N</v>
      </c>
      <c r="E528" s="8" t="str">
        <f t="shared" si="98"/>
        <v>Y</v>
      </c>
      <c r="F528" s="8" t="str">
        <f t="shared" si="99"/>
        <v>Y</v>
      </c>
      <c r="G528" s="8" t="str">
        <f t="shared" si="100"/>
        <v>Y</v>
      </c>
      <c r="H528" s="8" t="str">
        <f t="shared" si="101"/>
        <v>Upper</v>
      </c>
      <c r="I528" s="8" t="str">
        <f t="shared" si="102"/>
        <v>West Fork and Below Lake</v>
      </c>
      <c r="J528" s="8" t="str">
        <f t="shared" si="103"/>
        <v>Sonoma (d/s of Clov. Gage)</v>
      </c>
      <c r="K528" s="8" t="str">
        <f t="shared" si="104"/>
        <v>Post-1949</v>
      </c>
      <c r="L528" s="8">
        <f t="shared" si="105"/>
        <v>1980</v>
      </c>
      <c r="M528" s="8" t="str">
        <f t="shared" si="107"/>
        <v>1971-1990</v>
      </c>
      <c r="N528" s="10" t="s">
        <v>242</v>
      </c>
      <c r="O528" s="10" t="s">
        <v>241</v>
      </c>
      <c r="P528" s="10" t="s">
        <v>242</v>
      </c>
      <c r="Q528" s="10" t="s">
        <v>242</v>
      </c>
      <c r="R528" s="10" t="s">
        <v>241</v>
      </c>
      <c r="S528" s="10" t="s">
        <v>242</v>
      </c>
      <c r="T528" s="10" t="s">
        <v>242</v>
      </c>
      <c r="U528" s="10" t="s">
        <v>242</v>
      </c>
      <c r="V528" s="10" t="s">
        <v>241</v>
      </c>
      <c r="W528" s="10" t="s">
        <v>242</v>
      </c>
      <c r="X528" s="15">
        <f>IF(ISERROR(VLOOKUP($A528,'13. Updated Demand'!A:Z,15,FALSE)),0,VLOOKUP($A528,'13. Updated Demand'!A:Z,15,FALSE))</f>
        <v>0</v>
      </c>
      <c r="Y528" s="16">
        <f>IF(ISERROR(VLOOKUP($A528,'13. Updated Demand'!A:Z,16,FALSE)),0,VLOOKUP($A528,'13. Updated Demand'!A:Z,16,FALSE))</f>
        <v>0</v>
      </c>
      <c r="Z528" s="16">
        <f>IF(ISERROR(VLOOKUP($A528,'13. Updated Demand'!A:Z,17,FALSE)),0,VLOOKUP($A528,'13. Updated Demand'!A:Z,17,FALSE))</f>
        <v>0</v>
      </c>
      <c r="AA528" s="16">
        <f>IF(ISERROR(VLOOKUP($A528,'13. Updated Demand'!A:Z,18,FALSE)),0,VLOOKUP($A528,'13. Updated Demand'!A:Z,18,FALSE))</f>
        <v>0</v>
      </c>
      <c r="AB528" s="16">
        <f>IF(ISERROR(VLOOKUP($A528,'13. Updated Demand'!A:Z,19,FALSE)),0,VLOOKUP($A528,'13. Updated Demand'!A:Z,19,FALSE))</f>
        <v>0</v>
      </c>
      <c r="AC528" s="16">
        <f>IF(ISERROR(VLOOKUP($A528,'13. Updated Demand'!A:Z,20,FALSE)),0,VLOOKUP($A528,'13. Updated Demand'!A:Z,20,FALSE))</f>
        <v>0</v>
      </c>
      <c r="AD528" s="16">
        <f>IF(ISERROR(VLOOKUP($A528,'13. Updated Demand'!A:Z,21,FALSE)),0,VLOOKUP($A528,'13. Updated Demand'!A:Z,21,FALSE))</f>
        <v>0</v>
      </c>
      <c r="AE528" s="16">
        <f>IF(ISERROR(VLOOKUP($A528,'13. Updated Demand'!A:Z,22,FALSE)),0,VLOOKUP($A528,'13. Updated Demand'!A:Z,22,FALSE))</f>
        <v>0</v>
      </c>
      <c r="AF528" s="16">
        <f>IF(ISERROR(VLOOKUP($A528,'13. Updated Demand'!A:Z,23,FALSE)),0,VLOOKUP($A528,'13. Updated Demand'!A:Z,23,FALSE))</f>
        <v>0</v>
      </c>
      <c r="AG528" s="16">
        <f>IF(ISERROR(VLOOKUP($A528,'13. Updated Demand'!A:Z,24,FALSE)),0,VLOOKUP($A528,'13. Updated Demand'!A:Z,24,FALSE))</f>
        <v>0</v>
      </c>
      <c r="AH528" s="16">
        <f>IF(ISERROR(VLOOKUP($A528,'13. Updated Demand'!A:Z,25,FALSE)),0,VLOOKUP($A528,'13. Updated Demand'!A:Z,25,FALSE))</f>
        <v>0.16</v>
      </c>
      <c r="AI528" s="16">
        <f>IF(ISERROR(VLOOKUP($A528,'13. Updated Demand'!A:Z,26,FALSE)),0,VLOOKUP($A528,'13. Updated Demand'!A:Z,26,FALSE))</f>
        <v>0.13</v>
      </c>
      <c r="AJ528" s="16">
        <f t="shared" ref="AJ528:AJ591" si="108">SUM(X528:AI528)</f>
        <v>0.29000000000000004</v>
      </c>
      <c r="AK528" s="19">
        <v>0</v>
      </c>
      <c r="AL528" s="16">
        <f t="shared" si="106"/>
        <v>0</v>
      </c>
      <c r="AM528" s="17">
        <v>0.19999999999999998</v>
      </c>
      <c r="AN528" s="19"/>
      <c r="AO528" s="19"/>
      <c r="AP528" s="19">
        <v>1.5</v>
      </c>
      <c r="AQ528" s="19" t="s">
        <v>307</v>
      </c>
      <c r="AR528" s="9" t="s">
        <v>823</v>
      </c>
      <c r="AS528" s="12">
        <v>0</v>
      </c>
      <c r="AT528" s="19">
        <v>38.767490850000002</v>
      </c>
      <c r="AU528" s="19">
        <v>-122.74360077999999</v>
      </c>
      <c r="AV528" s="19" t="s">
        <v>417</v>
      </c>
    </row>
    <row r="529" spans="1:48" x14ac:dyDescent="0.25">
      <c r="A529" s="18" t="s">
        <v>914</v>
      </c>
      <c r="B529" s="10">
        <v>19800122</v>
      </c>
      <c r="C529" s="9">
        <v>7</v>
      </c>
      <c r="D529" s="8" t="str">
        <f t="shared" si="97"/>
        <v>N</v>
      </c>
      <c r="E529" s="8" t="str">
        <f t="shared" si="98"/>
        <v>Y</v>
      </c>
      <c r="F529" s="8" t="str">
        <f t="shared" si="99"/>
        <v>Y</v>
      </c>
      <c r="G529" s="8" t="str">
        <f t="shared" si="100"/>
        <v>Y</v>
      </c>
      <c r="H529" s="8" t="str">
        <f t="shared" si="101"/>
        <v>Upper</v>
      </c>
      <c r="I529" s="8" t="str">
        <f t="shared" si="102"/>
        <v>West Fork and Below Lake</v>
      </c>
      <c r="J529" s="8" t="str">
        <f t="shared" si="103"/>
        <v>Sonoma (d/s of Clov. Gage)</v>
      </c>
      <c r="K529" s="8" t="str">
        <f t="shared" si="104"/>
        <v>Post-1949</v>
      </c>
      <c r="L529" s="8">
        <f t="shared" si="105"/>
        <v>1980</v>
      </c>
      <c r="M529" s="8" t="str">
        <f t="shared" si="107"/>
        <v>1971-1990</v>
      </c>
      <c r="N529" s="10" t="s">
        <v>242</v>
      </c>
      <c r="O529" s="10" t="s">
        <v>241</v>
      </c>
      <c r="P529" s="10" t="s">
        <v>242</v>
      </c>
      <c r="Q529" s="10" t="s">
        <v>242</v>
      </c>
      <c r="R529" s="10" t="s">
        <v>241</v>
      </c>
      <c r="S529" s="10" t="s">
        <v>242</v>
      </c>
      <c r="T529" s="10" t="s">
        <v>242</v>
      </c>
      <c r="U529" s="10" t="s">
        <v>241</v>
      </c>
      <c r="V529" s="10" t="s">
        <v>241</v>
      </c>
      <c r="W529" s="10" t="s">
        <v>242</v>
      </c>
      <c r="X529" s="15">
        <f>IF(ISERROR(VLOOKUP($A529,'13. Updated Demand'!A:Z,15,FALSE)),0,VLOOKUP($A529,'13. Updated Demand'!A:Z,15,FALSE))</f>
        <v>0</v>
      </c>
      <c r="Y529" s="16">
        <f>IF(ISERROR(VLOOKUP($A529,'13. Updated Demand'!A:Z,16,FALSE)),0,VLOOKUP($A529,'13. Updated Demand'!A:Z,16,FALSE))</f>
        <v>0</v>
      </c>
      <c r="Z529" s="16">
        <f>IF(ISERROR(VLOOKUP($A529,'13. Updated Demand'!A:Z,17,FALSE)),0,VLOOKUP($A529,'13. Updated Demand'!A:Z,17,FALSE))</f>
        <v>0</v>
      </c>
      <c r="AA529" s="16">
        <f>IF(ISERROR(VLOOKUP($A529,'13. Updated Demand'!A:Z,18,FALSE)),0,VLOOKUP($A529,'13. Updated Demand'!A:Z,18,FALSE))</f>
        <v>0</v>
      </c>
      <c r="AB529" s="16">
        <f>IF(ISERROR(VLOOKUP($A529,'13. Updated Demand'!A:Z,19,FALSE)),0,VLOOKUP($A529,'13. Updated Demand'!A:Z,19,FALSE))</f>
        <v>0</v>
      </c>
      <c r="AC529" s="16">
        <f>IF(ISERROR(VLOOKUP($A529,'13. Updated Demand'!A:Z,20,FALSE)),0,VLOOKUP($A529,'13. Updated Demand'!A:Z,20,FALSE))</f>
        <v>0</v>
      </c>
      <c r="AD529" s="16">
        <f>IF(ISERROR(VLOOKUP($A529,'13. Updated Demand'!A:Z,21,FALSE)),0,VLOOKUP($A529,'13. Updated Demand'!A:Z,21,FALSE))</f>
        <v>0</v>
      </c>
      <c r="AE529" s="16">
        <f>IF(ISERROR(VLOOKUP($A529,'13. Updated Demand'!A:Z,22,FALSE)),0,VLOOKUP($A529,'13. Updated Demand'!A:Z,22,FALSE))</f>
        <v>0</v>
      </c>
      <c r="AF529" s="16">
        <f>IF(ISERROR(VLOOKUP($A529,'13. Updated Demand'!A:Z,23,FALSE)),0,VLOOKUP($A529,'13. Updated Demand'!A:Z,23,FALSE))</f>
        <v>0</v>
      </c>
      <c r="AG529" s="16">
        <f>IF(ISERROR(VLOOKUP($A529,'13. Updated Demand'!A:Z,24,FALSE)),0,VLOOKUP($A529,'13. Updated Demand'!A:Z,24,FALSE))</f>
        <v>0</v>
      </c>
      <c r="AH529" s="16">
        <f>IF(ISERROR(VLOOKUP($A529,'13. Updated Demand'!A:Z,25,FALSE)),0,VLOOKUP($A529,'13. Updated Demand'!A:Z,25,FALSE))</f>
        <v>0</v>
      </c>
      <c r="AI529" s="16">
        <f>IF(ISERROR(VLOOKUP($A529,'13. Updated Demand'!A:Z,26,FALSE)),0,VLOOKUP($A529,'13. Updated Demand'!A:Z,26,FALSE))</f>
        <v>0</v>
      </c>
      <c r="AJ529" s="16">
        <f t="shared" si="108"/>
        <v>0</v>
      </c>
      <c r="AK529" s="19">
        <v>0</v>
      </c>
      <c r="AL529" s="16">
        <f t="shared" si="106"/>
        <v>0</v>
      </c>
      <c r="AM529" s="17">
        <v>0</v>
      </c>
      <c r="AN529" s="19"/>
      <c r="AO529" s="19"/>
      <c r="AP529" s="19">
        <v>21.6</v>
      </c>
      <c r="AQ529" s="19" t="s">
        <v>307</v>
      </c>
      <c r="AR529" s="9" t="s">
        <v>823</v>
      </c>
      <c r="AS529" s="12">
        <v>0</v>
      </c>
      <c r="AT529" s="19">
        <v>38.777366469999997</v>
      </c>
      <c r="AU529" s="19">
        <v>-122.74510701</v>
      </c>
      <c r="AV529" s="19" t="s">
        <v>417</v>
      </c>
    </row>
    <row r="530" spans="1:48" x14ac:dyDescent="0.25">
      <c r="A530" s="18" t="s">
        <v>915</v>
      </c>
      <c r="B530" s="10">
        <v>19800122</v>
      </c>
      <c r="C530" s="9">
        <v>7</v>
      </c>
      <c r="D530" s="8" t="str">
        <f t="shared" si="97"/>
        <v>N</v>
      </c>
      <c r="E530" s="8" t="str">
        <f t="shared" si="98"/>
        <v>Y</v>
      </c>
      <c r="F530" s="8" t="str">
        <f t="shared" si="99"/>
        <v>Y</v>
      </c>
      <c r="G530" s="8" t="str">
        <f t="shared" si="100"/>
        <v>Y</v>
      </c>
      <c r="H530" s="8" t="str">
        <f t="shared" si="101"/>
        <v>Upper</v>
      </c>
      <c r="I530" s="8" t="str">
        <f t="shared" si="102"/>
        <v>West Fork and Below Lake</v>
      </c>
      <c r="J530" s="8" t="str">
        <f t="shared" si="103"/>
        <v>Sonoma (d/s of Clov. Gage)</v>
      </c>
      <c r="K530" s="8" t="str">
        <f t="shared" si="104"/>
        <v>Post-1949</v>
      </c>
      <c r="L530" s="8">
        <f t="shared" si="105"/>
        <v>1980</v>
      </c>
      <c r="M530" s="8" t="str">
        <f t="shared" si="107"/>
        <v>1971-1990</v>
      </c>
      <c r="N530" s="10" t="s">
        <v>242</v>
      </c>
      <c r="O530" s="10" t="s">
        <v>241</v>
      </c>
      <c r="P530" s="10" t="s">
        <v>242</v>
      </c>
      <c r="Q530" s="10" t="s">
        <v>242</v>
      </c>
      <c r="R530" s="10" t="s">
        <v>241</v>
      </c>
      <c r="S530" s="10" t="s">
        <v>242</v>
      </c>
      <c r="T530" s="10" t="s">
        <v>242</v>
      </c>
      <c r="U530" s="10" t="s">
        <v>242</v>
      </c>
      <c r="V530" s="10" t="s">
        <v>241</v>
      </c>
      <c r="W530" s="10" t="s">
        <v>242</v>
      </c>
      <c r="X530" s="15">
        <f>IF(ISERROR(VLOOKUP($A530,'13. Updated Demand'!A:Z,15,FALSE)),0,VLOOKUP($A530,'13. Updated Demand'!A:Z,15,FALSE))</f>
        <v>0</v>
      </c>
      <c r="Y530" s="16">
        <f>IF(ISERROR(VLOOKUP($A530,'13. Updated Demand'!A:Z,16,FALSE)),0,VLOOKUP($A530,'13. Updated Demand'!A:Z,16,FALSE))</f>
        <v>0</v>
      </c>
      <c r="Z530" s="16">
        <f>IF(ISERROR(VLOOKUP($A530,'13. Updated Demand'!A:Z,17,FALSE)),0,VLOOKUP($A530,'13. Updated Demand'!A:Z,17,FALSE))</f>
        <v>0</v>
      </c>
      <c r="AA530" s="16">
        <f>IF(ISERROR(VLOOKUP($A530,'13. Updated Demand'!A:Z,18,FALSE)),0,VLOOKUP($A530,'13. Updated Demand'!A:Z,18,FALSE))</f>
        <v>0</v>
      </c>
      <c r="AB530" s="16">
        <f>IF(ISERROR(VLOOKUP($A530,'13. Updated Demand'!A:Z,19,FALSE)),0,VLOOKUP($A530,'13. Updated Demand'!A:Z,19,FALSE))</f>
        <v>0</v>
      </c>
      <c r="AC530" s="16">
        <f>IF(ISERROR(VLOOKUP($A530,'13. Updated Demand'!A:Z,20,FALSE)),0,VLOOKUP($A530,'13. Updated Demand'!A:Z,20,FALSE))</f>
        <v>0</v>
      </c>
      <c r="AD530" s="16">
        <f>IF(ISERROR(VLOOKUP($A530,'13. Updated Demand'!A:Z,21,FALSE)),0,VLOOKUP($A530,'13. Updated Demand'!A:Z,21,FALSE))</f>
        <v>0</v>
      </c>
      <c r="AE530" s="16">
        <f>IF(ISERROR(VLOOKUP($A530,'13. Updated Demand'!A:Z,22,FALSE)),0,VLOOKUP($A530,'13. Updated Demand'!A:Z,22,FALSE))</f>
        <v>0</v>
      </c>
      <c r="AF530" s="16">
        <f>IF(ISERROR(VLOOKUP($A530,'13. Updated Demand'!A:Z,23,FALSE)),0,VLOOKUP($A530,'13. Updated Demand'!A:Z,23,FALSE))</f>
        <v>0</v>
      </c>
      <c r="AG530" s="16">
        <f>IF(ISERROR(VLOOKUP($A530,'13. Updated Demand'!A:Z,24,FALSE)),0,VLOOKUP($A530,'13. Updated Demand'!A:Z,24,FALSE))</f>
        <v>0</v>
      </c>
      <c r="AH530" s="16">
        <f>IF(ISERROR(VLOOKUP($A530,'13. Updated Demand'!A:Z,25,FALSE)),0,VLOOKUP($A530,'13. Updated Demand'!A:Z,25,FALSE))</f>
        <v>0.4</v>
      </c>
      <c r="AI530" s="16">
        <f>IF(ISERROR(VLOOKUP($A530,'13. Updated Demand'!A:Z,26,FALSE)),0,VLOOKUP($A530,'13. Updated Demand'!A:Z,26,FALSE))</f>
        <v>0.32</v>
      </c>
      <c r="AJ530" s="16">
        <f t="shared" si="108"/>
        <v>0.72</v>
      </c>
      <c r="AK530" s="19">
        <v>0</v>
      </c>
      <c r="AL530" s="16">
        <f t="shared" si="106"/>
        <v>0</v>
      </c>
      <c r="AM530" s="17">
        <v>0.3</v>
      </c>
      <c r="AN530" s="19"/>
      <c r="AO530" s="19"/>
      <c r="AP530" s="19">
        <v>2.4</v>
      </c>
      <c r="AQ530" s="19" t="s">
        <v>307</v>
      </c>
      <c r="AR530" s="9" t="s">
        <v>823</v>
      </c>
      <c r="AS530" s="12">
        <v>0</v>
      </c>
      <c r="AT530" s="19">
        <v>38.767803299999997</v>
      </c>
      <c r="AU530" s="19">
        <v>-122.73764118</v>
      </c>
      <c r="AV530" s="19" t="s">
        <v>417</v>
      </c>
    </row>
    <row r="531" spans="1:48" x14ac:dyDescent="0.25">
      <c r="A531" s="18" t="s">
        <v>916</v>
      </c>
      <c r="B531" s="10">
        <v>19800213</v>
      </c>
      <c r="C531" s="9">
        <v>1</v>
      </c>
      <c r="D531" s="8" t="str">
        <f t="shared" si="97"/>
        <v>N</v>
      </c>
      <c r="E531" s="8" t="str">
        <f t="shared" si="98"/>
        <v>N</v>
      </c>
      <c r="F531" s="8" t="str">
        <f t="shared" si="99"/>
        <v>Y</v>
      </c>
      <c r="G531" s="8" t="str">
        <f t="shared" si="100"/>
        <v>Y</v>
      </c>
      <c r="H531" s="8" t="str">
        <f t="shared" si="101"/>
        <v>Upper</v>
      </c>
      <c r="I531" s="8" t="str">
        <f t="shared" si="102"/>
        <v>West Fork and Below Lake</v>
      </c>
      <c r="J531" s="8" t="str">
        <f t="shared" si="103"/>
        <v>Outside</v>
      </c>
      <c r="K531" s="8" t="str">
        <f t="shared" si="104"/>
        <v>Post-1949</v>
      </c>
      <c r="L531" s="8">
        <f t="shared" si="105"/>
        <v>1980</v>
      </c>
      <c r="M531" s="8" t="str">
        <f t="shared" si="107"/>
        <v>1971-1990</v>
      </c>
      <c r="N531" s="10" t="s">
        <v>242</v>
      </c>
      <c r="O531" s="10" t="s">
        <v>241</v>
      </c>
      <c r="P531" s="10" t="s">
        <v>242</v>
      </c>
      <c r="Q531" s="10" t="s">
        <v>242</v>
      </c>
      <c r="R531" s="10" t="s">
        <v>241</v>
      </c>
      <c r="S531" s="10" t="s">
        <v>242</v>
      </c>
      <c r="T531" s="10" t="s">
        <v>242</v>
      </c>
      <c r="U531" s="10" t="s">
        <v>242</v>
      </c>
      <c r="V531" s="10" t="s">
        <v>241</v>
      </c>
      <c r="W531" s="10" t="s">
        <v>242</v>
      </c>
      <c r="X531" s="15">
        <f>IF(ISERROR(VLOOKUP($A531,'13. Updated Demand'!A:Z,15,FALSE)),0,VLOOKUP($A531,'13. Updated Demand'!A:Z,15,FALSE))</f>
        <v>0</v>
      </c>
      <c r="Y531" s="16">
        <f>IF(ISERROR(VLOOKUP($A531,'13. Updated Demand'!A:Z,16,FALSE)),0,VLOOKUP($A531,'13. Updated Demand'!A:Z,16,FALSE))</f>
        <v>0</v>
      </c>
      <c r="Z531" s="16">
        <f>IF(ISERROR(VLOOKUP($A531,'13. Updated Demand'!A:Z,17,FALSE)),0,VLOOKUP($A531,'13. Updated Demand'!A:Z,17,FALSE))</f>
        <v>0</v>
      </c>
      <c r="AA531" s="16">
        <f>IF(ISERROR(VLOOKUP($A531,'13. Updated Demand'!A:Z,18,FALSE)),0,VLOOKUP($A531,'13. Updated Demand'!A:Z,18,FALSE))</f>
        <v>0</v>
      </c>
      <c r="AB531" s="16">
        <f>IF(ISERROR(VLOOKUP($A531,'13. Updated Demand'!A:Z,19,FALSE)),0,VLOOKUP($A531,'13. Updated Demand'!A:Z,19,FALSE))</f>
        <v>0</v>
      </c>
      <c r="AC531" s="16">
        <f>IF(ISERROR(VLOOKUP($A531,'13. Updated Demand'!A:Z,20,FALSE)),0,VLOOKUP($A531,'13. Updated Demand'!A:Z,20,FALSE))</f>
        <v>0</v>
      </c>
      <c r="AD531" s="16">
        <f>IF(ISERROR(VLOOKUP($A531,'13. Updated Demand'!A:Z,21,FALSE)),0,VLOOKUP($A531,'13. Updated Demand'!A:Z,21,FALSE))</f>
        <v>0</v>
      </c>
      <c r="AE531" s="16">
        <f>IF(ISERROR(VLOOKUP($A531,'13. Updated Demand'!A:Z,22,FALSE)),0,VLOOKUP($A531,'13. Updated Demand'!A:Z,22,FALSE))</f>
        <v>0</v>
      </c>
      <c r="AF531" s="16">
        <f>IF(ISERROR(VLOOKUP($A531,'13. Updated Demand'!A:Z,23,FALSE)),0,VLOOKUP($A531,'13. Updated Demand'!A:Z,23,FALSE))</f>
        <v>0</v>
      </c>
      <c r="AG531" s="16">
        <f>IF(ISERROR(VLOOKUP($A531,'13. Updated Demand'!A:Z,24,FALSE)),0,VLOOKUP($A531,'13. Updated Demand'!A:Z,24,FALSE))</f>
        <v>0</v>
      </c>
      <c r="AH531" s="16">
        <f>IF(ISERROR(VLOOKUP($A531,'13. Updated Demand'!A:Z,25,FALSE)),0,VLOOKUP($A531,'13. Updated Demand'!A:Z,25,FALSE))</f>
        <v>0</v>
      </c>
      <c r="AI531" s="16">
        <f>IF(ISERROR(VLOOKUP($A531,'13. Updated Demand'!A:Z,26,FALSE)),0,VLOOKUP($A531,'13. Updated Demand'!A:Z,26,FALSE))</f>
        <v>6.9050000000000003E-4</v>
      </c>
      <c r="AJ531" s="16">
        <f t="shared" si="108"/>
        <v>6.9050000000000003E-4</v>
      </c>
      <c r="AK531" s="19">
        <v>0</v>
      </c>
      <c r="AL531" s="16">
        <f t="shared" si="106"/>
        <v>0</v>
      </c>
      <c r="AM531" s="17">
        <v>3.4525000000000002E-4</v>
      </c>
      <c r="AN531" s="19"/>
      <c r="AO531" s="19"/>
      <c r="AP531" s="19">
        <v>2</v>
      </c>
      <c r="AQ531" s="19" t="s">
        <v>307</v>
      </c>
      <c r="AR531" s="9" t="s">
        <v>317</v>
      </c>
      <c r="AS531" s="12">
        <v>0</v>
      </c>
      <c r="AT531" s="19">
        <v>39.296517190000003</v>
      </c>
      <c r="AU531" s="19">
        <v>-123.22782712</v>
      </c>
      <c r="AV531" s="19" t="s">
        <v>417</v>
      </c>
    </row>
    <row r="532" spans="1:48" x14ac:dyDescent="0.25">
      <c r="A532" s="18" t="s">
        <v>917</v>
      </c>
      <c r="B532" s="10">
        <v>19800220</v>
      </c>
      <c r="C532" s="9">
        <v>9</v>
      </c>
      <c r="D532" s="8" t="str">
        <f t="shared" si="97"/>
        <v>N</v>
      </c>
      <c r="E532" s="8" t="str">
        <f t="shared" si="98"/>
        <v>Y</v>
      </c>
      <c r="F532" s="8" t="str">
        <f t="shared" si="99"/>
        <v>Y</v>
      </c>
      <c r="G532" s="8" t="str">
        <f t="shared" si="100"/>
        <v>Y</v>
      </c>
      <c r="H532" s="8" t="str">
        <f t="shared" si="101"/>
        <v>Upper</v>
      </c>
      <c r="I532" s="8" t="str">
        <f t="shared" si="102"/>
        <v>West Fork and Below Lake</v>
      </c>
      <c r="J532" s="8" t="str">
        <f t="shared" si="103"/>
        <v>Sonoma (d/s of Clov. Gage)</v>
      </c>
      <c r="K532" s="8" t="str">
        <f t="shared" si="104"/>
        <v>Post-1949</v>
      </c>
      <c r="L532" s="8">
        <f t="shared" si="105"/>
        <v>1980</v>
      </c>
      <c r="M532" s="8" t="str">
        <f t="shared" si="107"/>
        <v>1971-1990</v>
      </c>
      <c r="N532" s="10" t="s">
        <v>242</v>
      </c>
      <c r="O532" s="10" t="s">
        <v>241</v>
      </c>
      <c r="P532" s="10" t="s">
        <v>242</v>
      </c>
      <c r="Q532" s="10" t="s">
        <v>242</v>
      </c>
      <c r="R532" s="10" t="s">
        <v>241</v>
      </c>
      <c r="S532" s="10" t="s">
        <v>242</v>
      </c>
      <c r="T532" s="10" t="s">
        <v>242</v>
      </c>
      <c r="U532" s="10" t="s">
        <v>242</v>
      </c>
      <c r="V532" s="10" t="s">
        <v>242</v>
      </c>
      <c r="W532" s="10" t="s">
        <v>242</v>
      </c>
      <c r="X532" s="15">
        <f>IF(ISERROR(VLOOKUP($A532,'13. Updated Demand'!A:Z,15,FALSE)),0,VLOOKUP($A532,'13. Updated Demand'!A:Z,15,FALSE))</f>
        <v>0</v>
      </c>
      <c r="Y532" s="16">
        <f>IF(ISERROR(VLOOKUP($A532,'13. Updated Demand'!A:Z,16,FALSE)),0,VLOOKUP($A532,'13. Updated Demand'!A:Z,16,FALSE))</f>
        <v>0.66</v>
      </c>
      <c r="Z532" s="16">
        <f>IF(ISERROR(VLOOKUP($A532,'13. Updated Demand'!A:Z,17,FALSE)),0,VLOOKUP($A532,'13. Updated Demand'!A:Z,17,FALSE))</f>
        <v>2.72</v>
      </c>
      <c r="AA532" s="16">
        <f>IF(ISERROR(VLOOKUP($A532,'13. Updated Demand'!A:Z,18,FALSE)),0,VLOOKUP($A532,'13. Updated Demand'!A:Z,18,FALSE))</f>
        <v>2.29</v>
      </c>
      <c r="AB532" s="16">
        <f>IF(ISERROR(VLOOKUP($A532,'13. Updated Demand'!A:Z,19,FALSE)),0,VLOOKUP($A532,'13. Updated Demand'!A:Z,19,FALSE))</f>
        <v>1.98</v>
      </c>
      <c r="AC532" s="16">
        <f>IF(ISERROR(VLOOKUP($A532,'13. Updated Demand'!A:Z,20,FALSE)),0,VLOOKUP($A532,'13. Updated Demand'!A:Z,20,FALSE))</f>
        <v>0</v>
      </c>
      <c r="AD532" s="16">
        <f>IF(ISERROR(VLOOKUP($A532,'13. Updated Demand'!A:Z,21,FALSE)),0,VLOOKUP($A532,'13. Updated Demand'!A:Z,21,FALSE))</f>
        <v>0</v>
      </c>
      <c r="AE532" s="16">
        <f>IF(ISERROR(VLOOKUP($A532,'13. Updated Demand'!A:Z,22,FALSE)),0,VLOOKUP($A532,'13. Updated Demand'!A:Z,22,FALSE))</f>
        <v>0</v>
      </c>
      <c r="AF532" s="16">
        <f>IF(ISERROR(VLOOKUP($A532,'13. Updated Demand'!A:Z,23,FALSE)),0,VLOOKUP($A532,'13. Updated Demand'!A:Z,23,FALSE))</f>
        <v>0</v>
      </c>
      <c r="AG532" s="16">
        <f>IF(ISERROR(VLOOKUP($A532,'13. Updated Demand'!A:Z,24,FALSE)),0,VLOOKUP($A532,'13. Updated Demand'!A:Z,24,FALSE))</f>
        <v>0</v>
      </c>
      <c r="AH532" s="16">
        <f>IF(ISERROR(VLOOKUP($A532,'13. Updated Demand'!A:Z,25,FALSE)),0,VLOOKUP($A532,'13. Updated Demand'!A:Z,25,FALSE))</f>
        <v>0</v>
      </c>
      <c r="AI532" s="16">
        <f>IF(ISERROR(VLOOKUP($A532,'13. Updated Demand'!A:Z,26,FALSE)),0,VLOOKUP($A532,'13. Updated Demand'!A:Z,26,FALSE))</f>
        <v>0</v>
      </c>
      <c r="AJ532" s="16">
        <f t="shared" si="108"/>
        <v>7.65</v>
      </c>
      <c r="AK532" s="19">
        <v>1.9859249999999999</v>
      </c>
      <c r="AL532" s="16">
        <f t="shared" si="106"/>
        <v>6.5870870068841835E-3</v>
      </c>
      <c r="AM532" s="17">
        <v>3.1307491159183673E-2</v>
      </c>
      <c r="AN532" s="19"/>
      <c r="AO532" s="19"/>
      <c r="AP532" s="19">
        <v>245</v>
      </c>
      <c r="AQ532" s="19" t="s">
        <v>307</v>
      </c>
      <c r="AR532" s="9" t="s">
        <v>354</v>
      </c>
      <c r="AS532" s="12">
        <v>0</v>
      </c>
      <c r="AT532" s="19">
        <v>38.752966180000001</v>
      </c>
      <c r="AU532" s="19">
        <v>-122.91317994000001</v>
      </c>
      <c r="AV532" s="19" t="s">
        <v>417</v>
      </c>
    </row>
    <row r="533" spans="1:48" x14ac:dyDescent="0.25">
      <c r="A533" s="18" t="s">
        <v>918</v>
      </c>
      <c r="B533" s="10">
        <v>19800221</v>
      </c>
      <c r="C533" s="9">
        <v>21</v>
      </c>
      <c r="D533" s="8" t="str">
        <f t="shared" si="97"/>
        <v>N</v>
      </c>
      <c r="E533" s="8" t="str">
        <f t="shared" si="98"/>
        <v>N</v>
      </c>
      <c r="F533" s="8" t="str">
        <f t="shared" si="99"/>
        <v>N</v>
      </c>
      <c r="G533" s="8" t="str">
        <f t="shared" si="100"/>
        <v>N</v>
      </c>
      <c r="H533" s="8" t="str">
        <f t="shared" si="101"/>
        <v>Lower</v>
      </c>
      <c r="I533" s="8" t="str">
        <f t="shared" si="102"/>
        <v>Outside</v>
      </c>
      <c r="J533" s="8" t="str">
        <f t="shared" si="103"/>
        <v>Outside</v>
      </c>
      <c r="K533" s="8" t="str">
        <f t="shared" si="104"/>
        <v>Post-1949</v>
      </c>
      <c r="L533" s="8">
        <f t="shared" si="105"/>
        <v>1980</v>
      </c>
      <c r="M533" s="8" t="str">
        <f t="shared" si="107"/>
        <v>1971-1990</v>
      </c>
      <c r="N533" s="10" t="s">
        <v>242</v>
      </c>
      <c r="O533" s="10" t="s">
        <v>242</v>
      </c>
      <c r="P533" s="10" t="s">
        <v>242</v>
      </c>
      <c r="Q533" s="10" t="s">
        <v>242</v>
      </c>
      <c r="R533" s="10" t="s">
        <v>241</v>
      </c>
      <c r="S533" s="10" t="s">
        <v>242</v>
      </c>
      <c r="T533" s="10" t="s">
        <v>242</v>
      </c>
      <c r="U533" s="10" t="s">
        <v>242</v>
      </c>
      <c r="V533" s="10" t="s">
        <v>241</v>
      </c>
      <c r="W533" s="10" t="s">
        <v>242</v>
      </c>
      <c r="X533" s="15">
        <f>IF(ISERROR(VLOOKUP($A533,'13. Updated Demand'!A:Z,15,FALSE)),0,VLOOKUP($A533,'13. Updated Demand'!A:Z,15,FALSE))</f>
        <v>1</v>
      </c>
      <c r="Y533" s="16">
        <f>IF(ISERROR(VLOOKUP($A533,'13. Updated Demand'!A:Z,16,FALSE)),0,VLOOKUP($A533,'13. Updated Demand'!A:Z,16,FALSE))</f>
        <v>0.5</v>
      </c>
      <c r="Z533" s="16">
        <f>IF(ISERROR(VLOOKUP($A533,'13. Updated Demand'!A:Z,17,FALSE)),0,VLOOKUP($A533,'13. Updated Demand'!A:Z,17,FALSE))</f>
        <v>0.5</v>
      </c>
      <c r="AA533" s="16">
        <f>IF(ISERROR(VLOOKUP($A533,'13. Updated Demand'!A:Z,18,FALSE)),0,VLOOKUP($A533,'13. Updated Demand'!A:Z,18,FALSE))</f>
        <v>0</v>
      </c>
      <c r="AB533" s="16">
        <f>IF(ISERROR(VLOOKUP($A533,'13. Updated Demand'!A:Z,19,FALSE)),0,VLOOKUP($A533,'13. Updated Demand'!A:Z,19,FALSE))</f>
        <v>0</v>
      </c>
      <c r="AC533" s="16">
        <f>IF(ISERROR(VLOOKUP($A533,'13. Updated Demand'!A:Z,20,FALSE)),0,VLOOKUP($A533,'13. Updated Demand'!A:Z,20,FALSE))</f>
        <v>0</v>
      </c>
      <c r="AD533" s="16">
        <f>IF(ISERROR(VLOOKUP($A533,'13. Updated Demand'!A:Z,21,FALSE)),0,VLOOKUP($A533,'13. Updated Demand'!A:Z,21,FALSE))</f>
        <v>0</v>
      </c>
      <c r="AE533" s="16">
        <f>IF(ISERROR(VLOOKUP($A533,'13. Updated Demand'!A:Z,22,FALSE)),0,VLOOKUP($A533,'13. Updated Demand'!A:Z,22,FALSE))</f>
        <v>0</v>
      </c>
      <c r="AF533" s="16">
        <f>IF(ISERROR(VLOOKUP($A533,'13. Updated Demand'!A:Z,23,FALSE)),0,VLOOKUP($A533,'13. Updated Demand'!A:Z,23,FALSE))</f>
        <v>0</v>
      </c>
      <c r="AG533" s="16">
        <f>IF(ISERROR(VLOOKUP($A533,'13. Updated Demand'!A:Z,24,FALSE)),0,VLOOKUP($A533,'13. Updated Demand'!A:Z,24,FALSE))</f>
        <v>0</v>
      </c>
      <c r="AH533" s="16">
        <f>IF(ISERROR(VLOOKUP($A533,'13. Updated Demand'!A:Z,25,FALSE)),0,VLOOKUP($A533,'13. Updated Demand'!A:Z,25,FALSE))</f>
        <v>0.5</v>
      </c>
      <c r="AI533" s="16">
        <f>IF(ISERROR(VLOOKUP($A533,'13. Updated Demand'!A:Z,26,FALSE)),0,VLOOKUP($A533,'13. Updated Demand'!A:Z,26,FALSE))</f>
        <v>0.5</v>
      </c>
      <c r="AJ533" s="16">
        <f t="shared" si="108"/>
        <v>3</v>
      </c>
      <c r="AK533" s="19">
        <v>0</v>
      </c>
      <c r="AL533" s="16">
        <f t="shared" si="106"/>
        <v>0</v>
      </c>
      <c r="AM533" s="17">
        <v>1</v>
      </c>
      <c r="AN533" s="19"/>
      <c r="AO533" s="19"/>
      <c r="AP533" s="19">
        <v>3</v>
      </c>
      <c r="AQ533" s="19" t="s">
        <v>307</v>
      </c>
      <c r="AR533" s="9" t="s">
        <v>403</v>
      </c>
      <c r="AS533" s="12">
        <v>0</v>
      </c>
      <c r="AT533" s="19">
        <v>38.417729199999997</v>
      </c>
      <c r="AU533" s="19">
        <v>-122.95741925999999</v>
      </c>
      <c r="AV533" s="19" t="s">
        <v>417</v>
      </c>
    </row>
    <row r="534" spans="1:48" x14ac:dyDescent="0.25">
      <c r="A534" s="18" t="s">
        <v>919</v>
      </c>
      <c r="B534" s="10">
        <v>19800226</v>
      </c>
      <c r="C534" s="9">
        <v>17</v>
      </c>
      <c r="D534" s="8" t="str">
        <f t="shared" si="97"/>
        <v>N</v>
      </c>
      <c r="E534" s="8" t="str">
        <f t="shared" si="98"/>
        <v>N</v>
      </c>
      <c r="F534" s="8" t="str">
        <f t="shared" si="99"/>
        <v>N</v>
      </c>
      <c r="G534" s="8" t="str">
        <f t="shared" si="100"/>
        <v>N</v>
      </c>
      <c r="H534" s="8" t="str">
        <f t="shared" si="101"/>
        <v>Lower</v>
      </c>
      <c r="I534" s="8" t="str">
        <f t="shared" si="102"/>
        <v>Outside</v>
      </c>
      <c r="J534" s="8" t="str">
        <f t="shared" si="103"/>
        <v>Outside</v>
      </c>
      <c r="K534" s="8" t="str">
        <f t="shared" si="104"/>
        <v>Post-1949</v>
      </c>
      <c r="L534" s="8">
        <f t="shared" si="105"/>
        <v>1980</v>
      </c>
      <c r="M534" s="8" t="str">
        <f t="shared" si="107"/>
        <v>1971-1990</v>
      </c>
      <c r="N534" s="10" t="s">
        <v>241</v>
      </c>
      <c r="O534" s="10" t="s">
        <v>242</v>
      </c>
      <c r="P534" s="10" t="s">
        <v>242</v>
      </c>
      <c r="Q534" s="10" t="s">
        <v>242</v>
      </c>
      <c r="R534" s="10" t="s">
        <v>241</v>
      </c>
      <c r="S534" s="10" t="s">
        <v>242</v>
      </c>
      <c r="T534" s="10" t="s">
        <v>242</v>
      </c>
      <c r="U534" s="10" t="s">
        <v>242</v>
      </c>
      <c r="V534" s="10" t="s">
        <v>242</v>
      </c>
      <c r="W534" s="10" t="s">
        <v>242</v>
      </c>
      <c r="X534" s="15">
        <f>IF(ISERROR(VLOOKUP($A534,'13. Updated Demand'!A:Z,15,FALSE)),0,VLOOKUP($A534,'13. Updated Demand'!A:Z,15,FALSE))</f>
        <v>0.21221799999999999</v>
      </c>
      <c r="Y534" s="16">
        <f>IF(ISERROR(VLOOKUP($A534,'13. Updated Demand'!A:Z,16,FALSE)),0,VLOOKUP($A534,'13. Updated Demand'!A:Z,16,FALSE))</f>
        <v>0.21221799999999999</v>
      </c>
      <c r="Z534" s="16">
        <f>IF(ISERROR(VLOOKUP($A534,'13. Updated Demand'!A:Z,17,FALSE)),0,VLOOKUP($A534,'13. Updated Demand'!A:Z,17,FALSE))</f>
        <v>0.21221799999999999</v>
      </c>
      <c r="AA534" s="16">
        <f>IF(ISERROR(VLOOKUP($A534,'13. Updated Demand'!A:Z,18,FALSE)),0,VLOOKUP($A534,'13. Updated Demand'!A:Z,18,FALSE))</f>
        <v>0.29899700000000001</v>
      </c>
      <c r="AB534" s="16">
        <f>IF(ISERROR(VLOOKUP($A534,'13. Updated Demand'!A:Z,19,FALSE)),0,VLOOKUP($A534,'13. Updated Demand'!A:Z,19,FALSE))</f>
        <v>0.29899700000000001</v>
      </c>
      <c r="AC534" s="16">
        <f>IF(ISERROR(VLOOKUP($A534,'13. Updated Demand'!A:Z,20,FALSE)),0,VLOOKUP($A534,'13. Updated Demand'!A:Z,20,FALSE))</f>
        <v>0.29899700000000001</v>
      </c>
      <c r="AD534" s="16">
        <f>IF(ISERROR(VLOOKUP($A534,'13. Updated Demand'!A:Z,21,FALSE)),0,VLOOKUP($A534,'13. Updated Demand'!A:Z,21,FALSE))</f>
        <v>0.59820700000000004</v>
      </c>
      <c r="AE534" s="16">
        <f>IF(ISERROR(VLOOKUP($A534,'13. Updated Demand'!A:Z,22,FALSE)),0,VLOOKUP($A534,'13. Updated Demand'!A:Z,22,FALSE))</f>
        <v>0.59820700000000004</v>
      </c>
      <c r="AF534" s="16">
        <f>IF(ISERROR(VLOOKUP($A534,'13. Updated Demand'!A:Z,23,FALSE)),0,VLOOKUP($A534,'13. Updated Demand'!A:Z,23,FALSE))</f>
        <v>0.59820700000000004</v>
      </c>
      <c r="AG534" s="16">
        <f>IF(ISERROR(VLOOKUP($A534,'13. Updated Demand'!A:Z,24,FALSE)),0,VLOOKUP($A534,'13. Updated Demand'!A:Z,24,FALSE))</f>
        <v>0.26313700000000001</v>
      </c>
      <c r="AH534" s="16">
        <f>IF(ISERROR(VLOOKUP($A534,'13. Updated Demand'!A:Z,25,FALSE)),0,VLOOKUP($A534,'13. Updated Demand'!A:Z,25,FALSE))</f>
        <v>0.26319799999999999</v>
      </c>
      <c r="AI534" s="16">
        <f>IF(ISERROR(VLOOKUP($A534,'13. Updated Demand'!A:Z,26,FALSE)),0,VLOOKUP($A534,'13. Updated Demand'!A:Z,26,FALSE))</f>
        <v>0.26319799999999999</v>
      </c>
      <c r="AJ534" s="16">
        <f t="shared" si="108"/>
        <v>4.1177989999999998</v>
      </c>
      <c r="AK534" s="19">
        <v>2.3926150000000002</v>
      </c>
      <c r="AL534" s="16">
        <f t="shared" si="106"/>
        <v>7.9360314105397737E-3</v>
      </c>
      <c r="AM534" s="17">
        <v>0.51472487499999997</v>
      </c>
      <c r="AN534" s="19"/>
      <c r="AO534" s="19"/>
      <c r="AP534" s="19">
        <v>8</v>
      </c>
      <c r="AQ534" s="19" t="s">
        <v>307</v>
      </c>
      <c r="AR534" s="9" t="s">
        <v>486</v>
      </c>
      <c r="AS534" s="12">
        <v>3.4039024194010059E-4</v>
      </c>
      <c r="AT534" s="19">
        <v>38.536271480000003</v>
      </c>
      <c r="AU534" s="19">
        <v>-122.86355972</v>
      </c>
      <c r="AV534" s="19" t="s">
        <v>548</v>
      </c>
    </row>
    <row r="535" spans="1:48" x14ac:dyDescent="0.25">
      <c r="A535" s="18" t="s">
        <v>920</v>
      </c>
      <c r="B535" s="10">
        <v>19800229</v>
      </c>
      <c r="C535" s="9">
        <v>23</v>
      </c>
      <c r="D535" s="8" t="str">
        <f t="shared" si="97"/>
        <v>N</v>
      </c>
      <c r="E535" s="8" t="str">
        <f t="shared" si="98"/>
        <v>N</v>
      </c>
      <c r="F535" s="8" t="str">
        <f t="shared" si="99"/>
        <v>N</v>
      </c>
      <c r="G535" s="8" t="str">
        <f t="shared" si="100"/>
        <v>N</v>
      </c>
      <c r="H535" s="8" t="str">
        <f t="shared" si="101"/>
        <v>Lower</v>
      </c>
      <c r="I535" s="8" t="str">
        <f t="shared" si="102"/>
        <v>Outside</v>
      </c>
      <c r="J535" s="8" t="str">
        <f t="shared" si="103"/>
        <v>Outside</v>
      </c>
      <c r="K535" s="8" t="str">
        <f t="shared" si="104"/>
        <v>Post-1949</v>
      </c>
      <c r="L535" s="8">
        <f t="shared" si="105"/>
        <v>1980</v>
      </c>
      <c r="M535" s="8" t="str">
        <f t="shared" si="107"/>
        <v>1971-1990</v>
      </c>
      <c r="N535" s="10" t="s">
        <v>242</v>
      </c>
      <c r="O535" s="10" t="s">
        <v>242</v>
      </c>
      <c r="P535" s="10" t="s">
        <v>242</v>
      </c>
      <c r="Q535" s="10" t="s">
        <v>242</v>
      </c>
      <c r="R535" s="10" t="s">
        <v>241</v>
      </c>
      <c r="S535" s="10" t="s">
        <v>242</v>
      </c>
      <c r="T535" s="10" t="s">
        <v>242</v>
      </c>
      <c r="U535" s="10" t="s">
        <v>242</v>
      </c>
      <c r="V535" s="10" t="s">
        <v>242</v>
      </c>
      <c r="W535" s="10" t="s">
        <v>242</v>
      </c>
      <c r="X535" s="15">
        <f>IF(ISERROR(VLOOKUP($A535,'13. Updated Demand'!A:Z,15,FALSE)),0,VLOOKUP($A535,'13. Updated Demand'!A:Z,15,FALSE))</f>
        <v>0</v>
      </c>
      <c r="Y535" s="16">
        <f>IF(ISERROR(VLOOKUP($A535,'13. Updated Demand'!A:Z,16,FALSE)),0,VLOOKUP($A535,'13. Updated Demand'!A:Z,16,FALSE))</f>
        <v>0</v>
      </c>
      <c r="Z535" s="16">
        <f>IF(ISERROR(VLOOKUP($A535,'13. Updated Demand'!A:Z,17,FALSE)),0,VLOOKUP($A535,'13. Updated Demand'!A:Z,17,FALSE))</f>
        <v>0.66666666699999999</v>
      </c>
      <c r="AA535" s="16">
        <f>IF(ISERROR(VLOOKUP($A535,'13. Updated Demand'!A:Z,18,FALSE)),0,VLOOKUP($A535,'13. Updated Demand'!A:Z,18,FALSE))</f>
        <v>2.0666666669999998</v>
      </c>
      <c r="AB535" s="16">
        <f>IF(ISERROR(VLOOKUP($A535,'13. Updated Demand'!A:Z,19,FALSE)),0,VLOOKUP($A535,'13. Updated Demand'!A:Z,19,FALSE))</f>
        <v>2.0666666669999998</v>
      </c>
      <c r="AC535" s="16">
        <f>IF(ISERROR(VLOOKUP($A535,'13. Updated Demand'!A:Z,20,FALSE)),0,VLOOKUP($A535,'13. Updated Demand'!A:Z,20,FALSE))</f>
        <v>0.16666666699999999</v>
      </c>
      <c r="AD535" s="16">
        <f>IF(ISERROR(VLOOKUP($A535,'13. Updated Demand'!A:Z,21,FALSE)),0,VLOOKUP($A535,'13. Updated Demand'!A:Z,21,FALSE))</f>
        <v>0</v>
      </c>
      <c r="AE535" s="16">
        <f>IF(ISERROR(VLOOKUP($A535,'13. Updated Demand'!A:Z,22,FALSE)),0,VLOOKUP($A535,'13. Updated Demand'!A:Z,22,FALSE))</f>
        <v>0</v>
      </c>
      <c r="AF535" s="16">
        <f>IF(ISERROR(VLOOKUP($A535,'13. Updated Demand'!A:Z,23,FALSE)),0,VLOOKUP($A535,'13. Updated Demand'!A:Z,23,FALSE))</f>
        <v>0</v>
      </c>
      <c r="AG535" s="16">
        <f>IF(ISERROR(VLOOKUP($A535,'13. Updated Demand'!A:Z,24,FALSE)),0,VLOOKUP($A535,'13. Updated Demand'!A:Z,24,FALSE))</f>
        <v>0</v>
      </c>
      <c r="AH535" s="16">
        <f>IF(ISERROR(VLOOKUP($A535,'13. Updated Demand'!A:Z,25,FALSE)),0,VLOOKUP($A535,'13. Updated Demand'!A:Z,25,FALSE))</f>
        <v>0</v>
      </c>
      <c r="AI535" s="16">
        <f>IF(ISERROR(VLOOKUP($A535,'13. Updated Demand'!A:Z,26,FALSE)),0,VLOOKUP($A535,'13. Updated Demand'!A:Z,26,FALSE))</f>
        <v>0</v>
      </c>
      <c r="AJ535" s="16">
        <f t="shared" si="108"/>
        <v>4.9666666679999993</v>
      </c>
      <c r="AK535" s="19">
        <v>2.2333333339999997</v>
      </c>
      <c r="AL535" s="16">
        <f t="shared" si="106"/>
        <v>7.4077122683045594E-3</v>
      </c>
      <c r="AM535" s="17">
        <v>7.0952380971428558E-2</v>
      </c>
      <c r="AN535" s="19"/>
      <c r="AO535" s="19"/>
      <c r="AP535" s="19">
        <v>70</v>
      </c>
      <c r="AQ535" s="19" t="s">
        <v>307</v>
      </c>
      <c r="AR535" s="9" t="s">
        <v>323</v>
      </c>
      <c r="AS535" s="12">
        <v>0</v>
      </c>
      <c r="AT535" s="19">
        <v>38.486700769999999</v>
      </c>
      <c r="AU535" s="19">
        <v>-122.80706010999999</v>
      </c>
      <c r="AV535" s="19" t="s">
        <v>417</v>
      </c>
    </row>
    <row r="536" spans="1:48" x14ac:dyDescent="0.25">
      <c r="A536" s="18" t="s">
        <v>921</v>
      </c>
      <c r="B536" s="10">
        <v>19800228</v>
      </c>
      <c r="C536" s="9">
        <v>23</v>
      </c>
      <c r="D536" s="8" t="str">
        <f t="shared" si="97"/>
        <v>N</v>
      </c>
      <c r="E536" s="8" t="str">
        <f t="shared" si="98"/>
        <v>N</v>
      </c>
      <c r="F536" s="8" t="str">
        <f t="shared" si="99"/>
        <v>N</v>
      </c>
      <c r="G536" s="8" t="str">
        <f t="shared" si="100"/>
        <v>N</v>
      </c>
      <c r="H536" s="8" t="str">
        <f t="shared" si="101"/>
        <v>Lower</v>
      </c>
      <c r="I536" s="8" t="str">
        <f t="shared" si="102"/>
        <v>Outside</v>
      </c>
      <c r="J536" s="8" t="str">
        <f t="shared" si="103"/>
        <v>Outside</v>
      </c>
      <c r="K536" s="8" t="str">
        <f t="shared" si="104"/>
        <v>Post-1949</v>
      </c>
      <c r="L536" s="8">
        <f t="shared" si="105"/>
        <v>1980</v>
      </c>
      <c r="M536" s="8" t="str">
        <f t="shared" si="107"/>
        <v>1971-1990</v>
      </c>
      <c r="N536" s="10" t="s">
        <v>242</v>
      </c>
      <c r="O536" s="10" t="s">
        <v>242</v>
      </c>
      <c r="P536" s="10" t="s">
        <v>242</v>
      </c>
      <c r="Q536" s="10" t="s">
        <v>242</v>
      </c>
      <c r="R536" s="10" t="s">
        <v>241</v>
      </c>
      <c r="S536" s="10" t="s">
        <v>242</v>
      </c>
      <c r="T536" s="10" t="s">
        <v>242</v>
      </c>
      <c r="U536" s="10" t="s">
        <v>242</v>
      </c>
      <c r="V536" s="10" t="s">
        <v>242</v>
      </c>
      <c r="W536" s="10" t="s">
        <v>242</v>
      </c>
      <c r="X536" s="15">
        <f>IF(ISERROR(VLOOKUP($A536,'13. Updated Demand'!A:Z,15,FALSE)),0,VLOOKUP($A536,'13. Updated Demand'!A:Z,15,FALSE))</f>
        <v>0.16666666699999999</v>
      </c>
      <c r="Y536" s="16">
        <f>IF(ISERROR(VLOOKUP($A536,'13. Updated Demand'!A:Z,16,FALSE)),0,VLOOKUP($A536,'13. Updated Demand'!A:Z,16,FALSE))</f>
        <v>0.73333333300000003</v>
      </c>
      <c r="Z536" s="16">
        <f>IF(ISERROR(VLOOKUP($A536,'13. Updated Demand'!A:Z,17,FALSE)),0,VLOOKUP($A536,'13. Updated Demand'!A:Z,17,FALSE))</f>
        <v>0.53333333299999997</v>
      </c>
      <c r="AA536" s="16">
        <f>IF(ISERROR(VLOOKUP($A536,'13. Updated Demand'!A:Z,18,FALSE)),0,VLOOKUP($A536,'13. Updated Demand'!A:Z,18,FALSE))</f>
        <v>3.3333333E-2</v>
      </c>
      <c r="AB536" s="16">
        <f>IF(ISERROR(VLOOKUP($A536,'13. Updated Demand'!A:Z,19,FALSE)),0,VLOOKUP($A536,'13. Updated Demand'!A:Z,19,FALSE))</f>
        <v>1.5333333330000001</v>
      </c>
      <c r="AC536" s="16">
        <f>IF(ISERROR(VLOOKUP($A536,'13. Updated Demand'!A:Z,20,FALSE)),0,VLOOKUP($A536,'13. Updated Demand'!A:Z,20,FALSE))</f>
        <v>0.7</v>
      </c>
      <c r="AD536" s="16">
        <f>IF(ISERROR(VLOOKUP($A536,'13. Updated Demand'!A:Z,21,FALSE)),0,VLOOKUP($A536,'13. Updated Demand'!A:Z,21,FALSE))</f>
        <v>1.4</v>
      </c>
      <c r="AE536" s="16">
        <f>IF(ISERROR(VLOOKUP($A536,'13. Updated Demand'!A:Z,22,FALSE)),0,VLOOKUP($A536,'13. Updated Demand'!A:Z,22,FALSE))</f>
        <v>0</v>
      </c>
      <c r="AF536" s="16">
        <f>IF(ISERROR(VLOOKUP($A536,'13. Updated Demand'!A:Z,23,FALSE)),0,VLOOKUP($A536,'13. Updated Demand'!A:Z,23,FALSE))</f>
        <v>0</v>
      </c>
      <c r="AG536" s="16">
        <f>IF(ISERROR(VLOOKUP($A536,'13. Updated Demand'!A:Z,24,FALSE)),0,VLOOKUP($A536,'13. Updated Demand'!A:Z,24,FALSE))</f>
        <v>0</v>
      </c>
      <c r="AH536" s="16">
        <f>IF(ISERROR(VLOOKUP($A536,'13. Updated Demand'!A:Z,25,FALSE)),0,VLOOKUP($A536,'13. Updated Demand'!A:Z,25,FALSE))</f>
        <v>1</v>
      </c>
      <c r="AI536" s="16">
        <f>IF(ISERROR(VLOOKUP($A536,'13. Updated Demand'!A:Z,26,FALSE)),0,VLOOKUP($A536,'13. Updated Demand'!A:Z,26,FALSE))</f>
        <v>0</v>
      </c>
      <c r="AJ536" s="16">
        <f t="shared" si="108"/>
        <v>6.0999999989999996</v>
      </c>
      <c r="AK536" s="19">
        <v>3.6333333329999999</v>
      </c>
      <c r="AL536" s="16">
        <f t="shared" si="106"/>
        <v>1.2051352790001387E-2</v>
      </c>
      <c r="AM536" s="17">
        <v>0.10166666664999999</v>
      </c>
      <c r="AN536" s="19"/>
      <c r="AO536" s="19"/>
      <c r="AP536" s="19">
        <v>60</v>
      </c>
      <c r="AQ536" s="19" t="s">
        <v>307</v>
      </c>
      <c r="AR536" s="9" t="s">
        <v>323</v>
      </c>
      <c r="AS536" s="12">
        <v>0</v>
      </c>
      <c r="AT536" s="19">
        <v>38.486700769999999</v>
      </c>
      <c r="AU536" s="19">
        <v>-122.80706010999999</v>
      </c>
      <c r="AV536" s="19" t="s">
        <v>417</v>
      </c>
    </row>
    <row r="537" spans="1:48" x14ac:dyDescent="0.25">
      <c r="A537" s="18" t="s">
        <v>922</v>
      </c>
      <c r="B537" s="10">
        <v>19800310</v>
      </c>
      <c r="C537" s="9">
        <v>1</v>
      </c>
      <c r="D537" s="8" t="str">
        <f t="shared" si="97"/>
        <v>N</v>
      </c>
      <c r="E537" s="8" t="str">
        <f t="shared" si="98"/>
        <v>N</v>
      </c>
      <c r="F537" s="8" t="str">
        <f t="shared" si="99"/>
        <v>Y</v>
      </c>
      <c r="G537" s="8" t="str">
        <f t="shared" si="100"/>
        <v>Y</v>
      </c>
      <c r="H537" s="8" t="str">
        <f t="shared" si="101"/>
        <v>Upper</v>
      </c>
      <c r="I537" s="8" t="str">
        <f t="shared" si="102"/>
        <v>West Fork and Below Lake</v>
      </c>
      <c r="J537" s="8" t="str">
        <f t="shared" si="103"/>
        <v>Outside</v>
      </c>
      <c r="K537" s="8" t="str">
        <f t="shared" si="104"/>
        <v>Post-1949</v>
      </c>
      <c r="L537" s="8">
        <f t="shared" si="105"/>
        <v>1980</v>
      </c>
      <c r="M537" s="8" t="str">
        <f t="shared" si="107"/>
        <v>1971-1990</v>
      </c>
      <c r="N537" s="10" t="s">
        <v>242</v>
      </c>
      <c r="O537" s="10" t="s">
        <v>241</v>
      </c>
      <c r="P537" s="10" t="s">
        <v>242</v>
      </c>
      <c r="Q537" s="10" t="s">
        <v>242</v>
      </c>
      <c r="R537" s="10" t="s">
        <v>241</v>
      </c>
      <c r="S537" s="10" t="s">
        <v>242</v>
      </c>
      <c r="T537" s="10" t="s">
        <v>242</v>
      </c>
      <c r="U537" s="10" t="s">
        <v>242</v>
      </c>
      <c r="V537" s="10" t="s">
        <v>241</v>
      </c>
      <c r="W537" s="10" t="s">
        <v>242</v>
      </c>
      <c r="X537" s="15">
        <f>IF(ISERROR(VLOOKUP($A537,'13. Updated Demand'!A:Z,15,FALSE)),0,VLOOKUP($A537,'13. Updated Demand'!A:Z,15,FALSE))</f>
        <v>1.83</v>
      </c>
      <c r="Y537" s="16">
        <f>IF(ISERROR(VLOOKUP($A537,'13. Updated Demand'!A:Z,16,FALSE)),0,VLOOKUP($A537,'13. Updated Demand'!A:Z,16,FALSE))</f>
        <v>3</v>
      </c>
      <c r="Z537" s="16">
        <f>IF(ISERROR(VLOOKUP($A537,'13. Updated Demand'!A:Z,17,FALSE)),0,VLOOKUP($A537,'13. Updated Demand'!A:Z,17,FALSE))</f>
        <v>1.83</v>
      </c>
      <c r="AA537" s="16">
        <f>IF(ISERROR(VLOOKUP($A537,'13. Updated Demand'!A:Z,18,FALSE)),0,VLOOKUP($A537,'13. Updated Demand'!A:Z,18,FALSE))</f>
        <v>0.66</v>
      </c>
      <c r="AB537" s="16">
        <f>IF(ISERROR(VLOOKUP($A537,'13. Updated Demand'!A:Z,19,FALSE)),0,VLOOKUP($A537,'13. Updated Demand'!A:Z,19,FALSE))</f>
        <v>0</v>
      </c>
      <c r="AC537" s="16">
        <f>IF(ISERROR(VLOOKUP($A537,'13. Updated Demand'!A:Z,20,FALSE)),0,VLOOKUP($A537,'13. Updated Demand'!A:Z,20,FALSE))</f>
        <v>0</v>
      </c>
      <c r="AD537" s="16">
        <f>IF(ISERROR(VLOOKUP($A537,'13. Updated Demand'!A:Z,21,FALSE)),0,VLOOKUP($A537,'13. Updated Demand'!A:Z,21,FALSE))</f>
        <v>0</v>
      </c>
      <c r="AE537" s="16">
        <f>IF(ISERROR(VLOOKUP($A537,'13. Updated Demand'!A:Z,22,FALSE)),0,VLOOKUP($A537,'13. Updated Demand'!A:Z,22,FALSE))</f>
        <v>0</v>
      </c>
      <c r="AF537" s="16">
        <f>IF(ISERROR(VLOOKUP($A537,'13. Updated Demand'!A:Z,23,FALSE)),0,VLOOKUP($A537,'13. Updated Demand'!A:Z,23,FALSE))</f>
        <v>0</v>
      </c>
      <c r="AG537" s="16">
        <f>IF(ISERROR(VLOOKUP($A537,'13. Updated Demand'!A:Z,24,FALSE)),0,VLOOKUP($A537,'13. Updated Demand'!A:Z,24,FALSE))</f>
        <v>0</v>
      </c>
      <c r="AH537" s="16">
        <f>IF(ISERROR(VLOOKUP($A537,'13. Updated Demand'!A:Z,25,FALSE)),0,VLOOKUP($A537,'13. Updated Demand'!A:Z,25,FALSE))</f>
        <v>0</v>
      </c>
      <c r="AI537" s="16">
        <f>IF(ISERROR(VLOOKUP($A537,'13. Updated Demand'!A:Z,26,FALSE)),0,VLOOKUP($A537,'13. Updated Demand'!A:Z,26,FALSE))</f>
        <v>0</v>
      </c>
      <c r="AJ537" s="16">
        <f t="shared" si="108"/>
        <v>7.32</v>
      </c>
      <c r="AK537" s="19">
        <v>0</v>
      </c>
      <c r="AL537" s="16">
        <f t="shared" si="106"/>
        <v>0</v>
      </c>
      <c r="AM537" s="17">
        <v>0.91666666662499996</v>
      </c>
      <c r="AN537" s="19"/>
      <c r="AO537" s="19"/>
      <c r="AP537" s="19">
        <v>8</v>
      </c>
      <c r="AQ537" s="19" t="s">
        <v>307</v>
      </c>
      <c r="AR537" s="9" t="s">
        <v>317</v>
      </c>
      <c r="AS537" s="12">
        <v>0</v>
      </c>
      <c r="AT537" s="19">
        <v>39.276773409999997</v>
      </c>
      <c r="AU537" s="19">
        <v>-123.21211542</v>
      </c>
      <c r="AV537" s="19" t="s">
        <v>417</v>
      </c>
    </row>
    <row r="538" spans="1:48" x14ac:dyDescent="0.25">
      <c r="A538" s="18" t="s">
        <v>923</v>
      </c>
      <c r="B538" s="10">
        <v>19800415</v>
      </c>
      <c r="C538" s="9">
        <v>17</v>
      </c>
      <c r="D538" s="8" t="str">
        <f t="shared" si="97"/>
        <v>N</v>
      </c>
      <c r="E538" s="8" t="str">
        <f t="shared" si="98"/>
        <v>N</v>
      </c>
      <c r="F538" s="8" t="str">
        <f t="shared" si="99"/>
        <v>N</v>
      </c>
      <c r="G538" s="8" t="str">
        <f t="shared" si="100"/>
        <v>N</v>
      </c>
      <c r="H538" s="8" t="str">
        <f t="shared" si="101"/>
        <v>Lower</v>
      </c>
      <c r="I538" s="8" t="str">
        <f t="shared" si="102"/>
        <v>Outside</v>
      </c>
      <c r="J538" s="8" t="str">
        <f t="shared" si="103"/>
        <v>Outside</v>
      </c>
      <c r="K538" s="8" t="str">
        <f t="shared" si="104"/>
        <v>Post-1949</v>
      </c>
      <c r="L538" s="8">
        <f t="shared" si="105"/>
        <v>1980</v>
      </c>
      <c r="M538" s="8" t="str">
        <f t="shared" si="107"/>
        <v>1971-1990</v>
      </c>
      <c r="N538" s="10" t="s">
        <v>242</v>
      </c>
      <c r="O538" s="10" t="s">
        <v>242</v>
      </c>
      <c r="P538" s="10" t="s">
        <v>242</v>
      </c>
      <c r="Q538" s="10" t="s">
        <v>242</v>
      </c>
      <c r="R538" s="10" t="s">
        <v>241</v>
      </c>
      <c r="S538" s="10" t="s">
        <v>242</v>
      </c>
      <c r="T538" s="10" t="s">
        <v>242</v>
      </c>
      <c r="U538" s="10" t="s">
        <v>242</v>
      </c>
      <c r="V538" s="10" t="s">
        <v>242</v>
      </c>
      <c r="W538" s="10" t="s">
        <v>242</v>
      </c>
      <c r="X538" s="15">
        <f>IF(ISERROR(VLOOKUP($A538,'13. Updated Demand'!A:Z,15,FALSE)),0,VLOOKUP($A538,'13. Updated Demand'!A:Z,15,FALSE))</f>
        <v>1.8666667000000001E-2</v>
      </c>
      <c r="Y538" s="16">
        <f>IF(ISERROR(VLOOKUP($A538,'13. Updated Demand'!A:Z,16,FALSE)),0,VLOOKUP($A538,'13. Updated Demand'!A:Z,16,FALSE))</f>
        <v>2.8666667E-2</v>
      </c>
      <c r="Z538" s="16">
        <f>IF(ISERROR(VLOOKUP($A538,'13. Updated Demand'!A:Z,17,FALSE)),0,VLOOKUP($A538,'13. Updated Demand'!A:Z,17,FALSE))</f>
        <v>4.7666667000000003E-2</v>
      </c>
      <c r="AA538" s="16">
        <f>IF(ISERROR(VLOOKUP($A538,'13. Updated Demand'!A:Z,18,FALSE)),0,VLOOKUP($A538,'13. Updated Demand'!A:Z,18,FALSE))</f>
        <v>6.4000000000000001E-2</v>
      </c>
      <c r="AB538" s="16">
        <f>IF(ISERROR(VLOOKUP($A538,'13. Updated Demand'!A:Z,19,FALSE)),0,VLOOKUP($A538,'13. Updated Demand'!A:Z,19,FALSE))</f>
        <v>6.7000000000000004E-2</v>
      </c>
      <c r="AC538" s="16">
        <f>IF(ISERROR(VLOOKUP($A538,'13. Updated Demand'!A:Z,20,FALSE)),0,VLOOKUP($A538,'13. Updated Demand'!A:Z,20,FALSE))</f>
        <v>6.4000000000000001E-2</v>
      </c>
      <c r="AD538" s="16">
        <f>IF(ISERROR(VLOOKUP($A538,'13. Updated Demand'!A:Z,21,FALSE)),0,VLOOKUP($A538,'13. Updated Demand'!A:Z,21,FALSE))</f>
        <v>6.7000000000000004E-2</v>
      </c>
      <c r="AE538" s="16">
        <f>IF(ISERROR(VLOOKUP($A538,'13. Updated Demand'!A:Z,22,FALSE)),0,VLOOKUP($A538,'13. Updated Demand'!A:Z,22,FALSE))</f>
        <v>6.7000000000000004E-2</v>
      </c>
      <c r="AF538" s="16">
        <f>IF(ISERROR(VLOOKUP($A538,'13. Updated Demand'!A:Z,23,FALSE)),0,VLOOKUP($A538,'13. Updated Demand'!A:Z,23,FALSE))</f>
        <v>6.4000000000000001E-2</v>
      </c>
      <c r="AG538" s="16">
        <f>IF(ISERROR(VLOOKUP($A538,'13. Updated Demand'!A:Z,24,FALSE)),0,VLOOKUP($A538,'13. Updated Demand'!A:Z,24,FALSE))</f>
        <v>0.29466666699999999</v>
      </c>
      <c r="AH538" s="16">
        <f>IF(ISERROR(VLOOKUP($A538,'13. Updated Demand'!A:Z,25,FALSE)),0,VLOOKUP($A538,'13. Updated Demand'!A:Z,25,FALSE))</f>
        <v>10.36333333</v>
      </c>
      <c r="AI538" s="16">
        <f>IF(ISERROR(VLOOKUP($A538,'13. Updated Demand'!A:Z,26,FALSE)),0,VLOOKUP($A538,'13. Updated Demand'!A:Z,26,FALSE))</f>
        <v>2.7426666669999999</v>
      </c>
      <c r="AJ538" s="16">
        <f t="shared" si="108"/>
        <v>13.888666665000001</v>
      </c>
      <c r="AK538" s="19">
        <v>0.32900000000000001</v>
      </c>
      <c r="AL538" s="16">
        <f t="shared" si="106"/>
        <v>1.0912555233782224E-3</v>
      </c>
      <c r="AM538" s="17">
        <v>0.18768468466216218</v>
      </c>
      <c r="AN538" s="19"/>
      <c r="AO538" s="19"/>
      <c r="AP538" s="19">
        <v>74</v>
      </c>
      <c r="AQ538" s="19" t="s">
        <v>307</v>
      </c>
      <c r="AR538" s="9" t="s">
        <v>486</v>
      </c>
      <c r="AS538" s="12">
        <v>3.4039024194010059E-4</v>
      </c>
      <c r="AT538" s="19">
        <v>38.54425415</v>
      </c>
      <c r="AU538" s="19">
        <v>-122.89722387</v>
      </c>
      <c r="AV538" s="19" t="s">
        <v>417</v>
      </c>
    </row>
    <row r="539" spans="1:48" x14ac:dyDescent="0.25">
      <c r="A539" s="18" t="s">
        <v>924</v>
      </c>
      <c r="B539" s="10">
        <v>19800415</v>
      </c>
      <c r="C539" s="9">
        <v>18</v>
      </c>
      <c r="D539" s="8" t="str">
        <f t="shared" si="97"/>
        <v>N</v>
      </c>
      <c r="E539" s="8" t="str">
        <f t="shared" si="98"/>
        <v>N</v>
      </c>
      <c r="F539" s="8" t="str">
        <f t="shared" si="99"/>
        <v>N</v>
      </c>
      <c r="G539" s="8" t="str">
        <f t="shared" si="100"/>
        <v>N</v>
      </c>
      <c r="H539" s="8" t="str">
        <f t="shared" si="101"/>
        <v>Lower</v>
      </c>
      <c r="I539" s="8" t="str">
        <f t="shared" si="102"/>
        <v>Outside</v>
      </c>
      <c r="J539" s="8" t="str">
        <f t="shared" si="103"/>
        <v>Outside</v>
      </c>
      <c r="K539" s="8" t="str">
        <f t="shared" si="104"/>
        <v>Post-1949</v>
      </c>
      <c r="L539" s="8">
        <f t="shared" si="105"/>
        <v>1980</v>
      </c>
      <c r="M539" s="8" t="str">
        <f t="shared" si="107"/>
        <v>1971-1990</v>
      </c>
      <c r="N539" s="10" t="s">
        <v>242</v>
      </c>
      <c r="O539" s="10" t="s">
        <v>242</v>
      </c>
      <c r="P539" s="10" t="s">
        <v>242</v>
      </c>
      <c r="Q539" s="10" t="s">
        <v>242</v>
      </c>
      <c r="R539" s="10" t="s">
        <v>241</v>
      </c>
      <c r="S539" s="10" t="s">
        <v>242</v>
      </c>
      <c r="T539" s="10" t="s">
        <v>242</v>
      </c>
      <c r="U539" s="10" t="s">
        <v>242</v>
      </c>
      <c r="V539" s="10" t="s">
        <v>242</v>
      </c>
      <c r="W539" s="10" t="s">
        <v>242</v>
      </c>
      <c r="X539" s="15">
        <f>IF(ISERROR(VLOOKUP($A539,'13. Updated Demand'!A:Z,15,FALSE)),0,VLOOKUP($A539,'13. Updated Demand'!A:Z,15,FALSE))</f>
        <v>0</v>
      </c>
      <c r="Y539" s="16">
        <f>IF(ISERROR(VLOOKUP($A539,'13. Updated Demand'!A:Z,16,FALSE)),0,VLOOKUP($A539,'13. Updated Demand'!A:Z,16,FALSE))</f>
        <v>0</v>
      </c>
      <c r="Z539" s="16">
        <f>IF(ISERROR(VLOOKUP($A539,'13. Updated Demand'!A:Z,17,FALSE)),0,VLOOKUP($A539,'13. Updated Demand'!A:Z,17,FALSE))</f>
        <v>0</v>
      </c>
      <c r="AA539" s="16">
        <f>IF(ISERROR(VLOOKUP($A539,'13. Updated Demand'!A:Z,18,FALSE)),0,VLOOKUP($A539,'13. Updated Demand'!A:Z,18,FALSE))</f>
        <v>0.50666666699999996</v>
      </c>
      <c r="AB539" s="16">
        <f>IF(ISERROR(VLOOKUP($A539,'13. Updated Demand'!A:Z,19,FALSE)),0,VLOOKUP($A539,'13. Updated Demand'!A:Z,19,FALSE))</f>
        <v>1.758</v>
      </c>
      <c r="AC539" s="16">
        <f>IF(ISERROR(VLOOKUP($A539,'13. Updated Demand'!A:Z,20,FALSE)),0,VLOOKUP($A539,'13. Updated Demand'!A:Z,20,FALSE))</f>
        <v>3.3723333329999998</v>
      </c>
      <c r="AD539" s="16">
        <f>IF(ISERROR(VLOOKUP($A539,'13. Updated Demand'!A:Z,21,FALSE)),0,VLOOKUP($A539,'13. Updated Demand'!A:Z,21,FALSE))</f>
        <v>6.4266666670000001</v>
      </c>
      <c r="AE539" s="16">
        <f>IF(ISERROR(VLOOKUP($A539,'13. Updated Demand'!A:Z,22,FALSE)),0,VLOOKUP($A539,'13. Updated Demand'!A:Z,22,FALSE))</f>
        <v>4.2893333330000001</v>
      </c>
      <c r="AF539" s="16">
        <f>IF(ISERROR(VLOOKUP($A539,'13. Updated Demand'!A:Z,23,FALSE)),0,VLOOKUP($A539,'13. Updated Demand'!A:Z,23,FALSE))</f>
        <v>2.7773333330000001</v>
      </c>
      <c r="AG539" s="16">
        <f>IF(ISERROR(VLOOKUP($A539,'13. Updated Demand'!A:Z,24,FALSE)),0,VLOOKUP($A539,'13. Updated Demand'!A:Z,24,FALSE))</f>
        <v>1.0133333330000001</v>
      </c>
      <c r="AH539" s="16">
        <f>IF(ISERROR(VLOOKUP($A539,'13. Updated Demand'!A:Z,25,FALSE)),0,VLOOKUP($A539,'13. Updated Demand'!A:Z,25,FALSE))</f>
        <v>0</v>
      </c>
      <c r="AI539" s="16">
        <f>IF(ISERROR(VLOOKUP($A539,'13. Updated Demand'!A:Z,26,FALSE)),0,VLOOKUP($A539,'13. Updated Demand'!A:Z,26,FALSE))</f>
        <v>0</v>
      </c>
      <c r="AJ539" s="16">
        <f t="shared" si="108"/>
        <v>20.143666666000001</v>
      </c>
      <c r="AK539" s="19">
        <v>18.623666665999998</v>
      </c>
      <c r="AL539" s="16">
        <f t="shared" si="106"/>
        <v>6.1772580896131871E-2</v>
      </c>
      <c r="AM539" s="17">
        <v>5.0485380115288227E-2</v>
      </c>
      <c r="AN539" s="19"/>
      <c r="AO539" s="19"/>
      <c r="AP539" s="19">
        <v>399</v>
      </c>
      <c r="AQ539" s="19" t="s">
        <v>307</v>
      </c>
      <c r="AR539" s="9" t="s">
        <v>352</v>
      </c>
      <c r="AS539" s="12">
        <v>3.4039024194010059E-4</v>
      </c>
      <c r="AT539" s="19">
        <v>38.53464391</v>
      </c>
      <c r="AU539" s="19">
        <v>-122.89710314</v>
      </c>
      <c r="AV539" s="19" t="s">
        <v>548</v>
      </c>
    </row>
    <row r="540" spans="1:48" x14ac:dyDescent="0.25">
      <c r="A540" s="18" t="s">
        <v>925</v>
      </c>
      <c r="B540" s="10">
        <v>19800605</v>
      </c>
      <c r="C540" s="9">
        <v>11</v>
      </c>
      <c r="D540" s="8" t="str">
        <f t="shared" si="97"/>
        <v>N</v>
      </c>
      <c r="E540" s="8" t="str">
        <f t="shared" si="98"/>
        <v>Y</v>
      </c>
      <c r="F540" s="8" t="str">
        <f t="shared" si="99"/>
        <v>Y</v>
      </c>
      <c r="G540" s="8" t="str">
        <f t="shared" si="100"/>
        <v>Y</v>
      </c>
      <c r="H540" s="8" t="str">
        <f t="shared" si="101"/>
        <v>Upper</v>
      </c>
      <c r="I540" s="8" t="str">
        <f t="shared" si="102"/>
        <v>West Fork and Below Lake</v>
      </c>
      <c r="J540" s="8" t="str">
        <f t="shared" si="103"/>
        <v>Sonoma (d/s of Clov. Gage)</v>
      </c>
      <c r="K540" s="8" t="str">
        <f t="shared" si="104"/>
        <v>Post-1949</v>
      </c>
      <c r="L540" s="8">
        <f t="shared" si="105"/>
        <v>1980</v>
      </c>
      <c r="M540" s="8" t="str">
        <f t="shared" si="107"/>
        <v>1971-1990</v>
      </c>
      <c r="N540" s="10" t="s">
        <v>242</v>
      </c>
      <c r="O540" s="10" t="s">
        <v>241</v>
      </c>
      <c r="P540" s="10" t="s">
        <v>242</v>
      </c>
      <c r="Q540" s="10" t="s">
        <v>242</v>
      </c>
      <c r="R540" s="10" t="s">
        <v>241</v>
      </c>
      <c r="S540" s="10" t="s">
        <v>242</v>
      </c>
      <c r="T540" s="10" t="s">
        <v>242</v>
      </c>
      <c r="U540" s="10" t="s">
        <v>242</v>
      </c>
      <c r="V540" s="10" t="s">
        <v>241</v>
      </c>
      <c r="W540" s="10" t="s">
        <v>242</v>
      </c>
      <c r="X540" s="15">
        <f>IF(ISERROR(VLOOKUP($A540,'13. Updated Demand'!A:Z,15,FALSE)),0,VLOOKUP($A540,'13. Updated Demand'!A:Z,15,FALSE))</f>
        <v>20.329999999999998</v>
      </c>
      <c r="Y540" s="16">
        <f>IF(ISERROR(VLOOKUP($A540,'13. Updated Demand'!A:Z,16,FALSE)),0,VLOOKUP($A540,'13. Updated Demand'!A:Z,16,FALSE))</f>
        <v>5.33</v>
      </c>
      <c r="Z540" s="16">
        <f>IF(ISERROR(VLOOKUP($A540,'13. Updated Demand'!A:Z,17,FALSE)),0,VLOOKUP($A540,'13. Updated Demand'!A:Z,17,FALSE))</f>
        <v>6</v>
      </c>
      <c r="AA540" s="16">
        <f>IF(ISERROR(VLOOKUP($A540,'13. Updated Demand'!A:Z,18,FALSE)),0,VLOOKUP($A540,'13. Updated Demand'!A:Z,18,FALSE))</f>
        <v>0</v>
      </c>
      <c r="AB540" s="16">
        <f>IF(ISERROR(VLOOKUP($A540,'13. Updated Demand'!A:Z,19,FALSE)),0,VLOOKUP($A540,'13. Updated Demand'!A:Z,19,FALSE))</f>
        <v>0</v>
      </c>
      <c r="AC540" s="16">
        <f>IF(ISERROR(VLOOKUP($A540,'13. Updated Demand'!A:Z,20,FALSE)),0,VLOOKUP($A540,'13. Updated Demand'!A:Z,20,FALSE))</f>
        <v>0</v>
      </c>
      <c r="AD540" s="16">
        <f>IF(ISERROR(VLOOKUP($A540,'13. Updated Demand'!A:Z,21,FALSE)),0,VLOOKUP($A540,'13. Updated Demand'!A:Z,21,FALSE))</f>
        <v>0</v>
      </c>
      <c r="AE540" s="16">
        <f>IF(ISERROR(VLOOKUP($A540,'13. Updated Demand'!A:Z,22,FALSE)),0,VLOOKUP($A540,'13. Updated Demand'!A:Z,22,FALSE))</f>
        <v>0</v>
      </c>
      <c r="AF540" s="16">
        <f>IF(ISERROR(VLOOKUP($A540,'13. Updated Demand'!A:Z,23,FALSE)),0,VLOOKUP($A540,'13. Updated Demand'!A:Z,23,FALSE))</f>
        <v>0</v>
      </c>
      <c r="AG540" s="16">
        <f>IF(ISERROR(VLOOKUP($A540,'13. Updated Demand'!A:Z,24,FALSE)),0,VLOOKUP($A540,'13. Updated Demand'!A:Z,24,FALSE))</f>
        <v>0</v>
      </c>
      <c r="AH540" s="16">
        <f>IF(ISERROR(VLOOKUP($A540,'13. Updated Demand'!A:Z,25,FALSE)),0,VLOOKUP($A540,'13. Updated Demand'!A:Z,25,FALSE))</f>
        <v>0</v>
      </c>
      <c r="AI540" s="16">
        <f>IF(ISERROR(VLOOKUP($A540,'13. Updated Demand'!A:Z,26,FALSE)),0,VLOOKUP($A540,'13. Updated Demand'!A:Z,26,FALSE))</f>
        <v>7</v>
      </c>
      <c r="AJ540" s="16">
        <f t="shared" si="108"/>
        <v>38.659999999999997</v>
      </c>
      <c r="AK540" s="19">
        <v>0</v>
      </c>
      <c r="AL540" s="16">
        <f t="shared" si="106"/>
        <v>0</v>
      </c>
      <c r="AM540" s="17">
        <v>0.41134751769148936</v>
      </c>
      <c r="AN540" s="19"/>
      <c r="AO540" s="19"/>
      <c r="AP540" s="19">
        <v>94</v>
      </c>
      <c r="AQ540" s="19" t="s">
        <v>307</v>
      </c>
      <c r="AR540" s="9" t="s">
        <v>308</v>
      </c>
      <c r="AS540" s="12">
        <v>0</v>
      </c>
      <c r="AT540" s="19">
        <v>38.639866019999999</v>
      </c>
      <c r="AU540" s="19">
        <v>-122.71154641</v>
      </c>
      <c r="AV540" s="19" t="s">
        <v>808</v>
      </c>
    </row>
    <row r="541" spans="1:48" x14ac:dyDescent="0.25">
      <c r="A541" s="18" t="s">
        <v>926</v>
      </c>
      <c r="B541" s="10">
        <v>19800611</v>
      </c>
      <c r="C541" s="9">
        <v>11</v>
      </c>
      <c r="D541" s="8" t="str">
        <f t="shared" si="97"/>
        <v>N</v>
      </c>
      <c r="E541" s="8" t="str">
        <f t="shared" si="98"/>
        <v>Y</v>
      </c>
      <c r="F541" s="8" t="str">
        <f t="shared" si="99"/>
        <v>Y</v>
      </c>
      <c r="G541" s="8" t="str">
        <f t="shared" si="100"/>
        <v>Y</v>
      </c>
      <c r="H541" s="8" t="str">
        <f t="shared" si="101"/>
        <v>Upper</v>
      </c>
      <c r="I541" s="8" t="str">
        <f t="shared" si="102"/>
        <v>West Fork and Below Lake</v>
      </c>
      <c r="J541" s="8" t="str">
        <f t="shared" si="103"/>
        <v>Sonoma (d/s of Clov. Gage)</v>
      </c>
      <c r="K541" s="8" t="str">
        <f t="shared" si="104"/>
        <v>Post-1949</v>
      </c>
      <c r="L541" s="8">
        <f t="shared" si="105"/>
        <v>1980</v>
      </c>
      <c r="M541" s="8" t="str">
        <f t="shared" si="107"/>
        <v>1971-1990</v>
      </c>
      <c r="N541" s="10" t="s">
        <v>242</v>
      </c>
      <c r="O541" s="10" t="s">
        <v>241</v>
      </c>
      <c r="P541" s="10" t="s">
        <v>242</v>
      </c>
      <c r="Q541" s="10" t="s">
        <v>242</v>
      </c>
      <c r="R541" s="10" t="s">
        <v>241</v>
      </c>
      <c r="S541" s="10" t="s">
        <v>242</v>
      </c>
      <c r="T541" s="10" t="s">
        <v>242</v>
      </c>
      <c r="U541" s="10" t="s">
        <v>242</v>
      </c>
      <c r="V541" s="10" t="s">
        <v>242</v>
      </c>
      <c r="W541" s="10" t="s">
        <v>242</v>
      </c>
      <c r="X541" s="15">
        <f>IF(ISERROR(VLOOKUP($A541,'13. Updated Demand'!A:Z,15,FALSE)),0,VLOOKUP($A541,'13. Updated Demand'!A:Z,15,FALSE))</f>
        <v>23.66</v>
      </c>
      <c r="Y541" s="16">
        <f>IF(ISERROR(VLOOKUP($A541,'13. Updated Demand'!A:Z,16,FALSE)),0,VLOOKUP($A541,'13. Updated Demand'!A:Z,16,FALSE))</f>
        <v>16</v>
      </c>
      <c r="Z541" s="16">
        <f>IF(ISERROR(VLOOKUP($A541,'13. Updated Demand'!A:Z,17,FALSE)),0,VLOOKUP($A541,'13. Updated Demand'!A:Z,17,FALSE))</f>
        <v>1.66</v>
      </c>
      <c r="AA541" s="16">
        <f>IF(ISERROR(VLOOKUP($A541,'13. Updated Demand'!A:Z,18,FALSE)),0,VLOOKUP($A541,'13. Updated Demand'!A:Z,18,FALSE))</f>
        <v>0</v>
      </c>
      <c r="AB541" s="16">
        <f>IF(ISERROR(VLOOKUP($A541,'13. Updated Demand'!A:Z,19,FALSE)),0,VLOOKUP($A541,'13. Updated Demand'!A:Z,19,FALSE))</f>
        <v>2.33</v>
      </c>
      <c r="AC541" s="16">
        <f>IF(ISERROR(VLOOKUP($A541,'13. Updated Demand'!A:Z,20,FALSE)),0,VLOOKUP($A541,'13. Updated Demand'!A:Z,20,FALSE))</f>
        <v>0</v>
      </c>
      <c r="AD541" s="16">
        <f>IF(ISERROR(VLOOKUP($A541,'13. Updated Demand'!A:Z,21,FALSE)),0,VLOOKUP($A541,'13. Updated Demand'!A:Z,21,FALSE))</f>
        <v>0</v>
      </c>
      <c r="AE541" s="16">
        <f>IF(ISERROR(VLOOKUP($A541,'13. Updated Demand'!A:Z,22,FALSE)),0,VLOOKUP($A541,'13. Updated Demand'!A:Z,22,FALSE))</f>
        <v>0</v>
      </c>
      <c r="AF541" s="16">
        <f>IF(ISERROR(VLOOKUP($A541,'13. Updated Demand'!A:Z,23,FALSE)),0,VLOOKUP($A541,'13. Updated Demand'!A:Z,23,FALSE))</f>
        <v>0</v>
      </c>
      <c r="AG541" s="16">
        <f>IF(ISERROR(VLOOKUP($A541,'13. Updated Demand'!A:Z,24,FALSE)),0,VLOOKUP($A541,'13. Updated Demand'!A:Z,24,FALSE))</f>
        <v>0</v>
      </c>
      <c r="AH541" s="16">
        <f>IF(ISERROR(VLOOKUP($A541,'13. Updated Demand'!A:Z,25,FALSE)),0,VLOOKUP($A541,'13. Updated Demand'!A:Z,25,FALSE))</f>
        <v>7.33</v>
      </c>
      <c r="AI541" s="16">
        <f>IF(ISERROR(VLOOKUP($A541,'13. Updated Demand'!A:Z,26,FALSE)),0,VLOOKUP($A541,'13. Updated Demand'!A:Z,26,FALSE))</f>
        <v>19.66</v>
      </c>
      <c r="AJ541" s="16">
        <f t="shared" si="108"/>
        <v>70.639999999999986</v>
      </c>
      <c r="AK541" s="19">
        <v>2.3333333330000001</v>
      </c>
      <c r="AL541" s="16">
        <f t="shared" si="106"/>
        <v>7.7394008739172264E-3</v>
      </c>
      <c r="AM541" s="17">
        <v>0.43353783234969323</v>
      </c>
      <c r="AN541" s="19"/>
      <c r="AO541" s="19"/>
      <c r="AP541" s="19">
        <v>163</v>
      </c>
      <c r="AQ541" s="19" t="s">
        <v>307</v>
      </c>
      <c r="AR541" s="9" t="s">
        <v>308</v>
      </c>
      <c r="AS541" s="12">
        <v>0</v>
      </c>
      <c r="AT541" s="19">
        <v>38.647210979999997</v>
      </c>
      <c r="AU541" s="19">
        <v>-122.70032707999999</v>
      </c>
      <c r="AV541" s="19" t="s">
        <v>808</v>
      </c>
    </row>
    <row r="542" spans="1:48" x14ac:dyDescent="0.25">
      <c r="A542" s="18" t="s">
        <v>927</v>
      </c>
      <c r="B542" s="10">
        <v>19800611</v>
      </c>
      <c r="C542" s="9">
        <v>11</v>
      </c>
      <c r="D542" s="8" t="str">
        <f t="shared" si="97"/>
        <v>N</v>
      </c>
      <c r="E542" s="8" t="str">
        <f t="shared" si="98"/>
        <v>Y</v>
      </c>
      <c r="F542" s="8" t="str">
        <f t="shared" si="99"/>
        <v>Y</v>
      </c>
      <c r="G542" s="8" t="str">
        <f t="shared" si="100"/>
        <v>Y</v>
      </c>
      <c r="H542" s="8" t="str">
        <f t="shared" si="101"/>
        <v>Upper</v>
      </c>
      <c r="I542" s="8" t="str">
        <f t="shared" si="102"/>
        <v>West Fork and Below Lake</v>
      </c>
      <c r="J542" s="8" t="str">
        <f t="shared" si="103"/>
        <v>Sonoma (d/s of Clov. Gage)</v>
      </c>
      <c r="K542" s="8" t="str">
        <f t="shared" si="104"/>
        <v>Post-1949</v>
      </c>
      <c r="L542" s="8">
        <f t="shared" si="105"/>
        <v>1980</v>
      </c>
      <c r="M542" s="8" t="str">
        <f t="shared" si="107"/>
        <v>1971-1990</v>
      </c>
      <c r="N542" s="10" t="s">
        <v>242</v>
      </c>
      <c r="O542" s="10" t="s">
        <v>241</v>
      </c>
      <c r="P542" s="10" t="s">
        <v>242</v>
      </c>
      <c r="Q542" s="10" t="s">
        <v>242</v>
      </c>
      <c r="R542" s="10" t="s">
        <v>241</v>
      </c>
      <c r="S542" s="10" t="s">
        <v>242</v>
      </c>
      <c r="T542" s="10" t="s">
        <v>242</v>
      </c>
      <c r="U542" s="10" t="s">
        <v>242</v>
      </c>
      <c r="V542" s="10" t="s">
        <v>242</v>
      </c>
      <c r="W542" s="10" t="s">
        <v>242</v>
      </c>
      <c r="X542" s="15">
        <f>IF(ISERROR(VLOOKUP($A542,'13. Updated Demand'!A:Z,15,FALSE)),0,VLOOKUP($A542,'13. Updated Demand'!A:Z,15,FALSE))</f>
        <v>0</v>
      </c>
      <c r="Y542" s="16">
        <f>IF(ISERROR(VLOOKUP($A542,'13. Updated Demand'!A:Z,16,FALSE)),0,VLOOKUP($A542,'13. Updated Demand'!A:Z,16,FALSE))</f>
        <v>0</v>
      </c>
      <c r="Z542" s="16">
        <f>IF(ISERROR(VLOOKUP($A542,'13. Updated Demand'!A:Z,17,FALSE)),0,VLOOKUP($A542,'13. Updated Demand'!A:Z,17,FALSE))</f>
        <v>0.4</v>
      </c>
      <c r="AA542" s="16">
        <f>IF(ISERROR(VLOOKUP($A542,'13. Updated Demand'!A:Z,18,FALSE)),0,VLOOKUP($A542,'13. Updated Demand'!A:Z,18,FALSE))</f>
        <v>0</v>
      </c>
      <c r="AB542" s="16">
        <f>IF(ISERROR(VLOOKUP($A542,'13. Updated Demand'!A:Z,19,FALSE)),0,VLOOKUP($A542,'13. Updated Demand'!A:Z,19,FALSE))</f>
        <v>0.5</v>
      </c>
      <c r="AC542" s="16">
        <f>IF(ISERROR(VLOOKUP($A542,'13. Updated Demand'!A:Z,20,FALSE)),0,VLOOKUP($A542,'13. Updated Demand'!A:Z,20,FALSE))</f>
        <v>0</v>
      </c>
      <c r="AD542" s="16">
        <f>IF(ISERROR(VLOOKUP($A542,'13. Updated Demand'!A:Z,21,FALSE)),0,VLOOKUP($A542,'13. Updated Demand'!A:Z,21,FALSE))</f>
        <v>0</v>
      </c>
      <c r="AE542" s="16">
        <f>IF(ISERROR(VLOOKUP($A542,'13. Updated Demand'!A:Z,22,FALSE)),0,VLOOKUP($A542,'13. Updated Demand'!A:Z,22,FALSE))</f>
        <v>0</v>
      </c>
      <c r="AF542" s="16">
        <f>IF(ISERROR(VLOOKUP($A542,'13. Updated Demand'!A:Z,23,FALSE)),0,VLOOKUP($A542,'13. Updated Demand'!A:Z,23,FALSE))</f>
        <v>0</v>
      </c>
      <c r="AG542" s="16">
        <f>IF(ISERROR(VLOOKUP($A542,'13. Updated Demand'!A:Z,24,FALSE)),0,VLOOKUP($A542,'13. Updated Demand'!A:Z,24,FALSE))</f>
        <v>0</v>
      </c>
      <c r="AH542" s="16">
        <f>IF(ISERROR(VLOOKUP($A542,'13. Updated Demand'!A:Z,25,FALSE)),0,VLOOKUP($A542,'13. Updated Demand'!A:Z,25,FALSE))</f>
        <v>0</v>
      </c>
      <c r="AI542" s="16">
        <f>IF(ISERROR(VLOOKUP($A542,'13. Updated Demand'!A:Z,26,FALSE)),0,VLOOKUP($A542,'13. Updated Demand'!A:Z,26,FALSE))</f>
        <v>0</v>
      </c>
      <c r="AJ542" s="16">
        <f t="shared" si="108"/>
        <v>0.9</v>
      </c>
      <c r="AK542" s="19">
        <v>0.5</v>
      </c>
      <c r="AL542" s="16">
        <f t="shared" si="106"/>
        <v>1.6584430446477544E-3</v>
      </c>
      <c r="AM542" s="17">
        <v>1.5000000000000001E-2</v>
      </c>
      <c r="AN542" s="19"/>
      <c r="AO542" s="19"/>
      <c r="AP542" s="19">
        <v>60</v>
      </c>
      <c r="AQ542" s="19" t="s">
        <v>307</v>
      </c>
      <c r="AR542" s="9" t="s">
        <v>308</v>
      </c>
      <c r="AS542" s="12">
        <v>0</v>
      </c>
      <c r="AT542" s="19">
        <v>38.647210979999997</v>
      </c>
      <c r="AU542" s="19">
        <v>-122.70032707999999</v>
      </c>
      <c r="AV542" s="19" t="s">
        <v>808</v>
      </c>
    </row>
    <row r="543" spans="1:48" x14ac:dyDescent="0.25">
      <c r="A543" s="18" t="s">
        <v>928</v>
      </c>
      <c r="B543" s="10">
        <v>19800820</v>
      </c>
      <c r="C543" s="9">
        <v>23</v>
      </c>
      <c r="D543" s="8" t="str">
        <f t="shared" si="97"/>
        <v>N</v>
      </c>
      <c r="E543" s="8" t="str">
        <f t="shared" si="98"/>
        <v>N</v>
      </c>
      <c r="F543" s="8" t="str">
        <f t="shared" si="99"/>
        <v>N</v>
      </c>
      <c r="G543" s="8" t="str">
        <f t="shared" si="100"/>
        <v>N</v>
      </c>
      <c r="H543" s="8" t="str">
        <f t="shared" si="101"/>
        <v>Lower</v>
      </c>
      <c r="I543" s="8" t="str">
        <f t="shared" si="102"/>
        <v>Outside</v>
      </c>
      <c r="J543" s="8" t="str">
        <f t="shared" si="103"/>
        <v>Outside</v>
      </c>
      <c r="K543" s="8" t="str">
        <f t="shared" si="104"/>
        <v>Post-1949</v>
      </c>
      <c r="L543" s="8">
        <f t="shared" si="105"/>
        <v>1980</v>
      </c>
      <c r="M543" s="8" t="str">
        <f t="shared" si="107"/>
        <v>1971-1990</v>
      </c>
      <c r="N543" s="10" t="s">
        <v>242</v>
      </c>
      <c r="O543" s="10" t="s">
        <v>242</v>
      </c>
      <c r="P543" s="10" t="s">
        <v>242</v>
      </c>
      <c r="Q543" s="10" t="s">
        <v>242</v>
      </c>
      <c r="R543" s="10" t="s">
        <v>241</v>
      </c>
      <c r="S543" s="10" t="s">
        <v>242</v>
      </c>
      <c r="T543" s="10" t="s">
        <v>242</v>
      </c>
      <c r="U543" s="10" t="s">
        <v>242</v>
      </c>
      <c r="V543" s="10" t="s">
        <v>241</v>
      </c>
      <c r="W543" s="10" t="s">
        <v>242</v>
      </c>
      <c r="X543" s="15">
        <f>IF(ISERROR(VLOOKUP($A543,'13. Updated Demand'!A:Z,15,FALSE)),0,VLOOKUP($A543,'13. Updated Demand'!A:Z,15,FALSE))</f>
        <v>3</v>
      </c>
      <c r="Y543" s="16">
        <f>IF(ISERROR(VLOOKUP($A543,'13. Updated Demand'!A:Z,16,FALSE)),0,VLOOKUP($A543,'13. Updated Demand'!A:Z,16,FALSE))</f>
        <v>1.5</v>
      </c>
      <c r="Z543" s="16">
        <f>IF(ISERROR(VLOOKUP($A543,'13. Updated Demand'!A:Z,17,FALSE)),0,VLOOKUP($A543,'13. Updated Demand'!A:Z,17,FALSE))</f>
        <v>0</v>
      </c>
      <c r="AA543" s="16">
        <f>IF(ISERROR(VLOOKUP($A543,'13. Updated Demand'!A:Z,18,FALSE)),0,VLOOKUP($A543,'13. Updated Demand'!A:Z,18,FALSE))</f>
        <v>0</v>
      </c>
      <c r="AB543" s="16">
        <f>IF(ISERROR(VLOOKUP($A543,'13. Updated Demand'!A:Z,19,FALSE)),0,VLOOKUP($A543,'13. Updated Demand'!A:Z,19,FALSE))</f>
        <v>0</v>
      </c>
      <c r="AC543" s="16">
        <f>IF(ISERROR(VLOOKUP($A543,'13. Updated Demand'!A:Z,20,FALSE)),0,VLOOKUP($A543,'13. Updated Demand'!A:Z,20,FALSE))</f>
        <v>0</v>
      </c>
      <c r="AD543" s="16">
        <f>IF(ISERROR(VLOOKUP($A543,'13. Updated Demand'!A:Z,21,FALSE)),0,VLOOKUP($A543,'13. Updated Demand'!A:Z,21,FALSE))</f>
        <v>0</v>
      </c>
      <c r="AE543" s="16">
        <f>IF(ISERROR(VLOOKUP($A543,'13. Updated Demand'!A:Z,22,FALSE)),0,VLOOKUP($A543,'13. Updated Demand'!A:Z,22,FALSE))</f>
        <v>0</v>
      </c>
      <c r="AF543" s="16">
        <f>IF(ISERROR(VLOOKUP($A543,'13. Updated Demand'!A:Z,23,FALSE)),0,VLOOKUP($A543,'13. Updated Demand'!A:Z,23,FALSE))</f>
        <v>0</v>
      </c>
      <c r="AG543" s="16">
        <f>IF(ISERROR(VLOOKUP($A543,'13. Updated Demand'!A:Z,24,FALSE)),0,VLOOKUP($A543,'13. Updated Demand'!A:Z,24,FALSE))</f>
        <v>0.5</v>
      </c>
      <c r="AH543" s="16">
        <f>IF(ISERROR(VLOOKUP($A543,'13. Updated Demand'!A:Z,25,FALSE)),0,VLOOKUP($A543,'13. Updated Demand'!A:Z,25,FALSE))</f>
        <v>2</v>
      </c>
      <c r="AI543" s="16">
        <f>IF(ISERROR(VLOOKUP($A543,'13. Updated Demand'!A:Z,26,FALSE)),0,VLOOKUP($A543,'13. Updated Demand'!A:Z,26,FALSE))</f>
        <v>2.5</v>
      </c>
      <c r="AJ543" s="16">
        <f t="shared" si="108"/>
        <v>9.5</v>
      </c>
      <c r="AK543" s="19">
        <v>0</v>
      </c>
      <c r="AL543" s="16">
        <f t="shared" si="106"/>
        <v>0</v>
      </c>
      <c r="AM543" s="17">
        <v>0.95959595959595956</v>
      </c>
      <c r="AN543" s="19"/>
      <c r="AO543" s="19"/>
      <c r="AP543" s="19">
        <v>9.9</v>
      </c>
      <c r="AQ543" s="19" t="s">
        <v>307</v>
      </c>
      <c r="AR543" s="9" t="s">
        <v>391</v>
      </c>
      <c r="AS543" s="12">
        <v>0</v>
      </c>
      <c r="AT543" s="19">
        <v>38.52713035</v>
      </c>
      <c r="AU543" s="19">
        <v>-122.74634122000001</v>
      </c>
      <c r="AV543" s="19" t="s">
        <v>417</v>
      </c>
    </row>
    <row r="544" spans="1:48" x14ac:dyDescent="0.25">
      <c r="A544" s="18" t="s">
        <v>929</v>
      </c>
      <c r="B544" s="10">
        <v>19800702</v>
      </c>
      <c r="C544" s="9">
        <v>16</v>
      </c>
      <c r="D544" s="8" t="str">
        <f t="shared" si="97"/>
        <v>N</v>
      </c>
      <c r="E544" s="8" t="str">
        <f t="shared" si="98"/>
        <v>N</v>
      </c>
      <c r="F544" s="8" t="str">
        <f t="shared" si="99"/>
        <v>N</v>
      </c>
      <c r="G544" s="8" t="str">
        <f t="shared" si="100"/>
        <v>N</v>
      </c>
      <c r="H544" s="8" t="str">
        <f t="shared" si="101"/>
        <v>Lower</v>
      </c>
      <c r="I544" s="8" t="str">
        <f t="shared" si="102"/>
        <v>Outside</v>
      </c>
      <c r="J544" s="8" t="str">
        <f t="shared" si="103"/>
        <v>Outside</v>
      </c>
      <c r="K544" s="8" t="str">
        <f t="shared" si="104"/>
        <v>Post-1949</v>
      </c>
      <c r="L544" s="8">
        <f t="shared" si="105"/>
        <v>1980</v>
      </c>
      <c r="M544" s="8" t="str">
        <f t="shared" si="107"/>
        <v>1971-1990</v>
      </c>
      <c r="N544" s="10" t="s">
        <v>242</v>
      </c>
      <c r="O544" s="10" t="s">
        <v>242</v>
      </c>
      <c r="P544" s="10" t="s">
        <v>242</v>
      </c>
      <c r="Q544" s="10" t="s">
        <v>242</v>
      </c>
      <c r="R544" s="10" t="s">
        <v>241</v>
      </c>
      <c r="S544" s="10" t="s">
        <v>242</v>
      </c>
      <c r="T544" s="10" t="s">
        <v>242</v>
      </c>
      <c r="U544" s="10" t="s">
        <v>242</v>
      </c>
      <c r="V544" s="10" t="s">
        <v>241</v>
      </c>
      <c r="W544" s="10" t="s">
        <v>242</v>
      </c>
      <c r="X544" s="15">
        <f>IF(ISERROR(VLOOKUP($A544,'13. Updated Demand'!A:Z,15,FALSE)),0,VLOOKUP($A544,'13. Updated Demand'!A:Z,15,FALSE))</f>
        <v>6.3</v>
      </c>
      <c r="Y544" s="16">
        <f>IF(ISERROR(VLOOKUP($A544,'13. Updated Demand'!A:Z,16,FALSE)),0,VLOOKUP($A544,'13. Updated Demand'!A:Z,16,FALSE))</f>
        <v>1.0333333330000001</v>
      </c>
      <c r="Z544" s="16">
        <f>IF(ISERROR(VLOOKUP($A544,'13. Updated Demand'!A:Z,17,FALSE)),0,VLOOKUP($A544,'13. Updated Demand'!A:Z,17,FALSE))</f>
        <v>1</v>
      </c>
      <c r="AA544" s="16">
        <f>IF(ISERROR(VLOOKUP($A544,'13. Updated Demand'!A:Z,18,FALSE)),0,VLOOKUP($A544,'13. Updated Demand'!A:Z,18,FALSE))</f>
        <v>0.16666666699999999</v>
      </c>
      <c r="AB544" s="16">
        <f>IF(ISERROR(VLOOKUP($A544,'13. Updated Demand'!A:Z,19,FALSE)),0,VLOOKUP($A544,'13. Updated Demand'!A:Z,19,FALSE))</f>
        <v>0</v>
      </c>
      <c r="AC544" s="16">
        <f>IF(ISERROR(VLOOKUP($A544,'13. Updated Demand'!A:Z,20,FALSE)),0,VLOOKUP($A544,'13. Updated Demand'!A:Z,20,FALSE))</f>
        <v>0</v>
      </c>
      <c r="AD544" s="16">
        <f>IF(ISERROR(VLOOKUP($A544,'13. Updated Demand'!A:Z,21,FALSE)),0,VLOOKUP($A544,'13. Updated Demand'!A:Z,21,FALSE))</f>
        <v>0</v>
      </c>
      <c r="AE544" s="16">
        <f>IF(ISERROR(VLOOKUP($A544,'13. Updated Demand'!A:Z,22,FALSE)),0,VLOOKUP($A544,'13. Updated Demand'!A:Z,22,FALSE))</f>
        <v>0</v>
      </c>
      <c r="AF544" s="16">
        <f>IF(ISERROR(VLOOKUP($A544,'13. Updated Demand'!A:Z,23,FALSE)),0,VLOOKUP($A544,'13. Updated Demand'!A:Z,23,FALSE))</f>
        <v>0</v>
      </c>
      <c r="AG544" s="16">
        <f>IF(ISERROR(VLOOKUP($A544,'13. Updated Demand'!A:Z,24,FALSE)),0,VLOOKUP($A544,'13. Updated Demand'!A:Z,24,FALSE))</f>
        <v>0</v>
      </c>
      <c r="AH544" s="16">
        <f>IF(ISERROR(VLOOKUP($A544,'13. Updated Demand'!A:Z,25,FALSE)),0,VLOOKUP($A544,'13. Updated Demand'!A:Z,25,FALSE))</f>
        <v>1.9</v>
      </c>
      <c r="AI544" s="16">
        <f>IF(ISERROR(VLOOKUP($A544,'13. Updated Demand'!A:Z,26,FALSE)),0,VLOOKUP($A544,'13. Updated Demand'!A:Z,26,FALSE))</f>
        <v>3.0666666669999998</v>
      </c>
      <c r="AJ544" s="16">
        <f t="shared" si="108"/>
        <v>13.466666666999998</v>
      </c>
      <c r="AK544" s="19">
        <v>0</v>
      </c>
      <c r="AL544" s="16">
        <f t="shared" si="106"/>
        <v>0</v>
      </c>
      <c r="AM544" s="17">
        <v>0.44888888889999995</v>
      </c>
      <c r="AN544" s="19"/>
      <c r="AO544" s="19"/>
      <c r="AP544" s="19">
        <v>30</v>
      </c>
      <c r="AQ544" s="19" t="s">
        <v>307</v>
      </c>
      <c r="AR544" s="9" t="s">
        <v>394</v>
      </c>
      <c r="AS544" s="12">
        <v>0</v>
      </c>
      <c r="AT544" s="19">
        <v>38.673996770000002</v>
      </c>
      <c r="AU544" s="19">
        <v>-122.91584646</v>
      </c>
      <c r="AV544" s="19" t="s">
        <v>417</v>
      </c>
    </row>
    <row r="545" spans="1:48" x14ac:dyDescent="0.25">
      <c r="A545" s="18" t="s">
        <v>930</v>
      </c>
      <c r="B545" s="10">
        <v>19801103</v>
      </c>
      <c r="C545" s="9">
        <v>12</v>
      </c>
      <c r="D545" s="8" t="str">
        <f t="shared" si="97"/>
        <v>N</v>
      </c>
      <c r="E545" s="8" t="str">
        <f t="shared" si="98"/>
        <v>Y</v>
      </c>
      <c r="F545" s="8" t="str">
        <f t="shared" si="99"/>
        <v>Y</v>
      </c>
      <c r="G545" s="8" t="str">
        <f t="shared" si="100"/>
        <v>Y</v>
      </c>
      <c r="H545" s="8" t="str">
        <f t="shared" si="101"/>
        <v>Upper</v>
      </c>
      <c r="I545" s="8" t="str">
        <f t="shared" si="102"/>
        <v>West Fork and Below Lake</v>
      </c>
      <c r="J545" s="8" t="str">
        <f t="shared" si="103"/>
        <v>Sonoma (d/s of Clov. Gage)</v>
      </c>
      <c r="K545" s="8" t="str">
        <f t="shared" si="104"/>
        <v>Post-1949</v>
      </c>
      <c r="L545" s="8">
        <f t="shared" si="105"/>
        <v>1980</v>
      </c>
      <c r="M545" s="8" t="str">
        <f t="shared" si="107"/>
        <v>1971-1990</v>
      </c>
      <c r="N545" s="10" t="s">
        <v>242</v>
      </c>
      <c r="O545" s="10" t="s">
        <v>241</v>
      </c>
      <c r="P545" s="10" t="s">
        <v>242</v>
      </c>
      <c r="Q545" s="10" t="s">
        <v>242</v>
      </c>
      <c r="R545" s="10" t="s">
        <v>241</v>
      </c>
      <c r="S545" s="10" t="s">
        <v>242</v>
      </c>
      <c r="T545" s="10" t="s">
        <v>242</v>
      </c>
      <c r="U545" s="10" t="s">
        <v>242</v>
      </c>
      <c r="V545" s="10" t="s">
        <v>242</v>
      </c>
      <c r="W545" s="10" t="s">
        <v>242</v>
      </c>
      <c r="X545" s="15">
        <f>IF(ISERROR(VLOOKUP($A545,'13. Updated Demand'!A:Z,15,FALSE)),0,VLOOKUP($A545,'13. Updated Demand'!A:Z,15,FALSE))</f>
        <v>0.46</v>
      </c>
      <c r="Y545" s="16">
        <f>IF(ISERROR(VLOOKUP($A545,'13. Updated Demand'!A:Z,16,FALSE)),0,VLOOKUP($A545,'13. Updated Demand'!A:Z,16,FALSE))</f>
        <v>0.46</v>
      </c>
      <c r="Z545" s="16">
        <f>IF(ISERROR(VLOOKUP($A545,'13. Updated Demand'!A:Z,17,FALSE)),0,VLOOKUP($A545,'13. Updated Demand'!A:Z,17,FALSE))</f>
        <v>0.46</v>
      </c>
      <c r="AA545" s="16">
        <f>IF(ISERROR(VLOOKUP($A545,'13. Updated Demand'!A:Z,18,FALSE)),0,VLOOKUP($A545,'13. Updated Demand'!A:Z,18,FALSE))</f>
        <v>0.46</v>
      </c>
      <c r="AB545" s="16">
        <f>IF(ISERROR(VLOOKUP($A545,'13. Updated Demand'!A:Z,19,FALSE)),0,VLOOKUP($A545,'13. Updated Demand'!A:Z,19,FALSE))</f>
        <v>0.46</v>
      </c>
      <c r="AC545" s="16">
        <f>IF(ISERROR(VLOOKUP($A545,'13. Updated Demand'!A:Z,20,FALSE)),0,VLOOKUP($A545,'13. Updated Demand'!A:Z,20,FALSE))</f>
        <v>0</v>
      </c>
      <c r="AD545" s="16">
        <f>IF(ISERROR(VLOOKUP($A545,'13. Updated Demand'!A:Z,21,FALSE)),0,VLOOKUP($A545,'13. Updated Demand'!A:Z,21,FALSE))</f>
        <v>0</v>
      </c>
      <c r="AE545" s="16">
        <f>IF(ISERROR(VLOOKUP($A545,'13. Updated Demand'!A:Z,22,FALSE)),0,VLOOKUP($A545,'13. Updated Demand'!A:Z,22,FALSE))</f>
        <v>0</v>
      </c>
      <c r="AF545" s="16">
        <f>IF(ISERROR(VLOOKUP($A545,'13. Updated Demand'!A:Z,23,FALSE)),0,VLOOKUP($A545,'13. Updated Demand'!A:Z,23,FALSE))</f>
        <v>0</v>
      </c>
      <c r="AG545" s="16">
        <f>IF(ISERROR(VLOOKUP($A545,'13. Updated Demand'!A:Z,24,FALSE)),0,VLOOKUP($A545,'13. Updated Demand'!A:Z,24,FALSE))</f>
        <v>0</v>
      </c>
      <c r="AH545" s="16">
        <f>IF(ISERROR(VLOOKUP($A545,'13. Updated Demand'!A:Z,25,FALSE)),0,VLOOKUP($A545,'13. Updated Demand'!A:Z,25,FALSE))</f>
        <v>0</v>
      </c>
      <c r="AI545" s="16">
        <f>IF(ISERROR(VLOOKUP($A545,'13. Updated Demand'!A:Z,26,FALSE)),0,VLOOKUP($A545,'13. Updated Demand'!A:Z,26,FALSE))</f>
        <v>0</v>
      </c>
      <c r="AJ545" s="16">
        <f t="shared" si="108"/>
        <v>2.3000000000000003</v>
      </c>
      <c r="AK545" s="19">
        <v>0.46033299999999999</v>
      </c>
      <c r="AL545" s="16">
        <f t="shared" si="106"/>
        <v>1.5268721241436694E-3</v>
      </c>
      <c r="AM545" s="17">
        <v>0.42623425925925923</v>
      </c>
      <c r="AN545" s="19"/>
      <c r="AO545" s="19"/>
      <c r="AP545" s="19">
        <v>5.4</v>
      </c>
      <c r="AQ545" s="19" t="s">
        <v>307</v>
      </c>
      <c r="AR545" s="9" t="s">
        <v>311</v>
      </c>
      <c r="AS545" s="12">
        <v>0</v>
      </c>
      <c r="AT545" s="19">
        <v>38.620975649999998</v>
      </c>
      <c r="AU545" s="19">
        <v>-122.67906769</v>
      </c>
      <c r="AV545" s="19" t="s">
        <v>417</v>
      </c>
    </row>
    <row r="546" spans="1:48" x14ac:dyDescent="0.25">
      <c r="A546" s="18" t="s">
        <v>931</v>
      </c>
      <c r="B546" s="10">
        <v>19801118</v>
      </c>
      <c r="C546" s="9">
        <v>22</v>
      </c>
      <c r="D546" s="8" t="str">
        <f t="shared" si="97"/>
        <v>N</v>
      </c>
      <c r="E546" s="8" t="str">
        <f t="shared" si="98"/>
        <v>N</v>
      </c>
      <c r="F546" s="8" t="str">
        <f t="shared" si="99"/>
        <v>N</v>
      </c>
      <c r="G546" s="8" t="str">
        <f t="shared" si="100"/>
        <v>N</v>
      </c>
      <c r="H546" s="8" t="str">
        <f t="shared" si="101"/>
        <v>Lower</v>
      </c>
      <c r="I546" s="8" t="str">
        <f t="shared" si="102"/>
        <v>Outside</v>
      </c>
      <c r="J546" s="8" t="str">
        <f t="shared" si="103"/>
        <v>Outside</v>
      </c>
      <c r="K546" s="8" t="str">
        <f t="shared" si="104"/>
        <v>Post-1949</v>
      </c>
      <c r="L546" s="8">
        <f t="shared" si="105"/>
        <v>1980</v>
      </c>
      <c r="M546" s="8" t="str">
        <f t="shared" si="107"/>
        <v>1971-1990</v>
      </c>
      <c r="N546" s="10" t="s">
        <v>242</v>
      </c>
      <c r="O546" s="10" t="s">
        <v>242</v>
      </c>
      <c r="P546" s="10" t="s">
        <v>242</v>
      </c>
      <c r="Q546" s="10" t="s">
        <v>242</v>
      </c>
      <c r="R546" s="10" t="s">
        <v>241</v>
      </c>
      <c r="S546" s="10" t="s">
        <v>242</v>
      </c>
      <c r="T546" s="10" t="s">
        <v>242</v>
      </c>
      <c r="U546" s="10" t="s">
        <v>241</v>
      </c>
      <c r="V546" s="10" t="s">
        <v>241</v>
      </c>
      <c r="W546" s="10" t="s">
        <v>241</v>
      </c>
      <c r="X546" s="15">
        <f>IF(ISERROR(VLOOKUP($A546,'13. Updated Demand'!A:Z,15,FALSE)),0,VLOOKUP($A546,'13. Updated Demand'!A:Z,15,FALSE))</f>
        <v>0</v>
      </c>
      <c r="Y546" s="16">
        <f>IF(ISERROR(VLOOKUP($A546,'13. Updated Demand'!A:Z,16,FALSE)),0,VLOOKUP($A546,'13. Updated Demand'!A:Z,16,FALSE))</f>
        <v>0</v>
      </c>
      <c r="Z546" s="16">
        <f>IF(ISERROR(VLOOKUP($A546,'13. Updated Demand'!A:Z,17,FALSE)),0,VLOOKUP($A546,'13. Updated Demand'!A:Z,17,FALSE))</f>
        <v>0</v>
      </c>
      <c r="AA546" s="16">
        <f>IF(ISERROR(VLOOKUP($A546,'13. Updated Demand'!A:Z,18,FALSE)),0,VLOOKUP($A546,'13. Updated Demand'!A:Z,18,FALSE))</f>
        <v>0</v>
      </c>
      <c r="AB546" s="16">
        <f>IF(ISERROR(VLOOKUP($A546,'13. Updated Demand'!A:Z,19,FALSE)),0,VLOOKUP($A546,'13. Updated Demand'!A:Z,19,FALSE))</f>
        <v>0</v>
      </c>
      <c r="AC546" s="16">
        <f>IF(ISERROR(VLOOKUP($A546,'13. Updated Demand'!A:Z,20,FALSE)),0,VLOOKUP($A546,'13. Updated Demand'!A:Z,20,FALSE))</f>
        <v>0</v>
      </c>
      <c r="AD546" s="16">
        <f>IF(ISERROR(VLOOKUP($A546,'13. Updated Demand'!A:Z,21,FALSE)),0,VLOOKUP($A546,'13. Updated Demand'!A:Z,21,FALSE))</f>
        <v>0</v>
      </c>
      <c r="AE546" s="16">
        <f>IF(ISERROR(VLOOKUP($A546,'13. Updated Demand'!A:Z,22,FALSE)),0,VLOOKUP($A546,'13. Updated Demand'!A:Z,22,FALSE))</f>
        <v>0</v>
      </c>
      <c r="AF546" s="16">
        <f>IF(ISERROR(VLOOKUP($A546,'13. Updated Demand'!A:Z,23,FALSE)),0,VLOOKUP($A546,'13. Updated Demand'!A:Z,23,FALSE))</f>
        <v>0</v>
      </c>
      <c r="AG546" s="16">
        <f>IF(ISERROR(VLOOKUP($A546,'13. Updated Demand'!A:Z,24,FALSE)),0,VLOOKUP($A546,'13. Updated Demand'!A:Z,24,FALSE))</f>
        <v>0</v>
      </c>
      <c r="AH546" s="16">
        <f>IF(ISERROR(VLOOKUP($A546,'13. Updated Demand'!A:Z,25,FALSE)),0,VLOOKUP($A546,'13. Updated Demand'!A:Z,25,FALSE))</f>
        <v>0</v>
      </c>
      <c r="AI546" s="16">
        <f>IF(ISERROR(VLOOKUP($A546,'13. Updated Demand'!A:Z,26,FALSE)),0,VLOOKUP($A546,'13. Updated Demand'!A:Z,26,FALSE))</f>
        <v>0</v>
      </c>
      <c r="AJ546" s="16">
        <f t="shared" si="108"/>
        <v>0</v>
      </c>
      <c r="AK546" s="19">
        <v>0</v>
      </c>
      <c r="AL546" s="16">
        <f t="shared" si="106"/>
        <v>0</v>
      </c>
      <c r="AM546" s="17">
        <v>0</v>
      </c>
      <c r="AN546" s="19"/>
      <c r="AO546" s="19"/>
      <c r="AP546" s="19">
        <v>209953.5</v>
      </c>
      <c r="AQ546" s="19" t="s">
        <v>307</v>
      </c>
      <c r="AR546" s="9" t="s">
        <v>314</v>
      </c>
      <c r="AS546" s="12">
        <v>0</v>
      </c>
      <c r="AT546" s="19">
        <v>38.72180771</v>
      </c>
      <c r="AU546" s="19">
        <v>-123.01163133999999</v>
      </c>
      <c r="AV546" s="19" t="s">
        <v>932</v>
      </c>
    </row>
    <row r="547" spans="1:48" x14ac:dyDescent="0.25">
      <c r="A547" s="18" t="s">
        <v>933</v>
      </c>
      <c r="B547" s="10">
        <v>19801223</v>
      </c>
      <c r="C547" s="9">
        <v>12</v>
      </c>
      <c r="D547" s="8" t="str">
        <f t="shared" si="97"/>
        <v>N</v>
      </c>
      <c r="E547" s="8" t="str">
        <f t="shared" si="98"/>
        <v>Y</v>
      </c>
      <c r="F547" s="8" t="str">
        <f t="shared" si="99"/>
        <v>Y</v>
      </c>
      <c r="G547" s="8" t="str">
        <f t="shared" si="100"/>
        <v>Y</v>
      </c>
      <c r="H547" s="8" t="str">
        <f t="shared" si="101"/>
        <v>Upper</v>
      </c>
      <c r="I547" s="8" t="str">
        <f t="shared" si="102"/>
        <v>West Fork and Below Lake</v>
      </c>
      <c r="J547" s="8" t="str">
        <f t="shared" si="103"/>
        <v>Sonoma (d/s of Clov. Gage)</v>
      </c>
      <c r="K547" s="8" t="str">
        <f t="shared" si="104"/>
        <v>Post-1949</v>
      </c>
      <c r="L547" s="8">
        <f t="shared" si="105"/>
        <v>1980</v>
      </c>
      <c r="M547" s="8" t="str">
        <f t="shared" si="107"/>
        <v>1971-1990</v>
      </c>
      <c r="N547" s="10" t="s">
        <v>242</v>
      </c>
      <c r="O547" s="10" t="s">
        <v>241</v>
      </c>
      <c r="P547" s="10" t="s">
        <v>242</v>
      </c>
      <c r="Q547" s="10" t="s">
        <v>242</v>
      </c>
      <c r="R547" s="10" t="s">
        <v>241</v>
      </c>
      <c r="S547" s="10" t="s">
        <v>242</v>
      </c>
      <c r="T547" s="10" t="s">
        <v>242</v>
      </c>
      <c r="U547" s="10" t="s">
        <v>242</v>
      </c>
      <c r="V547" s="10" t="s">
        <v>242</v>
      </c>
      <c r="W547" s="10" t="s">
        <v>242</v>
      </c>
      <c r="X547" s="15">
        <f>IF(ISERROR(VLOOKUP($A547,'13. Updated Demand'!A:Z,15,FALSE)),0,VLOOKUP($A547,'13. Updated Demand'!A:Z,15,FALSE))</f>
        <v>0</v>
      </c>
      <c r="Y547" s="16">
        <f>IF(ISERROR(VLOOKUP($A547,'13. Updated Demand'!A:Z,16,FALSE)),0,VLOOKUP($A547,'13. Updated Demand'!A:Z,16,FALSE))</f>
        <v>0</v>
      </c>
      <c r="Z547" s="16">
        <f>IF(ISERROR(VLOOKUP($A547,'13. Updated Demand'!A:Z,17,FALSE)),0,VLOOKUP($A547,'13. Updated Demand'!A:Z,17,FALSE))</f>
        <v>0.28000000000000003</v>
      </c>
      <c r="AA547" s="16">
        <f>IF(ISERROR(VLOOKUP($A547,'13. Updated Demand'!A:Z,18,FALSE)),0,VLOOKUP($A547,'13. Updated Demand'!A:Z,18,FALSE))</f>
        <v>0.24</v>
      </c>
      <c r="AB547" s="16">
        <f>IF(ISERROR(VLOOKUP($A547,'13. Updated Demand'!A:Z,19,FALSE)),0,VLOOKUP($A547,'13. Updated Demand'!A:Z,19,FALSE))</f>
        <v>0.22</v>
      </c>
      <c r="AC547" s="16">
        <f>IF(ISERROR(VLOOKUP($A547,'13. Updated Demand'!A:Z,20,FALSE)),0,VLOOKUP($A547,'13. Updated Demand'!A:Z,20,FALSE))</f>
        <v>0</v>
      </c>
      <c r="AD547" s="16">
        <f>IF(ISERROR(VLOOKUP($A547,'13. Updated Demand'!A:Z,21,FALSE)),0,VLOOKUP($A547,'13. Updated Demand'!A:Z,21,FALSE))</f>
        <v>0</v>
      </c>
      <c r="AE547" s="16">
        <f>IF(ISERROR(VLOOKUP($A547,'13. Updated Demand'!A:Z,22,FALSE)),0,VLOOKUP($A547,'13. Updated Demand'!A:Z,22,FALSE))</f>
        <v>0</v>
      </c>
      <c r="AF547" s="16">
        <f>IF(ISERROR(VLOOKUP($A547,'13. Updated Demand'!A:Z,23,FALSE)),0,VLOOKUP($A547,'13. Updated Demand'!A:Z,23,FALSE))</f>
        <v>0</v>
      </c>
      <c r="AG547" s="16">
        <f>IF(ISERROR(VLOOKUP($A547,'13. Updated Demand'!A:Z,24,FALSE)),0,VLOOKUP($A547,'13. Updated Demand'!A:Z,24,FALSE))</f>
        <v>0</v>
      </c>
      <c r="AH547" s="16">
        <f>IF(ISERROR(VLOOKUP($A547,'13. Updated Demand'!A:Z,25,FALSE)),0,VLOOKUP($A547,'13. Updated Demand'!A:Z,25,FALSE))</f>
        <v>0</v>
      </c>
      <c r="AI547" s="16">
        <f>IF(ISERROR(VLOOKUP($A547,'13. Updated Demand'!A:Z,26,FALSE)),0,VLOOKUP($A547,'13. Updated Demand'!A:Z,26,FALSE))</f>
        <v>0</v>
      </c>
      <c r="AJ547" s="16">
        <f t="shared" si="108"/>
        <v>0.74</v>
      </c>
      <c r="AK547" s="19">
        <v>0.22</v>
      </c>
      <c r="AL547" s="16">
        <f t="shared" si="106"/>
        <v>7.2971493964501199E-4</v>
      </c>
      <c r="AM547" s="17">
        <v>0.43529411764705883</v>
      </c>
      <c r="AN547" s="19"/>
      <c r="AO547" s="19"/>
      <c r="AP547" s="19">
        <v>1.7</v>
      </c>
      <c r="AQ547" s="19" t="s">
        <v>307</v>
      </c>
      <c r="AR547" s="9" t="s">
        <v>311</v>
      </c>
      <c r="AS547" s="12">
        <v>0</v>
      </c>
      <c r="AT547" s="19">
        <v>38.631966239999997</v>
      </c>
      <c r="AU547" s="19">
        <v>-122.76634349</v>
      </c>
      <c r="AV547" s="19" t="s">
        <v>609</v>
      </c>
    </row>
    <row r="548" spans="1:48" x14ac:dyDescent="0.25">
      <c r="A548" s="18" t="s">
        <v>934</v>
      </c>
      <c r="B548" s="10">
        <v>19800702</v>
      </c>
      <c r="C548" s="9">
        <v>16</v>
      </c>
      <c r="D548" s="8" t="str">
        <f t="shared" si="97"/>
        <v>N</v>
      </c>
      <c r="E548" s="8" t="str">
        <f t="shared" si="98"/>
        <v>N</v>
      </c>
      <c r="F548" s="8" t="str">
        <f t="shared" si="99"/>
        <v>N</v>
      </c>
      <c r="G548" s="8" t="str">
        <f t="shared" si="100"/>
        <v>N</v>
      </c>
      <c r="H548" s="8" t="str">
        <f t="shared" si="101"/>
        <v>Lower</v>
      </c>
      <c r="I548" s="8" t="str">
        <f t="shared" si="102"/>
        <v>Outside</v>
      </c>
      <c r="J548" s="8" t="str">
        <f t="shared" si="103"/>
        <v>Outside</v>
      </c>
      <c r="K548" s="8" t="str">
        <f t="shared" si="104"/>
        <v>Post-1949</v>
      </c>
      <c r="L548" s="8">
        <f t="shared" si="105"/>
        <v>1980</v>
      </c>
      <c r="M548" s="8" t="str">
        <f t="shared" si="107"/>
        <v>1971-1990</v>
      </c>
      <c r="N548" s="10" t="s">
        <v>242</v>
      </c>
      <c r="O548" s="10" t="s">
        <v>242</v>
      </c>
      <c r="P548" s="10" t="s">
        <v>242</v>
      </c>
      <c r="Q548" s="10" t="s">
        <v>242</v>
      </c>
      <c r="R548" s="10" t="s">
        <v>241</v>
      </c>
      <c r="S548" s="10" t="s">
        <v>242</v>
      </c>
      <c r="T548" s="10" t="s">
        <v>242</v>
      </c>
      <c r="U548" s="10" t="s">
        <v>242</v>
      </c>
      <c r="V548" s="10" t="s">
        <v>241</v>
      </c>
      <c r="W548" s="10" t="s">
        <v>242</v>
      </c>
      <c r="X548" s="15">
        <f>IF(ISERROR(VLOOKUP($A548,'13. Updated Demand'!A:Z,15,FALSE)),0,VLOOKUP($A548,'13. Updated Demand'!A:Z,15,FALSE))</f>
        <v>184.7</v>
      </c>
      <c r="Y548" s="16">
        <f>IF(ISERROR(VLOOKUP($A548,'13. Updated Demand'!A:Z,16,FALSE)),0,VLOOKUP($A548,'13. Updated Demand'!A:Z,16,FALSE))</f>
        <v>32.133333329999999</v>
      </c>
      <c r="Z548" s="16">
        <f>IF(ISERROR(VLOOKUP($A548,'13. Updated Demand'!A:Z,17,FALSE)),0,VLOOKUP($A548,'13. Updated Demand'!A:Z,17,FALSE))</f>
        <v>16</v>
      </c>
      <c r="AA548" s="16">
        <f>IF(ISERROR(VLOOKUP($A548,'13. Updated Demand'!A:Z,18,FALSE)),0,VLOOKUP($A548,'13. Updated Demand'!A:Z,18,FALSE))</f>
        <v>11.7</v>
      </c>
      <c r="AB548" s="16">
        <f>IF(ISERROR(VLOOKUP($A548,'13. Updated Demand'!A:Z,19,FALSE)),0,VLOOKUP($A548,'13. Updated Demand'!A:Z,19,FALSE))</f>
        <v>0</v>
      </c>
      <c r="AC548" s="16">
        <f>IF(ISERROR(VLOOKUP($A548,'13. Updated Demand'!A:Z,20,FALSE)),0,VLOOKUP($A548,'13. Updated Demand'!A:Z,20,FALSE))</f>
        <v>0</v>
      </c>
      <c r="AD548" s="16">
        <f>IF(ISERROR(VLOOKUP($A548,'13. Updated Demand'!A:Z,21,FALSE)),0,VLOOKUP($A548,'13. Updated Demand'!A:Z,21,FALSE))</f>
        <v>0</v>
      </c>
      <c r="AE548" s="16">
        <f>IF(ISERROR(VLOOKUP($A548,'13. Updated Demand'!A:Z,22,FALSE)),0,VLOOKUP($A548,'13. Updated Demand'!A:Z,22,FALSE))</f>
        <v>0</v>
      </c>
      <c r="AF548" s="16">
        <f>IF(ISERROR(VLOOKUP($A548,'13. Updated Demand'!A:Z,23,FALSE)),0,VLOOKUP($A548,'13. Updated Demand'!A:Z,23,FALSE))</f>
        <v>0</v>
      </c>
      <c r="AG548" s="16">
        <f>IF(ISERROR(VLOOKUP($A548,'13. Updated Demand'!A:Z,24,FALSE)),0,VLOOKUP($A548,'13. Updated Demand'!A:Z,24,FALSE))</f>
        <v>0</v>
      </c>
      <c r="AH548" s="16">
        <f>IF(ISERROR(VLOOKUP($A548,'13. Updated Demand'!A:Z,25,FALSE)),0,VLOOKUP($A548,'13. Updated Demand'!A:Z,25,FALSE))</f>
        <v>7.3666666669999996</v>
      </c>
      <c r="AI548" s="16">
        <f>IF(ISERROR(VLOOKUP($A548,'13. Updated Demand'!A:Z,26,FALSE)),0,VLOOKUP($A548,'13. Updated Demand'!A:Z,26,FALSE))</f>
        <v>33.433333330000004</v>
      </c>
      <c r="AJ548" s="16">
        <f t="shared" si="108"/>
        <v>285.33333332699999</v>
      </c>
      <c r="AK548" s="19">
        <v>0</v>
      </c>
      <c r="AL548" s="16">
        <f t="shared" si="106"/>
        <v>0</v>
      </c>
      <c r="AM548" s="17">
        <v>0.41715399609210524</v>
      </c>
      <c r="AN548" s="19"/>
      <c r="AO548" s="19"/>
      <c r="AP548" s="19">
        <v>684</v>
      </c>
      <c r="AQ548" s="19" t="s">
        <v>307</v>
      </c>
      <c r="AR548" s="9" t="s">
        <v>394</v>
      </c>
      <c r="AS548" s="12">
        <v>0</v>
      </c>
      <c r="AT548" s="19">
        <v>38.665478</v>
      </c>
      <c r="AU548" s="19">
        <v>-122.90223905000001</v>
      </c>
      <c r="AV548" s="19"/>
    </row>
    <row r="549" spans="1:48" x14ac:dyDescent="0.25">
      <c r="A549" s="18" t="s">
        <v>935</v>
      </c>
      <c r="B549" s="10">
        <v>19801002</v>
      </c>
      <c r="C549" s="9">
        <v>16</v>
      </c>
      <c r="D549" s="8" t="str">
        <f t="shared" si="97"/>
        <v>N</v>
      </c>
      <c r="E549" s="8" t="str">
        <f t="shared" si="98"/>
        <v>N</v>
      </c>
      <c r="F549" s="8" t="str">
        <f t="shared" si="99"/>
        <v>N</v>
      </c>
      <c r="G549" s="8" t="str">
        <f t="shared" si="100"/>
        <v>N</v>
      </c>
      <c r="H549" s="8" t="str">
        <f t="shared" si="101"/>
        <v>Lower</v>
      </c>
      <c r="I549" s="8" t="str">
        <f t="shared" si="102"/>
        <v>Outside</v>
      </c>
      <c r="J549" s="8" t="str">
        <f t="shared" si="103"/>
        <v>Outside</v>
      </c>
      <c r="K549" s="8" t="str">
        <f t="shared" si="104"/>
        <v>Post-1949</v>
      </c>
      <c r="L549" s="8">
        <f t="shared" si="105"/>
        <v>1980</v>
      </c>
      <c r="M549" s="8" t="str">
        <f t="shared" si="107"/>
        <v>1971-1990</v>
      </c>
      <c r="N549" s="10" t="s">
        <v>242</v>
      </c>
      <c r="O549" s="10" t="s">
        <v>242</v>
      </c>
      <c r="P549" s="10" t="s">
        <v>242</v>
      </c>
      <c r="Q549" s="10" t="s">
        <v>242</v>
      </c>
      <c r="R549" s="10" t="s">
        <v>241</v>
      </c>
      <c r="S549" s="10" t="s">
        <v>242</v>
      </c>
      <c r="T549" s="10" t="s">
        <v>242</v>
      </c>
      <c r="U549" s="10" t="s">
        <v>241</v>
      </c>
      <c r="V549" s="10" t="s">
        <v>241</v>
      </c>
      <c r="W549" s="10" t="s">
        <v>242</v>
      </c>
      <c r="X549" s="15">
        <f>IF(ISERROR(VLOOKUP($A549,'13. Updated Demand'!A:Z,15,FALSE)),0,VLOOKUP($A549,'13. Updated Demand'!A:Z,15,FALSE))</f>
        <v>0</v>
      </c>
      <c r="Y549" s="16">
        <f>IF(ISERROR(VLOOKUP($A549,'13. Updated Demand'!A:Z,16,FALSE)),0,VLOOKUP($A549,'13. Updated Demand'!A:Z,16,FALSE))</f>
        <v>0</v>
      </c>
      <c r="Z549" s="16">
        <f>IF(ISERROR(VLOOKUP($A549,'13. Updated Demand'!A:Z,17,FALSE)),0,VLOOKUP($A549,'13. Updated Demand'!A:Z,17,FALSE))</f>
        <v>0</v>
      </c>
      <c r="AA549" s="16">
        <f>IF(ISERROR(VLOOKUP($A549,'13. Updated Demand'!A:Z,18,FALSE)),0,VLOOKUP($A549,'13. Updated Demand'!A:Z,18,FALSE))</f>
        <v>0</v>
      </c>
      <c r="AB549" s="16">
        <f>IF(ISERROR(VLOOKUP($A549,'13. Updated Demand'!A:Z,19,FALSE)),0,VLOOKUP($A549,'13. Updated Demand'!A:Z,19,FALSE))</f>
        <v>0</v>
      </c>
      <c r="AC549" s="16">
        <f>IF(ISERROR(VLOOKUP($A549,'13. Updated Demand'!A:Z,20,FALSE)),0,VLOOKUP($A549,'13. Updated Demand'!A:Z,20,FALSE))</f>
        <v>0</v>
      </c>
      <c r="AD549" s="16">
        <f>IF(ISERROR(VLOOKUP($A549,'13. Updated Demand'!A:Z,21,FALSE)),0,VLOOKUP($A549,'13. Updated Demand'!A:Z,21,FALSE))</f>
        <v>0</v>
      </c>
      <c r="AE549" s="16">
        <f>IF(ISERROR(VLOOKUP($A549,'13. Updated Demand'!A:Z,22,FALSE)),0,VLOOKUP($A549,'13. Updated Demand'!A:Z,22,FALSE))</f>
        <v>0</v>
      </c>
      <c r="AF549" s="16">
        <f>IF(ISERROR(VLOOKUP($A549,'13. Updated Demand'!A:Z,23,FALSE)),0,VLOOKUP($A549,'13. Updated Demand'!A:Z,23,FALSE))</f>
        <v>0</v>
      </c>
      <c r="AG549" s="16">
        <f>IF(ISERROR(VLOOKUP($A549,'13. Updated Demand'!A:Z,24,FALSE)),0,VLOOKUP($A549,'13. Updated Demand'!A:Z,24,FALSE))</f>
        <v>0</v>
      </c>
      <c r="AH549" s="16">
        <f>IF(ISERROR(VLOOKUP($A549,'13. Updated Demand'!A:Z,25,FALSE)),0,VLOOKUP($A549,'13. Updated Demand'!A:Z,25,FALSE))</f>
        <v>0</v>
      </c>
      <c r="AI549" s="16">
        <f>IF(ISERROR(VLOOKUP($A549,'13. Updated Demand'!A:Z,26,FALSE)),0,VLOOKUP($A549,'13. Updated Demand'!A:Z,26,FALSE))</f>
        <v>0</v>
      </c>
      <c r="AJ549" s="16">
        <f t="shared" si="108"/>
        <v>0</v>
      </c>
      <c r="AK549" s="19">
        <v>0</v>
      </c>
      <c r="AL549" s="16">
        <f t="shared" si="106"/>
        <v>0</v>
      </c>
      <c r="AM549" s="17">
        <v>0</v>
      </c>
      <c r="AN549" s="19"/>
      <c r="AO549" s="19"/>
      <c r="AP549" s="19">
        <v>0.4</v>
      </c>
      <c r="AQ549" s="19" t="s">
        <v>307</v>
      </c>
      <c r="AR549" s="9" t="s">
        <v>394</v>
      </c>
      <c r="AS549" s="12">
        <v>0</v>
      </c>
      <c r="AT549" s="19">
        <v>38.643599999999999</v>
      </c>
      <c r="AU549" s="19">
        <v>-122.9511</v>
      </c>
      <c r="AV549" s="19" t="s">
        <v>936</v>
      </c>
    </row>
    <row r="550" spans="1:48" x14ac:dyDescent="0.25">
      <c r="A550" s="18" t="s">
        <v>937</v>
      </c>
      <c r="B550" s="10">
        <v>19800725</v>
      </c>
      <c r="C550" s="9">
        <v>2</v>
      </c>
      <c r="D550" s="8" t="str">
        <f t="shared" si="97"/>
        <v>N</v>
      </c>
      <c r="E550" s="8" t="str">
        <f t="shared" si="98"/>
        <v>N</v>
      </c>
      <c r="F550" s="8" t="str">
        <f t="shared" si="99"/>
        <v>Y</v>
      </c>
      <c r="G550" s="8" t="str">
        <f t="shared" si="100"/>
        <v>N</v>
      </c>
      <c r="H550" s="8" t="str">
        <f t="shared" si="101"/>
        <v>Upper</v>
      </c>
      <c r="I550" s="8" t="str">
        <f t="shared" si="102"/>
        <v>Outside</v>
      </c>
      <c r="J550" s="8" t="str">
        <f t="shared" si="103"/>
        <v>Outside</v>
      </c>
      <c r="K550" s="8" t="str">
        <f t="shared" si="104"/>
        <v>Post-1949</v>
      </c>
      <c r="L550" s="8">
        <f t="shared" si="105"/>
        <v>1980</v>
      </c>
      <c r="M550" s="8" t="str">
        <f t="shared" si="107"/>
        <v>1971-1990</v>
      </c>
      <c r="N550" s="10" t="s">
        <v>242</v>
      </c>
      <c r="O550" s="10" t="s">
        <v>241</v>
      </c>
      <c r="P550" s="10" t="s">
        <v>242</v>
      </c>
      <c r="Q550" s="10" t="s">
        <v>242</v>
      </c>
      <c r="R550" s="10" t="s">
        <v>241</v>
      </c>
      <c r="S550" s="10" t="s">
        <v>242</v>
      </c>
      <c r="T550" s="10" t="s">
        <v>242</v>
      </c>
      <c r="U550" s="10" t="s">
        <v>241</v>
      </c>
      <c r="V550" s="10" t="s">
        <v>241</v>
      </c>
      <c r="W550" s="10" t="s">
        <v>241</v>
      </c>
      <c r="X550" s="15">
        <f>IF(ISERROR(VLOOKUP($A550,'13. Updated Demand'!A:Z,15,FALSE)),0,VLOOKUP($A550,'13. Updated Demand'!A:Z,15,FALSE))</f>
        <v>0</v>
      </c>
      <c r="Y550" s="16">
        <f>IF(ISERROR(VLOOKUP($A550,'13. Updated Demand'!A:Z,16,FALSE)),0,VLOOKUP($A550,'13. Updated Demand'!A:Z,16,FALSE))</f>
        <v>0</v>
      </c>
      <c r="Z550" s="16">
        <f>IF(ISERROR(VLOOKUP($A550,'13. Updated Demand'!A:Z,17,FALSE)),0,VLOOKUP($A550,'13. Updated Demand'!A:Z,17,FALSE))</f>
        <v>0</v>
      </c>
      <c r="AA550" s="16">
        <f>IF(ISERROR(VLOOKUP($A550,'13. Updated Demand'!A:Z,18,FALSE)),0,VLOOKUP($A550,'13. Updated Demand'!A:Z,18,FALSE))</f>
        <v>0</v>
      </c>
      <c r="AB550" s="16">
        <f>IF(ISERROR(VLOOKUP($A550,'13. Updated Demand'!A:Z,19,FALSE)),0,VLOOKUP($A550,'13. Updated Demand'!A:Z,19,FALSE))</f>
        <v>0</v>
      </c>
      <c r="AC550" s="16">
        <f>IF(ISERROR(VLOOKUP($A550,'13. Updated Demand'!A:Z,20,FALSE)),0,VLOOKUP($A550,'13. Updated Demand'!A:Z,20,FALSE))</f>
        <v>0</v>
      </c>
      <c r="AD550" s="16">
        <f>IF(ISERROR(VLOOKUP($A550,'13. Updated Demand'!A:Z,21,FALSE)),0,VLOOKUP($A550,'13. Updated Demand'!A:Z,21,FALSE))</f>
        <v>0</v>
      </c>
      <c r="AE550" s="16">
        <f>IF(ISERROR(VLOOKUP($A550,'13. Updated Demand'!A:Z,22,FALSE)),0,VLOOKUP($A550,'13. Updated Demand'!A:Z,22,FALSE))</f>
        <v>0</v>
      </c>
      <c r="AF550" s="16">
        <f>IF(ISERROR(VLOOKUP($A550,'13. Updated Demand'!A:Z,23,FALSE)),0,VLOOKUP($A550,'13. Updated Demand'!A:Z,23,FALSE))</f>
        <v>0</v>
      </c>
      <c r="AG550" s="16">
        <f>IF(ISERROR(VLOOKUP($A550,'13. Updated Demand'!A:Z,24,FALSE)),0,VLOOKUP($A550,'13. Updated Demand'!A:Z,24,FALSE))</f>
        <v>0</v>
      </c>
      <c r="AH550" s="16">
        <f>IF(ISERROR(VLOOKUP($A550,'13. Updated Demand'!A:Z,25,FALSE)),0,VLOOKUP($A550,'13. Updated Demand'!A:Z,25,FALSE))</f>
        <v>0</v>
      </c>
      <c r="AI550" s="16">
        <f>IF(ISERROR(VLOOKUP($A550,'13. Updated Demand'!A:Z,26,FALSE)),0,VLOOKUP($A550,'13. Updated Demand'!A:Z,26,FALSE))</f>
        <v>0</v>
      </c>
      <c r="AJ550" s="16">
        <f t="shared" si="108"/>
        <v>0</v>
      </c>
      <c r="AK550" s="19">
        <v>0</v>
      </c>
      <c r="AL550" s="16">
        <f t="shared" si="106"/>
        <v>0</v>
      </c>
      <c r="AM550" s="17">
        <v>0</v>
      </c>
      <c r="AN550" s="19"/>
      <c r="AO550" s="19"/>
      <c r="AP550" s="19">
        <v>50000</v>
      </c>
      <c r="AQ550" s="19" t="s">
        <v>307</v>
      </c>
      <c r="AR550" s="9" t="s">
        <v>348</v>
      </c>
      <c r="AS550" s="12">
        <v>0</v>
      </c>
      <c r="AT550" s="19">
        <v>39.359981429999998</v>
      </c>
      <c r="AU550" s="19">
        <v>-123.12865413999999</v>
      </c>
      <c r="AV550" s="19" t="s">
        <v>433</v>
      </c>
    </row>
    <row r="551" spans="1:48" x14ac:dyDescent="0.25">
      <c r="A551" s="18" t="s">
        <v>938</v>
      </c>
      <c r="B551" s="10">
        <v>19790521</v>
      </c>
      <c r="C551" s="9">
        <v>15</v>
      </c>
      <c r="D551" s="8" t="str">
        <f t="shared" si="97"/>
        <v>N</v>
      </c>
      <c r="E551" s="8" t="str">
        <f t="shared" si="98"/>
        <v>N</v>
      </c>
      <c r="F551" s="8" t="str">
        <f t="shared" si="99"/>
        <v>N</v>
      </c>
      <c r="G551" s="8" t="str">
        <f t="shared" si="100"/>
        <v>N</v>
      </c>
      <c r="H551" s="8" t="str">
        <f t="shared" si="101"/>
        <v>Lower</v>
      </c>
      <c r="I551" s="8" t="str">
        <f t="shared" si="102"/>
        <v>Outside</v>
      </c>
      <c r="J551" s="8" t="str">
        <f t="shared" si="103"/>
        <v>Outside</v>
      </c>
      <c r="K551" s="8" t="str">
        <f t="shared" si="104"/>
        <v>Post-1949</v>
      </c>
      <c r="L551" s="8">
        <f t="shared" si="105"/>
        <v>1979</v>
      </c>
      <c r="M551" s="8" t="str">
        <f t="shared" si="107"/>
        <v>1971-1990</v>
      </c>
      <c r="N551" s="10" t="s">
        <v>242</v>
      </c>
      <c r="O551" s="10" t="s">
        <v>242</v>
      </c>
      <c r="P551" s="10" t="s">
        <v>242</v>
      </c>
      <c r="Q551" s="10" t="s">
        <v>242</v>
      </c>
      <c r="R551" s="10" t="s">
        <v>241</v>
      </c>
      <c r="S551" s="10" t="s">
        <v>242</v>
      </c>
      <c r="T551" s="10" t="s">
        <v>242</v>
      </c>
      <c r="U551" s="10" t="s">
        <v>242</v>
      </c>
      <c r="V551" s="10" t="s">
        <v>242</v>
      </c>
      <c r="W551" s="10" t="s">
        <v>242</v>
      </c>
      <c r="X551" s="15">
        <f>IF(ISERROR(VLOOKUP($A551,'13. Updated Demand'!A:Z,15,FALSE)),0,VLOOKUP($A551,'13. Updated Demand'!A:Z,15,FALSE))</f>
        <v>0</v>
      </c>
      <c r="Y551" s="16">
        <f>IF(ISERROR(VLOOKUP($A551,'13. Updated Demand'!A:Z,16,FALSE)),0,VLOOKUP($A551,'13. Updated Demand'!A:Z,16,FALSE))</f>
        <v>0</v>
      </c>
      <c r="Z551" s="16">
        <f>IF(ISERROR(VLOOKUP($A551,'13. Updated Demand'!A:Z,17,FALSE)),0,VLOOKUP($A551,'13. Updated Demand'!A:Z,17,FALSE))</f>
        <v>0.323333333</v>
      </c>
      <c r="AA551" s="16">
        <f>IF(ISERROR(VLOOKUP($A551,'13. Updated Demand'!A:Z,18,FALSE)),0,VLOOKUP($A551,'13. Updated Demand'!A:Z,18,FALSE))</f>
        <v>0.57666666700000002</v>
      </c>
      <c r="AB551" s="16">
        <f>IF(ISERROR(VLOOKUP($A551,'13. Updated Demand'!A:Z,19,FALSE)),0,VLOOKUP($A551,'13. Updated Demand'!A:Z,19,FALSE))</f>
        <v>0.26666666700000002</v>
      </c>
      <c r="AC551" s="16">
        <f>IF(ISERROR(VLOOKUP($A551,'13. Updated Demand'!A:Z,20,FALSE)),0,VLOOKUP($A551,'13. Updated Demand'!A:Z,20,FALSE))</f>
        <v>0.64333333299999995</v>
      </c>
      <c r="AD551" s="16">
        <f>IF(ISERROR(VLOOKUP($A551,'13. Updated Demand'!A:Z,21,FALSE)),0,VLOOKUP($A551,'13. Updated Demand'!A:Z,21,FALSE))</f>
        <v>1.3733333329999999</v>
      </c>
      <c r="AE551" s="16">
        <f>IF(ISERROR(VLOOKUP($A551,'13. Updated Demand'!A:Z,22,FALSE)),0,VLOOKUP($A551,'13. Updated Demand'!A:Z,22,FALSE))</f>
        <v>1.5633333330000001</v>
      </c>
      <c r="AF551" s="16">
        <f>IF(ISERROR(VLOOKUP($A551,'13. Updated Demand'!A:Z,23,FALSE)),0,VLOOKUP($A551,'13. Updated Demand'!A:Z,23,FALSE))</f>
        <v>1.0633333330000001</v>
      </c>
      <c r="AG551" s="16">
        <f>IF(ISERROR(VLOOKUP($A551,'13. Updated Demand'!A:Z,24,FALSE)),0,VLOOKUP($A551,'13. Updated Demand'!A:Z,24,FALSE))</f>
        <v>0.49666666700000001</v>
      </c>
      <c r="AH551" s="16">
        <f>IF(ISERROR(VLOOKUP($A551,'13. Updated Demand'!A:Z,25,FALSE)),0,VLOOKUP($A551,'13. Updated Demand'!A:Z,25,FALSE))</f>
        <v>0</v>
      </c>
      <c r="AI551" s="16">
        <f>IF(ISERROR(VLOOKUP($A551,'13. Updated Demand'!A:Z,26,FALSE)),0,VLOOKUP($A551,'13. Updated Demand'!A:Z,26,FALSE))</f>
        <v>0</v>
      </c>
      <c r="AJ551" s="16">
        <f t="shared" si="108"/>
        <v>6.3066666660000008</v>
      </c>
      <c r="AK551" s="19">
        <v>4.9099999990000001</v>
      </c>
      <c r="AL551" s="16">
        <f t="shared" si="106"/>
        <v>1.6285910695124063E-2</v>
      </c>
      <c r="AM551" s="17">
        <v>0.33192982452631581</v>
      </c>
      <c r="AN551" s="19"/>
      <c r="AO551" s="19"/>
      <c r="AP551" s="19">
        <v>19</v>
      </c>
      <c r="AQ551" s="19" t="s">
        <v>307</v>
      </c>
      <c r="AR551" s="9" t="s">
        <v>489</v>
      </c>
      <c r="AS551" s="12">
        <v>0</v>
      </c>
      <c r="AT551" s="19">
        <v>38.674774960000001</v>
      </c>
      <c r="AU551" s="19">
        <v>-122.95561587</v>
      </c>
      <c r="AV551" s="19" t="s">
        <v>417</v>
      </c>
    </row>
    <row r="552" spans="1:48" x14ac:dyDescent="0.25">
      <c r="A552" s="18" t="s">
        <v>939</v>
      </c>
      <c r="B552" s="10">
        <v>19790313</v>
      </c>
      <c r="C552" s="9">
        <v>17</v>
      </c>
      <c r="D552" s="8" t="str">
        <f t="shared" si="97"/>
        <v>N</v>
      </c>
      <c r="E552" s="8" t="str">
        <f t="shared" si="98"/>
        <v>N</v>
      </c>
      <c r="F552" s="8" t="str">
        <f t="shared" si="99"/>
        <v>N</v>
      </c>
      <c r="G552" s="8" t="str">
        <f t="shared" si="100"/>
        <v>N</v>
      </c>
      <c r="H552" s="8" t="str">
        <f t="shared" si="101"/>
        <v>Lower</v>
      </c>
      <c r="I552" s="8" t="str">
        <f t="shared" si="102"/>
        <v>Outside</v>
      </c>
      <c r="J552" s="8" t="str">
        <f t="shared" si="103"/>
        <v>Outside</v>
      </c>
      <c r="K552" s="8" t="str">
        <f t="shared" si="104"/>
        <v>Post-1949</v>
      </c>
      <c r="L552" s="8">
        <f t="shared" si="105"/>
        <v>1979</v>
      </c>
      <c r="M552" s="8" t="str">
        <f t="shared" si="107"/>
        <v>1971-1990</v>
      </c>
      <c r="N552" s="10" t="s">
        <v>241</v>
      </c>
      <c r="O552" s="10" t="s">
        <v>242</v>
      </c>
      <c r="P552" s="10" t="s">
        <v>242</v>
      </c>
      <c r="Q552" s="10" t="s">
        <v>242</v>
      </c>
      <c r="R552" s="10" t="s">
        <v>241</v>
      </c>
      <c r="S552" s="10" t="s">
        <v>242</v>
      </c>
      <c r="T552" s="10" t="s">
        <v>242</v>
      </c>
      <c r="U552" s="10" t="s">
        <v>241</v>
      </c>
      <c r="V552" s="10" t="s">
        <v>241</v>
      </c>
      <c r="W552" s="10" t="s">
        <v>242</v>
      </c>
      <c r="X552" s="15">
        <f>IF(ISERROR(VLOOKUP($A552,'13. Updated Demand'!A:Z,15,FALSE)),0,VLOOKUP($A552,'13. Updated Demand'!A:Z,15,FALSE))</f>
        <v>0</v>
      </c>
      <c r="Y552" s="16">
        <f>IF(ISERROR(VLOOKUP($A552,'13. Updated Demand'!A:Z,16,FALSE)),0,VLOOKUP($A552,'13. Updated Demand'!A:Z,16,FALSE))</f>
        <v>0</v>
      </c>
      <c r="Z552" s="16">
        <f>IF(ISERROR(VLOOKUP($A552,'13. Updated Demand'!A:Z,17,FALSE)),0,VLOOKUP($A552,'13. Updated Demand'!A:Z,17,FALSE))</f>
        <v>0</v>
      </c>
      <c r="AA552" s="16">
        <f>IF(ISERROR(VLOOKUP($A552,'13. Updated Demand'!A:Z,18,FALSE)),0,VLOOKUP($A552,'13. Updated Demand'!A:Z,18,FALSE))</f>
        <v>0</v>
      </c>
      <c r="AB552" s="16">
        <f>IF(ISERROR(VLOOKUP($A552,'13. Updated Demand'!A:Z,19,FALSE)),0,VLOOKUP($A552,'13. Updated Demand'!A:Z,19,FALSE))</f>
        <v>0</v>
      </c>
      <c r="AC552" s="16">
        <f>IF(ISERROR(VLOOKUP($A552,'13. Updated Demand'!A:Z,20,FALSE)),0,VLOOKUP($A552,'13. Updated Demand'!A:Z,20,FALSE))</f>
        <v>0</v>
      </c>
      <c r="AD552" s="16">
        <f>IF(ISERROR(VLOOKUP($A552,'13. Updated Demand'!A:Z,21,FALSE)),0,VLOOKUP($A552,'13. Updated Demand'!A:Z,21,FALSE))</f>
        <v>0</v>
      </c>
      <c r="AE552" s="16">
        <f>IF(ISERROR(VLOOKUP($A552,'13. Updated Demand'!A:Z,22,FALSE)),0,VLOOKUP($A552,'13. Updated Demand'!A:Z,22,FALSE))</f>
        <v>0</v>
      </c>
      <c r="AF552" s="16">
        <f>IF(ISERROR(VLOOKUP($A552,'13. Updated Demand'!A:Z,23,FALSE)),0,VLOOKUP($A552,'13. Updated Demand'!A:Z,23,FALSE))</f>
        <v>0</v>
      </c>
      <c r="AG552" s="16">
        <f>IF(ISERROR(VLOOKUP($A552,'13. Updated Demand'!A:Z,24,FALSE)),0,VLOOKUP($A552,'13. Updated Demand'!A:Z,24,FALSE))</f>
        <v>0</v>
      </c>
      <c r="AH552" s="16">
        <f>IF(ISERROR(VLOOKUP($A552,'13. Updated Demand'!A:Z,25,FALSE)),0,VLOOKUP($A552,'13. Updated Demand'!A:Z,25,FALSE))</f>
        <v>0</v>
      </c>
      <c r="AI552" s="16">
        <f>IF(ISERROR(VLOOKUP($A552,'13. Updated Demand'!A:Z,26,FALSE)),0,VLOOKUP($A552,'13. Updated Demand'!A:Z,26,FALSE))</f>
        <v>0</v>
      </c>
      <c r="AJ552" s="16">
        <f t="shared" si="108"/>
        <v>0</v>
      </c>
      <c r="AK552" s="19">
        <v>0</v>
      </c>
      <c r="AL552" s="16">
        <f t="shared" si="106"/>
        <v>0</v>
      </c>
      <c r="AM552" s="17">
        <v>0</v>
      </c>
      <c r="AN552" s="19"/>
      <c r="AO552" s="19"/>
      <c r="AP552" s="19">
        <v>9.4</v>
      </c>
      <c r="AQ552" s="19" t="s">
        <v>307</v>
      </c>
      <c r="AR552" s="9" t="s">
        <v>486</v>
      </c>
      <c r="AS552" s="12">
        <v>3.4039024194010059E-4</v>
      </c>
      <c r="AT552" s="19">
        <v>38.5822</v>
      </c>
      <c r="AU552" s="19">
        <v>-122.83880000000001</v>
      </c>
      <c r="AV552" s="19" t="s">
        <v>417</v>
      </c>
    </row>
    <row r="553" spans="1:48" x14ac:dyDescent="0.25">
      <c r="A553" s="18" t="s">
        <v>940</v>
      </c>
      <c r="B553" s="10">
        <v>19790314</v>
      </c>
      <c r="C553" s="9">
        <v>23</v>
      </c>
      <c r="D553" s="8" t="str">
        <f t="shared" si="97"/>
        <v>N</v>
      </c>
      <c r="E553" s="8" t="str">
        <f t="shared" si="98"/>
        <v>N</v>
      </c>
      <c r="F553" s="8" t="str">
        <f t="shared" si="99"/>
        <v>N</v>
      </c>
      <c r="G553" s="8" t="str">
        <f t="shared" si="100"/>
        <v>N</v>
      </c>
      <c r="H553" s="8" t="str">
        <f t="shared" si="101"/>
        <v>Lower</v>
      </c>
      <c r="I553" s="8" t="str">
        <f t="shared" si="102"/>
        <v>Outside</v>
      </c>
      <c r="J553" s="8" t="str">
        <f t="shared" si="103"/>
        <v>Outside</v>
      </c>
      <c r="K553" s="8" t="str">
        <f t="shared" si="104"/>
        <v>Post-1949</v>
      </c>
      <c r="L553" s="8">
        <f t="shared" si="105"/>
        <v>1979</v>
      </c>
      <c r="M553" s="8" t="str">
        <f t="shared" si="107"/>
        <v>1971-1990</v>
      </c>
      <c r="N553" s="10" t="s">
        <v>242</v>
      </c>
      <c r="O553" s="10" t="s">
        <v>242</v>
      </c>
      <c r="P553" s="10" t="s">
        <v>242</v>
      </c>
      <c r="Q553" s="10" t="s">
        <v>242</v>
      </c>
      <c r="R553" s="10" t="s">
        <v>241</v>
      </c>
      <c r="S553" s="10" t="s">
        <v>242</v>
      </c>
      <c r="T553" s="10" t="s">
        <v>241</v>
      </c>
      <c r="U553" s="10" t="s">
        <v>241</v>
      </c>
      <c r="V553" s="10" t="s">
        <v>241</v>
      </c>
      <c r="W553" s="10" t="s">
        <v>242</v>
      </c>
      <c r="X553" s="15">
        <f>IF(ISERROR(VLOOKUP($A553,'13. Updated Demand'!A:Z,15,FALSE)),0,VLOOKUP($A553,'13. Updated Demand'!A:Z,15,FALSE))</f>
        <v>0</v>
      </c>
      <c r="Y553" s="16">
        <f>IF(ISERROR(VLOOKUP($A553,'13. Updated Demand'!A:Z,16,FALSE)),0,VLOOKUP($A553,'13. Updated Demand'!A:Z,16,FALSE))</f>
        <v>0</v>
      </c>
      <c r="Z553" s="16">
        <f>IF(ISERROR(VLOOKUP($A553,'13. Updated Demand'!A:Z,17,FALSE)),0,VLOOKUP($A553,'13. Updated Demand'!A:Z,17,FALSE))</f>
        <v>0</v>
      </c>
      <c r="AA553" s="16">
        <f>IF(ISERROR(VLOOKUP($A553,'13. Updated Demand'!A:Z,18,FALSE)),0,VLOOKUP($A553,'13. Updated Demand'!A:Z,18,FALSE))</f>
        <v>0</v>
      </c>
      <c r="AB553" s="16">
        <f>IF(ISERROR(VLOOKUP($A553,'13. Updated Demand'!A:Z,19,FALSE)),0,VLOOKUP($A553,'13. Updated Demand'!A:Z,19,FALSE))</f>
        <v>0</v>
      </c>
      <c r="AC553" s="16">
        <f>IF(ISERROR(VLOOKUP($A553,'13. Updated Demand'!A:Z,20,FALSE)),0,VLOOKUP($A553,'13. Updated Demand'!A:Z,20,FALSE))</f>
        <v>0</v>
      </c>
      <c r="AD553" s="16">
        <f>IF(ISERROR(VLOOKUP($A553,'13. Updated Demand'!A:Z,21,FALSE)),0,VLOOKUP($A553,'13. Updated Demand'!A:Z,21,FALSE))</f>
        <v>0</v>
      </c>
      <c r="AE553" s="16">
        <f>IF(ISERROR(VLOOKUP($A553,'13. Updated Demand'!A:Z,22,FALSE)),0,VLOOKUP($A553,'13. Updated Demand'!A:Z,22,FALSE))</f>
        <v>0</v>
      </c>
      <c r="AF553" s="16">
        <f>IF(ISERROR(VLOOKUP($A553,'13. Updated Demand'!A:Z,23,FALSE)),0,VLOOKUP($A553,'13. Updated Demand'!A:Z,23,FALSE))</f>
        <v>0</v>
      </c>
      <c r="AG553" s="16">
        <f>IF(ISERROR(VLOOKUP($A553,'13. Updated Demand'!A:Z,24,FALSE)),0,VLOOKUP($A553,'13. Updated Demand'!A:Z,24,FALSE))</f>
        <v>0</v>
      </c>
      <c r="AH553" s="16">
        <f>IF(ISERROR(VLOOKUP($A553,'13. Updated Demand'!A:Z,25,FALSE)),0,VLOOKUP($A553,'13. Updated Demand'!A:Z,25,FALSE))</f>
        <v>0</v>
      </c>
      <c r="AI553" s="16">
        <f>IF(ISERROR(VLOOKUP($A553,'13. Updated Demand'!A:Z,26,FALSE)),0,VLOOKUP($A553,'13. Updated Demand'!A:Z,26,FALSE))</f>
        <v>0</v>
      </c>
      <c r="AJ553" s="16">
        <f t="shared" si="108"/>
        <v>0</v>
      </c>
      <c r="AK553" s="19">
        <v>0</v>
      </c>
      <c r="AL553" s="16">
        <f t="shared" si="106"/>
        <v>0</v>
      </c>
      <c r="AM553" s="17">
        <v>0</v>
      </c>
      <c r="AN553" s="19"/>
      <c r="AO553" s="19"/>
      <c r="AP553" s="19">
        <v>4.2</v>
      </c>
      <c r="AQ553" s="19" t="s">
        <v>307</v>
      </c>
      <c r="AR553" s="9" t="s">
        <v>323</v>
      </c>
      <c r="AS553" s="12">
        <v>0</v>
      </c>
      <c r="AT553" s="19">
        <v>38.560787449999999</v>
      </c>
      <c r="AU553" s="19">
        <v>-122.62983391</v>
      </c>
      <c r="AV553" s="19" t="s">
        <v>320</v>
      </c>
    </row>
    <row r="554" spans="1:48" x14ac:dyDescent="0.25">
      <c r="A554" s="18" t="s">
        <v>941</v>
      </c>
      <c r="B554" s="10">
        <v>19790404</v>
      </c>
      <c r="C554" s="9">
        <v>14</v>
      </c>
      <c r="D554" s="8" t="str">
        <f t="shared" si="97"/>
        <v>N</v>
      </c>
      <c r="E554" s="8" t="str">
        <f t="shared" si="98"/>
        <v>N</v>
      </c>
      <c r="F554" s="8" t="str">
        <f t="shared" si="99"/>
        <v>N</v>
      </c>
      <c r="G554" s="8" t="str">
        <f t="shared" si="100"/>
        <v>N</v>
      </c>
      <c r="H554" s="8" t="str">
        <f t="shared" si="101"/>
        <v>Lower</v>
      </c>
      <c r="I554" s="8" t="str">
        <f t="shared" si="102"/>
        <v>Outside</v>
      </c>
      <c r="J554" s="8" t="str">
        <f t="shared" si="103"/>
        <v>Outside</v>
      </c>
      <c r="K554" s="8" t="str">
        <f t="shared" si="104"/>
        <v>Post-1949</v>
      </c>
      <c r="L554" s="8">
        <f t="shared" si="105"/>
        <v>1979</v>
      </c>
      <c r="M554" s="8" t="str">
        <f t="shared" si="107"/>
        <v>1971-1990</v>
      </c>
      <c r="N554" s="10" t="s">
        <v>242</v>
      </c>
      <c r="O554" s="10" t="s">
        <v>242</v>
      </c>
      <c r="P554" s="10" t="s">
        <v>242</v>
      </c>
      <c r="Q554" s="10" t="s">
        <v>242</v>
      </c>
      <c r="R554" s="10" t="s">
        <v>241</v>
      </c>
      <c r="S554" s="10" t="s">
        <v>242</v>
      </c>
      <c r="T554" s="10" t="s">
        <v>242</v>
      </c>
      <c r="U554" s="10" t="s">
        <v>241</v>
      </c>
      <c r="V554" s="10" t="s">
        <v>241</v>
      </c>
      <c r="W554" s="10" t="s">
        <v>242</v>
      </c>
      <c r="X554" s="15">
        <f>IF(ISERROR(VLOOKUP($A554,'13. Updated Demand'!A:Z,15,FALSE)),0,VLOOKUP($A554,'13. Updated Demand'!A:Z,15,FALSE))</f>
        <v>0</v>
      </c>
      <c r="Y554" s="16">
        <f>IF(ISERROR(VLOOKUP($A554,'13. Updated Demand'!A:Z,16,FALSE)),0,VLOOKUP($A554,'13. Updated Demand'!A:Z,16,FALSE))</f>
        <v>0</v>
      </c>
      <c r="Z554" s="16">
        <f>IF(ISERROR(VLOOKUP($A554,'13. Updated Demand'!A:Z,17,FALSE)),0,VLOOKUP($A554,'13. Updated Demand'!A:Z,17,FALSE))</f>
        <v>0</v>
      </c>
      <c r="AA554" s="16">
        <f>IF(ISERROR(VLOOKUP($A554,'13. Updated Demand'!A:Z,18,FALSE)),0,VLOOKUP($A554,'13. Updated Demand'!A:Z,18,FALSE))</f>
        <v>0</v>
      </c>
      <c r="AB554" s="16">
        <f>IF(ISERROR(VLOOKUP($A554,'13. Updated Demand'!A:Z,19,FALSE)),0,VLOOKUP($A554,'13. Updated Demand'!A:Z,19,FALSE))</f>
        <v>0</v>
      </c>
      <c r="AC554" s="16">
        <f>IF(ISERROR(VLOOKUP($A554,'13. Updated Demand'!A:Z,20,FALSE)),0,VLOOKUP($A554,'13. Updated Demand'!A:Z,20,FALSE))</f>
        <v>0</v>
      </c>
      <c r="AD554" s="16">
        <f>IF(ISERROR(VLOOKUP($A554,'13. Updated Demand'!A:Z,21,FALSE)),0,VLOOKUP($A554,'13. Updated Demand'!A:Z,21,FALSE))</f>
        <v>0</v>
      </c>
      <c r="AE554" s="16">
        <f>IF(ISERROR(VLOOKUP($A554,'13. Updated Demand'!A:Z,22,FALSE)),0,VLOOKUP($A554,'13. Updated Demand'!A:Z,22,FALSE))</f>
        <v>0</v>
      </c>
      <c r="AF554" s="16">
        <f>IF(ISERROR(VLOOKUP($A554,'13. Updated Demand'!A:Z,23,FALSE)),0,VLOOKUP($A554,'13. Updated Demand'!A:Z,23,FALSE))</f>
        <v>0</v>
      </c>
      <c r="AG554" s="16">
        <f>IF(ISERROR(VLOOKUP($A554,'13. Updated Demand'!A:Z,24,FALSE)),0,VLOOKUP($A554,'13. Updated Demand'!A:Z,24,FALSE))</f>
        <v>0</v>
      </c>
      <c r="AH554" s="16">
        <f>IF(ISERROR(VLOOKUP($A554,'13. Updated Demand'!A:Z,25,FALSE)),0,VLOOKUP($A554,'13. Updated Demand'!A:Z,25,FALSE))</f>
        <v>0</v>
      </c>
      <c r="AI554" s="16">
        <f>IF(ISERROR(VLOOKUP($A554,'13. Updated Demand'!A:Z,26,FALSE)),0,VLOOKUP($A554,'13. Updated Demand'!A:Z,26,FALSE))</f>
        <v>0</v>
      </c>
      <c r="AJ554" s="16">
        <f t="shared" si="108"/>
        <v>0</v>
      </c>
      <c r="AK554" s="19">
        <v>0</v>
      </c>
      <c r="AL554" s="16">
        <f t="shared" si="106"/>
        <v>0</v>
      </c>
      <c r="AM554" s="17">
        <v>0</v>
      </c>
      <c r="AN554" s="19"/>
      <c r="AO554" s="19"/>
      <c r="AP554" s="19">
        <v>625</v>
      </c>
      <c r="AQ554" s="19" t="s">
        <v>307</v>
      </c>
      <c r="AR554" s="9" t="s">
        <v>493</v>
      </c>
      <c r="AS554" s="12">
        <v>0</v>
      </c>
      <c r="AT554" s="19">
        <v>38.694200000000002</v>
      </c>
      <c r="AU554" s="19">
        <v>-122.9914</v>
      </c>
      <c r="AV554" s="19" t="s">
        <v>619</v>
      </c>
    </row>
    <row r="555" spans="1:48" x14ac:dyDescent="0.25">
      <c r="A555" s="18" t="s">
        <v>942</v>
      </c>
      <c r="B555" s="10">
        <v>19790612</v>
      </c>
      <c r="C555" s="9">
        <v>1</v>
      </c>
      <c r="D555" s="8" t="str">
        <f t="shared" si="97"/>
        <v>N</v>
      </c>
      <c r="E555" s="8" t="str">
        <f t="shared" si="98"/>
        <v>N</v>
      </c>
      <c r="F555" s="8" t="str">
        <f t="shared" si="99"/>
        <v>Y</v>
      </c>
      <c r="G555" s="8" t="str">
        <f t="shared" si="100"/>
        <v>Y</v>
      </c>
      <c r="H555" s="8" t="str">
        <f t="shared" si="101"/>
        <v>Upper</v>
      </c>
      <c r="I555" s="8" t="str">
        <f t="shared" si="102"/>
        <v>West Fork and Below Lake</v>
      </c>
      <c r="J555" s="8" t="str">
        <f t="shared" si="103"/>
        <v>Outside</v>
      </c>
      <c r="K555" s="8" t="str">
        <f t="shared" si="104"/>
        <v>Post-1949</v>
      </c>
      <c r="L555" s="8">
        <f t="shared" si="105"/>
        <v>1979</v>
      </c>
      <c r="M555" s="8" t="str">
        <f t="shared" si="107"/>
        <v>1971-1990</v>
      </c>
      <c r="N555" s="10" t="s">
        <v>242</v>
      </c>
      <c r="O555" s="10" t="s">
        <v>241</v>
      </c>
      <c r="P555" s="10" t="s">
        <v>242</v>
      </c>
      <c r="Q555" s="10" t="s">
        <v>242</v>
      </c>
      <c r="R555" s="10" t="s">
        <v>241</v>
      </c>
      <c r="S555" s="10" t="s">
        <v>242</v>
      </c>
      <c r="T555" s="10" t="s">
        <v>242</v>
      </c>
      <c r="U555" s="10" t="s">
        <v>242</v>
      </c>
      <c r="V555" s="10" t="s">
        <v>241</v>
      </c>
      <c r="W555" s="10" t="s">
        <v>242</v>
      </c>
      <c r="X555" s="15">
        <f>IF(ISERROR(VLOOKUP($A555,'13. Updated Demand'!A:Z,15,FALSE)),0,VLOOKUP($A555,'13. Updated Demand'!A:Z,15,FALSE))</f>
        <v>20.16</v>
      </c>
      <c r="Y555" s="16">
        <f>IF(ISERROR(VLOOKUP($A555,'13. Updated Demand'!A:Z,16,FALSE)),0,VLOOKUP($A555,'13. Updated Demand'!A:Z,16,FALSE))</f>
        <v>0</v>
      </c>
      <c r="Z555" s="16">
        <f>IF(ISERROR(VLOOKUP($A555,'13. Updated Demand'!A:Z,17,FALSE)),0,VLOOKUP($A555,'13. Updated Demand'!A:Z,17,FALSE))</f>
        <v>0</v>
      </c>
      <c r="AA555" s="16">
        <f>IF(ISERROR(VLOOKUP($A555,'13. Updated Demand'!A:Z,18,FALSE)),0,VLOOKUP($A555,'13. Updated Demand'!A:Z,18,FALSE))</f>
        <v>0</v>
      </c>
      <c r="AB555" s="16">
        <f>IF(ISERROR(VLOOKUP($A555,'13. Updated Demand'!A:Z,19,FALSE)),0,VLOOKUP($A555,'13. Updated Demand'!A:Z,19,FALSE))</f>
        <v>0</v>
      </c>
      <c r="AC555" s="16">
        <f>IF(ISERROR(VLOOKUP($A555,'13. Updated Demand'!A:Z,20,FALSE)),0,VLOOKUP($A555,'13. Updated Demand'!A:Z,20,FALSE))</f>
        <v>0</v>
      </c>
      <c r="AD555" s="16">
        <f>IF(ISERROR(VLOOKUP($A555,'13. Updated Demand'!A:Z,21,FALSE)),0,VLOOKUP($A555,'13. Updated Demand'!A:Z,21,FALSE))</f>
        <v>0</v>
      </c>
      <c r="AE555" s="16">
        <f>IF(ISERROR(VLOOKUP($A555,'13. Updated Demand'!A:Z,22,FALSE)),0,VLOOKUP($A555,'13. Updated Demand'!A:Z,22,FALSE))</f>
        <v>0</v>
      </c>
      <c r="AF555" s="16">
        <f>IF(ISERROR(VLOOKUP($A555,'13. Updated Demand'!A:Z,23,FALSE)),0,VLOOKUP($A555,'13. Updated Demand'!A:Z,23,FALSE))</f>
        <v>0</v>
      </c>
      <c r="AG555" s="16">
        <f>IF(ISERROR(VLOOKUP($A555,'13. Updated Demand'!A:Z,24,FALSE)),0,VLOOKUP($A555,'13. Updated Demand'!A:Z,24,FALSE))</f>
        <v>0</v>
      </c>
      <c r="AH555" s="16">
        <f>IF(ISERROR(VLOOKUP($A555,'13. Updated Demand'!A:Z,25,FALSE)),0,VLOOKUP($A555,'13. Updated Demand'!A:Z,25,FALSE))</f>
        <v>0</v>
      </c>
      <c r="AI555" s="16">
        <f>IF(ISERROR(VLOOKUP($A555,'13. Updated Demand'!A:Z,26,FALSE)),0,VLOOKUP($A555,'13. Updated Demand'!A:Z,26,FALSE))</f>
        <v>0</v>
      </c>
      <c r="AJ555" s="16">
        <f t="shared" si="108"/>
        <v>20.16</v>
      </c>
      <c r="AK555" s="19">
        <v>0</v>
      </c>
      <c r="AL555" s="16">
        <f t="shared" si="106"/>
        <v>0</v>
      </c>
      <c r="AM555" s="17">
        <v>0.40740740747474752</v>
      </c>
      <c r="AN555" s="19"/>
      <c r="AO555" s="19"/>
      <c r="AP555" s="19">
        <v>49.5</v>
      </c>
      <c r="AQ555" s="19" t="s">
        <v>307</v>
      </c>
      <c r="AR555" s="9" t="s">
        <v>317</v>
      </c>
      <c r="AS555" s="12">
        <v>0</v>
      </c>
      <c r="AT555" s="19">
        <v>39.282332259999997</v>
      </c>
      <c r="AU555" s="19">
        <v>-123.2319971</v>
      </c>
      <c r="AV555" s="19" t="s">
        <v>417</v>
      </c>
    </row>
    <row r="556" spans="1:48" x14ac:dyDescent="0.25">
      <c r="A556" s="18" t="s">
        <v>943</v>
      </c>
      <c r="B556" s="10">
        <v>19790612</v>
      </c>
      <c r="C556" s="9">
        <v>1</v>
      </c>
      <c r="D556" s="8" t="str">
        <f t="shared" si="97"/>
        <v>N</v>
      </c>
      <c r="E556" s="8" t="str">
        <f t="shared" si="98"/>
        <v>N</v>
      </c>
      <c r="F556" s="8" t="str">
        <f t="shared" si="99"/>
        <v>Y</v>
      </c>
      <c r="G556" s="8" t="str">
        <f t="shared" si="100"/>
        <v>Y</v>
      </c>
      <c r="H556" s="8" t="str">
        <f t="shared" si="101"/>
        <v>Upper</v>
      </c>
      <c r="I556" s="8" t="str">
        <f t="shared" si="102"/>
        <v>West Fork and Below Lake</v>
      </c>
      <c r="J556" s="8" t="str">
        <f t="shared" si="103"/>
        <v>Outside</v>
      </c>
      <c r="K556" s="8" t="str">
        <f t="shared" si="104"/>
        <v>Post-1949</v>
      </c>
      <c r="L556" s="8">
        <f t="shared" si="105"/>
        <v>1979</v>
      </c>
      <c r="M556" s="8" t="str">
        <f t="shared" si="107"/>
        <v>1971-1990</v>
      </c>
      <c r="N556" s="10" t="s">
        <v>242</v>
      </c>
      <c r="O556" s="10" t="s">
        <v>241</v>
      </c>
      <c r="P556" s="10" t="s">
        <v>242</v>
      </c>
      <c r="Q556" s="10" t="s">
        <v>242</v>
      </c>
      <c r="R556" s="10" t="s">
        <v>241</v>
      </c>
      <c r="S556" s="10" t="s">
        <v>242</v>
      </c>
      <c r="T556" s="10" t="s">
        <v>242</v>
      </c>
      <c r="U556" s="10" t="s">
        <v>241</v>
      </c>
      <c r="V556" s="10" t="s">
        <v>241</v>
      </c>
      <c r="W556" s="10" t="s">
        <v>242</v>
      </c>
      <c r="X556" s="15">
        <f>IF(ISERROR(VLOOKUP($A556,'13. Updated Demand'!A:Z,15,FALSE)),0,VLOOKUP($A556,'13. Updated Demand'!A:Z,15,FALSE))</f>
        <v>0</v>
      </c>
      <c r="Y556" s="16">
        <f>IF(ISERROR(VLOOKUP($A556,'13. Updated Demand'!A:Z,16,FALSE)),0,VLOOKUP($A556,'13. Updated Demand'!A:Z,16,FALSE))</f>
        <v>0</v>
      </c>
      <c r="Z556" s="16">
        <f>IF(ISERROR(VLOOKUP($A556,'13. Updated Demand'!A:Z,17,FALSE)),0,VLOOKUP($A556,'13. Updated Demand'!A:Z,17,FALSE))</f>
        <v>0</v>
      </c>
      <c r="AA556" s="16">
        <f>IF(ISERROR(VLOOKUP($A556,'13. Updated Demand'!A:Z,18,FALSE)),0,VLOOKUP($A556,'13. Updated Demand'!A:Z,18,FALSE))</f>
        <v>0</v>
      </c>
      <c r="AB556" s="16">
        <f>IF(ISERROR(VLOOKUP($A556,'13. Updated Demand'!A:Z,19,FALSE)),0,VLOOKUP($A556,'13. Updated Demand'!A:Z,19,FALSE))</f>
        <v>0</v>
      </c>
      <c r="AC556" s="16">
        <f>IF(ISERROR(VLOOKUP($A556,'13. Updated Demand'!A:Z,20,FALSE)),0,VLOOKUP($A556,'13. Updated Demand'!A:Z,20,FALSE))</f>
        <v>0</v>
      </c>
      <c r="AD556" s="16">
        <f>IF(ISERROR(VLOOKUP($A556,'13. Updated Demand'!A:Z,21,FALSE)),0,VLOOKUP($A556,'13. Updated Demand'!A:Z,21,FALSE))</f>
        <v>0</v>
      </c>
      <c r="AE556" s="16">
        <f>IF(ISERROR(VLOOKUP($A556,'13. Updated Demand'!A:Z,22,FALSE)),0,VLOOKUP($A556,'13. Updated Demand'!A:Z,22,FALSE))</f>
        <v>0</v>
      </c>
      <c r="AF556" s="16">
        <f>IF(ISERROR(VLOOKUP($A556,'13. Updated Demand'!A:Z,23,FALSE)),0,VLOOKUP($A556,'13. Updated Demand'!A:Z,23,FALSE))</f>
        <v>0</v>
      </c>
      <c r="AG556" s="16">
        <f>IF(ISERROR(VLOOKUP($A556,'13. Updated Demand'!A:Z,24,FALSE)),0,VLOOKUP($A556,'13. Updated Demand'!A:Z,24,FALSE))</f>
        <v>0</v>
      </c>
      <c r="AH556" s="16">
        <f>IF(ISERROR(VLOOKUP($A556,'13. Updated Demand'!A:Z,25,FALSE)),0,VLOOKUP($A556,'13. Updated Demand'!A:Z,25,FALSE))</f>
        <v>0</v>
      </c>
      <c r="AI556" s="16">
        <f>IF(ISERROR(VLOOKUP($A556,'13. Updated Demand'!A:Z,26,FALSE)),0,VLOOKUP($A556,'13. Updated Demand'!A:Z,26,FALSE))</f>
        <v>0</v>
      </c>
      <c r="AJ556" s="16">
        <f t="shared" si="108"/>
        <v>0</v>
      </c>
      <c r="AK556" s="19">
        <v>0</v>
      </c>
      <c r="AL556" s="16">
        <f t="shared" si="106"/>
        <v>0</v>
      </c>
      <c r="AM556" s="17">
        <v>0</v>
      </c>
      <c r="AN556" s="19"/>
      <c r="AO556" s="19"/>
      <c r="AP556" s="19">
        <v>200</v>
      </c>
      <c r="AQ556" s="19" t="s">
        <v>307</v>
      </c>
      <c r="AR556" s="9" t="s">
        <v>317</v>
      </c>
      <c r="AS556" s="12">
        <v>0</v>
      </c>
      <c r="AT556" s="19">
        <v>39.282332259999997</v>
      </c>
      <c r="AU556" s="19">
        <v>-123.2319971</v>
      </c>
      <c r="AV556" s="19" t="s">
        <v>417</v>
      </c>
    </row>
    <row r="557" spans="1:48" x14ac:dyDescent="0.25">
      <c r="A557" s="18" t="s">
        <v>944</v>
      </c>
      <c r="B557" s="10">
        <v>19790726</v>
      </c>
      <c r="C557" s="9">
        <v>1</v>
      </c>
      <c r="D557" s="8" t="str">
        <f t="shared" si="97"/>
        <v>N</v>
      </c>
      <c r="E557" s="8" t="str">
        <f t="shared" si="98"/>
        <v>N</v>
      </c>
      <c r="F557" s="8" t="str">
        <f t="shared" si="99"/>
        <v>Y</v>
      </c>
      <c r="G557" s="8" t="str">
        <f t="shared" si="100"/>
        <v>Y</v>
      </c>
      <c r="H557" s="8" t="str">
        <f t="shared" si="101"/>
        <v>Upper</v>
      </c>
      <c r="I557" s="8" t="str">
        <f t="shared" si="102"/>
        <v>West Fork and Below Lake</v>
      </c>
      <c r="J557" s="8" t="str">
        <f t="shared" si="103"/>
        <v>Outside</v>
      </c>
      <c r="K557" s="8" t="str">
        <f t="shared" si="104"/>
        <v>Post-1949</v>
      </c>
      <c r="L557" s="8">
        <f t="shared" si="105"/>
        <v>1979</v>
      </c>
      <c r="M557" s="8" t="str">
        <f t="shared" si="107"/>
        <v>1971-1990</v>
      </c>
      <c r="N557" s="10" t="s">
        <v>242</v>
      </c>
      <c r="O557" s="10" t="s">
        <v>241</v>
      </c>
      <c r="P557" s="10" t="s">
        <v>242</v>
      </c>
      <c r="Q557" s="10" t="s">
        <v>242</v>
      </c>
      <c r="R557" s="10" t="s">
        <v>241</v>
      </c>
      <c r="S557" s="10" t="s">
        <v>242</v>
      </c>
      <c r="T557" s="10" t="s">
        <v>242</v>
      </c>
      <c r="U557" s="10" t="s">
        <v>241</v>
      </c>
      <c r="V557" s="10" t="s">
        <v>241</v>
      </c>
      <c r="W557" s="10" t="s">
        <v>242</v>
      </c>
      <c r="X557" s="15">
        <f>IF(ISERROR(VLOOKUP($A557,'13. Updated Demand'!A:Z,15,FALSE)),0,VLOOKUP($A557,'13. Updated Demand'!A:Z,15,FALSE))</f>
        <v>0</v>
      </c>
      <c r="Y557" s="16">
        <f>IF(ISERROR(VLOOKUP($A557,'13. Updated Demand'!A:Z,16,FALSE)),0,VLOOKUP($A557,'13. Updated Demand'!A:Z,16,FALSE))</f>
        <v>0</v>
      </c>
      <c r="Z557" s="16">
        <f>IF(ISERROR(VLOOKUP($A557,'13. Updated Demand'!A:Z,17,FALSE)),0,VLOOKUP($A557,'13. Updated Demand'!A:Z,17,FALSE))</f>
        <v>0</v>
      </c>
      <c r="AA557" s="16">
        <f>IF(ISERROR(VLOOKUP($A557,'13. Updated Demand'!A:Z,18,FALSE)),0,VLOOKUP($A557,'13. Updated Demand'!A:Z,18,FALSE))</f>
        <v>0</v>
      </c>
      <c r="AB557" s="16">
        <f>IF(ISERROR(VLOOKUP($A557,'13. Updated Demand'!A:Z,19,FALSE)),0,VLOOKUP($A557,'13. Updated Demand'!A:Z,19,FALSE))</f>
        <v>0</v>
      </c>
      <c r="AC557" s="16">
        <f>IF(ISERROR(VLOOKUP($A557,'13. Updated Demand'!A:Z,20,FALSE)),0,VLOOKUP($A557,'13. Updated Demand'!A:Z,20,FALSE))</f>
        <v>0</v>
      </c>
      <c r="AD557" s="16">
        <f>IF(ISERROR(VLOOKUP($A557,'13. Updated Demand'!A:Z,21,FALSE)),0,VLOOKUP($A557,'13. Updated Demand'!A:Z,21,FALSE))</f>
        <v>0</v>
      </c>
      <c r="AE557" s="16">
        <f>IF(ISERROR(VLOOKUP($A557,'13. Updated Demand'!A:Z,22,FALSE)),0,VLOOKUP($A557,'13. Updated Demand'!A:Z,22,FALSE))</f>
        <v>0</v>
      </c>
      <c r="AF557" s="16">
        <f>IF(ISERROR(VLOOKUP($A557,'13. Updated Demand'!A:Z,23,FALSE)),0,VLOOKUP($A557,'13. Updated Demand'!A:Z,23,FALSE))</f>
        <v>0</v>
      </c>
      <c r="AG557" s="16">
        <f>IF(ISERROR(VLOOKUP($A557,'13. Updated Demand'!A:Z,24,FALSE)),0,VLOOKUP($A557,'13. Updated Demand'!A:Z,24,FALSE))</f>
        <v>0</v>
      </c>
      <c r="AH557" s="16">
        <f>IF(ISERROR(VLOOKUP($A557,'13. Updated Demand'!A:Z,25,FALSE)),0,VLOOKUP($A557,'13. Updated Demand'!A:Z,25,FALSE))</f>
        <v>0</v>
      </c>
      <c r="AI557" s="16">
        <f>IF(ISERROR(VLOOKUP($A557,'13. Updated Demand'!A:Z,26,FALSE)),0,VLOOKUP($A557,'13. Updated Demand'!A:Z,26,FALSE))</f>
        <v>0</v>
      </c>
      <c r="AJ557" s="16">
        <f t="shared" si="108"/>
        <v>0</v>
      </c>
      <c r="AK557" s="19">
        <v>0</v>
      </c>
      <c r="AL557" s="16">
        <f t="shared" si="106"/>
        <v>0</v>
      </c>
      <c r="AM557" s="17">
        <v>0</v>
      </c>
      <c r="AN557" s="19"/>
      <c r="AO557" s="19"/>
      <c r="AP557" s="19">
        <v>28</v>
      </c>
      <c r="AQ557" s="19" t="s">
        <v>307</v>
      </c>
      <c r="AR557" s="9" t="s">
        <v>317</v>
      </c>
      <c r="AS557" s="12">
        <v>0</v>
      </c>
      <c r="AT557" s="19">
        <v>39.31656375</v>
      </c>
      <c r="AU557" s="19">
        <v>-123.22764557000001</v>
      </c>
      <c r="AV557" s="19" t="s">
        <v>417</v>
      </c>
    </row>
    <row r="558" spans="1:48" x14ac:dyDescent="0.25">
      <c r="A558" s="18" t="s">
        <v>945</v>
      </c>
      <c r="B558" s="10">
        <v>19790726</v>
      </c>
      <c r="C558" s="9">
        <v>1</v>
      </c>
      <c r="D558" s="8" t="str">
        <f t="shared" si="97"/>
        <v>N</v>
      </c>
      <c r="E558" s="8" t="str">
        <f t="shared" si="98"/>
        <v>N</v>
      </c>
      <c r="F558" s="8" t="str">
        <f t="shared" si="99"/>
        <v>Y</v>
      </c>
      <c r="G558" s="8" t="str">
        <f t="shared" si="100"/>
        <v>Y</v>
      </c>
      <c r="H558" s="8" t="str">
        <f t="shared" si="101"/>
        <v>Upper</v>
      </c>
      <c r="I558" s="8" t="str">
        <f t="shared" si="102"/>
        <v>West Fork and Below Lake</v>
      </c>
      <c r="J558" s="8" t="str">
        <f t="shared" si="103"/>
        <v>Outside</v>
      </c>
      <c r="K558" s="8" t="str">
        <f t="shared" si="104"/>
        <v>Post-1949</v>
      </c>
      <c r="L558" s="8">
        <f t="shared" si="105"/>
        <v>1979</v>
      </c>
      <c r="M558" s="8" t="str">
        <f t="shared" si="107"/>
        <v>1971-1990</v>
      </c>
      <c r="N558" s="10" t="s">
        <v>242</v>
      </c>
      <c r="O558" s="10" t="s">
        <v>241</v>
      </c>
      <c r="P558" s="10" t="s">
        <v>242</v>
      </c>
      <c r="Q558" s="10" t="s">
        <v>242</v>
      </c>
      <c r="R558" s="10" t="s">
        <v>241</v>
      </c>
      <c r="S558" s="10" t="s">
        <v>242</v>
      </c>
      <c r="T558" s="10" t="s">
        <v>242</v>
      </c>
      <c r="U558" s="10" t="s">
        <v>241</v>
      </c>
      <c r="V558" s="10" t="s">
        <v>241</v>
      </c>
      <c r="W558" s="10" t="s">
        <v>242</v>
      </c>
      <c r="X558" s="15">
        <f>IF(ISERROR(VLOOKUP($A558,'13. Updated Demand'!A:Z,15,FALSE)),0,VLOOKUP($A558,'13. Updated Demand'!A:Z,15,FALSE))</f>
        <v>0</v>
      </c>
      <c r="Y558" s="16">
        <f>IF(ISERROR(VLOOKUP($A558,'13. Updated Demand'!A:Z,16,FALSE)),0,VLOOKUP($A558,'13. Updated Demand'!A:Z,16,FALSE))</f>
        <v>0</v>
      </c>
      <c r="Z558" s="16">
        <f>IF(ISERROR(VLOOKUP($A558,'13. Updated Demand'!A:Z,17,FALSE)),0,VLOOKUP($A558,'13. Updated Demand'!A:Z,17,FALSE))</f>
        <v>0</v>
      </c>
      <c r="AA558" s="16">
        <f>IF(ISERROR(VLOOKUP($A558,'13. Updated Demand'!A:Z,18,FALSE)),0,VLOOKUP($A558,'13. Updated Demand'!A:Z,18,FALSE))</f>
        <v>0</v>
      </c>
      <c r="AB558" s="16">
        <f>IF(ISERROR(VLOOKUP($A558,'13. Updated Demand'!A:Z,19,FALSE)),0,VLOOKUP($A558,'13. Updated Demand'!A:Z,19,FALSE))</f>
        <v>0</v>
      </c>
      <c r="AC558" s="16">
        <f>IF(ISERROR(VLOOKUP($A558,'13. Updated Demand'!A:Z,20,FALSE)),0,VLOOKUP($A558,'13. Updated Demand'!A:Z,20,FALSE))</f>
        <v>0</v>
      </c>
      <c r="AD558" s="16">
        <f>IF(ISERROR(VLOOKUP($A558,'13. Updated Demand'!A:Z,21,FALSE)),0,VLOOKUP($A558,'13. Updated Demand'!A:Z,21,FALSE))</f>
        <v>0</v>
      </c>
      <c r="AE558" s="16">
        <f>IF(ISERROR(VLOOKUP($A558,'13. Updated Demand'!A:Z,22,FALSE)),0,VLOOKUP($A558,'13. Updated Demand'!A:Z,22,FALSE))</f>
        <v>0</v>
      </c>
      <c r="AF558" s="16">
        <f>IF(ISERROR(VLOOKUP($A558,'13. Updated Demand'!A:Z,23,FALSE)),0,VLOOKUP($A558,'13. Updated Demand'!A:Z,23,FALSE))</f>
        <v>0</v>
      </c>
      <c r="AG558" s="16">
        <f>IF(ISERROR(VLOOKUP($A558,'13. Updated Demand'!A:Z,24,FALSE)),0,VLOOKUP($A558,'13. Updated Demand'!A:Z,24,FALSE))</f>
        <v>0</v>
      </c>
      <c r="AH558" s="16">
        <f>IF(ISERROR(VLOOKUP($A558,'13. Updated Demand'!A:Z,25,FALSE)),0,VLOOKUP($A558,'13. Updated Demand'!A:Z,25,FALSE))</f>
        <v>0</v>
      </c>
      <c r="AI558" s="16">
        <f>IF(ISERROR(VLOOKUP($A558,'13. Updated Demand'!A:Z,26,FALSE)),0,VLOOKUP($A558,'13. Updated Demand'!A:Z,26,FALSE))</f>
        <v>0</v>
      </c>
      <c r="AJ558" s="16">
        <f t="shared" si="108"/>
        <v>0</v>
      </c>
      <c r="AK558" s="19">
        <v>0</v>
      </c>
      <c r="AL558" s="16">
        <f t="shared" si="106"/>
        <v>0</v>
      </c>
      <c r="AM558" s="17">
        <v>0</v>
      </c>
      <c r="AN558" s="19"/>
      <c r="AO558" s="19"/>
      <c r="AP558" s="19">
        <v>73</v>
      </c>
      <c r="AQ558" s="19" t="s">
        <v>307</v>
      </c>
      <c r="AR558" s="9" t="s">
        <v>317</v>
      </c>
      <c r="AS558" s="12">
        <v>0</v>
      </c>
      <c r="AT558" s="19">
        <v>39.31656375</v>
      </c>
      <c r="AU558" s="19">
        <v>-123.22764557000001</v>
      </c>
      <c r="AV558" s="19" t="s">
        <v>417</v>
      </c>
    </row>
    <row r="559" spans="1:48" x14ac:dyDescent="0.25">
      <c r="A559" s="18" t="s">
        <v>946</v>
      </c>
      <c r="B559" s="10">
        <v>19790830</v>
      </c>
      <c r="C559" s="9">
        <v>1</v>
      </c>
      <c r="D559" s="8" t="str">
        <f t="shared" si="97"/>
        <v>N</v>
      </c>
      <c r="E559" s="8" t="str">
        <f t="shared" si="98"/>
        <v>N</v>
      </c>
      <c r="F559" s="8" t="str">
        <f t="shared" si="99"/>
        <v>Y</v>
      </c>
      <c r="G559" s="8" t="str">
        <f t="shared" si="100"/>
        <v>Y</v>
      </c>
      <c r="H559" s="8" t="str">
        <f t="shared" si="101"/>
        <v>Upper</v>
      </c>
      <c r="I559" s="8" t="str">
        <f t="shared" si="102"/>
        <v>West Fork and Below Lake</v>
      </c>
      <c r="J559" s="8" t="str">
        <f t="shared" si="103"/>
        <v>Outside</v>
      </c>
      <c r="K559" s="8" t="str">
        <f t="shared" si="104"/>
        <v>Post-1949</v>
      </c>
      <c r="L559" s="8">
        <f t="shared" si="105"/>
        <v>1979</v>
      </c>
      <c r="M559" s="8" t="str">
        <f t="shared" si="107"/>
        <v>1971-1990</v>
      </c>
      <c r="N559" s="10" t="s">
        <v>242</v>
      </c>
      <c r="O559" s="10" t="s">
        <v>241</v>
      </c>
      <c r="P559" s="10" t="s">
        <v>242</v>
      </c>
      <c r="Q559" s="10" t="s">
        <v>242</v>
      </c>
      <c r="R559" s="10" t="s">
        <v>241</v>
      </c>
      <c r="S559" s="10" t="s">
        <v>242</v>
      </c>
      <c r="T559" s="10" t="s">
        <v>242</v>
      </c>
      <c r="U559" s="10" t="s">
        <v>242</v>
      </c>
      <c r="V559" s="10" t="s">
        <v>241</v>
      </c>
      <c r="W559" s="10" t="s">
        <v>242</v>
      </c>
      <c r="X559" s="15">
        <f>IF(ISERROR(VLOOKUP($A559,'13. Updated Demand'!A:Z,15,FALSE)),0,VLOOKUP($A559,'13. Updated Demand'!A:Z,15,FALSE))</f>
        <v>0.51</v>
      </c>
      <c r="Y559" s="16">
        <f>IF(ISERROR(VLOOKUP($A559,'13. Updated Demand'!A:Z,16,FALSE)),0,VLOOKUP($A559,'13. Updated Demand'!A:Z,16,FALSE))</f>
        <v>0.51</v>
      </c>
      <c r="Z559" s="16">
        <f>IF(ISERROR(VLOOKUP($A559,'13. Updated Demand'!A:Z,17,FALSE)),0,VLOOKUP($A559,'13. Updated Demand'!A:Z,17,FALSE))</f>
        <v>0</v>
      </c>
      <c r="AA559" s="16">
        <f>IF(ISERROR(VLOOKUP($A559,'13. Updated Demand'!A:Z,18,FALSE)),0,VLOOKUP($A559,'13. Updated Demand'!A:Z,18,FALSE))</f>
        <v>0</v>
      </c>
      <c r="AB559" s="16">
        <f>IF(ISERROR(VLOOKUP($A559,'13. Updated Demand'!A:Z,19,FALSE)),0,VLOOKUP($A559,'13. Updated Demand'!A:Z,19,FALSE))</f>
        <v>0</v>
      </c>
      <c r="AC559" s="16">
        <f>IF(ISERROR(VLOOKUP($A559,'13. Updated Demand'!A:Z,20,FALSE)),0,VLOOKUP($A559,'13. Updated Demand'!A:Z,20,FALSE))</f>
        <v>0</v>
      </c>
      <c r="AD559" s="16">
        <f>IF(ISERROR(VLOOKUP($A559,'13. Updated Demand'!A:Z,21,FALSE)),0,VLOOKUP($A559,'13. Updated Demand'!A:Z,21,FALSE))</f>
        <v>0</v>
      </c>
      <c r="AE559" s="16">
        <f>IF(ISERROR(VLOOKUP($A559,'13. Updated Demand'!A:Z,22,FALSE)),0,VLOOKUP($A559,'13. Updated Demand'!A:Z,22,FALSE))</f>
        <v>0</v>
      </c>
      <c r="AF559" s="16">
        <f>IF(ISERROR(VLOOKUP($A559,'13. Updated Demand'!A:Z,23,FALSE)),0,VLOOKUP($A559,'13. Updated Demand'!A:Z,23,FALSE))</f>
        <v>0</v>
      </c>
      <c r="AG559" s="16">
        <f>IF(ISERROR(VLOOKUP($A559,'13. Updated Demand'!A:Z,24,FALSE)),0,VLOOKUP($A559,'13. Updated Demand'!A:Z,24,FALSE))</f>
        <v>0</v>
      </c>
      <c r="AH559" s="16">
        <f>IF(ISERROR(VLOOKUP($A559,'13. Updated Demand'!A:Z,25,FALSE)),0,VLOOKUP($A559,'13. Updated Demand'!A:Z,25,FALSE))</f>
        <v>0</v>
      </c>
      <c r="AI559" s="16">
        <f>IF(ISERROR(VLOOKUP($A559,'13. Updated Demand'!A:Z,26,FALSE)),0,VLOOKUP($A559,'13. Updated Demand'!A:Z,26,FALSE))</f>
        <v>0.17</v>
      </c>
      <c r="AJ559" s="16">
        <f t="shared" si="108"/>
        <v>1.19</v>
      </c>
      <c r="AK559" s="19">
        <v>0</v>
      </c>
      <c r="AL559" s="16">
        <f t="shared" si="106"/>
        <v>0</v>
      </c>
      <c r="AM559" s="17">
        <v>0.27045454545454545</v>
      </c>
      <c r="AN559" s="19"/>
      <c r="AO559" s="19"/>
      <c r="AP559" s="19">
        <v>4.4000000000000004</v>
      </c>
      <c r="AQ559" s="19" t="s">
        <v>307</v>
      </c>
      <c r="AR559" s="9" t="s">
        <v>317</v>
      </c>
      <c r="AS559" s="12">
        <v>0</v>
      </c>
      <c r="AT559" s="19">
        <v>39.246285069999999</v>
      </c>
      <c r="AU559" s="19">
        <v>-123.21300506</v>
      </c>
      <c r="AV559" s="19" t="s">
        <v>417</v>
      </c>
    </row>
    <row r="560" spans="1:48" x14ac:dyDescent="0.25">
      <c r="A560" s="18" t="s">
        <v>947</v>
      </c>
      <c r="B560" s="10">
        <v>19791010</v>
      </c>
      <c r="C560" s="9">
        <v>1</v>
      </c>
      <c r="D560" s="8" t="str">
        <f t="shared" si="97"/>
        <v>N</v>
      </c>
      <c r="E560" s="8" t="str">
        <f t="shared" si="98"/>
        <v>N</v>
      </c>
      <c r="F560" s="8" t="str">
        <f t="shared" si="99"/>
        <v>Y</v>
      </c>
      <c r="G560" s="8" t="str">
        <f t="shared" si="100"/>
        <v>Y</v>
      </c>
      <c r="H560" s="8" t="str">
        <f t="shared" si="101"/>
        <v>Upper</v>
      </c>
      <c r="I560" s="8" t="str">
        <f t="shared" si="102"/>
        <v>West Fork and Below Lake</v>
      </c>
      <c r="J560" s="8" t="str">
        <f t="shared" si="103"/>
        <v>Outside</v>
      </c>
      <c r="K560" s="8" t="str">
        <f t="shared" si="104"/>
        <v>Post-1949</v>
      </c>
      <c r="L560" s="8">
        <f t="shared" si="105"/>
        <v>1979</v>
      </c>
      <c r="M560" s="8" t="str">
        <f t="shared" si="107"/>
        <v>1971-1990</v>
      </c>
      <c r="N560" s="10" t="s">
        <v>242</v>
      </c>
      <c r="O560" s="10" t="s">
        <v>241</v>
      </c>
      <c r="P560" s="10" t="s">
        <v>242</v>
      </c>
      <c r="Q560" s="10" t="s">
        <v>242</v>
      </c>
      <c r="R560" s="10" t="s">
        <v>241</v>
      </c>
      <c r="S560" s="10" t="s">
        <v>242</v>
      </c>
      <c r="T560" s="10" t="s">
        <v>242</v>
      </c>
      <c r="U560" s="10" t="s">
        <v>241</v>
      </c>
      <c r="V560" s="10" t="s">
        <v>241</v>
      </c>
      <c r="W560" s="10" t="s">
        <v>242</v>
      </c>
      <c r="X560" s="15">
        <f>IF(ISERROR(VLOOKUP($A560,'13. Updated Demand'!A:Z,15,FALSE)),0,VLOOKUP($A560,'13. Updated Demand'!A:Z,15,FALSE))</f>
        <v>0</v>
      </c>
      <c r="Y560" s="16">
        <f>IF(ISERROR(VLOOKUP($A560,'13. Updated Demand'!A:Z,16,FALSE)),0,VLOOKUP($A560,'13. Updated Demand'!A:Z,16,FALSE))</f>
        <v>0</v>
      </c>
      <c r="Z560" s="16">
        <f>IF(ISERROR(VLOOKUP($A560,'13. Updated Demand'!A:Z,17,FALSE)),0,VLOOKUP($A560,'13. Updated Demand'!A:Z,17,FALSE))</f>
        <v>0</v>
      </c>
      <c r="AA560" s="16">
        <f>IF(ISERROR(VLOOKUP($A560,'13. Updated Demand'!A:Z,18,FALSE)),0,VLOOKUP($A560,'13. Updated Demand'!A:Z,18,FALSE))</f>
        <v>0</v>
      </c>
      <c r="AB560" s="16">
        <f>IF(ISERROR(VLOOKUP($A560,'13. Updated Demand'!A:Z,19,FALSE)),0,VLOOKUP($A560,'13. Updated Demand'!A:Z,19,FALSE))</f>
        <v>0</v>
      </c>
      <c r="AC560" s="16">
        <f>IF(ISERROR(VLOOKUP($A560,'13. Updated Demand'!A:Z,20,FALSE)),0,VLOOKUP($A560,'13. Updated Demand'!A:Z,20,FALSE))</f>
        <v>0</v>
      </c>
      <c r="AD560" s="16">
        <f>IF(ISERROR(VLOOKUP($A560,'13. Updated Demand'!A:Z,21,FALSE)),0,VLOOKUP($A560,'13. Updated Demand'!A:Z,21,FALSE))</f>
        <v>0</v>
      </c>
      <c r="AE560" s="16">
        <f>IF(ISERROR(VLOOKUP($A560,'13. Updated Demand'!A:Z,22,FALSE)),0,VLOOKUP($A560,'13. Updated Demand'!A:Z,22,FALSE))</f>
        <v>0</v>
      </c>
      <c r="AF560" s="16">
        <f>IF(ISERROR(VLOOKUP($A560,'13. Updated Demand'!A:Z,23,FALSE)),0,VLOOKUP($A560,'13. Updated Demand'!A:Z,23,FALSE))</f>
        <v>0</v>
      </c>
      <c r="AG560" s="16">
        <f>IF(ISERROR(VLOOKUP($A560,'13. Updated Demand'!A:Z,24,FALSE)),0,VLOOKUP($A560,'13. Updated Demand'!A:Z,24,FALSE))</f>
        <v>0</v>
      </c>
      <c r="AH560" s="16">
        <f>IF(ISERROR(VLOOKUP($A560,'13. Updated Demand'!A:Z,25,FALSE)),0,VLOOKUP($A560,'13. Updated Demand'!A:Z,25,FALSE))</f>
        <v>0</v>
      </c>
      <c r="AI560" s="16">
        <f>IF(ISERROR(VLOOKUP($A560,'13. Updated Demand'!A:Z,26,FALSE)),0,VLOOKUP($A560,'13. Updated Demand'!A:Z,26,FALSE))</f>
        <v>0</v>
      </c>
      <c r="AJ560" s="16">
        <f t="shared" si="108"/>
        <v>0</v>
      </c>
      <c r="AK560" s="19">
        <v>0</v>
      </c>
      <c r="AL560" s="16">
        <f t="shared" si="106"/>
        <v>0</v>
      </c>
      <c r="AM560" s="17">
        <v>0</v>
      </c>
      <c r="AN560" s="19"/>
      <c r="AO560" s="19"/>
      <c r="AP560" s="19">
        <v>16.2</v>
      </c>
      <c r="AQ560" s="19" t="s">
        <v>307</v>
      </c>
      <c r="AR560" s="9" t="s">
        <v>317</v>
      </c>
      <c r="AS560" s="12">
        <v>0</v>
      </c>
      <c r="AT560" s="19">
        <v>39.243654370000002</v>
      </c>
      <c r="AU560" s="19">
        <v>-123.20183627999999</v>
      </c>
      <c r="AV560" s="19" t="s">
        <v>456</v>
      </c>
    </row>
    <row r="561" spans="1:48" x14ac:dyDescent="0.25">
      <c r="A561" s="18" t="s">
        <v>948</v>
      </c>
      <c r="B561" s="10">
        <v>19791010</v>
      </c>
      <c r="C561" s="9">
        <v>4</v>
      </c>
      <c r="D561" s="8" t="str">
        <f t="shared" si="97"/>
        <v>Y</v>
      </c>
      <c r="E561" s="8" t="str">
        <f t="shared" si="98"/>
        <v>N</v>
      </c>
      <c r="F561" s="8" t="str">
        <f t="shared" si="99"/>
        <v>Y</v>
      </c>
      <c r="G561" s="8" t="str">
        <f t="shared" si="100"/>
        <v>Y</v>
      </c>
      <c r="H561" s="8" t="str">
        <f t="shared" si="101"/>
        <v>Upper</v>
      </c>
      <c r="I561" s="8" t="str">
        <f t="shared" si="102"/>
        <v>West Fork and Below Lake</v>
      </c>
      <c r="J561" s="8" t="str">
        <f t="shared" si="103"/>
        <v>Mendocino (d/s of lake)</v>
      </c>
      <c r="K561" s="8" t="str">
        <f t="shared" si="104"/>
        <v>Post-1949</v>
      </c>
      <c r="L561" s="8">
        <f t="shared" si="105"/>
        <v>1979</v>
      </c>
      <c r="M561" s="8" t="str">
        <f t="shared" si="107"/>
        <v>1971-1990</v>
      </c>
      <c r="N561" s="10" t="s">
        <v>242</v>
      </c>
      <c r="O561" s="10" t="s">
        <v>241</v>
      </c>
      <c r="P561" s="10" t="s">
        <v>242</v>
      </c>
      <c r="Q561" s="10" t="s">
        <v>242</v>
      </c>
      <c r="R561" s="10" t="s">
        <v>241</v>
      </c>
      <c r="S561" s="10" t="s">
        <v>242</v>
      </c>
      <c r="T561" s="10" t="s">
        <v>242</v>
      </c>
      <c r="U561" s="10" t="s">
        <v>242</v>
      </c>
      <c r="V561" s="10" t="s">
        <v>241</v>
      </c>
      <c r="W561" s="10" t="s">
        <v>242</v>
      </c>
      <c r="X561" s="15">
        <f>IF(ISERROR(VLOOKUP($A561,'13. Updated Demand'!A:Z,15,FALSE)),0,VLOOKUP($A561,'13. Updated Demand'!A:Z,15,FALSE))</f>
        <v>1.66</v>
      </c>
      <c r="Y561" s="16">
        <f>IF(ISERROR(VLOOKUP($A561,'13. Updated Demand'!A:Z,16,FALSE)),0,VLOOKUP($A561,'13. Updated Demand'!A:Z,16,FALSE))</f>
        <v>3.66</v>
      </c>
      <c r="Z561" s="16">
        <f>IF(ISERROR(VLOOKUP($A561,'13. Updated Demand'!A:Z,17,FALSE)),0,VLOOKUP($A561,'13. Updated Demand'!A:Z,17,FALSE))</f>
        <v>1.33</v>
      </c>
      <c r="AA561" s="16">
        <f>IF(ISERROR(VLOOKUP($A561,'13. Updated Demand'!A:Z,18,FALSE)),0,VLOOKUP($A561,'13. Updated Demand'!A:Z,18,FALSE))</f>
        <v>0</v>
      </c>
      <c r="AB561" s="16">
        <f>IF(ISERROR(VLOOKUP($A561,'13. Updated Demand'!A:Z,19,FALSE)),0,VLOOKUP($A561,'13. Updated Demand'!A:Z,19,FALSE))</f>
        <v>0</v>
      </c>
      <c r="AC561" s="16">
        <f>IF(ISERROR(VLOOKUP($A561,'13. Updated Demand'!A:Z,20,FALSE)),0,VLOOKUP($A561,'13. Updated Demand'!A:Z,20,FALSE))</f>
        <v>0</v>
      </c>
      <c r="AD561" s="16">
        <f>IF(ISERROR(VLOOKUP($A561,'13. Updated Demand'!A:Z,21,FALSE)),0,VLOOKUP($A561,'13. Updated Demand'!A:Z,21,FALSE))</f>
        <v>0</v>
      </c>
      <c r="AE561" s="16">
        <f>IF(ISERROR(VLOOKUP($A561,'13. Updated Demand'!A:Z,22,FALSE)),0,VLOOKUP($A561,'13. Updated Demand'!A:Z,22,FALSE))</f>
        <v>0</v>
      </c>
      <c r="AF561" s="16">
        <f>IF(ISERROR(VLOOKUP($A561,'13. Updated Demand'!A:Z,23,FALSE)),0,VLOOKUP($A561,'13. Updated Demand'!A:Z,23,FALSE))</f>
        <v>0</v>
      </c>
      <c r="AG561" s="16">
        <f>IF(ISERROR(VLOOKUP($A561,'13. Updated Demand'!A:Z,24,FALSE)),0,VLOOKUP($A561,'13. Updated Demand'!A:Z,24,FALSE))</f>
        <v>0</v>
      </c>
      <c r="AH561" s="16">
        <f>IF(ISERROR(VLOOKUP($A561,'13. Updated Demand'!A:Z,25,FALSE)),0,VLOOKUP($A561,'13. Updated Demand'!A:Z,25,FALSE))</f>
        <v>0</v>
      </c>
      <c r="AI561" s="16">
        <f>IF(ISERROR(VLOOKUP($A561,'13. Updated Demand'!A:Z,26,FALSE)),0,VLOOKUP($A561,'13. Updated Demand'!A:Z,26,FALSE))</f>
        <v>0</v>
      </c>
      <c r="AJ561" s="16">
        <f t="shared" si="108"/>
        <v>6.65</v>
      </c>
      <c r="AK561" s="19">
        <v>0</v>
      </c>
      <c r="AL561" s="16">
        <f t="shared" si="106"/>
        <v>0</v>
      </c>
      <c r="AM561" s="17">
        <v>0.95238095242857135</v>
      </c>
      <c r="AN561" s="19"/>
      <c r="AO561" s="19"/>
      <c r="AP561" s="19">
        <v>7</v>
      </c>
      <c r="AQ561" s="19" t="s">
        <v>307</v>
      </c>
      <c r="AR561" s="9" t="s">
        <v>331</v>
      </c>
      <c r="AS561" s="12">
        <v>0</v>
      </c>
      <c r="AT561" s="19">
        <v>39.201201159999997</v>
      </c>
      <c r="AU561" s="19">
        <v>-123.22712568</v>
      </c>
      <c r="AV561" s="19" t="s">
        <v>417</v>
      </c>
    </row>
    <row r="562" spans="1:48" x14ac:dyDescent="0.25">
      <c r="A562" s="18" t="s">
        <v>949</v>
      </c>
      <c r="B562" s="10">
        <v>19791012</v>
      </c>
      <c r="C562" s="9">
        <v>21</v>
      </c>
      <c r="D562" s="8" t="str">
        <f t="shared" si="97"/>
        <v>N</v>
      </c>
      <c r="E562" s="8" t="str">
        <f t="shared" si="98"/>
        <v>N</v>
      </c>
      <c r="F562" s="8" t="str">
        <f t="shared" si="99"/>
        <v>N</v>
      </c>
      <c r="G562" s="8" t="str">
        <f t="shared" si="100"/>
        <v>N</v>
      </c>
      <c r="H562" s="8" t="str">
        <f t="shared" si="101"/>
        <v>Lower</v>
      </c>
      <c r="I562" s="8" t="str">
        <f t="shared" si="102"/>
        <v>Outside</v>
      </c>
      <c r="J562" s="8" t="str">
        <f t="shared" si="103"/>
        <v>Outside</v>
      </c>
      <c r="K562" s="8" t="str">
        <f t="shared" si="104"/>
        <v>Post-1949</v>
      </c>
      <c r="L562" s="8">
        <f t="shared" si="105"/>
        <v>1979</v>
      </c>
      <c r="M562" s="8" t="str">
        <f t="shared" si="107"/>
        <v>1971-1990</v>
      </c>
      <c r="N562" s="10" t="s">
        <v>242</v>
      </c>
      <c r="O562" s="10" t="s">
        <v>242</v>
      </c>
      <c r="P562" s="10" t="s">
        <v>242</v>
      </c>
      <c r="Q562" s="10" t="s">
        <v>242</v>
      </c>
      <c r="R562" s="10" t="s">
        <v>241</v>
      </c>
      <c r="S562" s="10" t="s">
        <v>242</v>
      </c>
      <c r="T562" s="10" t="s">
        <v>242</v>
      </c>
      <c r="U562" s="10" t="s">
        <v>241</v>
      </c>
      <c r="V562" s="10" t="s">
        <v>241</v>
      </c>
      <c r="W562" s="10" t="s">
        <v>242</v>
      </c>
      <c r="X562" s="15">
        <f>IF(ISERROR(VLOOKUP($A562,'13. Updated Demand'!A:Z,15,FALSE)),0,VLOOKUP($A562,'13. Updated Demand'!A:Z,15,FALSE))</f>
        <v>0</v>
      </c>
      <c r="Y562" s="16">
        <f>IF(ISERROR(VLOOKUP($A562,'13. Updated Demand'!A:Z,16,FALSE)),0,VLOOKUP($A562,'13. Updated Demand'!A:Z,16,FALSE))</f>
        <v>0</v>
      </c>
      <c r="Z562" s="16">
        <f>IF(ISERROR(VLOOKUP($A562,'13. Updated Demand'!A:Z,17,FALSE)),0,VLOOKUP($A562,'13. Updated Demand'!A:Z,17,FALSE))</f>
        <v>0</v>
      </c>
      <c r="AA562" s="16">
        <f>IF(ISERROR(VLOOKUP($A562,'13. Updated Demand'!A:Z,18,FALSE)),0,VLOOKUP($A562,'13. Updated Demand'!A:Z,18,FALSE))</f>
        <v>0</v>
      </c>
      <c r="AB562" s="16">
        <f>IF(ISERROR(VLOOKUP($A562,'13. Updated Demand'!A:Z,19,FALSE)),0,VLOOKUP($A562,'13. Updated Demand'!A:Z,19,FALSE))</f>
        <v>0</v>
      </c>
      <c r="AC562" s="16">
        <f>IF(ISERROR(VLOOKUP($A562,'13. Updated Demand'!A:Z,20,FALSE)),0,VLOOKUP($A562,'13. Updated Demand'!A:Z,20,FALSE))</f>
        <v>0</v>
      </c>
      <c r="AD562" s="16">
        <f>IF(ISERROR(VLOOKUP($A562,'13. Updated Demand'!A:Z,21,FALSE)),0,VLOOKUP($A562,'13. Updated Demand'!A:Z,21,FALSE))</f>
        <v>0</v>
      </c>
      <c r="AE562" s="16">
        <f>IF(ISERROR(VLOOKUP($A562,'13. Updated Demand'!A:Z,22,FALSE)),0,VLOOKUP($A562,'13. Updated Demand'!A:Z,22,FALSE))</f>
        <v>0</v>
      </c>
      <c r="AF562" s="16">
        <f>IF(ISERROR(VLOOKUP($A562,'13. Updated Demand'!A:Z,23,FALSE)),0,VLOOKUP($A562,'13. Updated Demand'!A:Z,23,FALSE))</f>
        <v>0</v>
      </c>
      <c r="AG562" s="16">
        <f>IF(ISERROR(VLOOKUP($A562,'13. Updated Demand'!A:Z,24,FALSE)),0,VLOOKUP($A562,'13. Updated Demand'!A:Z,24,FALSE))</f>
        <v>0</v>
      </c>
      <c r="AH562" s="16">
        <f>IF(ISERROR(VLOOKUP($A562,'13. Updated Demand'!A:Z,25,FALSE)),0,VLOOKUP($A562,'13. Updated Demand'!A:Z,25,FALSE))</f>
        <v>0</v>
      </c>
      <c r="AI562" s="16">
        <f>IF(ISERROR(VLOOKUP($A562,'13. Updated Demand'!A:Z,26,FALSE)),0,VLOOKUP($A562,'13. Updated Demand'!A:Z,26,FALSE))</f>
        <v>0</v>
      </c>
      <c r="AJ562" s="16">
        <f t="shared" si="108"/>
        <v>0</v>
      </c>
      <c r="AK562" s="19">
        <v>0</v>
      </c>
      <c r="AL562" s="16">
        <f t="shared" si="106"/>
        <v>0</v>
      </c>
      <c r="AM562" s="17">
        <v>0</v>
      </c>
      <c r="AN562" s="19"/>
      <c r="AO562" s="19"/>
      <c r="AP562" s="19">
        <v>3.7</v>
      </c>
      <c r="AQ562" s="19" t="s">
        <v>307</v>
      </c>
      <c r="AR562" s="9" t="s">
        <v>403</v>
      </c>
      <c r="AS562" s="12">
        <v>3.4039024194010059E-4</v>
      </c>
      <c r="AT562" s="19">
        <v>38.486019929999998</v>
      </c>
      <c r="AU562" s="19">
        <v>-123.06174992</v>
      </c>
      <c r="AV562" s="19" t="s">
        <v>528</v>
      </c>
    </row>
    <row r="563" spans="1:48" x14ac:dyDescent="0.25">
      <c r="A563" s="18" t="s">
        <v>950</v>
      </c>
      <c r="B563" s="10">
        <v>19791203</v>
      </c>
      <c r="C563" s="9">
        <v>1</v>
      </c>
      <c r="D563" s="8" t="str">
        <f t="shared" si="97"/>
        <v>N</v>
      </c>
      <c r="E563" s="8" t="str">
        <f t="shared" si="98"/>
        <v>N</v>
      </c>
      <c r="F563" s="8" t="str">
        <f t="shared" si="99"/>
        <v>Y</v>
      </c>
      <c r="G563" s="8" t="str">
        <f t="shared" si="100"/>
        <v>Y</v>
      </c>
      <c r="H563" s="8" t="str">
        <f t="shared" si="101"/>
        <v>Upper</v>
      </c>
      <c r="I563" s="8" t="str">
        <f t="shared" si="102"/>
        <v>West Fork and Below Lake</v>
      </c>
      <c r="J563" s="8" t="str">
        <f t="shared" si="103"/>
        <v>Outside</v>
      </c>
      <c r="K563" s="8" t="str">
        <f t="shared" si="104"/>
        <v>Post-1949</v>
      </c>
      <c r="L563" s="8">
        <f t="shared" si="105"/>
        <v>1979</v>
      </c>
      <c r="M563" s="8" t="str">
        <f t="shared" si="107"/>
        <v>1971-1990</v>
      </c>
      <c r="N563" s="10" t="s">
        <v>242</v>
      </c>
      <c r="O563" s="10" t="s">
        <v>241</v>
      </c>
      <c r="P563" s="10" t="s">
        <v>242</v>
      </c>
      <c r="Q563" s="10" t="s">
        <v>242</v>
      </c>
      <c r="R563" s="10" t="s">
        <v>241</v>
      </c>
      <c r="S563" s="10" t="s">
        <v>242</v>
      </c>
      <c r="T563" s="10" t="s">
        <v>242</v>
      </c>
      <c r="U563" s="10" t="s">
        <v>242</v>
      </c>
      <c r="V563" s="10" t="s">
        <v>241</v>
      </c>
      <c r="W563" s="10" t="s">
        <v>242</v>
      </c>
      <c r="X563" s="15">
        <f>IF(ISERROR(VLOOKUP($A563,'13. Updated Demand'!A:Z,15,FALSE)),0,VLOOKUP($A563,'13. Updated Demand'!A:Z,15,FALSE))</f>
        <v>2.73</v>
      </c>
      <c r="Y563" s="16">
        <f>IF(ISERROR(VLOOKUP($A563,'13. Updated Demand'!A:Z,16,FALSE)),0,VLOOKUP($A563,'13. Updated Demand'!A:Z,16,FALSE))</f>
        <v>0.33</v>
      </c>
      <c r="Z563" s="16">
        <f>IF(ISERROR(VLOOKUP($A563,'13. Updated Demand'!A:Z,17,FALSE)),0,VLOOKUP($A563,'13. Updated Demand'!A:Z,17,FALSE))</f>
        <v>0.53</v>
      </c>
      <c r="AA563" s="16">
        <f>IF(ISERROR(VLOOKUP($A563,'13. Updated Demand'!A:Z,18,FALSE)),0,VLOOKUP($A563,'13. Updated Demand'!A:Z,18,FALSE))</f>
        <v>0</v>
      </c>
      <c r="AB563" s="16">
        <f>IF(ISERROR(VLOOKUP($A563,'13. Updated Demand'!A:Z,19,FALSE)),0,VLOOKUP($A563,'13. Updated Demand'!A:Z,19,FALSE))</f>
        <v>0</v>
      </c>
      <c r="AC563" s="16">
        <f>IF(ISERROR(VLOOKUP($A563,'13. Updated Demand'!A:Z,20,FALSE)),0,VLOOKUP($A563,'13. Updated Demand'!A:Z,20,FALSE))</f>
        <v>0</v>
      </c>
      <c r="AD563" s="16">
        <f>IF(ISERROR(VLOOKUP($A563,'13. Updated Demand'!A:Z,21,FALSE)),0,VLOOKUP($A563,'13. Updated Demand'!A:Z,21,FALSE))</f>
        <v>0</v>
      </c>
      <c r="AE563" s="16">
        <f>IF(ISERROR(VLOOKUP($A563,'13. Updated Demand'!A:Z,22,FALSE)),0,VLOOKUP($A563,'13. Updated Demand'!A:Z,22,FALSE))</f>
        <v>0</v>
      </c>
      <c r="AF563" s="16">
        <f>IF(ISERROR(VLOOKUP($A563,'13. Updated Demand'!A:Z,23,FALSE)),0,VLOOKUP($A563,'13. Updated Demand'!A:Z,23,FALSE))</f>
        <v>0</v>
      </c>
      <c r="AG563" s="16">
        <f>IF(ISERROR(VLOOKUP($A563,'13. Updated Demand'!A:Z,24,FALSE)),0,VLOOKUP($A563,'13. Updated Demand'!A:Z,24,FALSE))</f>
        <v>0</v>
      </c>
      <c r="AH563" s="16">
        <f>IF(ISERROR(VLOOKUP($A563,'13. Updated Demand'!A:Z,25,FALSE)),0,VLOOKUP($A563,'13. Updated Demand'!A:Z,25,FALSE))</f>
        <v>0</v>
      </c>
      <c r="AI563" s="16">
        <f>IF(ISERROR(VLOOKUP($A563,'13. Updated Demand'!A:Z,26,FALSE)),0,VLOOKUP($A563,'13. Updated Demand'!A:Z,26,FALSE))</f>
        <v>0</v>
      </c>
      <c r="AJ563" s="16">
        <f t="shared" si="108"/>
        <v>3.59</v>
      </c>
      <c r="AK563" s="19">
        <v>0</v>
      </c>
      <c r="AL563" s="16">
        <f t="shared" si="106"/>
        <v>0</v>
      </c>
      <c r="AM563" s="17">
        <v>0.9999999997222222</v>
      </c>
      <c r="AN563" s="19"/>
      <c r="AO563" s="19"/>
      <c r="AP563" s="19">
        <v>3.6</v>
      </c>
      <c r="AQ563" s="19" t="s">
        <v>307</v>
      </c>
      <c r="AR563" s="9" t="s">
        <v>317</v>
      </c>
      <c r="AS563" s="12">
        <v>0</v>
      </c>
      <c r="AT563" s="19">
        <v>39.293448689999998</v>
      </c>
      <c r="AU563" s="19">
        <v>-123.19261234</v>
      </c>
      <c r="AV563" s="19" t="s">
        <v>417</v>
      </c>
    </row>
    <row r="564" spans="1:48" x14ac:dyDescent="0.25">
      <c r="A564" s="18" t="s">
        <v>951</v>
      </c>
      <c r="B564" s="10">
        <v>19790606</v>
      </c>
      <c r="C564" s="9">
        <v>2</v>
      </c>
      <c r="D564" s="8" t="str">
        <f t="shared" si="97"/>
        <v>N</v>
      </c>
      <c r="E564" s="8" t="str">
        <f t="shared" si="98"/>
        <v>N</v>
      </c>
      <c r="F564" s="8" t="str">
        <f t="shared" si="99"/>
        <v>Y</v>
      </c>
      <c r="G564" s="8" t="str">
        <f t="shared" si="100"/>
        <v>N</v>
      </c>
      <c r="H564" s="8" t="str">
        <f t="shared" si="101"/>
        <v>Upper</v>
      </c>
      <c r="I564" s="8" t="str">
        <f t="shared" si="102"/>
        <v>Outside</v>
      </c>
      <c r="J564" s="8" t="str">
        <f t="shared" si="103"/>
        <v>Outside</v>
      </c>
      <c r="K564" s="8" t="str">
        <f t="shared" si="104"/>
        <v>Post-1949</v>
      </c>
      <c r="L564" s="8">
        <f t="shared" si="105"/>
        <v>1979</v>
      </c>
      <c r="M564" s="8" t="str">
        <f t="shared" si="107"/>
        <v>1971-1990</v>
      </c>
      <c r="N564" s="10" t="s">
        <v>242</v>
      </c>
      <c r="O564" s="10" t="s">
        <v>241</v>
      </c>
      <c r="P564" s="10" t="s">
        <v>242</v>
      </c>
      <c r="Q564" s="10" t="s">
        <v>242</v>
      </c>
      <c r="R564" s="10" t="s">
        <v>241</v>
      </c>
      <c r="S564" s="10" t="s">
        <v>242</v>
      </c>
      <c r="T564" s="10" t="s">
        <v>242</v>
      </c>
      <c r="U564" s="10" t="s">
        <v>242</v>
      </c>
      <c r="V564" s="10" t="s">
        <v>242</v>
      </c>
      <c r="W564" s="10" t="s">
        <v>242</v>
      </c>
      <c r="X564" s="15">
        <f>IF(ISERROR(VLOOKUP($A564,'13. Updated Demand'!A:Z,15,FALSE)),0,VLOOKUP($A564,'13. Updated Demand'!A:Z,15,FALSE))</f>
        <v>0</v>
      </c>
      <c r="Y564" s="16">
        <f>IF(ISERROR(VLOOKUP($A564,'13. Updated Demand'!A:Z,16,FALSE)),0,VLOOKUP($A564,'13. Updated Demand'!A:Z,16,FALSE))</f>
        <v>0</v>
      </c>
      <c r="Z564" s="16">
        <f>IF(ISERROR(VLOOKUP($A564,'13. Updated Demand'!A:Z,17,FALSE)),0,VLOOKUP($A564,'13. Updated Demand'!A:Z,17,FALSE))</f>
        <v>0</v>
      </c>
      <c r="AA564" s="16">
        <f>IF(ISERROR(VLOOKUP($A564,'13. Updated Demand'!A:Z,18,FALSE)),0,VLOOKUP($A564,'13. Updated Demand'!A:Z,18,FALSE))</f>
        <v>0</v>
      </c>
      <c r="AB564" s="16">
        <f>IF(ISERROR(VLOOKUP($A564,'13. Updated Demand'!A:Z,19,FALSE)),0,VLOOKUP($A564,'13. Updated Demand'!A:Z,19,FALSE))</f>
        <v>0</v>
      </c>
      <c r="AC564" s="16">
        <f>IF(ISERROR(VLOOKUP($A564,'13. Updated Demand'!A:Z,20,FALSE)),0,VLOOKUP($A564,'13. Updated Demand'!A:Z,20,FALSE))</f>
        <v>0</v>
      </c>
      <c r="AD564" s="16">
        <f>IF(ISERROR(VLOOKUP($A564,'13. Updated Demand'!A:Z,21,FALSE)),0,VLOOKUP($A564,'13. Updated Demand'!A:Z,21,FALSE))</f>
        <v>0</v>
      </c>
      <c r="AE564" s="16">
        <f>IF(ISERROR(VLOOKUP($A564,'13. Updated Demand'!A:Z,22,FALSE)),0,VLOOKUP($A564,'13. Updated Demand'!A:Z,22,FALSE))</f>
        <v>0</v>
      </c>
      <c r="AF564" s="16">
        <f>IF(ISERROR(VLOOKUP($A564,'13. Updated Demand'!A:Z,23,FALSE)),0,VLOOKUP($A564,'13. Updated Demand'!A:Z,23,FALSE))</f>
        <v>5.1146669999999998E-3</v>
      </c>
      <c r="AG564" s="16">
        <f>IF(ISERROR(VLOOKUP($A564,'13. Updated Demand'!A:Z,24,FALSE)),0,VLOOKUP($A564,'13. Updated Demand'!A:Z,24,FALSE))</f>
        <v>5.1146669999999998E-3</v>
      </c>
      <c r="AH564" s="16">
        <f>IF(ISERROR(VLOOKUP($A564,'13. Updated Demand'!A:Z,25,FALSE)),0,VLOOKUP($A564,'13. Updated Demand'!A:Z,25,FALSE))</f>
        <v>0</v>
      </c>
      <c r="AI564" s="16">
        <f>IF(ISERROR(VLOOKUP($A564,'13. Updated Demand'!A:Z,26,FALSE)),0,VLOOKUP($A564,'13. Updated Demand'!A:Z,26,FALSE))</f>
        <v>0</v>
      </c>
      <c r="AJ564" s="16">
        <f t="shared" si="108"/>
        <v>1.0229334E-2</v>
      </c>
      <c r="AK564" s="19">
        <v>5.1146669999999998E-3</v>
      </c>
      <c r="AL564" s="16">
        <f t="shared" si="106"/>
        <v>1.6964767823678792E-5</v>
      </c>
      <c r="AM564" s="17">
        <v>2.6919299999999999E-3</v>
      </c>
      <c r="AN564" s="19"/>
      <c r="AO564" s="19"/>
      <c r="AP564" s="19">
        <v>3.8</v>
      </c>
      <c r="AQ564" s="19" t="s">
        <v>307</v>
      </c>
      <c r="AR564" s="9" t="s">
        <v>348</v>
      </c>
      <c r="AS564" s="12">
        <v>0</v>
      </c>
      <c r="AT564" s="19">
        <v>39.272913690000003</v>
      </c>
      <c r="AU564" s="19">
        <v>-123.10253365</v>
      </c>
      <c r="AV564" s="19" t="s">
        <v>542</v>
      </c>
    </row>
    <row r="565" spans="1:48" x14ac:dyDescent="0.25">
      <c r="A565" s="18" t="s">
        <v>952</v>
      </c>
      <c r="B565" s="10">
        <v>19780209</v>
      </c>
      <c r="C565" s="9">
        <v>21</v>
      </c>
      <c r="D565" s="8" t="str">
        <f t="shared" si="97"/>
        <v>N</v>
      </c>
      <c r="E565" s="8" t="str">
        <f t="shared" si="98"/>
        <v>N</v>
      </c>
      <c r="F565" s="8" t="str">
        <f t="shared" si="99"/>
        <v>N</v>
      </c>
      <c r="G565" s="8" t="str">
        <f t="shared" si="100"/>
        <v>N</v>
      </c>
      <c r="H565" s="8" t="str">
        <f t="shared" si="101"/>
        <v>Lower</v>
      </c>
      <c r="I565" s="8" t="str">
        <f t="shared" si="102"/>
        <v>Outside</v>
      </c>
      <c r="J565" s="8" t="str">
        <f t="shared" si="103"/>
        <v>Outside</v>
      </c>
      <c r="K565" s="8" t="str">
        <f t="shared" si="104"/>
        <v>Post-1949</v>
      </c>
      <c r="L565" s="8">
        <f t="shared" si="105"/>
        <v>1978</v>
      </c>
      <c r="M565" s="8" t="str">
        <f t="shared" si="107"/>
        <v>1971-1990</v>
      </c>
      <c r="N565" s="10" t="s">
        <v>242</v>
      </c>
      <c r="O565" s="10" t="s">
        <v>242</v>
      </c>
      <c r="P565" s="10" t="s">
        <v>242</v>
      </c>
      <c r="Q565" s="10" t="s">
        <v>242</v>
      </c>
      <c r="R565" s="10" t="s">
        <v>241</v>
      </c>
      <c r="S565" s="10" t="s">
        <v>242</v>
      </c>
      <c r="T565" s="10" t="s">
        <v>242</v>
      </c>
      <c r="U565" s="10" t="s">
        <v>241</v>
      </c>
      <c r="V565" s="10" t="s">
        <v>241</v>
      </c>
      <c r="W565" s="10" t="s">
        <v>242</v>
      </c>
      <c r="X565" s="15">
        <f>IF(ISERROR(VLOOKUP($A565,'13. Updated Demand'!A:Z,15,FALSE)),0,VLOOKUP($A565,'13. Updated Demand'!A:Z,15,FALSE))</f>
        <v>0</v>
      </c>
      <c r="Y565" s="16">
        <f>IF(ISERROR(VLOOKUP($A565,'13. Updated Demand'!A:Z,16,FALSE)),0,VLOOKUP($A565,'13. Updated Demand'!A:Z,16,FALSE))</f>
        <v>0</v>
      </c>
      <c r="Z565" s="16">
        <f>IF(ISERROR(VLOOKUP($A565,'13. Updated Demand'!A:Z,17,FALSE)),0,VLOOKUP($A565,'13. Updated Demand'!A:Z,17,FALSE))</f>
        <v>0</v>
      </c>
      <c r="AA565" s="16">
        <f>IF(ISERROR(VLOOKUP($A565,'13. Updated Demand'!A:Z,18,FALSE)),0,VLOOKUP($A565,'13. Updated Demand'!A:Z,18,FALSE))</f>
        <v>0</v>
      </c>
      <c r="AB565" s="16">
        <f>IF(ISERROR(VLOOKUP($A565,'13. Updated Demand'!A:Z,19,FALSE)),0,VLOOKUP($A565,'13. Updated Demand'!A:Z,19,FALSE))</f>
        <v>0</v>
      </c>
      <c r="AC565" s="16">
        <f>IF(ISERROR(VLOOKUP($A565,'13. Updated Demand'!A:Z,20,FALSE)),0,VLOOKUP($A565,'13. Updated Demand'!A:Z,20,FALSE))</f>
        <v>0</v>
      </c>
      <c r="AD565" s="16">
        <f>IF(ISERROR(VLOOKUP($A565,'13. Updated Demand'!A:Z,21,FALSE)),0,VLOOKUP($A565,'13. Updated Demand'!A:Z,21,FALSE))</f>
        <v>0</v>
      </c>
      <c r="AE565" s="16">
        <f>IF(ISERROR(VLOOKUP($A565,'13. Updated Demand'!A:Z,22,FALSE)),0,VLOOKUP($A565,'13. Updated Demand'!A:Z,22,FALSE))</f>
        <v>0</v>
      </c>
      <c r="AF565" s="16">
        <f>IF(ISERROR(VLOOKUP($A565,'13. Updated Demand'!A:Z,23,FALSE)),0,VLOOKUP($A565,'13. Updated Demand'!A:Z,23,FALSE))</f>
        <v>0</v>
      </c>
      <c r="AG565" s="16">
        <f>IF(ISERROR(VLOOKUP($A565,'13. Updated Demand'!A:Z,24,FALSE)),0,VLOOKUP($A565,'13. Updated Demand'!A:Z,24,FALSE))</f>
        <v>0</v>
      </c>
      <c r="AH565" s="16">
        <f>IF(ISERROR(VLOOKUP($A565,'13. Updated Demand'!A:Z,25,FALSE)),0,VLOOKUP($A565,'13. Updated Demand'!A:Z,25,FALSE))</f>
        <v>0</v>
      </c>
      <c r="AI565" s="16">
        <f>IF(ISERROR(VLOOKUP($A565,'13. Updated Demand'!A:Z,26,FALSE)),0,VLOOKUP($A565,'13. Updated Demand'!A:Z,26,FALSE))</f>
        <v>0</v>
      </c>
      <c r="AJ565" s="16">
        <f t="shared" si="108"/>
        <v>0</v>
      </c>
      <c r="AK565" s="19">
        <v>0</v>
      </c>
      <c r="AL565" s="16">
        <f t="shared" si="106"/>
        <v>0</v>
      </c>
      <c r="AM565" s="17">
        <v>0</v>
      </c>
      <c r="AN565" s="19"/>
      <c r="AO565" s="19"/>
      <c r="AP565" s="19">
        <v>11.3</v>
      </c>
      <c r="AQ565" s="19" t="s">
        <v>307</v>
      </c>
      <c r="AR565" s="9" t="s">
        <v>403</v>
      </c>
      <c r="AS565" s="12">
        <v>3.4039024194010059E-4</v>
      </c>
      <c r="AT565" s="19">
        <v>38.501328340000001</v>
      </c>
      <c r="AU565" s="19">
        <v>-123.06931582</v>
      </c>
      <c r="AV565" s="19" t="s">
        <v>528</v>
      </c>
    </row>
    <row r="566" spans="1:48" x14ac:dyDescent="0.25">
      <c r="A566" s="18" t="s">
        <v>953</v>
      </c>
      <c r="B566" s="10">
        <v>19780223</v>
      </c>
      <c r="C566" s="9">
        <v>9</v>
      </c>
      <c r="D566" s="8" t="str">
        <f t="shared" si="97"/>
        <v>N</v>
      </c>
      <c r="E566" s="8" t="str">
        <f t="shared" si="98"/>
        <v>Y</v>
      </c>
      <c r="F566" s="8" t="str">
        <f t="shared" si="99"/>
        <v>Y</v>
      </c>
      <c r="G566" s="8" t="str">
        <f t="shared" si="100"/>
        <v>Y</v>
      </c>
      <c r="H566" s="8" t="str">
        <f t="shared" si="101"/>
        <v>Upper</v>
      </c>
      <c r="I566" s="8" t="str">
        <f t="shared" si="102"/>
        <v>West Fork and Below Lake</v>
      </c>
      <c r="J566" s="8" t="str">
        <f t="shared" si="103"/>
        <v>Sonoma (d/s of Clov. Gage)</v>
      </c>
      <c r="K566" s="8" t="str">
        <f t="shared" si="104"/>
        <v>Post-1949</v>
      </c>
      <c r="L566" s="8">
        <f t="shared" si="105"/>
        <v>1978</v>
      </c>
      <c r="M566" s="8" t="str">
        <f t="shared" si="107"/>
        <v>1971-1990</v>
      </c>
      <c r="N566" s="10" t="s">
        <v>241</v>
      </c>
      <c r="O566" s="10" t="s">
        <v>241</v>
      </c>
      <c r="P566" s="10" t="s">
        <v>242</v>
      </c>
      <c r="Q566" s="10" t="s">
        <v>242</v>
      </c>
      <c r="R566" s="10" t="s">
        <v>241</v>
      </c>
      <c r="S566" s="10" t="s">
        <v>242</v>
      </c>
      <c r="T566" s="10" t="s">
        <v>242</v>
      </c>
      <c r="U566" s="10" t="s">
        <v>242</v>
      </c>
      <c r="V566" s="10" t="s">
        <v>242</v>
      </c>
      <c r="W566" s="10" t="s">
        <v>242</v>
      </c>
      <c r="X566" s="15">
        <f>IF(ISERROR(VLOOKUP($A566,'13. Updated Demand'!A:Z,15,FALSE)),0,VLOOKUP($A566,'13. Updated Demand'!A:Z,15,FALSE))</f>
        <v>2.02</v>
      </c>
      <c r="Y566" s="16">
        <f>IF(ISERROR(VLOOKUP($A566,'13. Updated Demand'!A:Z,16,FALSE)),0,VLOOKUP($A566,'13. Updated Demand'!A:Z,16,FALSE))</f>
        <v>2.02</v>
      </c>
      <c r="Z566" s="16">
        <f>IF(ISERROR(VLOOKUP($A566,'13. Updated Demand'!A:Z,17,FALSE)),0,VLOOKUP($A566,'13. Updated Demand'!A:Z,17,FALSE))</f>
        <v>2.02</v>
      </c>
      <c r="AA566" s="16">
        <f>IF(ISERROR(VLOOKUP($A566,'13. Updated Demand'!A:Z,18,FALSE)),0,VLOOKUP($A566,'13. Updated Demand'!A:Z,18,FALSE))</f>
        <v>2.02</v>
      </c>
      <c r="AB566" s="16">
        <f>IF(ISERROR(VLOOKUP($A566,'13. Updated Demand'!A:Z,19,FALSE)),0,VLOOKUP($A566,'13. Updated Demand'!A:Z,19,FALSE))</f>
        <v>2.02</v>
      </c>
      <c r="AC566" s="16">
        <f>IF(ISERROR(VLOOKUP($A566,'13. Updated Demand'!A:Z,20,FALSE)),0,VLOOKUP($A566,'13. Updated Demand'!A:Z,20,FALSE))</f>
        <v>2.02</v>
      </c>
      <c r="AD566" s="16">
        <f>IF(ISERROR(VLOOKUP($A566,'13. Updated Demand'!A:Z,21,FALSE)),0,VLOOKUP($A566,'13. Updated Demand'!A:Z,21,FALSE))</f>
        <v>2.02</v>
      </c>
      <c r="AE566" s="16">
        <f>IF(ISERROR(VLOOKUP($A566,'13. Updated Demand'!A:Z,22,FALSE)),0,VLOOKUP($A566,'13. Updated Demand'!A:Z,22,FALSE))</f>
        <v>2.02</v>
      </c>
      <c r="AF566" s="16">
        <f>IF(ISERROR(VLOOKUP($A566,'13. Updated Demand'!A:Z,23,FALSE)),0,VLOOKUP($A566,'13. Updated Demand'!A:Z,23,FALSE))</f>
        <v>2.02</v>
      </c>
      <c r="AG566" s="16">
        <f>IF(ISERROR(VLOOKUP($A566,'13. Updated Demand'!A:Z,24,FALSE)),0,VLOOKUP($A566,'13. Updated Demand'!A:Z,24,FALSE))</f>
        <v>2.02</v>
      </c>
      <c r="AH566" s="16">
        <f>IF(ISERROR(VLOOKUP($A566,'13. Updated Demand'!A:Z,25,FALSE)),0,VLOOKUP($A566,'13. Updated Demand'!A:Z,25,FALSE))</f>
        <v>2.02</v>
      </c>
      <c r="AI566" s="16">
        <f>IF(ISERROR(VLOOKUP($A566,'13. Updated Demand'!A:Z,26,FALSE)),0,VLOOKUP($A566,'13. Updated Demand'!A:Z,26,FALSE))</f>
        <v>2.02</v>
      </c>
      <c r="AJ566" s="16">
        <f t="shared" si="108"/>
        <v>24.24</v>
      </c>
      <c r="AK566" s="19">
        <v>10.125</v>
      </c>
      <c r="AL566" s="16">
        <f t="shared" si="106"/>
        <v>3.3583471654117035E-2</v>
      </c>
      <c r="AM566" s="17">
        <v>0.99999999999999967</v>
      </c>
      <c r="AN566" s="19"/>
      <c r="AO566" s="19"/>
      <c r="AP566" s="19">
        <v>24.3</v>
      </c>
      <c r="AQ566" s="19" t="s">
        <v>307</v>
      </c>
      <c r="AR566" s="9" t="s">
        <v>354</v>
      </c>
      <c r="AS566" s="12">
        <v>3.4039024194010059E-4</v>
      </c>
      <c r="AT566" s="19">
        <v>38.790790659999999</v>
      </c>
      <c r="AU566" s="19">
        <v>-123.0048922</v>
      </c>
      <c r="AV566" s="19" t="s">
        <v>548</v>
      </c>
    </row>
    <row r="567" spans="1:48" x14ac:dyDescent="0.25">
      <c r="A567" s="18" t="s">
        <v>954</v>
      </c>
      <c r="B567" s="10">
        <v>19780307</v>
      </c>
      <c r="C567" s="9">
        <v>3</v>
      </c>
      <c r="D567" s="8" t="str">
        <f t="shared" si="97"/>
        <v>N</v>
      </c>
      <c r="E567" s="8" t="str">
        <f t="shared" si="98"/>
        <v>N</v>
      </c>
      <c r="F567" s="8" t="str">
        <f t="shared" si="99"/>
        <v>Y</v>
      </c>
      <c r="G567" s="8" t="str">
        <f t="shared" si="100"/>
        <v>N</v>
      </c>
      <c r="H567" s="8" t="str">
        <f t="shared" si="101"/>
        <v>Upper</v>
      </c>
      <c r="I567" s="8" t="str">
        <f t="shared" si="102"/>
        <v>Outside</v>
      </c>
      <c r="J567" s="8" t="str">
        <f t="shared" si="103"/>
        <v>Outside</v>
      </c>
      <c r="K567" s="8" t="str">
        <f t="shared" si="104"/>
        <v>Post-1949</v>
      </c>
      <c r="L567" s="8">
        <f t="shared" si="105"/>
        <v>1978</v>
      </c>
      <c r="M567" s="8" t="str">
        <f t="shared" si="107"/>
        <v>1971-1990</v>
      </c>
      <c r="N567" s="10" t="s">
        <v>241</v>
      </c>
      <c r="O567" s="10" t="s">
        <v>241</v>
      </c>
      <c r="P567" s="10" t="s">
        <v>242</v>
      </c>
      <c r="Q567" s="10" t="s">
        <v>242</v>
      </c>
      <c r="R567" s="10" t="s">
        <v>241</v>
      </c>
      <c r="S567" s="10" t="s">
        <v>242</v>
      </c>
      <c r="T567" s="10" t="s">
        <v>242</v>
      </c>
      <c r="U567" s="10" t="s">
        <v>241</v>
      </c>
      <c r="V567" s="10" t="s">
        <v>241</v>
      </c>
      <c r="W567" s="10" t="s">
        <v>241</v>
      </c>
      <c r="X567" s="15">
        <f>IF(ISERROR(VLOOKUP($A567,'13. Updated Demand'!A:Z,15,FALSE)),0,VLOOKUP($A567,'13. Updated Demand'!A:Z,15,FALSE))</f>
        <v>0</v>
      </c>
      <c r="Y567" s="16">
        <f>IF(ISERROR(VLOOKUP($A567,'13. Updated Demand'!A:Z,16,FALSE)),0,VLOOKUP($A567,'13. Updated Demand'!A:Z,16,FALSE))</f>
        <v>0</v>
      </c>
      <c r="Z567" s="16">
        <f>IF(ISERROR(VLOOKUP($A567,'13. Updated Demand'!A:Z,17,FALSE)),0,VLOOKUP($A567,'13. Updated Demand'!A:Z,17,FALSE))</f>
        <v>0</v>
      </c>
      <c r="AA567" s="16">
        <f>IF(ISERROR(VLOOKUP($A567,'13. Updated Demand'!A:Z,18,FALSE)),0,VLOOKUP($A567,'13. Updated Demand'!A:Z,18,FALSE))</f>
        <v>0</v>
      </c>
      <c r="AB567" s="16">
        <f>IF(ISERROR(VLOOKUP($A567,'13. Updated Demand'!A:Z,19,FALSE)),0,VLOOKUP($A567,'13. Updated Demand'!A:Z,19,FALSE))</f>
        <v>0</v>
      </c>
      <c r="AC567" s="16">
        <f>IF(ISERROR(VLOOKUP($A567,'13. Updated Demand'!A:Z,20,FALSE)),0,VLOOKUP($A567,'13. Updated Demand'!A:Z,20,FALSE))</f>
        <v>0</v>
      </c>
      <c r="AD567" s="16">
        <f>IF(ISERROR(VLOOKUP($A567,'13. Updated Demand'!A:Z,21,FALSE)),0,VLOOKUP($A567,'13. Updated Demand'!A:Z,21,FALSE))</f>
        <v>0</v>
      </c>
      <c r="AE567" s="16">
        <f>IF(ISERROR(VLOOKUP($A567,'13. Updated Demand'!A:Z,22,FALSE)),0,VLOOKUP($A567,'13. Updated Demand'!A:Z,22,FALSE))</f>
        <v>0</v>
      </c>
      <c r="AF567" s="16">
        <f>IF(ISERROR(VLOOKUP($A567,'13. Updated Demand'!A:Z,23,FALSE)),0,VLOOKUP($A567,'13. Updated Demand'!A:Z,23,FALSE))</f>
        <v>0</v>
      </c>
      <c r="AG567" s="16">
        <f>IF(ISERROR(VLOOKUP($A567,'13. Updated Demand'!A:Z,24,FALSE)),0,VLOOKUP($A567,'13. Updated Demand'!A:Z,24,FALSE))</f>
        <v>0</v>
      </c>
      <c r="AH567" s="16">
        <f>IF(ISERROR(VLOOKUP($A567,'13. Updated Demand'!A:Z,25,FALSE)),0,VLOOKUP($A567,'13. Updated Demand'!A:Z,25,FALSE))</f>
        <v>0</v>
      </c>
      <c r="AI567" s="16">
        <f>IF(ISERROR(VLOOKUP($A567,'13. Updated Demand'!A:Z,26,FALSE)),0,VLOOKUP($A567,'13. Updated Demand'!A:Z,26,FALSE))</f>
        <v>0</v>
      </c>
      <c r="AJ567" s="16">
        <f t="shared" si="108"/>
        <v>0</v>
      </c>
      <c r="AK567" s="19">
        <v>0</v>
      </c>
      <c r="AL567" s="16">
        <f t="shared" si="106"/>
        <v>0</v>
      </c>
      <c r="AM567" s="17">
        <v>0</v>
      </c>
      <c r="AN567" s="19"/>
      <c r="AO567" s="19"/>
      <c r="AP567" s="19">
        <v>289591</v>
      </c>
      <c r="AQ567" s="19" t="s">
        <v>307</v>
      </c>
      <c r="AR567" s="9" t="s">
        <v>326</v>
      </c>
      <c r="AS567" s="12">
        <v>0</v>
      </c>
      <c r="AT567" s="19">
        <v>39.197992820000003</v>
      </c>
      <c r="AU567" s="19">
        <v>-123.18271</v>
      </c>
      <c r="AV567" s="19" t="s">
        <v>542</v>
      </c>
    </row>
    <row r="568" spans="1:48" x14ac:dyDescent="0.25">
      <c r="A568" s="18" t="s">
        <v>50</v>
      </c>
      <c r="B568" s="10">
        <v>19780313</v>
      </c>
      <c r="C568" s="9">
        <v>9</v>
      </c>
      <c r="D568" s="8" t="str">
        <f t="shared" si="97"/>
        <v>N</v>
      </c>
      <c r="E568" s="8" t="str">
        <f t="shared" si="98"/>
        <v>Y</v>
      </c>
      <c r="F568" s="8" t="str">
        <f t="shared" si="99"/>
        <v>Y</v>
      </c>
      <c r="G568" s="8" t="str">
        <f t="shared" si="100"/>
        <v>Y</v>
      </c>
      <c r="H568" s="8" t="str">
        <f t="shared" si="101"/>
        <v>Upper</v>
      </c>
      <c r="I568" s="8" t="str">
        <f t="shared" si="102"/>
        <v>West Fork and Below Lake</v>
      </c>
      <c r="J568" s="8" t="str">
        <f t="shared" si="103"/>
        <v>Sonoma (d/s of Clov. Gage)</v>
      </c>
      <c r="K568" s="8" t="str">
        <f t="shared" si="104"/>
        <v>Post-1949</v>
      </c>
      <c r="L568" s="8">
        <f t="shared" si="105"/>
        <v>1978</v>
      </c>
      <c r="M568" s="8" t="str">
        <f t="shared" si="107"/>
        <v>1971-1990</v>
      </c>
      <c r="N568" s="10" t="s">
        <v>241</v>
      </c>
      <c r="O568" s="10" t="s">
        <v>241</v>
      </c>
      <c r="P568" s="10" t="s">
        <v>242</v>
      </c>
      <c r="Q568" s="10" t="s">
        <v>242</v>
      </c>
      <c r="R568" s="10" t="s">
        <v>241</v>
      </c>
      <c r="S568" s="10" t="s">
        <v>242</v>
      </c>
      <c r="T568" s="10" t="s">
        <v>242</v>
      </c>
      <c r="U568" s="10" t="s">
        <v>242</v>
      </c>
      <c r="V568" s="10" t="s">
        <v>241</v>
      </c>
      <c r="W568" s="10" t="s">
        <v>242</v>
      </c>
      <c r="X568" s="15">
        <f>IF(ISERROR(VLOOKUP($A568,'13. Updated Demand'!A:Z,15,FALSE)),0,VLOOKUP($A568,'13. Updated Demand'!A:Z,15,FALSE))</f>
        <v>0.53</v>
      </c>
      <c r="Y568" s="16">
        <f>IF(ISERROR(VLOOKUP($A568,'13. Updated Demand'!A:Z,16,FALSE)),0,VLOOKUP($A568,'13. Updated Demand'!A:Z,16,FALSE))</f>
        <v>0.33</v>
      </c>
      <c r="Z568" s="16">
        <f>IF(ISERROR(VLOOKUP($A568,'13. Updated Demand'!A:Z,17,FALSE)),0,VLOOKUP($A568,'13. Updated Demand'!A:Z,17,FALSE))</f>
        <v>1.2</v>
      </c>
      <c r="AA568" s="16">
        <f>IF(ISERROR(VLOOKUP($A568,'13. Updated Demand'!A:Z,18,FALSE)),0,VLOOKUP($A568,'13. Updated Demand'!A:Z,18,FALSE))</f>
        <v>0</v>
      </c>
      <c r="AB568" s="16">
        <f>IF(ISERROR(VLOOKUP($A568,'13. Updated Demand'!A:Z,19,FALSE)),0,VLOOKUP($A568,'13. Updated Demand'!A:Z,19,FALSE))</f>
        <v>0</v>
      </c>
      <c r="AC568" s="16">
        <f>IF(ISERROR(VLOOKUP($A568,'13. Updated Demand'!A:Z,20,FALSE)),0,VLOOKUP($A568,'13. Updated Demand'!A:Z,20,FALSE))</f>
        <v>0</v>
      </c>
      <c r="AD568" s="16">
        <f>IF(ISERROR(VLOOKUP($A568,'13. Updated Demand'!A:Z,21,FALSE)),0,VLOOKUP($A568,'13. Updated Demand'!A:Z,21,FALSE))</f>
        <v>0</v>
      </c>
      <c r="AE568" s="16">
        <f>IF(ISERROR(VLOOKUP($A568,'13. Updated Demand'!A:Z,22,FALSE)),0,VLOOKUP($A568,'13. Updated Demand'!A:Z,22,FALSE))</f>
        <v>0</v>
      </c>
      <c r="AF568" s="16">
        <f>IF(ISERROR(VLOOKUP($A568,'13. Updated Demand'!A:Z,23,FALSE)),0,VLOOKUP($A568,'13. Updated Demand'!A:Z,23,FALSE))</f>
        <v>0</v>
      </c>
      <c r="AG568" s="16">
        <f>IF(ISERROR(VLOOKUP($A568,'13. Updated Demand'!A:Z,24,FALSE)),0,VLOOKUP($A568,'13. Updated Demand'!A:Z,24,FALSE))</f>
        <v>3.333333E-3</v>
      </c>
      <c r="AH568" s="16">
        <f>IF(ISERROR(VLOOKUP($A568,'13. Updated Demand'!A:Z,25,FALSE)),0,VLOOKUP($A568,'13. Updated Demand'!A:Z,25,FALSE))</f>
        <v>1.6</v>
      </c>
      <c r="AI568" s="16">
        <f>IF(ISERROR(VLOOKUP($A568,'13. Updated Demand'!A:Z,26,FALSE)),0,VLOOKUP($A568,'13. Updated Demand'!A:Z,26,FALSE))</f>
        <v>5</v>
      </c>
      <c r="AJ568" s="16">
        <f t="shared" si="108"/>
        <v>8.6633333330000006</v>
      </c>
      <c r="AK568" s="19">
        <v>0</v>
      </c>
      <c r="AL568" s="16">
        <f t="shared" si="106"/>
        <v>0</v>
      </c>
      <c r="AM568" s="17">
        <v>0.51019607835294112</v>
      </c>
      <c r="AN568" s="19"/>
      <c r="AO568" s="19"/>
      <c r="AP568" s="19">
        <v>17</v>
      </c>
      <c r="AQ568" s="19" t="s">
        <v>307</v>
      </c>
      <c r="AR568" s="9" t="s">
        <v>354</v>
      </c>
      <c r="AS568" s="12">
        <v>0</v>
      </c>
      <c r="AT568" s="19">
        <v>38.773723400000002</v>
      </c>
      <c r="AU568" s="19">
        <v>-122.97764049</v>
      </c>
      <c r="AV568" s="19" t="s">
        <v>417</v>
      </c>
    </row>
    <row r="569" spans="1:48" x14ac:dyDescent="0.25">
      <c r="A569" s="18" t="s">
        <v>955</v>
      </c>
      <c r="B569" s="10">
        <v>19780516</v>
      </c>
      <c r="C569" s="9">
        <v>1</v>
      </c>
      <c r="D569" s="8" t="str">
        <f t="shared" si="97"/>
        <v>N</v>
      </c>
      <c r="E569" s="8" t="str">
        <f t="shared" si="98"/>
        <v>N</v>
      </c>
      <c r="F569" s="8" t="str">
        <f t="shared" si="99"/>
        <v>Y</v>
      </c>
      <c r="G569" s="8" t="str">
        <f t="shared" si="100"/>
        <v>Y</v>
      </c>
      <c r="H569" s="8" t="str">
        <f t="shared" si="101"/>
        <v>Upper</v>
      </c>
      <c r="I569" s="8" t="str">
        <f t="shared" si="102"/>
        <v>West Fork and Below Lake</v>
      </c>
      <c r="J569" s="8" t="str">
        <f t="shared" si="103"/>
        <v>Outside</v>
      </c>
      <c r="K569" s="8" t="str">
        <f t="shared" si="104"/>
        <v>Post-1949</v>
      </c>
      <c r="L569" s="8">
        <f t="shared" si="105"/>
        <v>1978</v>
      </c>
      <c r="M569" s="8" t="str">
        <f t="shared" si="107"/>
        <v>1971-1990</v>
      </c>
      <c r="N569" s="10" t="s">
        <v>242</v>
      </c>
      <c r="O569" s="10" t="s">
        <v>241</v>
      </c>
      <c r="P569" s="10" t="s">
        <v>242</v>
      </c>
      <c r="Q569" s="10" t="s">
        <v>242</v>
      </c>
      <c r="R569" s="10" t="s">
        <v>241</v>
      </c>
      <c r="S569" s="10" t="s">
        <v>242</v>
      </c>
      <c r="T569" s="10" t="s">
        <v>242</v>
      </c>
      <c r="U569" s="10" t="s">
        <v>242</v>
      </c>
      <c r="V569" s="10" t="s">
        <v>241</v>
      </c>
      <c r="W569" s="10" t="s">
        <v>242</v>
      </c>
      <c r="X569" s="15">
        <f>IF(ISERROR(VLOOKUP($A569,'13. Updated Demand'!A:Z,15,FALSE)),0,VLOOKUP($A569,'13. Updated Demand'!A:Z,15,FALSE))</f>
        <v>8.6</v>
      </c>
      <c r="Y569" s="16">
        <f>IF(ISERROR(VLOOKUP($A569,'13. Updated Demand'!A:Z,16,FALSE)),0,VLOOKUP($A569,'13. Updated Demand'!A:Z,16,FALSE))</f>
        <v>0</v>
      </c>
      <c r="Z569" s="16">
        <f>IF(ISERROR(VLOOKUP($A569,'13. Updated Demand'!A:Z,17,FALSE)),0,VLOOKUP($A569,'13. Updated Demand'!A:Z,17,FALSE))</f>
        <v>0</v>
      </c>
      <c r="AA569" s="16">
        <f>IF(ISERROR(VLOOKUP($A569,'13. Updated Demand'!A:Z,18,FALSE)),0,VLOOKUP($A569,'13. Updated Demand'!A:Z,18,FALSE))</f>
        <v>0</v>
      </c>
      <c r="AB569" s="16">
        <f>IF(ISERROR(VLOOKUP($A569,'13. Updated Demand'!A:Z,19,FALSE)),0,VLOOKUP($A569,'13. Updated Demand'!A:Z,19,FALSE))</f>
        <v>0</v>
      </c>
      <c r="AC569" s="16">
        <f>IF(ISERROR(VLOOKUP($A569,'13. Updated Demand'!A:Z,20,FALSE)),0,VLOOKUP($A569,'13. Updated Demand'!A:Z,20,FALSE))</f>
        <v>0</v>
      </c>
      <c r="AD569" s="16">
        <f>IF(ISERROR(VLOOKUP($A569,'13. Updated Demand'!A:Z,21,FALSE)),0,VLOOKUP($A569,'13. Updated Demand'!A:Z,21,FALSE))</f>
        <v>0</v>
      </c>
      <c r="AE569" s="16">
        <f>IF(ISERROR(VLOOKUP($A569,'13. Updated Demand'!A:Z,22,FALSE)),0,VLOOKUP($A569,'13. Updated Demand'!A:Z,22,FALSE))</f>
        <v>0</v>
      </c>
      <c r="AF569" s="16">
        <f>IF(ISERROR(VLOOKUP($A569,'13. Updated Demand'!A:Z,23,FALSE)),0,VLOOKUP($A569,'13. Updated Demand'!A:Z,23,FALSE))</f>
        <v>0</v>
      </c>
      <c r="AG569" s="16">
        <f>IF(ISERROR(VLOOKUP($A569,'13. Updated Demand'!A:Z,24,FALSE)),0,VLOOKUP($A569,'13. Updated Demand'!A:Z,24,FALSE))</f>
        <v>0</v>
      </c>
      <c r="AH569" s="16">
        <f>IF(ISERROR(VLOOKUP($A569,'13. Updated Demand'!A:Z,25,FALSE)),0,VLOOKUP($A569,'13. Updated Demand'!A:Z,25,FALSE))</f>
        <v>0</v>
      </c>
      <c r="AI569" s="16">
        <f>IF(ISERROR(VLOOKUP($A569,'13. Updated Demand'!A:Z,26,FALSE)),0,VLOOKUP($A569,'13. Updated Demand'!A:Z,26,FALSE))</f>
        <v>0</v>
      </c>
      <c r="AJ569" s="16">
        <f t="shared" si="108"/>
        <v>8.6</v>
      </c>
      <c r="AK569" s="19">
        <v>0</v>
      </c>
      <c r="AL569" s="16">
        <f t="shared" si="106"/>
        <v>0</v>
      </c>
      <c r="AM569" s="17">
        <v>1</v>
      </c>
      <c r="AN569" s="19"/>
      <c r="AO569" s="19"/>
      <c r="AP569" s="19">
        <v>8.6</v>
      </c>
      <c r="AQ569" s="19" t="s">
        <v>307</v>
      </c>
      <c r="AR569" s="9" t="s">
        <v>317</v>
      </c>
      <c r="AS569" s="12">
        <v>0</v>
      </c>
      <c r="AT569" s="19">
        <v>39.270255980000002</v>
      </c>
      <c r="AU569" s="19">
        <v>-123.17809018</v>
      </c>
      <c r="AV569" s="19" t="s">
        <v>417</v>
      </c>
    </row>
    <row r="570" spans="1:48" x14ac:dyDescent="0.25">
      <c r="A570" s="18" t="s">
        <v>956</v>
      </c>
      <c r="B570" s="10">
        <v>19780526</v>
      </c>
      <c r="C570" s="9">
        <v>6</v>
      </c>
      <c r="D570" s="8" t="str">
        <f t="shared" si="97"/>
        <v>Y</v>
      </c>
      <c r="E570" s="8" t="str">
        <f t="shared" si="98"/>
        <v>N</v>
      </c>
      <c r="F570" s="8" t="str">
        <f t="shared" si="99"/>
        <v>Y</v>
      </c>
      <c r="G570" s="8" t="str">
        <f t="shared" si="100"/>
        <v>Y</v>
      </c>
      <c r="H570" s="8" t="str">
        <f t="shared" si="101"/>
        <v>Upper</v>
      </c>
      <c r="I570" s="8" t="str">
        <f t="shared" si="102"/>
        <v>West Fork and Below Lake</v>
      </c>
      <c r="J570" s="8" t="str">
        <f t="shared" si="103"/>
        <v>Mendocino (d/s of lake)</v>
      </c>
      <c r="K570" s="8" t="str">
        <f t="shared" si="104"/>
        <v>Post-1949</v>
      </c>
      <c r="L570" s="8">
        <f t="shared" si="105"/>
        <v>1978</v>
      </c>
      <c r="M570" s="8" t="str">
        <f t="shared" si="107"/>
        <v>1971-1990</v>
      </c>
      <c r="N570" s="10" t="s">
        <v>242</v>
      </c>
      <c r="O570" s="10" t="s">
        <v>241</v>
      </c>
      <c r="P570" s="10" t="s">
        <v>242</v>
      </c>
      <c r="Q570" s="10" t="s">
        <v>242</v>
      </c>
      <c r="R570" s="10" t="s">
        <v>241</v>
      </c>
      <c r="S570" s="10" t="s">
        <v>242</v>
      </c>
      <c r="T570" s="10" t="s">
        <v>242</v>
      </c>
      <c r="U570" s="10" t="s">
        <v>242</v>
      </c>
      <c r="V570" s="10" t="s">
        <v>241</v>
      </c>
      <c r="W570" s="10" t="s">
        <v>242</v>
      </c>
      <c r="X570" s="15">
        <f>IF(ISERROR(VLOOKUP($A570,'13. Updated Demand'!A:Z,15,FALSE)),0,VLOOKUP($A570,'13. Updated Demand'!A:Z,15,FALSE))</f>
        <v>0.33</v>
      </c>
      <c r="Y570" s="16">
        <f>IF(ISERROR(VLOOKUP($A570,'13. Updated Demand'!A:Z,16,FALSE)),0,VLOOKUP($A570,'13. Updated Demand'!A:Z,16,FALSE))</f>
        <v>2</v>
      </c>
      <c r="Z570" s="16">
        <f>IF(ISERROR(VLOOKUP($A570,'13. Updated Demand'!A:Z,17,FALSE)),0,VLOOKUP($A570,'13. Updated Demand'!A:Z,17,FALSE))</f>
        <v>0</v>
      </c>
      <c r="AA570" s="16">
        <f>IF(ISERROR(VLOOKUP($A570,'13. Updated Demand'!A:Z,18,FALSE)),0,VLOOKUP($A570,'13. Updated Demand'!A:Z,18,FALSE))</f>
        <v>0</v>
      </c>
      <c r="AB570" s="16">
        <f>IF(ISERROR(VLOOKUP($A570,'13. Updated Demand'!A:Z,19,FALSE)),0,VLOOKUP($A570,'13. Updated Demand'!A:Z,19,FALSE))</f>
        <v>0</v>
      </c>
      <c r="AC570" s="16">
        <f>IF(ISERROR(VLOOKUP($A570,'13. Updated Demand'!A:Z,20,FALSE)),0,VLOOKUP($A570,'13. Updated Demand'!A:Z,20,FALSE))</f>
        <v>0</v>
      </c>
      <c r="AD570" s="16">
        <f>IF(ISERROR(VLOOKUP($A570,'13. Updated Demand'!A:Z,21,FALSE)),0,VLOOKUP($A570,'13. Updated Demand'!A:Z,21,FALSE))</f>
        <v>0</v>
      </c>
      <c r="AE570" s="16">
        <f>IF(ISERROR(VLOOKUP($A570,'13. Updated Demand'!A:Z,22,FALSE)),0,VLOOKUP($A570,'13. Updated Demand'!A:Z,22,FALSE))</f>
        <v>0</v>
      </c>
      <c r="AF570" s="16">
        <f>IF(ISERROR(VLOOKUP($A570,'13. Updated Demand'!A:Z,23,FALSE)),0,VLOOKUP($A570,'13. Updated Demand'!A:Z,23,FALSE))</f>
        <v>0</v>
      </c>
      <c r="AG570" s="16">
        <f>IF(ISERROR(VLOOKUP($A570,'13. Updated Demand'!A:Z,24,FALSE)),0,VLOOKUP($A570,'13. Updated Demand'!A:Z,24,FALSE))</f>
        <v>0</v>
      </c>
      <c r="AH570" s="16">
        <f>IF(ISERROR(VLOOKUP($A570,'13. Updated Demand'!A:Z,25,FALSE)),0,VLOOKUP($A570,'13. Updated Demand'!A:Z,25,FALSE))</f>
        <v>0.86</v>
      </c>
      <c r="AI570" s="16">
        <f>IF(ISERROR(VLOOKUP($A570,'13. Updated Demand'!A:Z,26,FALSE)),0,VLOOKUP($A570,'13. Updated Demand'!A:Z,26,FALSE))</f>
        <v>0.26</v>
      </c>
      <c r="AJ570" s="16">
        <f t="shared" si="108"/>
        <v>3.45</v>
      </c>
      <c r="AK570" s="19">
        <v>0</v>
      </c>
      <c r="AL570" s="16">
        <f t="shared" si="106"/>
        <v>0</v>
      </c>
      <c r="AM570" s="17">
        <v>0.20634920636904761</v>
      </c>
      <c r="AN570" s="19"/>
      <c r="AO570" s="19"/>
      <c r="AP570" s="19">
        <v>16.8</v>
      </c>
      <c r="AQ570" s="19" t="s">
        <v>307</v>
      </c>
      <c r="AR570" s="9" t="s">
        <v>319</v>
      </c>
      <c r="AS570" s="12">
        <v>0</v>
      </c>
      <c r="AT570" s="19">
        <v>38.979863330000001</v>
      </c>
      <c r="AU570" s="19">
        <v>-123.15163484999999</v>
      </c>
      <c r="AV570" s="19" t="s">
        <v>417</v>
      </c>
    </row>
    <row r="571" spans="1:48" x14ac:dyDescent="0.25">
      <c r="A571" s="18" t="s">
        <v>957</v>
      </c>
      <c r="B571" s="10">
        <v>19780526</v>
      </c>
      <c r="C571" s="9">
        <v>6</v>
      </c>
      <c r="D571" s="8" t="str">
        <f t="shared" si="97"/>
        <v>Y</v>
      </c>
      <c r="E571" s="8" t="str">
        <f t="shared" si="98"/>
        <v>N</v>
      </c>
      <c r="F571" s="8" t="str">
        <f t="shared" si="99"/>
        <v>Y</v>
      </c>
      <c r="G571" s="8" t="str">
        <f t="shared" si="100"/>
        <v>Y</v>
      </c>
      <c r="H571" s="8" t="str">
        <f t="shared" si="101"/>
        <v>Upper</v>
      </c>
      <c r="I571" s="8" t="str">
        <f t="shared" si="102"/>
        <v>West Fork and Below Lake</v>
      </c>
      <c r="J571" s="8" t="str">
        <f t="shared" si="103"/>
        <v>Mendocino (d/s of lake)</v>
      </c>
      <c r="K571" s="8" t="str">
        <f t="shared" si="104"/>
        <v>Post-1949</v>
      </c>
      <c r="L571" s="8">
        <f t="shared" si="105"/>
        <v>1978</v>
      </c>
      <c r="M571" s="8" t="str">
        <f t="shared" si="107"/>
        <v>1971-1990</v>
      </c>
      <c r="N571" s="10" t="s">
        <v>242</v>
      </c>
      <c r="O571" s="10" t="s">
        <v>241</v>
      </c>
      <c r="P571" s="10" t="s">
        <v>242</v>
      </c>
      <c r="Q571" s="10" t="s">
        <v>242</v>
      </c>
      <c r="R571" s="10" t="s">
        <v>241</v>
      </c>
      <c r="S571" s="10" t="s">
        <v>242</v>
      </c>
      <c r="T571" s="10" t="s">
        <v>242</v>
      </c>
      <c r="U571" s="10" t="s">
        <v>241</v>
      </c>
      <c r="V571" s="10" t="s">
        <v>241</v>
      </c>
      <c r="W571" s="10" t="s">
        <v>242</v>
      </c>
      <c r="X571" s="15">
        <f>IF(ISERROR(VLOOKUP($A571,'13. Updated Demand'!A:Z,15,FALSE)),0,VLOOKUP($A571,'13. Updated Demand'!A:Z,15,FALSE))</f>
        <v>0</v>
      </c>
      <c r="Y571" s="16">
        <f>IF(ISERROR(VLOOKUP($A571,'13. Updated Demand'!A:Z,16,FALSE)),0,VLOOKUP($A571,'13. Updated Demand'!A:Z,16,FALSE))</f>
        <v>0</v>
      </c>
      <c r="Z571" s="16">
        <f>IF(ISERROR(VLOOKUP($A571,'13. Updated Demand'!A:Z,17,FALSE)),0,VLOOKUP($A571,'13. Updated Demand'!A:Z,17,FALSE))</f>
        <v>0</v>
      </c>
      <c r="AA571" s="16">
        <f>IF(ISERROR(VLOOKUP($A571,'13. Updated Demand'!A:Z,18,FALSE)),0,VLOOKUP($A571,'13. Updated Demand'!A:Z,18,FALSE))</f>
        <v>0</v>
      </c>
      <c r="AB571" s="16">
        <f>IF(ISERROR(VLOOKUP($A571,'13. Updated Demand'!A:Z,19,FALSE)),0,VLOOKUP($A571,'13. Updated Demand'!A:Z,19,FALSE))</f>
        <v>0</v>
      </c>
      <c r="AC571" s="16">
        <f>IF(ISERROR(VLOOKUP($A571,'13. Updated Demand'!A:Z,20,FALSE)),0,VLOOKUP($A571,'13. Updated Demand'!A:Z,20,FALSE))</f>
        <v>0</v>
      </c>
      <c r="AD571" s="16">
        <f>IF(ISERROR(VLOOKUP($A571,'13. Updated Demand'!A:Z,21,FALSE)),0,VLOOKUP($A571,'13. Updated Demand'!A:Z,21,FALSE))</f>
        <v>0</v>
      </c>
      <c r="AE571" s="16">
        <f>IF(ISERROR(VLOOKUP($A571,'13. Updated Demand'!A:Z,22,FALSE)),0,VLOOKUP($A571,'13. Updated Demand'!A:Z,22,FALSE))</f>
        <v>0</v>
      </c>
      <c r="AF571" s="16">
        <f>IF(ISERROR(VLOOKUP($A571,'13. Updated Demand'!A:Z,23,FALSE)),0,VLOOKUP($A571,'13. Updated Demand'!A:Z,23,FALSE))</f>
        <v>0</v>
      </c>
      <c r="AG571" s="16">
        <f>IF(ISERROR(VLOOKUP($A571,'13. Updated Demand'!A:Z,24,FALSE)),0,VLOOKUP($A571,'13. Updated Demand'!A:Z,24,FALSE))</f>
        <v>0</v>
      </c>
      <c r="AH571" s="16">
        <f>IF(ISERROR(VLOOKUP($A571,'13. Updated Demand'!A:Z,25,FALSE)),0,VLOOKUP($A571,'13. Updated Demand'!A:Z,25,FALSE))</f>
        <v>0</v>
      </c>
      <c r="AI571" s="16">
        <f>IF(ISERROR(VLOOKUP($A571,'13. Updated Demand'!A:Z,26,FALSE)),0,VLOOKUP($A571,'13. Updated Demand'!A:Z,26,FALSE))</f>
        <v>0</v>
      </c>
      <c r="AJ571" s="16">
        <f t="shared" si="108"/>
        <v>0</v>
      </c>
      <c r="AK571" s="19">
        <v>0</v>
      </c>
      <c r="AL571" s="16">
        <f t="shared" si="106"/>
        <v>0</v>
      </c>
      <c r="AM571" s="17">
        <v>0</v>
      </c>
      <c r="AN571" s="19"/>
      <c r="AO571" s="19"/>
      <c r="AP571" s="19">
        <v>26</v>
      </c>
      <c r="AQ571" s="19" t="s">
        <v>307</v>
      </c>
      <c r="AR571" s="9" t="s">
        <v>319</v>
      </c>
      <c r="AS571" s="12">
        <v>0</v>
      </c>
      <c r="AT571" s="19">
        <v>38.979863330000001</v>
      </c>
      <c r="AU571" s="19">
        <v>-123.15163484999999</v>
      </c>
      <c r="AV571" s="19" t="s">
        <v>417</v>
      </c>
    </row>
    <row r="572" spans="1:48" x14ac:dyDescent="0.25">
      <c r="A572" s="18" t="s">
        <v>958</v>
      </c>
      <c r="B572" s="10">
        <v>19780615</v>
      </c>
      <c r="C572" s="9">
        <v>9</v>
      </c>
      <c r="D572" s="8" t="str">
        <f t="shared" si="97"/>
        <v>N</v>
      </c>
      <c r="E572" s="8" t="str">
        <f t="shared" si="98"/>
        <v>Y</v>
      </c>
      <c r="F572" s="8" t="str">
        <f t="shared" si="99"/>
        <v>Y</v>
      </c>
      <c r="G572" s="8" t="str">
        <f t="shared" si="100"/>
        <v>Y</v>
      </c>
      <c r="H572" s="8" t="str">
        <f t="shared" si="101"/>
        <v>Upper</v>
      </c>
      <c r="I572" s="8" t="str">
        <f t="shared" si="102"/>
        <v>West Fork and Below Lake</v>
      </c>
      <c r="J572" s="8" t="str">
        <f t="shared" si="103"/>
        <v>Sonoma (d/s of Clov. Gage)</v>
      </c>
      <c r="K572" s="8" t="str">
        <f t="shared" si="104"/>
        <v>Post-1949</v>
      </c>
      <c r="L572" s="8">
        <f t="shared" si="105"/>
        <v>1978</v>
      </c>
      <c r="M572" s="8" t="str">
        <f t="shared" si="107"/>
        <v>1971-1990</v>
      </c>
      <c r="N572" s="10" t="s">
        <v>242</v>
      </c>
      <c r="O572" s="10" t="s">
        <v>241</v>
      </c>
      <c r="P572" s="10" t="s">
        <v>242</v>
      </c>
      <c r="Q572" s="10" t="s">
        <v>242</v>
      </c>
      <c r="R572" s="10" t="s">
        <v>241</v>
      </c>
      <c r="S572" s="10" t="s">
        <v>242</v>
      </c>
      <c r="T572" s="10" t="s">
        <v>242</v>
      </c>
      <c r="U572" s="10" t="s">
        <v>242</v>
      </c>
      <c r="V572" s="10" t="s">
        <v>241</v>
      </c>
      <c r="W572" s="10" t="s">
        <v>242</v>
      </c>
      <c r="X572" s="15">
        <f>IF(ISERROR(VLOOKUP($A572,'13. Updated Demand'!A:Z,15,FALSE)),0,VLOOKUP($A572,'13. Updated Demand'!A:Z,15,FALSE))</f>
        <v>1.33</v>
      </c>
      <c r="Y572" s="16">
        <f>IF(ISERROR(VLOOKUP($A572,'13. Updated Demand'!A:Z,16,FALSE)),0,VLOOKUP($A572,'13. Updated Demand'!A:Z,16,FALSE))</f>
        <v>1</v>
      </c>
      <c r="Z572" s="16">
        <f>IF(ISERROR(VLOOKUP($A572,'13. Updated Demand'!A:Z,17,FALSE)),0,VLOOKUP($A572,'13. Updated Demand'!A:Z,17,FALSE))</f>
        <v>0</v>
      </c>
      <c r="AA572" s="16">
        <f>IF(ISERROR(VLOOKUP($A572,'13. Updated Demand'!A:Z,18,FALSE)),0,VLOOKUP($A572,'13. Updated Demand'!A:Z,18,FALSE))</f>
        <v>0</v>
      </c>
      <c r="AB572" s="16">
        <f>IF(ISERROR(VLOOKUP($A572,'13. Updated Demand'!A:Z,19,FALSE)),0,VLOOKUP($A572,'13. Updated Demand'!A:Z,19,FALSE))</f>
        <v>0</v>
      </c>
      <c r="AC572" s="16">
        <f>IF(ISERROR(VLOOKUP($A572,'13. Updated Demand'!A:Z,20,FALSE)),0,VLOOKUP($A572,'13. Updated Demand'!A:Z,20,FALSE))</f>
        <v>0</v>
      </c>
      <c r="AD572" s="16">
        <f>IF(ISERROR(VLOOKUP($A572,'13. Updated Demand'!A:Z,21,FALSE)),0,VLOOKUP($A572,'13. Updated Demand'!A:Z,21,FALSE))</f>
        <v>0</v>
      </c>
      <c r="AE572" s="16">
        <f>IF(ISERROR(VLOOKUP($A572,'13. Updated Demand'!A:Z,22,FALSE)),0,VLOOKUP($A572,'13. Updated Demand'!A:Z,22,FALSE))</f>
        <v>0</v>
      </c>
      <c r="AF572" s="16">
        <f>IF(ISERROR(VLOOKUP($A572,'13. Updated Demand'!A:Z,23,FALSE)),0,VLOOKUP($A572,'13. Updated Demand'!A:Z,23,FALSE))</f>
        <v>0</v>
      </c>
      <c r="AG572" s="16">
        <f>IF(ISERROR(VLOOKUP($A572,'13. Updated Demand'!A:Z,24,FALSE)),0,VLOOKUP($A572,'13. Updated Demand'!A:Z,24,FALSE))</f>
        <v>0</v>
      </c>
      <c r="AH572" s="16">
        <f>IF(ISERROR(VLOOKUP($A572,'13. Updated Demand'!A:Z,25,FALSE)),0,VLOOKUP($A572,'13. Updated Demand'!A:Z,25,FALSE))</f>
        <v>5.33</v>
      </c>
      <c r="AI572" s="16">
        <f>IF(ISERROR(VLOOKUP($A572,'13. Updated Demand'!A:Z,26,FALSE)),0,VLOOKUP($A572,'13. Updated Demand'!A:Z,26,FALSE))</f>
        <v>3.16</v>
      </c>
      <c r="AJ572" s="16">
        <f t="shared" si="108"/>
        <v>10.82</v>
      </c>
      <c r="AK572" s="19">
        <v>0</v>
      </c>
      <c r="AL572" s="16">
        <f t="shared" si="106"/>
        <v>0</v>
      </c>
      <c r="AM572" s="17">
        <v>0.67708333333333315</v>
      </c>
      <c r="AN572" s="19"/>
      <c r="AO572" s="19"/>
      <c r="AP572" s="19">
        <v>16</v>
      </c>
      <c r="AQ572" s="19" t="s">
        <v>307</v>
      </c>
      <c r="AR572" s="9" t="s">
        <v>354</v>
      </c>
      <c r="AS572" s="12">
        <v>0</v>
      </c>
      <c r="AT572" s="19">
        <v>38.735450219999997</v>
      </c>
      <c r="AU572" s="19">
        <v>-122.95713109</v>
      </c>
      <c r="AV572" s="19" t="s">
        <v>417</v>
      </c>
    </row>
    <row r="573" spans="1:48" x14ac:dyDescent="0.25">
      <c r="A573" s="18" t="s">
        <v>959</v>
      </c>
      <c r="B573" s="10">
        <v>19780627</v>
      </c>
      <c r="C573" s="9">
        <v>23</v>
      </c>
      <c r="D573" s="8" t="str">
        <f t="shared" si="97"/>
        <v>N</v>
      </c>
      <c r="E573" s="8" t="str">
        <f t="shared" si="98"/>
        <v>N</v>
      </c>
      <c r="F573" s="8" t="str">
        <f t="shared" si="99"/>
        <v>N</v>
      </c>
      <c r="G573" s="8" t="str">
        <f t="shared" si="100"/>
        <v>N</v>
      </c>
      <c r="H573" s="8" t="str">
        <f t="shared" si="101"/>
        <v>Lower</v>
      </c>
      <c r="I573" s="8" t="str">
        <f t="shared" si="102"/>
        <v>Outside</v>
      </c>
      <c r="J573" s="8" t="str">
        <f t="shared" si="103"/>
        <v>Outside</v>
      </c>
      <c r="K573" s="8" t="str">
        <f t="shared" si="104"/>
        <v>Post-1949</v>
      </c>
      <c r="L573" s="8">
        <f t="shared" si="105"/>
        <v>1978</v>
      </c>
      <c r="M573" s="8" t="str">
        <f t="shared" si="107"/>
        <v>1971-1990</v>
      </c>
      <c r="N573" s="10" t="s">
        <v>242</v>
      </c>
      <c r="O573" s="10" t="s">
        <v>242</v>
      </c>
      <c r="P573" s="10" t="s">
        <v>242</v>
      </c>
      <c r="Q573" s="10" t="s">
        <v>242</v>
      </c>
      <c r="R573" s="10" t="s">
        <v>241</v>
      </c>
      <c r="S573" s="10" t="s">
        <v>242</v>
      </c>
      <c r="T573" s="10" t="s">
        <v>242</v>
      </c>
      <c r="U573" s="10" t="s">
        <v>242</v>
      </c>
      <c r="V573" s="10" t="s">
        <v>241</v>
      </c>
      <c r="W573" s="10" t="s">
        <v>242</v>
      </c>
      <c r="X573" s="15">
        <f>IF(ISERROR(VLOOKUP($A573,'13. Updated Demand'!A:Z,15,FALSE)),0,VLOOKUP($A573,'13. Updated Demand'!A:Z,15,FALSE))</f>
        <v>0</v>
      </c>
      <c r="Y573" s="16">
        <f>IF(ISERROR(VLOOKUP($A573,'13. Updated Demand'!A:Z,16,FALSE)),0,VLOOKUP($A573,'13. Updated Demand'!A:Z,16,FALSE))</f>
        <v>0</v>
      </c>
      <c r="Z573" s="16">
        <f>IF(ISERROR(VLOOKUP($A573,'13. Updated Demand'!A:Z,17,FALSE)),0,VLOOKUP($A573,'13. Updated Demand'!A:Z,17,FALSE))</f>
        <v>0</v>
      </c>
      <c r="AA573" s="16">
        <f>IF(ISERROR(VLOOKUP($A573,'13. Updated Demand'!A:Z,18,FALSE)),0,VLOOKUP($A573,'13. Updated Demand'!A:Z,18,FALSE))</f>
        <v>0</v>
      </c>
      <c r="AB573" s="16">
        <f>IF(ISERROR(VLOOKUP($A573,'13. Updated Demand'!A:Z,19,FALSE)),0,VLOOKUP($A573,'13. Updated Demand'!A:Z,19,FALSE))</f>
        <v>0</v>
      </c>
      <c r="AC573" s="16">
        <f>IF(ISERROR(VLOOKUP($A573,'13. Updated Demand'!A:Z,20,FALSE)),0,VLOOKUP($A573,'13. Updated Demand'!A:Z,20,FALSE))</f>
        <v>0</v>
      </c>
      <c r="AD573" s="16">
        <f>IF(ISERROR(VLOOKUP($A573,'13. Updated Demand'!A:Z,21,FALSE)),0,VLOOKUP($A573,'13. Updated Demand'!A:Z,21,FALSE))</f>
        <v>0</v>
      </c>
      <c r="AE573" s="16">
        <f>IF(ISERROR(VLOOKUP($A573,'13. Updated Demand'!A:Z,22,FALSE)),0,VLOOKUP($A573,'13. Updated Demand'!A:Z,22,FALSE))</f>
        <v>0</v>
      </c>
      <c r="AF573" s="16">
        <f>IF(ISERROR(VLOOKUP($A573,'13. Updated Demand'!A:Z,23,FALSE)),0,VLOOKUP($A573,'13. Updated Demand'!A:Z,23,FALSE))</f>
        <v>0</v>
      </c>
      <c r="AG573" s="16">
        <f>IF(ISERROR(VLOOKUP($A573,'13. Updated Demand'!A:Z,24,FALSE)),0,VLOOKUP($A573,'13. Updated Demand'!A:Z,24,FALSE))</f>
        <v>0</v>
      </c>
      <c r="AH573" s="16">
        <f>IF(ISERROR(VLOOKUP($A573,'13. Updated Demand'!A:Z,25,FALSE)),0,VLOOKUP($A573,'13. Updated Demand'!A:Z,25,FALSE))</f>
        <v>3.333333E-3</v>
      </c>
      <c r="AI573" s="16">
        <f>IF(ISERROR(VLOOKUP($A573,'13. Updated Demand'!A:Z,26,FALSE)),0,VLOOKUP($A573,'13. Updated Demand'!A:Z,26,FALSE))</f>
        <v>0.46333333300000001</v>
      </c>
      <c r="AJ573" s="16">
        <f t="shared" si="108"/>
        <v>0.46666666600000001</v>
      </c>
      <c r="AK573" s="19">
        <v>0</v>
      </c>
      <c r="AL573" s="16">
        <f t="shared" si="106"/>
        <v>0</v>
      </c>
      <c r="AM573" s="17">
        <v>8.484848472727273E-2</v>
      </c>
      <c r="AN573" s="19"/>
      <c r="AO573" s="19"/>
      <c r="AP573" s="19">
        <v>5.5</v>
      </c>
      <c r="AQ573" s="19" t="s">
        <v>307</v>
      </c>
      <c r="AR573" s="9" t="s">
        <v>323</v>
      </c>
      <c r="AS573" s="12">
        <v>0</v>
      </c>
      <c r="AT573" s="19">
        <v>38.524043390000003</v>
      </c>
      <c r="AU573" s="19">
        <v>-122.57747565</v>
      </c>
      <c r="AV573" s="19" t="s">
        <v>417</v>
      </c>
    </row>
    <row r="574" spans="1:48" x14ac:dyDescent="0.25">
      <c r="A574" s="18" t="s">
        <v>960</v>
      </c>
      <c r="B574" s="10">
        <v>19780912</v>
      </c>
      <c r="C574" s="9">
        <v>6</v>
      </c>
      <c r="D574" s="8" t="str">
        <f t="shared" si="97"/>
        <v>Y</v>
      </c>
      <c r="E574" s="8" t="str">
        <f t="shared" si="98"/>
        <v>N</v>
      </c>
      <c r="F574" s="8" t="str">
        <f t="shared" si="99"/>
        <v>Y</v>
      </c>
      <c r="G574" s="8" t="str">
        <f t="shared" si="100"/>
        <v>Y</v>
      </c>
      <c r="H574" s="8" t="str">
        <f t="shared" si="101"/>
        <v>Upper</v>
      </c>
      <c r="I574" s="8" t="str">
        <f t="shared" si="102"/>
        <v>West Fork and Below Lake</v>
      </c>
      <c r="J574" s="8" t="str">
        <f t="shared" si="103"/>
        <v>Mendocino (d/s of lake)</v>
      </c>
      <c r="K574" s="8" t="str">
        <f t="shared" si="104"/>
        <v>Post-1949</v>
      </c>
      <c r="L574" s="8">
        <f t="shared" si="105"/>
        <v>1978</v>
      </c>
      <c r="M574" s="8" t="str">
        <f t="shared" si="107"/>
        <v>1971-1990</v>
      </c>
      <c r="N574" s="10" t="s">
        <v>241</v>
      </c>
      <c r="O574" s="10" t="s">
        <v>241</v>
      </c>
      <c r="P574" s="10" t="s">
        <v>242</v>
      </c>
      <c r="Q574" s="10" t="s">
        <v>242</v>
      </c>
      <c r="R574" s="10" t="s">
        <v>241</v>
      </c>
      <c r="S574" s="10" t="s">
        <v>242</v>
      </c>
      <c r="T574" s="10" t="s">
        <v>242</v>
      </c>
      <c r="U574" s="10" t="s">
        <v>242</v>
      </c>
      <c r="V574" s="10" t="s">
        <v>242</v>
      </c>
      <c r="W574" s="10" t="s">
        <v>242</v>
      </c>
      <c r="X574" s="15">
        <f>IF(ISERROR(VLOOKUP($A574,'13. Updated Demand'!A:Z,15,FALSE)),0,VLOOKUP($A574,'13. Updated Demand'!A:Z,15,FALSE))</f>
        <v>0</v>
      </c>
      <c r="Y574" s="16">
        <f>IF(ISERROR(VLOOKUP($A574,'13. Updated Demand'!A:Z,16,FALSE)),0,VLOOKUP($A574,'13. Updated Demand'!A:Z,16,FALSE))</f>
        <v>0</v>
      </c>
      <c r="Z574" s="16">
        <f>IF(ISERROR(VLOOKUP($A574,'13. Updated Demand'!A:Z,17,FALSE)),0,VLOOKUP($A574,'13. Updated Demand'!A:Z,17,FALSE))</f>
        <v>0</v>
      </c>
      <c r="AA574" s="16">
        <f>IF(ISERROR(VLOOKUP($A574,'13. Updated Demand'!A:Z,18,FALSE)),0,VLOOKUP($A574,'13. Updated Demand'!A:Z,18,FALSE))</f>
        <v>0</v>
      </c>
      <c r="AB574" s="16">
        <f>IF(ISERROR(VLOOKUP($A574,'13. Updated Demand'!A:Z,19,FALSE)),0,VLOOKUP($A574,'13. Updated Demand'!A:Z,19,FALSE))</f>
        <v>1.25</v>
      </c>
      <c r="AC574" s="16">
        <f>IF(ISERROR(VLOOKUP($A574,'13. Updated Demand'!A:Z,20,FALSE)),0,VLOOKUP($A574,'13. Updated Demand'!A:Z,20,FALSE))</f>
        <v>13</v>
      </c>
      <c r="AD574" s="16">
        <f>IF(ISERROR(VLOOKUP($A574,'13. Updated Demand'!A:Z,21,FALSE)),0,VLOOKUP($A574,'13. Updated Demand'!A:Z,21,FALSE))</f>
        <v>10.76</v>
      </c>
      <c r="AE574" s="16">
        <f>IF(ISERROR(VLOOKUP($A574,'13. Updated Demand'!A:Z,22,FALSE)),0,VLOOKUP($A574,'13. Updated Demand'!A:Z,22,FALSE))</f>
        <v>0</v>
      </c>
      <c r="AF574" s="16">
        <f>IF(ISERROR(VLOOKUP($A574,'13. Updated Demand'!A:Z,23,FALSE)),0,VLOOKUP($A574,'13. Updated Demand'!A:Z,23,FALSE))</f>
        <v>0</v>
      </c>
      <c r="AG574" s="16">
        <f>IF(ISERROR(VLOOKUP($A574,'13. Updated Demand'!A:Z,24,FALSE)),0,VLOOKUP($A574,'13. Updated Demand'!A:Z,24,FALSE))</f>
        <v>0</v>
      </c>
      <c r="AH574" s="16">
        <f>IF(ISERROR(VLOOKUP($A574,'13. Updated Demand'!A:Z,25,FALSE)),0,VLOOKUP($A574,'13. Updated Demand'!A:Z,25,FALSE))</f>
        <v>0</v>
      </c>
      <c r="AI574" s="16">
        <f>IF(ISERROR(VLOOKUP($A574,'13. Updated Demand'!A:Z,26,FALSE)),0,VLOOKUP($A574,'13. Updated Demand'!A:Z,26,FALSE))</f>
        <v>0</v>
      </c>
      <c r="AJ574" s="16">
        <f t="shared" si="108"/>
        <v>25.009999999999998</v>
      </c>
      <c r="AK574" s="19">
        <v>25.019999999999968</v>
      </c>
      <c r="AL574" s="16">
        <f t="shared" si="106"/>
        <v>8.298848995417353E-2</v>
      </c>
      <c r="AM574" s="17">
        <v>0.65326370757180074</v>
      </c>
      <c r="AN574" s="19"/>
      <c r="AO574" s="19"/>
      <c r="AP574" s="19">
        <v>38.299999999999997</v>
      </c>
      <c r="AQ574" s="19" t="s">
        <v>307</v>
      </c>
      <c r="AR574" s="9" t="s">
        <v>319</v>
      </c>
      <c r="AS574" s="12">
        <v>0</v>
      </c>
      <c r="AT574" s="19">
        <v>39.023601829999997</v>
      </c>
      <c r="AU574" s="19">
        <v>-123.12963851000001</v>
      </c>
      <c r="AV574" s="19" t="s">
        <v>387</v>
      </c>
    </row>
    <row r="575" spans="1:48" x14ac:dyDescent="0.25">
      <c r="A575" s="18" t="s">
        <v>961</v>
      </c>
      <c r="B575" s="10">
        <v>19780912</v>
      </c>
      <c r="C575" s="9">
        <v>6</v>
      </c>
      <c r="D575" s="8" t="str">
        <f t="shared" si="97"/>
        <v>Y</v>
      </c>
      <c r="E575" s="8" t="str">
        <f t="shared" si="98"/>
        <v>N</v>
      </c>
      <c r="F575" s="8" t="str">
        <f t="shared" si="99"/>
        <v>Y</v>
      </c>
      <c r="G575" s="8" t="str">
        <f t="shared" si="100"/>
        <v>Y</v>
      </c>
      <c r="H575" s="8" t="str">
        <f t="shared" si="101"/>
        <v>Upper</v>
      </c>
      <c r="I575" s="8" t="str">
        <f t="shared" si="102"/>
        <v>West Fork and Below Lake</v>
      </c>
      <c r="J575" s="8" t="str">
        <f t="shared" si="103"/>
        <v>Mendocino (d/s of lake)</v>
      </c>
      <c r="K575" s="8" t="str">
        <f t="shared" si="104"/>
        <v>Post-1949</v>
      </c>
      <c r="L575" s="8">
        <f t="shared" si="105"/>
        <v>1978</v>
      </c>
      <c r="M575" s="8" t="str">
        <f t="shared" si="107"/>
        <v>1971-1990</v>
      </c>
      <c r="N575" s="10" t="s">
        <v>241</v>
      </c>
      <c r="O575" s="10" t="s">
        <v>241</v>
      </c>
      <c r="P575" s="10" t="s">
        <v>242</v>
      </c>
      <c r="Q575" s="10" t="s">
        <v>242</v>
      </c>
      <c r="R575" s="10" t="s">
        <v>241</v>
      </c>
      <c r="S575" s="10" t="s">
        <v>242</v>
      </c>
      <c r="T575" s="10" t="s">
        <v>242</v>
      </c>
      <c r="U575" s="10" t="s">
        <v>241</v>
      </c>
      <c r="V575" s="10" t="s">
        <v>241</v>
      </c>
      <c r="W575" s="10" t="s">
        <v>242</v>
      </c>
      <c r="X575" s="15">
        <f>IF(ISERROR(VLOOKUP($A575,'13. Updated Demand'!A:Z,15,FALSE)),0,VLOOKUP($A575,'13. Updated Demand'!A:Z,15,FALSE))</f>
        <v>0</v>
      </c>
      <c r="Y575" s="16">
        <f>IF(ISERROR(VLOOKUP($A575,'13. Updated Demand'!A:Z,16,FALSE)),0,VLOOKUP($A575,'13. Updated Demand'!A:Z,16,FALSE))</f>
        <v>0</v>
      </c>
      <c r="Z575" s="16">
        <f>IF(ISERROR(VLOOKUP($A575,'13. Updated Demand'!A:Z,17,FALSE)),0,VLOOKUP($A575,'13. Updated Demand'!A:Z,17,FALSE))</f>
        <v>0</v>
      </c>
      <c r="AA575" s="16">
        <f>IF(ISERROR(VLOOKUP($A575,'13. Updated Demand'!A:Z,18,FALSE)),0,VLOOKUP($A575,'13. Updated Demand'!A:Z,18,FALSE))</f>
        <v>0</v>
      </c>
      <c r="AB575" s="16">
        <f>IF(ISERROR(VLOOKUP($A575,'13. Updated Demand'!A:Z,19,FALSE)),0,VLOOKUP($A575,'13. Updated Demand'!A:Z,19,FALSE))</f>
        <v>0</v>
      </c>
      <c r="AC575" s="16">
        <f>IF(ISERROR(VLOOKUP($A575,'13. Updated Demand'!A:Z,20,FALSE)),0,VLOOKUP($A575,'13. Updated Demand'!A:Z,20,FALSE))</f>
        <v>0</v>
      </c>
      <c r="AD575" s="16">
        <f>IF(ISERROR(VLOOKUP($A575,'13. Updated Demand'!A:Z,21,FALSE)),0,VLOOKUP($A575,'13. Updated Demand'!A:Z,21,FALSE))</f>
        <v>0</v>
      </c>
      <c r="AE575" s="16">
        <f>IF(ISERROR(VLOOKUP($A575,'13. Updated Demand'!A:Z,22,FALSE)),0,VLOOKUP($A575,'13. Updated Demand'!A:Z,22,FALSE))</f>
        <v>0</v>
      </c>
      <c r="AF575" s="16">
        <f>IF(ISERROR(VLOOKUP($A575,'13. Updated Demand'!A:Z,23,FALSE)),0,VLOOKUP($A575,'13. Updated Demand'!A:Z,23,FALSE))</f>
        <v>0</v>
      </c>
      <c r="AG575" s="16">
        <f>IF(ISERROR(VLOOKUP($A575,'13. Updated Demand'!A:Z,24,FALSE)),0,VLOOKUP($A575,'13. Updated Demand'!A:Z,24,FALSE))</f>
        <v>0</v>
      </c>
      <c r="AH575" s="16">
        <f>IF(ISERROR(VLOOKUP($A575,'13. Updated Demand'!A:Z,25,FALSE)),0,VLOOKUP($A575,'13. Updated Demand'!A:Z,25,FALSE))</f>
        <v>0</v>
      </c>
      <c r="AI575" s="16">
        <f>IF(ISERROR(VLOOKUP($A575,'13. Updated Demand'!A:Z,26,FALSE)),0,VLOOKUP($A575,'13. Updated Demand'!A:Z,26,FALSE))</f>
        <v>0</v>
      </c>
      <c r="AJ575" s="16">
        <f t="shared" si="108"/>
        <v>0</v>
      </c>
      <c r="AK575" s="19">
        <v>0</v>
      </c>
      <c r="AL575" s="16">
        <f t="shared" si="106"/>
        <v>0</v>
      </c>
      <c r="AM575" s="17">
        <v>0</v>
      </c>
      <c r="AN575" s="19"/>
      <c r="AO575" s="19"/>
      <c r="AP575" s="19">
        <v>96</v>
      </c>
      <c r="AQ575" s="19" t="s">
        <v>307</v>
      </c>
      <c r="AR575" s="9" t="s">
        <v>319</v>
      </c>
      <c r="AS575" s="12">
        <v>0</v>
      </c>
      <c r="AT575" s="19">
        <v>39.023601829999997</v>
      </c>
      <c r="AU575" s="19">
        <v>-123.12963851000001</v>
      </c>
      <c r="AV575" s="19" t="s">
        <v>387</v>
      </c>
    </row>
    <row r="576" spans="1:48" x14ac:dyDescent="0.25">
      <c r="A576" s="18" t="s">
        <v>962</v>
      </c>
      <c r="B576" s="10">
        <v>19780914</v>
      </c>
      <c r="C576" s="9">
        <v>1</v>
      </c>
      <c r="D576" s="8" t="str">
        <f t="shared" si="97"/>
        <v>N</v>
      </c>
      <c r="E576" s="8" t="str">
        <f t="shared" si="98"/>
        <v>N</v>
      </c>
      <c r="F576" s="8" t="str">
        <f t="shared" si="99"/>
        <v>Y</v>
      </c>
      <c r="G576" s="8" t="str">
        <f t="shared" si="100"/>
        <v>Y</v>
      </c>
      <c r="H576" s="8" t="str">
        <f t="shared" si="101"/>
        <v>Upper</v>
      </c>
      <c r="I576" s="8" t="str">
        <f t="shared" si="102"/>
        <v>West Fork and Below Lake</v>
      </c>
      <c r="J576" s="8" t="str">
        <f t="shared" si="103"/>
        <v>Outside</v>
      </c>
      <c r="K576" s="8" t="str">
        <f t="shared" si="104"/>
        <v>Post-1949</v>
      </c>
      <c r="L576" s="8">
        <f t="shared" si="105"/>
        <v>1978</v>
      </c>
      <c r="M576" s="8" t="str">
        <f t="shared" si="107"/>
        <v>1971-1990</v>
      </c>
      <c r="N576" s="10" t="s">
        <v>242</v>
      </c>
      <c r="O576" s="10" t="s">
        <v>241</v>
      </c>
      <c r="P576" s="10" t="s">
        <v>242</v>
      </c>
      <c r="Q576" s="10" t="s">
        <v>242</v>
      </c>
      <c r="R576" s="10" t="s">
        <v>241</v>
      </c>
      <c r="S576" s="10" t="s">
        <v>242</v>
      </c>
      <c r="T576" s="10" t="s">
        <v>242</v>
      </c>
      <c r="U576" s="10" t="s">
        <v>242</v>
      </c>
      <c r="V576" s="10" t="s">
        <v>241</v>
      </c>
      <c r="W576" s="10" t="s">
        <v>242</v>
      </c>
      <c r="X576" s="15">
        <f>IF(ISERROR(VLOOKUP($A576,'13. Updated Demand'!A:Z,15,FALSE)),0,VLOOKUP($A576,'13. Updated Demand'!A:Z,15,FALSE))</f>
        <v>0.66</v>
      </c>
      <c r="Y576" s="16">
        <f>IF(ISERROR(VLOOKUP($A576,'13. Updated Demand'!A:Z,16,FALSE)),0,VLOOKUP($A576,'13. Updated Demand'!A:Z,16,FALSE))</f>
        <v>1</v>
      </c>
      <c r="Z576" s="16">
        <f>IF(ISERROR(VLOOKUP($A576,'13. Updated Demand'!A:Z,17,FALSE)),0,VLOOKUP($A576,'13. Updated Demand'!A:Z,17,FALSE))</f>
        <v>0</v>
      </c>
      <c r="AA576" s="16">
        <f>IF(ISERROR(VLOOKUP($A576,'13. Updated Demand'!A:Z,18,FALSE)),0,VLOOKUP($A576,'13. Updated Demand'!A:Z,18,FALSE))</f>
        <v>0</v>
      </c>
      <c r="AB576" s="16">
        <f>IF(ISERROR(VLOOKUP($A576,'13. Updated Demand'!A:Z,19,FALSE)),0,VLOOKUP($A576,'13. Updated Demand'!A:Z,19,FALSE))</f>
        <v>0</v>
      </c>
      <c r="AC576" s="16">
        <f>IF(ISERROR(VLOOKUP($A576,'13. Updated Demand'!A:Z,20,FALSE)),0,VLOOKUP($A576,'13. Updated Demand'!A:Z,20,FALSE))</f>
        <v>0</v>
      </c>
      <c r="AD576" s="16">
        <f>IF(ISERROR(VLOOKUP($A576,'13. Updated Demand'!A:Z,21,FALSE)),0,VLOOKUP($A576,'13. Updated Demand'!A:Z,21,FALSE))</f>
        <v>0</v>
      </c>
      <c r="AE576" s="16">
        <f>IF(ISERROR(VLOOKUP($A576,'13. Updated Demand'!A:Z,22,FALSE)),0,VLOOKUP($A576,'13. Updated Demand'!A:Z,22,FALSE))</f>
        <v>0</v>
      </c>
      <c r="AF576" s="16">
        <f>IF(ISERROR(VLOOKUP($A576,'13. Updated Demand'!A:Z,23,FALSE)),0,VLOOKUP($A576,'13. Updated Demand'!A:Z,23,FALSE))</f>
        <v>0</v>
      </c>
      <c r="AG576" s="16">
        <f>IF(ISERROR(VLOOKUP($A576,'13. Updated Demand'!A:Z,24,FALSE)),0,VLOOKUP($A576,'13. Updated Demand'!A:Z,24,FALSE))</f>
        <v>0</v>
      </c>
      <c r="AH576" s="16">
        <f>IF(ISERROR(VLOOKUP($A576,'13. Updated Demand'!A:Z,25,FALSE)),0,VLOOKUP($A576,'13. Updated Demand'!A:Z,25,FALSE))</f>
        <v>0</v>
      </c>
      <c r="AI576" s="16">
        <f>IF(ISERROR(VLOOKUP($A576,'13. Updated Demand'!A:Z,26,FALSE)),0,VLOOKUP($A576,'13. Updated Demand'!A:Z,26,FALSE))</f>
        <v>0.66</v>
      </c>
      <c r="AJ576" s="16">
        <f t="shared" si="108"/>
        <v>2.3200000000000003</v>
      </c>
      <c r="AK576" s="19">
        <v>0</v>
      </c>
      <c r="AL576" s="16">
        <f t="shared" si="106"/>
        <v>0</v>
      </c>
      <c r="AM576" s="17">
        <v>0.12027491412371134</v>
      </c>
      <c r="AN576" s="19"/>
      <c r="AO576" s="19"/>
      <c r="AP576" s="19">
        <v>19.399999999999999</v>
      </c>
      <c r="AQ576" s="19" t="s">
        <v>307</v>
      </c>
      <c r="AR576" s="9" t="s">
        <v>317</v>
      </c>
      <c r="AS576" s="12">
        <v>0</v>
      </c>
      <c r="AT576" s="19">
        <v>39.259599999999999</v>
      </c>
      <c r="AU576" s="19">
        <v>-123.23990000000001</v>
      </c>
      <c r="AV576" s="19" t="s">
        <v>385</v>
      </c>
    </row>
    <row r="577" spans="1:48" x14ac:dyDescent="0.25">
      <c r="A577" s="18" t="s">
        <v>963</v>
      </c>
      <c r="B577" s="10">
        <v>19780914</v>
      </c>
      <c r="C577" s="9">
        <v>1</v>
      </c>
      <c r="D577" s="8" t="str">
        <f t="shared" si="97"/>
        <v>N</v>
      </c>
      <c r="E577" s="8" t="str">
        <f t="shared" si="98"/>
        <v>N</v>
      </c>
      <c r="F577" s="8" t="str">
        <f t="shared" si="99"/>
        <v>Y</v>
      </c>
      <c r="G577" s="8" t="str">
        <f t="shared" si="100"/>
        <v>Y</v>
      </c>
      <c r="H577" s="8" t="str">
        <f t="shared" si="101"/>
        <v>Upper</v>
      </c>
      <c r="I577" s="8" t="str">
        <f t="shared" si="102"/>
        <v>West Fork and Below Lake</v>
      </c>
      <c r="J577" s="8" t="str">
        <f t="shared" si="103"/>
        <v>Outside</v>
      </c>
      <c r="K577" s="8" t="str">
        <f t="shared" si="104"/>
        <v>Post-1949</v>
      </c>
      <c r="L577" s="8">
        <f t="shared" si="105"/>
        <v>1978</v>
      </c>
      <c r="M577" s="8" t="str">
        <f t="shared" si="107"/>
        <v>1971-1990</v>
      </c>
      <c r="N577" s="10" t="s">
        <v>242</v>
      </c>
      <c r="O577" s="10" t="s">
        <v>241</v>
      </c>
      <c r="P577" s="10" t="s">
        <v>242</v>
      </c>
      <c r="Q577" s="10" t="s">
        <v>242</v>
      </c>
      <c r="R577" s="10" t="s">
        <v>241</v>
      </c>
      <c r="S577" s="10" t="s">
        <v>242</v>
      </c>
      <c r="T577" s="10" t="s">
        <v>242</v>
      </c>
      <c r="U577" s="10" t="s">
        <v>241</v>
      </c>
      <c r="V577" s="10" t="s">
        <v>241</v>
      </c>
      <c r="W577" s="10" t="s">
        <v>242</v>
      </c>
      <c r="X577" s="15">
        <f>IF(ISERROR(VLOOKUP($A577,'13. Updated Demand'!A:Z,15,FALSE)),0,VLOOKUP($A577,'13. Updated Demand'!A:Z,15,FALSE))</f>
        <v>0</v>
      </c>
      <c r="Y577" s="16">
        <f>IF(ISERROR(VLOOKUP($A577,'13. Updated Demand'!A:Z,16,FALSE)),0,VLOOKUP($A577,'13. Updated Demand'!A:Z,16,FALSE))</f>
        <v>0</v>
      </c>
      <c r="Z577" s="16">
        <f>IF(ISERROR(VLOOKUP($A577,'13. Updated Demand'!A:Z,17,FALSE)),0,VLOOKUP($A577,'13. Updated Demand'!A:Z,17,FALSE))</f>
        <v>0</v>
      </c>
      <c r="AA577" s="16">
        <f>IF(ISERROR(VLOOKUP($A577,'13. Updated Demand'!A:Z,18,FALSE)),0,VLOOKUP($A577,'13. Updated Demand'!A:Z,18,FALSE))</f>
        <v>0</v>
      </c>
      <c r="AB577" s="16">
        <f>IF(ISERROR(VLOOKUP($A577,'13. Updated Demand'!A:Z,19,FALSE)),0,VLOOKUP($A577,'13. Updated Demand'!A:Z,19,FALSE))</f>
        <v>0</v>
      </c>
      <c r="AC577" s="16">
        <f>IF(ISERROR(VLOOKUP($A577,'13. Updated Demand'!A:Z,20,FALSE)),0,VLOOKUP($A577,'13. Updated Demand'!A:Z,20,FALSE))</f>
        <v>0</v>
      </c>
      <c r="AD577" s="16">
        <f>IF(ISERROR(VLOOKUP($A577,'13. Updated Demand'!A:Z,21,FALSE)),0,VLOOKUP($A577,'13. Updated Demand'!A:Z,21,FALSE))</f>
        <v>0</v>
      </c>
      <c r="AE577" s="16">
        <f>IF(ISERROR(VLOOKUP($A577,'13. Updated Demand'!A:Z,22,FALSE)),0,VLOOKUP($A577,'13. Updated Demand'!A:Z,22,FALSE))</f>
        <v>0</v>
      </c>
      <c r="AF577" s="16">
        <f>IF(ISERROR(VLOOKUP($A577,'13. Updated Demand'!A:Z,23,FALSE)),0,VLOOKUP($A577,'13. Updated Demand'!A:Z,23,FALSE))</f>
        <v>0</v>
      </c>
      <c r="AG577" s="16">
        <f>IF(ISERROR(VLOOKUP($A577,'13. Updated Demand'!A:Z,24,FALSE)),0,VLOOKUP($A577,'13. Updated Demand'!A:Z,24,FALSE))</f>
        <v>0</v>
      </c>
      <c r="AH577" s="16">
        <f>IF(ISERROR(VLOOKUP($A577,'13. Updated Demand'!A:Z,25,FALSE)),0,VLOOKUP($A577,'13. Updated Demand'!A:Z,25,FALSE))</f>
        <v>0</v>
      </c>
      <c r="AI577" s="16">
        <f>IF(ISERROR(VLOOKUP($A577,'13. Updated Demand'!A:Z,26,FALSE)),0,VLOOKUP($A577,'13. Updated Demand'!A:Z,26,FALSE))</f>
        <v>0</v>
      </c>
      <c r="AJ577" s="16">
        <f t="shared" si="108"/>
        <v>0</v>
      </c>
      <c r="AK577" s="19">
        <v>0</v>
      </c>
      <c r="AL577" s="16">
        <f t="shared" si="106"/>
        <v>0</v>
      </c>
      <c r="AM577" s="17">
        <v>0</v>
      </c>
      <c r="AN577" s="19"/>
      <c r="AO577" s="19"/>
      <c r="AP577" s="19">
        <v>8.1</v>
      </c>
      <c r="AQ577" s="19" t="s">
        <v>307</v>
      </c>
      <c r="AR577" s="9" t="s">
        <v>317</v>
      </c>
      <c r="AS577" s="12">
        <v>0</v>
      </c>
      <c r="AT577" s="19">
        <v>39.261600000000001</v>
      </c>
      <c r="AU577" s="19">
        <v>-123.2435</v>
      </c>
      <c r="AV577" s="19" t="s">
        <v>385</v>
      </c>
    </row>
    <row r="578" spans="1:48" x14ac:dyDescent="0.25">
      <c r="A578" s="18" t="s">
        <v>964</v>
      </c>
      <c r="B578" s="10">
        <v>19780914</v>
      </c>
      <c r="C578" s="9">
        <v>1</v>
      </c>
      <c r="D578" s="8" t="str">
        <f t="shared" ref="D578:D641" si="109">IF(OR(C578=4,C578=5,C578=6),"Y","N")</f>
        <v>N</v>
      </c>
      <c r="E578" s="8" t="str">
        <f t="shared" ref="E578:E641" si="110">IF(AND(C578&gt;6,C578&lt;14),"Y","N")</f>
        <v>N</v>
      </c>
      <c r="F578" s="8" t="str">
        <f t="shared" ref="F578:F641" si="111">IF(C578&lt;14,"Y","N")</f>
        <v>Y</v>
      </c>
      <c r="G578" s="8" t="str">
        <f t="shared" ref="G578:G641" si="112">IF(OR(C578=1,AND(C578&gt;3,C578&lt;14)),"Y","N")</f>
        <v>Y</v>
      </c>
      <c r="H578" s="8" t="str">
        <f t="shared" ref="H578:H641" si="113">IF(C578&lt;14,"Upper","Lower")</f>
        <v>Upper</v>
      </c>
      <c r="I578" s="8" t="str">
        <f t="shared" ref="I578:I641" si="114">IF(G578="Y","West Fork and Below Lake","Outside")</f>
        <v>West Fork and Below Lake</v>
      </c>
      <c r="J578" s="8" t="str">
        <f t="shared" ref="J578:J641" si="115">IF(D578="Y", "Mendocino (d/s of lake)", IF(E578="Y", "Sonoma (d/s of Clov. Gage)","Outside"))</f>
        <v>Outside</v>
      </c>
      <c r="K578" s="8" t="str">
        <f t="shared" ref="K578:K641" si="116">IF(P578="Y","pre-1914",IF(Q578="Y","Pre-1949",IF(R578="Y","Post-1949",IF(S578="Y","Riparian","Unknown"))))</f>
        <v>Post-1949</v>
      </c>
      <c r="L578" s="8">
        <f t="shared" ref="L578:L641" si="117">_xlfn.NUMBERVALUE(LEFT(B578,4))</f>
        <v>1978</v>
      </c>
      <c r="M578" s="8" t="str">
        <f t="shared" si="107"/>
        <v>1971-1990</v>
      </c>
      <c r="N578" s="10" t="s">
        <v>242</v>
      </c>
      <c r="O578" s="10" t="s">
        <v>241</v>
      </c>
      <c r="P578" s="10" t="s">
        <v>242</v>
      </c>
      <c r="Q578" s="10" t="s">
        <v>242</v>
      </c>
      <c r="R578" s="10" t="s">
        <v>241</v>
      </c>
      <c r="S578" s="10" t="s">
        <v>242</v>
      </c>
      <c r="T578" s="10" t="s">
        <v>242</v>
      </c>
      <c r="U578" s="10" t="s">
        <v>241</v>
      </c>
      <c r="V578" s="10" t="s">
        <v>241</v>
      </c>
      <c r="W578" s="10" t="s">
        <v>242</v>
      </c>
      <c r="X578" s="15">
        <f>IF(ISERROR(VLOOKUP($A578,'13. Updated Demand'!A:Z,15,FALSE)),0,VLOOKUP($A578,'13. Updated Demand'!A:Z,15,FALSE))</f>
        <v>0</v>
      </c>
      <c r="Y578" s="16">
        <f>IF(ISERROR(VLOOKUP($A578,'13. Updated Demand'!A:Z,16,FALSE)),0,VLOOKUP($A578,'13. Updated Demand'!A:Z,16,FALSE))</f>
        <v>0</v>
      </c>
      <c r="Z578" s="16">
        <f>IF(ISERROR(VLOOKUP($A578,'13. Updated Demand'!A:Z,17,FALSE)),0,VLOOKUP($A578,'13. Updated Demand'!A:Z,17,FALSE))</f>
        <v>0</v>
      </c>
      <c r="AA578" s="16">
        <f>IF(ISERROR(VLOOKUP($A578,'13. Updated Demand'!A:Z,18,FALSE)),0,VLOOKUP($A578,'13. Updated Demand'!A:Z,18,FALSE))</f>
        <v>0</v>
      </c>
      <c r="AB578" s="16">
        <f>IF(ISERROR(VLOOKUP($A578,'13. Updated Demand'!A:Z,19,FALSE)),0,VLOOKUP($A578,'13. Updated Demand'!A:Z,19,FALSE))</f>
        <v>0</v>
      </c>
      <c r="AC578" s="16">
        <f>IF(ISERROR(VLOOKUP($A578,'13. Updated Demand'!A:Z,20,FALSE)),0,VLOOKUP($A578,'13. Updated Demand'!A:Z,20,FALSE))</f>
        <v>0</v>
      </c>
      <c r="AD578" s="16">
        <f>IF(ISERROR(VLOOKUP($A578,'13. Updated Demand'!A:Z,21,FALSE)),0,VLOOKUP($A578,'13. Updated Demand'!A:Z,21,FALSE))</f>
        <v>0</v>
      </c>
      <c r="AE578" s="16">
        <f>IF(ISERROR(VLOOKUP($A578,'13. Updated Demand'!A:Z,22,FALSE)),0,VLOOKUP($A578,'13. Updated Demand'!A:Z,22,FALSE))</f>
        <v>0</v>
      </c>
      <c r="AF578" s="16">
        <f>IF(ISERROR(VLOOKUP($A578,'13. Updated Demand'!A:Z,23,FALSE)),0,VLOOKUP($A578,'13. Updated Demand'!A:Z,23,FALSE))</f>
        <v>0</v>
      </c>
      <c r="AG578" s="16">
        <f>IF(ISERROR(VLOOKUP($A578,'13. Updated Demand'!A:Z,24,FALSE)),0,VLOOKUP($A578,'13. Updated Demand'!A:Z,24,FALSE))</f>
        <v>0</v>
      </c>
      <c r="AH578" s="16">
        <f>IF(ISERROR(VLOOKUP($A578,'13. Updated Demand'!A:Z,25,FALSE)),0,VLOOKUP($A578,'13. Updated Demand'!A:Z,25,FALSE))</f>
        <v>0</v>
      </c>
      <c r="AI578" s="16">
        <f>IF(ISERROR(VLOOKUP($A578,'13. Updated Demand'!A:Z,26,FALSE)),0,VLOOKUP($A578,'13. Updated Demand'!A:Z,26,FALSE))</f>
        <v>0</v>
      </c>
      <c r="AJ578" s="16">
        <f t="shared" si="108"/>
        <v>0</v>
      </c>
      <c r="AK578" s="19">
        <v>0</v>
      </c>
      <c r="AL578" s="16">
        <f t="shared" ref="AL578:AL641" si="118">AK578/152/1.983471</f>
        <v>0</v>
      </c>
      <c r="AM578" s="17">
        <v>0</v>
      </c>
      <c r="AN578" s="19"/>
      <c r="AO578" s="19"/>
      <c r="AP578" s="19">
        <v>9</v>
      </c>
      <c r="AQ578" s="19" t="s">
        <v>307</v>
      </c>
      <c r="AR578" s="9" t="s">
        <v>317</v>
      </c>
      <c r="AS578" s="12">
        <v>0</v>
      </c>
      <c r="AT578" s="19">
        <v>39.255000000000003</v>
      </c>
      <c r="AU578" s="19">
        <v>-123.23990000000001</v>
      </c>
      <c r="AV578" s="19" t="s">
        <v>385</v>
      </c>
    </row>
    <row r="579" spans="1:48" x14ac:dyDescent="0.25">
      <c r="A579" s="18" t="s">
        <v>965</v>
      </c>
      <c r="B579" s="10">
        <v>19780914</v>
      </c>
      <c r="C579" s="9">
        <v>1</v>
      </c>
      <c r="D579" s="8" t="str">
        <f t="shared" si="109"/>
        <v>N</v>
      </c>
      <c r="E579" s="8" t="str">
        <f t="shared" si="110"/>
        <v>N</v>
      </c>
      <c r="F579" s="8" t="str">
        <f t="shared" si="111"/>
        <v>Y</v>
      </c>
      <c r="G579" s="8" t="str">
        <f t="shared" si="112"/>
        <v>Y</v>
      </c>
      <c r="H579" s="8" t="str">
        <f t="shared" si="113"/>
        <v>Upper</v>
      </c>
      <c r="I579" s="8" t="str">
        <f t="shared" si="114"/>
        <v>West Fork and Below Lake</v>
      </c>
      <c r="J579" s="8" t="str">
        <f t="shared" si="115"/>
        <v>Outside</v>
      </c>
      <c r="K579" s="8" t="str">
        <f t="shared" si="116"/>
        <v>Post-1949</v>
      </c>
      <c r="L579" s="8">
        <f t="shared" si="117"/>
        <v>1978</v>
      </c>
      <c r="M579" s="8" t="str">
        <f t="shared" ref="M579:M642" si="119">IF(L579=1949,"1949",IF(AND(L579&gt;1949,L579&lt;1953),"1950-1952",IF(AND(L579&gt;1952,L579&lt;1955),"1953-1954",IF(AND(L579&gt;1954,L579&lt;1957),"1955-1956",IF(AND(L579&gt;1956,L579&lt;1960),"1957-1959",IF(AND(L579&gt;1959,L579&lt;1971),"1960-1970",IF(AND(L579&gt;1970,L579&lt;1991),"1971-1990",IF(L579&gt;1990,"1991-present","-"))))))))</f>
        <v>1971-1990</v>
      </c>
      <c r="N579" s="10" t="s">
        <v>242</v>
      </c>
      <c r="O579" s="10" t="s">
        <v>241</v>
      </c>
      <c r="P579" s="10" t="s">
        <v>242</v>
      </c>
      <c r="Q579" s="10" t="s">
        <v>242</v>
      </c>
      <c r="R579" s="10" t="s">
        <v>241</v>
      </c>
      <c r="S579" s="10" t="s">
        <v>242</v>
      </c>
      <c r="T579" s="10" t="s">
        <v>242</v>
      </c>
      <c r="U579" s="10" t="s">
        <v>241</v>
      </c>
      <c r="V579" s="10" t="s">
        <v>241</v>
      </c>
      <c r="W579" s="10" t="s">
        <v>242</v>
      </c>
      <c r="X579" s="15">
        <f>IF(ISERROR(VLOOKUP($A579,'13. Updated Demand'!A:Z,15,FALSE)),0,VLOOKUP($A579,'13. Updated Demand'!A:Z,15,FALSE))</f>
        <v>0</v>
      </c>
      <c r="Y579" s="16">
        <f>IF(ISERROR(VLOOKUP($A579,'13. Updated Demand'!A:Z,16,FALSE)),0,VLOOKUP($A579,'13. Updated Demand'!A:Z,16,FALSE))</f>
        <v>0</v>
      </c>
      <c r="Z579" s="16">
        <f>IF(ISERROR(VLOOKUP($A579,'13. Updated Demand'!A:Z,17,FALSE)),0,VLOOKUP($A579,'13. Updated Demand'!A:Z,17,FALSE))</f>
        <v>0</v>
      </c>
      <c r="AA579" s="16">
        <f>IF(ISERROR(VLOOKUP($A579,'13. Updated Demand'!A:Z,18,FALSE)),0,VLOOKUP($A579,'13. Updated Demand'!A:Z,18,FALSE))</f>
        <v>0</v>
      </c>
      <c r="AB579" s="16">
        <f>IF(ISERROR(VLOOKUP($A579,'13. Updated Demand'!A:Z,19,FALSE)),0,VLOOKUP($A579,'13. Updated Demand'!A:Z,19,FALSE))</f>
        <v>0</v>
      </c>
      <c r="AC579" s="16">
        <f>IF(ISERROR(VLOOKUP($A579,'13. Updated Demand'!A:Z,20,FALSE)),0,VLOOKUP($A579,'13. Updated Demand'!A:Z,20,FALSE))</f>
        <v>0</v>
      </c>
      <c r="AD579" s="16">
        <f>IF(ISERROR(VLOOKUP($A579,'13. Updated Demand'!A:Z,21,FALSE)),0,VLOOKUP($A579,'13. Updated Demand'!A:Z,21,FALSE))</f>
        <v>0</v>
      </c>
      <c r="AE579" s="16">
        <f>IF(ISERROR(VLOOKUP($A579,'13. Updated Demand'!A:Z,22,FALSE)),0,VLOOKUP($A579,'13. Updated Demand'!A:Z,22,FALSE))</f>
        <v>0</v>
      </c>
      <c r="AF579" s="16">
        <f>IF(ISERROR(VLOOKUP($A579,'13. Updated Demand'!A:Z,23,FALSE)),0,VLOOKUP($A579,'13. Updated Demand'!A:Z,23,FALSE))</f>
        <v>0</v>
      </c>
      <c r="AG579" s="16">
        <f>IF(ISERROR(VLOOKUP($A579,'13. Updated Demand'!A:Z,24,FALSE)),0,VLOOKUP($A579,'13. Updated Demand'!A:Z,24,FALSE))</f>
        <v>0</v>
      </c>
      <c r="AH579" s="16">
        <f>IF(ISERROR(VLOOKUP($A579,'13. Updated Demand'!A:Z,25,FALSE)),0,VLOOKUP($A579,'13. Updated Demand'!A:Z,25,FALSE))</f>
        <v>0</v>
      </c>
      <c r="AI579" s="16">
        <f>IF(ISERROR(VLOOKUP($A579,'13. Updated Demand'!A:Z,26,FALSE)),0,VLOOKUP($A579,'13. Updated Demand'!A:Z,26,FALSE))</f>
        <v>0</v>
      </c>
      <c r="AJ579" s="16">
        <f t="shared" si="108"/>
        <v>0</v>
      </c>
      <c r="AK579" s="19">
        <v>0</v>
      </c>
      <c r="AL579" s="16">
        <f t="shared" si="118"/>
        <v>0</v>
      </c>
      <c r="AM579" s="17">
        <v>0</v>
      </c>
      <c r="AN579" s="19"/>
      <c r="AO579" s="19"/>
      <c r="AP579" s="19">
        <v>95.6</v>
      </c>
      <c r="AQ579" s="19" t="s">
        <v>307</v>
      </c>
      <c r="AR579" s="9" t="s">
        <v>317</v>
      </c>
      <c r="AS579" s="12">
        <v>0</v>
      </c>
      <c r="AT579" s="19">
        <v>39.254794769999997</v>
      </c>
      <c r="AU579" s="19">
        <v>-123.23946366</v>
      </c>
      <c r="AV579" s="19" t="s">
        <v>417</v>
      </c>
    </row>
    <row r="580" spans="1:48" x14ac:dyDescent="0.25">
      <c r="A580" s="18" t="s">
        <v>966</v>
      </c>
      <c r="B580" s="10">
        <v>19780921</v>
      </c>
      <c r="C580" s="9">
        <v>21</v>
      </c>
      <c r="D580" s="8" t="str">
        <f t="shared" si="109"/>
        <v>N</v>
      </c>
      <c r="E580" s="8" t="str">
        <f t="shared" si="110"/>
        <v>N</v>
      </c>
      <c r="F580" s="8" t="str">
        <f t="shared" si="111"/>
        <v>N</v>
      </c>
      <c r="G580" s="8" t="str">
        <f t="shared" si="112"/>
        <v>N</v>
      </c>
      <c r="H580" s="8" t="str">
        <f t="shared" si="113"/>
        <v>Lower</v>
      </c>
      <c r="I580" s="8" t="str">
        <f t="shared" si="114"/>
        <v>Outside</v>
      </c>
      <c r="J580" s="8" t="str">
        <f t="shared" si="115"/>
        <v>Outside</v>
      </c>
      <c r="K580" s="8" t="str">
        <f t="shared" si="116"/>
        <v>Post-1949</v>
      </c>
      <c r="L580" s="8">
        <f t="shared" si="117"/>
        <v>1978</v>
      </c>
      <c r="M580" s="8" t="str">
        <f t="shared" si="119"/>
        <v>1971-1990</v>
      </c>
      <c r="N580" s="10" t="s">
        <v>242</v>
      </c>
      <c r="O580" s="10" t="s">
        <v>242</v>
      </c>
      <c r="P580" s="10" t="s">
        <v>242</v>
      </c>
      <c r="Q580" s="10" t="s">
        <v>242</v>
      </c>
      <c r="R580" s="10" t="s">
        <v>241</v>
      </c>
      <c r="S580" s="10" t="s">
        <v>242</v>
      </c>
      <c r="T580" s="10" t="s">
        <v>242</v>
      </c>
      <c r="U580" s="10" t="s">
        <v>242</v>
      </c>
      <c r="V580" s="10" t="s">
        <v>242</v>
      </c>
      <c r="W580" s="10" t="s">
        <v>242</v>
      </c>
      <c r="X580" s="15">
        <f>IF(ISERROR(VLOOKUP($A580,'13. Updated Demand'!A:Z,15,FALSE)),0,VLOOKUP($A580,'13. Updated Demand'!A:Z,15,FALSE))</f>
        <v>0.15230299999999999</v>
      </c>
      <c r="Y580" s="16">
        <f>IF(ISERROR(VLOOKUP($A580,'13. Updated Demand'!A:Z,16,FALSE)),0,VLOOKUP($A580,'13. Updated Demand'!A:Z,16,FALSE))</f>
        <v>0.25297866699999999</v>
      </c>
      <c r="Z580" s="16">
        <f>IF(ISERROR(VLOOKUP($A580,'13. Updated Demand'!A:Z,17,FALSE)),0,VLOOKUP($A580,'13. Updated Demand'!A:Z,17,FALSE))</f>
        <v>0.28901633300000001</v>
      </c>
      <c r="AA580" s="16">
        <f>IF(ISERROR(VLOOKUP($A580,'13. Updated Demand'!A:Z,18,FALSE)),0,VLOOKUP($A580,'13. Updated Demand'!A:Z,18,FALSE))</f>
        <v>0.20341000000000001</v>
      </c>
      <c r="AB580" s="16">
        <f>IF(ISERROR(VLOOKUP($A580,'13. Updated Demand'!A:Z,19,FALSE)),0,VLOOKUP($A580,'13. Updated Demand'!A:Z,19,FALSE))</f>
        <v>0.22227566700000001</v>
      </c>
      <c r="AC580" s="16">
        <f>IF(ISERROR(VLOOKUP($A580,'13. Updated Demand'!A:Z,20,FALSE)),0,VLOOKUP($A580,'13. Updated Demand'!A:Z,20,FALSE))</f>
        <v>0.21961866699999999</v>
      </c>
      <c r="AD580" s="16">
        <f>IF(ISERROR(VLOOKUP($A580,'13. Updated Demand'!A:Z,21,FALSE)),0,VLOOKUP($A580,'13. Updated Demand'!A:Z,21,FALSE))</f>
        <v>0.225478333</v>
      </c>
      <c r="AE580" s="16">
        <f>IF(ISERROR(VLOOKUP($A580,'13. Updated Demand'!A:Z,22,FALSE)),0,VLOOKUP($A580,'13. Updated Demand'!A:Z,22,FALSE))</f>
        <v>0.23662566700000001</v>
      </c>
      <c r="AF580" s="16">
        <f>IF(ISERROR(VLOOKUP($A580,'13. Updated Demand'!A:Z,23,FALSE)),0,VLOOKUP($A580,'13. Updated Demand'!A:Z,23,FALSE))</f>
        <v>0.20541100000000001</v>
      </c>
      <c r="AG580" s="16">
        <f>IF(ISERROR(VLOOKUP($A580,'13. Updated Demand'!A:Z,24,FALSE)),0,VLOOKUP($A580,'13. Updated Demand'!A:Z,24,FALSE))</f>
        <v>0.158354667</v>
      </c>
      <c r="AH580" s="16">
        <f>IF(ISERROR(VLOOKUP($A580,'13. Updated Demand'!A:Z,25,FALSE)),0,VLOOKUP($A580,'13. Updated Demand'!A:Z,25,FALSE))</f>
        <v>0.19546966700000001</v>
      </c>
      <c r="AI580" s="16">
        <f>IF(ISERROR(VLOOKUP($A580,'13. Updated Demand'!A:Z,26,FALSE)),0,VLOOKUP($A580,'13. Updated Demand'!A:Z,26,FALSE))</f>
        <v>0.20131499999999999</v>
      </c>
      <c r="AJ580" s="16">
        <f t="shared" si="108"/>
        <v>2.5622566680000007</v>
      </c>
      <c r="AK580" s="19">
        <v>1.1094093333333341</v>
      </c>
      <c r="AL580" s="16">
        <f t="shared" si="118"/>
        <v>3.6797843850679408E-3</v>
      </c>
      <c r="AM580" s="17">
        <v>1.1140246376811602</v>
      </c>
      <c r="AN580" s="19"/>
      <c r="AO580" s="19"/>
      <c r="AP580" s="19">
        <v>2.2999999999999998</v>
      </c>
      <c r="AQ580" s="19" t="s">
        <v>307</v>
      </c>
      <c r="AR580" s="9" t="s">
        <v>403</v>
      </c>
      <c r="AS580" s="12">
        <v>3.4039024194010059E-4</v>
      </c>
      <c r="AT580" s="19">
        <v>38.491744150000002</v>
      </c>
      <c r="AU580" s="19">
        <v>-123.06637723</v>
      </c>
      <c r="AV580" s="19" t="s">
        <v>528</v>
      </c>
    </row>
    <row r="581" spans="1:48" x14ac:dyDescent="0.25">
      <c r="A581" s="18" t="s">
        <v>967</v>
      </c>
      <c r="B581" s="10">
        <v>19780921</v>
      </c>
      <c r="C581" s="9">
        <v>21</v>
      </c>
      <c r="D581" s="8" t="str">
        <f t="shared" si="109"/>
        <v>N</v>
      </c>
      <c r="E581" s="8" t="str">
        <f t="shared" si="110"/>
        <v>N</v>
      </c>
      <c r="F581" s="8" t="str">
        <f t="shared" si="111"/>
        <v>N</v>
      </c>
      <c r="G581" s="8" t="str">
        <f t="shared" si="112"/>
        <v>N</v>
      </c>
      <c r="H581" s="8" t="str">
        <f t="shared" si="113"/>
        <v>Lower</v>
      </c>
      <c r="I581" s="8" t="str">
        <f t="shared" si="114"/>
        <v>Outside</v>
      </c>
      <c r="J581" s="8" t="str">
        <f t="shared" si="115"/>
        <v>Outside</v>
      </c>
      <c r="K581" s="8" t="str">
        <f t="shared" si="116"/>
        <v>Post-1949</v>
      </c>
      <c r="L581" s="8">
        <f t="shared" si="117"/>
        <v>1978</v>
      </c>
      <c r="M581" s="8" t="str">
        <f t="shared" si="119"/>
        <v>1971-1990</v>
      </c>
      <c r="N581" s="10" t="s">
        <v>242</v>
      </c>
      <c r="O581" s="10" t="s">
        <v>242</v>
      </c>
      <c r="P581" s="10" t="s">
        <v>242</v>
      </c>
      <c r="Q581" s="10" t="s">
        <v>242</v>
      </c>
      <c r="R581" s="10" t="s">
        <v>241</v>
      </c>
      <c r="S581" s="10" t="s">
        <v>242</v>
      </c>
      <c r="T581" s="10" t="s">
        <v>242</v>
      </c>
      <c r="U581" s="10" t="s">
        <v>241</v>
      </c>
      <c r="V581" s="10" t="s">
        <v>241</v>
      </c>
      <c r="W581" s="10" t="s">
        <v>242</v>
      </c>
      <c r="X581" s="15">
        <f>IF(ISERROR(VLOOKUP($A581,'13. Updated Demand'!A:Z,15,FALSE)),0,VLOOKUP($A581,'13. Updated Demand'!A:Z,15,FALSE))</f>
        <v>0</v>
      </c>
      <c r="Y581" s="16">
        <f>IF(ISERROR(VLOOKUP($A581,'13. Updated Demand'!A:Z,16,FALSE)),0,VLOOKUP($A581,'13. Updated Demand'!A:Z,16,FALSE))</f>
        <v>0</v>
      </c>
      <c r="Z581" s="16">
        <f>IF(ISERROR(VLOOKUP($A581,'13. Updated Demand'!A:Z,17,FALSE)),0,VLOOKUP($A581,'13. Updated Demand'!A:Z,17,FALSE))</f>
        <v>0</v>
      </c>
      <c r="AA581" s="16">
        <f>IF(ISERROR(VLOOKUP($A581,'13. Updated Demand'!A:Z,18,FALSE)),0,VLOOKUP($A581,'13. Updated Demand'!A:Z,18,FALSE))</f>
        <v>0</v>
      </c>
      <c r="AB581" s="16">
        <f>IF(ISERROR(VLOOKUP($A581,'13. Updated Demand'!A:Z,19,FALSE)),0,VLOOKUP($A581,'13. Updated Demand'!A:Z,19,FALSE))</f>
        <v>0</v>
      </c>
      <c r="AC581" s="16">
        <f>IF(ISERROR(VLOOKUP($A581,'13. Updated Demand'!A:Z,20,FALSE)),0,VLOOKUP($A581,'13. Updated Demand'!A:Z,20,FALSE))</f>
        <v>0</v>
      </c>
      <c r="AD581" s="16">
        <f>IF(ISERROR(VLOOKUP($A581,'13. Updated Demand'!A:Z,21,FALSE)),0,VLOOKUP($A581,'13. Updated Demand'!A:Z,21,FALSE))</f>
        <v>0</v>
      </c>
      <c r="AE581" s="16">
        <f>IF(ISERROR(VLOOKUP($A581,'13. Updated Demand'!A:Z,22,FALSE)),0,VLOOKUP($A581,'13. Updated Demand'!A:Z,22,FALSE))</f>
        <v>0</v>
      </c>
      <c r="AF581" s="16">
        <f>IF(ISERROR(VLOOKUP($A581,'13. Updated Demand'!A:Z,23,FALSE)),0,VLOOKUP($A581,'13. Updated Demand'!A:Z,23,FALSE))</f>
        <v>0</v>
      </c>
      <c r="AG581" s="16">
        <f>IF(ISERROR(VLOOKUP($A581,'13. Updated Demand'!A:Z,24,FALSE)),0,VLOOKUP($A581,'13. Updated Demand'!A:Z,24,FALSE))</f>
        <v>0</v>
      </c>
      <c r="AH581" s="16">
        <f>IF(ISERROR(VLOOKUP($A581,'13. Updated Demand'!A:Z,25,FALSE)),0,VLOOKUP($A581,'13. Updated Demand'!A:Z,25,FALSE))</f>
        <v>0</v>
      </c>
      <c r="AI581" s="16">
        <f>IF(ISERROR(VLOOKUP($A581,'13. Updated Demand'!A:Z,26,FALSE)),0,VLOOKUP($A581,'13. Updated Demand'!A:Z,26,FALSE))</f>
        <v>0</v>
      </c>
      <c r="AJ581" s="16">
        <f t="shared" si="108"/>
        <v>0</v>
      </c>
      <c r="AK581" s="19">
        <v>0</v>
      </c>
      <c r="AL581" s="16">
        <f t="shared" si="118"/>
        <v>0</v>
      </c>
      <c r="AM581" s="17">
        <v>0</v>
      </c>
      <c r="AN581" s="19"/>
      <c r="AO581" s="19"/>
      <c r="AP581" s="19">
        <v>7</v>
      </c>
      <c r="AQ581" s="19" t="s">
        <v>307</v>
      </c>
      <c r="AR581" s="9" t="s">
        <v>403</v>
      </c>
      <c r="AS581" s="12">
        <v>0</v>
      </c>
      <c r="AT581" s="19">
        <v>38.551211700000003</v>
      </c>
      <c r="AU581" s="19">
        <v>-123.01900654000001</v>
      </c>
      <c r="AV581" s="19" t="s">
        <v>417</v>
      </c>
    </row>
    <row r="582" spans="1:48" x14ac:dyDescent="0.25">
      <c r="A582" s="18" t="s">
        <v>968</v>
      </c>
      <c r="B582" s="10">
        <v>19781012</v>
      </c>
      <c r="C582" s="9">
        <v>5</v>
      </c>
      <c r="D582" s="8" t="str">
        <f t="shared" si="109"/>
        <v>Y</v>
      </c>
      <c r="E582" s="8" t="str">
        <f t="shared" si="110"/>
        <v>N</v>
      </c>
      <c r="F582" s="8" t="str">
        <f t="shared" si="111"/>
        <v>Y</v>
      </c>
      <c r="G582" s="8" t="str">
        <f t="shared" si="112"/>
        <v>Y</v>
      </c>
      <c r="H582" s="8" t="str">
        <f t="shared" si="113"/>
        <v>Upper</v>
      </c>
      <c r="I582" s="8" t="str">
        <f t="shared" si="114"/>
        <v>West Fork and Below Lake</v>
      </c>
      <c r="J582" s="8" t="str">
        <f t="shared" si="115"/>
        <v>Mendocino (d/s of lake)</v>
      </c>
      <c r="K582" s="8" t="str">
        <f t="shared" si="116"/>
        <v>Post-1949</v>
      </c>
      <c r="L582" s="8">
        <f t="shared" si="117"/>
        <v>1978</v>
      </c>
      <c r="M582" s="8" t="str">
        <f t="shared" si="119"/>
        <v>1971-1990</v>
      </c>
      <c r="N582" s="10" t="s">
        <v>241</v>
      </c>
      <c r="O582" s="10" t="s">
        <v>241</v>
      </c>
      <c r="P582" s="10" t="s">
        <v>242</v>
      </c>
      <c r="Q582" s="10" t="s">
        <v>242</v>
      </c>
      <c r="R582" s="10" t="s">
        <v>241</v>
      </c>
      <c r="S582" s="10" t="s">
        <v>242</v>
      </c>
      <c r="T582" s="10" t="s">
        <v>242</v>
      </c>
      <c r="U582" s="10" t="s">
        <v>242</v>
      </c>
      <c r="V582" s="10" t="s">
        <v>242</v>
      </c>
      <c r="W582" s="10" t="s">
        <v>242</v>
      </c>
      <c r="X582" s="15">
        <f>IF(ISERROR(VLOOKUP($A582,'13. Updated Demand'!A:Z,15,FALSE)),0,VLOOKUP($A582,'13. Updated Demand'!A:Z,15,FALSE))</f>
        <v>0</v>
      </c>
      <c r="Y582" s="16">
        <f>IF(ISERROR(VLOOKUP($A582,'13. Updated Demand'!A:Z,16,FALSE)),0,VLOOKUP($A582,'13. Updated Demand'!A:Z,16,FALSE))</f>
        <v>0</v>
      </c>
      <c r="Z582" s="16">
        <f>IF(ISERROR(VLOOKUP($A582,'13. Updated Demand'!A:Z,17,FALSE)),0,VLOOKUP($A582,'13. Updated Demand'!A:Z,17,FALSE))</f>
        <v>0</v>
      </c>
      <c r="AA582" s="16">
        <f>IF(ISERROR(VLOOKUP($A582,'13. Updated Demand'!A:Z,18,FALSE)),0,VLOOKUP($A582,'13. Updated Demand'!A:Z,18,FALSE))</f>
        <v>0</v>
      </c>
      <c r="AB582" s="16">
        <f>IF(ISERROR(VLOOKUP($A582,'13. Updated Demand'!A:Z,19,FALSE)),0,VLOOKUP($A582,'13. Updated Demand'!A:Z,19,FALSE))</f>
        <v>6.33</v>
      </c>
      <c r="AC582" s="16">
        <f>IF(ISERROR(VLOOKUP($A582,'13. Updated Demand'!A:Z,20,FALSE)),0,VLOOKUP($A582,'13. Updated Demand'!A:Z,20,FALSE))</f>
        <v>7</v>
      </c>
      <c r="AD582" s="16">
        <f>IF(ISERROR(VLOOKUP($A582,'13. Updated Demand'!A:Z,21,FALSE)),0,VLOOKUP($A582,'13. Updated Demand'!A:Z,21,FALSE))</f>
        <v>8</v>
      </c>
      <c r="AE582" s="16">
        <f>IF(ISERROR(VLOOKUP($A582,'13. Updated Demand'!A:Z,22,FALSE)),0,VLOOKUP($A582,'13. Updated Demand'!A:Z,22,FALSE))</f>
        <v>8.66</v>
      </c>
      <c r="AF582" s="16">
        <f>IF(ISERROR(VLOOKUP($A582,'13. Updated Demand'!A:Z,23,FALSE)),0,VLOOKUP($A582,'13. Updated Demand'!A:Z,23,FALSE))</f>
        <v>9.66</v>
      </c>
      <c r="AG582" s="16">
        <f>IF(ISERROR(VLOOKUP($A582,'13. Updated Demand'!A:Z,24,FALSE)),0,VLOOKUP($A582,'13. Updated Demand'!A:Z,24,FALSE))</f>
        <v>1.66</v>
      </c>
      <c r="AH582" s="16">
        <f>IF(ISERROR(VLOOKUP($A582,'13. Updated Demand'!A:Z,25,FALSE)),0,VLOOKUP($A582,'13. Updated Demand'!A:Z,25,FALSE))</f>
        <v>0</v>
      </c>
      <c r="AI582" s="16">
        <f>IF(ISERROR(VLOOKUP($A582,'13. Updated Demand'!A:Z,26,FALSE)),0,VLOOKUP($A582,'13. Updated Demand'!A:Z,26,FALSE))</f>
        <v>0</v>
      </c>
      <c r="AJ582" s="16">
        <f t="shared" si="108"/>
        <v>41.309999999999995</v>
      </c>
      <c r="AK582" s="19">
        <v>39.666666666666671</v>
      </c>
      <c r="AL582" s="16">
        <f t="shared" si="118"/>
        <v>0.13156981487538855</v>
      </c>
      <c r="AM582" s="17">
        <v>0.91851851851851873</v>
      </c>
      <c r="AN582" s="19"/>
      <c r="AO582" s="19"/>
      <c r="AP582" s="19">
        <v>45</v>
      </c>
      <c r="AQ582" s="19" t="s">
        <v>307</v>
      </c>
      <c r="AR582" s="9" t="s">
        <v>333</v>
      </c>
      <c r="AS582" s="12">
        <v>0</v>
      </c>
      <c r="AT582" s="19">
        <v>39.044600000000003</v>
      </c>
      <c r="AU582" s="19">
        <v>-123.1442</v>
      </c>
      <c r="AV582" s="19"/>
    </row>
    <row r="583" spans="1:48" x14ac:dyDescent="0.25">
      <c r="A583" s="18" t="s">
        <v>969</v>
      </c>
      <c r="B583" s="10">
        <v>19781115</v>
      </c>
      <c r="C583" s="9">
        <v>23</v>
      </c>
      <c r="D583" s="8" t="str">
        <f t="shared" si="109"/>
        <v>N</v>
      </c>
      <c r="E583" s="8" t="str">
        <f t="shared" si="110"/>
        <v>N</v>
      </c>
      <c r="F583" s="8" t="str">
        <f t="shared" si="111"/>
        <v>N</v>
      </c>
      <c r="G583" s="8" t="str">
        <f t="shared" si="112"/>
        <v>N</v>
      </c>
      <c r="H583" s="8" t="str">
        <f t="shared" si="113"/>
        <v>Lower</v>
      </c>
      <c r="I583" s="8" t="str">
        <f t="shared" si="114"/>
        <v>Outside</v>
      </c>
      <c r="J583" s="8" t="str">
        <f t="shared" si="115"/>
        <v>Outside</v>
      </c>
      <c r="K583" s="8" t="str">
        <f t="shared" si="116"/>
        <v>Post-1949</v>
      </c>
      <c r="L583" s="8">
        <f t="shared" si="117"/>
        <v>1978</v>
      </c>
      <c r="M583" s="8" t="str">
        <f t="shared" si="119"/>
        <v>1971-1990</v>
      </c>
      <c r="N583" s="10" t="s">
        <v>242</v>
      </c>
      <c r="O583" s="10" t="s">
        <v>242</v>
      </c>
      <c r="P583" s="10" t="s">
        <v>242</v>
      </c>
      <c r="Q583" s="10" t="s">
        <v>242</v>
      </c>
      <c r="R583" s="10" t="s">
        <v>241</v>
      </c>
      <c r="S583" s="10" t="s">
        <v>242</v>
      </c>
      <c r="T583" s="10" t="s">
        <v>242</v>
      </c>
      <c r="U583" s="10" t="s">
        <v>241</v>
      </c>
      <c r="V583" s="10" t="s">
        <v>241</v>
      </c>
      <c r="W583" s="10" t="s">
        <v>242</v>
      </c>
      <c r="X583" s="15">
        <f>IF(ISERROR(VLOOKUP($A583,'13. Updated Demand'!A:Z,15,FALSE)),0,VLOOKUP($A583,'13. Updated Demand'!A:Z,15,FALSE))</f>
        <v>0</v>
      </c>
      <c r="Y583" s="16">
        <f>IF(ISERROR(VLOOKUP($A583,'13. Updated Demand'!A:Z,16,FALSE)),0,VLOOKUP($A583,'13. Updated Demand'!A:Z,16,FALSE))</f>
        <v>0</v>
      </c>
      <c r="Z583" s="16">
        <f>IF(ISERROR(VLOOKUP($A583,'13. Updated Demand'!A:Z,17,FALSE)),0,VLOOKUP($A583,'13. Updated Demand'!A:Z,17,FALSE))</f>
        <v>0</v>
      </c>
      <c r="AA583" s="16">
        <f>IF(ISERROR(VLOOKUP($A583,'13. Updated Demand'!A:Z,18,FALSE)),0,VLOOKUP($A583,'13. Updated Demand'!A:Z,18,FALSE))</f>
        <v>0</v>
      </c>
      <c r="AB583" s="16">
        <f>IF(ISERROR(VLOOKUP($A583,'13. Updated Demand'!A:Z,19,FALSE)),0,VLOOKUP($A583,'13. Updated Demand'!A:Z,19,FALSE))</f>
        <v>0</v>
      </c>
      <c r="AC583" s="16">
        <f>IF(ISERROR(VLOOKUP($A583,'13. Updated Demand'!A:Z,20,FALSE)),0,VLOOKUP($A583,'13. Updated Demand'!A:Z,20,FALSE))</f>
        <v>0</v>
      </c>
      <c r="AD583" s="16">
        <f>IF(ISERROR(VLOOKUP($A583,'13. Updated Demand'!A:Z,21,FALSE)),0,VLOOKUP($A583,'13. Updated Demand'!A:Z,21,FALSE))</f>
        <v>0</v>
      </c>
      <c r="AE583" s="16">
        <f>IF(ISERROR(VLOOKUP($A583,'13. Updated Demand'!A:Z,22,FALSE)),0,VLOOKUP($A583,'13. Updated Demand'!A:Z,22,FALSE))</f>
        <v>0</v>
      </c>
      <c r="AF583" s="16">
        <f>IF(ISERROR(VLOOKUP($A583,'13. Updated Demand'!A:Z,23,FALSE)),0,VLOOKUP($A583,'13. Updated Demand'!A:Z,23,FALSE))</f>
        <v>0</v>
      </c>
      <c r="AG583" s="16">
        <f>IF(ISERROR(VLOOKUP($A583,'13. Updated Demand'!A:Z,24,FALSE)),0,VLOOKUP($A583,'13. Updated Demand'!A:Z,24,FALSE))</f>
        <v>0</v>
      </c>
      <c r="AH583" s="16">
        <f>IF(ISERROR(VLOOKUP($A583,'13. Updated Demand'!A:Z,25,FALSE)),0,VLOOKUP($A583,'13. Updated Demand'!A:Z,25,FALSE))</f>
        <v>0</v>
      </c>
      <c r="AI583" s="16">
        <f>IF(ISERROR(VLOOKUP($A583,'13. Updated Demand'!A:Z,26,FALSE)),0,VLOOKUP($A583,'13. Updated Demand'!A:Z,26,FALSE))</f>
        <v>0</v>
      </c>
      <c r="AJ583" s="16">
        <f t="shared" si="108"/>
        <v>0</v>
      </c>
      <c r="AK583" s="19">
        <v>0</v>
      </c>
      <c r="AL583" s="16">
        <f t="shared" si="118"/>
        <v>0</v>
      </c>
      <c r="AM583" s="17">
        <v>0</v>
      </c>
      <c r="AN583" s="19"/>
      <c r="AO583" s="19"/>
      <c r="AP583" s="19">
        <v>5</v>
      </c>
      <c r="AQ583" s="19" t="s">
        <v>307</v>
      </c>
      <c r="AR583" s="9" t="s">
        <v>323</v>
      </c>
      <c r="AS583" s="12">
        <v>0</v>
      </c>
      <c r="AT583" s="19">
        <v>38.490082559999998</v>
      </c>
      <c r="AU583" s="19">
        <v>-122.79452001999999</v>
      </c>
      <c r="AV583" s="19" t="s">
        <v>417</v>
      </c>
    </row>
    <row r="584" spans="1:48" x14ac:dyDescent="0.25">
      <c r="A584" s="18" t="s">
        <v>970</v>
      </c>
      <c r="B584" s="10">
        <v>19781219</v>
      </c>
      <c r="C584" s="9">
        <v>6</v>
      </c>
      <c r="D584" s="8" t="str">
        <f t="shared" si="109"/>
        <v>Y</v>
      </c>
      <c r="E584" s="8" t="str">
        <f t="shared" si="110"/>
        <v>N</v>
      </c>
      <c r="F584" s="8" t="str">
        <f t="shared" si="111"/>
        <v>Y</v>
      </c>
      <c r="G584" s="8" t="str">
        <f t="shared" si="112"/>
        <v>Y</v>
      </c>
      <c r="H584" s="8" t="str">
        <f t="shared" si="113"/>
        <v>Upper</v>
      </c>
      <c r="I584" s="8" t="str">
        <f t="shared" si="114"/>
        <v>West Fork and Below Lake</v>
      </c>
      <c r="J584" s="8" t="str">
        <f t="shared" si="115"/>
        <v>Mendocino (d/s of lake)</v>
      </c>
      <c r="K584" s="8" t="str">
        <f t="shared" si="116"/>
        <v>Post-1949</v>
      </c>
      <c r="L584" s="8">
        <f t="shared" si="117"/>
        <v>1978</v>
      </c>
      <c r="M584" s="8" t="str">
        <f t="shared" si="119"/>
        <v>1971-1990</v>
      </c>
      <c r="N584" s="10" t="s">
        <v>242</v>
      </c>
      <c r="O584" s="10" t="s">
        <v>241</v>
      </c>
      <c r="P584" s="10" t="s">
        <v>242</v>
      </c>
      <c r="Q584" s="10" t="s">
        <v>242</v>
      </c>
      <c r="R584" s="10" t="s">
        <v>241</v>
      </c>
      <c r="S584" s="10" t="s">
        <v>242</v>
      </c>
      <c r="T584" s="10" t="s">
        <v>242</v>
      </c>
      <c r="U584" s="10" t="s">
        <v>242</v>
      </c>
      <c r="V584" s="10" t="s">
        <v>241</v>
      </c>
      <c r="W584" s="10" t="s">
        <v>242</v>
      </c>
      <c r="X584" s="15">
        <f>IF(ISERROR(VLOOKUP($A584,'13. Updated Demand'!A:Z,15,FALSE)),0,VLOOKUP($A584,'13. Updated Demand'!A:Z,15,FALSE))</f>
        <v>31.16</v>
      </c>
      <c r="Y584" s="16">
        <f>IF(ISERROR(VLOOKUP($A584,'13. Updated Demand'!A:Z,16,FALSE)),0,VLOOKUP($A584,'13. Updated Demand'!A:Z,16,FALSE))</f>
        <v>6.63</v>
      </c>
      <c r="Z584" s="16">
        <f>IF(ISERROR(VLOOKUP($A584,'13. Updated Demand'!A:Z,17,FALSE)),0,VLOOKUP($A584,'13. Updated Demand'!A:Z,17,FALSE))</f>
        <v>10.199999999999999</v>
      </c>
      <c r="AA584" s="16">
        <f>IF(ISERROR(VLOOKUP($A584,'13. Updated Demand'!A:Z,18,FALSE)),0,VLOOKUP($A584,'13. Updated Demand'!A:Z,18,FALSE))</f>
        <v>3.6</v>
      </c>
      <c r="AB584" s="16">
        <f>IF(ISERROR(VLOOKUP($A584,'13. Updated Demand'!A:Z,19,FALSE)),0,VLOOKUP($A584,'13. Updated Demand'!A:Z,19,FALSE))</f>
        <v>0</v>
      </c>
      <c r="AC584" s="16">
        <f>IF(ISERROR(VLOOKUP($A584,'13. Updated Demand'!A:Z,20,FALSE)),0,VLOOKUP($A584,'13. Updated Demand'!A:Z,20,FALSE))</f>
        <v>0</v>
      </c>
      <c r="AD584" s="16">
        <f>IF(ISERROR(VLOOKUP($A584,'13. Updated Demand'!A:Z,21,FALSE)),0,VLOOKUP($A584,'13. Updated Demand'!A:Z,21,FALSE))</f>
        <v>0</v>
      </c>
      <c r="AE584" s="16">
        <f>IF(ISERROR(VLOOKUP($A584,'13. Updated Demand'!A:Z,22,FALSE)),0,VLOOKUP($A584,'13. Updated Demand'!A:Z,22,FALSE))</f>
        <v>0</v>
      </c>
      <c r="AF584" s="16">
        <f>IF(ISERROR(VLOOKUP($A584,'13. Updated Demand'!A:Z,23,FALSE)),0,VLOOKUP($A584,'13. Updated Demand'!A:Z,23,FALSE))</f>
        <v>0</v>
      </c>
      <c r="AG584" s="16">
        <f>IF(ISERROR(VLOOKUP($A584,'13. Updated Demand'!A:Z,24,FALSE)),0,VLOOKUP($A584,'13. Updated Demand'!A:Z,24,FALSE))</f>
        <v>0</v>
      </c>
      <c r="AH584" s="16">
        <f>IF(ISERROR(VLOOKUP($A584,'13. Updated Demand'!A:Z,25,FALSE)),0,VLOOKUP($A584,'13. Updated Demand'!A:Z,25,FALSE))</f>
        <v>0.93</v>
      </c>
      <c r="AI584" s="16">
        <f>IF(ISERROR(VLOOKUP($A584,'13. Updated Demand'!A:Z,26,FALSE)),0,VLOOKUP($A584,'13. Updated Demand'!A:Z,26,FALSE))</f>
        <v>4</v>
      </c>
      <c r="AJ584" s="16">
        <f t="shared" si="108"/>
        <v>56.519999999999996</v>
      </c>
      <c r="AK584" s="19">
        <v>0</v>
      </c>
      <c r="AL584" s="16">
        <f t="shared" si="118"/>
        <v>0</v>
      </c>
      <c r="AM584" s="17">
        <v>0.4633879781639344</v>
      </c>
      <c r="AN584" s="19"/>
      <c r="AO584" s="19"/>
      <c r="AP584" s="19">
        <v>122</v>
      </c>
      <c r="AQ584" s="19" t="s">
        <v>307</v>
      </c>
      <c r="AR584" s="9" t="s">
        <v>319</v>
      </c>
      <c r="AS584" s="12">
        <v>0</v>
      </c>
      <c r="AT584" s="19">
        <v>38.96476801</v>
      </c>
      <c r="AU584" s="19">
        <v>-123.0590373</v>
      </c>
      <c r="AV584" s="19" t="s">
        <v>417</v>
      </c>
    </row>
    <row r="585" spans="1:48" x14ac:dyDescent="0.25">
      <c r="A585" s="18" t="s">
        <v>971</v>
      </c>
      <c r="B585" s="10">
        <v>19781219</v>
      </c>
      <c r="C585" s="9">
        <v>6</v>
      </c>
      <c r="D585" s="8" t="str">
        <f t="shared" si="109"/>
        <v>Y</v>
      </c>
      <c r="E585" s="8" t="str">
        <f t="shared" si="110"/>
        <v>N</v>
      </c>
      <c r="F585" s="8" t="str">
        <f t="shared" si="111"/>
        <v>Y</v>
      </c>
      <c r="G585" s="8" t="str">
        <f t="shared" si="112"/>
        <v>Y</v>
      </c>
      <c r="H585" s="8" t="str">
        <f t="shared" si="113"/>
        <v>Upper</v>
      </c>
      <c r="I585" s="8" t="str">
        <f t="shared" si="114"/>
        <v>West Fork and Below Lake</v>
      </c>
      <c r="J585" s="8" t="str">
        <f t="shared" si="115"/>
        <v>Mendocino (d/s of lake)</v>
      </c>
      <c r="K585" s="8" t="str">
        <f t="shared" si="116"/>
        <v>Post-1949</v>
      </c>
      <c r="L585" s="8">
        <f t="shared" si="117"/>
        <v>1978</v>
      </c>
      <c r="M585" s="8" t="str">
        <f t="shared" si="119"/>
        <v>1971-1990</v>
      </c>
      <c r="N585" s="10" t="s">
        <v>242</v>
      </c>
      <c r="O585" s="10" t="s">
        <v>241</v>
      </c>
      <c r="P585" s="10" t="s">
        <v>242</v>
      </c>
      <c r="Q585" s="10" t="s">
        <v>242</v>
      </c>
      <c r="R585" s="10" t="s">
        <v>241</v>
      </c>
      <c r="S585" s="10" t="s">
        <v>242</v>
      </c>
      <c r="T585" s="10" t="s">
        <v>242</v>
      </c>
      <c r="U585" s="10" t="s">
        <v>242</v>
      </c>
      <c r="V585" s="10" t="s">
        <v>241</v>
      </c>
      <c r="W585" s="10" t="s">
        <v>242</v>
      </c>
      <c r="X585" s="15">
        <f>IF(ISERROR(VLOOKUP($A585,'13. Updated Demand'!A:Z,15,FALSE)),0,VLOOKUP($A585,'13. Updated Demand'!A:Z,15,FALSE))</f>
        <v>0</v>
      </c>
      <c r="Y585" s="16">
        <f>IF(ISERROR(VLOOKUP($A585,'13. Updated Demand'!A:Z,16,FALSE)),0,VLOOKUP($A585,'13. Updated Demand'!A:Z,16,FALSE))</f>
        <v>0</v>
      </c>
      <c r="Z585" s="16">
        <f>IF(ISERROR(VLOOKUP($A585,'13. Updated Demand'!A:Z,17,FALSE)),0,VLOOKUP($A585,'13. Updated Demand'!A:Z,17,FALSE))</f>
        <v>2.5</v>
      </c>
      <c r="AA585" s="16">
        <f>IF(ISERROR(VLOOKUP($A585,'13. Updated Demand'!A:Z,18,FALSE)),0,VLOOKUP($A585,'13. Updated Demand'!A:Z,18,FALSE))</f>
        <v>6.23</v>
      </c>
      <c r="AB585" s="16">
        <f>IF(ISERROR(VLOOKUP($A585,'13. Updated Demand'!A:Z,19,FALSE)),0,VLOOKUP($A585,'13. Updated Demand'!A:Z,19,FALSE))</f>
        <v>0</v>
      </c>
      <c r="AC585" s="16">
        <f>IF(ISERROR(VLOOKUP($A585,'13. Updated Demand'!A:Z,20,FALSE)),0,VLOOKUP($A585,'13. Updated Demand'!A:Z,20,FALSE))</f>
        <v>0</v>
      </c>
      <c r="AD585" s="16">
        <f>IF(ISERROR(VLOOKUP($A585,'13. Updated Demand'!A:Z,21,FALSE)),0,VLOOKUP($A585,'13. Updated Demand'!A:Z,21,FALSE))</f>
        <v>0</v>
      </c>
      <c r="AE585" s="16">
        <f>IF(ISERROR(VLOOKUP($A585,'13. Updated Demand'!A:Z,22,FALSE)),0,VLOOKUP($A585,'13. Updated Demand'!A:Z,22,FALSE))</f>
        <v>0</v>
      </c>
      <c r="AF585" s="16">
        <f>IF(ISERROR(VLOOKUP($A585,'13. Updated Demand'!A:Z,23,FALSE)),0,VLOOKUP($A585,'13. Updated Demand'!A:Z,23,FALSE))</f>
        <v>0</v>
      </c>
      <c r="AG585" s="16">
        <f>IF(ISERROR(VLOOKUP($A585,'13. Updated Demand'!A:Z,24,FALSE)),0,VLOOKUP($A585,'13. Updated Demand'!A:Z,24,FALSE))</f>
        <v>0</v>
      </c>
      <c r="AH585" s="16">
        <f>IF(ISERROR(VLOOKUP($A585,'13. Updated Demand'!A:Z,25,FALSE)),0,VLOOKUP($A585,'13. Updated Demand'!A:Z,25,FALSE))</f>
        <v>0</v>
      </c>
      <c r="AI585" s="16">
        <f>IF(ISERROR(VLOOKUP($A585,'13. Updated Demand'!A:Z,26,FALSE)),0,VLOOKUP($A585,'13. Updated Demand'!A:Z,26,FALSE))</f>
        <v>0</v>
      </c>
      <c r="AJ585" s="16">
        <f t="shared" si="108"/>
        <v>8.73</v>
      </c>
      <c r="AK585" s="19">
        <v>0</v>
      </c>
      <c r="AL585" s="16">
        <f t="shared" si="118"/>
        <v>0</v>
      </c>
      <c r="AM585" s="17">
        <v>0.72777777775000008</v>
      </c>
      <c r="AN585" s="19"/>
      <c r="AO585" s="19"/>
      <c r="AP585" s="19">
        <v>12</v>
      </c>
      <c r="AQ585" s="19" t="s">
        <v>307</v>
      </c>
      <c r="AR585" s="9" t="s">
        <v>319</v>
      </c>
      <c r="AS585" s="12">
        <v>0</v>
      </c>
      <c r="AT585" s="19">
        <v>38.96476801</v>
      </c>
      <c r="AU585" s="19">
        <v>-123.0590373</v>
      </c>
      <c r="AV585" s="19" t="s">
        <v>417</v>
      </c>
    </row>
    <row r="586" spans="1:48" x14ac:dyDescent="0.25">
      <c r="A586" s="18" t="s">
        <v>972</v>
      </c>
      <c r="B586" s="10">
        <v>19781219</v>
      </c>
      <c r="C586" s="9">
        <v>6</v>
      </c>
      <c r="D586" s="8" t="str">
        <f t="shared" si="109"/>
        <v>Y</v>
      </c>
      <c r="E586" s="8" t="str">
        <f t="shared" si="110"/>
        <v>N</v>
      </c>
      <c r="F586" s="8" t="str">
        <f t="shared" si="111"/>
        <v>Y</v>
      </c>
      <c r="G586" s="8" t="str">
        <f t="shared" si="112"/>
        <v>Y</v>
      </c>
      <c r="H586" s="8" t="str">
        <f t="shared" si="113"/>
        <v>Upper</v>
      </c>
      <c r="I586" s="8" t="str">
        <f t="shared" si="114"/>
        <v>West Fork and Below Lake</v>
      </c>
      <c r="J586" s="8" t="str">
        <f t="shared" si="115"/>
        <v>Mendocino (d/s of lake)</v>
      </c>
      <c r="K586" s="8" t="str">
        <f t="shared" si="116"/>
        <v>Post-1949</v>
      </c>
      <c r="L586" s="8">
        <f t="shared" si="117"/>
        <v>1978</v>
      </c>
      <c r="M586" s="8" t="str">
        <f t="shared" si="119"/>
        <v>1971-1990</v>
      </c>
      <c r="N586" s="10" t="s">
        <v>242</v>
      </c>
      <c r="O586" s="10" t="s">
        <v>241</v>
      </c>
      <c r="P586" s="10" t="s">
        <v>242</v>
      </c>
      <c r="Q586" s="10" t="s">
        <v>242</v>
      </c>
      <c r="R586" s="10" t="s">
        <v>241</v>
      </c>
      <c r="S586" s="10" t="s">
        <v>242</v>
      </c>
      <c r="T586" s="10" t="s">
        <v>242</v>
      </c>
      <c r="U586" s="10" t="s">
        <v>242</v>
      </c>
      <c r="V586" s="10" t="s">
        <v>241</v>
      </c>
      <c r="W586" s="10" t="s">
        <v>242</v>
      </c>
      <c r="X586" s="15">
        <f>IF(ISERROR(VLOOKUP($A586,'13. Updated Demand'!A:Z,15,FALSE)),0,VLOOKUP($A586,'13. Updated Demand'!A:Z,15,FALSE))</f>
        <v>0</v>
      </c>
      <c r="Y586" s="16">
        <f>IF(ISERROR(VLOOKUP($A586,'13. Updated Demand'!A:Z,16,FALSE)),0,VLOOKUP($A586,'13. Updated Demand'!A:Z,16,FALSE))</f>
        <v>0</v>
      </c>
      <c r="Z586" s="16">
        <f>IF(ISERROR(VLOOKUP($A586,'13. Updated Demand'!A:Z,17,FALSE)),0,VLOOKUP($A586,'13. Updated Demand'!A:Z,17,FALSE))</f>
        <v>0.66</v>
      </c>
      <c r="AA586" s="16">
        <f>IF(ISERROR(VLOOKUP($A586,'13. Updated Demand'!A:Z,18,FALSE)),0,VLOOKUP($A586,'13. Updated Demand'!A:Z,18,FALSE))</f>
        <v>0</v>
      </c>
      <c r="AB586" s="16">
        <f>IF(ISERROR(VLOOKUP($A586,'13. Updated Demand'!A:Z,19,FALSE)),0,VLOOKUP($A586,'13. Updated Demand'!A:Z,19,FALSE))</f>
        <v>0</v>
      </c>
      <c r="AC586" s="16">
        <f>IF(ISERROR(VLOOKUP($A586,'13. Updated Demand'!A:Z,20,FALSE)),0,VLOOKUP($A586,'13. Updated Demand'!A:Z,20,FALSE))</f>
        <v>0</v>
      </c>
      <c r="AD586" s="16">
        <f>IF(ISERROR(VLOOKUP($A586,'13. Updated Demand'!A:Z,21,FALSE)),0,VLOOKUP($A586,'13. Updated Demand'!A:Z,21,FALSE))</f>
        <v>0</v>
      </c>
      <c r="AE586" s="16">
        <f>IF(ISERROR(VLOOKUP($A586,'13. Updated Demand'!A:Z,22,FALSE)),0,VLOOKUP($A586,'13. Updated Demand'!A:Z,22,FALSE))</f>
        <v>0</v>
      </c>
      <c r="AF586" s="16">
        <f>IF(ISERROR(VLOOKUP($A586,'13. Updated Demand'!A:Z,23,FALSE)),0,VLOOKUP($A586,'13. Updated Demand'!A:Z,23,FALSE))</f>
        <v>0</v>
      </c>
      <c r="AG586" s="16">
        <f>IF(ISERROR(VLOOKUP($A586,'13. Updated Demand'!A:Z,24,FALSE)),0,VLOOKUP($A586,'13. Updated Demand'!A:Z,24,FALSE))</f>
        <v>0</v>
      </c>
      <c r="AH586" s="16">
        <f>IF(ISERROR(VLOOKUP($A586,'13. Updated Demand'!A:Z,25,FALSE)),0,VLOOKUP($A586,'13. Updated Demand'!A:Z,25,FALSE))</f>
        <v>0</v>
      </c>
      <c r="AI586" s="16">
        <f>IF(ISERROR(VLOOKUP($A586,'13. Updated Demand'!A:Z,26,FALSE)),0,VLOOKUP($A586,'13. Updated Demand'!A:Z,26,FALSE))</f>
        <v>0</v>
      </c>
      <c r="AJ586" s="16">
        <f t="shared" si="108"/>
        <v>0.66</v>
      </c>
      <c r="AK586" s="19">
        <v>0</v>
      </c>
      <c r="AL586" s="16">
        <f t="shared" si="118"/>
        <v>0</v>
      </c>
      <c r="AM586" s="17">
        <v>1.6064257036144578E-3</v>
      </c>
      <c r="AN586" s="19"/>
      <c r="AO586" s="19"/>
      <c r="AP586" s="19">
        <v>415</v>
      </c>
      <c r="AQ586" s="19" t="s">
        <v>307</v>
      </c>
      <c r="AR586" s="9" t="s">
        <v>319</v>
      </c>
      <c r="AS586" s="12">
        <v>0</v>
      </c>
      <c r="AT586" s="19">
        <v>38.947998669999997</v>
      </c>
      <c r="AU586" s="19">
        <v>-123.04494630000001</v>
      </c>
      <c r="AV586" s="19" t="s">
        <v>973</v>
      </c>
    </row>
    <row r="587" spans="1:48" x14ac:dyDescent="0.25">
      <c r="A587" s="18" t="s">
        <v>974</v>
      </c>
      <c r="B587" s="10">
        <v>19781219</v>
      </c>
      <c r="C587" s="9">
        <v>6</v>
      </c>
      <c r="D587" s="8" t="str">
        <f t="shared" si="109"/>
        <v>Y</v>
      </c>
      <c r="E587" s="8" t="str">
        <f t="shared" si="110"/>
        <v>N</v>
      </c>
      <c r="F587" s="8" t="str">
        <f t="shared" si="111"/>
        <v>Y</v>
      </c>
      <c r="G587" s="8" t="str">
        <f t="shared" si="112"/>
        <v>Y</v>
      </c>
      <c r="H587" s="8" t="str">
        <f t="shared" si="113"/>
        <v>Upper</v>
      </c>
      <c r="I587" s="8" t="str">
        <f t="shared" si="114"/>
        <v>West Fork and Below Lake</v>
      </c>
      <c r="J587" s="8" t="str">
        <f t="shared" si="115"/>
        <v>Mendocino (d/s of lake)</v>
      </c>
      <c r="K587" s="8" t="str">
        <f t="shared" si="116"/>
        <v>Post-1949</v>
      </c>
      <c r="L587" s="8">
        <f t="shared" si="117"/>
        <v>1978</v>
      </c>
      <c r="M587" s="8" t="str">
        <f t="shared" si="119"/>
        <v>1971-1990</v>
      </c>
      <c r="N587" s="10" t="s">
        <v>242</v>
      </c>
      <c r="O587" s="10" t="s">
        <v>241</v>
      </c>
      <c r="P587" s="10" t="s">
        <v>242</v>
      </c>
      <c r="Q587" s="10" t="s">
        <v>242</v>
      </c>
      <c r="R587" s="10" t="s">
        <v>241</v>
      </c>
      <c r="S587" s="10" t="s">
        <v>242</v>
      </c>
      <c r="T587" s="10" t="s">
        <v>242</v>
      </c>
      <c r="U587" s="10" t="s">
        <v>241</v>
      </c>
      <c r="V587" s="10" t="s">
        <v>241</v>
      </c>
      <c r="W587" s="10" t="s">
        <v>242</v>
      </c>
      <c r="X587" s="15">
        <f>IF(ISERROR(VLOOKUP($A587,'13. Updated Demand'!A:Z,15,FALSE)),0,VLOOKUP($A587,'13. Updated Demand'!A:Z,15,FALSE))</f>
        <v>0</v>
      </c>
      <c r="Y587" s="16">
        <f>IF(ISERROR(VLOOKUP($A587,'13. Updated Demand'!A:Z,16,FALSE)),0,VLOOKUP($A587,'13. Updated Demand'!A:Z,16,FALSE))</f>
        <v>0</v>
      </c>
      <c r="Z587" s="16">
        <f>IF(ISERROR(VLOOKUP($A587,'13. Updated Demand'!A:Z,17,FALSE)),0,VLOOKUP($A587,'13. Updated Demand'!A:Z,17,FALSE))</f>
        <v>0</v>
      </c>
      <c r="AA587" s="16">
        <f>IF(ISERROR(VLOOKUP($A587,'13. Updated Demand'!A:Z,18,FALSE)),0,VLOOKUP($A587,'13. Updated Demand'!A:Z,18,FALSE))</f>
        <v>0</v>
      </c>
      <c r="AB587" s="16">
        <f>IF(ISERROR(VLOOKUP($A587,'13. Updated Demand'!A:Z,19,FALSE)),0,VLOOKUP($A587,'13. Updated Demand'!A:Z,19,FALSE))</f>
        <v>0</v>
      </c>
      <c r="AC587" s="16">
        <f>IF(ISERROR(VLOOKUP($A587,'13. Updated Demand'!A:Z,20,FALSE)),0,VLOOKUP($A587,'13. Updated Demand'!A:Z,20,FALSE))</f>
        <v>0</v>
      </c>
      <c r="AD587" s="16">
        <f>IF(ISERROR(VLOOKUP($A587,'13. Updated Demand'!A:Z,21,FALSE)),0,VLOOKUP($A587,'13. Updated Demand'!A:Z,21,FALSE))</f>
        <v>0</v>
      </c>
      <c r="AE587" s="16">
        <f>IF(ISERROR(VLOOKUP($A587,'13. Updated Demand'!A:Z,22,FALSE)),0,VLOOKUP($A587,'13. Updated Demand'!A:Z,22,FALSE))</f>
        <v>0</v>
      </c>
      <c r="AF587" s="16">
        <f>IF(ISERROR(VLOOKUP($A587,'13. Updated Demand'!A:Z,23,FALSE)),0,VLOOKUP($A587,'13. Updated Demand'!A:Z,23,FALSE))</f>
        <v>0</v>
      </c>
      <c r="AG587" s="16">
        <f>IF(ISERROR(VLOOKUP($A587,'13. Updated Demand'!A:Z,24,FALSE)),0,VLOOKUP($A587,'13. Updated Demand'!A:Z,24,FALSE))</f>
        <v>0</v>
      </c>
      <c r="AH587" s="16">
        <f>IF(ISERROR(VLOOKUP($A587,'13. Updated Demand'!A:Z,25,FALSE)),0,VLOOKUP($A587,'13. Updated Demand'!A:Z,25,FALSE))</f>
        <v>0</v>
      </c>
      <c r="AI587" s="16">
        <f>IF(ISERROR(VLOOKUP($A587,'13. Updated Demand'!A:Z,26,FALSE)),0,VLOOKUP($A587,'13. Updated Demand'!A:Z,26,FALSE))</f>
        <v>0</v>
      </c>
      <c r="AJ587" s="16">
        <f t="shared" si="108"/>
        <v>0</v>
      </c>
      <c r="AK587" s="19">
        <v>0</v>
      </c>
      <c r="AL587" s="16">
        <f t="shared" si="118"/>
        <v>0</v>
      </c>
      <c r="AM587" s="17">
        <v>0</v>
      </c>
      <c r="AN587" s="19"/>
      <c r="AO587" s="19"/>
      <c r="AP587" s="19">
        <v>208</v>
      </c>
      <c r="AQ587" s="19" t="s">
        <v>307</v>
      </c>
      <c r="AR587" s="9" t="s">
        <v>319</v>
      </c>
      <c r="AS587" s="12">
        <v>0</v>
      </c>
      <c r="AT587" s="19">
        <v>38.947993580000002</v>
      </c>
      <c r="AU587" s="19">
        <v>-123.04493361</v>
      </c>
      <c r="AV587" s="19" t="s">
        <v>973</v>
      </c>
    </row>
    <row r="588" spans="1:48" x14ac:dyDescent="0.25">
      <c r="A588" s="18" t="s">
        <v>975</v>
      </c>
      <c r="B588" s="10">
        <v>19780103</v>
      </c>
      <c r="C588" s="9">
        <v>9</v>
      </c>
      <c r="D588" s="8" t="str">
        <f t="shared" si="109"/>
        <v>N</v>
      </c>
      <c r="E588" s="8" t="str">
        <f t="shared" si="110"/>
        <v>Y</v>
      </c>
      <c r="F588" s="8" t="str">
        <f t="shared" si="111"/>
        <v>Y</v>
      </c>
      <c r="G588" s="8" t="str">
        <f t="shared" si="112"/>
        <v>Y</v>
      </c>
      <c r="H588" s="8" t="str">
        <f t="shared" si="113"/>
        <v>Upper</v>
      </c>
      <c r="I588" s="8" t="str">
        <f t="shared" si="114"/>
        <v>West Fork and Below Lake</v>
      </c>
      <c r="J588" s="8" t="str">
        <f t="shared" si="115"/>
        <v>Sonoma (d/s of Clov. Gage)</v>
      </c>
      <c r="K588" s="8" t="str">
        <f t="shared" si="116"/>
        <v>Post-1949</v>
      </c>
      <c r="L588" s="8">
        <f t="shared" si="117"/>
        <v>1978</v>
      </c>
      <c r="M588" s="8" t="str">
        <f t="shared" si="119"/>
        <v>1971-1990</v>
      </c>
      <c r="N588" s="10" t="s">
        <v>242</v>
      </c>
      <c r="O588" s="10" t="s">
        <v>241</v>
      </c>
      <c r="P588" s="10" t="s">
        <v>242</v>
      </c>
      <c r="Q588" s="10" t="s">
        <v>242</v>
      </c>
      <c r="R588" s="10" t="s">
        <v>241</v>
      </c>
      <c r="S588" s="10" t="s">
        <v>242</v>
      </c>
      <c r="T588" s="10" t="s">
        <v>241</v>
      </c>
      <c r="U588" s="10" t="s">
        <v>241</v>
      </c>
      <c r="V588" s="10" t="s">
        <v>241</v>
      </c>
      <c r="W588" s="10" t="s">
        <v>242</v>
      </c>
      <c r="X588" s="15">
        <f>IF(ISERROR(VLOOKUP($A588,'13. Updated Demand'!A:Z,15,FALSE)),0,VLOOKUP($A588,'13. Updated Demand'!A:Z,15,FALSE))</f>
        <v>0</v>
      </c>
      <c r="Y588" s="16">
        <f>IF(ISERROR(VLOOKUP($A588,'13. Updated Demand'!A:Z,16,FALSE)),0,VLOOKUP($A588,'13. Updated Demand'!A:Z,16,FALSE))</f>
        <v>0</v>
      </c>
      <c r="Z588" s="16">
        <f>IF(ISERROR(VLOOKUP($A588,'13. Updated Demand'!A:Z,17,FALSE)),0,VLOOKUP($A588,'13. Updated Demand'!A:Z,17,FALSE))</f>
        <v>0</v>
      </c>
      <c r="AA588" s="16">
        <f>IF(ISERROR(VLOOKUP($A588,'13. Updated Demand'!A:Z,18,FALSE)),0,VLOOKUP($A588,'13. Updated Demand'!A:Z,18,FALSE))</f>
        <v>0</v>
      </c>
      <c r="AB588" s="16">
        <f>IF(ISERROR(VLOOKUP($A588,'13. Updated Demand'!A:Z,19,FALSE)),0,VLOOKUP($A588,'13. Updated Demand'!A:Z,19,FALSE))</f>
        <v>0</v>
      </c>
      <c r="AC588" s="16">
        <f>IF(ISERROR(VLOOKUP($A588,'13. Updated Demand'!A:Z,20,FALSE)),0,VLOOKUP($A588,'13. Updated Demand'!A:Z,20,FALSE))</f>
        <v>0</v>
      </c>
      <c r="AD588" s="16">
        <f>IF(ISERROR(VLOOKUP($A588,'13. Updated Demand'!A:Z,21,FALSE)),0,VLOOKUP($A588,'13. Updated Demand'!A:Z,21,FALSE))</f>
        <v>0</v>
      </c>
      <c r="AE588" s="16">
        <f>IF(ISERROR(VLOOKUP($A588,'13. Updated Demand'!A:Z,22,FALSE)),0,VLOOKUP($A588,'13. Updated Demand'!A:Z,22,FALSE))</f>
        <v>0</v>
      </c>
      <c r="AF588" s="16">
        <f>IF(ISERROR(VLOOKUP($A588,'13. Updated Demand'!A:Z,23,FALSE)),0,VLOOKUP($A588,'13. Updated Demand'!A:Z,23,FALSE))</f>
        <v>0</v>
      </c>
      <c r="AG588" s="16">
        <f>IF(ISERROR(VLOOKUP($A588,'13. Updated Demand'!A:Z,24,FALSE)),0,VLOOKUP($A588,'13. Updated Demand'!A:Z,24,FALSE))</f>
        <v>0</v>
      </c>
      <c r="AH588" s="16">
        <f>IF(ISERROR(VLOOKUP($A588,'13. Updated Demand'!A:Z,25,FALSE)),0,VLOOKUP($A588,'13. Updated Demand'!A:Z,25,FALSE))</f>
        <v>0</v>
      </c>
      <c r="AI588" s="16">
        <f>IF(ISERROR(VLOOKUP($A588,'13. Updated Demand'!A:Z,26,FALSE)),0,VLOOKUP($A588,'13. Updated Demand'!A:Z,26,FALSE))</f>
        <v>0</v>
      </c>
      <c r="AJ588" s="16">
        <f t="shared" si="108"/>
        <v>0</v>
      </c>
      <c r="AK588" s="19">
        <v>0</v>
      </c>
      <c r="AL588" s="16">
        <f t="shared" si="118"/>
        <v>0</v>
      </c>
      <c r="AM588" s="17">
        <v>0</v>
      </c>
      <c r="AN588" s="19"/>
      <c r="AO588" s="19"/>
      <c r="AP588" s="19">
        <v>0</v>
      </c>
      <c r="AQ588" s="19" t="s">
        <v>307</v>
      </c>
      <c r="AR588" s="9" t="s">
        <v>354</v>
      </c>
      <c r="AS588" s="12">
        <v>0</v>
      </c>
      <c r="AT588" s="19">
        <v>38.847479989999997</v>
      </c>
      <c r="AU588" s="19">
        <v>-123.05309878</v>
      </c>
      <c r="AV588" s="19" t="s">
        <v>417</v>
      </c>
    </row>
    <row r="589" spans="1:48" x14ac:dyDescent="0.25">
      <c r="A589" s="18" t="s">
        <v>976</v>
      </c>
      <c r="B589" s="10">
        <v>19780103</v>
      </c>
      <c r="C589" s="9">
        <v>9</v>
      </c>
      <c r="D589" s="8" t="str">
        <f t="shared" si="109"/>
        <v>N</v>
      </c>
      <c r="E589" s="8" t="str">
        <f t="shared" si="110"/>
        <v>Y</v>
      </c>
      <c r="F589" s="8" t="str">
        <f t="shared" si="111"/>
        <v>Y</v>
      </c>
      <c r="G589" s="8" t="str">
        <f t="shared" si="112"/>
        <v>Y</v>
      </c>
      <c r="H589" s="8" t="str">
        <f t="shared" si="113"/>
        <v>Upper</v>
      </c>
      <c r="I589" s="8" t="str">
        <f t="shared" si="114"/>
        <v>West Fork and Below Lake</v>
      </c>
      <c r="J589" s="8" t="str">
        <f t="shared" si="115"/>
        <v>Sonoma (d/s of Clov. Gage)</v>
      </c>
      <c r="K589" s="8" t="str">
        <f t="shared" si="116"/>
        <v>Post-1949</v>
      </c>
      <c r="L589" s="8">
        <f t="shared" si="117"/>
        <v>1978</v>
      </c>
      <c r="M589" s="8" t="str">
        <f t="shared" si="119"/>
        <v>1971-1990</v>
      </c>
      <c r="N589" s="10" t="s">
        <v>242</v>
      </c>
      <c r="O589" s="10" t="s">
        <v>241</v>
      </c>
      <c r="P589" s="10" t="s">
        <v>242</v>
      </c>
      <c r="Q589" s="10" t="s">
        <v>242</v>
      </c>
      <c r="R589" s="10" t="s">
        <v>241</v>
      </c>
      <c r="S589" s="10" t="s">
        <v>242</v>
      </c>
      <c r="T589" s="10" t="s">
        <v>241</v>
      </c>
      <c r="U589" s="10" t="s">
        <v>241</v>
      </c>
      <c r="V589" s="10" t="s">
        <v>241</v>
      </c>
      <c r="W589" s="10" t="s">
        <v>242</v>
      </c>
      <c r="X589" s="15">
        <f>IF(ISERROR(VLOOKUP($A589,'13. Updated Demand'!A:Z,15,FALSE)),0,VLOOKUP($A589,'13. Updated Demand'!A:Z,15,FALSE))</f>
        <v>0</v>
      </c>
      <c r="Y589" s="16">
        <f>IF(ISERROR(VLOOKUP($A589,'13. Updated Demand'!A:Z,16,FALSE)),0,VLOOKUP($A589,'13. Updated Demand'!A:Z,16,FALSE))</f>
        <v>0</v>
      </c>
      <c r="Z589" s="16">
        <f>IF(ISERROR(VLOOKUP($A589,'13. Updated Demand'!A:Z,17,FALSE)),0,VLOOKUP($A589,'13. Updated Demand'!A:Z,17,FALSE))</f>
        <v>0</v>
      </c>
      <c r="AA589" s="16">
        <f>IF(ISERROR(VLOOKUP($A589,'13. Updated Demand'!A:Z,18,FALSE)),0,VLOOKUP($A589,'13. Updated Demand'!A:Z,18,FALSE))</f>
        <v>0</v>
      </c>
      <c r="AB589" s="16">
        <f>IF(ISERROR(VLOOKUP($A589,'13. Updated Demand'!A:Z,19,FALSE)),0,VLOOKUP($A589,'13. Updated Demand'!A:Z,19,FALSE))</f>
        <v>0</v>
      </c>
      <c r="AC589" s="16">
        <f>IF(ISERROR(VLOOKUP($A589,'13. Updated Demand'!A:Z,20,FALSE)),0,VLOOKUP($A589,'13. Updated Demand'!A:Z,20,FALSE))</f>
        <v>0</v>
      </c>
      <c r="AD589" s="16">
        <f>IF(ISERROR(VLOOKUP($A589,'13. Updated Demand'!A:Z,21,FALSE)),0,VLOOKUP($A589,'13. Updated Demand'!A:Z,21,FALSE))</f>
        <v>0</v>
      </c>
      <c r="AE589" s="16">
        <f>IF(ISERROR(VLOOKUP($A589,'13. Updated Demand'!A:Z,22,FALSE)),0,VLOOKUP($A589,'13. Updated Demand'!A:Z,22,FALSE))</f>
        <v>0</v>
      </c>
      <c r="AF589" s="16">
        <f>IF(ISERROR(VLOOKUP($A589,'13. Updated Demand'!A:Z,23,FALSE)),0,VLOOKUP($A589,'13. Updated Demand'!A:Z,23,FALSE))</f>
        <v>0</v>
      </c>
      <c r="AG589" s="16">
        <f>IF(ISERROR(VLOOKUP($A589,'13. Updated Demand'!A:Z,24,FALSE)),0,VLOOKUP($A589,'13. Updated Demand'!A:Z,24,FALSE))</f>
        <v>0</v>
      </c>
      <c r="AH589" s="16">
        <f>IF(ISERROR(VLOOKUP($A589,'13. Updated Demand'!A:Z,25,FALSE)),0,VLOOKUP($A589,'13. Updated Demand'!A:Z,25,FALSE))</f>
        <v>0</v>
      </c>
      <c r="AI589" s="16">
        <f>IF(ISERROR(VLOOKUP($A589,'13. Updated Demand'!A:Z,26,FALSE)),0,VLOOKUP($A589,'13. Updated Demand'!A:Z,26,FALSE))</f>
        <v>0</v>
      </c>
      <c r="AJ589" s="16">
        <f t="shared" si="108"/>
        <v>0</v>
      </c>
      <c r="AK589" s="19">
        <v>0</v>
      </c>
      <c r="AL589" s="16">
        <f t="shared" si="118"/>
        <v>0</v>
      </c>
      <c r="AM589" s="17">
        <v>0</v>
      </c>
      <c r="AN589" s="19"/>
      <c r="AO589" s="19"/>
      <c r="AP589" s="19">
        <v>0</v>
      </c>
      <c r="AQ589" s="19" t="s">
        <v>307</v>
      </c>
      <c r="AR589" s="9" t="s">
        <v>354</v>
      </c>
      <c r="AS589" s="12">
        <v>0</v>
      </c>
      <c r="AT589" s="19">
        <v>38.845551729999997</v>
      </c>
      <c r="AU589" s="19">
        <v>-123.05377253</v>
      </c>
      <c r="AV589" s="19" t="s">
        <v>417</v>
      </c>
    </row>
    <row r="590" spans="1:48" x14ac:dyDescent="0.25">
      <c r="A590" s="18" t="s">
        <v>977</v>
      </c>
      <c r="B590" s="10">
        <v>19770228</v>
      </c>
      <c r="C590" s="9">
        <v>5</v>
      </c>
      <c r="D590" s="8" t="str">
        <f t="shared" si="109"/>
        <v>Y</v>
      </c>
      <c r="E590" s="8" t="str">
        <f t="shared" si="110"/>
        <v>N</v>
      </c>
      <c r="F590" s="8" t="str">
        <f t="shared" si="111"/>
        <v>Y</v>
      </c>
      <c r="G590" s="8" t="str">
        <f t="shared" si="112"/>
        <v>Y</v>
      </c>
      <c r="H590" s="8" t="str">
        <f t="shared" si="113"/>
        <v>Upper</v>
      </c>
      <c r="I590" s="8" t="str">
        <f t="shared" si="114"/>
        <v>West Fork and Below Lake</v>
      </c>
      <c r="J590" s="8" t="str">
        <f t="shared" si="115"/>
        <v>Mendocino (d/s of lake)</v>
      </c>
      <c r="K590" s="8" t="str">
        <f t="shared" si="116"/>
        <v>Post-1949</v>
      </c>
      <c r="L590" s="8">
        <f t="shared" si="117"/>
        <v>1977</v>
      </c>
      <c r="M590" s="8" t="str">
        <f t="shared" si="119"/>
        <v>1971-1990</v>
      </c>
      <c r="N590" s="10" t="s">
        <v>241</v>
      </c>
      <c r="O590" s="10" t="s">
        <v>241</v>
      </c>
      <c r="P590" s="10" t="s">
        <v>242</v>
      </c>
      <c r="Q590" s="10" t="s">
        <v>242</v>
      </c>
      <c r="R590" s="10" t="s">
        <v>241</v>
      </c>
      <c r="S590" s="10" t="s">
        <v>242</v>
      </c>
      <c r="T590" s="10" t="s">
        <v>242</v>
      </c>
      <c r="U590" s="10" t="s">
        <v>242</v>
      </c>
      <c r="V590" s="10" t="s">
        <v>241</v>
      </c>
      <c r="W590" s="10" t="s">
        <v>242</v>
      </c>
      <c r="X590" s="15">
        <f>IF(ISERROR(VLOOKUP($A590,'13. Updated Demand'!A:Z,15,FALSE)),0,VLOOKUP($A590,'13. Updated Demand'!A:Z,15,FALSE))</f>
        <v>0</v>
      </c>
      <c r="Y590" s="16">
        <f>IF(ISERROR(VLOOKUP($A590,'13. Updated Demand'!A:Z,16,FALSE)),0,VLOOKUP($A590,'13. Updated Demand'!A:Z,16,FALSE))</f>
        <v>0</v>
      </c>
      <c r="Z590" s="16">
        <f>IF(ISERROR(VLOOKUP($A590,'13. Updated Demand'!A:Z,17,FALSE)),0,VLOOKUP($A590,'13. Updated Demand'!A:Z,17,FALSE))</f>
        <v>0.44</v>
      </c>
      <c r="AA590" s="16">
        <f>IF(ISERROR(VLOOKUP($A590,'13. Updated Demand'!A:Z,18,FALSE)),0,VLOOKUP($A590,'13. Updated Demand'!A:Z,18,FALSE))</f>
        <v>0</v>
      </c>
      <c r="AB590" s="16">
        <f>IF(ISERROR(VLOOKUP($A590,'13. Updated Demand'!A:Z,19,FALSE)),0,VLOOKUP($A590,'13. Updated Demand'!A:Z,19,FALSE))</f>
        <v>0</v>
      </c>
      <c r="AC590" s="16">
        <f>IF(ISERROR(VLOOKUP($A590,'13. Updated Demand'!A:Z,20,FALSE)),0,VLOOKUP($A590,'13. Updated Demand'!A:Z,20,FALSE))</f>
        <v>0</v>
      </c>
      <c r="AD590" s="16">
        <f>IF(ISERROR(VLOOKUP($A590,'13. Updated Demand'!A:Z,21,FALSE)),0,VLOOKUP($A590,'13. Updated Demand'!A:Z,21,FALSE))</f>
        <v>0</v>
      </c>
      <c r="AE590" s="16">
        <f>IF(ISERROR(VLOOKUP($A590,'13. Updated Demand'!A:Z,22,FALSE)),0,VLOOKUP($A590,'13. Updated Demand'!A:Z,22,FALSE))</f>
        <v>0</v>
      </c>
      <c r="AF590" s="16">
        <f>IF(ISERROR(VLOOKUP($A590,'13. Updated Demand'!A:Z,23,FALSE)),0,VLOOKUP($A590,'13. Updated Demand'!A:Z,23,FALSE))</f>
        <v>0</v>
      </c>
      <c r="AG590" s="16">
        <f>IF(ISERROR(VLOOKUP($A590,'13. Updated Demand'!A:Z,24,FALSE)),0,VLOOKUP($A590,'13. Updated Demand'!A:Z,24,FALSE))</f>
        <v>0</v>
      </c>
      <c r="AH590" s="16">
        <f>IF(ISERROR(VLOOKUP($A590,'13. Updated Demand'!A:Z,25,FALSE)),0,VLOOKUP($A590,'13. Updated Demand'!A:Z,25,FALSE))</f>
        <v>0</v>
      </c>
      <c r="AI590" s="16">
        <f>IF(ISERROR(VLOOKUP($A590,'13. Updated Demand'!A:Z,26,FALSE)),0,VLOOKUP($A590,'13. Updated Demand'!A:Z,26,FALSE))</f>
        <v>0</v>
      </c>
      <c r="AJ590" s="16">
        <f t="shared" si="108"/>
        <v>0.44</v>
      </c>
      <c r="AK590" s="19">
        <v>0</v>
      </c>
      <c r="AL590" s="16">
        <f t="shared" si="118"/>
        <v>0</v>
      </c>
      <c r="AM590" s="17">
        <v>2.3783783783783784E-2</v>
      </c>
      <c r="AN590" s="19"/>
      <c r="AO590" s="19"/>
      <c r="AP590" s="19">
        <v>18.5</v>
      </c>
      <c r="AQ590" s="19" t="s">
        <v>307</v>
      </c>
      <c r="AR590" s="9" t="s">
        <v>333</v>
      </c>
      <c r="AS590" s="12">
        <v>0</v>
      </c>
      <c r="AT590" s="19">
        <v>39.102828219999999</v>
      </c>
      <c r="AU590" s="19">
        <v>-123.17853524</v>
      </c>
      <c r="AV590" s="19" t="s">
        <v>548</v>
      </c>
    </row>
    <row r="591" spans="1:48" x14ac:dyDescent="0.25">
      <c r="A591" s="18" t="s">
        <v>156</v>
      </c>
      <c r="B591" s="10">
        <v>19770307</v>
      </c>
      <c r="C591" s="9">
        <v>12</v>
      </c>
      <c r="D591" s="8" t="str">
        <f t="shared" si="109"/>
        <v>N</v>
      </c>
      <c r="E591" s="8" t="str">
        <f t="shared" si="110"/>
        <v>Y</v>
      </c>
      <c r="F591" s="8" t="str">
        <f t="shared" si="111"/>
        <v>Y</v>
      </c>
      <c r="G591" s="8" t="str">
        <f t="shared" si="112"/>
        <v>Y</v>
      </c>
      <c r="H591" s="8" t="str">
        <f t="shared" si="113"/>
        <v>Upper</v>
      </c>
      <c r="I591" s="8" t="str">
        <f t="shared" si="114"/>
        <v>West Fork and Below Lake</v>
      </c>
      <c r="J591" s="8" t="str">
        <f t="shared" si="115"/>
        <v>Sonoma (d/s of Clov. Gage)</v>
      </c>
      <c r="K591" s="8" t="str">
        <f t="shared" si="116"/>
        <v>Post-1949</v>
      </c>
      <c r="L591" s="8">
        <f t="shared" si="117"/>
        <v>1977</v>
      </c>
      <c r="M591" s="8" t="str">
        <f t="shared" si="119"/>
        <v>1971-1990</v>
      </c>
      <c r="N591" s="10" t="s">
        <v>242</v>
      </c>
      <c r="O591" s="10" t="s">
        <v>241</v>
      </c>
      <c r="P591" s="10" t="s">
        <v>242</v>
      </c>
      <c r="Q591" s="10" t="s">
        <v>242</v>
      </c>
      <c r="R591" s="10" t="s">
        <v>241</v>
      </c>
      <c r="S591" s="10" t="s">
        <v>242</v>
      </c>
      <c r="T591" s="10" t="s">
        <v>242</v>
      </c>
      <c r="U591" s="10" t="s">
        <v>242</v>
      </c>
      <c r="V591" s="10" t="s">
        <v>241</v>
      </c>
      <c r="W591" s="10" t="s">
        <v>242</v>
      </c>
      <c r="X591" s="15">
        <f>IF(ISERROR(VLOOKUP($A591,'13. Updated Demand'!A:Z,15,FALSE)),0,VLOOKUP($A591,'13. Updated Demand'!A:Z,15,FALSE))</f>
        <v>4.7300000000000004</v>
      </c>
      <c r="Y591" s="16">
        <f>IF(ISERROR(VLOOKUP($A591,'13. Updated Demand'!A:Z,16,FALSE)),0,VLOOKUP($A591,'13. Updated Demand'!A:Z,16,FALSE))</f>
        <v>5.13</v>
      </c>
      <c r="Z591" s="16">
        <f>IF(ISERROR(VLOOKUP($A591,'13. Updated Demand'!A:Z,17,FALSE)),0,VLOOKUP($A591,'13. Updated Demand'!A:Z,17,FALSE))</f>
        <v>3.8</v>
      </c>
      <c r="AA591" s="16">
        <f>IF(ISERROR(VLOOKUP($A591,'13. Updated Demand'!A:Z,18,FALSE)),0,VLOOKUP($A591,'13. Updated Demand'!A:Z,18,FALSE))</f>
        <v>1.26</v>
      </c>
      <c r="AB591" s="16">
        <f>IF(ISERROR(VLOOKUP($A591,'13. Updated Demand'!A:Z,19,FALSE)),0,VLOOKUP($A591,'13. Updated Demand'!A:Z,19,FALSE))</f>
        <v>0</v>
      </c>
      <c r="AC591" s="16">
        <f>IF(ISERROR(VLOOKUP($A591,'13. Updated Demand'!A:Z,20,FALSE)),0,VLOOKUP($A591,'13. Updated Demand'!A:Z,20,FALSE))</f>
        <v>0</v>
      </c>
      <c r="AD591" s="16">
        <f>IF(ISERROR(VLOOKUP($A591,'13. Updated Demand'!A:Z,21,FALSE)),0,VLOOKUP($A591,'13. Updated Demand'!A:Z,21,FALSE))</f>
        <v>0</v>
      </c>
      <c r="AE591" s="16">
        <f>IF(ISERROR(VLOOKUP($A591,'13. Updated Demand'!A:Z,22,FALSE)),0,VLOOKUP($A591,'13. Updated Demand'!A:Z,22,FALSE))</f>
        <v>0</v>
      </c>
      <c r="AF591" s="16">
        <f>IF(ISERROR(VLOOKUP($A591,'13. Updated Demand'!A:Z,23,FALSE)),0,VLOOKUP($A591,'13. Updated Demand'!A:Z,23,FALSE))</f>
        <v>0</v>
      </c>
      <c r="AG591" s="16">
        <f>IF(ISERROR(VLOOKUP($A591,'13. Updated Demand'!A:Z,24,FALSE)),0,VLOOKUP($A591,'13. Updated Demand'!A:Z,24,FALSE))</f>
        <v>0</v>
      </c>
      <c r="AH591" s="16">
        <f>IF(ISERROR(VLOOKUP($A591,'13. Updated Demand'!A:Z,25,FALSE)),0,VLOOKUP($A591,'13. Updated Demand'!A:Z,25,FALSE))</f>
        <v>0.7</v>
      </c>
      <c r="AI591" s="16">
        <f>IF(ISERROR(VLOOKUP($A591,'13. Updated Demand'!A:Z,26,FALSE)),0,VLOOKUP($A591,'13. Updated Demand'!A:Z,26,FALSE))</f>
        <v>1</v>
      </c>
      <c r="AJ591" s="16">
        <f t="shared" si="108"/>
        <v>16.619999999999997</v>
      </c>
      <c r="AK591" s="19">
        <v>0</v>
      </c>
      <c r="AL591" s="16">
        <f t="shared" si="118"/>
        <v>0</v>
      </c>
      <c r="AM591" s="17">
        <v>0.33945578230612244</v>
      </c>
      <c r="AN591" s="19"/>
      <c r="AO591" s="19"/>
      <c r="AP591" s="19">
        <v>49</v>
      </c>
      <c r="AQ591" s="19" t="s">
        <v>307</v>
      </c>
      <c r="AR591" s="9" t="s">
        <v>311</v>
      </c>
      <c r="AS591" s="12">
        <v>0</v>
      </c>
      <c r="AT591" s="19">
        <v>38.665546759999998</v>
      </c>
      <c r="AU591" s="19">
        <v>-122.79542533999999</v>
      </c>
      <c r="AV591" s="19" t="s">
        <v>417</v>
      </c>
    </row>
    <row r="592" spans="1:48" x14ac:dyDescent="0.25">
      <c r="A592" s="18" t="s">
        <v>978</v>
      </c>
      <c r="B592" s="10">
        <v>19770318</v>
      </c>
      <c r="C592" s="9">
        <v>17</v>
      </c>
      <c r="D592" s="8" t="str">
        <f t="shared" si="109"/>
        <v>N</v>
      </c>
      <c r="E592" s="8" t="str">
        <f t="shared" si="110"/>
        <v>N</v>
      </c>
      <c r="F592" s="8" t="str">
        <f t="shared" si="111"/>
        <v>N</v>
      </c>
      <c r="G592" s="8" t="str">
        <f t="shared" si="112"/>
        <v>N</v>
      </c>
      <c r="H592" s="8" t="str">
        <f t="shared" si="113"/>
        <v>Lower</v>
      </c>
      <c r="I592" s="8" t="str">
        <f t="shared" si="114"/>
        <v>Outside</v>
      </c>
      <c r="J592" s="8" t="str">
        <f t="shared" si="115"/>
        <v>Outside</v>
      </c>
      <c r="K592" s="8" t="str">
        <f t="shared" si="116"/>
        <v>Post-1949</v>
      </c>
      <c r="L592" s="8">
        <f t="shared" si="117"/>
        <v>1977</v>
      </c>
      <c r="M592" s="8" t="str">
        <f t="shared" si="119"/>
        <v>1971-1990</v>
      </c>
      <c r="N592" s="10" t="s">
        <v>241</v>
      </c>
      <c r="O592" s="10" t="s">
        <v>242</v>
      </c>
      <c r="P592" s="10" t="s">
        <v>242</v>
      </c>
      <c r="Q592" s="10" t="s">
        <v>242</v>
      </c>
      <c r="R592" s="10" t="s">
        <v>241</v>
      </c>
      <c r="S592" s="10" t="s">
        <v>242</v>
      </c>
      <c r="T592" s="10" t="s">
        <v>242</v>
      </c>
      <c r="U592" s="10" t="s">
        <v>242</v>
      </c>
      <c r="V592" s="10" t="s">
        <v>241</v>
      </c>
      <c r="W592" s="10" t="s">
        <v>242</v>
      </c>
      <c r="X592" s="15">
        <f>IF(ISERROR(VLOOKUP($A592,'13. Updated Demand'!A:Z,15,FALSE)),0,VLOOKUP($A592,'13. Updated Demand'!A:Z,15,FALSE))</f>
        <v>0.2</v>
      </c>
      <c r="Y592" s="16">
        <f>IF(ISERROR(VLOOKUP($A592,'13. Updated Demand'!A:Z,16,FALSE)),0,VLOOKUP($A592,'13. Updated Demand'!A:Z,16,FALSE))</f>
        <v>0</v>
      </c>
      <c r="Z592" s="16">
        <f>IF(ISERROR(VLOOKUP($A592,'13. Updated Demand'!A:Z,17,FALSE)),0,VLOOKUP($A592,'13. Updated Demand'!A:Z,17,FALSE))</f>
        <v>0</v>
      </c>
      <c r="AA592" s="16">
        <f>IF(ISERROR(VLOOKUP($A592,'13. Updated Demand'!A:Z,18,FALSE)),0,VLOOKUP($A592,'13. Updated Demand'!A:Z,18,FALSE))</f>
        <v>0</v>
      </c>
      <c r="AB592" s="16">
        <f>IF(ISERROR(VLOOKUP($A592,'13. Updated Demand'!A:Z,19,FALSE)),0,VLOOKUP($A592,'13. Updated Demand'!A:Z,19,FALSE))</f>
        <v>0</v>
      </c>
      <c r="AC592" s="16">
        <f>IF(ISERROR(VLOOKUP($A592,'13. Updated Demand'!A:Z,20,FALSE)),0,VLOOKUP($A592,'13. Updated Demand'!A:Z,20,FALSE))</f>
        <v>0</v>
      </c>
      <c r="AD592" s="16">
        <f>IF(ISERROR(VLOOKUP($A592,'13. Updated Demand'!A:Z,21,FALSE)),0,VLOOKUP($A592,'13. Updated Demand'!A:Z,21,FALSE))</f>
        <v>0</v>
      </c>
      <c r="AE592" s="16">
        <f>IF(ISERROR(VLOOKUP($A592,'13. Updated Demand'!A:Z,22,FALSE)),0,VLOOKUP($A592,'13. Updated Demand'!A:Z,22,FALSE))</f>
        <v>0</v>
      </c>
      <c r="AF592" s="16">
        <f>IF(ISERROR(VLOOKUP($A592,'13. Updated Demand'!A:Z,23,FALSE)),0,VLOOKUP($A592,'13. Updated Demand'!A:Z,23,FALSE))</f>
        <v>0</v>
      </c>
      <c r="AG592" s="16">
        <f>IF(ISERROR(VLOOKUP($A592,'13. Updated Demand'!A:Z,24,FALSE)),0,VLOOKUP($A592,'13. Updated Demand'!A:Z,24,FALSE))</f>
        <v>0</v>
      </c>
      <c r="AH592" s="16">
        <f>IF(ISERROR(VLOOKUP($A592,'13. Updated Demand'!A:Z,25,FALSE)),0,VLOOKUP($A592,'13. Updated Demand'!A:Z,25,FALSE))</f>
        <v>2.5</v>
      </c>
      <c r="AI592" s="16">
        <f>IF(ISERROR(VLOOKUP($A592,'13. Updated Demand'!A:Z,26,FALSE)),0,VLOOKUP($A592,'13. Updated Demand'!A:Z,26,FALSE))</f>
        <v>0</v>
      </c>
      <c r="AJ592" s="16">
        <f t="shared" ref="AJ592:AJ655" si="120">SUM(X592:AI592)</f>
        <v>2.7</v>
      </c>
      <c r="AK592" s="19">
        <v>0</v>
      </c>
      <c r="AL592" s="16">
        <f t="shared" si="118"/>
        <v>0</v>
      </c>
      <c r="AM592" s="17">
        <v>0.54</v>
      </c>
      <c r="AN592" s="19"/>
      <c r="AO592" s="19"/>
      <c r="AP592" s="19">
        <v>5</v>
      </c>
      <c r="AQ592" s="19" t="s">
        <v>307</v>
      </c>
      <c r="AR592" s="9" t="s">
        <v>486</v>
      </c>
      <c r="AS592" s="12">
        <v>0</v>
      </c>
      <c r="AT592" s="19">
        <v>38.534859429999997</v>
      </c>
      <c r="AU592" s="19">
        <v>-122.86878689</v>
      </c>
      <c r="AV592" s="19" t="s">
        <v>417</v>
      </c>
    </row>
    <row r="593" spans="1:48" x14ac:dyDescent="0.25">
      <c r="A593" s="18" t="s">
        <v>979</v>
      </c>
      <c r="B593" s="10">
        <v>19770412</v>
      </c>
      <c r="C593" s="9">
        <v>18</v>
      </c>
      <c r="D593" s="8" t="str">
        <f t="shared" si="109"/>
        <v>N</v>
      </c>
      <c r="E593" s="8" t="str">
        <f t="shared" si="110"/>
        <v>N</v>
      </c>
      <c r="F593" s="8" t="str">
        <f t="shared" si="111"/>
        <v>N</v>
      </c>
      <c r="G593" s="8" t="str">
        <f t="shared" si="112"/>
        <v>N</v>
      </c>
      <c r="H593" s="8" t="str">
        <f t="shared" si="113"/>
        <v>Lower</v>
      </c>
      <c r="I593" s="8" t="str">
        <f t="shared" si="114"/>
        <v>Outside</v>
      </c>
      <c r="J593" s="8" t="str">
        <f t="shared" si="115"/>
        <v>Outside</v>
      </c>
      <c r="K593" s="8" t="str">
        <f t="shared" si="116"/>
        <v>Post-1949</v>
      </c>
      <c r="L593" s="8">
        <f t="shared" si="117"/>
        <v>1977</v>
      </c>
      <c r="M593" s="8" t="str">
        <f t="shared" si="119"/>
        <v>1971-1990</v>
      </c>
      <c r="N593" s="10" t="s">
        <v>242</v>
      </c>
      <c r="O593" s="10" t="s">
        <v>242</v>
      </c>
      <c r="P593" s="10" t="s">
        <v>242</v>
      </c>
      <c r="Q593" s="10" t="s">
        <v>242</v>
      </c>
      <c r="R593" s="10" t="s">
        <v>241</v>
      </c>
      <c r="S593" s="10" t="s">
        <v>242</v>
      </c>
      <c r="T593" s="10" t="s">
        <v>242</v>
      </c>
      <c r="U593" s="10" t="s">
        <v>241</v>
      </c>
      <c r="V593" s="10" t="s">
        <v>241</v>
      </c>
      <c r="W593" s="10" t="s">
        <v>242</v>
      </c>
      <c r="X593" s="15">
        <f>IF(ISERROR(VLOOKUP($A593,'13. Updated Demand'!A:Z,15,FALSE)),0,VLOOKUP($A593,'13. Updated Demand'!A:Z,15,FALSE))</f>
        <v>0</v>
      </c>
      <c r="Y593" s="16">
        <f>IF(ISERROR(VLOOKUP($A593,'13. Updated Demand'!A:Z,16,FALSE)),0,VLOOKUP($A593,'13. Updated Demand'!A:Z,16,FALSE))</f>
        <v>0</v>
      </c>
      <c r="Z593" s="16">
        <f>IF(ISERROR(VLOOKUP($A593,'13. Updated Demand'!A:Z,17,FALSE)),0,VLOOKUP($A593,'13. Updated Demand'!A:Z,17,FALSE))</f>
        <v>0</v>
      </c>
      <c r="AA593" s="16">
        <f>IF(ISERROR(VLOOKUP($A593,'13. Updated Demand'!A:Z,18,FALSE)),0,VLOOKUP($A593,'13. Updated Demand'!A:Z,18,FALSE))</f>
        <v>0</v>
      </c>
      <c r="AB593" s="16">
        <f>IF(ISERROR(VLOOKUP($A593,'13. Updated Demand'!A:Z,19,FALSE)),0,VLOOKUP($A593,'13. Updated Demand'!A:Z,19,FALSE))</f>
        <v>0</v>
      </c>
      <c r="AC593" s="16">
        <f>IF(ISERROR(VLOOKUP($A593,'13. Updated Demand'!A:Z,20,FALSE)),0,VLOOKUP($A593,'13. Updated Demand'!A:Z,20,FALSE))</f>
        <v>0</v>
      </c>
      <c r="AD593" s="16">
        <f>IF(ISERROR(VLOOKUP($A593,'13. Updated Demand'!A:Z,21,FALSE)),0,VLOOKUP($A593,'13. Updated Demand'!A:Z,21,FALSE))</f>
        <v>0</v>
      </c>
      <c r="AE593" s="16">
        <f>IF(ISERROR(VLOOKUP($A593,'13. Updated Demand'!A:Z,22,FALSE)),0,VLOOKUP($A593,'13. Updated Demand'!A:Z,22,FALSE))</f>
        <v>0</v>
      </c>
      <c r="AF593" s="16">
        <f>IF(ISERROR(VLOOKUP($A593,'13. Updated Demand'!A:Z,23,FALSE)),0,VLOOKUP($A593,'13. Updated Demand'!A:Z,23,FALSE))</f>
        <v>0</v>
      </c>
      <c r="AG593" s="16">
        <f>IF(ISERROR(VLOOKUP($A593,'13. Updated Demand'!A:Z,24,FALSE)),0,VLOOKUP($A593,'13. Updated Demand'!A:Z,24,FALSE))</f>
        <v>0</v>
      </c>
      <c r="AH593" s="16">
        <f>IF(ISERROR(VLOOKUP($A593,'13. Updated Demand'!A:Z,25,FALSE)),0,VLOOKUP($A593,'13. Updated Demand'!A:Z,25,FALSE))</f>
        <v>0</v>
      </c>
      <c r="AI593" s="16">
        <f>IF(ISERROR(VLOOKUP($A593,'13. Updated Demand'!A:Z,26,FALSE)),0,VLOOKUP($A593,'13. Updated Demand'!A:Z,26,FALSE))</f>
        <v>0</v>
      </c>
      <c r="AJ593" s="16">
        <f t="shared" si="120"/>
        <v>0</v>
      </c>
      <c r="AK593" s="19">
        <v>0</v>
      </c>
      <c r="AL593" s="16">
        <f t="shared" si="118"/>
        <v>0</v>
      </c>
      <c r="AM593" s="17">
        <v>0</v>
      </c>
      <c r="AN593" s="19"/>
      <c r="AO593" s="19"/>
      <c r="AP593" s="19">
        <v>2</v>
      </c>
      <c r="AQ593" s="19" t="s">
        <v>307</v>
      </c>
      <c r="AR593" s="9" t="s">
        <v>352</v>
      </c>
      <c r="AS593" s="12">
        <v>0</v>
      </c>
      <c r="AT593" s="19">
        <v>38.421884370000001</v>
      </c>
      <c r="AU593" s="19">
        <v>-122.91907747</v>
      </c>
      <c r="AV593" s="19" t="s">
        <v>417</v>
      </c>
    </row>
    <row r="594" spans="1:48" x14ac:dyDescent="0.25">
      <c r="A594" s="18" t="s">
        <v>980</v>
      </c>
      <c r="B594" s="10">
        <v>19770421</v>
      </c>
      <c r="C594" s="9">
        <v>1</v>
      </c>
      <c r="D594" s="8" t="str">
        <f t="shared" si="109"/>
        <v>N</v>
      </c>
      <c r="E594" s="8" t="str">
        <f t="shared" si="110"/>
        <v>N</v>
      </c>
      <c r="F594" s="8" t="str">
        <f t="shared" si="111"/>
        <v>Y</v>
      </c>
      <c r="G594" s="8" t="str">
        <f t="shared" si="112"/>
        <v>Y</v>
      </c>
      <c r="H594" s="8" t="str">
        <f t="shared" si="113"/>
        <v>Upper</v>
      </c>
      <c r="I594" s="8" t="str">
        <f t="shared" si="114"/>
        <v>West Fork and Below Lake</v>
      </c>
      <c r="J594" s="8" t="str">
        <f t="shared" si="115"/>
        <v>Outside</v>
      </c>
      <c r="K594" s="8" t="str">
        <f t="shared" si="116"/>
        <v>Post-1949</v>
      </c>
      <c r="L594" s="8">
        <f t="shared" si="117"/>
        <v>1977</v>
      </c>
      <c r="M594" s="8" t="str">
        <f t="shared" si="119"/>
        <v>1971-1990</v>
      </c>
      <c r="N594" s="10" t="s">
        <v>242</v>
      </c>
      <c r="O594" s="10" t="s">
        <v>241</v>
      </c>
      <c r="P594" s="10" t="s">
        <v>242</v>
      </c>
      <c r="Q594" s="10" t="s">
        <v>242</v>
      </c>
      <c r="R594" s="10" t="s">
        <v>241</v>
      </c>
      <c r="S594" s="10" t="s">
        <v>242</v>
      </c>
      <c r="T594" s="10" t="s">
        <v>242</v>
      </c>
      <c r="U594" s="10" t="s">
        <v>242</v>
      </c>
      <c r="V594" s="10" t="s">
        <v>241</v>
      </c>
      <c r="W594" s="10" t="s">
        <v>242</v>
      </c>
      <c r="X594" s="15">
        <f>IF(ISERROR(VLOOKUP($A594,'13. Updated Demand'!A:Z,15,FALSE)),0,VLOOKUP($A594,'13. Updated Demand'!A:Z,15,FALSE))</f>
        <v>8</v>
      </c>
      <c r="Y594" s="16">
        <f>IF(ISERROR(VLOOKUP($A594,'13. Updated Demand'!A:Z,16,FALSE)),0,VLOOKUP($A594,'13. Updated Demand'!A:Z,16,FALSE))</f>
        <v>0</v>
      </c>
      <c r="Z594" s="16">
        <f>IF(ISERROR(VLOOKUP($A594,'13. Updated Demand'!A:Z,17,FALSE)),0,VLOOKUP($A594,'13. Updated Demand'!A:Z,17,FALSE))</f>
        <v>0</v>
      </c>
      <c r="AA594" s="16">
        <f>IF(ISERROR(VLOOKUP($A594,'13. Updated Demand'!A:Z,18,FALSE)),0,VLOOKUP($A594,'13. Updated Demand'!A:Z,18,FALSE))</f>
        <v>0</v>
      </c>
      <c r="AB594" s="16">
        <f>IF(ISERROR(VLOOKUP($A594,'13. Updated Demand'!A:Z,19,FALSE)),0,VLOOKUP($A594,'13. Updated Demand'!A:Z,19,FALSE))</f>
        <v>0</v>
      </c>
      <c r="AC594" s="16">
        <f>IF(ISERROR(VLOOKUP($A594,'13. Updated Demand'!A:Z,20,FALSE)),0,VLOOKUP($A594,'13. Updated Demand'!A:Z,20,FALSE))</f>
        <v>0</v>
      </c>
      <c r="AD594" s="16">
        <f>IF(ISERROR(VLOOKUP($A594,'13. Updated Demand'!A:Z,21,FALSE)),0,VLOOKUP($A594,'13. Updated Demand'!A:Z,21,FALSE))</f>
        <v>0</v>
      </c>
      <c r="AE594" s="16">
        <f>IF(ISERROR(VLOOKUP($A594,'13. Updated Demand'!A:Z,22,FALSE)),0,VLOOKUP($A594,'13. Updated Demand'!A:Z,22,FALSE))</f>
        <v>0</v>
      </c>
      <c r="AF594" s="16">
        <f>IF(ISERROR(VLOOKUP($A594,'13. Updated Demand'!A:Z,23,FALSE)),0,VLOOKUP($A594,'13. Updated Demand'!A:Z,23,FALSE))</f>
        <v>0</v>
      </c>
      <c r="AG594" s="16">
        <f>IF(ISERROR(VLOOKUP($A594,'13. Updated Demand'!A:Z,24,FALSE)),0,VLOOKUP($A594,'13. Updated Demand'!A:Z,24,FALSE))</f>
        <v>0</v>
      </c>
      <c r="AH594" s="16">
        <f>IF(ISERROR(VLOOKUP($A594,'13. Updated Demand'!A:Z,25,FALSE)),0,VLOOKUP($A594,'13. Updated Demand'!A:Z,25,FALSE))</f>
        <v>0</v>
      </c>
      <c r="AI594" s="16">
        <f>IF(ISERROR(VLOOKUP($A594,'13. Updated Demand'!A:Z,26,FALSE)),0,VLOOKUP($A594,'13. Updated Demand'!A:Z,26,FALSE))</f>
        <v>0</v>
      </c>
      <c r="AJ594" s="16">
        <f t="shared" si="120"/>
        <v>8</v>
      </c>
      <c r="AK594" s="19">
        <v>0</v>
      </c>
      <c r="AL594" s="16">
        <f t="shared" si="118"/>
        <v>0</v>
      </c>
      <c r="AM594" s="17">
        <v>0.66666666666666663</v>
      </c>
      <c r="AN594" s="19"/>
      <c r="AO594" s="19"/>
      <c r="AP594" s="19">
        <v>12</v>
      </c>
      <c r="AQ594" s="19" t="s">
        <v>307</v>
      </c>
      <c r="AR594" s="9" t="s">
        <v>317</v>
      </c>
      <c r="AS594" s="12">
        <v>0</v>
      </c>
      <c r="AT594" s="19">
        <v>39.268169880000002</v>
      </c>
      <c r="AU594" s="19">
        <v>-123.17637744</v>
      </c>
      <c r="AV594" s="19" t="s">
        <v>417</v>
      </c>
    </row>
    <row r="595" spans="1:48" x14ac:dyDescent="0.25">
      <c r="A595" s="18" t="s">
        <v>102</v>
      </c>
      <c r="B595" s="10">
        <v>19770427</v>
      </c>
      <c r="C595" s="9">
        <v>12</v>
      </c>
      <c r="D595" s="8" t="str">
        <f t="shared" si="109"/>
        <v>N</v>
      </c>
      <c r="E595" s="8" t="str">
        <f t="shared" si="110"/>
        <v>Y</v>
      </c>
      <c r="F595" s="8" t="str">
        <f t="shared" si="111"/>
        <v>Y</v>
      </c>
      <c r="G595" s="8" t="str">
        <f t="shared" si="112"/>
        <v>Y</v>
      </c>
      <c r="H595" s="8" t="str">
        <f t="shared" si="113"/>
        <v>Upper</v>
      </c>
      <c r="I595" s="8" t="str">
        <f t="shared" si="114"/>
        <v>West Fork and Below Lake</v>
      </c>
      <c r="J595" s="8" t="str">
        <f t="shared" si="115"/>
        <v>Sonoma (d/s of Clov. Gage)</v>
      </c>
      <c r="K595" s="8" t="str">
        <f t="shared" si="116"/>
        <v>Post-1949</v>
      </c>
      <c r="L595" s="8">
        <f t="shared" si="117"/>
        <v>1977</v>
      </c>
      <c r="M595" s="8" t="str">
        <f t="shared" si="119"/>
        <v>1971-1990</v>
      </c>
      <c r="N595" s="10" t="s">
        <v>241</v>
      </c>
      <c r="O595" s="10" t="s">
        <v>241</v>
      </c>
      <c r="P595" s="10" t="s">
        <v>242</v>
      </c>
      <c r="Q595" s="10" t="s">
        <v>242</v>
      </c>
      <c r="R595" s="10" t="s">
        <v>241</v>
      </c>
      <c r="S595" s="10" t="s">
        <v>242</v>
      </c>
      <c r="T595" s="10" t="s">
        <v>242</v>
      </c>
      <c r="U595" s="10" t="s">
        <v>242</v>
      </c>
      <c r="V595" s="10" t="s">
        <v>242</v>
      </c>
      <c r="W595" s="10" t="s">
        <v>242</v>
      </c>
      <c r="X595" s="15">
        <f>IF(ISERROR(VLOOKUP($A595,'13. Updated Demand'!A:Z,15,FALSE)),0,VLOOKUP($A595,'13. Updated Demand'!A:Z,15,FALSE))</f>
        <v>1.06</v>
      </c>
      <c r="Y595" s="16">
        <f>IF(ISERROR(VLOOKUP($A595,'13. Updated Demand'!A:Z,16,FALSE)),0,VLOOKUP($A595,'13. Updated Demand'!A:Z,16,FALSE))</f>
        <v>0.03</v>
      </c>
      <c r="Z595" s="16">
        <f>IF(ISERROR(VLOOKUP($A595,'13. Updated Demand'!A:Z,17,FALSE)),0,VLOOKUP($A595,'13. Updated Demand'!A:Z,17,FALSE))</f>
        <v>5.5</v>
      </c>
      <c r="AA595" s="16">
        <f>IF(ISERROR(VLOOKUP($A595,'13. Updated Demand'!A:Z,18,FALSE)),0,VLOOKUP($A595,'13. Updated Demand'!A:Z,18,FALSE))</f>
        <v>1.5</v>
      </c>
      <c r="AB595" s="16">
        <f>IF(ISERROR(VLOOKUP($A595,'13. Updated Demand'!A:Z,19,FALSE)),0,VLOOKUP($A595,'13. Updated Demand'!A:Z,19,FALSE))</f>
        <v>2.36</v>
      </c>
      <c r="AC595" s="16">
        <f>IF(ISERROR(VLOOKUP($A595,'13. Updated Demand'!A:Z,20,FALSE)),0,VLOOKUP($A595,'13. Updated Demand'!A:Z,20,FALSE))</f>
        <v>2.6</v>
      </c>
      <c r="AD595" s="16">
        <f>IF(ISERROR(VLOOKUP($A595,'13. Updated Demand'!A:Z,21,FALSE)),0,VLOOKUP($A595,'13. Updated Demand'!A:Z,21,FALSE))</f>
        <v>2.5299999999999998</v>
      </c>
      <c r="AE595" s="16">
        <f>IF(ISERROR(VLOOKUP($A595,'13. Updated Demand'!A:Z,22,FALSE)),0,VLOOKUP($A595,'13. Updated Demand'!A:Z,22,FALSE))</f>
        <v>5.43</v>
      </c>
      <c r="AF595" s="16">
        <f>IF(ISERROR(VLOOKUP($A595,'13. Updated Demand'!A:Z,23,FALSE)),0,VLOOKUP($A595,'13. Updated Demand'!A:Z,23,FALSE))</f>
        <v>7.5</v>
      </c>
      <c r="AG595" s="16">
        <f>IF(ISERROR(VLOOKUP($A595,'13. Updated Demand'!A:Z,24,FALSE)),0,VLOOKUP($A595,'13. Updated Demand'!A:Z,24,FALSE))</f>
        <v>2.4300000000000002</v>
      </c>
      <c r="AH595" s="16">
        <f>IF(ISERROR(VLOOKUP($A595,'13. Updated Demand'!A:Z,25,FALSE)),0,VLOOKUP($A595,'13. Updated Demand'!A:Z,25,FALSE))</f>
        <v>0.03</v>
      </c>
      <c r="AI595" s="16">
        <f>IF(ISERROR(VLOOKUP($A595,'13. Updated Demand'!A:Z,26,FALSE)),0,VLOOKUP($A595,'13. Updated Demand'!A:Z,26,FALSE))</f>
        <v>0.03</v>
      </c>
      <c r="AJ595" s="16">
        <f t="shared" si="120"/>
        <v>31</v>
      </c>
      <c r="AK595" s="19">
        <v>20.43333333333333</v>
      </c>
      <c r="AL595" s="16">
        <f t="shared" si="118"/>
        <v>6.7775039091271555E-2</v>
      </c>
      <c r="AM595" s="17">
        <v>0.11004728132387706</v>
      </c>
      <c r="AN595" s="19"/>
      <c r="AO595" s="19"/>
      <c r="AP595" s="19">
        <v>282</v>
      </c>
      <c r="AQ595" s="19" t="s">
        <v>307</v>
      </c>
      <c r="AR595" s="9" t="s">
        <v>311</v>
      </c>
      <c r="AS595" s="12">
        <v>3.4039024194010059E-4</v>
      </c>
      <c r="AT595" s="19">
        <v>38.639175399999999</v>
      </c>
      <c r="AU595" s="19">
        <v>-122.7968327</v>
      </c>
      <c r="AV595" s="19" t="s">
        <v>548</v>
      </c>
    </row>
    <row r="596" spans="1:48" x14ac:dyDescent="0.25">
      <c r="A596" s="18" t="s">
        <v>981</v>
      </c>
      <c r="B596" s="10">
        <v>19770512</v>
      </c>
      <c r="C596" s="9">
        <v>17</v>
      </c>
      <c r="D596" s="8" t="str">
        <f t="shared" si="109"/>
        <v>N</v>
      </c>
      <c r="E596" s="8" t="str">
        <f t="shared" si="110"/>
        <v>N</v>
      </c>
      <c r="F596" s="8" t="str">
        <f t="shared" si="111"/>
        <v>N</v>
      </c>
      <c r="G596" s="8" t="str">
        <f t="shared" si="112"/>
        <v>N</v>
      </c>
      <c r="H596" s="8" t="str">
        <f t="shared" si="113"/>
        <v>Lower</v>
      </c>
      <c r="I596" s="8" t="str">
        <f t="shared" si="114"/>
        <v>Outside</v>
      </c>
      <c r="J596" s="8" t="str">
        <f t="shared" si="115"/>
        <v>Outside</v>
      </c>
      <c r="K596" s="8" t="str">
        <f t="shared" si="116"/>
        <v>Post-1949</v>
      </c>
      <c r="L596" s="8">
        <f t="shared" si="117"/>
        <v>1977</v>
      </c>
      <c r="M596" s="8" t="str">
        <f t="shared" si="119"/>
        <v>1971-1990</v>
      </c>
      <c r="N596" s="10" t="s">
        <v>241</v>
      </c>
      <c r="O596" s="10" t="s">
        <v>242</v>
      </c>
      <c r="P596" s="10" t="s">
        <v>242</v>
      </c>
      <c r="Q596" s="10" t="s">
        <v>242</v>
      </c>
      <c r="R596" s="10" t="s">
        <v>241</v>
      </c>
      <c r="S596" s="10" t="s">
        <v>242</v>
      </c>
      <c r="T596" s="10" t="s">
        <v>242</v>
      </c>
      <c r="U596" s="10" t="s">
        <v>242</v>
      </c>
      <c r="V596" s="10" t="s">
        <v>242</v>
      </c>
      <c r="W596" s="10" t="s">
        <v>242</v>
      </c>
      <c r="X596" s="15">
        <f>IF(ISERROR(VLOOKUP($A596,'13. Updated Demand'!A:Z,15,FALSE)),0,VLOOKUP($A596,'13. Updated Demand'!A:Z,15,FALSE))</f>
        <v>0</v>
      </c>
      <c r="Y596" s="16">
        <f>IF(ISERROR(VLOOKUP($A596,'13. Updated Demand'!A:Z,16,FALSE)),0,VLOOKUP($A596,'13. Updated Demand'!A:Z,16,FALSE))</f>
        <v>0</v>
      </c>
      <c r="Z596" s="16">
        <f>IF(ISERROR(VLOOKUP($A596,'13. Updated Demand'!A:Z,17,FALSE)),0,VLOOKUP($A596,'13. Updated Demand'!A:Z,17,FALSE))</f>
        <v>0</v>
      </c>
      <c r="AA596" s="16">
        <f>IF(ISERROR(VLOOKUP($A596,'13. Updated Demand'!A:Z,18,FALSE)),0,VLOOKUP($A596,'13. Updated Demand'!A:Z,18,FALSE))</f>
        <v>0</v>
      </c>
      <c r="AB596" s="16">
        <f>IF(ISERROR(VLOOKUP($A596,'13. Updated Demand'!A:Z,19,FALSE)),0,VLOOKUP($A596,'13. Updated Demand'!A:Z,19,FALSE))</f>
        <v>2.5599999999999999E-4</v>
      </c>
      <c r="AC596" s="16">
        <f>IF(ISERROR(VLOOKUP($A596,'13. Updated Demand'!A:Z,20,FALSE)),0,VLOOKUP($A596,'13. Updated Demand'!A:Z,20,FALSE))</f>
        <v>2.5599999999999999E-4</v>
      </c>
      <c r="AD596" s="16">
        <f>IF(ISERROR(VLOOKUP($A596,'13. Updated Demand'!A:Z,21,FALSE)),0,VLOOKUP($A596,'13. Updated Demand'!A:Z,21,FALSE))</f>
        <v>2.5599999999999999E-4</v>
      </c>
      <c r="AE596" s="16">
        <f>IF(ISERROR(VLOOKUP($A596,'13. Updated Demand'!A:Z,22,FALSE)),0,VLOOKUP($A596,'13. Updated Demand'!A:Z,22,FALSE))</f>
        <v>2.5599999999999999E-4</v>
      </c>
      <c r="AF596" s="16">
        <f>IF(ISERROR(VLOOKUP($A596,'13. Updated Demand'!A:Z,23,FALSE)),0,VLOOKUP($A596,'13. Updated Demand'!A:Z,23,FALSE))</f>
        <v>2.5599999999999999E-4</v>
      </c>
      <c r="AG596" s="16">
        <f>IF(ISERROR(VLOOKUP($A596,'13. Updated Demand'!A:Z,24,FALSE)),0,VLOOKUP($A596,'13. Updated Demand'!A:Z,24,FALSE))</f>
        <v>0</v>
      </c>
      <c r="AH596" s="16">
        <f>IF(ISERROR(VLOOKUP($A596,'13. Updated Demand'!A:Z,25,FALSE)),0,VLOOKUP($A596,'13. Updated Demand'!A:Z,25,FALSE))</f>
        <v>0</v>
      </c>
      <c r="AI596" s="16">
        <f>IF(ISERROR(VLOOKUP($A596,'13. Updated Demand'!A:Z,26,FALSE)),0,VLOOKUP($A596,'13. Updated Demand'!A:Z,26,FALSE))</f>
        <v>0</v>
      </c>
      <c r="AJ596" s="16">
        <f t="shared" si="120"/>
        <v>1.2799999999999999E-3</v>
      </c>
      <c r="AK596" s="19">
        <v>1.2799999999999999E-3</v>
      </c>
      <c r="AL596" s="16">
        <f t="shared" si="118"/>
        <v>4.2456141942982514E-6</v>
      </c>
      <c r="AM596" s="17">
        <v>4.2666666666666669E-3</v>
      </c>
      <c r="AN596" s="19"/>
      <c r="AO596" s="19"/>
      <c r="AP596" s="19">
        <v>0.3</v>
      </c>
      <c r="AQ596" s="19" t="s">
        <v>307</v>
      </c>
      <c r="AR596" s="9" t="s">
        <v>486</v>
      </c>
      <c r="AS596" s="12">
        <v>0</v>
      </c>
      <c r="AT596" s="19">
        <v>38.536613359999997</v>
      </c>
      <c r="AU596" s="19">
        <v>-122.85447361999999</v>
      </c>
      <c r="AV596" s="19" t="s">
        <v>387</v>
      </c>
    </row>
    <row r="597" spans="1:48" x14ac:dyDescent="0.25">
      <c r="A597" s="18" t="s">
        <v>982</v>
      </c>
      <c r="B597" s="10">
        <v>19770517</v>
      </c>
      <c r="C597" s="9">
        <v>17</v>
      </c>
      <c r="D597" s="8" t="str">
        <f t="shared" si="109"/>
        <v>N</v>
      </c>
      <c r="E597" s="8" t="str">
        <f t="shared" si="110"/>
        <v>N</v>
      </c>
      <c r="F597" s="8" t="str">
        <f t="shared" si="111"/>
        <v>N</v>
      </c>
      <c r="G597" s="8" t="str">
        <f t="shared" si="112"/>
        <v>N</v>
      </c>
      <c r="H597" s="8" t="str">
        <f t="shared" si="113"/>
        <v>Lower</v>
      </c>
      <c r="I597" s="8" t="str">
        <f t="shared" si="114"/>
        <v>Outside</v>
      </c>
      <c r="J597" s="8" t="str">
        <f t="shared" si="115"/>
        <v>Outside</v>
      </c>
      <c r="K597" s="8" t="str">
        <f t="shared" si="116"/>
        <v>Post-1949</v>
      </c>
      <c r="L597" s="8">
        <f t="shared" si="117"/>
        <v>1977</v>
      </c>
      <c r="M597" s="8" t="str">
        <f t="shared" si="119"/>
        <v>1971-1990</v>
      </c>
      <c r="N597" s="10" t="s">
        <v>242</v>
      </c>
      <c r="O597" s="10" t="s">
        <v>242</v>
      </c>
      <c r="P597" s="10" t="s">
        <v>242</v>
      </c>
      <c r="Q597" s="10" t="s">
        <v>242</v>
      </c>
      <c r="R597" s="10" t="s">
        <v>241</v>
      </c>
      <c r="S597" s="10" t="s">
        <v>242</v>
      </c>
      <c r="T597" s="10" t="s">
        <v>242</v>
      </c>
      <c r="U597" s="10" t="s">
        <v>242</v>
      </c>
      <c r="V597" s="10" t="s">
        <v>242</v>
      </c>
      <c r="W597" s="10" t="s">
        <v>242</v>
      </c>
      <c r="X597" s="15">
        <f>IF(ISERROR(VLOOKUP($A597,'13. Updated Demand'!A:Z,15,FALSE)),0,VLOOKUP($A597,'13. Updated Demand'!A:Z,15,FALSE))</f>
        <v>1.51</v>
      </c>
      <c r="Y597" s="16">
        <f>IF(ISERROR(VLOOKUP($A597,'13. Updated Demand'!A:Z,16,FALSE)),0,VLOOKUP($A597,'13. Updated Demand'!A:Z,16,FALSE))</f>
        <v>1.673333333</v>
      </c>
      <c r="Z597" s="16">
        <f>IF(ISERROR(VLOOKUP($A597,'13. Updated Demand'!A:Z,17,FALSE)),0,VLOOKUP($A597,'13. Updated Demand'!A:Z,17,FALSE))</f>
        <v>1</v>
      </c>
      <c r="AA597" s="16">
        <f>IF(ISERROR(VLOOKUP($A597,'13. Updated Demand'!A:Z,18,FALSE)),0,VLOOKUP($A597,'13. Updated Demand'!A:Z,18,FALSE))</f>
        <v>0.49333333299999999</v>
      </c>
      <c r="AB597" s="16">
        <f>IF(ISERROR(VLOOKUP($A597,'13. Updated Demand'!A:Z,19,FALSE)),0,VLOOKUP($A597,'13. Updated Demand'!A:Z,19,FALSE))</f>
        <v>0.25</v>
      </c>
      <c r="AC597" s="16">
        <f>IF(ISERROR(VLOOKUP($A597,'13. Updated Demand'!A:Z,20,FALSE)),0,VLOOKUP($A597,'13. Updated Demand'!A:Z,20,FALSE))</f>
        <v>0</v>
      </c>
      <c r="AD597" s="16">
        <f>IF(ISERROR(VLOOKUP($A597,'13. Updated Demand'!A:Z,21,FALSE)),0,VLOOKUP($A597,'13. Updated Demand'!A:Z,21,FALSE))</f>
        <v>0</v>
      </c>
      <c r="AE597" s="16">
        <f>IF(ISERROR(VLOOKUP($A597,'13. Updated Demand'!A:Z,22,FALSE)),0,VLOOKUP($A597,'13. Updated Demand'!A:Z,22,FALSE))</f>
        <v>0</v>
      </c>
      <c r="AF597" s="16">
        <f>IF(ISERROR(VLOOKUP($A597,'13. Updated Demand'!A:Z,23,FALSE)),0,VLOOKUP($A597,'13. Updated Demand'!A:Z,23,FALSE))</f>
        <v>0</v>
      </c>
      <c r="AG597" s="16">
        <f>IF(ISERROR(VLOOKUP($A597,'13. Updated Demand'!A:Z,24,FALSE)),0,VLOOKUP($A597,'13. Updated Demand'!A:Z,24,FALSE))</f>
        <v>0.03</v>
      </c>
      <c r="AH597" s="16">
        <f>IF(ISERROR(VLOOKUP($A597,'13. Updated Demand'!A:Z,25,FALSE)),0,VLOOKUP($A597,'13. Updated Demand'!A:Z,25,FALSE))</f>
        <v>0.35</v>
      </c>
      <c r="AI597" s="16">
        <f>IF(ISERROR(VLOOKUP($A597,'13. Updated Demand'!A:Z,26,FALSE)),0,VLOOKUP($A597,'13. Updated Demand'!A:Z,26,FALSE))</f>
        <v>0.41666666699999999</v>
      </c>
      <c r="AJ597" s="16">
        <f t="shared" si="120"/>
        <v>5.7233333330000002</v>
      </c>
      <c r="AK597" s="19">
        <v>0.25</v>
      </c>
      <c r="AL597" s="16">
        <f t="shared" si="118"/>
        <v>8.2922152232387718E-4</v>
      </c>
      <c r="AM597" s="17">
        <v>0.26015151513636364</v>
      </c>
      <c r="AN597" s="19"/>
      <c r="AO597" s="19"/>
      <c r="AP597" s="19">
        <v>22</v>
      </c>
      <c r="AQ597" s="19" t="s">
        <v>307</v>
      </c>
      <c r="AR597" s="9" t="s">
        <v>486</v>
      </c>
      <c r="AS597" s="12">
        <v>0</v>
      </c>
      <c r="AT597" s="19">
        <v>38.544308010000002</v>
      </c>
      <c r="AU597" s="19">
        <v>-122.89023127999999</v>
      </c>
      <c r="AV597" s="19" t="s">
        <v>417</v>
      </c>
    </row>
    <row r="598" spans="1:48" x14ac:dyDescent="0.25">
      <c r="A598" s="18" t="s">
        <v>983</v>
      </c>
      <c r="B598" s="10">
        <v>19770613</v>
      </c>
      <c r="C598" s="9">
        <v>17</v>
      </c>
      <c r="D598" s="8" t="str">
        <f t="shared" si="109"/>
        <v>N</v>
      </c>
      <c r="E598" s="8" t="str">
        <f t="shared" si="110"/>
        <v>N</v>
      </c>
      <c r="F598" s="8" t="str">
        <f t="shared" si="111"/>
        <v>N</v>
      </c>
      <c r="G598" s="8" t="str">
        <f t="shared" si="112"/>
        <v>N</v>
      </c>
      <c r="H598" s="8" t="str">
        <f t="shared" si="113"/>
        <v>Lower</v>
      </c>
      <c r="I598" s="8" t="str">
        <f t="shared" si="114"/>
        <v>Outside</v>
      </c>
      <c r="J598" s="8" t="str">
        <f t="shared" si="115"/>
        <v>Outside</v>
      </c>
      <c r="K598" s="8" t="str">
        <f t="shared" si="116"/>
        <v>Post-1949</v>
      </c>
      <c r="L598" s="8">
        <f t="shared" si="117"/>
        <v>1977</v>
      </c>
      <c r="M598" s="8" t="str">
        <f t="shared" si="119"/>
        <v>1971-1990</v>
      </c>
      <c r="N598" s="10" t="s">
        <v>241</v>
      </c>
      <c r="O598" s="10" t="s">
        <v>242</v>
      </c>
      <c r="P598" s="10" t="s">
        <v>242</v>
      </c>
      <c r="Q598" s="10" t="s">
        <v>242</v>
      </c>
      <c r="R598" s="10" t="s">
        <v>241</v>
      </c>
      <c r="S598" s="10" t="s">
        <v>242</v>
      </c>
      <c r="T598" s="10" t="s">
        <v>242</v>
      </c>
      <c r="U598" s="10" t="s">
        <v>242</v>
      </c>
      <c r="V598" s="10" t="s">
        <v>242</v>
      </c>
      <c r="W598" s="10" t="s">
        <v>242</v>
      </c>
      <c r="X598" s="15">
        <f>IF(ISERROR(VLOOKUP($A598,'13. Updated Demand'!A:Z,15,FALSE)),0,VLOOKUP($A598,'13. Updated Demand'!A:Z,15,FALSE))</f>
        <v>0</v>
      </c>
      <c r="Y598" s="16">
        <f>IF(ISERROR(VLOOKUP($A598,'13. Updated Demand'!A:Z,16,FALSE)),0,VLOOKUP($A598,'13. Updated Demand'!A:Z,16,FALSE))</f>
        <v>0</v>
      </c>
      <c r="Z598" s="16">
        <f>IF(ISERROR(VLOOKUP($A598,'13. Updated Demand'!A:Z,17,FALSE)),0,VLOOKUP($A598,'13. Updated Demand'!A:Z,17,FALSE))</f>
        <v>0</v>
      </c>
      <c r="AA598" s="16">
        <f>IF(ISERROR(VLOOKUP($A598,'13. Updated Demand'!A:Z,18,FALSE)),0,VLOOKUP($A598,'13. Updated Demand'!A:Z,18,FALSE))</f>
        <v>0</v>
      </c>
      <c r="AB598" s="16">
        <f>IF(ISERROR(VLOOKUP($A598,'13. Updated Demand'!A:Z,19,FALSE)),0,VLOOKUP($A598,'13. Updated Demand'!A:Z,19,FALSE))</f>
        <v>0.82</v>
      </c>
      <c r="AC598" s="16">
        <f>IF(ISERROR(VLOOKUP($A598,'13. Updated Demand'!A:Z,20,FALSE)),0,VLOOKUP($A598,'13. Updated Demand'!A:Z,20,FALSE))</f>
        <v>0.90333333299999996</v>
      </c>
      <c r="AD598" s="16">
        <f>IF(ISERROR(VLOOKUP($A598,'13. Updated Demand'!A:Z,21,FALSE)),0,VLOOKUP($A598,'13. Updated Demand'!A:Z,21,FALSE))</f>
        <v>0.43666666700000001</v>
      </c>
      <c r="AE598" s="16">
        <f>IF(ISERROR(VLOOKUP($A598,'13. Updated Demand'!A:Z,22,FALSE)),0,VLOOKUP($A598,'13. Updated Demand'!A:Z,22,FALSE))</f>
        <v>0.68</v>
      </c>
      <c r="AF598" s="16">
        <f>IF(ISERROR(VLOOKUP($A598,'13. Updated Demand'!A:Z,23,FALSE)),0,VLOOKUP($A598,'13. Updated Demand'!A:Z,23,FALSE))</f>
        <v>0</v>
      </c>
      <c r="AG598" s="16">
        <f>IF(ISERROR(VLOOKUP($A598,'13. Updated Demand'!A:Z,24,FALSE)),0,VLOOKUP($A598,'13. Updated Demand'!A:Z,24,FALSE))</f>
        <v>0</v>
      </c>
      <c r="AH598" s="16">
        <f>IF(ISERROR(VLOOKUP($A598,'13. Updated Demand'!A:Z,25,FALSE)),0,VLOOKUP($A598,'13. Updated Demand'!A:Z,25,FALSE))</f>
        <v>0</v>
      </c>
      <c r="AI598" s="16">
        <f>IF(ISERROR(VLOOKUP($A598,'13. Updated Demand'!A:Z,26,FALSE)),0,VLOOKUP($A598,'13. Updated Demand'!A:Z,26,FALSE))</f>
        <v>0</v>
      </c>
      <c r="AJ598" s="16">
        <f t="shared" si="120"/>
        <v>2.84</v>
      </c>
      <c r="AK598" s="19">
        <v>2.84</v>
      </c>
      <c r="AL598" s="16">
        <f t="shared" si="118"/>
        <v>9.419956493599245E-3</v>
      </c>
      <c r="AM598" s="17">
        <v>0.35499999999999998</v>
      </c>
      <c r="AN598" s="19"/>
      <c r="AO598" s="19"/>
      <c r="AP598" s="19">
        <v>8</v>
      </c>
      <c r="AQ598" s="19" t="s">
        <v>307</v>
      </c>
      <c r="AR598" s="9" t="s">
        <v>486</v>
      </c>
      <c r="AS598" s="12">
        <v>0</v>
      </c>
      <c r="AT598" s="19">
        <v>38.537700000000001</v>
      </c>
      <c r="AU598" s="19">
        <v>-122.8626</v>
      </c>
      <c r="AV598" s="19" t="s">
        <v>548</v>
      </c>
    </row>
    <row r="599" spans="1:48" x14ac:dyDescent="0.25">
      <c r="A599" s="18" t="s">
        <v>984</v>
      </c>
      <c r="B599" s="10">
        <v>19770613</v>
      </c>
      <c r="C599" s="9">
        <v>17</v>
      </c>
      <c r="D599" s="8" t="str">
        <f t="shared" si="109"/>
        <v>N</v>
      </c>
      <c r="E599" s="8" t="str">
        <f t="shared" si="110"/>
        <v>N</v>
      </c>
      <c r="F599" s="8" t="str">
        <f t="shared" si="111"/>
        <v>N</v>
      </c>
      <c r="G599" s="8" t="str">
        <f t="shared" si="112"/>
        <v>N</v>
      </c>
      <c r="H599" s="8" t="str">
        <f t="shared" si="113"/>
        <v>Lower</v>
      </c>
      <c r="I599" s="8" t="str">
        <f t="shared" si="114"/>
        <v>Outside</v>
      </c>
      <c r="J599" s="8" t="str">
        <f t="shared" si="115"/>
        <v>Outside</v>
      </c>
      <c r="K599" s="8" t="str">
        <f t="shared" si="116"/>
        <v>Post-1949</v>
      </c>
      <c r="L599" s="8">
        <f t="shared" si="117"/>
        <v>1977</v>
      </c>
      <c r="M599" s="8" t="str">
        <f t="shared" si="119"/>
        <v>1971-1990</v>
      </c>
      <c r="N599" s="10" t="s">
        <v>241</v>
      </c>
      <c r="O599" s="10" t="s">
        <v>242</v>
      </c>
      <c r="P599" s="10" t="s">
        <v>242</v>
      </c>
      <c r="Q599" s="10" t="s">
        <v>242</v>
      </c>
      <c r="R599" s="10" t="s">
        <v>241</v>
      </c>
      <c r="S599" s="10" t="s">
        <v>242</v>
      </c>
      <c r="T599" s="10" t="s">
        <v>242</v>
      </c>
      <c r="U599" s="10" t="s">
        <v>242</v>
      </c>
      <c r="V599" s="10" t="s">
        <v>242</v>
      </c>
      <c r="W599" s="10" t="s">
        <v>242</v>
      </c>
      <c r="X599" s="15">
        <f>IF(ISERROR(VLOOKUP($A599,'13. Updated Demand'!A:Z,15,FALSE)),0,VLOOKUP($A599,'13. Updated Demand'!A:Z,15,FALSE))</f>
        <v>7.3333333000000001E-2</v>
      </c>
      <c r="Y599" s="16">
        <f>IF(ISERROR(VLOOKUP($A599,'13. Updated Demand'!A:Z,16,FALSE)),0,VLOOKUP($A599,'13. Updated Demand'!A:Z,16,FALSE))</f>
        <v>8.6666667000000003E-2</v>
      </c>
      <c r="Z599" s="16">
        <f>IF(ISERROR(VLOOKUP($A599,'13. Updated Demand'!A:Z,17,FALSE)),0,VLOOKUP($A599,'13. Updated Demand'!A:Z,17,FALSE))</f>
        <v>0.556666667</v>
      </c>
      <c r="AA599" s="16">
        <f>IF(ISERROR(VLOOKUP($A599,'13. Updated Demand'!A:Z,18,FALSE)),0,VLOOKUP($A599,'13. Updated Demand'!A:Z,18,FALSE))</f>
        <v>0.48333333299999998</v>
      </c>
      <c r="AB599" s="16">
        <f>IF(ISERROR(VLOOKUP($A599,'13. Updated Demand'!A:Z,19,FALSE)),0,VLOOKUP($A599,'13. Updated Demand'!A:Z,19,FALSE))</f>
        <v>0.35333333300000003</v>
      </c>
      <c r="AC599" s="16">
        <f>IF(ISERROR(VLOOKUP($A599,'13. Updated Demand'!A:Z,20,FALSE)),0,VLOOKUP($A599,'13. Updated Demand'!A:Z,20,FALSE))</f>
        <v>0.676666667</v>
      </c>
      <c r="AD599" s="16">
        <f>IF(ISERROR(VLOOKUP($A599,'13. Updated Demand'!A:Z,21,FALSE)),0,VLOOKUP($A599,'13. Updated Demand'!A:Z,21,FALSE))</f>
        <v>0</v>
      </c>
      <c r="AE599" s="16">
        <f>IF(ISERROR(VLOOKUP($A599,'13. Updated Demand'!A:Z,22,FALSE)),0,VLOOKUP($A599,'13. Updated Demand'!A:Z,22,FALSE))</f>
        <v>0</v>
      </c>
      <c r="AF599" s="16">
        <f>IF(ISERROR(VLOOKUP($A599,'13. Updated Demand'!A:Z,23,FALSE)),0,VLOOKUP($A599,'13. Updated Demand'!A:Z,23,FALSE))</f>
        <v>0</v>
      </c>
      <c r="AG599" s="16">
        <f>IF(ISERROR(VLOOKUP($A599,'13. Updated Demand'!A:Z,24,FALSE)),0,VLOOKUP($A599,'13. Updated Demand'!A:Z,24,FALSE))</f>
        <v>0</v>
      </c>
      <c r="AH599" s="16">
        <f>IF(ISERROR(VLOOKUP($A599,'13. Updated Demand'!A:Z,25,FALSE)),0,VLOOKUP($A599,'13. Updated Demand'!A:Z,25,FALSE))</f>
        <v>0.55000000000000004</v>
      </c>
      <c r="AI599" s="16">
        <f>IF(ISERROR(VLOOKUP($A599,'13. Updated Demand'!A:Z,26,FALSE)),0,VLOOKUP($A599,'13. Updated Demand'!A:Z,26,FALSE))</f>
        <v>3.333333E-3</v>
      </c>
      <c r="AJ599" s="16">
        <f t="shared" si="120"/>
        <v>2.7833333330000003</v>
      </c>
      <c r="AK599" s="19">
        <v>1.03</v>
      </c>
      <c r="AL599" s="16">
        <f t="shared" si="118"/>
        <v>3.4163926719743744E-3</v>
      </c>
      <c r="AM599" s="17">
        <v>0.32364341081395354</v>
      </c>
      <c r="AN599" s="19"/>
      <c r="AO599" s="19"/>
      <c r="AP599" s="19">
        <v>8.6</v>
      </c>
      <c r="AQ599" s="19" t="s">
        <v>307</v>
      </c>
      <c r="AR599" s="9" t="s">
        <v>486</v>
      </c>
      <c r="AS599" s="12">
        <v>0</v>
      </c>
      <c r="AT599" s="19">
        <v>38.537700000000001</v>
      </c>
      <c r="AU599" s="19">
        <v>-122.8626</v>
      </c>
      <c r="AV599" s="19" t="s">
        <v>548</v>
      </c>
    </row>
    <row r="600" spans="1:48" x14ac:dyDescent="0.25">
      <c r="A600" s="18" t="s">
        <v>985</v>
      </c>
      <c r="B600" s="10">
        <v>19770615</v>
      </c>
      <c r="C600" s="9">
        <v>13</v>
      </c>
      <c r="D600" s="8" t="str">
        <f t="shared" si="109"/>
        <v>N</v>
      </c>
      <c r="E600" s="8" t="str">
        <f t="shared" si="110"/>
        <v>Y</v>
      </c>
      <c r="F600" s="8" t="str">
        <f t="shared" si="111"/>
        <v>Y</v>
      </c>
      <c r="G600" s="8" t="str">
        <f t="shared" si="112"/>
        <v>Y</v>
      </c>
      <c r="H600" s="8" t="str">
        <f t="shared" si="113"/>
        <v>Upper</v>
      </c>
      <c r="I600" s="8" t="str">
        <f t="shared" si="114"/>
        <v>West Fork and Below Lake</v>
      </c>
      <c r="J600" s="8" t="str">
        <f t="shared" si="115"/>
        <v>Sonoma (d/s of Clov. Gage)</v>
      </c>
      <c r="K600" s="8" t="str">
        <f t="shared" si="116"/>
        <v>Post-1949</v>
      </c>
      <c r="L600" s="8">
        <f t="shared" si="117"/>
        <v>1977</v>
      </c>
      <c r="M600" s="8" t="str">
        <f t="shared" si="119"/>
        <v>1971-1990</v>
      </c>
      <c r="N600" s="10" t="s">
        <v>242</v>
      </c>
      <c r="O600" s="10" t="s">
        <v>241</v>
      </c>
      <c r="P600" s="10" t="s">
        <v>242</v>
      </c>
      <c r="Q600" s="10" t="s">
        <v>242</v>
      </c>
      <c r="R600" s="10" t="s">
        <v>241</v>
      </c>
      <c r="S600" s="10" t="s">
        <v>242</v>
      </c>
      <c r="T600" s="10" t="s">
        <v>242</v>
      </c>
      <c r="U600" s="10" t="s">
        <v>241</v>
      </c>
      <c r="V600" s="10" t="s">
        <v>241</v>
      </c>
      <c r="W600" s="10" t="s">
        <v>242</v>
      </c>
      <c r="X600" s="15">
        <f>IF(ISERROR(VLOOKUP($A600,'13. Updated Demand'!A:Z,15,FALSE)),0,VLOOKUP($A600,'13. Updated Demand'!A:Z,15,FALSE))</f>
        <v>0</v>
      </c>
      <c r="Y600" s="16">
        <f>IF(ISERROR(VLOOKUP($A600,'13. Updated Demand'!A:Z,16,FALSE)),0,VLOOKUP($A600,'13. Updated Demand'!A:Z,16,FALSE))</f>
        <v>0</v>
      </c>
      <c r="Z600" s="16">
        <f>IF(ISERROR(VLOOKUP($A600,'13. Updated Demand'!A:Z,17,FALSE)),0,VLOOKUP($A600,'13. Updated Demand'!A:Z,17,FALSE))</f>
        <v>0</v>
      </c>
      <c r="AA600" s="16">
        <f>IF(ISERROR(VLOOKUP($A600,'13. Updated Demand'!A:Z,18,FALSE)),0,VLOOKUP($A600,'13. Updated Demand'!A:Z,18,FALSE))</f>
        <v>0</v>
      </c>
      <c r="AB600" s="16">
        <f>IF(ISERROR(VLOOKUP($A600,'13. Updated Demand'!A:Z,19,FALSE)),0,VLOOKUP($A600,'13. Updated Demand'!A:Z,19,FALSE))</f>
        <v>0</v>
      </c>
      <c r="AC600" s="16">
        <f>IF(ISERROR(VLOOKUP($A600,'13. Updated Demand'!A:Z,20,FALSE)),0,VLOOKUP($A600,'13. Updated Demand'!A:Z,20,FALSE))</f>
        <v>0</v>
      </c>
      <c r="AD600" s="16">
        <f>IF(ISERROR(VLOOKUP($A600,'13. Updated Demand'!A:Z,21,FALSE)),0,VLOOKUP($A600,'13. Updated Demand'!A:Z,21,FALSE))</f>
        <v>0</v>
      </c>
      <c r="AE600" s="16">
        <f>IF(ISERROR(VLOOKUP($A600,'13. Updated Demand'!A:Z,22,FALSE)),0,VLOOKUP($A600,'13. Updated Demand'!A:Z,22,FALSE))</f>
        <v>0</v>
      </c>
      <c r="AF600" s="16">
        <f>IF(ISERROR(VLOOKUP($A600,'13. Updated Demand'!A:Z,23,FALSE)),0,VLOOKUP($A600,'13. Updated Demand'!A:Z,23,FALSE))</f>
        <v>0</v>
      </c>
      <c r="AG600" s="16">
        <f>IF(ISERROR(VLOOKUP($A600,'13. Updated Demand'!A:Z,24,FALSE)),0,VLOOKUP($A600,'13. Updated Demand'!A:Z,24,FALSE))</f>
        <v>0</v>
      </c>
      <c r="AH600" s="16">
        <f>IF(ISERROR(VLOOKUP($A600,'13. Updated Demand'!A:Z,25,FALSE)),0,VLOOKUP($A600,'13. Updated Demand'!A:Z,25,FALSE))</f>
        <v>0</v>
      </c>
      <c r="AI600" s="16">
        <f>IF(ISERROR(VLOOKUP($A600,'13. Updated Demand'!A:Z,26,FALSE)),0,VLOOKUP($A600,'13. Updated Demand'!A:Z,26,FALSE))</f>
        <v>0</v>
      </c>
      <c r="AJ600" s="16">
        <f t="shared" si="120"/>
        <v>0</v>
      </c>
      <c r="AK600" s="19">
        <v>0</v>
      </c>
      <c r="AL600" s="16">
        <f t="shared" si="118"/>
        <v>0</v>
      </c>
      <c r="AM600" s="17">
        <v>0</v>
      </c>
      <c r="AN600" s="19"/>
      <c r="AO600" s="19"/>
      <c r="AP600" s="19">
        <v>1896</v>
      </c>
      <c r="AQ600" s="19" t="s">
        <v>307</v>
      </c>
      <c r="AR600" s="9" t="s">
        <v>507</v>
      </c>
      <c r="AS600" s="12">
        <v>0</v>
      </c>
      <c r="AT600" s="19">
        <v>38.60827081</v>
      </c>
      <c r="AU600" s="19">
        <v>-122.85638188</v>
      </c>
      <c r="AV600" s="19" t="s">
        <v>387</v>
      </c>
    </row>
    <row r="601" spans="1:48" x14ac:dyDescent="0.25">
      <c r="A601" s="18" t="s">
        <v>986</v>
      </c>
      <c r="B601" s="10">
        <v>19770624</v>
      </c>
      <c r="C601" s="9">
        <v>9</v>
      </c>
      <c r="D601" s="8" t="str">
        <f t="shared" si="109"/>
        <v>N</v>
      </c>
      <c r="E601" s="8" t="str">
        <f t="shared" si="110"/>
        <v>Y</v>
      </c>
      <c r="F601" s="8" t="str">
        <f t="shared" si="111"/>
        <v>Y</v>
      </c>
      <c r="G601" s="8" t="str">
        <f t="shared" si="112"/>
        <v>Y</v>
      </c>
      <c r="H601" s="8" t="str">
        <f t="shared" si="113"/>
        <v>Upper</v>
      </c>
      <c r="I601" s="8" t="str">
        <f t="shared" si="114"/>
        <v>West Fork and Below Lake</v>
      </c>
      <c r="J601" s="8" t="str">
        <f t="shared" si="115"/>
        <v>Sonoma (d/s of Clov. Gage)</v>
      </c>
      <c r="K601" s="8" t="str">
        <f t="shared" si="116"/>
        <v>Post-1949</v>
      </c>
      <c r="L601" s="8">
        <f t="shared" si="117"/>
        <v>1977</v>
      </c>
      <c r="M601" s="8" t="str">
        <f t="shared" si="119"/>
        <v>1971-1990</v>
      </c>
      <c r="N601" s="10" t="s">
        <v>242</v>
      </c>
      <c r="O601" s="10" t="s">
        <v>241</v>
      </c>
      <c r="P601" s="10" t="s">
        <v>242</v>
      </c>
      <c r="Q601" s="10" t="s">
        <v>242</v>
      </c>
      <c r="R601" s="10" t="s">
        <v>241</v>
      </c>
      <c r="S601" s="10" t="s">
        <v>242</v>
      </c>
      <c r="T601" s="10" t="s">
        <v>242</v>
      </c>
      <c r="U601" s="10" t="s">
        <v>242</v>
      </c>
      <c r="V601" s="10" t="s">
        <v>241</v>
      </c>
      <c r="W601" s="10" t="s">
        <v>242</v>
      </c>
      <c r="X601" s="15">
        <f>IF(ISERROR(VLOOKUP($A601,'13. Updated Demand'!A:Z,15,FALSE)),0,VLOOKUP($A601,'13. Updated Demand'!A:Z,15,FALSE))</f>
        <v>0.43</v>
      </c>
      <c r="Y601" s="16">
        <f>IF(ISERROR(VLOOKUP($A601,'13. Updated Demand'!A:Z,16,FALSE)),0,VLOOKUP($A601,'13. Updated Demand'!A:Z,16,FALSE))</f>
        <v>0.53</v>
      </c>
      <c r="Z601" s="16">
        <f>IF(ISERROR(VLOOKUP($A601,'13. Updated Demand'!A:Z,17,FALSE)),0,VLOOKUP($A601,'13. Updated Demand'!A:Z,17,FALSE))</f>
        <v>0.5</v>
      </c>
      <c r="AA601" s="16">
        <f>IF(ISERROR(VLOOKUP($A601,'13. Updated Demand'!A:Z,18,FALSE)),0,VLOOKUP($A601,'13. Updated Demand'!A:Z,18,FALSE))</f>
        <v>0.11</v>
      </c>
      <c r="AB601" s="16">
        <f>IF(ISERROR(VLOOKUP($A601,'13. Updated Demand'!A:Z,19,FALSE)),0,VLOOKUP($A601,'13. Updated Demand'!A:Z,19,FALSE))</f>
        <v>0</v>
      </c>
      <c r="AC601" s="16">
        <f>IF(ISERROR(VLOOKUP($A601,'13. Updated Demand'!A:Z,20,FALSE)),0,VLOOKUP($A601,'13. Updated Demand'!A:Z,20,FALSE))</f>
        <v>0</v>
      </c>
      <c r="AD601" s="16">
        <f>IF(ISERROR(VLOOKUP($A601,'13. Updated Demand'!A:Z,21,FALSE)),0,VLOOKUP($A601,'13. Updated Demand'!A:Z,21,FALSE))</f>
        <v>0</v>
      </c>
      <c r="AE601" s="16">
        <f>IF(ISERROR(VLOOKUP($A601,'13. Updated Demand'!A:Z,22,FALSE)),0,VLOOKUP($A601,'13. Updated Demand'!A:Z,22,FALSE))</f>
        <v>0</v>
      </c>
      <c r="AF601" s="16">
        <f>IF(ISERROR(VLOOKUP($A601,'13. Updated Demand'!A:Z,23,FALSE)),0,VLOOKUP($A601,'13. Updated Demand'!A:Z,23,FALSE))</f>
        <v>0</v>
      </c>
      <c r="AG601" s="16">
        <f>IF(ISERROR(VLOOKUP($A601,'13. Updated Demand'!A:Z,24,FALSE)),0,VLOOKUP($A601,'13. Updated Demand'!A:Z,24,FALSE))</f>
        <v>0</v>
      </c>
      <c r="AH601" s="16">
        <f>IF(ISERROR(VLOOKUP($A601,'13. Updated Demand'!A:Z,25,FALSE)),0,VLOOKUP($A601,'13. Updated Demand'!A:Z,25,FALSE))</f>
        <v>0.13</v>
      </c>
      <c r="AI601" s="16">
        <f>IF(ISERROR(VLOOKUP($A601,'13. Updated Demand'!A:Z,26,FALSE)),0,VLOOKUP($A601,'13. Updated Demand'!A:Z,26,FALSE))</f>
        <v>0.18</v>
      </c>
      <c r="AJ601" s="16">
        <f t="shared" si="120"/>
        <v>1.8800000000000001</v>
      </c>
      <c r="AK601" s="19">
        <v>0</v>
      </c>
      <c r="AL601" s="16">
        <f t="shared" si="118"/>
        <v>0</v>
      </c>
      <c r="AM601" s="17">
        <v>0.9999999821052632</v>
      </c>
      <c r="AN601" s="19"/>
      <c r="AO601" s="19"/>
      <c r="AP601" s="19">
        <v>1.9</v>
      </c>
      <c r="AQ601" s="19" t="s">
        <v>307</v>
      </c>
      <c r="AR601" s="9" t="s">
        <v>354</v>
      </c>
      <c r="AS601" s="12">
        <v>0</v>
      </c>
      <c r="AT601" s="19">
        <v>38.778059919999997</v>
      </c>
      <c r="AU601" s="19">
        <v>-122.95138912</v>
      </c>
      <c r="AV601" s="19" t="s">
        <v>417</v>
      </c>
    </row>
    <row r="602" spans="1:48" x14ac:dyDescent="0.25">
      <c r="A602" s="18" t="s">
        <v>987</v>
      </c>
      <c r="B602" s="10">
        <v>19771208</v>
      </c>
      <c r="C602" s="9">
        <v>6</v>
      </c>
      <c r="D602" s="8" t="str">
        <f t="shared" si="109"/>
        <v>Y</v>
      </c>
      <c r="E602" s="8" t="str">
        <f t="shared" si="110"/>
        <v>N</v>
      </c>
      <c r="F602" s="8" t="str">
        <f t="shared" si="111"/>
        <v>Y</v>
      </c>
      <c r="G602" s="8" t="str">
        <f t="shared" si="112"/>
        <v>Y</v>
      </c>
      <c r="H602" s="8" t="str">
        <f t="shared" si="113"/>
        <v>Upper</v>
      </c>
      <c r="I602" s="8" t="str">
        <f t="shared" si="114"/>
        <v>West Fork and Below Lake</v>
      </c>
      <c r="J602" s="8" t="str">
        <f t="shared" si="115"/>
        <v>Mendocino (d/s of lake)</v>
      </c>
      <c r="K602" s="8" t="str">
        <f t="shared" si="116"/>
        <v>Post-1949</v>
      </c>
      <c r="L602" s="8">
        <f t="shared" si="117"/>
        <v>1977</v>
      </c>
      <c r="M602" s="8" t="str">
        <f t="shared" si="119"/>
        <v>1971-1990</v>
      </c>
      <c r="N602" s="10" t="s">
        <v>241</v>
      </c>
      <c r="O602" s="10" t="s">
        <v>241</v>
      </c>
      <c r="P602" s="10" t="s">
        <v>242</v>
      </c>
      <c r="Q602" s="10" t="s">
        <v>242</v>
      </c>
      <c r="R602" s="10" t="s">
        <v>241</v>
      </c>
      <c r="S602" s="10" t="s">
        <v>242</v>
      </c>
      <c r="T602" s="10" t="s">
        <v>242</v>
      </c>
      <c r="U602" s="10" t="s">
        <v>242</v>
      </c>
      <c r="V602" s="10" t="s">
        <v>242</v>
      </c>
      <c r="W602" s="10" t="s">
        <v>242</v>
      </c>
      <c r="X602" s="15">
        <f>IF(ISERROR(VLOOKUP($A602,'13. Updated Demand'!A:Z,15,FALSE)),0,VLOOKUP($A602,'13. Updated Demand'!A:Z,15,FALSE))</f>
        <v>0</v>
      </c>
      <c r="Y602" s="16">
        <f>IF(ISERROR(VLOOKUP($A602,'13. Updated Demand'!A:Z,16,FALSE)),0,VLOOKUP($A602,'13. Updated Demand'!A:Z,16,FALSE))</f>
        <v>0</v>
      </c>
      <c r="Z602" s="16">
        <f>IF(ISERROR(VLOOKUP($A602,'13. Updated Demand'!A:Z,17,FALSE)),0,VLOOKUP($A602,'13. Updated Demand'!A:Z,17,FALSE))</f>
        <v>0</v>
      </c>
      <c r="AA602" s="16">
        <f>IF(ISERROR(VLOOKUP($A602,'13. Updated Demand'!A:Z,18,FALSE)),0,VLOOKUP($A602,'13. Updated Demand'!A:Z,18,FALSE))</f>
        <v>15.2</v>
      </c>
      <c r="AB602" s="16">
        <f>IF(ISERROR(VLOOKUP($A602,'13. Updated Demand'!A:Z,19,FALSE)),0,VLOOKUP($A602,'13. Updated Demand'!A:Z,19,FALSE))</f>
        <v>19.8</v>
      </c>
      <c r="AC602" s="16">
        <f>IF(ISERROR(VLOOKUP($A602,'13. Updated Demand'!A:Z,20,FALSE)),0,VLOOKUP($A602,'13. Updated Demand'!A:Z,20,FALSE))</f>
        <v>85.03</v>
      </c>
      <c r="AD602" s="16">
        <f>IF(ISERROR(VLOOKUP($A602,'13. Updated Demand'!A:Z,21,FALSE)),0,VLOOKUP($A602,'13. Updated Demand'!A:Z,21,FALSE))</f>
        <v>117.66</v>
      </c>
      <c r="AE602" s="16">
        <f>IF(ISERROR(VLOOKUP($A602,'13. Updated Demand'!A:Z,22,FALSE)),0,VLOOKUP($A602,'13. Updated Demand'!A:Z,22,FALSE))</f>
        <v>25.8</v>
      </c>
      <c r="AF602" s="16">
        <f>IF(ISERROR(VLOOKUP($A602,'13. Updated Demand'!A:Z,23,FALSE)),0,VLOOKUP($A602,'13. Updated Demand'!A:Z,23,FALSE))</f>
        <v>0</v>
      </c>
      <c r="AG602" s="16">
        <f>IF(ISERROR(VLOOKUP($A602,'13. Updated Demand'!A:Z,24,FALSE)),0,VLOOKUP($A602,'13. Updated Demand'!A:Z,24,FALSE))</f>
        <v>0</v>
      </c>
      <c r="AH602" s="16">
        <f>IF(ISERROR(VLOOKUP($A602,'13. Updated Demand'!A:Z,25,FALSE)),0,VLOOKUP($A602,'13. Updated Demand'!A:Z,25,FALSE))</f>
        <v>0</v>
      </c>
      <c r="AI602" s="16">
        <f>IF(ISERROR(VLOOKUP($A602,'13. Updated Demand'!A:Z,26,FALSE)),0,VLOOKUP($A602,'13. Updated Demand'!A:Z,26,FALSE))</f>
        <v>0</v>
      </c>
      <c r="AJ602" s="16">
        <f t="shared" si="120"/>
        <v>263.49</v>
      </c>
      <c r="AK602" s="19">
        <v>248.3000000000003</v>
      </c>
      <c r="AL602" s="16">
        <f t="shared" si="118"/>
        <v>0.82358281597207583</v>
      </c>
      <c r="AM602" s="17">
        <v>0.44063545150501721</v>
      </c>
      <c r="AN602" s="19"/>
      <c r="AO602" s="19"/>
      <c r="AP602" s="19">
        <v>598</v>
      </c>
      <c r="AQ602" s="19" t="s">
        <v>307</v>
      </c>
      <c r="AR602" s="9" t="s">
        <v>319</v>
      </c>
      <c r="AS602" s="12">
        <v>0</v>
      </c>
      <c r="AT602" s="19">
        <v>38.983488280000003</v>
      </c>
      <c r="AU602" s="19">
        <v>-123.10331651</v>
      </c>
      <c r="AV602" s="19" t="s">
        <v>387</v>
      </c>
    </row>
    <row r="603" spans="1:48" x14ac:dyDescent="0.25">
      <c r="A603" s="18" t="s">
        <v>988</v>
      </c>
      <c r="B603" s="10">
        <v>19771128</v>
      </c>
      <c r="C603" s="9">
        <v>1</v>
      </c>
      <c r="D603" s="8" t="str">
        <f t="shared" si="109"/>
        <v>N</v>
      </c>
      <c r="E603" s="8" t="str">
        <f t="shared" si="110"/>
        <v>N</v>
      </c>
      <c r="F603" s="8" t="str">
        <f t="shared" si="111"/>
        <v>Y</v>
      </c>
      <c r="G603" s="8" t="str">
        <f t="shared" si="112"/>
        <v>Y</v>
      </c>
      <c r="H603" s="8" t="str">
        <f t="shared" si="113"/>
        <v>Upper</v>
      </c>
      <c r="I603" s="8" t="str">
        <f t="shared" si="114"/>
        <v>West Fork and Below Lake</v>
      </c>
      <c r="J603" s="8" t="str">
        <f t="shared" si="115"/>
        <v>Outside</v>
      </c>
      <c r="K603" s="8" t="str">
        <f t="shared" si="116"/>
        <v>Post-1949</v>
      </c>
      <c r="L603" s="8">
        <f t="shared" si="117"/>
        <v>1977</v>
      </c>
      <c r="M603" s="8" t="str">
        <f t="shared" si="119"/>
        <v>1971-1990</v>
      </c>
      <c r="N603" s="10" t="s">
        <v>242</v>
      </c>
      <c r="O603" s="10" t="s">
        <v>241</v>
      </c>
      <c r="P603" s="10" t="s">
        <v>242</v>
      </c>
      <c r="Q603" s="10" t="s">
        <v>242</v>
      </c>
      <c r="R603" s="10" t="s">
        <v>241</v>
      </c>
      <c r="S603" s="10" t="s">
        <v>242</v>
      </c>
      <c r="T603" s="10" t="s">
        <v>242</v>
      </c>
      <c r="U603" s="10" t="s">
        <v>242</v>
      </c>
      <c r="V603" s="10" t="s">
        <v>241</v>
      </c>
      <c r="W603" s="10" t="s">
        <v>242</v>
      </c>
      <c r="X603" s="15">
        <f>IF(ISERROR(VLOOKUP($A603,'13. Updated Demand'!A:Z,15,FALSE)),0,VLOOKUP($A603,'13. Updated Demand'!A:Z,15,FALSE))</f>
        <v>22.66</v>
      </c>
      <c r="Y603" s="16">
        <f>IF(ISERROR(VLOOKUP($A603,'13. Updated Demand'!A:Z,16,FALSE)),0,VLOOKUP($A603,'13. Updated Demand'!A:Z,16,FALSE))</f>
        <v>0</v>
      </c>
      <c r="Z603" s="16">
        <f>IF(ISERROR(VLOOKUP($A603,'13. Updated Demand'!A:Z,17,FALSE)),0,VLOOKUP($A603,'13. Updated Demand'!A:Z,17,FALSE))</f>
        <v>0</v>
      </c>
      <c r="AA603" s="16">
        <f>IF(ISERROR(VLOOKUP($A603,'13. Updated Demand'!A:Z,18,FALSE)),0,VLOOKUP($A603,'13. Updated Demand'!A:Z,18,FALSE))</f>
        <v>0</v>
      </c>
      <c r="AB603" s="16">
        <f>IF(ISERROR(VLOOKUP($A603,'13. Updated Demand'!A:Z,19,FALSE)),0,VLOOKUP($A603,'13. Updated Demand'!A:Z,19,FALSE))</f>
        <v>0</v>
      </c>
      <c r="AC603" s="16">
        <f>IF(ISERROR(VLOOKUP($A603,'13. Updated Demand'!A:Z,20,FALSE)),0,VLOOKUP($A603,'13. Updated Demand'!A:Z,20,FALSE))</f>
        <v>0</v>
      </c>
      <c r="AD603" s="16">
        <f>IF(ISERROR(VLOOKUP($A603,'13. Updated Demand'!A:Z,21,FALSE)),0,VLOOKUP($A603,'13. Updated Demand'!A:Z,21,FALSE))</f>
        <v>0</v>
      </c>
      <c r="AE603" s="16">
        <f>IF(ISERROR(VLOOKUP($A603,'13. Updated Demand'!A:Z,22,FALSE)),0,VLOOKUP($A603,'13. Updated Demand'!A:Z,22,FALSE))</f>
        <v>0</v>
      </c>
      <c r="AF603" s="16">
        <f>IF(ISERROR(VLOOKUP($A603,'13. Updated Demand'!A:Z,23,FALSE)),0,VLOOKUP($A603,'13. Updated Demand'!A:Z,23,FALSE))</f>
        <v>0</v>
      </c>
      <c r="AG603" s="16">
        <f>IF(ISERROR(VLOOKUP($A603,'13. Updated Demand'!A:Z,24,FALSE)),0,VLOOKUP($A603,'13. Updated Demand'!A:Z,24,FALSE))</f>
        <v>0</v>
      </c>
      <c r="AH603" s="16">
        <f>IF(ISERROR(VLOOKUP($A603,'13. Updated Demand'!A:Z,25,FALSE)),0,VLOOKUP($A603,'13. Updated Demand'!A:Z,25,FALSE))</f>
        <v>0</v>
      </c>
      <c r="AI603" s="16">
        <f>IF(ISERROR(VLOOKUP($A603,'13. Updated Demand'!A:Z,26,FALSE)),0,VLOOKUP($A603,'13. Updated Demand'!A:Z,26,FALSE))</f>
        <v>11.33</v>
      </c>
      <c r="AJ603" s="16">
        <f t="shared" si="120"/>
        <v>33.99</v>
      </c>
      <c r="AK603" s="19">
        <v>0</v>
      </c>
      <c r="AL603" s="16">
        <f t="shared" si="118"/>
        <v>0</v>
      </c>
      <c r="AM603" s="17">
        <v>0.97982708933717566</v>
      </c>
      <c r="AN603" s="19"/>
      <c r="AO603" s="19"/>
      <c r="AP603" s="19">
        <v>34.700000000000003</v>
      </c>
      <c r="AQ603" s="19" t="s">
        <v>307</v>
      </c>
      <c r="AR603" s="9" t="s">
        <v>317</v>
      </c>
      <c r="AS603" s="12">
        <v>0</v>
      </c>
      <c r="AT603" s="19">
        <v>39.214593469999997</v>
      </c>
      <c r="AU603" s="19">
        <v>-123.22393393</v>
      </c>
      <c r="AV603" s="19" t="s">
        <v>417</v>
      </c>
    </row>
    <row r="604" spans="1:48" x14ac:dyDescent="0.25">
      <c r="A604" s="18" t="s">
        <v>989</v>
      </c>
      <c r="B604" s="10">
        <v>19771230</v>
      </c>
      <c r="C604" s="9">
        <v>17</v>
      </c>
      <c r="D604" s="8" t="str">
        <f t="shared" si="109"/>
        <v>N</v>
      </c>
      <c r="E604" s="8" t="str">
        <f t="shared" si="110"/>
        <v>N</v>
      </c>
      <c r="F604" s="8" t="str">
        <f t="shared" si="111"/>
        <v>N</v>
      </c>
      <c r="G604" s="8" t="str">
        <f t="shared" si="112"/>
        <v>N</v>
      </c>
      <c r="H604" s="8" t="str">
        <f t="shared" si="113"/>
        <v>Lower</v>
      </c>
      <c r="I604" s="8" t="str">
        <f t="shared" si="114"/>
        <v>Outside</v>
      </c>
      <c r="J604" s="8" t="str">
        <f t="shared" si="115"/>
        <v>Outside</v>
      </c>
      <c r="K604" s="8" t="str">
        <f t="shared" si="116"/>
        <v>Post-1949</v>
      </c>
      <c r="L604" s="8">
        <f t="shared" si="117"/>
        <v>1977</v>
      </c>
      <c r="M604" s="8" t="str">
        <f t="shared" si="119"/>
        <v>1971-1990</v>
      </c>
      <c r="N604" s="10" t="s">
        <v>242</v>
      </c>
      <c r="O604" s="10" t="s">
        <v>242</v>
      </c>
      <c r="P604" s="10" t="s">
        <v>242</v>
      </c>
      <c r="Q604" s="10" t="s">
        <v>242</v>
      </c>
      <c r="R604" s="10" t="s">
        <v>241</v>
      </c>
      <c r="S604" s="10" t="s">
        <v>242</v>
      </c>
      <c r="T604" s="10" t="s">
        <v>242</v>
      </c>
      <c r="U604" s="10" t="s">
        <v>242</v>
      </c>
      <c r="V604" s="10" t="s">
        <v>241</v>
      </c>
      <c r="W604" s="10" t="s">
        <v>242</v>
      </c>
      <c r="X604" s="15">
        <f>IF(ISERROR(VLOOKUP($A604,'13. Updated Demand'!A:Z,15,FALSE)),0,VLOOKUP($A604,'13. Updated Demand'!A:Z,15,FALSE))</f>
        <v>0</v>
      </c>
      <c r="Y604" s="16">
        <f>IF(ISERROR(VLOOKUP($A604,'13. Updated Demand'!A:Z,16,FALSE)),0,VLOOKUP($A604,'13. Updated Demand'!A:Z,16,FALSE))</f>
        <v>0</v>
      </c>
      <c r="Z604" s="16">
        <f>IF(ISERROR(VLOOKUP($A604,'13. Updated Demand'!A:Z,17,FALSE)),0,VLOOKUP($A604,'13. Updated Demand'!A:Z,17,FALSE))</f>
        <v>0</v>
      </c>
      <c r="AA604" s="16">
        <f>IF(ISERROR(VLOOKUP($A604,'13. Updated Demand'!A:Z,18,FALSE)),0,VLOOKUP($A604,'13. Updated Demand'!A:Z,18,FALSE))</f>
        <v>0</v>
      </c>
      <c r="AB604" s="16">
        <f>IF(ISERROR(VLOOKUP($A604,'13. Updated Demand'!A:Z,19,FALSE)),0,VLOOKUP($A604,'13. Updated Demand'!A:Z,19,FALSE))</f>
        <v>0</v>
      </c>
      <c r="AC604" s="16">
        <f>IF(ISERROR(VLOOKUP($A604,'13. Updated Demand'!A:Z,20,FALSE)),0,VLOOKUP($A604,'13. Updated Demand'!A:Z,20,FALSE))</f>
        <v>0</v>
      </c>
      <c r="AD604" s="16">
        <f>IF(ISERROR(VLOOKUP($A604,'13. Updated Demand'!A:Z,21,FALSE)),0,VLOOKUP($A604,'13. Updated Demand'!A:Z,21,FALSE))</f>
        <v>0</v>
      </c>
      <c r="AE604" s="16">
        <f>IF(ISERROR(VLOOKUP($A604,'13. Updated Demand'!A:Z,22,FALSE)),0,VLOOKUP($A604,'13. Updated Demand'!A:Z,22,FALSE))</f>
        <v>0</v>
      </c>
      <c r="AF604" s="16">
        <f>IF(ISERROR(VLOOKUP($A604,'13. Updated Demand'!A:Z,23,FALSE)),0,VLOOKUP($A604,'13. Updated Demand'!A:Z,23,FALSE))</f>
        <v>0</v>
      </c>
      <c r="AG604" s="16">
        <f>IF(ISERROR(VLOOKUP($A604,'13. Updated Demand'!A:Z,24,FALSE)),0,VLOOKUP($A604,'13. Updated Demand'!A:Z,24,FALSE))</f>
        <v>0.66666666699999999</v>
      </c>
      <c r="AH604" s="16">
        <f>IF(ISERROR(VLOOKUP($A604,'13. Updated Demand'!A:Z,25,FALSE)),0,VLOOKUP($A604,'13. Updated Demand'!A:Z,25,FALSE))</f>
        <v>2</v>
      </c>
      <c r="AI604" s="16">
        <f>IF(ISERROR(VLOOKUP($A604,'13. Updated Demand'!A:Z,26,FALSE)),0,VLOOKUP($A604,'13. Updated Demand'!A:Z,26,FALSE))</f>
        <v>1.3333333329999999</v>
      </c>
      <c r="AJ604" s="16">
        <f t="shared" si="120"/>
        <v>4</v>
      </c>
      <c r="AK604" s="19">
        <v>0</v>
      </c>
      <c r="AL604" s="16">
        <f t="shared" si="118"/>
        <v>0</v>
      </c>
      <c r="AM604" s="17">
        <v>0.14285714285714285</v>
      </c>
      <c r="AN604" s="19"/>
      <c r="AO604" s="19"/>
      <c r="AP604" s="19">
        <v>28</v>
      </c>
      <c r="AQ604" s="19" t="s">
        <v>307</v>
      </c>
      <c r="AR604" s="9" t="s">
        <v>486</v>
      </c>
      <c r="AS604" s="12">
        <v>0</v>
      </c>
      <c r="AT604" s="19">
        <v>38.585032120000001</v>
      </c>
      <c r="AU604" s="19">
        <v>-122.82321612</v>
      </c>
      <c r="AV604" s="19" t="s">
        <v>417</v>
      </c>
    </row>
    <row r="605" spans="1:48" x14ac:dyDescent="0.25">
      <c r="A605" s="18" t="s">
        <v>990</v>
      </c>
      <c r="B605" s="10">
        <v>19770927</v>
      </c>
      <c r="C605" s="9">
        <v>23</v>
      </c>
      <c r="D605" s="8" t="str">
        <f t="shared" si="109"/>
        <v>N</v>
      </c>
      <c r="E605" s="8" t="str">
        <f t="shared" si="110"/>
        <v>N</v>
      </c>
      <c r="F605" s="8" t="str">
        <f t="shared" si="111"/>
        <v>N</v>
      </c>
      <c r="G605" s="8" t="str">
        <f t="shared" si="112"/>
        <v>N</v>
      </c>
      <c r="H605" s="8" t="str">
        <f t="shared" si="113"/>
        <v>Lower</v>
      </c>
      <c r="I605" s="8" t="str">
        <f t="shared" si="114"/>
        <v>Outside</v>
      </c>
      <c r="J605" s="8" t="str">
        <f t="shared" si="115"/>
        <v>Outside</v>
      </c>
      <c r="K605" s="8" t="str">
        <f t="shared" si="116"/>
        <v>Post-1949</v>
      </c>
      <c r="L605" s="8">
        <f t="shared" si="117"/>
        <v>1977</v>
      </c>
      <c r="M605" s="8" t="str">
        <f t="shared" si="119"/>
        <v>1971-1990</v>
      </c>
      <c r="N605" s="10" t="s">
        <v>242</v>
      </c>
      <c r="O605" s="10" t="s">
        <v>242</v>
      </c>
      <c r="P605" s="10" t="s">
        <v>242</v>
      </c>
      <c r="Q605" s="10" t="s">
        <v>242</v>
      </c>
      <c r="R605" s="10" t="s">
        <v>241</v>
      </c>
      <c r="S605" s="10" t="s">
        <v>242</v>
      </c>
      <c r="T605" s="10" t="s">
        <v>242</v>
      </c>
      <c r="U605" s="10" t="s">
        <v>241</v>
      </c>
      <c r="V605" s="10" t="s">
        <v>241</v>
      </c>
      <c r="W605" s="10" t="s">
        <v>242</v>
      </c>
      <c r="X605" s="15">
        <f>IF(ISERROR(VLOOKUP($A605,'13. Updated Demand'!A:Z,15,FALSE)),0,VLOOKUP($A605,'13. Updated Demand'!A:Z,15,FALSE))</f>
        <v>0</v>
      </c>
      <c r="Y605" s="16">
        <f>IF(ISERROR(VLOOKUP($A605,'13. Updated Demand'!A:Z,16,FALSE)),0,VLOOKUP($A605,'13. Updated Demand'!A:Z,16,FALSE))</f>
        <v>0</v>
      </c>
      <c r="Z605" s="16">
        <f>IF(ISERROR(VLOOKUP($A605,'13. Updated Demand'!A:Z,17,FALSE)),0,VLOOKUP($A605,'13. Updated Demand'!A:Z,17,FALSE))</f>
        <v>0</v>
      </c>
      <c r="AA605" s="16">
        <f>IF(ISERROR(VLOOKUP($A605,'13. Updated Demand'!A:Z,18,FALSE)),0,VLOOKUP($A605,'13. Updated Demand'!A:Z,18,FALSE))</f>
        <v>0</v>
      </c>
      <c r="AB605" s="16">
        <f>IF(ISERROR(VLOOKUP($A605,'13. Updated Demand'!A:Z,19,FALSE)),0,VLOOKUP($A605,'13. Updated Demand'!A:Z,19,FALSE))</f>
        <v>0</v>
      </c>
      <c r="AC605" s="16">
        <f>IF(ISERROR(VLOOKUP($A605,'13. Updated Demand'!A:Z,20,FALSE)),0,VLOOKUP($A605,'13. Updated Demand'!A:Z,20,FALSE))</f>
        <v>0</v>
      </c>
      <c r="AD605" s="16">
        <f>IF(ISERROR(VLOOKUP($A605,'13. Updated Demand'!A:Z,21,FALSE)),0,VLOOKUP($A605,'13. Updated Demand'!A:Z,21,FALSE))</f>
        <v>0</v>
      </c>
      <c r="AE605" s="16">
        <f>IF(ISERROR(VLOOKUP($A605,'13. Updated Demand'!A:Z,22,FALSE)),0,VLOOKUP($A605,'13. Updated Demand'!A:Z,22,FALSE))</f>
        <v>0</v>
      </c>
      <c r="AF605" s="16">
        <f>IF(ISERROR(VLOOKUP($A605,'13. Updated Demand'!A:Z,23,FALSE)),0,VLOOKUP($A605,'13. Updated Demand'!A:Z,23,FALSE))</f>
        <v>0</v>
      </c>
      <c r="AG605" s="16">
        <f>IF(ISERROR(VLOOKUP($A605,'13. Updated Demand'!A:Z,24,FALSE)),0,VLOOKUP($A605,'13. Updated Demand'!A:Z,24,FALSE))</f>
        <v>0</v>
      </c>
      <c r="AH605" s="16">
        <f>IF(ISERROR(VLOOKUP($A605,'13. Updated Demand'!A:Z,25,FALSE)),0,VLOOKUP($A605,'13. Updated Demand'!A:Z,25,FALSE))</f>
        <v>0</v>
      </c>
      <c r="AI605" s="16">
        <f>IF(ISERROR(VLOOKUP($A605,'13. Updated Demand'!A:Z,26,FALSE)),0,VLOOKUP($A605,'13. Updated Demand'!A:Z,26,FALSE))</f>
        <v>0</v>
      </c>
      <c r="AJ605" s="16">
        <f t="shared" si="120"/>
        <v>0</v>
      </c>
      <c r="AK605" s="19">
        <v>0</v>
      </c>
      <c r="AL605" s="16">
        <f t="shared" si="118"/>
        <v>0</v>
      </c>
      <c r="AM605" s="17">
        <v>0</v>
      </c>
      <c r="AN605" s="19"/>
      <c r="AO605" s="19"/>
      <c r="AP605" s="19">
        <v>0</v>
      </c>
      <c r="AQ605" s="19" t="s">
        <v>307</v>
      </c>
      <c r="AR605" s="9" t="s">
        <v>585</v>
      </c>
      <c r="AS605" s="12">
        <v>0</v>
      </c>
      <c r="AT605" s="19">
        <v>38.315799650000002</v>
      </c>
      <c r="AU605" s="19">
        <v>-122.78178491</v>
      </c>
      <c r="AV605" s="19" t="s">
        <v>417</v>
      </c>
    </row>
    <row r="606" spans="1:48" x14ac:dyDescent="0.25">
      <c r="A606" s="18" t="s">
        <v>991</v>
      </c>
      <c r="B606" s="10">
        <v>19771128</v>
      </c>
      <c r="C606" s="9">
        <v>23</v>
      </c>
      <c r="D606" s="8" t="str">
        <f t="shared" si="109"/>
        <v>N</v>
      </c>
      <c r="E606" s="8" t="str">
        <f t="shared" si="110"/>
        <v>N</v>
      </c>
      <c r="F606" s="8" t="str">
        <f t="shared" si="111"/>
        <v>N</v>
      </c>
      <c r="G606" s="8" t="str">
        <f t="shared" si="112"/>
        <v>N</v>
      </c>
      <c r="H606" s="8" t="str">
        <f t="shared" si="113"/>
        <v>Lower</v>
      </c>
      <c r="I606" s="8" t="str">
        <f t="shared" si="114"/>
        <v>Outside</v>
      </c>
      <c r="J606" s="8" t="str">
        <f t="shared" si="115"/>
        <v>Outside</v>
      </c>
      <c r="K606" s="8" t="str">
        <f t="shared" si="116"/>
        <v>Post-1949</v>
      </c>
      <c r="L606" s="8">
        <f t="shared" si="117"/>
        <v>1977</v>
      </c>
      <c r="M606" s="8" t="str">
        <f t="shared" si="119"/>
        <v>1971-1990</v>
      </c>
      <c r="N606" s="10" t="s">
        <v>242</v>
      </c>
      <c r="O606" s="10" t="s">
        <v>242</v>
      </c>
      <c r="P606" s="10" t="s">
        <v>242</v>
      </c>
      <c r="Q606" s="10" t="s">
        <v>242</v>
      </c>
      <c r="R606" s="10" t="s">
        <v>241</v>
      </c>
      <c r="S606" s="10" t="s">
        <v>242</v>
      </c>
      <c r="T606" s="10" t="s">
        <v>242</v>
      </c>
      <c r="U606" s="10" t="s">
        <v>241</v>
      </c>
      <c r="V606" s="10" t="s">
        <v>241</v>
      </c>
      <c r="W606" s="10" t="s">
        <v>242</v>
      </c>
      <c r="X606" s="15">
        <f>IF(ISERROR(VLOOKUP($A606,'13. Updated Demand'!A:Z,15,FALSE)),0,VLOOKUP($A606,'13. Updated Demand'!A:Z,15,FALSE))</f>
        <v>0</v>
      </c>
      <c r="Y606" s="16">
        <f>IF(ISERROR(VLOOKUP($A606,'13. Updated Demand'!A:Z,16,FALSE)),0,VLOOKUP($A606,'13. Updated Demand'!A:Z,16,FALSE))</f>
        <v>0</v>
      </c>
      <c r="Z606" s="16">
        <f>IF(ISERROR(VLOOKUP($A606,'13. Updated Demand'!A:Z,17,FALSE)),0,VLOOKUP($A606,'13. Updated Demand'!A:Z,17,FALSE))</f>
        <v>0</v>
      </c>
      <c r="AA606" s="16">
        <f>IF(ISERROR(VLOOKUP($A606,'13. Updated Demand'!A:Z,18,FALSE)),0,VLOOKUP($A606,'13. Updated Demand'!A:Z,18,FALSE))</f>
        <v>0</v>
      </c>
      <c r="AB606" s="16">
        <f>IF(ISERROR(VLOOKUP($A606,'13. Updated Demand'!A:Z,19,FALSE)),0,VLOOKUP($A606,'13. Updated Demand'!A:Z,19,FALSE))</f>
        <v>0</v>
      </c>
      <c r="AC606" s="16">
        <f>IF(ISERROR(VLOOKUP($A606,'13. Updated Demand'!A:Z,20,FALSE)),0,VLOOKUP($A606,'13. Updated Demand'!A:Z,20,FALSE))</f>
        <v>0</v>
      </c>
      <c r="AD606" s="16">
        <f>IF(ISERROR(VLOOKUP($A606,'13. Updated Demand'!A:Z,21,FALSE)),0,VLOOKUP($A606,'13. Updated Demand'!A:Z,21,FALSE))</f>
        <v>0</v>
      </c>
      <c r="AE606" s="16">
        <f>IF(ISERROR(VLOOKUP($A606,'13. Updated Demand'!A:Z,22,FALSE)),0,VLOOKUP($A606,'13. Updated Demand'!A:Z,22,FALSE))</f>
        <v>0</v>
      </c>
      <c r="AF606" s="16">
        <f>IF(ISERROR(VLOOKUP($A606,'13. Updated Demand'!A:Z,23,FALSE)),0,VLOOKUP($A606,'13. Updated Demand'!A:Z,23,FALSE))</f>
        <v>0</v>
      </c>
      <c r="AG606" s="16">
        <f>IF(ISERROR(VLOOKUP($A606,'13. Updated Demand'!A:Z,24,FALSE)),0,VLOOKUP($A606,'13. Updated Demand'!A:Z,24,FALSE))</f>
        <v>0</v>
      </c>
      <c r="AH606" s="16">
        <f>IF(ISERROR(VLOOKUP($A606,'13. Updated Demand'!A:Z,25,FALSE)),0,VLOOKUP($A606,'13. Updated Demand'!A:Z,25,FALSE))</f>
        <v>0</v>
      </c>
      <c r="AI606" s="16">
        <f>IF(ISERROR(VLOOKUP($A606,'13. Updated Demand'!A:Z,26,FALSE)),0,VLOOKUP($A606,'13. Updated Demand'!A:Z,26,FALSE))</f>
        <v>0</v>
      </c>
      <c r="AJ606" s="16">
        <f t="shared" si="120"/>
        <v>0</v>
      </c>
      <c r="AK606" s="19">
        <v>0</v>
      </c>
      <c r="AL606" s="16">
        <f t="shared" si="118"/>
        <v>0</v>
      </c>
      <c r="AM606" s="17">
        <v>0</v>
      </c>
      <c r="AN606" s="19"/>
      <c r="AO606" s="19"/>
      <c r="AP606" s="19">
        <v>0</v>
      </c>
      <c r="AQ606" s="19" t="s">
        <v>307</v>
      </c>
      <c r="AR606" s="9" t="s">
        <v>391</v>
      </c>
      <c r="AS606" s="12">
        <v>0</v>
      </c>
      <c r="AT606" s="19">
        <v>38.518777700000001</v>
      </c>
      <c r="AU606" s="19">
        <v>-122.81441309</v>
      </c>
      <c r="AV606" s="19" t="s">
        <v>417</v>
      </c>
    </row>
    <row r="607" spans="1:48" x14ac:dyDescent="0.25">
      <c r="A607" s="18" t="s">
        <v>992</v>
      </c>
      <c r="B607" s="10">
        <v>19760521</v>
      </c>
      <c r="C607" s="9">
        <v>2</v>
      </c>
      <c r="D607" s="8" t="str">
        <f t="shared" si="109"/>
        <v>N</v>
      </c>
      <c r="E607" s="8" t="str">
        <f t="shared" si="110"/>
        <v>N</v>
      </c>
      <c r="F607" s="8" t="str">
        <f t="shared" si="111"/>
        <v>Y</v>
      </c>
      <c r="G607" s="8" t="str">
        <f t="shared" si="112"/>
        <v>N</v>
      </c>
      <c r="H607" s="8" t="str">
        <f t="shared" si="113"/>
        <v>Upper</v>
      </c>
      <c r="I607" s="8" t="str">
        <f t="shared" si="114"/>
        <v>Outside</v>
      </c>
      <c r="J607" s="8" t="str">
        <f t="shared" si="115"/>
        <v>Outside</v>
      </c>
      <c r="K607" s="8" t="str">
        <f t="shared" si="116"/>
        <v>Post-1949</v>
      </c>
      <c r="L607" s="8">
        <f t="shared" si="117"/>
        <v>1976</v>
      </c>
      <c r="M607" s="8" t="str">
        <f t="shared" si="119"/>
        <v>1971-1990</v>
      </c>
      <c r="N607" s="10" t="s">
        <v>242</v>
      </c>
      <c r="O607" s="10" t="s">
        <v>241</v>
      </c>
      <c r="P607" s="10" t="s">
        <v>242</v>
      </c>
      <c r="Q607" s="10" t="s">
        <v>242</v>
      </c>
      <c r="R607" s="10" t="s">
        <v>241</v>
      </c>
      <c r="S607" s="10" t="s">
        <v>242</v>
      </c>
      <c r="T607" s="10" t="s">
        <v>242</v>
      </c>
      <c r="U607" s="10" t="s">
        <v>242</v>
      </c>
      <c r="V607" s="10" t="s">
        <v>242</v>
      </c>
      <c r="W607" s="10" t="s">
        <v>242</v>
      </c>
      <c r="X607" s="15">
        <f>IF(ISERROR(VLOOKUP($A607,'13. Updated Demand'!A:Z,15,FALSE)),0,VLOOKUP($A607,'13. Updated Demand'!A:Z,15,FALSE))</f>
        <v>0</v>
      </c>
      <c r="Y607" s="16">
        <f>IF(ISERROR(VLOOKUP($A607,'13. Updated Demand'!A:Z,16,FALSE)),0,VLOOKUP($A607,'13. Updated Demand'!A:Z,16,FALSE))</f>
        <v>0</v>
      </c>
      <c r="Z607" s="16">
        <f>IF(ISERROR(VLOOKUP($A607,'13. Updated Demand'!A:Z,17,FALSE)),0,VLOOKUP($A607,'13. Updated Demand'!A:Z,17,FALSE))</f>
        <v>0</v>
      </c>
      <c r="AA607" s="16">
        <f>IF(ISERROR(VLOOKUP($A607,'13. Updated Demand'!A:Z,18,FALSE)),0,VLOOKUP($A607,'13. Updated Demand'!A:Z,18,FALSE))</f>
        <v>0</v>
      </c>
      <c r="AB607" s="16">
        <f>IF(ISERROR(VLOOKUP($A607,'13. Updated Demand'!A:Z,19,FALSE)),0,VLOOKUP($A607,'13. Updated Demand'!A:Z,19,FALSE))</f>
        <v>0</v>
      </c>
      <c r="AC607" s="16">
        <f>IF(ISERROR(VLOOKUP($A607,'13. Updated Demand'!A:Z,20,FALSE)),0,VLOOKUP($A607,'13. Updated Demand'!A:Z,20,FALSE))</f>
        <v>1</v>
      </c>
      <c r="AD607" s="16">
        <f>IF(ISERROR(VLOOKUP($A607,'13. Updated Demand'!A:Z,21,FALSE)),0,VLOOKUP($A607,'13. Updated Demand'!A:Z,21,FALSE))</f>
        <v>2</v>
      </c>
      <c r="AE607" s="16">
        <f>IF(ISERROR(VLOOKUP($A607,'13. Updated Demand'!A:Z,22,FALSE)),0,VLOOKUP($A607,'13. Updated Demand'!A:Z,22,FALSE))</f>
        <v>2.66</v>
      </c>
      <c r="AF607" s="16">
        <f>IF(ISERROR(VLOOKUP($A607,'13. Updated Demand'!A:Z,23,FALSE)),0,VLOOKUP($A607,'13. Updated Demand'!A:Z,23,FALSE))</f>
        <v>2</v>
      </c>
      <c r="AG607" s="16">
        <f>IF(ISERROR(VLOOKUP($A607,'13. Updated Demand'!A:Z,24,FALSE)),0,VLOOKUP($A607,'13. Updated Demand'!A:Z,24,FALSE))</f>
        <v>0.66</v>
      </c>
      <c r="AH607" s="16">
        <f>IF(ISERROR(VLOOKUP($A607,'13. Updated Demand'!A:Z,25,FALSE)),0,VLOOKUP($A607,'13. Updated Demand'!A:Z,25,FALSE))</f>
        <v>0</v>
      </c>
      <c r="AI607" s="16">
        <f>IF(ISERROR(VLOOKUP($A607,'13. Updated Demand'!A:Z,26,FALSE)),0,VLOOKUP($A607,'13. Updated Demand'!A:Z,26,FALSE))</f>
        <v>0</v>
      </c>
      <c r="AJ607" s="16">
        <f t="shared" si="120"/>
        <v>8.32</v>
      </c>
      <c r="AK607" s="19">
        <v>7.6666666669999994</v>
      </c>
      <c r="AL607" s="16">
        <f t="shared" si="118"/>
        <v>2.5429460019037863E-2</v>
      </c>
      <c r="AM607" s="17">
        <v>0.29761904764285713</v>
      </c>
      <c r="AN607" s="19"/>
      <c r="AO607" s="19"/>
      <c r="AP607" s="19">
        <v>28</v>
      </c>
      <c r="AQ607" s="19" t="s">
        <v>307</v>
      </c>
      <c r="AR607" s="9" t="s">
        <v>348</v>
      </c>
      <c r="AS607" s="12">
        <v>0</v>
      </c>
      <c r="AT607" s="19">
        <v>39.329621359999997</v>
      </c>
      <c r="AU607" s="19">
        <v>-123.14478585000001</v>
      </c>
      <c r="AV607" s="19" t="s">
        <v>417</v>
      </c>
    </row>
    <row r="608" spans="1:48" x14ac:dyDescent="0.25">
      <c r="A608" s="18" t="s">
        <v>993</v>
      </c>
      <c r="B608" s="10">
        <v>19760106</v>
      </c>
      <c r="C608" s="9">
        <v>13</v>
      </c>
      <c r="D608" s="8" t="str">
        <f t="shared" si="109"/>
        <v>N</v>
      </c>
      <c r="E608" s="8" t="str">
        <f t="shared" si="110"/>
        <v>Y</v>
      </c>
      <c r="F608" s="8" t="str">
        <f t="shared" si="111"/>
        <v>Y</v>
      </c>
      <c r="G608" s="8" t="str">
        <f t="shared" si="112"/>
        <v>Y</v>
      </c>
      <c r="H608" s="8" t="str">
        <f t="shared" si="113"/>
        <v>Upper</v>
      </c>
      <c r="I608" s="8" t="str">
        <f t="shared" si="114"/>
        <v>West Fork and Below Lake</v>
      </c>
      <c r="J608" s="8" t="str">
        <f t="shared" si="115"/>
        <v>Sonoma (d/s of Clov. Gage)</v>
      </c>
      <c r="K608" s="8" t="str">
        <f t="shared" si="116"/>
        <v>Post-1949</v>
      </c>
      <c r="L608" s="8">
        <f t="shared" si="117"/>
        <v>1976</v>
      </c>
      <c r="M608" s="8" t="str">
        <f t="shared" si="119"/>
        <v>1971-1990</v>
      </c>
      <c r="N608" s="10" t="s">
        <v>242</v>
      </c>
      <c r="O608" s="10" t="s">
        <v>241</v>
      </c>
      <c r="P608" s="10" t="s">
        <v>242</v>
      </c>
      <c r="Q608" s="10" t="s">
        <v>242</v>
      </c>
      <c r="R608" s="10" t="s">
        <v>241</v>
      </c>
      <c r="S608" s="10" t="s">
        <v>242</v>
      </c>
      <c r="T608" s="10" t="s">
        <v>242</v>
      </c>
      <c r="U608" s="10" t="s">
        <v>242</v>
      </c>
      <c r="V608" s="10" t="s">
        <v>242</v>
      </c>
      <c r="W608" s="10" t="s">
        <v>242</v>
      </c>
      <c r="X608" s="15">
        <f>IF(ISERROR(VLOOKUP($A608,'13. Updated Demand'!A:Z,15,FALSE)),0,VLOOKUP($A608,'13. Updated Demand'!A:Z,15,FALSE))</f>
        <v>0.2</v>
      </c>
      <c r="Y608" s="16">
        <f>IF(ISERROR(VLOOKUP($A608,'13. Updated Demand'!A:Z,16,FALSE)),0,VLOOKUP($A608,'13. Updated Demand'!A:Z,16,FALSE))</f>
        <v>0.13</v>
      </c>
      <c r="Z608" s="16">
        <f>IF(ISERROR(VLOOKUP($A608,'13. Updated Demand'!A:Z,17,FALSE)),0,VLOOKUP($A608,'13. Updated Demand'!A:Z,17,FALSE))</f>
        <v>0.1</v>
      </c>
      <c r="AA608" s="16">
        <f>IF(ISERROR(VLOOKUP($A608,'13. Updated Demand'!A:Z,18,FALSE)),0,VLOOKUP($A608,'13. Updated Demand'!A:Z,18,FALSE))</f>
        <v>0.36</v>
      </c>
      <c r="AB608" s="16">
        <f>IF(ISERROR(VLOOKUP($A608,'13. Updated Demand'!A:Z,19,FALSE)),0,VLOOKUP($A608,'13. Updated Demand'!A:Z,19,FALSE))</f>
        <v>0.66</v>
      </c>
      <c r="AC608" s="16">
        <f>IF(ISERROR(VLOOKUP($A608,'13. Updated Demand'!A:Z,20,FALSE)),0,VLOOKUP($A608,'13. Updated Demand'!A:Z,20,FALSE))</f>
        <v>15.73</v>
      </c>
      <c r="AD608" s="16">
        <f>IF(ISERROR(VLOOKUP($A608,'13. Updated Demand'!A:Z,21,FALSE)),0,VLOOKUP($A608,'13. Updated Demand'!A:Z,21,FALSE))</f>
        <v>5.33</v>
      </c>
      <c r="AE608" s="16">
        <f>IF(ISERROR(VLOOKUP($A608,'13. Updated Demand'!A:Z,22,FALSE)),0,VLOOKUP($A608,'13. Updated Demand'!A:Z,22,FALSE))</f>
        <v>0.63</v>
      </c>
      <c r="AF608" s="16">
        <f>IF(ISERROR(VLOOKUP($A608,'13. Updated Demand'!A:Z,23,FALSE)),0,VLOOKUP($A608,'13. Updated Demand'!A:Z,23,FALSE))</f>
        <v>0.73</v>
      </c>
      <c r="AG608" s="16">
        <f>IF(ISERROR(VLOOKUP($A608,'13. Updated Demand'!A:Z,24,FALSE)),0,VLOOKUP($A608,'13. Updated Demand'!A:Z,24,FALSE))</f>
        <v>0.6</v>
      </c>
      <c r="AH608" s="16">
        <f>IF(ISERROR(VLOOKUP($A608,'13. Updated Demand'!A:Z,25,FALSE)),0,VLOOKUP($A608,'13. Updated Demand'!A:Z,25,FALSE))</f>
        <v>0.36</v>
      </c>
      <c r="AI608" s="16">
        <f>IF(ISERROR(VLOOKUP($A608,'13. Updated Demand'!A:Z,26,FALSE)),0,VLOOKUP($A608,'13. Updated Demand'!A:Z,26,FALSE))</f>
        <v>0.13</v>
      </c>
      <c r="AJ608" s="16">
        <f t="shared" si="120"/>
        <v>24.959999999999997</v>
      </c>
      <c r="AK608" s="19">
        <v>23.099999996000001</v>
      </c>
      <c r="AL608" s="16">
        <f t="shared" si="118"/>
        <v>7.6620068649458722E-2</v>
      </c>
      <c r="AM608" s="17">
        <v>0.99999999983999999</v>
      </c>
      <c r="AN608" s="19"/>
      <c r="AO608" s="19"/>
      <c r="AP608" s="19">
        <v>25</v>
      </c>
      <c r="AQ608" s="19" t="s">
        <v>307</v>
      </c>
      <c r="AR608" s="9" t="s">
        <v>994</v>
      </c>
      <c r="AS608" s="12">
        <v>3.4039024194010059E-4</v>
      </c>
      <c r="AT608" s="19">
        <v>38.587679960000003</v>
      </c>
      <c r="AU608" s="19">
        <v>-122.85578488</v>
      </c>
      <c r="AV608" s="19" t="s">
        <v>548</v>
      </c>
    </row>
    <row r="609" spans="1:48" x14ac:dyDescent="0.25">
      <c r="A609" s="18" t="s">
        <v>995</v>
      </c>
      <c r="B609" s="10">
        <v>19760106</v>
      </c>
      <c r="C609" s="9">
        <v>13</v>
      </c>
      <c r="D609" s="8" t="str">
        <f t="shared" si="109"/>
        <v>N</v>
      </c>
      <c r="E609" s="8" t="str">
        <f t="shared" si="110"/>
        <v>Y</v>
      </c>
      <c r="F609" s="8" t="str">
        <f t="shared" si="111"/>
        <v>Y</v>
      </c>
      <c r="G609" s="8" t="str">
        <f t="shared" si="112"/>
        <v>Y</v>
      </c>
      <c r="H609" s="8" t="str">
        <f t="shared" si="113"/>
        <v>Upper</v>
      </c>
      <c r="I609" s="8" t="str">
        <f t="shared" si="114"/>
        <v>West Fork and Below Lake</v>
      </c>
      <c r="J609" s="8" t="str">
        <f t="shared" si="115"/>
        <v>Sonoma (d/s of Clov. Gage)</v>
      </c>
      <c r="K609" s="8" t="str">
        <f t="shared" si="116"/>
        <v>Post-1949</v>
      </c>
      <c r="L609" s="8">
        <f t="shared" si="117"/>
        <v>1976</v>
      </c>
      <c r="M609" s="8" t="str">
        <f t="shared" si="119"/>
        <v>1971-1990</v>
      </c>
      <c r="N609" s="10" t="s">
        <v>242</v>
      </c>
      <c r="O609" s="10" t="s">
        <v>241</v>
      </c>
      <c r="P609" s="10" t="s">
        <v>242</v>
      </c>
      <c r="Q609" s="10" t="s">
        <v>242</v>
      </c>
      <c r="R609" s="10" t="s">
        <v>241</v>
      </c>
      <c r="S609" s="10" t="s">
        <v>242</v>
      </c>
      <c r="T609" s="10" t="s">
        <v>242</v>
      </c>
      <c r="U609" s="10" t="s">
        <v>242</v>
      </c>
      <c r="V609" s="10" t="s">
        <v>242</v>
      </c>
      <c r="W609" s="10" t="s">
        <v>242</v>
      </c>
      <c r="X609" s="15">
        <f>IF(ISERROR(VLOOKUP($A609,'13. Updated Demand'!A:Z,15,FALSE)),0,VLOOKUP($A609,'13. Updated Demand'!A:Z,15,FALSE))</f>
        <v>0</v>
      </c>
      <c r="Y609" s="16">
        <f>IF(ISERROR(VLOOKUP($A609,'13. Updated Demand'!A:Z,16,FALSE)),0,VLOOKUP($A609,'13. Updated Demand'!A:Z,16,FALSE))</f>
        <v>0</v>
      </c>
      <c r="Z609" s="16">
        <f>IF(ISERROR(VLOOKUP($A609,'13. Updated Demand'!A:Z,17,FALSE)),0,VLOOKUP($A609,'13. Updated Demand'!A:Z,17,FALSE))</f>
        <v>0</v>
      </c>
      <c r="AA609" s="16">
        <f>IF(ISERROR(VLOOKUP($A609,'13. Updated Demand'!A:Z,18,FALSE)),0,VLOOKUP($A609,'13. Updated Demand'!A:Z,18,FALSE))</f>
        <v>0</v>
      </c>
      <c r="AB609" s="16">
        <f>IF(ISERROR(VLOOKUP($A609,'13. Updated Demand'!A:Z,19,FALSE)),0,VLOOKUP($A609,'13. Updated Demand'!A:Z,19,FALSE))</f>
        <v>0</v>
      </c>
      <c r="AC609" s="16">
        <f>IF(ISERROR(VLOOKUP($A609,'13. Updated Demand'!A:Z,20,FALSE)),0,VLOOKUP($A609,'13. Updated Demand'!A:Z,20,FALSE))</f>
        <v>10.1</v>
      </c>
      <c r="AD609" s="16">
        <f>IF(ISERROR(VLOOKUP($A609,'13. Updated Demand'!A:Z,21,FALSE)),0,VLOOKUP($A609,'13. Updated Demand'!A:Z,21,FALSE))</f>
        <v>9.36</v>
      </c>
      <c r="AE609" s="16">
        <f>IF(ISERROR(VLOOKUP($A609,'13. Updated Demand'!A:Z,22,FALSE)),0,VLOOKUP($A609,'13. Updated Demand'!A:Z,22,FALSE))</f>
        <v>0</v>
      </c>
      <c r="AF609" s="16">
        <f>IF(ISERROR(VLOOKUP($A609,'13. Updated Demand'!A:Z,23,FALSE)),0,VLOOKUP($A609,'13. Updated Demand'!A:Z,23,FALSE))</f>
        <v>0</v>
      </c>
      <c r="AG609" s="16">
        <f>IF(ISERROR(VLOOKUP($A609,'13. Updated Demand'!A:Z,24,FALSE)),0,VLOOKUP($A609,'13. Updated Demand'!A:Z,24,FALSE))</f>
        <v>0</v>
      </c>
      <c r="AH609" s="16">
        <f>IF(ISERROR(VLOOKUP($A609,'13. Updated Demand'!A:Z,25,FALSE)),0,VLOOKUP($A609,'13. Updated Demand'!A:Z,25,FALSE))</f>
        <v>0</v>
      </c>
      <c r="AI609" s="16">
        <f>IF(ISERROR(VLOOKUP($A609,'13. Updated Demand'!A:Z,26,FALSE)),0,VLOOKUP($A609,'13. Updated Demand'!A:Z,26,FALSE))</f>
        <v>0</v>
      </c>
      <c r="AJ609" s="16">
        <f t="shared" si="120"/>
        <v>19.46</v>
      </c>
      <c r="AK609" s="19">
        <v>19.466666666999998</v>
      </c>
      <c r="AL609" s="16">
        <f t="shared" si="118"/>
        <v>6.4568715872724863E-2</v>
      </c>
      <c r="AM609" s="17">
        <v>0.86135693216814146</v>
      </c>
      <c r="AN609" s="19"/>
      <c r="AO609" s="19"/>
      <c r="AP609" s="19">
        <v>22.6</v>
      </c>
      <c r="AQ609" s="19" t="s">
        <v>307</v>
      </c>
      <c r="AR609" s="9" t="s">
        <v>994</v>
      </c>
      <c r="AS609" s="12">
        <v>0</v>
      </c>
      <c r="AT609" s="19">
        <v>38.587679960000003</v>
      </c>
      <c r="AU609" s="19">
        <v>-122.85578488</v>
      </c>
      <c r="AV609" s="19" t="s">
        <v>548</v>
      </c>
    </row>
    <row r="610" spans="1:48" x14ac:dyDescent="0.25">
      <c r="A610" s="18" t="s">
        <v>996</v>
      </c>
      <c r="B610" s="10">
        <v>19760106</v>
      </c>
      <c r="C610" s="9">
        <v>13</v>
      </c>
      <c r="D610" s="8" t="str">
        <f t="shared" si="109"/>
        <v>N</v>
      </c>
      <c r="E610" s="8" t="str">
        <f t="shared" si="110"/>
        <v>Y</v>
      </c>
      <c r="F610" s="8" t="str">
        <f t="shared" si="111"/>
        <v>Y</v>
      </c>
      <c r="G610" s="8" t="str">
        <f t="shared" si="112"/>
        <v>Y</v>
      </c>
      <c r="H610" s="8" t="str">
        <f t="shared" si="113"/>
        <v>Upper</v>
      </c>
      <c r="I610" s="8" t="str">
        <f t="shared" si="114"/>
        <v>West Fork and Below Lake</v>
      </c>
      <c r="J610" s="8" t="str">
        <f t="shared" si="115"/>
        <v>Sonoma (d/s of Clov. Gage)</v>
      </c>
      <c r="K610" s="8" t="str">
        <f t="shared" si="116"/>
        <v>Post-1949</v>
      </c>
      <c r="L610" s="8">
        <f t="shared" si="117"/>
        <v>1976</v>
      </c>
      <c r="M610" s="8" t="str">
        <f t="shared" si="119"/>
        <v>1971-1990</v>
      </c>
      <c r="N610" s="10" t="s">
        <v>242</v>
      </c>
      <c r="O610" s="10" t="s">
        <v>241</v>
      </c>
      <c r="P610" s="10" t="s">
        <v>242</v>
      </c>
      <c r="Q610" s="10" t="s">
        <v>242</v>
      </c>
      <c r="R610" s="10" t="s">
        <v>241</v>
      </c>
      <c r="S610" s="10" t="s">
        <v>242</v>
      </c>
      <c r="T610" s="10" t="s">
        <v>242</v>
      </c>
      <c r="U610" s="10" t="s">
        <v>242</v>
      </c>
      <c r="V610" s="10" t="s">
        <v>242</v>
      </c>
      <c r="W610" s="10" t="s">
        <v>242</v>
      </c>
      <c r="X610" s="15">
        <f>IF(ISERROR(VLOOKUP($A610,'13. Updated Demand'!A:Z,15,FALSE)),0,VLOOKUP($A610,'13. Updated Demand'!A:Z,15,FALSE))</f>
        <v>0</v>
      </c>
      <c r="Y610" s="16">
        <f>IF(ISERROR(VLOOKUP($A610,'13. Updated Demand'!A:Z,16,FALSE)),0,VLOOKUP($A610,'13. Updated Demand'!A:Z,16,FALSE))</f>
        <v>0</v>
      </c>
      <c r="Z610" s="16">
        <f>IF(ISERROR(VLOOKUP($A610,'13. Updated Demand'!A:Z,17,FALSE)),0,VLOOKUP($A610,'13. Updated Demand'!A:Z,17,FALSE))</f>
        <v>0.62</v>
      </c>
      <c r="AA610" s="16">
        <f>IF(ISERROR(VLOOKUP($A610,'13. Updated Demand'!A:Z,18,FALSE)),0,VLOOKUP($A610,'13. Updated Demand'!A:Z,18,FALSE))</f>
        <v>0.01</v>
      </c>
      <c r="AB610" s="16">
        <f>IF(ISERROR(VLOOKUP($A610,'13. Updated Demand'!A:Z,19,FALSE)),0,VLOOKUP($A610,'13. Updated Demand'!A:Z,19,FALSE))</f>
        <v>1.36</v>
      </c>
      <c r="AC610" s="16">
        <f>IF(ISERROR(VLOOKUP($A610,'13. Updated Demand'!A:Z,20,FALSE)),0,VLOOKUP($A610,'13. Updated Demand'!A:Z,20,FALSE))</f>
        <v>0</v>
      </c>
      <c r="AD610" s="16">
        <f>IF(ISERROR(VLOOKUP($A610,'13. Updated Demand'!A:Z,21,FALSE)),0,VLOOKUP($A610,'13. Updated Demand'!A:Z,21,FALSE))</f>
        <v>0</v>
      </c>
      <c r="AE610" s="16">
        <f>IF(ISERROR(VLOOKUP($A610,'13. Updated Demand'!A:Z,22,FALSE)),0,VLOOKUP($A610,'13. Updated Demand'!A:Z,22,FALSE))</f>
        <v>0</v>
      </c>
      <c r="AF610" s="16">
        <f>IF(ISERROR(VLOOKUP($A610,'13. Updated Demand'!A:Z,23,FALSE)),0,VLOOKUP($A610,'13. Updated Demand'!A:Z,23,FALSE))</f>
        <v>0</v>
      </c>
      <c r="AG610" s="16">
        <f>IF(ISERROR(VLOOKUP($A610,'13. Updated Demand'!A:Z,24,FALSE)),0,VLOOKUP($A610,'13. Updated Demand'!A:Z,24,FALSE))</f>
        <v>0</v>
      </c>
      <c r="AH610" s="16">
        <f>IF(ISERROR(VLOOKUP($A610,'13. Updated Demand'!A:Z,25,FALSE)),0,VLOOKUP($A610,'13. Updated Demand'!A:Z,25,FALSE))</f>
        <v>0</v>
      </c>
      <c r="AI610" s="16">
        <f>IF(ISERROR(VLOOKUP($A610,'13. Updated Demand'!A:Z,26,FALSE)),0,VLOOKUP($A610,'13. Updated Demand'!A:Z,26,FALSE))</f>
        <v>0</v>
      </c>
      <c r="AJ610" s="16">
        <f t="shared" si="120"/>
        <v>1.9900000000000002</v>
      </c>
      <c r="AK610" s="19">
        <v>1.3633333329999999</v>
      </c>
      <c r="AL610" s="16">
        <f t="shared" si="118"/>
        <v>4.5220213673005825E-3</v>
      </c>
      <c r="AM610" s="17">
        <v>2.281904761142857E-2</v>
      </c>
      <c r="AN610" s="19"/>
      <c r="AO610" s="19"/>
      <c r="AP610" s="19">
        <v>87.5</v>
      </c>
      <c r="AQ610" s="19" t="s">
        <v>307</v>
      </c>
      <c r="AR610" s="9" t="s">
        <v>994</v>
      </c>
      <c r="AS610" s="12">
        <v>0</v>
      </c>
      <c r="AT610" s="19">
        <v>38.587679960000003</v>
      </c>
      <c r="AU610" s="19">
        <v>-122.85578488</v>
      </c>
      <c r="AV610" s="19" t="s">
        <v>548</v>
      </c>
    </row>
    <row r="611" spans="1:48" x14ac:dyDescent="0.25">
      <c r="A611" s="18" t="s">
        <v>997</v>
      </c>
      <c r="B611" s="10">
        <v>19760106</v>
      </c>
      <c r="C611" s="9">
        <v>13</v>
      </c>
      <c r="D611" s="8" t="str">
        <f t="shared" si="109"/>
        <v>N</v>
      </c>
      <c r="E611" s="8" t="str">
        <f t="shared" si="110"/>
        <v>Y</v>
      </c>
      <c r="F611" s="8" t="str">
        <f t="shared" si="111"/>
        <v>Y</v>
      </c>
      <c r="G611" s="8" t="str">
        <f t="shared" si="112"/>
        <v>Y</v>
      </c>
      <c r="H611" s="8" t="str">
        <f t="shared" si="113"/>
        <v>Upper</v>
      </c>
      <c r="I611" s="8" t="str">
        <f t="shared" si="114"/>
        <v>West Fork and Below Lake</v>
      </c>
      <c r="J611" s="8" t="str">
        <f t="shared" si="115"/>
        <v>Sonoma (d/s of Clov. Gage)</v>
      </c>
      <c r="K611" s="8" t="str">
        <f t="shared" si="116"/>
        <v>Post-1949</v>
      </c>
      <c r="L611" s="8">
        <f t="shared" si="117"/>
        <v>1976</v>
      </c>
      <c r="M611" s="8" t="str">
        <f t="shared" si="119"/>
        <v>1971-1990</v>
      </c>
      <c r="N611" s="10" t="s">
        <v>242</v>
      </c>
      <c r="O611" s="10" t="s">
        <v>241</v>
      </c>
      <c r="P611" s="10" t="s">
        <v>242</v>
      </c>
      <c r="Q611" s="10" t="s">
        <v>242</v>
      </c>
      <c r="R611" s="10" t="s">
        <v>241</v>
      </c>
      <c r="S611" s="10" t="s">
        <v>242</v>
      </c>
      <c r="T611" s="10" t="s">
        <v>242</v>
      </c>
      <c r="U611" s="10" t="s">
        <v>241</v>
      </c>
      <c r="V611" s="10" t="s">
        <v>241</v>
      </c>
      <c r="W611" s="10" t="s">
        <v>242</v>
      </c>
      <c r="X611" s="15">
        <f>IF(ISERROR(VLOOKUP($A611,'13. Updated Demand'!A:Z,15,FALSE)),0,VLOOKUP($A611,'13. Updated Demand'!A:Z,15,FALSE))</f>
        <v>0</v>
      </c>
      <c r="Y611" s="16">
        <f>IF(ISERROR(VLOOKUP($A611,'13. Updated Demand'!A:Z,16,FALSE)),0,VLOOKUP($A611,'13. Updated Demand'!A:Z,16,FALSE))</f>
        <v>0</v>
      </c>
      <c r="Z611" s="16">
        <f>IF(ISERROR(VLOOKUP($A611,'13. Updated Demand'!A:Z,17,FALSE)),0,VLOOKUP($A611,'13. Updated Demand'!A:Z,17,FALSE))</f>
        <v>0</v>
      </c>
      <c r="AA611" s="16">
        <f>IF(ISERROR(VLOOKUP($A611,'13. Updated Demand'!A:Z,18,FALSE)),0,VLOOKUP($A611,'13. Updated Demand'!A:Z,18,FALSE))</f>
        <v>0</v>
      </c>
      <c r="AB611" s="16">
        <f>IF(ISERROR(VLOOKUP($A611,'13. Updated Demand'!A:Z,19,FALSE)),0,VLOOKUP($A611,'13. Updated Demand'!A:Z,19,FALSE))</f>
        <v>0</v>
      </c>
      <c r="AC611" s="16">
        <f>IF(ISERROR(VLOOKUP($A611,'13. Updated Demand'!A:Z,20,FALSE)),0,VLOOKUP($A611,'13. Updated Demand'!A:Z,20,FALSE))</f>
        <v>0</v>
      </c>
      <c r="AD611" s="16">
        <f>IF(ISERROR(VLOOKUP($A611,'13. Updated Demand'!A:Z,21,FALSE)),0,VLOOKUP($A611,'13. Updated Demand'!A:Z,21,FALSE))</f>
        <v>0</v>
      </c>
      <c r="AE611" s="16">
        <f>IF(ISERROR(VLOOKUP($A611,'13. Updated Demand'!A:Z,22,FALSE)),0,VLOOKUP($A611,'13. Updated Demand'!A:Z,22,FALSE))</f>
        <v>0</v>
      </c>
      <c r="AF611" s="16">
        <f>IF(ISERROR(VLOOKUP($A611,'13. Updated Demand'!A:Z,23,FALSE)),0,VLOOKUP($A611,'13. Updated Demand'!A:Z,23,FALSE))</f>
        <v>0</v>
      </c>
      <c r="AG611" s="16">
        <f>IF(ISERROR(VLOOKUP($A611,'13. Updated Demand'!A:Z,24,FALSE)),0,VLOOKUP($A611,'13. Updated Demand'!A:Z,24,FALSE))</f>
        <v>0</v>
      </c>
      <c r="AH611" s="16">
        <f>IF(ISERROR(VLOOKUP($A611,'13. Updated Demand'!A:Z,25,FALSE)),0,VLOOKUP($A611,'13. Updated Demand'!A:Z,25,FALSE))</f>
        <v>0</v>
      </c>
      <c r="AI611" s="16">
        <f>IF(ISERROR(VLOOKUP($A611,'13. Updated Demand'!A:Z,26,FALSE)),0,VLOOKUP($A611,'13. Updated Demand'!A:Z,26,FALSE))</f>
        <v>0</v>
      </c>
      <c r="AJ611" s="16">
        <f t="shared" si="120"/>
        <v>0</v>
      </c>
      <c r="AK611" s="19">
        <v>0</v>
      </c>
      <c r="AL611" s="16">
        <f t="shared" si="118"/>
        <v>0</v>
      </c>
      <c r="AM611" s="17">
        <v>0</v>
      </c>
      <c r="AN611" s="19"/>
      <c r="AO611" s="19"/>
      <c r="AP611" s="19">
        <v>100</v>
      </c>
      <c r="AQ611" s="19" t="s">
        <v>307</v>
      </c>
      <c r="AR611" s="9" t="s">
        <v>994</v>
      </c>
      <c r="AS611" s="12">
        <v>0</v>
      </c>
      <c r="AT611" s="19">
        <v>38.587679960000003</v>
      </c>
      <c r="AU611" s="19">
        <v>-122.85578488</v>
      </c>
      <c r="AV611" s="19" t="s">
        <v>548</v>
      </c>
    </row>
    <row r="612" spans="1:48" x14ac:dyDescent="0.25">
      <c r="A612" s="18" t="s">
        <v>998</v>
      </c>
      <c r="B612" s="10">
        <v>19760112</v>
      </c>
      <c r="C612" s="9">
        <v>9</v>
      </c>
      <c r="D612" s="8" t="str">
        <f t="shared" si="109"/>
        <v>N</v>
      </c>
      <c r="E612" s="8" t="str">
        <f t="shared" si="110"/>
        <v>Y</v>
      </c>
      <c r="F612" s="8" t="str">
        <f t="shared" si="111"/>
        <v>Y</v>
      </c>
      <c r="G612" s="8" t="str">
        <f t="shared" si="112"/>
        <v>Y</v>
      </c>
      <c r="H612" s="8" t="str">
        <f t="shared" si="113"/>
        <v>Upper</v>
      </c>
      <c r="I612" s="8" t="str">
        <f t="shared" si="114"/>
        <v>West Fork and Below Lake</v>
      </c>
      <c r="J612" s="8" t="str">
        <f t="shared" si="115"/>
        <v>Sonoma (d/s of Clov. Gage)</v>
      </c>
      <c r="K612" s="8" t="str">
        <f t="shared" si="116"/>
        <v>Post-1949</v>
      </c>
      <c r="L612" s="8">
        <f t="shared" si="117"/>
        <v>1976</v>
      </c>
      <c r="M612" s="8" t="str">
        <f t="shared" si="119"/>
        <v>1971-1990</v>
      </c>
      <c r="N612" s="10" t="s">
        <v>241</v>
      </c>
      <c r="O612" s="10" t="s">
        <v>241</v>
      </c>
      <c r="P612" s="10" t="s">
        <v>242</v>
      </c>
      <c r="Q612" s="10" t="s">
        <v>242</v>
      </c>
      <c r="R612" s="10" t="s">
        <v>241</v>
      </c>
      <c r="S612" s="10" t="s">
        <v>242</v>
      </c>
      <c r="T612" s="10" t="s">
        <v>242</v>
      </c>
      <c r="U612" s="10" t="s">
        <v>242</v>
      </c>
      <c r="V612" s="10" t="s">
        <v>242</v>
      </c>
      <c r="W612" s="10" t="s">
        <v>242</v>
      </c>
      <c r="X612" s="15">
        <f>IF(ISERROR(VLOOKUP($A612,'13. Updated Demand'!A:Z,15,FALSE)),0,VLOOKUP($A612,'13. Updated Demand'!A:Z,15,FALSE))</f>
        <v>0</v>
      </c>
      <c r="Y612" s="16">
        <f>IF(ISERROR(VLOOKUP($A612,'13. Updated Demand'!A:Z,16,FALSE)),0,VLOOKUP($A612,'13. Updated Demand'!A:Z,16,FALSE))</f>
        <v>0</v>
      </c>
      <c r="Z612" s="16">
        <f>IF(ISERROR(VLOOKUP($A612,'13. Updated Demand'!A:Z,17,FALSE)),0,VLOOKUP($A612,'13. Updated Demand'!A:Z,17,FALSE))</f>
        <v>0</v>
      </c>
      <c r="AA612" s="16">
        <f>IF(ISERROR(VLOOKUP($A612,'13. Updated Demand'!A:Z,18,FALSE)),0,VLOOKUP($A612,'13. Updated Demand'!A:Z,18,FALSE))</f>
        <v>0</v>
      </c>
      <c r="AB612" s="16">
        <f>IF(ISERROR(VLOOKUP($A612,'13. Updated Demand'!A:Z,19,FALSE)),0,VLOOKUP($A612,'13. Updated Demand'!A:Z,19,FALSE))</f>
        <v>0</v>
      </c>
      <c r="AC612" s="16">
        <f>IF(ISERROR(VLOOKUP($A612,'13. Updated Demand'!A:Z,20,FALSE)),0,VLOOKUP($A612,'13. Updated Demand'!A:Z,20,FALSE))</f>
        <v>0.04</v>
      </c>
      <c r="AD612" s="16">
        <f>IF(ISERROR(VLOOKUP($A612,'13. Updated Demand'!A:Z,21,FALSE)),0,VLOOKUP($A612,'13. Updated Demand'!A:Z,21,FALSE))</f>
        <v>0.04</v>
      </c>
      <c r="AE612" s="16">
        <f>IF(ISERROR(VLOOKUP($A612,'13. Updated Demand'!A:Z,22,FALSE)),0,VLOOKUP($A612,'13. Updated Demand'!A:Z,22,FALSE))</f>
        <v>0.04</v>
      </c>
      <c r="AF612" s="16">
        <f>IF(ISERROR(VLOOKUP($A612,'13. Updated Demand'!A:Z,23,FALSE)),0,VLOOKUP($A612,'13. Updated Demand'!A:Z,23,FALSE))</f>
        <v>0.02</v>
      </c>
      <c r="AG612" s="16">
        <f>IF(ISERROR(VLOOKUP($A612,'13. Updated Demand'!A:Z,24,FALSE)),0,VLOOKUP($A612,'13. Updated Demand'!A:Z,24,FALSE))</f>
        <v>0</v>
      </c>
      <c r="AH612" s="16">
        <f>IF(ISERROR(VLOOKUP($A612,'13. Updated Demand'!A:Z,25,FALSE)),0,VLOOKUP($A612,'13. Updated Demand'!A:Z,25,FALSE))</f>
        <v>0</v>
      </c>
      <c r="AI612" s="16">
        <f>IF(ISERROR(VLOOKUP($A612,'13. Updated Demand'!A:Z,26,FALSE)),0,VLOOKUP($A612,'13. Updated Demand'!A:Z,26,FALSE))</f>
        <v>0</v>
      </c>
      <c r="AJ612" s="16">
        <f t="shared" si="120"/>
        <v>0.13999999999999999</v>
      </c>
      <c r="AK612" s="19">
        <v>0.15753466666666671</v>
      </c>
      <c r="AL612" s="16">
        <f t="shared" si="118"/>
        <v>5.2252454444847167E-4</v>
      </c>
      <c r="AM612" s="17">
        <v>1.9691833333333339E-2</v>
      </c>
      <c r="AN612" s="19"/>
      <c r="AO612" s="19"/>
      <c r="AP612" s="19">
        <v>8</v>
      </c>
      <c r="AQ612" s="19" t="s">
        <v>307</v>
      </c>
      <c r="AR612" s="9" t="s">
        <v>354</v>
      </c>
      <c r="AS612" s="12">
        <v>0</v>
      </c>
      <c r="AT612" s="19">
        <v>38.710999999999999</v>
      </c>
      <c r="AU612" s="19">
        <v>-122.8998</v>
      </c>
      <c r="AV612" s="19" t="s">
        <v>548</v>
      </c>
    </row>
    <row r="613" spans="1:48" x14ac:dyDescent="0.25">
      <c r="A613" s="18" t="s">
        <v>36</v>
      </c>
      <c r="B613" s="10">
        <v>19760209</v>
      </c>
      <c r="C613" s="9">
        <v>9</v>
      </c>
      <c r="D613" s="8" t="str">
        <f t="shared" si="109"/>
        <v>N</v>
      </c>
      <c r="E613" s="8" t="str">
        <f t="shared" si="110"/>
        <v>Y</v>
      </c>
      <c r="F613" s="8" t="str">
        <f t="shared" si="111"/>
        <v>Y</v>
      </c>
      <c r="G613" s="8" t="str">
        <f t="shared" si="112"/>
        <v>Y</v>
      </c>
      <c r="H613" s="8" t="str">
        <f t="shared" si="113"/>
        <v>Upper</v>
      </c>
      <c r="I613" s="8" t="str">
        <f t="shared" si="114"/>
        <v>West Fork and Below Lake</v>
      </c>
      <c r="J613" s="8" t="str">
        <f t="shared" si="115"/>
        <v>Sonoma (d/s of Clov. Gage)</v>
      </c>
      <c r="K613" s="8" t="str">
        <f t="shared" si="116"/>
        <v>Post-1949</v>
      </c>
      <c r="L613" s="8">
        <f t="shared" si="117"/>
        <v>1976</v>
      </c>
      <c r="M613" s="8" t="str">
        <f t="shared" si="119"/>
        <v>1971-1990</v>
      </c>
      <c r="N613" s="10" t="s">
        <v>241</v>
      </c>
      <c r="O613" s="10" t="s">
        <v>241</v>
      </c>
      <c r="P613" s="10" t="s">
        <v>242</v>
      </c>
      <c r="Q613" s="10" t="s">
        <v>242</v>
      </c>
      <c r="R613" s="10" t="s">
        <v>241</v>
      </c>
      <c r="S613" s="10" t="s">
        <v>242</v>
      </c>
      <c r="T613" s="10" t="s">
        <v>242</v>
      </c>
      <c r="U613" s="10" t="s">
        <v>242</v>
      </c>
      <c r="V613" s="10" t="s">
        <v>242</v>
      </c>
      <c r="W613" s="10" t="s">
        <v>242</v>
      </c>
      <c r="X613" s="15">
        <f>IF(ISERROR(VLOOKUP($A613,'13. Updated Demand'!A:Z,15,FALSE)),0,VLOOKUP($A613,'13. Updated Demand'!A:Z,15,FALSE))</f>
        <v>0.01</v>
      </c>
      <c r="Y613" s="16">
        <f>IF(ISERROR(VLOOKUP($A613,'13. Updated Demand'!A:Z,16,FALSE)),0,VLOOKUP($A613,'13. Updated Demand'!A:Z,16,FALSE))</f>
        <v>0.02</v>
      </c>
      <c r="Z613" s="16">
        <f>IF(ISERROR(VLOOKUP($A613,'13. Updated Demand'!A:Z,17,FALSE)),0,VLOOKUP($A613,'13. Updated Demand'!A:Z,17,FALSE))</f>
        <v>0.04</v>
      </c>
      <c r="AA613" s="16">
        <f>IF(ISERROR(VLOOKUP($A613,'13. Updated Demand'!A:Z,18,FALSE)),0,VLOOKUP($A613,'13. Updated Demand'!A:Z,18,FALSE))</f>
        <v>0.09</v>
      </c>
      <c r="AB613" s="16">
        <f>IF(ISERROR(VLOOKUP($A613,'13. Updated Demand'!A:Z,19,FALSE)),0,VLOOKUP($A613,'13. Updated Demand'!A:Z,19,FALSE))</f>
        <v>0.14000000000000001</v>
      </c>
      <c r="AC613" s="16">
        <f>IF(ISERROR(VLOOKUP($A613,'13. Updated Demand'!A:Z,20,FALSE)),0,VLOOKUP($A613,'13. Updated Demand'!A:Z,20,FALSE))</f>
        <v>0.45</v>
      </c>
      <c r="AD613" s="16">
        <f>IF(ISERROR(VLOOKUP($A613,'13. Updated Demand'!A:Z,21,FALSE)),0,VLOOKUP($A613,'13. Updated Demand'!A:Z,21,FALSE))</f>
        <v>0.59</v>
      </c>
      <c r="AE613" s="16">
        <f>IF(ISERROR(VLOOKUP($A613,'13. Updated Demand'!A:Z,22,FALSE)),0,VLOOKUP($A613,'13. Updated Demand'!A:Z,22,FALSE))</f>
        <v>0.71</v>
      </c>
      <c r="AF613" s="16">
        <f>IF(ISERROR(VLOOKUP($A613,'13. Updated Demand'!A:Z,23,FALSE)),0,VLOOKUP($A613,'13. Updated Demand'!A:Z,23,FALSE))</f>
        <v>0.56999999999999995</v>
      </c>
      <c r="AG613" s="16">
        <f>IF(ISERROR(VLOOKUP($A613,'13. Updated Demand'!A:Z,24,FALSE)),0,VLOOKUP($A613,'13. Updated Demand'!A:Z,24,FALSE))</f>
        <v>0.37</v>
      </c>
      <c r="AH613" s="16">
        <f>IF(ISERROR(VLOOKUP($A613,'13. Updated Demand'!A:Z,25,FALSE)),0,VLOOKUP($A613,'13. Updated Demand'!A:Z,25,FALSE))</f>
        <v>0.04</v>
      </c>
      <c r="AI613" s="16">
        <f>IF(ISERROR(VLOOKUP($A613,'13. Updated Demand'!A:Z,26,FALSE)),0,VLOOKUP($A613,'13. Updated Demand'!A:Z,26,FALSE))</f>
        <v>0.01</v>
      </c>
      <c r="AJ613" s="16">
        <f t="shared" si="120"/>
        <v>3.0399999999999996</v>
      </c>
      <c r="AK613" s="19">
        <v>2.4833723333333326</v>
      </c>
      <c r="AL613" s="16">
        <f t="shared" si="118"/>
        <v>8.2370631469746609E-3</v>
      </c>
      <c r="AM613" s="17">
        <v>0.18262482352941176</v>
      </c>
      <c r="AN613" s="19"/>
      <c r="AO613" s="19"/>
      <c r="AP613" s="19">
        <v>17</v>
      </c>
      <c r="AQ613" s="19" t="s">
        <v>307</v>
      </c>
      <c r="AR613" s="9" t="s">
        <v>354</v>
      </c>
      <c r="AS613" s="12">
        <v>3.4039024194010059E-4</v>
      </c>
      <c r="AT613" s="19">
        <v>38.785362839999998</v>
      </c>
      <c r="AU613" s="19">
        <v>-122.99744779</v>
      </c>
      <c r="AV613" s="19" t="s">
        <v>387</v>
      </c>
    </row>
    <row r="614" spans="1:48" x14ac:dyDescent="0.25">
      <c r="A614" s="18" t="s">
        <v>999</v>
      </c>
      <c r="B614" s="10">
        <v>19760218</v>
      </c>
      <c r="C614" s="9">
        <v>1</v>
      </c>
      <c r="D614" s="8" t="str">
        <f t="shared" si="109"/>
        <v>N</v>
      </c>
      <c r="E614" s="8" t="str">
        <f t="shared" si="110"/>
        <v>N</v>
      </c>
      <c r="F614" s="8" t="str">
        <f t="shared" si="111"/>
        <v>Y</v>
      </c>
      <c r="G614" s="8" t="str">
        <f t="shared" si="112"/>
        <v>Y</v>
      </c>
      <c r="H614" s="8" t="str">
        <f t="shared" si="113"/>
        <v>Upper</v>
      </c>
      <c r="I614" s="8" t="str">
        <f t="shared" si="114"/>
        <v>West Fork and Below Lake</v>
      </c>
      <c r="J614" s="8" t="str">
        <f t="shared" si="115"/>
        <v>Outside</v>
      </c>
      <c r="K614" s="8" t="str">
        <f t="shared" si="116"/>
        <v>Post-1949</v>
      </c>
      <c r="L614" s="8">
        <f t="shared" si="117"/>
        <v>1976</v>
      </c>
      <c r="M614" s="8" t="str">
        <f t="shared" si="119"/>
        <v>1971-1990</v>
      </c>
      <c r="N614" s="10" t="s">
        <v>242</v>
      </c>
      <c r="O614" s="10" t="s">
        <v>241</v>
      </c>
      <c r="P614" s="10" t="s">
        <v>242</v>
      </c>
      <c r="Q614" s="10" t="s">
        <v>242</v>
      </c>
      <c r="R614" s="10" t="s">
        <v>241</v>
      </c>
      <c r="S614" s="10" t="s">
        <v>242</v>
      </c>
      <c r="T614" s="10" t="s">
        <v>242</v>
      </c>
      <c r="U614" s="10" t="s">
        <v>242</v>
      </c>
      <c r="V614" s="10" t="s">
        <v>241</v>
      </c>
      <c r="W614" s="10" t="s">
        <v>242</v>
      </c>
      <c r="X614" s="15">
        <f>IF(ISERROR(VLOOKUP($A614,'13. Updated Demand'!A:Z,15,FALSE)),0,VLOOKUP($A614,'13. Updated Demand'!A:Z,15,FALSE))</f>
        <v>0.9</v>
      </c>
      <c r="Y614" s="16">
        <f>IF(ISERROR(VLOOKUP($A614,'13. Updated Demand'!A:Z,16,FALSE)),0,VLOOKUP($A614,'13. Updated Demand'!A:Z,16,FALSE))</f>
        <v>0</v>
      </c>
      <c r="Z614" s="16">
        <f>IF(ISERROR(VLOOKUP($A614,'13. Updated Demand'!A:Z,17,FALSE)),0,VLOOKUP($A614,'13. Updated Demand'!A:Z,17,FALSE))</f>
        <v>0</v>
      </c>
      <c r="AA614" s="16">
        <f>IF(ISERROR(VLOOKUP($A614,'13. Updated Demand'!A:Z,18,FALSE)),0,VLOOKUP($A614,'13. Updated Demand'!A:Z,18,FALSE))</f>
        <v>0</v>
      </c>
      <c r="AB614" s="16">
        <f>IF(ISERROR(VLOOKUP($A614,'13. Updated Demand'!A:Z,19,FALSE)),0,VLOOKUP($A614,'13. Updated Demand'!A:Z,19,FALSE))</f>
        <v>0</v>
      </c>
      <c r="AC614" s="16">
        <f>IF(ISERROR(VLOOKUP($A614,'13. Updated Demand'!A:Z,20,FALSE)),0,VLOOKUP($A614,'13. Updated Demand'!A:Z,20,FALSE))</f>
        <v>0</v>
      </c>
      <c r="AD614" s="16">
        <f>IF(ISERROR(VLOOKUP($A614,'13. Updated Demand'!A:Z,21,FALSE)),0,VLOOKUP($A614,'13. Updated Demand'!A:Z,21,FALSE))</f>
        <v>0</v>
      </c>
      <c r="AE614" s="16">
        <f>IF(ISERROR(VLOOKUP($A614,'13. Updated Demand'!A:Z,22,FALSE)),0,VLOOKUP($A614,'13. Updated Demand'!A:Z,22,FALSE))</f>
        <v>0</v>
      </c>
      <c r="AF614" s="16">
        <f>IF(ISERROR(VLOOKUP($A614,'13. Updated Demand'!A:Z,23,FALSE)),0,VLOOKUP($A614,'13. Updated Demand'!A:Z,23,FALSE))</f>
        <v>0</v>
      </c>
      <c r="AG614" s="16">
        <f>IF(ISERROR(VLOOKUP($A614,'13. Updated Demand'!A:Z,24,FALSE)),0,VLOOKUP($A614,'13. Updated Demand'!A:Z,24,FALSE))</f>
        <v>0</v>
      </c>
      <c r="AH614" s="16">
        <f>IF(ISERROR(VLOOKUP($A614,'13. Updated Demand'!A:Z,25,FALSE)),0,VLOOKUP($A614,'13. Updated Demand'!A:Z,25,FALSE))</f>
        <v>0</v>
      </c>
      <c r="AI614" s="16">
        <f>IF(ISERROR(VLOOKUP($A614,'13. Updated Demand'!A:Z,26,FALSE)),0,VLOOKUP($A614,'13. Updated Demand'!A:Z,26,FALSE))</f>
        <v>0</v>
      </c>
      <c r="AJ614" s="16">
        <f t="shared" si="120"/>
        <v>0.9</v>
      </c>
      <c r="AK614" s="19">
        <v>0</v>
      </c>
      <c r="AL614" s="16">
        <f t="shared" si="118"/>
        <v>0</v>
      </c>
      <c r="AM614" s="17">
        <v>1</v>
      </c>
      <c r="AN614" s="19"/>
      <c r="AO614" s="19"/>
      <c r="AP614" s="19">
        <v>0.9</v>
      </c>
      <c r="AQ614" s="19" t="s">
        <v>307</v>
      </c>
      <c r="AR614" s="9" t="s">
        <v>317</v>
      </c>
      <c r="AS614" s="12">
        <v>0</v>
      </c>
      <c r="AT614" s="19">
        <v>39.271136310000003</v>
      </c>
      <c r="AU614" s="19">
        <v>-123.17245258</v>
      </c>
      <c r="AV614" s="19" t="s">
        <v>417</v>
      </c>
    </row>
    <row r="615" spans="1:48" x14ac:dyDescent="0.25">
      <c r="A615" s="18" t="s">
        <v>1000</v>
      </c>
      <c r="B615" s="10">
        <v>19760225</v>
      </c>
      <c r="C615" s="9">
        <v>9</v>
      </c>
      <c r="D615" s="8" t="str">
        <f t="shared" si="109"/>
        <v>N</v>
      </c>
      <c r="E615" s="8" t="str">
        <f t="shared" si="110"/>
        <v>Y</v>
      </c>
      <c r="F615" s="8" t="str">
        <f t="shared" si="111"/>
        <v>Y</v>
      </c>
      <c r="G615" s="8" t="str">
        <f t="shared" si="112"/>
        <v>Y</v>
      </c>
      <c r="H615" s="8" t="str">
        <f t="shared" si="113"/>
        <v>Upper</v>
      </c>
      <c r="I615" s="8" t="str">
        <f t="shared" si="114"/>
        <v>West Fork and Below Lake</v>
      </c>
      <c r="J615" s="8" t="str">
        <f t="shared" si="115"/>
        <v>Sonoma (d/s of Clov. Gage)</v>
      </c>
      <c r="K615" s="8" t="str">
        <f t="shared" si="116"/>
        <v>Post-1949</v>
      </c>
      <c r="L615" s="8">
        <f t="shared" si="117"/>
        <v>1976</v>
      </c>
      <c r="M615" s="8" t="str">
        <f t="shared" si="119"/>
        <v>1971-1990</v>
      </c>
      <c r="N615" s="10" t="s">
        <v>241</v>
      </c>
      <c r="O615" s="10" t="s">
        <v>241</v>
      </c>
      <c r="P615" s="10" t="s">
        <v>242</v>
      </c>
      <c r="Q615" s="10" t="s">
        <v>242</v>
      </c>
      <c r="R615" s="10" t="s">
        <v>241</v>
      </c>
      <c r="S615" s="10" t="s">
        <v>242</v>
      </c>
      <c r="T615" s="10" t="s">
        <v>242</v>
      </c>
      <c r="U615" s="10" t="s">
        <v>241</v>
      </c>
      <c r="V615" s="10" t="s">
        <v>241</v>
      </c>
      <c r="W615" s="10" t="s">
        <v>242</v>
      </c>
      <c r="X615" s="15">
        <f>IF(ISERROR(VLOOKUP($A615,'13. Updated Demand'!A:Z,15,FALSE)),0,VLOOKUP($A615,'13. Updated Demand'!A:Z,15,FALSE))</f>
        <v>0</v>
      </c>
      <c r="Y615" s="16">
        <f>IF(ISERROR(VLOOKUP($A615,'13. Updated Demand'!A:Z,16,FALSE)),0,VLOOKUP($A615,'13. Updated Demand'!A:Z,16,FALSE))</f>
        <v>0</v>
      </c>
      <c r="Z615" s="16">
        <f>IF(ISERROR(VLOOKUP($A615,'13. Updated Demand'!A:Z,17,FALSE)),0,VLOOKUP($A615,'13. Updated Demand'!A:Z,17,FALSE))</f>
        <v>0</v>
      </c>
      <c r="AA615" s="16">
        <f>IF(ISERROR(VLOOKUP($A615,'13. Updated Demand'!A:Z,18,FALSE)),0,VLOOKUP($A615,'13. Updated Demand'!A:Z,18,FALSE))</f>
        <v>0</v>
      </c>
      <c r="AB615" s="16">
        <f>IF(ISERROR(VLOOKUP($A615,'13. Updated Demand'!A:Z,19,FALSE)),0,VLOOKUP($A615,'13. Updated Demand'!A:Z,19,FALSE))</f>
        <v>0</v>
      </c>
      <c r="AC615" s="16">
        <f>IF(ISERROR(VLOOKUP($A615,'13. Updated Demand'!A:Z,20,FALSE)),0,VLOOKUP($A615,'13. Updated Demand'!A:Z,20,FALSE))</f>
        <v>0</v>
      </c>
      <c r="AD615" s="16">
        <f>IF(ISERROR(VLOOKUP($A615,'13. Updated Demand'!A:Z,21,FALSE)),0,VLOOKUP($A615,'13. Updated Demand'!A:Z,21,FALSE))</f>
        <v>0</v>
      </c>
      <c r="AE615" s="16">
        <f>IF(ISERROR(VLOOKUP($A615,'13. Updated Demand'!A:Z,22,FALSE)),0,VLOOKUP($A615,'13. Updated Demand'!A:Z,22,FALSE))</f>
        <v>0</v>
      </c>
      <c r="AF615" s="16">
        <f>IF(ISERROR(VLOOKUP($A615,'13. Updated Demand'!A:Z,23,FALSE)),0,VLOOKUP($A615,'13. Updated Demand'!A:Z,23,FALSE))</f>
        <v>0</v>
      </c>
      <c r="AG615" s="16">
        <f>IF(ISERROR(VLOOKUP($A615,'13. Updated Demand'!A:Z,24,FALSE)),0,VLOOKUP($A615,'13. Updated Demand'!A:Z,24,FALSE))</f>
        <v>0</v>
      </c>
      <c r="AH615" s="16">
        <f>IF(ISERROR(VLOOKUP($A615,'13. Updated Demand'!A:Z,25,FALSE)),0,VLOOKUP($A615,'13. Updated Demand'!A:Z,25,FALSE))</f>
        <v>0</v>
      </c>
      <c r="AI615" s="16">
        <f>IF(ISERROR(VLOOKUP($A615,'13. Updated Demand'!A:Z,26,FALSE)),0,VLOOKUP($A615,'13. Updated Demand'!A:Z,26,FALSE))</f>
        <v>0</v>
      </c>
      <c r="AJ615" s="16">
        <f t="shared" si="120"/>
        <v>0</v>
      </c>
      <c r="AK615" s="19">
        <v>0</v>
      </c>
      <c r="AL615" s="16">
        <f t="shared" si="118"/>
        <v>0</v>
      </c>
      <c r="AM615" s="17">
        <v>0</v>
      </c>
      <c r="AN615" s="19"/>
      <c r="AO615" s="19"/>
      <c r="AP615" s="19">
        <v>1.3</v>
      </c>
      <c r="AQ615" s="19" t="s">
        <v>307</v>
      </c>
      <c r="AR615" s="9" t="s">
        <v>354</v>
      </c>
      <c r="AS615" s="12">
        <v>3.4039024194010059E-4</v>
      </c>
      <c r="AT615" s="19">
        <v>38.830568499999998</v>
      </c>
      <c r="AU615" s="19">
        <v>-123.00931558000001</v>
      </c>
      <c r="AV615" s="19" t="s">
        <v>548</v>
      </c>
    </row>
    <row r="616" spans="1:48" x14ac:dyDescent="0.25">
      <c r="A616" s="18" t="s">
        <v>1001</v>
      </c>
      <c r="B616" s="10">
        <v>19760227</v>
      </c>
      <c r="C616" s="9">
        <v>17</v>
      </c>
      <c r="D616" s="8" t="str">
        <f t="shared" si="109"/>
        <v>N</v>
      </c>
      <c r="E616" s="8" t="str">
        <f t="shared" si="110"/>
        <v>N</v>
      </c>
      <c r="F616" s="8" t="str">
        <f t="shared" si="111"/>
        <v>N</v>
      </c>
      <c r="G616" s="8" t="str">
        <f t="shared" si="112"/>
        <v>N</v>
      </c>
      <c r="H616" s="8" t="str">
        <f t="shared" si="113"/>
        <v>Lower</v>
      </c>
      <c r="I616" s="8" t="str">
        <f t="shared" si="114"/>
        <v>Outside</v>
      </c>
      <c r="J616" s="8" t="str">
        <f t="shared" si="115"/>
        <v>Outside</v>
      </c>
      <c r="K616" s="8" t="str">
        <f t="shared" si="116"/>
        <v>Post-1949</v>
      </c>
      <c r="L616" s="8">
        <f t="shared" si="117"/>
        <v>1976</v>
      </c>
      <c r="M616" s="8" t="str">
        <f t="shared" si="119"/>
        <v>1971-1990</v>
      </c>
      <c r="N616" s="10" t="s">
        <v>241</v>
      </c>
      <c r="O616" s="10" t="s">
        <v>242</v>
      </c>
      <c r="P616" s="10" t="s">
        <v>242</v>
      </c>
      <c r="Q616" s="10" t="s">
        <v>242</v>
      </c>
      <c r="R616" s="10" t="s">
        <v>241</v>
      </c>
      <c r="S616" s="10" t="s">
        <v>242</v>
      </c>
      <c r="T616" s="10" t="s">
        <v>242</v>
      </c>
      <c r="U616" s="10" t="s">
        <v>241</v>
      </c>
      <c r="V616" s="10" t="s">
        <v>241</v>
      </c>
      <c r="W616" s="10" t="s">
        <v>242</v>
      </c>
      <c r="X616" s="15">
        <f>IF(ISERROR(VLOOKUP($A616,'13. Updated Demand'!A:Z,15,FALSE)),0,VLOOKUP($A616,'13. Updated Demand'!A:Z,15,FALSE))</f>
        <v>0</v>
      </c>
      <c r="Y616" s="16">
        <f>IF(ISERROR(VLOOKUP($A616,'13. Updated Demand'!A:Z,16,FALSE)),0,VLOOKUP($A616,'13. Updated Demand'!A:Z,16,FALSE))</f>
        <v>0</v>
      </c>
      <c r="Z616" s="16">
        <f>IF(ISERROR(VLOOKUP($A616,'13. Updated Demand'!A:Z,17,FALSE)),0,VLOOKUP($A616,'13. Updated Demand'!A:Z,17,FALSE))</f>
        <v>0</v>
      </c>
      <c r="AA616" s="16">
        <f>IF(ISERROR(VLOOKUP($A616,'13. Updated Demand'!A:Z,18,FALSE)),0,VLOOKUP($A616,'13. Updated Demand'!A:Z,18,FALSE))</f>
        <v>0</v>
      </c>
      <c r="AB616" s="16">
        <f>IF(ISERROR(VLOOKUP($A616,'13. Updated Demand'!A:Z,19,FALSE)),0,VLOOKUP($A616,'13. Updated Demand'!A:Z,19,FALSE))</f>
        <v>0</v>
      </c>
      <c r="AC616" s="16">
        <f>IF(ISERROR(VLOOKUP($A616,'13. Updated Demand'!A:Z,20,FALSE)),0,VLOOKUP($A616,'13. Updated Demand'!A:Z,20,FALSE))</f>
        <v>0</v>
      </c>
      <c r="AD616" s="16">
        <f>IF(ISERROR(VLOOKUP($A616,'13. Updated Demand'!A:Z,21,FALSE)),0,VLOOKUP($A616,'13. Updated Demand'!A:Z,21,FALSE))</f>
        <v>0</v>
      </c>
      <c r="AE616" s="16">
        <f>IF(ISERROR(VLOOKUP($A616,'13. Updated Demand'!A:Z,22,FALSE)),0,VLOOKUP($A616,'13. Updated Demand'!A:Z,22,FALSE))</f>
        <v>0</v>
      </c>
      <c r="AF616" s="16">
        <f>IF(ISERROR(VLOOKUP($A616,'13. Updated Demand'!A:Z,23,FALSE)),0,VLOOKUP($A616,'13. Updated Demand'!A:Z,23,FALSE))</f>
        <v>0</v>
      </c>
      <c r="AG616" s="16">
        <f>IF(ISERROR(VLOOKUP($A616,'13. Updated Demand'!A:Z,24,FALSE)),0,VLOOKUP($A616,'13. Updated Demand'!A:Z,24,FALSE))</f>
        <v>0</v>
      </c>
      <c r="AH616" s="16">
        <f>IF(ISERROR(VLOOKUP($A616,'13. Updated Demand'!A:Z,25,FALSE)),0,VLOOKUP($A616,'13. Updated Demand'!A:Z,25,FALSE))</f>
        <v>0</v>
      </c>
      <c r="AI616" s="16">
        <f>IF(ISERROR(VLOOKUP($A616,'13. Updated Demand'!A:Z,26,FALSE)),0,VLOOKUP($A616,'13. Updated Demand'!A:Z,26,FALSE))</f>
        <v>0</v>
      </c>
      <c r="AJ616" s="16">
        <f t="shared" si="120"/>
        <v>0</v>
      </c>
      <c r="AK616" s="19">
        <v>0</v>
      </c>
      <c r="AL616" s="16">
        <f t="shared" si="118"/>
        <v>0</v>
      </c>
      <c r="AM616" s="17">
        <v>0</v>
      </c>
      <c r="AN616" s="19"/>
      <c r="AO616" s="19"/>
      <c r="AP616" s="19">
        <v>1</v>
      </c>
      <c r="AQ616" s="19" t="s">
        <v>307</v>
      </c>
      <c r="AR616" s="9" t="s">
        <v>486</v>
      </c>
      <c r="AS616" s="12">
        <v>3.4039024194010059E-4</v>
      </c>
      <c r="AT616" s="19">
        <v>38.528575449999998</v>
      </c>
      <c r="AU616" s="19">
        <v>-122.86451542</v>
      </c>
      <c r="AV616" s="19" t="s">
        <v>548</v>
      </c>
    </row>
    <row r="617" spans="1:48" x14ac:dyDescent="0.25">
      <c r="A617" s="18" t="s">
        <v>1002</v>
      </c>
      <c r="B617" s="10">
        <v>19760302</v>
      </c>
      <c r="C617" s="9">
        <v>9</v>
      </c>
      <c r="D617" s="8" t="str">
        <f t="shared" si="109"/>
        <v>N</v>
      </c>
      <c r="E617" s="8" t="str">
        <f t="shared" si="110"/>
        <v>Y</v>
      </c>
      <c r="F617" s="8" t="str">
        <f t="shared" si="111"/>
        <v>Y</v>
      </c>
      <c r="G617" s="8" t="str">
        <f t="shared" si="112"/>
        <v>Y</v>
      </c>
      <c r="H617" s="8" t="str">
        <f t="shared" si="113"/>
        <v>Upper</v>
      </c>
      <c r="I617" s="8" t="str">
        <f t="shared" si="114"/>
        <v>West Fork and Below Lake</v>
      </c>
      <c r="J617" s="8" t="str">
        <f t="shared" si="115"/>
        <v>Sonoma (d/s of Clov. Gage)</v>
      </c>
      <c r="K617" s="8" t="str">
        <f t="shared" si="116"/>
        <v>Post-1949</v>
      </c>
      <c r="L617" s="8">
        <f t="shared" si="117"/>
        <v>1976</v>
      </c>
      <c r="M617" s="8" t="str">
        <f t="shared" si="119"/>
        <v>1971-1990</v>
      </c>
      <c r="N617" s="10" t="s">
        <v>241</v>
      </c>
      <c r="O617" s="10" t="s">
        <v>241</v>
      </c>
      <c r="P617" s="10" t="s">
        <v>242</v>
      </c>
      <c r="Q617" s="10" t="s">
        <v>242</v>
      </c>
      <c r="R617" s="10" t="s">
        <v>241</v>
      </c>
      <c r="S617" s="10" t="s">
        <v>242</v>
      </c>
      <c r="T617" s="10" t="s">
        <v>242</v>
      </c>
      <c r="U617" s="10" t="s">
        <v>242</v>
      </c>
      <c r="V617" s="10" t="s">
        <v>242</v>
      </c>
      <c r="W617" s="10" t="s">
        <v>242</v>
      </c>
      <c r="X617" s="15">
        <f>IF(ISERROR(VLOOKUP($A617,'13. Updated Demand'!A:Z,15,FALSE)),0,VLOOKUP($A617,'13. Updated Demand'!A:Z,15,FALSE))</f>
        <v>0.02</v>
      </c>
      <c r="Y617" s="16">
        <f>IF(ISERROR(VLOOKUP($A617,'13. Updated Demand'!A:Z,16,FALSE)),0,VLOOKUP($A617,'13. Updated Demand'!A:Z,16,FALSE))</f>
        <v>0.03</v>
      </c>
      <c r="Z617" s="16">
        <f>IF(ISERROR(VLOOKUP($A617,'13. Updated Demand'!A:Z,17,FALSE)),0,VLOOKUP($A617,'13. Updated Demand'!A:Z,17,FALSE))</f>
        <v>0.02</v>
      </c>
      <c r="AA617" s="16">
        <f>IF(ISERROR(VLOOKUP($A617,'13. Updated Demand'!A:Z,18,FALSE)),0,VLOOKUP($A617,'13. Updated Demand'!A:Z,18,FALSE))</f>
        <v>0.03</v>
      </c>
      <c r="AB617" s="16">
        <f>IF(ISERROR(VLOOKUP($A617,'13. Updated Demand'!A:Z,19,FALSE)),0,VLOOKUP($A617,'13. Updated Demand'!A:Z,19,FALSE))</f>
        <v>0.08</v>
      </c>
      <c r="AC617" s="16">
        <f>IF(ISERROR(VLOOKUP($A617,'13. Updated Demand'!A:Z,20,FALSE)),0,VLOOKUP($A617,'13. Updated Demand'!A:Z,20,FALSE))</f>
        <v>0.08</v>
      </c>
      <c r="AD617" s="16">
        <f>IF(ISERROR(VLOOKUP($A617,'13. Updated Demand'!A:Z,21,FALSE)),0,VLOOKUP($A617,'13. Updated Demand'!A:Z,21,FALSE))</f>
        <v>0.1</v>
      </c>
      <c r="AE617" s="16">
        <f>IF(ISERROR(VLOOKUP($A617,'13. Updated Demand'!A:Z,22,FALSE)),0,VLOOKUP($A617,'13. Updated Demand'!A:Z,22,FALSE))</f>
        <v>0.1</v>
      </c>
      <c r="AF617" s="16">
        <f>IF(ISERROR(VLOOKUP($A617,'13. Updated Demand'!A:Z,23,FALSE)),0,VLOOKUP($A617,'13. Updated Demand'!A:Z,23,FALSE))</f>
        <v>0.1</v>
      </c>
      <c r="AG617" s="16">
        <f>IF(ISERROR(VLOOKUP($A617,'13. Updated Demand'!A:Z,24,FALSE)),0,VLOOKUP($A617,'13. Updated Demand'!A:Z,24,FALSE))</f>
        <v>0.11</v>
      </c>
      <c r="AH617" s="16">
        <f>IF(ISERROR(VLOOKUP($A617,'13. Updated Demand'!A:Z,25,FALSE)),0,VLOOKUP($A617,'13. Updated Demand'!A:Z,25,FALSE))</f>
        <v>0.03</v>
      </c>
      <c r="AI617" s="16">
        <f>IF(ISERROR(VLOOKUP($A617,'13. Updated Demand'!A:Z,26,FALSE)),0,VLOOKUP($A617,'13. Updated Demand'!A:Z,26,FALSE))</f>
        <v>0.03</v>
      </c>
      <c r="AJ617" s="16">
        <f t="shared" si="120"/>
        <v>0.73</v>
      </c>
      <c r="AK617" s="19">
        <v>0.47812999999999972</v>
      </c>
      <c r="AL617" s="16">
        <f t="shared" si="118"/>
        <v>1.5859027458748609E-3</v>
      </c>
      <c r="AM617" s="17">
        <v>0.48917291666666657</v>
      </c>
      <c r="AN617" s="19"/>
      <c r="AO617" s="19"/>
      <c r="AP617" s="19">
        <v>1.6</v>
      </c>
      <c r="AQ617" s="19" t="s">
        <v>307</v>
      </c>
      <c r="AR617" s="9" t="s">
        <v>354</v>
      </c>
      <c r="AS617" s="12">
        <v>3.4039024194010059E-4</v>
      </c>
      <c r="AT617" s="19">
        <v>38.830568499999998</v>
      </c>
      <c r="AU617" s="19">
        <v>-123.00931558000001</v>
      </c>
      <c r="AV617" s="19" t="s">
        <v>548</v>
      </c>
    </row>
    <row r="618" spans="1:48" x14ac:dyDescent="0.25">
      <c r="A618" s="18" t="s">
        <v>1003</v>
      </c>
      <c r="B618" s="10">
        <v>19760312</v>
      </c>
      <c r="C618" s="9">
        <v>17</v>
      </c>
      <c r="D618" s="8" t="str">
        <f t="shared" si="109"/>
        <v>N</v>
      </c>
      <c r="E618" s="8" t="str">
        <f t="shared" si="110"/>
        <v>N</v>
      </c>
      <c r="F618" s="8" t="str">
        <f t="shared" si="111"/>
        <v>N</v>
      </c>
      <c r="G618" s="8" t="str">
        <f t="shared" si="112"/>
        <v>N</v>
      </c>
      <c r="H618" s="8" t="str">
        <f t="shared" si="113"/>
        <v>Lower</v>
      </c>
      <c r="I618" s="8" t="str">
        <f t="shared" si="114"/>
        <v>Outside</v>
      </c>
      <c r="J618" s="8" t="str">
        <f t="shared" si="115"/>
        <v>Outside</v>
      </c>
      <c r="K618" s="8" t="str">
        <f t="shared" si="116"/>
        <v>Post-1949</v>
      </c>
      <c r="L618" s="8">
        <f t="shared" si="117"/>
        <v>1976</v>
      </c>
      <c r="M618" s="8" t="str">
        <f t="shared" si="119"/>
        <v>1971-1990</v>
      </c>
      <c r="N618" s="10" t="s">
        <v>241</v>
      </c>
      <c r="O618" s="10" t="s">
        <v>242</v>
      </c>
      <c r="P618" s="10" t="s">
        <v>242</v>
      </c>
      <c r="Q618" s="10" t="s">
        <v>242</v>
      </c>
      <c r="R618" s="10" t="s">
        <v>241</v>
      </c>
      <c r="S618" s="10" t="s">
        <v>242</v>
      </c>
      <c r="T618" s="10" t="s">
        <v>242</v>
      </c>
      <c r="U618" s="10" t="s">
        <v>242</v>
      </c>
      <c r="V618" s="10" t="s">
        <v>242</v>
      </c>
      <c r="W618" s="10" t="s">
        <v>242</v>
      </c>
      <c r="X618" s="15">
        <f>IF(ISERROR(VLOOKUP($A618,'13. Updated Demand'!A:Z,15,FALSE)),0,VLOOKUP($A618,'13. Updated Demand'!A:Z,15,FALSE))</f>
        <v>0</v>
      </c>
      <c r="Y618" s="16">
        <f>IF(ISERROR(VLOOKUP($A618,'13. Updated Demand'!A:Z,16,FALSE)),0,VLOOKUP($A618,'13. Updated Demand'!A:Z,16,FALSE))</f>
        <v>0</v>
      </c>
      <c r="Z618" s="16">
        <f>IF(ISERROR(VLOOKUP($A618,'13. Updated Demand'!A:Z,17,FALSE)),0,VLOOKUP($A618,'13. Updated Demand'!A:Z,17,FALSE))</f>
        <v>0</v>
      </c>
      <c r="AA618" s="16">
        <f>IF(ISERROR(VLOOKUP($A618,'13. Updated Demand'!A:Z,18,FALSE)),0,VLOOKUP($A618,'13. Updated Demand'!A:Z,18,FALSE))</f>
        <v>0</v>
      </c>
      <c r="AB618" s="16">
        <f>IF(ISERROR(VLOOKUP($A618,'13. Updated Demand'!A:Z,19,FALSE)),0,VLOOKUP($A618,'13. Updated Demand'!A:Z,19,FALSE))</f>
        <v>1.7000000000000001E-2</v>
      </c>
      <c r="AC618" s="16">
        <f>IF(ISERROR(VLOOKUP($A618,'13. Updated Demand'!A:Z,20,FALSE)),0,VLOOKUP($A618,'13. Updated Demand'!A:Z,20,FALSE))</f>
        <v>1.7000000000000001E-2</v>
      </c>
      <c r="AD618" s="16">
        <f>IF(ISERROR(VLOOKUP($A618,'13. Updated Demand'!A:Z,21,FALSE)),0,VLOOKUP($A618,'13. Updated Demand'!A:Z,21,FALSE))</f>
        <v>1.7000000000000001E-2</v>
      </c>
      <c r="AE618" s="16">
        <f>IF(ISERROR(VLOOKUP($A618,'13. Updated Demand'!A:Z,22,FALSE)),0,VLOOKUP($A618,'13. Updated Demand'!A:Z,22,FALSE))</f>
        <v>1.7000000000000001E-2</v>
      </c>
      <c r="AF618" s="16">
        <f>IF(ISERROR(VLOOKUP($A618,'13. Updated Demand'!A:Z,23,FALSE)),0,VLOOKUP($A618,'13. Updated Demand'!A:Z,23,FALSE))</f>
        <v>1.7000000000000001E-2</v>
      </c>
      <c r="AG618" s="16">
        <f>IF(ISERROR(VLOOKUP($A618,'13. Updated Demand'!A:Z,24,FALSE)),0,VLOOKUP($A618,'13. Updated Demand'!A:Z,24,FALSE))</f>
        <v>1.7000000000000001E-2</v>
      </c>
      <c r="AH618" s="16">
        <f>IF(ISERROR(VLOOKUP($A618,'13. Updated Demand'!A:Z,25,FALSE)),0,VLOOKUP($A618,'13. Updated Demand'!A:Z,25,FALSE))</f>
        <v>0</v>
      </c>
      <c r="AI618" s="16">
        <f>IF(ISERROR(VLOOKUP($A618,'13. Updated Demand'!A:Z,26,FALSE)),0,VLOOKUP($A618,'13. Updated Demand'!A:Z,26,FALSE))</f>
        <v>0</v>
      </c>
      <c r="AJ618" s="16">
        <f t="shared" si="120"/>
        <v>0.10200000000000001</v>
      </c>
      <c r="AK618" s="19">
        <v>8.5000000000000006E-2</v>
      </c>
      <c r="AL618" s="16">
        <f t="shared" si="118"/>
        <v>2.819353175901183E-4</v>
      </c>
      <c r="AM618" s="17">
        <v>1.02</v>
      </c>
      <c r="AN618" s="19"/>
      <c r="AO618" s="19"/>
      <c r="AP618" s="19">
        <v>0.1</v>
      </c>
      <c r="AQ618" s="19" t="s">
        <v>307</v>
      </c>
      <c r="AR618" s="9" t="s">
        <v>486</v>
      </c>
      <c r="AS618" s="12">
        <v>0</v>
      </c>
      <c r="AT618" s="19">
        <v>38.58424514</v>
      </c>
      <c r="AU618" s="19">
        <v>-122.85609354</v>
      </c>
      <c r="AV618" s="19" t="s">
        <v>387</v>
      </c>
    </row>
    <row r="619" spans="1:48" x14ac:dyDescent="0.25">
      <c r="A619" s="18" t="s">
        <v>1004</v>
      </c>
      <c r="B619" s="10">
        <v>19760322</v>
      </c>
      <c r="C619" s="9">
        <v>10</v>
      </c>
      <c r="D619" s="8" t="str">
        <f t="shared" si="109"/>
        <v>N</v>
      </c>
      <c r="E619" s="8" t="str">
        <f t="shared" si="110"/>
        <v>Y</v>
      </c>
      <c r="F619" s="8" t="str">
        <f t="shared" si="111"/>
        <v>Y</v>
      </c>
      <c r="G619" s="8" t="str">
        <f t="shared" si="112"/>
        <v>Y</v>
      </c>
      <c r="H619" s="8" t="str">
        <f t="shared" si="113"/>
        <v>Upper</v>
      </c>
      <c r="I619" s="8" t="str">
        <f t="shared" si="114"/>
        <v>West Fork and Below Lake</v>
      </c>
      <c r="J619" s="8" t="str">
        <f t="shared" si="115"/>
        <v>Sonoma (d/s of Clov. Gage)</v>
      </c>
      <c r="K619" s="8" t="str">
        <f t="shared" si="116"/>
        <v>Post-1949</v>
      </c>
      <c r="L619" s="8">
        <f t="shared" si="117"/>
        <v>1976</v>
      </c>
      <c r="M619" s="8" t="str">
        <f t="shared" si="119"/>
        <v>1971-1990</v>
      </c>
      <c r="N619" s="10" t="s">
        <v>241</v>
      </c>
      <c r="O619" s="10" t="s">
        <v>241</v>
      </c>
      <c r="P619" s="10" t="s">
        <v>242</v>
      </c>
      <c r="Q619" s="10" t="s">
        <v>242</v>
      </c>
      <c r="R619" s="10" t="s">
        <v>241</v>
      </c>
      <c r="S619" s="10" t="s">
        <v>242</v>
      </c>
      <c r="T619" s="10" t="s">
        <v>242</v>
      </c>
      <c r="U619" s="10" t="s">
        <v>242</v>
      </c>
      <c r="V619" s="10" t="s">
        <v>242</v>
      </c>
      <c r="W619" s="10" t="s">
        <v>242</v>
      </c>
      <c r="X619" s="15">
        <f>IF(ISERROR(VLOOKUP($A619,'13. Updated Demand'!A:Z,15,FALSE)),0,VLOOKUP($A619,'13. Updated Demand'!A:Z,15,FALSE))</f>
        <v>0.49</v>
      </c>
      <c r="Y619" s="16">
        <f>IF(ISERROR(VLOOKUP($A619,'13. Updated Demand'!A:Z,16,FALSE)),0,VLOOKUP($A619,'13. Updated Demand'!A:Z,16,FALSE))</f>
        <v>0.51</v>
      </c>
      <c r="Z619" s="16">
        <f>IF(ISERROR(VLOOKUP($A619,'13. Updated Demand'!A:Z,17,FALSE)),0,VLOOKUP($A619,'13. Updated Demand'!A:Z,17,FALSE))</f>
        <v>0.47</v>
      </c>
      <c r="AA619" s="16">
        <f>IF(ISERROR(VLOOKUP($A619,'13. Updated Demand'!A:Z,18,FALSE)),0,VLOOKUP($A619,'13. Updated Demand'!A:Z,18,FALSE))</f>
        <v>0.53</v>
      </c>
      <c r="AB619" s="16">
        <f>IF(ISERROR(VLOOKUP($A619,'13. Updated Demand'!A:Z,19,FALSE)),0,VLOOKUP($A619,'13. Updated Demand'!A:Z,19,FALSE))</f>
        <v>0.61</v>
      </c>
      <c r="AC619" s="16">
        <f>IF(ISERROR(VLOOKUP($A619,'13. Updated Demand'!A:Z,20,FALSE)),0,VLOOKUP($A619,'13. Updated Demand'!A:Z,20,FALSE))</f>
        <v>0.85</v>
      </c>
      <c r="AD619" s="16">
        <f>IF(ISERROR(VLOOKUP($A619,'13. Updated Demand'!A:Z,21,FALSE)),0,VLOOKUP($A619,'13. Updated Demand'!A:Z,21,FALSE))</f>
        <v>1.31</v>
      </c>
      <c r="AE619" s="16">
        <f>IF(ISERROR(VLOOKUP($A619,'13. Updated Demand'!A:Z,22,FALSE)),0,VLOOKUP($A619,'13. Updated Demand'!A:Z,22,FALSE))</f>
        <v>1.64</v>
      </c>
      <c r="AF619" s="16">
        <f>IF(ISERROR(VLOOKUP($A619,'13. Updated Demand'!A:Z,23,FALSE)),0,VLOOKUP($A619,'13. Updated Demand'!A:Z,23,FALSE))</f>
        <v>1.39</v>
      </c>
      <c r="AG619" s="16">
        <f>IF(ISERROR(VLOOKUP($A619,'13. Updated Demand'!A:Z,24,FALSE)),0,VLOOKUP($A619,'13. Updated Demand'!A:Z,24,FALSE))</f>
        <v>0.81</v>
      </c>
      <c r="AH619" s="16">
        <f>IF(ISERROR(VLOOKUP($A619,'13. Updated Demand'!A:Z,25,FALSE)),0,VLOOKUP($A619,'13. Updated Demand'!A:Z,25,FALSE))</f>
        <v>0.49</v>
      </c>
      <c r="AI619" s="16">
        <f>IF(ISERROR(VLOOKUP($A619,'13. Updated Demand'!A:Z,26,FALSE)),0,VLOOKUP($A619,'13. Updated Demand'!A:Z,26,FALSE))</f>
        <v>0.45</v>
      </c>
      <c r="AJ619" s="16">
        <f t="shared" si="120"/>
        <v>9.5499999999999989</v>
      </c>
      <c r="AK619" s="19">
        <v>5.8166666666666655</v>
      </c>
      <c r="AL619" s="16">
        <f t="shared" si="118"/>
        <v>1.929322075273554E-2</v>
      </c>
      <c r="AM619" s="17">
        <v>0.17412121212121209</v>
      </c>
      <c r="AN619" s="19"/>
      <c r="AO619" s="19"/>
      <c r="AP619" s="19">
        <v>55</v>
      </c>
      <c r="AQ619" s="19" t="s">
        <v>307</v>
      </c>
      <c r="AR619" s="9" t="s">
        <v>436</v>
      </c>
      <c r="AS619" s="12">
        <v>3.4039024194010059E-4</v>
      </c>
      <c r="AT619" s="19">
        <v>38.677706829999998</v>
      </c>
      <c r="AU619" s="19">
        <v>-122.86159519</v>
      </c>
      <c r="AV619" s="19" t="s">
        <v>548</v>
      </c>
    </row>
    <row r="620" spans="1:48" x14ac:dyDescent="0.25">
      <c r="A620" s="18" t="s">
        <v>1005</v>
      </c>
      <c r="B620" s="10">
        <v>19760324</v>
      </c>
      <c r="C620" s="9">
        <v>9</v>
      </c>
      <c r="D620" s="8" t="str">
        <f t="shared" si="109"/>
        <v>N</v>
      </c>
      <c r="E620" s="8" t="str">
        <f t="shared" si="110"/>
        <v>Y</v>
      </c>
      <c r="F620" s="8" t="str">
        <f t="shared" si="111"/>
        <v>Y</v>
      </c>
      <c r="G620" s="8" t="str">
        <f t="shared" si="112"/>
        <v>Y</v>
      </c>
      <c r="H620" s="8" t="str">
        <f t="shared" si="113"/>
        <v>Upper</v>
      </c>
      <c r="I620" s="8" t="str">
        <f t="shared" si="114"/>
        <v>West Fork and Below Lake</v>
      </c>
      <c r="J620" s="8" t="str">
        <f t="shared" si="115"/>
        <v>Sonoma (d/s of Clov. Gage)</v>
      </c>
      <c r="K620" s="8" t="str">
        <f t="shared" si="116"/>
        <v>Post-1949</v>
      </c>
      <c r="L620" s="8">
        <f t="shared" si="117"/>
        <v>1976</v>
      </c>
      <c r="M620" s="8" t="str">
        <f t="shared" si="119"/>
        <v>1971-1990</v>
      </c>
      <c r="N620" s="10" t="s">
        <v>241</v>
      </c>
      <c r="O620" s="10" t="s">
        <v>241</v>
      </c>
      <c r="P620" s="10" t="s">
        <v>242</v>
      </c>
      <c r="Q620" s="10" t="s">
        <v>242</v>
      </c>
      <c r="R620" s="10" t="s">
        <v>241</v>
      </c>
      <c r="S620" s="10" t="s">
        <v>242</v>
      </c>
      <c r="T620" s="10" t="s">
        <v>242</v>
      </c>
      <c r="U620" s="10" t="s">
        <v>241</v>
      </c>
      <c r="V620" s="10" t="s">
        <v>241</v>
      </c>
      <c r="W620" s="10" t="s">
        <v>242</v>
      </c>
      <c r="X620" s="15">
        <f>IF(ISERROR(VLOOKUP($A620,'13. Updated Demand'!A:Z,15,FALSE)),0,VLOOKUP($A620,'13. Updated Demand'!A:Z,15,FALSE))</f>
        <v>0</v>
      </c>
      <c r="Y620" s="16">
        <f>IF(ISERROR(VLOOKUP($A620,'13. Updated Demand'!A:Z,16,FALSE)),0,VLOOKUP($A620,'13. Updated Demand'!A:Z,16,FALSE))</f>
        <v>0</v>
      </c>
      <c r="Z620" s="16">
        <f>IF(ISERROR(VLOOKUP($A620,'13. Updated Demand'!A:Z,17,FALSE)),0,VLOOKUP($A620,'13. Updated Demand'!A:Z,17,FALSE))</f>
        <v>0</v>
      </c>
      <c r="AA620" s="16">
        <f>IF(ISERROR(VLOOKUP($A620,'13. Updated Demand'!A:Z,18,FALSE)),0,VLOOKUP($A620,'13. Updated Demand'!A:Z,18,FALSE))</f>
        <v>0</v>
      </c>
      <c r="AB620" s="16">
        <f>IF(ISERROR(VLOOKUP($A620,'13. Updated Demand'!A:Z,19,FALSE)),0,VLOOKUP($A620,'13. Updated Demand'!A:Z,19,FALSE))</f>
        <v>0</v>
      </c>
      <c r="AC620" s="16">
        <f>IF(ISERROR(VLOOKUP($A620,'13. Updated Demand'!A:Z,20,FALSE)),0,VLOOKUP($A620,'13. Updated Demand'!A:Z,20,FALSE))</f>
        <v>0</v>
      </c>
      <c r="AD620" s="16">
        <f>IF(ISERROR(VLOOKUP($A620,'13. Updated Demand'!A:Z,21,FALSE)),0,VLOOKUP($A620,'13. Updated Demand'!A:Z,21,FALSE))</f>
        <v>0</v>
      </c>
      <c r="AE620" s="16">
        <f>IF(ISERROR(VLOOKUP($A620,'13. Updated Demand'!A:Z,22,FALSE)),0,VLOOKUP($A620,'13. Updated Demand'!A:Z,22,FALSE))</f>
        <v>0</v>
      </c>
      <c r="AF620" s="16">
        <f>IF(ISERROR(VLOOKUP($A620,'13. Updated Demand'!A:Z,23,FALSE)),0,VLOOKUP($A620,'13. Updated Demand'!A:Z,23,FALSE))</f>
        <v>0</v>
      </c>
      <c r="AG620" s="16">
        <f>IF(ISERROR(VLOOKUP($A620,'13. Updated Demand'!A:Z,24,FALSE)),0,VLOOKUP($A620,'13. Updated Demand'!A:Z,24,FALSE))</f>
        <v>0</v>
      </c>
      <c r="AH620" s="16">
        <f>IF(ISERROR(VLOOKUP($A620,'13. Updated Demand'!A:Z,25,FALSE)),0,VLOOKUP($A620,'13. Updated Demand'!A:Z,25,FALSE))</f>
        <v>0</v>
      </c>
      <c r="AI620" s="16">
        <f>IF(ISERROR(VLOOKUP($A620,'13. Updated Demand'!A:Z,26,FALSE)),0,VLOOKUP($A620,'13. Updated Demand'!A:Z,26,FALSE))</f>
        <v>0</v>
      </c>
      <c r="AJ620" s="16">
        <f t="shared" si="120"/>
        <v>0</v>
      </c>
      <c r="AK620" s="19">
        <v>0</v>
      </c>
      <c r="AL620" s="16">
        <f t="shared" si="118"/>
        <v>0</v>
      </c>
      <c r="AM620" s="17">
        <v>0</v>
      </c>
      <c r="AN620" s="19"/>
      <c r="AO620" s="19"/>
      <c r="AP620" s="19">
        <v>7.4</v>
      </c>
      <c r="AQ620" s="19" t="s">
        <v>307</v>
      </c>
      <c r="AR620" s="9" t="s">
        <v>354</v>
      </c>
      <c r="AS620" s="12">
        <v>0</v>
      </c>
      <c r="AT620" s="19">
        <v>38.830568499999998</v>
      </c>
      <c r="AU620" s="19">
        <v>-123.00931558000001</v>
      </c>
      <c r="AV620" s="19" t="s">
        <v>387</v>
      </c>
    </row>
    <row r="621" spans="1:48" x14ac:dyDescent="0.25">
      <c r="A621" s="18" t="s">
        <v>1006</v>
      </c>
      <c r="B621" s="10">
        <v>19760331</v>
      </c>
      <c r="C621" s="9">
        <v>12</v>
      </c>
      <c r="D621" s="8" t="str">
        <f t="shared" si="109"/>
        <v>N</v>
      </c>
      <c r="E621" s="8" t="str">
        <f t="shared" si="110"/>
        <v>Y</v>
      </c>
      <c r="F621" s="8" t="str">
        <f t="shared" si="111"/>
        <v>Y</v>
      </c>
      <c r="G621" s="8" t="str">
        <f t="shared" si="112"/>
        <v>Y</v>
      </c>
      <c r="H621" s="8" t="str">
        <f t="shared" si="113"/>
        <v>Upper</v>
      </c>
      <c r="I621" s="8" t="str">
        <f t="shared" si="114"/>
        <v>West Fork and Below Lake</v>
      </c>
      <c r="J621" s="8" t="str">
        <f t="shared" si="115"/>
        <v>Sonoma (d/s of Clov. Gage)</v>
      </c>
      <c r="K621" s="8" t="str">
        <f t="shared" si="116"/>
        <v>Post-1949</v>
      </c>
      <c r="L621" s="8">
        <f t="shared" si="117"/>
        <v>1976</v>
      </c>
      <c r="M621" s="8" t="str">
        <f t="shared" si="119"/>
        <v>1971-1990</v>
      </c>
      <c r="N621" s="10" t="s">
        <v>242</v>
      </c>
      <c r="O621" s="10" t="s">
        <v>241</v>
      </c>
      <c r="P621" s="10" t="s">
        <v>242</v>
      </c>
      <c r="Q621" s="10" t="s">
        <v>242</v>
      </c>
      <c r="R621" s="10" t="s">
        <v>241</v>
      </c>
      <c r="S621" s="10" t="s">
        <v>242</v>
      </c>
      <c r="T621" s="10" t="s">
        <v>242</v>
      </c>
      <c r="U621" s="10" t="s">
        <v>242</v>
      </c>
      <c r="V621" s="10" t="s">
        <v>241</v>
      </c>
      <c r="W621" s="10" t="s">
        <v>242</v>
      </c>
      <c r="X621" s="15">
        <f>IF(ISERROR(VLOOKUP($A621,'13. Updated Demand'!A:Z,15,FALSE)),0,VLOOKUP($A621,'13. Updated Demand'!A:Z,15,FALSE))</f>
        <v>2.66</v>
      </c>
      <c r="Y621" s="16">
        <f>IF(ISERROR(VLOOKUP($A621,'13. Updated Demand'!A:Z,16,FALSE)),0,VLOOKUP($A621,'13. Updated Demand'!A:Z,16,FALSE))</f>
        <v>2</v>
      </c>
      <c r="Z621" s="16">
        <f>IF(ISERROR(VLOOKUP($A621,'13. Updated Demand'!A:Z,17,FALSE)),0,VLOOKUP($A621,'13. Updated Demand'!A:Z,17,FALSE))</f>
        <v>2</v>
      </c>
      <c r="AA621" s="16">
        <f>IF(ISERROR(VLOOKUP($A621,'13. Updated Demand'!A:Z,18,FALSE)),0,VLOOKUP($A621,'13. Updated Demand'!A:Z,18,FALSE))</f>
        <v>0</v>
      </c>
      <c r="AB621" s="16">
        <f>IF(ISERROR(VLOOKUP($A621,'13. Updated Demand'!A:Z,19,FALSE)),0,VLOOKUP($A621,'13. Updated Demand'!A:Z,19,FALSE))</f>
        <v>0</v>
      </c>
      <c r="AC621" s="16">
        <f>IF(ISERROR(VLOOKUP($A621,'13. Updated Demand'!A:Z,20,FALSE)),0,VLOOKUP($A621,'13. Updated Demand'!A:Z,20,FALSE))</f>
        <v>0</v>
      </c>
      <c r="AD621" s="16">
        <f>IF(ISERROR(VLOOKUP($A621,'13. Updated Demand'!A:Z,21,FALSE)),0,VLOOKUP($A621,'13. Updated Demand'!A:Z,21,FALSE))</f>
        <v>0</v>
      </c>
      <c r="AE621" s="16">
        <f>IF(ISERROR(VLOOKUP($A621,'13. Updated Demand'!A:Z,22,FALSE)),0,VLOOKUP($A621,'13. Updated Demand'!A:Z,22,FALSE))</f>
        <v>0</v>
      </c>
      <c r="AF621" s="16">
        <f>IF(ISERROR(VLOOKUP($A621,'13. Updated Demand'!A:Z,23,FALSE)),0,VLOOKUP($A621,'13. Updated Demand'!A:Z,23,FALSE))</f>
        <v>0</v>
      </c>
      <c r="AG621" s="16">
        <f>IF(ISERROR(VLOOKUP($A621,'13. Updated Demand'!A:Z,24,FALSE)),0,VLOOKUP($A621,'13. Updated Demand'!A:Z,24,FALSE))</f>
        <v>0</v>
      </c>
      <c r="AH621" s="16">
        <f>IF(ISERROR(VLOOKUP($A621,'13. Updated Demand'!A:Z,25,FALSE)),0,VLOOKUP($A621,'13. Updated Demand'!A:Z,25,FALSE))</f>
        <v>0</v>
      </c>
      <c r="AI621" s="16">
        <f>IF(ISERROR(VLOOKUP($A621,'13. Updated Demand'!A:Z,26,FALSE)),0,VLOOKUP($A621,'13. Updated Demand'!A:Z,26,FALSE))</f>
        <v>1.33</v>
      </c>
      <c r="AJ621" s="16">
        <f t="shared" si="120"/>
        <v>7.99</v>
      </c>
      <c r="AK621" s="19">
        <v>0</v>
      </c>
      <c r="AL621" s="16">
        <f t="shared" si="118"/>
        <v>0</v>
      </c>
      <c r="AM621" s="17">
        <v>0.34782608695652167</v>
      </c>
      <c r="AN621" s="19"/>
      <c r="AO621" s="19"/>
      <c r="AP621" s="19">
        <v>23</v>
      </c>
      <c r="AQ621" s="19" t="s">
        <v>307</v>
      </c>
      <c r="AR621" s="9" t="s">
        <v>311</v>
      </c>
      <c r="AS621" s="12">
        <v>0</v>
      </c>
      <c r="AT621" s="19">
        <v>38.614201999999999</v>
      </c>
      <c r="AU621" s="19">
        <v>-122.66325341</v>
      </c>
      <c r="AV621" s="19" t="s">
        <v>417</v>
      </c>
    </row>
    <row r="622" spans="1:48" x14ac:dyDescent="0.25">
      <c r="A622" s="18" t="s">
        <v>1007</v>
      </c>
      <c r="B622" s="10">
        <v>19760420</v>
      </c>
      <c r="C622" s="9">
        <v>5</v>
      </c>
      <c r="D622" s="8" t="str">
        <f t="shared" si="109"/>
        <v>Y</v>
      </c>
      <c r="E622" s="8" t="str">
        <f t="shared" si="110"/>
        <v>N</v>
      </c>
      <c r="F622" s="8" t="str">
        <f t="shared" si="111"/>
        <v>Y</v>
      </c>
      <c r="G622" s="8" t="str">
        <f t="shared" si="112"/>
        <v>Y</v>
      </c>
      <c r="H622" s="8" t="str">
        <f t="shared" si="113"/>
        <v>Upper</v>
      </c>
      <c r="I622" s="8" t="str">
        <f t="shared" si="114"/>
        <v>West Fork and Below Lake</v>
      </c>
      <c r="J622" s="8" t="str">
        <f t="shared" si="115"/>
        <v>Mendocino (d/s of lake)</v>
      </c>
      <c r="K622" s="8" t="str">
        <f t="shared" si="116"/>
        <v>Post-1949</v>
      </c>
      <c r="L622" s="8">
        <f t="shared" si="117"/>
        <v>1976</v>
      </c>
      <c r="M622" s="8" t="str">
        <f t="shared" si="119"/>
        <v>1971-1990</v>
      </c>
      <c r="N622" s="10" t="s">
        <v>242</v>
      </c>
      <c r="O622" s="10" t="s">
        <v>241</v>
      </c>
      <c r="P622" s="10" t="s">
        <v>242</v>
      </c>
      <c r="Q622" s="10" t="s">
        <v>242</v>
      </c>
      <c r="R622" s="10" t="s">
        <v>241</v>
      </c>
      <c r="S622" s="10" t="s">
        <v>242</v>
      </c>
      <c r="T622" s="10" t="s">
        <v>242</v>
      </c>
      <c r="U622" s="10" t="s">
        <v>242</v>
      </c>
      <c r="V622" s="10" t="s">
        <v>242</v>
      </c>
      <c r="W622" s="10" t="s">
        <v>242</v>
      </c>
      <c r="X622" s="15">
        <f>IF(ISERROR(VLOOKUP($A622,'13. Updated Demand'!A:Z,15,FALSE)),0,VLOOKUP($A622,'13. Updated Demand'!A:Z,15,FALSE))</f>
        <v>0</v>
      </c>
      <c r="Y622" s="16">
        <f>IF(ISERROR(VLOOKUP($A622,'13. Updated Demand'!A:Z,16,FALSE)),0,VLOOKUP($A622,'13. Updated Demand'!A:Z,16,FALSE))</f>
        <v>0</v>
      </c>
      <c r="Z622" s="16">
        <f>IF(ISERROR(VLOOKUP($A622,'13. Updated Demand'!A:Z,17,FALSE)),0,VLOOKUP($A622,'13. Updated Demand'!A:Z,17,FALSE))</f>
        <v>0</v>
      </c>
      <c r="AA622" s="16">
        <f>IF(ISERROR(VLOOKUP($A622,'13. Updated Demand'!A:Z,18,FALSE)),0,VLOOKUP($A622,'13. Updated Demand'!A:Z,18,FALSE))</f>
        <v>1.6899999999999999E-4</v>
      </c>
      <c r="AB622" s="16">
        <f>IF(ISERROR(VLOOKUP($A622,'13. Updated Demand'!A:Z,19,FALSE)),0,VLOOKUP($A622,'13. Updated Demand'!A:Z,19,FALSE))</f>
        <v>1.6899999999999999E-4</v>
      </c>
      <c r="AC622" s="16">
        <f>IF(ISERROR(VLOOKUP($A622,'13. Updated Demand'!A:Z,20,FALSE)),0,VLOOKUP($A622,'13. Updated Demand'!A:Z,20,FALSE))</f>
        <v>5.3700000000000004E-4</v>
      </c>
      <c r="AD622" s="16">
        <f>IF(ISERROR(VLOOKUP($A622,'13. Updated Demand'!A:Z,21,FALSE)),0,VLOOKUP($A622,'13. Updated Demand'!A:Z,21,FALSE))</f>
        <v>5.3700000000000004E-4</v>
      </c>
      <c r="AE622" s="16">
        <f>IF(ISERROR(VLOOKUP($A622,'13. Updated Demand'!A:Z,22,FALSE)),0,VLOOKUP($A622,'13. Updated Demand'!A:Z,22,FALSE))</f>
        <v>6.8999999999999997E-4</v>
      </c>
      <c r="AF622" s="16">
        <f>IF(ISERROR(VLOOKUP($A622,'13. Updated Demand'!A:Z,23,FALSE)),0,VLOOKUP($A622,'13. Updated Demand'!A:Z,23,FALSE))</f>
        <v>6.8999999999999997E-4</v>
      </c>
      <c r="AG622" s="16">
        <f>IF(ISERROR(VLOOKUP($A622,'13. Updated Demand'!A:Z,24,FALSE)),0,VLOOKUP($A622,'13. Updated Demand'!A:Z,24,FALSE))</f>
        <v>4.6000000000000001E-4</v>
      </c>
      <c r="AH622" s="16">
        <f>IF(ISERROR(VLOOKUP($A622,'13. Updated Demand'!A:Z,25,FALSE)),0,VLOOKUP($A622,'13. Updated Demand'!A:Z,25,FALSE))</f>
        <v>0</v>
      </c>
      <c r="AI622" s="16">
        <f>IF(ISERROR(VLOOKUP($A622,'13. Updated Demand'!A:Z,26,FALSE)),0,VLOOKUP($A622,'13. Updated Demand'!A:Z,26,FALSE))</f>
        <v>0</v>
      </c>
      <c r="AJ622" s="16">
        <f t="shared" si="120"/>
        <v>3.2520000000000001E-3</v>
      </c>
      <c r="AK622" s="19">
        <v>2.6230000000000003E-3</v>
      </c>
      <c r="AL622" s="16">
        <f t="shared" si="118"/>
        <v>8.7001922122221228E-6</v>
      </c>
      <c r="AM622" s="17">
        <v>3.6133333333333335E-4</v>
      </c>
      <c r="AN622" s="19"/>
      <c r="AO622" s="19"/>
      <c r="AP622" s="19">
        <v>9</v>
      </c>
      <c r="AQ622" s="19" t="s">
        <v>307</v>
      </c>
      <c r="AR622" s="9" t="s">
        <v>333</v>
      </c>
      <c r="AS622" s="12">
        <v>0</v>
      </c>
      <c r="AT622" s="19">
        <v>39.08004983</v>
      </c>
      <c r="AU622" s="19">
        <v>-123.22319679</v>
      </c>
      <c r="AV622" s="19" t="s">
        <v>417</v>
      </c>
    </row>
    <row r="623" spans="1:48" x14ac:dyDescent="0.25">
      <c r="A623" s="18" t="s">
        <v>1008</v>
      </c>
      <c r="B623" s="10">
        <v>19760517</v>
      </c>
      <c r="C623" s="9">
        <v>23</v>
      </c>
      <c r="D623" s="8" t="str">
        <f t="shared" si="109"/>
        <v>N</v>
      </c>
      <c r="E623" s="8" t="str">
        <f t="shared" si="110"/>
        <v>N</v>
      </c>
      <c r="F623" s="8" t="str">
        <f t="shared" si="111"/>
        <v>N</v>
      </c>
      <c r="G623" s="8" t="str">
        <f t="shared" si="112"/>
        <v>N</v>
      </c>
      <c r="H623" s="8" t="str">
        <f t="shared" si="113"/>
        <v>Lower</v>
      </c>
      <c r="I623" s="8" t="str">
        <f t="shared" si="114"/>
        <v>Outside</v>
      </c>
      <c r="J623" s="8" t="str">
        <f t="shared" si="115"/>
        <v>Outside</v>
      </c>
      <c r="K623" s="8" t="str">
        <f t="shared" si="116"/>
        <v>Post-1949</v>
      </c>
      <c r="L623" s="8">
        <f t="shared" si="117"/>
        <v>1976</v>
      </c>
      <c r="M623" s="8" t="str">
        <f t="shared" si="119"/>
        <v>1971-1990</v>
      </c>
      <c r="N623" s="10" t="s">
        <v>242</v>
      </c>
      <c r="O623" s="10" t="s">
        <v>242</v>
      </c>
      <c r="P623" s="10" t="s">
        <v>242</v>
      </c>
      <c r="Q623" s="10" t="s">
        <v>242</v>
      </c>
      <c r="R623" s="10" t="s">
        <v>241</v>
      </c>
      <c r="S623" s="10" t="s">
        <v>242</v>
      </c>
      <c r="T623" s="10" t="s">
        <v>242</v>
      </c>
      <c r="U623" s="10" t="s">
        <v>241</v>
      </c>
      <c r="V623" s="10" t="s">
        <v>241</v>
      </c>
      <c r="W623" s="10" t="s">
        <v>242</v>
      </c>
      <c r="X623" s="15">
        <f>IF(ISERROR(VLOOKUP($A623,'13. Updated Demand'!A:Z,15,FALSE)),0,VLOOKUP($A623,'13. Updated Demand'!A:Z,15,FALSE))</f>
        <v>0</v>
      </c>
      <c r="Y623" s="16">
        <f>IF(ISERROR(VLOOKUP($A623,'13. Updated Demand'!A:Z,16,FALSE)),0,VLOOKUP($A623,'13. Updated Demand'!A:Z,16,FALSE))</f>
        <v>0</v>
      </c>
      <c r="Z623" s="16">
        <f>IF(ISERROR(VLOOKUP($A623,'13. Updated Demand'!A:Z,17,FALSE)),0,VLOOKUP($A623,'13. Updated Demand'!A:Z,17,FALSE))</f>
        <v>0</v>
      </c>
      <c r="AA623" s="16">
        <f>IF(ISERROR(VLOOKUP($A623,'13. Updated Demand'!A:Z,18,FALSE)),0,VLOOKUP($A623,'13. Updated Demand'!A:Z,18,FALSE))</f>
        <v>0</v>
      </c>
      <c r="AB623" s="16">
        <f>IF(ISERROR(VLOOKUP($A623,'13. Updated Demand'!A:Z,19,FALSE)),0,VLOOKUP($A623,'13. Updated Demand'!A:Z,19,FALSE))</f>
        <v>0</v>
      </c>
      <c r="AC623" s="16">
        <f>IF(ISERROR(VLOOKUP($A623,'13. Updated Demand'!A:Z,20,FALSE)),0,VLOOKUP($A623,'13. Updated Demand'!A:Z,20,FALSE))</f>
        <v>0</v>
      </c>
      <c r="AD623" s="16">
        <f>IF(ISERROR(VLOOKUP($A623,'13. Updated Demand'!A:Z,21,FALSE)),0,VLOOKUP($A623,'13. Updated Demand'!A:Z,21,FALSE))</f>
        <v>0</v>
      </c>
      <c r="AE623" s="16">
        <f>IF(ISERROR(VLOOKUP($A623,'13. Updated Demand'!A:Z,22,FALSE)),0,VLOOKUP($A623,'13. Updated Demand'!A:Z,22,FALSE))</f>
        <v>0</v>
      </c>
      <c r="AF623" s="16">
        <f>IF(ISERROR(VLOOKUP($A623,'13. Updated Demand'!A:Z,23,FALSE)),0,VLOOKUP($A623,'13. Updated Demand'!A:Z,23,FALSE))</f>
        <v>0</v>
      </c>
      <c r="AG623" s="16">
        <f>IF(ISERROR(VLOOKUP($A623,'13. Updated Demand'!A:Z,24,FALSE)),0,VLOOKUP($A623,'13. Updated Demand'!A:Z,24,FALSE))</f>
        <v>0</v>
      </c>
      <c r="AH623" s="16">
        <f>IF(ISERROR(VLOOKUP($A623,'13. Updated Demand'!A:Z,25,FALSE)),0,VLOOKUP($A623,'13. Updated Demand'!A:Z,25,FALSE))</f>
        <v>0</v>
      </c>
      <c r="AI623" s="16">
        <f>IF(ISERROR(VLOOKUP($A623,'13. Updated Demand'!A:Z,26,FALSE)),0,VLOOKUP($A623,'13. Updated Demand'!A:Z,26,FALSE))</f>
        <v>0</v>
      </c>
      <c r="AJ623" s="16">
        <f t="shared" si="120"/>
        <v>0</v>
      </c>
      <c r="AK623" s="19">
        <v>0</v>
      </c>
      <c r="AL623" s="16">
        <f t="shared" si="118"/>
        <v>0</v>
      </c>
      <c r="AM623" s="17">
        <v>0</v>
      </c>
      <c r="AN623" s="19"/>
      <c r="AO623" s="19"/>
      <c r="AP623" s="19">
        <v>4.3</v>
      </c>
      <c r="AQ623" s="19" t="s">
        <v>307</v>
      </c>
      <c r="AR623" s="9" t="s">
        <v>391</v>
      </c>
      <c r="AS623" s="12">
        <v>0</v>
      </c>
      <c r="AT623" s="19">
        <v>38.555385569999999</v>
      </c>
      <c r="AU623" s="19">
        <v>-122.76132459</v>
      </c>
      <c r="AV623" s="19" t="s">
        <v>417</v>
      </c>
    </row>
    <row r="624" spans="1:48" x14ac:dyDescent="0.25">
      <c r="A624" s="18" t="s">
        <v>1009</v>
      </c>
      <c r="B624" s="10">
        <v>19760614</v>
      </c>
      <c r="C624" s="9">
        <v>13</v>
      </c>
      <c r="D624" s="8" t="str">
        <f t="shared" si="109"/>
        <v>N</v>
      </c>
      <c r="E624" s="8" t="str">
        <f t="shared" si="110"/>
        <v>Y</v>
      </c>
      <c r="F624" s="8" t="str">
        <f t="shared" si="111"/>
        <v>Y</v>
      </c>
      <c r="G624" s="8" t="str">
        <f t="shared" si="112"/>
        <v>Y</v>
      </c>
      <c r="H624" s="8" t="str">
        <f t="shared" si="113"/>
        <v>Upper</v>
      </c>
      <c r="I624" s="8" t="str">
        <f t="shared" si="114"/>
        <v>West Fork and Below Lake</v>
      </c>
      <c r="J624" s="8" t="str">
        <f t="shared" si="115"/>
        <v>Sonoma (d/s of Clov. Gage)</v>
      </c>
      <c r="K624" s="8" t="str">
        <f t="shared" si="116"/>
        <v>Post-1949</v>
      </c>
      <c r="L624" s="8">
        <f t="shared" si="117"/>
        <v>1976</v>
      </c>
      <c r="M624" s="8" t="str">
        <f t="shared" si="119"/>
        <v>1971-1990</v>
      </c>
      <c r="N624" s="10" t="s">
        <v>241</v>
      </c>
      <c r="O624" s="10" t="s">
        <v>241</v>
      </c>
      <c r="P624" s="10" t="s">
        <v>242</v>
      </c>
      <c r="Q624" s="10" t="s">
        <v>242</v>
      </c>
      <c r="R624" s="10" t="s">
        <v>241</v>
      </c>
      <c r="S624" s="10" t="s">
        <v>242</v>
      </c>
      <c r="T624" s="10" t="s">
        <v>242</v>
      </c>
      <c r="U624" s="10" t="s">
        <v>242</v>
      </c>
      <c r="V624" s="10" t="s">
        <v>242</v>
      </c>
      <c r="W624" s="10" t="s">
        <v>242</v>
      </c>
      <c r="X624" s="15">
        <f>IF(ISERROR(VLOOKUP($A624,'13. Updated Demand'!A:Z,15,FALSE)),0,VLOOKUP($A624,'13. Updated Demand'!A:Z,15,FALSE))</f>
        <v>0.01</v>
      </c>
      <c r="Y624" s="16">
        <f>IF(ISERROR(VLOOKUP($A624,'13. Updated Demand'!A:Z,16,FALSE)),0,VLOOKUP($A624,'13. Updated Demand'!A:Z,16,FALSE))</f>
        <v>0.01</v>
      </c>
      <c r="Z624" s="16">
        <f>IF(ISERROR(VLOOKUP($A624,'13. Updated Demand'!A:Z,17,FALSE)),0,VLOOKUP($A624,'13. Updated Demand'!A:Z,17,FALSE))</f>
        <v>0.01</v>
      </c>
      <c r="AA624" s="16">
        <f>IF(ISERROR(VLOOKUP($A624,'13. Updated Demand'!A:Z,18,FALSE)),0,VLOOKUP($A624,'13. Updated Demand'!A:Z,18,FALSE))</f>
        <v>0.01</v>
      </c>
      <c r="AB624" s="16">
        <f>IF(ISERROR(VLOOKUP($A624,'13. Updated Demand'!A:Z,19,FALSE)),0,VLOOKUP($A624,'13. Updated Demand'!A:Z,19,FALSE))</f>
        <v>0.01</v>
      </c>
      <c r="AC624" s="16">
        <f>IF(ISERROR(VLOOKUP($A624,'13. Updated Demand'!A:Z,20,FALSE)),0,VLOOKUP($A624,'13. Updated Demand'!A:Z,20,FALSE))</f>
        <v>0.01</v>
      </c>
      <c r="AD624" s="16">
        <f>IF(ISERROR(VLOOKUP($A624,'13. Updated Demand'!A:Z,21,FALSE)),0,VLOOKUP($A624,'13. Updated Demand'!A:Z,21,FALSE))</f>
        <v>3.6825E-3</v>
      </c>
      <c r="AE624" s="16">
        <f>IF(ISERROR(VLOOKUP($A624,'13. Updated Demand'!A:Z,22,FALSE)),0,VLOOKUP($A624,'13. Updated Demand'!A:Z,22,FALSE))</f>
        <v>9.5134999999999994E-3</v>
      </c>
      <c r="AF624" s="16">
        <f>IF(ISERROR(VLOOKUP($A624,'13. Updated Demand'!A:Z,23,FALSE)),0,VLOOKUP($A624,'13. Updated Demand'!A:Z,23,FALSE))</f>
        <v>6.1380000000000002E-3</v>
      </c>
      <c r="AG624" s="16">
        <f>IF(ISERROR(VLOOKUP($A624,'13. Updated Demand'!A:Z,24,FALSE)),0,VLOOKUP($A624,'13. Updated Demand'!A:Z,24,FALSE))</f>
        <v>5.8310000000000002E-3</v>
      </c>
      <c r="AH624" s="16">
        <f>IF(ISERROR(VLOOKUP($A624,'13. Updated Demand'!A:Z,25,FALSE)),0,VLOOKUP($A624,'13. Updated Demand'!A:Z,25,FALSE))</f>
        <v>0.01</v>
      </c>
      <c r="AI624" s="16">
        <f>IF(ISERROR(VLOOKUP($A624,'13. Updated Demand'!A:Z,26,FALSE)),0,VLOOKUP($A624,'13. Updated Demand'!A:Z,26,FALSE))</f>
        <v>0.01</v>
      </c>
      <c r="AJ624" s="16">
        <f t="shared" si="120"/>
        <v>0.10516499999999999</v>
      </c>
      <c r="AK624" s="19">
        <v>5.1556999999999999E-2</v>
      </c>
      <c r="AL624" s="16">
        <f t="shared" si="118"/>
        <v>1.7100869610580855E-4</v>
      </c>
      <c r="AM624" s="17">
        <v>0.81478499999999987</v>
      </c>
      <c r="AN624" s="19"/>
      <c r="AO624" s="19"/>
      <c r="AP624" s="19">
        <v>0.2</v>
      </c>
      <c r="AQ624" s="19" t="s">
        <v>307</v>
      </c>
      <c r="AR624" s="9" t="s">
        <v>507</v>
      </c>
      <c r="AS624" s="12">
        <v>3.4039024194010059E-4</v>
      </c>
      <c r="AT624" s="19">
        <v>38.614222550000001</v>
      </c>
      <c r="AU624" s="19">
        <v>-122.8309031</v>
      </c>
      <c r="AV624" s="19" t="s">
        <v>387</v>
      </c>
    </row>
    <row r="625" spans="1:48" x14ac:dyDescent="0.25">
      <c r="A625" s="18" t="s">
        <v>1010</v>
      </c>
      <c r="B625" s="10">
        <v>19760721</v>
      </c>
      <c r="C625" s="9">
        <v>9</v>
      </c>
      <c r="D625" s="8" t="str">
        <f t="shared" si="109"/>
        <v>N</v>
      </c>
      <c r="E625" s="8" t="str">
        <f t="shared" si="110"/>
        <v>Y</v>
      </c>
      <c r="F625" s="8" t="str">
        <f t="shared" si="111"/>
        <v>Y</v>
      </c>
      <c r="G625" s="8" t="str">
        <f t="shared" si="112"/>
        <v>Y</v>
      </c>
      <c r="H625" s="8" t="str">
        <f t="shared" si="113"/>
        <v>Upper</v>
      </c>
      <c r="I625" s="8" t="str">
        <f t="shared" si="114"/>
        <v>West Fork and Below Lake</v>
      </c>
      <c r="J625" s="8" t="str">
        <f t="shared" si="115"/>
        <v>Sonoma (d/s of Clov. Gage)</v>
      </c>
      <c r="K625" s="8" t="str">
        <f t="shared" si="116"/>
        <v>Post-1949</v>
      </c>
      <c r="L625" s="8">
        <f t="shared" si="117"/>
        <v>1976</v>
      </c>
      <c r="M625" s="8" t="str">
        <f t="shared" si="119"/>
        <v>1971-1990</v>
      </c>
      <c r="N625" s="10" t="s">
        <v>241</v>
      </c>
      <c r="O625" s="10" t="s">
        <v>241</v>
      </c>
      <c r="P625" s="10" t="s">
        <v>242</v>
      </c>
      <c r="Q625" s="10" t="s">
        <v>242</v>
      </c>
      <c r="R625" s="10" t="s">
        <v>241</v>
      </c>
      <c r="S625" s="10" t="s">
        <v>242</v>
      </c>
      <c r="T625" s="10" t="s">
        <v>242</v>
      </c>
      <c r="U625" s="10" t="s">
        <v>242</v>
      </c>
      <c r="V625" s="10" t="s">
        <v>242</v>
      </c>
      <c r="W625" s="10" t="s">
        <v>242</v>
      </c>
      <c r="X625" s="15">
        <f>IF(ISERROR(VLOOKUP($A625,'13. Updated Demand'!A:Z,15,FALSE)),0,VLOOKUP($A625,'13. Updated Demand'!A:Z,15,FALSE))</f>
        <v>0.01</v>
      </c>
      <c r="Y625" s="16">
        <f>IF(ISERROR(VLOOKUP($A625,'13. Updated Demand'!A:Z,16,FALSE)),0,VLOOKUP($A625,'13. Updated Demand'!A:Z,16,FALSE))</f>
        <v>0.01</v>
      </c>
      <c r="Z625" s="16">
        <f>IF(ISERROR(VLOOKUP($A625,'13. Updated Demand'!A:Z,17,FALSE)),0,VLOOKUP($A625,'13. Updated Demand'!A:Z,17,FALSE))</f>
        <v>0.01</v>
      </c>
      <c r="AA625" s="16">
        <f>IF(ISERROR(VLOOKUP($A625,'13. Updated Demand'!A:Z,18,FALSE)),0,VLOOKUP($A625,'13. Updated Demand'!A:Z,18,FALSE))</f>
        <v>0.01</v>
      </c>
      <c r="AB625" s="16">
        <f>IF(ISERROR(VLOOKUP($A625,'13. Updated Demand'!A:Z,19,FALSE)),0,VLOOKUP($A625,'13. Updated Demand'!A:Z,19,FALSE))</f>
        <v>0.01</v>
      </c>
      <c r="AC625" s="16">
        <f>IF(ISERROR(VLOOKUP($A625,'13. Updated Demand'!A:Z,20,FALSE)),0,VLOOKUP($A625,'13. Updated Demand'!A:Z,20,FALSE))</f>
        <v>0.02</v>
      </c>
      <c r="AD625" s="16">
        <f>IF(ISERROR(VLOOKUP($A625,'13. Updated Demand'!A:Z,21,FALSE)),0,VLOOKUP($A625,'13. Updated Demand'!A:Z,21,FALSE))</f>
        <v>0.02</v>
      </c>
      <c r="AE625" s="16">
        <f>IF(ISERROR(VLOOKUP($A625,'13. Updated Demand'!A:Z,22,FALSE)),0,VLOOKUP($A625,'13. Updated Demand'!A:Z,22,FALSE))</f>
        <v>0.02</v>
      </c>
      <c r="AF625" s="16">
        <f>IF(ISERROR(VLOOKUP($A625,'13. Updated Demand'!A:Z,23,FALSE)),0,VLOOKUP($A625,'13. Updated Demand'!A:Z,23,FALSE))</f>
        <v>0.02</v>
      </c>
      <c r="AG625" s="16">
        <f>IF(ISERROR(VLOOKUP($A625,'13. Updated Demand'!A:Z,24,FALSE)),0,VLOOKUP($A625,'13. Updated Demand'!A:Z,24,FALSE))</f>
        <v>0.02</v>
      </c>
      <c r="AH625" s="16">
        <f>IF(ISERROR(VLOOKUP($A625,'13. Updated Demand'!A:Z,25,FALSE)),0,VLOOKUP($A625,'13. Updated Demand'!A:Z,25,FALSE))</f>
        <v>0.01</v>
      </c>
      <c r="AI625" s="16">
        <f>IF(ISERROR(VLOOKUP($A625,'13. Updated Demand'!A:Z,26,FALSE)),0,VLOOKUP($A625,'13. Updated Demand'!A:Z,26,FALSE))</f>
        <v>0.01</v>
      </c>
      <c r="AJ625" s="16">
        <f t="shared" si="120"/>
        <v>0.17</v>
      </c>
      <c r="AK625" s="19">
        <v>9.8000000000000004E-2</v>
      </c>
      <c r="AL625" s="16">
        <f t="shared" si="118"/>
        <v>3.2505483675095988E-4</v>
      </c>
      <c r="AM625" s="17">
        <v>0.65666666666666662</v>
      </c>
      <c r="AN625" s="19"/>
      <c r="AO625" s="19"/>
      <c r="AP625" s="19">
        <v>0.3</v>
      </c>
      <c r="AQ625" s="19" t="s">
        <v>307</v>
      </c>
      <c r="AR625" s="9" t="s">
        <v>354</v>
      </c>
      <c r="AS625" s="12">
        <v>3.4039024194010059E-4</v>
      </c>
      <c r="AT625" s="19">
        <v>38.78954418</v>
      </c>
      <c r="AU625" s="19">
        <v>-122.99013809</v>
      </c>
      <c r="AV625" s="19" t="s">
        <v>548</v>
      </c>
    </row>
    <row r="626" spans="1:48" x14ac:dyDescent="0.25">
      <c r="A626" s="18" t="s">
        <v>1011</v>
      </c>
      <c r="B626" s="10">
        <v>19760804</v>
      </c>
      <c r="C626" s="9">
        <v>4</v>
      </c>
      <c r="D626" s="8" t="str">
        <f t="shared" si="109"/>
        <v>Y</v>
      </c>
      <c r="E626" s="8" t="str">
        <f t="shared" si="110"/>
        <v>N</v>
      </c>
      <c r="F626" s="8" t="str">
        <f t="shared" si="111"/>
        <v>Y</v>
      </c>
      <c r="G626" s="8" t="str">
        <f t="shared" si="112"/>
        <v>Y</v>
      </c>
      <c r="H626" s="8" t="str">
        <f t="shared" si="113"/>
        <v>Upper</v>
      </c>
      <c r="I626" s="8" t="str">
        <f t="shared" si="114"/>
        <v>West Fork and Below Lake</v>
      </c>
      <c r="J626" s="8" t="str">
        <f t="shared" si="115"/>
        <v>Mendocino (d/s of lake)</v>
      </c>
      <c r="K626" s="8" t="str">
        <f t="shared" si="116"/>
        <v>Post-1949</v>
      </c>
      <c r="L626" s="8">
        <f t="shared" si="117"/>
        <v>1976</v>
      </c>
      <c r="M626" s="8" t="str">
        <f t="shared" si="119"/>
        <v>1971-1990</v>
      </c>
      <c r="N626" s="10" t="s">
        <v>242</v>
      </c>
      <c r="O626" s="10" t="s">
        <v>241</v>
      </c>
      <c r="P626" s="10" t="s">
        <v>242</v>
      </c>
      <c r="Q626" s="10" t="s">
        <v>242</v>
      </c>
      <c r="R626" s="10" t="s">
        <v>241</v>
      </c>
      <c r="S626" s="10" t="s">
        <v>242</v>
      </c>
      <c r="T626" s="10" t="s">
        <v>242</v>
      </c>
      <c r="U626" s="10" t="s">
        <v>242</v>
      </c>
      <c r="V626" s="10" t="s">
        <v>242</v>
      </c>
      <c r="W626" s="10" t="s">
        <v>242</v>
      </c>
      <c r="X626" s="15">
        <f>IF(ISERROR(VLOOKUP($A626,'13. Updated Demand'!A:Z,15,FALSE)),0,VLOOKUP($A626,'13. Updated Demand'!A:Z,15,FALSE))</f>
        <v>1.69</v>
      </c>
      <c r="Y626" s="16">
        <f>IF(ISERROR(VLOOKUP($A626,'13. Updated Demand'!A:Z,16,FALSE)),0,VLOOKUP($A626,'13. Updated Demand'!A:Z,16,FALSE))</f>
        <v>1.58</v>
      </c>
      <c r="Z626" s="16">
        <f>IF(ISERROR(VLOOKUP($A626,'13. Updated Demand'!A:Z,17,FALSE)),0,VLOOKUP($A626,'13. Updated Demand'!A:Z,17,FALSE))</f>
        <v>1.1200000000000001</v>
      </c>
      <c r="AA626" s="16">
        <f>IF(ISERROR(VLOOKUP($A626,'13. Updated Demand'!A:Z,18,FALSE)),0,VLOOKUP($A626,'13. Updated Demand'!A:Z,18,FALSE))</f>
        <v>0.04</v>
      </c>
      <c r="AB626" s="16">
        <f>IF(ISERROR(VLOOKUP($A626,'13. Updated Demand'!A:Z,19,FALSE)),0,VLOOKUP($A626,'13. Updated Demand'!A:Z,19,FALSE))</f>
        <v>3.333333E-3</v>
      </c>
      <c r="AC626" s="16">
        <f>IF(ISERROR(VLOOKUP($A626,'13. Updated Demand'!A:Z,20,FALSE)),0,VLOOKUP($A626,'13. Updated Demand'!A:Z,20,FALSE))</f>
        <v>3.333333E-3</v>
      </c>
      <c r="AD626" s="16">
        <f>IF(ISERROR(VLOOKUP($A626,'13. Updated Demand'!A:Z,21,FALSE)),0,VLOOKUP($A626,'13. Updated Demand'!A:Z,21,FALSE))</f>
        <v>3.333333E-3</v>
      </c>
      <c r="AE626" s="16">
        <f>IF(ISERROR(VLOOKUP($A626,'13. Updated Demand'!A:Z,22,FALSE)),0,VLOOKUP($A626,'13. Updated Demand'!A:Z,22,FALSE))</f>
        <v>0</v>
      </c>
      <c r="AF626" s="16">
        <f>IF(ISERROR(VLOOKUP($A626,'13. Updated Demand'!A:Z,23,FALSE)),0,VLOOKUP($A626,'13. Updated Demand'!A:Z,23,FALSE))</f>
        <v>3.333333E-3</v>
      </c>
      <c r="AG626" s="16">
        <f>IF(ISERROR(VLOOKUP($A626,'13. Updated Demand'!A:Z,24,FALSE)),0,VLOOKUP($A626,'13. Updated Demand'!A:Z,24,FALSE))</f>
        <v>0</v>
      </c>
      <c r="AH626" s="16">
        <f>IF(ISERROR(VLOOKUP($A626,'13. Updated Demand'!A:Z,25,FALSE)),0,VLOOKUP($A626,'13. Updated Demand'!A:Z,25,FALSE))</f>
        <v>0.1</v>
      </c>
      <c r="AI626" s="16">
        <f>IF(ISERROR(VLOOKUP($A626,'13. Updated Demand'!A:Z,26,FALSE)),0,VLOOKUP($A626,'13. Updated Demand'!A:Z,26,FALSE))</f>
        <v>3.333333E-3</v>
      </c>
      <c r="AJ626" s="16">
        <f t="shared" si="120"/>
        <v>4.5466666649999983</v>
      </c>
      <c r="AK626" s="19">
        <v>1.3333332E-2</v>
      </c>
      <c r="AL626" s="16">
        <f t="shared" si="118"/>
        <v>4.4225143434758663E-5</v>
      </c>
      <c r="AM626" s="17">
        <v>0.40744047607142841</v>
      </c>
      <c r="AN626" s="19"/>
      <c r="AO626" s="19"/>
      <c r="AP626" s="19">
        <v>11.2</v>
      </c>
      <c r="AQ626" s="19" t="s">
        <v>307</v>
      </c>
      <c r="AR626" s="9" t="s">
        <v>331</v>
      </c>
      <c r="AS626" s="12">
        <v>0</v>
      </c>
      <c r="AT626" s="19">
        <v>39.127933259999999</v>
      </c>
      <c r="AU626" s="19">
        <v>-123.15915342</v>
      </c>
      <c r="AV626" s="19" t="s">
        <v>417</v>
      </c>
    </row>
    <row r="627" spans="1:48" x14ac:dyDescent="0.25">
      <c r="A627" s="18" t="s">
        <v>1012</v>
      </c>
      <c r="B627" s="10">
        <v>19760827</v>
      </c>
      <c r="C627" s="9">
        <v>21</v>
      </c>
      <c r="D627" s="8" t="str">
        <f t="shared" si="109"/>
        <v>N</v>
      </c>
      <c r="E627" s="8" t="str">
        <f t="shared" si="110"/>
        <v>N</v>
      </c>
      <c r="F627" s="8" t="str">
        <f t="shared" si="111"/>
        <v>N</v>
      </c>
      <c r="G627" s="8" t="str">
        <f t="shared" si="112"/>
        <v>N</v>
      </c>
      <c r="H627" s="8" t="str">
        <f t="shared" si="113"/>
        <v>Lower</v>
      </c>
      <c r="I627" s="8" t="str">
        <f t="shared" si="114"/>
        <v>Outside</v>
      </c>
      <c r="J627" s="8" t="str">
        <f t="shared" si="115"/>
        <v>Outside</v>
      </c>
      <c r="K627" s="8" t="str">
        <f t="shared" si="116"/>
        <v>Post-1949</v>
      </c>
      <c r="L627" s="8">
        <f t="shared" si="117"/>
        <v>1976</v>
      </c>
      <c r="M627" s="8" t="str">
        <f t="shared" si="119"/>
        <v>1971-1990</v>
      </c>
      <c r="N627" s="10" t="s">
        <v>242</v>
      </c>
      <c r="O627" s="10" t="s">
        <v>242</v>
      </c>
      <c r="P627" s="10" t="s">
        <v>242</v>
      </c>
      <c r="Q627" s="10" t="s">
        <v>242</v>
      </c>
      <c r="R627" s="10" t="s">
        <v>241</v>
      </c>
      <c r="S627" s="10" t="s">
        <v>242</v>
      </c>
      <c r="T627" s="10" t="s">
        <v>242</v>
      </c>
      <c r="U627" s="10" t="s">
        <v>242</v>
      </c>
      <c r="V627" s="10" t="s">
        <v>241</v>
      </c>
      <c r="W627" s="10" t="s">
        <v>242</v>
      </c>
      <c r="X627" s="15">
        <f>IF(ISERROR(VLOOKUP($A627,'13. Updated Demand'!A:Z,15,FALSE)),0,VLOOKUP($A627,'13. Updated Demand'!A:Z,15,FALSE))</f>
        <v>3</v>
      </c>
      <c r="Y627" s="16">
        <f>IF(ISERROR(VLOOKUP($A627,'13. Updated Demand'!A:Z,16,FALSE)),0,VLOOKUP($A627,'13. Updated Demand'!A:Z,16,FALSE))</f>
        <v>3</v>
      </c>
      <c r="Z627" s="16">
        <f>IF(ISERROR(VLOOKUP($A627,'13. Updated Demand'!A:Z,17,FALSE)),0,VLOOKUP($A627,'13. Updated Demand'!A:Z,17,FALSE))</f>
        <v>3</v>
      </c>
      <c r="AA627" s="16">
        <f>IF(ISERROR(VLOOKUP($A627,'13. Updated Demand'!A:Z,18,FALSE)),0,VLOOKUP($A627,'13. Updated Demand'!A:Z,18,FALSE))</f>
        <v>3</v>
      </c>
      <c r="AB627" s="16">
        <f>IF(ISERROR(VLOOKUP($A627,'13. Updated Demand'!A:Z,19,FALSE)),0,VLOOKUP($A627,'13. Updated Demand'!A:Z,19,FALSE))</f>
        <v>0</v>
      </c>
      <c r="AC627" s="16">
        <f>IF(ISERROR(VLOOKUP($A627,'13. Updated Demand'!A:Z,20,FALSE)),0,VLOOKUP($A627,'13. Updated Demand'!A:Z,20,FALSE))</f>
        <v>0</v>
      </c>
      <c r="AD627" s="16">
        <f>IF(ISERROR(VLOOKUP($A627,'13. Updated Demand'!A:Z,21,FALSE)),0,VLOOKUP($A627,'13. Updated Demand'!A:Z,21,FALSE))</f>
        <v>0</v>
      </c>
      <c r="AE627" s="16">
        <f>IF(ISERROR(VLOOKUP($A627,'13. Updated Demand'!A:Z,22,FALSE)),0,VLOOKUP($A627,'13. Updated Demand'!A:Z,22,FALSE))</f>
        <v>0</v>
      </c>
      <c r="AF627" s="16">
        <f>IF(ISERROR(VLOOKUP($A627,'13. Updated Demand'!A:Z,23,FALSE)),0,VLOOKUP($A627,'13. Updated Demand'!A:Z,23,FALSE))</f>
        <v>0</v>
      </c>
      <c r="AG627" s="16">
        <f>IF(ISERROR(VLOOKUP($A627,'13. Updated Demand'!A:Z,24,FALSE)),0,VLOOKUP($A627,'13. Updated Demand'!A:Z,24,FALSE))</f>
        <v>0</v>
      </c>
      <c r="AH627" s="16">
        <f>IF(ISERROR(VLOOKUP($A627,'13. Updated Demand'!A:Z,25,FALSE)),0,VLOOKUP($A627,'13. Updated Demand'!A:Z,25,FALSE))</f>
        <v>2</v>
      </c>
      <c r="AI627" s="16">
        <f>IF(ISERROR(VLOOKUP($A627,'13. Updated Demand'!A:Z,26,FALSE)),0,VLOOKUP($A627,'13. Updated Demand'!A:Z,26,FALSE))</f>
        <v>2</v>
      </c>
      <c r="AJ627" s="16">
        <f t="shared" si="120"/>
        <v>16</v>
      </c>
      <c r="AK627" s="19">
        <v>0</v>
      </c>
      <c r="AL627" s="16">
        <f t="shared" si="118"/>
        <v>0</v>
      </c>
      <c r="AM627" s="17">
        <v>0.88888888888888884</v>
      </c>
      <c r="AN627" s="19"/>
      <c r="AO627" s="19"/>
      <c r="AP627" s="19">
        <v>18</v>
      </c>
      <c r="AQ627" s="19" t="s">
        <v>307</v>
      </c>
      <c r="AR627" s="9" t="s">
        <v>403</v>
      </c>
      <c r="AS627" s="12">
        <v>0</v>
      </c>
      <c r="AT627" s="19">
        <v>38.424728049999999</v>
      </c>
      <c r="AU627" s="19">
        <v>-122.94110603</v>
      </c>
      <c r="AV627" s="19" t="s">
        <v>1013</v>
      </c>
    </row>
    <row r="628" spans="1:48" x14ac:dyDescent="0.25">
      <c r="A628" s="18" t="s">
        <v>1014</v>
      </c>
      <c r="B628" s="10">
        <v>19760921</v>
      </c>
      <c r="C628" s="9">
        <v>10</v>
      </c>
      <c r="D628" s="8" t="str">
        <f t="shared" si="109"/>
        <v>N</v>
      </c>
      <c r="E628" s="8" t="str">
        <f t="shared" si="110"/>
        <v>Y</v>
      </c>
      <c r="F628" s="8" t="str">
        <f t="shared" si="111"/>
        <v>Y</v>
      </c>
      <c r="G628" s="8" t="str">
        <f t="shared" si="112"/>
        <v>Y</v>
      </c>
      <c r="H628" s="8" t="str">
        <f t="shared" si="113"/>
        <v>Upper</v>
      </c>
      <c r="I628" s="8" t="str">
        <f t="shared" si="114"/>
        <v>West Fork and Below Lake</v>
      </c>
      <c r="J628" s="8" t="str">
        <f t="shared" si="115"/>
        <v>Sonoma (d/s of Clov. Gage)</v>
      </c>
      <c r="K628" s="8" t="str">
        <f t="shared" si="116"/>
        <v>Post-1949</v>
      </c>
      <c r="L628" s="8">
        <f t="shared" si="117"/>
        <v>1976</v>
      </c>
      <c r="M628" s="8" t="str">
        <f t="shared" si="119"/>
        <v>1971-1990</v>
      </c>
      <c r="N628" s="10" t="s">
        <v>241</v>
      </c>
      <c r="O628" s="10" t="s">
        <v>241</v>
      </c>
      <c r="P628" s="10" t="s">
        <v>242</v>
      </c>
      <c r="Q628" s="10" t="s">
        <v>242</v>
      </c>
      <c r="R628" s="10" t="s">
        <v>241</v>
      </c>
      <c r="S628" s="10" t="s">
        <v>242</v>
      </c>
      <c r="T628" s="10" t="s">
        <v>242</v>
      </c>
      <c r="U628" s="10" t="s">
        <v>242</v>
      </c>
      <c r="V628" s="10" t="s">
        <v>242</v>
      </c>
      <c r="W628" s="10" t="s">
        <v>242</v>
      </c>
      <c r="X628" s="15">
        <f>IF(ISERROR(VLOOKUP($A628,'13. Updated Demand'!A:Z,15,FALSE)),0,VLOOKUP($A628,'13. Updated Demand'!A:Z,15,FALSE))</f>
        <v>0</v>
      </c>
      <c r="Y628" s="16">
        <f>IF(ISERROR(VLOOKUP($A628,'13. Updated Demand'!A:Z,16,FALSE)),0,VLOOKUP($A628,'13. Updated Demand'!A:Z,16,FALSE))</f>
        <v>0</v>
      </c>
      <c r="Z628" s="16">
        <f>IF(ISERROR(VLOOKUP($A628,'13. Updated Demand'!A:Z,17,FALSE)),0,VLOOKUP($A628,'13. Updated Demand'!A:Z,17,FALSE))</f>
        <v>0</v>
      </c>
      <c r="AA628" s="16">
        <f>IF(ISERROR(VLOOKUP($A628,'13. Updated Demand'!A:Z,18,FALSE)),0,VLOOKUP($A628,'13. Updated Demand'!A:Z,18,FALSE))</f>
        <v>0</v>
      </c>
      <c r="AB628" s="16">
        <f>IF(ISERROR(VLOOKUP($A628,'13. Updated Demand'!A:Z,19,FALSE)),0,VLOOKUP($A628,'13. Updated Demand'!A:Z,19,FALSE))</f>
        <v>0.78</v>
      </c>
      <c r="AC628" s="16">
        <f>IF(ISERROR(VLOOKUP($A628,'13. Updated Demand'!A:Z,20,FALSE)),0,VLOOKUP($A628,'13. Updated Demand'!A:Z,20,FALSE))</f>
        <v>3.18</v>
      </c>
      <c r="AD628" s="16">
        <f>IF(ISERROR(VLOOKUP($A628,'13. Updated Demand'!A:Z,21,FALSE)),0,VLOOKUP($A628,'13. Updated Demand'!A:Z,21,FALSE))</f>
        <v>7.05</v>
      </c>
      <c r="AE628" s="16">
        <f>IF(ISERROR(VLOOKUP($A628,'13. Updated Demand'!A:Z,22,FALSE)),0,VLOOKUP($A628,'13. Updated Demand'!A:Z,22,FALSE))</f>
        <v>8.7799999999999994</v>
      </c>
      <c r="AF628" s="16">
        <f>IF(ISERROR(VLOOKUP($A628,'13. Updated Demand'!A:Z,23,FALSE)),0,VLOOKUP($A628,'13. Updated Demand'!A:Z,23,FALSE))</f>
        <v>0</v>
      </c>
      <c r="AG628" s="16">
        <f>IF(ISERROR(VLOOKUP($A628,'13. Updated Demand'!A:Z,24,FALSE)),0,VLOOKUP($A628,'13. Updated Demand'!A:Z,24,FALSE))</f>
        <v>0</v>
      </c>
      <c r="AH628" s="16">
        <f>IF(ISERROR(VLOOKUP($A628,'13. Updated Demand'!A:Z,25,FALSE)),0,VLOOKUP($A628,'13. Updated Demand'!A:Z,25,FALSE))</f>
        <v>0</v>
      </c>
      <c r="AI628" s="16">
        <f>IF(ISERROR(VLOOKUP($A628,'13. Updated Demand'!A:Z,26,FALSE)),0,VLOOKUP($A628,'13. Updated Demand'!A:Z,26,FALSE))</f>
        <v>0</v>
      </c>
      <c r="AJ628" s="16">
        <f t="shared" si="120"/>
        <v>19.79</v>
      </c>
      <c r="AK628" s="19">
        <v>19.806666666666668</v>
      </c>
      <c r="AL628" s="16">
        <f t="shared" si="118"/>
        <v>6.5696457141979719E-2</v>
      </c>
      <c r="AM628" s="17">
        <v>0.1125378787878788</v>
      </c>
      <c r="AN628" s="19"/>
      <c r="AO628" s="19"/>
      <c r="AP628" s="19">
        <v>176</v>
      </c>
      <c r="AQ628" s="19" t="s">
        <v>307</v>
      </c>
      <c r="AR628" s="9" t="s">
        <v>436</v>
      </c>
      <c r="AS628" s="12">
        <v>0</v>
      </c>
      <c r="AT628" s="19">
        <v>38.679060270000001</v>
      </c>
      <c r="AU628" s="19">
        <v>-122.84600253000001</v>
      </c>
      <c r="AV628" s="19" t="s">
        <v>548</v>
      </c>
    </row>
    <row r="629" spans="1:48" x14ac:dyDescent="0.25">
      <c r="A629" s="18" t="s">
        <v>1015</v>
      </c>
      <c r="B629" s="10">
        <v>19760921</v>
      </c>
      <c r="C629" s="9">
        <v>9</v>
      </c>
      <c r="D629" s="8" t="str">
        <f t="shared" si="109"/>
        <v>N</v>
      </c>
      <c r="E629" s="8" t="str">
        <f t="shared" si="110"/>
        <v>Y</v>
      </c>
      <c r="F629" s="8" t="str">
        <f t="shared" si="111"/>
        <v>Y</v>
      </c>
      <c r="G629" s="8" t="str">
        <f t="shared" si="112"/>
        <v>Y</v>
      </c>
      <c r="H629" s="8" t="str">
        <f t="shared" si="113"/>
        <v>Upper</v>
      </c>
      <c r="I629" s="8" t="str">
        <f t="shared" si="114"/>
        <v>West Fork and Below Lake</v>
      </c>
      <c r="J629" s="8" t="str">
        <f t="shared" si="115"/>
        <v>Sonoma (d/s of Clov. Gage)</v>
      </c>
      <c r="K629" s="8" t="str">
        <f t="shared" si="116"/>
        <v>Post-1949</v>
      </c>
      <c r="L629" s="8">
        <f t="shared" si="117"/>
        <v>1976</v>
      </c>
      <c r="M629" s="8" t="str">
        <f t="shared" si="119"/>
        <v>1971-1990</v>
      </c>
      <c r="N629" s="10" t="s">
        <v>241</v>
      </c>
      <c r="O629" s="10" t="s">
        <v>241</v>
      </c>
      <c r="P629" s="10" t="s">
        <v>242</v>
      </c>
      <c r="Q629" s="10" t="s">
        <v>242</v>
      </c>
      <c r="R629" s="10" t="s">
        <v>241</v>
      </c>
      <c r="S629" s="10" t="s">
        <v>242</v>
      </c>
      <c r="T629" s="10" t="s">
        <v>242</v>
      </c>
      <c r="U629" s="10" t="s">
        <v>242</v>
      </c>
      <c r="V629" s="10" t="s">
        <v>242</v>
      </c>
      <c r="W629" s="10" t="s">
        <v>242</v>
      </c>
      <c r="X629" s="15">
        <f>IF(ISERROR(VLOOKUP($A629,'13. Updated Demand'!A:Z,15,FALSE)),0,VLOOKUP($A629,'13. Updated Demand'!A:Z,15,FALSE))</f>
        <v>0.04</v>
      </c>
      <c r="Y629" s="16">
        <f>IF(ISERROR(VLOOKUP($A629,'13. Updated Demand'!A:Z,16,FALSE)),0,VLOOKUP($A629,'13. Updated Demand'!A:Z,16,FALSE))</f>
        <v>0.04</v>
      </c>
      <c r="Z629" s="16">
        <f>IF(ISERROR(VLOOKUP($A629,'13. Updated Demand'!A:Z,17,FALSE)),0,VLOOKUP($A629,'13. Updated Demand'!A:Z,17,FALSE))</f>
        <v>0.04</v>
      </c>
      <c r="AA629" s="16">
        <f>IF(ISERROR(VLOOKUP($A629,'13. Updated Demand'!A:Z,18,FALSE)),0,VLOOKUP($A629,'13. Updated Demand'!A:Z,18,FALSE))</f>
        <v>0.04</v>
      </c>
      <c r="AB629" s="16">
        <f>IF(ISERROR(VLOOKUP($A629,'13. Updated Demand'!A:Z,19,FALSE)),0,VLOOKUP($A629,'13. Updated Demand'!A:Z,19,FALSE))</f>
        <v>0.05</v>
      </c>
      <c r="AC629" s="16">
        <f>IF(ISERROR(VLOOKUP($A629,'13. Updated Demand'!A:Z,20,FALSE)),0,VLOOKUP($A629,'13. Updated Demand'!A:Z,20,FALSE))</f>
        <v>0.05</v>
      </c>
      <c r="AD629" s="16">
        <f>IF(ISERROR(VLOOKUP($A629,'13. Updated Demand'!A:Z,21,FALSE)),0,VLOOKUP($A629,'13. Updated Demand'!A:Z,21,FALSE))</f>
        <v>0.05</v>
      </c>
      <c r="AE629" s="16">
        <f>IF(ISERROR(VLOOKUP($A629,'13. Updated Demand'!A:Z,22,FALSE)),0,VLOOKUP($A629,'13. Updated Demand'!A:Z,22,FALSE))</f>
        <v>0.05</v>
      </c>
      <c r="AF629" s="16">
        <f>IF(ISERROR(VLOOKUP($A629,'13. Updated Demand'!A:Z,23,FALSE)),0,VLOOKUP($A629,'13. Updated Demand'!A:Z,23,FALSE))</f>
        <v>0.05</v>
      </c>
      <c r="AG629" s="16">
        <f>IF(ISERROR(VLOOKUP($A629,'13. Updated Demand'!A:Z,24,FALSE)),0,VLOOKUP($A629,'13. Updated Demand'!A:Z,24,FALSE))</f>
        <v>0.04</v>
      </c>
      <c r="AH629" s="16">
        <f>IF(ISERROR(VLOOKUP($A629,'13. Updated Demand'!A:Z,25,FALSE)),0,VLOOKUP($A629,'13. Updated Demand'!A:Z,25,FALSE))</f>
        <v>0.04</v>
      </c>
      <c r="AI629" s="16">
        <f>IF(ISERROR(VLOOKUP($A629,'13. Updated Demand'!A:Z,26,FALSE)),0,VLOOKUP($A629,'13. Updated Demand'!A:Z,26,FALSE))</f>
        <v>0.04</v>
      </c>
      <c r="AJ629" s="16">
        <f t="shared" si="120"/>
        <v>0.52999999999999992</v>
      </c>
      <c r="AK629" s="19">
        <v>0.2666666666666665</v>
      </c>
      <c r="AL629" s="16">
        <f t="shared" si="118"/>
        <v>8.8450295714546858E-4</v>
      </c>
      <c r="AM629" s="17">
        <v>0.44615384615384612</v>
      </c>
      <c r="AN629" s="19"/>
      <c r="AO629" s="19"/>
      <c r="AP629" s="19">
        <v>1.3</v>
      </c>
      <c r="AQ629" s="19" t="s">
        <v>307</v>
      </c>
      <c r="AR629" s="9" t="s">
        <v>354</v>
      </c>
      <c r="AS629" s="12">
        <v>3.4039024194010059E-4</v>
      </c>
      <c r="AT629" s="19">
        <v>38.830025470000002</v>
      </c>
      <c r="AU629" s="19">
        <v>-123.00860573999999</v>
      </c>
      <c r="AV629" s="19" t="s">
        <v>548</v>
      </c>
    </row>
    <row r="630" spans="1:48" x14ac:dyDescent="0.25">
      <c r="A630" s="18" t="s">
        <v>1016</v>
      </c>
      <c r="B630" s="10">
        <v>19761207</v>
      </c>
      <c r="C630" s="9">
        <v>13</v>
      </c>
      <c r="D630" s="8" t="str">
        <f t="shared" si="109"/>
        <v>N</v>
      </c>
      <c r="E630" s="8" t="str">
        <f t="shared" si="110"/>
        <v>Y</v>
      </c>
      <c r="F630" s="8" t="str">
        <f t="shared" si="111"/>
        <v>Y</v>
      </c>
      <c r="G630" s="8" t="str">
        <f t="shared" si="112"/>
        <v>Y</v>
      </c>
      <c r="H630" s="8" t="str">
        <f t="shared" si="113"/>
        <v>Upper</v>
      </c>
      <c r="I630" s="8" t="str">
        <f t="shared" si="114"/>
        <v>West Fork and Below Lake</v>
      </c>
      <c r="J630" s="8" t="str">
        <f t="shared" si="115"/>
        <v>Sonoma (d/s of Clov. Gage)</v>
      </c>
      <c r="K630" s="8" t="str">
        <f t="shared" si="116"/>
        <v>Post-1949</v>
      </c>
      <c r="L630" s="8">
        <f t="shared" si="117"/>
        <v>1976</v>
      </c>
      <c r="M630" s="8" t="str">
        <f t="shared" si="119"/>
        <v>1971-1990</v>
      </c>
      <c r="N630" s="10" t="s">
        <v>241</v>
      </c>
      <c r="O630" s="10" t="s">
        <v>241</v>
      </c>
      <c r="P630" s="10" t="s">
        <v>242</v>
      </c>
      <c r="Q630" s="10" t="s">
        <v>242</v>
      </c>
      <c r="R630" s="10" t="s">
        <v>241</v>
      </c>
      <c r="S630" s="10" t="s">
        <v>242</v>
      </c>
      <c r="T630" s="10" t="s">
        <v>242</v>
      </c>
      <c r="U630" s="10" t="s">
        <v>242</v>
      </c>
      <c r="V630" s="10" t="s">
        <v>242</v>
      </c>
      <c r="W630" s="10" t="s">
        <v>242</v>
      </c>
      <c r="X630" s="15">
        <f>IF(ISERROR(VLOOKUP($A630,'13. Updated Demand'!A:Z,15,FALSE)),0,VLOOKUP($A630,'13. Updated Demand'!A:Z,15,FALSE))</f>
        <v>3.8E-3</v>
      </c>
      <c r="Y630" s="16">
        <f>IF(ISERROR(VLOOKUP($A630,'13. Updated Demand'!A:Z,16,FALSE)),0,VLOOKUP($A630,'13. Updated Demand'!A:Z,16,FALSE))</f>
        <v>3.8E-3</v>
      </c>
      <c r="Z630" s="16">
        <f>IF(ISERROR(VLOOKUP($A630,'13. Updated Demand'!A:Z,17,FALSE)),0,VLOOKUP($A630,'13. Updated Demand'!A:Z,17,FALSE))</f>
        <v>3.8E-3</v>
      </c>
      <c r="AA630" s="16">
        <f>IF(ISERROR(VLOOKUP($A630,'13. Updated Demand'!A:Z,18,FALSE)),0,VLOOKUP($A630,'13. Updated Demand'!A:Z,18,FALSE))</f>
        <v>5.3333333333333297E-3</v>
      </c>
      <c r="AB630" s="16">
        <f>IF(ISERROR(VLOOKUP($A630,'13. Updated Demand'!A:Z,19,FALSE)),0,VLOOKUP($A630,'13. Updated Demand'!A:Z,19,FALSE))</f>
        <v>8.5566666666666708E-3</v>
      </c>
      <c r="AC630" s="16">
        <f>IF(ISERROR(VLOOKUP($A630,'13. Updated Demand'!A:Z,20,FALSE)),0,VLOOKUP($A630,'13. Updated Demand'!A:Z,20,FALSE))</f>
        <v>0.01</v>
      </c>
      <c r="AD630" s="16">
        <f>IF(ISERROR(VLOOKUP($A630,'13. Updated Demand'!A:Z,21,FALSE)),0,VLOOKUP($A630,'13. Updated Demand'!A:Z,21,FALSE))</f>
        <v>0.01</v>
      </c>
      <c r="AE630" s="16">
        <f>IF(ISERROR(VLOOKUP($A630,'13. Updated Demand'!A:Z,22,FALSE)),0,VLOOKUP($A630,'13. Updated Demand'!A:Z,22,FALSE))</f>
        <v>9.4039999999999992E-3</v>
      </c>
      <c r="AF630" s="16">
        <f>IF(ISERROR(VLOOKUP($A630,'13. Updated Demand'!A:Z,23,FALSE)),0,VLOOKUP($A630,'13. Updated Demand'!A:Z,23,FALSE))</f>
        <v>9.3299999999999998E-3</v>
      </c>
      <c r="AG630" s="16">
        <f>IF(ISERROR(VLOOKUP($A630,'13. Updated Demand'!A:Z,24,FALSE)),0,VLOOKUP($A630,'13. Updated Demand'!A:Z,24,FALSE))</f>
        <v>8.3803333333333299E-3</v>
      </c>
      <c r="AH630" s="16">
        <f>IF(ISERROR(VLOOKUP($A630,'13. Updated Demand'!A:Z,25,FALSE)),0,VLOOKUP($A630,'13. Updated Demand'!A:Z,25,FALSE))</f>
        <v>8.3436666666666694E-3</v>
      </c>
      <c r="AI630" s="16">
        <f>IF(ISERROR(VLOOKUP($A630,'13. Updated Demand'!A:Z,26,FALSE)),0,VLOOKUP($A630,'13. Updated Demand'!A:Z,26,FALSE))</f>
        <v>5.5579999999999996E-3</v>
      </c>
      <c r="AJ630" s="16">
        <f t="shared" si="120"/>
        <v>8.6306000000000008E-2</v>
      </c>
      <c r="AK630" s="19">
        <v>4.8616333333333366E-2</v>
      </c>
      <c r="AL630" s="16">
        <f t="shared" si="118"/>
        <v>1.61254839745887E-4</v>
      </c>
      <c r="AM630" s="17">
        <v>7.3026388888888905E-2</v>
      </c>
      <c r="AN630" s="19"/>
      <c r="AO630" s="19"/>
      <c r="AP630" s="19">
        <v>1.2</v>
      </c>
      <c r="AQ630" s="19" t="s">
        <v>307</v>
      </c>
      <c r="AR630" s="9" t="s">
        <v>507</v>
      </c>
      <c r="AS630" s="12">
        <v>3.4039024194010059E-4</v>
      </c>
      <c r="AT630" s="19">
        <v>38.620141009999998</v>
      </c>
      <c r="AU630" s="19">
        <v>-122.82887186000001</v>
      </c>
      <c r="AV630" s="19" t="s">
        <v>548</v>
      </c>
    </row>
    <row r="631" spans="1:48" x14ac:dyDescent="0.25">
      <c r="A631" s="18" t="s">
        <v>1017</v>
      </c>
      <c r="B631" s="10">
        <v>19760322</v>
      </c>
      <c r="C631" s="9">
        <v>5</v>
      </c>
      <c r="D631" s="8" t="str">
        <f t="shared" si="109"/>
        <v>Y</v>
      </c>
      <c r="E631" s="8" t="str">
        <f t="shared" si="110"/>
        <v>N</v>
      </c>
      <c r="F631" s="8" t="str">
        <f t="shared" si="111"/>
        <v>Y</v>
      </c>
      <c r="G631" s="8" t="str">
        <f t="shared" si="112"/>
        <v>Y</v>
      </c>
      <c r="H631" s="8" t="str">
        <f t="shared" si="113"/>
        <v>Upper</v>
      </c>
      <c r="I631" s="8" t="str">
        <f t="shared" si="114"/>
        <v>West Fork and Below Lake</v>
      </c>
      <c r="J631" s="8" t="str">
        <f t="shared" si="115"/>
        <v>Mendocino (d/s of lake)</v>
      </c>
      <c r="K631" s="8" t="str">
        <f t="shared" si="116"/>
        <v>Post-1949</v>
      </c>
      <c r="L631" s="8">
        <f t="shared" si="117"/>
        <v>1976</v>
      </c>
      <c r="M631" s="8" t="str">
        <f t="shared" si="119"/>
        <v>1971-1990</v>
      </c>
      <c r="N631" s="10" t="s">
        <v>242</v>
      </c>
      <c r="O631" s="10" t="s">
        <v>241</v>
      </c>
      <c r="P631" s="10" t="s">
        <v>242</v>
      </c>
      <c r="Q631" s="10" t="s">
        <v>242</v>
      </c>
      <c r="R631" s="10" t="s">
        <v>241</v>
      </c>
      <c r="S631" s="10" t="s">
        <v>242</v>
      </c>
      <c r="T631" s="10" t="s">
        <v>242</v>
      </c>
      <c r="U631" s="10" t="s">
        <v>241</v>
      </c>
      <c r="V631" s="10" t="s">
        <v>241</v>
      </c>
      <c r="W631" s="10" t="s">
        <v>242</v>
      </c>
      <c r="X631" s="15">
        <f>IF(ISERROR(VLOOKUP($A631,'13. Updated Demand'!A:Z,15,FALSE)),0,VLOOKUP($A631,'13. Updated Demand'!A:Z,15,FALSE))</f>
        <v>0</v>
      </c>
      <c r="Y631" s="16">
        <f>IF(ISERROR(VLOOKUP($A631,'13. Updated Demand'!A:Z,16,FALSE)),0,VLOOKUP($A631,'13. Updated Demand'!A:Z,16,FALSE))</f>
        <v>0</v>
      </c>
      <c r="Z631" s="16">
        <f>IF(ISERROR(VLOOKUP($A631,'13. Updated Demand'!A:Z,17,FALSE)),0,VLOOKUP($A631,'13. Updated Demand'!A:Z,17,FALSE))</f>
        <v>0</v>
      </c>
      <c r="AA631" s="16">
        <f>IF(ISERROR(VLOOKUP($A631,'13. Updated Demand'!A:Z,18,FALSE)),0,VLOOKUP($A631,'13. Updated Demand'!A:Z,18,FALSE))</f>
        <v>0</v>
      </c>
      <c r="AB631" s="16">
        <f>IF(ISERROR(VLOOKUP($A631,'13. Updated Demand'!A:Z,19,FALSE)),0,VLOOKUP($A631,'13. Updated Demand'!A:Z,19,FALSE))</f>
        <v>0</v>
      </c>
      <c r="AC631" s="16">
        <f>IF(ISERROR(VLOOKUP($A631,'13. Updated Demand'!A:Z,20,FALSE)),0,VLOOKUP($A631,'13. Updated Demand'!A:Z,20,FALSE))</f>
        <v>0</v>
      </c>
      <c r="AD631" s="16">
        <f>IF(ISERROR(VLOOKUP($A631,'13. Updated Demand'!A:Z,21,FALSE)),0,VLOOKUP($A631,'13. Updated Demand'!A:Z,21,FALSE))</f>
        <v>0</v>
      </c>
      <c r="AE631" s="16">
        <f>IF(ISERROR(VLOOKUP($A631,'13. Updated Demand'!A:Z,22,FALSE)),0,VLOOKUP($A631,'13. Updated Demand'!A:Z,22,FALSE))</f>
        <v>0</v>
      </c>
      <c r="AF631" s="16">
        <f>IF(ISERROR(VLOOKUP($A631,'13. Updated Demand'!A:Z,23,FALSE)),0,VLOOKUP($A631,'13. Updated Demand'!A:Z,23,FALSE))</f>
        <v>0</v>
      </c>
      <c r="AG631" s="16">
        <f>IF(ISERROR(VLOOKUP($A631,'13. Updated Demand'!A:Z,24,FALSE)),0,VLOOKUP($A631,'13. Updated Demand'!A:Z,24,FALSE))</f>
        <v>0</v>
      </c>
      <c r="AH631" s="16">
        <f>IF(ISERROR(VLOOKUP($A631,'13. Updated Demand'!A:Z,25,FALSE)),0,VLOOKUP($A631,'13. Updated Demand'!A:Z,25,FALSE))</f>
        <v>0</v>
      </c>
      <c r="AI631" s="16">
        <f>IF(ISERROR(VLOOKUP($A631,'13. Updated Demand'!A:Z,26,FALSE)),0,VLOOKUP($A631,'13. Updated Demand'!A:Z,26,FALSE))</f>
        <v>0</v>
      </c>
      <c r="AJ631" s="16">
        <f t="shared" si="120"/>
        <v>0</v>
      </c>
      <c r="AK631" s="19">
        <v>0</v>
      </c>
      <c r="AL631" s="16">
        <f t="shared" si="118"/>
        <v>0</v>
      </c>
      <c r="AM631" s="17">
        <v>0</v>
      </c>
      <c r="AN631" s="19"/>
      <c r="AO631" s="19"/>
      <c r="AP631" s="19">
        <v>0</v>
      </c>
      <c r="AQ631" s="19" t="s">
        <v>307</v>
      </c>
      <c r="AR631" s="9" t="s">
        <v>333</v>
      </c>
      <c r="AS631" s="12">
        <v>0</v>
      </c>
      <c r="AT631" s="19">
        <v>39.086334579999999</v>
      </c>
      <c r="AU631" s="19">
        <v>-123.23916095</v>
      </c>
      <c r="AV631" s="19" t="s">
        <v>417</v>
      </c>
    </row>
    <row r="632" spans="1:48" x14ac:dyDescent="0.25">
      <c r="A632" s="18" t="s">
        <v>1018</v>
      </c>
      <c r="B632" s="10">
        <v>19760322</v>
      </c>
      <c r="C632" s="9">
        <v>5</v>
      </c>
      <c r="D632" s="8" t="str">
        <f t="shared" si="109"/>
        <v>Y</v>
      </c>
      <c r="E632" s="8" t="str">
        <f t="shared" si="110"/>
        <v>N</v>
      </c>
      <c r="F632" s="8" t="str">
        <f t="shared" si="111"/>
        <v>Y</v>
      </c>
      <c r="G632" s="8" t="str">
        <f t="shared" si="112"/>
        <v>Y</v>
      </c>
      <c r="H632" s="8" t="str">
        <f t="shared" si="113"/>
        <v>Upper</v>
      </c>
      <c r="I632" s="8" t="str">
        <f t="shared" si="114"/>
        <v>West Fork and Below Lake</v>
      </c>
      <c r="J632" s="8" t="str">
        <f t="shared" si="115"/>
        <v>Mendocino (d/s of lake)</v>
      </c>
      <c r="K632" s="8" t="str">
        <f t="shared" si="116"/>
        <v>Post-1949</v>
      </c>
      <c r="L632" s="8">
        <f t="shared" si="117"/>
        <v>1976</v>
      </c>
      <c r="M632" s="8" t="str">
        <f t="shared" si="119"/>
        <v>1971-1990</v>
      </c>
      <c r="N632" s="10" t="s">
        <v>242</v>
      </c>
      <c r="O632" s="10" t="s">
        <v>241</v>
      </c>
      <c r="P632" s="10" t="s">
        <v>242</v>
      </c>
      <c r="Q632" s="10" t="s">
        <v>242</v>
      </c>
      <c r="R632" s="10" t="s">
        <v>241</v>
      </c>
      <c r="S632" s="10" t="s">
        <v>242</v>
      </c>
      <c r="T632" s="10" t="s">
        <v>241</v>
      </c>
      <c r="U632" s="10" t="s">
        <v>241</v>
      </c>
      <c r="V632" s="10" t="s">
        <v>241</v>
      </c>
      <c r="W632" s="10" t="s">
        <v>242</v>
      </c>
      <c r="X632" s="15">
        <f>IF(ISERROR(VLOOKUP($A632,'13. Updated Demand'!A:Z,15,FALSE)),0,VLOOKUP($A632,'13. Updated Demand'!A:Z,15,FALSE))</f>
        <v>0</v>
      </c>
      <c r="Y632" s="16">
        <f>IF(ISERROR(VLOOKUP($A632,'13. Updated Demand'!A:Z,16,FALSE)),0,VLOOKUP($A632,'13. Updated Demand'!A:Z,16,FALSE))</f>
        <v>0</v>
      </c>
      <c r="Z632" s="16">
        <f>IF(ISERROR(VLOOKUP($A632,'13. Updated Demand'!A:Z,17,FALSE)),0,VLOOKUP($A632,'13. Updated Demand'!A:Z,17,FALSE))</f>
        <v>0</v>
      </c>
      <c r="AA632" s="16">
        <f>IF(ISERROR(VLOOKUP($A632,'13. Updated Demand'!A:Z,18,FALSE)),0,VLOOKUP($A632,'13. Updated Demand'!A:Z,18,FALSE))</f>
        <v>0</v>
      </c>
      <c r="AB632" s="16">
        <f>IF(ISERROR(VLOOKUP($A632,'13. Updated Demand'!A:Z,19,FALSE)),0,VLOOKUP($A632,'13. Updated Demand'!A:Z,19,FALSE))</f>
        <v>0</v>
      </c>
      <c r="AC632" s="16">
        <f>IF(ISERROR(VLOOKUP($A632,'13. Updated Demand'!A:Z,20,FALSE)),0,VLOOKUP($A632,'13. Updated Demand'!A:Z,20,FALSE))</f>
        <v>0</v>
      </c>
      <c r="AD632" s="16">
        <f>IF(ISERROR(VLOOKUP($A632,'13. Updated Demand'!A:Z,21,FALSE)),0,VLOOKUP($A632,'13. Updated Demand'!A:Z,21,FALSE))</f>
        <v>0</v>
      </c>
      <c r="AE632" s="16">
        <f>IF(ISERROR(VLOOKUP($A632,'13. Updated Demand'!A:Z,22,FALSE)),0,VLOOKUP($A632,'13. Updated Demand'!A:Z,22,FALSE))</f>
        <v>0</v>
      </c>
      <c r="AF632" s="16">
        <f>IF(ISERROR(VLOOKUP($A632,'13. Updated Demand'!A:Z,23,FALSE)),0,VLOOKUP($A632,'13. Updated Demand'!A:Z,23,FALSE))</f>
        <v>0</v>
      </c>
      <c r="AG632" s="16">
        <f>IF(ISERROR(VLOOKUP($A632,'13. Updated Demand'!A:Z,24,FALSE)),0,VLOOKUP($A632,'13. Updated Demand'!A:Z,24,FALSE))</f>
        <v>0</v>
      </c>
      <c r="AH632" s="16">
        <f>IF(ISERROR(VLOOKUP($A632,'13. Updated Demand'!A:Z,25,FALSE)),0,VLOOKUP($A632,'13. Updated Demand'!A:Z,25,FALSE))</f>
        <v>0</v>
      </c>
      <c r="AI632" s="16">
        <f>IF(ISERROR(VLOOKUP($A632,'13. Updated Demand'!A:Z,26,FALSE)),0,VLOOKUP($A632,'13. Updated Demand'!A:Z,26,FALSE))</f>
        <v>0</v>
      </c>
      <c r="AJ632" s="16">
        <f t="shared" si="120"/>
        <v>0</v>
      </c>
      <c r="AK632" s="19">
        <v>0</v>
      </c>
      <c r="AL632" s="16">
        <f t="shared" si="118"/>
        <v>0</v>
      </c>
      <c r="AM632" s="17">
        <v>0</v>
      </c>
      <c r="AN632" s="19"/>
      <c r="AO632" s="19"/>
      <c r="AP632" s="19">
        <v>0</v>
      </c>
      <c r="AQ632" s="19" t="s">
        <v>307</v>
      </c>
      <c r="AR632" s="9" t="s">
        <v>333</v>
      </c>
      <c r="AS632" s="12">
        <v>0</v>
      </c>
      <c r="AT632" s="19">
        <v>39.067665589999997</v>
      </c>
      <c r="AU632" s="19">
        <v>-123.22580121999999</v>
      </c>
      <c r="AV632" s="19" t="s">
        <v>417</v>
      </c>
    </row>
    <row r="633" spans="1:48" x14ac:dyDescent="0.25">
      <c r="A633" s="18" t="s">
        <v>1019</v>
      </c>
      <c r="B633" s="10">
        <v>19761203</v>
      </c>
      <c r="C633" s="9">
        <v>21</v>
      </c>
      <c r="D633" s="8" t="str">
        <f t="shared" si="109"/>
        <v>N</v>
      </c>
      <c r="E633" s="8" t="str">
        <f t="shared" si="110"/>
        <v>N</v>
      </c>
      <c r="F633" s="8" t="str">
        <f t="shared" si="111"/>
        <v>N</v>
      </c>
      <c r="G633" s="8" t="str">
        <f t="shared" si="112"/>
        <v>N</v>
      </c>
      <c r="H633" s="8" t="str">
        <f t="shared" si="113"/>
        <v>Lower</v>
      </c>
      <c r="I633" s="8" t="str">
        <f t="shared" si="114"/>
        <v>Outside</v>
      </c>
      <c r="J633" s="8" t="str">
        <f t="shared" si="115"/>
        <v>Outside</v>
      </c>
      <c r="K633" s="8" t="str">
        <f t="shared" si="116"/>
        <v>Post-1949</v>
      </c>
      <c r="L633" s="8">
        <f t="shared" si="117"/>
        <v>1976</v>
      </c>
      <c r="M633" s="8" t="str">
        <f t="shared" si="119"/>
        <v>1971-1990</v>
      </c>
      <c r="N633" s="10" t="s">
        <v>242</v>
      </c>
      <c r="O633" s="10" t="s">
        <v>242</v>
      </c>
      <c r="P633" s="10" t="s">
        <v>242</v>
      </c>
      <c r="Q633" s="10" t="s">
        <v>242</v>
      </c>
      <c r="R633" s="10" t="s">
        <v>241</v>
      </c>
      <c r="S633" s="10" t="s">
        <v>242</v>
      </c>
      <c r="T633" s="10" t="s">
        <v>242</v>
      </c>
      <c r="U633" s="10" t="s">
        <v>241</v>
      </c>
      <c r="V633" s="10" t="s">
        <v>241</v>
      </c>
      <c r="W633" s="10" t="s">
        <v>242</v>
      </c>
      <c r="X633" s="15">
        <f>IF(ISERROR(VLOOKUP($A633,'13. Updated Demand'!A:Z,15,FALSE)),0,VLOOKUP($A633,'13. Updated Demand'!A:Z,15,FALSE))</f>
        <v>0</v>
      </c>
      <c r="Y633" s="16">
        <f>IF(ISERROR(VLOOKUP($A633,'13. Updated Demand'!A:Z,16,FALSE)),0,VLOOKUP($A633,'13. Updated Demand'!A:Z,16,FALSE))</f>
        <v>0</v>
      </c>
      <c r="Z633" s="16">
        <f>IF(ISERROR(VLOOKUP($A633,'13. Updated Demand'!A:Z,17,FALSE)),0,VLOOKUP($A633,'13. Updated Demand'!A:Z,17,FALSE))</f>
        <v>0</v>
      </c>
      <c r="AA633" s="16">
        <f>IF(ISERROR(VLOOKUP($A633,'13. Updated Demand'!A:Z,18,FALSE)),0,VLOOKUP($A633,'13. Updated Demand'!A:Z,18,FALSE))</f>
        <v>0</v>
      </c>
      <c r="AB633" s="16">
        <f>IF(ISERROR(VLOOKUP($A633,'13. Updated Demand'!A:Z,19,FALSE)),0,VLOOKUP($A633,'13. Updated Demand'!A:Z,19,FALSE))</f>
        <v>0</v>
      </c>
      <c r="AC633" s="16">
        <f>IF(ISERROR(VLOOKUP($A633,'13. Updated Demand'!A:Z,20,FALSE)),0,VLOOKUP($A633,'13. Updated Demand'!A:Z,20,FALSE))</f>
        <v>0</v>
      </c>
      <c r="AD633" s="16">
        <f>IF(ISERROR(VLOOKUP($A633,'13. Updated Demand'!A:Z,21,FALSE)),0,VLOOKUP($A633,'13. Updated Demand'!A:Z,21,FALSE))</f>
        <v>0</v>
      </c>
      <c r="AE633" s="16">
        <f>IF(ISERROR(VLOOKUP($A633,'13. Updated Demand'!A:Z,22,FALSE)),0,VLOOKUP($A633,'13. Updated Demand'!A:Z,22,FALSE))</f>
        <v>0</v>
      </c>
      <c r="AF633" s="16">
        <f>IF(ISERROR(VLOOKUP($A633,'13. Updated Demand'!A:Z,23,FALSE)),0,VLOOKUP($A633,'13. Updated Demand'!A:Z,23,FALSE))</f>
        <v>0</v>
      </c>
      <c r="AG633" s="16">
        <f>IF(ISERROR(VLOOKUP($A633,'13. Updated Demand'!A:Z,24,FALSE)),0,VLOOKUP($A633,'13. Updated Demand'!A:Z,24,FALSE))</f>
        <v>0</v>
      </c>
      <c r="AH633" s="16">
        <f>IF(ISERROR(VLOOKUP($A633,'13. Updated Demand'!A:Z,25,FALSE)),0,VLOOKUP($A633,'13. Updated Demand'!A:Z,25,FALSE))</f>
        <v>0</v>
      </c>
      <c r="AI633" s="16">
        <f>IF(ISERROR(VLOOKUP($A633,'13. Updated Demand'!A:Z,26,FALSE)),0,VLOOKUP($A633,'13. Updated Demand'!A:Z,26,FALSE))</f>
        <v>0</v>
      </c>
      <c r="AJ633" s="16">
        <f t="shared" si="120"/>
        <v>0</v>
      </c>
      <c r="AK633" s="19">
        <v>0</v>
      </c>
      <c r="AL633" s="16">
        <f t="shared" si="118"/>
        <v>0</v>
      </c>
      <c r="AM633" s="17">
        <v>0</v>
      </c>
      <c r="AN633" s="19"/>
      <c r="AO633" s="19"/>
      <c r="AP633" s="19">
        <v>0</v>
      </c>
      <c r="AQ633" s="19" t="s">
        <v>307</v>
      </c>
      <c r="AR633" s="9" t="s">
        <v>403</v>
      </c>
      <c r="AS633" s="12">
        <v>0</v>
      </c>
      <c r="AT633" s="19">
        <v>38.434298320000003</v>
      </c>
      <c r="AU633" s="19">
        <v>-122.94611962</v>
      </c>
      <c r="AV633" s="19" t="s">
        <v>1020</v>
      </c>
    </row>
    <row r="634" spans="1:48" x14ac:dyDescent="0.25">
      <c r="A634" s="18" t="s">
        <v>1021</v>
      </c>
      <c r="B634" s="10">
        <v>19761203</v>
      </c>
      <c r="C634" s="9">
        <v>21</v>
      </c>
      <c r="D634" s="8" t="str">
        <f t="shared" si="109"/>
        <v>N</v>
      </c>
      <c r="E634" s="8" t="str">
        <f t="shared" si="110"/>
        <v>N</v>
      </c>
      <c r="F634" s="8" t="str">
        <f t="shared" si="111"/>
        <v>N</v>
      </c>
      <c r="G634" s="8" t="str">
        <f t="shared" si="112"/>
        <v>N</v>
      </c>
      <c r="H634" s="8" t="str">
        <f t="shared" si="113"/>
        <v>Lower</v>
      </c>
      <c r="I634" s="8" t="str">
        <f t="shared" si="114"/>
        <v>Outside</v>
      </c>
      <c r="J634" s="8" t="str">
        <f t="shared" si="115"/>
        <v>Outside</v>
      </c>
      <c r="K634" s="8" t="str">
        <f t="shared" si="116"/>
        <v>Post-1949</v>
      </c>
      <c r="L634" s="8">
        <f t="shared" si="117"/>
        <v>1976</v>
      </c>
      <c r="M634" s="8" t="str">
        <f t="shared" si="119"/>
        <v>1971-1990</v>
      </c>
      <c r="N634" s="10" t="s">
        <v>242</v>
      </c>
      <c r="O634" s="10" t="s">
        <v>242</v>
      </c>
      <c r="P634" s="10" t="s">
        <v>242</v>
      </c>
      <c r="Q634" s="10" t="s">
        <v>242</v>
      </c>
      <c r="R634" s="10" t="s">
        <v>241</v>
      </c>
      <c r="S634" s="10" t="s">
        <v>242</v>
      </c>
      <c r="T634" s="10" t="s">
        <v>242</v>
      </c>
      <c r="U634" s="10" t="s">
        <v>241</v>
      </c>
      <c r="V634" s="10" t="s">
        <v>241</v>
      </c>
      <c r="W634" s="10" t="s">
        <v>242</v>
      </c>
      <c r="X634" s="15">
        <f>IF(ISERROR(VLOOKUP($A634,'13. Updated Demand'!A:Z,15,FALSE)),0,VLOOKUP($A634,'13. Updated Demand'!A:Z,15,FALSE))</f>
        <v>0</v>
      </c>
      <c r="Y634" s="16">
        <f>IF(ISERROR(VLOOKUP($A634,'13. Updated Demand'!A:Z,16,FALSE)),0,VLOOKUP($A634,'13. Updated Demand'!A:Z,16,FALSE))</f>
        <v>0</v>
      </c>
      <c r="Z634" s="16">
        <f>IF(ISERROR(VLOOKUP($A634,'13. Updated Demand'!A:Z,17,FALSE)),0,VLOOKUP($A634,'13. Updated Demand'!A:Z,17,FALSE))</f>
        <v>0</v>
      </c>
      <c r="AA634" s="16">
        <f>IF(ISERROR(VLOOKUP($A634,'13. Updated Demand'!A:Z,18,FALSE)),0,VLOOKUP($A634,'13. Updated Demand'!A:Z,18,FALSE))</f>
        <v>0</v>
      </c>
      <c r="AB634" s="16">
        <f>IF(ISERROR(VLOOKUP($A634,'13. Updated Demand'!A:Z,19,FALSE)),0,VLOOKUP($A634,'13. Updated Demand'!A:Z,19,FALSE))</f>
        <v>0</v>
      </c>
      <c r="AC634" s="16">
        <f>IF(ISERROR(VLOOKUP($A634,'13. Updated Demand'!A:Z,20,FALSE)),0,VLOOKUP($A634,'13. Updated Demand'!A:Z,20,FALSE))</f>
        <v>0</v>
      </c>
      <c r="AD634" s="16">
        <f>IF(ISERROR(VLOOKUP($A634,'13. Updated Demand'!A:Z,21,FALSE)),0,VLOOKUP($A634,'13. Updated Demand'!A:Z,21,FALSE))</f>
        <v>0</v>
      </c>
      <c r="AE634" s="16">
        <f>IF(ISERROR(VLOOKUP($A634,'13. Updated Demand'!A:Z,22,FALSE)),0,VLOOKUP($A634,'13. Updated Demand'!A:Z,22,FALSE))</f>
        <v>0</v>
      </c>
      <c r="AF634" s="16">
        <f>IF(ISERROR(VLOOKUP($A634,'13. Updated Demand'!A:Z,23,FALSE)),0,VLOOKUP($A634,'13. Updated Demand'!A:Z,23,FALSE))</f>
        <v>0</v>
      </c>
      <c r="AG634" s="16">
        <f>IF(ISERROR(VLOOKUP($A634,'13. Updated Demand'!A:Z,24,FALSE)),0,VLOOKUP($A634,'13. Updated Demand'!A:Z,24,FALSE))</f>
        <v>0</v>
      </c>
      <c r="AH634" s="16">
        <f>IF(ISERROR(VLOOKUP($A634,'13. Updated Demand'!A:Z,25,FALSE)),0,VLOOKUP($A634,'13. Updated Demand'!A:Z,25,FALSE))</f>
        <v>0</v>
      </c>
      <c r="AI634" s="16">
        <f>IF(ISERROR(VLOOKUP($A634,'13. Updated Demand'!A:Z,26,FALSE)),0,VLOOKUP($A634,'13. Updated Demand'!A:Z,26,FALSE))</f>
        <v>0</v>
      </c>
      <c r="AJ634" s="16">
        <f t="shared" si="120"/>
        <v>0</v>
      </c>
      <c r="AK634" s="19">
        <v>0</v>
      </c>
      <c r="AL634" s="16">
        <f t="shared" si="118"/>
        <v>0</v>
      </c>
      <c r="AM634" s="17">
        <v>0</v>
      </c>
      <c r="AN634" s="19"/>
      <c r="AO634" s="19"/>
      <c r="AP634" s="19">
        <v>0</v>
      </c>
      <c r="AQ634" s="19" t="s">
        <v>307</v>
      </c>
      <c r="AR634" s="9" t="s">
        <v>403</v>
      </c>
      <c r="AS634" s="12">
        <v>0</v>
      </c>
      <c r="AT634" s="19">
        <v>38.442995760000002</v>
      </c>
      <c r="AU634" s="19">
        <v>-122.95705886</v>
      </c>
      <c r="AV634" s="19" t="s">
        <v>1022</v>
      </c>
    </row>
    <row r="635" spans="1:48" x14ac:dyDescent="0.25">
      <c r="A635" s="18" t="s">
        <v>1023</v>
      </c>
      <c r="B635" s="10">
        <v>19760227</v>
      </c>
      <c r="C635" s="9">
        <v>19</v>
      </c>
      <c r="D635" s="8" t="str">
        <f t="shared" si="109"/>
        <v>N</v>
      </c>
      <c r="E635" s="8" t="str">
        <f t="shared" si="110"/>
        <v>N</v>
      </c>
      <c r="F635" s="8" t="str">
        <f t="shared" si="111"/>
        <v>N</v>
      </c>
      <c r="G635" s="8" t="str">
        <f t="shared" si="112"/>
        <v>N</v>
      </c>
      <c r="H635" s="8" t="str">
        <f t="shared" si="113"/>
        <v>Lower</v>
      </c>
      <c r="I635" s="8" t="str">
        <f t="shared" si="114"/>
        <v>Outside</v>
      </c>
      <c r="J635" s="8" t="str">
        <f t="shared" si="115"/>
        <v>Outside</v>
      </c>
      <c r="K635" s="8" t="str">
        <f t="shared" si="116"/>
        <v>Post-1949</v>
      </c>
      <c r="L635" s="8">
        <f t="shared" si="117"/>
        <v>1976</v>
      </c>
      <c r="M635" s="8" t="str">
        <f t="shared" si="119"/>
        <v>1971-1990</v>
      </c>
      <c r="N635" s="10" t="s">
        <v>241</v>
      </c>
      <c r="O635" s="10" t="s">
        <v>242</v>
      </c>
      <c r="P635" s="10" t="s">
        <v>242</v>
      </c>
      <c r="Q635" s="10" t="s">
        <v>242</v>
      </c>
      <c r="R635" s="10" t="s">
        <v>241</v>
      </c>
      <c r="S635" s="10" t="s">
        <v>242</v>
      </c>
      <c r="T635" s="10" t="s">
        <v>242</v>
      </c>
      <c r="U635" s="10" t="s">
        <v>242</v>
      </c>
      <c r="V635" s="10" t="s">
        <v>242</v>
      </c>
      <c r="W635" s="10" t="s">
        <v>242</v>
      </c>
      <c r="X635" s="15">
        <f>IF(ISERROR(VLOOKUP($A635,'13. Updated Demand'!A:Z,15,FALSE)),0,VLOOKUP($A635,'13. Updated Demand'!A:Z,15,FALSE))</f>
        <v>0</v>
      </c>
      <c r="Y635" s="16">
        <f>IF(ISERROR(VLOOKUP($A635,'13. Updated Demand'!A:Z,16,FALSE)),0,VLOOKUP($A635,'13. Updated Demand'!A:Z,16,FALSE))</f>
        <v>0</v>
      </c>
      <c r="Z635" s="16">
        <f>IF(ISERROR(VLOOKUP($A635,'13. Updated Demand'!A:Z,17,FALSE)),0,VLOOKUP($A635,'13. Updated Demand'!A:Z,17,FALSE))</f>
        <v>3.0690000000000001E-3</v>
      </c>
      <c r="AA635" s="16">
        <f>IF(ISERROR(VLOOKUP($A635,'13. Updated Demand'!A:Z,18,FALSE)),0,VLOOKUP($A635,'13. Updated Demand'!A:Z,18,FALSE))</f>
        <v>3.0690000000000001E-3</v>
      </c>
      <c r="AB635" s="16">
        <f>IF(ISERROR(VLOOKUP($A635,'13. Updated Demand'!A:Z,19,FALSE)),0,VLOOKUP($A635,'13. Updated Demand'!A:Z,19,FALSE))</f>
        <v>3.0690000000000001E-3</v>
      </c>
      <c r="AC635" s="16">
        <f>IF(ISERROR(VLOOKUP($A635,'13. Updated Demand'!A:Z,20,FALSE)),0,VLOOKUP($A635,'13. Updated Demand'!A:Z,20,FALSE))</f>
        <v>6.1380000000000002E-3</v>
      </c>
      <c r="AD635" s="16">
        <f>IF(ISERROR(VLOOKUP($A635,'13. Updated Demand'!A:Z,21,FALSE)),0,VLOOKUP($A635,'13. Updated Demand'!A:Z,21,FALSE))</f>
        <v>7.672E-3</v>
      </c>
      <c r="AE635" s="16">
        <f>IF(ISERROR(VLOOKUP($A635,'13. Updated Demand'!A:Z,22,FALSE)),0,VLOOKUP($A635,'13. Updated Demand'!A:Z,22,FALSE))</f>
        <v>7.672E-3</v>
      </c>
      <c r="AF635" s="16">
        <f>IF(ISERROR(VLOOKUP($A635,'13. Updated Demand'!A:Z,23,FALSE)),0,VLOOKUP($A635,'13. Updated Demand'!A:Z,23,FALSE))</f>
        <v>7.672E-3</v>
      </c>
      <c r="AG635" s="16">
        <f>IF(ISERROR(VLOOKUP($A635,'13. Updated Demand'!A:Z,24,FALSE)),0,VLOOKUP($A635,'13. Updated Demand'!A:Z,24,FALSE))</f>
        <v>4.6030000000000003E-3</v>
      </c>
      <c r="AH635" s="16">
        <f>IF(ISERROR(VLOOKUP($A635,'13. Updated Demand'!A:Z,25,FALSE)),0,VLOOKUP($A635,'13. Updated Demand'!A:Z,25,FALSE))</f>
        <v>0</v>
      </c>
      <c r="AI635" s="16">
        <f>IF(ISERROR(VLOOKUP($A635,'13. Updated Demand'!A:Z,26,FALSE)),0,VLOOKUP($A635,'13. Updated Demand'!A:Z,26,FALSE))</f>
        <v>0</v>
      </c>
      <c r="AJ635" s="16">
        <f t="shared" si="120"/>
        <v>4.2964000000000002E-2</v>
      </c>
      <c r="AK635" s="19">
        <v>3.2222999999999995E-2</v>
      </c>
      <c r="AL635" s="16">
        <f t="shared" si="118"/>
        <v>1.0688002045536916E-4</v>
      </c>
      <c r="AM635" s="17">
        <v>6.1377142857142866E-2</v>
      </c>
      <c r="AN635" s="19"/>
      <c r="AO635" s="19"/>
      <c r="AP635" s="19">
        <v>0.7</v>
      </c>
      <c r="AQ635" s="19" t="s">
        <v>307</v>
      </c>
      <c r="AR635" s="9" t="s">
        <v>684</v>
      </c>
      <c r="AS635" s="12">
        <v>3.4039024194010059E-4</v>
      </c>
      <c r="AT635" s="19">
        <v>38.507329439999999</v>
      </c>
      <c r="AU635" s="19">
        <v>-122.94778481</v>
      </c>
      <c r="AV635" s="19" t="s">
        <v>548</v>
      </c>
    </row>
    <row r="636" spans="1:48" x14ac:dyDescent="0.25">
      <c r="A636" s="18" t="s">
        <v>1024</v>
      </c>
      <c r="B636" s="10">
        <v>19760811</v>
      </c>
      <c r="C636" s="9">
        <v>16</v>
      </c>
      <c r="D636" s="8" t="str">
        <f t="shared" si="109"/>
        <v>N</v>
      </c>
      <c r="E636" s="8" t="str">
        <f t="shared" si="110"/>
        <v>N</v>
      </c>
      <c r="F636" s="8" t="str">
        <f t="shared" si="111"/>
        <v>N</v>
      </c>
      <c r="G636" s="8" t="str">
        <f t="shared" si="112"/>
        <v>N</v>
      </c>
      <c r="H636" s="8" t="str">
        <f t="shared" si="113"/>
        <v>Lower</v>
      </c>
      <c r="I636" s="8" t="str">
        <f t="shared" si="114"/>
        <v>Outside</v>
      </c>
      <c r="J636" s="8" t="str">
        <f t="shared" si="115"/>
        <v>Outside</v>
      </c>
      <c r="K636" s="8" t="str">
        <f t="shared" si="116"/>
        <v>Post-1949</v>
      </c>
      <c r="L636" s="8">
        <f t="shared" si="117"/>
        <v>1976</v>
      </c>
      <c r="M636" s="8" t="str">
        <f t="shared" si="119"/>
        <v>1971-1990</v>
      </c>
      <c r="N636" s="10" t="s">
        <v>242</v>
      </c>
      <c r="O636" s="10" t="s">
        <v>242</v>
      </c>
      <c r="P636" s="10" t="s">
        <v>242</v>
      </c>
      <c r="Q636" s="10" t="s">
        <v>242</v>
      </c>
      <c r="R636" s="10" t="s">
        <v>241</v>
      </c>
      <c r="S636" s="10" t="s">
        <v>242</v>
      </c>
      <c r="T636" s="10" t="s">
        <v>241</v>
      </c>
      <c r="U636" s="10" t="s">
        <v>241</v>
      </c>
      <c r="V636" s="10" t="s">
        <v>241</v>
      </c>
      <c r="W636" s="10" t="s">
        <v>242</v>
      </c>
      <c r="X636" s="15">
        <f>IF(ISERROR(VLOOKUP($A636,'13. Updated Demand'!A:Z,15,FALSE)),0,VLOOKUP($A636,'13. Updated Demand'!A:Z,15,FALSE))</f>
        <v>0</v>
      </c>
      <c r="Y636" s="16">
        <f>IF(ISERROR(VLOOKUP($A636,'13. Updated Demand'!A:Z,16,FALSE)),0,VLOOKUP($A636,'13. Updated Demand'!A:Z,16,FALSE))</f>
        <v>0</v>
      </c>
      <c r="Z636" s="16">
        <f>IF(ISERROR(VLOOKUP($A636,'13. Updated Demand'!A:Z,17,FALSE)),0,VLOOKUP($A636,'13. Updated Demand'!A:Z,17,FALSE))</f>
        <v>0</v>
      </c>
      <c r="AA636" s="16">
        <f>IF(ISERROR(VLOOKUP($A636,'13. Updated Demand'!A:Z,18,FALSE)),0,VLOOKUP($A636,'13. Updated Demand'!A:Z,18,FALSE))</f>
        <v>0</v>
      </c>
      <c r="AB636" s="16">
        <f>IF(ISERROR(VLOOKUP($A636,'13. Updated Demand'!A:Z,19,FALSE)),0,VLOOKUP($A636,'13. Updated Demand'!A:Z,19,FALSE))</f>
        <v>0</v>
      </c>
      <c r="AC636" s="16">
        <f>IF(ISERROR(VLOOKUP($A636,'13. Updated Demand'!A:Z,20,FALSE)),0,VLOOKUP($A636,'13. Updated Demand'!A:Z,20,FALSE))</f>
        <v>0</v>
      </c>
      <c r="AD636" s="16">
        <f>IF(ISERROR(VLOOKUP($A636,'13. Updated Demand'!A:Z,21,FALSE)),0,VLOOKUP($A636,'13. Updated Demand'!A:Z,21,FALSE))</f>
        <v>0</v>
      </c>
      <c r="AE636" s="16">
        <f>IF(ISERROR(VLOOKUP($A636,'13. Updated Demand'!A:Z,22,FALSE)),0,VLOOKUP($A636,'13. Updated Demand'!A:Z,22,FALSE))</f>
        <v>0</v>
      </c>
      <c r="AF636" s="16">
        <f>IF(ISERROR(VLOOKUP($A636,'13. Updated Demand'!A:Z,23,FALSE)),0,VLOOKUP($A636,'13. Updated Demand'!A:Z,23,FALSE))</f>
        <v>0</v>
      </c>
      <c r="AG636" s="16">
        <f>IF(ISERROR(VLOOKUP($A636,'13. Updated Demand'!A:Z,24,FALSE)),0,VLOOKUP($A636,'13. Updated Demand'!A:Z,24,FALSE))</f>
        <v>0</v>
      </c>
      <c r="AH636" s="16">
        <f>IF(ISERROR(VLOOKUP($A636,'13. Updated Demand'!A:Z,25,FALSE)),0,VLOOKUP($A636,'13. Updated Demand'!A:Z,25,FALSE))</f>
        <v>0</v>
      </c>
      <c r="AI636" s="16">
        <f>IF(ISERROR(VLOOKUP($A636,'13. Updated Demand'!A:Z,26,FALSE)),0,VLOOKUP($A636,'13. Updated Demand'!A:Z,26,FALSE))</f>
        <v>0</v>
      </c>
      <c r="AJ636" s="16">
        <f t="shared" si="120"/>
        <v>0</v>
      </c>
      <c r="AK636" s="19">
        <v>0</v>
      </c>
      <c r="AL636" s="16">
        <f t="shared" si="118"/>
        <v>0</v>
      </c>
      <c r="AM636" s="17">
        <v>0</v>
      </c>
      <c r="AN636" s="19"/>
      <c r="AO636" s="19"/>
      <c r="AP636" s="19">
        <v>1.3</v>
      </c>
      <c r="AQ636" s="19" t="s">
        <v>307</v>
      </c>
      <c r="AR636" s="9" t="s">
        <v>394</v>
      </c>
      <c r="AS636" s="12">
        <v>3.4039024194010059E-4</v>
      </c>
      <c r="AT636" s="19">
        <v>38.59912439</v>
      </c>
      <c r="AU636" s="19">
        <v>-122.97174963000001</v>
      </c>
      <c r="AV636" s="19" t="s">
        <v>417</v>
      </c>
    </row>
    <row r="637" spans="1:48" x14ac:dyDescent="0.25">
      <c r="A637" s="18" t="s">
        <v>1025</v>
      </c>
      <c r="B637" s="10">
        <v>19761123</v>
      </c>
      <c r="C637" s="9">
        <v>2</v>
      </c>
      <c r="D637" s="8" t="str">
        <f t="shared" si="109"/>
        <v>N</v>
      </c>
      <c r="E637" s="8" t="str">
        <f t="shared" si="110"/>
        <v>N</v>
      </c>
      <c r="F637" s="8" t="str">
        <f t="shared" si="111"/>
        <v>Y</v>
      </c>
      <c r="G637" s="8" t="str">
        <f t="shared" si="112"/>
        <v>N</v>
      </c>
      <c r="H637" s="8" t="str">
        <f t="shared" si="113"/>
        <v>Upper</v>
      </c>
      <c r="I637" s="8" t="str">
        <f t="shared" si="114"/>
        <v>Outside</v>
      </c>
      <c r="J637" s="8" t="str">
        <f t="shared" si="115"/>
        <v>Outside</v>
      </c>
      <c r="K637" s="8" t="str">
        <f t="shared" si="116"/>
        <v>Post-1949</v>
      </c>
      <c r="L637" s="8">
        <f t="shared" si="117"/>
        <v>1976</v>
      </c>
      <c r="M637" s="8" t="str">
        <f t="shared" si="119"/>
        <v>1971-1990</v>
      </c>
      <c r="N637" s="10" t="s">
        <v>242</v>
      </c>
      <c r="O637" s="10" t="s">
        <v>241</v>
      </c>
      <c r="P637" s="10" t="s">
        <v>242</v>
      </c>
      <c r="Q637" s="10" t="s">
        <v>242</v>
      </c>
      <c r="R637" s="10" t="s">
        <v>241</v>
      </c>
      <c r="S637" s="10" t="s">
        <v>242</v>
      </c>
      <c r="T637" s="10" t="s">
        <v>242</v>
      </c>
      <c r="U637" s="10" t="s">
        <v>242</v>
      </c>
      <c r="V637" s="10" t="s">
        <v>241</v>
      </c>
      <c r="W637" s="10" t="s">
        <v>242</v>
      </c>
      <c r="X637" s="15">
        <f>IF(ISERROR(VLOOKUP($A637,'13. Updated Demand'!A:Z,15,FALSE)),0,VLOOKUP($A637,'13. Updated Demand'!A:Z,15,FALSE))</f>
        <v>0.21</v>
      </c>
      <c r="Y637" s="16">
        <f>IF(ISERROR(VLOOKUP($A637,'13. Updated Demand'!A:Z,16,FALSE)),0,VLOOKUP($A637,'13. Updated Demand'!A:Z,16,FALSE))</f>
        <v>0.3</v>
      </c>
      <c r="Z637" s="16">
        <f>IF(ISERROR(VLOOKUP($A637,'13. Updated Demand'!A:Z,17,FALSE)),0,VLOOKUP($A637,'13. Updated Demand'!A:Z,17,FALSE))</f>
        <v>0.15</v>
      </c>
      <c r="AA637" s="16">
        <f>IF(ISERROR(VLOOKUP($A637,'13. Updated Demand'!A:Z,18,FALSE)),0,VLOOKUP($A637,'13. Updated Demand'!A:Z,18,FALSE))</f>
        <v>0.03</v>
      </c>
      <c r="AB637" s="16">
        <f>IF(ISERROR(VLOOKUP($A637,'13. Updated Demand'!A:Z,19,FALSE)),0,VLOOKUP($A637,'13. Updated Demand'!A:Z,19,FALSE))</f>
        <v>0</v>
      </c>
      <c r="AC637" s="16">
        <f>IF(ISERROR(VLOOKUP($A637,'13. Updated Demand'!A:Z,20,FALSE)),0,VLOOKUP($A637,'13. Updated Demand'!A:Z,20,FALSE))</f>
        <v>0</v>
      </c>
      <c r="AD637" s="16">
        <f>IF(ISERROR(VLOOKUP($A637,'13. Updated Demand'!A:Z,21,FALSE)),0,VLOOKUP($A637,'13. Updated Demand'!A:Z,21,FALSE))</f>
        <v>0</v>
      </c>
      <c r="AE637" s="16">
        <f>IF(ISERROR(VLOOKUP($A637,'13. Updated Demand'!A:Z,22,FALSE)),0,VLOOKUP($A637,'13. Updated Demand'!A:Z,22,FALSE))</f>
        <v>0</v>
      </c>
      <c r="AF637" s="16">
        <f>IF(ISERROR(VLOOKUP($A637,'13. Updated Demand'!A:Z,23,FALSE)),0,VLOOKUP($A637,'13. Updated Demand'!A:Z,23,FALSE))</f>
        <v>0</v>
      </c>
      <c r="AG637" s="16">
        <f>IF(ISERROR(VLOOKUP($A637,'13. Updated Demand'!A:Z,24,FALSE)),0,VLOOKUP($A637,'13. Updated Demand'!A:Z,24,FALSE))</f>
        <v>0</v>
      </c>
      <c r="AH637" s="16">
        <f>IF(ISERROR(VLOOKUP($A637,'13. Updated Demand'!A:Z,25,FALSE)),0,VLOOKUP($A637,'13. Updated Demand'!A:Z,25,FALSE))</f>
        <v>0</v>
      </c>
      <c r="AI637" s="16">
        <f>IF(ISERROR(VLOOKUP($A637,'13. Updated Demand'!A:Z,26,FALSE)),0,VLOOKUP($A637,'13. Updated Demand'!A:Z,26,FALSE))</f>
        <v>0</v>
      </c>
      <c r="AJ637" s="16">
        <f t="shared" si="120"/>
        <v>0.69000000000000006</v>
      </c>
      <c r="AK637" s="19">
        <v>0</v>
      </c>
      <c r="AL637" s="16">
        <f t="shared" si="118"/>
        <v>0</v>
      </c>
      <c r="AM637" s="17">
        <v>0.13999999999999999</v>
      </c>
      <c r="AN637" s="19"/>
      <c r="AO637" s="19"/>
      <c r="AP637" s="19">
        <v>5</v>
      </c>
      <c r="AQ637" s="19" t="s">
        <v>307</v>
      </c>
      <c r="AR637" s="9" t="s">
        <v>348</v>
      </c>
      <c r="AS637" s="12">
        <v>0</v>
      </c>
      <c r="AT637" s="19">
        <v>39.306572500000001</v>
      </c>
      <c r="AU637" s="19">
        <v>-123.05534485</v>
      </c>
      <c r="AV637" s="19" t="s">
        <v>417</v>
      </c>
    </row>
    <row r="638" spans="1:48" x14ac:dyDescent="0.25">
      <c r="A638" s="18" t="s">
        <v>1026</v>
      </c>
      <c r="B638" s="10">
        <v>19760218</v>
      </c>
      <c r="C638" s="9">
        <v>2</v>
      </c>
      <c r="D638" s="8" t="str">
        <f t="shared" si="109"/>
        <v>N</v>
      </c>
      <c r="E638" s="8" t="str">
        <f t="shared" si="110"/>
        <v>N</v>
      </c>
      <c r="F638" s="8" t="str">
        <f t="shared" si="111"/>
        <v>Y</v>
      </c>
      <c r="G638" s="8" t="str">
        <f t="shared" si="112"/>
        <v>N</v>
      </c>
      <c r="H638" s="8" t="str">
        <f t="shared" si="113"/>
        <v>Upper</v>
      </c>
      <c r="I638" s="8" t="str">
        <f t="shared" si="114"/>
        <v>Outside</v>
      </c>
      <c r="J638" s="8" t="str">
        <f t="shared" si="115"/>
        <v>Outside</v>
      </c>
      <c r="K638" s="8" t="str">
        <f t="shared" si="116"/>
        <v>Post-1949</v>
      </c>
      <c r="L638" s="8">
        <f t="shared" si="117"/>
        <v>1976</v>
      </c>
      <c r="M638" s="8" t="str">
        <f t="shared" si="119"/>
        <v>1971-1990</v>
      </c>
      <c r="N638" s="10" t="s">
        <v>242</v>
      </c>
      <c r="O638" s="10" t="s">
        <v>241</v>
      </c>
      <c r="P638" s="10" t="s">
        <v>242</v>
      </c>
      <c r="Q638" s="10" t="s">
        <v>242</v>
      </c>
      <c r="R638" s="10" t="s">
        <v>241</v>
      </c>
      <c r="S638" s="10" t="s">
        <v>242</v>
      </c>
      <c r="T638" s="10" t="s">
        <v>242</v>
      </c>
      <c r="U638" s="10" t="s">
        <v>241</v>
      </c>
      <c r="V638" s="10" t="s">
        <v>241</v>
      </c>
      <c r="W638" s="10" t="s">
        <v>242</v>
      </c>
      <c r="X638" s="15">
        <f>IF(ISERROR(VLOOKUP($A638,'13. Updated Demand'!A:Z,15,FALSE)),0,VLOOKUP($A638,'13. Updated Demand'!A:Z,15,FALSE))</f>
        <v>0</v>
      </c>
      <c r="Y638" s="16">
        <f>IF(ISERROR(VLOOKUP($A638,'13. Updated Demand'!A:Z,16,FALSE)),0,VLOOKUP($A638,'13. Updated Demand'!A:Z,16,FALSE))</f>
        <v>0</v>
      </c>
      <c r="Z638" s="16">
        <f>IF(ISERROR(VLOOKUP($A638,'13. Updated Demand'!A:Z,17,FALSE)),0,VLOOKUP($A638,'13. Updated Demand'!A:Z,17,FALSE))</f>
        <v>0</v>
      </c>
      <c r="AA638" s="16">
        <f>IF(ISERROR(VLOOKUP($A638,'13. Updated Demand'!A:Z,18,FALSE)),0,VLOOKUP($A638,'13. Updated Demand'!A:Z,18,FALSE))</f>
        <v>0</v>
      </c>
      <c r="AB638" s="16">
        <f>IF(ISERROR(VLOOKUP($A638,'13. Updated Demand'!A:Z,19,FALSE)),0,VLOOKUP($A638,'13. Updated Demand'!A:Z,19,FALSE))</f>
        <v>0</v>
      </c>
      <c r="AC638" s="16">
        <f>IF(ISERROR(VLOOKUP($A638,'13. Updated Demand'!A:Z,20,FALSE)),0,VLOOKUP($A638,'13. Updated Demand'!A:Z,20,FALSE))</f>
        <v>0</v>
      </c>
      <c r="AD638" s="16">
        <f>IF(ISERROR(VLOOKUP($A638,'13. Updated Demand'!A:Z,21,FALSE)),0,VLOOKUP($A638,'13. Updated Demand'!A:Z,21,FALSE))</f>
        <v>0</v>
      </c>
      <c r="AE638" s="16">
        <f>IF(ISERROR(VLOOKUP($A638,'13. Updated Demand'!A:Z,22,FALSE)),0,VLOOKUP($A638,'13. Updated Demand'!A:Z,22,FALSE))</f>
        <v>0</v>
      </c>
      <c r="AF638" s="16">
        <f>IF(ISERROR(VLOOKUP($A638,'13. Updated Demand'!A:Z,23,FALSE)),0,VLOOKUP($A638,'13. Updated Demand'!A:Z,23,FALSE))</f>
        <v>0</v>
      </c>
      <c r="AG638" s="16">
        <f>IF(ISERROR(VLOOKUP($A638,'13. Updated Demand'!A:Z,24,FALSE)),0,VLOOKUP($A638,'13. Updated Demand'!A:Z,24,FALSE))</f>
        <v>0</v>
      </c>
      <c r="AH638" s="16">
        <f>IF(ISERROR(VLOOKUP($A638,'13. Updated Demand'!A:Z,25,FALSE)),0,VLOOKUP($A638,'13. Updated Demand'!A:Z,25,FALSE))</f>
        <v>0</v>
      </c>
      <c r="AI638" s="16">
        <f>IF(ISERROR(VLOOKUP($A638,'13. Updated Demand'!A:Z,26,FALSE)),0,VLOOKUP($A638,'13. Updated Demand'!A:Z,26,FALSE))</f>
        <v>0</v>
      </c>
      <c r="AJ638" s="16">
        <f t="shared" si="120"/>
        <v>0</v>
      </c>
      <c r="AK638" s="19">
        <v>0</v>
      </c>
      <c r="AL638" s="16">
        <f t="shared" si="118"/>
        <v>0</v>
      </c>
      <c r="AM638" s="17">
        <v>0</v>
      </c>
      <c r="AN638" s="19"/>
      <c r="AO638" s="19"/>
      <c r="AP638" s="19">
        <v>38</v>
      </c>
      <c r="AQ638" s="19" t="s">
        <v>307</v>
      </c>
      <c r="AR638" s="9" t="s">
        <v>348</v>
      </c>
      <c r="AS638" s="12">
        <v>0</v>
      </c>
      <c r="AT638" s="19">
        <v>39.292445960000002</v>
      </c>
      <c r="AU638" s="19">
        <v>-123.09859818</v>
      </c>
      <c r="AV638" s="19" t="s">
        <v>542</v>
      </c>
    </row>
    <row r="639" spans="1:48" x14ac:dyDescent="0.25">
      <c r="A639" s="18" t="s">
        <v>1027</v>
      </c>
      <c r="B639" s="10">
        <v>19760312</v>
      </c>
      <c r="C639" s="9">
        <v>2</v>
      </c>
      <c r="D639" s="8" t="str">
        <f t="shared" si="109"/>
        <v>N</v>
      </c>
      <c r="E639" s="8" t="str">
        <f t="shared" si="110"/>
        <v>N</v>
      </c>
      <c r="F639" s="8" t="str">
        <f t="shared" si="111"/>
        <v>Y</v>
      </c>
      <c r="G639" s="8" t="str">
        <f t="shared" si="112"/>
        <v>N</v>
      </c>
      <c r="H639" s="8" t="str">
        <f t="shared" si="113"/>
        <v>Upper</v>
      </c>
      <c r="I639" s="8" t="str">
        <f t="shared" si="114"/>
        <v>Outside</v>
      </c>
      <c r="J639" s="8" t="str">
        <f t="shared" si="115"/>
        <v>Outside</v>
      </c>
      <c r="K639" s="8" t="str">
        <f t="shared" si="116"/>
        <v>Post-1949</v>
      </c>
      <c r="L639" s="8">
        <f t="shared" si="117"/>
        <v>1976</v>
      </c>
      <c r="M639" s="8" t="str">
        <f t="shared" si="119"/>
        <v>1971-1990</v>
      </c>
      <c r="N639" s="10" t="s">
        <v>242</v>
      </c>
      <c r="O639" s="10" t="s">
        <v>241</v>
      </c>
      <c r="P639" s="10" t="s">
        <v>242</v>
      </c>
      <c r="Q639" s="10" t="s">
        <v>242</v>
      </c>
      <c r="R639" s="10" t="s">
        <v>241</v>
      </c>
      <c r="S639" s="10" t="s">
        <v>242</v>
      </c>
      <c r="T639" s="10" t="s">
        <v>242</v>
      </c>
      <c r="U639" s="10" t="s">
        <v>241</v>
      </c>
      <c r="V639" s="10" t="s">
        <v>241</v>
      </c>
      <c r="W639" s="10" t="s">
        <v>242</v>
      </c>
      <c r="X639" s="15">
        <f>IF(ISERROR(VLOOKUP($A639,'13. Updated Demand'!A:Z,15,FALSE)),0,VLOOKUP($A639,'13. Updated Demand'!A:Z,15,FALSE))</f>
        <v>0</v>
      </c>
      <c r="Y639" s="16">
        <f>IF(ISERROR(VLOOKUP($A639,'13. Updated Demand'!A:Z,16,FALSE)),0,VLOOKUP($A639,'13. Updated Demand'!A:Z,16,FALSE))</f>
        <v>0</v>
      </c>
      <c r="Z639" s="16">
        <f>IF(ISERROR(VLOOKUP($A639,'13. Updated Demand'!A:Z,17,FALSE)),0,VLOOKUP($A639,'13. Updated Demand'!A:Z,17,FALSE))</f>
        <v>0</v>
      </c>
      <c r="AA639" s="16">
        <f>IF(ISERROR(VLOOKUP($A639,'13. Updated Demand'!A:Z,18,FALSE)),0,VLOOKUP($A639,'13. Updated Demand'!A:Z,18,FALSE))</f>
        <v>0</v>
      </c>
      <c r="AB639" s="16">
        <f>IF(ISERROR(VLOOKUP($A639,'13. Updated Demand'!A:Z,19,FALSE)),0,VLOOKUP($A639,'13. Updated Demand'!A:Z,19,FALSE))</f>
        <v>0</v>
      </c>
      <c r="AC639" s="16">
        <f>IF(ISERROR(VLOOKUP($A639,'13. Updated Demand'!A:Z,20,FALSE)),0,VLOOKUP($A639,'13. Updated Demand'!A:Z,20,FALSE))</f>
        <v>0</v>
      </c>
      <c r="AD639" s="16">
        <f>IF(ISERROR(VLOOKUP($A639,'13. Updated Demand'!A:Z,21,FALSE)),0,VLOOKUP($A639,'13. Updated Demand'!A:Z,21,FALSE))</f>
        <v>0</v>
      </c>
      <c r="AE639" s="16">
        <f>IF(ISERROR(VLOOKUP($A639,'13. Updated Demand'!A:Z,22,FALSE)),0,VLOOKUP($A639,'13. Updated Demand'!A:Z,22,FALSE))</f>
        <v>0</v>
      </c>
      <c r="AF639" s="16">
        <f>IF(ISERROR(VLOOKUP($A639,'13. Updated Demand'!A:Z,23,FALSE)),0,VLOOKUP($A639,'13. Updated Demand'!A:Z,23,FALSE))</f>
        <v>0</v>
      </c>
      <c r="AG639" s="16">
        <f>IF(ISERROR(VLOOKUP($A639,'13. Updated Demand'!A:Z,24,FALSE)),0,VLOOKUP($A639,'13. Updated Demand'!A:Z,24,FALSE))</f>
        <v>0</v>
      </c>
      <c r="AH639" s="16">
        <f>IF(ISERROR(VLOOKUP($A639,'13. Updated Demand'!A:Z,25,FALSE)),0,VLOOKUP($A639,'13. Updated Demand'!A:Z,25,FALSE))</f>
        <v>0</v>
      </c>
      <c r="AI639" s="16">
        <f>IF(ISERROR(VLOOKUP($A639,'13. Updated Demand'!A:Z,26,FALSE)),0,VLOOKUP($A639,'13. Updated Demand'!A:Z,26,FALSE))</f>
        <v>0</v>
      </c>
      <c r="AJ639" s="16">
        <f t="shared" si="120"/>
        <v>0</v>
      </c>
      <c r="AK639" s="19">
        <v>0</v>
      </c>
      <c r="AL639" s="16">
        <f t="shared" si="118"/>
        <v>0</v>
      </c>
      <c r="AM639" s="17">
        <v>0</v>
      </c>
      <c r="AN639" s="19"/>
      <c r="AO639" s="19"/>
      <c r="AP639" s="19">
        <v>24</v>
      </c>
      <c r="AQ639" s="19" t="s">
        <v>307</v>
      </c>
      <c r="AR639" s="9" t="s">
        <v>348</v>
      </c>
      <c r="AS639" s="12">
        <v>0</v>
      </c>
      <c r="AT639" s="19">
        <v>39.358559900000003</v>
      </c>
      <c r="AU639" s="19">
        <v>-123.10493332</v>
      </c>
      <c r="AV639" s="19" t="s">
        <v>417</v>
      </c>
    </row>
    <row r="640" spans="1:48" x14ac:dyDescent="0.25">
      <c r="A640" s="18" t="s">
        <v>1028</v>
      </c>
      <c r="B640" s="10">
        <v>19750313</v>
      </c>
      <c r="C640" s="9">
        <v>23</v>
      </c>
      <c r="D640" s="8" t="str">
        <f t="shared" si="109"/>
        <v>N</v>
      </c>
      <c r="E640" s="8" t="str">
        <f t="shared" si="110"/>
        <v>N</v>
      </c>
      <c r="F640" s="8" t="str">
        <f t="shared" si="111"/>
        <v>N</v>
      </c>
      <c r="G640" s="8" t="str">
        <f t="shared" si="112"/>
        <v>N</v>
      </c>
      <c r="H640" s="8" t="str">
        <f t="shared" si="113"/>
        <v>Lower</v>
      </c>
      <c r="I640" s="8" t="str">
        <f t="shared" si="114"/>
        <v>Outside</v>
      </c>
      <c r="J640" s="8" t="str">
        <f t="shared" si="115"/>
        <v>Outside</v>
      </c>
      <c r="K640" s="8" t="str">
        <f t="shared" si="116"/>
        <v>Post-1949</v>
      </c>
      <c r="L640" s="8">
        <f t="shared" si="117"/>
        <v>1975</v>
      </c>
      <c r="M640" s="8" t="str">
        <f t="shared" si="119"/>
        <v>1971-1990</v>
      </c>
      <c r="N640" s="10" t="s">
        <v>242</v>
      </c>
      <c r="O640" s="10" t="s">
        <v>242</v>
      </c>
      <c r="P640" s="10" t="s">
        <v>242</v>
      </c>
      <c r="Q640" s="10" t="s">
        <v>242</v>
      </c>
      <c r="R640" s="10" t="s">
        <v>241</v>
      </c>
      <c r="S640" s="10" t="s">
        <v>242</v>
      </c>
      <c r="T640" s="10" t="s">
        <v>242</v>
      </c>
      <c r="U640" s="10" t="s">
        <v>242</v>
      </c>
      <c r="V640" s="10" t="s">
        <v>241</v>
      </c>
      <c r="W640" s="10" t="s">
        <v>242</v>
      </c>
      <c r="X640" s="15">
        <f>IF(ISERROR(VLOOKUP($A640,'13. Updated Demand'!A:Z,15,FALSE)),0,VLOOKUP($A640,'13. Updated Demand'!A:Z,15,FALSE))</f>
        <v>2</v>
      </c>
      <c r="Y640" s="16">
        <f>IF(ISERROR(VLOOKUP($A640,'13. Updated Demand'!A:Z,16,FALSE)),0,VLOOKUP($A640,'13. Updated Demand'!A:Z,16,FALSE))</f>
        <v>2</v>
      </c>
      <c r="Z640" s="16">
        <f>IF(ISERROR(VLOOKUP($A640,'13. Updated Demand'!A:Z,17,FALSE)),0,VLOOKUP($A640,'13. Updated Demand'!A:Z,17,FALSE))</f>
        <v>1.3333333329999999</v>
      </c>
      <c r="AA640" s="16">
        <f>IF(ISERROR(VLOOKUP($A640,'13. Updated Demand'!A:Z,18,FALSE)),0,VLOOKUP($A640,'13. Updated Demand'!A:Z,18,FALSE))</f>
        <v>0</v>
      </c>
      <c r="AB640" s="16">
        <f>IF(ISERROR(VLOOKUP($A640,'13. Updated Demand'!A:Z,19,FALSE)),0,VLOOKUP($A640,'13. Updated Demand'!A:Z,19,FALSE))</f>
        <v>0</v>
      </c>
      <c r="AC640" s="16">
        <f>IF(ISERROR(VLOOKUP($A640,'13. Updated Demand'!A:Z,20,FALSE)),0,VLOOKUP($A640,'13. Updated Demand'!A:Z,20,FALSE))</f>
        <v>0</v>
      </c>
      <c r="AD640" s="16">
        <f>IF(ISERROR(VLOOKUP($A640,'13. Updated Demand'!A:Z,21,FALSE)),0,VLOOKUP($A640,'13. Updated Demand'!A:Z,21,FALSE))</f>
        <v>0</v>
      </c>
      <c r="AE640" s="16">
        <f>IF(ISERROR(VLOOKUP($A640,'13. Updated Demand'!A:Z,22,FALSE)),0,VLOOKUP($A640,'13. Updated Demand'!A:Z,22,FALSE))</f>
        <v>0</v>
      </c>
      <c r="AF640" s="16">
        <f>IF(ISERROR(VLOOKUP($A640,'13. Updated Demand'!A:Z,23,FALSE)),0,VLOOKUP($A640,'13. Updated Demand'!A:Z,23,FALSE))</f>
        <v>0</v>
      </c>
      <c r="AG640" s="16">
        <f>IF(ISERROR(VLOOKUP($A640,'13. Updated Demand'!A:Z,24,FALSE)),0,VLOOKUP($A640,'13. Updated Demand'!A:Z,24,FALSE))</f>
        <v>0</v>
      </c>
      <c r="AH640" s="16">
        <f>IF(ISERROR(VLOOKUP($A640,'13. Updated Demand'!A:Z,25,FALSE)),0,VLOOKUP($A640,'13. Updated Demand'!A:Z,25,FALSE))</f>
        <v>1.3333333329999999</v>
      </c>
      <c r="AI640" s="16">
        <f>IF(ISERROR(VLOOKUP($A640,'13. Updated Demand'!A:Z,26,FALSE)),0,VLOOKUP($A640,'13. Updated Demand'!A:Z,26,FALSE))</f>
        <v>1.6666666670000001</v>
      </c>
      <c r="AJ640" s="16">
        <f t="shared" si="120"/>
        <v>8.3333333329999988</v>
      </c>
      <c r="AK640" s="19">
        <v>0</v>
      </c>
      <c r="AL640" s="16">
        <f t="shared" si="118"/>
        <v>0</v>
      </c>
      <c r="AM640" s="17">
        <v>0.17730496453191485</v>
      </c>
      <c r="AN640" s="19"/>
      <c r="AO640" s="19"/>
      <c r="AP640" s="19">
        <v>47</v>
      </c>
      <c r="AQ640" s="19" t="s">
        <v>307</v>
      </c>
      <c r="AR640" s="9" t="s">
        <v>391</v>
      </c>
      <c r="AS640" s="12">
        <v>0</v>
      </c>
      <c r="AT640" s="19">
        <v>38.508176890000001</v>
      </c>
      <c r="AU640" s="19">
        <v>-122.83770767</v>
      </c>
      <c r="AV640" s="19" t="s">
        <v>417</v>
      </c>
    </row>
    <row r="641" spans="1:48" x14ac:dyDescent="0.25">
      <c r="A641" s="18" t="s">
        <v>1029</v>
      </c>
      <c r="B641" s="10">
        <v>19750121</v>
      </c>
      <c r="C641" s="9">
        <v>5</v>
      </c>
      <c r="D641" s="8" t="str">
        <f t="shared" si="109"/>
        <v>Y</v>
      </c>
      <c r="E641" s="8" t="str">
        <f t="shared" si="110"/>
        <v>N</v>
      </c>
      <c r="F641" s="8" t="str">
        <f t="shared" si="111"/>
        <v>Y</v>
      </c>
      <c r="G641" s="8" t="str">
        <f t="shared" si="112"/>
        <v>Y</v>
      </c>
      <c r="H641" s="8" t="str">
        <f t="shared" si="113"/>
        <v>Upper</v>
      </c>
      <c r="I641" s="8" t="str">
        <f t="shared" si="114"/>
        <v>West Fork and Below Lake</v>
      </c>
      <c r="J641" s="8" t="str">
        <f t="shared" si="115"/>
        <v>Mendocino (d/s of lake)</v>
      </c>
      <c r="K641" s="8" t="str">
        <f t="shared" si="116"/>
        <v>Post-1949</v>
      </c>
      <c r="L641" s="8">
        <f t="shared" si="117"/>
        <v>1975</v>
      </c>
      <c r="M641" s="8" t="str">
        <f t="shared" si="119"/>
        <v>1971-1990</v>
      </c>
      <c r="N641" s="10" t="s">
        <v>241</v>
      </c>
      <c r="O641" s="10" t="s">
        <v>241</v>
      </c>
      <c r="P641" s="10" t="s">
        <v>242</v>
      </c>
      <c r="Q641" s="10" t="s">
        <v>242</v>
      </c>
      <c r="R641" s="10" t="s">
        <v>241</v>
      </c>
      <c r="S641" s="10" t="s">
        <v>242</v>
      </c>
      <c r="T641" s="10" t="s">
        <v>242</v>
      </c>
      <c r="U641" s="10" t="s">
        <v>242</v>
      </c>
      <c r="V641" s="10" t="s">
        <v>242</v>
      </c>
      <c r="W641" s="10" t="s">
        <v>242</v>
      </c>
      <c r="X641" s="15">
        <f>IF(ISERROR(VLOOKUP($A641,'13. Updated Demand'!A:Z,15,FALSE)),0,VLOOKUP($A641,'13. Updated Demand'!A:Z,15,FALSE))</f>
        <v>6</v>
      </c>
      <c r="Y641" s="16">
        <f>IF(ISERROR(VLOOKUP($A641,'13. Updated Demand'!A:Z,16,FALSE)),0,VLOOKUP($A641,'13. Updated Demand'!A:Z,16,FALSE))</f>
        <v>6</v>
      </c>
      <c r="Z641" s="16">
        <f>IF(ISERROR(VLOOKUP($A641,'13. Updated Demand'!A:Z,17,FALSE)),0,VLOOKUP($A641,'13. Updated Demand'!A:Z,17,FALSE))</f>
        <v>2.1800000000000002</v>
      </c>
      <c r="AA641" s="16">
        <f>IF(ISERROR(VLOOKUP($A641,'13. Updated Demand'!A:Z,18,FALSE)),0,VLOOKUP($A641,'13. Updated Demand'!A:Z,18,FALSE))</f>
        <v>0.46</v>
      </c>
      <c r="AB641" s="16">
        <f>IF(ISERROR(VLOOKUP($A641,'13. Updated Demand'!A:Z,19,FALSE)),0,VLOOKUP($A641,'13. Updated Demand'!A:Z,19,FALSE))</f>
        <v>0.71</v>
      </c>
      <c r="AC641" s="16">
        <f>IF(ISERROR(VLOOKUP($A641,'13. Updated Demand'!A:Z,20,FALSE)),0,VLOOKUP($A641,'13. Updated Demand'!A:Z,20,FALSE))</f>
        <v>1.42</v>
      </c>
      <c r="AD641" s="16">
        <f>IF(ISERROR(VLOOKUP($A641,'13. Updated Demand'!A:Z,21,FALSE)),0,VLOOKUP($A641,'13. Updated Demand'!A:Z,21,FALSE))</f>
        <v>1.21</v>
      </c>
      <c r="AE641" s="16">
        <f>IF(ISERROR(VLOOKUP($A641,'13. Updated Demand'!A:Z,22,FALSE)),0,VLOOKUP($A641,'13. Updated Demand'!A:Z,22,FALSE))</f>
        <v>0</v>
      </c>
      <c r="AF641" s="16">
        <f>IF(ISERROR(VLOOKUP($A641,'13. Updated Demand'!A:Z,23,FALSE)),0,VLOOKUP($A641,'13. Updated Demand'!A:Z,23,FALSE))</f>
        <v>0</v>
      </c>
      <c r="AG641" s="16">
        <f>IF(ISERROR(VLOOKUP($A641,'13. Updated Demand'!A:Z,24,FALSE)),0,VLOOKUP($A641,'13. Updated Demand'!A:Z,24,FALSE))</f>
        <v>0</v>
      </c>
      <c r="AH641" s="16">
        <f>IF(ISERROR(VLOOKUP($A641,'13. Updated Demand'!A:Z,25,FALSE)),0,VLOOKUP($A641,'13. Updated Demand'!A:Z,25,FALSE))</f>
        <v>0</v>
      </c>
      <c r="AI641" s="16">
        <f>IF(ISERROR(VLOOKUP($A641,'13. Updated Demand'!A:Z,26,FALSE)),0,VLOOKUP($A641,'13. Updated Demand'!A:Z,26,FALSE))</f>
        <v>0</v>
      </c>
      <c r="AJ641" s="16">
        <f t="shared" si="120"/>
        <v>17.980000000000004</v>
      </c>
      <c r="AK641" s="19">
        <v>3.3533333333333335</v>
      </c>
      <c r="AL641" s="16">
        <f t="shared" si="118"/>
        <v>1.1122624686104275E-2</v>
      </c>
      <c r="AM641" s="17">
        <v>0.99999999999999978</v>
      </c>
      <c r="AN641" s="19"/>
      <c r="AO641" s="19"/>
      <c r="AP641" s="19">
        <v>18</v>
      </c>
      <c r="AQ641" s="19" t="s">
        <v>307</v>
      </c>
      <c r="AR641" s="9" t="s">
        <v>333</v>
      </c>
      <c r="AS641" s="12">
        <v>0</v>
      </c>
      <c r="AT641" s="19">
        <v>39.047848270000003</v>
      </c>
      <c r="AU641" s="19">
        <v>-123.12967949999999</v>
      </c>
      <c r="AV641" s="19" t="s">
        <v>417</v>
      </c>
    </row>
    <row r="642" spans="1:48" x14ac:dyDescent="0.25">
      <c r="A642" s="18" t="s">
        <v>1030</v>
      </c>
      <c r="B642" s="10">
        <v>19750228</v>
      </c>
      <c r="C642" s="9">
        <v>18</v>
      </c>
      <c r="D642" s="8" t="str">
        <f t="shared" ref="D642:D705" si="121">IF(OR(C642=4,C642=5,C642=6),"Y","N")</f>
        <v>N</v>
      </c>
      <c r="E642" s="8" t="str">
        <f t="shared" ref="E642:E705" si="122">IF(AND(C642&gt;6,C642&lt;14),"Y","N")</f>
        <v>N</v>
      </c>
      <c r="F642" s="8" t="str">
        <f t="shared" ref="F642:F705" si="123">IF(C642&lt;14,"Y","N")</f>
        <v>N</v>
      </c>
      <c r="G642" s="8" t="str">
        <f t="shared" ref="G642:G705" si="124">IF(OR(C642=1,AND(C642&gt;3,C642&lt;14)),"Y","N")</f>
        <v>N</v>
      </c>
      <c r="H642" s="8" t="str">
        <f t="shared" ref="H642:H705" si="125">IF(C642&lt;14,"Upper","Lower")</f>
        <v>Lower</v>
      </c>
      <c r="I642" s="8" t="str">
        <f t="shared" ref="I642:I705" si="126">IF(G642="Y","West Fork and Below Lake","Outside")</f>
        <v>Outside</v>
      </c>
      <c r="J642" s="8" t="str">
        <f t="shared" ref="J642:J705" si="127">IF(D642="Y", "Mendocino (d/s of lake)", IF(E642="Y", "Sonoma (d/s of Clov. Gage)","Outside"))</f>
        <v>Outside</v>
      </c>
      <c r="K642" s="8" t="str">
        <f t="shared" ref="K642:K705" si="128">IF(P642="Y","pre-1914",IF(Q642="Y","Pre-1949",IF(R642="Y","Post-1949",IF(S642="Y","Riparian","Unknown"))))</f>
        <v>Post-1949</v>
      </c>
      <c r="L642" s="8">
        <f t="shared" ref="L642:L705" si="129">_xlfn.NUMBERVALUE(LEFT(B642,4))</f>
        <v>1975</v>
      </c>
      <c r="M642" s="8" t="str">
        <f t="shared" si="119"/>
        <v>1971-1990</v>
      </c>
      <c r="N642" s="10" t="s">
        <v>242</v>
      </c>
      <c r="O642" s="10" t="s">
        <v>242</v>
      </c>
      <c r="P642" s="10" t="s">
        <v>242</v>
      </c>
      <c r="Q642" s="10" t="s">
        <v>242</v>
      </c>
      <c r="R642" s="10" t="s">
        <v>241</v>
      </c>
      <c r="S642" s="10" t="s">
        <v>242</v>
      </c>
      <c r="T642" s="10" t="s">
        <v>242</v>
      </c>
      <c r="U642" s="10" t="s">
        <v>241</v>
      </c>
      <c r="V642" s="10" t="s">
        <v>241</v>
      </c>
      <c r="W642" s="10" t="s">
        <v>242</v>
      </c>
      <c r="X642" s="15">
        <f>IF(ISERROR(VLOOKUP($A642,'13. Updated Demand'!A:Z,15,FALSE)),0,VLOOKUP($A642,'13. Updated Demand'!A:Z,15,FALSE))</f>
        <v>0</v>
      </c>
      <c r="Y642" s="16">
        <f>IF(ISERROR(VLOOKUP($A642,'13. Updated Demand'!A:Z,16,FALSE)),0,VLOOKUP($A642,'13. Updated Demand'!A:Z,16,FALSE))</f>
        <v>0</v>
      </c>
      <c r="Z642" s="16">
        <f>IF(ISERROR(VLOOKUP($A642,'13. Updated Demand'!A:Z,17,FALSE)),0,VLOOKUP($A642,'13. Updated Demand'!A:Z,17,FALSE))</f>
        <v>0</v>
      </c>
      <c r="AA642" s="16">
        <f>IF(ISERROR(VLOOKUP($A642,'13. Updated Demand'!A:Z,18,FALSE)),0,VLOOKUP($A642,'13. Updated Demand'!A:Z,18,FALSE))</f>
        <v>0</v>
      </c>
      <c r="AB642" s="16">
        <f>IF(ISERROR(VLOOKUP($A642,'13. Updated Demand'!A:Z,19,FALSE)),0,VLOOKUP($A642,'13. Updated Demand'!A:Z,19,FALSE))</f>
        <v>0</v>
      </c>
      <c r="AC642" s="16">
        <f>IF(ISERROR(VLOOKUP($A642,'13. Updated Demand'!A:Z,20,FALSE)),0,VLOOKUP($A642,'13. Updated Demand'!A:Z,20,FALSE))</f>
        <v>0</v>
      </c>
      <c r="AD642" s="16">
        <f>IF(ISERROR(VLOOKUP($A642,'13. Updated Demand'!A:Z,21,FALSE)),0,VLOOKUP($A642,'13. Updated Demand'!A:Z,21,FALSE))</f>
        <v>0</v>
      </c>
      <c r="AE642" s="16">
        <f>IF(ISERROR(VLOOKUP($A642,'13. Updated Demand'!A:Z,22,FALSE)),0,VLOOKUP($A642,'13. Updated Demand'!A:Z,22,FALSE))</f>
        <v>0</v>
      </c>
      <c r="AF642" s="16">
        <f>IF(ISERROR(VLOOKUP($A642,'13. Updated Demand'!A:Z,23,FALSE)),0,VLOOKUP($A642,'13. Updated Demand'!A:Z,23,FALSE))</f>
        <v>0</v>
      </c>
      <c r="AG642" s="16">
        <f>IF(ISERROR(VLOOKUP($A642,'13. Updated Demand'!A:Z,24,FALSE)),0,VLOOKUP($A642,'13. Updated Demand'!A:Z,24,FALSE))</f>
        <v>0</v>
      </c>
      <c r="AH642" s="16">
        <f>IF(ISERROR(VLOOKUP($A642,'13. Updated Demand'!A:Z,25,FALSE)),0,VLOOKUP($A642,'13. Updated Demand'!A:Z,25,FALSE))</f>
        <v>0</v>
      </c>
      <c r="AI642" s="16">
        <f>IF(ISERROR(VLOOKUP($A642,'13. Updated Demand'!A:Z,26,FALSE)),0,VLOOKUP($A642,'13. Updated Demand'!A:Z,26,FALSE))</f>
        <v>0</v>
      </c>
      <c r="AJ642" s="16">
        <f t="shared" si="120"/>
        <v>0</v>
      </c>
      <c r="AK642" s="19">
        <v>0</v>
      </c>
      <c r="AL642" s="16">
        <f t="shared" ref="AL642:AL705" si="130">AK642/152/1.983471</f>
        <v>0</v>
      </c>
      <c r="AM642" s="17">
        <v>0</v>
      </c>
      <c r="AN642" s="19"/>
      <c r="AO642" s="19"/>
      <c r="AP642" s="19">
        <v>86</v>
      </c>
      <c r="AQ642" s="19" t="s">
        <v>307</v>
      </c>
      <c r="AR642" s="9" t="s">
        <v>352</v>
      </c>
      <c r="AS642" s="12">
        <v>0</v>
      </c>
      <c r="AT642" s="19">
        <v>38.461334610000002</v>
      </c>
      <c r="AU642" s="19">
        <v>-122.89583451</v>
      </c>
      <c r="AV642" s="19" t="s">
        <v>1031</v>
      </c>
    </row>
    <row r="643" spans="1:48" x14ac:dyDescent="0.25">
      <c r="A643" s="18" t="s">
        <v>1032</v>
      </c>
      <c r="B643" s="10">
        <v>19750228</v>
      </c>
      <c r="C643" s="9">
        <v>17</v>
      </c>
      <c r="D643" s="8" t="str">
        <f t="shared" si="121"/>
        <v>N</v>
      </c>
      <c r="E643" s="8" t="str">
        <f t="shared" si="122"/>
        <v>N</v>
      </c>
      <c r="F643" s="8" t="str">
        <f t="shared" si="123"/>
        <v>N</v>
      </c>
      <c r="G643" s="8" t="str">
        <f t="shared" si="124"/>
        <v>N</v>
      </c>
      <c r="H643" s="8" t="str">
        <f t="shared" si="125"/>
        <v>Lower</v>
      </c>
      <c r="I643" s="8" t="str">
        <f t="shared" si="126"/>
        <v>Outside</v>
      </c>
      <c r="J643" s="8" t="str">
        <f t="shared" si="127"/>
        <v>Outside</v>
      </c>
      <c r="K643" s="8" t="str">
        <f t="shared" si="128"/>
        <v>Post-1949</v>
      </c>
      <c r="L643" s="8">
        <f t="shared" si="129"/>
        <v>1975</v>
      </c>
      <c r="M643" s="8" t="str">
        <f t="shared" ref="M643:M706" si="131">IF(L643=1949,"1949",IF(AND(L643&gt;1949,L643&lt;1953),"1950-1952",IF(AND(L643&gt;1952,L643&lt;1955),"1953-1954",IF(AND(L643&gt;1954,L643&lt;1957),"1955-1956",IF(AND(L643&gt;1956,L643&lt;1960),"1957-1959",IF(AND(L643&gt;1959,L643&lt;1971),"1960-1970",IF(AND(L643&gt;1970,L643&lt;1991),"1971-1990",IF(L643&gt;1990,"1991-present","-"))))))))</f>
        <v>1971-1990</v>
      </c>
      <c r="N643" s="10" t="s">
        <v>241</v>
      </c>
      <c r="O643" s="10" t="s">
        <v>242</v>
      </c>
      <c r="P643" s="10" t="s">
        <v>242</v>
      </c>
      <c r="Q643" s="10" t="s">
        <v>242</v>
      </c>
      <c r="R643" s="10" t="s">
        <v>241</v>
      </c>
      <c r="S643" s="10" t="s">
        <v>242</v>
      </c>
      <c r="T643" s="10" t="s">
        <v>242</v>
      </c>
      <c r="U643" s="10" t="s">
        <v>242</v>
      </c>
      <c r="V643" s="10" t="s">
        <v>242</v>
      </c>
      <c r="W643" s="10" t="s">
        <v>242</v>
      </c>
      <c r="X643" s="15">
        <f>IF(ISERROR(VLOOKUP($A643,'13. Updated Demand'!A:Z,15,FALSE)),0,VLOOKUP($A643,'13. Updated Demand'!A:Z,15,FALSE))</f>
        <v>0</v>
      </c>
      <c r="Y643" s="16">
        <f>IF(ISERROR(VLOOKUP($A643,'13. Updated Demand'!A:Z,16,FALSE)),0,VLOOKUP($A643,'13. Updated Demand'!A:Z,16,FALSE))</f>
        <v>0</v>
      </c>
      <c r="Z643" s="16">
        <f>IF(ISERROR(VLOOKUP($A643,'13. Updated Demand'!A:Z,17,FALSE)),0,VLOOKUP($A643,'13. Updated Demand'!A:Z,17,FALSE))</f>
        <v>0</v>
      </c>
      <c r="AA643" s="16">
        <f>IF(ISERROR(VLOOKUP($A643,'13. Updated Demand'!A:Z,18,FALSE)),0,VLOOKUP($A643,'13. Updated Demand'!A:Z,18,FALSE))</f>
        <v>0</v>
      </c>
      <c r="AB643" s="16">
        <f>IF(ISERROR(VLOOKUP($A643,'13. Updated Demand'!A:Z,19,FALSE)),0,VLOOKUP($A643,'13. Updated Demand'!A:Z,19,FALSE))</f>
        <v>0</v>
      </c>
      <c r="AC643" s="16">
        <f>IF(ISERROR(VLOOKUP($A643,'13. Updated Demand'!A:Z,20,FALSE)),0,VLOOKUP($A643,'13. Updated Demand'!A:Z,20,FALSE))</f>
        <v>3.3300000000000003E-5</v>
      </c>
      <c r="AD643" s="16">
        <f>IF(ISERROR(VLOOKUP($A643,'13. Updated Demand'!A:Z,21,FALSE)),0,VLOOKUP($A643,'13. Updated Demand'!A:Z,21,FALSE))</f>
        <v>0.11</v>
      </c>
      <c r="AE643" s="16">
        <f>IF(ISERROR(VLOOKUP($A643,'13. Updated Demand'!A:Z,22,FALSE)),0,VLOOKUP($A643,'13. Updated Demand'!A:Z,22,FALSE))</f>
        <v>0.01</v>
      </c>
      <c r="AF643" s="16">
        <f>IF(ISERROR(VLOOKUP($A643,'13. Updated Demand'!A:Z,23,FALSE)),0,VLOOKUP($A643,'13. Updated Demand'!A:Z,23,FALSE))</f>
        <v>0</v>
      </c>
      <c r="AG643" s="16">
        <f>IF(ISERROR(VLOOKUP($A643,'13. Updated Demand'!A:Z,24,FALSE)),0,VLOOKUP($A643,'13. Updated Demand'!A:Z,24,FALSE))</f>
        <v>0</v>
      </c>
      <c r="AH643" s="16">
        <f>IF(ISERROR(VLOOKUP($A643,'13. Updated Demand'!A:Z,25,FALSE)),0,VLOOKUP($A643,'13. Updated Demand'!A:Z,25,FALSE))</f>
        <v>0</v>
      </c>
      <c r="AI643" s="16">
        <f>IF(ISERROR(VLOOKUP($A643,'13. Updated Demand'!A:Z,26,FALSE)),0,VLOOKUP($A643,'13. Updated Demand'!A:Z,26,FALSE))</f>
        <v>0</v>
      </c>
      <c r="AJ643" s="16">
        <f t="shared" si="120"/>
        <v>0.1200333</v>
      </c>
      <c r="AK643" s="19">
        <v>0.1200333</v>
      </c>
      <c r="AL643" s="16">
        <f t="shared" si="130"/>
        <v>3.9813678302223461E-4</v>
      </c>
      <c r="AM643" s="17">
        <v>3.872041935483871E-3</v>
      </c>
      <c r="AN643" s="19"/>
      <c r="AO643" s="19"/>
      <c r="AP643" s="19">
        <v>31</v>
      </c>
      <c r="AQ643" s="19" t="s">
        <v>307</v>
      </c>
      <c r="AR643" s="9" t="s">
        <v>486</v>
      </c>
      <c r="AS643" s="12">
        <v>0</v>
      </c>
      <c r="AT643" s="19">
        <v>38.581911210000001</v>
      </c>
      <c r="AU643" s="19">
        <v>-122.85606555</v>
      </c>
      <c r="AV643" s="19" t="s">
        <v>548</v>
      </c>
    </row>
    <row r="644" spans="1:48" x14ac:dyDescent="0.25">
      <c r="A644" s="18" t="s">
        <v>1033</v>
      </c>
      <c r="B644" s="10">
        <v>19750228</v>
      </c>
      <c r="C644" s="9">
        <v>17</v>
      </c>
      <c r="D644" s="8" t="str">
        <f t="shared" si="121"/>
        <v>N</v>
      </c>
      <c r="E644" s="8" t="str">
        <f t="shared" si="122"/>
        <v>N</v>
      </c>
      <c r="F644" s="8" t="str">
        <f t="shared" si="123"/>
        <v>N</v>
      </c>
      <c r="G644" s="8" t="str">
        <f t="shared" si="124"/>
        <v>N</v>
      </c>
      <c r="H644" s="8" t="str">
        <f t="shared" si="125"/>
        <v>Lower</v>
      </c>
      <c r="I644" s="8" t="str">
        <f t="shared" si="126"/>
        <v>Outside</v>
      </c>
      <c r="J644" s="8" t="str">
        <f t="shared" si="127"/>
        <v>Outside</v>
      </c>
      <c r="K644" s="8" t="str">
        <f t="shared" si="128"/>
        <v>Post-1949</v>
      </c>
      <c r="L644" s="8">
        <f t="shared" si="129"/>
        <v>1975</v>
      </c>
      <c r="M644" s="8" t="str">
        <f t="shared" si="131"/>
        <v>1971-1990</v>
      </c>
      <c r="N644" s="10" t="s">
        <v>241</v>
      </c>
      <c r="O644" s="10" t="s">
        <v>242</v>
      </c>
      <c r="P644" s="10" t="s">
        <v>242</v>
      </c>
      <c r="Q644" s="10" t="s">
        <v>242</v>
      </c>
      <c r="R644" s="10" t="s">
        <v>241</v>
      </c>
      <c r="S644" s="10" t="s">
        <v>242</v>
      </c>
      <c r="T644" s="10" t="s">
        <v>242</v>
      </c>
      <c r="U644" s="10" t="s">
        <v>242</v>
      </c>
      <c r="V644" s="10" t="s">
        <v>242</v>
      </c>
      <c r="W644" s="10" t="s">
        <v>242</v>
      </c>
      <c r="X644" s="15">
        <f>IF(ISERROR(VLOOKUP($A644,'13. Updated Demand'!A:Z,15,FALSE)),0,VLOOKUP($A644,'13. Updated Demand'!A:Z,15,FALSE))</f>
        <v>0</v>
      </c>
      <c r="Y644" s="16">
        <f>IF(ISERROR(VLOOKUP($A644,'13. Updated Demand'!A:Z,16,FALSE)),0,VLOOKUP($A644,'13. Updated Demand'!A:Z,16,FALSE))</f>
        <v>0</v>
      </c>
      <c r="Z644" s="16">
        <f>IF(ISERROR(VLOOKUP($A644,'13. Updated Demand'!A:Z,17,FALSE)),0,VLOOKUP($A644,'13. Updated Demand'!A:Z,17,FALSE))</f>
        <v>0.66666666699999999</v>
      </c>
      <c r="AA644" s="16">
        <f>IF(ISERROR(VLOOKUP($A644,'13. Updated Demand'!A:Z,18,FALSE)),0,VLOOKUP($A644,'13. Updated Demand'!A:Z,18,FALSE))</f>
        <v>0.3</v>
      </c>
      <c r="AB644" s="16">
        <f>IF(ISERROR(VLOOKUP($A644,'13. Updated Demand'!A:Z,19,FALSE)),0,VLOOKUP($A644,'13. Updated Demand'!A:Z,19,FALSE))</f>
        <v>1.6666700000000001E-4</v>
      </c>
      <c r="AC644" s="16">
        <f>IF(ISERROR(VLOOKUP($A644,'13. Updated Demand'!A:Z,20,FALSE)),0,VLOOKUP($A644,'13. Updated Demand'!A:Z,20,FALSE))</f>
        <v>0</v>
      </c>
      <c r="AD644" s="16">
        <f>IF(ISERROR(VLOOKUP($A644,'13. Updated Demand'!A:Z,21,FALSE)),0,VLOOKUP($A644,'13. Updated Demand'!A:Z,21,FALSE))</f>
        <v>0</v>
      </c>
      <c r="AE644" s="16">
        <f>IF(ISERROR(VLOOKUP($A644,'13. Updated Demand'!A:Z,22,FALSE)),0,VLOOKUP($A644,'13. Updated Demand'!A:Z,22,FALSE))</f>
        <v>0</v>
      </c>
      <c r="AF644" s="16">
        <f>IF(ISERROR(VLOOKUP($A644,'13. Updated Demand'!A:Z,23,FALSE)),0,VLOOKUP($A644,'13. Updated Demand'!A:Z,23,FALSE))</f>
        <v>0</v>
      </c>
      <c r="AG644" s="16">
        <f>IF(ISERROR(VLOOKUP($A644,'13. Updated Demand'!A:Z,24,FALSE)),0,VLOOKUP($A644,'13. Updated Demand'!A:Z,24,FALSE))</f>
        <v>0</v>
      </c>
      <c r="AH644" s="16">
        <f>IF(ISERROR(VLOOKUP($A644,'13. Updated Demand'!A:Z,25,FALSE)),0,VLOOKUP($A644,'13. Updated Demand'!A:Z,25,FALSE))</f>
        <v>0</v>
      </c>
      <c r="AI644" s="16">
        <f>IF(ISERROR(VLOOKUP($A644,'13. Updated Demand'!A:Z,26,FALSE)),0,VLOOKUP($A644,'13. Updated Demand'!A:Z,26,FALSE))</f>
        <v>0</v>
      </c>
      <c r="AJ644" s="16">
        <f t="shared" si="120"/>
        <v>0.96683333399999993</v>
      </c>
      <c r="AK644" s="19">
        <v>1.6666700000000001E-4</v>
      </c>
      <c r="AL644" s="16">
        <f t="shared" si="130"/>
        <v>5.5281545384461463E-7</v>
      </c>
      <c r="AM644" s="17">
        <v>2.4790598307692306E-2</v>
      </c>
      <c r="AN644" s="19"/>
      <c r="AO644" s="19"/>
      <c r="AP644" s="19">
        <v>39</v>
      </c>
      <c r="AQ644" s="19" t="s">
        <v>307</v>
      </c>
      <c r="AR644" s="9" t="s">
        <v>486</v>
      </c>
      <c r="AS644" s="12">
        <v>0</v>
      </c>
      <c r="AT644" s="19">
        <v>38.581911210000001</v>
      </c>
      <c r="AU644" s="19">
        <v>-122.85606555</v>
      </c>
      <c r="AV644" s="19" t="s">
        <v>548</v>
      </c>
    </row>
    <row r="645" spans="1:48" x14ac:dyDescent="0.25">
      <c r="A645" s="18" t="s">
        <v>1034</v>
      </c>
      <c r="B645" s="10">
        <v>19750228</v>
      </c>
      <c r="C645" s="9">
        <v>6</v>
      </c>
      <c r="D645" s="8" t="str">
        <f t="shared" si="121"/>
        <v>Y</v>
      </c>
      <c r="E645" s="8" t="str">
        <f t="shared" si="122"/>
        <v>N</v>
      </c>
      <c r="F645" s="8" t="str">
        <f t="shared" si="123"/>
        <v>Y</v>
      </c>
      <c r="G645" s="8" t="str">
        <f t="shared" si="124"/>
        <v>Y</v>
      </c>
      <c r="H645" s="8" t="str">
        <f t="shared" si="125"/>
        <v>Upper</v>
      </c>
      <c r="I645" s="8" t="str">
        <f t="shared" si="126"/>
        <v>West Fork and Below Lake</v>
      </c>
      <c r="J645" s="8" t="str">
        <f t="shared" si="127"/>
        <v>Mendocino (d/s of lake)</v>
      </c>
      <c r="K645" s="8" t="str">
        <f t="shared" si="128"/>
        <v>Post-1949</v>
      </c>
      <c r="L645" s="8">
        <f t="shared" si="129"/>
        <v>1975</v>
      </c>
      <c r="M645" s="8" t="str">
        <f t="shared" si="131"/>
        <v>1971-1990</v>
      </c>
      <c r="N645" s="10" t="s">
        <v>241</v>
      </c>
      <c r="O645" s="10" t="s">
        <v>241</v>
      </c>
      <c r="P645" s="10" t="s">
        <v>242</v>
      </c>
      <c r="Q645" s="10" t="s">
        <v>242</v>
      </c>
      <c r="R645" s="10" t="s">
        <v>241</v>
      </c>
      <c r="S645" s="10" t="s">
        <v>242</v>
      </c>
      <c r="T645" s="10" t="s">
        <v>242</v>
      </c>
      <c r="U645" s="10" t="s">
        <v>242</v>
      </c>
      <c r="V645" s="10" t="s">
        <v>242</v>
      </c>
      <c r="W645" s="10" t="s">
        <v>242</v>
      </c>
      <c r="X645" s="15">
        <f>IF(ISERROR(VLOOKUP($A645,'13. Updated Demand'!A:Z,15,FALSE)),0,VLOOKUP($A645,'13. Updated Demand'!A:Z,15,FALSE))</f>
        <v>0</v>
      </c>
      <c r="Y645" s="16">
        <f>IF(ISERROR(VLOOKUP($A645,'13. Updated Demand'!A:Z,16,FALSE)),0,VLOOKUP($A645,'13. Updated Demand'!A:Z,16,FALSE))</f>
        <v>0</v>
      </c>
      <c r="Z645" s="16">
        <f>IF(ISERROR(VLOOKUP($A645,'13. Updated Demand'!A:Z,17,FALSE)),0,VLOOKUP($A645,'13. Updated Demand'!A:Z,17,FALSE))</f>
        <v>28.66</v>
      </c>
      <c r="AA645" s="16">
        <f>IF(ISERROR(VLOOKUP($A645,'13. Updated Demand'!A:Z,18,FALSE)),0,VLOOKUP($A645,'13. Updated Demand'!A:Z,18,FALSE))</f>
        <v>28.66</v>
      </c>
      <c r="AB645" s="16">
        <f>IF(ISERROR(VLOOKUP($A645,'13. Updated Demand'!A:Z,19,FALSE)),0,VLOOKUP($A645,'13. Updated Demand'!A:Z,19,FALSE))</f>
        <v>28.66</v>
      </c>
      <c r="AC645" s="16">
        <f>IF(ISERROR(VLOOKUP($A645,'13. Updated Demand'!A:Z,20,FALSE)),0,VLOOKUP($A645,'13. Updated Demand'!A:Z,20,FALSE))</f>
        <v>0</v>
      </c>
      <c r="AD645" s="16">
        <f>IF(ISERROR(VLOOKUP($A645,'13. Updated Demand'!A:Z,21,FALSE)),0,VLOOKUP($A645,'13. Updated Demand'!A:Z,21,FALSE))</f>
        <v>0</v>
      </c>
      <c r="AE645" s="16">
        <f>IF(ISERROR(VLOOKUP($A645,'13. Updated Demand'!A:Z,22,FALSE)),0,VLOOKUP($A645,'13. Updated Demand'!A:Z,22,FALSE))</f>
        <v>0</v>
      </c>
      <c r="AF645" s="16">
        <f>IF(ISERROR(VLOOKUP($A645,'13. Updated Demand'!A:Z,23,FALSE)),0,VLOOKUP($A645,'13. Updated Demand'!A:Z,23,FALSE))</f>
        <v>0</v>
      </c>
      <c r="AG645" s="16">
        <f>IF(ISERROR(VLOOKUP($A645,'13. Updated Demand'!A:Z,24,FALSE)),0,VLOOKUP($A645,'13. Updated Demand'!A:Z,24,FALSE))</f>
        <v>0</v>
      </c>
      <c r="AH645" s="16">
        <f>IF(ISERROR(VLOOKUP($A645,'13. Updated Demand'!A:Z,25,FALSE)),0,VLOOKUP($A645,'13. Updated Demand'!A:Z,25,FALSE))</f>
        <v>0</v>
      </c>
      <c r="AI645" s="16">
        <f>IF(ISERROR(VLOOKUP($A645,'13. Updated Demand'!A:Z,26,FALSE)),0,VLOOKUP($A645,'13. Updated Demand'!A:Z,26,FALSE))</f>
        <v>0</v>
      </c>
      <c r="AJ645" s="16">
        <f t="shared" si="120"/>
        <v>85.98</v>
      </c>
      <c r="AK645" s="19">
        <v>28.66</v>
      </c>
      <c r="AL645" s="16">
        <f t="shared" si="130"/>
        <v>9.5061955319209288E-2</v>
      </c>
      <c r="AM645" s="17">
        <v>0.99976744186046518</v>
      </c>
      <c r="AN645" s="19"/>
      <c r="AO645" s="19"/>
      <c r="AP645" s="19">
        <v>86</v>
      </c>
      <c r="AQ645" s="19" t="s">
        <v>307</v>
      </c>
      <c r="AR645" s="9" t="s">
        <v>319</v>
      </c>
      <c r="AS645" s="12">
        <v>0</v>
      </c>
      <c r="AT645" s="19">
        <v>38.994260189999999</v>
      </c>
      <c r="AU645" s="19">
        <v>-123.11007112</v>
      </c>
      <c r="AV645" s="19" t="s">
        <v>387</v>
      </c>
    </row>
    <row r="646" spans="1:48" x14ac:dyDescent="0.25">
      <c r="A646" s="18" t="s">
        <v>1035</v>
      </c>
      <c r="B646" s="10">
        <v>19750311</v>
      </c>
      <c r="C646" s="9">
        <v>1</v>
      </c>
      <c r="D646" s="8" t="str">
        <f t="shared" si="121"/>
        <v>N</v>
      </c>
      <c r="E646" s="8" t="str">
        <f t="shared" si="122"/>
        <v>N</v>
      </c>
      <c r="F646" s="8" t="str">
        <f t="shared" si="123"/>
        <v>Y</v>
      </c>
      <c r="G646" s="8" t="str">
        <f t="shared" si="124"/>
        <v>Y</v>
      </c>
      <c r="H646" s="8" t="str">
        <f t="shared" si="125"/>
        <v>Upper</v>
      </c>
      <c r="I646" s="8" t="str">
        <f t="shared" si="126"/>
        <v>West Fork and Below Lake</v>
      </c>
      <c r="J646" s="8" t="str">
        <f t="shared" si="127"/>
        <v>Outside</v>
      </c>
      <c r="K646" s="8" t="str">
        <f t="shared" si="128"/>
        <v>Post-1949</v>
      </c>
      <c r="L646" s="8">
        <f t="shared" si="129"/>
        <v>1975</v>
      </c>
      <c r="M646" s="8" t="str">
        <f t="shared" si="131"/>
        <v>1971-1990</v>
      </c>
      <c r="N646" s="10" t="s">
        <v>242</v>
      </c>
      <c r="O646" s="10" t="s">
        <v>241</v>
      </c>
      <c r="P646" s="10" t="s">
        <v>242</v>
      </c>
      <c r="Q646" s="10" t="s">
        <v>242</v>
      </c>
      <c r="R646" s="10" t="s">
        <v>241</v>
      </c>
      <c r="S646" s="10" t="s">
        <v>242</v>
      </c>
      <c r="T646" s="10" t="s">
        <v>242</v>
      </c>
      <c r="U646" s="10" t="s">
        <v>242</v>
      </c>
      <c r="V646" s="10" t="s">
        <v>242</v>
      </c>
      <c r="W646" s="10" t="s">
        <v>242</v>
      </c>
      <c r="X646" s="15">
        <f>IF(ISERROR(VLOOKUP($A646,'13. Updated Demand'!A:Z,15,FALSE)),0,VLOOKUP($A646,'13. Updated Demand'!A:Z,15,FALSE))</f>
        <v>0.13</v>
      </c>
      <c r="Y646" s="16">
        <f>IF(ISERROR(VLOOKUP($A646,'13. Updated Demand'!A:Z,16,FALSE)),0,VLOOKUP($A646,'13. Updated Demand'!A:Z,16,FALSE))</f>
        <v>0.13</v>
      </c>
      <c r="Z646" s="16">
        <f>IF(ISERROR(VLOOKUP($A646,'13. Updated Demand'!A:Z,17,FALSE)),0,VLOOKUP($A646,'13. Updated Demand'!A:Z,17,FALSE))</f>
        <v>0.13</v>
      </c>
      <c r="AA646" s="16">
        <f>IF(ISERROR(VLOOKUP($A646,'13. Updated Demand'!A:Z,18,FALSE)),0,VLOOKUP($A646,'13. Updated Demand'!A:Z,18,FALSE))</f>
        <v>0.13</v>
      </c>
      <c r="AB646" s="16">
        <f>IF(ISERROR(VLOOKUP($A646,'13. Updated Demand'!A:Z,19,FALSE)),0,VLOOKUP($A646,'13. Updated Demand'!A:Z,19,FALSE))</f>
        <v>0</v>
      </c>
      <c r="AC646" s="16">
        <f>IF(ISERROR(VLOOKUP($A646,'13. Updated Demand'!A:Z,20,FALSE)),0,VLOOKUP($A646,'13. Updated Demand'!A:Z,20,FALSE))</f>
        <v>0.41</v>
      </c>
      <c r="AD646" s="16">
        <f>IF(ISERROR(VLOOKUP($A646,'13. Updated Demand'!A:Z,21,FALSE)),0,VLOOKUP($A646,'13. Updated Demand'!A:Z,21,FALSE))</f>
        <v>0.41</v>
      </c>
      <c r="AE646" s="16">
        <f>IF(ISERROR(VLOOKUP($A646,'13. Updated Demand'!A:Z,22,FALSE)),0,VLOOKUP($A646,'13. Updated Demand'!A:Z,22,FALSE))</f>
        <v>0.41</v>
      </c>
      <c r="AF646" s="16">
        <f>IF(ISERROR(VLOOKUP($A646,'13. Updated Demand'!A:Z,23,FALSE)),0,VLOOKUP($A646,'13. Updated Demand'!A:Z,23,FALSE))</f>
        <v>0.41</v>
      </c>
      <c r="AG646" s="16">
        <f>IF(ISERROR(VLOOKUP($A646,'13. Updated Demand'!A:Z,24,FALSE)),0,VLOOKUP($A646,'13. Updated Demand'!A:Z,24,FALSE))</f>
        <v>0.41</v>
      </c>
      <c r="AH646" s="16">
        <f>IF(ISERROR(VLOOKUP($A646,'13. Updated Demand'!A:Z,25,FALSE)),0,VLOOKUP($A646,'13. Updated Demand'!A:Z,25,FALSE))</f>
        <v>0.12</v>
      </c>
      <c r="AI646" s="16">
        <f>IF(ISERROR(VLOOKUP($A646,'13. Updated Demand'!A:Z,26,FALSE)),0,VLOOKUP($A646,'13. Updated Demand'!A:Z,26,FALSE))</f>
        <v>0.12</v>
      </c>
      <c r="AJ646" s="16">
        <f t="shared" si="120"/>
        <v>2.81</v>
      </c>
      <c r="AK646" s="19">
        <v>1.6481399999999999</v>
      </c>
      <c r="AL646" s="16">
        <f t="shared" si="130"/>
        <v>5.4666926392115001E-3</v>
      </c>
      <c r="AM646" s="17">
        <v>0.32695367816091953</v>
      </c>
      <c r="AN646" s="19"/>
      <c r="AO646" s="19"/>
      <c r="AP646" s="19">
        <v>8.6999999999999993</v>
      </c>
      <c r="AQ646" s="19" t="s">
        <v>307</v>
      </c>
      <c r="AR646" s="9" t="s">
        <v>317</v>
      </c>
      <c r="AS646" s="12">
        <v>0</v>
      </c>
      <c r="AT646" s="19">
        <v>39.245699999999999</v>
      </c>
      <c r="AU646" s="19">
        <v>-123.221</v>
      </c>
      <c r="AV646" s="19" t="s">
        <v>385</v>
      </c>
    </row>
    <row r="647" spans="1:48" x14ac:dyDescent="0.25">
      <c r="A647" s="18" t="s">
        <v>1036</v>
      </c>
      <c r="B647" s="10">
        <v>19750318</v>
      </c>
      <c r="C647" s="9">
        <v>18</v>
      </c>
      <c r="D647" s="8" t="str">
        <f t="shared" si="121"/>
        <v>N</v>
      </c>
      <c r="E647" s="8" t="str">
        <f t="shared" si="122"/>
        <v>N</v>
      </c>
      <c r="F647" s="8" t="str">
        <f t="shared" si="123"/>
        <v>N</v>
      </c>
      <c r="G647" s="8" t="str">
        <f t="shared" si="124"/>
        <v>N</v>
      </c>
      <c r="H647" s="8" t="str">
        <f t="shared" si="125"/>
        <v>Lower</v>
      </c>
      <c r="I647" s="8" t="str">
        <f t="shared" si="126"/>
        <v>Outside</v>
      </c>
      <c r="J647" s="8" t="str">
        <f t="shared" si="127"/>
        <v>Outside</v>
      </c>
      <c r="K647" s="8" t="str">
        <f t="shared" si="128"/>
        <v>Post-1949</v>
      </c>
      <c r="L647" s="8">
        <f t="shared" si="129"/>
        <v>1975</v>
      </c>
      <c r="M647" s="8" t="str">
        <f t="shared" si="131"/>
        <v>1971-1990</v>
      </c>
      <c r="N647" s="10" t="s">
        <v>242</v>
      </c>
      <c r="O647" s="10" t="s">
        <v>242</v>
      </c>
      <c r="P647" s="10" t="s">
        <v>242</v>
      </c>
      <c r="Q647" s="10" t="s">
        <v>242</v>
      </c>
      <c r="R647" s="10" t="s">
        <v>241</v>
      </c>
      <c r="S647" s="10" t="s">
        <v>242</v>
      </c>
      <c r="T647" s="10" t="s">
        <v>242</v>
      </c>
      <c r="U647" s="10" t="s">
        <v>242</v>
      </c>
      <c r="V647" s="10" t="s">
        <v>242</v>
      </c>
      <c r="W647" s="10" t="s">
        <v>242</v>
      </c>
      <c r="X647" s="15">
        <f>IF(ISERROR(VLOOKUP($A647,'13. Updated Demand'!A:Z,15,FALSE)),0,VLOOKUP($A647,'13. Updated Demand'!A:Z,15,FALSE))</f>
        <v>1.5</v>
      </c>
      <c r="Y647" s="16">
        <f>IF(ISERROR(VLOOKUP($A647,'13. Updated Demand'!A:Z,16,FALSE)),0,VLOOKUP($A647,'13. Updated Demand'!A:Z,16,FALSE))</f>
        <v>1.5</v>
      </c>
      <c r="Z647" s="16">
        <f>IF(ISERROR(VLOOKUP($A647,'13. Updated Demand'!A:Z,17,FALSE)),0,VLOOKUP($A647,'13. Updated Demand'!A:Z,17,FALSE))</f>
        <v>1.2343333329999999</v>
      </c>
      <c r="AA647" s="16">
        <f>IF(ISERROR(VLOOKUP($A647,'13. Updated Demand'!A:Z,18,FALSE)),0,VLOOKUP($A647,'13. Updated Demand'!A:Z,18,FALSE))</f>
        <v>0.26166666700000002</v>
      </c>
      <c r="AB647" s="16">
        <f>IF(ISERROR(VLOOKUP($A647,'13. Updated Demand'!A:Z,19,FALSE)),0,VLOOKUP($A647,'13. Updated Demand'!A:Z,19,FALSE))</f>
        <v>0.33333333300000001</v>
      </c>
      <c r="AC647" s="16">
        <f>IF(ISERROR(VLOOKUP($A647,'13. Updated Demand'!A:Z,20,FALSE)),0,VLOOKUP($A647,'13. Updated Demand'!A:Z,20,FALSE))</f>
        <v>0</v>
      </c>
      <c r="AD647" s="16">
        <f>IF(ISERROR(VLOOKUP($A647,'13. Updated Demand'!A:Z,21,FALSE)),0,VLOOKUP($A647,'13. Updated Demand'!A:Z,21,FALSE))</f>
        <v>0</v>
      </c>
      <c r="AE647" s="16">
        <f>IF(ISERROR(VLOOKUP($A647,'13. Updated Demand'!A:Z,22,FALSE)),0,VLOOKUP($A647,'13. Updated Demand'!A:Z,22,FALSE))</f>
        <v>0</v>
      </c>
      <c r="AF647" s="16">
        <f>IF(ISERROR(VLOOKUP($A647,'13. Updated Demand'!A:Z,23,FALSE)),0,VLOOKUP($A647,'13. Updated Demand'!A:Z,23,FALSE))</f>
        <v>0</v>
      </c>
      <c r="AG647" s="16">
        <f>IF(ISERROR(VLOOKUP($A647,'13. Updated Demand'!A:Z,24,FALSE)),0,VLOOKUP($A647,'13. Updated Demand'!A:Z,24,FALSE))</f>
        <v>0</v>
      </c>
      <c r="AH647" s="16">
        <f>IF(ISERROR(VLOOKUP($A647,'13. Updated Demand'!A:Z,25,FALSE)),0,VLOOKUP($A647,'13. Updated Demand'!A:Z,25,FALSE))</f>
        <v>0</v>
      </c>
      <c r="AI647" s="16">
        <f>IF(ISERROR(VLOOKUP($A647,'13. Updated Demand'!A:Z,26,FALSE)),0,VLOOKUP($A647,'13. Updated Demand'!A:Z,26,FALSE))</f>
        <v>0</v>
      </c>
      <c r="AJ647" s="16">
        <f t="shared" si="120"/>
        <v>4.8293333330000001</v>
      </c>
      <c r="AK647" s="19">
        <v>0.33333333300000001</v>
      </c>
      <c r="AL647" s="16">
        <f t="shared" si="130"/>
        <v>1.1056286953262076E-3</v>
      </c>
      <c r="AM647" s="17">
        <v>0.79169398901639354</v>
      </c>
      <c r="AN647" s="19"/>
      <c r="AO647" s="19"/>
      <c r="AP647" s="19">
        <v>6.1</v>
      </c>
      <c r="AQ647" s="19" t="s">
        <v>307</v>
      </c>
      <c r="AR647" s="9" t="s">
        <v>352</v>
      </c>
      <c r="AS647" s="12">
        <v>0</v>
      </c>
      <c r="AT647" s="19">
        <v>38.444048500000001</v>
      </c>
      <c r="AU647" s="19">
        <v>-122.89404691999999</v>
      </c>
      <c r="AV647" s="19" t="s">
        <v>417</v>
      </c>
    </row>
    <row r="648" spans="1:48" x14ac:dyDescent="0.25">
      <c r="A648" s="18" t="s">
        <v>1037</v>
      </c>
      <c r="B648" s="10">
        <v>19750320</v>
      </c>
      <c r="C648" s="9">
        <v>23</v>
      </c>
      <c r="D648" s="8" t="str">
        <f t="shared" si="121"/>
        <v>N</v>
      </c>
      <c r="E648" s="8" t="str">
        <f t="shared" si="122"/>
        <v>N</v>
      </c>
      <c r="F648" s="8" t="str">
        <f t="shared" si="123"/>
        <v>N</v>
      </c>
      <c r="G648" s="8" t="str">
        <f t="shared" si="124"/>
        <v>N</v>
      </c>
      <c r="H648" s="8" t="str">
        <f t="shared" si="125"/>
        <v>Lower</v>
      </c>
      <c r="I648" s="8" t="str">
        <f t="shared" si="126"/>
        <v>Outside</v>
      </c>
      <c r="J648" s="8" t="str">
        <f t="shared" si="127"/>
        <v>Outside</v>
      </c>
      <c r="K648" s="8" t="str">
        <f t="shared" si="128"/>
        <v>Post-1949</v>
      </c>
      <c r="L648" s="8">
        <f t="shared" si="129"/>
        <v>1975</v>
      </c>
      <c r="M648" s="8" t="str">
        <f t="shared" si="131"/>
        <v>1971-1990</v>
      </c>
      <c r="N648" s="10" t="s">
        <v>242</v>
      </c>
      <c r="O648" s="10" t="s">
        <v>242</v>
      </c>
      <c r="P648" s="10" t="s">
        <v>242</v>
      </c>
      <c r="Q648" s="10" t="s">
        <v>242</v>
      </c>
      <c r="R648" s="10" t="s">
        <v>241</v>
      </c>
      <c r="S648" s="10" t="s">
        <v>242</v>
      </c>
      <c r="T648" s="10" t="s">
        <v>242</v>
      </c>
      <c r="U648" s="10" t="s">
        <v>242</v>
      </c>
      <c r="V648" s="10" t="s">
        <v>241</v>
      </c>
      <c r="W648" s="10" t="s">
        <v>242</v>
      </c>
      <c r="X648" s="15">
        <f>IF(ISERROR(VLOOKUP($A648,'13. Updated Demand'!A:Z,15,FALSE)),0,VLOOKUP($A648,'13. Updated Demand'!A:Z,15,FALSE))</f>
        <v>0.25</v>
      </c>
      <c r="Y648" s="16">
        <f>IF(ISERROR(VLOOKUP($A648,'13. Updated Demand'!A:Z,16,FALSE)),0,VLOOKUP($A648,'13. Updated Demand'!A:Z,16,FALSE))</f>
        <v>0.5</v>
      </c>
      <c r="Z648" s="16">
        <f>IF(ISERROR(VLOOKUP($A648,'13. Updated Demand'!A:Z,17,FALSE)),0,VLOOKUP($A648,'13. Updated Demand'!A:Z,17,FALSE))</f>
        <v>0.75</v>
      </c>
      <c r="AA648" s="16">
        <f>IF(ISERROR(VLOOKUP($A648,'13. Updated Demand'!A:Z,18,FALSE)),0,VLOOKUP($A648,'13. Updated Demand'!A:Z,18,FALSE))</f>
        <v>0.25</v>
      </c>
      <c r="AB648" s="16">
        <f>IF(ISERROR(VLOOKUP($A648,'13. Updated Demand'!A:Z,19,FALSE)),0,VLOOKUP($A648,'13. Updated Demand'!A:Z,19,FALSE))</f>
        <v>0</v>
      </c>
      <c r="AC648" s="16">
        <f>IF(ISERROR(VLOOKUP($A648,'13. Updated Demand'!A:Z,20,FALSE)),0,VLOOKUP($A648,'13. Updated Demand'!A:Z,20,FALSE))</f>
        <v>0</v>
      </c>
      <c r="AD648" s="16">
        <f>IF(ISERROR(VLOOKUP($A648,'13. Updated Demand'!A:Z,21,FALSE)),0,VLOOKUP($A648,'13. Updated Demand'!A:Z,21,FALSE))</f>
        <v>0</v>
      </c>
      <c r="AE648" s="16">
        <f>IF(ISERROR(VLOOKUP($A648,'13. Updated Demand'!A:Z,22,FALSE)),0,VLOOKUP($A648,'13. Updated Demand'!A:Z,22,FALSE))</f>
        <v>0</v>
      </c>
      <c r="AF648" s="16">
        <f>IF(ISERROR(VLOOKUP($A648,'13. Updated Demand'!A:Z,23,FALSE)),0,VLOOKUP($A648,'13. Updated Demand'!A:Z,23,FALSE))</f>
        <v>0</v>
      </c>
      <c r="AG648" s="16">
        <f>IF(ISERROR(VLOOKUP($A648,'13. Updated Demand'!A:Z,24,FALSE)),0,VLOOKUP($A648,'13. Updated Demand'!A:Z,24,FALSE))</f>
        <v>0</v>
      </c>
      <c r="AH648" s="16">
        <f>IF(ISERROR(VLOOKUP($A648,'13. Updated Demand'!A:Z,25,FALSE)),0,VLOOKUP($A648,'13. Updated Demand'!A:Z,25,FALSE))</f>
        <v>0</v>
      </c>
      <c r="AI648" s="16">
        <f>IF(ISERROR(VLOOKUP($A648,'13. Updated Demand'!A:Z,26,FALSE)),0,VLOOKUP($A648,'13. Updated Demand'!A:Z,26,FALSE))</f>
        <v>0.25</v>
      </c>
      <c r="AJ648" s="16">
        <f t="shared" si="120"/>
        <v>2</v>
      </c>
      <c r="AK648" s="19">
        <v>0</v>
      </c>
      <c r="AL648" s="16">
        <f t="shared" si="130"/>
        <v>0</v>
      </c>
      <c r="AM648" s="17">
        <v>1</v>
      </c>
      <c r="AN648" s="19"/>
      <c r="AO648" s="19"/>
      <c r="AP648" s="19">
        <v>2</v>
      </c>
      <c r="AQ648" s="19" t="s">
        <v>307</v>
      </c>
      <c r="AR648" s="9" t="s">
        <v>323</v>
      </c>
      <c r="AS648" s="12">
        <v>0</v>
      </c>
      <c r="AT648" s="19">
        <v>38.555799999999998</v>
      </c>
      <c r="AU648" s="19">
        <v>-122.6121</v>
      </c>
      <c r="AV648" s="19" t="s">
        <v>417</v>
      </c>
    </row>
    <row r="649" spans="1:48" x14ac:dyDescent="0.25">
      <c r="A649" s="18" t="s">
        <v>1038</v>
      </c>
      <c r="B649" s="10">
        <v>19750327</v>
      </c>
      <c r="C649" s="9">
        <v>5</v>
      </c>
      <c r="D649" s="8" t="str">
        <f t="shared" si="121"/>
        <v>Y</v>
      </c>
      <c r="E649" s="8" t="str">
        <f t="shared" si="122"/>
        <v>N</v>
      </c>
      <c r="F649" s="8" t="str">
        <f t="shared" si="123"/>
        <v>Y</v>
      </c>
      <c r="G649" s="8" t="str">
        <f t="shared" si="124"/>
        <v>Y</v>
      </c>
      <c r="H649" s="8" t="str">
        <f t="shared" si="125"/>
        <v>Upper</v>
      </c>
      <c r="I649" s="8" t="str">
        <f t="shared" si="126"/>
        <v>West Fork and Below Lake</v>
      </c>
      <c r="J649" s="8" t="str">
        <f t="shared" si="127"/>
        <v>Mendocino (d/s of lake)</v>
      </c>
      <c r="K649" s="8" t="str">
        <f t="shared" si="128"/>
        <v>Post-1949</v>
      </c>
      <c r="L649" s="8">
        <f t="shared" si="129"/>
        <v>1975</v>
      </c>
      <c r="M649" s="8" t="str">
        <f t="shared" si="131"/>
        <v>1971-1990</v>
      </c>
      <c r="N649" s="10" t="s">
        <v>241</v>
      </c>
      <c r="O649" s="10" t="s">
        <v>241</v>
      </c>
      <c r="P649" s="10" t="s">
        <v>242</v>
      </c>
      <c r="Q649" s="10" t="s">
        <v>242</v>
      </c>
      <c r="R649" s="10" t="s">
        <v>241</v>
      </c>
      <c r="S649" s="10" t="s">
        <v>242</v>
      </c>
      <c r="T649" s="10" t="s">
        <v>242</v>
      </c>
      <c r="U649" s="10" t="s">
        <v>241</v>
      </c>
      <c r="V649" s="10" t="s">
        <v>241</v>
      </c>
      <c r="W649" s="10" t="s">
        <v>242</v>
      </c>
      <c r="X649" s="15">
        <f>IF(ISERROR(VLOOKUP($A649,'13. Updated Demand'!A:Z,15,FALSE)),0,VLOOKUP($A649,'13. Updated Demand'!A:Z,15,FALSE))</f>
        <v>0</v>
      </c>
      <c r="Y649" s="16">
        <f>IF(ISERROR(VLOOKUP($A649,'13. Updated Demand'!A:Z,16,FALSE)),0,VLOOKUP($A649,'13. Updated Demand'!A:Z,16,FALSE))</f>
        <v>0</v>
      </c>
      <c r="Z649" s="16">
        <f>IF(ISERROR(VLOOKUP($A649,'13. Updated Demand'!A:Z,17,FALSE)),0,VLOOKUP($A649,'13. Updated Demand'!A:Z,17,FALSE))</f>
        <v>0</v>
      </c>
      <c r="AA649" s="16">
        <f>IF(ISERROR(VLOOKUP($A649,'13. Updated Demand'!A:Z,18,FALSE)),0,VLOOKUP($A649,'13. Updated Demand'!A:Z,18,FALSE))</f>
        <v>0</v>
      </c>
      <c r="AB649" s="16">
        <f>IF(ISERROR(VLOOKUP($A649,'13. Updated Demand'!A:Z,19,FALSE)),0,VLOOKUP($A649,'13. Updated Demand'!A:Z,19,FALSE))</f>
        <v>0</v>
      </c>
      <c r="AC649" s="16">
        <f>IF(ISERROR(VLOOKUP($A649,'13. Updated Demand'!A:Z,20,FALSE)),0,VLOOKUP($A649,'13. Updated Demand'!A:Z,20,FALSE))</f>
        <v>0</v>
      </c>
      <c r="AD649" s="16">
        <f>IF(ISERROR(VLOOKUP($A649,'13. Updated Demand'!A:Z,21,FALSE)),0,VLOOKUP($A649,'13. Updated Demand'!A:Z,21,FALSE))</f>
        <v>0</v>
      </c>
      <c r="AE649" s="16">
        <f>IF(ISERROR(VLOOKUP($A649,'13. Updated Demand'!A:Z,22,FALSE)),0,VLOOKUP($A649,'13. Updated Demand'!A:Z,22,FALSE))</f>
        <v>0</v>
      </c>
      <c r="AF649" s="16">
        <f>IF(ISERROR(VLOOKUP($A649,'13. Updated Demand'!A:Z,23,FALSE)),0,VLOOKUP($A649,'13. Updated Demand'!A:Z,23,FALSE))</f>
        <v>0</v>
      </c>
      <c r="AG649" s="16">
        <f>IF(ISERROR(VLOOKUP($A649,'13. Updated Demand'!A:Z,24,FALSE)),0,VLOOKUP($A649,'13. Updated Demand'!A:Z,24,FALSE))</f>
        <v>0</v>
      </c>
      <c r="AH649" s="16">
        <f>IF(ISERROR(VLOOKUP($A649,'13. Updated Demand'!A:Z,25,FALSE)),0,VLOOKUP($A649,'13. Updated Demand'!A:Z,25,FALSE))</f>
        <v>0</v>
      </c>
      <c r="AI649" s="16">
        <f>IF(ISERROR(VLOOKUP($A649,'13. Updated Demand'!A:Z,26,FALSE)),0,VLOOKUP($A649,'13. Updated Demand'!A:Z,26,FALSE))</f>
        <v>0</v>
      </c>
      <c r="AJ649" s="16">
        <f t="shared" si="120"/>
        <v>0</v>
      </c>
      <c r="AK649" s="19">
        <v>0</v>
      </c>
      <c r="AL649" s="16">
        <f t="shared" si="130"/>
        <v>0</v>
      </c>
      <c r="AM649" s="17">
        <v>0</v>
      </c>
      <c r="AN649" s="19"/>
      <c r="AO649" s="19"/>
      <c r="AP649" s="19">
        <v>12.4</v>
      </c>
      <c r="AQ649" s="19" t="s">
        <v>307</v>
      </c>
      <c r="AR649" s="9" t="s">
        <v>333</v>
      </c>
      <c r="AS649" s="12">
        <v>0</v>
      </c>
      <c r="AT649" s="19">
        <v>39.085533220000002</v>
      </c>
      <c r="AU649" s="19">
        <v>-123.17043983000001</v>
      </c>
      <c r="AV649" s="19" t="s">
        <v>387</v>
      </c>
    </row>
    <row r="650" spans="1:48" x14ac:dyDescent="0.25">
      <c r="A650" s="18" t="s">
        <v>1039</v>
      </c>
      <c r="B650" s="10">
        <v>19750327</v>
      </c>
      <c r="C650" s="9">
        <v>5</v>
      </c>
      <c r="D650" s="8" t="str">
        <f t="shared" si="121"/>
        <v>Y</v>
      </c>
      <c r="E650" s="8" t="str">
        <f t="shared" si="122"/>
        <v>N</v>
      </c>
      <c r="F650" s="8" t="str">
        <f t="shared" si="123"/>
        <v>Y</v>
      </c>
      <c r="G650" s="8" t="str">
        <f t="shared" si="124"/>
        <v>Y</v>
      </c>
      <c r="H650" s="8" t="str">
        <f t="shared" si="125"/>
        <v>Upper</v>
      </c>
      <c r="I650" s="8" t="str">
        <f t="shared" si="126"/>
        <v>West Fork and Below Lake</v>
      </c>
      <c r="J650" s="8" t="str">
        <f t="shared" si="127"/>
        <v>Mendocino (d/s of lake)</v>
      </c>
      <c r="K650" s="8" t="str">
        <f t="shared" si="128"/>
        <v>Post-1949</v>
      </c>
      <c r="L650" s="8">
        <f t="shared" si="129"/>
        <v>1975</v>
      </c>
      <c r="M650" s="8" t="str">
        <f t="shared" si="131"/>
        <v>1971-1990</v>
      </c>
      <c r="N650" s="10" t="s">
        <v>241</v>
      </c>
      <c r="O650" s="10" t="s">
        <v>241</v>
      </c>
      <c r="P650" s="10" t="s">
        <v>242</v>
      </c>
      <c r="Q650" s="10" t="s">
        <v>242</v>
      </c>
      <c r="R650" s="10" t="s">
        <v>241</v>
      </c>
      <c r="S650" s="10" t="s">
        <v>242</v>
      </c>
      <c r="T650" s="10" t="s">
        <v>242</v>
      </c>
      <c r="U650" s="10" t="s">
        <v>242</v>
      </c>
      <c r="V650" s="10" t="s">
        <v>242</v>
      </c>
      <c r="W650" s="10" t="s">
        <v>242</v>
      </c>
      <c r="X650" s="15">
        <f>IF(ISERROR(VLOOKUP($A650,'13. Updated Demand'!A:Z,15,FALSE)),0,VLOOKUP($A650,'13. Updated Demand'!A:Z,15,FALSE))</f>
        <v>0</v>
      </c>
      <c r="Y650" s="16">
        <f>IF(ISERROR(VLOOKUP($A650,'13. Updated Demand'!A:Z,16,FALSE)),0,VLOOKUP($A650,'13. Updated Demand'!A:Z,16,FALSE))</f>
        <v>0</v>
      </c>
      <c r="Z650" s="16">
        <f>IF(ISERROR(VLOOKUP($A650,'13. Updated Demand'!A:Z,17,FALSE)),0,VLOOKUP($A650,'13. Updated Demand'!A:Z,17,FALSE))</f>
        <v>1.1299999999999999</v>
      </c>
      <c r="AA650" s="16">
        <f>IF(ISERROR(VLOOKUP($A650,'13. Updated Demand'!A:Z,18,FALSE)),0,VLOOKUP($A650,'13. Updated Demand'!A:Z,18,FALSE))</f>
        <v>0.06</v>
      </c>
      <c r="AB650" s="16">
        <f>IF(ISERROR(VLOOKUP($A650,'13. Updated Demand'!A:Z,19,FALSE)),0,VLOOKUP($A650,'13. Updated Demand'!A:Z,19,FALSE))</f>
        <v>0.03</v>
      </c>
      <c r="AC650" s="16">
        <f>IF(ISERROR(VLOOKUP($A650,'13. Updated Demand'!A:Z,20,FALSE)),0,VLOOKUP($A650,'13. Updated Demand'!A:Z,20,FALSE))</f>
        <v>0</v>
      </c>
      <c r="AD650" s="16">
        <f>IF(ISERROR(VLOOKUP($A650,'13. Updated Demand'!A:Z,21,FALSE)),0,VLOOKUP($A650,'13. Updated Demand'!A:Z,21,FALSE))</f>
        <v>0</v>
      </c>
      <c r="AE650" s="16">
        <f>IF(ISERROR(VLOOKUP($A650,'13. Updated Demand'!A:Z,22,FALSE)),0,VLOOKUP($A650,'13. Updated Demand'!A:Z,22,FALSE))</f>
        <v>0</v>
      </c>
      <c r="AF650" s="16">
        <f>IF(ISERROR(VLOOKUP($A650,'13. Updated Demand'!A:Z,23,FALSE)),0,VLOOKUP($A650,'13. Updated Demand'!A:Z,23,FALSE))</f>
        <v>0</v>
      </c>
      <c r="AG650" s="16">
        <f>IF(ISERROR(VLOOKUP($A650,'13. Updated Demand'!A:Z,24,FALSE)),0,VLOOKUP($A650,'13. Updated Demand'!A:Z,24,FALSE))</f>
        <v>0</v>
      </c>
      <c r="AH650" s="16">
        <f>IF(ISERROR(VLOOKUP($A650,'13. Updated Demand'!A:Z,25,FALSE)),0,VLOOKUP($A650,'13. Updated Demand'!A:Z,25,FALSE))</f>
        <v>0</v>
      </c>
      <c r="AI650" s="16">
        <f>IF(ISERROR(VLOOKUP($A650,'13. Updated Demand'!A:Z,26,FALSE)),0,VLOOKUP($A650,'13. Updated Demand'!A:Z,26,FALSE))</f>
        <v>0</v>
      </c>
      <c r="AJ650" s="16">
        <f t="shared" si="120"/>
        <v>1.22</v>
      </c>
      <c r="AK650" s="19">
        <v>3.3333333333333298E-2</v>
      </c>
      <c r="AL650" s="16">
        <f t="shared" si="130"/>
        <v>1.1056286964318352E-4</v>
      </c>
      <c r="AM650" s="17">
        <v>5.3478260869565065E-2</v>
      </c>
      <c r="AN650" s="19"/>
      <c r="AO650" s="19"/>
      <c r="AP650" s="19">
        <v>23</v>
      </c>
      <c r="AQ650" s="19" t="s">
        <v>307</v>
      </c>
      <c r="AR650" s="9" t="s">
        <v>333</v>
      </c>
      <c r="AS650" s="12">
        <v>0</v>
      </c>
      <c r="AT650" s="19">
        <v>39.089599999999997</v>
      </c>
      <c r="AU650" s="19">
        <v>-123.1729</v>
      </c>
      <c r="AV650" s="19" t="s">
        <v>387</v>
      </c>
    </row>
    <row r="651" spans="1:48" x14ac:dyDescent="0.25">
      <c r="A651" s="18" t="s">
        <v>1040</v>
      </c>
      <c r="B651" s="10">
        <v>19750331</v>
      </c>
      <c r="C651" s="9">
        <v>9</v>
      </c>
      <c r="D651" s="8" t="str">
        <f t="shared" si="121"/>
        <v>N</v>
      </c>
      <c r="E651" s="8" t="str">
        <f t="shared" si="122"/>
        <v>Y</v>
      </c>
      <c r="F651" s="8" t="str">
        <f t="shared" si="123"/>
        <v>Y</v>
      </c>
      <c r="G651" s="8" t="str">
        <f t="shared" si="124"/>
        <v>Y</v>
      </c>
      <c r="H651" s="8" t="str">
        <f t="shared" si="125"/>
        <v>Upper</v>
      </c>
      <c r="I651" s="8" t="str">
        <f t="shared" si="126"/>
        <v>West Fork and Below Lake</v>
      </c>
      <c r="J651" s="8" t="str">
        <f t="shared" si="127"/>
        <v>Sonoma (d/s of Clov. Gage)</v>
      </c>
      <c r="K651" s="8" t="str">
        <f t="shared" si="128"/>
        <v>Post-1949</v>
      </c>
      <c r="L651" s="8">
        <f t="shared" si="129"/>
        <v>1975</v>
      </c>
      <c r="M651" s="8" t="str">
        <f t="shared" si="131"/>
        <v>1971-1990</v>
      </c>
      <c r="N651" s="10" t="s">
        <v>242</v>
      </c>
      <c r="O651" s="10" t="s">
        <v>241</v>
      </c>
      <c r="P651" s="10" t="s">
        <v>242</v>
      </c>
      <c r="Q651" s="10" t="s">
        <v>242</v>
      </c>
      <c r="R651" s="10" t="s">
        <v>241</v>
      </c>
      <c r="S651" s="10" t="s">
        <v>242</v>
      </c>
      <c r="T651" s="10" t="s">
        <v>242</v>
      </c>
      <c r="U651" s="10" t="s">
        <v>242</v>
      </c>
      <c r="V651" s="10" t="s">
        <v>241</v>
      </c>
      <c r="W651" s="10" t="s">
        <v>242</v>
      </c>
      <c r="X651" s="15">
        <f>IF(ISERROR(VLOOKUP($A651,'13. Updated Demand'!A:Z,15,FALSE)),0,VLOOKUP($A651,'13. Updated Demand'!A:Z,15,FALSE))</f>
        <v>5</v>
      </c>
      <c r="Y651" s="16">
        <f>IF(ISERROR(VLOOKUP($A651,'13. Updated Demand'!A:Z,16,FALSE)),0,VLOOKUP($A651,'13. Updated Demand'!A:Z,16,FALSE))</f>
        <v>4</v>
      </c>
      <c r="Z651" s="16">
        <f>IF(ISERROR(VLOOKUP($A651,'13. Updated Demand'!A:Z,17,FALSE)),0,VLOOKUP($A651,'13. Updated Demand'!A:Z,17,FALSE))</f>
        <v>5</v>
      </c>
      <c r="AA651" s="16">
        <f>IF(ISERROR(VLOOKUP($A651,'13. Updated Demand'!A:Z,18,FALSE)),0,VLOOKUP($A651,'13. Updated Demand'!A:Z,18,FALSE))</f>
        <v>0</v>
      </c>
      <c r="AB651" s="16">
        <f>IF(ISERROR(VLOOKUP($A651,'13. Updated Demand'!A:Z,19,FALSE)),0,VLOOKUP($A651,'13. Updated Demand'!A:Z,19,FALSE))</f>
        <v>0</v>
      </c>
      <c r="AC651" s="16">
        <f>IF(ISERROR(VLOOKUP($A651,'13. Updated Demand'!A:Z,20,FALSE)),0,VLOOKUP($A651,'13. Updated Demand'!A:Z,20,FALSE))</f>
        <v>0</v>
      </c>
      <c r="AD651" s="16">
        <f>IF(ISERROR(VLOOKUP($A651,'13. Updated Demand'!A:Z,21,FALSE)),0,VLOOKUP($A651,'13. Updated Demand'!A:Z,21,FALSE))</f>
        <v>0</v>
      </c>
      <c r="AE651" s="16">
        <f>IF(ISERROR(VLOOKUP($A651,'13. Updated Demand'!A:Z,22,FALSE)),0,VLOOKUP($A651,'13. Updated Demand'!A:Z,22,FALSE))</f>
        <v>0</v>
      </c>
      <c r="AF651" s="16">
        <f>IF(ISERROR(VLOOKUP($A651,'13. Updated Demand'!A:Z,23,FALSE)),0,VLOOKUP($A651,'13. Updated Demand'!A:Z,23,FALSE))</f>
        <v>0</v>
      </c>
      <c r="AG651" s="16">
        <f>IF(ISERROR(VLOOKUP($A651,'13. Updated Demand'!A:Z,24,FALSE)),0,VLOOKUP($A651,'13. Updated Demand'!A:Z,24,FALSE))</f>
        <v>0</v>
      </c>
      <c r="AH651" s="16">
        <f>IF(ISERROR(VLOOKUP($A651,'13. Updated Demand'!A:Z,25,FALSE)),0,VLOOKUP($A651,'13. Updated Demand'!A:Z,25,FALSE))</f>
        <v>0</v>
      </c>
      <c r="AI651" s="16">
        <f>IF(ISERROR(VLOOKUP($A651,'13. Updated Demand'!A:Z,26,FALSE)),0,VLOOKUP($A651,'13. Updated Demand'!A:Z,26,FALSE))</f>
        <v>0</v>
      </c>
      <c r="AJ651" s="16">
        <f t="shared" si="120"/>
        <v>14</v>
      </c>
      <c r="AK651" s="19">
        <v>0</v>
      </c>
      <c r="AL651" s="16">
        <f t="shared" si="130"/>
        <v>0</v>
      </c>
      <c r="AM651" s="17">
        <v>0.23333333333333334</v>
      </c>
      <c r="AN651" s="19"/>
      <c r="AO651" s="19"/>
      <c r="AP651" s="19">
        <v>60</v>
      </c>
      <c r="AQ651" s="19" t="s">
        <v>307</v>
      </c>
      <c r="AR651" s="9" t="s">
        <v>354</v>
      </c>
      <c r="AS651" s="12">
        <v>0</v>
      </c>
      <c r="AT651" s="19">
        <v>38.866318919999998</v>
      </c>
      <c r="AU651" s="19">
        <v>-123.04986518</v>
      </c>
      <c r="AV651" s="19" t="s">
        <v>1041</v>
      </c>
    </row>
    <row r="652" spans="1:48" x14ac:dyDescent="0.25">
      <c r="A652" s="18" t="s">
        <v>99</v>
      </c>
      <c r="B652" s="10">
        <v>19750331</v>
      </c>
      <c r="C652" s="9">
        <v>9</v>
      </c>
      <c r="D652" s="8" t="str">
        <f t="shared" si="121"/>
        <v>N</v>
      </c>
      <c r="E652" s="8" t="str">
        <f t="shared" si="122"/>
        <v>Y</v>
      </c>
      <c r="F652" s="8" t="str">
        <f t="shared" si="123"/>
        <v>Y</v>
      </c>
      <c r="G652" s="8" t="str">
        <f t="shared" si="124"/>
        <v>Y</v>
      </c>
      <c r="H652" s="8" t="str">
        <f t="shared" si="125"/>
        <v>Upper</v>
      </c>
      <c r="I652" s="8" t="str">
        <f t="shared" si="126"/>
        <v>West Fork and Below Lake</v>
      </c>
      <c r="J652" s="8" t="str">
        <f t="shared" si="127"/>
        <v>Sonoma (d/s of Clov. Gage)</v>
      </c>
      <c r="K652" s="8" t="str">
        <f t="shared" si="128"/>
        <v>Post-1949</v>
      </c>
      <c r="L652" s="8">
        <f t="shared" si="129"/>
        <v>1975</v>
      </c>
      <c r="M652" s="8" t="str">
        <f t="shared" si="131"/>
        <v>1971-1990</v>
      </c>
      <c r="N652" s="10" t="s">
        <v>241</v>
      </c>
      <c r="O652" s="10" t="s">
        <v>241</v>
      </c>
      <c r="P652" s="10" t="s">
        <v>242</v>
      </c>
      <c r="Q652" s="10" t="s">
        <v>242</v>
      </c>
      <c r="R652" s="10" t="s">
        <v>241</v>
      </c>
      <c r="S652" s="10" t="s">
        <v>242</v>
      </c>
      <c r="T652" s="10" t="s">
        <v>242</v>
      </c>
      <c r="U652" s="10" t="s">
        <v>242</v>
      </c>
      <c r="V652" s="10" t="s">
        <v>242</v>
      </c>
      <c r="W652" s="10" t="s">
        <v>242</v>
      </c>
      <c r="X652" s="15">
        <f>IF(ISERROR(VLOOKUP($A652,'13. Updated Demand'!A:Z,15,FALSE)),0,VLOOKUP($A652,'13. Updated Demand'!A:Z,15,FALSE))</f>
        <v>0</v>
      </c>
      <c r="Y652" s="16">
        <f>IF(ISERROR(VLOOKUP($A652,'13. Updated Demand'!A:Z,16,FALSE)),0,VLOOKUP($A652,'13. Updated Demand'!A:Z,16,FALSE))</f>
        <v>0</v>
      </c>
      <c r="Z652" s="16">
        <f>IF(ISERROR(VLOOKUP($A652,'13. Updated Demand'!A:Z,17,FALSE)),0,VLOOKUP($A652,'13. Updated Demand'!A:Z,17,FALSE))</f>
        <v>0</v>
      </c>
      <c r="AA652" s="16">
        <f>IF(ISERROR(VLOOKUP($A652,'13. Updated Demand'!A:Z,18,FALSE)),0,VLOOKUP($A652,'13. Updated Demand'!A:Z,18,FALSE))</f>
        <v>0</v>
      </c>
      <c r="AB652" s="16">
        <f>IF(ISERROR(VLOOKUP($A652,'13. Updated Demand'!A:Z,19,FALSE)),0,VLOOKUP($A652,'13. Updated Demand'!A:Z,19,FALSE))</f>
        <v>8.3333333333333297E-3</v>
      </c>
      <c r="AC652" s="16">
        <f>IF(ISERROR(VLOOKUP($A652,'13. Updated Demand'!A:Z,20,FALSE)),0,VLOOKUP($A652,'13. Updated Demand'!A:Z,20,FALSE))</f>
        <v>1.02</v>
      </c>
      <c r="AD652" s="16">
        <f>IF(ISERROR(VLOOKUP($A652,'13. Updated Demand'!A:Z,21,FALSE)),0,VLOOKUP($A652,'13. Updated Demand'!A:Z,21,FALSE))</f>
        <v>2.76</v>
      </c>
      <c r="AE652" s="16">
        <f>IF(ISERROR(VLOOKUP($A652,'13. Updated Demand'!A:Z,22,FALSE)),0,VLOOKUP($A652,'13. Updated Demand'!A:Z,22,FALSE))</f>
        <v>2.85</v>
      </c>
      <c r="AF652" s="16">
        <f>IF(ISERROR(VLOOKUP($A652,'13. Updated Demand'!A:Z,23,FALSE)),0,VLOOKUP($A652,'13. Updated Demand'!A:Z,23,FALSE))</f>
        <v>2.2200000000000002</v>
      </c>
      <c r="AG652" s="16">
        <f>IF(ISERROR(VLOOKUP($A652,'13. Updated Demand'!A:Z,24,FALSE)),0,VLOOKUP($A652,'13. Updated Demand'!A:Z,24,FALSE))</f>
        <v>0.45</v>
      </c>
      <c r="AH652" s="16">
        <f>IF(ISERROR(VLOOKUP($A652,'13. Updated Demand'!A:Z,25,FALSE)),0,VLOOKUP($A652,'13. Updated Demand'!A:Z,25,FALSE))</f>
        <v>0</v>
      </c>
      <c r="AI652" s="16">
        <f>IF(ISERROR(VLOOKUP($A652,'13. Updated Demand'!A:Z,26,FALSE)),0,VLOOKUP($A652,'13. Updated Demand'!A:Z,26,FALSE))</f>
        <v>0</v>
      </c>
      <c r="AJ652" s="16">
        <f t="shared" si="120"/>
        <v>9.3083333333333336</v>
      </c>
      <c r="AK652" s="19">
        <v>8.8689999999999927</v>
      </c>
      <c r="AL652" s="16">
        <f t="shared" si="130"/>
        <v>2.9417462725961845E-2</v>
      </c>
      <c r="AM652" s="17">
        <v>0.95125850340135976</v>
      </c>
      <c r="AN652" s="19"/>
      <c r="AO652" s="19"/>
      <c r="AP652" s="19">
        <v>9.8000000000000007</v>
      </c>
      <c r="AQ652" s="19" t="s">
        <v>307</v>
      </c>
      <c r="AR652" s="9" t="s">
        <v>354</v>
      </c>
      <c r="AS652" s="12">
        <v>0</v>
      </c>
      <c r="AT652" s="19">
        <v>38.725565789999997</v>
      </c>
      <c r="AU652" s="19">
        <v>-122.9229947</v>
      </c>
      <c r="AV652" s="19" t="s">
        <v>548</v>
      </c>
    </row>
    <row r="653" spans="1:48" x14ac:dyDescent="0.25">
      <c r="A653" s="18" t="s">
        <v>1042</v>
      </c>
      <c r="B653" s="10">
        <v>19750506</v>
      </c>
      <c r="C653" s="9">
        <v>1</v>
      </c>
      <c r="D653" s="8" t="str">
        <f t="shared" si="121"/>
        <v>N</v>
      </c>
      <c r="E653" s="8" t="str">
        <f t="shared" si="122"/>
        <v>N</v>
      </c>
      <c r="F653" s="8" t="str">
        <f t="shared" si="123"/>
        <v>Y</v>
      </c>
      <c r="G653" s="8" t="str">
        <f t="shared" si="124"/>
        <v>Y</v>
      </c>
      <c r="H653" s="8" t="str">
        <f t="shared" si="125"/>
        <v>Upper</v>
      </c>
      <c r="I653" s="8" t="str">
        <f t="shared" si="126"/>
        <v>West Fork and Below Lake</v>
      </c>
      <c r="J653" s="8" t="str">
        <f t="shared" si="127"/>
        <v>Outside</v>
      </c>
      <c r="K653" s="8" t="str">
        <f t="shared" si="128"/>
        <v>Post-1949</v>
      </c>
      <c r="L653" s="8">
        <f t="shared" si="129"/>
        <v>1975</v>
      </c>
      <c r="M653" s="8" t="str">
        <f t="shared" si="131"/>
        <v>1971-1990</v>
      </c>
      <c r="N653" s="10" t="s">
        <v>242</v>
      </c>
      <c r="O653" s="10" t="s">
        <v>241</v>
      </c>
      <c r="P653" s="10" t="s">
        <v>242</v>
      </c>
      <c r="Q653" s="10" t="s">
        <v>242</v>
      </c>
      <c r="R653" s="10" t="s">
        <v>241</v>
      </c>
      <c r="S653" s="10" t="s">
        <v>242</v>
      </c>
      <c r="T653" s="10" t="s">
        <v>242</v>
      </c>
      <c r="U653" s="10" t="s">
        <v>241</v>
      </c>
      <c r="V653" s="10" t="s">
        <v>241</v>
      </c>
      <c r="W653" s="10" t="s">
        <v>242</v>
      </c>
      <c r="X653" s="15">
        <f>IF(ISERROR(VLOOKUP($A653,'13. Updated Demand'!A:Z,15,FALSE)),0,VLOOKUP($A653,'13. Updated Demand'!A:Z,15,FALSE))</f>
        <v>0</v>
      </c>
      <c r="Y653" s="16">
        <f>IF(ISERROR(VLOOKUP($A653,'13. Updated Demand'!A:Z,16,FALSE)),0,VLOOKUP($A653,'13. Updated Demand'!A:Z,16,FALSE))</f>
        <v>0</v>
      </c>
      <c r="Z653" s="16">
        <f>IF(ISERROR(VLOOKUP($A653,'13. Updated Demand'!A:Z,17,FALSE)),0,VLOOKUP($A653,'13. Updated Demand'!A:Z,17,FALSE))</f>
        <v>0</v>
      </c>
      <c r="AA653" s="16">
        <f>IF(ISERROR(VLOOKUP($A653,'13. Updated Demand'!A:Z,18,FALSE)),0,VLOOKUP($A653,'13. Updated Demand'!A:Z,18,FALSE))</f>
        <v>0</v>
      </c>
      <c r="AB653" s="16">
        <f>IF(ISERROR(VLOOKUP($A653,'13. Updated Demand'!A:Z,19,FALSE)),0,VLOOKUP($A653,'13. Updated Demand'!A:Z,19,FALSE))</f>
        <v>0</v>
      </c>
      <c r="AC653" s="16">
        <f>IF(ISERROR(VLOOKUP($A653,'13. Updated Demand'!A:Z,20,FALSE)),0,VLOOKUP($A653,'13. Updated Demand'!A:Z,20,FALSE))</f>
        <v>0</v>
      </c>
      <c r="AD653" s="16">
        <f>IF(ISERROR(VLOOKUP($A653,'13. Updated Demand'!A:Z,21,FALSE)),0,VLOOKUP($A653,'13. Updated Demand'!A:Z,21,FALSE))</f>
        <v>0</v>
      </c>
      <c r="AE653" s="16">
        <f>IF(ISERROR(VLOOKUP($A653,'13. Updated Demand'!A:Z,22,FALSE)),0,VLOOKUP($A653,'13. Updated Demand'!A:Z,22,FALSE))</f>
        <v>0</v>
      </c>
      <c r="AF653" s="16">
        <f>IF(ISERROR(VLOOKUP($A653,'13. Updated Demand'!A:Z,23,FALSE)),0,VLOOKUP($A653,'13. Updated Demand'!A:Z,23,FALSE))</f>
        <v>0</v>
      </c>
      <c r="AG653" s="16">
        <f>IF(ISERROR(VLOOKUP($A653,'13. Updated Demand'!A:Z,24,FALSE)),0,VLOOKUP($A653,'13. Updated Demand'!A:Z,24,FALSE))</f>
        <v>0</v>
      </c>
      <c r="AH653" s="16">
        <f>IF(ISERROR(VLOOKUP($A653,'13. Updated Demand'!A:Z,25,FALSE)),0,VLOOKUP($A653,'13. Updated Demand'!A:Z,25,FALSE))</f>
        <v>0</v>
      </c>
      <c r="AI653" s="16">
        <f>IF(ISERROR(VLOOKUP($A653,'13. Updated Demand'!A:Z,26,FALSE)),0,VLOOKUP($A653,'13. Updated Demand'!A:Z,26,FALSE))</f>
        <v>0</v>
      </c>
      <c r="AJ653" s="16">
        <f t="shared" si="120"/>
        <v>0</v>
      </c>
      <c r="AK653" s="19">
        <v>0</v>
      </c>
      <c r="AL653" s="16">
        <f t="shared" si="130"/>
        <v>0</v>
      </c>
      <c r="AM653" s="17">
        <v>0</v>
      </c>
      <c r="AN653" s="19"/>
      <c r="AO653" s="19"/>
      <c r="AP653" s="19">
        <v>2</v>
      </c>
      <c r="AQ653" s="19" t="s">
        <v>307</v>
      </c>
      <c r="AR653" s="9" t="s">
        <v>317</v>
      </c>
      <c r="AS653" s="12">
        <v>3.4039024194010059E-4</v>
      </c>
      <c r="AT653" s="19">
        <v>39.2545</v>
      </c>
      <c r="AU653" s="19">
        <v>-123.2269</v>
      </c>
      <c r="AV653" s="19" t="s">
        <v>417</v>
      </c>
    </row>
    <row r="654" spans="1:48" x14ac:dyDescent="0.25">
      <c r="A654" s="18" t="s">
        <v>1043</v>
      </c>
      <c r="B654" s="10">
        <v>19750507</v>
      </c>
      <c r="C654" s="9">
        <v>5</v>
      </c>
      <c r="D654" s="8" t="str">
        <f t="shared" si="121"/>
        <v>Y</v>
      </c>
      <c r="E654" s="8" t="str">
        <f t="shared" si="122"/>
        <v>N</v>
      </c>
      <c r="F654" s="8" t="str">
        <f t="shared" si="123"/>
        <v>Y</v>
      </c>
      <c r="G654" s="8" t="str">
        <f t="shared" si="124"/>
        <v>Y</v>
      </c>
      <c r="H654" s="8" t="str">
        <f t="shared" si="125"/>
        <v>Upper</v>
      </c>
      <c r="I654" s="8" t="str">
        <f t="shared" si="126"/>
        <v>West Fork and Below Lake</v>
      </c>
      <c r="J654" s="8" t="str">
        <f t="shared" si="127"/>
        <v>Mendocino (d/s of lake)</v>
      </c>
      <c r="K654" s="8" t="str">
        <f t="shared" si="128"/>
        <v>Post-1949</v>
      </c>
      <c r="L654" s="8">
        <f t="shared" si="129"/>
        <v>1975</v>
      </c>
      <c r="M654" s="8" t="str">
        <f t="shared" si="131"/>
        <v>1971-1990</v>
      </c>
      <c r="N654" s="10" t="s">
        <v>242</v>
      </c>
      <c r="O654" s="10" t="s">
        <v>241</v>
      </c>
      <c r="P654" s="10" t="s">
        <v>242</v>
      </c>
      <c r="Q654" s="10" t="s">
        <v>242</v>
      </c>
      <c r="R654" s="10" t="s">
        <v>241</v>
      </c>
      <c r="S654" s="10" t="s">
        <v>242</v>
      </c>
      <c r="T654" s="10" t="s">
        <v>242</v>
      </c>
      <c r="U654" s="10" t="s">
        <v>242</v>
      </c>
      <c r="V654" s="10" t="s">
        <v>242</v>
      </c>
      <c r="W654" s="10" t="s">
        <v>242</v>
      </c>
      <c r="X654" s="15">
        <f>IF(ISERROR(VLOOKUP($A654,'13. Updated Demand'!A:Z,15,FALSE)),0,VLOOKUP($A654,'13. Updated Demand'!A:Z,15,FALSE))</f>
        <v>0</v>
      </c>
      <c r="Y654" s="16">
        <f>IF(ISERROR(VLOOKUP($A654,'13. Updated Demand'!A:Z,16,FALSE)),0,VLOOKUP($A654,'13. Updated Demand'!A:Z,16,FALSE))</f>
        <v>0</v>
      </c>
      <c r="Z654" s="16">
        <f>IF(ISERROR(VLOOKUP($A654,'13. Updated Demand'!A:Z,17,FALSE)),0,VLOOKUP($A654,'13. Updated Demand'!A:Z,17,FALSE))</f>
        <v>0</v>
      </c>
      <c r="AA654" s="16">
        <f>IF(ISERROR(VLOOKUP($A654,'13. Updated Demand'!A:Z,18,FALSE)),0,VLOOKUP($A654,'13. Updated Demand'!A:Z,18,FALSE))</f>
        <v>0</v>
      </c>
      <c r="AB654" s="16">
        <f>IF(ISERROR(VLOOKUP($A654,'13. Updated Demand'!A:Z,19,FALSE)),0,VLOOKUP($A654,'13. Updated Demand'!A:Z,19,FALSE))</f>
        <v>0.1</v>
      </c>
      <c r="AC654" s="16">
        <f>IF(ISERROR(VLOOKUP($A654,'13. Updated Demand'!A:Z,20,FALSE)),0,VLOOKUP($A654,'13. Updated Demand'!A:Z,20,FALSE))</f>
        <v>0.15</v>
      </c>
      <c r="AD654" s="16">
        <f>IF(ISERROR(VLOOKUP($A654,'13. Updated Demand'!A:Z,21,FALSE)),0,VLOOKUP($A654,'13. Updated Demand'!A:Z,21,FALSE))</f>
        <v>0</v>
      </c>
      <c r="AE654" s="16">
        <f>IF(ISERROR(VLOOKUP($A654,'13. Updated Demand'!A:Z,22,FALSE)),0,VLOOKUP($A654,'13. Updated Demand'!A:Z,22,FALSE))</f>
        <v>0</v>
      </c>
      <c r="AF654" s="16">
        <f>IF(ISERROR(VLOOKUP($A654,'13. Updated Demand'!A:Z,23,FALSE)),0,VLOOKUP($A654,'13. Updated Demand'!A:Z,23,FALSE))</f>
        <v>0</v>
      </c>
      <c r="AG654" s="16">
        <f>IF(ISERROR(VLOOKUP($A654,'13. Updated Demand'!A:Z,24,FALSE)),0,VLOOKUP($A654,'13. Updated Demand'!A:Z,24,FALSE))</f>
        <v>0</v>
      </c>
      <c r="AH654" s="16">
        <f>IF(ISERROR(VLOOKUP($A654,'13. Updated Demand'!A:Z,25,FALSE)),0,VLOOKUP($A654,'13. Updated Demand'!A:Z,25,FALSE))</f>
        <v>0</v>
      </c>
      <c r="AI654" s="16">
        <f>IF(ISERROR(VLOOKUP($A654,'13. Updated Demand'!A:Z,26,FALSE)),0,VLOOKUP($A654,'13. Updated Demand'!A:Z,26,FALSE))</f>
        <v>0</v>
      </c>
      <c r="AJ654" s="16">
        <f t="shared" si="120"/>
        <v>0.25</v>
      </c>
      <c r="AK654" s="19">
        <v>0.25896266700000004</v>
      </c>
      <c r="AL654" s="16">
        <f t="shared" si="130"/>
        <v>8.5894966781916533E-4</v>
      </c>
      <c r="AM654" s="17">
        <v>0.25896266700000004</v>
      </c>
      <c r="AN654" s="19"/>
      <c r="AO654" s="19"/>
      <c r="AP654" s="19">
        <v>1</v>
      </c>
      <c r="AQ654" s="19" t="s">
        <v>307</v>
      </c>
      <c r="AR654" s="9" t="s">
        <v>333</v>
      </c>
      <c r="AS654" s="12">
        <v>0</v>
      </c>
      <c r="AT654" s="19">
        <v>39.09478283</v>
      </c>
      <c r="AU654" s="19">
        <v>-123.23226080000001</v>
      </c>
      <c r="AV654" s="19" t="s">
        <v>417</v>
      </c>
    </row>
    <row r="655" spans="1:48" x14ac:dyDescent="0.25">
      <c r="A655" s="18" t="s">
        <v>1044</v>
      </c>
      <c r="B655" s="10">
        <v>19750602</v>
      </c>
      <c r="C655" s="9">
        <v>23</v>
      </c>
      <c r="D655" s="8" t="str">
        <f t="shared" si="121"/>
        <v>N</v>
      </c>
      <c r="E655" s="8" t="str">
        <f t="shared" si="122"/>
        <v>N</v>
      </c>
      <c r="F655" s="8" t="str">
        <f t="shared" si="123"/>
        <v>N</v>
      </c>
      <c r="G655" s="8" t="str">
        <f t="shared" si="124"/>
        <v>N</v>
      </c>
      <c r="H655" s="8" t="str">
        <f t="shared" si="125"/>
        <v>Lower</v>
      </c>
      <c r="I655" s="8" t="str">
        <f t="shared" si="126"/>
        <v>Outside</v>
      </c>
      <c r="J655" s="8" t="str">
        <f t="shared" si="127"/>
        <v>Outside</v>
      </c>
      <c r="K655" s="8" t="str">
        <f t="shared" si="128"/>
        <v>Post-1949</v>
      </c>
      <c r="L655" s="8">
        <f t="shared" si="129"/>
        <v>1975</v>
      </c>
      <c r="M655" s="8" t="str">
        <f t="shared" si="131"/>
        <v>1971-1990</v>
      </c>
      <c r="N655" s="10" t="s">
        <v>242</v>
      </c>
      <c r="O655" s="10" t="s">
        <v>242</v>
      </c>
      <c r="P655" s="10" t="s">
        <v>242</v>
      </c>
      <c r="Q655" s="10" t="s">
        <v>242</v>
      </c>
      <c r="R655" s="10" t="s">
        <v>241</v>
      </c>
      <c r="S655" s="10" t="s">
        <v>242</v>
      </c>
      <c r="T655" s="10" t="s">
        <v>242</v>
      </c>
      <c r="U655" s="10" t="s">
        <v>241</v>
      </c>
      <c r="V655" s="10" t="s">
        <v>241</v>
      </c>
      <c r="W655" s="10" t="s">
        <v>242</v>
      </c>
      <c r="X655" s="15">
        <f>IF(ISERROR(VLOOKUP($A655,'13. Updated Demand'!A:Z,15,FALSE)),0,VLOOKUP($A655,'13. Updated Demand'!A:Z,15,FALSE))</f>
        <v>0</v>
      </c>
      <c r="Y655" s="16">
        <f>IF(ISERROR(VLOOKUP($A655,'13. Updated Demand'!A:Z,16,FALSE)),0,VLOOKUP($A655,'13. Updated Demand'!A:Z,16,FALSE))</f>
        <v>0</v>
      </c>
      <c r="Z655" s="16">
        <f>IF(ISERROR(VLOOKUP($A655,'13. Updated Demand'!A:Z,17,FALSE)),0,VLOOKUP($A655,'13. Updated Demand'!A:Z,17,FALSE))</f>
        <v>0</v>
      </c>
      <c r="AA655" s="16">
        <f>IF(ISERROR(VLOOKUP($A655,'13. Updated Demand'!A:Z,18,FALSE)),0,VLOOKUP($A655,'13. Updated Demand'!A:Z,18,FALSE))</f>
        <v>0</v>
      </c>
      <c r="AB655" s="16">
        <f>IF(ISERROR(VLOOKUP($A655,'13. Updated Demand'!A:Z,19,FALSE)),0,VLOOKUP($A655,'13. Updated Demand'!A:Z,19,FALSE))</f>
        <v>0</v>
      </c>
      <c r="AC655" s="16">
        <f>IF(ISERROR(VLOOKUP($A655,'13. Updated Demand'!A:Z,20,FALSE)),0,VLOOKUP($A655,'13. Updated Demand'!A:Z,20,FALSE))</f>
        <v>0</v>
      </c>
      <c r="AD655" s="16">
        <f>IF(ISERROR(VLOOKUP($A655,'13. Updated Demand'!A:Z,21,FALSE)),0,VLOOKUP($A655,'13. Updated Demand'!A:Z,21,FALSE))</f>
        <v>0</v>
      </c>
      <c r="AE655" s="16">
        <f>IF(ISERROR(VLOOKUP($A655,'13. Updated Demand'!A:Z,22,FALSE)),0,VLOOKUP($A655,'13. Updated Demand'!A:Z,22,FALSE))</f>
        <v>0</v>
      </c>
      <c r="AF655" s="16">
        <f>IF(ISERROR(VLOOKUP($A655,'13. Updated Demand'!A:Z,23,FALSE)),0,VLOOKUP($A655,'13. Updated Demand'!A:Z,23,FALSE))</f>
        <v>0</v>
      </c>
      <c r="AG655" s="16">
        <f>IF(ISERROR(VLOOKUP($A655,'13. Updated Demand'!A:Z,24,FALSE)),0,VLOOKUP($A655,'13. Updated Demand'!A:Z,24,FALSE))</f>
        <v>0</v>
      </c>
      <c r="AH655" s="16">
        <f>IF(ISERROR(VLOOKUP($A655,'13. Updated Demand'!A:Z,25,FALSE)),0,VLOOKUP($A655,'13. Updated Demand'!A:Z,25,FALSE))</f>
        <v>0</v>
      </c>
      <c r="AI655" s="16">
        <f>IF(ISERROR(VLOOKUP($A655,'13. Updated Demand'!A:Z,26,FALSE)),0,VLOOKUP($A655,'13. Updated Demand'!A:Z,26,FALSE))</f>
        <v>0</v>
      </c>
      <c r="AJ655" s="16">
        <f t="shared" si="120"/>
        <v>0</v>
      </c>
      <c r="AK655" s="19">
        <v>0</v>
      </c>
      <c r="AL655" s="16">
        <f t="shared" si="130"/>
        <v>0</v>
      </c>
      <c r="AM655" s="17">
        <v>0</v>
      </c>
      <c r="AN655" s="19"/>
      <c r="AO655" s="19"/>
      <c r="AP655" s="19">
        <v>4</v>
      </c>
      <c r="AQ655" s="19" t="s">
        <v>307</v>
      </c>
      <c r="AR655" s="9" t="s">
        <v>585</v>
      </c>
      <c r="AS655" s="12">
        <v>0</v>
      </c>
      <c r="AT655" s="19">
        <v>38.331499999999998</v>
      </c>
      <c r="AU655" s="19">
        <v>-122.77209999999999</v>
      </c>
      <c r="AV655" s="19" t="s">
        <v>417</v>
      </c>
    </row>
    <row r="656" spans="1:48" x14ac:dyDescent="0.25">
      <c r="A656" s="18" t="s">
        <v>125</v>
      </c>
      <c r="B656" s="10">
        <v>19750612</v>
      </c>
      <c r="C656" s="9">
        <v>4</v>
      </c>
      <c r="D656" s="8" t="str">
        <f t="shared" si="121"/>
        <v>Y</v>
      </c>
      <c r="E656" s="8" t="str">
        <f t="shared" si="122"/>
        <v>N</v>
      </c>
      <c r="F656" s="8" t="str">
        <f t="shared" si="123"/>
        <v>Y</v>
      </c>
      <c r="G656" s="8" t="str">
        <f t="shared" si="124"/>
        <v>Y</v>
      </c>
      <c r="H656" s="8" t="str">
        <f t="shared" si="125"/>
        <v>Upper</v>
      </c>
      <c r="I656" s="8" t="str">
        <f t="shared" si="126"/>
        <v>West Fork and Below Lake</v>
      </c>
      <c r="J656" s="8" t="str">
        <f t="shared" si="127"/>
        <v>Mendocino (d/s of lake)</v>
      </c>
      <c r="K656" s="8" t="str">
        <f t="shared" si="128"/>
        <v>Post-1949</v>
      </c>
      <c r="L656" s="8">
        <f t="shared" si="129"/>
        <v>1975</v>
      </c>
      <c r="M656" s="8" t="str">
        <f t="shared" si="131"/>
        <v>1971-1990</v>
      </c>
      <c r="N656" s="10" t="s">
        <v>241</v>
      </c>
      <c r="O656" s="10" t="s">
        <v>241</v>
      </c>
      <c r="P656" s="10" t="s">
        <v>242</v>
      </c>
      <c r="Q656" s="10" t="s">
        <v>242</v>
      </c>
      <c r="R656" s="10" t="s">
        <v>241</v>
      </c>
      <c r="S656" s="10" t="s">
        <v>242</v>
      </c>
      <c r="T656" s="10" t="s">
        <v>242</v>
      </c>
      <c r="U656" s="10" t="s">
        <v>242</v>
      </c>
      <c r="V656" s="10" t="s">
        <v>242</v>
      </c>
      <c r="W656" s="10" t="s">
        <v>242</v>
      </c>
      <c r="X656" s="15">
        <f>IF(ISERROR(VLOOKUP($A656,'13. Updated Demand'!A:Z,15,FALSE)),0,VLOOKUP($A656,'13. Updated Demand'!A:Z,15,FALSE))</f>
        <v>0</v>
      </c>
      <c r="Y656" s="16">
        <f>IF(ISERROR(VLOOKUP($A656,'13. Updated Demand'!A:Z,16,FALSE)),0,VLOOKUP($A656,'13. Updated Demand'!A:Z,16,FALSE))</f>
        <v>0</v>
      </c>
      <c r="Z656" s="16">
        <f>IF(ISERROR(VLOOKUP($A656,'13. Updated Demand'!A:Z,17,FALSE)),0,VLOOKUP($A656,'13. Updated Demand'!A:Z,17,FALSE))</f>
        <v>0</v>
      </c>
      <c r="AA656" s="16">
        <f>IF(ISERROR(VLOOKUP($A656,'13. Updated Demand'!A:Z,18,FALSE)),0,VLOOKUP($A656,'13. Updated Demand'!A:Z,18,FALSE))</f>
        <v>0</v>
      </c>
      <c r="AB656" s="16">
        <f>IF(ISERROR(VLOOKUP($A656,'13. Updated Demand'!A:Z,19,FALSE)),0,VLOOKUP($A656,'13. Updated Demand'!A:Z,19,FALSE))</f>
        <v>0</v>
      </c>
      <c r="AC656" s="16">
        <f>IF(ISERROR(VLOOKUP($A656,'13. Updated Demand'!A:Z,20,FALSE)),0,VLOOKUP($A656,'13. Updated Demand'!A:Z,20,FALSE))</f>
        <v>2.9</v>
      </c>
      <c r="AD656" s="16">
        <f>IF(ISERROR(VLOOKUP($A656,'13. Updated Demand'!A:Z,21,FALSE)),0,VLOOKUP($A656,'13. Updated Demand'!A:Z,21,FALSE))</f>
        <v>3.63</v>
      </c>
      <c r="AE656" s="16">
        <f>IF(ISERROR(VLOOKUP($A656,'13. Updated Demand'!A:Z,22,FALSE)),0,VLOOKUP($A656,'13. Updated Demand'!A:Z,22,FALSE))</f>
        <v>3.8</v>
      </c>
      <c r="AF656" s="16">
        <f>IF(ISERROR(VLOOKUP($A656,'13. Updated Demand'!A:Z,23,FALSE)),0,VLOOKUP($A656,'13. Updated Demand'!A:Z,23,FALSE))</f>
        <v>2.13</v>
      </c>
      <c r="AG656" s="16">
        <f>IF(ISERROR(VLOOKUP($A656,'13. Updated Demand'!A:Z,24,FALSE)),0,VLOOKUP($A656,'13. Updated Demand'!A:Z,24,FALSE))</f>
        <v>0</v>
      </c>
      <c r="AH656" s="16">
        <f>IF(ISERROR(VLOOKUP($A656,'13. Updated Demand'!A:Z,25,FALSE)),0,VLOOKUP($A656,'13. Updated Demand'!A:Z,25,FALSE))</f>
        <v>0</v>
      </c>
      <c r="AI656" s="16">
        <f>IF(ISERROR(VLOOKUP($A656,'13. Updated Demand'!A:Z,26,FALSE)),0,VLOOKUP($A656,'13. Updated Demand'!A:Z,26,FALSE))</f>
        <v>0</v>
      </c>
      <c r="AJ656" s="16">
        <f t="shared" ref="AJ656:AJ719" si="132">SUM(X656:AI656)</f>
        <v>12.459999999999997</v>
      </c>
      <c r="AK656" s="19">
        <v>12.466666666666658</v>
      </c>
      <c r="AL656" s="16">
        <f t="shared" si="130"/>
        <v>4.1350513246550646E-2</v>
      </c>
      <c r="AM656" s="17">
        <v>0.31166666666666643</v>
      </c>
      <c r="AN656" s="19"/>
      <c r="AO656" s="19"/>
      <c r="AP656" s="19">
        <v>40</v>
      </c>
      <c r="AQ656" s="19" t="s">
        <v>307</v>
      </c>
      <c r="AR656" s="9" t="s">
        <v>331</v>
      </c>
      <c r="AS656" s="12">
        <v>0</v>
      </c>
      <c r="AT656" s="19">
        <v>39.164802739999999</v>
      </c>
      <c r="AU656" s="19">
        <v>-123.19273783</v>
      </c>
      <c r="AV656" s="19" t="s">
        <v>387</v>
      </c>
    </row>
    <row r="657" spans="1:48" x14ac:dyDescent="0.25">
      <c r="A657" s="18" t="s">
        <v>1045</v>
      </c>
      <c r="B657" s="10">
        <v>19750626</v>
      </c>
      <c r="C657" s="9">
        <v>21</v>
      </c>
      <c r="D657" s="8" t="str">
        <f t="shared" si="121"/>
        <v>N</v>
      </c>
      <c r="E657" s="8" t="str">
        <f t="shared" si="122"/>
        <v>N</v>
      </c>
      <c r="F657" s="8" t="str">
        <f t="shared" si="123"/>
        <v>N</v>
      </c>
      <c r="G657" s="8" t="str">
        <f t="shared" si="124"/>
        <v>N</v>
      </c>
      <c r="H657" s="8" t="str">
        <f t="shared" si="125"/>
        <v>Lower</v>
      </c>
      <c r="I657" s="8" t="str">
        <f t="shared" si="126"/>
        <v>Outside</v>
      </c>
      <c r="J657" s="8" t="str">
        <f t="shared" si="127"/>
        <v>Outside</v>
      </c>
      <c r="K657" s="8" t="str">
        <f t="shared" si="128"/>
        <v>Post-1949</v>
      </c>
      <c r="L657" s="8">
        <f t="shared" si="129"/>
        <v>1975</v>
      </c>
      <c r="M657" s="8" t="str">
        <f t="shared" si="131"/>
        <v>1971-1990</v>
      </c>
      <c r="N657" s="10" t="s">
        <v>242</v>
      </c>
      <c r="O657" s="10" t="s">
        <v>242</v>
      </c>
      <c r="P657" s="10" t="s">
        <v>242</v>
      </c>
      <c r="Q657" s="10" t="s">
        <v>242</v>
      </c>
      <c r="R657" s="10" t="s">
        <v>241</v>
      </c>
      <c r="S657" s="10" t="s">
        <v>242</v>
      </c>
      <c r="T657" s="10" t="s">
        <v>242</v>
      </c>
      <c r="U657" s="10" t="s">
        <v>242</v>
      </c>
      <c r="V657" s="10" t="s">
        <v>241</v>
      </c>
      <c r="W657" s="10" t="s">
        <v>242</v>
      </c>
      <c r="X657" s="15">
        <f>IF(ISERROR(VLOOKUP($A657,'13. Updated Demand'!A:Z,15,FALSE)),0,VLOOKUP($A657,'13. Updated Demand'!A:Z,15,FALSE))</f>
        <v>3.0666666669999998</v>
      </c>
      <c r="Y657" s="16">
        <f>IF(ISERROR(VLOOKUP($A657,'13. Updated Demand'!A:Z,16,FALSE)),0,VLOOKUP($A657,'13. Updated Demand'!A:Z,16,FALSE))</f>
        <v>3.8</v>
      </c>
      <c r="Z657" s="16">
        <f>IF(ISERROR(VLOOKUP($A657,'13. Updated Demand'!A:Z,17,FALSE)),0,VLOOKUP($A657,'13. Updated Demand'!A:Z,17,FALSE))</f>
        <v>0.8</v>
      </c>
      <c r="AA657" s="16">
        <f>IF(ISERROR(VLOOKUP($A657,'13. Updated Demand'!A:Z,18,FALSE)),0,VLOOKUP($A657,'13. Updated Demand'!A:Z,18,FALSE))</f>
        <v>0.2</v>
      </c>
      <c r="AB657" s="16">
        <f>IF(ISERROR(VLOOKUP($A657,'13. Updated Demand'!A:Z,19,FALSE)),0,VLOOKUP($A657,'13. Updated Demand'!A:Z,19,FALSE))</f>
        <v>0</v>
      </c>
      <c r="AC657" s="16">
        <f>IF(ISERROR(VLOOKUP($A657,'13. Updated Demand'!A:Z,20,FALSE)),0,VLOOKUP($A657,'13. Updated Demand'!A:Z,20,FALSE))</f>
        <v>0</v>
      </c>
      <c r="AD657" s="16">
        <f>IF(ISERROR(VLOOKUP($A657,'13. Updated Demand'!A:Z,21,FALSE)),0,VLOOKUP($A657,'13. Updated Demand'!A:Z,21,FALSE))</f>
        <v>0</v>
      </c>
      <c r="AE657" s="16">
        <f>IF(ISERROR(VLOOKUP($A657,'13. Updated Demand'!A:Z,22,FALSE)),0,VLOOKUP($A657,'13. Updated Demand'!A:Z,22,FALSE))</f>
        <v>0</v>
      </c>
      <c r="AF657" s="16">
        <f>IF(ISERROR(VLOOKUP($A657,'13. Updated Demand'!A:Z,23,FALSE)),0,VLOOKUP($A657,'13. Updated Demand'!A:Z,23,FALSE))</f>
        <v>0</v>
      </c>
      <c r="AG657" s="16">
        <f>IF(ISERROR(VLOOKUP($A657,'13. Updated Demand'!A:Z,24,FALSE)),0,VLOOKUP($A657,'13. Updated Demand'!A:Z,24,FALSE))</f>
        <v>0</v>
      </c>
      <c r="AH657" s="16">
        <f>IF(ISERROR(VLOOKUP($A657,'13. Updated Demand'!A:Z,25,FALSE)),0,VLOOKUP($A657,'13. Updated Demand'!A:Z,25,FALSE))</f>
        <v>0.66666666699999999</v>
      </c>
      <c r="AI657" s="16">
        <f>IF(ISERROR(VLOOKUP($A657,'13. Updated Demand'!A:Z,26,FALSE)),0,VLOOKUP($A657,'13. Updated Demand'!A:Z,26,FALSE))</f>
        <v>2.1333333329999999</v>
      </c>
      <c r="AJ657" s="16">
        <f t="shared" si="132"/>
        <v>10.666666666999999</v>
      </c>
      <c r="AK657" s="19">
        <v>0</v>
      </c>
      <c r="AL657" s="16">
        <f t="shared" si="130"/>
        <v>0</v>
      </c>
      <c r="AM657" s="17">
        <v>0.50793650795238088</v>
      </c>
      <c r="AN657" s="19"/>
      <c r="AO657" s="19"/>
      <c r="AP657" s="19">
        <v>21</v>
      </c>
      <c r="AQ657" s="19" t="s">
        <v>307</v>
      </c>
      <c r="AR657" s="9" t="s">
        <v>403</v>
      </c>
      <c r="AS657" s="12">
        <v>0</v>
      </c>
      <c r="AT657" s="19">
        <v>38.432071000000001</v>
      </c>
      <c r="AU657" s="19">
        <v>-122.95046739999999</v>
      </c>
      <c r="AV657" s="19" t="s">
        <v>1020</v>
      </c>
    </row>
    <row r="658" spans="1:48" x14ac:dyDescent="0.25">
      <c r="A658" s="18" t="s">
        <v>1046</v>
      </c>
      <c r="B658" s="10">
        <v>19750808</v>
      </c>
      <c r="C658" s="9">
        <v>6</v>
      </c>
      <c r="D658" s="8" t="str">
        <f t="shared" si="121"/>
        <v>Y</v>
      </c>
      <c r="E658" s="8" t="str">
        <f t="shared" si="122"/>
        <v>N</v>
      </c>
      <c r="F658" s="8" t="str">
        <f t="shared" si="123"/>
        <v>Y</v>
      </c>
      <c r="G658" s="8" t="str">
        <f t="shared" si="124"/>
        <v>Y</v>
      </c>
      <c r="H658" s="8" t="str">
        <f t="shared" si="125"/>
        <v>Upper</v>
      </c>
      <c r="I658" s="8" t="str">
        <f t="shared" si="126"/>
        <v>West Fork and Below Lake</v>
      </c>
      <c r="J658" s="8" t="str">
        <f t="shared" si="127"/>
        <v>Mendocino (d/s of lake)</v>
      </c>
      <c r="K658" s="8" t="str">
        <f t="shared" si="128"/>
        <v>Post-1949</v>
      </c>
      <c r="L658" s="8">
        <f t="shared" si="129"/>
        <v>1975</v>
      </c>
      <c r="M658" s="8" t="str">
        <f t="shared" si="131"/>
        <v>1971-1990</v>
      </c>
      <c r="N658" s="10" t="s">
        <v>242</v>
      </c>
      <c r="O658" s="10" t="s">
        <v>241</v>
      </c>
      <c r="P658" s="10" t="s">
        <v>242</v>
      </c>
      <c r="Q658" s="10" t="s">
        <v>242</v>
      </c>
      <c r="R658" s="10" t="s">
        <v>241</v>
      </c>
      <c r="S658" s="10" t="s">
        <v>242</v>
      </c>
      <c r="T658" s="10" t="s">
        <v>242</v>
      </c>
      <c r="U658" s="10" t="s">
        <v>242</v>
      </c>
      <c r="V658" s="10" t="s">
        <v>241</v>
      </c>
      <c r="W658" s="10" t="s">
        <v>242</v>
      </c>
      <c r="X658" s="15">
        <f>IF(ISERROR(VLOOKUP($A658,'13. Updated Demand'!A:Z,15,FALSE)),0,VLOOKUP($A658,'13. Updated Demand'!A:Z,15,FALSE))</f>
        <v>0.33</v>
      </c>
      <c r="Y658" s="16">
        <f>IF(ISERROR(VLOOKUP($A658,'13. Updated Demand'!A:Z,16,FALSE)),0,VLOOKUP($A658,'13. Updated Demand'!A:Z,16,FALSE))</f>
        <v>0.33</v>
      </c>
      <c r="Z658" s="16">
        <f>IF(ISERROR(VLOOKUP($A658,'13. Updated Demand'!A:Z,17,FALSE)),0,VLOOKUP($A658,'13. Updated Demand'!A:Z,17,FALSE))</f>
        <v>0.33</v>
      </c>
      <c r="AA658" s="16">
        <f>IF(ISERROR(VLOOKUP($A658,'13. Updated Demand'!A:Z,18,FALSE)),0,VLOOKUP($A658,'13. Updated Demand'!A:Z,18,FALSE))</f>
        <v>0</v>
      </c>
      <c r="AB658" s="16">
        <f>IF(ISERROR(VLOOKUP($A658,'13. Updated Demand'!A:Z,19,FALSE)),0,VLOOKUP($A658,'13. Updated Demand'!A:Z,19,FALSE))</f>
        <v>0</v>
      </c>
      <c r="AC658" s="16">
        <f>IF(ISERROR(VLOOKUP($A658,'13. Updated Demand'!A:Z,20,FALSE)),0,VLOOKUP($A658,'13. Updated Demand'!A:Z,20,FALSE))</f>
        <v>0</v>
      </c>
      <c r="AD658" s="16">
        <f>IF(ISERROR(VLOOKUP($A658,'13. Updated Demand'!A:Z,21,FALSE)),0,VLOOKUP($A658,'13. Updated Demand'!A:Z,21,FALSE))</f>
        <v>0</v>
      </c>
      <c r="AE658" s="16">
        <f>IF(ISERROR(VLOOKUP($A658,'13. Updated Demand'!A:Z,22,FALSE)),0,VLOOKUP($A658,'13. Updated Demand'!A:Z,22,FALSE))</f>
        <v>0</v>
      </c>
      <c r="AF658" s="16">
        <f>IF(ISERROR(VLOOKUP($A658,'13. Updated Demand'!A:Z,23,FALSE)),0,VLOOKUP($A658,'13. Updated Demand'!A:Z,23,FALSE))</f>
        <v>0</v>
      </c>
      <c r="AG658" s="16">
        <f>IF(ISERROR(VLOOKUP($A658,'13. Updated Demand'!A:Z,24,FALSE)),0,VLOOKUP($A658,'13. Updated Demand'!A:Z,24,FALSE))</f>
        <v>0</v>
      </c>
      <c r="AH658" s="16">
        <f>IF(ISERROR(VLOOKUP($A658,'13. Updated Demand'!A:Z,25,FALSE)),0,VLOOKUP($A658,'13. Updated Demand'!A:Z,25,FALSE))</f>
        <v>0</v>
      </c>
      <c r="AI658" s="16">
        <f>IF(ISERROR(VLOOKUP($A658,'13. Updated Demand'!A:Z,26,FALSE)),0,VLOOKUP($A658,'13. Updated Demand'!A:Z,26,FALSE))</f>
        <v>0.33</v>
      </c>
      <c r="AJ658" s="16">
        <f t="shared" si="132"/>
        <v>1.32</v>
      </c>
      <c r="AK658" s="19">
        <v>0</v>
      </c>
      <c r="AL658" s="16">
        <f t="shared" si="130"/>
        <v>0</v>
      </c>
      <c r="AM658" s="17">
        <v>0.1904761902857143</v>
      </c>
      <c r="AN658" s="19"/>
      <c r="AO658" s="19"/>
      <c r="AP658" s="19">
        <v>7</v>
      </c>
      <c r="AQ658" s="19" t="s">
        <v>307</v>
      </c>
      <c r="AR658" s="9" t="s">
        <v>319</v>
      </c>
      <c r="AS658" s="12">
        <v>0</v>
      </c>
      <c r="AT658" s="19">
        <v>38.873636810000001</v>
      </c>
      <c r="AU658" s="19">
        <v>-123.10477400000001</v>
      </c>
      <c r="AV658" s="19" t="s">
        <v>417</v>
      </c>
    </row>
    <row r="659" spans="1:48" x14ac:dyDescent="0.25">
      <c r="A659" s="18" t="s">
        <v>1047</v>
      </c>
      <c r="B659" s="10">
        <v>19750825</v>
      </c>
      <c r="C659" s="9">
        <v>12</v>
      </c>
      <c r="D659" s="8" t="str">
        <f t="shared" si="121"/>
        <v>N</v>
      </c>
      <c r="E659" s="8" t="str">
        <f t="shared" si="122"/>
        <v>Y</v>
      </c>
      <c r="F659" s="8" t="str">
        <f t="shared" si="123"/>
        <v>Y</v>
      </c>
      <c r="G659" s="8" t="str">
        <f t="shared" si="124"/>
        <v>Y</v>
      </c>
      <c r="H659" s="8" t="str">
        <f t="shared" si="125"/>
        <v>Upper</v>
      </c>
      <c r="I659" s="8" t="str">
        <f t="shared" si="126"/>
        <v>West Fork and Below Lake</v>
      </c>
      <c r="J659" s="8" t="str">
        <f t="shared" si="127"/>
        <v>Sonoma (d/s of Clov. Gage)</v>
      </c>
      <c r="K659" s="8" t="str">
        <f t="shared" si="128"/>
        <v>Post-1949</v>
      </c>
      <c r="L659" s="8">
        <f t="shared" si="129"/>
        <v>1975</v>
      </c>
      <c r="M659" s="8" t="str">
        <f t="shared" si="131"/>
        <v>1971-1990</v>
      </c>
      <c r="N659" s="10" t="s">
        <v>241</v>
      </c>
      <c r="O659" s="10" t="s">
        <v>241</v>
      </c>
      <c r="P659" s="10" t="s">
        <v>242</v>
      </c>
      <c r="Q659" s="10" t="s">
        <v>242</v>
      </c>
      <c r="R659" s="10" t="s">
        <v>241</v>
      </c>
      <c r="S659" s="10" t="s">
        <v>242</v>
      </c>
      <c r="T659" s="10" t="s">
        <v>242</v>
      </c>
      <c r="U659" s="10" t="s">
        <v>241</v>
      </c>
      <c r="V659" s="10" t="s">
        <v>241</v>
      </c>
      <c r="W659" s="10" t="s">
        <v>242</v>
      </c>
      <c r="X659" s="15">
        <f>IF(ISERROR(VLOOKUP($A659,'13. Updated Demand'!A:Z,15,FALSE)),0,VLOOKUP($A659,'13. Updated Demand'!A:Z,15,FALSE))</f>
        <v>0</v>
      </c>
      <c r="Y659" s="16">
        <f>IF(ISERROR(VLOOKUP($A659,'13. Updated Demand'!A:Z,16,FALSE)),0,VLOOKUP($A659,'13. Updated Demand'!A:Z,16,FALSE))</f>
        <v>0</v>
      </c>
      <c r="Z659" s="16">
        <f>IF(ISERROR(VLOOKUP($A659,'13. Updated Demand'!A:Z,17,FALSE)),0,VLOOKUP($A659,'13. Updated Demand'!A:Z,17,FALSE))</f>
        <v>0</v>
      </c>
      <c r="AA659" s="16">
        <f>IF(ISERROR(VLOOKUP($A659,'13. Updated Demand'!A:Z,18,FALSE)),0,VLOOKUP($A659,'13. Updated Demand'!A:Z,18,FALSE))</f>
        <v>0</v>
      </c>
      <c r="AB659" s="16">
        <f>IF(ISERROR(VLOOKUP($A659,'13. Updated Demand'!A:Z,19,FALSE)),0,VLOOKUP($A659,'13. Updated Demand'!A:Z,19,FALSE))</f>
        <v>0</v>
      </c>
      <c r="AC659" s="16">
        <f>IF(ISERROR(VLOOKUP($A659,'13. Updated Demand'!A:Z,20,FALSE)),0,VLOOKUP($A659,'13. Updated Demand'!A:Z,20,FALSE))</f>
        <v>0</v>
      </c>
      <c r="AD659" s="16">
        <f>IF(ISERROR(VLOOKUP($A659,'13. Updated Demand'!A:Z,21,FALSE)),0,VLOOKUP($A659,'13. Updated Demand'!A:Z,21,FALSE))</f>
        <v>0</v>
      </c>
      <c r="AE659" s="16">
        <f>IF(ISERROR(VLOOKUP($A659,'13. Updated Demand'!A:Z,22,FALSE)),0,VLOOKUP($A659,'13. Updated Demand'!A:Z,22,FALSE))</f>
        <v>0</v>
      </c>
      <c r="AF659" s="16">
        <f>IF(ISERROR(VLOOKUP($A659,'13. Updated Demand'!A:Z,23,FALSE)),0,VLOOKUP($A659,'13. Updated Demand'!A:Z,23,FALSE))</f>
        <v>0</v>
      </c>
      <c r="AG659" s="16">
        <f>IF(ISERROR(VLOOKUP($A659,'13. Updated Demand'!A:Z,24,FALSE)),0,VLOOKUP($A659,'13. Updated Demand'!A:Z,24,FALSE))</f>
        <v>0</v>
      </c>
      <c r="AH659" s="16">
        <f>IF(ISERROR(VLOOKUP($A659,'13. Updated Demand'!A:Z,25,FALSE)),0,VLOOKUP($A659,'13. Updated Demand'!A:Z,25,FALSE))</f>
        <v>0</v>
      </c>
      <c r="AI659" s="16">
        <f>IF(ISERROR(VLOOKUP($A659,'13. Updated Demand'!A:Z,26,FALSE)),0,VLOOKUP($A659,'13. Updated Demand'!A:Z,26,FALSE))</f>
        <v>0</v>
      </c>
      <c r="AJ659" s="16">
        <f t="shared" si="132"/>
        <v>0</v>
      </c>
      <c r="AK659" s="19">
        <v>0</v>
      </c>
      <c r="AL659" s="16">
        <f t="shared" si="130"/>
        <v>0</v>
      </c>
      <c r="AM659" s="17">
        <v>0</v>
      </c>
      <c r="AN659" s="19"/>
      <c r="AO659" s="19"/>
      <c r="AP659" s="19">
        <v>21</v>
      </c>
      <c r="AQ659" s="19" t="s">
        <v>307</v>
      </c>
      <c r="AR659" s="9" t="s">
        <v>311</v>
      </c>
      <c r="AS659" s="12">
        <v>0</v>
      </c>
      <c r="AT659" s="19">
        <v>38.651142569999998</v>
      </c>
      <c r="AU659" s="19">
        <v>-122.81347409</v>
      </c>
      <c r="AV659" s="19" t="s">
        <v>387</v>
      </c>
    </row>
    <row r="660" spans="1:48" x14ac:dyDescent="0.25">
      <c r="A660" s="18" t="s">
        <v>1048</v>
      </c>
      <c r="B660" s="10">
        <v>19750825</v>
      </c>
      <c r="C660" s="9">
        <v>12</v>
      </c>
      <c r="D660" s="8" t="str">
        <f t="shared" si="121"/>
        <v>N</v>
      </c>
      <c r="E660" s="8" t="str">
        <f t="shared" si="122"/>
        <v>Y</v>
      </c>
      <c r="F660" s="8" t="str">
        <f t="shared" si="123"/>
        <v>Y</v>
      </c>
      <c r="G660" s="8" t="str">
        <f t="shared" si="124"/>
        <v>Y</v>
      </c>
      <c r="H660" s="8" t="str">
        <f t="shared" si="125"/>
        <v>Upper</v>
      </c>
      <c r="I660" s="8" t="str">
        <f t="shared" si="126"/>
        <v>West Fork and Below Lake</v>
      </c>
      <c r="J660" s="8" t="str">
        <f t="shared" si="127"/>
        <v>Sonoma (d/s of Clov. Gage)</v>
      </c>
      <c r="K660" s="8" t="str">
        <f t="shared" si="128"/>
        <v>Post-1949</v>
      </c>
      <c r="L660" s="8">
        <f t="shared" si="129"/>
        <v>1975</v>
      </c>
      <c r="M660" s="8" t="str">
        <f t="shared" si="131"/>
        <v>1971-1990</v>
      </c>
      <c r="N660" s="10" t="s">
        <v>241</v>
      </c>
      <c r="O660" s="10" t="s">
        <v>241</v>
      </c>
      <c r="P660" s="10" t="s">
        <v>242</v>
      </c>
      <c r="Q660" s="10" t="s">
        <v>242</v>
      </c>
      <c r="R660" s="10" t="s">
        <v>241</v>
      </c>
      <c r="S660" s="10" t="s">
        <v>242</v>
      </c>
      <c r="T660" s="10" t="s">
        <v>242</v>
      </c>
      <c r="U660" s="10" t="s">
        <v>241</v>
      </c>
      <c r="V660" s="10" t="s">
        <v>241</v>
      </c>
      <c r="W660" s="10" t="s">
        <v>242</v>
      </c>
      <c r="X660" s="15">
        <f>IF(ISERROR(VLOOKUP($A660,'13. Updated Demand'!A:Z,15,FALSE)),0,VLOOKUP($A660,'13. Updated Demand'!A:Z,15,FALSE))</f>
        <v>0</v>
      </c>
      <c r="Y660" s="16">
        <f>IF(ISERROR(VLOOKUP($A660,'13. Updated Demand'!A:Z,16,FALSE)),0,VLOOKUP($A660,'13. Updated Demand'!A:Z,16,FALSE))</f>
        <v>0</v>
      </c>
      <c r="Z660" s="16">
        <f>IF(ISERROR(VLOOKUP($A660,'13. Updated Demand'!A:Z,17,FALSE)),0,VLOOKUP($A660,'13. Updated Demand'!A:Z,17,FALSE))</f>
        <v>0</v>
      </c>
      <c r="AA660" s="16">
        <f>IF(ISERROR(VLOOKUP($A660,'13. Updated Demand'!A:Z,18,FALSE)),0,VLOOKUP($A660,'13. Updated Demand'!A:Z,18,FALSE))</f>
        <v>0</v>
      </c>
      <c r="AB660" s="16">
        <f>IF(ISERROR(VLOOKUP($A660,'13. Updated Demand'!A:Z,19,FALSE)),0,VLOOKUP($A660,'13. Updated Demand'!A:Z,19,FALSE))</f>
        <v>0</v>
      </c>
      <c r="AC660" s="16">
        <f>IF(ISERROR(VLOOKUP($A660,'13. Updated Demand'!A:Z,20,FALSE)),0,VLOOKUP($A660,'13. Updated Demand'!A:Z,20,FALSE))</f>
        <v>0</v>
      </c>
      <c r="AD660" s="16">
        <f>IF(ISERROR(VLOOKUP($A660,'13. Updated Demand'!A:Z,21,FALSE)),0,VLOOKUP($A660,'13. Updated Demand'!A:Z,21,FALSE))</f>
        <v>0</v>
      </c>
      <c r="AE660" s="16">
        <f>IF(ISERROR(VLOOKUP($A660,'13. Updated Demand'!A:Z,22,FALSE)),0,VLOOKUP($A660,'13. Updated Demand'!A:Z,22,FALSE))</f>
        <v>0</v>
      </c>
      <c r="AF660" s="16">
        <f>IF(ISERROR(VLOOKUP($A660,'13. Updated Demand'!A:Z,23,FALSE)),0,VLOOKUP($A660,'13. Updated Demand'!A:Z,23,FALSE))</f>
        <v>0</v>
      </c>
      <c r="AG660" s="16">
        <f>IF(ISERROR(VLOOKUP($A660,'13. Updated Demand'!A:Z,24,FALSE)),0,VLOOKUP($A660,'13. Updated Demand'!A:Z,24,FALSE))</f>
        <v>0</v>
      </c>
      <c r="AH660" s="16">
        <f>IF(ISERROR(VLOOKUP($A660,'13. Updated Demand'!A:Z,25,FALSE)),0,VLOOKUP($A660,'13. Updated Demand'!A:Z,25,FALSE))</f>
        <v>0</v>
      </c>
      <c r="AI660" s="16">
        <f>IF(ISERROR(VLOOKUP($A660,'13. Updated Demand'!A:Z,26,FALSE)),0,VLOOKUP($A660,'13. Updated Demand'!A:Z,26,FALSE))</f>
        <v>0</v>
      </c>
      <c r="AJ660" s="16">
        <f t="shared" si="132"/>
        <v>0</v>
      </c>
      <c r="AK660" s="19">
        <v>0</v>
      </c>
      <c r="AL660" s="16">
        <f t="shared" si="130"/>
        <v>0</v>
      </c>
      <c r="AM660" s="17">
        <v>0</v>
      </c>
      <c r="AN660" s="19"/>
      <c r="AO660" s="19"/>
      <c r="AP660" s="19">
        <v>50</v>
      </c>
      <c r="AQ660" s="19" t="s">
        <v>307</v>
      </c>
      <c r="AR660" s="9" t="s">
        <v>311</v>
      </c>
      <c r="AS660" s="12">
        <v>0</v>
      </c>
      <c r="AT660" s="19">
        <v>38.652208940000001</v>
      </c>
      <c r="AU660" s="19">
        <v>-122.8180387</v>
      </c>
      <c r="AV660" s="19" t="s">
        <v>387</v>
      </c>
    </row>
    <row r="661" spans="1:48" x14ac:dyDescent="0.25">
      <c r="A661" s="18" t="s">
        <v>1049</v>
      </c>
      <c r="B661" s="10">
        <v>19750826</v>
      </c>
      <c r="C661" s="9">
        <v>18</v>
      </c>
      <c r="D661" s="8" t="str">
        <f t="shared" si="121"/>
        <v>N</v>
      </c>
      <c r="E661" s="8" t="str">
        <f t="shared" si="122"/>
        <v>N</v>
      </c>
      <c r="F661" s="8" t="str">
        <f t="shared" si="123"/>
        <v>N</v>
      </c>
      <c r="G661" s="8" t="str">
        <f t="shared" si="124"/>
        <v>N</v>
      </c>
      <c r="H661" s="8" t="str">
        <f t="shared" si="125"/>
        <v>Lower</v>
      </c>
      <c r="I661" s="8" t="str">
        <f t="shared" si="126"/>
        <v>Outside</v>
      </c>
      <c r="J661" s="8" t="str">
        <f t="shared" si="127"/>
        <v>Outside</v>
      </c>
      <c r="K661" s="8" t="str">
        <f t="shared" si="128"/>
        <v>Post-1949</v>
      </c>
      <c r="L661" s="8">
        <f t="shared" si="129"/>
        <v>1975</v>
      </c>
      <c r="M661" s="8" t="str">
        <f t="shared" si="131"/>
        <v>1971-1990</v>
      </c>
      <c r="N661" s="10" t="s">
        <v>241</v>
      </c>
      <c r="O661" s="10" t="s">
        <v>242</v>
      </c>
      <c r="P661" s="10" t="s">
        <v>242</v>
      </c>
      <c r="Q661" s="10" t="s">
        <v>242</v>
      </c>
      <c r="R661" s="10" t="s">
        <v>241</v>
      </c>
      <c r="S661" s="10" t="s">
        <v>242</v>
      </c>
      <c r="T661" s="10" t="s">
        <v>242</v>
      </c>
      <c r="U661" s="10" t="s">
        <v>241</v>
      </c>
      <c r="V661" s="10" t="s">
        <v>241</v>
      </c>
      <c r="W661" s="10" t="s">
        <v>242</v>
      </c>
      <c r="X661" s="15">
        <f>IF(ISERROR(VLOOKUP($A661,'13. Updated Demand'!A:Z,15,FALSE)),0,VLOOKUP($A661,'13. Updated Demand'!A:Z,15,FALSE))</f>
        <v>0</v>
      </c>
      <c r="Y661" s="16">
        <f>IF(ISERROR(VLOOKUP($A661,'13. Updated Demand'!A:Z,16,FALSE)),0,VLOOKUP($A661,'13. Updated Demand'!A:Z,16,FALSE))</f>
        <v>0</v>
      </c>
      <c r="Z661" s="16">
        <f>IF(ISERROR(VLOOKUP($A661,'13. Updated Demand'!A:Z,17,FALSE)),0,VLOOKUP($A661,'13. Updated Demand'!A:Z,17,FALSE))</f>
        <v>0</v>
      </c>
      <c r="AA661" s="16">
        <f>IF(ISERROR(VLOOKUP($A661,'13. Updated Demand'!A:Z,18,FALSE)),0,VLOOKUP($A661,'13. Updated Demand'!A:Z,18,FALSE))</f>
        <v>0</v>
      </c>
      <c r="AB661" s="16">
        <f>IF(ISERROR(VLOOKUP($A661,'13. Updated Demand'!A:Z,19,FALSE)),0,VLOOKUP($A661,'13. Updated Demand'!A:Z,19,FALSE))</f>
        <v>0</v>
      </c>
      <c r="AC661" s="16">
        <f>IF(ISERROR(VLOOKUP($A661,'13. Updated Demand'!A:Z,20,FALSE)),0,VLOOKUP($A661,'13. Updated Demand'!A:Z,20,FALSE))</f>
        <v>0</v>
      </c>
      <c r="AD661" s="16">
        <f>IF(ISERROR(VLOOKUP($A661,'13. Updated Demand'!A:Z,21,FALSE)),0,VLOOKUP($A661,'13. Updated Demand'!A:Z,21,FALSE))</f>
        <v>0</v>
      </c>
      <c r="AE661" s="16">
        <f>IF(ISERROR(VLOOKUP($A661,'13. Updated Demand'!A:Z,22,FALSE)),0,VLOOKUP($A661,'13. Updated Demand'!A:Z,22,FALSE))</f>
        <v>0</v>
      </c>
      <c r="AF661" s="16">
        <f>IF(ISERROR(VLOOKUP($A661,'13. Updated Demand'!A:Z,23,FALSE)),0,VLOOKUP($A661,'13. Updated Demand'!A:Z,23,FALSE))</f>
        <v>0</v>
      </c>
      <c r="AG661" s="16">
        <f>IF(ISERROR(VLOOKUP($A661,'13. Updated Demand'!A:Z,24,FALSE)),0,VLOOKUP($A661,'13. Updated Demand'!A:Z,24,FALSE))</f>
        <v>0</v>
      </c>
      <c r="AH661" s="16">
        <f>IF(ISERROR(VLOOKUP($A661,'13. Updated Demand'!A:Z,25,FALSE)),0,VLOOKUP($A661,'13. Updated Demand'!A:Z,25,FALSE))</f>
        <v>0</v>
      </c>
      <c r="AI661" s="16">
        <f>IF(ISERROR(VLOOKUP($A661,'13. Updated Demand'!A:Z,26,FALSE)),0,VLOOKUP($A661,'13. Updated Demand'!A:Z,26,FALSE))</f>
        <v>0</v>
      </c>
      <c r="AJ661" s="16">
        <f t="shared" si="132"/>
        <v>0</v>
      </c>
      <c r="AK661" s="19">
        <v>0</v>
      </c>
      <c r="AL661" s="16">
        <f t="shared" si="130"/>
        <v>0</v>
      </c>
      <c r="AM661" s="17">
        <v>0</v>
      </c>
      <c r="AN661" s="19"/>
      <c r="AO661" s="19"/>
      <c r="AP661" s="19">
        <v>0.3</v>
      </c>
      <c r="AQ661" s="19" t="s">
        <v>307</v>
      </c>
      <c r="AR661" s="9" t="s">
        <v>352</v>
      </c>
      <c r="AS661" s="12">
        <v>3.4039024194010059E-4</v>
      </c>
      <c r="AT661" s="19">
        <v>38.503399999999999</v>
      </c>
      <c r="AU661" s="19">
        <v>-122.8891</v>
      </c>
      <c r="AV661" s="19" t="s">
        <v>548</v>
      </c>
    </row>
    <row r="662" spans="1:48" x14ac:dyDescent="0.25">
      <c r="A662" s="18" t="s">
        <v>1050</v>
      </c>
      <c r="B662" s="10">
        <v>19750826</v>
      </c>
      <c r="C662" s="9">
        <v>18</v>
      </c>
      <c r="D662" s="8" t="str">
        <f t="shared" si="121"/>
        <v>N</v>
      </c>
      <c r="E662" s="8" t="str">
        <f t="shared" si="122"/>
        <v>N</v>
      </c>
      <c r="F662" s="8" t="str">
        <f t="shared" si="123"/>
        <v>N</v>
      </c>
      <c r="G662" s="8" t="str">
        <f t="shared" si="124"/>
        <v>N</v>
      </c>
      <c r="H662" s="8" t="str">
        <f t="shared" si="125"/>
        <v>Lower</v>
      </c>
      <c r="I662" s="8" t="str">
        <f t="shared" si="126"/>
        <v>Outside</v>
      </c>
      <c r="J662" s="8" t="str">
        <f t="shared" si="127"/>
        <v>Outside</v>
      </c>
      <c r="K662" s="8" t="str">
        <f t="shared" si="128"/>
        <v>Post-1949</v>
      </c>
      <c r="L662" s="8">
        <f t="shared" si="129"/>
        <v>1975</v>
      </c>
      <c r="M662" s="8" t="str">
        <f t="shared" si="131"/>
        <v>1971-1990</v>
      </c>
      <c r="N662" s="10" t="s">
        <v>241</v>
      </c>
      <c r="O662" s="10" t="s">
        <v>242</v>
      </c>
      <c r="P662" s="10" t="s">
        <v>242</v>
      </c>
      <c r="Q662" s="10" t="s">
        <v>242</v>
      </c>
      <c r="R662" s="10" t="s">
        <v>241</v>
      </c>
      <c r="S662" s="10" t="s">
        <v>242</v>
      </c>
      <c r="T662" s="10" t="s">
        <v>242</v>
      </c>
      <c r="U662" s="10" t="s">
        <v>242</v>
      </c>
      <c r="V662" s="10" t="s">
        <v>242</v>
      </c>
      <c r="W662" s="10" t="s">
        <v>242</v>
      </c>
      <c r="X662" s="15">
        <f>IF(ISERROR(VLOOKUP($A662,'13. Updated Demand'!A:Z,15,FALSE)),0,VLOOKUP($A662,'13. Updated Demand'!A:Z,15,FALSE))</f>
        <v>0</v>
      </c>
      <c r="Y662" s="16">
        <f>IF(ISERROR(VLOOKUP($A662,'13. Updated Demand'!A:Z,16,FALSE)),0,VLOOKUP($A662,'13. Updated Demand'!A:Z,16,FALSE))</f>
        <v>0</v>
      </c>
      <c r="Z662" s="16">
        <f>IF(ISERROR(VLOOKUP($A662,'13. Updated Demand'!A:Z,17,FALSE)),0,VLOOKUP($A662,'13. Updated Demand'!A:Z,17,FALSE))</f>
        <v>0</v>
      </c>
      <c r="AA662" s="16">
        <f>IF(ISERROR(VLOOKUP($A662,'13. Updated Demand'!A:Z,18,FALSE)),0,VLOOKUP($A662,'13. Updated Demand'!A:Z,18,FALSE))</f>
        <v>0</v>
      </c>
      <c r="AB662" s="16">
        <f>IF(ISERROR(VLOOKUP($A662,'13. Updated Demand'!A:Z,19,FALSE)),0,VLOOKUP($A662,'13. Updated Demand'!A:Z,19,FALSE))</f>
        <v>0</v>
      </c>
      <c r="AC662" s="16">
        <f>IF(ISERROR(VLOOKUP($A662,'13. Updated Demand'!A:Z,20,FALSE)),0,VLOOKUP($A662,'13. Updated Demand'!A:Z,20,FALSE))</f>
        <v>0.28000000000000003</v>
      </c>
      <c r="AD662" s="16">
        <f>IF(ISERROR(VLOOKUP($A662,'13. Updated Demand'!A:Z,21,FALSE)),0,VLOOKUP($A662,'13. Updated Demand'!A:Z,21,FALSE))</f>
        <v>0.33666666699999998</v>
      </c>
      <c r="AE662" s="16">
        <f>IF(ISERROR(VLOOKUP($A662,'13. Updated Demand'!A:Z,22,FALSE)),0,VLOOKUP($A662,'13. Updated Demand'!A:Z,22,FALSE))</f>
        <v>0.193333333</v>
      </c>
      <c r="AF662" s="16">
        <f>IF(ISERROR(VLOOKUP($A662,'13. Updated Demand'!A:Z,23,FALSE)),0,VLOOKUP($A662,'13. Updated Demand'!A:Z,23,FALSE))</f>
        <v>0.16</v>
      </c>
      <c r="AG662" s="16">
        <f>IF(ISERROR(VLOOKUP($A662,'13. Updated Demand'!A:Z,24,FALSE)),0,VLOOKUP($A662,'13. Updated Demand'!A:Z,24,FALSE))</f>
        <v>0</v>
      </c>
      <c r="AH662" s="16">
        <f>IF(ISERROR(VLOOKUP($A662,'13. Updated Demand'!A:Z,25,FALSE)),0,VLOOKUP($A662,'13. Updated Demand'!A:Z,25,FALSE))</f>
        <v>0</v>
      </c>
      <c r="AI662" s="16">
        <f>IF(ISERROR(VLOOKUP($A662,'13. Updated Demand'!A:Z,26,FALSE)),0,VLOOKUP($A662,'13. Updated Demand'!A:Z,26,FALSE))</f>
        <v>0</v>
      </c>
      <c r="AJ662" s="16">
        <f t="shared" si="132"/>
        <v>0.97000000000000008</v>
      </c>
      <c r="AK662" s="19">
        <v>0.97000000000000008</v>
      </c>
      <c r="AL662" s="16">
        <f t="shared" si="130"/>
        <v>3.2173795066166438E-3</v>
      </c>
      <c r="AM662" s="17">
        <v>1.5980230642504121E-2</v>
      </c>
      <c r="AN662" s="19"/>
      <c r="AO662" s="19"/>
      <c r="AP662" s="19">
        <v>60.7</v>
      </c>
      <c r="AQ662" s="19" t="s">
        <v>307</v>
      </c>
      <c r="AR662" s="9" t="s">
        <v>352</v>
      </c>
      <c r="AS662" s="12">
        <v>0</v>
      </c>
      <c r="AT662" s="19">
        <v>38.503300000000003</v>
      </c>
      <c r="AU662" s="19">
        <v>-122.8891</v>
      </c>
      <c r="AV662" s="19" t="s">
        <v>548</v>
      </c>
    </row>
    <row r="663" spans="1:48" x14ac:dyDescent="0.25">
      <c r="A663" s="18" t="s">
        <v>1051</v>
      </c>
      <c r="B663" s="10">
        <v>19750826</v>
      </c>
      <c r="C663" s="9">
        <v>18</v>
      </c>
      <c r="D663" s="8" t="str">
        <f t="shared" si="121"/>
        <v>N</v>
      </c>
      <c r="E663" s="8" t="str">
        <f t="shared" si="122"/>
        <v>N</v>
      </c>
      <c r="F663" s="8" t="str">
        <f t="shared" si="123"/>
        <v>N</v>
      </c>
      <c r="G663" s="8" t="str">
        <f t="shared" si="124"/>
        <v>N</v>
      </c>
      <c r="H663" s="8" t="str">
        <f t="shared" si="125"/>
        <v>Lower</v>
      </c>
      <c r="I663" s="8" t="str">
        <f t="shared" si="126"/>
        <v>Outside</v>
      </c>
      <c r="J663" s="8" t="str">
        <f t="shared" si="127"/>
        <v>Outside</v>
      </c>
      <c r="K663" s="8" t="str">
        <f t="shared" si="128"/>
        <v>Post-1949</v>
      </c>
      <c r="L663" s="8">
        <f t="shared" si="129"/>
        <v>1975</v>
      </c>
      <c r="M663" s="8" t="str">
        <f t="shared" si="131"/>
        <v>1971-1990</v>
      </c>
      <c r="N663" s="10" t="s">
        <v>241</v>
      </c>
      <c r="O663" s="10" t="s">
        <v>242</v>
      </c>
      <c r="P663" s="10" t="s">
        <v>242</v>
      </c>
      <c r="Q663" s="10" t="s">
        <v>242</v>
      </c>
      <c r="R663" s="10" t="s">
        <v>241</v>
      </c>
      <c r="S663" s="10" t="s">
        <v>242</v>
      </c>
      <c r="T663" s="10" t="s">
        <v>242</v>
      </c>
      <c r="U663" s="10" t="s">
        <v>242</v>
      </c>
      <c r="V663" s="10" t="s">
        <v>242</v>
      </c>
      <c r="W663" s="10" t="s">
        <v>242</v>
      </c>
      <c r="X663" s="15">
        <f>IF(ISERROR(VLOOKUP($A663,'13. Updated Demand'!A:Z,15,FALSE)),0,VLOOKUP($A663,'13. Updated Demand'!A:Z,15,FALSE))</f>
        <v>0</v>
      </c>
      <c r="Y663" s="16">
        <f>IF(ISERROR(VLOOKUP($A663,'13. Updated Demand'!A:Z,16,FALSE)),0,VLOOKUP($A663,'13. Updated Demand'!A:Z,16,FALSE))</f>
        <v>0</v>
      </c>
      <c r="Z663" s="16">
        <f>IF(ISERROR(VLOOKUP($A663,'13. Updated Demand'!A:Z,17,FALSE)),0,VLOOKUP($A663,'13. Updated Demand'!A:Z,17,FALSE))</f>
        <v>0</v>
      </c>
      <c r="AA663" s="16">
        <f>IF(ISERROR(VLOOKUP($A663,'13. Updated Demand'!A:Z,18,FALSE)),0,VLOOKUP($A663,'13. Updated Demand'!A:Z,18,FALSE))</f>
        <v>2.3563000000000001E-2</v>
      </c>
      <c r="AB663" s="16">
        <f>IF(ISERROR(VLOOKUP($A663,'13. Updated Demand'!A:Z,19,FALSE)),0,VLOOKUP($A663,'13. Updated Demand'!A:Z,19,FALSE))</f>
        <v>3.4091999999999997E-2</v>
      </c>
      <c r="AC663" s="16">
        <f>IF(ISERROR(VLOOKUP($A663,'13. Updated Demand'!A:Z,20,FALSE)),0,VLOOKUP($A663,'13. Updated Demand'!A:Z,20,FALSE))</f>
        <v>0</v>
      </c>
      <c r="AD663" s="16">
        <f>IF(ISERROR(VLOOKUP($A663,'13. Updated Demand'!A:Z,21,FALSE)),0,VLOOKUP($A663,'13. Updated Demand'!A:Z,21,FALSE))</f>
        <v>0</v>
      </c>
      <c r="AE663" s="16">
        <f>IF(ISERROR(VLOOKUP($A663,'13. Updated Demand'!A:Z,22,FALSE)),0,VLOOKUP($A663,'13. Updated Demand'!A:Z,22,FALSE))</f>
        <v>0</v>
      </c>
      <c r="AF663" s="16">
        <f>IF(ISERROR(VLOOKUP($A663,'13. Updated Demand'!A:Z,23,FALSE)),0,VLOOKUP($A663,'13. Updated Demand'!A:Z,23,FALSE))</f>
        <v>0</v>
      </c>
      <c r="AG663" s="16">
        <f>IF(ISERROR(VLOOKUP($A663,'13. Updated Demand'!A:Z,24,FALSE)),0,VLOOKUP($A663,'13. Updated Demand'!A:Z,24,FALSE))</f>
        <v>0</v>
      </c>
      <c r="AH663" s="16">
        <f>IF(ISERROR(VLOOKUP($A663,'13. Updated Demand'!A:Z,25,FALSE)),0,VLOOKUP($A663,'13. Updated Demand'!A:Z,25,FALSE))</f>
        <v>2.6596999999999999E-2</v>
      </c>
      <c r="AI663" s="16">
        <f>IF(ISERROR(VLOOKUP($A663,'13. Updated Demand'!A:Z,26,FALSE)),0,VLOOKUP($A663,'13. Updated Demand'!A:Z,26,FALSE))</f>
        <v>0</v>
      </c>
      <c r="AJ663" s="16">
        <f t="shared" si="132"/>
        <v>8.4251999999999994E-2</v>
      </c>
      <c r="AK663" s="19">
        <v>3.4091999999999997E-2</v>
      </c>
      <c r="AL663" s="16">
        <f t="shared" si="130"/>
        <v>1.1307928055626249E-4</v>
      </c>
      <c r="AM663" s="17">
        <v>1.3811803278688524E-3</v>
      </c>
      <c r="AN663" s="19"/>
      <c r="AO663" s="19"/>
      <c r="AP663" s="19">
        <v>61</v>
      </c>
      <c r="AQ663" s="19" t="s">
        <v>307</v>
      </c>
      <c r="AR663" s="9" t="s">
        <v>352</v>
      </c>
      <c r="AS663" s="12">
        <v>0</v>
      </c>
      <c r="AT663" s="19">
        <v>38.503399999999999</v>
      </c>
      <c r="AU663" s="19">
        <v>-122.8891</v>
      </c>
      <c r="AV663" s="19" t="s">
        <v>548</v>
      </c>
    </row>
    <row r="664" spans="1:48" x14ac:dyDescent="0.25">
      <c r="A664" s="18" t="s">
        <v>1052</v>
      </c>
      <c r="B664" s="10">
        <v>19750910</v>
      </c>
      <c r="C664" s="9">
        <v>12</v>
      </c>
      <c r="D664" s="8" t="str">
        <f t="shared" si="121"/>
        <v>N</v>
      </c>
      <c r="E664" s="8" t="str">
        <f t="shared" si="122"/>
        <v>Y</v>
      </c>
      <c r="F664" s="8" t="str">
        <f t="shared" si="123"/>
        <v>Y</v>
      </c>
      <c r="G664" s="8" t="str">
        <f t="shared" si="124"/>
        <v>Y</v>
      </c>
      <c r="H664" s="8" t="str">
        <f t="shared" si="125"/>
        <v>Upper</v>
      </c>
      <c r="I664" s="8" t="str">
        <f t="shared" si="126"/>
        <v>West Fork and Below Lake</v>
      </c>
      <c r="J664" s="8" t="str">
        <f t="shared" si="127"/>
        <v>Sonoma (d/s of Clov. Gage)</v>
      </c>
      <c r="K664" s="8" t="str">
        <f t="shared" si="128"/>
        <v>Post-1949</v>
      </c>
      <c r="L664" s="8">
        <f t="shared" si="129"/>
        <v>1975</v>
      </c>
      <c r="M664" s="8" t="str">
        <f t="shared" si="131"/>
        <v>1971-1990</v>
      </c>
      <c r="N664" s="10" t="s">
        <v>241</v>
      </c>
      <c r="O664" s="10" t="s">
        <v>241</v>
      </c>
      <c r="P664" s="10" t="s">
        <v>242</v>
      </c>
      <c r="Q664" s="10" t="s">
        <v>242</v>
      </c>
      <c r="R664" s="10" t="s">
        <v>241</v>
      </c>
      <c r="S664" s="10" t="s">
        <v>242</v>
      </c>
      <c r="T664" s="10" t="s">
        <v>242</v>
      </c>
      <c r="U664" s="10" t="s">
        <v>241</v>
      </c>
      <c r="V664" s="10" t="s">
        <v>241</v>
      </c>
      <c r="W664" s="10" t="s">
        <v>242</v>
      </c>
      <c r="X664" s="15">
        <f>IF(ISERROR(VLOOKUP($A664,'13. Updated Demand'!A:Z,15,FALSE)),0,VLOOKUP($A664,'13. Updated Demand'!A:Z,15,FALSE))</f>
        <v>0</v>
      </c>
      <c r="Y664" s="16">
        <f>IF(ISERROR(VLOOKUP($A664,'13. Updated Demand'!A:Z,16,FALSE)),0,VLOOKUP($A664,'13. Updated Demand'!A:Z,16,FALSE))</f>
        <v>0</v>
      </c>
      <c r="Z664" s="16">
        <f>IF(ISERROR(VLOOKUP($A664,'13. Updated Demand'!A:Z,17,FALSE)),0,VLOOKUP($A664,'13. Updated Demand'!A:Z,17,FALSE))</f>
        <v>0</v>
      </c>
      <c r="AA664" s="16">
        <f>IF(ISERROR(VLOOKUP($A664,'13. Updated Demand'!A:Z,18,FALSE)),0,VLOOKUP($A664,'13. Updated Demand'!A:Z,18,FALSE))</f>
        <v>0</v>
      </c>
      <c r="AB664" s="16">
        <f>IF(ISERROR(VLOOKUP($A664,'13. Updated Demand'!A:Z,19,FALSE)),0,VLOOKUP($A664,'13. Updated Demand'!A:Z,19,FALSE))</f>
        <v>0</v>
      </c>
      <c r="AC664" s="16">
        <f>IF(ISERROR(VLOOKUP($A664,'13. Updated Demand'!A:Z,20,FALSE)),0,VLOOKUP($A664,'13. Updated Demand'!A:Z,20,FALSE))</f>
        <v>0</v>
      </c>
      <c r="AD664" s="16">
        <f>IF(ISERROR(VLOOKUP($A664,'13. Updated Demand'!A:Z,21,FALSE)),0,VLOOKUP($A664,'13. Updated Demand'!A:Z,21,FALSE))</f>
        <v>0</v>
      </c>
      <c r="AE664" s="16">
        <f>IF(ISERROR(VLOOKUP($A664,'13. Updated Demand'!A:Z,22,FALSE)),0,VLOOKUP($A664,'13. Updated Demand'!A:Z,22,FALSE))</f>
        <v>0</v>
      </c>
      <c r="AF664" s="16">
        <f>IF(ISERROR(VLOOKUP($A664,'13. Updated Demand'!A:Z,23,FALSE)),0,VLOOKUP($A664,'13. Updated Demand'!A:Z,23,FALSE))</f>
        <v>0</v>
      </c>
      <c r="AG664" s="16">
        <f>IF(ISERROR(VLOOKUP($A664,'13. Updated Demand'!A:Z,24,FALSE)),0,VLOOKUP($A664,'13. Updated Demand'!A:Z,24,FALSE))</f>
        <v>0</v>
      </c>
      <c r="AH664" s="16">
        <f>IF(ISERROR(VLOOKUP($A664,'13. Updated Demand'!A:Z,25,FALSE)),0,VLOOKUP($A664,'13. Updated Demand'!A:Z,25,FALSE))</f>
        <v>0</v>
      </c>
      <c r="AI664" s="16">
        <f>IF(ISERROR(VLOOKUP($A664,'13. Updated Demand'!A:Z,26,FALSE)),0,VLOOKUP($A664,'13. Updated Demand'!A:Z,26,FALSE))</f>
        <v>0</v>
      </c>
      <c r="AJ664" s="16">
        <f t="shared" si="132"/>
        <v>0</v>
      </c>
      <c r="AK664" s="19">
        <v>0</v>
      </c>
      <c r="AL664" s="16">
        <f t="shared" si="130"/>
        <v>0</v>
      </c>
      <c r="AM664" s="17">
        <v>0</v>
      </c>
      <c r="AN664" s="19"/>
      <c r="AO664" s="19"/>
      <c r="AP664" s="19">
        <v>22</v>
      </c>
      <c r="AQ664" s="19" t="s">
        <v>307</v>
      </c>
      <c r="AR664" s="9" t="s">
        <v>311</v>
      </c>
      <c r="AS664" s="12">
        <v>0</v>
      </c>
      <c r="AT664" s="19">
        <v>38.652473649999997</v>
      </c>
      <c r="AU664" s="19">
        <v>-122.81944249999999</v>
      </c>
      <c r="AV664" s="19" t="s">
        <v>387</v>
      </c>
    </row>
    <row r="665" spans="1:48" x14ac:dyDescent="0.25">
      <c r="A665" s="18" t="s">
        <v>1053</v>
      </c>
      <c r="B665" s="10">
        <v>19750924</v>
      </c>
      <c r="C665" s="9">
        <v>20</v>
      </c>
      <c r="D665" s="8" t="str">
        <f t="shared" si="121"/>
        <v>N</v>
      </c>
      <c r="E665" s="8" t="str">
        <f t="shared" si="122"/>
        <v>N</v>
      </c>
      <c r="F665" s="8" t="str">
        <f t="shared" si="123"/>
        <v>N</v>
      </c>
      <c r="G665" s="8" t="str">
        <f t="shared" si="124"/>
        <v>N</v>
      </c>
      <c r="H665" s="8" t="str">
        <f t="shared" si="125"/>
        <v>Lower</v>
      </c>
      <c r="I665" s="8" t="str">
        <f t="shared" si="126"/>
        <v>Outside</v>
      </c>
      <c r="J665" s="8" t="str">
        <f t="shared" si="127"/>
        <v>Outside</v>
      </c>
      <c r="K665" s="8" t="str">
        <f t="shared" si="128"/>
        <v>Post-1949</v>
      </c>
      <c r="L665" s="8">
        <f t="shared" si="129"/>
        <v>1975</v>
      </c>
      <c r="M665" s="8" t="str">
        <f t="shared" si="131"/>
        <v>1971-1990</v>
      </c>
      <c r="N665" s="10" t="s">
        <v>242</v>
      </c>
      <c r="O665" s="10" t="s">
        <v>242</v>
      </c>
      <c r="P665" s="10" t="s">
        <v>242</v>
      </c>
      <c r="Q665" s="10" t="s">
        <v>242</v>
      </c>
      <c r="R665" s="10" t="s">
        <v>241</v>
      </c>
      <c r="S665" s="10" t="s">
        <v>242</v>
      </c>
      <c r="T665" s="10" t="s">
        <v>242</v>
      </c>
      <c r="U665" s="10" t="s">
        <v>242</v>
      </c>
      <c r="V665" s="10" t="s">
        <v>242</v>
      </c>
      <c r="W665" s="10" t="s">
        <v>242</v>
      </c>
      <c r="X665" s="15">
        <f>IF(ISERROR(VLOOKUP($A665,'13. Updated Demand'!A:Z,15,FALSE)),0,VLOOKUP($A665,'13. Updated Demand'!A:Z,15,FALSE))</f>
        <v>9.2066639999999998E-3</v>
      </c>
      <c r="Y665" s="16">
        <f>IF(ISERROR(VLOOKUP($A665,'13. Updated Demand'!A:Z,16,FALSE)),0,VLOOKUP($A665,'13. Updated Demand'!A:Z,16,FALSE))</f>
        <v>9.2066639999999998E-3</v>
      </c>
      <c r="Z665" s="16">
        <f>IF(ISERROR(VLOOKUP($A665,'13. Updated Demand'!A:Z,17,FALSE)),0,VLOOKUP($A665,'13. Updated Demand'!A:Z,17,FALSE))</f>
        <v>9.2066639999999998E-3</v>
      </c>
      <c r="AA665" s="16">
        <f>IF(ISERROR(VLOOKUP($A665,'13. Updated Demand'!A:Z,18,FALSE)),0,VLOOKUP($A665,'13. Updated Demand'!A:Z,18,FALSE))</f>
        <v>9.2066639999999998E-3</v>
      </c>
      <c r="AB665" s="16">
        <f>IF(ISERROR(VLOOKUP($A665,'13. Updated Demand'!A:Z,19,FALSE)),0,VLOOKUP($A665,'13. Updated Demand'!A:Z,19,FALSE))</f>
        <v>0.11968663</v>
      </c>
      <c r="AC665" s="16">
        <f>IF(ISERROR(VLOOKUP($A665,'13. Updated Demand'!A:Z,20,FALSE)),0,VLOOKUP($A665,'13. Updated Demand'!A:Z,20,FALSE))</f>
        <v>0.11968663</v>
      </c>
      <c r="AD665" s="16">
        <f>IF(ISERROR(VLOOKUP($A665,'13. Updated Demand'!A:Z,21,FALSE)),0,VLOOKUP($A665,'13. Updated Demand'!A:Z,21,FALSE))</f>
        <v>0.11968663</v>
      </c>
      <c r="AE665" s="16">
        <f>IF(ISERROR(VLOOKUP($A665,'13. Updated Demand'!A:Z,22,FALSE)),0,VLOOKUP($A665,'13. Updated Demand'!A:Z,22,FALSE))</f>
        <v>0.11968663</v>
      </c>
      <c r="AF665" s="16">
        <f>IF(ISERROR(VLOOKUP($A665,'13. Updated Demand'!A:Z,23,FALSE)),0,VLOOKUP($A665,'13. Updated Demand'!A:Z,23,FALSE))</f>
        <v>0.11968663</v>
      </c>
      <c r="AG665" s="16">
        <f>IF(ISERROR(VLOOKUP($A665,'13. Updated Demand'!A:Z,24,FALSE)),0,VLOOKUP($A665,'13. Updated Demand'!A:Z,24,FALSE))</f>
        <v>0.11968663</v>
      </c>
      <c r="AH665" s="16">
        <f>IF(ISERROR(VLOOKUP($A665,'13. Updated Demand'!A:Z,25,FALSE)),0,VLOOKUP($A665,'13. Updated Demand'!A:Z,25,FALSE))</f>
        <v>9.2066639999999998E-3</v>
      </c>
      <c r="AI665" s="16">
        <f>IF(ISERROR(VLOOKUP($A665,'13. Updated Demand'!A:Z,26,FALSE)),0,VLOOKUP($A665,'13. Updated Demand'!A:Z,26,FALSE))</f>
        <v>9.2066639999999998E-3</v>
      </c>
      <c r="AJ665" s="16">
        <f t="shared" si="132"/>
        <v>0.77335976400000006</v>
      </c>
      <c r="AK665" s="19">
        <v>0.59843314999999997</v>
      </c>
      <c r="AL665" s="16">
        <f t="shared" si="130"/>
        <v>1.984934590608293E-3</v>
      </c>
      <c r="AM665" s="17">
        <v>0.51557317600000008</v>
      </c>
      <c r="AN665" s="19"/>
      <c r="AO665" s="19"/>
      <c r="AP665" s="19">
        <v>1.5</v>
      </c>
      <c r="AQ665" s="19" t="s">
        <v>307</v>
      </c>
      <c r="AR665" s="9" t="s">
        <v>329</v>
      </c>
      <c r="AS665" s="12">
        <v>3.4039024194010059E-4</v>
      </c>
      <c r="AT665" s="19">
        <v>38.53143764</v>
      </c>
      <c r="AU665" s="19">
        <v>-123.13724033</v>
      </c>
      <c r="AV665" s="19" t="s">
        <v>428</v>
      </c>
    </row>
    <row r="666" spans="1:48" x14ac:dyDescent="0.25">
      <c r="A666" s="18" t="s">
        <v>1054</v>
      </c>
      <c r="B666" s="10">
        <v>19750929</v>
      </c>
      <c r="C666" s="9">
        <v>13</v>
      </c>
      <c r="D666" s="8" t="str">
        <f t="shared" si="121"/>
        <v>N</v>
      </c>
      <c r="E666" s="8" t="str">
        <f t="shared" si="122"/>
        <v>Y</v>
      </c>
      <c r="F666" s="8" t="str">
        <f t="shared" si="123"/>
        <v>Y</v>
      </c>
      <c r="G666" s="8" t="str">
        <f t="shared" si="124"/>
        <v>Y</v>
      </c>
      <c r="H666" s="8" t="str">
        <f t="shared" si="125"/>
        <v>Upper</v>
      </c>
      <c r="I666" s="8" t="str">
        <f t="shared" si="126"/>
        <v>West Fork and Below Lake</v>
      </c>
      <c r="J666" s="8" t="str">
        <f t="shared" si="127"/>
        <v>Sonoma (d/s of Clov. Gage)</v>
      </c>
      <c r="K666" s="8" t="str">
        <f t="shared" si="128"/>
        <v>Post-1949</v>
      </c>
      <c r="L666" s="8">
        <f t="shared" si="129"/>
        <v>1975</v>
      </c>
      <c r="M666" s="8" t="str">
        <f t="shared" si="131"/>
        <v>1971-1990</v>
      </c>
      <c r="N666" s="10" t="s">
        <v>242</v>
      </c>
      <c r="O666" s="10" t="s">
        <v>241</v>
      </c>
      <c r="P666" s="10" t="s">
        <v>242</v>
      </c>
      <c r="Q666" s="10" t="s">
        <v>242</v>
      </c>
      <c r="R666" s="10" t="s">
        <v>241</v>
      </c>
      <c r="S666" s="10" t="s">
        <v>242</v>
      </c>
      <c r="T666" s="10" t="s">
        <v>241</v>
      </c>
      <c r="U666" s="10" t="s">
        <v>241</v>
      </c>
      <c r="V666" s="10" t="s">
        <v>241</v>
      </c>
      <c r="W666" s="10" t="s">
        <v>242</v>
      </c>
      <c r="X666" s="15">
        <f>IF(ISERROR(VLOOKUP($A666,'13. Updated Demand'!A:Z,15,FALSE)),0,VLOOKUP($A666,'13. Updated Demand'!A:Z,15,FALSE))</f>
        <v>0</v>
      </c>
      <c r="Y666" s="16">
        <f>IF(ISERROR(VLOOKUP($A666,'13. Updated Demand'!A:Z,16,FALSE)),0,VLOOKUP($A666,'13. Updated Demand'!A:Z,16,FALSE))</f>
        <v>0</v>
      </c>
      <c r="Z666" s="16">
        <f>IF(ISERROR(VLOOKUP($A666,'13. Updated Demand'!A:Z,17,FALSE)),0,VLOOKUP($A666,'13. Updated Demand'!A:Z,17,FALSE))</f>
        <v>0</v>
      </c>
      <c r="AA666" s="16">
        <f>IF(ISERROR(VLOOKUP($A666,'13. Updated Demand'!A:Z,18,FALSE)),0,VLOOKUP($A666,'13. Updated Demand'!A:Z,18,FALSE))</f>
        <v>0</v>
      </c>
      <c r="AB666" s="16">
        <f>IF(ISERROR(VLOOKUP($A666,'13. Updated Demand'!A:Z,19,FALSE)),0,VLOOKUP($A666,'13. Updated Demand'!A:Z,19,FALSE))</f>
        <v>0</v>
      </c>
      <c r="AC666" s="16">
        <f>IF(ISERROR(VLOOKUP($A666,'13. Updated Demand'!A:Z,20,FALSE)),0,VLOOKUP($A666,'13. Updated Demand'!A:Z,20,FALSE))</f>
        <v>0</v>
      </c>
      <c r="AD666" s="16">
        <f>IF(ISERROR(VLOOKUP($A666,'13. Updated Demand'!A:Z,21,FALSE)),0,VLOOKUP($A666,'13. Updated Demand'!A:Z,21,FALSE))</f>
        <v>0</v>
      </c>
      <c r="AE666" s="16">
        <f>IF(ISERROR(VLOOKUP($A666,'13. Updated Demand'!A:Z,22,FALSE)),0,VLOOKUP($A666,'13. Updated Demand'!A:Z,22,FALSE))</f>
        <v>0</v>
      </c>
      <c r="AF666" s="16">
        <f>IF(ISERROR(VLOOKUP($A666,'13. Updated Demand'!A:Z,23,FALSE)),0,VLOOKUP($A666,'13. Updated Demand'!A:Z,23,FALSE))</f>
        <v>0</v>
      </c>
      <c r="AG666" s="16">
        <f>IF(ISERROR(VLOOKUP($A666,'13. Updated Demand'!A:Z,24,FALSE)),0,VLOOKUP($A666,'13. Updated Demand'!A:Z,24,FALSE))</f>
        <v>0</v>
      </c>
      <c r="AH666" s="16">
        <f>IF(ISERROR(VLOOKUP($A666,'13. Updated Demand'!A:Z,25,FALSE)),0,VLOOKUP($A666,'13. Updated Demand'!A:Z,25,FALSE))</f>
        <v>0</v>
      </c>
      <c r="AI666" s="16">
        <f>IF(ISERROR(VLOOKUP($A666,'13. Updated Demand'!A:Z,26,FALSE)),0,VLOOKUP($A666,'13. Updated Demand'!A:Z,26,FALSE))</f>
        <v>0</v>
      </c>
      <c r="AJ666" s="16">
        <f t="shared" si="132"/>
        <v>0</v>
      </c>
      <c r="AK666" s="19">
        <v>0</v>
      </c>
      <c r="AL666" s="16">
        <f t="shared" si="130"/>
        <v>0</v>
      </c>
      <c r="AM666" s="17">
        <v>0</v>
      </c>
      <c r="AN666" s="19"/>
      <c r="AO666" s="19"/>
      <c r="AP666" s="19">
        <v>0.2</v>
      </c>
      <c r="AQ666" s="19" t="s">
        <v>307</v>
      </c>
      <c r="AR666" s="9" t="s">
        <v>507</v>
      </c>
      <c r="AS666" s="12">
        <v>3.4039024194010059E-4</v>
      </c>
      <c r="AT666" s="19">
        <v>38.611115169999998</v>
      </c>
      <c r="AU666" s="19">
        <v>-122.84294147999999</v>
      </c>
      <c r="AV666" s="19" t="s">
        <v>387</v>
      </c>
    </row>
    <row r="667" spans="1:48" x14ac:dyDescent="0.25">
      <c r="A667" s="18" t="s">
        <v>34</v>
      </c>
      <c r="B667" s="10">
        <v>19750922</v>
      </c>
      <c r="C667" s="9">
        <v>9</v>
      </c>
      <c r="D667" s="8" t="str">
        <f t="shared" si="121"/>
        <v>N</v>
      </c>
      <c r="E667" s="8" t="str">
        <f t="shared" si="122"/>
        <v>Y</v>
      </c>
      <c r="F667" s="8" t="str">
        <f t="shared" si="123"/>
        <v>Y</v>
      </c>
      <c r="G667" s="8" t="str">
        <f t="shared" si="124"/>
        <v>Y</v>
      </c>
      <c r="H667" s="8" t="str">
        <f t="shared" si="125"/>
        <v>Upper</v>
      </c>
      <c r="I667" s="8" t="str">
        <f t="shared" si="126"/>
        <v>West Fork and Below Lake</v>
      </c>
      <c r="J667" s="8" t="str">
        <f t="shared" si="127"/>
        <v>Sonoma (d/s of Clov. Gage)</v>
      </c>
      <c r="K667" s="8" t="str">
        <f t="shared" si="128"/>
        <v>Post-1949</v>
      </c>
      <c r="L667" s="8">
        <f t="shared" si="129"/>
        <v>1975</v>
      </c>
      <c r="M667" s="8" t="str">
        <f t="shared" si="131"/>
        <v>1971-1990</v>
      </c>
      <c r="N667" s="10" t="s">
        <v>241</v>
      </c>
      <c r="O667" s="10" t="s">
        <v>241</v>
      </c>
      <c r="P667" s="10" t="s">
        <v>242</v>
      </c>
      <c r="Q667" s="10" t="s">
        <v>242</v>
      </c>
      <c r="R667" s="10" t="s">
        <v>241</v>
      </c>
      <c r="S667" s="10" t="s">
        <v>242</v>
      </c>
      <c r="T667" s="10" t="s">
        <v>242</v>
      </c>
      <c r="U667" s="10" t="s">
        <v>242</v>
      </c>
      <c r="V667" s="10" t="s">
        <v>242</v>
      </c>
      <c r="W667" s="10" t="s">
        <v>242</v>
      </c>
      <c r="X667" s="15">
        <f>IF(ISERROR(VLOOKUP($A667,'13. Updated Demand'!A:Z,15,FALSE)),0,VLOOKUP($A667,'13. Updated Demand'!A:Z,15,FALSE))</f>
        <v>0.93</v>
      </c>
      <c r="Y667" s="16">
        <f>IF(ISERROR(VLOOKUP($A667,'13. Updated Demand'!A:Z,16,FALSE)),0,VLOOKUP($A667,'13. Updated Demand'!A:Z,16,FALSE))</f>
        <v>0.9</v>
      </c>
      <c r="Z667" s="16">
        <f>IF(ISERROR(VLOOKUP($A667,'13. Updated Demand'!A:Z,17,FALSE)),0,VLOOKUP($A667,'13. Updated Demand'!A:Z,17,FALSE))</f>
        <v>0.93</v>
      </c>
      <c r="AA667" s="16">
        <f>IF(ISERROR(VLOOKUP($A667,'13. Updated Demand'!A:Z,18,FALSE)),0,VLOOKUP($A667,'13. Updated Demand'!A:Z,18,FALSE))</f>
        <v>1.2</v>
      </c>
      <c r="AB667" s="16">
        <f>IF(ISERROR(VLOOKUP($A667,'13. Updated Demand'!A:Z,19,FALSE)),0,VLOOKUP($A667,'13. Updated Demand'!A:Z,19,FALSE))</f>
        <v>1.86</v>
      </c>
      <c r="AC667" s="16">
        <f>IF(ISERROR(VLOOKUP($A667,'13. Updated Demand'!A:Z,20,FALSE)),0,VLOOKUP($A667,'13. Updated Demand'!A:Z,20,FALSE))</f>
        <v>2.1</v>
      </c>
      <c r="AD667" s="16">
        <f>IF(ISERROR(VLOOKUP($A667,'13. Updated Demand'!A:Z,21,FALSE)),0,VLOOKUP($A667,'13. Updated Demand'!A:Z,21,FALSE))</f>
        <v>2.33</v>
      </c>
      <c r="AE667" s="16">
        <f>IF(ISERROR(VLOOKUP($A667,'13. Updated Demand'!A:Z,22,FALSE)),0,VLOOKUP($A667,'13. Updated Demand'!A:Z,22,FALSE))</f>
        <v>2.2999999999999998</v>
      </c>
      <c r="AF667" s="16">
        <f>IF(ISERROR(VLOOKUP($A667,'13. Updated Demand'!A:Z,23,FALSE)),0,VLOOKUP($A667,'13. Updated Demand'!A:Z,23,FALSE))</f>
        <v>2.36</v>
      </c>
      <c r="AG667" s="16">
        <f>IF(ISERROR(VLOOKUP($A667,'13. Updated Demand'!A:Z,24,FALSE)),0,VLOOKUP($A667,'13. Updated Demand'!A:Z,24,FALSE))</f>
        <v>2.2599999999999998</v>
      </c>
      <c r="AH667" s="16">
        <f>IF(ISERROR(VLOOKUP($A667,'13. Updated Demand'!A:Z,25,FALSE)),0,VLOOKUP($A667,'13. Updated Demand'!A:Z,25,FALSE))</f>
        <v>1.43</v>
      </c>
      <c r="AI667" s="16">
        <f>IF(ISERROR(VLOOKUP($A667,'13. Updated Demand'!A:Z,26,FALSE)),0,VLOOKUP($A667,'13. Updated Demand'!A:Z,26,FALSE))</f>
        <v>1.23</v>
      </c>
      <c r="AJ667" s="16">
        <f t="shared" si="132"/>
        <v>19.830000000000002</v>
      </c>
      <c r="AK667" s="19">
        <v>10.966666666666672</v>
      </c>
      <c r="AL667" s="16">
        <f t="shared" si="130"/>
        <v>3.6375184112607428E-2</v>
      </c>
      <c r="AM667" s="17">
        <v>0.10915750915750921</v>
      </c>
      <c r="AN667" s="19"/>
      <c r="AO667" s="19"/>
      <c r="AP667" s="19">
        <v>182</v>
      </c>
      <c r="AQ667" s="19" t="s">
        <v>307</v>
      </c>
      <c r="AR667" s="9" t="s">
        <v>354</v>
      </c>
      <c r="AS667" s="12">
        <v>3.4039024194010059E-4</v>
      </c>
      <c r="AT667" s="19">
        <v>38.770428649999999</v>
      </c>
      <c r="AU667" s="19">
        <v>-122.97759528</v>
      </c>
      <c r="AV667" s="19" t="s">
        <v>548</v>
      </c>
    </row>
    <row r="668" spans="1:48" x14ac:dyDescent="0.25">
      <c r="A668" s="18" t="s">
        <v>1055</v>
      </c>
      <c r="B668" s="10">
        <v>19750930</v>
      </c>
      <c r="C668" s="9">
        <v>17</v>
      </c>
      <c r="D668" s="8" t="str">
        <f t="shared" si="121"/>
        <v>N</v>
      </c>
      <c r="E668" s="8" t="str">
        <f t="shared" si="122"/>
        <v>N</v>
      </c>
      <c r="F668" s="8" t="str">
        <f t="shared" si="123"/>
        <v>N</v>
      </c>
      <c r="G668" s="8" t="str">
        <f t="shared" si="124"/>
        <v>N</v>
      </c>
      <c r="H668" s="8" t="str">
        <f t="shared" si="125"/>
        <v>Lower</v>
      </c>
      <c r="I668" s="8" t="str">
        <f t="shared" si="126"/>
        <v>Outside</v>
      </c>
      <c r="J668" s="8" t="str">
        <f t="shared" si="127"/>
        <v>Outside</v>
      </c>
      <c r="K668" s="8" t="str">
        <f t="shared" si="128"/>
        <v>Post-1949</v>
      </c>
      <c r="L668" s="8">
        <f t="shared" si="129"/>
        <v>1975</v>
      </c>
      <c r="M668" s="8" t="str">
        <f t="shared" si="131"/>
        <v>1971-1990</v>
      </c>
      <c r="N668" s="10" t="s">
        <v>241</v>
      </c>
      <c r="O668" s="10" t="s">
        <v>242</v>
      </c>
      <c r="P668" s="10" t="s">
        <v>242</v>
      </c>
      <c r="Q668" s="10" t="s">
        <v>242</v>
      </c>
      <c r="R668" s="10" t="s">
        <v>241</v>
      </c>
      <c r="S668" s="10" t="s">
        <v>242</v>
      </c>
      <c r="T668" s="10" t="s">
        <v>242</v>
      </c>
      <c r="U668" s="10" t="s">
        <v>241</v>
      </c>
      <c r="V668" s="10" t="s">
        <v>241</v>
      </c>
      <c r="W668" s="10" t="s">
        <v>242</v>
      </c>
      <c r="X668" s="15">
        <f>IF(ISERROR(VLOOKUP($A668,'13. Updated Demand'!A:Z,15,FALSE)),0,VLOOKUP($A668,'13. Updated Demand'!A:Z,15,FALSE))</f>
        <v>0</v>
      </c>
      <c r="Y668" s="16">
        <f>IF(ISERROR(VLOOKUP($A668,'13. Updated Demand'!A:Z,16,FALSE)),0,VLOOKUP($A668,'13. Updated Demand'!A:Z,16,FALSE))</f>
        <v>0</v>
      </c>
      <c r="Z668" s="16">
        <f>IF(ISERROR(VLOOKUP($A668,'13. Updated Demand'!A:Z,17,FALSE)),0,VLOOKUP($A668,'13. Updated Demand'!A:Z,17,FALSE))</f>
        <v>0</v>
      </c>
      <c r="AA668" s="16">
        <f>IF(ISERROR(VLOOKUP($A668,'13. Updated Demand'!A:Z,18,FALSE)),0,VLOOKUP($A668,'13. Updated Demand'!A:Z,18,FALSE))</f>
        <v>0</v>
      </c>
      <c r="AB668" s="16">
        <f>IF(ISERROR(VLOOKUP($A668,'13. Updated Demand'!A:Z,19,FALSE)),0,VLOOKUP($A668,'13. Updated Demand'!A:Z,19,FALSE))</f>
        <v>0</v>
      </c>
      <c r="AC668" s="16">
        <f>IF(ISERROR(VLOOKUP($A668,'13. Updated Demand'!A:Z,20,FALSE)),0,VLOOKUP($A668,'13. Updated Demand'!A:Z,20,FALSE))</f>
        <v>0</v>
      </c>
      <c r="AD668" s="16">
        <f>IF(ISERROR(VLOOKUP($A668,'13. Updated Demand'!A:Z,21,FALSE)),0,VLOOKUP($A668,'13. Updated Demand'!A:Z,21,FALSE))</f>
        <v>0</v>
      </c>
      <c r="AE668" s="16">
        <f>IF(ISERROR(VLOOKUP($A668,'13. Updated Demand'!A:Z,22,FALSE)),0,VLOOKUP($A668,'13. Updated Demand'!A:Z,22,FALSE))</f>
        <v>0</v>
      </c>
      <c r="AF668" s="16">
        <f>IF(ISERROR(VLOOKUP($A668,'13. Updated Demand'!A:Z,23,FALSE)),0,VLOOKUP($A668,'13. Updated Demand'!A:Z,23,FALSE))</f>
        <v>0</v>
      </c>
      <c r="AG668" s="16">
        <f>IF(ISERROR(VLOOKUP($A668,'13. Updated Demand'!A:Z,24,FALSE)),0,VLOOKUP($A668,'13. Updated Demand'!A:Z,24,FALSE))</f>
        <v>0</v>
      </c>
      <c r="AH668" s="16">
        <f>IF(ISERROR(VLOOKUP($A668,'13. Updated Demand'!A:Z,25,FALSE)),0,VLOOKUP($A668,'13. Updated Demand'!A:Z,25,FALSE))</f>
        <v>0</v>
      </c>
      <c r="AI668" s="16">
        <f>IF(ISERROR(VLOOKUP($A668,'13. Updated Demand'!A:Z,26,FALSE)),0,VLOOKUP($A668,'13. Updated Demand'!A:Z,26,FALSE))</f>
        <v>0</v>
      </c>
      <c r="AJ668" s="16">
        <f t="shared" si="132"/>
        <v>0</v>
      </c>
      <c r="AK668" s="19">
        <v>0</v>
      </c>
      <c r="AL668" s="16">
        <f t="shared" si="130"/>
        <v>0</v>
      </c>
      <c r="AM668" s="17">
        <v>0</v>
      </c>
      <c r="AN668" s="19"/>
      <c r="AO668" s="19"/>
      <c r="AP668" s="19">
        <v>36</v>
      </c>
      <c r="AQ668" s="19" t="s">
        <v>307</v>
      </c>
      <c r="AR668" s="9" t="s">
        <v>486</v>
      </c>
      <c r="AS668" s="12">
        <v>0</v>
      </c>
      <c r="AT668" s="19">
        <v>38.553072649999997</v>
      </c>
      <c r="AU668" s="19">
        <v>-122.85676884999999</v>
      </c>
      <c r="AV668" s="19" t="s">
        <v>548</v>
      </c>
    </row>
    <row r="669" spans="1:48" x14ac:dyDescent="0.25">
      <c r="A669" s="18" t="s">
        <v>1056</v>
      </c>
      <c r="B669" s="10">
        <v>19750930</v>
      </c>
      <c r="C669" s="9">
        <v>17</v>
      </c>
      <c r="D669" s="8" t="str">
        <f t="shared" si="121"/>
        <v>N</v>
      </c>
      <c r="E669" s="8" t="str">
        <f t="shared" si="122"/>
        <v>N</v>
      </c>
      <c r="F669" s="8" t="str">
        <f t="shared" si="123"/>
        <v>N</v>
      </c>
      <c r="G669" s="8" t="str">
        <f t="shared" si="124"/>
        <v>N</v>
      </c>
      <c r="H669" s="8" t="str">
        <f t="shared" si="125"/>
        <v>Lower</v>
      </c>
      <c r="I669" s="8" t="str">
        <f t="shared" si="126"/>
        <v>Outside</v>
      </c>
      <c r="J669" s="8" t="str">
        <f t="shared" si="127"/>
        <v>Outside</v>
      </c>
      <c r="K669" s="8" t="str">
        <f t="shared" si="128"/>
        <v>Post-1949</v>
      </c>
      <c r="L669" s="8">
        <f t="shared" si="129"/>
        <v>1975</v>
      </c>
      <c r="M669" s="8" t="str">
        <f t="shared" si="131"/>
        <v>1971-1990</v>
      </c>
      <c r="N669" s="10" t="s">
        <v>241</v>
      </c>
      <c r="O669" s="10" t="s">
        <v>242</v>
      </c>
      <c r="P669" s="10" t="s">
        <v>242</v>
      </c>
      <c r="Q669" s="10" t="s">
        <v>242</v>
      </c>
      <c r="R669" s="10" t="s">
        <v>241</v>
      </c>
      <c r="S669" s="10" t="s">
        <v>242</v>
      </c>
      <c r="T669" s="10" t="s">
        <v>242</v>
      </c>
      <c r="U669" s="10" t="s">
        <v>241</v>
      </c>
      <c r="V669" s="10" t="s">
        <v>241</v>
      </c>
      <c r="W669" s="10" t="s">
        <v>242</v>
      </c>
      <c r="X669" s="15">
        <f>IF(ISERROR(VLOOKUP($A669,'13. Updated Demand'!A:Z,15,FALSE)),0,VLOOKUP($A669,'13. Updated Demand'!A:Z,15,FALSE))</f>
        <v>0</v>
      </c>
      <c r="Y669" s="16">
        <f>IF(ISERROR(VLOOKUP($A669,'13. Updated Demand'!A:Z,16,FALSE)),0,VLOOKUP($A669,'13. Updated Demand'!A:Z,16,FALSE))</f>
        <v>0</v>
      </c>
      <c r="Z669" s="16">
        <f>IF(ISERROR(VLOOKUP($A669,'13. Updated Demand'!A:Z,17,FALSE)),0,VLOOKUP($A669,'13. Updated Demand'!A:Z,17,FALSE))</f>
        <v>0</v>
      </c>
      <c r="AA669" s="16">
        <f>IF(ISERROR(VLOOKUP($A669,'13. Updated Demand'!A:Z,18,FALSE)),0,VLOOKUP($A669,'13. Updated Demand'!A:Z,18,FALSE))</f>
        <v>0</v>
      </c>
      <c r="AB669" s="16">
        <f>IF(ISERROR(VLOOKUP($A669,'13. Updated Demand'!A:Z,19,FALSE)),0,VLOOKUP($A669,'13. Updated Demand'!A:Z,19,FALSE))</f>
        <v>0</v>
      </c>
      <c r="AC669" s="16">
        <f>IF(ISERROR(VLOOKUP($A669,'13. Updated Demand'!A:Z,20,FALSE)),0,VLOOKUP($A669,'13. Updated Demand'!A:Z,20,FALSE))</f>
        <v>0</v>
      </c>
      <c r="AD669" s="16">
        <f>IF(ISERROR(VLOOKUP($A669,'13. Updated Demand'!A:Z,21,FALSE)),0,VLOOKUP($A669,'13. Updated Demand'!A:Z,21,FALSE))</f>
        <v>0</v>
      </c>
      <c r="AE669" s="16">
        <f>IF(ISERROR(VLOOKUP($A669,'13. Updated Demand'!A:Z,22,FALSE)),0,VLOOKUP($A669,'13. Updated Demand'!A:Z,22,FALSE))</f>
        <v>0</v>
      </c>
      <c r="AF669" s="16">
        <f>IF(ISERROR(VLOOKUP($A669,'13. Updated Demand'!A:Z,23,FALSE)),0,VLOOKUP($A669,'13. Updated Demand'!A:Z,23,FALSE))</f>
        <v>0</v>
      </c>
      <c r="AG669" s="16">
        <f>IF(ISERROR(VLOOKUP($A669,'13. Updated Demand'!A:Z,24,FALSE)),0,VLOOKUP($A669,'13. Updated Demand'!A:Z,24,FALSE))</f>
        <v>0</v>
      </c>
      <c r="AH669" s="16">
        <f>IF(ISERROR(VLOOKUP($A669,'13. Updated Demand'!A:Z,25,FALSE)),0,VLOOKUP($A669,'13. Updated Demand'!A:Z,25,FALSE))</f>
        <v>0</v>
      </c>
      <c r="AI669" s="16">
        <f>IF(ISERROR(VLOOKUP($A669,'13. Updated Demand'!A:Z,26,FALSE)),0,VLOOKUP($A669,'13. Updated Demand'!A:Z,26,FALSE))</f>
        <v>0</v>
      </c>
      <c r="AJ669" s="16">
        <f t="shared" si="132"/>
        <v>0</v>
      </c>
      <c r="AK669" s="19">
        <v>0</v>
      </c>
      <c r="AL669" s="16">
        <f t="shared" si="130"/>
        <v>0</v>
      </c>
      <c r="AM669" s="17">
        <v>0</v>
      </c>
      <c r="AN669" s="19"/>
      <c r="AO669" s="19"/>
      <c r="AP669" s="19">
        <v>195</v>
      </c>
      <c r="AQ669" s="19" t="s">
        <v>307</v>
      </c>
      <c r="AR669" s="9" t="s">
        <v>486</v>
      </c>
      <c r="AS669" s="12">
        <v>0</v>
      </c>
      <c r="AT669" s="19">
        <v>38.5377425</v>
      </c>
      <c r="AU669" s="19">
        <v>-122.85029158</v>
      </c>
      <c r="AV669" s="19" t="s">
        <v>548</v>
      </c>
    </row>
    <row r="670" spans="1:48" x14ac:dyDescent="0.25">
      <c r="A670" s="18" t="s">
        <v>1057</v>
      </c>
      <c r="B670" s="10">
        <v>19750930</v>
      </c>
      <c r="C670" s="9">
        <v>17</v>
      </c>
      <c r="D670" s="8" t="str">
        <f t="shared" si="121"/>
        <v>N</v>
      </c>
      <c r="E670" s="8" t="str">
        <f t="shared" si="122"/>
        <v>N</v>
      </c>
      <c r="F670" s="8" t="str">
        <f t="shared" si="123"/>
        <v>N</v>
      </c>
      <c r="G670" s="8" t="str">
        <f t="shared" si="124"/>
        <v>N</v>
      </c>
      <c r="H670" s="8" t="str">
        <f t="shared" si="125"/>
        <v>Lower</v>
      </c>
      <c r="I670" s="8" t="str">
        <f t="shared" si="126"/>
        <v>Outside</v>
      </c>
      <c r="J670" s="8" t="str">
        <f t="shared" si="127"/>
        <v>Outside</v>
      </c>
      <c r="K670" s="8" t="str">
        <f t="shared" si="128"/>
        <v>Post-1949</v>
      </c>
      <c r="L670" s="8">
        <f t="shared" si="129"/>
        <v>1975</v>
      </c>
      <c r="M670" s="8" t="str">
        <f t="shared" si="131"/>
        <v>1971-1990</v>
      </c>
      <c r="N670" s="10" t="s">
        <v>241</v>
      </c>
      <c r="O670" s="10" t="s">
        <v>242</v>
      </c>
      <c r="P670" s="10" t="s">
        <v>242</v>
      </c>
      <c r="Q670" s="10" t="s">
        <v>242</v>
      </c>
      <c r="R670" s="10" t="s">
        <v>241</v>
      </c>
      <c r="S670" s="10" t="s">
        <v>242</v>
      </c>
      <c r="T670" s="10" t="s">
        <v>242</v>
      </c>
      <c r="U670" s="10" t="s">
        <v>241</v>
      </c>
      <c r="V670" s="10" t="s">
        <v>241</v>
      </c>
      <c r="W670" s="10" t="s">
        <v>242</v>
      </c>
      <c r="X670" s="15">
        <f>IF(ISERROR(VLOOKUP($A670,'13. Updated Demand'!A:Z,15,FALSE)),0,VLOOKUP($A670,'13. Updated Demand'!A:Z,15,FALSE))</f>
        <v>0</v>
      </c>
      <c r="Y670" s="16">
        <f>IF(ISERROR(VLOOKUP($A670,'13. Updated Demand'!A:Z,16,FALSE)),0,VLOOKUP($A670,'13. Updated Demand'!A:Z,16,FALSE))</f>
        <v>0</v>
      </c>
      <c r="Z670" s="16">
        <f>IF(ISERROR(VLOOKUP($A670,'13. Updated Demand'!A:Z,17,FALSE)),0,VLOOKUP($A670,'13. Updated Demand'!A:Z,17,FALSE))</f>
        <v>0</v>
      </c>
      <c r="AA670" s="16">
        <f>IF(ISERROR(VLOOKUP($A670,'13. Updated Demand'!A:Z,18,FALSE)),0,VLOOKUP($A670,'13. Updated Demand'!A:Z,18,FALSE))</f>
        <v>0</v>
      </c>
      <c r="AB670" s="16">
        <f>IF(ISERROR(VLOOKUP($A670,'13. Updated Demand'!A:Z,19,FALSE)),0,VLOOKUP($A670,'13. Updated Demand'!A:Z,19,FALSE))</f>
        <v>0</v>
      </c>
      <c r="AC670" s="16">
        <f>IF(ISERROR(VLOOKUP($A670,'13. Updated Demand'!A:Z,20,FALSE)),0,VLOOKUP($A670,'13. Updated Demand'!A:Z,20,FALSE))</f>
        <v>0</v>
      </c>
      <c r="AD670" s="16">
        <f>IF(ISERROR(VLOOKUP($A670,'13. Updated Demand'!A:Z,21,FALSE)),0,VLOOKUP($A670,'13. Updated Demand'!A:Z,21,FALSE))</f>
        <v>0</v>
      </c>
      <c r="AE670" s="16">
        <f>IF(ISERROR(VLOOKUP($A670,'13. Updated Demand'!A:Z,22,FALSE)),0,VLOOKUP($A670,'13. Updated Demand'!A:Z,22,FALSE))</f>
        <v>0</v>
      </c>
      <c r="AF670" s="16">
        <f>IF(ISERROR(VLOOKUP($A670,'13. Updated Demand'!A:Z,23,FALSE)),0,VLOOKUP($A670,'13. Updated Demand'!A:Z,23,FALSE))</f>
        <v>0</v>
      </c>
      <c r="AG670" s="16">
        <f>IF(ISERROR(VLOOKUP($A670,'13. Updated Demand'!A:Z,24,FALSE)),0,VLOOKUP($A670,'13. Updated Demand'!A:Z,24,FALSE))</f>
        <v>0</v>
      </c>
      <c r="AH670" s="16">
        <f>IF(ISERROR(VLOOKUP($A670,'13. Updated Demand'!A:Z,25,FALSE)),0,VLOOKUP($A670,'13. Updated Demand'!A:Z,25,FALSE))</f>
        <v>0</v>
      </c>
      <c r="AI670" s="16">
        <f>IF(ISERROR(VLOOKUP($A670,'13. Updated Demand'!A:Z,26,FALSE)),0,VLOOKUP($A670,'13. Updated Demand'!A:Z,26,FALSE))</f>
        <v>0</v>
      </c>
      <c r="AJ670" s="16">
        <f t="shared" si="132"/>
        <v>0</v>
      </c>
      <c r="AK670" s="19">
        <v>0</v>
      </c>
      <c r="AL670" s="16">
        <f t="shared" si="130"/>
        <v>0</v>
      </c>
      <c r="AM670" s="17">
        <v>0</v>
      </c>
      <c r="AN670" s="19"/>
      <c r="AO670" s="19"/>
      <c r="AP670" s="19">
        <v>13.4</v>
      </c>
      <c r="AQ670" s="19" t="s">
        <v>307</v>
      </c>
      <c r="AR670" s="9" t="s">
        <v>486</v>
      </c>
      <c r="AS670" s="12">
        <v>0</v>
      </c>
      <c r="AT670" s="19">
        <v>38.53802357</v>
      </c>
      <c r="AU670" s="19">
        <v>-122.85015857</v>
      </c>
      <c r="AV670" s="19" t="s">
        <v>548</v>
      </c>
    </row>
    <row r="671" spans="1:48" x14ac:dyDescent="0.25">
      <c r="A671" s="18" t="s">
        <v>1058</v>
      </c>
      <c r="B671" s="10">
        <v>19750930</v>
      </c>
      <c r="C671" s="9">
        <v>9</v>
      </c>
      <c r="D671" s="8" t="str">
        <f t="shared" si="121"/>
        <v>N</v>
      </c>
      <c r="E671" s="8" t="str">
        <f t="shared" si="122"/>
        <v>Y</v>
      </c>
      <c r="F671" s="8" t="str">
        <f t="shared" si="123"/>
        <v>Y</v>
      </c>
      <c r="G671" s="8" t="str">
        <f t="shared" si="124"/>
        <v>Y</v>
      </c>
      <c r="H671" s="8" t="str">
        <f t="shared" si="125"/>
        <v>Upper</v>
      </c>
      <c r="I671" s="8" t="str">
        <f t="shared" si="126"/>
        <v>West Fork and Below Lake</v>
      </c>
      <c r="J671" s="8" t="str">
        <f t="shared" si="127"/>
        <v>Sonoma (d/s of Clov. Gage)</v>
      </c>
      <c r="K671" s="8" t="str">
        <f t="shared" si="128"/>
        <v>Post-1949</v>
      </c>
      <c r="L671" s="8">
        <f t="shared" si="129"/>
        <v>1975</v>
      </c>
      <c r="M671" s="8" t="str">
        <f t="shared" si="131"/>
        <v>1971-1990</v>
      </c>
      <c r="N671" s="10" t="s">
        <v>241</v>
      </c>
      <c r="O671" s="10" t="s">
        <v>241</v>
      </c>
      <c r="P671" s="10" t="s">
        <v>242</v>
      </c>
      <c r="Q671" s="10" t="s">
        <v>242</v>
      </c>
      <c r="R671" s="10" t="s">
        <v>241</v>
      </c>
      <c r="S671" s="10" t="s">
        <v>242</v>
      </c>
      <c r="T671" s="10" t="s">
        <v>242</v>
      </c>
      <c r="U671" s="10" t="s">
        <v>242</v>
      </c>
      <c r="V671" s="10" t="s">
        <v>242</v>
      </c>
      <c r="W671" s="10" t="s">
        <v>242</v>
      </c>
      <c r="X671" s="15">
        <f>IF(ISERROR(VLOOKUP($A671,'13. Updated Demand'!A:Z,15,FALSE)),0,VLOOKUP($A671,'13. Updated Demand'!A:Z,15,FALSE))</f>
        <v>0</v>
      </c>
      <c r="Y671" s="16">
        <f>IF(ISERROR(VLOOKUP($A671,'13. Updated Demand'!A:Z,16,FALSE)),0,VLOOKUP($A671,'13. Updated Demand'!A:Z,16,FALSE))</f>
        <v>0</v>
      </c>
      <c r="Z671" s="16">
        <f>IF(ISERROR(VLOOKUP($A671,'13. Updated Demand'!A:Z,17,FALSE)),0,VLOOKUP($A671,'13. Updated Demand'!A:Z,17,FALSE))</f>
        <v>0</v>
      </c>
      <c r="AA671" s="16">
        <f>IF(ISERROR(VLOOKUP($A671,'13. Updated Demand'!A:Z,18,FALSE)),0,VLOOKUP($A671,'13. Updated Demand'!A:Z,18,FALSE))</f>
        <v>0</v>
      </c>
      <c r="AB671" s="16">
        <f>IF(ISERROR(VLOOKUP($A671,'13. Updated Demand'!A:Z,19,FALSE)),0,VLOOKUP($A671,'13. Updated Demand'!A:Z,19,FALSE))</f>
        <v>0</v>
      </c>
      <c r="AC671" s="16">
        <f>IF(ISERROR(VLOOKUP($A671,'13. Updated Demand'!A:Z,20,FALSE)),0,VLOOKUP($A671,'13. Updated Demand'!A:Z,20,FALSE))</f>
        <v>6.9</v>
      </c>
      <c r="AD671" s="16">
        <f>IF(ISERROR(VLOOKUP($A671,'13. Updated Demand'!A:Z,21,FALSE)),0,VLOOKUP($A671,'13. Updated Demand'!A:Z,21,FALSE))</f>
        <v>8.93</v>
      </c>
      <c r="AE671" s="16">
        <f>IF(ISERROR(VLOOKUP($A671,'13. Updated Demand'!A:Z,22,FALSE)),0,VLOOKUP($A671,'13. Updated Demand'!A:Z,22,FALSE))</f>
        <v>8.36</v>
      </c>
      <c r="AF671" s="16">
        <f>IF(ISERROR(VLOOKUP($A671,'13. Updated Demand'!A:Z,23,FALSE)),0,VLOOKUP($A671,'13. Updated Demand'!A:Z,23,FALSE))</f>
        <v>0</v>
      </c>
      <c r="AG671" s="16">
        <f>IF(ISERROR(VLOOKUP($A671,'13. Updated Demand'!A:Z,24,FALSE)),0,VLOOKUP($A671,'13. Updated Demand'!A:Z,24,FALSE))</f>
        <v>0</v>
      </c>
      <c r="AH671" s="16">
        <f>IF(ISERROR(VLOOKUP($A671,'13. Updated Demand'!A:Z,25,FALSE)),0,VLOOKUP($A671,'13. Updated Demand'!A:Z,25,FALSE))</f>
        <v>0</v>
      </c>
      <c r="AI671" s="16">
        <f>IF(ISERROR(VLOOKUP($A671,'13. Updated Demand'!A:Z,26,FALSE)),0,VLOOKUP($A671,'13. Updated Demand'!A:Z,26,FALSE))</f>
        <v>0</v>
      </c>
      <c r="AJ671" s="16">
        <f t="shared" si="132"/>
        <v>24.189999999999998</v>
      </c>
      <c r="AK671" s="19">
        <v>24.200000000000003</v>
      </c>
      <c r="AL671" s="16">
        <f t="shared" si="130"/>
        <v>8.0268643360951325E-2</v>
      </c>
      <c r="AM671" s="17">
        <v>0.57619047619047625</v>
      </c>
      <c r="AN671" s="19"/>
      <c r="AO671" s="19"/>
      <c r="AP671" s="19">
        <v>42</v>
      </c>
      <c r="AQ671" s="19" t="s">
        <v>307</v>
      </c>
      <c r="AR671" s="9" t="s">
        <v>354</v>
      </c>
      <c r="AS671" s="12">
        <v>0</v>
      </c>
      <c r="AT671" s="19">
        <v>38.799338349999999</v>
      </c>
      <c r="AU671" s="19">
        <v>-123.00080182000001</v>
      </c>
      <c r="AV671" s="19" t="s">
        <v>548</v>
      </c>
    </row>
    <row r="672" spans="1:48" x14ac:dyDescent="0.25">
      <c r="A672" s="18" t="s">
        <v>1059</v>
      </c>
      <c r="B672" s="10">
        <v>19750930</v>
      </c>
      <c r="C672" s="9">
        <v>9</v>
      </c>
      <c r="D672" s="8" t="str">
        <f t="shared" si="121"/>
        <v>N</v>
      </c>
      <c r="E672" s="8" t="str">
        <f t="shared" si="122"/>
        <v>Y</v>
      </c>
      <c r="F672" s="8" t="str">
        <f t="shared" si="123"/>
        <v>Y</v>
      </c>
      <c r="G672" s="8" t="str">
        <f t="shared" si="124"/>
        <v>Y</v>
      </c>
      <c r="H672" s="8" t="str">
        <f t="shared" si="125"/>
        <v>Upper</v>
      </c>
      <c r="I672" s="8" t="str">
        <f t="shared" si="126"/>
        <v>West Fork and Below Lake</v>
      </c>
      <c r="J672" s="8" t="str">
        <f t="shared" si="127"/>
        <v>Sonoma (d/s of Clov. Gage)</v>
      </c>
      <c r="K672" s="8" t="str">
        <f t="shared" si="128"/>
        <v>Post-1949</v>
      </c>
      <c r="L672" s="8">
        <f t="shared" si="129"/>
        <v>1975</v>
      </c>
      <c r="M672" s="8" t="str">
        <f t="shared" si="131"/>
        <v>1971-1990</v>
      </c>
      <c r="N672" s="10" t="s">
        <v>241</v>
      </c>
      <c r="O672" s="10" t="s">
        <v>241</v>
      </c>
      <c r="P672" s="10" t="s">
        <v>242</v>
      </c>
      <c r="Q672" s="10" t="s">
        <v>242</v>
      </c>
      <c r="R672" s="10" t="s">
        <v>241</v>
      </c>
      <c r="S672" s="10" t="s">
        <v>242</v>
      </c>
      <c r="T672" s="10" t="s">
        <v>242</v>
      </c>
      <c r="U672" s="10" t="s">
        <v>241</v>
      </c>
      <c r="V672" s="10" t="s">
        <v>241</v>
      </c>
      <c r="W672" s="10" t="s">
        <v>242</v>
      </c>
      <c r="X672" s="15">
        <f>IF(ISERROR(VLOOKUP($A672,'13. Updated Demand'!A:Z,15,FALSE)),0,VLOOKUP($A672,'13. Updated Demand'!A:Z,15,FALSE))</f>
        <v>0</v>
      </c>
      <c r="Y672" s="16">
        <f>IF(ISERROR(VLOOKUP($A672,'13. Updated Demand'!A:Z,16,FALSE)),0,VLOOKUP($A672,'13. Updated Demand'!A:Z,16,FALSE))</f>
        <v>0</v>
      </c>
      <c r="Z672" s="16">
        <f>IF(ISERROR(VLOOKUP($A672,'13. Updated Demand'!A:Z,17,FALSE)),0,VLOOKUP($A672,'13. Updated Demand'!A:Z,17,FALSE))</f>
        <v>0</v>
      </c>
      <c r="AA672" s="16">
        <f>IF(ISERROR(VLOOKUP($A672,'13. Updated Demand'!A:Z,18,FALSE)),0,VLOOKUP($A672,'13. Updated Demand'!A:Z,18,FALSE))</f>
        <v>0</v>
      </c>
      <c r="AB672" s="16">
        <f>IF(ISERROR(VLOOKUP($A672,'13. Updated Demand'!A:Z,19,FALSE)),0,VLOOKUP($A672,'13. Updated Demand'!A:Z,19,FALSE))</f>
        <v>0</v>
      </c>
      <c r="AC672" s="16">
        <f>IF(ISERROR(VLOOKUP($A672,'13. Updated Demand'!A:Z,20,FALSE)),0,VLOOKUP($A672,'13. Updated Demand'!A:Z,20,FALSE))</f>
        <v>0</v>
      </c>
      <c r="AD672" s="16">
        <f>IF(ISERROR(VLOOKUP($A672,'13. Updated Demand'!A:Z,21,FALSE)),0,VLOOKUP($A672,'13. Updated Demand'!A:Z,21,FALSE))</f>
        <v>0</v>
      </c>
      <c r="AE672" s="16">
        <f>IF(ISERROR(VLOOKUP($A672,'13. Updated Demand'!A:Z,22,FALSE)),0,VLOOKUP($A672,'13. Updated Demand'!A:Z,22,FALSE))</f>
        <v>0</v>
      </c>
      <c r="AF672" s="16">
        <f>IF(ISERROR(VLOOKUP($A672,'13. Updated Demand'!A:Z,23,FALSE)),0,VLOOKUP($A672,'13. Updated Demand'!A:Z,23,FALSE))</f>
        <v>0</v>
      </c>
      <c r="AG672" s="16">
        <f>IF(ISERROR(VLOOKUP($A672,'13. Updated Demand'!A:Z,24,FALSE)),0,VLOOKUP($A672,'13. Updated Demand'!A:Z,24,FALSE))</f>
        <v>0</v>
      </c>
      <c r="AH672" s="16">
        <f>IF(ISERROR(VLOOKUP($A672,'13. Updated Demand'!A:Z,25,FALSE)),0,VLOOKUP($A672,'13. Updated Demand'!A:Z,25,FALSE))</f>
        <v>0</v>
      </c>
      <c r="AI672" s="16">
        <f>IF(ISERROR(VLOOKUP($A672,'13. Updated Demand'!A:Z,26,FALSE)),0,VLOOKUP($A672,'13. Updated Demand'!A:Z,26,FALSE))</f>
        <v>0</v>
      </c>
      <c r="AJ672" s="16">
        <f t="shared" si="132"/>
        <v>0</v>
      </c>
      <c r="AK672" s="19">
        <v>0</v>
      </c>
      <c r="AL672" s="16">
        <f t="shared" si="130"/>
        <v>0</v>
      </c>
      <c r="AM672" s="17">
        <v>0</v>
      </c>
      <c r="AN672" s="19"/>
      <c r="AO672" s="19"/>
      <c r="AP672" s="19">
        <v>150</v>
      </c>
      <c r="AQ672" s="19" t="s">
        <v>307</v>
      </c>
      <c r="AR672" s="9" t="s">
        <v>354</v>
      </c>
      <c r="AS672" s="12">
        <v>0</v>
      </c>
      <c r="AT672" s="19">
        <v>38.799338349999999</v>
      </c>
      <c r="AU672" s="19">
        <v>-123.00080182000001</v>
      </c>
      <c r="AV672" s="19" t="s">
        <v>548</v>
      </c>
    </row>
    <row r="673" spans="1:48" x14ac:dyDescent="0.25">
      <c r="A673" s="18" t="s">
        <v>1060</v>
      </c>
      <c r="B673" s="10">
        <v>19750930</v>
      </c>
      <c r="C673" s="9">
        <v>9</v>
      </c>
      <c r="D673" s="8" t="str">
        <f t="shared" si="121"/>
        <v>N</v>
      </c>
      <c r="E673" s="8" t="str">
        <f t="shared" si="122"/>
        <v>Y</v>
      </c>
      <c r="F673" s="8" t="str">
        <f t="shared" si="123"/>
        <v>Y</v>
      </c>
      <c r="G673" s="8" t="str">
        <f t="shared" si="124"/>
        <v>Y</v>
      </c>
      <c r="H673" s="8" t="str">
        <f t="shared" si="125"/>
        <v>Upper</v>
      </c>
      <c r="I673" s="8" t="str">
        <f t="shared" si="126"/>
        <v>West Fork and Below Lake</v>
      </c>
      <c r="J673" s="8" t="str">
        <f t="shared" si="127"/>
        <v>Sonoma (d/s of Clov. Gage)</v>
      </c>
      <c r="K673" s="8" t="str">
        <f t="shared" si="128"/>
        <v>Post-1949</v>
      </c>
      <c r="L673" s="8">
        <f t="shared" si="129"/>
        <v>1975</v>
      </c>
      <c r="M673" s="8" t="str">
        <f t="shared" si="131"/>
        <v>1971-1990</v>
      </c>
      <c r="N673" s="10" t="s">
        <v>241</v>
      </c>
      <c r="O673" s="10" t="s">
        <v>241</v>
      </c>
      <c r="P673" s="10" t="s">
        <v>242</v>
      </c>
      <c r="Q673" s="10" t="s">
        <v>242</v>
      </c>
      <c r="R673" s="10" t="s">
        <v>241</v>
      </c>
      <c r="S673" s="10" t="s">
        <v>242</v>
      </c>
      <c r="T673" s="10" t="s">
        <v>242</v>
      </c>
      <c r="U673" s="10" t="s">
        <v>242</v>
      </c>
      <c r="V673" s="10" t="s">
        <v>242</v>
      </c>
      <c r="W673" s="10" t="s">
        <v>242</v>
      </c>
      <c r="X673" s="15">
        <f>IF(ISERROR(VLOOKUP($A673,'13. Updated Demand'!A:Z,15,FALSE)),0,VLOOKUP($A673,'13. Updated Demand'!A:Z,15,FALSE))</f>
        <v>0</v>
      </c>
      <c r="Y673" s="16">
        <f>IF(ISERROR(VLOOKUP($A673,'13. Updated Demand'!A:Z,16,FALSE)),0,VLOOKUP($A673,'13. Updated Demand'!A:Z,16,FALSE))</f>
        <v>0</v>
      </c>
      <c r="Z673" s="16">
        <f>IF(ISERROR(VLOOKUP($A673,'13. Updated Demand'!A:Z,17,FALSE)),0,VLOOKUP($A673,'13. Updated Demand'!A:Z,17,FALSE))</f>
        <v>0</v>
      </c>
      <c r="AA673" s="16">
        <f>IF(ISERROR(VLOOKUP($A673,'13. Updated Demand'!A:Z,18,FALSE)),0,VLOOKUP($A673,'13. Updated Demand'!A:Z,18,FALSE))</f>
        <v>0</v>
      </c>
      <c r="AB673" s="16">
        <f>IF(ISERROR(VLOOKUP($A673,'13. Updated Demand'!A:Z,19,FALSE)),0,VLOOKUP($A673,'13. Updated Demand'!A:Z,19,FALSE))</f>
        <v>0</v>
      </c>
      <c r="AC673" s="16">
        <f>IF(ISERROR(VLOOKUP($A673,'13. Updated Demand'!A:Z,20,FALSE)),0,VLOOKUP($A673,'13. Updated Demand'!A:Z,20,FALSE))</f>
        <v>10.06</v>
      </c>
      <c r="AD673" s="16">
        <f>IF(ISERROR(VLOOKUP($A673,'13. Updated Demand'!A:Z,21,FALSE)),0,VLOOKUP($A673,'13. Updated Demand'!A:Z,21,FALSE))</f>
        <v>11.6</v>
      </c>
      <c r="AE673" s="16">
        <f>IF(ISERROR(VLOOKUP($A673,'13. Updated Demand'!A:Z,22,FALSE)),0,VLOOKUP($A673,'13. Updated Demand'!A:Z,22,FALSE))</f>
        <v>13.63</v>
      </c>
      <c r="AF673" s="16">
        <f>IF(ISERROR(VLOOKUP($A673,'13. Updated Demand'!A:Z,23,FALSE)),0,VLOOKUP($A673,'13. Updated Demand'!A:Z,23,FALSE))</f>
        <v>11.06</v>
      </c>
      <c r="AG673" s="16">
        <f>IF(ISERROR(VLOOKUP($A673,'13. Updated Demand'!A:Z,24,FALSE)),0,VLOOKUP($A673,'13. Updated Demand'!A:Z,24,FALSE))</f>
        <v>3.06</v>
      </c>
      <c r="AH673" s="16">
        <f>IF(ISERROR(VLOOKUP($A673,'13. Updated Demand'!A:Z,25,FALSE)),0,VLOOKUP($A673,'13. Updated Demand'!A:Z,25,FALSE))</f>
        <v>0</v>
      </c>
      <c r="AI673" s="16">
        <f>IF(ISERROR(VLOOKUP($A673,'13. Updated Demand'!A:Z,26,FALSE)),0,VLOOKUP($A673,'13. Updated Demand'!A:Z,26,FALSE))</f>
        <v>0</v>
      </c>
      <c r="AJ673" s="16">
        <f t="shared" si="132"/>
        <v>49.410000000000004</v>
      </c>
      <c r="AK673" s="19">
        <v>46.366666666666696</v>
      </c>
      <c r="AL673" s="16">
        <f t="shared" si="130"/>
        <v>0.15379295167366855</v>
      </c>
      <c r="AM673" s="17">
        <v>0.96738421395955698</v>
      </c>
      <c r="AN673" s="19"/>
      <c r="AO673" s="19"/>
      <c r="AP673" s="19">
        <v>51.1</v>
      </c>
      <c r="AQ673" s="19" t="s">
        <v>307</v>
      </c>
      <c r="AR673" s="9" t="s">
        <v>354</v>
      </c>
      <c r="AS673" s="12">
        <v>0</v>
      </c>
      <c r="AT673" s="19">
        <v>38.728049830000003</v>
      </c>
      <c r="AU673" s="19">
        <v>-122.91688852</v>
      </c>
      <c r="AV673" s="19" t="s">
        <v>548</v>
      </c>
    </row>
    <row r="674" spans="1:48" x14ac:dyDescent="0.25">
      <c r="A674" s="18" t="s">
        <v>1061</v>
      </c>
      <c r="B674" s="10">
        <v>19751010</v>
      </c>
      <c r="C674" s="9">
        <v>4</v>
      </c>
      <c r="D674" s="8" t="str">
        <f t="shared" si="121"/>
        <v>Y</v>
      </c>
      <c r="E674" s="8" t="str">
        <f t="shared" si="122"/>
        <v>N</v>
      </c>
      <c r="F674" s="8" t="str">
        <f t="shared" si="123"/>
        <v>Y</v>
      </c>
      <c r="G674" s="8" t="str">
        <f t="shared" si="124"/>
        <v>Y</v>
      </c>
      <c r="H674" s="8" t="str">
        <f t="shared" si="125"/>
        <v>Upper</v>
      </c>
      <c r="I674" s="8" t="str">
        <f t="shared" si="126"/>
        <v>West Fork and Below Lake</v>
      </c>
      <c r="J674" s="8" t="str">
        <f t="shared" si="127"/>
        <v>Mendocino (d/s of lake)</v>
      </c>
      <c r="K674" s="8" t="str">
        <f t="shared" si="128"/>
        <v>Post-1949</v>
      </c>
      <c r="L674" s="8">
        <f t="shared" si="129"/>
        <v>1975</v>
      </c>
      <c r="M674" s="8" t="str">
        <f t="shared" si="131"/>
        <v>1971-1990</v>
      </c>
      <c r="N674" s="10" t="s">
        <v>242</v>
      </c>
      <c r="O674" s="10" t="s">
        <v>241</v>
      </c>
      <c r="P674" s="10" t="s">
        <v>242</v>
      </c>
      <c r="Q674" s="10" t="s">
        <v>242</v>
      </c>
      <c r="R674" s="10" t="s">
        <v>241</v>
      </c>
      <c r="S674" s="10" t="s">
        <v>242</v>
      </c>
      <c r="T674" s="10" t="s">
        <v>242</v>
      </c>
      <c r="U674" s="10" t="s">
        <v>242</v>
      </c>
      <c r="V674" s="10" t="s">
        <v>241</v>
      </c>
      <c r="W674" s="10" t="s">
        <v>242</v>
      </c>
      <c r="X674" s="15">
        <f>IF(ISERROR(VLOOKUP($A674,'13. Updated Demand'!A:Z,15,FALSE)),0,VLOOKUP($A674,'13. Updated Demand'!A:Z,15,FALSE))</f>
        <v>1.88</v>
      </c>
      <c r="Y674" s="16">
        <f>IF(ISERROR(VLOOKUP($A674,'13. Updated Demand'!A:Z,16,FALSE)),0,VLOOKUP($A674,'13. Updated Demand'!A:Z,16,FALSE))</f>
        <v>0</v>
      </c>
      <c r="Z674" s="16">
        <f>IF(ISERROR(VLOOKUP($A674,'13. Updated Demand'!A:Z,17,FALSE)),0,VLOOKUP($A674,'13. Updated Demand'!A:Z,17,FALSE))</f>
        <v>0</v>
      </c>
      <c r="AA674" s="16">
        <f>IF(ISERROR(VLOOKUP($A674,'13. Updated Demand'!A:Z,18,FALSE)),0,VLOOKUP($A674,'13. Updated Demand'!A:Z,18,FALSE))</f>
        <v>0.17</v>
      </c>
      <c r="AB674" s="16">
        <f>IF(ISERROR(VLOOKUP($A674,'13. Updated Demand'!A:Z,19,FALSE)),0,VLOOKUP($A674,'13. Updated Demand'!A:Z,19,FALSE))</f>
        <v>0</v>
      </c>
      <c r="AC674" s="16">
        <f>IF(ISERROR(VLOOKUP($A674,'13. Updated Demand'!A:Z,20,FALSE)),0,VLOOKUP($A674,'13. Updated Demand'!A:Z,20,FALSE))</f>
        <v>0</v>
      </c>
      <c r="AD674" s="16">
        <f>IF(ISERROR(VLOOKUP($A674,'13. Updated Demand'!A:Z,21,FALSE)),0,VLOOKUP($A674,'13. Updated Demand'!A:Z,21,FALSE))</f>
        <v>0</v>
      </c>
      <c r="AE674" s="16">
        <f>IF(ISERROR(VLOOKUP($A674,'13. Updated Demand'!A:Z,22,FALSE)),0,VLOOKUP($A674,'13. Updated Demand'!A:Z,22,FALSE))</f>
        <v>0</v>
      </c>
      <c r="AF674" s="16">
        <f>IF(ISERROR(VLOOKUP($A674,'13. Updated Demand'!A:Z,23,FALSE)),0,VLOOKUP($A674,'13. Updated Demand'!A:Z,23,FALSE))</f>
        <v>0</v>
      </c>
      <c r="AG674" s="16">
        <f>IF(ISERROR(VLOOKUP($A674,'13. Updated Demand'!A:Z,24,FALSE)),0,VLOOKUP($A674,'13. Updated Demand'!A:Z,24,FALSE))</f>
        <v>0.02</v>
      </c>
      <c r="AH674" s="16">
        <f>IF(ISERROR(VLOOKUP($A674,'13. Updated Demand'!A:Z,25,FALSE)),0,VLOOKUP($A674,'13. Updated Demand'!A:Z,25,FALSE))</f>
        <v>3.94</v>
      </c>
      <c r="AI674" s="16">
        <f>IF(ISERROR(VLOOKUP($A674,'13. Updated Demand'!A:Z,26,FALSE)),0,VLOOKUP($A674,'13. Updated Demand'!A:Z,26,FALSE))</f>
        <v>2</v>
      </c>
      <c r="AJ674" s="16">
        <f t="shared" si="132"/>
        <v>8.01</v>
      </c>
      <c r="AK674" s="19">
        <v>0</v>
      </c>
      <c r="AL674" s="16">
        <f t="shared" si="130"/>
        <v>0</v>
      </c>
      <c r="AM674" s="17">
        <v>0.32093333336000002</v>
      </c>
      <c r="AN674" s="19"/>
      <c r="AO674" s="19"/>
      <c r="AP674" s="19">
        <v>25</v>
      </c>
      <c r="AQ674" s="19" t="s">
        <v>307</v>
      </c>
      <c r="AR674" s="9" t="s">
        <v>331</v>
      </c>
      <c r="AS674" s="12">
        <v>0</v>
      </c>
      <c r="AT674" s="19">
        <v>39.142984349999999</v>
      </c>
      <c r="AU674" s="19">
        <v>-123.16433649</v>
      </c>
      <c r="AV674" s="19" t="s">
        <v>1062</v>
      </c>
    </row>
    <row r="675" spans="1:48" x14ac:dyDescent="0.25">
      <c r="A675" s="18" t="s">
        <v>1063</v>
      </c>
      <c r="B675" s="10">
        <v>19751014</v>
      </c>
      <c r="C675" s="9">
        <v>9</v>
      </c>
      <c r="D675" s="8" t="str">
        <f t="shared" si="121"/>
        <v>N</v>
      </c>
      <c r="E675" s="8" t="str">
        <f t="shared" si="122"/>
        <v>Y</v>
      </c>
      <c r="F675" s="8" t="str">
        <f t="shared" si="123"/>
        <v>Y</v>
      </c>
      <c r="G675" s="8" t="str">
        <f t="shared" si="124"/>
        <v>Y</v>
      </c>
      <c r="H675" s="8" t="str">
        <f t="shared" si="125"/>
        <v>Upper</v>
      </c>
      <c r="I675" s="8" t="str">
        <f t="shared" si="126"/>
        <v>West Fork and Below Lake</v>
      </c>
      <c r="J675" s="8" t="str">
        <f t="shared" si="127"/>
        <v>Sonoma (d/s of Clov. Gage)</v>
      </c>
      <c r="K675" s="8" t="str">
        <f t="shared" si="128"/>
        <v>Post-1949</v>
      </c>
      <c r="L675" s="8">
        <f t="shared" si="129"/>
        <v>1975</v>
      </c>
      <c r="M675" s="8" t="str">
        <f t="shared" si="131"/>
        <v>1971-1990</v>
      </c>
      <c r="N675" s="10" t="s">
        <v>241</v>
      </c>
      <c r="O675" s="10" t="s">
        <v>241</v>
      </c>
      <c r="P675" s="10" t="s">
        <v>242</v>
      </c>
      <c r="Q675" s="10" t="s">
        <v>242</v>
      </c>
      <c r="R675" s="10" t="s">
        <v>241</v>
      </c>
      <c r="S675" s="10" t="s">
        <v>242</v>
      </c>
      <c r="T675" s="10" t="s">
        <v>242</v>
      </c>
      <c r="U675" s="10" t="s">
        <v>241</v>
      </c>
      <c r="V675" s="10" t="s">
        <v>241</v>
      </c>
      <c r="W675" s="10" t="s">
        <v>242</v>
      </c>
      <c r="X675" s="15">
        <f>IF(ISERROR(VLOOKUP($A675,'13. Updated Demand'!A:Z,15,FALSE)),0,VLOOKUP($A675,'13. Updated Demand'!A:Z,15,FALSE))</f>
        <v>0</v>
      </c>
      <c r="Y675" s="16">
        <f>IF(ISERROR(VLOOKUP($A675,'13. Updated Demand'!A:Z,16,FALSE)),0,VLOOKUP($A675,'13. Updated Demand'!A:Z,16,FALSE))</f>
        <v>0</v>
      </c>
      <c r="Z675" s="16">
        <f>IF(ISERROR(VLOOKUP($A675,'13. Updated Demand'!A:Z,17,FALSE)),0,VLOOKUP($A675,'13. Updated Demand'!A:Z,17,FALSE))</f>
        <v>0</v>
      </c>
      <c r="AA675" s="16">
        <f>IF(ISERROR(VLOOKUP($A675,'13. Updated Demand'!A:Z,18,FALSE)),0,VLOOKUP($A675,'13. Updated Demand'!A:Z,18,FALSE))</f>
        <v>0</v>
      </c>
      <c r="AB675" s="16">
        <f>IF(ISERROR(VLOOKUP($A675,'13. Updated Demand'!A:Z,19,FALSE)),0,VLOOKUP($A675,'13. Updated Demand'!A:Z,19,FALSE))</f>
        <v>0</v>
      </c>
      <c r="AC675" s="16">
        <f>IF(ISERROR(VLOOKUP($A675,'13. Updated Demand'!A:Z,20,FALSE)),0,VLOOKUP($A675,'13. Updated Demand'!A:Z,20,FALSE))</f>
        <v>0</v>
      </c>
      <c r="AD675" s="16">
        <f>IF(ISERROR(VLOOKUP($A675,'13. Updated Demand'!A:Z,21,FALSE)),0,VLOOKUP($A675,'13. Updated Demand'!A:Z,21,FALSE))</f>
        <v>0</v>
      </c>
      <c r="AE675" s="16">
        <f>IF(ISERROR(VLOOKUP($A675,'13. Updated Demand'!A:Z,22,FALSE)),0,VLOOKUP($A675,'13. Updated Demand'!A:Z,22,FALSE))</f>
        <v>0</v>
      </c>
      <c r="AF675" s="16">
        <f>IF(ISERROR(VLOOKUP($A675,'13. Updated Demand'!A:Z,23,FALSE)),0,VLOOKUP($A675,'13. Updated Demand'!A:Z,23,FALSE))</f>
        <v>0</v>
      </c>
      <c r="AG675" s="16">
        <f>IF(ISERROR(VLOOKUP($A675,'13. Updated Demand'!A:Z,24,FALSE)),0,VLOOKUP($A675,'13. Updated Demand'!A:Z,24,FALSE))</f>
        <v>0</v>
      </c>
      <c r="AH675" s="16">
        <f>IF(ISERROR(VLOOKUP($A675,'13. Updated Demand'!A:Z,25,FALSE)),0,VLOOKUP($A675,'13. Updated Demand'!A:Z,25,FALSE))</f>
        <v>0</v>
      </c>
      <c r="AI675" s="16">
        <f>IF(ISERROR(VLOOKUP($A675,'13. Updated Demand'!A:Z,26,FALSE)),0,VLOOKUP($A675,'13. Updated Demand'!A:Z,26,FALSE))</f>
        <v>0</v>
      </c>
      <c r="AJ675" s="16">
        <f t="shared" si="132"/>
        <v>0</v>
      </c>
      <c r="AK675" s="19">
        <v>0</v>
      </c>
      <c r="AL675" s="16">
        <f t="shared" si="130"/>
        <v>0</v>
      </c>
      <c r="AM675" s="17">
        <v>0</v>
      </c>
      <c r="AN675" s="19"/>
      <c r="AO675" s="19"/>
      <c r="AP675" s="19">
        <v>12.6</v>
      </c>
      <c r="AQ675" s="19" t="s">
        <v>307</v>
      </c>
      <c r="AR675" s="9" t="s">
        <v>354</v>
      </c>
      <c r="AS675" s="12">
        <v>3.4039024194010059E-4</v>
      </c>
      <c r="AT675" s="19">
        <v>38.780080759999997</v>
      </c>
      <c r="AU675" s="19">
        <v>-122.98895407000001</v>
      </c>
      <c r="AV675" s="19" t="s">
        <v>548</v>
      </c>
    </row>
    <row r="676" spans="1:48" x14ac:dyDescent="0.25">
      <c r="A676" s="18" t="s">
        <v>1064</v>
      </c>
      <c r="B676" s="10">
        <v>19751017</v>
      </c>
      <c r="C676" s="9">
        <v>17</v>
      </c>
      <c r="D676" s="8" t="str">
        <f t="shared" si="121"/>
        <v>N</v>
      </c>
      <c r="E676" s="8" t="str">
        <f t="shared" si="122"/>
        <v>N</v>
      </c>
      <c r="F676" s="8" t="str">
        <f t="shared" si="123"/>
        <v>N</v>
      </c>
      <c r="G676" s="8" t="str">
        <f t="shared" si="124"/>
        <v>N</v>
      </c>
      <c r="H676" s="8" t="str">
        <f t="shared" si="125"/>
        <v>Lower</v>
      </c>
      <c r="I676" s="8" t="str">
        <f t="shared" si="126"/>
        <v>Outside</v>
      </c>
      <c r="J676" s="8" t="str">
        <f t="shared" si="127"/>
        <v>Outside</v>
      </c>
      <c r="K676" s="8" t="str">
        <f t="shared" si="128"/>
        <v>Post-1949</v>
      </c>
      <c r="L676" s="8">
        <f t="shared" si="129"/>
        <v>1975</v>
      </c>
      <c r="M676" s="8" t="str">
        <f t="shared" si="131"/>
        <v>1971-1990</v>
      </c>
      <c r="N676" s="10" t="s">
        <v>241</v>
      </c>
      <c r="O676" s="10" t="s">
        <v>242</v>
      </c>
      <c r="P676" s="10" t="s">
        <v>242</v>
      </c>
      <c r="Q676" s="10" t="s">
        <v>242</v>
      </c>
      <c r="R676" s="10" t="s">
        <v>241</v>
      </c>
      <c r="S676" s="10" t="s">
        <v>242</v>
      </c>
      <c r="T676" s="10" t="s">
        <v>242</v>
      </c>
      <c r="U676" s="10" t="s">
        <v>242</v>
      </c>
      <c r="V676" s="10" t="s">
        <v>241</v>
      </c>
      <c r="W676" s="10" t="s">
        <v>242</v>
      </c>
      <c r="X676" s="15">
        <f>IF(ISERROR(VLOOKUP($A676,'13. Updated Demand'!A:Z,15,FALSE)),0,VLOOKUP($A676,'13. Updated Demand'!A:Z,15,FALSE))</f>
        <v>0</v>
      </c>
      <c r="Y676" s="16">
        <f>IF(ISERROR(VLOOKUP($A676,'13. Updated Demand'!A:Z,16,FALSE)),0,VLOOKUP($A676,'13. Updated Demand'!A:Z,16,FALSE))</f>
        <v>0</v>
      </c>
      <c r="Z676" s="16">
        <f>IF(ISERROR(VLOOKUP($A676,'13. Updated Demand'!A:Z,17,FALSE)),0,VLOOKUP($A676,'13. Updated Demand'!A:Z,17,FALSE))</f>
        <v>0</v>
      </c>
      <c r="AA676" s="16">
        <f>IF(ISERROR(VLOOKUP($A676,'13. Updated Demand'!A:Z,18,FALSE)),0,VLOOKUP($A676,'13. Updated Demand'!A:Z,18,FALSE))</f>
        <v>6.6666666999999999E-2</v>
      </c>
      <c r="AB676" s="16">
        <f>IF(ISERROR(VLOOKUP($A676,'13. Updated Demand'!A:Z,19,FALSE)),0,VLOOKUP($A676,'13. Updated Demand'!A:Z,19,FALSE))</f>
        <v>0</v>
      </c>
      <c r="AC676" s="16">
        <f>IF(ISERROR(VLOOKUP($A676,'13. Updated Demand'!A:Z,20,FALSE)),0,VLOOKUP($A676,'13. Updated Demand'!A:Z,20,FALSE))</f>
        <v>0</v>
      </c>
      <c r="AD676" s="16">
        <f>IF(ISERROR(VLOOKUP($A676,'13. Updated Demand'!A:Z,21,FALSE)),0,VLOOKUP($A676,'13. Updated Demand'!A:Z,21,FALSE))</f>
        <v>0</v>
      </c>
      <c r="AE676" s="16">
        <f>IF(ISERROR(VLOOKUP($A676,'13. Updated Demand'!A:Z,22,FALSE)),0,VLOOKUP($A676,'13. Updated Demand'!A:Z,22,FALSE))</f>
        <v>0</v>
      </c>
      <c r="AF676" s="16">
        <f>IF(ISERROR(VLOOKUP($A676,'13. Updated Demand'!A:Z,23,FALSE)),0,VLOOKUP($A676,'13. Updated Demand'!A:Z,23,FALSE))</f>
        <v>0</v>
      </c>
      <c r="AG676" s="16">
        <f>IF(ISERROR(VLOOKUP($A676,'13. Updated Demand'!A:Z,24,FALSE)),0,VLOOKUP($A676,'13. Updated Demand'!A:Z,24,FALSE))</f>
        <v>0</v>
      </c>
      <c r="AH676" s="16">
        <f>IF(ISERROR(VLOOKUP($A676,'13. Updated Demand'!A:Z,25,FALSE)),0,VLOOKUP($A676,'13. Updated Demand'!A:Z,25,FALSE))</f>
        <v>0</v>
      </c>
      <c r="AI676" s="16">
        <f>IF(ISERROR(VLOOKUP($A676,'13. Updated Demand'!A:Z,26,FALSE)),0,VLOOKUP($A676,'13. Updated Demand'!A:Z,26,FALSE))</f>
        <v>0</v>
      </c>
      <c r="AJ676" s="16">
        <f t="shared" si="132"/>
        <v>6.6666666999999999E-2</v>
      </c>
      <c r="AK676" s="19">
        <v>0</v>
      </c>
      <c r="AL676" s="16">
        <f t="shared" si="130"/>
        <v>0</v>
      </c>
      <c r="AM676" s="17">
        <v>1.9607843235294117E-3</v>
      </c>
      <c r="AN676" s="19"/>
      <c r="AO676" s="19"/>
      <c r="AP676" s="19">
        <v>34</v>
      </c>
      <c r="AQ676" s="19" t="s">
        <v>307</v>
      </c>
      <c r="AR676" s="9" t="s">
        <v>486</v>
      </c>
      <c r="AS676" s="12">
        <v>0</v>
      </c>
      <c r="AT676" s="19">
        <v>38.529135019999998</v>
      </c>
      <c r="AU676" s="19">
        <v>-122.86312384</v>
      </c>
      <c r="AV676" s="19" t="s">
        <v>548</v>
      </c>
    </row>
    <row r="677" spans="1:48" x14ac:dyDescent="0.25">
      <c r="A677" s="18" t="s">
        <v>1065</v>
      </c>
      <c r="B677" s="10">
        <v>19751021</v>
      </c>
      <c r="C677" s="9">
        <v>9</v>
      </c>
      <c r="D677" s="8" t="str">
        <f t="shared" si="121"/>
        <v>N</v>
      </c>
      <c r="E677" s="8" t="str">
        <f t="shared" si="122"/>
        <v>Y</v>
      </c>
      <c r="F677" s="8" t="str">
        <f t="shared" si="123"/>
        <v>Y</v>
      </c>
      <c r="G677" s="8" t="str">
        <f t="shared" si="124"/>
        <v>Y</v>
      </c>
      <c r="H677" s="8" t="str">
        <f t="shared" si="125"/>
        <v>Upper</v>
      </c>
      <c r="I677" s="8" t="str">
        <f t="shared" si="126"/>
        <v>West Fork and Below Lake</v>
      </c>
      <c r="J677" s="8" t="str">
        <f t="shared" si="127"/>
        <v>Sonoma (d/s of Clov. Gage)</v>
      </c>
      <c r="K677" s="8" t="str">
        <f t="shared" si="128"/>
        <v>Post-1949</v>
      </c>
      <c r="L677" s="8">
        <f t="shared" si="129"/>
        <v>1975</v>
      </c>
      <c r="M677" s="8" t="str">
        <f t="shared" si="131"/>
        <v>1971-1990</v>
      </c>
      <c r="N677" s="10" t="s">
        <v>241</v>
      </c>
      <c r="O677" s="10" t="s">
        <v>241</v>
      </c>
      <c r="P677" s="10" t="s">
        <v>242</v>
      </c>
      <c r="Q677" s="10" t="s">
        <v>242</v>
      </c>
      <c r="R677" s="10" t="s">
        <v>241</v>
      </c>
      <c r="S677" s="10" t="s">
        <v>242</v>
      </c>
      <c r="T677" s="10" t="s">
        <v>241</v>
      </c>
      <c r="U677" s="10" t="s">
        <v>241</v>
      </c>
      <c r="V677" s="10" t="s">
        <v>241</v>
      </c>
      <c r="W677" s="10" t="s">
        <v>242</v>
      </c>
      <c r="X677" s="15">
        <f>IF(ISERROR(VLOOKUP($A677,'13. Updated Demand'!A:Z,15,FALSE)),0,VLOOKUP($A677,'13. Updated Demand'!A:Z,15,FALSE))</f>
        <v>0</v>
      </c>
      <c r="Y677" s="16">
        <f>IF(ISERROR(VLOOKUP($A677,'13. Updated Demand'!A:Z,16,FALSE)),0,VLOOKUP($A677,'13. Updated Demand'!A:Z,16,FALSE))</f>
        <v>0</v>
      </c>
      <c r="Z677" s="16">
        <f>IF(ISERROR(VLOOKUP($A677,'13. Updated Demand'!A:Z,17,FALSE)),0,VLOOKUP($A677,'13. Updated Demand'!A:Z,17,FALSE))</f>
        <v>0</v>
      </c>
      <c r="AA677" s="16">
        <f>IF(ISERROR(VLOOKUP($A677,'13. Updated Demand'!A:Z,18,FALSE)),0,VLOOKUP($A677,'13. Updated Demand'!A:Z,18,FALSE))</f>
        <v>0</v>
      </c>
      <c r="AB677" s="16">
        <f>IF(ISERROR(VLOOKUP($A677,'13. Updated Demand'!A:Z,19,FALSE)),0,VLOOKUP($A677,'13. Updated Demand'!A:Z,19,FALSE))</f>
        <v>0</v>
      </c>
      <c r="AC677" s="16">
        <f>IF(ISERROR(VLOOKUP($A677,'13. Updated Demand'!A:Z,20,FALSE)),0,VLOOKUP($A677,'13. Updated Demand'!A:Z,20,FALSE))</f>
        <v>0</v>
      </c>
      <c r="AD677" s="16">
        <f>IF(ISERROR(VLOOKUP($A677,'13. Updated Demand'!A:Z,21,FALSE)),0,VLOOKUP($A677,'13. Updated Demand'!A:Z,21,FALSE))</f>
        <v>0</v>
      </c>
      <c r="AE677" s="16">
        <f>IF(ISERROR(VLOOKUP($A677,'13. Updated Demand'!A:Z,22,FALSE)),0,VLOOKUP($A677,'13. Updated Demand'!A:Z,22,FALSE))</f>
        <v>0</v>
      </c>
      <c r="AF677" s="16">
        <f>IF(ISERROR(VLOOKUP($A677,'13. Updated Demand'!A:Z,23,FALSE)),0,VLOOKUP($A677,'13. Updated Demand'!A:Z,23,FALSE))</f>
        <v>0</v>
      </c>
      <c r="AG677" s="16">
        <f>IF(ISERROR(VLOOKUP($A677,'13. Updated Demand'!A:Z,24,FALSE)),0,VLOOKUP($A677,'13. Updated Demand'!A:Z,24,FALSE))</f>
        <v>0</v>
      </c>
      <c r="AH677" s="16">
        <f>IF(ISERROR(VLOOKUP($A677,'13. Updated Demand'!A:Z,25,FALSE)),0,VLOOKUP($A677,'13. Updated Demand'!A:Z,25,FALSE))</f>
        <v>0</v>
      </c>
      <c r="AI677" s="16">
        <f>IF(ISERROR(VLOOKUP($A677,'13. Updated Demand'!A:Z,26,FALSE)),0,VLOOKUP($A677,'13. Updated Demand'!A:Z,26,FALSE))</f>
        <v>0</v>
      </c>
      <c r="AJ677" s="16">
        <f t="shared" si="132"/>
        <v>0</v>
      </c>
      <c r="AK677" s="19">
        <v>0</v>
      </c>
      <c r="AL677" s="16">
        <f t="shared" si="130"/>
        <v>0</v>
      </c>
      <c r="AM677" s="17">
        <v>0</v>
      </c>
      <c r="AN677" s="19"/>
      <c r="AO677" s="19"/>
      <c r="AP677" s="19">
        <v>2.9</v>
      </c>
      <c r="AQ677" s="19" t="s">
        <v>307</v>
      </c>
      <c r="AR677" s="9" t="s">
        <v>354</v>
      </c>
      <c r="AS677" s="12">
        <v>3.4039024194010059E-4</v>
      </c>
      <c r="AT677" s="19">
        <v>38.831932160000001</v>
      </c>
      <c r="AU677" s="19">
        <v>-123.01038815</v>
      </c>
      <c r="AV677" s="19" t="s">
        <v>548</v>
      </c>
    </row>
    <row r="678" spans="1:48" x14ac:dyDescent="0.25">
      <c r="A678" s="18" t="s">
        <v>1066</v>
      </c>
      <c r="B678" s="10">
        <v>19751022</v>
      </c>
      <c r="C678" s="9">
        <v>9</v>
      </c>
      <c r="D678" s="8" t="str">
        <f t="shared" si="121"/>
        <v>N</v>
      </c>
      <c r="E678" s="8" t="str">
        <f t="shared" si="122"/>
        <v>Y</v>
      </c>
      <c r="F678" s="8" t="str">
        <f t="shared" si="123"/>
        <v>Y</v>
      </c>
      <c r="G678" s="8" t="str">
        <f t="shared" si="124"/>
        <v>Y</v>
      </c>
      <c r="H678" s="8" t="str">
        <f t="shared" si="125"/>
        <v>Upper</v>
      </c>
      <c r="I678" s="8" t="str">
        <f t="shared" si="126"/>
        <v>West Fork and Below Lake</v>
      </c>
      <c r="J678" s="8" t="str">
        <f t="shared" si="127"/>
        <v>Sonoma (d/s of Clov. Gage)</v>
      </c>
      <c r="K678" s="8" t="str">
        <f t="shared" si="128"/>
        <v>Post-1949</v>
      </c>
      <c r="L678" s="8">
        <f t="shared" si="129"/>
        <v>1975</v>
      </c>
      <c r="M678" s="8" t="str">
        <f t="shared" si="131"/>
        <v>1971-1990</v>
      </c>
      <c r="N678" s="10" t="s">
        <v>241</v>
      </c>
      <c r="O678" s="10" t="s">
        <v>241</v>
      </c>
      <c r="P678" s="10" t="s">
        <v>242</v>
      </c>
      <c r="Q678" s="10" t="s">
        <v>242</v>
      </c>
      <c r="R678" s="10" t="s">
        <v>241</v>
      </c>
      <c r="S678" s="10" t="s">
        <v>242</v>
      </c>
      <c r="T678" s="10" t="s">
        <v>242</v>
      </c>
      <c r="U678" s="10" t="s">
        <v>241</v>
      </c>
      <c r="V678" s="10" t="s">
        <v>241</v>
      </c>
      <c r="W678" s="10" t="s">
        <v>242</v>
      </c>
      <c r="X678" s="15">
        <f>IF(ISERROR(VLOOKUP($A678,'13. Updated Demand'!A:Z,15,FALSE)),0,VLOOKUP($A678,'13. Updated Demand'!A:Z,15,FALSE))</f>
        <v>0</v>
      </c>
      <c r="Y678" s="16">
        <f>IF(ISERROR(VLOOKUP($A678,'13. Updated Demand'!A:Z,16,FALSE)),0,VLOOKUP($A678,'13. Updated Demand'!A:Z,16,FALSE))</f>
        <v>0</v>
      </c>
      <c r="Z678" s="16">
        <f>IF(ISERROR(VLOOKUP($A678,'13. Updated Demand'!A:Z,17,FALSE)),0,VLOOKUP($A678,'13. Updated Demand'!A:Z,17,FALSE))</f>
        <v>0</v>
      </c>
      <c r="AA678" s="16">
        <f>IF(ISERROR(VLOOKUP($A678,'13. Updated Demand'!A:Z,18,FALSE)),0,VLOOKUP($A678,'13. Updated Demand'!A:Z,18,FALSE))</f>
        <v>0</v>
      </c>
      <c r="AB678" s="16">
        <f>IF(ISERROR(VLOOKUP($A678,'13. Updated Demand'!A:Z,19,FALSE)),0,VLOOKUP($A678,'13. Updated Demand'!A:Z,19,FALSE))</f>
        <v>0</v>
      </c>
      <c r="AC678" s="16">
        <f>IF(ISERROR(VLOOKUP($A678,'13. Updated Demand'!A:Z,20,FALSE)),0,VLOOKUP($A678,'13. Updated Demand'!A:Z,20,FALSE))</f>
        <v>0</v>
      </c>
      <c r="AD678" s="16">
        <f>IF(ISERROR(VLOOKUP($A678,'13. Updated Demand'!A:Z,21,FALSE)),0,VLOOKUP($A678,'13. Updated Demand'!A:Z,21,FALSE))</f>
        <v>0</v>
      </c>
      <c r="AE678" s="16">
        <f>IF(ISERROR(VLOOKUP($A678,'13. Updated Demand'!A:Z,22,FALSE)),0,VLOOKUP($A678,'13. Updated Demand'!A:Z,22,FALSE))</f>
        <v>0</v>
      </c>
      <c r="AF678" s="16">
        <f>IF(ISERROR(VLOOKUP($A678,'13. Updated Demand'!A:Z,23,FALSE)),0,VLOOKUP($A678,'13. Updated Demand'!A:Z,23,FALSE))</f>
        <v>0</v>
      </c>
      <c r="AG678" s="16">
        <f>IF(ISERROR(VLOOKUP($A678,'13. Updated Demand'!A:Z,24,FALSE)),0,VLOOKUP($A678,'13. Updated Demand'!A:Z,24,FALSE))</f>
        <v>0</v>
      </c>
      <c r="AH678" s="16">
        <f>IF(ISERROR(VLOOKUP($A678,'13. Updated Demand'!A:Z,25,FALSE)),0,VLOOKUP($A678,'13. Updated Demand'!A:Z,25,FALSE))</f>
        <v>0</v>
      </c>
      <c r="AI678" s="16">
        <f>IF(ISERROR(VLOOKUP($A678,'13. Updated Demand'!A:Z,26,FALSE)),0,VLOOKUP($A678,'13. Updated Demand'!A:Z,26,FALSE))</f>
        <v>0</v>
      </c>
      <c r="AJ678" s="16">
        <f t="shared" si="132"/>
        <v>0</v>
      </c>
      <c r="AK678" s="19">
        <v>0</v>
      </c>
      <c r="AL678" s="16">
        <f t="shared" si="130"/>
        <v>0</v>
      </c>
      <c r="AM678" s="17">
        <v>0</v>
      </c>
      <c r="AN678" s="19"/>
      <c r="AO678" s="19"/>
      <c r="AP678" s="19">
        <v>35</v>
      </c>
      <c r="AQ678" s="19" t="s">
        <v>307</v>
      </c>
      <c r="AR678" s="9" t="s">
        <v>354</v>
      </c>
      <c r="AS678" s="12">
        <v>3.4039024194010059E-4</v>
      </c>
      <c r="AT678" s="19">
        <v>38.776045770000003</v>
      </c>
      <c r="AU678" s="19">
        <v>-122.99521251</v>
      </c>
      <c r="AV678" s="19" t="s">
        <v>548</v>
      </c>
    </row>
    <row r="679" spans="1:48" x14ac:dyDescent="0.25">
      <c r="A679" s="18" t="s">
        <v>1067</v>
      </c>
      <c r="B679" s="10">
        <v>19751027</v>
      </c>
      <c r="C679" s="9">
        <v>9</v>
      </c>
      <c r="D679" s="8" t="str">
        <f t="shared" si="121"/>
        <v>N</v>
      </c>
      <c r="E679" s="8" t="str">
        <f t="shared" si="122"/>
        <v>Y</v>
      </c>
      <c r="F679" s="8" t="str">
        <f t="shared" si="123"/>
        <v>Y</v>
      </c>
      <c r="G679" s="8" t="str">
        <f t="shared" si="124"/>
        <v>Y</v>
      </c>
      <c r="H679" s="8" t="str">
        <f t="shared" si="125"/>
        <v>Upper</v>
      </c>
      <c r="I679" s="8" t="str">
        <f t="shared" si="126"/>
        <v>West Fork and Below Lake</v>
      </c>
      <c r="J679" s="8" t="str">
        <f t="shared" si="127"/>
        <v>Sonoma (d/s of Clov. Gage)</v>
      </c>
      <c r="K679" s="8" t="str">
        <f t="shared" si="128"/>
        <v>Post-1949</v>
      </c>
      <c r="L679" s="8">
        <f t="shared" si="129"/>
        <v>1975</v>
      </c>
      <c r="M679" s="8" t="str">
        <f t="shared" si="131"/>
        <v>1971-1990</v>
      </c>
      <c r="N679" s="10" t="s">
        <v>241</v>
      </c>
      <c r="O679" s="10" t="s">
        <v>241</v>
      </c>
      <c r="P679" s="10" t="s">
        <v>242</v>
      </c>
      <c r="Q679" s="10" t="s">
        <v>242</v>
      </c>
      <c r="R679" s="10" t="s">
        <v>241</v>
      </c>
      <c r="S679" s="10" t="s">
        <v>242</v>
      </c>
      <c r="T679" s="10" t="s">
        <v>242</v>
      </c>
      <c r="U679" s="10" t="s">
        <v>242</v>
      </c>
      <c r="V679" s="10" t="s">
        <v>242</v>
      </c>
      <c r="W679" s="10" t="s">
        <v>242</v>
      </c>
      <c r="X679" s="15">
        <f>IF(ISERROR(VLOOKUP($A679,'13. Updated Demand'!A:Z,15,FALSE)),0,VLOOKUP($A679,'13. Updated Demand'!A:Z,15,FALSE))</f>
        <v>0.05</v>
      </c>
      <c r="Y679" s="16">
        <f>IF(ISERROR(VLOOKUP($A679,'13. Updated Demand'!A:Z,16,FALSE)),0,VLOOKUP($A679,'13. Updated Demand'!A:Z,16,FALSE))</f>
        <v>0.05</v>
      </c>
      <c r="Z679" s="16">
        <f>IF(ISERROR(VLOOKUP($A679,'13. Updated Demand'!A:Z,17,FALSE)),0,VLOOKUP($A679,'13. Updated Demand'!A:Z,17,FALSE))</f>
        <v>7.0000000000000007E-2</v>
      </c>
      <c r="AA679" s="16">
        <f>IF(ISERROR(VLOOKUP($A679,'13. Updated Demand'!A:Z,18,FALSE)),0,VLOOKUP($A679,'13. Updated Demand'!A:Z,18,FALSE))</f>
        <v>7.0000000000000007E-2</v>
      </c>
      <c r="AB679" s="16">
        <f>IF(ISERROR(VLOOKUP($A679,'13. Updated Demand'!A:Z,19,FALSE)),0,VLOOKUP($A679,'13. Updated Demand'!A:Z,19,FALSE))</f>
        <v>0.08</v>
      </c>
      <c r="AC679" s="16">
        <f>IF(ISERROR(VLOOKUP($A679,'13. Updated Demand'!A:Z,20,FALSE)),0,VLOOKUP($A679,'13. Updated Demand'!A:Z,20,FALSE))</f>
        <v>0.08</v>
      </c>
      <c r="AD679" s="16">
        <f>IF(ISERROR(VLOOKUP($A679,'13. Updated Demand'!A:Z,21,FALSE)),0,VLOOKUP($A679,'13. Updated Demand'!A:Z,21,FALSE))</f>
        <v>0.08</v>
      </c>
      <c r="AE679" s="16">
        <f>IF(ISERROR(VLOOKUP($A679,'13. Updated Demand'!A:Z,22,FALSE)),0,VLOOKUP($A679,'13. Updated Demand'!A:Z,22,FALSE))</f>
        <v>0.08</v>
      </c>
      <c r="AF679" s="16">
        <f>IF(ISERROR(VLOOKUP($A679,'13. Updated Demand'!A:Z,23,FALSE)),0,VLOOKUP($A679,'13. Updated Demand'!A:Z,23,FALSE))</f>
        <v>0.08</v>
      </c>
      <c r="AG679" s="16">
        <f>IF(ISERROR(VLOOKUP($A679,'13. Updated Demand'!A:Z,24,FALSE)),0,VLOOKUP($A679,'13. Updated Demand'!A:Z,24,FALSE))</f>
        <v>0.08</v>
      </c>
      <c r="AH679" s="16">
        <f>IF(ISERROR(VLOOKUP($A679,'13. Updated Demand'!A:Z,25,FALSE)),0,VLOOKUP($A679,'13. Updated Demand'!A:Z,25,FALSE))</f>
        <v>0.06</v>
      </c>
      <c r="AI679" s="16">
        <f>IF(ISERROR(VLOOKUP($A679,'13. Updated Demand'!A:Z,26,FALSE)),0,VLOOKUP($A679,'13. Updated Demand'!A:Z,26,FALSE))</f>
        <v>0.06</v>
      </c>
      <c r="AJ679" s="16">
        <f t="shared" si="132"/>
        <v>0.84000000000000008</v>
      </c>
      <c r="AK679" s="19">
        <v>0.40959166499999999</v>
      </c>
      <c r="AL679" s="16">
        <f t="shared" si="130"/>
        <v>1.3585688959298862E-3</v>
      </c>
      <c r="AM679" s="17">
        <v>0.66695820461538446</v>
      </c>
      <c r="AN679" s="19"/>
      <c r="AO679" s="19"/>
      <c r="AP679" s="19">
        <v>1.3</v>
      </c>
      <c r="AQ679" s="19" t="s">
        <v>307</v>
      </c>
      <c r="AR679" s="9" t="s">
        <v>354</v>
      </c>
      <c r="AS679" s="12">
        <v>3.4039024194010059E-4</v>
      </c>
      <c r="AT679" s="19">
        <v>38.830568499999998</v>
      </c>
      <c r="AU679" s="19">
        <v>-123.00931558000001</v>
      </c>
      <c r="AV679" s="19" t="s">
        <v>548</v>
      </c>
    </row>
    <row r="680" spans="1:48" x14ac:dyDescent="0.25">
      <c r="A680" s="18" t="s">
        <v>1068</v>
      </c>
      <c r="B680" s="10">
        <v>19751029</v>
      </c>
      <c r="C680" s="9">
        <v>21</v>
      </c>
      <c r="D680" s="8" t="str">
        <f t="shared" si="121"/>
        <v>N</v>
      </c>
      <c r="E680" s="8" t="str">
        <f t="shared" si="122"/>
        <v>N</v>
      </c>
      <c r="F680" s="8" t="str">
        <f t="shared" si="123"/>
        <v>N</v>
      </c>
      <c r="G680" s="8" t="str">
        <f t="shared" si="124"/>
        <v>N</v>
      </c>
      <c r="H680" s="8" t="str">
        <f t="shared" si="125"/>
        <v>Lower</v>
      </c>
      <c r="I680" s="8" t="str">
        <f t="shared" si="126"/>
        <v>Outside</v>
      </c>
      <c r="J680" s="8" t="str">
        <f t="shared" si="127"/>
        <v>Outside</v>
      </c>
      <c r="K680" s="8" t="str">
        <f t="shared" si="128"/>
        <v>Post-1949</v>
      </c>
      <c r="L680" s="8">
        <f t="shared" si="129"/>
        <v>1975</v>
      </c>
      <c r="M680" s="8" t="str">
        <f t="shared" si="131"/>
        <v>1971-1990</v>
      </c>
      <c r="N680" s="10" t="s">
        <v>241</v>
      </c>
      <c r="O680" s="10" t="s">
        <v>242</v>
      </c>
      <c r="P680" s="10" t="s">
        <v>242</v>
      </c>
      <c r="Q680" s="10" t="s">
        <v>242</v>
      </c>
      <c r="R680" s="10" t="s">
        <v>241</v>
      </c>
      <c r="S680" s="10" t="s">
        <v>242</v>
      </c>
      <c r="T680" s="10" t="s">
        <v>242</v>
      </c>
      <c r="U680" s="10" t="s">
        <v>242</v>
      </c>
      <c r="V680" s="10" t="s">
        <v>242</v>
      </c>
      <c r="W680" s="10" t="s">
        <v>242</v>
      </c>
      <c r="X680" s="15">
        <f>IF(ISERROR(VLOOKUP($A680,'13. Updated Demand'!A:Z,15,FALSE)),0,VLOOKUP($A680,'13. Updated Demand'!A:Z,15,FALSE))</f>
        <v>1.0226670000000001E-3</v>
      </c>
      <c r="Y680" s="16">
        <f>IF(ISERROR(VLOOKUP($A680,'13. Updated Demand'!A:Z,16,FALSE)),0,VLOOKUP($A680,'13. Updated Demand'!A:Z,16,FALSE))</f>
        <v>1.0226670000000001E-3</v>
      </c>
      <c r="Z680" s="16">
        <f>IF(ISERROR(VLOOKUP($A680,'13. Updated Demand'!A:Z,17,FALSE)),0,VLOOKUP($A680,'13. Updated Demand'!A:Z,17,FALSE))</f>
        <v>5.1133299999999999E-4</v>
      </c>
      <c r="AA680" s="16">
        <f>IF(ISERROR(VLOOKUP($A680,'13. Updated Demand'!A:Z,18,FALSE)),0,VLOOKUP($A680,'13. Updated Demand'!A:Z,18,FALSE))</f>
        <v>1.6366670000000001E-3</v>
      </c>
      <c r="AB680" s="16">
        <f>IF(ISERROR(VLOOKUP($A680,'13. Updated Demand'!A:Z,19,FALSE)),0,VLOOKUP($A680,'13. Updated Demand'!A:Z,19,FALSE))</f>
        <v>2.1483330000000001E-3</v>
      </c>
      <c r="AC680" s="16">
        <f>IF(ISERROR(VLOOKUP($A680,'13. Updated Demand'!A:Z,20,FALSE)),0,VLOOKUP($A680,'13. Updated Demand'!A:Z,20,FALSE))</f>
        <v>2.66E-3</v>
      </c>
      <c r="AD680" s="16">
        <f>IF(ISERROR(VLOOKUP($A680,'13. Updated Demand'!A:Z,21,FALSE)),0,VLOOKUP($A680,'13. Updated Demand'!A:Z,21,FALSE))</f>
        <v>5.8313330000000002E-3</v>
      </c>
      <c r="AE680" s="16">
        <f>IF(ISERROR(VLOOKUP($A680,'13. Updated Demand'!A:Z,22,FALSE)),0,VLOOKUP($A680,'13. Updated Demand'!A:Z,22,FALSE))</f>
        <v>9.3100000000000006E-3</v>
      </c>
      <c r="AF680" s="16">
        <f>IF(ISERROR(VLOOKUP($A680,'13. Updated Demand'!A:Z,23,FALSE)),0,VLOOKUP($A680,'13. Updated Demand'!A:Z,23,FALSE))</f>
        <v>7.9799999999999992E-3</v>
      </c>
      <c r="AG680" s="16">
        <f>IF(ISERROR(VLOOKUP($A680,'13. Updated Demand'!A:Z,24,FALSE)),0,VLOOKUP($A680,'13. Updated Demand'!A:Z,24,FALSE))</f>
        <v>1.841E-3</v>
      </c>
      <c r="AH680" s="16">
        <f>IF(ISERROR(VLOOKUP($A680,'13. Updated Demand'!A:Z,25,FALSE)),0,VLOOKUP($A680,'13. Updated Demand'!A:Z,25,FALSE))</f>
        <v>1.0226670000000001E-3</v>
      </c>
      <c r="AI680" s="16">
        <f>IF(ISERROR(VLOOKUP($A680,'13. Updated Demand'!A:Z,26,FALSE)),0,VLOOKUP($A680,'13. Updated Demand'!A:Z,26,FALSE))</f>
        <v>1.0226670000000001E-3</v>
      </c>
      <c r="AJ680" s="16">
        <f t="shared" si="132"/>
        <v>3.6009334000000004E-2</v>
      </c>
      <c r="AK680" s="19">
        <v>2.7929665999999999E-2</v>
      </c>
      <c r="AL680" s="16">
        <f t="shared" si="130"/>
        <v>9.2639520634069729E-5</v>
      </c>
      <c r="AM680" s="17">
        <v>7.2018668000000008E-2</v>
      </c>
      <c r="AN680" s="19"/>
      <c r="AO680" s="19"/>
      <c r="AP680" s="19">
        <v>0.5</v>
      </c>
      <c r="AQ680" s="19" t="s">
        <v>307</v>
      </c>
      <c r="AR680" s="9" t="s">
        <v>403</v>
      </c>
      <c r="AS680" s="12">
        <v>0</v>
      </c>
      <c r="AT680" s="19">
        <v>38.475038550000001</v>
      </c>
      <c r="AU680" s="19">
        <v>-122.99975619999999</v>
      </c>
      <c r="AV680" s="19" t="s">
        <v>387</v>
      </c>
    </row>
    <row r="681" spans="1:48" x14ac:dyDescent="0.25">
      <c r="A681" s="18" t="s">
        <v>1069</v>
      </c>
      <c r="B681" s="10">
        <v>19751117</v>
      </c>
      <c r="C681" s="9">
        <v>21</v>
      </c>
      <c r="D681" s="8" t="str">
        <f t="shared" si="121"/>
        <v>N</v>
      </c>
      <c r="E681" s="8" t="str">
        <f t="shared" si="122"/>
        <v>N</v>
      </c>
      <c r="F681" s="8" t="str">
        <f t="shared" si="123"/>
        <v>N</v>
      </c>
      <c r="G681" s="8" t="str">
        <f t="shared" si="124"/>
        <v>N</v>
      </c>
      <c r="H681" s="8" t="str">
        <f t="shared" si="125"/>
        <v>Lower</v>
      </c>
      <c r="I681" s="8" t="str">
        <f t="shared" si="126"/>
        <v>Outside</v>
      </c>
      <c r="J681" s="8" t="str">
        <f t="shared" si="127"/>
        <v>Outside</v>
      </c>
      <c r="K681" s="8" t="str">
        <f t="shared" si="128"/>
        <v>Post-1949</v>
      </c>
      <c r="L681" s="8">
        <f t="shared" si="129"/>
        <v>1975</v>
      </c>
      <c r="M681" s="8" t="str">
        <f t="shared" si="131"/>
        <v>1971-1990</v>
      </c>
      <c r="N681" s="10" t="s">
        <v>241</v>
      </c>
      <c r="O681" s="10" t="s">
        <v>242</v>
      </c>
      <c r="P681" s="10" t="s">
        <v>242</v>
      </c>
      <c r="Q681" s="10" t="s">
        <v>242</v>
      </c>
      <c r="R681" s="10" t="s">
        <v>241</v>
      </c>
      <c r="S681" s="10" t="s">
        <v>242</v>
      </c>
      <c r="T681" s="10" t="s">
        <v>242</v>
      </c>
      <c r="U681" s="10" t="s">
        <v>242</v>
      </c>
      <c r="V681" s="10" t="s">
        <v>242</v>
      </c>
      <c r="W681" s="10" t="s">
        <v>242</v>
      </c>
      <c r="X681" s="15">
        <f>IF(ISERROR(VLOOKUP($A681,'13. Updated Demand'!A:Z,15,FALSE)),0,VLOOKUP($A681,'13. Updated Demand'!A:Z,15,FALSE))</f>
        <v>49.506666670000001</v>
      </c>
      <c r="Y681" s="16">
        <f>IF(ISERROR(VLOOKUP($A681,'13. Updated Demand'!A:Z,16,FALSE)),0,VLOOKUP($A681,'13. Updated Demand'!A:Z,16,FALSE))</f>
        <v>43.58</v>
      </c>
      <c r="Z681" s="16">
        <f>IF(ISERROR(VLOOKUP($A681,'13. Updated Demand'!A:Z,17,FALSE)),0,VLOOKUP($A681,'13. Updated Demand'!A:Z,17,FALSE))</f>
        <v>52.4</v>
      </c>
      <c r="AA681" s="16">
        <f>IF(ISERROR(VLOOKUP($A681,'13. Updated Demand'!A:Z,18,FALSE)),0,VLOOKUP($A681,'13. Updated Demand'!A:Z,18,FALSE))</f>
        <v>48.36</v>
      </c>
      <c r="AB681" s="16">
        <f>IF(ISERROR(VLOOKUP($A681,'13. Updated Demand'!A:Z,19,FALSE)),0,VLOOKUP($A681,'13. Updated Demand'!A:Z,19,FALSE))</f>
        <v>57.27</v>
      </c>
      <c r="AC681" s="16">
        <f>IF(ISERROR(VLOOKUP($A681,'13. Updated Demand'!A:Z,20,FALSE)),0,VLOOKUP($A681,'13. Updated Demand'!A:Z,20,FALSE))</f>
        <v>65.593333329999993</v>
      </c>
      <c r="AD681" s="16">
        <f>IF(ISERROR(VLOOKUP($A681,'13. Updated Demand'!A:Z,21,FALSE)),0,VLOOKUP($A681,'13. Updated Demand'!A:Z,21,FALSE))</f>
        <v>77.686666669999994</v>
      </c>
      <c r="AE681" s="16">
        <f>IF(ISERROR(VLOOKUP($A681,'13. Updated Demand'!A:Z,22,FALSE)),0,VLOOKUP($A681,'13. Updated Demand'!A:Z,22,FALSE))</f>
        <v>76.856666669999996</v>
      </c>
      <c r="AF681" s="16">
        <f>IF(ISERROR(VLOOKUP($A681,'13. Updated Demand'!A:Z,23,FALSE)),0,VLOOKUP($A681,'13. Updated Demand'!A:Z,23,FALSE))</f>
        <v>67.373333329999994</v>
      </c>
      <c r="AG681" s="16">
        <f>IF(ISERROR(VLOOKUP($A681,'13. Updated Demand'!A:Z,24,FALSE)),0,VLOOKUP($A681,'13. Updated Demand'!A:Z,24,FALSE))</f>
        <v>58.516666669999999</v>
      </c>
      <c r="AH681" s="16">
        <f>IF(ISERROR(VLOOKUP($A681,'13. Updated Demand'!A:Z,25,FALSE)),0,VLOOKUP($A681,'13. Updated Demand'!A:Z,25,FALSE))</f>
        <v>50.49</v>
      </c>
      <c r="AI681" s="16">
        <f>IF(ISERROR(VLOOKUP($A681,'13. Updated Demand'!A:Z,26,FALSE)),0,VLOOKUP($A681,'13. Updated Demand'!A:Z,26,FALSE))</f>
        <v>45.25</v>
      </c>
      <c r="AJ681" s="16">
        <f t="shared" si="132"/>
        <v>692.88333333999992</v>
      </c>
      <c r="AK681" s="19">
        <v>344.78</v>
      </c>
      <c r="AL681" s="16">
        <f t="shared" si="130"/>
        <v>1.1435959858673055</v>
      </c>
      <c r="AM681" s="17">
        <v>0.609396071539138</v>
      </c>
      <c r="AN681" s="19"/>
      <c r="AO681" s="19"/>
      <c r="AP681" s="19">
        <v>1137</v>
      </c>
      <c r="AQ681" s="19" t="s">
        <v>307</v>
      </c>
      <c r="AR681" s="9" t="s">
        <v>403</v>
      </c>
      <c r="AS681" s="12">
        <v>0</v>
      </c>
      <c r="AT681" s="19">
        <v>38.472099999999998</v>
      </c>
      <c r="AU681" s="19">
        <v>-123.0167</v>
      </c>
      <c r="AV681" s="19" t="s">
        <v>548</v>
      </c>
    </row>
    <row r="682" spans="1:48" x14ac:dyDescent="0.25">
      <c r="A682" s="18" t="s">
        <v>1070</v>
      </c>
      <c r="B682" s="10">
        <v>19751117</v>
      </c>
      <c r="C682" s="9">
        <v>13</v>
      </c>
      <c r="D682" s="8" t="str">
        <f t="shared" si="121"/>
        <v>N</v>
      </c>
      <c r="E682" s="8" t="str">
        <f t="shared" si="122"/>
        <v>Y</v>
      </c>
      <c r="F682" s="8" t="str">
        <f t="shared" si="123"/>
        <v>Y</v>
      </c>
      <c r="G682" s="8" t="str">
        <f t="shared" si="124"/>
        <v>Y</v>
      </c>
      <c r="H682" s="8" t="str">
        <f t="shared" si="125"/>
        <v>Upper</v>
      </c>
      <c r="I682" s="8" t="str">
        <f t="shared" si="126"/>
        <v>West Fork and Below Lake</v>
      </c>
      <c r="J682" s="8" t="str">
        <f t="shared" si="127"/>
        <v>Sonoma (d/s of Clov. Gage)</v>
      </c>
      <c r="K682" s="8" t="str">
        <f t="shared" si="128"/>
        <v>Post-1949</v>
      </c>
      <c r="L682" s="8">
        <f t="shared" si="129"/>
        <v>1975</v>
      </c>
      <c r="M682" s="8" t="str">
        <f t="shared" si="131"/>
        <v>1971-1990</v>
      </c>
      <c r="N682" s="10" t="s">
        <v>242</v>
      </c>
      <c r="O682" s="10" t="s">
        <v>241</v>
      </c>
      <c r="P682" s="10" t="s">
        <v>242</v>
      </c>
      <c r="Q682" s="10" t="s">
        <v>242</v>
      </c>
      <c r="R682" s="10" t="s">
        <v>241</v>
      </c>
      <c r="S682" s="10" t="s">
        <v>242</v>
      </c>
      <c r="T682" s="10" t="s">
        <v>242</v>
      </c>
      <c r="U682" s="10" t="s">
        <v>242</v>
      </c>
      <c r="V682" s="10" t="s">
        <v>242</v>
      </c>
      <c r="W682" s="10" t="s">
        <v>242</v>
      </c>
      <c r="X682" s="15">
        <f>IF(ISERROR(VLOOKUP($A682,'13. Updated Demand'!A:Z,15,FALSE)),0,VLOOKUP($A682,'13. Updated Demand'!A:Z,15,FALSE))</f>
        <v>0.19</v>
      </c>
      <c r="Y682" s="16">
        <f>IF(ISERROR(VLOOKUP($A682,'13. Updated Demand'!A:Z,16,FALSE)),0,VLOOKUP($A682,'13. Updated Demand'!A:Z,16,FALSE))</f>
        <v>0.16</v>
      </c>
      <c r="Z682" s="16">
        <f>IF(ISERROR(VLOOKUP($A682,'13. Updated Demand'!A:Z,17,FALSE)),0,VLOOKUP($A682,'13. Updated Demand'!A:Z,17,FALSE))</f>
        <v>0.18</v>
      </c>
      <c r="AA682" s="16">
        <f>IF(ISERROR(VLOOKUP($A682,'13. Updated Demand'!A:Z,18,FALSE)),0,VLOOKUP($A682,'13. Updated Demand'!A:Z,18,FALSE))</f>
        <v>0.18</v>
      </c>
      <c r="AB682" s="16">
        <f>IF(ISERROR(VLOOKUP($A682,'13. Updated Demand'!A:Z,19,FALSE)),0,VLOOKUP($A682,'13. Updated Demand'!A:Z,19,FALSE))</f>
        <v>0.18</v>
      </c>
      <c r="AC682" s="16">
        <f>IF(ISERROR(VLOOKUP($A682,'13. Updated Demand'!A:Z,20,FALSE)),0,VLOOKUP($A682,'13. Updated Demand'!A:Z,20,FALSE))</f>
        <v>0.18</v>
      </c>
      <c r="AD682" s="16">
        <f>IF(ISERROR(VLOOKUP($A682,'13. Updated Demand'!A:Z,21,FALSE)),0,VLOOKUP($A682,'13. Updated Demand'!A:Z,21,FALSE))</f>
        <v>0.18</v>
      </c>
      <c r="AE682" s="16">
        <f>IF(ISERROR(VLOOKUP($A682,'13. Updated Demand'!A:Z,22,FALSE)),0,VLOOKUP($A682,'13. Updated Demand'!A:Z,22,FALSE))</f>
        <v>0.18</v>
      </c>
      <c r="AF682" s="16">
        <f>IF(ISERROR(VLOOKUP($A682,'13. Updated Demand'!A:Z,23,FALSE)),0,VLOOKUP($A682,'13. Updated Demand'!A:Z,23,FALSE))</f>
        <v>0.18</v>
      </c>
      <c r="AG682" s="16">
        <f>IF(ISERROR(VLOOKUP($A682,'13. Updated Demand'!A:Z,24,FALSE)),0,VLOOKUP($A682,'13. Updated Demand'!A:Z,24,FALSE))</f>
        <v>0.18</v>
      </c>
      <c r="AH682" s="16">
        <f>IF(ISERROR(VLOOKUP($A682,'13. Updated Demand'!A:Z,25,FALSE)),0,VLOOKUP($A682,'13. Updated Demand'!A:Z,25,FALSE))</f>
        <v>0.18</v>
      </c>
      <c r="AI682" s="16">
        <f>IF(ISERROR(VLOOKUP($A682,'13. Updated Demand'!A:Z,26,FALSE)),0,VLOOKUP($A682,'13. Updated Demand'!A:Z,26,FALSE))</f>
        <v>0.18</v>
      </c>
      <c r="AJ682" s="16">
        <f t="shared" si="132"/>
        <v>2.1499999999999995</v>
      </c>
      <c r="AK682" s="19">
        <v>0.93672766800000007</v>
      </c>
      <c r="AL682" s="16">
        <f t="shared" si="130"/>
        <v>3.1070189714474221E-3</v>
      </c>
      <c r="AM682" s="17">
        <v>0.48286101478260873</v>
      </c>
      <c r="AN682" s="19"/>
      <c r="AO682" s="19"/>
      <c r="AP682" s="19">
        <v>4.5999999999999996</v>
      </c>
      <c r="AQ682" s="19" t="s">
        <v>307</v>
      </c>
      <c r="AR682" s="9" t="s">
        <v>507</v>
      </c>
      <c r="AS682" s="12">
        <v>3.4039024194010059E-4</v>
      </c>
      <c r="AT682" s="19">
        <v>38.596487089999997</v>
      </c>
      <c r="AU682" s="19">
        <v>-122.85309119</v>
      </c>
      <c r="AV682" s="19" t="s">
        <v>548</v>
      </c>
    </row>
    <row r="683" spans="1:48" x14ac:dyDescent="0.25">
      <c r="A683" s="18" t="s">
        <v>1071</v>
      </c>
      <c r="B683" s="10">
        <v>19751117</v>
      </c>
      <c r="C683" s="9">
        <v>13</v>
      </c>
      <c r="D683" s="8" t="str">
        <f t="shared" si="121"/>
        <v>N</v>
      </c>
      <c r="E683" s="8" t="str">
        <f t="shared" si="122"/>
        <v>Y</v>
      </c>
      <c r="F683" s="8" t="str">
        <f t="shared" si="123"/>
        <v>Y</v>
      </c>
      <c r="G683" s="8" t="str">
        <f t="shared" si="124"/>
        <v>Y</v>
      </c>
      <c r="H683" s="8" t="str">
        <f t="shared" si="125"/>
        <v>Upper</v>
      </c>
      <c r="I683" s="8" t="str">
        <f t="shared" si="126"/>
        <v>West Fork and Below Lake</v>
      </c>
      <c r="J683" s="8" t="str">
        <f t="shared" si="127"/>
        <v>Sonoma (d/s of Clov. Gage)</v>
      </c>
      <c r="K683" s="8" t="str">
        <f t="shared" si="128"/>
        <v>Post-1949</v>
      </c>
      <c r="L683" s="8">
        <f t="shared" si="129"/>
        <v>1975</v>
      </c>
      <c r="M683" s="8" t="str">
        <f t="shared" si="131"/>
        <v>1971-1990</v>
      </c>
      <c r="N683" s="10" t="s">
        <v>241</v>
      </c>
      <c r="O683" s="10" t="s">
        <v>241</v>
      </c>
      <c r="P683" s="10" t="s">
        <v>242</v>
      </c>
      <c r="Q683" s="10" t="s">
        <v>242</v>
      </c>
      <c r="R683" s="10" t="s">
        <v>241</v>
      </c>
      <c r="S683" s="10" t="s">
        <v>242</v>
      </c>
      <c r="T683" s="10" t="s">
        <v>242</v>
      </c>
      <c r="U683" s="10" t="s">
        <v>242</v>
      </c>
      <c r="V683" s="10" t="s">
        <v>242</v>
      </c>
      <c r="W683" s="10" t="s">
        <v>242</v>
      </c>
      <c r="X683" s="15">
        <f>IF(ISERROR(VLOOKUP($A683,'13. Updated Demand'!A:Z,15,FALSE)),0,VLOOKUP($A683,'13. Updated Demand'!A:Z,15,FALSE))</f>
        <v>0.01</v>
      </c>
      <c r="Y683" s="16">
        <f>IF(ISERROR(VLOOKUP($A683,'13. Updated Demand'!A:Z,16,FALSE)),0,VLOOKUP($A683,'13. Updated Demand'!A:Z,16,FALSE))</f>
        <v>0.01</v>
      </c>
      <c r="Z683" s="16">
        <f>IF(ISERROR(VLOOKUP($A683,'13. Updated Demand'!A:Z,17,FALSE)),0,VLOOKUP($A683,'13. Updated Demand'!A:Z,17,FALSE))</f>
        <v>0.01</v>
      </c>
      <c r="AA683" s="16">
        <f>IF(ISERROR(VLOOKUP($A683,'13. Updated Demand'!A:Z,18,FALSE)),0,VLOOKUP($A683,'13. Updated Demand'!A:Z,18,FALSE))</f>
        <v>0.01</v>
      </c>
      <c r="AB683" s="16">
        <f>IF(ISERROR(VLOOKUP($A683,'13. Updated Demand'!A:Z,19,FALSE)),0,VLOOKUP($A683,'13. Updated Demand'!A:Z,19,FALSE))</f>
        <v>0.01</v>
      </c>
      <c r="AC683" s="16">
        <f>IF(ISERROR(VLOOKUP($A683,'13. Updated Demand'!A:Z,20,FALSE)),0,VLOOKUP($A683,'13. Updated Demand'!A:Z,20,FALSE))</f>
        <v>0.01</v>
      </c>
      <c r="AD683" s="16">
        <f>IF(ISERROR(VLOOKUP($A683,'13. Updated Demand'!A:Z,21,FALSE)),0,VLOOKUP($A683,'13. Updated Demand'!A:Z,21,FALSE))</f>
        <v>0.01</v>
      </c>
      <c r="AE683" s="16">
        <f>IF(ISERROR(VLOOKUP($A683,'13. Updated Demand'!A:Z,22,FALSE)),0,VLOOKUP($A683,'13. Updated Demand'!A:Z,22,FALSE))</f>
        <v>0.01</v>
      </c>
      <c r="AF683" s="16">
        <f>IF(ISERROR(VLOOKUP($A683,'13. Updated Demand'!A:Z,23,FALSE)),0,VLOOKUP($A683,'13. Updated Demand'!A:Z,23,FALSE))</f>
        <v>0.01</v>
      </c>
      <c r="AG683" s="16">
        <f>IF(ISERROR(VLOOKUP($A683,'13. Updated Demand'!A:Z,24,FALSE)),0,VLOOKUP($A683,'13. Updated Demand'!A:Z,24,FALSE))</f>
        <v>0.01</v>
      </c>
      <c r="AH683" s="16">
        <f>IF(ISERROR(VLOOKUP($A683,'13. Updated Demand'!A:Z,25,FALSE)),0,VLOOKUP($A683,'13. Updated Demand'!A:Z,25,FALSE))</f>
        <v>0.01</v>
      </c>
      <c r="AI683" s="16">
        <f>IF(ISERROR(VLOOKUP($A683,'13. Updated Demand'!A:Z,26,FALSE)),0,VLOOKUP($A683,'13. Updated Demand'!A:Z,26,FALSE))</f>
        <v>0.01</v>
      </c>
      <c r="AJ683" s="16">
        <f t="shared" si="132"/>
        <v>0.11999999999999998</v>
      </c>
      <c r="AK683" s="19">
        <v>7.6534999999999992E-2</v>
      </c>
      <c r="AL683" s="16">
        <f t="shared" si="130"/>
        <v>2.5385787684423179E-4</v>
      </c>
      <c r="AM683" s="17">
        <v>0.91374833333333316</v>
      </c>
      <c r="AN683" s="19"/>
      <c r="AO683" s="19"/>
      <c r="AP683" s="19">
        <v>0.2</v>
      </c>
      <c r="AQ683" s="19" t="s">
        <v>307</v>
      </c>
      <c r="AR683" s="9" t="s">
        <v>507</v>
      </c>
      <c r="AS683" s="12">
        <v>3.4039024194010059E-4</v>
      </c>
      <c r="AT683" s="19">
        <v>38.619192460000001</v>
      </c>
      <c r="AU683" s="19">
        <v>-122.82711071</v>
      </c>
      <c r="AV683" s="19" t="s">
        <v>548</v>
      </c>
    </row>
    <row r="684" spans="1:48" x14ac:dyDescent="0.25">
      <c r="A684" s="18" t="s">
        <v>1072</v>
      </c>
      <c r="B684" s="10">
        <v>19751118</v>
      </c>
      <c r="C684" s="9">
        <v>13</v>
      </c>
      <c r="D684" s="8" t="str">
        <f t="shared" si="121"/>
        <v>N</v>
      </c>
      <c r="E684" s="8" t="str">
        <f t="shared" si="122"/>
        <v>Y</v>
      </c>
      <c r="F684" s="8" t="str">
        <f t="shared" si="123"/>
        <v>Y</v>
      </c>
      <c r="G684" s="8" t="str">
        <f t="shared" si="124"/>
        <v>Y</v>
      </c>
      <c r="H684" s="8" t="str">
        <f t="shared" si="125"/>
        <v>Upper</v>
      </c>
      <c r="I684" s="8" t="str">
        <f t="shared" si="126"/>
        <v>West Fork and Below Lake</v>
      </c>
      <c r="J684" s="8" t="str">
        <f t="shared" si="127"/>
        <v>Sonoma (d/s of Clov. Gage)</v>
      </c>
      <c r="K684" s="8" t="str">
        <f t="shared" si="128"/>
        <v>Post-1949</v>
      </c>
      <c r="L684" s="8">
        <f t="shared" si="129"/>
        <v>1975</v>
      </c>
      <c r="M684" s="8" t="str">
        <f t="shared" si="131"/>
        <v>1971-1990</v>
      </c>
      <c r="N684" s="10" t="s">
        <v>241</v>
      </c>
      <c r="O684" s="10" t="s">
        <v>241</v>
      </c>
      <c r="P684" s="10" t="s">
        <v>242</v>
      </c>
      <c r="Q684" s="10" t="s">
        <v>242</v>
      </c>
      <c r="R684" s="10" t="s">
        <v>241</v>
      </c>
      <c r="S684" s="10" t="s">
        <v>242</v>
      </c>
      <c r="T684" s="10" t="s">
        <v>242</v>
      </c>
      <c r="U684" s="10" t="s">
        <v>242</v>
      </c>
      <c r="V684" s="10" t="s">
        <v>242</v>
      </c>
      <c r="W684" s="10" t="s">
        <v>242</v>
      </c>
      <c r="X684" s="15">
        <f>IF(ISERROR(VLOOKUP($A684,'13. Updated Demand'!A:Z,15,FALSE)),0,VLOOKUP($A684,'13. Updated Demand'!A:Z,15,FALSE))</f>
        <v>0.02</v>
      </c>
      <c r="Y684" s="16">
        <f>IF(ISERROR(VLOOKUP($A684,'13. Updated Demand'!A:Z,16,FALSE)),0,VLOOKUP($A684,'13. Updated Demand'!A:Z,16,FALSE))</f>
        <v>0.02</v>
      </c>
      <c r="Z684" s="16">
        <f>IF(ISERROR(VLOOKUP($A684,'13. Updated Demand'!A:Z,17,FALSE)),0,VLOOKUP($A684,'13. Updated Demand'!A:Z,17,FALSE))</f>
        <v>0.02</v>
      </c>
      <c r="AA684" s="16">
        <f>IF(ISERROR(VLOOKUP($A684,'13. Updated Demand'!A:Z,18,FALSE)),0,VLOOKUP($A684,'13. Updated Demand'!A:Z,18,FALSE))</f>
        <v>0.02</v>
      </c>
      <c r="AB684" s="16">
        <f>IF(ISERROR(VLOOKUP($A684,'13. Updated Demand'!A:Z,19,FALSE)),0,VLOOKUP($A684,'13. Updated Demand'!A:Z,19,FALSE))</f>
        <v>0.02</v>
      </c>
      <c r="AC684" s="16">
        <f>IF(ISERROR(VLOOKUP($A684,'13. Updated Demand'!A:Z,20,FALSE)),0,VLOOKUP($A684,'13. Updated Demand'!A:Z,20,FALSE))</f>
        <v>0.02</v>
      </c>
      <c r="AD684" s="16">
        <f>IF(ISERROR(VLOOKUP($A684,'13. Updated Demand'!A:Z,21,FALSE)),0,VLOOKUP($A684,'13. Updated Demand'!A:Z,21,FALSE))</f>
        <v>0.02</v>
      </c>
      <c r="AE684" s="16">
        <f>IF(ISERROR(VLOOKUP($A684,'13. Updated Demand'!A:Z,22,FALSE)),0,VLOOKUP($A684,'13. Updated Demand'!A:Z,22,FALSE))</f>
        <v>0.02</v>
      </c>
      <c r="AF684" s="16">
        <f>IF(ISERROR(VLOOKUP($A684,'13. Updated Demand'!A:Z,23,FALSE)),0,VLOOKUP($A684,'13. Updated Demand'!A:Z,23,FALSE))</f>
        <v>0.02</v>
      </c>
      <c r="AG684" s="16">
        <f>IF(ISERROR(VLOOKUP($A684,'13. Updated Demand'!A:Z,24,FALSE)),0,VLOOKUP($A684,'13. Updated Demand'!A:Z,24,FALSE))</f>
        <v>0.02</v>
      </c>
      <c r="AH684" s="16">
        <f>IF(ISERROR(VLOOKUP($A684,'13. Updated Demand'!A:Z,25,FALSE)),0,VLOOKUP($A684,'13. Updated Demand'!A:Z,25,FALSE))</f>
        <v>0.02</v>
      </c>
      <c r="AI684" s="16">
        <f>IF(ISERROR(VLOOKUP($A684,'13. Updated Demand'!A:Z,26,FALSE)),0,VLOOKUP($A684,'13. Updated Demand'!A:Z,26,FALSE))</f>
        <v>0.02</v>
      </c>
      <c r="AJ684" s="16">
        <f t="shared" si="132"/>
        <v>0.23999999999999996</v>
      </c>
      <c r="AK684" s="19">
        <v>0.11499999999999999</v>
      </c>
      <c r="AL684" s="16">
        <f t="shared" si="130"/>
        <v>3.8144190026898349E-4</v>
      </c>
      <c r="AM684" s="17">
        <v>0.68999999999999984</v>
      </c>
      <c r="AN684" s="19"/>
      <c r="AO684" s="19"/>
      <c r="AP684" s="19">
        <v>0.4</v>
      </c>
      <c r="AQ684" s="19" t="s">
        <v>307</v>
      </c>
      <c r="AR684" s="9" t="s">
        <v>507</v>
      </c>
      <c r="AS684" s="12">
        <v>3.4039024194010059E-4</v>
      </c>
      <c r="AT684" s="19">
        <v>38.614222550000001</v>
      </c>
      <c r="AU684" s="19">
        <v>-122.8309031</v>
      </c>
      <c r="AV684" s="19" t="s">
        <v>387</v>
      </c>
    </row>
    <row r="685" spans="1:48" x14ac:dyDescent="0.25">
      <c r="A685" s="18" t="s">
        <v>1073</v>
      </c>
      <c r="B685" s="10">
        <v>19751205</v>
      </c>
      <c r="C685" s="9">
        <v>9</v>
      </c>
      <c r="D685" s="8" t="str">
        <f t="shared" si="121"/>
        <v>N</v>
      </c>
      <c r="E685" s="8" t="str">
        <f t="shared" si="122"/>
        <v>Y</v>
      </c>
      <c r="F685" s="8" t="str">
        <f t="shared" si="123"/>
        <v>Y</v>
      </c>
      <c r="G685" s="8" t="str">
        <f t="shared" si="124"/>
        <v>Y</v>
      </c>
      <c r="H685" s="8" t="str">
        <f t="shared" si="125"/>
        <v>Upper</v>
      </c>
      <c r="I685" s="8" t="str">
        <f t="shared" si="126"/>
        <v>West Fork and Below Lake</v>
      </c>
      <c r="J685" s="8" t="str">
        <f t="shared" si="127"/>
        <v>Sonoma (d/s of Clov. Gage)</v>
      </c>
      <c r="K685" s="8" t="str">
        <f t="shared" si="128"/>
        <v>Post-1949</v>
      </c>
      <c r="L685" s="8">
        <f t="shared" si="129"/>
        <v>1975</v>
      </c>
      <c r="M685" s="8" t="str">
        <f t="shared" si="131"/>
        <v>1971-1990</v>
      </c>
      <c r="N685" s="10" t="s">
        <v>241</v>
      </c>
      <c r="O685" s="10" t="s">
        <v>241</v>
      </c>
      <c r="P685" s="10" t="s">
        <v>242</v>
      </c>
      <c r="Q685" s="10" t="s">
        <v>242</v>
      </c>
      <c r="R685" s="10" t="s">
        <v>241</v>
      </c>
      <c r="S685" s="10" t="s">
        <v>242</v>
      </c>
      <c r="T685" s="10" t="s">
        <v>242</v>
      </c>
      <c r="U685" s="10" t="s">
        <v>242</v>
      </c>
      <c r="V685" s="10" t="s">
        <v>242</v>
      </c>
      <c r="W685" s="10" t="s">
        <v>242</v>
      </c>
      <c r="X685" s="15">
        <f>IF(ISERROR(VLOOKUP($A685,'13. Updated Demand'!A:Z,15,FALSE)),0,VLOOKUP($A685,'13. Updated Demand'!A:Z,15,FALSE))</f>
        <v>0.06</v>
      </c>
      <c r="Y685" s="16">
        <f>IF(ISERROR(VLOOKUP($A685,'13. Updated Demand'!A:Z,16,FALSE)),0,VLOOKUP($A685,'13. Updated Demand'!A:Z,16,FALSE))</f>
        <v>0.05</v>
      </c>
      <c r="Z685" s="16">
        <f>IF(ISERROR(VLOOKUP($A685,'13. Updated Demand'!A:Z,17,FALSE)),0,VLOOKUP($A685,'13. Updated Demand'!A:Z,17,FALSE))</f>
        <v>0.03</v>
      </c>
      <c r="AA685" s="16">
        <f>IF(ISERROR(VLOOKUP($A685,'13. Updated Demand'!A:Z,18,FALSE)),0,VLOOKUP($A685,'13. Updated Demand'!A:Z,18,FALSE))</f>
        <v>0.13</v>
      </c>
      <c r="AB685" s="16">
        <f>IF(ISERROR(VLOOKUP($A685,'13. Updated Demand'!A:Z,19,FALSE)),0,VLOOKUP($A685,'13. Updated Demand'!A:Z,19,FALSE))</f>
        <v>0.17</v>
      </c>
      <c r="AC685" s="16">
        <f>IF(ISERROR(VLOOKUP($A685,'13. Updated Demand'!A:Z,20,FALSE)),0,VLOOKUP($A685,'13. Updated Demand'!A:Z,20,FALSE))</f>
        <v>0.28000000000000003</v>
      </c>
      <c r="AD685" s="16">
        <f>IF(ISERROR(VLOOKUP($A685,'13. Updated Demand'!A:Z,21,FALSE)),0,VLOOKUP($A685,'13. Updated Demand'!A:Z,21,FALSE))</f>
        <v>0.63</v>
      </c>
      <c r="AE685" s="16">
        <f>IF(ISERROR(VLOOKUP($A685,'13. Updated Demand'!A:Z,22,FALSE)),0,VLOOKUP($A685,'13. Updated Demand'!A:Z,22,FALSE))</f>
        <v>0.39</v>
      </c>
      <c r="AF685" s="16">
        <f>IF(ISERROR(VLOOKUP($A685,'13. Updated Demand'!A:Z,23,FALSE)),0,VLOOKUP($A685,'13. Updated Demand'!A:Z,23,FALSE))</f>
        <v>0.34</v>
      </c>
      <c r="AG685" s="16">
        <f>IF(ISERROR(VLOOKUP($A685,'13. Updated Demand'!A:Z,24,FALSE)),0,VLOOKUP($A685,'13. Updated Demand'!A:Z,24,FALSE))</f>
        <v>0.27</v>
      </c>
      <c r="AH685" s="16">
        <f>IF(ISERROR(VLOOKUP($A685,'13. Updated Demand'!A:Z,25,FALSE)),0,VLOOKUP($A685,'13. Updated Demand'!A:Z,25,FALSE))</f>
        <v>0.12</v>
      </c>
      <c r="AI685" s="16">
        <f>IF(ISERROR(VLOOKUP($A685,'13. Updated Demand'!A:Z,26,FALSE)),0,VLOOKUP($A685,'13. Updated Demand'!A:Z,26,FALSE))</f>
        <v>0.12</v>
      </c>
      <c r="AJ685" s="16">
        <f t="shared" si="132"/>
        <v>2.5900000000000003</v>
      </c>
      <c r="AK685" s="19">
        <v>1.8333333333333339</v>
      </c>
      <c r="AL685" s="16">
        <f t="shared" si="130"/>
        <v>6.0809578303751026E-3</v>
      </c>
      <c r="AM685" s="17">
        <v>0.23939393939393946</v>
      </c>
      <c r="AN685" s="19"/>
      <c r="AO685" s="19"/>
      <c r="AP685" s="19">
        <v>11</v>
      </c>
      <c r="AQ685" s="19" t="s">
        <v>307</v>
      </c>
      <c r="AR685" s="9" t="s">
        <v>354</v>
      </c>
      <c r="AS685" s="12">
        <v>3.4039024194010059E-4</v>
      </c>
      <c r="AT685" s="19">
        <v>38.764487850000002</v>
      </c>
      <c r="AU685" s="19">
        <v>-122.96558843</v>
      </c>
      <c r="AV685" s="19" t="s">
        <v>548</v>
      </c>
    </row>
    <row r="686" spans="1:48" x14ac:dyDescent="0.25">
      <c r="A686" s="18" t="s">
        <v>84</v>
      </c>
      <c r="B686" s="10">
        <v>19751210</v>
      </c>
      <c r="C686" s="9">
        <v>3</v>
      </c>
      <c r="D686" s="8" t="str">
        <f t="shared" si="121"/>
        <v>N</v>
      </c>
      <c r="E686" s="8" t="str">
        <f t="shared" si="122"/>
        <v>N</v>
      </c>
      <c r="F686" s="8" t="str">
        <f t="shared" si="123"/>
        <v>Y</v>
      </c>
      <c r="G686" s="8" t="str">
        <f t="shared" si="124"/>
        <v>N</v>
      </c>
      <c r="H686" s="8" t="str">
        <f t="shared" si="125"/>
        <v>Upper</v>
      </c>
      <c r="I686" s="8" t="str">
        <f t="shared" si="126"/>
        <v>Outside</v>
      </c>
      <c r="J686" s="8" t="str">
        <f t="shared" si="127"/>
        <v>Outside</v>
      </c>
      <c r="K686" s="8" t="str">
        <f t="shared" si="128"/>
        <v>Post-1949</v>
      </c>
      <c r="L686" s="8">
        <f t="shared" si="129"/>
        <v>1975</v>
      </c>
      <c r="M686" s="8" t="str">
        <f t="shared" si="131"/>
        <v>1971-1990</v>
      </c>
      <c r="N686" s="10" t="s">
        <v>241</v>
      </c>
      <c r="O686" s="10" t="s">
        <v>241</v>
      </c>
      <c r="P686" s="10" t="s">
        <v>242</v>
      </c>
      <c r="Q686" s="10" t="s">
        <v>242</v>
      </c>
      <c r="R686" s="10" t="s">
        <v>241</v>
      </c>
      <c r="S686" s="10" t="s">
        <v>242</v>
      </c>
      <c r="T686" s="10" t="s">
        <v>242</v>
      </c>
      <c r="U686" s="10" t="s">
        <v>242</v>
      </c>
      <c r="V686" s="10" t="s">
        <v>241</v>
      </c>
      <c r="W686" s="10" t="s">
        <v>242</v>
      </c>
      <c r="X686" s="15">
        <f>IF(ISERROR(VLOOKUP($A686,'13. Updated Demand'!A:Z,15,FALSE)),0,VLOOKUP($A686,'13. Updated Demand'!A:Z,15,FALSE))</f>
        <v>0</v>
      </c>
      <c r="Y686" s="16">
        <f>IF(ISERROR(VLOOKUP($A686,'13. Updated Demand'!A:Z,16,FALSE)),0,VLOOKUP($A686,'13. Updated Demand'!A:Z,16,FALSE))</f>
        <v>0</v>
      </c>
      <c r="Z686" s="16">
        <f>IF(ISERROR(VLOOKUP($A686,'13. Updated Demand'!A:Z,17,FALSE)),0,VLOOKUP($A686,'13. Updated Demand'!A:Z,17,FALSE))</f>
        <v>0</v>
      </c>
      <c r="AA686" s="16">
        <f>IF(ISERROR(VLOOKUP($A686,'13. Updated Demand'!A:Z,18,FALSE)),0,VLOOKUP($A686,'13. Updated Demand'!A:Z,18,FALSE))</f>
        <v>18.510000000000002</v>
      </c>
      <c r="AB686" s="16">
        <f>IF(ISERROR(VLOOKUP($A686,'13. Updated Demand'!A:Z,19,FALSE)),0,VLOOKUP($A686,'13. Updated Demand'!A:Z,19,FALSE))</f>
        <v>0</v>
      </c>
      <c r="AC686" s="16">
        <f>IF(ISERROR(VLOOKUP($A686,'13. Updated Demand'!A:Z,20,FALSE)),0,VLOOKUP($A686,'13. Updated Demand'!A:Z,20,FALSE))</f>
        <v>0</v>
      </c>
      <c r="AD686" s="16">
        <f>IF(ISERROR(VLOOKUP($A686,'13. Updated Demand'!A:Z,21,FALSE)),0,VLOOKUP($A686,'13. Updated Demand'!A:Z,21,FALSE))</f>
        <v>0</v>
      </c>
      <c r="AE686" s="16">
        <f>IF(ISERROR(VLOOKUP($A686,'13. Updated Demand'!A:Z,22,FALSE)),0,VLOOKUP($A686,'13. Updated Demand'!A:Z,22,FALSE))</f>
        <v>0</v>
      </c>
      <c r="AF686" s="16">
        <f>IF(ISERROR(VLOOKUP($A686,'13. Updated Demand'!A:Z,23,FALSE)),0,VLOOKUP($A686,'13. Updated Demand'!A:Z,23,FALSE))</f>
        <v>0</v>
      </c>
      <c r="AG686" s="16">
        <f>IF(ISERROR(VLOOKUP($A686,'13. Updated Demand'!A:Z,24,FALSE)),0,VLOOKUP($A686,'13. Updated Demand'!A:Z,24,FALSE))</f>
        <v>0</v>
      </c>
      <c r="AH686" s="16">
        <f>IF(ISERROR(VLOOKUP($A686,'13. Updated Demand'!A:Z,25,FALSE)),0,VLOOKUP($A686,'13. Updated Demand'!A:Z,25,FALSE))</f>
        <v>0</v>
      </c>
      <c r="AI686" s="16">
        <f>IF(ISERROR(VLOOKUP($A686,'13. Updated Demand'!A:Z,26,FALSE)),0,VLOOKUP($A686,'13. Updated Demand'!A:Z,26,FALSE))</f>
        <v>0</v>
      </c>
      <c r="AJ686" s="16">
        <f t="shared" si="132"/>
        <v>18.510000000000002</v>
      </c>
      <c r="AK686" s="19">
        <v>0</v>
      </c>
      <c r="AL686" s="16">
        <f t="shared" si="130"/>
        <v>0</v>
      </c>
      <c r="AM686" s="17">
        <v>3.7782312925170002E-3</v>
      </c>
      <c r="AN686" s="19"/>
      <c r="AO686" s="19"/>
      <c r="AP686" s="19">
        <v>4900</v>
      </c>
      <c r="AQ686" s="19" t="s">
        <v>307</v>
      </c>
      <c r="AR686" s="9" t="s">
        <v>326</v>
      </c>
      <c r="AS686" s="12">
        <v>3.4039024194010059E-4</v>
      </c>
      <c r="AT686" s="19">
        <v>39.197400860000002</v>
      </c>
      <c r="AU686" s="19">
        <v>-123.18693491000001</v>
      </c>
      <c r="AV686" s="19" t="s">
        <v>1074</v>
      </c>
    </row>
    <row r="687" spans="1:48" x14ac:dyDescent="0.25">
      <c r="A687" s="18" t="s">
        <v>1075</v>
      </c>
      <c r="B687" s="10">
        <v>19751216</v>
      </c>
      <c r="C687" s="9">
        <v>12</v>
      </c>
      <c r="D687" s="8" t="str">
        <f t="shared" si="121"/>
        <v>N</v>
      </c>
      <c r="E687" s="8" t="str">
        <f t="shared" si="122"/>
        <v>Y</v>
      </c>
      <c r="F687" s="8" t="str">
        <f t="shared" si="123"/>
        <v>Y</v>
      </c>
      <c r="G687" s="8" t="str">
        <f t="shared" si="124"/>
        <v>Y</v>
      </c>
      <c r="H687" s="8" t="str">
        <f t="shared" si="125"/>
        <v>Upper</v>
      </c>
      <c r="I687" s="8" t="str">
        <f t="shared" si="126"/>
        <v>West Fork and Below Lake</v>
      </c>
      <c r="J687" s="8" t="str">
        <f t="shared" si="127"/>
        <v>Sonoma (d/s of Clov. Gage)</v>
      </c>
      <c r="K687" s="8" t="str">
        <f t="shared" si="128"/>
        <v>Post-1949</v>
      </c>
      <c r="L687" s="8">
        <f t="shared" si="129"/>
        <v>1975</v>
      </c>
      <c r="M687" s="8" t="str">
        <f t="shared" si="131"/>
        <v>1971-1990</v>
      </c>
      <c r="N687" s="10" t="s">
        <v>241</v>
      </c>
      <c r="O687" s="10" t="s">
        <v>241</v>
      </c>
      <c r="P687" s="10" t="s">
        <v>242</v>
      </c>
      <c r="Q687" s="10" t="s">
        <v>242</v>
      </c>
      <c r="R687" s="10" t="s">
        <v>241</v>
      </c>
      <c r="S687" s="10" t="s">
        <v>242</v>
      </c>
      <c r="T687" s="10" t="s">
        <v>242</v>
      </c>
      <c r="U687" s="10" t="s">
        <v>242</v>
      </c>
      <c r="V687" s="10" t="s">
        <v>242</v>
      </c>
      <c r="W687" s="10" t="s">
        <v>242</v>
      </c>
      <c r="X687" s="15">
        <f>IF(ISERROR(VLOOKUP($A687,'13. Updated Demand'!A:Z,15,FALSE)),0,VLOOKUP($A687,'13. Updated Demand'!A:Z,15,FALSE))</f>
        <v>0</v>
      </c>
      <c r="Y687" s="16">
        <f>IF(ISERROR(VLOOKUP($A687,'13. Updated Demand'!A:Z,16,FALSE)),0,VLOOKUP($A687,'13. Updated Demand'!A:Z,16,FALSE))</f>
        <v>0</v>
      </c>
      <c r="Z687" s="16">
        <f>IF(ISERROR(VLOOKUP($A687,'13. Updated Demand'!A:Z,17,FALSE)),0,VLOOKUP($A687,'13. Updated Demand'!A:Z,17,FALSE))</f>
        <v>0</v>
      </c>
      <c r="AA687" s="16">
        <f>IF(ISERROR(VLOOKUP($A687,'13. Updated Demand'!A:Z,18,FALSE)),0,VLOOKUP($A687,'13. Updated Demand'!A:Z,18,FALSE))</f>
        <v>0</v>
      </c>
      <c r="AB687" s="16">
        <f>IF(ISERROR(VLOOKUP($A687,'13. Updated Demand'!A:Z,19,FALSE)),0,VLOOKUP($A687,'13. Updated Demand'!A:Z,19,FALSE))</f>
        <v>0.03</v>
      </c>
      <c r="AC687" s="16">
        <f>IF(ISERROR(VLOOKUP($A687,'13. Updated Demand'!A:Z,20,FALSE)),0,VLOOKUP($A687,'13. Updated Demand'!A:Z,20,FALSE))</f>
        <v>0.11</v>
      </c>
      <c r="AD687" s="16">
        <f>IF(ISERROR(VLOOKUP($A687,'13. Updated Demand'!A:Z,21,FALSE)),0,VLOOKUP($A687,'13. Updated Demand'!A:Z,21,FALSE))</f>
        <v>0.22</v>
      </c>
      <c r="AE687" s="16">
        <f>IF(ISERROR(VLOOKUP($A687,'13. Updated Demand'!A:Z,22,FALSE)),0,VLOOKUP($A687,'13. Updated Demand'!A:Z,22,FALSE))</f>
        <v>0.22</v>
      </c>
      <c r="AF687" s="16">
        <f>IF(ISERROR(VLOOKUP($A687,'13. Updated Demand'!A:Z,23,FALSE)),0,VLOOKUP($A687,'13. Updated Demand'!A:Z,23,FALSE))</f>
        <v>0</v>
      </c>
      <c r="AG687" s="16">
        <f>IF(ISERROR(VLOOKUP($A687,'13. Updated Demand'!A:Z,24,FALSE)),0,VLOOKUP($A687,'13. Updated Demand'!A:Z,24,FALSE))</f>
        <v>0</v>
      </c>
      <c r="AH687" s="16">
        <f>IF(ISERROR(VLOOKUP($A687,'13. Updated Demand'!A:Z,25,FALSE)),0,VLOOKUP($A687,'13. Updated Demand'!A:Z,25,FALSE))</f>
        <v>0</v>
      </c>
      <c r="AI687" s="16">
        <f>IF(ISERROR(VLOOKUP($A687,'13. Updated Demand'!A:Z,26,FALSE)),0,VLOOKUP($A687,'13. Updated Demand'!A:Z,26,FALSE))</f>
        <v>0</v>
      </c>
      <c r="AJ687" s="16">
        <f t="shared" si="132"/>
        <v>0.57999999999999996</v>
      </c>
      <c r="AK687" s="19">
        <v>0.59539999999999971</v>
      </c>
      <c r="AL687" s="16">
        <f t="shared" si="130"/>
        <v>1.9748739775665453E-3</v>
      </c>
      <c r="AM687" s="17">
        <v>1.4244019138755976E-2</v>
      </c>
      <c r="AN687" s="19"/>
      <c r="AO687" s="19"/>
      <c r="AP687" s="19">
        <v>41.8</v>
      </c>
      <c r="AQ687" s="19" t="s">
        <v>307</v>
      </c>
      <c r="AR687" s="9" t="s">
        <v>311</v>
      </c>
      <c r="AS687" s="12">
        <v>0</v>
      </c>
      <c r="AT687" s="19">
        <v>38.640808120000003</v>
      </c>
      <c r="AU687" s="19">
        <v>-122.79900076</v>
      </c>
      <c r="AV687" s="19" t="s">
        <v>548</v>
      </c>
    </row>
    <row r="688" spans="1:48" x14ac:dyDescent="0.25">
      <c r="A688" s="18" t="s">
        <v>1076</v>
      </c>
      <c r="B688" s="10">
        <v>19751216</v>
      </c>
      <c r="C688" s="9">
        <v>12</v>
      </c>
      <c r="D688" s="8" t="str">
        <f t="shared" si="121"/>
        <v>N</v>
      </c>
      <c r="E688" s="8" t="str">
        <f t="shared" si="122"/>
        <v>Y</v>
      </c>
      <c r="F688" s="8" t="str">
        <f t="shared" si="123"/>
        <v>Y</v>
      </c>
      <c r="G688" s="8" t="str">
        <f t="shared" si="124"/>
        <v>Y</v>
      </c>
      <c r="H688" s="8" t="str">
        <f t="shared" si="125"/>
        <v>Upper</v>
      </c>
      <c r="I688" s="8" t="str">
        <f t="shared" si="126"/>
        <v>West Fork and Below Lake</v>
      </c>
      <c r="J688" s="8" t="str">
        <f t="shared" si="127"/>
        <v>Sonoma (d/s of Clov. Gage)</v>
      </c>
      <c r="K688" s="8" t="str">
        <f t="shared" si="128"/>
        <v>Post-1949</v>
      </c>
      <c r="L688" s="8">
        <f t="shared" si="129"/>
        <v>1975</v>
      </c>
      <c r="M688" s="8" t="str">
        <f t="shared" si="131"/>
        <v>1971-1990</v>
      </c>
      <c r="N688" s="10" t="s">
        <v>241</v>
      </c>
      <c r="O688" s="10" t="s">
        <v>241</v>
      </c>
      <c r="P688" s="10" t="s">
        <v>242</v>
      </c>
      <c r="Q688" s="10" t="s">
        <v>242</v>
      </c>
      <c r="R688" s="10" t="s">
        <v>241</v>
      </c>
      <c r="S688" s="10" t="s">
        <v>242</v>
      </c>
      <c r="T688" s="10" t="s">
        <v>242</v>
      </c>
      <c r="U688" s="10" t="s">
        <v>241</v>
      </c>
      <c r="V688" s="10" t="s">
        <v>241</v>
      </c>
      <c r="W688" s="10" t="s">
        <v>242</v>
      </c>
      <c r="X688" s="15">
        <f>IF(ISERROR(VLOOKUP($A688,'13. Updated Demand'!A:Z,15,FALSE)),0,VLOOKUP($A688,'13. Updated Demand'!A:Z,15,FALSE))</f>
        <v>0</v>
      </c>
      <c r="Y688" s="16">
        <f>IF(ISERROR(VLOOKUP($A688,'13. Updated Demand'!A:Z,16,FALSE)),0,VLOOKUP($A688,'13. Updated Demand'!A:Z,16,FALSE))</f>
        <v>0</v>
      </c>
      <c r="Z688" s="16">
        <f>IF(ISERROR(VLOOKUP($A688,'13. Updated Demand'!A:Z,17,FALSE)),0,VLOOKUP($A688,'13. Updated Demand'!A:Z,17,FALSE))</f>
        <v>0</v>
      </c>
      <c r="AA688" s="16">
        <f>IF(ISERROR(VLOOKUP($A688,'13. Updated Demand'!A:Z,18,FALSE)),0,VLOOKUP($A688,'13. Updated Demand'!A:Z,18,FALSE))</f>
        <v>0</v>
      </c>
      <c r="AB688" s="16">
        <f>IF(ISERROR(VLOOKUP($A688,'13. Updated Demand'!A:Z,19,FALSE)),0,VLOOKUP($A688,'13. Updated Demand'!A:Z,19,FALSE))</f>
        <v>0</v>
      </c>
      <c r="AC688" s="16">
        <f>IF(ISERROR(VLOOKUP($A688,'13. Updated Demand'!A:Z,20,FALSE)),0,VLOOKUP($A688,'13. Updated Demand'!A:Z,20,FALSE))</f>
        <v>0</v>
      </c>
      <c r="AD688" s="16">
        <f>IF(ISERROR(VLOOKUP($A688,'13. Updated Demand'!A:Z,21,FALSE)),0,VLOOKUP($A688,'13. Updated Demand'!A:Z,21,FALSE))</f>
        <v>0</v>
      </c>
      <c r="AE688" s="16">
        <f>IF(ISERROR(VLOOKUP($A688,'13. Updated Demand'!A:Z,22,FALSE)),0,VLOOKUP($A688,'13. Updated Demand'!A:Z,22,FALSE))</f>
        <v>0</v>
      </c>
      <c r="AF688" s="16">
        <f>IF(ISERROR(VLOOKUP($A688,'13. Updated Demand'!A:Z,23,FALSE)),0,VLOOKUP($A688,'13. Updated Demand'!A:Z,23,FALSE))</f>
        <v>0</v>
      </c>
      <c r="AG688" s="16">
        <f>IF(ISERROR(VLOOKUP($A688,'13. Updated Demand'!A:Z,24,FALSE)),0,VLOOKUP($A688,'13. Updated Demand'!A:Z,24,FALSE))</f>
        <v>0</v>
      </c>
      <c r="AH688" s="16">
        <f>IF(ISERROR(VLOOKUP($A688,'13. Updated Demand'!A:Z,25,FALSE)),0,VLOOKUP($A688,'13. Updated Demand'!A:Z,25,FALSE))</f>
        <v>0</v>
      </c>
      <c r="AI688" s="16">
        <f>IF(ISERROR(VLOOKUP($A688,'13. Updated Demand'!A:Z,26,FALSE)),0,VLOOKUP($A688,'13. Updated Demand'!A:Z,26,FALSE))</f>
        <v>0</v>
      </c>
      <c r="AJ688" s="16">
        <f t="shared" si="132"/>
        <v>0</v>
      </c>
      <c r="AK688" s="19">
        <v>0</v>
      </c>
      <c r="AL688" s="16">
        <f t="shared" si="130"/>
        <v>0</v>
      </c>
      <c r="AM688" s="17">
        <v>0</v>
      </c>
      <c r="AN688" s="19"/>
      <c r="AO688" s="19"/>
      <c r="AP688" s="19">
        <v>43</v>
      </c>
      <c r="AQ688" s="19" t="s">
        <v>307</v>
      </c>
      <c r="AR688" s="9" t="s">
        <v>311</v>
      </c>
      <c r="AS688" s="12">
        <v>0</v>
      </c>
      <c r="AT688" s="19">
        <v>38.640808120000003</v>
      </c>
      <c r="AU688" s="19">
        <v>-122.79900076</v>
      </c>
      <c r="AV688" s="19" t="s">
        <v>548</v>
      </c>
    </row>
    <row r="689" spans="1:48" x14ac:dyDescent="0.25">
      <c r="A689" s="18" t="s">
        <v>1077</v>
      </c>
      <c r="B689" s="10">
        <v>19751217</v>
      </c>
      <c r="C689" s="9">
        <v>1</v>
      </c>
      <c r="D689" s="8" t="str">
        <f t="shared" si="121"/>
        <v>N</v>
      </c>
      <c r="E689" s="8" t="str">
        <f t="shared" si="122"/>
        <v>N</v>
      </c>
      <c r="F689" s="8" t="str">
        <f t="shared" si="123"/>
        <v>Y</v>
      </c>
      <c r="G689" s="8" t="str">
        <f t="shared" si="124"/>
        <v>Y</v>
      </c>
      <c r="H689" s="8" t="str">
        <f t="shared" si="125"/>
        <v>Upper</v>
      </c>
      <c r="I689" s="8" t="str">
        <f t="shared" si="126"/>
        <v>West Fork and Below Lake</v>
      </c>
      <c r="J689" s="8" t="str">
        <f t="shared" si="127"/>
        <v>Outside</v>
      </c>
      <c r="K689" s="8" t="str">
        <f t="shared" si="128"/>
        <v>Post-1949</v>
      </c>
      <c r="L689" s="8">
        <f t="shared" si="129"/>
        <v>1975</v>
      </c>
      <c r="M689" s="8" t="str">
        <f t="shared" si="131"/>
        <v>1971-1990</v>
      </c>
      <c r="N689" s="10" t="s">
        <v>242</v>
      </c>
      <c r="O689" s="10" t="s">
        <v>241</v>
      </c>
      <c r="P689" s="10" t="s">
        <v>242</v>
      </c>
      <c r="Q689" s="10" t="s">
        <v>242</v>
      </c>
      <c r="R689" s="10" t="s">
        <v>241</v>
      </c>
      <c r="S689" s="10" t="s">
        <v>242</v>
      </c>
      <c r="T689" s="10" t="s">
        <v>242</v>
      </c>
      <c r="U689" s="10" t="s">
        <v>242</v>
      </c>
      <c r="V689" s="10" t="s">
        <v>241</v>
      </c>
      <c r="W689" s="10" t="s">
        <v>242</v>
      </c>
      <c r="X689" s="15">
        <f>IF(ISERROR(VLOOKUP($A689,'13. Updated Demand'!A:Z,15,FALSE)),0,VLOOKUP($A689,'13. Updated Demand'!A:Z,15,FALSE))</f>
        <v>0.76</v>
      </c>
      <c r="Y689" s="16">
        <f>IF(ISERROR(VLOOKUP($A689,'13. Updated Demand'!A:Z,16,FALSE)),0,VLOOKUP($A689,'13. Updated Demand'!A:Z,16,FALSE))</f>
        <v>0.73</v>
      </c>
      <c r="Z689" s="16">
        <f>IF(ISERROR(VLOOKUP($A689,'13. Updated Demand'!A:Z,17,FALSE)),0,VLOOKUP($A689,'13. Updated Demand'!A:Z,17,FALSE))</f>
        <v>0</v>
      </c>
      <c r="AA689" s="16">
        <f>IF(ISERROR(VLOOKUP($A689,'13. Updated Demand'!A:Z,18,FALSE)),0,VLOOKUP($A689,'13. Updated Demand'!A:Z,18,FALSE))</f>
        <v>0</v>
      </c>
      <c r="AB689" s="16">
        <f>IF(ISERROR(VLOOKUP($A689,'13. Updated Demand'!A:Z,19,FALSE)),0,VLOOKUP($A689,'13. Updated Demand'!A:Z,19,FALSE))</f>
        <v>0</v>
      </c>
      <c r="AC689" s="16">
        <f>IF(ISERROR(VLOOKUP($A689,'13. Updated Demand'!A:Z,20,FALSE)),0,VLOOKUP($A689,'13. Updated Demand'!A:Z,20,FALSE))</f>
        <v>0</v>
      </c>
      <c r="AD689" s="16">
        <f>IF(ISERROR(VLOOKUP($A689,'13. Updated Demand'!A:Z,21,FALSE)),0,VLOOKUP($A689,'13. Updated Demand'!A:Z,21,FALSE))</f>
        <v>0</v>
      </c>
      <c r="AE689" s="16">
        <f>IF(ISERROR(VLOOKUP($A689,'13. Updated Demand'!A:Z,22,FALSE)),0,VLOOKUP($A689,'13. Updated Demand'!A:Z,22,FALSE))</f>
        <v>0</v>
      </c>
      <c r="AF689" s="16">
        <f>IF(ISERROR(VLOOKUP($A689,'13. Updated Demand'!A:Z,23,FALSE)),0,VLOOKUP($A689,'13. Updated Demand'!A:Z,23,FALSE))</f>
        <v>0</v>
      </c>
      <c r="AG689" s="16">
        <f>IF(ISERROR(VLOOKUP($A689,'13. Updated Demand'!A:Z,24,FALSE)),0,VLOOKUP($A689,'13. Updated Demand'!A:Z,24,FALSE))</f>
        <v>0</v>
      </c>
      <c r="AH689" s="16">
        <f>IF(ISERROR(VLOOKUP($A689,'13. Updated Demand'!A:Z,25,FALSE)),0,VLOOKUP($A689,'13. Updated Demand'!A:Z,25,FALSE))</f>
        <v>0</v>
      </c>
      <c r="AI689" s="16">
        <f>IF(ISERROR(VLOOKUP($A689,'13. Updated Demand'!A:Z,26,FALSE)),0,VLOOKUP($A689,'13. Updated Demand'!A:Z,26,FALSE))</f>
        <v>1.45</v>
      </c>
      <c r="AJ689" s="16">
        <f t="shared" si="132"/>
        <v>2.94</v>
      </c>
      <c r="AK689" s="19">
        <v>0</v>
      </c>
      <c r="AL689" s="16">
        <f t="shared" si="130"/>
        <v>0</v>
      </c>
      <c r="AM689" s="17">
        <v>0.70238095238095244</v>
      </c>
      <c r="AN689" s="19"/>
      <c r="AO689" s="19"/>
      <c r="AP689" s="19">
        <v>4.2</v>
      </c>
      <c r="AQ689" s="19" t="s">
        <v>307</v>
      </c>
      <c r="AR689" s="9" t="s">
        <v>317</v>
      </c>
      <c r="AS689" s="12">
        <v>0</v>
      </c>
      <c r="AT689" s="19">
        <v>39.247727079999997</v>
      </c>
      <c r="AU689" s="19">
        <v>-123.20631989</v>
      </c>
      <c r="AV689" s="19" t="s">
        <v>417</v>
      </c>
    </row>
    <row r="690" spans="1:48" x14ac:dyDescent="0.25">
      <c r="A690" s="18" t="s">
        <v>1078</v>
      </c>
      <c r="B690" s="10">
        <v>19751229</v>
      </c>
      <c r="C690" s="9">
        <v>21</v>
      </c>
      <c r="D690" s="8" t="str">
        <f t="shared" si="121"/>
        <v>N</v>
      </c>
      <c r="E690" s="8" t="str">
        <f t="shared" si="122"/>
        <v>N</v>
      </c>
      <c r="F690" s="8" t="str">
        <f t="shared" si="123"/>
        <v>N</v>
      </c>
      <c r="G690" s="8" t="str">
        <f t="shared" si="124"/>
        <v>N</v>
      </c>
      <c r="H690" s="8" t="str">
        <f t="shared" si="125"/>
        <v>Lower</v>
      </c>
      <c r="I690" s="8" t="str">
        <f t="shared" si="126"/>
        <v>Outside</v>
      </c>
      <c r="J690" s="8" t="str">
        <f t="shared" si="127"/>
        <v>Outside</v>
      </c>
      <c r="K690" s="8" t="str">
        <f t="shared" si="128"/>
        <v>Post-1949</v>
      </c>
      <c r="L690" s="8">
        <f t="shared" si="129"/>
        <v>1975</v>
      </c>
      <c r="M690" s="8" t="str">
        <f t="shared" si="131"/>
        <v>1971-1990</v>
      </c>
      <c r="N690" s="10" t="s">
        <v>241</v>
      </c>
      <c r="O690" s="10" t="s">
        <v>242</v>
      </c>
      <c r="P690" s="10" t="s">
        <v>242</v>
      </c>
      <c r="Q690" s="10" t="s">
        <v>242</v>
      </c>
      <c r="R690" s="10" t="s">
        <v>241</v>
      </c>
      <c r="S690" s="10" t="s">
        <v>242</v>
      </c>
      <c r="T690" s="10" t="s">
        <v>242</v>
      </c>
      <c r="U690" s="10" t="s">
        <v>242</v>
      </c>
      <c r="V690" s="10" t="s">
        <v>242</v>
      </c>
      <c r="W690" s="10" t="s">
        <v>242</v>
      </c>
      <c r="X690" s="15">
        <f>IF(ISERROR(VLOOKUP($A690,'13. Updated Demand'!A:Z,15,FALSE)),0,VLOOKUP($A690,'13. Updated Demand'!A:Z,15,FALSE))</f>
        <v>0</v>
      </c>
      <c r="Y690" s="16">
        <f>IF(ISERROR(VLOOKUP($A690,'13. Updated Demand'!A:Z,16,FALSE)),0,VLOOKUP($A690,'13. Updated Demand'!A:Z,16,FALSE))</f>
        <v>0</v>
      </c>
      <c r="Z690" s="16">
        <f>IF(ISERROR(VLOOKUP($A690,'13. Updated Demand'!A:Z,17,FALSE)),0,VLOOKUP($A690,'13. Updated Demand'!A:Z,17,FALSE))</f>
        <v>0</v>
      </c>
      <c r="AA690" s="16">
        <f>IF(ISERROR(VLOOKUP($A690,'13. Updated Demand'!A:Z,18,FALSE)),0,VLOOKUP($A690,'13. Updated Demand'!A:Z,18,FALSE))</f>
        <v>0</v>
      </c>
      <c r="AB690" s="16">
        <f>IF(ISERROR(VLOOKUP($A690,'13. Updated Demand'!A:Z,19,FALSE)),0,VLOOKUP($A690,'13. Updated Demand'!A:Z,19,FALSE))</f>
        <v>0</v>
      </c>
      <c r="AC690" s="16">
        <f>IF(ISERROR(VLOOKUP($A690,'13. Updated Demand'!A:Z,20,FALSE)),0,VLOOKUP($A690,'13. Updated Demand'!A:Z,20,FALSE))</f>
        <v>7.67E-4</v>
      </c>
      <c r="AD690" s="16">
        <f>IF(ISERROR(VLOOKUP($A690,'13. Updated Demand'!A:Z,21,FALSE)),0,VLOOKUP($A690,'13. Updated Demand'!A:Z,21,FALSE))</f>
        <v>1.534E-3</v>
      </c>
      <c r="AE690" s="16">
        <f>IF(ISERROR(VLOOKUP($A690,'13. Updated Demand'!A:Z,22,FALSE)),0,VLOOKUP($A690,'13. Updated Demand'!A:Z,22,FALSE))</f>
        <v>1.534E-3</v>
      </c>
      <c r="AF690" s="16">
        <f>IF(ISERROR(VLOOKUP($A690,'13. Updated Demand'!A:Z,23,FALSE)),0,VLOOKUP($A690,'13. Updated Demand'!A:Z,23,FALSE))</f>
        <v>7.67E-4</v>
      </c>
      <c r="AG690" s="16">
        <f>IF(ISERROR(VLOOKUP($A690,'13. Updated Demand'!A:Z,24,FALSE)),0,VLOOKUP($A690,'13. Updated Demand'!A:Z,24,FALSE))</f>
        <v>0</v>
      </c>
      <c r="AH690" s="16">
        <f>IF(ISERROR(VLOOKUP($A690,'13. Updated Demand'!A:Z,25,FALSE)),0,VLOOKUP($A690,'13. Updated Demand'!A:Z,25,FALSE))</f>
        <v>0</v>
      </c>
      <c r="AI690" s="16">
        <f>IF(ISERROR(VLOOKUP($A690,'13. Updated Demand'!A:Z,26,FALSE)),0,VLOOKUP($A690,'13. Updated Demand'!A:Z,26,FALSE))</f>
        <v>0</v>
      </c>
      <c r="AJ690" s="16">
        <f t="shared" si="132"/>
        <v>4.6020000000000002E-3</v>
      </c>
      <c r="AK690" s="19">
        <v>4.6020000000000002E-3</v>
      </c>
      <c r="AL690" s="16">
        <f t="shared" si="130"/>
        <v>1.5264309782937934E-5</v>
      </c>
      <c r="AM690" s="17">
        <v>1.3945454545454547E-3</v>
      </c>
      <c r="AN690" s="19"/>
      <c r="AO690" s="19"/>
      <c r="AP690" s="19">
        <v>3.3</v>
      </c>
      <c r="AQ690" s="19" t="s">
        <v>307</v>
      </c>
      <c r="AR690" s="9" t="s">
        <v>403</v>
      </c>
      <c r="AS690" s="12">
        <v>3.4039024194010059E-4</v>
      </c>
      <c r="AT690" s="19">
        <v>38.46339888</v>
      </c>
      <c r="AU690" s="19">
        <v>-123.0429029</v>
      </c>
      <c r="AV690" s="19" t="s">
        <v>548</v>
      </c>
    </row>
    <row r="691" spans="1:48" x14ac:dyDescent="0.25">
      <c r="A691" s="18" t="s">
        <v>1079</v>
      </c>
      <c r="B691" s="10">
        <v>19751229</v>
      </c>
      <c r="C691" s="9">
        <v>21</v>
      </c>
      <c r="D691" s="8" t="str">
        <f t="shared" si="121"/>
        <v>N</v>
      </c>
      <c r="E691" s="8" t="str">
        <f t="shared" si="122"/>
        <v>N</v>
      </c>
      <c r="F691" s="8" t="str">
        <f t="shared" si="123"/>
        <v>N</v>
      </c>
      <c r="G691" s="8" t="str">
        <f t="shared" si="124"/>
        <v>N</v>
      </c>
      <c r="H691" s="8" t="str">
        <f t="shared" si="125"/>
        <v>Lower</v>
      </c>
      <c r="I691" s="8" t="str">
        <f t="shared" si="126"/>
        <v>Outside</v>
      </c>
      <c r="J691" s="8" t="str">
        <f t="shared" si="127"/>
        <v>Outside</v>
      </c>
      <c r="K691" s="8" t="str">
        <f t="shared" si="128"/>
        <v>Post-1949</v>
      </c>
      <c r="L691" s="8">
        <f t="shared" si="129"/>
        <v>1975</v>
      </c>
      <c r="M691" s="8" t="str">
        <f t="shared" si="131"/>
        <v>1971-1990</v>
      </c>
      <c r="N691" s="10" t="s">
        <v>241</v>
      </c>
      <c r="O691" s="10" t="s">
        <v>242</v>
      </c>
      <c r="P691" s="10" t="s">
        <v>242</v>
      </c>
      <c r="Q691" s="10" t="s">
        <v>242</v>
      </c>
      <c r="R691" s="10" t="s">
        <v>241</v>
      </c>
      <c r="S691" s="10" t="s">
        <v>242</v>
      </c>
      <c r="T691" s="10" t="s">
        <v>242</v>
      </c>
      <c r="U691" s="10" t="s">
        <v>241</v>
      </c>
      <c r="V691" s="10" t="s">
        <v>241</v>
      </c>
      <c r="W691" s="10" t="s">
        <v>242</v>
      </c>
      <c r="X691" s="15">
        <f>IF(ISERROR(VLOOKUP($A691,'13. Updated Demand'!A:Z,15,FALSE)),0,VLOOKUP($A691,'13. Updated Demand'!A:Z,15,FALSE))</f>
        <v>0</v>
      </c>
      <c r="Y691" s="16">
        <f>IF(ISERROR(VLOOKUP($A691,'13. Updated Demand'!A:Z,16,FALSE)),0,VLOOKUP($A691,'13. Updated Demand'!A:Z,16,FALSE))</f>
        <v>0</v>
      </c>
      <c r="Z691" s="16">
        <f>IF(ISERROR(VLOOKUP($A691,'13. Updated Demand'!A:Z,17,FALSE)),0,VLOOKUP($A691,'13. Updated Demand'!A:Z,17,FALSE))</f>
        <v>0</v>
      </c>
      <c r="AA691" s="16">
        <f>IF(ISERROR(VLOOKUP($A691,'13. Updated Demand'!A:Z,18,FALSE)),0,VLOOKUP($A691,'13. Updated Demand'!A:Z,18,FALSE))</f>
        <v>0</v>
      </c>
      <c r="AB691" s="16">
        <f>IF(ISERROR(VLOOKUP($A691,'13. Updated Demand'!A:Z,19,FALSE)),0,VLOOKUP($A691,'13. Updated Demand'!A:Z,19,FALSE))</f>
        <v>0</v>
      </c>
      <c r="AC691" s="16">
        <f>IF(ISERROR(VLOOKUP($A691,'13. Updated Demand'!A:Z,20,FALSE)),0,VLOOKUP($A691,'13. Updated Demand'!A:Z,20,FALSE))</f>
        <v>0</v>
      </c>
      <c r="AD691" s="16">
        <f>IF(ISERROR(VLOOKUP($A691,'13. Updated Demand'!A:Z,21,FALSE)),0,VLOOKUP($A691,'13. Updated Demand'!A:Z,21,FALSE))</f>
        <v>0</v>
      </c>
      <c r="AE691" s="16">
        <f>IF(ISERROR(VLOOKUP($A691,'13. Updated Demand'!A:Z,22,FALSE)),0,VLOOKUP($A691,'13. Updated Demand'!A:Z,22,FALSE))</f>
        <v>0</v>
      </c>
      <c r="AF691" s="16">
        <f>IF(ISERROR(VLOOKUP($A691,'13. Updated Demand'!A:Z,23,FALSE)),0,VLOOKUP($A691,'13. Updated Demand'!A:Z,23,FALSE))</f>
        <v>0</v>
      </c>
      <c r="AG691" s="16">
        <f>IF(ISERROR(VLOOKUP($A691,'13. Updated Demand'!A:Z,24,FALSE)),0,VLOOKUP($A691,'13. Updated Demand'!A:Z,24,FALSE))</f>
        <v>0</v>
      </c>
      <c r="AH691" s="16">
        <f>IF(ISERROR(VLOOKUP($A691,'13. Updated Demand'!A:Z,25,FALSE)),0,VLOOKUP($A691,'13. Updated Demand'!A:Z,25,FALSE))</f>
        <v>0</v>
      </c>
      <c r="AI691" s="16">
        <f>IF(ISERROR(VLOOKUP($A691,'13. Updated Demand'!A:Z,26,FALSE)),0,VLOOKUP($A691,'13. Updated Demand'!A:Z,26,FALSE))</f>
        <v>0</v>
      </c>
      <c r="AJ691" s="16">
        <f t="shared" si="132"/>
        <v>0</v>
      </c>
      <c r="AK691" s="19">
        <v>0</v>
      </c>
      <c r="AL691" s="16">
        <f t="shared" si="130"/>
        <v>0</v>
      </c>
      <c r="AM691" s="17">
        <v>0</v>
      </c>
      <c r="AN691" s="19"/>
      <c r="AO691" s="19"/>
      <c r="AP691" s="19">
        <v>16</v>
      </c>
      <c r="AQ691" s="19" t="s">
        <v>307</v>
      </c>
      <c r="AR691" s="9" t="s">
        <v>403</v>
      </c>
      <c r="AS691" s="12">
        <v>0</v>
      </c>
      <c r="AT691" s="19">
        <v>38.501089729999997</v>
      </c>
      <c r="AU691" s="19">
        <v>-123.00396437000001</v>
      </c>
      <c r="AV691" s="19" t="s">
        <v>548</v>
      </c>
    </row>
    <row r="692" spans="1:48" x14ac:dyDescent="0.25">
      <c r="A692" s="18" t="s">
        <v>1080</v>
      </c>
      <c r="B692" s="10">
        <v>19750320</v>
      </c>
      <c r="C692" s="9">
        <v>16</v>
      </c>
      <c r="D692" s="8" t="str">
        <f t="shared" si="121"/>
        <v>N</v>
      </c>
      <c r="E692" s="8" t="str">
        <f t="shared" si="122"/>
        <v>N</v>
      </c>
      <c r="F692" s="8" t="str">
        <f t="shared" si="123"/>
        <v>N</v>
      </c>
      <c r="G692" s="8" t="str">
        <f t="shared" si="124"/>
        <v>N</v>
      </c>
      <c r="H692" s="8" t="str">
        <f t="shared" si="125"/>
        <v>Lower</v>
      </c>
      <c r="I692" s="8" t="str">
        <f t="shared" si="126"/>
        <v>Outside</v>
      </c>
      <c r="J692" s="8" t="str">
        <f t="shared" si="127"/>
        <v>Outside</v>
      </c>
      <c r="K692" s="8" t="str">
        <f t="shared" si="128"/>
        <v>Post-1949</v>
      </c>
      <c r="L692" s="8">
        <f t="shared" si="129"/>
        <v>1975</v>
      </c>
      <c r="M692" s="8" t="str">
        <f t="shared" si="131"/>
        <v>1971-1990</v>
      </c>
      <c r="N692" s="10" t="s">
        <v>242</v>
      </c>
      <c r="O692" s="10" t="s">
        <v>242</v>
      </c>
      <c r="P692" s="10" t="s">
        <v>242</v>
      </c>
      <c r="Q692" s="10" t="s">
        <v>242</v>
      </c>
      <c r="R692" s="10" t="s">
        <v>241</v>
      </c>
      <c r="S692" s="10" t="s">
        <v>242</v>
      </c>
      <c r="T692" s="10" t="s">
        <v>242</v>
      </c>
      <c r="U692" s="10" t="s">
        <v>241</v>
      </c>
      <c r="V692" s="10" t="s">
        <v>241</v>
      </c>
      <c r="W692" s="10" t="s">
        <v>242</v>
      </c>
      <c r="X692" s="15">
        <f>IF(ISERROR(VLOOKUP($A692,'13. Updated Demand'!A:Z,15,FALSE)),0,VLOOKUP($A692,'13. Updated Demand'!A:Z,15,FALSE))</f>
        <v>0</v>
      </c>
      <c r="Y692" s="16">
        <f>IF(ISERROR(VLOOKUP($A692,'13. Updated Demand'!A:Z,16,FALSE)),0,VLOOKUP($A692,'13. Updated Demand'!A:Z,16,FALSE))</f>
        <v>0</v>
      </c>
      <c r="Z692" s="16">
        <f>IF(ISERROR(VLOOKUP($A692,'13. Updated Demand'!A:Z,17,FALSE)),0,VLOOKUP($A692,'13. Updated Demand'!A:Z,17,FALSE))</f>
        <v>0</v>
      </c>
      <c r="AA692" s="16">
        <f>IF(ISERROR(VLOOKUP($A692,'13. Updated Demand'!A:Z,18,FALSE)),0,VLOOKUP($A692,'13. Updated Demand'!A:Z,18,FALSE))</f>
        <v>0</v>
      </c>
      <c r="AB692" s="16">
        <f>IF(ISERROR(VLOOKUP($A692,'13. Updated Demand'!A:Z,19,FALSE)),0,VLOOKUP($A692,'13. Updated Demand'!A:Z,19,FALSE))</f>
        <v>0</v>
      </c>
      <c r="AC692" s="16">
        <f>IF(ISERROR(VLOOKUP($A692,'13. Updated Demand'!A:Z,20,FALSE)),0,VLOOKUP($A692,'13. Updated Demand'!A:Z,20,FALSE))</f>
        <v>0</v>
      </c>
      <c r="AD692" s="16">
        <f>IF(ISERROR(VLOOKUP($A692,'13. Updated Demand'!A:Z,21,FALSE)),0,VLOOKUP($A692,'13. Updated Demand'!A:Z,21,FALSE))</f>
        <v>0</v>
      </c>
      <c r="AE692" s="16">
        <f>IF(ISERROR(VLOOKUP($A692,'13. Updated Demand'!A:Z,22,FALSE)),0,VLOOKUP($A692,'13. Updated Demand'!A:Z,22,FALSE))</f>
        <v>0</v>
      </c>
      <c r="AF692" s="16">
        <f>IF(ISERROR(VLOOKUP($A692,'13. Updated Demand'!A:Z,23,FALSE)),0,VLOOKUP($A692,'13. Updated Demand'!A:Z,23,FALSE))</f>
        <v>0</v>
      </c>
      <c r="AG692" s="16">
        <f>IF(ISERROR(VLOOKUP($A692,'13. Updated Demand'!A:Z,24,FALSE)),0,VLOOKUP($A692,'13. Updated Demand'!A:Z,24,FALSE))</f>
        <v>0</v>
      </c>
      <c r="AH692" s="16">
        <f>IF(ISERROR(VLOOKUP($A692,'13. Updated Demand'!A:Z,25,FALSE)),0,VLOOKUP($A692,'13. Updated Demand'!A:Z,25,FALSE))</f>
        <v>0</v>
      </c>
      <c r="AI692" s="16">
        <f>IF(ISERROR(VLOOKUP($A692,'13. Updated Demand'!A:Z,26,FALSE)),0,VLOOKUP($A692,'13. Updated Demand'!A:Z,26,FALSE))</f>
        <v>0</v>
      </c>
      <c r="AJ692" s="16">
        <f t="shared" si="132"/>
        <v>0</v>
      </c>
      <c r="AK692" s="19">
        <v>0</v>
      </c>
      <c r="AL692" s="16">
        <f t="shared" si="130"/>
        <v>0</v>
      </c>
      <c r="AM692" s="17">
        <v>0</v>
      </c>
      <c r="AN692" s="19"/>
      <c r="AO692" s="19"/>
      <c r="AP692" s="19">
        <v>30</v>
      </c>
      <c r="AQ692" s="19" t="s">
        <v>307</v>
      </c>
      <c r="AR692" s="9" t="s">
        <v>394</v>
      </c>
      <c r="AS692" s="12">
        <v>0</v>
      </c>
      <c r="AT692" s="19">
        <v>38.66037884</v>
      </c>
      <c r="AU692" s="19">
        <v>-122.90148714999999</v>
      </c>
      <c r="AV692" s="19" t="s">
        <v>417</v>
      </c>
    </row>
    <row r="693" spans="1:48" x14ac:dyDescent="0.25">
      <c r="A693" s="18" t="s">
        <v>1081</v>
      </c>
      <c r="B693" s="10">
        <v>19750422</v>
      </c>
      <c r="C693" s="9">
        <v>23</v>
      </c>
      <c r="D693" s="8" t="str">
        <f t="shared" si="121"/>
        <v>N</v>
      </c>
      <c r="E693" s="8" t="str">
        <f t="shared" si="122"/>
        <v>N</v>
      </c>
      <c r="F693" s="8" t="str">
        <f t="shared" si="123"/>
        <v>N</v>
      </c>
      <c r="G693" s="8" t="str">
        <f t="shared" si="124"/>
        <v>N</v>
      </c>
      <c r="H693" s="8" t="str">
        <f t="shared" si="125"/>
        <v>Lower</v>
      </c>
      <c r="I693" s="8" t="str">
        <f t="shared" si="126"/>
        <v>Outside</v>
      </c>
      <c r="J693" s="8" t="str">
        <f t="shared" si="127"/>
        <v>Outside</v>
      </c>
      <c r="K693" s="8" t="str">
        <f t="shared" si="128"/>
        <v>Post-1949</v>
      </c>
      <c r="L693" s="8">
        <f t="shared" si="129"/>
        <v>1975</v>
      </c>
      <c r="M693" s="8" t="str">
        <f t="shared" si="131"/>
        <v>1971-1990</v>
      </c>
      <c r="N693" s="10" t="s">
        <v>242</v>
      </c>
      <c r="O693" s="10" t="s">
        <v>242</v>
      </c>
      <c r="P693" s="10" t="s">
        <v>242</v>
      </c>
      <c r="Q693" s="10" t="s">
        <v>242</v>
      </c>
      <c r="R693" s="10" t="s">
        <v>241</v>
      </c>
      <c r="S693" s="10" t="s">
        <v>242</v>
      </c>
      <c r="T693" s="10" t="s">
        <v>242</v>
      </c>
      <c r="U693" s="10" t="s">
        <v>242</v>
      </c>
      <c r="V693" s="10" t="s">
        <v>241</v>
      </c>
      <c r="W693" s="10" t="s">
        <v>242</v>
      </c>
      <c r="X693" s="15">
        <f>IF(ISERROR(VLOOKUP($A693,'13. Updated Demand'!A:Z,15,FALSE)),0,VLOOKUP($A693,'13. Updated Demand'!A:Z,15,FALSE))</f>
        <v>1</v>
      </c>
      <c r="Y693" s="16">
        <f>IF(ISERROR(VLOOKUP($A693,'13. Updated Demand'!A:Z,16,FALSE)),0,VLOOKUP($A693,'13. Updated Demand'!A:Z,16,FALSE))</f>
        <v>1.1666666670000001</v>
      </c>
      <c r="Z693" s="16">
        <f>IF(ISERROR(VLOOKUP($A693,'13. Updated Demand'!A:Z,17,FALSE)),0,VLOOKUP($A693,'13. Updated Demand'!A:Z,17,FALSE))</f>
        <v>0.16666666699999999</v>
      </c>
      <c r="AA693" s="16">
        <f>IF(ISERROR(VLOOKUP($A693,'13. Updated Demand'!A:Z,18,FALSE)),0,VLOOKUP($A693,'13. Updated Demand'!A:Z,18,FALSE))</f>
        <v>0.16666666699999999</v>
      </c>
      <c r="AB693" s="16">
        <f>IF(ISERROR(VLOOKUP($A693,'13. Updated Demand'!A:Z,19,FALSE)),0,VLOOKUP($A693,'13. Updated Demand'!A:Z,19,FALSE))</f>
        <v>0</v>
      </c>
      <c r="AC693" s="16">
        <f>IF(ISERROR(VLOOKUP($A693,'13. Updated Demand'!A:Z,20,FALSE)),0,VLOOKUP($A693,'13. Updated Demand'!A:Z,20,FALSE))</f>
        <v>0</v>
      </c>
      <c r="AD693" s="16">
        <f>IF(ISERROR(VLOOKUP($A693,'13. Updated Demand'!A:Z,21,FALSE)),0,VLOOKUP($A693,'13. Updated Demand'!A:Z,21,FALSE))</f>
        <v>0</v>
      </c>
      <c r="AE693" s="16">
        <f>IF(ISERROR(VLOOKUP($A693,'13. Updated Demand'!A:Z,22,FALSE)),0,VLOOKUP($A693,'13. Updated Demand'!A:Z,22,FALSE))</f>
        <v>0</v>
      </c>
      <c r="AF693" s="16">
        <f>IF(ISERROR(VLOOKUP($A693,'13. Updated Demand'!A:Z,23,FALSE)),0,VLOOKUP($A693,'13. Updated Demand'!A:Z,23,FALSE))</f>
        <v>0</v>
      </c>
      <c r="AG693" s="16">
        <f>IF(ISERROR(VLOOKUP($A693,'13. Updated Demand'!A:Z,24,FALSE)),0,VLOOKUP($A693,'13. Updated Demand'!A:Z,24,FALSE))</f>
        <v>0</v>
      </c>
      <c r="AH693" s="16">
        <f>IF(ISERROR(VLOOKUP($A693,'13. Updated Demand'!A:Z,25,FALSE)),0,VLOOKUP($A693,'13. Updated Demand'!A:Z,25,FALSE))</f>
        <v>0.16666666699999999</v>
      </c>
      <c r="AI693" s="16">
        <f>IF(ISERROR(VLOOKUP($A693,'13. Updated Demand'!A:Z,26,FALSE)),0,VLOOKUP($A693,'13. Updated Demand'!A:Z,26,FALSE))</f>
        <v>0</v>
      </c>
      <c r="AJ693" s="16">
        <f t="shared" si="132"/>
        <v>2.666666668</v>
      </c>
      <c r="AK693" s="19">
        <v>0</v>
      </c>
      <c r="AL693" s="16">
        <f t="shared" si="130"/>
        <v>0</v>
      </c>
      <c r="AM693" s="17">
        <v>0</v>
      </c>
      <c r="AN693" s="19"/>
      <c r="AO693" s="19"/>
      <c r="AP693" s="19">
        <v>0</v>
      </c>
      <c r="AQ693" s="19" t="s">
        <v>307</v>
      </c>
      <c r="AR693" s="9" t="s">
        <v>378</v>
      </c>
      <c r="AS693" s="12">
        <v>0</v>
      </c>
      <c r="AT693" s="19">
        <v>38.44760144</v>
      </c>
      <c r="AU693" s="19">
        <v>-122.59815902</v>
      </c>
      <c r="AV693" s="19" t="s">
        <v>417</v>
      </c>
    </row>
    <row r="694" spans="1:48" x14ac:dyDescent="0.25">
      <c r="A694" s="18" t="s">
        <v>1082</v>
      </c>
      <c r="B694" s="10">
        <v>19751128</v>
      </c>
      <c r="C694" s="9">
        <v>2</v>
      </c>
      <c r="D694" s="8" t="str">
        <f t="shared" si="121"/>
        <v>N</v>
      </c>
      <c r="E694" s="8" t="str">
        <f t="shared" si="122"/>
        <v>N</v>
      </c>
      <c r="F694" s="8" t="str">
        <f t="shared" si="123"/>
        <v>Y</v>
      </c>
      <c r="G694" s="8" t="str">
        <f t="shared" si="124"/>
        <v>N</v>
      </c>
      <c r="H694" s="8" t="str">
        <f t="shared" si="125"/>
        <v>Upper</v>
      </c>
      <c r="I694" s="8" t="str">
        <f t="shared" si="126"/>
        <v>Outside</v>
      </c>
      <c r="J694" s="8" t="str">
        <f t="shared" si="127"/>
        <v>Outside</v>
      </c>
      <c r="K694" s="8" t="str">
        <f t="shared" si="128"/>
        <v>Post-1949</v>
      </c>
      <c r="L694" s="8">
        <f t="shared" si="129"/>
        <v>1975</v>
      </c>
      <c r="M694" s="8" t="str">
        <f t="shared" si="131"/>
        <v>1971-1990</v>
      </c>
      <c r="N694" s="10" t="s">
        <v>242</v>
      </c>
      <c r="O694" s="10" t="s">
        <v>241</v>
      </c>
      <c r="P694" s="10" t="s">
        <v>242</v>
      </c>
      <c r="Q694" s="10" t="s">
        <v>242</v>
      </c>
      <c r="R694" s="10" t="s">
        <v>241</v>
      </c>
      <c r="S694" s="10" t="s">
        <v>242</v>
      </c>
      <c r="T694" s="10" t="s">
        <v>242</v>
      </c>
      <c r="U694" s="10" t="s">
        <v>242</v>
      </c>
      <c r="V694" s="10" t="s">
        <v>242</v>
      </c>
      <c r="W694" s="10" t="s">
        <v>242</v>
      </c>
      <c r="X694" s="15">
        <f>IF(ISERROR(VLOOKUP($A694,'13. Updated Demand'!A:Z,15,FALSE)),0,VLOOKUP($A694,'13. Updated Demand'!A:Z,15,FALSE))</f>
        <v>0</v>
      </c>
      <c r="Y694" s="16">
        <f>IF(ISERROR(VLOOKUP($A694,'13. Updated Demand'!A:Z,16,FALSE)),0,VLOOKUP($A694,'13. Updated Demand'!A:Z,16,FALSE))</f>
        <v>0</v>
      </c>
      <c r="Z694" s="16">
        <f>IF(ISERROR(VLOOKUP($A694,'13. Updated Demand'!A:Z,17,FALSE)),0,VLOOKUP($A694,'13. Updated Demand'!A:Z,17,FALSE))</f>
        <v>0</v>
      </c>
      <c r="AA694" s="16">
        <f>IF(ISERROR(VLOOKUP($A694,'13. Updated Demand'!A:Z,18,FALSE)),0,VLOOKUP($A694,'13. Updated Demand'!A:Z,18,FALSE))</f>
        <v>0</v>
      </c>
      <c r="AB694" s="16">
        <f>IF(ISERROR(VLOOKUP($A694,'13. Updated Demand'!A:Z,19,FALSE)),0,VLOOKUP($A694,'13. Updated Demand'!A:Z,19,FALSE))</f>
        <v>4.6035E-3</v>
      </c>
      <c r="AC694" s="16">
        <f>IF(ISERROR(VLOOKUP($A694,'13. Updated Demand'!A:Z,20,FALSE)),0,VLOOKUP($A694,'13. Updated Demand'!A:Z,20,FALSE))</f>
        <v>4.6035E-3</v>
      </c>
      <c r="AD694" s="16">
        <f>IF(ISERROR(VLOOKUP($A694,'13. Updated Demand'!A:Z,21,FALSE)),0,VLOOKUP($A694,'13. Updated Demand'!A:Z,21,FALSE))</f>
        <v>0</v>
      </c>
      <c r="AE694" s="16">
        <f>IF(ISERROR(VLOOKUP($A694,'13. Updated Demand'!A:Z,22,FALSE)),0,VLOOKUP($A694,'13. Updated Demand'!A:Z,22,FALSE))</f>
        <v>0</v>
      </c>
      <c r="AF694" s="16">
        <f>IF(ISERROR(VLOOKUP($A694,'13. Updated Demand'!A:Z,23,FALSE)),0,VLOOKUP($A694,'13. Updated Demand'!A:Z,23,FALSE))</f>
        <v>0</v>
      </c>
      <c r="AG694" s="16">
        <f>IF(ISERROR(VLOOKUP($A694,'13. Updated Demand'!A:Z,24,FALSE)),0,VLOOKUP($A694,'13. Updated Demand'!A:Z,24,FALSE))</f>
        <v>0</v>
      </c>
      <c r="AH694" s="16">
        <f>IF(ISERROR(VLOOKUP($A694,'13. Updated Demand'!A:Z,25,FALSE)),0,VLOOKUP($A694,'13. Updated Demand'!A:Z,25,FALSE))</f>
        <v>0</v>
      </c>
      <c r="AI694" s="16">
        <f>IF(ISERROR(VLOOKUP($A694,'13. Updated Demand'!A:Z,26,FALSE)),0,VLOOKUP($A694,'13. Updated Demand'!A:Z,26,FALSE))</f>
        <v>0</v>
      </c>
      <c r="AJ694" s="16">
        <f t="shared" si="132"/>
        <v>9.2069999999999999E-3</v>
      </c>
      <c r="AK694" s="19">
        <v>9.2069999999999999E-3</v>
      </c>
      <c r="AL694" s="16">
        <f t="shared" si="130"/>
        <v>3.0538570224143753E-5</v>
      </c>
      <c r="AM694" s="17">
        <v>9.2069999999999999E-2</v>
      </c>
      <c r="AN694" s="19"/>
      <c r="AO694" s="19"/>
      <c r="AP694" s="19">
        <v>0.1</v>
      </c>
      <c r="AQ694" s="19" t="s">
        <v>307</v>
      </c>
      <c r="AR694" s="9" t="s">
        <v>348</v>
      </c>
      <c r="AS694" s="12">
        <v>0</v>
      </c>
      <c r="AT694" s="19">
        <v>39.296909280000001</v>
      </c>
      <c r="AU694" s="19">
        <v>-123.06120806</v>
      </c>
      <c r="AV694" s="19" t="s">
        <v>1083</v>
      </c>
    </row>
    <row r="695" spans="1:48" x14ac:dyDescent="0.25">
      <c r="A695" s="18" t="s">
        <v>1084</v>
      </c>
      <c r="B695" s="10">
        <v>19740305</v>
      </c>
      <c r="C695" s="9">
        <v>2</v>
      </c>
      <c r="D695" s="8" t="str">
        <f t="shared" si="121"/>
        <v>N</v>
      </c>
      <c r="E695" s="8" t="str">
        <f t="shared" si="122"/>
        <v>N</v>
      </c>
      <c r="F695" s="8" t="str">
        <f t="shared" si="123"/>
        <v>Y</v>
      </c>
      <c r="G695" s="8" t="str">
        <f t="shared" si="124"/>
        <v>N</v>
      </c>
      <c r="H695" s="8" t="str">
        <f t="shared" si="125"/>
        <v>Upper</v>
      </c>
      <c r="I695" s="8" t="str">
        <f t="shared" si="126"/>
        <v>Outside</v>
      </c>
      <c r="J695" s="8" t="str">
        <f t="shared" si="127"/>
        <v>Outside</v>
      </c>
      <c r="K695" s="8" t="str">
        <f t="shared" si="128"/>
        <v>Post-1949</v>
      </c>
      <c r="L695" s="8">
        <f t="shared" si="129"/>
        <v>1974</v>
      </c>
      <c r="M695" s="8" t="str">
        <f t="shared" si="131"/>
        <v>1971-1990</v>
      </c>
      <c r="N695" s="10" t="s">
        <v>242</v>
      </c>
      <c r="O695" s="10" t="s">
        <v>241</v>
      </c>
      <c r="P695" s="10" t="s">
        <v>242</v>
      </c>
      <c r="Q695" s="10" t="s">
        <v>242</v>
      </c>
      <c r="R695" s="10" t="s">
        <v>241</v>
      </c>
      <c r="S695" s="10" t="s">
        <v>242</v>
      </c>
      <c r="T695" s="10" t="s">
        <v>242</v>
      </c>
      <c r="U695" s="10" t="s">
        <v>242</v>
      </c>
      <c r="V695" s="10" t="s">
        <v>242</v>
      </c>
      <c r="W695" s="10" t="s">
        <v>242</v>
      </c>
      <c r="X695" s="15">
        <f>IF(ISERROR(VLOOKUP($A695,'13. Updated Demand'!A:Z,15,FALSE)),0,VLOOKUP($A695,'13. Updated Demand'!A:Z,15,FALSE))</f>
        <v>0</v>
      </c>
      <c r="Y695" s="16">
        <f>IF(ISERROR(VLOOKUP($A695,'13. Updated Demand'!A:Z,16,FALSE)),0,VLOOKUP($A695,'13. Updated Demand'!A:Z,16,FALSE))</f>
        <v>0</v>
      </c>
      <c r="Z695" s="16">
        <f>IF(ISERROR(VLOOKUP($A695,'13. Updated Demand'!A:Z,17,FALSE)),0,VLOOKUP($A695,'13. Updated Demand'!A:Z,17,FALSE))</f>
        <v>3.33</v>
      </c>
      <c r="AA695" s="16">
        <f>IF(ISERROR(VLOOKUP($A695,'13. Updated Demand'!A:Z,18,FALSE)),0,VLOOKUP($A695,'13. Updated Demand'!A:Z,18,FALSE))</f>
        <v>1.66</v>
      </c>
      <c r="AB695" s="16">
        <f>IF(ISERROR(VLOOKUP($A695,'13. Updated Demand'!A:Z,19,FALSE)),0,VLOOKUP($A695,'13. Updated Demand'!A:Z,19,FALSE))</f>
        <v>3.66</v>
      </c>
      <c r="AC695" s="16">
        <f>IF(ISERROR(VLOOKUP($A695,'13. Updated Demand'!A:Z,20,FALSE)),0,VLOOKUP($A695,'13. Updated Demand'!A:Z,20,FALSE))</f>
        <v>14.33</v>
      </c>
      <c r="AD695" s="16">
        <f>IF(ISERROR(VLOOKUP($A695,'13. Updated Demand'!A:Z,21,FALSE)),0,VLOOKUP($A695,'13. Updated Demand'!A:Z,21,FALSE))</f>
        <v>11</v>
      </c>
      <c r="AE695" s="16">
        <f>IF(ISERROR(VLOOKUP($A695,'13. Updated Demand'!A:Z,22,FALSE)),0,VLOOKUP($A695,'13. Updated Demand'!A:Z,22,FALSE))</f>
        <v>10.83</v>
      </c>
      <c r="AF695" s="16">
        <f>IF(ISERROR(VLOOKUP($A695,'13. Updated Demand'!A:Z,23,FALSE)),0,VLOOKUP($A695,'13. Updated Demand'!A:Z,23,FALSE))</f>
        <v>6.66</v>
      </c>
      <c r="AG695" s="16">
        <f>IF(ISERROR(VLOOKUP($A695,'13. Updated Demand'!A:Z,24,FALSE)),0,VLOOKUP($A695,'13. Updated Demand'!A:Z,24,FALSE))</f>
        <v>6.66</v>
      </c>
      <c r="AH695" s="16">
        <f>IF(ISERROR(VLOOKUP($A695,'13. Updated Demand'!A:Z,25,FALSE)),0,VLOOKUP($A695,'13. Updated Demand'!A:Z,25,FALSE))</f>
        <v>0</v>
      </c>
      <c r="AI695" s="16">
        <f>IF(ISERROR(VLOOKUP($A695,'13. Updated Demand'!A:Z,26,FALSE)),0,VLOOKUP($A695,'13. Updated Demand'!A:Z,26,FALSE))</f>
        <v>0</v>
      </c>
      <c r="AJ695" s="16">
        <f t="shared" si="132"/>
        <v>58.129999999999995</v>
      </c>
      <c r="AK695" s="19">
        <v>46.499999999999943</v>
      </c>
      <c r="AL695" s="16">
        <f t="shared" si="130"/>
        <v>0.15423520315224098</v>
      </c>
      <c r="AM695" s="17">
        <v>0.33622350674373763</v>
      </c>
      <c r="AN695" s="19"/>
      <c r="AO695" s="19"/>
      <c r="AP695" s="19">
        <v>173</v>
      </c>
      <c r="AQ695" s="19" t="s">
        <v>307</v>
      </c>
      <c r="AR695" s="9" t="s">
        <v>348</v>
      </c>
      <c r="AS695" s="12">
        <v>0</v>
      </c>
      <c r="AT695" s="19">
        <v>39.359190079999998</v>
      </c>
      <c r="AU695" s="19">
        <v>-123.12900333</v>
      </c>
      <c r="AV695" s="19" t="s">
        <v>433</v>
      </c>
    </row>
    <row r="696" spans="1:48" x14ac:dyDescent="0.25">
      <c r="A696" s="18" t="s">
        <v>1085</v>
      </c>
      <c r="B696" s="10">
        <v>19740305</v>
      </c>
      <c r="C696" s="9">
        <v>2</v>
      </c>
      <c r="D696" s="8" t="str">
        <f t="shared" si="121"/>
        <v>N</v>
      </c>
      <c r="E696" s="8" t="str">
        <f t="shared" si="122"/>
        <v>N</v>
      </c>
      <c r="F696" s="8" t="str">
        <f t="shared" si="123"/>
        <v>Y</v>
      </c>
      <c r="G696" s="8" t="str">
        <f t="shared" si="124"/>
        <v>N</v>
      </c>
      <c r="H696" s="8" t="str">
        <f t="shared" si="125"/>
        <v>Upper</v>
      </c>
      <c r="I696" s="8" t="str">
        <f t="shared" si="126"/>
        <v>Outside</v>
      </c>
      <c r="J696" s="8" t="str">
        <f t="shared" si="127"/>
        <v>Outside</v>
      </c>
      <c r="K696" s="8" t="str">
        <f t="shared" si="128"/>
        <v>Post-1949</v>
      </c>
      <c r="L696" s="8">
        <f t="shared" si="129"/>
        <v>1974</v>
      </c>
      <c r="M696" s="8" t="str">
        <f t="shared" si="131"/>
        <v>1971-1990</v>
      </c>
      <c r="N696" s="10" t="s">
        <v>242</v>
      </c>
      <c r="O696" s="10" t="s">
        <v>241</v>
      </c>
      <c r="P696" s="10" t="s">
        <v>242</v>
      </c>
      <c r="Q696" s="10" t="s">
        <v>242</v>
      </c>
      <c r="R696" s="10" t="s">
        <v>241</v>
      </c>
      <c r="S696" s="10" t="s">
        <v>242</v>
      </c>
      <c r="T696" s="10" t="s">
        <v>242</v>
      </c>
      <c r="U696" s="10" t="s">
        <v>242</v>
      </c>
      <c r="V696" s="10" t="s">
        <v>242</v>
      </c>
      <c r="W696" s="10" t="s">
        <v>242</v>
      </c>
      <c r="X696" s="15">
        <f>IF(ISERROR(VLOOKUP($A696,'13. Updated Demand'!A:Z,15,FALSE)),0,VLOOKUP($A696,'13. Updated Demand'!A:Z,15,FALSE))</f>
        <v>0</v>
      </c>
      <c r="Y696" s="16">
        <f>IF(ISERROR(VLOOKUP($A696,'13. Updated Demand'!A:Z,16,FALSE)),0,VLOOKUP($A696,'13. Updated Demand'!A:Z,16,FALSE))</f>
        <v>0</v>
      </c>
      <c r="Z696" s="16">
        <f>IF(ISERROR(VLOOKUP($A696,'13. Updated Demand'!A:Z,17,FALSE)),0,VLOOKUP($A696,'13. Updated Demand'!A:Z,17,FALSE))</f>
        <v>8.0299999999999994</v>
      </c>
      <c r="AA696" s="16">
        <f>IF(ISERROR(VLOOKUP($A696,'13. Updated Demand'!A:Z,18,FALSE)),0,VLOOKUP($A696,'13. Updated Demand'!A:Z,18,FALSE))</f>
        <v>8.43</v>
      </c>
      <c r="AB696" s="16">
        <f>IF(ISERROR(VLOOKUP($A696,'13. Updated Demand'!A:Z,19,FALSE)),0,VLOOKUP($A696,'13. Updated Demand'!A:Z,19,FALSE))</f>
        <v>5.53</v>
      </c>
      <c r="AC696" s="16">
        <f>IF(ISERROR(VLOOKUP($A696,'13. Updated Demand'!A:Z,20,FALSE)),0,VLOOKUP($A696,'13. Updated Demand'!A:Z,20,FALSE))</f>
        <v>6.76</v>
      </c>
      <c r="AD696" s="16">
        <f>IF(ISERROR(VLOOKUP($A696,'13. Updated Demand'!A:Z,21,FALSE)),0,VLOOKUP($A696,'13. Updated Demand'!A:Z,21,FALSE))</f>
        <v>7.73</v>
      </c>
      <c r="AE696" s="16">
        <f>IF(ISERROR(VLOOKUP($A696,'13. Updated Demand'!A:Z,22,FALSE)),0,VLOOKUP($A696,'13. Updated Demand'!A:Z,22,FALSE))</f>
        <v>3.06</v>
      </c>
      <c r="AF696" s="16">
        <f>IF(ISERROR(VLOOKUP($A696,'13. Updated Demand'!A:Z,23,FALSE)),0,VLOOKUP($A696,'13. Updated Demand'!A:Z,23,FALSE))</f>
        <v>5.4</v>
      </c>
      <c r="AG696" s="16">
        <f>IF(ISERROR(VLOOKUP($A696,'13. Updated Demand'!A:Z,24,FALSE)),0,VLOOKUP($A696,'13. Updated Demand'!A:Z,24,FALSE))</f>
        <v>8.16</v>
      </c>
      <c r="AH696" s="16">
        <f>IF(ISERROR(VLOOKUP($A696,'13. Updated Demand'!A:Z,25,FALSE)),0,VLOOKUP($A696,'13. Updated Demand'!A:Z,25,FALSE))</f>
        <v>0</v>
      </c>
      <c r="AI696" s="16">
        <f>IF(ISERROR(VLOOKUP($A696,'13. Updated Demand'!A:Z,26,FALSE)),0,VLOOKUP($A696,'13. Updated Demand'!A:Z,26,FALSE))</f>
        <v>0</v>
      </c>
      <c r="AJ696" s="16">
        <f t="shared" si="132"/>
        <v>53.100000000000009</v>
      </c>
      <c r="AK696" s="19">
        <v>28.5</v>
      </c>
      <c r="AL696" s="16">
        <f t="shared" si="130"/>
        <v>9.4531253544922006E-2</v>
      </c>
      <c r="AM696" s="17">
        <v>0.20202788339543729</v>
      </c>
      <c r="AN696" s="19"/>
      <c r="AO696" s="19"/>
      <c r="AP696" s="19">
        <v>263</v>
      </c>
      <c r="AQ696" s="19" t="s">
        <v>307</v>
      </c>
      <c r="AR696" s="9" t="s">
        <v>348</v>
      </c>
      <c r="AS696" s="12">
        <v>0</v>
      </c>
      <c r="AT696" s="19">
        <v>39.359154420000003</v>
      </c>
      <c r="AU696" s="19">
        <v>-123.12899461000001</v>
      </c>
      <c r="AV696" s="19" t="s">
        <v>433</v>
      </c>
    </row>
    <row r="697" spans="1:48" x14ac:dyDescent="0.25">
      <c r="A697" s="18" t="s">
        <v>1086</v>
      </c>
      <c r="B697" s="10">
        <v>19740111</v>
      </c>
      <c r="C697" s="9">
        <v>6</v>
      </c>
      <c r="D697" s="8" t="str">
        <f t="shared" si="121"/>
        <v>Y</v>
      </c>
      <c r="E697" s="8" t="str">
        <f t="shared" si="122"/>
        <v>N</v>
      </c>
      <c r="F697" s="8" t="str">
        <f t="shared" si="123"/>
        <v>Y</v>
      </c>
      <c r="G697" s="8" t="str">
        <f t="shared" si="124"/>
        <v>Y</v>
      </c>
      <c r="H697" s="8" t="str">
        <f t="shared" si="125"/>
        <v>Upper</v>
      </c>
      <c r="I697" s="8" t="str">
        <f t="shared" si="126"/>
        <v>West Fork and Below Lake</v>
      </c>
      <c r="J697" s="8" t="str">
        <f t="shared" si="127"/>
        <v>Mendocino (d/s of lake)</v>
      </c>
      <c r="K697" s="8" t="str">
        <f t="shared" si="128"/>
        <v>Post-1949</v>
      </c>
      <c r="L697" s="8">
        <f t="shared" si="129"/>
        <v>1974</v>
      </c>
      <c r="M697" s="8" t="str">
        <f t="shared" si="131"/>
        <v>1971-1990</v>
      </c>
      <c r="N697" s="10" t="s">
        <v>241</v>
      </c>
      <c r="O697" s="10" t="s">
        <v>241</v>
      </c>
      <c r="P697" s="10" t="s">
        <v>242</v>
      </c>
      <c r="Q697" s="10" t="s">
        <v>242</v>
      </c>
      <c r="R697" s="10" t="s">
        <v>241</v>
      </c>
      <c r="S697" s="10" t="s">
        <v>242</v>
      </c>
      <c r="T697" s="10" t="s">
        <v>242</v>
      </c>
      <c r="U697" s="10" t="s">
        <v>242</v>
      </c>
      <c r="V697" s="10" t="s">
        <v>242</v>
      </c>
      <c r="W697" s="10" t="s">
        <v>242</v>
      </c>
      <c r="X697" s="15">
        <f>IF(ISERROR(VLOOKUP($A697,'13. Updated Demand'!A:Z,15,FALSE)),0,VLOOKUP($A697,'13. Updated Demand'!A:Z,15,FALSE))</f>
        <v>0</v>
      </c>
      <c r="Y697" s="16">
        <f>IF(ISERROR(VLOOKUP($A697,'13. Updated Demand'!A:Z,16,FALSE)),0,VLOOKUP($A697,'13. Updated Demand'!A:Z,16,FALSE))</f>
        <v>0</v>
      </c>
      <c r="Z697" s="16">
        <f>IF(ISERROR(VLOOKUP($A697,'13. Updated Demand'!A:Z,17,FALSE)),0,VLOOKUP($A697,'13. Updated Demand'!A:Z,17,FALSE))</f>
        <v>0</v>
      </c>
      <c r="AA697" s="16">
        <f>IF(ISERROR(VLOOKUP($A697,'13. Updated Demand'!A:Z,18,FALSE)),0,VLOOKUP($A697,'13. Updated Demand'!A:Z,18,FALSE))</f>
        <v>0</v>
      </c>
      <c r="AB697" s="16">
        <f>IF(ISERROR(VLOOKUP($A697,'13. Updated Demand'!A:Z,19,FALSE)),0,VLOOKUP($A697,'13. Updated Demand'!A:Z,19,FALSE))</f>
        <v>0.64</v>
      </c>
      <c r="AC697" s="16">
        <f>IF(ISERROR(VLOOKUP($A697,'13. Updated Demand'!A:Z,20,FALSE)),0,VLOOKUP($A697,'13. Updated Demand'!A:Z,20,FALSE))</f>
        <v>2.16</v>
      </c>
      <c r="AD697" s="16">
        <f>IF(ISERROR(VLOOKUP($A697,'13. Updated Demand'!A:Z,21,FALSE)),0,VLOOKUP($A697,'13. Updated Demand'!A:Z,21,FALSE))</f>
        <v>5.2</v>
      </c>
      <c r="AE697" s="16">
        <f>IF(ISERROR(VLOOKUP($A697,'13. Updated Demand'!A:Z,22,FALSE)),0,VLOOKUP($A697,'13. Updated Demand'!A:Z,22,FALSE))</f>
        <v>2.4</v>
      </c>
      <c r="AF697" s="16">
        <f>IF(ISERROR(VLOOKUP($A697,'13. Updated Demand'!A:Z,23,FALSE)),0,VLOOKUP($A697,'13. Updated Demand'!A:Z,23,FALSE))</f>
        <v>0</v>
      </c>
      <c r="AG697" s="16">
        <f>IF(ISERROR(VLOOKUP($A697,'13. Updated Demand'!A:Z,24,FALSE)),0,VLOOKUP($A697,'13. Updated Demand'!A:Z,24,FALSE))</f>
        <v>0</v>
      </c>
      <c r="AH697" s="16">
        <f>IF(ISERROR(VLOOKUP($A697,'13. Updated Demand'!A:Z,25,FALSE)),0,VLOOKUP($A697,'13. Updated Demand'!A:Z,25,FALSE))</f>
        <v>0</v>
      </c>
      <c r="AI697" s="16">
        <f>IF(ISERROR(VLOOKUP($A697,'13. Updated Demand'!A:Z,26,FALSE)),0,VLOOKUP($A697,'13. Updated Demand'!A:Z,26,FALSE))</f>
        <v>0</v>
      </c>
      <c r="AJ697" s="16">
        <f t="shared" si="132"/>
        <v>10.4</v>
      </c>
      <c r="AK697" s="19">
        <v>10.413333333333338</v>
      </c>
      <c r="AL697" s="16">
        <f t="shared" si="130"/>
        <v>3.4539840476530581E-2</v>
      </c>
      <c r="AM697" s="17">
        <v>0.11969348659003837</v>
      </c>
      <c r="AN697" s="19"/>
      <c r="AO697" s="19"/>
      <c r="AP697" s="19">
        <v>87</v>
      </c>
      <c r="AQ697" s="19" t="s">
        <v>307</v>
      </c>
      <c r="AR697" s="9" t="s">
        <v>319</v>
      </c>
      <c r="AS697" s="12">
        <v>0</v>
      </c>
      <c r="AT697" s="19">
        <v>38.981933730000002</v>
      </c>
      <c r="AU697" s="19">
        <v>-123.09344127999999</v>
      </c>
      <c r="AV697" s="19" t="s">
        <v>387</v>
      </c>
    </row>
    <row r="698" spans="1:48" x14ac:dyDescent="0.25">
      <c r="A698" s="18" t="s">
        <v>1087</v>
      </c>
      <c r="B698" s="10">
        <v>19740301</v>
      </c>
      <c r="C698" s="9">
        <v>23</v>
      </c>
      <c r="D698" s="8" t="str">
        <f t="shared" si="121"/>
        <v>N</v>
      </c>
      <c r="E698" s="8" t="str">
        <f t="shared" si="122"/>
        <v>N</v>
      </c>
      <c r="F698" s="8" t="str">
        <f t="shared" si="123"/>
        <v>N</v>
      </c>
      <c r="G698" s="8" t="str">
        <f t="shared" si="124"/>
        <v>N</v>
      </c>
      <c r="H698" s="8" t="str">
        <f t="shared" si="125"/>
        <v>Lower</v>
      </c>
      <c r="I698" s="8" t="str">
        <f t="shared" si="126"/>
        <v>Outside</v>
      </c>
      <c r="J698" s="8" t="str">
        <f t="shared" si="127"/>
        <v>Outside</v>
      </c>
      <c r="K698" s="8" t="str">
        <f t="shared" si="128"/>
        <v>Post-1949</v>
      </c>
      <c r="L698" s="8">
        <f t="shared" si="129"/>
        <v>1974</v>
      </c>
      <c r="M698" s="8" t="str">
        <f t="shared" si="131"/>
        <v>1971-1990</v>
      </c>
      <c r="N698" s="10" t="s">
        <v>242</v>
      </c>
      <c r="O698" s="10" t="s">
        <v>242</v>
      </c>
      <c r="P698" s="10" t="s">
        <v>242</v>
      </c>
      <c r="Q698" s="10" t="s">
        <v>242</v>
      </c>
      <c r="R698" s="10" t="s">
        <v>241</v>
      </c>
      <c r="S698" s="10" t="s">
        <v>242</v>
      </c>
      <c r="T698" s="10" t="s">
        <v>242</v>
      </c>
      <c r="U698" s="10" t="s">
        <v>242</v>
      </c>
      <c r="V698" s="10" t="s">
        <v>241</v>
      </c>
      <c r="W698" s="10" t="s">
        <v>242</v>
      </c>
      <c r="X698" s="15">
        <f>IF(ISERROR(VLOOKUP($A698,'13. Updated Demand'!A:Z,15,FALSE)),0,VLOOKUP($A698,'13. Updated Demand'!A:Z,15,FALSE))</f>
        <v>4.0666666669999998</v>
      </c>
      <c r="Y698" s="16">
        <f>IF(ISERROR(VLOOKUP($A698,'13. Updated Demand'!A:Z,16,FALSE)),0,VLOOKUP($A698,'13. Updated Demand'!A:Z,16,FALSE))</f>
        <v>10.733333330000001</v>
      </c>
      <c r="Z698" s="16">
        <f>IF(ISERROR(VLOOKUP($A698,'13. Updated Demand'!A:Z,17,FALSE)),0,VLOOKUP($A698,'13. Updated Demand'!A:Z,17,FALSE))</f>
        <v>0.53333333299999997</v>
      </c>
      <c r="AA698" s="16">
        <f>IF(ISERROR(VLOOKUP($A698,'13. Updated Demand'!A:Z,18,FALSE)),0,VLOOKUP($A698,'13. Updated Demand'!A:Z,18,FALSE))</f>
        <v>0.5</v>
      </c>
      <c r="AB698" s="16">
        <f>IF(ISERROR(VLOOKUP($A698,'13. Updated Demand'!A:Z,19,FALSE)),0,VLOOKUP($A698,'13. Updated Demand'!A:Z,19,FALSE))</f>
        <v>0</v>
      </c>
      <c r="AC698" s="16">
        <f>IF(ISERROR(VLOOKUP($A698,'13. Updated Demand'!A:Z,20,FALSE)),0,VLOOKUP($A698,'13. Updated Demand'!A:Z,20,FALSE))</f>
        <v>0</v>
      </c>
      <c r="AD698" s="16">
        <f>IF(ISERROR(VLOOKUP($A698,'13. Updated Demand'!A:Z,21,FALSE)),0,VLOOKUP($A698,'13. Updated Demand'!A:Z,21,FALSE))</f>
        <v>0</v>
      </c>
      <c r="AE698" s="16">
        <f>IF(ISERROR(VLOOKUP($A698,'13. Updated Demand'!A:Z,22,FALSE)),0,VLOOKUP($A698,'13. Updated Demand'!A:Z,22,FALSE))</f>
        <v>0</v>
      </c>
      <c r="AF698" s="16">
        <f>IF(ISERROR(VLOOKUP($A698,'13. Updated Demand'!A:Z,23,FALSE)),0,VLOOKUP($A698,'13. Updated Demand'!A:Z,23,FALSE))</f>
        <v>0</v>
      </c>
      <c r="AG698" s="16">
        <f>IF(ISERROR(VLOOKUP($A698,'13. Updated Demand'!A:Z,24,FALSE)),0,VLOOKUP($A698,'13. Updated Demand'!A:Z,24,FALSE))</f>
        <v>0</v>
      </c>
      <c r="AH698" s="16">
        <f>IF(ISERROR(VLOOKUP($A698,'13. Updated Demand'!A:Z,25,FALSE)),0,VLOOKUP($A698,'13. Updated Demand'!A:Z,25,FALSE))</f>
        <v>0.46666666699999998</v>
      </c>
      <c r="AI698" s="16">
        <f>IF(ISERROR(VLOOKUP($A698,'13. Updated Demand'!A:Z,26,FALSE)),0,VLOOKUP($A698,'13. Updated Demand'!A:Z,26,FALSE))</f>
        <v>2.7</v>
      </c>
      <c r="AJ698" s="16">
        <f t="shared" si="132"/>
        <v>18.999999997</v>
      </c>
      <c r="AK698" s="19">
        <v>0</v>
      </c>
      <c r="AL698" s="16">
        <f t="shared" si="130"/>
        <v>0</v>
      </c>
      <c r="AM698" s="17">
        <v>0.55882352932352941</v>
      </c>
      <c r="AN698" s="19"/>
      <c r="AO698" s="19"/>
      <c r="AP698" s="19">
        <v>34</v>
      </c>
      <c r="AQ698" s="19" t="s">
        <v>307</v>
      </c>
      <c r="AR698" s="9" t="s">
        <v>391</v>
      </c>
      <c r="AS698" s="12">
        <v>0</v>
      </c>
      <c r="AT698" s="19">
        <v>38.564670640000003</v>
      </c>
      <c r="AU698" s="19">
        <v>-122.76911834000001</v>
      </c>
      <c r="AV698" s="19" t="s">
        <v>417</v>
      </c>
    </row>
    <row r="699" spans="1:48" x14ac:dyDescent="0.25">
      <c r="A699" s="18" t="s">
        <v>1088</v>
      </c>
      <c r="B699" s="10">
        <v>19740412</v>
      </c>
      <c r="C699" s="9">
        <v>6</v>
      </c>
      <c r="D699" s="8" t="str">
        <f t="shared" si="121"/>
        <v>Y</v>
      </c>
      <c r="E699" s="8" t="str">
        <f t="shared" si="122"/>
        <v>N</v>
      </c>
      <c r="F699" s="8" t="str">
        <f t="shared" si="123"/>
        <v>Y</v>
      </c>
      <c r="G699" s="8" t="str">
        <f t="shared" si="124"/>
        <v>Y</v>
      </c>
      <c r="H699" s="8" t="str">
        <f t="shared" si="125"/>
        <v>Upper</v>
      </c>
      <c r="I699" s="8" t="str">
        <f t="shared" si="126"/>
        <v>West Fork and Below Lake</v>
      </c>
      <c r="J699" s="8" t="str">
        <f t="shared" si="127"/>
        <v>Mendocino (d/s of lake)</v>
      </c>
      <c r="K699" s="8" t="str">
        <f t="shared" si="128"/>
        <v>Post-1949</v>
      </c>
      <c r="L699" s="8">
        <f t="shared" si="129"/>
        <v>1974</v>
      </c>
      <c r="M699" s="8" t="str">
        <f t="shared" si="131"/>
        <v>1971-1990</v>
      </c>
      <c r="N699" s="10" t="s">
        <v>242</v>
      </c>
      <c r="O699" s="10" t="s">
        <v>241</v>
      </c>
      <c r="P699" s="10" t="s">
        <v>242</v>
      </c>
      <c r="Q699" s="10" t="s">
        <v>242</v>
      </c>
      <c r="R699" s="10" t="s">
        <v>241</v>
      </c>
      <c r="S699" s="10" t="s">
        <v>242</v>
      </c>
      <c r="T699" s="10" t="s">
        <v>242</v>
      </c>
      <c r="U699" s="10" t="s">
        <v>242</v>
      </c>
      <c r="V699" s="10" t="s">
        <v>241</v>
      </c>
      <c r="W699" s="10" t="s">
        <v>242</v>
      </c>
      <c r="X699" s="15">
        <f>IF(ISERROR(VLOOKUP($A699,'13. Updated Demand'!A:Z,15,FALSE)),0,VLOOKUP($A699,'13. Updated Demand'!A:Z,15,FALSE))</f>
        <v>0</v>
      </c>
      <c r="Y699" s="16">
        <f>IF(ISERROR(VLOOKUP($A699,'13. Updated Demand'!A:Z,16,FALSE)),0,VLOOKUP($A699,'13. Updated Demand'!A:Z,16,FALSE))</f>
        <v>0</v>
      </c>
      <c r="Z699" s="16">
        <f>IF(ISERROR(VLOOKUP($A699,'13. Updated Demand'!A:Z,17,FALSE)),0,VLOOKUP($A699,'13. Updated Demand'!A:Z,17,FALSE))</f>
        <v>0</v>
      </c>
      <c r="AA699" s="16">
        <f>IF(ISERROR(VLOOKUP($A699,'13. Updated Demand'!A:Z,18,FALSE)),0,VLOOKUP($A699,'13. Updated Demand'!A:Z,18,FALSE))</f>
        <v>0</v>
      </c>
      <c r="AB699" s="16">
        <f>IF(ISERROR(VLOOKUP($A699,'13. Updated Demand'!A:Z,19,FALSE)),0,VLOOKUP($A699,'13. Updated Demand'!A:Z,19,FALSE))</f>
        <v>0</v>
      </c>
      <c r="AC699" s="16">
        <f>IF(ISERROR(VLOOKUP($A699,'13. Updated Demand'!A:Z,20,FALSE)),0,VLOOKUP($A699,'13. Updated Demand'!A:Z,20,FALSE))</f>
        <v>0</v>
      </c>
      <c r="AD699" s="16">
        <f>IF(ISERROR(VLOOKUP($A699,'13. Updated Demand'!A:Z,21,FALSE)),0,VLOOKUP($A699,'13. Updated Demand'!A:Z,21,FALSE))</f>
        <v>0</v>
      </c>
      <c r="AE699" s="16">
        <f>IF(ISERROR(VLOOKUP($A699,'13. Updated Demand'!A:Z,22,FALSE)),0,VLOOKUP($A699,'13. Updated Demand'!A:Z,22,FALSE))</f>
        <v>0</v>
      </c>
      <c r="AF699" s="16">
        <f>IF(ISERROR(VLOOKUP($A699,'13. Updated Demand'!A:Z,23,FALSE)),0,VLOOKUP($A699,'13. Updated Demand'!A:Z,23,FALSE))</f>
        <v>0</v>
      </c>
      <c r="AG699" s="16">
        <f>IF(ISERROR(VLOOKUP($A699,'13. Updated Demand'!A:Z,24,FALSE)),0,VLOOKUP($A699,'13. Updated Demand'!A:Z,24,FALSE))</f>
        <v>0</v>
      </c>
      <c r="AH699" s="16">
        <f>IF(ISERROR(VLOOKUP($A699,'13. Updated Demand'!A:Z,25,FALSE)),0,VLOOKUP($A699,'13. Updated Demand'!A:Z,25,FALSE))</f>
        <v>8.33</v>
      </c>
      <c r="AI699" s="16">
        <f>IF(ISERROR(VLOOKUP($A699,'13. Updated Demand'!A:Z,26,FALSE)),0,VLOOKUP($A699,'13. Updated Demand'!A:Z,26,FALSE))</f>
        <v>53.33</v>
      </c>
      <c r="AJ699" s="16">
        <f t="shared" si="132"/>
        <v>61.66</v>
      </c>
      <c r="AK699" s="19">
        <v>0</v>
      </c>
      <c r="AL699" s="16">
        <f t="shared" si="130"/>
        <v>0</v>
      </c>
      <c r="AM699" s="17">
        <v>3.6274509801764707E-2</v>
      </c>
      <c r="AN699" s="19"/>
      <c r="AO699" s="19"/>
      <c r="AP699" s="19">
        <v>1700</v>
      </c>
      <c r="AQ699" s="19" t="s">
        <v>307</v>
      </c>
      <c r="AR699" s="9" t="s">
        <v>319</v>
      </c>
      <c r="AS699" s="12">
        <v>0</v>
      </c>
      <c r="AT699" s="19">
        <v>38.962699999999998</v>
      </c>
      <c r="AU699" s="19">
        <v>-123.0322</v>
      </c>
      <c r="AV699" s="19" t="s">
        <v>385</v>
      </c>
    </row>
    <row r="700" spans="1:48" x14ac:dyDescent="0.25">
      <c r="A700" s="18" t="s">
        <v>1089</v>
      </c>
      <c r="B700" s="10">
        <v>19740412</v>
      </c>
      <c r="C700" s="9">
        <v>6</v>
      </c>
      <c r="D700" s="8" t="str">
        <f t="shared" si="121"/>
        <v>Y</v>
      </c>
      <c r="E700" s="8" t="str">
        <f t="shared" si="122"/>
        <v>N</v>
      </c>
      <c r="F700" s="8" t="str">
        <f t="shared" si="123"/>
        <v>Y</v>
      </c>
      <c r="G700" s="8" t="str">
        <f t="shared" si="124"/>
        <v>Y</v>
      </c>
      <c r="H700" s="8" t="str">
        <f t="shared" si="125"/>
        <v>Upper</v>
      </c>
      <c r="I700" s="8" t="str">
        <f t="shared" si="126"/>
        <v>West Fork and Below Lake</v>
      </c>
      <c r="J700" s="8" t="str">
        <f t="shared" si="127"/>
        <v>Mendocino (d/s of lake)</v>
      </c>
      <c r="K700" s="8" t="str">
        <f t="shared" si="128"/>
        <v>Post-1949</v>
      </c>
      <c r="L700" s="8">
        <f t="shared" si="129"/>
        <v>1974</v>
      </c>
      <c r="M700" s="8" t="str">
        <f t="shared" si="131"/>
        <v>1971-1990</v>
      </c>
      <c r="N700" s="10" t="s">
        <v>242</v>
      </c>
      <c r="O700" s="10" t="s">
        <v>241</v>
      </c>
      <c r="P700" s="10" t="s">
        <v>242</v>
      </c>
      <c r="Q700" s="10" t="s">
        <v>242</v>
      </c>
      <c r="R700" s="10" t="s">
        <v>241</v>
      </c>
      <c r="S700" s="10" t="s">
        <v>242</v>
      </c>
      <c r="T700" s="10" t="s">
        <v>242</v>
      </c>
      <c r="U700" s="10" t="s">
        <v>242</v>
      </c>
      <c r="V700" s="10" t="s">
        <v>241</v>
      </c>
      <c r="W700" s="10" t="s">
        <v>242</v>
      </c>
      <c r="X700" s="15">
        <f>IF(ISERROR(VLOOKUP($A700,'13. Updated Demand'!A:Z,15,FALSE)),0,VLOOKUP($A700,'13. Updated Demand'!A:Z,15,FALSE))</f>
        <v>0</v>
      </c>
      <c r="Y700" s="16">
        <f>IF(ISERROR(VLOOKUP($A700,'13. Updated Demand'!A:Z,16,FALSE)),0,VLOOKUP($A700,'13. Updated Demand'!A:Z,16,FALSE))</f>
        <v>0</v>
      </c>
      <c r="Z700" s="16">
        <f>IF(ISERROR(VLOOKUP($A700,'13. Updated Demand'!A:Z,17,FALSE)),0,VLOOKUP($A700,'13. Updated Demand'!A:Z,17,FALSE))</f>
        <v>10.029999999999999</v>
      </c>
      <c r="AA700" s="16">
        <f>IF(ISERROR(VLOOKUP($A700,'13. Updated Demand'!A:Z,18,FALSE)),0,VLOOKUP($A700,'13. Updated Demand'!A:Z,18,FALSE))</f>
        <v>4.5999999999999996</v>
      </c>
      <c r="AB700" s="16">
        <f>IF(ISERROR(VLOOKUP($A700,'13. Updated Demand'!A:Z,19,FALSE)),0,VLOOKUP($A700,'13. Updated Demand'!A:Z,19,FALSE))</f>
        <v>0</v>
      </c>
      <c r="AC700" s="16">
        <f>IF(ISERROR(VLOOKUP($A700,'13. Updated Demand'!A:Z,20,FALSE)),0,VLOOKUP($A700,'13. Updated Demand'!A:Z,20,FALSE))</f>
        <v>0</v>
      </c>
      <c r="AD700" s="16">
        <f>IF(ISERROR(VLOOKUP($A700,'13. Updated Demand'!A:Z,21,FALSE)),0,VLOOKUP($A700,'13. Updated Demand'!A:Z,21,FALSE))</f>
        <v>0</v>
      </c>
      <c r="AE700" s="16">
        <f>IF(ISERROR(VLOOKUP($A700,'13. Updated Demand'!A:Z,22,FALSE)),0,VLOOKUP($A700,'13. Updated Demand'!A:Z,22,FALSE))</f>
        <v>0</v>
      </c>
      <c r="AF700" s="16">
        <f>IF(ISERROR(VLOOKUP($A700,'13. Updated Demand'!A:Z,23,FALSE)),0,VLOOKUP($A700,'13. Updated Demand'!A:Z,23,FALSE))</f>
        <v>0</v>
      </c>
      <c r="AG700" s="16">
        <f>IF(ISERROR(VLOOKUP($A700,'13. Updated Demand'!A:Z,24,FALSE)),0,VLOOKUP($A700,'13. Updated Demand'!A:Z,24,FALSE))</f>
        <v>0</v>
      </c>
      <c r="AH700" s="16">
        <f>IF(ISERROR(VLOOKUP($A700,'13. Updated Demand'!A:Z,25,FALSE)),0,VLOOKUP($A700,'13. Updated Demand'!A:Z,25,FALSE))</f>
        <v>0</v>
      </c>
      <c r="AI700" s="16">
        <f>IF(ISERROR(VLOOKUP($A700,'13. Updated Demand'!A:Z,26,FALSE)),0,VLOOKUP($A700,'13. Updated Demand'!A:Z,26,FALSE))</f>
        <v>0</v>
      </c>
      <c r="AJ700" s="16">
        <f t="shared" si="132"/>
        <v>14.629999999999999</v>
      </c>
      <c r="AK700" s="19">
        <v>0</v>
      </c>
      <c r="AL700" s="16">
        <f t="shared" si="130"/>
        <v>0</v>
      </c>
      <c r="AM700" s="17">
        <v>4.572916665625E-2</v>
      </c>
      <c r="AN700" s="19"/>
      <c r="AO700" s="19"/>
      <c r="AP700" s="19">
        <v>320</v>
      </c>
      <c r="AQ700" s="19" t="s">
        <v>307</v>
      </c>
      <c r="AR700" s="9" t="s">
        <v>319</v>
      </c>
      <c r="AS700" s="12">
        <v>0</v>
      </c>
      <c r="AT700" s="19">
        <v>38.962699999999998</v>
      </c>
      <c r="AU700" s="19">
        <v>-123.0322</v>
      </c>
      <c r="AV700" s="19" t="s">
        <v>385</v>
      </c>
    </row>
    <row r="701" spans="1:48" x14ac:dyDescent="0.25">
      <c r="A701" s="18" t="s">
        <v>1090</v>
      </c>
      <c r="B701" s="10">
        <v>19740507</v>
      </c>
      <c r="C701" s="9">
        <v>12</v>
      </c>
      <c r="D701" s="8" t="str">
        <f t="shared" si="121"/>
        <v>N</v>
      </c>
      <c r="E701" s="8" t="str">
        <f t="shared" si="122"/>
        <v>Y</v>
      </c>
      <c r="F701" s="8" t="str">
        <f t="shared" si="123"/>
        <v>Y</v>
      </c>
      <c r="G701" s="8" t="str">
        <f t="shared" si="124"/>
        <v>Y</v>
      </c>
      <c r="H701" s="8" t="str">
        <f t="shared" si="125"/>
        <v>Upper</v>
      </c>
      <c r="I701" s="8" t="str">
        <f t="shared" si="126"/>
        <v>West Fork and Below Lake</v>
      </c>
      <c r="J701" s="8" t="str">
        <f t="shared" si="127"/>
        <v>Sonoma (d/s of Clov. Gage)</v>
      </c>
      <c r="K701" s="8" t="str">
        <f t="shared" si="128"/>
        <v>Post-1949</v>
      </c>
      <c r="L701" s="8">
        <f t="shared" si="129"/>
        <v>1974</v>
      </c>
      <c r="M701" s="8" t="str">
        <f t="shared" si="131"/>
        <v>1971-1990</v>
      </c>
      <c r="N701" s="10" t="s">
        <v>242</v>
      </c>
      <c r="O701" s="10" t="s">
        <v>241</v>
      </c>
      <c r="P701" s="10" t="s">
        <v>242</v>
      </c>
      <c r="Q701" s="10" t="s">
        <v>242</v>
      </c>
      <c r="R701" s="10" t="s">
        <v>241</v>
      </c>
      <c r="S701" s="10" t="s">
        <v>242</v>
      </c>
      <c r="T701" s="10" t="s">
        <v>242</v>
      </c>
      <c r="U701" s="10" t="s">
        <v>242</v>
      </c>
      <c r="V701" s="10" t="s">
        <v>242</v>
      </c>
      <c r="W701" s="10" t="s">
        <v>242</v>
      </c>
      <c r="X701" s="15">
        <f>IF(ISERROR(VLOOKUP($A701,'13. Updated Demand'!A:Z,15,FALSE)),0,VLOOKUP($A701,'13. Updated Demand'!A:Z,15,FALSE))</f>
        <v>0</v>
      </c>
      <c r="Y701" s="16">
        <f>IF(ISERROR(VLOOKUP($A701,'13. Updated Demand'!A:Z,16,FALSE)),0,VLOOKUP($A701,'13. Updated Demand'!A:Z,16,FALSE))</f>
        <v>0</v>
      </c>
      <c r="Z701" s="16">
        <f>IF(ISERROR(VLOOKUP($A701,'13. Updated Demand'!A:Z,17,FALSE)),0,VLOOKUP($A701,'13. Updated Demand'!A:Z,17,FALSE))</f>
        <v>0</v>
      </c>
      <c r="AA701" s="16">
        <f>IF(ISERROR(VLOOKUP($A701,'13. Updated Demand'!A:Z,18,FALSE)),0,VLOOKUP($A701,'13. Updated Demand'!A:Z,18,FALSE))</f>
        <v>0</v>
      </c>
      <c r="AB701" s="16">
        <f>IF(ISERROR(VLOOKUP($A701,'13. Updated Demand'!A:Z,19,FALSE)),0,VLOOKUP($A701,'13. Updated Demand'!A:Z,19,FALSE))</f>
        <v>0.91</v>
      </c>
      <c r="AC701" s="16">
        <f>IF(ISERROR(VLOOKUP($A701,'13. Updated Demand'!A:Z,20,FALSE)),0,VLOOKUP($A701,'13. Updated Demand'!A:Z,20,FALSE))</f>
        <v>0.7</v>
      </c>
      <c r="AD701" s="16">
        <f>IF(ISERROR(VLOOKUP($A701,'13. Updated Demand'!A:Z,21,FALSE)),0,VLOOKUP($A701,'13. Updated Demand'!A:Z,21,FALSE))</f>
        <v>2.13</v>
      </c>
      <c r="AE701" s="16">
        <f>IF(ISERROR(VLOOKUP($A701,'13. Updated Demand'!A:Z,22,FALSE)),0,VLOOKUP($A701,'13. Updated Demand'!A:Z,22,FALSE))</f>
        <v>0.96</v>
      </c>
      <c r="AF701" s="16">
        <f>IF(ISERROR(VLOOKUP($A701,'13. Updated Demand'!A:Z,23,FALSE)),0,VLOOKUP($A701,'13. Updated Demand'!A:Z,23,FALSE))</f>
        <v>0.2</v>
      </c>
      <c r="AG701" s="16">
        <f>IF(ISERROR(VLOOKUP($A701,'13. Updated Demand'!A:Z,24,FALSE)),0,VLOOKUP($A701,'13. Updated Demand'!A:Z,24,FALSE))</f>
        <v>0.13</v>
      </c>
      <c r="AH701" s="16">
        <f>IF(ISERROR(VLOOKUP($A701,'13. Updated Demand'!A:Z,25,FALSE)),0,VLOOKUP($A701,'13. Updated Demand'!A:Z,25,FALSE))</f>
        <v>0</v>
      </c>
      <c r="AI701" s="16">
        <f>IF(ISERROR(VLOOKUP($A701,'13. Updated Demand'!A:Z,26,FALSE)),0,VLOOKUP($A701,'13. Updated Demand'!A:Z,26,FALSE))</f>
        <v>0</v>
      </c>
      <c r="AJ701" s="16">
        <f t="shared" si="132"/>
        <v>5.0299999999999994</v>
      </c>
      <c r="AK701" s="19">
        <v>4.9293750010000004</v>
      </c>
      <c r="AL701" s="16">
        <f t="shared" si="130"/>
        <v>1.635017536973794E-2</v>
      </c>
      <c r="AM701" s="17">
        <v>0.26645833336842112</v>
      </c>
      <c r="AN701" s="19"/>
      <c r="AO701" s="19"/>
      <c r="AP701" s="19">
        <v>19</v>
      </c>
      <c r="AQ701" s="19" t="s">
        <v>307</v>
      </c>
      <c r="AR701" s="9" t="s">
        <v>311</v>
      </c>
      <c r="AS701" s="12">
        <v>0</v>
      </c>
      <c r="AT701" s="19">
        <v>38.649181040000002</v>
      </c>
      <c r="AU701" s="19">
        <v>-122.77913478000001</v>
      </c>
      <c r="AV701" s="19" t="s">
        <v>417</v>
      </c>
    </row>
    <row r="702" spans="1:48" x14ac:dyDescent="0.25">
      <c r="A702" s="18" t="s">
        <v>1091</v>
      </c>
      <c r="B702" s="10">
        <v>19740606</v>
      </c>
      <c r="C702" s="9">
        <v>5</v>
      </c>
      <c r="D702" s="8" t="str">
        <f t="shared" si="121"/>
        <v>Y</v>
      </c>
      <c r="E702" s="8" t="str">
        <f t="shared" si="122"/>
        <v>N</v>
      </c>
      <c r="F702" s="8" t="str">
        <f t="shared" si="123"/>
        <v>Y</v>
      </c>
      <c r="G702" s="8" t="str">
        <f t="shared" si="124"/>
        <v>Y</v>
      </c>
      <c r="H702" s="8" t="str">
        <f t="shared" si="125"/>
        <v>Upper</v>
      </c>
      <c r="I702" s="8" t="str">
        <f t="shared" si="126"/>
        <v>West Fork and Below Lake</v>
      </c>
      <c r="J702" s="8" t="str">
        <f t="shared" si="127"/>
        <v>Mendocino (d/s of lake)</v>
      </c>
      <c r="K702" s="8" t="str">
        <f t="shared" si="128"/>
        <v>Post-1949</v>
      </c>
      <c r="L702" s="8">
        <f t="shared" si="129"/>
        <v>1974</v>
      </c>
      <c r="M702" s="8" t="str">
        <f t="shared" si="131"/>
        <v>1971-1990</v>
      </c>
      <c r="N702" s="10" t="s">
        <v>241</v>
      </c>
      <c r="O702" s="10" t="s">
        <v>241</v>
      </c>
      <c r="P702" s="10" t="s">
        <v>242</v>
      </c>
      <c r="Q702" s="10" t="s">
        <v>242</v>
      </c>
      <c r="R702" s="10" t="s">
        <v>241</v>
      </c>
      <c r="S702" s="10" t="s">
        <v>242</v>
      </c>
      <c r="T702" s="10" t="s">
        <v>242</v>
      </c>
      <c r="U702" s="10" t="s">
        <v>242</v>
      </c>
      <c r="V702" s="10" t="s">
        <v>242</v>
      </c>
      <c r="W702" s="10" t="s">
        <v>242</v>
      </c>
      <c r="X702" s="15">
        <f>IF(ISERROR(VLOOKUP($A702,'13. Updated Demand'!A:Z,15,FALSE)),0,VLOOKUP($A702,'13. Updated Demand'!A:Z,15,FALSE))</f>
        <v>0</v>
      </c>
      <c r="Y702" s="16">
        <f>IF(ISERROR(VLOOKUP($A702,'13. Updated Demand'!A:Z,16,FALSE)),0,VLOOKUP($A702,'13. Updated Demand'!A:Z,16,FALSE))</f>
        <v>0</v>
      </c>
      <c r="Z702" s="16">
        <f>IF(ISERROR(VLOOKUP($A702,'13. Updated Demand'!A:Z,17,FALSE)),0,VLOOKUP($A702,'13. Updated Demand'!A:Z,17,FALSE))</f>
        <v>4.1500000000000004</v>
      </c>
      <c r="AA702" s="16">
        <f>IF(ISERROR(VLOOKUP($A702,'13. Updated Demand'!A:Z,18,FALSE)),0,VLOOKUP($A702,'13. Updated Demand'!A:Z,18,FALSE))</f>
        <v>0.16</v>
      </c>
      <c r="AB702" s="16">
        <f>IF(ISERROR(VLOOKUP($A702,'13. Updated Demand'!A:Z,19,FALSE)),0,VLOOKUP($A702,'13. Updated Demand'!A:Z,19,FALSE))</f>
        <v>0.08</v>
      </c>
      <c r="AC702" s="16">
        <f>IF(ISERROR(VLOOKUP($A702,'13. Updated Demand'!A:Z,20,FALSE)),0,VLOOKUP($A702,'13. Updated Demand'!A:Z,20,FALSE))</f>
        <v>0</v>
      </c>
      <c r="AD702" s="16">
        <f>IF(ISERROR(VLOOKUP($A702,'13. Updated Demand'!A:Z,21,FALSE)),0,VLOOKUP($A702,'13. Updated Demand'!A:Z,21,FALSE))</f>
        <v>0</v>
      </c>
      <c r="AE702" s="16">
        <f>IF(ISERROR(VLOOKUP($A702,'13. Updated Demand'!A:Z,22,FALSE)),0,VLOOKUP($A702,'13. Updated Demand'!A:Z,22,FALSE))</f>
        <v>0</v>
      </c>
      <c r="AF702" s="16">
        <f>IF(ISERROR(VLOOKUP($A702,'13. Updated Demand'!A:Z,23,FALSE)),0,VLOOKUP($A702,'13. Updated Demand'!A:Z,23,FALSE))</f>
        <v>0</v>
      </c>
      <c r="AG702" s="16">
        <f>IF(ISERROR(VLOOKUP($A702,'13. Updated Demand'!A:Z,24,FALSE)),0,VLOOKUP($A702,'13. Updated Demand'!A:Z,24,FALSE))</f>
        <v>0</v>
      </c>
      <c r="AH702" s="16">
        <f>IF(ISERROR(VLOOKUP($A702,'13. Updated Demand'!A:Z,25,FALSE)),0,VLOOKUP($A702,'13. Updated Demand'!A:Z,25,FALSE))</f>
        <v>0</v>
      </c>
      <c r="AI702" s="16">
        <f>IF(ISERROR(VLOOKUP($A702,'13. Updated Demand'!A:Z,26,FALSE)),0,VLOOKUP($A702,'13. Updated Demand'!A:Z,26,FALSE))</f>
        <v>0</v>
      </c>
      <c r="AJ702" s="16">
        <f t="shared" si="132"/>
        <v>4.3900000000000006</v>
      </c>
      <c r="AK702" s="19">
        <v>0.08</v>
      </c>
      <c r="AL702" s="16">
        <f t="shared" si="130"/>
        <v>2.6535088714364075E-4</v>
      </c>
      <c r="AM702" s="17">
        <v>4.0709876543209907E-2</v>
      </c>
      <c r="AN702" s="19"/>
      <c r="AO702" s="19"/>
      <c r="AP702" s="19">
        <v>108</v>
      </c>
      <c r="AQ702" s="19" t="s">
        <v>307</v>
      </c>
      <c r="AR702" s="9" t="s">
        <v>333</v>
      </c>
      <c r="AS702" s="12">
        <v>0</v>
      </c>
      <c r="AT702" s="19">
        <v>39.088535610000001</v>
      </c>
      <c r="AU702" s="19">
        <v>-123.17225119</v>
      </c>
      <c r="AV702" s="19" t="s">
        <v>387</v>
      </c>
    </row>
    <row r="703" spans="1:48" x14ac:dyDescent="0.25">
      <c r="A703" s="18" t="s">
        <v>1092</v>
      </c>
      <c r="B703" s="10">
        <v>19740712</v>
      </c>
      <c r="C703" s="9">
        <v>23</v>
      </c>
      <c r="D703" s="8" t="str">
        <f t="shared" si="121"/>
        <v>N</v>
      </c>
      <c r="E703" s="8" t="str">
        <f t="shared" si="122"/>
        <v>N</v>
      </c>
      <c r="F703" s="8" t="str">
        <f t="shared" si="123"/>
        <v>N</v>
      </c>
      <c r="G703" s="8" t="str">
        <f t="shared" si="124"/>
        <v>N</v>
      </c>
      <c r="H703" s="8" t="str">
        <f t="shared" si="125"/>
        <v>Lower</v>
      </c>
      <c r="I703" s="8" t="str">
        <f t="shared" si="126"/>
        <v>Outside</v>
      </c>
      <c r="J703" s="8" t="str">
        <f t="shared" si="127"/>
        <v>Outside</v>
      </c>
      <c r="K703" s="8" t="str">
        <f t="shared" si="128"/>
        <v>Post-1949</v>
      </c>
      <c r="L703" s="8">
        <f t="shared" si="129"/>
        <v>1974</v>
      </c>
      <c r="M703" s="8" t="str">
        <f t="shared" si="131"/>
        <v>1971-1990</v>
      </c>
      <c r="N703" s="10" t="s">
        <v>242</v>
      </c>
      <c r="O703" s="10" t="s">
        <v>242</v>
      </c>
      <c r="P703" s="10" t="s">
        <v>242</v>
      </c>
      <c r="Q703" s="10" t="s">
        <v>242</v>
      </c>
      <c r="R703" s="10" t="s">
        <v>241</v>
      </c>
      <c r="S703" s="10" t="s">
        <v>242</v>
      </c>
      <c r="T703" s="10" t="s">
        <v>242</v>
      </c>
      <c r="U703" s="10" t="s">
        <v>242</v>
      </c>
      <c r="V703" s="10" t="s">
        <v>241</v>
      </c>
      <c r="W703" s="10" t="s">
        <v>242</v>
      </c>
      <c r="X703" s="15">
        <f>IF(ISERROR(VLOOKUP($A703,'13. Updated Demand'!A:Z,15,FALSE)),0,VLOOKUP($A703,'13. Updated Demand'!A:Z,15,FALSE))</f>
        <v>2</v>
      </c>
      <c r="Y703" s="16">
        <f>IF(ISERROR(VLOOKUP($A703,'13. Updated Demand'!A:Z,16,FALSE)),0,VLOOKUP($A703,'13. Updated Demand'!A:Z,16,FALSE))</f>
        <v>0</v>
      </c>
      <c r="Z703" s="16">
        <f>IF(ISERROR(VLOOKUP($A703,'13. Updated Demand'!A:Z,17,FALSE)),0,VLOOKUP($A703,'13. Updated Demand'!A:Z,17,FALSE))</f>
        <v>1.6666666670000001</v>
      </c>
      <c r="AA703" s="16">
        <f>IF(ISERROR(VLOOKUP($A703,'13. Updated Demand'!A:Z,18,FALSE)),0,VLOOKUP($A703,'13. Updated Demand'!A:Z,18,FALSE))</f>
        <v>0</v>
      </c>
      <c r="AB703" s="16">
        <f>IF(ISERROR(VLOOKUP($A703,'13. Updated Demand'!A:Z,19,FALSE)),0,VLOOKUP($A703,'13. Updated Demand'!A:Z,19,FALSE))</f>
        <v>0</v>
      </c>
      <c r="AC703" s="16">
        <f>IF(ISERROR(VLOOKUP($A703,'13. Updated Demand'!A:Z,20,FALSE)),0,VLOOKUP($A703,'13. Updated Demand'!A:Z,20,FALSE))</f>
        <v>0</v>
      </c>
      <c r="AD703" s="16">
        <f>IF(ISERROR(VLOOKUP($A703,'13. Updated Demand'!A:Z,21,FALSE)),0,VLOOKUP($A703,'13. Updated Demand'!A:Z,21,FALSE))</f>
        <v>0</v>
      </c>
      <c r="AE703" s="16">
        <f>IF(ISERROR(VLOOKUP($A703,'13. Updated Demand'!A:Z,22,FALSE)),0,VLOOKUP($A703,'13. Updated Demand'!A:Z,22,FALSE))</f>
        <v>0</v>
      </c>
      <c r="AF703" s="16">
        <f>IF(ISERROR(VLOOKUP($A703,'13. Updated Demand'!A:Z,23,FALSE)),0,VLOOKUP($A703,'13. Updated Demand'!A:Z,23,FALSE))</f>
        <v>0</v>
      </c>
      <c r="AG703" s="16">
        <f>IF(ISERROR(VLOOKUP($A703,'13. Updated Demand'!A:Z,24,FALSE)),0,VLOOKUP($A703,'13. Updated Demand'!A:Z,24,FALSE))</f>
        <v>0</v>
      </c>
      <c r="AH703" s="16">
        <f>IF(ISERROR(VLOOKUP($A703,'13. Updated Demand'!A:Z,25,FALSE)),0,VLOOKUP($A703,'13. Updated Demand'!A:Z,25,FALSE))</f>
        <v>3.3333333330000001</v>
      </c>
      <c r="AI703" s="16">
        <f>IF(ISERROR(VLOOKUP($A703,'13. Updated Demand'!A:Z,26,FALSE)),0,VLOOKUP($A703,'13. Updated Demand'!A:Z,26,FALSE))</f>
        <v>2</v>
      </c>
      <c r="AJ703" s="16">
        <f t="shared" si="132"/>
        <v>9</v>
      </c>
      <c r="AK703" s="19">
        <v>0</v>
      </c>
      <c r="AL703" s="16">
        <f t="shared" si="130"/>
        <v>0</v>
      </c>
      <c r="AM703" s="17">
        <v>0.75</v>
      </c>
      <c r="AN703" s="19"/>
      <c r="AO703" s="19"/>
      <c r="AP703" s="19">
        <v>12</v>
      </c>
      <c r="AQ703" s="19" t="s">
        <v>307</v>
      </c>
      <c r="AR703" s="9" t="s">
        <v>323</v>
      </c>
      <c r="AS703" s="12">
        <v>0</v>
      </c>
      <c r="AT703" s="19">
        <v>38.523843460000002</v>
      </c>
      <c r="AU703" s="19">
        <v>-122.5622687</v>
      </c>
      <c r="AV703" s="19" t="s">
        <v>417</v>
      </c>
    </row>
    <row r="704" spans="1:48" x14ac:dyDescent="0.25">
      <c r="A704" s="18" t="s">
        <v>1093</v>
      </c>
      <c r="B704" s="10">
        <v>19740717</v>
      </c>
      <c r="C704" s="9">
        <v>4</v>
      </c>
      <c r="D704" s="8" t="str">
        <f t="shared" si="121"/>
        <v>Y</v>
      </c>
      <c r="E704" s="8" t="str">
        <f t="shared" si="122"/>
        <v>N</v>
      </c>
      <c r="F704" s="8" t="str">
        <f t="shared" si="123"/>
        <v>Y</v>
      </c>
      <c r="G704" s="8" t="str">
        <f t="shared" si="124"/>
        <v>Y</v>
      </c>
      <c r="H704" s="8" t="str">
        <f t="shared" si="125"/>
        <v>Upper</v>
      </c>
      <c r="I704" s="8" t="str">
        <f t="shared" si="126"/>
        <v>West Fork and Below Lake</v>
      </c>
      <c r="J704" s="8" t="str">
        <f t="shared" si="127"/>
        <v>Mendocino (d/s of lake)</v>
      </c>
      <c r="K704" s="8" t="str">
        <f t="shared" si="128"/>
        <v>Post-1949</v>
      </c>
      <c r="L704" s="8">
        <f t="shared" si="129"/>
        <v>1974</v>
      </c>
      <c r="M704" s="8" t="str">
        <f t="shared" si="131"/>
        <v>1971-1990</v>
      </c>
      <c r="N704" s="10" t="s">
        <v>241</v>
      </c>
      <c r="O704" s="10" t="s">
        <v>241</v>
      </c>
      <c r="P704" s="10" t="s">
        <v>242</v>
      </c>
      <c r="Q704" s="10" t="s">
        <v>242</v>
      </c>
      <c r="R704" s="10" t="s">
        <v>241</v>
      </c>
      <c r="S704" s="10" t="s">
        <v>242</v>
      </c>
      <c r="T704" s="10" t="s">
        <v>242</v>
      </c>
      <c r="U704" s="10" t="s">
        <v>242</v>
      </c>
      <c r="V704" s="10" t="s">
        <v>241</v>
      </c>
      <c r="W704" s="10" t="s">
        <v>242</v>
      </c>
      <c r="X704" s="15">
        <f>IF(ISERROR(VLOOKUP($A704,'13. Updated Demand'!A:Z,15,FALSE)),0,VLOOKUP($A704,'13. Updated Demand'!A:Z,15,FALSE))</f>
        <v>0.66</v>
      </c>
      <c r="Y704" s="16">
        <f>IF(ISERROR(VLOOKUP($A704,'13. Updated Demand'!A:Z,16,FALSE)),0,VLOOKUP($A704,'13. Updated Demand'!A:Z,16,FALSE))</f>
        <v>0.66</v>
      </c>
      <c r="Z704" s="16">
        <f>IF(ISERROR(VLOOKUP($A704,'13. Updated Demand'!A:Z,17,FALSE)),0,VLOOKUP($A704,'13. Updated Demand'!A:Z,17,FALSE))</f>
        <v>0</v>
      </c>
      <c r="AA704" s="16">
        <f>IF(ISERROR(VLOOKUP($A704,'13. Updated Demand'!A:Z,18,FALSE)),0,VLOOKUP($A704,'13. Updated Demand'!A:Z,18,FALSE))</f>
        <v>0</v>
      </c>
      <c r="AB704" s="16">
        <f>IF(ISERROR(VLOOKUP($A704,'13. Updated Demand'!A:Z,19,FALSE)),0,VLOOKUP($A704,'13. Updated Demand'!A:Z,19,FALSE))</f>
        <v>0</v>
      </c>
      <c r="AC704" s="16">
        <f>IF(ISERROR(VLOOKUP($A704,'13. Updated Demand'!A:Z,20,FALSE)),0,VLOOKUP($A704,'13. Updated Demand'!A:Z,20,FALSE))</f>
        <v>0</v>
      </c>
      <c r="AD704" s="16">
        <f>IF(ISERROR(VLOOKUP($A704,'13. Updated Demand'!A:Z,21,FALSE)),0,VLOOKUP($A704,'13. Updated Demand'!A:Z,21,FALSE))</f>
        <v>0</v>
      </c>
      <c r="AE704" s="16">
        <f>IF(ISERROR(VLOOKUP($A704,'13. Updated Demand'!A:Z,22,FALSE)),0,VLOOKUP($A704,'13. Updated Demand'!A:Z,22,FALSE))</f>
        <v>0</v>
      </c>
      <c r="AF704" s="16">
        <f>IF(ISERROR(VLOOKUP($A704,'13. Updated Demand'!A:Z,23,FALSE)),0,VLOOKUP($A704,'13. Updated Demand'!A:Z,23,FALSE))</f>
        <v>0</v>
      </c>
      <c r="AG704" s="16">
        <f>IF(ISERROR(VLOOKUP($A704,'13. Updated Demand'!A:Z,24,FALSE)),0,VLOOKUP($A704,'13. Updated Demand'!A:Z,24,FALSE))</f>
        <v>0</v>
      </c>
      <c r="AH704" s="16">
        <f>IF(ISERROR(VLOOKUP($A704,'13. Updated Demand'!A:Z,25,FALSE)),0,VLOOKUP($A704,'13. Updated Demand'!A:Z,25,FALSE))</f>
        <v>0</v>
      </c>
      <c r="AI704" s="16">
        <f>IF(ISERROR(VLOOKUP($A704,'13. Updated Demand'!A:Z,26,FALSE)),0,VLOOKUP($A704,'13. Updated Demand'!A:Z,26,FALSE))</f>
        <v>0.33</v>
      </c>
      <c r="AJ704" s="16">
        <f t="shared" si="132"/>
        <v>1.6500000000000001</v>
      </c>
      <c r="AK704" s="19">
        <v>0</v>
      </c>
      <c r="AL704" s="16">
        <f t="shared" si="130"/>
        <v>0</v>
      </c>
      <c r="AM704" s="17">
        <v>0.32051282051282054</v>
      </c>
      <c r="AN704" s="19"/>
      <c r="AO704" s="19"/>
      <c r="AP704" s="19">
        <v>5.2</v>
      </c>
      <c r="AQ704" s="19" t="s">
        <v>307</v>
      </c>
      <c r="AR704" s="9" t="s">
        <v>331</v>
      </c>
      <c r="AS704" s="12">
        <v>0</v>
      </c>
      <c r="AT704" s="19">
        <v>39.17180544</v>
      </c>
      <c r="AU704" s="19">
        <v>-123.1926794</v>
      </c>
      <c r="AV704" s="19" t="s">
        <v>417</v>
      </c>
    </row>
    <row r="705" spans="1:48" x14ac:dyDescent="0.25">
      <c r="A705" s="18" t="s">
        <v>1094</v>
      </c>
      <c r="B705" s="10">
        <v>19740826</v>
      </c>
      <c r="C705" s="9">
        <v>10</v>
      </c>
      <c r="D705" s="8" t="str">
        <f t="shared" si="121"/>
        <v>N</v>
      </c>
      <c r="E705" s="8" t="str">
        <f t="shared" si="122"/>
        <v>Y</v>
      </c>
      <c r="F705" s="8" t="str">
        <f t="shared" si="123"/>
        <v>Y</v>
      </c>
      <c r="G705" s="8" t="str">
        <f t="shared" si="124"/>
        <v>Y</v>
      </c>
      <c r="H705" s="8" t="str">
        <f t="shared" si="125"/>
        <v>Upper</v>
      </c>
      <c r="I705" s="8" t="str">
        <f t="shared" si="126"/>
        <v>West Fork and Below Lake</v>
      </c>
      <c r="J705" s="8" t="str">
        <f t="shared" si="127"/>
        <v>Sonoma (d/s of Clov. Gage)</v>
      </c>
      <c r="K705" s="8" t="str">
        <f t="shared" si="128"/>
        <v>Post-1949</v>
      </c>
      <c r="L705" s="8">
        <f t="shared" si="129"/>
        <v>1974</v>
      </c>
      <c r="M705" s="8" t="str">
        <f t="shared" si="131"/>
        <v>1971-1990</v>
      </c>
      <c r="N705" s="10" t="s">
        <v>241</v>
      </c>
      <c r="O705" s="10" t="s">
        <v>241</v>
      </c>
      <c r="P705" s="10" t="s">
        <v>242</v>
      </c>
      <c r="Q705" s="10" t="s">
        <v>242</v>
      </c>
      <c r="R705" s="10" t="s">
        <v>241</v>
      </c>
      <c r="S705" s="10" t="s">
        <v>242</v>
      </c>
      <c r="T705" s="10" t="s">
        <v>242</v>
      </c>
      <c r="U705" s="10" t="s">
        <v>242</v>
      </c>
      <c r="V705" s="10" t="s">
        <v>241</v>
      </c>
      <c r="W705" s="10" t="s">
        <v>242</v>
      </c>
      <c r="X705" s="15">
        <f>IF(ISERROR(VLOOKUP($A705,'13. Updated Demand'!A:Z,15,FALSE)),0,VLOOKUP($A705,'13. Updated Demand'!A:Z,15,FALSE))</f>
        <v>0</v>
      </c>
      <c r="Y705" s="16">
        <f>IF(ISERROR(VLOOKUP($A705,'13. Updated Demand'!A:Z,16,FALSE)),0,VLOOKUP($A705,'13. Updated Demand'!A:Z,16,FALSE))</f>
        <v>0</v>
      </c>
      <c r="Z705" s="16">
        <f>IF(ISERROR(VLOOKUP($A705,'13. Updated Demand'!A:Z,17,FALSE)),0,VLOOKUP($A705,'13. Updated Demand'!A:Z,17,FALSE))</f>
        <v>0.9</v>
      </c>
      <c r="AA705" s="16">
        <f>IF(ISERROR(VLOOKUP($A705,'13. Updated Demand'!A:Z,18,FALSE)),0,VLOOKUP($A705,'13. Updated Demand'!A:Z,18,FALSE))</f>
        <v>0</v>
      </c>
      <c r="AB705" s="16">
        <f>IF(ISERROR(VLOOKUP($A705,'13. Updated Demand'!A:Z,19,FALSE)),0,VLOOKUP($A705,'13. Updated Demand'!A:Z,19,FALSE))</f>
        <v>0</v>
      </c>
      <c r="AC705" s="16">
        <f>IF(ISERROR(VLOOKUP($A705,'13. Updated Demand'!A:Z,20,FALSE)),0,VLOOKUP($A705,'13. Updated Demand'!A:Z,20,FALSE))</f>
        <v>0</v>
      </c>
      <c r="AD705" s="16">
        <f>IF(ISERROR(VLOOKUP($A705,'13. Updated Demand'!A:Z,21,FALSE)),0,VLOOKUP($A705,'13. Updated Demand'!A:Z,21,FALSE))</f>
        <v>0</v>
      </c>
      <c r="AE705" s="16">
        <f>IF(ISERROR(VLOOKUP($A705,'13. Updated Demand'!A:Z,22,FALSE)),0,VLOOKUP($A705,'13. Updated Demand'!A:Z,22,FALSE))</f>
        <v>0</v>
      </c>
      <c r="AF705" s="16">
        <f>IF(ISERROR(VLOOKUP($A705,'13. Updated Demand'!A:Z,23,FALSE)),0,VLOOKUP($A705,'13. Updated Demand'!A:Z,23,FALSE))</f>
        <v>0</v>
      </c>
      <c r="AG705" s="16">
        <f>IF(ISERROR(VLOOKUP($A705,'13. Updated Demand'!A:Z,24,FALSE)),0,VLOOKUP($A705,'13. Updated Demand'!A:Z,24,FALSE))</f>
        <v>0</v>
      </c>
      <c r="AH705" s="16">
        <f>IF(ISERROR(VLOOKUP($A705,'13. Updated Demand'!A:Z,25,FALSE)),0,VLOOKUP($A705,'13. Updated Demand'!A:Z,25,FALSE))</f>
        <v>0</v>
      </c>
      <c r="AI705" s="16">
        <f>IF(ISERROR(VLOOKUP($A705,'13. Updated Demand'!A:Z,26,FALSE)),0,VLOOKUP($A705,'13. Updated Demand'!A:Z,26,FALSE))</f>
        <v>0</v>
      </c>
      <c r="AJ705" s="16">
        <f t="shared" si="132"/>
        <v>0.9</v>
      </c>
      <c r="AK705" s="19">
        <v>0</v>
      </c>
      <c r="AL705" s="16">
        <f t="shared" si="130"/>
        <v>0</v>
      </c>
      <c r="AM705" s="17">
        <v>8.1818181818181825E-3</v>
      </c>
      <c r="AN705" s="19"/>
      <c r="AO705" s="19"/>
      <c r="AP705" s="19">
        <v>110</v>
      </c>
      <c r="AQ705" s="19" t="s">
        <v>307</v>
      </c>
      <c r="AR705" s="9" t="s">
        <v>436</v>
      </c>
      <c r="AS705" s="12">
        <v>0</v>
      </c>
      <c r="AT705" s="19">
        <v>38.693275450000002</v>
      </c>
      <c r="AU705" s="19">
        <v>-122.87282077</v>
      </c>
      <c r="AV705" s="19" t="s">
        <v>548</v>
      </c>
    </row>
    <row r="706" spans="1:48" x14ac:dyDescent="0.25">
      <c r="A706" s="18" t="s">
        <v>1095</v>
      </c>
      <c r="B706" s="10">
        <v>19740829</v>
      </c>
      <c r="C706" s="9">
        <v>12</v>
      </c>
      <c r="D706" s="8" t="str">
        <f t="shared" ref="D706:D769" si="133">IF(OR(C706=4,C706=5,C706=6),"Y","N")</f>
        <v>N</v>
      </c>
      <c r="E706" s="8" t="str">
        <f t="shared" ref="E706:E769" si="134">IF(AND(C706&gt;6,C706&lt;14),"Y","N")</f>
        <v>Y</v>
      </c>
      <c r="F706" s="8" t="str">
        <f t="shared" ref="F706:F769" si="135">IF(C706&lt;14,"Y","N")</f>
        <v>Y</v>
      </c>
      <c r="G706" s="8" t="str">
        <f t="shared" ref="G706:G769" si="136">IF(OR(C706=1,AND(C706&gt;3,C706&lt;14)),"Y","N")</f>
        <v>Y</v>
      </c>
      <c r="H706" s="8" t="str">
        <f t="shared" ref="H706:H769" si="137">IF(C706&lt;14,"Upper","Lower")</f>
        <v>Upper</v>
      </c>
      <c r="I706" s="8" t="str">
        <f t="shared" ref="I706:I769" si="138">IF(G706="Y","West Fork and Below Lake","Outside")</f>
        <v>West Fork and Below Lake</v>
      </c>
      <c r="J706" s="8" t="str">
        <f t="shared" ref="J706:J769" si="139">IF(D706="Y", "Mendocino (d/s of lake)", IF(E706="Y", "Sonoma (d/s of Clov. Gage)","Outside"))</f>
        <v>Sonoma (d/s of Clov. Gage)</v>
      </c>
      <c r="K706" s="8" t="str">
        <f t="shared" ref="K706:K769" si="140">IF(P706="Y","pre-1914",IF(Q706="Y","Pre-1949",IF(R706="Y","Post-1949",IF(S706="Y","Riparian","Unknown"))))</f>
        <v>Post-1949</v>
      </c>
      <c r="L706" s="8">
        <f t="shared" ref="L706:L769" si="141">_xlfn.NUMBERVALUE(LEFT(B706,4))</f>
        <v>1974</v>
      </c>
      <c r="M706" s="8" t="str">
        <f t="shared" si="131"/>
        <v>1971-1990</v>
      </c>
      <c r="N706" s="10" t="s">
        <v>242</v>
      </c>
      <c r="O706" s="10" t="s">
        <v>241</v>
      </c>
      <c r="P706" s="10" t="s">
        <v>242</v>
      </c>
      <c r="Q706" s="10" t="s">
        <v>242</v>
      </c>
      <c r="R706" s="10" t="s">
        <v>241</v>
      </c>
      <c r="S706" s="10" t="s">
        <v>242</v>
      </c>
      <c r="T706" s="10" t="s">
        <v>242</v>
      </c>
      <c r="U706" s="10" t="s">
        <v>242</v>
      </c>
      <c r="V706" s="10" t="s">
        <v>241</v>
      </c>
      <c r="W706" s="10" t="s">
        <v>242</v>
      </c>
      <c r="X706" s="15">
        <f>IF(ISERROR(VLOOKUP($A706,'13. Updated Demand'!A:Z,15,FALSE)),0,VLOOKUP($A706,'13. Updated Demand'!A:Z,15,FALSE))</f>
        <v>0</v>
      </c>
      <c r="Y706" s="16">
        <f>IF(ISERROR(VLOOKUP($A706,'13. Updated Demand'!A:Z,16,FALSE)),0,VLOOKUP($A706,'13. Updated Demand'!A:Z,16,FALSE))</f>
        <v>0</v>
      </c>
      <c r="Z706" s="16">
        <f>IF(ISERROR(VLOOKUP($A706,'13. Updated Demand'!A:Z,17,FALSE)),0,VLOOKUP($A706,'13. Updated Demand'!A:Z,17,FALSE))</f>
        <v>0</v>
      </c>
      <c r="AA706" s="16">
        <f>IF(ISERROR(VLOOKUP($A706,'13. Updated Demand'!A:Z,18,FALSE)),0,VLOOKUP($A706,'13. Updated Demand'!A:Z,18,FALSE))</f>
        <v>0</v>
      </c>
      <c r="AB706" s="16">
        <f>IF(ISERROR(VLOOKUP($A706,'13. Updated Demand'!A:Z,19,FALSE)),0,VLOOKUP($A706,'13. Updated Demand'!A:Z,19,FALSE))</f>
        <v>0</v>
      </c>
      <c r="AC706" s="16">
        <f>IF(ISERROR(VLOOKUP($A706,'13. Updated Demand'!A:Z,20,FALSE)),0,VLOOKUP($A706,'13. Updated Demand'!A:Z,20,FALSE))</f>
        <v>0</v>
      </c>
      <c r="AD706" s="16">
        <f>IF(ISERROR(VLOOKUP($A706,'13. Updated Demand'!A:Z,21,FALSE)),0,VLOOKUP($A706,'13. Updated Demand'!A:Z,21,FALSE))</f>
        <v>0</v>
      </c>
      <c r="AE706" s="16">
        <f>IF(ISERROR(VLOOKUP($A706,'13. Updated Demand'!A:Z,22,FALSE)),0,VLOOKUP($A706,'13. Updated Demand'!A:Z,22,FALSE))</f>
        <v>0</v>
      </c>
      <c r="AF706" s="16">
        <f>IF(ISERROR(VLOOKUP($A706,'13. Updated Demand'!A:Z,23,FALSE)),0,VLOOKUP($A706,'13. Updated Demand'!A:Z,23,FALSE))</f>
        <v>0</v>
      </c>
      <c r="AG706" s="16">
        <f>IF(ISERROR(VLOOKUP($A706,'13. Updated Demand'!A:Z,24,FALSE)),0,VLOOKUP($A706,'13. Updated Demand'!A:Z,24,FALSE))</f>
        <v>1.66</v>
      </c>
      <c r="AH706" s="16">
        <f>IF(ISERROR(VLOOKUP($A706,'13. Updated Demand'!A:Z,25,FALSE)),0,VLOOKUP($A706,'13. Updated Demand'!A:Z,25,FALSE))</f>
        <v>1.66</v>
      </c>
      <c r="AI706" s="16">
        <f>IF(ISERROR(VLOOKUP($A706,'13. Updated Demand'!A:Z,26,FALSE)),0,VLOOKUP($A706,'13. Updated Demand'!A:Z,26,FALSE))</f>
        <v>1.66</v>
      </c>
      <c r="AJ706" s="16">
        <f t="shared" si="132"/>
        <v>4.9799999999999995</v>
      </c>
      <c r="AK706" s="19">
        <v>0</v>
      </c>
      <c r="AL706" s="16">
        <f t="shared" ref="AL706:AL769" si="142">AK706/152/1.983471</f>
        <v>0</v>
      </c>
      <c r="AM706" s="17">
        <v>0.33333333339999999</v>
      </c>
      <c r="AN706" s="19"/>
      <c r="AO706" s="19"/>
      <c r="AP706" s="19">
        <v>15</v>
      </c>
      <c r="AQ706" s="19" t="s">
        <v>307</v>
      </c>
      <c r="AR706" s="9" t="s">
        <v>311</v>
      </c>
      <c r="AS706" s="12">
        <v>3.4039024194010059E-4</v>
      </c>
      <c r="AT706" s="19">
        <v>38.584125419999999</v>
      </c>
      <c r="AU706" s="19">
        <v>-122.64023389</v>
      </c>
      <c r="AV706" s="19" t="s">
        <v>417</v>
      </c>
    </row>
    <row r="707" spans="1:48" x14ac:dyDescent="0.25">
      <c r="A707" s="18" t="s">
        <v>1096</v>
      </c>
      <c r="B707" s="10">
        <v>19740919</v>
      </c>
      <c r="C707" s="9">
        <v>4</v>
      </c>
      <c r="D707" s="8" t="str">
        <f t="shared" si="133"/>
        <v>Y</v>
      </c>
      <c r="E707" s="8" t="str">
        <f t="shared" si="134"/>
        <v>N</v>
      </c>
      <c r="F707" s="8" t="str">
        <f t="shared" si="135"/>
        <v>Y</v>
      </c>
      <c r="G707" s="8" t="str">
        <f t="shared" si="136"/>
        <v>Y</v>
      </c>
      <c r="H707" s="8" t="str">
        <f t="shared" si="137"/>
        <v>Upper</v>
      </c>
      <c r="I707" s="8" t="str">
        <f t="shared" si="138"/>
        <v>West Fork and Below Lake</v>
      </c>
      <c r="J707" s="8" t="str">
        <f t="shared" si="139"/>
        <v>Mendocino (d/s of lake)</v>
      </c>
      <c r="K707" s="8" t="str">
        <f t="shared" si="140"/>
        <v>Post-1949</v>
      </c>
      <c r="L707" s="8">
        <f t="shared" si="141"/>
        <v>1974</v>
      </c>
      <c r="M707" s="8" t="str">
        <f t="shared" ref="M707:M770" si="143">IF(L707=1949,"1949",IF(AND(L707&gt;1949,L707&lt;1953),"1950-1952",IF(AND(L707&gt;1952,L707&lt;1955),"1953-1954",IF(AND(L707&gt;1954,L707&lt;1957),"1955-1956",IF(AND(L707&gt;1956,L707&lt;1960),"1957-1959",IF(AND(L707&gt;1959,L707&lt;1971),"1960-1970",IF(AND(L707&gt;1970,L707&lt;1991),"1971-1990",IF(L707&gt;1990,"1991-present","-"))))))))</f>
        <v>1971-1990</v>
      </c>
      <c r="N707" s="10" t="s">
        <v>242</v>
      </c>
      <c r="O707" s="10" t="s">
        <v>241</v>
      </c>
      <c r="P707" s="10" t="s">
        <v>242</v>
      </c>
      <c r="Q707" s="10" t="s">
        <v>242</v>
      </c>
      <c r="R707" s="10" t="s">
        <v>241</v>
      </c>
      <c r="S707" s="10" t="s">
        <v>242</v>
      </c>
      <c r="T707" s="10" t="s">
        <v>242</v>
      </c>
      <c r="U707" s="10" t="s">
        <v>242</v>
      </c>
      <c r="V707" s="10" t="s">
        <v>241</v>
      </c>
      <c r="W707" s="10" t="s">
        <v>242</v>
      </c>
      <c r="X707" s="15">
        <f>IF(ISERROR(VLOOKUP($A707,'13. Updated Demand'!A:Z,15,FALSE)),0,VLOOKUP($A707,'13. Updated Demand'!A:Z,15,FALSE))</f>
        <v>6.1</v>
      </c>
      <c r="Y707" s="16">
        <f>IF(ISERROR(VLOOKUP($A707,'13. Updated Demand'!A:Z,16,FALSE)),0,VLOOKUP($A707,'13. Updated Demand'!A:Z,16,FALSE))</f>
        <v>7.33</v>
      </c>
      <c r="Z707" s="16">
        <f>IF(ISERROR(VLOOKUP($A707,'13. Updated Demand'!A:Z,17,FALSE)),0,VLOOKUP($A707,'13. Updated Demand'!A:Z,17,FALSE))</f>
        <v>6.5</v>
      </c>
      <c r="AA707" s="16">
        <f>IF(ISERROR(VLOOKUP($A707,'13. Updated Demand'!A:Z,18,FALSE)),0,VLOOKUP($A707,'13. Updated Demand'!A:Z,18,FALSE))</f>
        <v>0.36</v>
      </c>
      <c r="AB707" s="16">
        <f>IF(ISERROR(VLOOKUP($A707,'13. Updated Demand'!A:Z,19,FALSE)),0,VLOOKUP($A707,'13. Updated Demand'!A:Z,19,FALSE))</f>
        <v>0</v>
      </c>
      <c r="AC707" s="16">
        <f>IF(ISERROR(VLOOKUP($A707,'13. Updated Demand'!A:Z,20,FALSE)),0,VLOOKUP($A707,'13. Updated Demand'!A:Z,20,FALSE))</f>
        <v>0</v>
      </c>
      <c r="AD707" s="16">
        <f>IF(ISERROR(VLOOKUP($A707,'13. Updated Demand'!A:Z,21,FALSE)),0,VLOOKUP($A707,'13. Updated Demand'!A:Z,21,FALSE))</f>
        <v>0</v>
      </c>
      <c r="AE707" s="16">
        <f>IF(ISERROR(VLOOKUP($A707,'13. Updated Demand'!A:Z,22,FALSE)),0,VLOOKUP($A707,'13. Updated Demand'!A:Z,22,FALSE))</f>
        <v>0</v>
      </c>
      <c r="AF707" s="16">
        <f>IF(ISERROR(VLOOKUP($A707,'13. Updated Demand'!A:Z,23,FALSE)),0,VLOOKUP($A707,'13. Updated Demand'!A:Z,23,FALSE))</f>
        <v>0</v>
      </c>
      <c r="AG707" s="16">
        <f>IF(ISERROR(VLOOKUP($A707,'13. Updated Demand'!A:Z,24,FALSE)),0,VLOOKUP($A707,'13. Updated Demand'!A:Z,24,FALSE))</f>
        <v>0</v>
      </c>
      <c r="AH707" s="16">
        <f>IF(ISERROR(VLOOKUP($A707,'13. Updated Demand'!A:Z,25,FALSE)),0,VLOOKUP($A707,'13. Updated Demand'!A:Z,25,FALSE))</f>
        <v>0</v>
      </c>
      <c r="AI707" s="16">
        <f>IF(ISERROR(VLOOKUP($A707,'13. Updated Demand'!A:Z,26,FALSE)),0,VLOOKUP($A707,'13. Updated Demand'!A:Z,26,FALSE))</f>
        <v>0</v>
      </c>
      <c r="AJ707" s="16">
        <f t="shared" si="132"/>
        <v>20.29</v>
      </c>
      <c r="AK707" s="19">
        <v>0</v>
      </c>
      <c r="AL707" s="16">
        <f t="shared" si="142"/>
        <v>0</v>
      </c>
      <c r="AM707" s="17">
        <v>0.26710526315789473</v>
      </c>
      <c r="AN707" s="19"/>
      <c r="AO707" s="19"/>
      <c r="AP707" s="19">
        <v>76</v>
      </c>
      <c r="AQ707" s="19" t="s">
        <v>307</v>
      </c>
      <c r="AR707" s="9" t="s">
        <v>331</v>
      </c>
      <c r="AS707" s="12">
        <v>0</v>
      </c>
      <c r="AT707" s="19">
        <v>39.18292099</v>
      </c>
      <c r="AU707" s="19">
        <v>-123.22508349</v>
      </c>
      <c r="AV707" s="19" t="s">
        <v>1097</v>
      </c>
    </row>
    <row r="708" spans="1:48" x14ac:dyDescent="0.25">
      <c r="A708" s="18" t="s">
        <v>1098</v>
      </c>
      <c r="B708" s="10">
        <v>19740919</v>
      </c>
      <c r="C708" s="9">
        <v>4</v>
      </c>
      <c r="D708" s="8" t="str">
        <f t="shared" si="133"/>
        <v>Y</v>
      </c>
      <c r="E708" s="8" t="str">
        <f t="shared" si="134"/>
        <v>N</v>
      </c>
      <c r="F708" s="8" t="str">
        <f t="shared" si="135"/>
        <v>Y</v>
      </c>
      <c r="G708" s="8" t="str">
        <f t="shared" si="136"/>
        <v>Y</v>
      </c>
      <c r="H708" s="8" t="str">
        <f t="shared" si="137"/>
        <v>Upper</v>
      </c>
      <c r="I708" s="8" t="str">
        <f t="shared" si="138"/>
        <v>West Fork and Below Lake</v>
      </c>
      <c r="J708" s="8" t="str">
        <f t="shared" si="139"/>
        <v>Mendocino (d/s of lake)</v>
      </c>
      <c r="K708" s="8" t="str">
        <f t="shared" si="140"/>
        <v>Post-1949</v>
      </c>
      <c r="L708" s="8">
        <f t="shared" si="141"/>
        <v>1974</v>
      </c>
      <c r="M708" s="8" t="str">
        <f t="shared" si="143"/>
        <v>1971-1990</v>
      </c>
      <c r="N708" s="10" t="s">
        <v>242</v>
      </c>
      <c r="O708" s="10" t="s">
        <v>241</v>
      </c>
      <c r="P708" s="10" t="s">
        <v>242</v>
      </c>
      <c r="Q708" s="10" t="s">
        <v>242</v>
      </c>
      <c r="R708" s="10" t="s">
        <v>241</v>
      </c>
      <c r="S708" s="10" t="s">
        <v>242</v>
      </c>
      <c r="T708" s="10" t="s">
        <v>242</v>
      </c>
      <c r="U708" s="10" t="s">
        <v>242</v>
      </c>
      <c r="V708" s="10" t="s">
        <v>241</v>
      </c>
      <c r="W708" s="10" t="s">
        <v>242</v>
      </c>
      <c r="X708" s="15">
        <f>IF(ISERROR(VLOOKUP($A708,'13. Updated Demand'!A:Z,15,FALSE)),0,VLOOKUP($A708,'13. Updated Demand'!A:Z,15,FALSE))</f>
        <v>0</v>
      </c>
      <c r="Y708" s="16">
        <f>IF(ISERROR(VLOOKUP($A708,'13. Updated Demand'!A:Z,16,FALSE)),0,VLOOKUP($A708,'13. Updated Demand'!A:Z,16,FALSE))</f>
        <v>0</v>
      </c>
      <c r="Z708" s="16">
        <f>IF(ISERROR(VLOOKUP($A708,'13. Updated Demand'!A:Z,17,FALSE)),0,VLOOKUP($A708,'13. Updated Demand'!A:Z,17,FALSE))</f>
        <v>0.74</v>
      </c>
      <c r="AA708" s="16">
        <f>IF(ISERROR(VLOOKUP($A708,'13. Updated Demand'!A:Z,18,FALSE)),0,VLOOKUP($A708,'13. Updated Demand'!A:Z,18,FALSE))</f>
        <v>1.86</v>
      </c>
      <c r="AB708" s="16">
        <f>IF(ISERROR(VLOOKUP($A708,'13. Updated Demand'!A:Z,19,FALSE)),0,VLOOKUP($A708,'13. Updated Demand'!A:Z,19,FALSE))</f>
        <v>0</v>
      </c>
      <c r="AC708" s="16">
        <f>IF(ISERROR(VLOOKUP($A708,'13. Updated Demand'!A:Z,20,FALSE)),0,VLOOKUP($A708,'13. Updated Demand'!A:Z,20,FALSE))</f>
        <v>0</v>
      </c>
      <c r="AD708" s="16">
        <f>IF(ISERROR(VLOOKUP($A708,'13. Updated Demand'!A:Z,21,FALSE)),0,VLOOKUP($A708,'13. Updated Demand'!A:Z,21,FALSE))</f>
        <v>0</v>
      </c>
      <c r="AE708" s="16">
        <f>IF(ISERROR(VLOOKUP($A708,'13. Updated Demand'!A:Z,22,FALSE)),0,VLOOKUP($A708,'13. Updated Demand'!A:Z,22,FALSE))</f>
        <v>0</v>
      </c>
      <c r="AF708" s="16">
        <f>IF(ISERROR(VLOOKUP($A708,'13. Updated Demand'!A:Z,23,FALSE)),0,VLOOKUP($A708,'13. Updated Demand'!A:Z,23,FALSE))</f>
        <v>0</v>
      </c>
      <c r="AG708" s="16">
        <f>IF(ISERROR(VLOOKUP($A708,'13. Updated Demand'!A:Z,24,FALSE)),0,VLOOKUP($A708,'13. Updated Demand'!A:Z,24,FALSE))</f>
        <v>0</v>
      </c>
      <c r="AH708" s="16">
        <f>IF(ISERROR(VLOOKUP($A708,'13. Updated Demand'!A:Z,25,FALSE)),0,VLOOKUP($A708,'13. Updated Demand'!A:Z,25,FALSE))</f>
        <v>0</v>
      </c>
      <c r="AI708" s="16">
        <f>IF(ISERROR(VLOOKUP($A708,'13. Updated Demand'!A:Z,26,FALSE)),0,VLOOKUP($A708,'13. Updated Demand'!A:Z,26,FALSE))</f>
        <v>0</v>
      </c>
      <c r="AJ708" s="16">
        <f t="shared" si="132"/>
        <v>2.6</v>
      </c>
      <c r="AK708" s="19">
        <v>0</v>
      </c>
      <c r="AL708" s="16">
        <f t="shared" si="142"/>
        <v>0</v>
      </c>
      <c r="AM708" s="17">
        <v>1.1794871796380091E-2</v>
      </c>
      <c r="AN708" s="19"/>
      <c r="AO708" s="19"/>
      <c r="AP708" s="19">
        <v>221</v>
      </c>
      <c r="AQ708" s="19" t="s">
        <v>307</v>
      </c>
      <c r="AR708" s="9" t="s">
        <v>331</v>
      </c>
      <c r="AS708" s="12">
        <v>0</v>
      </c>
      <c r="AT708" s="19">
        <v>39.17180544</v>
      </c>
      <c r="AU708" s="19">
        <v>-123.1926794</v>
      </c>
      <c r="AV708" s="19" t="s">
        <v>1097</v>
      </c>
    </row>
    <row r="709" spans="1:48" x14ac:dyDescent="0.25">
      <c r="A709" s="18" t="s">
        <v>1099</v>
      </c>
      <c r="B709" s="10">
        <v>19741108</v>
      </c>
      <c r="C709" s="9">
        <v>23</v>
      </c>
      <c r="D709" s="8" t="str">
        <f t="shared" si="133"/>
        <v>N</v>
      </c>
      <c r="E709" s="8" t="str">
        <f t="shared" si="134"/>
        <v>N</v>
      </c>
      <c r="F709" s="8" t="str">
        <f t="shared" si="135"/>
        <v>N</v>
      </c>
      <c r="G709" s="8" t="str">
        <f t="shared" si="136"/>
        <v>N</v>
      </c>
      <c r="H709" s="8" t="str">
        <f t="shared" si="137"/>
        <v>Lower</v>
      </c>
      <c r="I709" s="8" t="str">
        <f t="shared" si="138"/>
        <v>Outside</v>
      </c>
      <c r="J709" s="8" t="str">
        <f t="shared" si="139"/>
        <v>Outside</v>
      </c>
      <c r="K709" s="8" t="str">
        <f t="shared" si="140"/>
        <v>Post-1949</v>
      </c>
      <c r="L709" s="8">
        <f t="shared" si="141"/>
        <v>1974</v>
      </c>
      <c r="M709" s="8" t="str">
        <f t="shared" si="143"/>
        <v>1971-1990</v>
      </c>
      <c r="N709" s="10" t="s">
        <v>242</v>
      </c>
      <c r="O709" s="10" t="s">
        <v>242</v>
      </c>
      <c r="P709" s="10" t="s">
        <v>242</v>
      </c>
      <c r="Q709" s="10" t="s">
        <v>242</v>
      </c>
      <c r="R709" s="10" t="s">
        <v>241</v>
      </c>
      <c r="S709" s="10" t="s">
        <v>242</v>
      </c>
      <c r="T709" s="10" t="s">
        <v>242</v>
      </c>
      <c r="U709" s="10" t="s">
        <v>242</v>
      </c>
      <c r="V709" s="10" t="s">
        <v>241</v>
      </c>
      <c r="W709" s="10" t="s">
        <v>242</v>
      </c>
      <c r="X709" s="15">
        <f>IF(ISERROR(VLOOKUP($A709,'13. Updated Demand'!A:Z,15,FALSE)),0,VLOOKUP($A709,'13. Updated Demand'!A:Z,15,FALSE))</f>
        <v>1.266666667</v>
      </c>
      <c r="Y709" s="16">
        <f>IF(ISERROR(VLOOKUP($A709,'13. Updated Demand'!A:Z,16,FALSE)),0,VLOOKUP($A709,'13. Updated Demand'!A:Z,16,FALSE))</f>
        <v>0</v>
      </c>
      <c r="Z709" s="16">
        <f>IF(ISERROR(VLOOKUP($A709,'13. Updated Demand'!A:Z,17,FALSE)),0,VLOOKUP($A709,'13. Updated Demand'!A:Z,17,FALSE))</f>
        <v>0</v>
      </c>
      <c r="AA709" s="16">
        <f>IF(ISERROR(VLOOKUP($A709,'13. Updated Demand'!A:Z,18,FALSE)),0,VLOOKUP($A709,'13. Updated Demand'!A:Z,18,FALSE))</f>
        <v>0</v>
      </c>
      <c r="AB709" s="16">
        <f>IF(ISERROR(VLOOKUP($A709,'13. Updated Demand'!A:Z,19,FALSE)),0,VLOOKUP($A709,'13. Updated Demand'!A:Z,19,FALSE))</f>
        <v>0</v>
      </c>
      <c r="AC709" s="16">
        <f>IF(ISERROR(VLOOKUP($A709,'13. Updated Demand'!A:Z,20,FALSE)),0,VLOOKUP($A709,'13. Updated Demand'!A:Z,20,FALSE))</f>
        <v>0</v>
      </c>
      <c r="AD709" s="16">
        <f>IF(ISERROR(VLOOKUP($A709,'13. Updated Demand'!A:Z,21,FALSE)),0,VLOOKUP($A709,'13. Updated Demand'!A:Z,21,FALSE))</f>
        <v>0</v>
      </c>
      <c r="AE709" s="16">
        <f>IF(ISERROR(VLOOKUP($A709,'13. Updated Demand'!A:Z,22,FALSE)),0,VLOOKUP($A709,'13. Updated Demand'!A:Z,22,FALSE))</f>
        <v>0</v>
      </c>
      <c r="AF709" s="16">
        <f>IF(ISERROR(VLOOKUP($A709,'13. Updated Demand'!A:Z,23,FALSE)),0,VLOOKUP($A709,'13. Updated Demand'!A:Z,23,FALSE))</f>
        <v>0</v>
      </c>
      <c r="AG709" s="16">
        <f>IF(ISERROR(VLOOKUP($A709,'13. Updated Demand'!A:Z,24,FALSE)),0,VLOOKUP($A709,'13. Updated Demand'!A:Z,24,FALSE))</f>
        <v>8.3333332999999996E-2</v>
      </c>
      <c r="AH709" s="16">
        <f>IF(ISERROR(VLOOKUP($A709,'13. Updated Demand'!A:Z,25,FALSE)),0,VLOOKUP($A709,'13. Updated Demand'!A:Z,25,FALSE))</f>
        <v>2.1666666669999999</v>
      </c>
      <c r="AI709" s="16">
        <f>IF(ISERROR(VLOOKUP($A709,'13. Updated Demand'!A:Z,26,FALSE)),0,VLOOKUP($A709,'13. Updated Demand'!A:Z,26,FALSE))</f>
        <v>4.0666666669999998</v>
      </c>
      <c r="AJ709" s="16">
        <f t="shared" si="132"/>
        <v>7.5833333339999998</v>
      </c>
      <c r="AK709" s="19">
        <v>0</v>
      </c>
      <c r="AL709" s="16">
        <f t="shared" si="142"/>
        <v>0</v>
      </c>
      <c r="AM709" s="17">
        <v>0.23697916668749999</v>
      </c>
      <c r="AN709" s="19"/>
      <c r="AO709" s="19"/>
      <c r="AP709" s="19">
        <v>32</v>
      </c>
      <c r="AQ709" s="19" t="s">
        <v>307</v>
      </c>
      <c r="AR709" s="9" t="s">
        <v>391</v>
      </c>
      <c r="AS709" s="12">
        <v>0</v>
      </c>
      <c r="AT709" s="19">
        <v>38.54113658</v>
      </c>
      <c r="AU709" s="19">
        <v>-122.8366958</v>
      </c>
      <c r="AV709" s="19" t="s">
        <v>417</v>
      </c>
    </row>
    <row r="710" spans="1:48" x14ac:dyDescent="0.25">
      <c r="A710" s="18" t="s">
        <v>1100</v>
      </c>
      <c r="B710" s="10">
        <v>19741217</v>
      </c>
      <c r="C710" s="9">
        <v>1</v>
      </c>
      <c r="D710" s="8" t="str">
        <f t="shared" si="133"/>
        <v>N</v>
      </c>
      <c r="E710" s="8" t="str">
        <f t="shared" si="134"/>
        <v>N</v>
      </c>
      <c r="F710" s="8" t="str">
        <f t="shared" si="135"/>
        <v>Y</v>
      </c>
      <c r="G710" s="8" t="str">
        <f t="shared" si="136"/>
        <v>Y</v>
      </c>
      <c r="H710" s="8" t="str">
        <f t="shared" si="137"/>
        <v>Upper</v>
      </c>
      <c r="I710" s="8" t="str">
        <f t="shared" si="138"/>
        <v>West Fork and Below Lake</v>
      </c>
      <c r="J710" s="8" t="str">
        <f t="shared" si="139"/>
        <v>Outside</v>
      </c>
      <c r="K710" s="8" t="str">
        <f t="shared" si="140"/>
        <v>Post-1949</v>
      </c>
      <c r="L710" s="8">
        <f t="shared" si="141"/>
        <v>1974</v>
      </c>
      <c r="M710" s="8" t="str">
        <f t="shared" si="143"/>
        <v>1971-1990</v>
      </c>
      <c r="N710" s="10" t="s">
        <v>242</v>
      </c>
      <c r="O710" s="10" t="s">
        <v>241</v>
      </c>
      <c r="P710" s="10" t="s">
        <v>242</v>
      </c>
      <c r="Q710" s="10" t="s">
        <v>242</v>
      </c>
      <c r="R710" s="10" t="s">
        <v>241</v>
      </c>
      <c r="S710" s="10" t="s">
        <v>242</v>
      </c>
      <c r="T710" s="10" t="s">
        <v>242</v>
      </c>
      <c r="U710" s="10" t="s">
        <v>242</v>
      </c>
      <c r="V710" s="10" t="s">
        <v>242</v>
      </c>
      <c r="W710" s="10" t="s">
        <v>242</v>
      </c>
      <c r="X710" s="15">
        <f>IF(ISERROR(VLOOKUP($A710,'13. Updated Demand'!A:Z,15,FALSE)),0,VLOOKUP($A710,'13. Updated Demand'!A:Z,15,FALSE))</f>
        <v>3.33</v>
      </c>
      <c r="Y710" s="16">
        <f>IF(ISERROR(VLOOKUP($A710,'13. Updated Demand'!A:Z,16,FALSE)),0,VLOOKUP($A710,'13. Updated Demand'!A:Z,16,FALSE))</f>
        <v>3.33</v>
      </c>
      <c r="Z710" s="16">
        <f>IF(ISERROR(VLOOKUP($A710,'13. Updated Demand'!A:Z,17,FALSE)),0,VLOOKUP($A710,'13. Updated Demand'!A:Z,17,FALSE))</f>
        <v>4</v>
      </c>
      <c r="AA710" s="16">
        <f>IF(ISERROR(VLOOKUP($A710,'13. Updated Demand'!A:Z,18,FALSE)),0,VLOOKUP($A710,'13. Updated Demand'!A:Z,18,FALSE))</f>
        <v>4.33</v>
      </c>
      <c r="AB710" s="16">
        <f>IF(ISERROR(VLOOKUP($A710,'13. Updated Demand'!A:Z,19,FALSE)),0,VLOOKUP($A710,'13. Updated Demand'!A:Z,19,FALSE))</f>
        <v>1</v>
      </c>
      <c r="AC710" s="16">
        <f>IF(ISERROR(VLOOKUP($A710,'13. Updated Demand'!A:Z,20,FALSE)),0,VLOOKUP($A710,'13. Updated Demand'!A:Z,20,FALSE))</f>
        <v>0.66</v>
      </c>
      <c r="AD710" s="16">
        <f>IF(ISERROR(VLOOKUP($A710,'13. Updated Demand'!A:Z,21,FALSE)),0,VLOOKUP($A710,'13. Updated Demand'!A:Z,21,FALSE))</f>
        <v>0.66</v>
      </c>
      <c r="AE710" s="16">
        <f>IF(ISERROR(VLOOKUP($A710,'13. Updated Demand'!A:Z,22,FALSE)),0,VLOOKUP($A710,'13. Updated Demand'!A:Z,22,FALSE))</f>
        <v>0.66</v>
      </c>
      <c r="AF710" s="16">
        <f>IF(ISERROR(VLOOKUP($A710,'13. Updated Demand'!A:Z,23,FALSE)),0,VLOOKUP($A710,'13. Updated Demand'!A:Z,23,FALSE))</f>
        <v>0.66</v>
      </c>
      <c r="AG710" s="16">
        <f>IF(ISERROR(VLOOKUP($A710,'13. Updated Demand'!A:Z,24,FALSE)),0,VLOOKUP($A710,'13. Updated Demand'!A:Z,24,FALSE))</f>
        <v>0.66</v>
      </c>
      <c r="AH710" s="16">
        <f>IF(ISERROR(VLOOKUP($A710,'13. Updated Demand'!A:Z,25,FALSE)),0,VLOOKUP($A710,'13. Updated Demand'!A:Z,25,FALSE))</f>
        <v>0.33</v>
      </c>
      <c r="AI710" s="16">
        <f>IF(ISERROR(VLOOKUP($A710,'13. Updated Demand'!A:Z,26,FALSE)),0,VLOOKUP($A710,'13. Updated Demand'!A:Z,26,FALSE))</f>
        <v>0</v>
      </c>
      <c r="AJ710" s="16">
        <f t="shared" si="132"/>
        <v>19.619999999999997</v>
      </c>
      <c r="AK710" s="19">
        <v>3.6666666679999995</v>
      </c>
      <c r="AL710" s="16">
        <f t="shared" si="142"/>
        <v>1.2161915665172713E-2</v>
      </c>
      <c r="AM710" s="17">
        <v>0.98333333335000028</v>
      </c>
      <c r="AN710" s="19"/>
      <c r="AO710" s="19"/>
      <c r="AP710" s="19">
        <v>20</v>
      </c>
      <c r="AQ710" s="19" t="s">
        <v>307</v>
      </c>
      <c r="AR710" s="9" t="s">
        <v>317</v>
      </c>
      <c r="AS710" s="12">
        <v>3.4039024194010059E-4</v>
      </c>
      <c r="AT710" s="19">
        <v>39.293500000000002</v>
      </c>
      <c r="AU710" s="19">
        <v>-123.2107</v>
      </c>
      <c r="AV710" s="19" t="s">
        <v>456</v>
      </c>
    </row>
    <row r="711" spans="1:48" x14ac:dyDescent="0.25">
      <c r="A711" s="18" t="s">
        <v>1101</v>
      </c>
      <c r="B711" s="10">
        <v>19740208</v>
      </c>
      <c r="C711" s="9">
        <v>16</v>
      </c>
      <c r="D711" s="8" t="str">
        <f t="shared" si="133"/>
        <v>N</v>
      </c>
      <c r="E711" s="8" t="str">
        <f t="shared" si="134"/>
        <v>N</v>
      </c>
      <c r="F711" s="8" t="str">
        <f t="shared" si="135"/>
        <v>N</v>
      </c>
      <c r="G711" s="8" t="str">
        <f t="shared" si="136"/>
        <v>N</v>
      </c>
      <c r="H711" s="8" t="str">
        <f t="shared" si="137"/>
        <v>Lower</v>
      </c>
      <c r="I711" s="8" t="str">
        <f t="shared" si="138"/>
        <v>Outside</v>
      </c>
      <c r="J711" s="8" t="str">
        <f t="shared" si="139"/>
        <v>Outside</v>
      </c>
      <c r="K711" s="8" t="str">
        <f t="shared" si="140"/>
        <v>Post-1949</v>
      </c>
      <c r="L711" s="8">
        <f t="shared" si="141"/>
        <v>1974</v>
      </c>
      <c r="M711" s="8" t="str">
        <f t="shared" si="143"/>
        <v>1971-1990</v>
      </c>
      <c r="N711" s="10" t="s">
        <v>242</v>
      </c>
      <c r="O711" s="10" t="s">
        <v>242</v>
      </c>
      <c r="P711" s="10" t="s">
        <v>242</v>
      </c>
      <c r="Q711" s="10" t="s">
        <v>242</v>
      </c>
      <c r="R711" s="10" t="s">
        <v>241</v>
      </c>
      <c r="S711" s="10" t="s">
        <v>242</v>
      </c>
      <c r="T711" s="10" t="s">
        <v>242</v>
      </c>
      <c r="U711" s="10" t="s">
        <v>242</v>
      </c>
      <c r="V711" s="10" t="s">
        <v>241</v>
      </c>
      <c r="W711" s="10" t="s">
        <v>242</v>
      </c>
      <c r="X711" s="15">
        <f>IF(ISERROR(VLOOKUP($A711,'13. Updated Demand'!A:Z,15,FALSE)),0,VLOOKUP($A711,'13. Updated Demand'!A:Z,15,FALSE))</f>
        <v>8.9666666670000001</v>
      </c>
      <c r="Y711" s="16">
        <f>IF(ISERROR(VLOOKUP($A711,'13. Updated Demand'!A:Z,16,FALSE)),0,VLOOKUP($A711,'13. Updated Demand'!A:Z,16,FALSE))</f>
        <v>0.33333333300000001</v>
      </c>
      <c r="Z711" s="16">
        <f>IF(ISERROR(VLOOKUP($A711,'13. Updated Demand'!A:Z,17,FALSE)),0,VLOOKUP($A711,'13. Updated Demand'!A:Z,17,FALSE))</f>
        <v>0.46666666699999998</v>
      </c>
      <c r="AA711" s="16">
        <f>IF(ISERROR(VLOOKUP($A711,'13. Updated Demand'!A:Z,18,FALSE)),0,VLOOKUP($A711,'13. Updated Demand'!A:Z,18,FALSE))</f>
        <v>0</v>
      </c>
      <c r="AB711" s="16">
        <f>IF(ISERROR(VLOOKUP($A711,'13. Updated Demand'!A:Z,19,FALSE)),0,VLOOKUP($A711,'13. Updated Demand'!A:Z,19,FALSE))</f>
        <v>0</v>
      </c>
      <c r="AC711" s="16">
        <f>IF(ISERROR(VLOOKUP($A711,'13. Updated Demand'!A:Z,20,FALSE)),0,VLOOKUP($A711,'13. Updated Demand'!A:Z,20,FALSE))</f>
        <v>0</v>
      </c>
      <c r="AD711" s="16">
        <f>IF(ISERROR(VLOOKUP($A711,'13. Updated Demand'!A:Z,21,FALSE)),0,VLOOKUP($A711,'13. Updated Demand'!A:Z,21,FALSE))</f>
        <v>0</v>
      </c>
      <c r="AE711" s="16">
        <f>IF(ISERROR(VLOOKUP($A711,'13. Updated Demand'!A:Z,22,FALSE)),0,VLOOKUP($A711,'13. Updated Demand'!A:Z,22,FALSE))</f>
        <v>0</v>
      </c>
      <c r="AF711" s="16">
        <f>IF(ISERROR(VLOOKUP($A711,'13. Updated Demand'!A:Z,23,FALSE)),0,VLOOKUP($A711,'13. Updated Demand'!A:Z,23,FALSE))</f>
        <v>0</v>
      </c>
      <c r="AG711" s="16">
        <f>IF(ISERROR(VLOOKUP($A711,'13. Updated Demand'!A:Z,24,FALSE)),0,VLOOKUP($A711,'13. Updated Demand'!A:Z,24,FALSE))</f>
        <v>0</v>
      </c>
      <c r="AH711" s="16">
        <f>IF(ISERROR(VLOOKUP($A711,'13. Updated Demand'!A:Z,25,FALSE)),0,VLOOKUP($A711,'13. Updated Demand'!A:Z,25,FALSE))</f>
        <v>0.2</v>
      </c>
      <c r="AI711" s="16">
        <f>IF(ISERROR(VLOOKUP($A711,'13. Updated Demand'!A:Z,26,FALSE)),0,VLOOKUP($A711,'13. Updated Demand'!A:Z,26,FALSE))</f>
        <v>2.733333333</v>
      </c>
      <c r="AJ711" s="16">
        <f t="shared" si="132"/>
        <v>12.7</v>
      </c>
      <c r="AK711" s="19">
        <v>0</v>
      </c>
      <c r="AL711" s="16">
        <f t="shared" si="142"/>
        <v>0</v>
      </c>
      <c r="AM711" s="17">
        <v>0.57727272727272727</v>
      </c>
      <c r="AN711" s="19"/>
      <c r="AO711" s="19"/>
      <c r="AP711" s="19">
        <v>22</v>
      </c>
      <c r="AQ711" s="19" t="s">
        <v>307</v>
      </c>
      <c r="AR711" s="9" t="s">
        <v>394</v>
      </c>
      <c r="AS711" s="12">
        <v>0</v>
      </c>
      <c r="AT711" s="19">
        <v>38.587899999999998</v>
      </c>
      <c r="AU711" s="19">
        <v>-122.89149999999999</v>
      </c>
      <c r="AV711" s="19" t="s">
        <v>417</v>
      </c>
    </row>
    <row r="712" spans="1:48" x14ac:dyDescent="0.25">
      <c r="A712" s="18" t="s">
        <v>1102</v>
      </c>
      <c r="B712" s="10">
        <v>19740917</v>
      </c>
      <c r="C712" s="9">
        <v>16</v>
      </c>
      <c r="D712" s="8" t="str">
        <f t="shared" si="133"/>
        <v>N</v>
      </c>
      <c r="E712" s="8" t="str">
        <f t="shared" si="134"/>
        <v>N</v>
      </c>
      <c r="F712" s="8" t="str">
        <f t="shared" si="135"/>
        <v>N</v>
      </c>
      <c r="G712" s="8" t="str">
        <f t="shared" si="136"/>
        <v>N</v>
      </c>
      <c r="H712" s="8" t="str">
        <f t="shared" si="137"/>
        <v>Lower</v>
      </c>
      <c r="I712" s="8" t="str">
        <f t="shared" si="138"/>
        <v>Outside</v>
      </c>
      <c r="J712" s="8" t="str">
        <f t="shared" si="139"/>
        <v>Outside</v>
      </c>
      <c r="K712" s="8" t="str">
        <f t="shared" si="140"/>
        <v>Post-1949</v>
      </c>
      <c r="L712" s="8">
        <f t="shared" si="141"/>
        <v>1974</v>
      </c>
      <c r="M712" s="8" t="str">
        <f t="shared" si="143"/>
        <v>1971-1990</v>
      </c>
      <c r="N712" s="10" t="s">
        <v>242</v>
      </c>
      <c r="O712" s="10" t="s">
        <v>242</v>
      </c>
      <c r="P712" s="10" t="s">
        <v>242</v>
      </c>
      <c r="Q712" s="10" t="s">
        <v>242</v>
      </c>
      <c r="R712" s="10" t="s">
        <v>241</v>
      </c>
      <c r="S712" s="10" t="s">
        <v>242</v>
      </c>
      <c r="T712" s="10" t="s">
        <v>242</v>
      </c>
      <c r="U712" s="10" t="s">
        <v>241</v>
      </c>
      <c r="V712" s="10" t="s">
        <v>241</v>
      </c>
      <c r="W712" s="10" t="s">
        <v>242</v>
      </c>
      <c r="X712" s="15">
        <f>IF(ISERROR(VLOOKUP($A712,'13. Updated Demand'!A:Z,15,FALSE)),0,VLOOKUP($A712,'13. Updated Demand'!A:Z,15,FALSE))</f>
        <v>0</v>
      </c>
      <c r="Y712" s="16">
        <f>IF(ISERROR(VLOOKUP($A712,'13. Updated Demand'!A:Z,16,FALSE)),0,VLOOKUP($A712,'13. Updated Demand'!A:Z,16,FALSE))</f>
        <v>0</v>
      </c>
      <c r="Z712" s="16">
        <f>IF(ISERROR(VLOOKUP($A712,'13. Updated Demand'!A:Z,17,FALSE)),0,VLOOKUP($A712,'13. Updated Demand'!A:Z,17,FALSE))</f>
        <v>0</v>
      </c>
      <c r="AA712" s="16">
        <f>IF(ISERROR(VLOOKUP($A712,'13. Updated Demand'!A:Z,18,FALSE)),0,VLOOKUP($A712,'13. Updated Demand'!A:Z,18,FALSE))</f>
        <v>0</v>
      </c>
      <c r="AB712" s="16">
        <f>IF(ISERROR(VLOOKUP($A712,'13. Updated Demand'!A:Z,19,FALSE)),0,VLOOKUP($A712,'13. Updated Demand'!A:Z,19,FALSE))</f>
        <v>0</v>
      </c>
      <c r="AC712" s="16">
        <f>IF(ISERROR(VLOOKUP($A712,'13. Updated Demand'!A:Z,20,FALSE)),0,VLOOKUP($A712,'13. Updated Demand'!A:Z,20,FALSE))</f>
        <v>0</v>
      </c>
      <c r="AD712" s="16">
        <f>IF(ISERROR(VLOOKUP($A712,'13. Updated Demand'!A:Z,21,FALSE)),0,VLOOKUP($A712,'13. Updated Demand'!A:Z,21,FALSE))</f>
        <v>0</v>
      </c>
      <c r="AE712" s="16">
        <f>IF(ISERROR(VLOOKUP($A712,'13. Updated Demand'!A:Z,22,FALSE)),0,VLOOKUP($A712,'13. Updated Demand'!A:Z,22,FALSE))</f>
        <v>0</v>
      </c>
      <c r="AF712" s="16">
        <f>IF(ISERROR(VLOOKUP($A712,'13. Updated Demand'!A:Z,23,FALSE)),0,VLOOKUP($A712,'13. Updated Demand'!A:Z,23,FALSE))</f>
        <v>0</v>
      </c>
      <c r="AG712" s="16">
        <f>IF(ISERROR(VLOOKUP($A712,'13. Updated Demand'!A:Z,24,FALSE)),0,VLOOKUP($A712,'13. Updated Demand'!A:Z,24,FALSE))</f>
        <v>0</v>
      </c>
      <c r="AH712" s="16">
        <f>IF(ISERROR(VLOOKUP($A712,'13. Updated Demand'!A:Z,25,FALSE)),0,VLOOKUP($A712,'13. Updated Demand'!A:Z,25,FALSE))</f>
        <v>0</v>
      </c>
      <c r="AI712" s="16">
        <f>IF(ISERROR(VLOOKUP($A712,'13. Updated Demand'!A:Z,26,FALSE)),0,VLOOKUP($A712,'13. Updated Demand'!A:Z,26,FALSE))</f>
        <v>0</v>
      </c>
      <c r="AJ712" s="16">
        <f t="shared" si="132"/>
        <v>0</v>
      </c>
      <c r="AK712" s="19">
        <v>0</v>
      </c>
      <c r="AL712" s="16">
        <f t="shared" si="142"/>
        <v>0</v>
      </c>
      <c r="AM712" s="17">
        <v>0</v>
      </c>
      <c r="AN712" s="19"/>
      <c r="AO712" s="19"/>
      <c r="AP712" s="19">
        <v>5.2</v>
      </c>
      <c r="AQ712" s="19" t="s">
        <v>307</v>
      </c>
      <c r="AR712" s="9" t="s">
        <v>394</v>
      </c>
      <c r="AS712" s="12">
        <v>0</v>
      </c>
      <c r="AT712" s="19">
        <v>38.587552330000001</v>
      </c>
      <c r="AU712" s="19">
        <v>-122.87292715</v>
      </c>
      <c r="AV712" s="19" t="s">
        <v>701</v>
      </c>
    </row>
    <row r="713" spans="1:48" x14ac:dyDescent="0.25">
      <c r="A713" s="18" t="s">
        <v>1103</v>
      </c>
      <c r="B713" s="10">
        <v>19740917</v>
      </c>
      <c r="C713" s="9">
        <v>16</v>
      </c>
      <c r="D713" s="8" t="str">
        <f t="shared" si="133"/>
        <v>N</v>
      </c>
      <c r="E713" s="8" t="str">
        <f t="shared" si="134"/>
        <v>N</v>
      </c>
      <c r="F713" s="8" t="str">
        <f t="shared" si="135"/>
        <v>N</v>
      </c>
      <c r="G713" s="8" t="str">
        <f t="shared" si="136"/>
        <v>N</v>
      </c>
      <c r="H713" s="8" t="str">
        <f t="shared" si="137"/>
        <v>Lower</v>
      </c>
      <c r="I713" s="8" t="str">
        <f t="shared" si="138"/>
        <v>Outside</v>
      </c>
      <c r="J713" s="8" t="str">
        <f t="shared" si="139"/>
        <v>Outside</v>
      </c>
      <c r="K713" s="8" t="str">
        <f t="shared" si="140"/>
        <v>Post-1949</v>
      </c>
      <c r="L713" s="8">
        <f t="shared" si="141"/>
        <v>1974</v>
      </c>
      <c r="M713" s="8" t="str">
        <f t="shared" si="143"/>
        <v>1971-1990</v>
      </c>
      <c r="N713" s="10" t="s">
        <v>242</v>
      </c>
      <c r="O713" s="10" t="s">
        <v>242</v>
      </c>
      <c r="P713" s="10" t="s">
        <v>242</v>
      </c>
      <c r="Q713" s="10" t="s">
        <v>242</v>
      </c>
      <c r="R713" s="10" t="s">
        <v>241</v>
      </c>
      <c r="S713" s="10" t="s">
        <v>242</v>
      </c>
      <c r="T713" s="10" t="s">
        <v>242</v>
      </c>
      <c r="U713" s="10" t="s">
        <v>241</v>
      </c>
      <c r="V713" s="10" t="s">
        <v>241</v>
      </c>
      <c r="W713" s="10" t="s">
        <v>242</v>
      </c>
      <c r="X713" s="15">
        <f>IF(ISERROR(VLOOKUP($A713,'13. Updated Demand'!A:Z,15,FALSE)),0,VLOOKUP($A713,'13. Updated Demand'!A:Z,15,FALSE))</f>
        <v>0</v>
      </c>
      <c r="Y713" s="16">
        <f>IF(ISERROR(VLOOKUP($A713,'13. Updated Demand'!A:Z,16,FALSE)),0,VLOOKUP($A713,'13. Updated Demand'!A:Z,16,FALSE))</f>
        <v>0</v>
      </c>
      <c r="Z713" s="16">
        <f>IF(ISERROR(VLOOKUP($A713,'13. Updated Demand'!A:Z,17,FALSE)),0,VLOOKUP($A713,'13. Updated Demand'!A:Z,17,FALSE))</f>
        <v>0</v>
      </c>
      <c r="AA713" s="16">
        <f>IF(ISERROR(VLOOKUP($A713,'13. Updated Demand'!A:Z,18,FALSE)),0,VLOOKUP($A713,'13. Updated Demand'!A:Z,18,FALSE))</f>
        <v>0</v>
      </c>
      <c r="AB713" s="16">
        <f>IF(ISERROR(VLOOKUP($A713,'13. Updated Demand'!A:Z,19,FALSE)),0,VLOOKUP($A713,'13. Updated Demand'!A:Z,19,FALSE))</f>
        <v>0</v>
      </c>
      <c r="AC713" s="16">
        <f>IF(ISERROR(VLOOKUP($A713,'13. Updated Demand'!A:Z,20,FALSE)),0,VLOOKUP($A713,'13. Updated Demand'!A:Z,20,FALSE))</f>
        <v>0</v>
      </c>
      <c r="AD713" s="16">
        <f>IF(ISERROR(VLOOKUP($A713,'13. Updated Demand'!A:Z,21,FALSE)),0,VLOOKUP($A713,'13. Updated Demand'!A:Z,21,FALSE))</f>
        <v>0</v>
      </c>
      <c r="AE713" s="16">
        <f>IF(ISERROR(VLOOKUP($A713,'13. Updated Demand'!A:Z,22,FALSE)),0,VLOOKUP($A713,'13. Updated Demand'!A:Z,22,FALSE))</f>
        <v>0</v>
      </c>
      <c r="AF713" s="16">
        <f>IF(ISERROR(VLOOKUP($A713,'13. Updated Demand'!A:Z,23,FALSE)),0,VLOOKUP($A713,'13. Updated Demand'!A:Z,23,FALSE))</f>
        <v>0</v>
      </c>
      <c r="AG713" s="16">
        <f>IF(ISERROR(VLOOKUP($A713,'13. Updated Demand'!A:Z,24,FALSE)),0,VLOOKUP($A713,'13. Updated Demand'!A:Z,24,FALSE))</f>
        <v>0</v>
      </c>
      <c r="AH713" s="16">
        <f>IF(ISERROR(VLOOKUP($A713,'13. Updated Demand'!A:Z,25,FALSE)),0,VLOOKUP($A713,'13. Updated Demand'!A:Z,25,FALSE))</f>
        <v>0</v>
      </c>
      <c r="AI713" s="16">
        <f>IF(ISERROR(VLOOKUP($A713,'13. Updated Demand'!A:Z,26,FALSE)),0,VLOOKUP($A713,'13. Updated Demand'!A:Z,26,FALSE))</f>
        <v>0</v>
      </c>
      <c r="AJ713" s="16">
        <f t="shared" si="132"/>
        <v>0</v>
      </c>
      <c r="AK713" s="19">
        <v>0</v>
      </c>
      <c r="AL713" s="16">
        <f t="shared" si="142"/>
        <v>0</v>
      </c>
      <c r="AM713" s="17">
        <v>0</v>
      </c>
      <c r="AN713" s="19"/>
      <c r="AO713" s="19"/>
      <c r="AP713" s="19">
        <v>1.5</v>
      </c>
      <c r="AQ713" s="19" t="s">
        <v>307</v>
      </c>
      <c r="AR713" s="9" t="s">
        <v>394</v>
      </c>
      <c r="AS713" s="12">
        <v>0</v>
      </c>
      <c r="AT713" s="19">
        <v>38.587552330000001</v>
      </c>
      <c r="AU713" s="19">
        <v>-122.87292715</v>
      </c>
      <c r="AV713" s="19" t="s">
        <v>701</v>
      </c>
    </row>
    <row r="714" spans="1:48" x14ac:dyDescent="0.25">
      <c r="A714" s="18" t="s">
        <v>1104</v>
      </c>
      <c r="B714" s="10">
        <v>19730614</v>
      </c>
      <c r="C714" s="9">
        <v>12</v>
      </c>
      <c r="D714" s="8" t="str">
        <f t="shared" si="133"/>
        <v>N</v>
      </c>
      <c r="E714" s="8" t="str">
        <f t="shared" si="134"/>
        <v>Y</v>
      </c>
      <c r="F714" s="8" t="str">
        <f t="shared" si="135"/>
        <v>Y</v>
      </c>
      <c r="G714" s="8" t="str">
        <f t="shared" si="136"/>
        <v>Y</v>
      </c>
      <c r="H714" s="8" t="str">
        <f t="shared" si="137"/>
        <v>Upper</v>
      </c>
      <c r="I714" s="8" t="str">
        <f t="shared" si="138"/>
        <v>West Fork and Below Lake</v>
      </c>
      <c r="J714" s="8" t="str">
        <f t="shared" si="139"/>
        <v>Sonoma (d/s of Clov. Gage)</v>
      </c>
      <c r="K714" s="8" t="str">
        <f t="shared" si="140"/>
        <v>Post-1949</v>
      </c>
      <c r="L714" s="8">
        <f t="shared" si="141"/>
        <v>1973</v>
      </c>
      <c r="M714" s="8" t="str">
        <f t="shared" si="143"/>
        <v>1971-1990</v>
      </c>
      <c r="N714" s="10" t="s">
        <v>241</v>
      </c>
      <c r="O714" s="10" t="s">
        <v>241</v>
      </c>
      <c r="P714" s="10" t="s">
        <v>242</v>
      </c>
      <c r="Q714" s="10" t="s">
        <v>242</v>
      </c>
      <c r="R714" s="10" t="s">
        <v>241</v>
      </c>
      <c r="S714" s="10" t="s">
        <v>242</v>
      </c>
      <c r="T714" s="10" t="s">
        <v>242</v>
      </c>
      <c r="U714" s="10" t="s">
        <v>242</v>
      </c>
      <c r="V714" s="10" t="s">
        <v>242</v>
      </c>
      <c r="W714" s="10" t="s">
        <v>242</v>
      </c>
      <c r="X714" s="15">
        <f>IF(ISERROR(VLOOKUP($A714,'13. Updated Demand'!A:Z,15,FALSE)),0,VLOOKUP($A714,'13. Updated Demand'!A:Z,15,FALSE))</f>
        <v>0</v>
      </c>
      <c r="Y714" s="16">
        <f>IF(ISERROR(VLOOKUP($A714,'13. Updated Demand'!A:Z,16,FALSE)),0,VLOOKUP($A714,'13. Updated Demand'!A:Z,16,FALSE))</f>
        <v>0</v>
      </c>
      <c r="Z714" s="16">
        <f>IF(ISERROR(VLOOKUP($A714,'13. Updated Demand'!A:Z,17,FALSE)),0,VLOOKUP($A714,'13. Updated Demand'!A:Z,17,FALSE))</f>
        <v>0</v>
      </c>
      <c r="AA714" s="16">
        <f>IF(ISERROR(VLOOKUP($A714,'13. Updated Demand'!A:Z,18,FALSE)),0,VLOOKUP($A714,'13. Updated Demand'!A:Z,18,FALSE))</f>
        <v>0</v>
      </c>
      <c r="AB714" s="16">
        <f>IF(ISERROR(VLOOKUP($A714,'13. Updated Demand'!A:Z,19,FALSE)),0,VLOOKUP($A714,'13. Updated Demand'!A:Z,19,FALSE))</f>
        <v>5</v>
      </c>
      <c r="AC714" s="16">
        <f>IF(ISERROR(VLOOKUP($A714,'13. Updated Demand'!A:Z,20,FALSE)),0,VLOOKUP($A714,'13. Updated Demand'!A:Z,20,FALSE))</f>
        <v>15.66</v>
      </c>
      <c r="AD714" s="16">
        <f>IF(ISERROR(VLOOKUP($A714,'13. Updated Demand'!A:Z,21,FALSE)),0,VLOOKUP($A714,'13. Updated Demand'!A:Z,21,FALSE))</f>
        <v>17.64</v>
      </c>
      <c r="AE714" s="16">
        <f>IF(ISERROR(VLOOKUP($A714,'13. Updated Demand'!A:Z,22,FALSE)),0,VLOOKUP($A714,'13. Updated Demand'!A:Z,22,FALSE))</f>
        <v>17.68</v>
      </c>
      <c r="AF714" s="16">
        <f>IF(ISERROR(VLOOKUP($A714,'13. Updated Demand'!A:Z,23,FALSE)),0,VLOOKUP($A714,'13. Updated Demand'!A:Z,23,FALSE))</f>
        <v>17.079999999999998</v>
      </c>
      <c r="AG714" s="16">
        <f>IF(ISERROR(VLOOKUP($A714,'13. Updated Demand'!A:Z,24,FALSE)),0,VLOOKUP($A714,'13. Updated Demand'!A:Z,24,FALSE))</f>
        <v>6.57</v>
      </c>
      <c r="AH714" s="16">
        <f>IF(ISERROR(VLOOKUP($A714,'13. Updated Demand'!A:Z,25,FALSE)),0,VLOOKUP($A714,'13. Updated Demand'!A:Z,25,FALSE))</f>
        <v>0</v>
      </c>
      <c r="AI714" s="16">
        <f>IF(ISERROR(VLOOKUP($A714,'13. Updated Demand'!A:Z,26,FALSE)),0,VLOOKUP($A714,'13. Updated Demand'!A:Z,26,FALSE))</f>
        <v>0</v>
      </c>
      <c r="AJ714" s="16">
        <f t="shared" si="132"/>
        <v>79.63</v>
      </c>
      <c r="AK714" s="19">
        <v>73.076666666666711</v>
      </c>
      <c r="AL714" s="16">
        <f t="shared" si="142"/>
        <v>0.24238697911875165</v>
      </c>
      <c r="AM714" s="17">
        <v>0.40025125628140723</v>
      </c>
      <c r="AN714" s="19"/>
      <c r="AO714" s="19"/>
      <c r="AP714" s="19">
        <v>199</v>
      </c>
      <c r="AQ714" s="19" t="s">
        <v>307</v>
      </c>
      <c r="AR714" s="9" t="s">
        <v>311</v>
      </c>
      <c r="AS714" s="12">
        <v>0</v>
      </c>
      <c r="AT714" s="19">
        <v>38.638919659999999</v>
      </c>
      <c r="AU714" s="19">
        <v>-122.79407788</v>
      </c>
      <c r="AV714" s="19" t="s">
        <v>387</v>
      </c>
    </row>
    <row r="715" spans="1:48" x14ac:dyDescent="0.25">
      <c r="A715" s="18" t="s">
        <v>1105</v>
      </c>
      <c r="B715" s="10">
        <v>19730614</v>
      </c>
      <c r="C715" s="9">
        <v>12</v>
      </c>
      <c r="D715" s="8" t="str">
        <f t="shared" si="133"/>
        <v>N</v>
      </c>
      <c r="E715" s="8" t="str">
        <f t="shared" si="134"/>
        <v>Y</v>
      </c>
      <c r="F715" s="8" t="str">
        <f t="shared" si="135"/>
        <v>Y</v>
      </c>
      <c r="G715" s="8" t="str">
        <f t="shared" si="136"/>
        <v>Y</v>
      </c>
      <c r="H715" s="8" t="str">
        <f t="shared" si="137"/>
        <v>Upper</v>
      </c>
      <c r="I715" s="8" t="str">
        <f t="shared" si="138"/>
        <v>West Fork and Below Lake</v>
      </c>
      <c r="J715" s="8" t="str">
        <f t="shared" si="139"/>
        <v>Sonoma (d/s of Clov. Gage)</v>
      </c>
      <c r="K715" s="8" t="str">
        <f t="shared" si="140"/>
        <v>Post-1949</v>
      </c>
      <c r="L715" s="8">
        <f t="shared" si="141"/>
        <v>1973</v>
      </c>
      <c r="M715" s="8" t="str">
        <f t="shared" si="143"/>
        <v>1971-1990</v>
      </c>
      <c r="N715" s="10" t="s">
        <v>241</v>
      </c>
      <c r="O715" s="10" t="s">
        <v>241</v>
      </c>
      <c r="P715" s="10" t="s">
        <v>242</v>
      </c>
      <c r="Q715" s="10" t="s">
        <v>242</v>
      </c>
      <c r="R715" s="10" t="s">
        <v>241</v>
      </c>
      <c r="S715" s="10" t="s">
        <v>242</v>
      </c>
      <c r="T715" s="10" t="s">
        <v>242</v>
      </c>
      <c r="U715" s="10" t="s">
        <v>242</v>
      </c>
      <c r="V715" s="10" t="s">
        <v>242</v>
      </c>
      <c r="W715" s="10" t="s">
        <v>242</v>
      </c>
      <c r="X715" s="15">
        <f>IF(ISERROR(VLOOKUP($A715,'13. Updated Demand'!A:Z,15,FALSE)),0,VLOOKUP($A715,'13. Updated Demand'!A:Z,15,FALSE))</f>
        <v>0</v>
      </c>
      <c r="Y715" s="16">
        <f>IF(ISERROR(VLOOKUP($A715,'13. Updated Demand'!A:Z,16,FALSE)),0,VLOOKUP($A715,'13. Updated Demand'!A:Z,16,FALSE))</f>
        <v>0</v>
      </c>
      <c r="Z715" s="16">
        <f>IF(ISERROR(VLOOKUP($A715,'13. Updated Demand'!A:Z,17,FALSE)),0,VLOOKUP($A715,'13. Updated Demand'!A:Z,17,FALSE))</f>
        <v>0</v>
      </c>
      <c r="AA715" s="16">
        <f>IF(ISERROR(VLOOKUP($A715,'13. Updated Demand'!A:Z,18,FALSE)),0,VLOOKUP($A715,'13. Updated Demand'!A:Z,18,FALSE))</f>
        <v>0</v>
      </c>
      <c r="AB715" s="16">
        <f>IF(ISERROR(VLOOKUP($A715,'13. Updated Demand'!A:Z,19,FALSE)),0,VLOOKUP($A715,'13. Updated Demand'!A:Z,19,FALSE))</f>
        <v>1.66</v>
      </c>
      <c r="AC715" s="16">
        <f>IF(ISERROR(VLOOKUP($A715,'13. Updated Demand'!A:Z,20,FALSE)),0,VLOOKUP($A715,'13. Updated Demand'!A:Z,20,FALSE))</f>
        <v>10.25</v>
      </c>
      <c r="AD715" s="16">
        <f>IF(ISERROR(VLOOKUP($A715,'13. Updated Demand'!A:Z,21,FALSE)),0,VLOOKUP($A715,'13. Updated Demand'!A:Z,21,FALSE))</f>
        <v>11.43</v>
      </c>
      <c r="AE715" s="16">
        <f>IF(ISERROR(VLOOKUP($A715,'13. Updated Demand'!A:Z,22,FALSE)),0,VLOOKUP($A715,'13. Updated Demand'!A:Z,22,FALSE))</f>
        <v>13.64</v>
      </c>
      <c r="AF715" s="16">
        <f>IF(ISERROR(VLOOKUP($A715,'13. Updated Demand'!A:Z,23,FALSE)),0,VLOOKUP($A715,'13. Updated Demand'!A:Z,23,FALSE))</f>
        <v>10.17</v>
      </c>
      <c r="AG715" s="16">
        <f>IF(ISERROR(VLOOKUP($A715,'13. Updated Demand'!A:Z,24,FALSE)),0,VLOOKUP($A715,'13. Updated Demand'!A:Z,24,FALSE))</f>
        <v>7.87</v>
      </c>
      <c r="AH715" s="16">
        <f>IF(ISERROR(VLOOKUP($A715,'13. Updated Demand'!A:Z,25,FALSE)),0,VLOOKUP($A715,'13. Updated Demand'!A:Z,25,FALSE))</f>
        <v>0</v>
      </c>
      <c r="AI715" s="16">
        <f>IF(ISERROR(VLOOKUP($A715,'13. Updated Demand'!A:Z,26,FALSE)),0,VLOOKUP($A715,'13. Updated Demand'!A:Z,26,FALSE))</f>
        <v>0</v>
      </c>
      <c r="AJ715" s="16">
        <f t="shared" si="132"/>
        <v>55.02</v>
      </c>
      <c r="AK715" s="19">
        <v>47.169999999999966</v>
      </c>
      <c r="AL715" s="16">
        <f t="shared" si="142"/>
        <v>0.15645751683206904</v>
      </c>
      <c r="AM715" s="17">
        <v>0.72046247818499065</v>
      </c>
      <c r="AN715" s="19"/>
      <c r="AO715" s="19"/>
      <c r="AP715" s="19">
        <v>76.400000000000006</v>
      </c>
      <c r="AQ715" s="19" t="s">
        <v>307</v>
      </c>
      <c r="AR715" s="9" t="s">
        <v>311</v>
      </c>
      <c r="AS715" s="12">
        <v>0</v>
      </c>
      <c r="AT715" s="19">
        <v>38.638919659999999</v>
      </c>
      <c r="AU715" s="19">
        <v>-122.79407788</v>
      </c>
      <c r="AV715" s="19" t="s">
        <v>387</v>
      </c>
    </row>
    <row r="716" spans="1:48" x14ac:dyDescent="0.25">
      <c r="A716" s="18" t="s">
        <v>67</v>
      </c>
      <c r="B716" s="10">
        <v>19730614</v>
      </c>
      <c r="C716" s="9">
        <v>12</v>
      </c>
      <c r="D716" s="8" t="str">
        <f t="shared" si="133"/>
        <v>N</v>
      </c>
      <c r="E716" s="8" t="str">
        <f t="shared" si="134"/>
        <v>Y</v>
      </c>
      <c r="F716" s="8" t="str">
        <f t="shared" si="135"/>
        <v>Y</v>
      </c>
      <c r="G716" s="8" t="str">
        <f t="shared" si="136"/>
        <v>Y</v>
      </c>
      <c r="H716" s="8" t="str">
        <f t="shared" si="137"/>
        <v>Upper</v>
      </c>
      <c r="I716" s="8" t="str">
        <f t="shared" si="138"/>
        <v>West Fork and Below Lake</v>
      </c>
      <c r="J716" s="8" t="str">
        <f t="shared" si="139"/>
        <v>Sonoma (d/s of Clov. Gage)</v>
      </c>
      <c r="K716" s="8" t="str">
        <f t="shared" si="140"/>
        <v>Post-1949</v>
      </c>
      <c r="L716" s="8">
        <f t="shared" si="141"/>
        <v>1973</v>
      </c>
      <c r="M716" s="8" t="str">
        <f t="shared" si="143"/>
        <v>1971-1990</v>
      </c>
      <c r="N716" s="10" t="s">
        <v>241</v>
      </c>
      <c r="O716" s="10" t="s">
        <v>241</v>
      </c>
      <c r="P716" s="10" t="s">
        <v>242</v>
      </c>
      <c r="Q716" s="10" t="s">
        <v>242</v>
      </c>
      <c r="R716" s="10" t="s">
        <v>241</v>
      </c>
      <c r="S716" s="10" t="s">
        <v>242</v>
      </c>
      <c r="T716" s="10" t="s">
        <v>242</v>
      </c>
      <c r="U716" s="10" t="s">
        <v>242</v>
      </c>
      <c r="V716" s="10" t="s">
        <v>242</v>
      </c>
      <c r="W716" s="10" t="s">
        <v>242</v>
      </c>
      <c r="X716" s="15">
        <f>IF(ISERROR(VLOOKUP($A716,'13. Updated Demand'!A:Z,15,FALSE)),0,VLOOKUP($A716,'13. Updated Demand'!A:Z,15,FALSE))</f>
        <v>0</v>
      </c>
      <c r="Y716" s="16">
        <f>IF(ISERROR(VLOOKUP($A716,'13. Updated Demand'!A:Z,16,FALSE)),0,VLOOKUP($A716,'13. Updated Demand'!A:Z,16,FALSE))</f>
        <v>0</v>
      </c>
      <c r="Z716" s="16">
        <f>IF(ISERROR(VLOOKUP($A716,'13. Updated Demand'!A:Z,17,FALSE)),0,VLOOKUP($A716,'13. Updated Demand'!A:Z,17,FALSE))</f>
        <v>0</v>
      </c>
      <c r="AA716" s="16">
        <f>IF(ISERROR(VLOOKUP($A716,'13. Updated Demand'!A:Z,18,FALSE)),0,VLOOKUP($A716,'13. Updated Demand'!A:Z,18,FALSE))</f>
        <v>0</v>
      </c>
      <c r="AB716" s="16">
        <f>IF(ISERROR(VLOOKUP($A716,'13. Updated Demand'!A:Z,19,FALSE)),0,VLOOKUP($A716,'13. Updated Demand'!A:Z,19,FALSE))</f>
        <v>0.7</v>
      </c>
      <c r="AC716" s="16">
        <f>IF(ISERROR(VLOOKUP($A716,'13. Updated Demand'!A:Z,20,FALSE)),0,VLOOKUP($A716,'13. Updated Demand'!A:Z,20,FALSE))</f>
        <v>1.63</v>
      </c>
      <c r="AD716" s="16">
        <f>IF(ISERROR(VLOOKUP($A716,'13. Updated Demand'!A:Z,21,FALSE)),0,VLOOKUP($A716,'13. Updated Demand'!A:Z,21,FALSE))</f>
        <v>3.03</v>
      </c>
      <c r="AE716" s="16">
        <f>IF(ISERROR(VLOOKUP($A716,'13. Updated Demand'!A:Z,22,FALSE)),0,VLOOKUP($A716,'13. Updated Demand'!A:Z,22,FALSE))</f>
        <v>3.56</v>
      </c>
      <c r="AF716" s="16">
        <f>IF(ISERROR(VLOOKUP($A716,'13. Updated Demand'!A:Z,23,FALSE)),0,VLOOKUP($A716,'13. Updated Demand'!A:Z,23,FALSE))</f>
        <v>2.73</v>
      </c>
      <c r="AG716" s="16">
        <f>IF(ISERROR(VLOOKUP($A716,'13. Updated Demand'!A:Z,24,FALSE)),0,VLOOKUP($A716,'13. Updated Demand'!A:Z,24,FALSE))</f>
        <v>1.46</v>
      </c>
      <c r="AH716" s="16">
        <f>IF(ISERROR(VLOOKUP($A716,'13. Updated Demand'!A:Z,25,FALSE)),0,VLOOKUP($A716,'13. Updated Demand'!A:Z,25,FALSE))</f>
        <v>0</v>
      </c>
      <c r="AI716" s="16">
        <f>IF(ISERROR(VLOOKUP($A716,'13. Updated Demand'!A:Z,26,FALSE)),0,VLOOKUP($A716,'13. Updated Demand'!A:Z,26,FALSE))</f>
        <v>0</v>
      </c>
      <c r="AJ716" s="16">
        <f t="shared" si="132"/>
        <v>13.11</v>
      </c>
      <c r="AK716" s="19">
        <v>11.666666666666661</v>
      </c>
      <c r="AL716" s="16">
        <f t="shared" si="142"/>
        <v>3.8697004375114252E-2</v>
      </c>
      <c r="AM716" s="17">
        <v>0.18681839734471312</v>
      </c>
      <c r="AN716" s="19"/>
      <c r="AO716" s="19"/>
      <c r="AP716" s="19">
        <v>70.3</v>
      </c>
      <c r="AQ716" s="19" t="s">
        <v>307</v>
      </c>
      <c r="AR716" s="9" t="s">
        <v>311</v>
      </c>
      <c r="AS716" s="12">
        <v>0</v>
      </c>
      <c r="AT716" s="19">
        <v>38.64335346</v>
      </c>
      <c r="AU716" s="19">
        <v>-122.78817481999999</v>
      </c>
      <c r="AV716" s="19" t="s">
        <v>387</v>
      </c>
    </row>
    <row r="717" spans="1:48" x14ac:dyDescent="0.25">
      <c r="A717" s="18" t="s">
        <v>1106</v>
      </c>
      <c r="B717" s="10">
        <v>19730213</v>
      </c>
      <c r="C717" s="9">
        <v>14</v>
      </c>
      <c r="D717" s="8" t="str">
        <f t="shared" si="133"/>
        <v>N</v>
      </c>
      <c r="E717" s="8" t="str">
        <f t="shared" si="134"/>
        <v>N</v>
      </c>
      <c r="F717" s="8" t="str">
        <f t="shared" si="135"/>
        <v>N</v>
      </c>
      <c r="G717" s="8" t="str">
        <f t="shared" si="136"/>
        <v>N</v>
      </c>
      <c r="H717" s="8" t="str">
        <f t="shared" si="137"/>
        <v>Lower</v>
      </c>
      <c r="I717" s="8" t="str">
        <f t="shared" si="138"/>
        <v>Outside</v>
      </c>
      <c r="J717" s="8" t="str">
        <f t="shared" si="139"/>
        <v>Outside</v>
      </c>
      <c r="K717" s="8" t="str">
        <f t="shared" si="140"/>
        <v>Post-1949</v>
      </c>
      <c r="L717" s="8">
        <f t="shared" si="141"/>
        <v>1973</v>
      </c>
      <c r="M717" s="8" t="str">
        <f t="shared" si="143"/>
        <v>1971-1990</v>
      </c>
      <c r="N717" s="10" t="s">
        <v>242</v>
      </c>
      <c r="O717" s="10" t="s">
        <v>242</v>
      </c>
      <c r="P717" s="10" t="s">
        <v>242</v>
      </c>
      <c r="Q717" s="10" t="s">
        <v>242</v>
      </c>
      <c r="R717" s="10" t="s">
        <v>241</v>
      </c>
      <c r="S717" s="10" t="s">
        <v>242</v>
      </c>
      <c r="T717" s="10" t="s">
        <v>242</v>
      </c>
      <c r="U717" s="10" t="s">
        <v>242</v>
      </c>
      <c r="V717" s="10" t="s">
        <v>241</v>
      </c>
      <c r="W717" s="10" t="s">
        <v>242</v>
      </c>
      <c r="X717" s="15">
        <f>IF(ISERROR(VLOOKUP($A717,'13. Updated Demand'!A:Z,15,FALSE)),0,VLOOKUP($A717,'13. Updated Demand'!A:Z,15,FALSE))</f>
        <v>0</v>
      </c>
      <c r="Y717" s="16">
        <f>IF(ISERROR(VLOOKUP($A717,'13. Updated Demand'!A:Z,16,FALSE)),0,VLOOKUP($A717,'13. Updated Demand'!A:Z,16,FALSE))</f>
        <v>0</v>
      </c>
      <c r="Z717" s="16">
        <f>IF(ISERROR(VLOOKUP($A717,'13. Updated Demand'!A:Z,17,FALSE)),0,VLOOKUP($A717,'13. Updated Demand'!A:Z,17,FALSE))</f>
        <v>0</v>
      </c>
      <c r="AA717" s="16">
        <f>IF(ISERROR(VLOOKUP($A717,'13. Updated Demand'!A:Z,18,FALSE)),0,VLOOKUP($A717,'13. Updated Demand'!A:Z,18,FALSE))</f>
        <v>0</v>
      </c>
      <c r="AB717" s="16">
        <f>IF(ISERROR(VLOOKUP($A717,'13. Updated Demand'!A:Z,19,FALSE)),0,VLOOKUP($A717,'13. Updated Demand'!A:Z,19,FALSE))</f>
        <v>0</v>
      </c>
      <c r="AC717" s="16">
        <f>IF(ISERROR(VLOOKUP($A717,'13. Updated Demand'!A:Z,20,FALSE)),0,VLOOKUP($A717,'13. Updated Demand'!A:Z,20,FALSE))</f>
        <v>0</v>
      </c>
      <c r="AD717" s="16">
        <f>IF(ISERROR(VLOOKUP($A717,'13. Updated Demand'!A:Z,21,FALSE)),0,VLOOKUP($A717,'13. Updated Demand'!A:Z,21,FALSE))</f>
        <v>0</v>
      </c>
      <c r="AE717" s="16">
        <f>IF(ISERROR(VLOOKUP($A717,'13. Updated Demand'!A:Z,22,FALSE)),0,VLOOKUP($A717,'13. Updated Demand'!A:Z,22,FALSE))</f>
        <v>0</v>
      </c>
      <c r="AF717" s="16">
        <f>IF(ISERROR(VLOOKUP($A717,'13. Updated Demand'!A:Z,23,FALSE)),0,VLOOKUP($A717,'13. Updated Demand'!A:Z,23,FALSE))</f>
        <v>0</v>
      </c>
      <c r="AG717" s="16">
        <f>IF(ISERROR(VLOOKUP($A717,'13. Updated Demand'!A:Z,24,FALSE)),0,VLOOKUP($A717,'13. Updated Demand'!A:Z,24,FALSE))</f>
        <v>0</v>
      </c>
      <c r="AH717" s="16">
        <f>IF(ISERROR(VLOOKUP($A717,'13. Updated Demand'!A:Z,25,FALSE)),0,VLOOKUP($A717,'13. Updated Demand'!A:Z,25,FALSE))</f>
        <v>122.3</v>
      </c>
      <c r="AI717" s="16">
        <f>IF(ISERROR(VLOOKUP($A717,'13. Updated Demand'!A:Z,26,FALSE)),0,VLOOKUP($A717,'13. Updated Demand'!A:Z,26,FALSE))</f>
        <v>36.966666670000002</v>
      </c>
      <c r="AJ717" s="16">
        <f t="shared" si="132"/>
        <v>159.26666667000001</v>
      </c>
      <c r="AK717" s="19">
        <v>0</v>
      </c>
      <c r="AL717" s="16">
        <f t="shared" si="142"/>
        <v>0</v>
      </c>
      <c r="AM717" s="17">
        <v>0.28957575758181819</v>
      </c>
      <c r="AN717" s="19"/>
      <c r="AO717" s="19"/>
      <c r="AP717" s="19">
        <v>550</v>
      </c>
      <c r="AQ717" s="19" t="s">
        <v>307</v>
      </c>
      <c r="AR717" s="9" t="s">
        <v>493</v>
      </c>
      <c r="AS717" s="12">
        <v>0</v>
      </c>
      <c r="AT717" s="19">
        <v>38.694200000000002</v>
      </c>
      <c r="AU717" s="19">
        <v>-122.9914</v>
      </c>
      <c r="AV717" s="19" t="s">
        <v>619</v>
      </c>
    </row>
    <row r="718" spans="1:48" x14ac:dyDescent="0.25">
      <c r="A718" s="18" t="s">
        <v>1107</v>
      </c>
      <c r="B718" s="10">
        <v>19730215</v>
      </c>
      <c r="C718" s="9">
        <v>23</v>
      </c>
      <c r="D718" s="8" t="str">
        <f t="shared" si="133"/>
        <v>N</v>
      </c>
      <c r="E718" s="8" t="str">
        <f t="shared" si="134"/>
        <v>N</v>
      </c>
      <c r="F718" s="8" t="str">
        <f t="shared" si="135"/>
        <v>N</v>
      </c>
      <c r="G718" s="8" t="str">
        <f t="shared" si="136"/>
        <v>N</v>
      </c>
      <c r="H718" s="8" t="str">
        <f t="shared" si="137"/>
        <v>Lower</v>
      </c>
      <c r="I718" s="8" t="str">
        <f t="shared" si="138"/>
        <v>Outside</v>
      </c>
      <c r="J718" s="8" t="str">
        <f t="shared" si="139"/>
        <v>Outside</v>
      </c>
      <c r="K718" s="8" t="str">
        <f t="shared" si="140"/>
        <v>Post-1949</v>
      </c>
      <c r="L718" s="8">
        <f t="shared" si="141"/>
        <v>1973</v>
      </c>
      <c r="M718" s="8" t="str">
        <f t="shared" si="143"/>
        <v>1971-1990</v>
      </c>
      <c r="N718" s="10" t="s">
        <v>242</v>
      </c>
      <c r="O718" s="10" t="s">
        <v>242</v>
      </c>
      <c r="P718" s="10" t="s">
        <v>242</v>
      </c>
      <c r="Q718" s="10" t="s">
        <v>242</v>
      </c>
      <c r="R718" s="10" t="s">
        <v>241</v>
      </c>
      <c r="S718" s="10" t="s">
        <v>242</v>
      </c>
      <c r="T718" s="10" t="s">
        <v>242</v>
      </c>
      <c r="U718" s="10" t="s">
        <v>242</v>
      </c>
      <c r="V718" s="10" t="s">
        <v>241</v>
      </c>
      <c r="W718" s="10" t="s">
        <v>242</v>
      </c>
      <c r="X718" s="15">
        <f>IF(ISERROR(VLOOKUP($A718,'13. Updated Demand'!A:Z,15,FALSE)),0,VLOOKUP($A718,'13. Updated Demand'!A:Z,15,FALSE))</f>
        <v>2.9666666670000001</v>
      </c>
      <c r="Y718" s="16">
        <f>IF(ISERROR(VLOOKUP($A718,'13. Updated Demand'!A:Z,16,FALSE)),0,VLOOKUP($A718,'13. Updated Demand'!A:Z,16,FALSE))</f>
        <v>0</v>
      </c>
      <c r="Z718" s="16">
        <f>IF(ISERROR(VLOOKUP($A718,'13. Updated Demand'!A:Z,17,FALSE)),0,VLOOKUP($A718,'13. Updated Demand'!A:Z,17,FALSE))</f>
        <v>0.3</v>
      </c>
      <c r="AA718" s="16">
        <f>IF(ISERROR(VLOOKUP($A718,'13. Updated Demand'!A:Z,18,FALSE)),0,VLOOKUP($A718,'13. Updated Demand'!A:Z,18,FALSE))</f>
        <v>0</v>
      </c>
      <c r="AB718" s="16">
        <f>IF(ISERROR(VLOOKUP($A718,'13. Updated Demand'!A:Z,19,FALSE)),0,VLOOKUP($A718,'13. Updated Demand'!A:Z,19,FALSE))</f>
        <v>0</v>
      </c>
      <c r="AC718" s="16">
        <f>IF(ISERROR(VLOOKUP($A718,'13. Updated Demand'!A:Z,20,FALSE)),0,VLOOKUP($A718,'13. Updated Demand'!A:Z,20,FALSE))</f>
        <v>0</v>
      </c>
      <c r="AD718" s="16">
        <f>IF(ISERROR(VLOOKUP($A718,'13. Updated Demand'!A:Z,21,FALSE)),0,VLOOKUP($A718,'13. Updated Demand'!A:Z,21,FALSE))</f>
        <v>0</v>
      </c>
      <c r="AE718" s="16">
        <f>IF(ISERROR(VLOOKUP($A718,'13. Updated Demand'!A:Z,22,FALSE)),0,VLOOKUP($A718,'13. Updated Demand'!A:Z,22,FALSE))</f>
        <v>0</v>
      </c>
      <c r="AF718" s="16">
        <f>IF(ISERROR(VLOOKUP($A718,'13. Updated Demand'!A:Z,23,FALSE)),0,VLOOKUP($A718,'13. Updated Demand'!A:Z,23,FALSE))</f>
        <v>0</v>
      </c>
      <c r="AG718" s="16">
        <f>IF(ISERROR(VLOOKUP($A718,'13. Updated Demand'!A:Z,24,FALSE)),0,VLOOKUP($A718,'13. Updated Demand'!A:Z,24,FALSE))</f>
        <v>0</v>
      </c>
      <c r="AH718" s="16">
        <f>IF(ISERROR(VLOOKUP($A718,'13. Updated Demand'!A:Z,25,FALSE)),0,VLOOKUP($A718,'13. Updated Demand'!A:Z,25,FALSE))</f>
        <v>5.3833333330000004</v>
      </c>
      <c r="AI718" s="16">
        <f>IF(ISERROR(VLOOKUP($A718,'13. Updated Demand'!A:Z,26,FALSE)),0,VLOOKUP($A718,'13. Updated Demand'!A:Z,26,FALSE))</f>
        <v>5.25</v>
      </c>
      <c r="AJ718" s="16">
        <f t="shared" si="132"/>
        <v>13.9</v>
      </c>
      <c r="AK718" s="19">
        <v>0</v>
      </c>
      <c r="AL718" s="16">
        <f t="shared" si="142"/>
        <v>0</v>
      </c>
      <c r="AM718" s="17">
        <v>0.47931034482758622</v>
      </c>
      <c r="AN718" s="19"/>
      <c r="AO718" s="19"/>
      <c r="AP718" s="19">
        <v>29</v>
      </c>
      <c r="AQ718" s="19" t="s">
        <v>307</v>
      </c>
      <c r="AR718" s="9" t="s">
        <v>323</v>
      </c>
      <c r="AS718" s="12">
        <v>0</v>
      </c>
      <c r="AT718" s="19">
        <v>38.48383707</v>
      </c>
      <c r="AU718" s="19">
        <v>-122.82379734</v>
      </c>
      <c r="AV718" s="19" t="s">
        <v>417</v>
      </c>
    </row>
    <row r="719" spans="1:48" x14ac:dyDescent="0.25">
      <c r="A719" s="18" t="s">
        <v>1108</v>
      </c>
      <c r="B719" s="10">
        <v>19730228</v>
      </c>
      <c r="C719" s="9">
        <v>10</v>
      </c>
      <c r="D719" s="8" t="str">
        <f t="shared" si="133"/>
        <v>N</v>
      </c>
      <c r="E719" s="8" t="str">
        <f t="shared" si="134"/>
        <v>Y</v>
      </c>
      <c r="F719" s="8" t="str">
        <f t="shared" si="135"/>
        <v>Y</v>
      </c>
      <c r="G719" s="8" t="str">
        <f t="shared" si="136"/>
        <v>Y</v>
      </c>
      <c r="H719" s="8" t="str">
        <f t="shared" si="137"/>
        <v>Upper</v>
      </c>
      <c r="I719" s="8" t="str">
        <f t="shared" si="138"/>
        <v>West Fork and Below Lake</v>
      </c>
      <c r="J719" s="8" t="str">
        <f t="shared" si="139"/>
        <v>Sonoma (d/s of Clov. Gage)</v>
      </c>
      <c r="K719" s="8" t="str">
        <f t="shared" si="140"/>
        <v>Post-1949</v>
      </c>
      <c r="L719" s="8">
        <f t="shared" si="141"/>
        <v>1973</v>
      </c>
      <c r="M719" s="8" t="str">
        <f t="shared" si="143"/>
        <v>1971-1990</v>
      </c>
      <c r="N719" s="10" t="s">
        <v>241</v>
      </c>
      <c r="O719" s="10" t="s">
        <v>241</v>
      </c>
      <c r="P719" s="10" t="s">
        <v>242</v>
      </c>
      <c r="Q719" s="10" t="s">
        <v>242</v>
      </c>
      <c r="R719" s="10" t="s">
        <v>241</v>
      </c>
      <c r="S719" s="10" t="s">
        <v>242</v>
      </c>
      <c r="T719" s="10" t="s">
        <v>242</v>
      </c>
      <c r="U719" s="10" t="s">
        <v>242</v>
      </c>
      <c r="V719" s="10" t="s">
        <v>242</v>
      </c>
      <c r="W719" s="10" t="s">
        <v>242</v>
      </c>
      <c r="X719" s="15">
        <f>IF(ISERROR(VLOOKUP($A719,'13. Updated Demand'!A:Z,15,FALSE)),0,VLOOKUP($A719,'13. Updated Demand'!A:Z,15,FALSE))</f>
        <v>0</v>
      </c>
      <c r="Y719" s="16">
        <f>IF(ISERROR(VLOOKUP($A719,'13. Updated Demand'!A:Z,16,FALSE)),0,VLOOKUP($A719,'13. Updated Demand'!A:Z,16,FALSE))</f>
        <v>0</v>
      </c>
      <c r="Z719" s="16">
        <f>IF(ISERROR(VLOOKUP($A719,'13. Updated Demand'!A:Z,17,FALSE)),0,VLOOKUP($A719,'13. Updated Demand'!A:Z,17,FALSE))</f>
        <v>0</v>
      </c>
      <c r="AA719" s="16">
        <f>IF(ISERROR(VLOOKUP($A719,'13. Updated Demand'!A:Z,18,FALSE)),0,VLOOKUP($A719,'13. Updated Demand'!A:Z,18,FALSE))</f>
        <v>0</v>
      </c>
      <c r="AB719" s="16">
        <f>IF(ISERROR(VLOOKUP($A719,'13. Updated Demand'!A:Z,19,FALSE)),0,VLOOKUP($A719,'13. Updated Demand'!A:Z,19,FALSE))</f>
        <v>1.06</v>
      </c>
      <c r="AC719" s="16">
        <f>IF(ISERROR(VLOOKUP($A719,'13. Updated Demand'!A:Z,20,FALSE)),0,VLOOKUP($A719,'13. Updated Demand'!A:Z,20,FALSE))</f>
        <v>3.13</v>
      </c>
      <c r="AD719" s="16">
        <f>IF(ISERROR(VLOOKUP($A719,'13. Updated Demand'!A:Z,21,FALSE)),0,VLOOKUP($A719,'13. Updated Demand'!A:Z,21,FALSE))</f>
        <v>4.2</v>
      </c>
      <c r="AE719" s="16">
        <f>IF(ISERROR(VLOOKUP($A719,'13. Updated Demand'!A:Z,22,FALSE)),0,VLOOKUP($A719,'13. Updated Demand'!A:Z,22,FALSE))</f>
        <v>0</v>
      </c>
      <c r="AF719" s="16">
        <f>IF(ISERROR(VLOOKUP($A719,'13. Updated Demand'!A:Z,23,FALSE)),0,VLOOKUP($A719,'13. Updated Demand'!A:Z,23,FALSE))</f>
        <v>0</v>
      </c>
      <c r="AG719" s="16">
        <f>IF(ISERROR(VLOOKUP($A719,'13. Updated Demand'!A:Z,24,FALSE)),0,VLOOKUP($A719,'13. Updated Demand'!A:Z,24,FALSE))</f>
        <v>0</v>
      </c>
      <c r="AH719" s="16">
        <f>IF(ISERROR(VLOOKUP($A719,'13. Updated Demand'!A:Z,25,FALSE)),0,VLOOKUP($A719,'13. Updated Demand'!A:Z,25,FALSE))</f>
        <v>0</v>
      </c>
      <c r="AI719" s="16">
        <f>IF(ISERROR(VLOOKUP($A719,'13. Updated Demand'!A:Z,26,FALSE)),0,VLOOKUP($A719,'13. Updated Demand'!A:Z,26,FALSE))</f>
        <v>0</v>
      </c>
      <c r="AJ719" s="16">
        <f t="shared" si="132"/>
        <v>8.39</v>
      </c>
      <c r="AK719" s="19">
        <v>8.4</v>
      </c>
      <c r="AL719" s="16">
        <f t="shared" si="142"/>
        <v>2.7861843150082277E-2</v>
      </c>
      <c r="AM719" s="17">
        <v>0.19310344827586207</v>
      </c>
      <c r="AN719" s="19"/>
      <c r="AO719" s="19"/>
      <c r="AP719" s="19">
        <v>43.5</v>
      </c>
      <c r="AQ719" s="19" t="s">
        <v>307</v>
      </c>
      <c r="AR719" s="9" t="s">
        <v>436</v>
      </c>
      <c r="AS719" s="12">
        <v>0</v>
      </c>
      <c r="AT719" s="19">
        <v>38.674597339999998</v>
      </c>
      <c r="AU719" s="19">
        <v>-122.83616092</v>
      </c>
      <c r="AV719" s="19" t="s">
        <v>548</v>
      </c>
    </row>
    <row r="720" spans="1:48" x14ac:dyDescent="0.25">
      <c r="A720" s="18" t="s">
        <v>1109</v>
      </c>
      <c r="B720" s="10">
        <v>19730228</v>
      </c>
      <c r="C720" s="9">
        <v>10</v>
      </c>
      <c r="D720" s="8" t="str">
        <f t="shared" si="133"/>
        <v>N</v>
      </c>
      <c r="E720" s="8" t="str">
        <f t="shared" si="134"/>
        <v>Y</v>
      </c>
      <c r="F720" s="8" t="str">
        <f t="shared" si="135"/>
        <v>Y</v>
      </c>
      <c r="G720" s="8" t="str">
        <f t="shared" si="136"/>
        <v>Y</v>
      </c>
      <c r="H720" s="8" t="str">
        <f t="shared" si="137"/>
        <v>Upper</v>
      </c>
      <c r="I720" s="8" t="str">
        <f t="shared" si="138"/>
        <v>West Fork and Below Lake</v>
      </c>
      <c r="J720" s="8" t="str">
        <f t="shared" si="139"/>
        <v>Sonoma (d/s of Clov. Gage)</v>
      </c>
      <c r="K720" s="8" t="str">
        <f t="shared" si="140"/>
        <v>Post-1949</v>
      </c>
      <c r="L720" s="8">
        <f t="shared" si="141"/>
        <v>1973</v>
      </c>
      <c r="M720" s="8" t="str">
        <f t="shared" si="143"/>
        <v>1971-1990</v>
      </c>
      <c r="N720" s="10" t="s">
        <v>241</v>
      </c>
      <c r="O720" s="10" t="s">
        <v>241</v>
      </c>
      <c r="P720" s="10" t="s">
        <v>242</v>
      </c>
      <c r="Q720" s="10" t="s">
        <v>242</v>
      </c>
      <c r="R720" s="10" t="s">
        <v>241</v>
      </c>
      <c r="S720" s="10" t="s">
        <v>242</v>
      </c>
      <c r="T720" s="10" t="s">
        <v>242</v>
      </c>
      <c r="U720" s="10" t="s">
        <v>241</v>
      </c>
      <c r="V720" s="10" t="s">
        <v>241</v>
      </c>
      <c r="W720" s="10" t="s">
        <v>242</v>
      </c>
      <c r="X720" s="15">
        <f>IF(ISERROR(VLOOKUP($A720,'13. Updated Demand'!A:Z,15,FALSE)),0,VLOOKUP($A720,'13. Updated Demand'!A:Z,15,FALSE))</f>
        <v>0</v>
      </c>
      <c r="Y720" s="16">
        <f>IF(ISERROR(VLOOKUP($A720,'13. Updated Demand'!A:Z,16,FALSE)),0,VLOOKUP($A720,'13. Updated Demand'!A:Z,16,FALSE))</f>
        <v>0</v>
      </c>
      <c r="Z720" s="16">
        <f>IF(ISERROR(VLOOKUP($A720,'13. Updated Demand'!A:Z,17,FALSE)),0,VLOOKUP($A720,'13. Updated Demand'!A:Z,17,FALSE))</f>
        <v>0</v>
      </c>
      <c r="AA720" s="16">
        <f>IF(ISERROR(VLOOKUP($A720,'13. Updated Demand'!A:Z,18,FALSE)),0,VLOOKUP($A720,'13. Updated Demand'!A:Z,18,FALSE))</f>
        <v>0</v>
      </c>
      <c r="AB720" s="16">
        <f>IF(ISERROR(VLOOKUP($A720,'13. Updated Demand'!A:Z,19,FALSE)),0,VLOOKUP($A720,'13. Updated Demand'!A:Z,19,FALSE))</f>
        <v>0</v>
      </c>
      <c r="AC720" s="16">
        <f>IF(ISERROR(VLOOKUP($A720,'13. Updated Demand'!A:Z,20,FALSE)),0,VLOOKUP($A720,'13. Updated Demand'!A:Z,20,FALSE))</f>
        <v>0</v>
      </c>
      <c r="AD720" s="16">
        <f>IF(ISERROR(VLOOKUP($A720,'13. Updated Demand'!A:Z,21,FALSE)),0,VLOOKUP($A720,'13. Updated Demand'!A:Z,21,FALSE))</f>
        <v>0</v>
      </c>
      <c r="AE720" s="16">
        <f>IF(ISERROR(VLOOKUP($A720,'13. Updated Demand'!A:Z,22,FALSE)),0,VLOOKUP($A720,'13. Updated Demand'!A:Z,22,FALSE))</f>
        <v>0</v>
      </c>
      <c r="AF720" s="16">
        <f>IF(ISERROR(VLOOKUP($A720,'13. Updated Demand'!A:Z,23,FALSE)),0,VLOOKUP($A720,'13. Updated Demand'!A:Z,23,FALSE))</f>
        <v>0</v>
      </c>
      <c r="AG720" s="16">
        <f>IF(ISERROR(VLOOKUP($A720,'13. Updated Demand'!A:Z,24,FALSE)),0,VLOOKUP($A720,'13. Updated Demand'!A:Z,24,FALSE))</f>
        <v>0</v>
      </c>
      <c r="AH720" s="16">
        <f>IF(ISERROR(VLOOKUP($A720,'13. Updated Demand'!A:Z,25,FALSE)),0,VLOOKUP($A720,'13. Updated Demand'!A:Z,25,FALSE))</f>
        <v>0</v>
      </c>
      <c r="AI720" s="16">
        <f>IF(ISERROR(VLOOKUP($A720,'13. Updated Demand'!A:Z,26,FALSE)),0,VLOOKUP($A720,'13. Updated Demand'!A:Z,26,FALSE))</f>
        <v>0</v>
      </c>
      <c r="AJ720" s="16">
        <f t="shared" ref="AJ720:AJ783" si="144">SUM(X720:AI720)</f>
        <v>0</v>
      </c>
      <c r="AK720" s="19">
        <v>0</v>
      </c>
      <c r="AL720" s="16">
        <f t="shared" si="142"/>
        <v>0</v>
      </c>
      <c r="AM720" s="17">
        <v>0</v>
      </c>
      <c r="AN720" s="19"/>
      <c r="AO720" s="19"/>
      <c r="AP720" s="19">
        <v>25</v>
      </c>
      <c r="AQ720" s="19" t="s">
        <v>307</v>
      </c>
      <c r="AR720" s="9" t="s">
        <v>436</v>
      </c>
      <c r="AS720" s="12">
        <v>0</v>
      </c>
      <c r="AT720" s="19">
        <v>38.674597339999998</v>
      </c>
      <c r="AU720" s="19">
        <v>-122.83616092</v>
      </c>
      <c r="AV720" s="19" t="s">
        <v>548</v>
      </c>
    </row>
    <row r="721" spans="1:48" x14ac:dyDescent="0.25">
      <c r="A721" s="18" t="s">
        <v>141</v>
      </c>
      <c r="B721" s="10">
        <v>19730208</v>
      </c>
      <c r="C721" s="9">
        <v>10</v>
      </c>
      <c r="D721" s="8" t="str">
        <f t="shared" si="133"/>
        <v>N</v>
      </c>
      <c r="E721" s="8" t="str">
        <f t="shared" si="134"/>
        <v>Y</v>
      </c>
      <c r="F721" s="8" t="str">
        <f t="shared" si="135"/>
        <v>Y</v>
      </c>
      <c r="G721" s="8" t="str">
        <f t="shared" si="136"/>
        <v>Y</v>
      </c>
      <c r="H721" s="8" t="str">
        <f t="shared" si="137"/>
        <v>Upper</v>
      </c>
      <c r="I721" s="8" t="str">
        <f t="shared" si="138"/>
        <v>West Fork and Below Lake</v>
      </c>
      <c r="J721" s="8" t="str">
        <f t="shared" si="139"/>
        <v>Sonoma (d/s of Clov. Gage)</v>
      </c>
      <c r="K721" s="8" t="str">
        <f t="shared" si="140"/>
        <v>Post-1949</v>
      </c>
      <c r="L721" s="8">
        <f t="shared" si="141"/>
        <v>1973</v>
      </c>
      <c r="M721" s="8" t="str">
        <f t="shared" si="143"/>
        <v>1971-1990</v>
      </c>
      <c r="N721" s="10" t="s">
        <v>241</v>
      </c>
      <c r="O721" s="10" t="s">
        <v>241</v>
      </c>
      <c r="P721" s="10" t="s">
        <v>242</v>
      </c>
      <c r="Q721" s="10" t="s">
        <v>242</v>
      </c>
      <c r="R721" s="10" t="s">
        <v>241</v>
      </c>
      <c r="S721" s="10" t="s">
        <v>242</v>
      </c>
      <c r="T721" s="10" t="s">
        <v>242</v>
      </c>
      <c r="U721" s="10" t="s">
        <v>242</v>
      </c>
      <c r="V721" s="10" t="s">
        <v>242</v>
      </c>
      <c r="W721" s="10" t="s">
        <v>242</v>
      </c>
      <c r="X721" s="15">
        <f>IF(ISERROR(VLOOKUP($A721,'13. Updated Demand'!A:Z,15,FALSE)),0,VLOOKUP($A721,'13. Updated Demand'!A:Z,15,FALSE))</f>
        <v>0</v>
      </c>
      <c r="Y721" s="16">
        <f>IF(ISERROR(VLOOKUP($A721,'13. Updated Demand'!A:Z,16,FALSE)),0,VLOOKUP($A721,'13. Updated Demand'!A:Z,16,FALSE))</f>
        <v>0</v>
      </c>
      <c r="Z721" s="16">
        <f>IF(ISERROR(VLOOKUP($A721,'13. Updated Demand'!A:Z,17,FALSE)),0,VLOOKUP($A721,'13. Updated Demand'!A:Z,17,FALSE))</f>
        <v>0</v>
      </c>
      <c r="AA721" s="16">
        <f>IF(ISERROR(VLOOKUP($A721,'13. Updated Demand'!A:Z,18,FALSE)),0,VLOOKUP($A721,'13. Updated Demand'!A:Z,18,FALSE))</f>
        <v>0</v>
      </c>
      <c r="AB721" s="16">
        <f>IF(ISERROR(VLOOKUP($A721,'13. Updated Demand'!A:Z,19,FALSE)),0,VLOOKUP($A721,'13. Updated Demand'!A:Z,19,FALSE))</f>
        <v>0</v>
      </c>
      <c r="AC721" s="16">
        <f>IF(ISERROR(VLOOKUP($A721,'13. Updated Demand'!A:Z,20,FALSE)),0,VLOOKUP($A721,'13. Updated Demand'!A:Z,20,FALSE))</f>
        <v>0.26</v>
      </c>
      <c r="AD721" s="16">
        <f>IF(ISERROR(VLOOKUP($A721,'13. Updated Demand'!A:Z,21,FALSE)),0,VLOOKUP($A721,'13. Updated Demand'!A:Z,21,FALSE))</f>
        <v>0.63</v>
      </c>
      <c r="AE721" s="16">
        <f>IF(ISERROR(VLOOKUP($A721,'13. Updated Demand'!A:Z,22,FALSE)),0,VLOOKUP($A721,'13. Updated Demand'!A:Z,22,FALSE))</f>
        <v>0</v>
      </c>
      <c r="AF721" s="16">
        <f>IF(ISERROR(VLOOKUP($A721,'13. Updated Demand'!A:Z,23,FALSE)),0,VLOOKUP($A721,'13. Updated Demand'!A:Z,23,FALSE))</f>
        <v>0</v>
      </c>
      <c r="AG721" s="16">
        <f>IF(ISERROR(VLOOKUP($A721,'13. Updated Demand'!A:Z,24,FALSE)),0,VLOOKUP($A721,'13. Updated Demand'!A:Z,24,FALSE))</f>
        <v>0</v>
      </c>
      <c r="AH721" s="16">
        <f>IF(ISERROR(VLOOKUP($A721,'13. Updated Demand'!A:Z,25,FALSE)),0,VLOOKUP($A721,'13. Updated Demand'!A:Z,25,FALSE))</f>
        <v>0</v>
      </c>
      <c r="AI721" s="16">
        <f>IF(ISERROR(VLOOKUP($A721,'13. Updated Demand'!A:Z,26,FALSE)),0,VLOOKUP($A721,'13. Updated Demand'!A:Z,26,FALSE))</f>
        <v>0</v>
      </c>
      <c r="AJ721" s="16">
        <f t="shared" si="144"/>
        <v>0.89</v>
      </c>
      <c r="AK721" s="19">
        <v>0.89999999999999991</v>
      </c>
      <c r="AL721" s="16">
        <f t="shared" si="142"/>
        <v>2.9851974803659577E-3</v>
      </c>
      <c r="AM721" s="17">
        <v>1.6513761467889906E-2</v>
      </c>
      <c r="AN721" s="19"/>
      <c r="AO721" s="19"/>
      <c r="AP721" s="19">
        <v>54.5</v>
      </c>
      <c r="AQ721" s="19" t="s">
        <v>307</v>
      </c>
      <c r="AR721" s="9" t="s">
        <v>436</v>
      </c>
      <c r="AS721" s="12">
        <v>0</v>
      </c>
      <c r="AT721" s="19">
        <v>38.682987109999999</v>
      </c>
      <c r="AU721" s="19">
        <v>-122.85307569</v>
      </c>
      <c r="AV721" s="19" t="s">
        <v>548</v>
      </c>
    </row>
    <row r="722" spans="1:48" x14ac:dyDescent="0.25">
      <c r="A722" s="18" t="s">
        <v>1110</v>
      </c>
      <c r="B722" s="10">
        <v>19730228</v>
      </c>
      <c r="C722" s="9">
        <v>10</v>
      </c>
      <c r="D722" s="8" t="str">
        <f t="shared" si="133"/>
        <v>N</v>
      </c>
      <c r="E722" s="8" t="str">
        <f t="shared" si="134"/>
        <v>Y</v>
      </c>
      <c r="F722" s="8" t="str">
        <f t="shared" si="135"/>
        <v>Y</v>
      </c>
      <c r="G722" s="8" t="str">
        <f t="shared" si="136"/>
        <v>Y</v>
      </c>
      <c r="H722" s="8" t="str">
        <f t="shared" si="137"/>
        <v>Upper</v>
      </c>
      <c r="I722" s="8" t="str">
        <f t="shared" si="138"/>
        <v>West Fork and Below Lake</v>
      </c>
      <c r="J722" s="8" t="str">
        <f t="shared" si="139"/>
        <v>Sonoma (d/s of Clov. Gage)</v>
      </c>
      <c r="K722" s="8" t="str">
        <f t="shared" si="140"/>
        <v>Post-1949</v>
      </c>
      <c r="L722" s="8">
        <f t="shared" si="141"/>
        <v>1973</v>
      </c>
      <c r="M722" s="8" t="str">
        <f t="shared" si="143"/>
        <v>1971-1990</v>
      </c>
      <c r="N722" s="10" t="s">
        <v>241</v>
      </c>
      <c r="O722" s="10" t="s">
        <v>241</v>
      </c>
      <c r="P722" s="10" t="s">
        <v>242</v>
      </c>
      <c r="Q722" s="10" t="s">
        <v>242</v>
      </c>
      <c r="R722" s="10" t="s">
        <v>241</v>
      </c>
      <c r="S722" s="10" t="s">
        <v>242</v>
      </c>
      <c r="T722" s="10" t="s">
        <v>242</v>
      </c>
      <c r="U722" s="10" t="s">
        <v>241</v>
      </c>
      <c r="V722" s="10" t="s">
        <v>241</v>
      </c>
      <c r="W722" s="10" t="s">
        <v>242</v>
      </c>
      <c r="X722" s="15">
        <f>IF(ISERROR(VLOOKUP($A722,'13. Updated Demand'!A:Z,15,FALSE)),0,VLOOKUP($A722,'13. Updated Demand'!A:Z,15,FALSE))</f>
        <v>0</v>
      </c>
      <c r="Y722" s="16">
        <f>IF(ISERROR(VLOOKUP($A722,'13. Updated Demand'!A:Z,16,FALSE)),0,VLOOKUP($A722,'13. Updated Demand'!A:Z,16,FALSE))</f>
        <v>0</v>
      </c>
      <c r="Z722" s="16">
        <f>IF(ISERROR(VLOOKUP($A722,'13. Updated Demand'!A:Z,17,FALSE)),0,VLOOKUP($A722,'13. Updated Demand'!A:Z,17,FALSE))</f>
        <v>0</v>
      </c>
      <c r="AA722" s="16">
        <f>IF(ISERROR(VLOOKUP($A722,'13. Updated Demand'!A:Z,18,FALSE)),0,VLOOKUP($A722,'13. Updated Demand'!A:Z,18,FALSE))</f>
        <v>0</v>
      </c>
      <c r="AB722" s="16">
        <f>IF(ISERROR(VLOOKUP($A722,'13. Updated Demand'!A:Z,19,FALSE)),0,VLOOKUP($A722,'13. Updated Demand'!A:Z,19,FALSE))</f>
        <v>0</v>
      </c>
      <c r="AC722" s="16">
        <f>IF(ISERROR(VLOOKUP($A722,'13. Updated Demand'!A:Z,20,FALSE)),0,VLOOKUP($A722,'13. Updated Demand'!A:Z,20,FALSE))</f>
        <v>0</v>
      </c>
      <c r="AD722" s="16">
        <f>IF(ISERROR(VLOOKUP($A722,'13. Updated Demand'!A:Z,21,FALSE)),0,VLOOKUP($A722,'13. Updated Demand'!A:Z,21,FALSE))</f>
        <v>0</v>
      </c>
      <c r="AE722" s="16">
        <f>IF(ISERROR(VLOOKUP($A722,'13. Updated Demand'!A:Z,22,FALSE)),0,VLOOKUP($A722,'13. Updated Demand'!A:Z,22,FALSE))</f>
        <v>0</v>
      </c>
      <c r="AF722" s="16">
        <f>IF(ISERROR(VLOOKUP($A722,'13. Updated Demand'!A:Z,23,FALSE)),0,VLOOKUP($A722,'13. Updated Demand'!A:Z,23,FALSE))</f>
        <v>0</v>
      </c>
      <c r="AG722" s="16">
        <f>IF(ISERROR(VLOOKUP($A722,'13. Updated Demand'!A:Z,24,FALSE)),0,VLOOKUP($A722,'13. Updated Demand'!A:Z,24,FALSE))</f>
        <v>0</v>
      </c>
      <c r="AH722" s="16">
        <f>IF(ISERROR(VLOOKUP($A722,'13. Updated Demand'!A:Z,25,FALSE)),0,VLOOKUP($A722,'13. Updated Demand'!A:Z,25,FALSE))</f>
        <v>0</v>
      </c>
      <c r="AI722" s="16">
        <f>IF(ISERROR(VLOOKUP($A722,'13. Updated Demand'!A:Z,26,FALSE)),0,VLOOKUP($A722,'13. Updated Demand'!A:Z,26,FALSE))</f>
        <v>0</v>
      </c>
      <c r="AJ722" s="16">
        <f t="shared" si="144"/>
        <v>0</v>
      </c>
      <c r="AK722" s="19">
        <v>0</v>
      </c>
      <c r="AL722" s="16">
        <f t="shared" si="142"/>
        <v>0</v>
      </c>
      <c r="AM722" s="17">
        <v>0</v>
      </c>
      <c r="AN722" s="19"/>
      <c r="AO722" s="19"/>
      <c r="AP722" s="19">
        <v>35.5</v>
      </c>
      <c r="AQ722" s="19" t="s">
        <v>307</v>
      </c>
      <c r="AR722" s="9" t="s">
        <v>436</v>
      </c>
      <c r="AS722" s="12">
        <v>0</v>
      </c>
      <c r="AT722" s="19">
        <v>38.682987109999999</v>
      </c>
      <c r="AU722" s="19">
        <v>-122.85307569</v>
      </c>
      <c r="AV722" s="19" t="s">
        <v>548</v>
      </c>
    </row>
    <row r="723" spans="1:48" x14ac:dyDescent="0.25">
      <c r="A723" s="18" t="s">
        <v>1111</v>
      </c>
      <c r="B723" s="10">
        <v>19730405</v>
      </c>
      <c r="C723" s="9">
        <v>1</v>
      </c>
      <c r="D723" s="8" t="str">
        <f t="shared" si="133"/>
        <v>N</v>
      </c>
      <c r="E723" s="8" t="str">
        <f t="shared" si="134"/>
        <v>N</v>
      </c>
      <c r="F723" s="8" t="str">
        <f t="shared" si="135"/>
        <v>Y</v>
      </c>
      <c r="G723" s="8" t="str">
        <f t="shared" si="136"/>
        <v>Y</v>
      </c>
      <c r="H723" s="8" t="str">
        <f t="shared" si="137"/>
        <v>Upper</v>
      </c>
      <c r="I723" s="8" t="str">
        <f t="shared" si="138"/>
        <v>West Fork and Below Lake</v>
      </c>
      <c r="J723" s="8" t="str">
        <f t="shared" si="139"/>
        <v>Outside</v>
      </c>
      <c r="K723" s="8" t="str">
        <f t="shared" si="140"/>
        <v>Post-1949</v>
      </c>
      <c r="L723" s="8">
        <f t="shared" si="141"/>
        <v>1973</v>
      </c>
      <c r="M723" s="8" t="str">
        <f t="shared" si="143"/>
        <v>1971-1990</v>
      </c>
      <c r="N723" s="10" t="s">
        <v>242</v>
      </c>
      <c r="O723" s="10" t="s">
        <v>241</v>
      </c>
      <c r="P723" s="10" t="s">
        <v>242</v>
      </c>
      <c r="Q723" s="10" t="s">
        <v>242</v>
      </c>
      <c r="R723" s="10" t="s">
        <v>241</v>
      </c>
      <c r="S723" s="10" t="s">
        <v>242</v>
      </c>
      <c r="T723" s="10" t="s">
        <v>242</v>
      </c>
      <c r="U723" s="10" t="s">
        <v>242</v>
      </c>
      <c r="V723" s="10" t="s">
        <v>241</v>
      </c>
      <c r="W723" s="10" t="s">
        <v>242</v>
      </c>
      <c r="X723" s="15">
        <f>IF(ISERROR(VLOOKUP($A723,'13. Updated Demand'!A:Z,15,FALSE)),0,VLOOKUP($A723,'13. Updated Demand'!A:Z,15,FALSE))</f>
        <v>2</v>
      </c>
      <c r="Y723" s="16">
        <f>IF(ISERROR(VLOOKUP($A723,'13. Updated Demand'!A:Z,16,FALSE)),0,VLOOKUP($A723,'13. Updated Demand'!A:Z,16,FALSE))</f>
        <v>0.5</v>
      </c>
      <c r="Z723" s="16">
        <f>IF(ISERROR(VLOOKUP($A723,'13. Updated Demand'!A:Z,17,FALSE)),0,VLOOKUP($A723,'13. Updated Demand'!A:Z,17,FALSE))</f>
        <v>0</v>
      </c>
      <c r="AA723" s="16">
        <f>IF(ISERROR(VLOOKUP($A723,'13. Updated Demand'!A:Z,18,FALSE)),0,VLOOKUP($A723,'13. Updated Demand'!A:Z,18,FALSE))</f>
        <v>0</v>
      </c>
      <c r="AB723" s="16">
        <f>IF(ISERROR(VLOOKUP($A723,'13. Updated Demand'!A:Z,19,FALSE)),0,VLOOKUP($A723,'13. Updated Demand'!A:Z,19,FALSE))</f>
        <v>0</v>
      </c>
      <c r="AC723" s="16">
        <f>IF(ISERROR(VLOOKUP($A723,'13. Updated Demand'!A:Z,20,FALSE)),0,VLOOKUP($A723,'13. Updated Demand'!A:Z,20,FALSE))</f>
        <v>0</v>
      </c>
      <c r="AD723" s="16">
        <f>IF(ISERROR(VLOOKUP($A723,'13. Updated Demand'!A:Z,21,FALSE)),0,VLOOKUP($A723,'13. Updated Demand'!A:Z,21,FALSE))</f>
        <v>0</v>
      </c>
      <c r="AE723" s="16">
        <f>IF(ISERROR(VLOOKUP($A723,'13. Updated Demand'!A:Z,22,FALSE)),0,VLOOKUP($A723,'13. Updated Demand'!A:Z,22,FALSE))</f>
        <v>0</v>
      </c>
      <c r="AF723" s="16">
        <f>IF(ISERROR(VLOOKUP($A723,'13. Updated Demand'!A:Z,23,FALSE)),0,VLOOKUP($A723,'13. Updated Demand'!A:Z,23,FALSE))</f>
        <v>0</v>
      </c>
      <c r="AG723" s="16">
        <f>IF(ISERROR(VLOOKUP($A723,'13. Updated Demand'!A:Z,24,FALSE)),0,VLOOKUP($A723,'13. Updated Demand'!A:Z,24,FALSE))</f>
        <v>0</v>
      </c>
      <c r="AH723" s="16">
        <f>IF(ISERROR(VLOOKUP($A723,'13. Updated Demand'!A:Z,25,FALSE)),0,VLOOKUP($A723,'13. Updated Demand'!A:Z,25,FALSE))</f>
        <v>0.5</v>
      </c>
      <c r="AI723" s="16">
        <f>IF(ISERROR(VLOOKUP($A723,'13. Updated Demand'!A:Z,26,FALSE)),0,VLOOKUP($A723,'13. Updated Demand'!A:Z,26,FALSE))</f>
        <v>1.5</v>
      </c>
      <c r="AJ723" s="16">
        <f t="shared" si="144"/>
        <v>4.5</v>
      </c>
      <c r="AK723" s="19">
        <v>0</v>
      </c>
      <c r="AL723" s="16">
        <f t="shared" si="142"/>
        <v>0</v>
      </c>
      <c r="AM723" s="17">
        <v>0.75</v>
      </c>
      <c r="AN723" s="19"/>
      <c r="AO723" s="19"/>
      <c r="AP723" s="19">
        <v>6</v>
      </c>
      <c r="AQ723" s="19" t="s">
        <v>307</v>
      </c>
      <c r="AR723" s="9" t="s">
        <v>317</v>
      </c>
      <c r="AS723" s="12">
        <v>0</v>
      </c>
      <c r="AT723" s="19">
        <v>39.2411095</v>
      </c>
      <c r="AU723" s="19">
        <v>-123.19561346</v>
      </c>
      <c r="AV723" s="19" t="s">
        <v>417</v>
      </c>
    </row>
    <row r="724" spans="1:48" x14ac:dyDescent="0.25">
      <c r="A724" s="18" t="s">
        <v>1112</v>
      </c>
      <c r="B724" s="10">
        <v>19730524</v>
      </c>
      <c r="C724" s="9">
        <v>9</v>
      </c>
      <c r="D724" s="8" t="str">
        <f t="shared" si="133"/>
        <v>N</v>
      </c>
      <c r="E724" s="8" t="str">
        <f t="shared" si="134"/>
        <v>Y</v>
      </c>
      <c r="F724" s="8" t="str">
        <f t="shared" si="135"/>
        <v>Y</v>
      </c>
      <c r="G724" s="8" t="str">
        <f t="shared" si="136"/>
        <v>Y</v>
      </c>
      <c r="H724" s="8" t="str">
        <f t="shared" si="137"/>
        <v>Upper</v>
      </c>
      <c r="I724" s="8" t="str">
        <f t="shared" si="138"/>
        <v>West Fork and Below Lake</v>
      </c>
      <c r="J724" s="8" t="str">
        <f t="shared" si="139"/>
        <v>Sonoma (d/s of Clov. Gage)</v>
      </c>
      <c r="K724" s="8" t="str">
        <f t="shared" si="140"/>
        <v>Post-1949</v>
      </c>
      <c r="L724" s="8">
        <f t="shared" si="141"/>
        <v>1973</v>
      </c>
      <c r="M724" s="8" t="str">
        <f t="shared" si="143"/>
        <v>1971-1990</v>
      </c>
      <c r="N724" s="10" t="s">
        <v>242</v>
      </c>
      <c r="O724" s="10" t="s">
        <v>241</v>
      </c>
      <c r="P724" s="10" t="s">
        <v>242</v>
      </c>
      <c r="Q724" s="10" t="s">
        <v>242</v>
      </c>
      <c r="R724" s="10" t="s">
        <v>241</v>
      </c>
      <c r="S724" s="10" t="s">
        <v>242</v>
      </c>
      <c r="T724" s="10" t="s">
        <v>242</v>
      </c>
      <c r="U724" s="10" t="s">
        <v>242</v>
      </c>
      <c r="V724" s="10" t="s">
        <v>241</v>
      </c>
      <c r="W724" s="10" t="s">
        <v>242</v>
      </c>
      <c r="X724" s="15">
        <f>IF(ISERROR(VLOOKUP($A724,'13. Updated Demand'!A:Z,15,FALSE)),0,VLOOKUP($A724,'13. Updated Demand'!A:Z,15,FALSE))</f>
        <v>5</v>
      </c>
      <c r="Y724" s="16">
        <f>IF(ISERROR(VLOOKUP($A724,'13. Updated Demand'!A:Z,16,FALSE)),0,VLOOKUP($A724,'13. Updated Demand'!A:Z,16,FALSE))</f>
        <v>1.5</v>
      </c>
      <c r="Z724" s="16">
        <f>IF(ISERROR(VLOOKUP($A724,'13. Updated Demand'!A:Z,17,FALSE)),0,VLOOKUP($A724,'13. Updated Demand'!A:Z,17,FALSE))</f>
        <v>1.5</v>
      </c>
      <c r="AA724" s="16">
        <f>IF(ISERROR(VLOOKUP($A724,'13. Updated Demand'!A:Z,18,FALSE)),0,VLOOKUP($A724,'13. Updated Demand'!A:Z,18,FALSE))</f>
        <v>1</v>
      </c>
      <c r="AB724" s="16">
        <f>IF(ISERROR(VLOOKUP($A724,'13. Updated Demand'!A:Z,19,FALSE)),0,VLOOKUP($A724,'13. Updated Demand'!A:Z,19,FALSE))</f>
        <v>0</v>
      </c>
      <c r="AC724" s="16">
        <f>IF(ISERROR(VLOOKUP($A724,'13. Updated Demand'!A:Z,20,FALSE)),0,VLOOKUP($A724,'13. Updated Demand'!A:Z,20,FALSE))</f>
        <v>0</v>
      </c>
      <c r="AD724" s="16">
        <f>IF(ISERROR(VLOOKUP($A724,'13. Updated Demand'!A:Z,21,FALSE)),0,VLOOKUP($A724,'13. Updated Demand'!A:Z,21,FALSE))</f>
        <v>0</v>
      </c>
      <c r="AE724" s="16">
        <f>IF(ISERROR(VLOOKUP($A724,'13. Updated Demand'!A:Z,22,FALSE)),0,VLOOKUP($A724,'13. Updated Demand'!A:Z,22,FALSE))</f>
        <v>0</v>
      </c>
      <c r="AF724" s="16">
        <f>IF(ISERROR(VLOOKUP($A724,'13. Updated Demand'!A:Z,23,FALSE)),0,VLOOKUP($A724,'13. Updated Demand'!A:Z,23,FALSE))</f>
        <v>0</v>
      </c>
      <c r="AG724" s="16">
        <f>IF(ISERROR(VLOOKUP($A724,'13. Updated Demand'!A:Z,24,FALSE)),0,VLOOKUP($A724,'13. Updated Demand'!A:Z,24,FALSE))</f>
        <v>0</v>
      </c>
      <c r="AH724" s="16">
        <f>IF(ISERROR(VLOOKUP($A724,'13. Updated Demand'!A:Z,25,FALSE)),0,VLOOKUP($A724,'13. Updated Demand'!A:Z,25,FALSE))</f>
        <v>3</v>
      </c>
      <c r="AI724" s="16">
        <f>IF(ISERROR(VLOOKUP($A724,'13. Updated Demand'!A:Z,26,FALSE)),0,VLOOKUP($A724,'13. Updated Demand'!A:Z,26,FALSE))</f>
        <v>5</v>
      </c>
      <c r="AJ724" s="16">
        <f t="shared" si="144"/>
        <v>17</v>
      </c>
      <c r="AK724" s="19">
        <v>0</v>
      </c>
      <c r="AL724" s="16">
        <f t="shared" si="142"/>
        <v>0</v>
      </c>
      <c r="AM724" s="17">
        <v>1</v>
      </c>
      <c r="AN724" s="19"/>
      <c r="AO724" s="19"/>
      <c r="AP724" s="19">
        <v>17</v>
      </c>
      <c r="AQ724" s="19" t="s">
        <v>307</v>
      </c>
      <c r="AR724" s="9" t="s">
        <v>354</v>
      </c>
      <c r="AS724" s="12">
        <v>0</v>
      </c>
      <c r="AT724" s="19">
        <v>38.749222230000001</v>
      </c>
      <c r="AU724" s="19">
        <v>-122.9850191</v>
      </c>
      <c r="AV724" s="19" t="s">
        <v>417</v>
      </c>
    </row>
    <row r="725" spans="1:48" x14ac:dyDescent="0.25">
      <c r="A725" s="18" t="s">
        <v>1113</v>
      </c>
      <c r="B725" s="10">
        <v>19730605</v>
      </c>
      <c r="C725" s="9">
        <v>12</v>
      </c>
      <c r="D725" s="8" t="str">
        <f t="shared" si="133"/>
        <v>N</v>
      </c>
      <c r="E725" s="8" t="str">
        <f t="shared" si="134"/>
        <v>Y</v>
      </c>
      <c r="F725" s="8" t="str">
        <f t="shared" si="135"/>
        <v>Y</v>
      </c>
      <c r="G725" s="8" t="str">
        <f t="shared" si="136"/>
        <v>Y</v>
      </c>
      <c r="H725" s="8" t="str">
        <f t="shared" si="137"/>
        <v>Upper</v>
      </c>
      <c r="I725" s="8" t="str">
        <f t="shared" si="138"/>
        <v>West Fork and Below Lake</v>
      </c>
      <c r="J725" s="8" t="str">
        <f t="shared" si="139"/>
        <v>Sonoma (d/s of Clov. Gage)</v>
      </c>
      <c r="K725" s="8" t="str">
        <f t="shared" si="140"/>
        <v>Post-1949</v>
      </c>
      <c r="L725" s="8">
        <f t="shared" si="141"/>
        <v>1973</v>
      </c>
      <c r="M725" s="8" t="str">
        <f t="shared" si="143"/>
        <v>1971-1990</v>
      </c>
      <c r="N725" s="10" t="s">
        <v>242</v>
      </c>
      <c r="O725" s="10" t="s">
        <v>241</v>
      </c>
      <c r="P725" s="10" t="s">
        <v>242</v>
      </c>
      <c r="Q725" s="10" t="s">
        <v>242</v>
      </c>
      <c r="R725" s="10" t="s">
        <v>241</v>
      </c>
      <c r="S725" s="10" t="s">
        <v>242</v>
      </c>
      <c r="T725" s="10" t="s">
        <v>242</v>
      </c>
      <c r="U725" s="10" t="s">
        <v>242</v>
      </c>
      <c r="V725" s="10" t="s">
        <v>241</v>
      </c>
      <c r="W725" s="10" t="s">
        <v>242</v>
      </c>
      <c r="X725" s="15">
        <f>IF(ISERROR(VLOOKUP($A725,'13. Updated Demand'!A:Z,15,FALSE)),0,VLOOKUP($A725,'13. Updated Demand'!A:Z,15,FALSE))</f>
        <v>0.5</v>
      </c>
      <c r="Y725" s="16">
        <f>IF(ISERROR(VLOOKUP($A725,'13. Updated Demand'!A:Z,16,FALSE)),0,VLOOKUP($A725,'13. Updated Demand'!A:Z,16,FALSE))</f>
        <v>0.5</v>
      </c>
      <c r="Z725" s="16">
        <f>IF(ISERROR(VLOOKUP($A725,'13. Updated Demand'!A:Z,17,FALSE)),0,VLOOKUP($A725,'13. Updated Demand'!A:Z,17,FALSE))</f>
        <v>0.1</v>
      </c>
      <c r="AA725" s="16">
        <f>IF(ISERROR(VLOOKUP($A725,'13. Updated Demand'!A:Z,18,FALSE)),0,VLOOKUP($A725,'13. Updated Demand'!A:Z,18,FALSE))</f>
        <v>0</v>
      </c>
      <c r="AB725" s="16">
        <f>IF(ISERROR(VLOOKUP($A725,'13. Updated Demand'!A:Z,19,FALSE)),0,VLOOKUP($A725,'13. Updated Demand'!A:Z,19,FALSE))</f>
        <v>0</v>
      </c>
      <c r="AC725" s="16">
        <f>IF(ISERROR(VLOOKUP($A725,'13. Updated Demand'!A:Z,20,FALSE)),0,VLOOKUP($A725,'13. Updated Demand'!A:Z,20,FALSE))</f>
        <v>0</v>
      </c>
      <c r="AD725" s="16">
        <f>IF(ISERROR(VLOOKUP($A725,'13. Updated Demand'!A:Z,21,FALSE)),0,VLOOKUP($A725,'13. Updated Demand'!A:Z,21,FALSE))</f>
        <v>0</v>
      </c>
      <c r="AE725" s="16">
        <f>IF(ISERROR(VLOOKUP($A725,'13. Updated Demand'!A:Z,22,FALSE)),0,VLOOKUP($A725,'13. Updated Demand'!A:Z,22,FALSE))</f>
        <v>0</v>
      </c>
      <c r="AF725" s="16">
        <f>IF(ISERROR(VLOOKUP($A725,'13. Updated Demand'!A:Z,23,FALSE)),0,VLOOKUP($A725,'13. Updated Demand'!A:Z,23,FALSE))</f>
        <v>0</v>
      </c>
      <c r="AG725" s="16">
        <f>IF(ISERROR(VLOOKUP($A725,'13. Updated Demand'!A:Z,24,FALSE)),0,VLOOKUP($A725,'13. Updated Demand'!A:Z,24,FALSE))</f>
        <v>0</v>
      </c>
      <c r="AH725" s="16">
        <f>IF(ISERROR(VLOOKUP($A725,'13. Updated Demand'!A:Z,25,FALSE)),0,VLOOKUP($A725,'13. Updated Demand'!A:Z,25,FALSE))</f>
        <v>0.14000000000000001</v>
      </c>
      <c r="AI725" s="16">
        <f>IF(ISERROR(VLOOKUP($A725,'13. Updated Demand'!A:Z,26,FALSE)),0,VLOOKUP($A725,'13. Updated Demand'!A:Z,26,FALSE))</f>
        <v>0.2</v>
      </c>
      <c r="AJ725" s="16">
        <f t="shared" si="144"/>
        <v>1.4400000000000002</v>
      </c>
      <c r="AK725" s="19">
        <v>0</v>
      </c>
      <c r="AL725" s="16">
        <f t="shared" si="142"/>
        <v>0</v>
      </c>
      <c r="AM725" s="17">
        <v>0.48222222233333339</v>
      </c>
      <c r="AN725" s="19"/>
      <c r="AO725" s="19"/>
      <c r="AP725" s="19">
        <v>3</v>
      </c>
      <c r="AQ725" s="19" t="s">
        <v>307</v>
      </c>
      <c r="AR725" s="9" t="s">
        <v>311</v>
      </c>
      <c r="AS725" s="12">
        <v>0</v>
      </c>
      <c r="AT725" s="19">
        <v>38.626944680000001</v>
      </c>
      <c r="AU725" s="19">
        <v>-122.77819166</v>
      </c>
      <c r="AV725" s="19" t="s">
        <v>417</v>
      </c>
    </row>
    <row r="726" spans="1:48" x14ac:dyDescent="0.25">
      <c r="A726" s="18" t="s">
        <v>1114</v>
      </c>
      <c r="B726" s="10">
        <v>19730626</v>
      </c>
      <c r="C726" s="9">
        <v>6</v>
      </c>
      <c r="D726" s="8" t="str">
        <f t="shared" si="133"/>
        <v>Y</v>
      </c>
      <c r="E726" s="8" t="str">
        <f t="shared" si="134"/>
        <v>N</v>
      </c>
      <c r="F726" s="8" t="str">
        <f t="shared" si="135"/>
        <v>Y</v>
      </c>
      <c r="G726" s="8" t="str">
        <f t="shared" si="136"/>
        <v>Y</v>
      </c>
      <c r="H726" s="8" t="str">
        <f t="shared" si="137"/>
        <v>Upper</v>
      </c>
      <c r="I726" s="8" t="str">
        <f t="shared" si="138"/>
        <v>West Fork and Below Lake</v>
      </c>
      <c r="J726" s="8" t="str">
        <f t="shared" si="139"/>
        <v>Mendocino (d/s of lake)</v>
      </c>
      <c r="K726" s="8" t="str">
        <f t="shared" si="140"/>
        <v>Post-1949</v>
      </c>
      <c r="L726" s="8">
        <f t="shared" si="141"/>
        <v>1973</v>
      </c>
      <c r="M726" s="8" t="str">
        <f t="shared" si="143"/>
        <v>1971-1990</v>
      </c>
      <c r="N726" s="10" t="s">
        <v>242</v>
      </c>
      <c r="O726" s="10" t="s">
        <v>241</v>
      </c>
      <c r="P726" s="10" t="s">
        <v>242</v>
      </c>
      <c r="Q726" s="10" t="s">
        <v>242</v>
      </c>
      <c r="R726" s="10" t="s">
        <v>241</v>
      </c>
      <c r="S726" s="10" t="s">
        <v>242</v>
      </c>
      <c r="T726" s="10" t="s">
        <v>242</v>
      </c>
      <c r="U726" s="10" t="s">
        <v>241</v>
      </c>
      <c r="V726" s="10" t="s">
        <v>241</v>
      </c>
      <c r="W726" s="10" t="s">
        <v>242</v>
      </c>
      <c r="X726" s="15">
        <f>IF(ISERROR(VLOOKUP($A726,'13. Updated Demand'!A:Z,15,FALSE)),0,VLOOKUP($A726,'13. Updated Demand'!A:Z,15,FALSE))</f>
        <v>0</v>
      </c>
      <c r="Y726" s="16">
        <f>IF(ISERROR(VLOOKUP($A726,'13. Updated Demand'!A:Z,16,FALSE)),0,VLOOKUP($A726,'13. Updated Demand'!A:Z,16,FALSE))</f>
        <v>0</v>
      </c>
      <c r="Z726" s="16">
        <f>IF(ISERROR(VLOOKUP($A726,'13. Updated Demand'!A:Z,17,FALSE)),0,VLOOKUP($A726,'13. Updated Demand'!A:Z,17,FALSE))</f>
        <v>0</v>
      </c>
      <c r="AA726" s="16">
        <f>IF(ISERROR(VLOOKUP($A726,'13. Updated Demand'!A:Z,18,FALSE)),0,VLOOKUP($A726,'13. Updated Demand'!A:Z,18,FALSE))</f>
        <v>0</v>
      </c>
      <c r="AB726" s="16">
        <f>IF(ISERROR(VLOOKUP($A726,'13. Updated Demand'!A:Z,19,FALSE)),0,VLOOKUP($A726,'13. Updated Demand'!A:Z,19,FALSE))</f>
        <v>0</v>
      </c>
      <c r="AC726" s="16">
        <f>IF(ISERROR(VLOOKUP($A726,'13. Updated Demand'!A:Z,20,FALSE)),0,VLOOKUP($A726,'13. Updated Demand'!A:Z,20,FALSE))</f>
        <v>0</v>
      </c>
      <c r="AD726" s="16">
        <f>IF(ISERROR(VLOOKUP($A726,'13. Updated Demand'!A:Z,21,FALSE)),0,VLOOKUP($A726,'13. Updated Demand'!A:Z,21,FALSE))</f>
        <v>0</v>
      </c>
      <c r="AE726" s="16">
        <f>IF(ISERROR(VLOOKUP($A726,'13. Updated Demand'!A:Z,22,FALSE)),0,VLOOKUP($A726,'13. Updated Demand'!A:Z,22,FALSE))</f>
        <v>0</v>
      </c>
      <c r="AF726" s="16">
        <f>IF(ISERROR(VLOOKUP($A726,'13. Updated Demand'!A:Z,23,FALSE)),0,VLOOKUP($A726,'13. Updated Demand'!A:Z,23,FALSE))</f>
        <v>0</v>
      </c>
      <c r="AG726" s="16">
        <f>IF(ISERROR(VLOOKUP($A726,'13. Updated Demand'!A:Z,24,FALSE)),0,VLOOKUP($A726,'13. Updated Demand'!A:Z,24,FALSE))</f>
        <v>0</v>
      </c>
      <c r="AH726" s="16">
        <f>IF(ISERROR(VLOOKUP($A726,'13. Updated Demand'!A:Z,25,FALSE)),0,VLOOKUP($A726,'13. Updated Demand'!A:Z,25,FALSE))</f>
        <v>0</v>
      </c>
      <c r="AI726" s="16">
        <f>IF(ISERROR(VLOOKUP($A726,'13. Updated Demand'!A:Z,26,FALSE)),0,VLOOKUP($A726,'13. Updated Demand'!A:Z,26,FALSE))</f>
        <v>0</v>
      </c>
      <c r="AJ726" s="16">
        <f t="shared" si="144"/>
        <v>0</v>
      </c>
      <c r="AK726" s="19">
        <v>0</v>
      </c>
      <c r="AL726" s="16">
        <f t="shared" si="142"/>
        <v>0</v>
      </c>
      <c r="AM726" s="17">
        <v>0</v>
      </c>
      <c r="AN726" s="19"/>
      <c r="AO726" s="19"/>
      <c r="AP726" s="19">
        <v>105</v>
      </c>
      <c r="AQ726" s="19" t="s">
        <v>307</v>
      </c>
      <c r="AR726" s="9" t="s">
        <v>319</v>
      </c>
      <c r="AS726" s="12">
        <v>0</v>
      </c>
      <c r="AT726" s="19">
        <v>38.974899999999998</v>
      </c>
      <c r="AU726" s="19">
        <v>-123.0586</v>
      </c>
      <c r="AV726" s="19" t="s">
        <v>385</v>
      </c>
    </row>
    <row r="727" spans="1:48" x14ac:dyDescent="0.25">
      <c r="A727" s="18" t="s">
        <v>1115</v>
      </c>
      <c r="B727" s="10">
        <v>19730629</v>
      </c>
      <c r="C727" s="9">
        <v>1</v>
      </c>
      <c r="D727" s="8" t="str">
        <f t="shared" si="133"/>
        <v>N</v>
      </c>
      <c r="E727" s="8" t="str">
        <f t="shared" si="134"/>
        <v>N</v>
      </c>
      <c r="F727" s="8" t="str">
        <f t="shared" si="135"/>
        <v>Y</v>
      </c>
      <c r="G727" s="8" t="str">
        <f t="shared" si="136"/>
        <v>Y</v>
      </c>
      <c r="H727" s="8" t="str">
        <f t="shared" si="137"/>
        <v>Upper</v>
      </c>
      <c r="I727" s="8" t="str">
        <f t="shared" si="138"/>
        <v>West Fork and Below Lake</v>
      </c>
      <c r="J727" s="8" t="str">
        <f t="shared" si="139"/>
        <v>Outside</v>
      </c>
      <c r="K727" s="8" t="str">
        <f t="shared" si="140"/>
        <v>Post-1949</v>
      </c>
      <c r="L727" s="8">
        <f t="shared" si="141"/>
        <v>1973</v>
      </c>
      <c r="M727" s="8" t="str">
        <f t="shared" si="143"/>
        <v>1971-1990</v>
      </c>
      <c r="N727" s="10" t="s">
        <v>242</v>
      </c>
      <c r="O727" s="10" t="s">
        <v>241</v>
      </c>
      <c r="P727" s="10" t="s">
        <v>242</v>
      </c>
      <c r="Q727" s="10" t="s">
        <v>242</v>
      </c>
      <c r="R727" s="10" t="s">
        <v>241</v>
      </c>
      <c r="S727" s="10" t="s">
        <v>242</v>
      </c>
      <c r="T727" s="10" t="s">
        <v>242</v>
      </c>
      <c r="U727" s="10" t="s">
        <v>241</v>
      </c>
      <c r="V727" s="10" t="s">
        <v>241</v>
      </c>
      <c r="W727" s="10" t="s">
        <v>242</v>
      </c>
      <c r="X727" s="15">
        <f>IF(ISERROR(VLOOKUP($A727,'13. Updated Demand'!A:Z,15,FALSE)),0,VLOOKUP($A727,'13. Updated Demand'!A:Z,15,FALSE))</f>
        <v>0</v>
      </c>
      <c r="Y727" s="16">
        <f>IF(ISERROR(VLOOKUP($A727,'13. Updated Demand'!A:Z,16,FALSE)),0,VLOOKUP($A727,'13. Updated Demand'!A:Z,16,FALSE))</f>
        <v>0</v>
      </c>
      <c r="Z727" s="16">
        <f>IF(ISERROR(VLOOKUP($A727,'13. Updated Demand'!A:Z,17,FALSE)),0,VLOOKUP($A727,'13. Updated Demand'!A:Z,17,FALSE))</f>
        <v>0</v>
      </c>
      <c r="AA727" s="16">
        <f>IF(ISERROR(VLOOKUP($A727,'13. Updated Demand'!A:Z,18,FALSE)),0,VLOOKUP($A727,'13. Updated Demand'!A:Z,18,FALSE))</f>
        <v>0</v>
      </c>
      <c r="AB727" s="16">
        <f>IF(ISERROR(VLOOKUP($A727,'13. Updated Demand'!A:Z,19,FALSE)),0,VLOOKUP($A727,'13. Updated Demand'!A:Z,19,FALSE))</f>
        <v>0</v>
      </c>
      <c r="AC727" s="16">
        <f>IF(ISERROR(VLOOKUP($A727,'13. Updated Demand'!A:Z,20,FALSE)),0,VLOOKUP($A727,'13. Updated Demand'!A:Z,20,FALSE))</f>
        <v>0</v>
      </c>
      <c r="AD727" s="16">
        <f>IF(ISERROR(VLOOKUP($A727,'13. Updated Demand'!A:Z,21,FALSE)),0,VLOOKUP($A727,'13. Updated Demand'!A:Z,21,FALSE))</f>
        <v>0</v>
      </c>
      <c r="AE727" s="16">
        <f>IF(ISERROR(VLOOKUP($A727,'13. Updated Demand'!A:Z,22,FALSE)),0,VLOOKUP($A727,'13. Updated Demand'!A:Z,22,FALSE))</f>
        <v>0</v>
      </c>
      <c r="AF727" s="16">
        <f>IF(ISERROR(VLOOKUP($A727,'13. Updated Demand'!A:Z,23,FALSE)),0,VLOOKUP($A727,'13. Updated Demand'!A:Z,23,FALSE))</f>
        <v>0</v>
      </c>
      <c r="AG727" s="16">
        <f>IF(ISERROR(VLOOKUP($A727,'13. Updated Demand'!A:Z,24,FALSE)),0,VLOOKUP($A727,'13. Updated Demand'!A:Z,24,FALSE))</f>
        <v>0</v>
      </c>
      <c r="AH727" s="16">
        <f>IF(ISERROR(VLOOKUP($A727,'13. Updated Demand'!A:Z,25,FALSE)),0,VLOOKUP($A727,'13. Updated Demand'!A:Z,25,FALSE))</f>
        <v>0</v>
      </c>
      <c r="AI727" s="16">
        <f>IF(ISERROR(VLOOKUP($A727,'13. Updated Demand'!A:Z,26,FALSE)),0,VLOOKUP($A727,'13. Updated Demand'!A:Z,26,FALSE))</f>
        <v>0</v>
      </c>
      <c r="AJ727" s="16">
        <f t="shared" si="144"/>
        <v>0</v>
      </c>
      <c r="AK727" s="19">
        <v>0</v>
      </c>
      <c r="AL727" s="16">
        <f t="shared" si="142"/>
        <v>0</v>
      </c>
      <c r="AM727" s="17">
        <v>0</v>
      </c>
      <c r="AN727" s="19"/>
      <c r="AO727" s="19"/>
      <c r="AP727" s="19">
        <v>24</v>
      </c>
      <c r="AQ727" s="19" t="s">
        <v>307</v>
      </c>
      <c r="AR727" s="9" t="s">
        <v>317</v>
      </c>
      <c r="AS727" s="12">
        <v>0</v>
      </c>
      <c r="AT727" s="19">
        <v>39.29255655</v>
      </c>
      <c r="AU727" s="19">
        <v>-123.19931141000001</v>
      </c>
      <c r="AV727" s="19" t="s">
        <v>573</v>
      </c>
    </row>
    <row r="728" spans="1:48" x14ac:dyDescent="0.25">
      <c r="A728" s="18" t="s">
        <v>1116</v>
      </c>
      <c r="B728" s="10">
        <v>19730706</v>
      </c>
      <c r="C728" s="9">
        <v>5</v>
      </c>
      <c r="D728" s="8" t="str">
        <f t="shared" si="133"/>
        <v>Y</v>
      </c>
      <c r="E728" s="8" t="str">
        <f t="shared" si="134"/>
        <v>N</v>
      </c>
      <c r="F728" s="8" t="str">
        <f t="shared" si="135"/>
        <v>Y</v>
      </c>
      <c r="G728" s="8" t="str">
        <f t="shared" si="136"/>
        <v>Y</v>
      </c>
      <c r="H728" s="8" t="str">
        <f t="shared" si="137"/>
        <v>Upper</v>
      </c>
      <c r="I728" s="8" t="str">
        <f t="shared" si="138"/>
        <v>West Fork and Below Lake</v>
      </c>
      <c r="J728" s="8" t="str">
        <f t="shared" si="139"/>
        <v>Mendocino (d/s of lake)</v>
      </c>
      <c r="K728" s="8" t="str">
        <f t="shared" si="140"/>
        <v>Post-1949</v>
      </c>
      <c r="L728" s="8">
        <f t="shared" si="141"/>
        <v>1973</v>
      </c>
      <c r="M728" s="8" t="str">
        <f t="shared" si="143"/>
        <v>1971-1990</v>
      </c>
      <c r="N728" s="10" t="s">
        <v>242</v>
      </c>
      <c r="O728" s="10" t="s">
        <v>241</v>
      </c>
      <c r="P728" s="10" t="s">
        <v>242</v>
      </c>
      <c r="Q728" s="10" t="s">
        <v>242</v>
      </c>
      <c r="R728" s="10" t="s">
        <v>241</v>
      </c>
      <c r="S728" s="10" t="s">
        <v>242</v>
      </c>
      <c r="T728" s="10" t="s">
        <v>242</v>
      </c>
      <c r="U728" s="10" t="s">
        <v>242</v>
      </c>
      <c r="V728" s="10" t="s">
        <v>242</v>
      </c>
      <c r="W728" s="10" t="s">
        <v>242</v>
      </c>
      <c r="X728" s="15">
        <f>IF(ISERROR(VLOOKUP($A728,'13. Updated Demand'!A:Z,15,FALSE)),0,VLOOKUP($A728,'13. Updated Demand'!A:Z,15,FALSE))</f>
        <v>0.54</v>
      </c>
      <c r="Y728" s="16">
        <f>IF(ISERROR(VLOOKUP($A728,'13. Updated Demand'!A:Z,16,FALSE)),0,VLOOKUP($A728,'13. Updated Demand'!A:Z,16,FALSE))</f>
        <v>0.53</v>
      </c>
      <c r="Z728" s="16">
        <f>IF(ISERROR(VLOOKUP($A728,'13. Updated Demand'!A:Z,17,FALSE)),0,VLOOKUP($A728,'13. Updated Demand'!A:Z,17,FALSE))</f>
        <v>0.5</v>
      </c>
      <c r="AA728" s="16">
        <f>IF(ISERROR(VLOOKUP($A728,'13. Updated Demand'!A:Z,18,FALSE)),0,VLOOKUP($A728,'13. Updated Demand'!A:Z,18,FALSE))</f>
        <v>0.56000000000000005</v>
      </c>
      <c r="AB728" s="16">
        <f>IF(ISERROR(VLOOKUP($A728,'13. Updated Demand'!A:Z,19,FALSE)),0,VLOOKUP($A728,'13. Updated Demand'!A:Z,19,FALSE))</f>
        <v>0.66</v>
      </c>
      <c r="AC728" s="16">
        <f>IF(ISERROR(VLOOKUP($A728,'13. Updated Demand'!A:Z,20,FALSE)),0,VLOOKUP($A728,'13. Updated Demand'!A:Z,20,FALSE))</f>
        <v>0</v>
      </c>
      <c r="AD728" s="16">
        <f>IF(ISERROR(VLOOKUP($A728,'13. Updated Demand'!A:Z,21,FALSE)),0,VLOOKUP($A728,'13. Updated Demand'!A:Z,21,FALSE))</f>
        <v>0</v>
      </c>
      <c r="AE728" s="16">
        <f>IF(ISERROR(VLOOKUP($A728,'13. Updated Demand'!A:Z,22,FALSE)),0,VLOOKUP($A728,'13. Updated Demand'!A:Z,22,FALSE))</f>
        <v>0</v>
      </c>
      <c r="AF728" s="16">
        <f>IF(ISERROR(VLOOKUP($A728,'13. Updated Demand'!A:Z,23,FALSE)),0,VLOOKUP($A728,'13. Updated Demand'!A:Z,23,FALSE))</f>
        <v>0</v>
      </c>
      <c r="AG728" s="16">
        <f>IF(ISERROR(VLOOKUP($A728,'13. Updated Demand'!A:Z,24,FALSE)),0,VLOOKUP($A728,'13. Updated Demand'!A:Z,24,FALSE))</f>
        <v>0</v>
      </c>
      <c r="AH728" s="16">
        <f>IF(ISERROR(VLOOKUP($A728,'13. Updated Demand'!A:Z,25,FALSE)),0,VLOOKUP($A728,'13. Updated Demand'!A:Z,25,FALSE))</f>
        <v>0</v>
      </c>
      <c r="AI728" s="16">
        <f>IF(ISERROR(VLOOKUP($A728,'13. Updated Demand'!A:Z,26,FALSE)),0,VLOOKUP($A728,'13. Updated Demand'!A:Z,26,FALSE))</f>
        <v>0</v>
      </c>
      <c r="AJ728" s="16">
        <f t="shared" si="144"/>
        <v>2.79</v>
      </c>
      <c r="AK728" s="19">
        <v>0.664925667</v>
      </c>
      <c r="AL728" s="16">
        <f t="shared" si="142"/>
        <v>2.2054826952878376E-3</v>
      </c>
      <c r="AM728" s="17">
        <v>0.14050389999999999</v>
      </c>
      <c r="AN728" s="19"/>
      <c r="AO728" s="19"/>
      <c r="AP728" s="19">
        <v>20</v>
      </c>
      <c r="AQ728" s="19" t="s">
        <v>307</v>
      </c>
      <c r="AR728" s="9" t="s">
        <v>333</v>
      </c>
      <c r="AS728" s="12">
        <v>0</v>
      </c>
      <c r="AT728" s="19">
        <v>39.080474240000001</v>
      </c>
      <c r="AU728" s="19">
        <v>-123.1819828</v>
      </c>
      <c r="AV728" s="19" t="s">
        <v>417</v>
      </c>
    </row>
    <row r="729" spans="1:48" x14ac:dyDescent="0.25">
      <c r="A729" s="18" t="s">
        <v>1117</v>
      </c>
      <c r="B729" s="10">
        <v>19730710</v>
      </c>
      <c r="C729" s="9">
        <v>23</v>
      </c>
      <c r="D729" s="8" t="str">
        <f t="shared" si="133"/>
        <v>N</v>
      </c>
      <c r="E729" s="8" t="str">
        <f t="shared" si="134"/>
        <v>N</v>
      </c>
      <c r="F729" s="8" t="str">
        <f t="shared" si="135"/>
        <v>N</v>
      </c>
      <c r="G729" s="8" t="str">
        <f t="shared" si="136"/>
        <v>N</v>
      </c>
      <c r="H729" s="8" t="str">
        <f t="shared" si="137"/>
        <v>Lower</v>
      </c>
      <c r="I729" s="8" t="str">
        <f t="shared" si="138"/>
        <v>Outside</v>
      </c>
      <c r="J729" s="8" t="str">
        <f t="shared" si="139"/>
        <v>Outside</v>
      </c>
      <c r="K729" s="8" t="str">
        <f t="shared" si="140"/>
        <v>Post-1949</v>
      </c>
      <c r="L729" s="8">
        <f t="shared" si="141"/>
        <v>1973</v>
      </c>
      <c r="M729" s="8" t="str">
        <f t="shared" si="143"/>
        <v>1971-1990</v>
      </c>
      <c r="N729" s="10" t="s">
        <v>242</v>
      </c>
      <c r="O729" s="10" t="s">
        <v>242</v>
      </c>
      <c r="P729" s="10" t="s">
        <v>242</v>
      </c>
      <c r="Q729" s="10" t="s">
        <v>242</v>
      </c>
      <c r="R729" s="10" t="s">
        <v>241</v>
      </c>
      <c r="S729" s="10" t="s">
        <v>242</v>
      </c>
      <c r="T729" s="10" t="s">
        <v>242</v>
      </c>
      <c r="U729" s="10" t="s">
        <v>242</v>
      </c>
      <c r="V729" s="10" t="s">
        <v>241</v>
      </c>
      <c r="W729" s="10" t="s">
        <v>242</v>
      </c>
      <c r="X729" s="15">
        <f>IF(ISERROR(VLOOKUP($A729,'13. Updated Demand'!A:Z,15,FALSE)),0,VLOOKUP($A729,'13. Updated Demand'!A:Z,15,FALSE))</f>
        <v>0</v>
      </c>
      <c r="Y729" s="16">
        <f>IF(ISERROR(VLOOKUP($A729,'13. Updated Demand'!A:Z,16,FALSE)),0,VLOOKUP($A729,'13. Updated Demand'!A:Z,16,FALSE))</f>
        <v>0</v>
      </c>
      <c r="Z729" s="16">
        <f>IF(ISERROR(VLOOKUP($A729,'13. Updated Demand'!A:Z,17,FALSE)),0,VLOOKUP($A729,'13. Updated Demand'!A:Z,17,FALSE))</f>
        <v>0.13503066699999999</v>
      </c>
      <c r="AA729" s="16">
        <f>IF(ISERROR(VLOOKUP($A729,'13. Updated Demand'!A:Z,18,FALSE)),0,VLOOKUP($A729,'13. Updated Demand'!A:Z,18,FALSE))</f>
        <v>0</v>
      </c>
      <c r="AB729" s="16">
        <f>IF(ISERROR(VLOOKUP($A729,'13. Updated Demand'!A:Z,19,FALSE)),0,VLOOKUP($A729,'13. Updated Demand'!A:Z,19,FALSE))</f>
        <v>0</v>
      </c>
      <c r="AC729" s="16">
        <f>IF(ISERROR(VLOOKUP($A729,'13. Updated Demand'!A:Z,20,FALSE)),0,VLOOKUP($A729,'13. Updated Demand'!A:Z,20,FALSE))</f>
        <v>0</v>
      </c>
      <c r="AD729" s="16">
        <f>IF(ISERROR(VLOOKUP($A729,'13. Updated Demand'!A:Z,21,FALSE)),0,VLOOKUP($A729,'13. Updated Demand'!A:Z,21,FALSE))</f>
        <v>0</v>
      </c>
      <c r="AE729" s="16">
        <f>IF(ISERROR(VLOOKUP($A729,'13. Updated Demand'!A:Z,22,FALSE)),0,VLOOKUP($A729,'13. Updated Demand'!A:Z,22,FALSE))</f>
        <v>0</v>
      </c>
      <c r="AF729" s="16">
        <f>IF(ISERROR(VLOOKUP($A729,'13. Updated Demand'!A:Z,23,FALSE)),0,VLOOKUP($A729,'13. Updated Demand'!A:Z,23,FALSE))</f>
        <v>0</v>
      </c>
      <c r="AG729" s="16">
        <f>IF(ISERROR(VLOOKUP($A729,'13. Updated Demand'!A:Z,24,FALSE)),0,VLOOKUP($A729,'13. Updated Demand'!A:Z,24,FALSE))</f>
        <v>0</v>
      </c>
      <c r="AH729" s="16">
        <f>IF(ISERROR(VLOOKUP($A729,'13. Updated Demand'!A:Z,25,FALSE)),0,VLOOKUP($A729,'13. Updated Demand'!A:Z,25,FALSE))</f>
        <v>0</v>
      </c>
      <c r="AI729" s="16">
        <f>IF(ISERROR(VLOOKUP($A729,'13. Updated Demand'!A:Z,26,FALSE)),0,VLOOKUP($A729,'13. Updated Demand'!A:Z,26,FALSE))</f>
        <v>0</v>
      </c>
      <c r="AJ729" s="16">
        <f t="shared" si="144"/>
        <v>0.13503066699999999</v>
      </c>
      <c r="AK729" s="19">
        <v>0</v>
      </c>
      <c r="AL729" s="16">
        <f t="shared" si="142"/>
        <v>0</v>
      </c>
      <c r="AM729" s="17">
        <v>2.0153830895522386E-2</v>
      </c>
      <c r="AN729" s="19"/>
      <c r="AO729" s="19"/>
      <c r="AP729" s="19">
        <v>6.7</v>
      </c>
      <c r="AQ729" s="19" t="s">
        <v>307</v>
      </c>
      <c r="AR729" s="9" t="s">
        <v>1118</v>
      </c>
      <c r="AS729" s="12">
        <v>0</v>
      </c>
      <c r="AT729" s="19">
        <v>38.425540050000002</v>
      </c>
      <c r="AU729" s="19">
        <v>-122.79624765</v>
      </c>
      <c r="AV729" s="19" t="s">
        <v>417</v>
      </c>
    </row>
    <row r="730" spans="1:48" x14ac:dyDescent="0.25">
      <c r="A730" s="18" t="s">
        <v>1119</v>
      </c>
      <c r="B730" s="10">
        <v>19730731</v>
      </c>
      <c r="C730" s="9">
        <v>1</v>
      </c>
      <c r="D730" s="8" t="str">
        <f t="shared" si="133"/>
        <v>N</v>
      </c>
      <c r="E730" s="8" t="str">
        <f t="shared" si="134"/>
        <v>N</v>
      </c>
      <c r="F730" s="8" t="str">
        <f t="shared" si="135"/>
        <v>Y</v>
      </c>
      <c r="G730" s="8" t="str">
        <f t="shared" si="136"/>
        <v>Y</v>
      </c>
      <c r="H730" s="8" t="str">
        <f t="shared" si="137"/>
        <v>Upper</v>
      </c>
      <c r="I730" s="8" t="str">
        <f t="shared" si="138"/>
        <v>West Fork and Below Lake</v>
      </c>
      <c r="J730" s="8" t="str">
        <f t="shared" si="139"/>
        <v>Outside</v>
      </c>
      <c r="K730" s="8" t="str">
        <f t="shared" si="140"/>
        <v>Post-1949</v>
      </c>
      <c r="L730" s="8">
        <f t="shared" si="141"/>
        <v>1973</v>
      </c>
      <c r="M730" s="8" t="str">
        <f t="shared" si="143"/>
        <v>1971-1990</v>
      </c>
      <c r="N730" s="10" t="s">
        <v>242</v>
      </c>
      <c r="O730" s="10" t="s">
        <v>241</v>
      </c>
      <c r="P730" s="10" t="s">
        <v>242</v>
      </c>
      <c r="Q730" s="10" t="s">
        <v>242</v>
      </c>
      <c r="R730" s="10" t="s">
        <v>241</v>
      </c>
      <c r="S730" s="10" t="s">
        <v>242</v>
      </c>
      <c r="T730" s="10" t="s">
        <v>242</v>
      </c>
      <c r="U730" s="10" t="s">
        <v>242</v>
      </c>
      <c r="V730" s="10" t="s">
        <v>242</v>
      </c>
      <c r="W730" s="10" t="s">
        <v>242</v>
      </c>
      <c r="X730" s="15">
        <f>IF(ISERROR(VLOOKUP($A730,'13. Updated Demand'!A:Z,15,FALSE)),0,VLOOKUP($A730,'13. Updated Demand'!A:Z,15,FALSE))</f>
        <v>18.73</v>
      </c>
      <c r="Y730" s="16">
        <f>IF(ISERROR(VLOOKUP($A730,'13. Updated Demand'!A:Z,16,FALSE)),0,VLOOKUP($A730,'13. Updated Demand'!A:Z,16,FALSE))</f>
        <v>24.9</v>
      </c>
      <c r="Z730" s="16">
        <f>IF(ISERROR(VLOOKUP($A730,'13. Updated Demand'!A:Z,17,FALSE)),0,VLOOKUP($A730,'13. Updated Demand'!A:Z,17,FALSE))</f>
        <v>22.58</v>
      </c>
      <c r="AA730" s="16">
        <f>IF(ISERROR(VLOOKUP($A730,'13. Updated Demand'!A:Z,18,FALSE)),0,VLOOKUP($A730,'13. Updated Demand'!A:Z,18,FALSE))</f>
        <v>27.7</v>
      </c>
      <c r="AB730" s="16">
        <f>IF(ISERROR(VLOOKUP($A730,'13. Updated Demand'!A:Z,19,FALSE)),0,VLOOKUP($A730,'13. Updated Demand'!A:Z,19,FALSE))</f>
        <v>14.23</v>
      </c>
      <c r="AC730" s="16">
        <f>IF(ISERROR(VLOOKUP($A730,'13. Updated Demand'!A:Z,20,FALSE)),0,VLOOKUP($A730,'13. Updated Demand'!A:Z,20,FALSE))</f>
        <v>0</v>
      </c>
      <c r="AD730" s="16">
        <f>IF(ISERROR(VLOOKUP($A730,'13. Updated Demand'!A:Z,21,FALSE)),0,VLOOKUP($A730,'13. Updated Demand'!A:Z,21,FALSE))</f>
        <v>0</v>
      </c>
      <c r="AE730" s="16">
        <f>IF(ISERROR(VLOOKUP($A730,'13. Updated Demand'!A:Z,22,FALSE)),0,VLOOKUP($A730,'13. Updated Demand'!A:Z,22,FALSE))</f>
        <v>0</v>
      </c>
      <c r="AF730" s="16">
        <f>IF(ISERROR(VLOOKUP($A730,'13. Updated Demand'!A:Z,23,FALSE)),0,VLOOKUP($A730,'13. Updated Demand'!A:Z,23,FALSE))</f>
        <v>0</v>
      </c>
      <c r="AG730" s="16">
        <f>IF(ISERROR(VLOOKUP($A730,'13. Updated Demand'!A:Z,24,FALSE)),0,VLOOKUP($A730,'13. Updated Demand'!A:Z,24,FALSE))</f>
        <v>0</v>
      </c>
      <c r="AH730" s="16">
        <f>IF(ISERROR(VLOOKUP($A730,'13. Updated Demand'!A:Z,25,FALSE)),0,VLOOKUP($A730,'13. Updated Demand'!A:Z,25,FALSE))</f>
        <v>0.76</v>
      </c>
      <c r="AI730" s="16">
        <f>IF(ISERROR(VLOOKUP($A730,'13. Updated Demand'!A:Z,26,FALSE)),0,VLOOKUP($A730,'13. Updated Demand'!A:Z,26,FALSE))</f>
        <v>2.76</v>
      </c>
      <c r="AJ730" s="16">
        <f t="shared" si="144"/>
        <v>111.66000000000001</v>
      </c>
      <c r="AK730" s="19">
        <v>14.233333330000001</v>
      </c>
      <c r="AL730" s="16">
        <f t="shared" si="142"/>
        <v>4.7210345326583129E-2</v>
      </c>
      <c r="AM730" s="17">
        <v>0.44674666661599999</v>
      </c>
      <c r="AN730" s="19"/>
      <c r="AO730" s="19"/>
      <c r="AP730" s="19">
        <v>250</v>
      </c>
      <c r="AQ730" s="19" t="s">
        <v>307</v>
      </c>
      <c r="AR730" s="9" t="s">
        <v>317</v>
      </c>
      <c r="AS730" s="12">
        <v>0</v>
      </c>
      <c r="AT730" s="19">
        <v>39.262300000000003</v>
      </c>
      <c r="AU730" s="19">
        <v>-123.1901</v>
      </c>
      <c r="AV730" s="19" t="s">
        <v>417</v>
      </c>
    </row>
    <row r="731" spans="1:48" x14ac:dyDescent="0.25">
      <c r="A731" s="18" t="s">
        <v>1120</v>
      </c>
      <c r="B731" s="10">
        <v>19730913</v>
      </c>
      <c r="C731" s="9">
        <v>4</v>
      </c>
      <c r="D731" s="8" t="str">
        <f t="shared" si="133"/>
        <v>Y</v>
      </c>
      <c r="E731" s="8" t="str">
        <f t="shared" si="134"/>
        <v>N</v>
      </c>
      <c r="F731" s="8" t="str">
        <f t="shared" si="135"/>
        <v>Y</v>
      </c>
      <c r="G731" s="8" t="str">
        <f t="shared" si="136"/>
        <v>Y</v>
      </c>
      <c r="H731" s="8" t="str">
        <f t="shared" si="137"/>
        <v>Upper</v>
      </c>
      <c r="I731" s="8" t="str">
        <f t="shared" si="138"/>
        <v>West Fork and Below Lake</v>
      </c>
      <c r="J731" s="8" t="str">
        <f t="shared" si="139"/>
        <v>Mendocino (d/s of lake)</v>
      </c>
      <c r="K731" s="8" t="str">
        <f t="shared" si="140"/>
        <v>Post-1949</v>
      </c>
      <c r="L731" s="8">
        <f t="shared" si="141"/>
        <v>1973</v>
      </c>
      <c r="M731" s="8" t="str">
        <f t="shared" si="143"/>
        <v>1971-1990</v>
      </c>
      <c r="N731" s="10" t="s">
        <v>242</v>
      </c>
      <c r="O731" s="10" t="s">
        <v>241</v>
      </c>
      <c r="P731" s="10" t="s">
        <v>242</v>
      </c>
      <c r="Q731" s="10" t="s">
        <v>242</v>
      </c>
      <c r="R731" s="10" t="s">
        <v>241</v>
      </c>
      <c r="S731" s="10" t="s">
        <v>242</v>
      </c>
      <c r="T731" s="10" t="s">
        <v>242</v>
      </c>
      <c r="U731" s="10" t="s">
        <v>242</v>
      </c>
      <c r="V731" s="10" t="s">
        <v>241</v>
      </c>
      <c r="W731" s="10" t="s">
        <v>242</v>
      </c>
      <c r="X731" s="15">
        <f>IF(ISERROR(VLOOKUP($A731,'13. Updated Demand'!A:Z,15,FALSE)),0,VLOOKUP($A731,'13. Updated Demand'!A:Z,15,FALSE))</f>
        <v>3.66</v>
      </c>
      <c r="Y731" s="16">
        <f>IF(ISERROR(VLOOKUP($A731,'13. Updated Demand'!A:Z,16,FALSE)),0,VLOOKUP($A731,'13. Updated Demand'!A:Z,16,FALSE))</f>
        <v>5.66</v>
      </c>
      <c r="Z731" s="16">
        <f>IF(ISERROR(VLOOKUP($A731,'13. Updated Demand'!A:Z,17,FALSE)),0,VLOOKUP($A731,'13. Updated Demand'!A:Z,17,FALSE))</f>
        <v>6.5</v>
      </c>
      <c r="AA731" s="16">
        <f>IF(ISERROR(VLOOKUP($A731,'13. Updated Demand'!A:Z,18,FALSE)),0,VLOOKUP($A731,'13. Updated Demand'!A:Z,18,FALSE))</f>
        <v>0.66</v>
      </c>
      <c r="AB731" s="16">
        <f>IF(ISERROR(VLOOKUP($A731,'13. Updated Demand'!A:Z,19,FALSE)),0,VLOOKUP($A731,'13. Updated Demand'!A:Z,19,FALSE))</f>
        <v>0</v>
      </c>
      <c r="AC731" s="16">
        <f>IF(ISERROR(VLOOKUP($A731,'13. Updated Demand'!A:Z,20,FALSE)),0,VLOOKUP($A731,'13. Updated Demand'!A:Z,20,FALSE))</f>
        <v>0</v>
      </c>
      <c r="AD731" s="16">
        <f>IF(ISERROR(VLOOKUP($A731,'13. Updated Demand'!A:Z,21,FALSE)),0,VLOOKUP($A731,'13. Updated Demand'!A:Z,21,FALSE))</f>
        <v>0</v>
      </c>
      <c r="AE731" s="16">
        <f>IF(ISERROR(VLOOKUP($A731,'13. Updated Demand'!A:Z,22,FALSE)),0,VLOOKUP($A731,'13. Updated Demand'!A:Z,22,FALSE))</f>
        <v>0</v>
      </c>
      <c r="AF731" s="16">
        <f>IF(ISERROR(VLOOKUP($A731,'13. Updated Demand'!A:Z,23,FALSE)),0,VLOOKUP($A731,'13. Updated Demand'!A:Z,23,FALSE))</f>
        <v>0</v>
      </c>
      <c r="AG731" s="16">
        <f>IF(ISERROR(VLOOKUP($A731,'13. Updated Demand'!A:Z,24,FALSE)),0,VLOOKUP($A731,'13. Updated Demand'!A:Z,24,FALSE))</f>
        <v>0</v>
      </c>
      <c r="AH731" s="16">
        <f>IF(ISERROR(VLOOKUP($A731,'13. Updated Demand'!A:Z,25,FALSE)),0,VLOOKUP($A731,'13. Updated Demand'!A:Z,25,FALSE))</f>
        <v>0</v>
      </c>
      <c r="AI731" s="16">
        <f>IF(ISERROR(VLOOKUP($A731,'13. Updated Demand'!A:Z,26,FALSE)),0,VLOOKUP($A731,'13. Updated Demand'!A:Z,26,FALSE))</f>
        <v>0</v>
      </c>
      <c r="AJ731" s="16">
        <f t="shared" si="144"/>
        <v>16.48</v>
      </c>
      <c r="AK731" s="19">
        <v>0</v>
      </c>
      <c r="AL731" s="16">
        <f t="shared" si="142"/>
        <v>0</v>
      </c>
      <c r="AM731" s="17">
        <v>0.68750000004166667</v>
      </c>
      <c r="AN731" s="19"/>
      <c r="AO731" s="19"/>
      <c r="AP731" s="19">
        <v>24</v>
      </c>
      <c r="AQ731" s="19" t="s">
        <v>307</v>
      </c>
      <c r="AR731" s="9" t="s">
        <v>331</v>
      </c>
      <c r="AS731" s="12">
        <v>0</v>
      </c>
      <c r="AT731" s="19">
        <v>39.193962980000002</v>
      </c>
      <c r="AU731" s="19">
        <v>-123.21422577</v>
      </c>
      <c r="AV731" s="19" t="s">
        <v>417</v>
      </c>
    </row>
    <row r="732" spans="1:48" x14ac:dyDescent="0.25">
      <c r="A732" s="18" t="s">
        <v>1121</v>
      </c>
      <c r="B732" s="10">
        <v>19731010</v>
      </c>
      <c r="C732" s="9">
        <v>1</v>
      </c>
      <c r="D732" s="8" t="str">
        <f t="shared" si="133"/>
        <v>N</v>
      </c>
      <c r="E732" s="8" t="str">
        <f t="shared" si="134"/>
        <v>N</v>
      </c>
      <c r="F732" s="8" t="str">
        <f t="shared" si="135"/>
        <v>Y</v>
      </c>
      <c r="G732" s="8" t="str">
        <f t="shared" si="136"/>
        <v>Y</v>
      </c>
      <c r="H732" s="8" t="str">
        <f t="shared" si="137"/>
        <v>Upper</v>
      </c>
      <c r="I732" s="8" t="str">
        <f t="shared" si="138"/>
        <v>West Fork and Below Lake</v>
      </c>
      <c r="J732" s="8" t="str">
        <f t="shared" si="139"/>
        <v>Outside</v>
      </c>
      <c r="K732" s="8" t="str">
        <f t="shared" si="140"/>
        <v>Post-1949</v>
      </c>
      <c r="L732" s="8">
        <f t="shared" si="141"/>
        <v>1973</v>
      </c>
      <c r="M732" s="8" t="str">
        <f t="shared" si="143"/>
        <v>1971-1990</v>
      </c>
      <c r="N732" s="10" t="s">
        <v>242</v>
      </c>
      <c r="O732" s="10" t="s">
        <v>241</v>
      </c>
      <c r="P732" s="10" t="s">
        <v>242</v>
      </c>
      <c r="Q732" s="10" t="s">
        <v>242</v>
      </c>
      <c r="R732" s="10" t="s">
        <v>241</v>
      </c>
      <c r="S732" s="10" t="s">
        <v>242</v>
      </c>
      <c r="T732" s="10" t="s">
        <v>242</v>
      </c>
      <c r="U732" s="10" t="s">
        <v>242</v>
      </c>
      <c r="V732" s="10" t="s">
        <v>242</v>
      </c>
      <c r="W732" s="10" t="s">
        <v>242</v>
      </c>
      <c r="X732" s="15">
        <f>IF(ISERROR(VLOOKUP($A732,'13. Updated Demand'!A:Z,15,FALSE)),0,VLOOKUP($A732,'13. Updated Demand'!A:Z,15,FALSE))</f>
        <v>1.63</v>
      </c>
      <c r="Y732" s="16">
        <f>IF(ISERROR(VLOOKUP($A732,'13. Updated Demand'!A:Z,16,FALSE)),0,VLOOKUP($A732,'13. Updated Demand'!A:Z,16,FALSE))</f>
        <v>0.04</v>
      </c>
      <c r="Z732" s="16">
        <f>IF(ISERROR(VLOOKUP($A732,'13. Updated Demand'!A:Z,17,FALSE)),0,VLOOKUP($A732,'13. Updated Demand'!A:Z,17,FALSE))</f>
        <v>0.61</v>
      </c>
      <c r="AA732" s="16">
        <f>IF(ISERROR(VLOOKUP($A732,'13. Updated Demand'!A:Z,18,FALSE)),0,VLOOKUP($A732,'13. Updated Demand'!A:Z,18,FALSE))</f>
        <v>0.1</v>
      </c>
      <c r="AB732" s="16">
        <f>IF(ISERROR(VLOOKUP($A732,'13. Updated Demand'!A:Z,19,FALSE)),0,VLOOKUP($A732,'13. Updated Demand'!A:Z,19,FALSE))</f>
        <v>7.0000000000000007E-2</v>
      </c>
      <c r="AC732" s="16">
        <f>IF(ISERROR(VLOOKUP($A732,'13. Updated Demand'!A:Z,20,FALSE)),0,VLOOKUP($A732,'13. Updated Demand'!A:Z,20,FALSE))</f>
        <v>0</v>
      </c>
      <c r="AD732" s="16">
        <f>IF(ISERROR(VLOOKUP($A732,'13. Updated Demand'!A:Z,21,FALSE)),0,VLOOKUP($A732,'13. Updated Demand'!A:Z,21,FALSE))</f>
        <v>0</v>
      </c>
      <c r="AE732" s="16">
        <f>IF(ISERROR(VLOOKUP($A732,'13. Updated Demand'!A:Z,22,FALSE)),0,VLOOKUP($A732,'13. Updated Demand'!A:Z,22,FALSE))</f>
        <v>0</v>
      </c>
      <c r="AF732" s="16">
        <f>IF(ISERROR(VLOOKUP($A732,'13. Updated Demand'!A:Z,23,FALSE)),0,VLOOKUP($A732,'13. Updated Demand'!A:Z,23,FALSE))</f>
        <v>0</v>
      </c>
      <c r="AG732" s="16">
        <f>IF(ISERROR(VLOOKUP($A732,'13. Updated Demand'!A:Z,24,FALSE)),0,VLOOKUP($A732,'13. Updated Demand'!A:Z,24,FALSE))</f>
        <v>0</v>
      </c>
      <c r="AH732" s="16">
        <f>IF(ISERROR(VLOOKUP($A732,'13. Updated Demand'!A:Z,25,FALSE)),0,VLOOKUP($A732,'13. Updated Demand'!A:Z,25,FALSE))</f>
        <v>0.43</v>
      </c>
      <c r="AI732" s="16">
        <f>IF(ISERROR(VLOOKUP($A732,'13. Updated Demand'!A:Z,26,FALSE)),0,VLOOKUP($A732,'13. Updated Demand'!A:Z,26,FALSE))</f>
        <v>0.1</v>
      </c>
      <c r="AJ732" s="16">
        <f t="shared" si="144"/>
        <v>2.98</v>
      </c>
      <c r="AK732" s="19">
        <v>7.3333333000000001E-2</v>
      </c>
      <c r="AL732" s="16">
        <f t="shared" si="142"/>
        <v>2.432383121093753E-4</v>
      </c>
      <c r="AM732" s="17">
        <v>0.99888888866666681</v>
      </c>
      <c r="AN732" s="19"/>
      <c r="AO732" s="19"/>
      <c r="AP732" s="19">
        <v>3</v>
      </c>
      <c r="AQ732" s="19" t="s">
        <v>307</v>
      </c>
      <c r="AR732" s="9" t="s">
        <v>317</v>
      </c>
      <c r="AS732" s="12">
        <v>0</v>
      </c>
      <c r="AT732" s="19">
        <v>39.298556490000003</v>
      </c>
      <c r="AU732" s="19">
        <v>-123.20330079999999</v>
      </c>
      <c r="AV732" s="19" t="s">
        <v>417</v>
      </c>
    </row>
    <row r="733" spans="1:48" x14ac:dyDescent="0.25">
      <c r="A733" s="18" t="s">
        <v>1122</v>
      </c>
      <c r="B733" s="10">
        <v>19731116</v>
      </c>
      <c r="C733" s="9">
        <v>1</v>
      </c>
      <c r="D733" s="8" t="str">
        <f t="shared" si="133"/>
        <v>N</v>
      </c>
      <c r="E733" s="8" t="str">
        <f t="shared" si="134"/>
        <v>N</v>
      </c>
      <c r="F733" s="8" t="str">
        <f t="shared" si="135"/>
        <v>Y</v>
      </c>
      <c r="G733" s="8" t="str">
        <f t="shared" si="136"/>
        <v>Y</v>
      </c>
      <c r="H733" s="8" t="str">
        <f t="shared" si="137"/>
        <v>Upper</v>
      </c>
      <c r="I733" s="8" t="str">
        <f t="shared" si="138"/>
        <v>West Fork and Below Lake</v>
      </c>
      <c r="J733" s="8" t="str">
        <f t="shared" si="139"/>
        <v>Outside</v>
      </c>
      <c r="K733" s="8" t="str">
        <f t="shared" si="140"/>
        <v>Post-1949</v>
      </c>
      <c r="L733" s="8">
        <f t="shared" si="141"/>
        <v>1973</v>
      </c>
      <c r="M733" s="8" t="str">
        <f t="shared" si="143"/>
        <v>1971-1990</v>
      </c>
      <c r="N733" s="10" t="s">
        <v>242</v>
      </c>
      <c r="O733" s="10" t="s">
        <v>241</v>
      </c>
      <c r="P733" s="10" t="s">
        <v>242</v>
      </c>
      <c r="Q733" s="10" t="s">
        <v>242</v>
      </c>
      <c r="R733" s="10" t="s">
        <v>241</v>
      </c>
      <c r="S733" s="10" t="s">
        <v>242</v>
      </c>
      <c r="T733" s="10" t="s">
        <v>242</v>
      </c>
      <c r="U733" s="10" t="s">
        <v>242</v>
      </c>
      <c r="V733" s="10" t="s">
        <v>241</v>
      </c>
      <c r="W733" s="10" t="s">
        <v>242</v>
      </c>
      <c r="X733" s="15">
        <f>IF(ISERROR(VLOOKUP($A733,'13. Updated Demand'!A:Z,15,FALSE)),0,VLOOKUP($A733,'13. Updated Demand'!A:Z,15,FALSE))</f>
        <v>1.66</v>
      </c>
      <c r="Y733" s="16">
        <f>IF(ISERROR(VLOOKUP($A733,'13. Updated Demand'!A:Z,16,FALSE)),0,VLOOKUP($A733,'13. Updated Demand'!A:Z,16,FALSE))</f>
        <v>1.33</v>
      </c>
      <c r="Z733" s="16">
        <f>IF(ISERROR(VLOOKUP($A733,'13. Updated Demand'!A:Z,17,FALSE)),0,VLOOKUP($A733,'13. Updated Demand'!A:Z,17,FALSE))</f>
        <v>0.4</v>
      </c>
      <c r="AA733" s="16">
        <f>IF(ISERROR(VLOOKUP($A733,'13. Updated Demand'!A:Z,18,FALSE)),0,VLOOKUP($A733,'13. Updated Demand'!A:Z,18,FALSE))</f>
        <v>0</v>
      </c>
      <c r="AB733" s="16">
        <f>IF(ISERROR(VLOOKUP($A733,'13. Updated Demand'!A:Z,19,FALSE)),0,VLOOKUP($A733,'13. Updated Demand'!A:Z,19,FALSE))</f>
        <v>0</v>
      </c>
      <c r="AC733" s="16">
        <f>IF(ISERROR(VLOOKUP($A733,'13. Updated Demand'!A:Z,20,FALSE)),0,VLOOKUP($A733,'13. Updated Demand'!A:Z,20,FALSE))</f>
        <v>0</v>
      </c>
      <c r="AD733" s="16">
        <f>IF(ISERROR(VLOOKUP($A733,'13. Updated Demand'!A:Z,21,FALSE)),0,VLOOKUP($A733,'13. Updated Demand'!A:Z,21,FALSE))</f>
        <v>0</v>
      </c>
      <c r="AE733" s="16">
        <f>IF(ISERROR(VLOOKUP($A733,'13. Updated Demand'!A:Z,22,FALSE)),0,VLOOKUP($A733,'13. Updated Demand'!A:Z,22,FALSE))</f>
        <v>0</v>
      </c>
      <c r="AF733" s="16">
        <f>IF(ISERROR(VLOOKUP($A733,'13. Updated Demand'!A:Z,23,FALSE)),0,VLOOKUP($A733,'13. Updated Demand'!A:Z,23,FALSE))</f>
        <v>0</v>
      </c>
      <c r="AG733" s="16">
        <f>IF(ISERROR(VLOOKUP($A733,'13. Updated Demand'!A:Z,24,FALSE)),0,VLOOKUP($A733,'13. Updated Demand'!A:Z,24,FALSE))</f>
        <v>0</v>
      </c>
      <c r="AH733" s="16">
        <f>IF(ISERROR(VLOOKUP($A733,'13. Updated Demand'!A:Z,25,FALSE)),0,VLOOKUP($A733,'13. Updated Demand'!A:Z,25,FALSE))</f>
        <v>0</v>
      </c>
      <c r="AI733" s="16">
        <f>IF(ISERROR(VLOOKUP($A733,'13. Updated Demand'!A:Z,26,FALSE)),0,VLOOKUP($A733,'13. Updated Demand'!A:Z,26,FALSE))</f>
        <v>0</v>
      </c>
      <c r="AJ733" s="16">
        <f t="shared" si="144"/>
        <v>3.39</v>
      </c>
      <c r="AK733" s="19">
        <v>0</v>
      </c>
      <c r="AL733" s="16">
        <f t="shared" si="142"/>
        <v>0</v>
      </c>
      <c r="AM733" s="17">
        <v>0.33999999999999997</v>
      </c>
      <c r="AN733" s="19"/>
      <c r="AO733" s="19"/>
      <c r="AP733" s="19">
        <v>10</v>
      </c>
      <c r="AQ733" s="19" t="s">
        <v>307</v>
      </c>
      <c r="AR733" s="9" t="s">
        <v>317</v>
      </c>
      <c r="AS733" s="12">
        <v>0</v>
      </c>
      <c r="AT733" s="19">
        <v>39.23941791</v>
      </c>
      <c r="AU733" s="19">
        <v>-123.21324042000001</v>
      </c>
      <c r="AV733" s="19" t="s">
        <v>417</v>
      </c>
    </row>
    <row r="734" spans="1:48" x14ac:dyDescent="0.25">
      <c r="A734" s="18" t="s">
        <v>1123</v>
      </c>
      <c r="B734" s="10">
        <v>19730309</v>
      </c>
      <c r="C734" s="9">
        <v>2</v>
      </c>
      <c r="D734" s="8" t="str">
        <f t="shared" si="133"/>
        <v>N</v>
      </c>
      <c r="E734" s="8" t="str">
        <f t="shared" si="134"/>
        <v>N</v>
      </c>
      <c r="F734" s="8" t="str">
        <f t="shared" si="135"/>
        <v>Y</v>
      </c>
      <c r="G734" s="8" t="str">
        <f t="shared" si="136"/>
        <v>N</v>
      </c>
      <c r="H734" s="8" t="str">
        <f t="shared" si="137"/>
        <v>Upper</v>
      </c>
      <c r="I734" s="8" t="str">
        <f t="shared" si="138"/>
        <v>Outside</v>
      </c>
      <c r="J734" s="8" t="str">
        <f t="shared" si="139"/>
        <v>Outside</v>
      </c>
      <c r="K734" s="8" t="str">
        <f t="shared" si="140"/>
        <v>Post-1949</v>
      </c>
      <c r="L734" s="8">
        <f t="shared" si="141"/>
        <v>1973</v>
      </c>
      <c r="M734" s="8" t="str">
        <f t="shared" si="143"/>
        <v>1971-1990</v>
      </c>
      <c r="N734" s="10" t="s">
        <v>242</v>
      </c>
      <c r="O734" s="10" t="s">
        <v>241</v>
      </c>
      <c r="P734" s="10" t="s">
        <v>242</v>
      </c>
      <c r="Q734" s="10" t="s">
        <v>242</v>
      </c>
      <c r="R734" s="10" t="s">
        <v>241</v>
      </c>
      <c r="S734" s="10" t="s">
        <v>242</v>
      </c>
      <c r="T734" s="10" t="s">
        <v>242</v>
      </c>
      <c r="U734" s="10" t="s">
        <v>241</v>
      </c>
      <c r="V734" s="10" t="s">
        <v>241</v>
      </c>
      <c r="W734" s="10" t="s">
        <v>242</v>
      </c>
      <c r="X734" s="15">
        <f>IF(ISERROR(VLOOKUP($A734,'13. Updated Demand'!A:Z,15,FALSE)),0,VLOOKUP($A734,'13. Updated Demand'!A:Z,15,FALSE))</f>
        <v>0</v>
      </c>
      <c r="Y734" s="16">
        <f>IF(ISERROR(VLOOKUP($A734,'13. Updated Demand'!A:Z,16,FALSE)),0,VLOOKUP($A734,'13. Updated Demand'!A:Z,16,FALSE))</f>
        <v>0</v>
      </c>
      <c r="Z734" s="16">
        <f>IF(ISERROR(VLOOKUP($A734,'13. Updated Demand'!A:Z,17,FALSE)),0,VLOOKUP($A734,'13. Updated Demand'!A:Z,17,FALSE))</f>
        <v>0</v>
      </c>
      <c r="AA734" s="16">
        <f>IF(ISERROR(VLOOKUP($A734,'13. Updated Demand'!A:Z,18,FALSE)),0,VLOOKUP($A734,'13. Updated Demand'!A:Z,18,FALSE))</f>
        <v>0</v>
      </c>
      <c r="AB734" s="16">
        <f>IF(ISERROR(VLOOKUP($A734,'13. Updated Demand'!A:Z,19,FALSE)),0,VLOOKUP($A734,'13. Updated Demand'!A:Z,19,FALSE))</f>
        <v>0</v>
      </c>
      <c r="AC734" s="16">
        <f>IF(ISERROR(VLOOKUP($A734,'13. Updated Demand'!A:Z,20,FALSE)),0,VLOOKUP($A734,'13. Updated Demand'!A:Z,20,FALSE))</f>
        <v>0</v>
      </c>
      <c r="AD734" s="16">
        <f>IF(ISERROR(VLOOKUP($A734,'13. Updated Demand'!A:Z,21,FALSE)),0,VLOOKUP($A734,'13. Updated Demand'!A:Z,21,FALSE))</f>
        <v>0</v>
      </c>
      <c r="AE734" s="16">
        <f>IF(ISERROR(VLOOKUP($A734,'13. Updated Demand'!A:Z,22,FALSE)),0,VLOOKUP($A734,'13. Updated Demand'!A:Z,22,FALSE))</f>
        <v>0</v>
      </c>
      <c r="AF734" s="16">
        <f>IF(ISERROR(VLOOKUP($A734,'13. Updated Demand'!A:Z,23,FALSE)),0,VLOOKUP($A734,'13. Updated Demand'!A:Z,23,FALSE))</f>
        <v>0</v>
      </c>
      <c r="AG734" s="16">
        <f>IF(ISERROR(VLOOKUP($A734,'13. Updated Demand'!A:Z,24,FALSE)),0,VLOOKUP($A734,'13. Updated Demand'!A:Z,24,FALSE))</f>
        <v>0</v>
      </c>
      <c r="AH734" s="16">
        <f>IF(ISERROR(VLOOKUP($A734,'13. Updated Demand'!A:Z,25,FALSE)),0,VLOOKUP($A734,'13. Updated Demand'!A:Z,25,FALSE))</f>
        <v>0</v>
      </c>
      <c r="AI734" s="16">
        <f>IF(ISERROR(VLOOKUP($A734,'13. Updated Demand'!A:Z,26,FALSE)),0,VLOOKUP($A734,'13. Updated Demand'!A:Z,26,FALSE))</f>
        <v>0</v>
      </c>
      <c r="AJ734" s="16">
        <f t="shared" si="144"/>
        <v>0</v>
      </c>
      <c r="AK734" s="19">
        <v>0</v>
      </c>
      <c r="AL734" s="16">
        <f t="shared" si="142"/>
        <v>0</v>
      </c>
      <c r="AM734" s="17">
        <v>0</v>
      </c>
      <c r="AN734" s="19"/>
      <c r="AO734" s="19"/>
      <c r="AP734" s="19">
        <v>23.5</v>
      </c>
      <c r="AQ734" s="19" t="s">
        <v>307</v>
      </c>
      <c r="AR734" s="9" t="s">
        <v>348</v>
      </c>
      <c r="AS734" s="12">
        <v>0</v>
      </c>
      <c r="AT734" s="19">
        <v>39.318728620000002</v>
      </c>
      <c r="AU734" s="19">
        <v>-123.10678430999999</v>
      </c>
      <c r="AV734" s="19" t="s">
        <v>542</v>
      </c>
    </row>
    <row r="735" spans="1:48" x14ac:dyDescent="0.25">
      <c r="A735" s="18" t="s">
        <v>1124</v>
      </c>
      <c r="B735" s="10">
        <v>19721017</v>
      </c>
      <c r="C735" s="9">
        <v>2</v>
      </c>
      <c r="D735" s="8" t="str">
        <f t="shared" si="133"/>
        <v>N</v>
      </c>
      <c r="E735" s="8" t="str">
        <f t="shared" si="134"/>
        <v>N</v>
      </c>
      <c r="F735" s="8" t="str">
        <f t="shared" si="135"/>
        <v>Y</v>
      </c>
      <c r="G735" s="8" t="str">
        <f t="shared" si="136"/>
        <v>N</v>
      </c>
      <c r="H735" s="8" t="str">
        <f t="shared" si="137"/>
        <v>Upper</v>
      </c>
      <c r="I735" s="8" t="str">
        <f t="shared" si="138"/>
        <v>Outside</v>
      </c>
      <c r="J735" s="8" t="str">
        <f t="shared" si="139"/>
        <v>Outside</v>
      </c>
      <c r="K735" s="8" t="str">
        <f t="shared" si="140"/>
        <v>Post-1949</v>
      </c>
      <c r="L735" s="8">
        <f t="shared" si="141"/>
        <v>1972</v>
      </c>
      <c r="M735" s="8" t="str">
        <f t="shared" si="143"/>
        <v>1971-1990</v>
      </c>
      <c r="N735" s="10" t="s">
        <v>242</v>
      </c>
      <c r="O735" s="10" t="s">
        <v>241</v>
      </c>
      <c r="P735" s="10" t="s">
        <v>242</v>
      </c>
      <c r="Q735" s="10" t="s">
        <v>242</v>
      </c>
      <c r="R735" s="10" t="s">
        <v>241</v>
      </c>
      <c r="S735" s="10" t="s">
        <v>242</v>
      </c>
      <c r="T735" s="10" t="s">
        <v>242</v>
      </c>
      <c r="U735" s="10" t="s">
        <v>242</v>
      </c>
      <c r="V735" s="10" t="s">
        <v>242</v>
      </c>
      <c r="W735" s="10" t="s">
        <v>242</v>
      </c>
      <c r="X735" s="15">
        <f>IF(ISERROR(VLOOKUP($A735,'13. Updated Demand'!A:Z,15,FALSE)),0,VLOOKUP($A735,'13. Updated Demand'!A:Z,15,FALSE))</f>
        <v>0</v>
      </c>
      <c r="Y735" s="16">
        <f>IF(ISERROR(VLOOKUP($A735,'13. Updated Demand'!A:Z,16,FALSE)),0,VLOOKUP($A735,'13. Updated Demand'!A:Z,16,FALSE))</f>
        <v>0</v>
      </c>
      <c r="Z735" s="16">
        <f>IF(ISERROR(VLOOKUP($A735,'13. Updated Demand'!A:Z,17,FALSE)),0,VLOOKUP($A735,'13. Updated Demand'!A:Z,17,FALSE))</f>
        <v>4.16</v>
      </c>
      <c r="AA735" s="16">
        <f>IF(ISERROR(VLOOKUP($A735,'13. Updated Demand'!A:Z,18,FALSE)),0,VLOOKUP($A735,'13. Updated Demand'!A:Z,18,FALSE))</f>
        <v>3.83</v>
      </c>
      <c r="AB735" s="16">
        <f>IF(ISERROR(VLOOKUP($A735,'13. Updated Demand'!A:Z,19,FALSE)),0,VLOOKUP($A735,'13. Updated Demand'!A:Z,19,FALSE))</f>
        <v>6.6</v>
      </c>
      <c r="AC735" s="16">
        <f>IF(ISERROR(VLOOKUP($A735,'13. Updated Demand'!A:Z,20,FALSE)),0,VLOOKUP($A735,'13. Updated Demand'!A:Z,20,FALSE))</f>
        <v>21.16</v>
      </c>
      <c r="AD735" s="16">
        <f>IF(ISERROR(VLOOKUP($A735,'13. Updated Demand'!A:Z,21,FALSE)),0,VLOOKUP($A735,'13. Updated Demand'!A:Z,21,FALSE))</f>
        <v>22.51</v>
      </c>
      <c r="AE735" s="16">
        <f>IF(ISERROR(VLOOKUP($A735,'13. Updated Demand'!A:Z,22,FALSE)),0,VLOOKUP($A735,'13. Updated Demand'!A:Z,22,FALSE))</f>
        <v>14.27</v>
      </c>
      <c r="AF735" s="16">
        <f>IF(ISERROR(VLOOKUP($A735,'13. Updated Demand'!A:Z,23,FALSE)),0,VLOOKUP($A735,'13. Updated Demand'!A:Z,23,FALSE))</f>
        <v>10.81</v>
      </c>
      <c r="AG735" s="16">
        <f>IF(ISERROR(VLOOKUP($A735,'13. Updated Demand'!A:Z,24,FALSE)),0,VLOOKUP($A735,'13. Updated Demand'!A:Z,24,FALSE))</f>
        <v>17.3</v>
      </c>
      <c r="AH735" s="16">
        <f>IF(ISERROR(VLOOKUP($A735,'13. Updated Demand'!A:Z,25,FALSE)),0,VLOOKUP($A735,'13. Updated Demand'!A:Z,25,FALSE))</f>
        <v>0</v>
      </c>
      <c r="AI735" s="16">
        <f>IF(ISERROR(VLOOKUP($A735,'13. Updated Demand'!A:Z,26,FALSE)),0,VLOOKUP($A735,'13. Updated Demand'!A:Z,26,FALSE))</f>
        <v>0</v>
      </c>
      <c r="AJ735" s="16">
        <f t="shared" si="144"/>
        <v>100.64</v>
      </c>
      <c r="AK735" s="19">
        <v>75.363333339999997</v>
      </c>
      <c r="AL735" s="16">
        <f t="shared" si="142"/>
        <v>0.24997159199838642</v>
      </c>
      <c r="AM735" s="17">
        <v>0.58186897884393063</v>
      </c>
      <c r="AN735" s="19"/>
      <c r="AO735" s="19"/>
      <c r="AP735" s="19">
        <v>173</v>
      </c>
      <c r="AQ735" s="19" t="s">
        <v>307</v>
      </c>
      <c r="AR735" s="9" t="s">
        <v>348</v>
      </c>
      <c r="AS735" s="12">
        <v>0</v>
      </c>
      <c r="AT735" s="19">
        <v>39.359154420000003</v>
      </c>
      <c r="AU735" s="19">
        <v>-123.12899461000001</v>
      </c>
      <c r="AV735" s="19" t="s">
        <v>433</v>
      </c>
    </row>
    <row r="736" spans="1:48" x14ac:dyDescent="0.25">
      <c r="A736" s="18" t="s">
        <v>1125</v>
      </c>
      <c r="B736" s="10">
        <v>19721017</v>
      </c>
      <c r="C736" s="9">
        <v>2</v>
      </c>
      <c r="D736" s="8" t="str">
        <f t="shared" si="133"/>
        <v>N</v>
      </c>
      <c r="E736" s="8" t="str">
        <f t="shared" si="134"/>
        <v>N</v>
      </c>
      <c r="F736" s="8" t="str">
        <f t="shared" si="135"/>
        <v>Y</v>
      </c>
      <c r="G736" s="8" t="str">
        <f t="shared" si="136"/>
        <v>N</v>
      </c>
      <c r="H736" s="8" t="str">
        <f t="shared" si="137"/>
        <v>Upper</v>
      </c>
      <c r="I736" s="8" t="str">
        <f t="shared" si="138"/>
        <v>Outside</v>
      </c>
      <c r="J736" s="8" t="str">
        <f t="shared" si="139"/>
        <v>Outside</v>
      </c>
      <c r="K736" s="8" t="str">
        <f t="shared" si="140"/>
        <v>Post-1949</v>
      </c>
      <c r="L736" s="8">
        <f t="shared" si="141"/>
        <v>1972</v>
      </c>
      <c r="M736" s="8" t="str">
        <f t="shared" si="143"/>
        <v>1971-1990</v>
      </c>
      <c r="N736" s="10" t="s">
        <v>242</v>
      </c>
      <c r="O736" s="10" t="s">
        <v>241</v>
      </c>
      <c r="P736" s="10" t="s">
        <v>242</v>
      </c>
      <c r="Q736" s="10" t="s">
        <v>242</v>
      </c>
      <c r="R736" s="10" t="s">
        <v>241</v>
      </c>
      <c r="S736" s="10" t="s">
        <v>242</v>
      </c>
      <c r="T736" s="10" t="s">
        <v>242</v>
      </c>
      <c r="U736" s="10" t="s">
        <v>242</v>
      </c>
      <c r="V736" s="10" t="s">
        <v>242</v>
      </c>
      <c r="W736" s="10" t="s">
        <v>242</v>
      </c>
      <c r="X736" s="15">
        <f>IF(ISERROR(VLOOKUP($A736,'13. Updated Demand'!A:Z,15,FALSE)),0,VLOOKUP($A736,'13. Updated Demand'!A:Z,15,FALSE))</f>
        <v>0</v>
      </c>
      <c r="Y736" s="16">
        <f>IF(ISERROR(VLOOKUP($A736,'13. Updated Demand'!A:Z,16,FALSE)),0,VLOOKUP($A736,'13. Updated Demand'!A:Z,16,FALSE))</f>
        <v>0</v>
      </c>
      <c r="Z736" s="16">
        <f>IF(ISERROR(VLOOKUP($A736,'13. Updated Demand'!A:Z,17,FALSE)),0,VLOOKUP($A736,'13. Updated Demand'!A:Z,17,FALSE))</f>
        <v>8.16</v>
      </c>
      <c r="AA736" s="16">
        <f>IF(ISERROR(VLOOKUP($A736,'13. Updated Demand'!A:Z,18,FALSE)),0,VLOOKUP($A736,'13. Updated Demand'!A:Z,18,FALSE))</f>
        <v>5</v>
      </c>
      <c r="AB736" s="16">
        <f>IF(ISERROR(VLOOKUP($A736,'13. Updated Demand'!A:Z,19,FALSE)),0,VLOOKUP($A736,'13. Updated Demand'!A:Z,19,FALSE))</f>
        <v>5.76</v>
      </c>
      <c r="AC736" s="16">
        <f>IF(ISERROR(VLOOKUP($A736,'13. Updated Demand'!A:Z,20,FALSE)),0,VLOOKUP($A736,'13. Updated Demand'!A:Z,20,FALSE))</f>
        <v>8.83</v>
      </c>
      <c r="AD736" s="16">
        <f>IF(ISERROR(VLOOKUP($A736,'13. Updated Demand'!A:Z,21,FALSE)),0,VLOOKUP($A736,'13. Updated Demand'!A:Z,21,FALSE))</f>
        <v>14.34</v>
      </c>
      <c r="AE736" s="16">
        <f>IF(ISERROR(VLOOKUP($A736,'13. Updated Demand'!A:Z,22,FALSE)),0,VLOOKUP($A736,'13. Updated Demand'!A:Z,22,FALSE))</f>
        <v>3.64</v>
      </c>
      <c r="AF736" s="16">
        <f>IF(ISERROR(VLOOKUP($A736,'13. Updated Demand'!A:Z,23,FALSE)),0,VLOOKUP($A736,'13. Updated Demand'!A:Z,23,FALSE))</f>
        <v>3.51</v>
      </c>
      <c r="AG736" s="16">
        <f>IF(ISERROR(VLOOKUP($A736,'13. Updated Demand'!A:Z,24,FALSE)),0,VLOOKUP($A736,'13. Updated Demand'!A:Z,24,FALSE))</f>
        <v>13.46</v>
      </c>
      <c r="AH736" s="16">
        <f>IF(ISERROR(VLOOKUP($A736,'13. Updated Demand'!A:Z,25,FALSE)),0,VLOOKUP($A736,'13. Updated Demand'!A:Z,25,FALSE))</f>
        <v>0</v>
      </c>
      <c r="AI736" s="16">
        <f>IF(ISERROR(VLOOKUP($A736,'13. Updated Demand'!A:Z,26,FALSE)),0,VLOOKUP($A736,'13. Updated Demand'!A:Z,26,FALSE))</f>
        <v>0</v>
      </c>
      <c r="AJ736" s="16">
        <f t="shared" si="144"/>
        <v>62.7</v>
      </c>
      <c r="AK736" s="19">
        <v>36.09933333</v>
      </c>
      <c r="AL736" s="16">
        <f t="shared" si="142"/>
        <v>0.11973737655511872</v>
      </c>
      <c r="AM736" s="17">
        <v>0.27881185185333335</v>
      </c>
      <c r="AN736" s="19"/>
      <c r="AO736" s="19"/>
      <c r="AP736" s="19">
        <v>225</v>
      </c>
      <c r="AQ736" s="19" t="s">
        <v>307</v>
      </c>
      <c r="AR736" s="9" t="s">
        <v>348</v>
      </c>
      <c r="AS736" s="12">
        <v>0</v>
      </c>
      <c r="AT736" s="19">
        <v>39.359154420000003</v>
      </c>
      <c r="AU736" s="19">
        <v>-123.12899461000001</v>
      </c>
      <c r="AV736" s="19" t="s">
        <v>433</v>
      </c>
    </row>
    <row r="737" spans="1:48" x14ac:dyDescent="0.25">
      <c r="A737" s="18" t="s">
        <v>1126</v>
      </c>
      <c r="B737" s="10">
        <v>19720320</v>
      </c>
      <c r="C737" s="9">
        <v>23</v>
      </c>
      <c r="D737" s="8" t="str">
        <f t="shared" si="133"/>
        <v>N</v>
      </c>
      <c r="E737" s="8" t="str">
        <f t="shared" si="134"/>
        <v>N</v>
      </c>
      <c r="F737" s="8" t="str">
        <f t="shared" si="135"/>
        <v>N</v>
      </c>
      <c r="G737" s="8" t="str">
        <f t="shared" si="136"/>
        <v>N</v>
      </c>
      <c r="H737" s="8" t="str">
        <f t="shared" si="137"/>
        <v>Lower</v>
      </c>
      <c r="I737" s="8" t="str">
        <f t="shared" si="138"/>
        <v>Outside</v>
      </c>
      <c r="J737" s="8" t="str">
        <f t="shared" si="139"/>
        <v>Outside</v>
      </c>
      <c r="K737" s="8" t="str">
        <f t="shared" si="140"/>
        <v>Post-1949</v>
      </c>
      <c r="L737" s="8">
        <f t="shared" si="141"/>
        <v>1972</v>
      </c>
      <c r="M737" s="8" t="str">
        <f t="shared" si="143"/>
        <v>1971-1990</v>
      </c>
      <c r="N737" s="10" t="s">
        <v>242</v>
      </c>
      <c r="O737" s="10" t="s">
        <v>242</v>
      </c>
      <c r="P737" s="10" t="s">
        <v>242</v>
      </c>
      <c r="Q737" s="10" t="s">
        <v>242</v>
      </c>
      <c r="R737" s="10" t="s">
        <v>241</v>
      </c>
      <c r="S737" s="10" t="s">
        <v>242</v>
      </c>
      <c r="T737" s="10" t="s">
        <v>242</v>
      </c>
      <c r="U737" s="10" t="s">
        <v>242</v>
      </c>
      <c r="V737" s="10" t="s">
        <v>241</v>
      </c>
      <c r="W737" s="10" t="s">
        <v>242</v>
      </c>
      <c r="X737" s="15">
        <f>IF(ISERROR(VLOOKUP($A737,'13. Updated Demand'!A:Z,15,FALSE)),0,VLOOKUP($A737,'13. Updated Demand'!A:Z,15,FALSE))</f>
        <v>6</v>
      </c>
      <c r="Y737" s="16">
        <f>IF(ISERROR(VLOOKUP($A737,'13. Updated Demand'!A:Z,16,FALSE)),0,VLOOKUP($A737,'13. Updated Demand'!A:Z,16,FALSE))</f>
        <v>2.5</v>
      </c>
      <c r="Z737" s="16">
        <f>IF(ISERROR(VLOOKUP($A737,'13. Updated Demand'!A:Z,17,FALSE)),0,VLOOKUP($A737,'13. Updated Demand'!A:Z,17,FALSE))</f>
        <v>1.5</v>
      </c>
      <c r="AA737" s="16">
        <f>IF(ISERROR(VLOOKUP($A737,'13. Updated Demand'!A:Z,18,FALSE)),0,VLOOKUP($A737,'13. Updated Demand'!A:Z,18,FALSE))</f>
        <v>0</v>
      </c>
      <c r="AB737" s="16">
        <f>IF(ISERROR(VLOOKUP($A737,'13. Updated Demand'!A:Z,19,FALSE)),0,VLOOKUP($A737,'13. Updated Demand'!A:Z,19,FALSE))</f>
        <v>0</v>
      </c>
      <c r="AC737" s="16">
        <f>IF(ISERROR(VLOOKUP($A737,'13. Updated Demand'!A:Z,20,FALSE)),0,VLOOKUP($A737,'13. Updated Demand'!A:Z,20,FALSE))</f>
        <v>0</v>
      </c>
      <c r="AD737" s="16">
        <f>IF(ISERROR(VLOOKUP($A737,'13. Updated Demand'!A:Z,21,FALSE)),0,VLOOKUP($A737,'13. Updated Demand'!A:Z,21,FALSE))</f>
        <v>0</v>
      </c>
      <c r="AE737" s="16">
        <f>IF(ISERROR(VLOOKUP($A737,'13. Updated Demand'!A:Z,22,FALSE)),0,VLOOKUP($A737,'13. Updated Demand'!A:Z,22,FALSE))</f>
        <v>0</v>
      </c>
      <c r="AF737" s="16">
        <f>IF(ISERROR(VLOOKUP($A737,'13. Updated Demand'!A:Z,23,FALSE)),0,VLOOKUP($A737,'13. Updated Demand'!A:Z,23,FALSE))</f>
        <v>0</v>
      </c>
      <c r="AG737" s="16">
        <f>IF(ISERROR(VLOOKUP($A737,'13. Updated Demand'!A:Z,24,FALSE)),0,VLOOKUP($A737,'13. Updated Demand'!A:Z,24,FALSE))</f>
        <v>0</v>
      </c>
      <c r="AH737" s="16">
        <f>IF(ISERROR(VLOOKUP($A737,'13. Updated Demand'!A:Z,25,FALSE)),0,VLOOKUP($A737,'13. Updated Demand'!A:Z,25,FALSE))</f>
        <v>0.66666666699999999</v>
      </c>
      <c r="AI737" s="16">
        <f>IF(ISERROR(VLOOKUP($A737,'13. Updated Demand'!A:Z,26,FALSE)),0,VLOOKUP($A737,'13. Updated Demand'!A:Z,26,FALSE))</f>
        <v>2.3333333330000001</v>
      </c>
      <c r="AJ737" s="16">
        <f t="shared" si="144"/>
        <v>13</v>
      </c>
      <c r="AK737" s="19">
        <v>0</v>
      </c>
      <c r="AL737" s="16">
        <f t="shared" si="142"/>
        <v>0</v>
      </c>
      <c r="AM737" s="17">
        <v>1</v>
      </c>
      <c r="AN737" s="19"/>
      <c r="AO737" s="19"/>
      <c r="AP737" s="19">
        <v>13</v>
      </c>
      <c r="AQ737" s="19" t="s">
        <v>307</v>
      </c>
      <c r="AR737" s="9" t="s">
        <v>378</v>
      </c>
      <c r="AS737" s="12">
        <v>0</v>
      </c>
      <c r="AT737" s="19">
        <v>38.36627816</v>
      </c>
      <c r="AU737" s="19">
        <v>-122.60654909</v>
      </c>
      <c r="AV737" s="19" t="s">
        <v>417</v>
      </c>
    </row>
    <row r="738" spans="1:48" x14ac:dyDescent="0.25">
      <c r="A738" s="18" t="s">
        <v>1127</v>
      </c>
      <c r="B738" s="10">
        <v>19720331</v>
      </c>
      <c r="C738" s="9">
        <v>1</v>
      </c>
      <c r="D738" s="8" t="str">
        <f t="shared" si="133"/>
        <v>N</v>
      </c>
      <c r="E738" s="8" t="str">
        <f t="shared" si="134"/>
        <v>N</v>
      </c>
      <c r="F738" s="8" t="str">
        <f t="shared" si="135"/>
        <v>Y</v>
      </c>
      <c r="G738" s="8" t="str">
        <f t="shared" si="136"/>
        <v>Y</v>
      </c>
      <c r="H738" s="8" t="str">
        <f t="shared" si="137"/>
        <v>Upper</v>
      </c>
      <c r="I738" s="8" t="str">
        <f t="shared" si="138"/>
        <v>West Fork and Below Lake</v>
      </c>
      <c r="J738" s="8" t="str">
        <f t="shared" si="139"/>
        <v>Outside</v>
      </c>
      <c r="K738" s="8" t="str">
        <f t="shared" si="140"/>
        <v>Post-1949</v>
      </c>
      <c r="L738" s="8">
        <f t="shared" si="141"/>
        <v>1972</v>
      </c>
      <c r="M738" s="8" t="str">
        <f t="shared" si="143"/>
        <v>1971-1990</v>
      </c>
      <c r="N738" s="10" t="s">
        <v>242</v>
      </c>
      <c r="O738" s="10" t="s">
        <v>241</v>
      </c>
      <c r="P738" s="10" t="s">
        <v>242</v>
      </c>
      <c r="Q738" s="10" t="s">
        <v>242</v>
      </c>
      <c r="R738" s="10" t="s">
        <v>241</v>
      </c>
      <c r="S738" s="10" t="s">
        <v>242</v>
      </c>
      <c r="T738" s="10" t="s">
        <v>242</v>
      </c>
      <c r="U738" s="10" t="s">
        <v>242</v>
      </c>
      <c r="V738" s="10" t="s">
        <v>242</v>
      </c>
      <c r="W738" s="10" t="s">
        <v>242</v>
      </c>
      <c r="X738" s="15">
        <f>IF(ISERROR(VLOOKUP($A738,'13. Updated Demand'!A:Z,15,FALSE)),0,VLOOKUP($A738,'13. Updated Demand'!A:Z,15,FALSE))</f>
        <v>0</v>
      </c>
      <c r="Y738" s="16">
        <f>IF(ISERROR(VLOOKUP($A738,'13. Updated Demand'!A:Z,16,FALSE)),0,VLOOKUP($A738,'13. Updated Demand'!A:Z,16,FALSE))</f>
        <v>0</v>
      </c>
      <c r="Z738" s="16">
        <f>IF(ISERROR(VLOOKUP($A738,'13. Updated Demand'!A:Z,17,FALSE)),0,VLOOKUP($A738,'13. Updated Demand'!A:Z,17,FALSE))</f>
        <v>0.01</v>
      </c>
      <c r="AA738" s="16">
        <f>IF(ISERROR(VLOOKUP($A738,'13. Updated Demand'!A:Z,18,FALSE)),0,VLOOKUP($A738,'13. Updated Demand'!A:Z,18,FALSE))</f>
        <v>0.65</v>
      </c>
      <c r="AB738" s="16">
        <f>IF(ISERROR(VLOOKUP($A738,'13. Updated Demand'!A:Z,19,FALSE)),0,VLOOKUP($A738,'13. Updated Demand'!A:Z,19,FALSE))</f>
        <v>0.13</v>
      </c>
      <c r="AC738" s="16">
        <f>IF(ISERROR(VLOOKUP($A738,'13. Updated Demand'!A:Z,20,FALSE)),0,VLOOKUP($A738,'13. Updated Demand'!A:Z,20,FALSE))</f>
        <v>1.33</v>
      </c>
      <c r="AD738" s="16">
        <f>IF(ISERROR(VLOOKUP($A738,'13. Updated Demand'!A:Z,21,FALSE)),0,VLOOKUP($A738,'13. Updated Demand'!A:Z,21,FALSE))</f>
        <v>2.2200000000000002</v>
      </c>
      <c r="AE738" s="16">
        <f>IF(ISERROR(VLOOKUP($A738,'13. Updated Demand'!A:Z,22,FALSE)),0,VLOOKUP($A738,'13. Updated Demand'!A:Z,22,FALSE))</f>
        <v>1.85</v>
      </c>
      <c r="AF738" s="16">
        <f>IF(ISERROR(VLOOKUP($A738,'13. Updated Demand'!A:Z,23,FALSE)),0,VLOOKUP($A738,'13. Updated Demand'!A:Z,23,FALSE))</f>
        <v>0</v>
      </c>
      <c r="AG738" s="16">
        <f>IF(ISERROR(VLOOKUP($A738,'13. Updated Demand'!A:Z,24,FALSE)),0,VLOOKUP($A738,'13. Updated Demand'!A:Z,24,FALSE))</f>
        <v>0</v>
      </c>
      <c r="AH738" s="16">
        <f>IF(ISERROR(VLOOKUP($A738,'13. Updated Demand'!A:Z,25,FALSE)),0,VLOOKUP($A738,'13. Updated Demand'!A:Z,25,FALSE))</f>
        <v>0</v>
      </c>
      <c r="AI738" s="16">
        <f>IF(ISERROR(VLOOKUP($A738,'13. Updated Demand'!A:Z,26,FALSE)),0,VLOOKUP($A738,'13. Updated Demand'!A:Z,26,FALSE))</f>
        <v>0</v>
      </c>
      <c r="AJ738" s="16">
        <f t="shared" si="144"/>
        <v>6.1899999999999995</v>
      </c>
      <c r="AK738" s="19">
        <v>5.5400000000000009</v>
      </c>
      <c r="AL738" s="16">
        <f t="shared" si="142"/>
        <v>1.8375548934697124E-2</v>
      </c>
      <c r="AM738" s="17">
        <v>0.66028368787234037</v>
      </c>
      <c r="AN738" s="19"/>
      <c r="AO738" s="19"/>
      <c r="AP738" s="19">
        <v>9.4</v>
      </c>
      <c r="AQ738" s="19" t="s">
        <v>307</v>
      </c>
      <c r="AR738" s="9" t="s">
        <v>317</v>
      </c>
      <c r="AS738" s="12">
        <v>0</v>
      </c>
      <c r="AT738" s="19">
        <v>39.272100000000002</v>
      </c>
      <c r="AU738" s="19">
        <v>-123.17059999999999</v>
      </c>
      <c r="AV738" s="19" t="s">
        <v>417</v>
      </c>
    </row>
    <row r="739" spans="1:48" x14ac:dyDescent="0.25">
      <c r="A739" s="18" t="s">
        <v>1128</v>
      </c>
      <c r="B739" s="10">
        <v>19720331</v>
      </c>
      <c r="C739" s="9">
        <v>5</v>
      </c>
      <c r="D739" s="8" t="str">
        <f t="shared" si="133"/>
        <v>Y</v>
      </c>
      <c r="E739" s="8" t="str">
        <f t="shared" si="134"/>
        <v>N</v>
      </c>
      <c r="F739" s="8" t="str">
        <f t="shared" si="135"/>
        <v>Y</v>
      </c>
      <c r="G739" s="8" t="str">
        <f t="shared" si="136"/>
        <v>Y</v>
      </c>
      <c r="H739" s="8" t="str">
        <f t="shared" si="137"/>
        <v>Upper</v>
      </c>
      <c r="I739" s="8" t="str">
        <f t="shared" si="138"/>
        <v>West Fork and Below Lake</v>
      </c>
      <c r="J739" s="8" t="str">
        <f t="shared" si="139"/>
        <v>Mendocino (d/s of lake)</v>
      </c>
      <c r="K739" s="8" t="str">
        <f t="shared" si="140"/>
        <v>Post-1949</v>
      </c>
      <c r="L739" s="8">
        <f t="shared" si="141"/>
        <v>1972</v>
      </c>
      <c r="M739" s="8" t="str">
        <f t="shared" si="143"/>
        <v>1971-1990</v>
      </c>
      <c r="N739" s="10" t="s">
        <v>241</v>
      </c>
      <c r="O739" s="10" t="s">
        <v>241</v>
      </c>
      <c r="P739" s="10" t="s">
        <v>242</v>
      </c>
      <c r="Q739" s="10" t="s">
        <v>242</v>
      </c>
      <c r="R739" s="10" t="s">
        <v>241</v>
      </c>
      <c r="S739" s="10" t="s">
        <v>242</v>
      </c>
      <c r="T739" s="10" t="s">
        <v>242</v>
      </c>
      <c r="U739" s="10" t="s">
        <v>242</v>
      </c>
      <c r="V739" s="10" t="s">
        <v>242</v>
      </c>
      <c r="W739" s="10" t="s">
        <v>242</v>
      </c>
      <c r="X739" s="15">
        <f>IF(ISERROR(VLOOKUP($A739,'13. Updated Demand'!A:Z,15,FALSE)),0,VLOOKUP($A739,'13. Updated Demand'!A:Z,15,FALSE))</f>
        <v>0</v>
      </c>
      <c r="Y739" s="16">
        <f>IF(ISERROR(VLOOKUP($A739,'13. Updated Demand'!A:Z,16,FALSE)),0,VLOOKUP($A739,'13. Updated Demand'!A:Z,16,FALSE))</f>
        <v>0</v>
      </c>
      <c r="Z739" s="16">
        <f>IF(ISERROR(VLOOKUP($A739,'13. Updated Demand'!A:Z,17,FALSE)),0,VLOOKUP($A739,'13. Updated Demand'!A:Z,17,FALSE))</f>
        <v>0</v>
      </c>
      <c r="AA739" s="16">
        <f>IF(ISERROR(VLOOKUP($A739,'13. Updated Demand'!A:Z,18,FALSE)),0,VLOOKUP($A739,'13. Updated Demand'!A:Z,18,FALSE))</f>
        <v>0.52</v>
      </c>
      <c r="AB739" s="16">
        <f>IF(ISERROR(VLOOKUP($A739,'13. Updated Demand'!A:Z,19,FALSE)),0,VLOOKUP($A739,'13. Updated Demand'!A:Z,19,FALSE))</f>
        <v>1.1599999999999999</v>
      </c>
      <c r="AC739" s="16">
        <f>IF(ISERROR(VLOOKUP($A739,'13. Updated Demand'!A:Z,20,FALSE)),0,VLOOKUP($A739,'13. Updated Demand'!A:Z,20,FALSE))</f>
        <v>0</v>
      </c>
      <c r="AD739" s="16">
        <f>IF(ISERROR(VLOOKUP($A739,'13. Updated Demand'!A:Z,21,FALSE)),0,VLOOKUP($A739,'13. Updated Demand'!A:Z,21,FALSE))</f>
        <v>0</v>
      </c>
      <c r="AE739" s="16">
        <f>IF(ISERROR(VLOOKUP($A739,'13. Updated Demand'!A:Z,22,FALSE)),0,VLOOKUP($A739,'13. Updated Demand'!A:Z,22,FALSE))</f>
        <v>0</v>
      </c>
      <c r="AF739" s="16">
        <f>IF(ISERROR(VLOOKUP($A739,'13. Updated Demand'!A:Z,23,FALSE)),0,VLOOKUP($A739,'13. Updated Demand'!A:Z,23,FALSE))</f>
        <v>0</v>
      </c>
      <c r="AG739" s="16">
        <f>IF(ISERROR(VLOOKUP($A739,'13. Updated Demand'!A:Z,24,FALSE)),0,VLOOKUP($A739,'13. Updated Demand'!A:Z,24,FALSE))</f>
        <v>0</v>
      </c>
      <c r="AH739" s="16">
        <f>IF(ISERROR(VLOOKUP($A739,'13. Updated Demand'!A:Z,25,FALSE)),0,VLOOKUP($A739,'13. Updated Demand'!A:Z,25,FALSE))</f>
        <v>0</v>
      </c>
      <c r="AI739" s="16">
        <f>IF(ISERROR(VLOOKUP($A739,'13. Updated Demand'!A:Z,26,FALSE)),0,VLOOKUP($A739,'13. Updated Demand'!A:Z,26,FALSE))</f>
        <v>0</v>
      </c>
      <c r="AJ739" s="16">
        <f t="shared" si="144"/>
        <v>1.68</v>
      </c>
      <c r="AK739" s="19">
        <v>1.16333333333333</v>
      </c>
      <c r="AL739" s="16">
        <f t="shared" si="142"/>
        <v>3.8586441505470978E-3</v>
      </c>
      <c r="AM739" s="17">
        <v>3.2687338501291914E-2</v>
      </c>
      <c r="AN739" s="19"/>
      <c r="AO739" s="19"/>
      <c r="AP739" s="19">
        <v>51.6</v>
      </c>
      <c r="AQ739" s="19" t="s">
        <v>307</v>
      </c>
      <c r="AR739" s="9" t="s">
        <v>333</v>
      </c>
      <c r="AS739" s="12">
        <v>0</v>
      </c>
      <c r="AT739" s="19">
        <v>39.076900000000002</v>
      </c>
      <c r="AU739" s="19">
        <v>-123.1628</v>
      </c>
      <c r="AV739" s="19" t="s">
        <v>387</v>
      </c>
    </row>
    <row r="740" spans="1:48" x14ac:dyDescent="0.25">
      <c r="A740" s="18" t="s">
        <v>1129</v>
      </c>
      <c r="B740" s="10">
        <v>19720403</v>
      </c>
      <c r="C740" s="9">
        <v>5</v>
      </c>
      <c r="D740" s="8" t="str">
        <f t="shared" si="133"/>
        <v>Y</v>
      </c>
      <c r="E740" s="8" t="str">
        <f t="shared" si="134"/>
        <v>N</v>
      </c>
      <c r="F740" s="8" t="str">
        <f t="shared" si="135"/>
        <v>Y</v>
      </c>
      <c r="G740" s="8" t="str">
        <f t="shared" si="136"/>
        <v>Y</v>
      </c>
      <c r="H740" s="8" t="str">
        <f t="shared" si="137"/>
        <v>Upper</v>
      </c>
      <c r="I740" s="8" t="str">
        <f t="shared" si="138"/>
        <v>West Fork and Below Lake</v>
      </c>
      <c r="J740" s="8" t="str">
        <f t="shared" si="139"/>
        <v>Mendocino (d/s of lake)</v>
      </c>
      <c r="K740" s="8" t="str">
        <f t="shared" si="140"/>
        <v>Post-1949</v>
      </c>
      <c r="L740" s="8">
        <f t="shared" si="141"/>
        <v>1972</v>
      </c>
      <c r="M740" s="8" t="str">
        <f t="shared" si="143"/>
        <v>1971-1990</v>
      </c>
      <c r="N740" s="10" t="s">
        <v>241</v>
      </c>
      <c r="O740" s="10" t="s">
        <v>241</v>
      </c>
      <c r="P740" s="10" t="s">
        <v>242</v>
      </c>
      <c r="Q740" s="10" t="s">
        <v>242</v>
      </c>
      <c r="R740" s="10" t="s">
        <v>241</v>
      </c>
      <c r="S740" s="10" t="s">
        <v>242</v>
      </c>
      <c r="T740" s="10" t="s">
        <v>242</v>
      </c>
      <c r="U740" s="10" t="s">
        <v>242</v>
      </c>
      <c r="V740" s="10" t="s">
        <v>241</v>
      </c>
      <c r="W740" s="10" t="s">
        <v>242</v>
      </c>
      <c r="X740" s="15">
        <f>IF(ISERROR(VLOOKUP($A740,'13. Updated Demand'!A:Z,15,FALSE)),0,VLOOKUP($A740,'13. Updated Demand'!A:Z,15,FALSE))</f>
        <v>0</v>
      </c>
      <c r="Y740" s="16">
        <f>IF(ISERROR(VLOOKUP($A740,'13. Updated Demand'!A:Z,16,FALSE)),0,VLOOKUP($A740,'13. Updated Demand'!A:Z,16,FALSE))</f>
        <v>0</v>
      </c>
      <c r="Z740" s="16">
        <f>IF(ISERROR(VLOOKUP($A740,'13. Updated Demand'!A:Z,17,FALSE)),0,VLOOKUP($A740,'13. Updated Demand'!A:Z,17,FALSE))</f>
        <v>0.45</v>
      </c>
      <c r="AA740" s="16">
        <f>IF(ISERROR(VLOOKUP($A740,'13. Updated Demand'!A:Z,18,FALSE)),0,VLOOKUP($A740,'13. Updated Demand'!A:Z,18,FALSE))</f>
        <v>0</v>
      </c>
      <c r="AB740" s="16">
        <f>IF(ISERROR(VLOOKUP($A740,'13. Updated Demand'!A:Z,19,FALSE)),0,VLOOKUP($A740,'13. Updated Demand'!A:Z,19,FALSE))</f>
        <v>0</v>
      </c>
      <c r="AC740" s="16">
        <f>IF(ISERROR(VLOOKUP($A740,'13. Updated Demand'!A:Z,20,FALSE)),0,VLOOKUP($A740,'13. Updated Demand'!A:Z,20,FALSE))</f>
        <v>0</v>
      </c>
      <c r="AD740" s="16">
        <f>IF(ISERROR(VLOOKUP($A740,'13. Updated Demand'!A:Z,21,FALSE)),0,VLOOKUP($A740,'13. Updated Demand'!A:Z,21,FALSE))</f>
        <v>0</v>
      </c>
      <c r="AE740" s="16">
        <f>IF(ISERROR(VLOOKUP($A740,'13. Updated Demand'!A:Z,22,FALSE)),0,VLOOKUP($A740,'13. Updated Demand'!A:Z,22,FALSE))</f>
        <v>0</v>
      </c>
      <c r="AF740" s="16">
        <f>IF(ISERROR(VLOOKUP($A740,'13. Updated Demand'!A:Z,23,FALSE)),0,VLOOKUP($A740,'13. Updated Demand'!A:Z,23,FALSE))</f>
        <v>0</v>
      </c>
      <c r="AG740" s="16">
        <f>IF(ISERROR(VLOOKUP($A740,'13. Updated Demand'!A:Z,24,FALSE)),0,VLOOKUP($A740,'13. Updated Demand'!A:Z,24,FALSE))</f>
        <v>0</v>
      </c>
      <c r="AH740" s="16">
        <f>IF(ISERROR(VLOOKUP($A740,'13. Updated Demand'!A:Z,25,FALSE)),0,VLOOKUP($A740,'13. Updated Demand'!A:Z,25,FALSE))</f>
        <v>0</v>
      </c>
      <c r="AI740" s="16">
        <f>IF(ISERROR(VLOOKUP($A740,'13. Updated Demand'!A:Z,26,FALSE)),0,VLOOKUP($A740,'13. Updated Demand'!A:Z,26,FALSE))</f>
        <v>0</v>
      </c>
      <c r="AJ740" s="16">
        <f t="shared" si="144"/>
        <v>0.45</v>
      </c>
      <c r="AK740" s="19">
        <v>0</v>
      </c>
      <c r="AL740" s="16">
        <f t="shared" si="142"/>
        <v>0</v>
      </c>
      <c r="AM740" s="17">
        <v>2.4324324324324326E-2</v>
      </c>
      <c r="AN740" s="19"/>
      <c r="AO740" s="19"/>
      <c r="AP740" s="19">
        <v>18.5</v>
      </c>
      <c r="AQ740" s="19" t="s">
        <v>307</v>
      </c>
      <c r="AR740" s="9" t="s">
        <v>333</v>
      </c>
      <c r="AS740" s="12">
        <v>0</v>
      </c>
      <c r="AT740" s="19">
        <v>39.102828219999999</v>
      </c>
      <c r="AU740" s="19">
        <v>-123.17853524</v>
      </c>
      <c r="AV740" s="19" t="s">
        <v>548</v>
      </c>
    </row>
    <row r="741" spans="1:48" x14ac:dyDescent="0.25">
      <c r="A741" s="18" t="s">
        <v>1130</v>
      </c>
      <c r="B741" s="10">
        <v>19720404</v>
      </c>
      <c r="C741" s="9">
        <v>12</v>
      </c>
      <c r="D741" s="8" t="str">
        <f t="shared" si="133"/>
        <v>N</v>
      </c>
      <c r="E741" s="8" t="str">
        <f t="shared" si="134"/>
        <v>Y</v>
      </c>
      <c r="F741" s="8" t="str">
        <f t="shared" si="135"/>
        <v>Y</v>
      </c>
      <c r="G741" s="8" t="str">
        <f t="shared" si="136"/>
        <v>Y</v>
      </c>
      <c r="H741" s="8" t="str">
        <f t="shared" si="137"/>
        <v>Upper</v>
      </c>
      <c r="I741" s="8" t="str">
        <f t="shared" si="138"/>
        <v>West Fork and Below Lake</v>
      </c>
      <c r="J741" s="8" t="str">
        <f t="shared" si="139"/>
        <v>Sonoma (d/s of Clov. Gage)</v>
      </c>
      <c r="K741" s="8" t="str">
        <f t="shared" si="140"/>
        <v>Post-1949</v>
      </c>
      <c r="L741" s="8">
        <f t="shared" si="141"/>
        <v>1972</v>
      </c>
      <c r="M741" s="8" t="str">
        <f t="shared" si="143"/>
        <v>1971-1990</v>
      </c>
      <c r="N741" s="10" t="s">
        <v>242</v>
      </c>
      <c r="O741" s="10" t="s">
        <v>241</v>
      </c>
      <c r="P741" s="10" t="s">
        <v>242</v>
      </c>
      <c r="Q741" s="10" t="s">
        <v>242</v>
      </c>
      <c r="R741" s="10" t="s">
        <v>241</v>
      </c>
      <c r="S741" s="10" t="s">
        <v>242</v>
      </c>
      <c r="T741" s="10" t="s">
        <v>242</v>
      </c>
      <c r="U741" s="10" t="s">
        <v>242</v>
      </c>
      <c r="V741" s="10" t="s">
        <v>241</v>
      </c>
      <c r="W741" s="10" t="s">
        <v>242</v>
      </c>
      <c r="X741" s="15">
        <f>IF(ISERROR(VLOOKUP($A741,'13. Updated Demand'!A:Z,15,FALSE)),0,VLOOKUP($A741,'13. Updated Demand'!A:Z,15,FALSE))</f>
        <v>23</v>
      </c>
      <c r="Y741" s="16">
        <f>IF(ISERROR(VLOOKUP($A741,'13. Updated Demand'!A:Z,16,FALSE)),0,VLOOKUP($A741,'13. Updated Demand'!A:Z,16,FALSE))</f>
        <v>0</v>
      </c>
      <c r="Z741" s="16">
        <f>IF(ISERROR(VLOOKUP($A741,'13. Updated Demand'!A:Z,17,FALSE)),0,VLOOKUP($A741,'13. Updated Demand'!A:Z,17,FALSE))</f>
        <v>0</v>
      </c>
      <c r="AA741" s="16">
        <f>IF(ISERROR(VLOOKUP($A741,'13. Updated Demand'!A:Z,18,FALSE)),0,VLOOKUP($A741,'13. Updated Demand'!A:Z,18,FALSE))</f>
        <v>0</v>
      </c>
      <c r="AB741" s="16">
        <f>IF(ISERROR(VLOOKUP($A741,'13. Updated Demand'!A:Z,19,FALSE)),0,VLOOKUP($A741,'13. Updated Demand'!A:Z,19,FALSE))</f>
        <v>0</v>
      </c>
      <c r="AC741" s="16">
        <f>IF(ISERROR(VLOOKUP($A741,'13. Updated Demand'!A:Z,20,FALSE)),0,VLOOKUP($A741,'13. Updated Demand'!A:Z,20,FALSE))</f>
        <v>0</v>
      </c>
      <c r="AD741" s="16">
        <f>IF(ISERROR(VLOOKUP($A741,'13. Updated Demand'!A:Z,21,FALSE)),0,VLOOKUP($A741,'13. Updated Demand'!A:Z,21,FALSE))</f>
        <v>0</v>
      </c>
      <c r="AE741" s="16">
        <f>IF(ISERROR(VLOOKUP($A741,'13. Updated Demand'!A:Z,22,FALSE)),0,VLOOKUP($A741,'13. Updated Demand'!A:Z,22,FALSE))</f>
        <v>0</v>
      </c>
      <c r="AF741" s="16">
        <f>IF(ISERROR(VLOOKUP($A741,'13. Updated Demand'!A:Z,23,FALSE)),0,VLOOKUP($A741,'13. Updated Demand'!A:Z,23,FALSE))</f>
        <v>0</v>
      </c>
      <c r="AG741" s="16">
        <f>IF(ISERROR(VLOOKUP($A741,'13. Updated Demand'!A:Z,24,FALSE)),0,VLOOKUP($A741,'13. Updated Demand'!A:Z,24,FALSE))</f>
        <v>0</v>
      </c>
      <c r="AH741" s="16">
        <f>IF(ISERROR(VLOOKUP($A741,'13. Updated Demand'!A:Z,25,FALSE)),0,VLOOKUP($A741,'13. Updated Demand'!A:Z,25,FALSE))</f>
        <v>0</v>
      </c>
      <c r="AI741" s="16">
        <f>IF(ISERROR(VLOOKUP($A741,'13. Updated Demand'!A:Z,26,FALSE)),0,VLOOKUP($A741,'13. Updated Demand'!A:Z,26,FALSE))</f>
        <v>0</v>
      </c>
      <c r="AJ741" s="16">
        <f t="shared" si="144"/>
        <v>23</v>
      </c>
      <c r="AK741" s="19">
        <v>0</v>
      </c>
      <c r="AL741" s="16">
        <f t="shared" si="142"/>
        <v>0</v>
      </c>
      <c r="AM741" s="17">
        <v>1</v>
      </c>
      <c r="AN741" s="19"/>
      <c r="AO741" s="19"/>
      <c r="AP741" s="19">
        <v>23</v>
      </c>
      <c r="AQ741" s="19" t="s">
        <v>307</v>
      </c>
      <c r="AR741" s="9" t="s">
        <v>311</v>
      </c>
      <c r="AS741" s="12">
        <v>0</v>
      </c>
      <c r="AT741" s="19">
        <v>38.590503099999999</v>
      </c>
      <c r="AU741" s="19">
        <v>-122.67772807999999</v>
      </c>
      <c r="AV741" s="19" t="s">
        <v>417</v>
      </c>
    </row>
    <row r="742" spans="1:48" x14ac:dyDescent="0.25">
      <c r="A742" s="18" t="s">
        <v>1131</v>
      </c>
      <c r="B742" s="10">
        <v>19720410</v>
      </c>
      <c r="C742" s="9">
        <v>1</v>
      </c>
      <c r="D742" s="8" t="str">
        <f t="shared" si="133"/>
        <v>N</v>
      </c>
      <c r="E742" s="8" t="str">
        <f t="shared" si="134"/>
        <v>N</v>
      </c>
      <c r="F742" s="8" t="str">
        <f t="shared" si="135"/>
        <v>Y</v>
      </c>
      <c r="G742" s="8" t="str">
        <f t="shared" si="136"/>
        <v>Y</v>
      </c>
      <c r="H742" s="8" t="str">
        <f t="shared" si="137"/>
        <v>Upper</v>
      </c>
      <c r="I742" s="8" t="str">
        <f t="shared" si="138"/>
        <v>West Fork and Below Lake</v>
      </c>
      <c r="J742" s="8" t="str">
        <f t="shared" si="139"/>
        <v>Outside</v>
      </c>
      <c r="K742" s="8" t="str">
        <f t="shared" si="140"/>
        <v>Post-1949</v>
      </c>
      <c r="L742" s="8">
        <f t="shared" si="141"/>
        <v>1972</v>
      </c>
      <c r="M742" s="8" t="str">
        <f t="shared" si="143"/>
        <v>1971-1990</v>
      </c>
      <c r="N742" s="10" t="s">
        <v>242</v>
      </c>
      <c r="O742" s="10" t="s">
        <v>241</v>
      </c>
      <c r="P742" s="10" t="s">
        <v>242</v>
      </c>
      <c r="Q742" s="10" t="s">
        <v>242</v>
      </c>
      <c r="R742" s="10" t="s">
        <v>241</v>
      </c>
      <c r="S742" s="10" t="s">
        <v>242</v>
      </c>
      <c r="T742" s="10" t="s">
        <v>242</v>
      </c>
      <c r="U742" s="10" t="s">
        <v>241</v>
      </c>
      <c r="V742" s="10" t="s">
        <v>241</v>
      </c>
      <c r="W742" s="10" t="s">
        <v>242</v>
      </c>
      <c r="X742" s="15">
        <f>IF(ISERROR(VLOOKUP($A742,'13. Updated Demand'!A:Z,15,FALSE)),0,VLOOKUP($A742,'13. Updated Demand'!A:Z,15,FALSE))</f>
        <v>0</v>
      </c>
      <c r="Y742" s="16">
        <f>IF(ISERROR(VLOOKUP($A742,'13. Updated Demand'!A:Z,16,FALSE)),0,VLOOKUP($A742,'13. Updated Demand'!A:Z,16,FALSE))</f>
        <v>0</v>
      </c>
      <c r="Z742" s="16">
        <f>IF(ISERROR(VLOOKUP($A742,'13. Updated Demand'!A:Z,17,FALSE)),0,VLOOKUP($A742,'13. Updated Demand'!A:Z,17,FALSE))</f>
        <v>0</v>
      </c>
      <c r="AA742" s="16">
        <f>IF(ISERROR(VLOOKUP($A742,'13. Updated Demand'!A:Z,18,FALSE)),0,VLOOKUP($A742,'13. Updated Demand'!A:Z,18,FALSE))</f>
        <v>0</v>
      </c>
      <c r="AB742" s="16">
        <f>IF(ISERROR(VLOOKUP($A742,'13. Updated Demand'!A:Z,19,FALSE)),0,VLOOKUP($A742,'13. Updated Demand'!A:Z,19,FALSE))</f>
        <v>0</v>
      </c>
      <c r="AC742" s="16">
        <f>IF(ISERROR(VLOOKUP($A742,'13. Updated Demand'!A:Z,20,FALSE)),0,VLOOKUP($A742,'13. Updated Demand'!A:Z,20,FALSE))</f>
        <v>0</v>
      </c>
      <c r="AD742" s="16">
        <f>IF(ISERROR(VLOOKUP($A742,'13. Updated Demand'!A:Z,21,FALSE)),0,VLOOKUP($A742,'13. Updated Demand'!A:Z,21,FALSE))</f>
        <v>0</v>
      </c>
      <c r="AE742" s="16">
        <f>IF(ISERROR(VLOOKUP($A742,'13. Updated Demand'!A:Z,22,FALSE)),0,VLOOKUP($A742,'13. Updated Demand'!A:Z,22,FALSE))</f>
        <v>0</v>
      </c>
      <c r="AF742" s="16">
        <f>IF(ISERROR(VLOOKUP($A742,'13. Updated Demand'!A:Z,23,FALSE)),0,VLOOKUP($A742,'13. Updated Demand'!A:Z,23,FALSE))</f>
        <v>0</v>
      </c>
      <c r="AG742" s="16">
        <f>IF(ISERROR(VLOOKUP($A742,'13. Updated Demand'!A:Z,24,FALSE)),0,VLOOKUP($A742,'13. Updated Demand'!A:Z,24,FALSE))</f>
        <v>0</v>
      </c>
      <c r="AH742" s="16">
        <f>IF(ISERROR(VLOOKUP($A742,'13. Updated Demand'!A:Z,25,FALSE)),0,VLOOKUP($A742,'13. Updated Demand'!A:Z,25,FALSE))</f>
        <v>0</v>
      </c>
      <c r="AI742" s="16">
        <f>IF(ISERROR(VLOOKUP($A742,'13. Updated Demand'!A:Z,26,FALSE)),0,VLOOKUP($A742,'13. Updated Demand'!A:Z,26,FALSE))</f>
        <v>0</v>
      </c>
      <c r="AJ742" s="16">
        <f t="shared" si="144"/>
        <v>0</v>
      </c>
      <c r="AK742" s="19">
        <v>0</v>
      </c>
      <c r="AL742" s="16">
        <f t="shared" si="142"/>
        <v>0</v>
      </c>
      <c r="AM742" s="17">
        <v>0</v>
      </c>
      <c r="AN742" s="19"/>
      <c r="AO742" s="19"/>
      <c r="AP742" s="19">
        <v>23</v>
      </c>
      <c r="AQ742" s="19" t="s">
        <v>307</v>
      </c>
      <c r="AR742" s="9" t="s">
        <v>317</v>
      </c>
      <c r="AS742" s="12">
        <v>0</v>
      </c>
      <c r="AT742" s="19">
        <v>39.270055339999999</v>
      </c>
      <c r="AU742" s="19">
        <v>-123.19786956999999</v>
      </c>
      <c r="AV742" s="19" t="s">
        <v>417</v>
      </c>
    </row>
    <row r="743" spans="1:48" x14ac:dyDescent="0.25">
      <c r="A743" s="18" t="s">
        <v>1132</v>
      </c>
      <c r="B743" s="10">
        <v>19720412</v>
      </c>
      <c r="C743" s="9">
        <v>1</v>
      </c>
      <c r="D743" s="8" t="str">
        <f t="shared" si="133"/>
        <v>N</v>
      </c>
      <c r="E743" s="8" t="str">
        <f t="shared" si="134"/>
        <v>N</v>
      </c>
      <c r="F743" s="8" t="str">
        <f t="shared" si="135"/>
        <v>Y</v>
      </c>
      <c r="G743" s="8" t="str">
        <f t="shared" si="136"/>
        <v>Y</v>
      </c>
      <c r="H743" s="8" t="str">
        <f t="shared" si="137"/>
        <v>Upper</v>
      </c>
      <c r="I743" s="8" t="str">
        <f t="shared" si="138"/>
        <v>West Fork and Below Lake</v>
      </c>
      <c r="J743" s="8" t="str">
        <f t="shared" si="139"/>
        <v>Outside</v>
      </c>
      <c r="K743" s="8" t="str">
        <f t="shared" si="140"/>
        <v>Post-1949</v>
      </c>
      <c r="L743" s="8">
        <f t="shared" si="141"/>
        <v>1972</v>
      </c>
      <c r="M743" s="8" t="str">
        <f t="shared" si="143"/>
        <v>1971-1990</v>
      </c>
      <c r="N743" s="10" t="s">
        <v>242</v>
      </c>
      <c r="O743" s="10" t="s">
        <v>241</v>
      </c>
      <c r="P743" s="10" t="s">
        <v>242</v>
      </c>
      <c r="Q743" s="10" t="s">
        <v>242</v>
      </c>
      <c r="R743" s="10" t="s">
        <v>241</v>
      </c>
      <c r="S743" s="10" t="s">
        <v>242</v>
      </c>
      <c r="T743" s="10" t="s">
        <v>242</v>
      </c>
      <c r="U743" s="10" t="s">
        <v>242</v>
      </c>
      <c r="V743" s="10" t="s">
        <v>241</v>
      </c>
      <c r="W743" s="10" t="s">
        <v>242</v>
      </c>
      <c r="X743" s="15">
        <f>IF(ISERROR(VLOOKUP($A743,'13. Updated Demand'!A:Z,15,FALSE)),0,VLOOKUP($A743,'13. Updated Demand'!A:Z,15,FALSE))</f>
        <v>22.33</v>
      </c>
      <c r="Y743" s="16">
        <f>IF(ISERROR(VLOOKUP($A743,'13. Updated Demand'!A:Z,16,FALSE)),0,VLOOKUP($A743,'13. Updated Demand'!A:Z,16,FALSE))</f>
        <v>3.66</v>
      </c>
      <c r="Z743" s="16">
        <f>IF(ISERROR(VLOOKUP($A743,'13. Updated Demand'!A:Z,17,FALSE)),0,VLOOKUP($A743,'13. Updated Demand'!A:Z,17,FALSE))</f>
        <v>0</v>
      </c>
      <c r="AA743" s="16">
        <f>IF(ISERROR(VLOOKUP($A743,'13. Updated Demand'!A:Z,18,FALSE)),0,VLOOKUP($A743,'13. Updated Demand'!A:Z,18,FALSE))</f>
        <v>0</v>
      </c>
      <c r="AB743" s="16">
        <f>IF(ISERROR(VLOOKUP($A743,'13. Updated Demand'!A:Z,19,FALSE)),0,VLOOKUP($A743,'13. Updated Demand'!A:Z,19,FALSE))</f>
        <v>0</v>
      </c>
      <c r="AC743" s="16">
        <f>IF(ISERROR(VLOOKUP($A743,'13. Updated Demand'!A:Z,20,FALSE)),0,VLOOKUP($A743,'13. Updated Demand'!A:Z,20,FALSE))</f>
        <v>0</v>
      </c>
      <c r="AD743" s="16">
        <f>IF(ISERROR(VLOOKUP($A743,'13. Updated Demand'!A:Z,21,FALSE)),0,VLOOKUP($A743,'13. Updated Demand'!A:Z,21,FALSE))</f>
        <v>0</v>
      </c>
      <c r="AE743" s="16">
        <f>IF(ISERROR(VLOOKUP($A743,'13. Updated Demand'!A:Z,22,FALSE)),0,VLOOKUP($A743,'13. Updated Demand'!A:Z,22,FALSE))</f>
        <v>0</v>
      </c>
      <c r="AF743" s="16">
        <f>IF(ISERROR(VLOOKUP($A743,'13. Updated Demand'!A:Z,23,FALSE)),0,VLOOKUP($A743,'13. Updated Demand'!A:Z,23,FALSE))</f>
        <v>0</v>
      </c>
      <c r="AG743" s="16">
        <f>IF(ISERROR(VLOOKUP($A743,'13. Updated Demand'!A:Z,24,FALSE)),0,VLOOKUP($A743,'13. Updated Demand'!A:Z,24,FALSE))</f>
        <v>0</v>
      </c>
      <c r="AH743" s="16">
        <f>IF(ISERROR(VLOOKUP($A743,'13. Updated Demand'!A:Z,25,FALSE)),0,VLOOKUP($A743,'13. Updated Demand'!A:Z,25,FALSE))</f>
        <v>0</v>
      </c>
      <c r="AI743" s="16">
        <f>IF(ISERROR(VLOOKUP($A743,'13. Updated Demand'!A:Z,26,FALSE)),0,VLOOKUP($A743,'13. Updated Demand'!A:Z,26,FALSE))</f>
        <v>6</v>
      </c>
      <c r="AJ743" s="16">
        <f t="shared" si="144"/>
        <v>31.99</v>
      </c>
      <c r="AK743" s="19">
        <v>0</v>
      </c>
      <c r="AL743" s="16">
        <f t="shared" si="142"/>
        <v>0</v>
      </c>
      <c r="AM743" s="17">
        <v>0.82051282043589746</v>
      </c>
      <c r="AN743" s="19"/>
      <c r="AO743" s="19"/>
      <c r="AP743" s="19">
        <v>39</v>
      </c>
      <c r="AQ743" s="19" t="s">
        <v>307</v>
      </c>
      <c r="AR743" s="9" t="s">
        <v>317</v>
      </c>
      <c r="AS743" s="12">
        <v>3.4039024194010059E-4</v>
      </c>
      <c r="AT743" s="19">
        <v>39.217100000000002</v>
      </c>
      <c r="AU743" s="19">
        <v>-123.21599999999999</v>
      </c>
      <c r="AV743" s="19" t="s">
        <v>385</v>
      </c>
    </row>
    <row r="744" spans="1:48" x14ac:dyDescent="0.25">
      <c r="A744" s="18" t="s">
        <v>1133</v>
      </c>
      <c r="B744" s="10">
        <v>19720414</v>
      </c>
      <c r="C744" s="9">
        <v>1</v>
      </c>
      <c r="D744" s="8" t="str">
        <f t="shared" si="133"/>
        <v>N</v>
      </c>
      <c r="E744" s="8" t="str">
        <f t="shared" si="134"/>
        <v>N</v>
      </c>
      <c r="F744" s="8" t="str">
        <f t="shared" si="135"/>
        <v>Y</v>
      </c>
      <c r="G744" s="8" t="str">
        <f t="shared" si="136"/>
        <v>Y</v>
      </c>
      <c r="H744" s="8" t="str">
        <f t="shared" si="137"/>
        <v>Upper</v>
      </c>
      <c r="I744" s="8" t="str">
        <f t="shared" si="138"/>
        <v>West Fork and Below Lake</v>
      </c>
      <c r="J744" s="8" t="str">
        <f t="shared" si="139"/>
        <v>Outside</v>
      </c>
      <c r="K744" s="8" t="str">
        <f t="shared" si="140"/>
        <v>Post-1949</v>
      </c>
      <c r="L744" s="8">
        <f t="shared" si="141"/>
        <v>1972</v>
      </c>
      <c r="M744" s="8" t="str">
        <f t="shared" si="143"/>
        <v>1971-1990</v>
      </c>
      <c r="N744" s="10" t="s">
        <v>242</v>
      </c>
      <c r="O744" s="10" t="s">
        <v>241</v>
      </c>
      <c r="P744" s="10" t="s">
        <v>242</v>
      </c>
      <c r="Q744" s="10" t="s">
        <v>242</v>
      </c>
      <c r="R744" s="10" t="s">
        <v>241</v>
      </c>
      <c r="S744" s="10" t="s">
        <v>242</v>
      </c>
      <c r="T744" s="10" t="s">
        <v>242</v>
      </c>
      <c r="U744" s="10" t="s">
        <v>242</v>
      </c>
      <c r="V744" s="10" t="s">
        <v>241</v>
      </c>
      <c r="W744" s="10" t="s">
        <v>242</v>
      </c>
      <c r="X744" s="15">
        <f>IF(ISERROR(VLOOKUP($A744,'13. Updated Demand'!A:Z,15,FALSE)),0,VLOOKUP($A744,'13. Updated Demand'!A:Z,15,FALSE))</f>
        <v>3.65</v>
      </c>
      <c r="Y744" s="16">
        <f>IF(ISERROR(VLOOKUP($A744,'13. Updated Demand'!A:Z,16,FALSE)),0,VLOOKUP($A744,'13. Updated Demand'!A:Z,16,FALSE))</f>
        <v>4.62</v>
      </c>
      <c r="Z744" s="16">
        <f>IF(ISERROR(VLOOKUP($A744,'13. Updated Demand'!A:Z,17,FALSE)),0,VLOOKUP($A744,'13. Updated Demand'!A:Z,17,FALSE))</f>
        <v>2.15</v>
      </c>
      <c r="AA744" s="16">
        <f>IF(ISERROR(VLOOKUP($A744,'13. Updated Demand'!A:Z,18,FALSE)),0,VLOOKUP($A744,'13. Updated Demand'!A:Z,18,FALSE))</f>
        <v>1.46</v>
      </c>
      <c r="AB744" s="16">
        <f>IF(ISERROR(VLOOKUP($A744,'13. Updated Demand'!A:Z,19,FALSE)),0,VLOOKUP($A744,'13. Updated Demand'!A:Z,19,FALSE))</f>
        <v>0</v>
      </c>
      <c r="AC744" s="16">
        <f>IF(ISERROR(VLOOKUP($A744,'13. Updated Demand'!A:Z,20,FALSE)),0,VLOOKUP($A744,'13. Updated Demand'!A:Z,20,FALSE))</f>
        <v>0</v>
      </c>
      <c r="AD744" s="16">
        <f>IF(ISERROR(VLOOKUP($A744,'13. Updated Demand'!A:Z,21,FALSE)),0,VLOOKUP($A744,'13. Updated Demand'!A:Z,21,FALSE))</f>
        <v>0</v>
      </c>
      <c r="AE744" s="16">
        <f>IF(ISERROR(VLOOKUP($A744,'13. Updated Demand'!A:Z,22,FALSE)),0,VLOOKUP($A744,'13. Updated Demand'!A:Z,22,FALSE))</f>
        <v>0</v>
      </c>
      <c r="AF744" s="16">
        <f>IF(ISERROR(VLOOKUP($A744,'13. Updated Demand'!A:Z,23,FALSE)),0,VLOOKUP($A744,'13. Updated Demand'!A:Z,23,FALSE))</f>
        <v>0</v>
      </c>
      <c r="AG744" s="16">
        <f>IF(ISERROR(VLOOKUP($A744,'13. Updated Demand'!A:Z,24,FALSE)),0,VLOOKUP($A744,'13. Updated Demand'!A:Z,24,FALSE))</f>
        <v>0</v>
      </c>
      <c r="AH744" s="16">
        <f>IF(ISERROR(VLOOKUP($A744,'13. Updated Demand'!A:Z,25,FALSE)),0,VLOOKUP($A744,'13. Updated Demand'!A:Z,25,FALSE))</f>
        <v>0.49</v>
      </c>
      <c r="AI744" s="16">
        <f>IF(ISERROR(VLOOKUP($A744,'13. Updated Demand'!A:Z,26,FALSE)),0,VLOOKUP($A744,'13. Updated Demand'!A:Z,26,FALSE))</f>
        <v>0.46</v>
      </c>
      <c r="AJ744" s="16">
        <f t="shared" si="144"/>
        <v>12.83</v>
      </c>
      <c r="AK744" s="19">
        <v>0</v>
      </c>
      <c r="AL744" s="16">
        <f t="shared" si="142"/>
        <v>0</v>
      </c>
      <c r="AM744" s="17">
        <v>0.51400000000000001</v>
      </c>
      <c r="AN744" s="19"/>
      <c r="AO744" s="19"/>
      <c r="AP744" s="19">
        <v>25</v>
      </c>
      <c r="AQ744" s="19" t="s">
        <v>307</v>
      </c>
      <c r="AR744" s="9" t="s">
        <v>317</v>
      </c>
      <c r="AS744" s="12">
        <v>0</v>
      </c>
      <c r="AT744" s="19">
        <v>39.264105479999998</v>
      </c>
      <c r="AU744" s="19">
        <v>-123.18893783999999</v>
      </c>
      <c r="AV744" s="19" t="s">
        <v>417</v>
      </c>
    </row>
    <row r="745" spans="1:48" x14ac:dyDescent="0.25">
      <c r="A745" s="18" t="s">
        <v>1134</v>
      </c>
      <c r="B745" s="10">
        <v>19720419</v>
      </c>
      <c r="C745" s="9">
        <v>6</v>
      </c>
      <c r="D745" s="8" t="str">
        <f t="shared" si="133"/>
        <v>Y</v>
      </c>
      <c r="E745" s="8" t="str">
        <f t="shared" si="134"/>
        <v>N</v>
      </c>
      <c r="F745" s="8" t="str">
        <f t="shared" si="135"/>
        <v>Y</v>
      </c>
      <c r="G745" s="8" t="str">
        <f t="shared" si="136"/>
        <v>Y</v>
      </c>
      <c r="H745" s="8" t="str">
        <f t="shared" si="137"/>
        <v>Upper</v>
      </c>
      <c r="I745" s="8" t="str">
        <f t="shared" si="138"/>
        <v>West Fork and Below Lake</v>
      </c>
      <c r="J745" s="8" t="str">
        <f t="shared" si="139"/>
        <v>Mendocino (d/s of lake)</v>
      </c>
      <c r="K745" s="8" t="str">
        <f t="shared" si="140"/>
        <v>Post-1949</v>
      </c>
      <c r="L745" s="8">
        <f t="shared" si="141"/>
        <v>1972</v>
      </c>
      <c r="M745" s="8" t="str">
        <f t="shared" si="143"/>
        <v>1971-1990</v>
      </c>
      <c r="N745" s="10" t="s">
        <v>241</v>
      </c>
      <c r="O745" s="10" t="s">
        <v>241</v>
      </c>
      <c r="P745" s="10" t="s">
        <v>242</v>
      </c>
      <c r="Q745" s="10" t="s">
        <v>242</v>
      </c>
      <c r="R745" s="10" t="s">
        <v>241</v>
      </c>
      <c r="S745" s="10" t="s">
        <v>242</v>
      </c>
      <c r="T745" s="10" t="s">
        <v>242</v>
      </c>
      <c r="U745" s="10" t="s">
        <v>242</v>
      </c>
      <c r="V745" s="10" t="s">
        <v>241</v>
      </c>
      <c r="W745" s="10" t="s">
        <v>242</v>
      </c>
      <c r="X745" s="15">
        <f>IF(ISERROR(VLOOKUP($A745,'13. Updated Demand'!A:Z,15,FALSE)),0,VLOOKUP($A745,'13. Updated Demand'!A:Z,15,FALSE))</f>
        <v>0</v>
      </c>
      <c r="Y745" s="16">
        <f>IF(ISERROR(VLOOKUP($A745,'13. Updated Demand'!A:Z,16,FALSE)),0,VLOOKUP($A745,'13. Updated Demand'!A:Z,16,FALSE))</f>
        <v>0</v>
      </c>
      <c r="Z745" s="16">
        <f>IF(ISERROR(VLOOKUP($A745,'13. Updated Demand'!A:Z,17,FALSE)),0,VLOOKUP($A745,'13. Updated Demand'!A:Z,17,FALSE))</f>
        <v>0</v>
      </c>
      <c r="AA745" s="16">
        <f>IF(ISERROR(VLOOKUP($A745,'13. Updated Demand'!A:Z,18,FALSE)),0,VLOOKUP($A745,'13. Updated Demand'!A:Z,18,FALSE))</f>
        <v>7.0000000000000007E-2</v>
      </c>
      <c r="AB745" s="16">
        <f>IF(ISERROR(VLOOKUP($A745,'13. Updated Demand'!A:Z,19,FALSE)),0,VLOOKUP($A745,'13. Updated Demand'!A:Z,19,FALSE))</f>
        <v>0</v>
      </c>
      <c r="AC745" s="16">
        <f>IF(ISERROR(VLOOKUP($A745,'13. Updated Demand'!A:Z,20,FALSE)),0,VLOOKUP($A745,'13. Updated Demand'!A:Z,20,FALSE))</f>
        <v>0</v>
      </c>
      <c r="AD745" s="16">
        <f>IF(ISERROR(VLOOKUP($A745,'13. Updated Demand'!A:Z,21,FALSE)),0,VLOOKUP($A745,'13. Updated Demand'!A:Z,21,FALSE))</f>
        <v>0</v>
      </c>
      <c r="AE745" s="16">
        <f>IF(ISERROR(VLOOKUP($A745,'13. Updated Demand'!A:Z,22,FALSE)),0,VLOOKUP($A745,'13. Updated Demand'!A:Z,22,FALSE))</f>
        <v>0</v>
      </c>
      <c r="AF745" s="16">
        <f>IF(ISERROR(VLOOKUP($A745,'13. Updated Demand'!A:Z,23,FALSE)),0,VLOOKUP($A745,'13. Updated Demand'!A:Z,23,FALSE))</f>
        <v>0</v>
      </c>
      <c r="AG745" s="16">
        <f>IF(ISERROR(VLOOKUP($A745,'13. Updated Demand'!A:Z,24,FALSE)),0,VLOOKUP($A745,'13. Updated Demand'!A:Z,24,FALSE))</f>
        <v>0</v>
      </c>
      <c r="AH745" s="16">
        <f>IF(ISERROR(VLOOKUP($A745,'13. Updated Demand'!A:Z,25,FALSE)),0,VLOOKUP($A745,'13. Updated Demand'!A:Z,25,FALSE))</f>
        <v>0</v>
      </c>
      <c r="AI745" s="16">
        <f>IF(ISERROR(VLOOKUP($A745,'13. Updated Demand'!A:Z,26,FALSE)),0,VLOOKUP($A745,'13. Updated Demand'!A:Z,26,FALSE))</f>
        <v>0</v>
      </c>
      <c r="AJ745" s="16">
        <f t="shared" si="144"/>
        <v>7.0000000000000007E-2</v>
      </c>
      <c r="AK745" s="19">
        <v>0</v>
      </c>
      <c r="AL745" s="16">
        <f t="shared" si="142"/>
        <v>0</v>
      </c>
      <c r="AM745" s="17">
        <v>1.8181818181818184E-3</v>
      </c>
      <c r="AN745" s="19"/>
      <c r="AO745" s="19"/>
      <c r="AP745" s="19">
        <v>38.5</v>
      </c>
      <c r="AQ745" s="19" t="s">
        <v>307</v>
      </c>
      <c r="AR745" s="9" t="s">
        <v>319</v>
      </c>
      <c r="AS745" s="12">
        <v>0</v>
      </c>
      <c r="AT745" s="19">
        <v>39.021674830000002</v>
      </c>
      <c r="AU745" s="19">
        <v>-123.13013587</v>
      </c>
      <c r="AV745" s="19" t="s">
        <v>387</v>
      </c>
    </row>
    <row r="746" spans="1:48" x14ac:dyDescent="0.25">
      <c r="A746" s="18" t="s">
        <v>73</v>
      </c>
      <c r="B746" s="10">
        <v>19720424</v>
      </c>
      <c r="C746" s="9">
        <v>12</v>
      </c>
      <c r="D746" s="8" t="str">
        <f t="shared" si="133"/>
        <v>N</v>
      </c>
      <c r="E746" s="8" t="str">
        <f t="shared" si="134"/>
        <v>Y</v>
      </c>
      <c r="F746" s="8" t="str">
        <f t="shared" si="135"/>
        <v>Y</v>
      </c>
      <c r="G746" s="8" t="str">
        <f t="shared" si="136"/>
        <v>Y</v>
      </c>
      <c r="H746" s="8" t="str">
        <f t="shared" si="137"/>
        <v>Upper</v>
      </c>
      <c r="I746" s="8" t="str">
        <f t="shared" si="138"/>
        <v>West Fork and Below Lake</v>
      </c>
      <c r="J746" s="8" t="str">
        <f t="shared" si="139"/>
        <v>Sonoma (d/s of Clov. Gage)</v>
      </c>
      <c r="K746" s="8" t="str">
        <f t="shared" si="140"/>
        <v>Post-1949</v>
      </c>
      <c r="L746" s="8">
        <f t="shared" si="141"/>
        <v>1972</v>
      </c>
      <c r="M746" s="8" t="str">
        <f t="shared" si="143"/>
        <v>1971-1990</v>
      </c>
      <c r="N746" s="10" t="s">
        <v>241</v>
      </c>
      <c r="O746" s="10" t="s">
        <v>241</v>
      </c>
      <c r="P746" s="10" t="s">
        <v>242</v>
      </c>
      <c r="Q746" s="10" t="s">
        <v>242</v>
      </c>
      <c r="R746" s="10" t="s">
        <v>241</v>
      </c>
      <c r="S746" s="10" t="s">
        <v>242</v>
      </c>
      <c r="T746" s="10" t="s">
        <v>242</v>
      </c>
      <c r="U746" s="10" t="s">
        <v>242</v>
      </c>
      <c r="V746" s="10" t="s">
        <v>242</v>
      </c>
      <c r="W746" s="10" t="s">
        <v>242</v>
      </c>
      <c r="X746" s="15">
        <f>IF(ISERROR(VLOOKUP($A746,'13. Updated Demand'!A:Z,15,FALSE)),0,VLOOKUP($A746,'13. Updated Demand'!A:Z,15,FALSE))</f>
        <v>0</v>
      </c>
      <c r="Y746" s="16">
        <f>IF(ISERROR(VLOOKUP($A746,'13. Updated Demand'!A:Z,16,FALSE)),0,VLOOKUP($A746,'13. Updated Demand'!A:Z,16,FALSE))</f>
        <v>0</v>
      </c>
      <c r="Z746" s="16">
        <f>IF(ISERROR(VLOOKUP($A746,'13. Updated Demand'!A:Z,17,FALSE)),0,VLOOKUP($A746,'13. Updated Demand'!A:Z,17,FALSE))</f>
        <v>0</v>
      </c>
      <c r="AA746" s="16">
        <f>IF(ISERROR(VLOOKUP($A746,'13. Updated Demand'!A:Z,18,FALSE)),0,VLOOKUP($A746,'13. Updated Demand'!A:Z,18,FALSE))</f>
        <v>0</v>
      </c>
      <c r="AB746" s="16">
        <f>IF(ISERROR(VLOOKUP($A746,'13. Updated Demand'!A:Z,19,FALSE)),0,VLOOKUP($A746,'13. Updated Demand'!A:Z,19,FALSE))</f>
        <v>3.89</v>
      </c>
      <c r="AC746" s="16">
        <f>IF(ISERROR(VLOOKUP($A746,'13. Updated Demand'!A:Z,20,FALSE)),0,VLOOKUP($A746,'13. Updated Demand'!A:Z,20,FALSE))</f>
        <v>2.63</v>
      </c>
      <c r="AD746" s="16">
        <f>IF(ISERROR(VLOOKUP($A746,'13. Updated Demand'!A:Z,21,FALSE)),0,VLOOKUP($A746,'13. Updated Demand'!A:Z,21,FALSE))</f>
        <v>13.81</v>
      </c>
      <c r="AE746" s="16">
        <f>IF(ISERROR(VLOOKUP($A746,'13. Updated Demand'!A:Z,22,FALSE)),0,VLOOKUP($A746,'13. Updated Demand'!A:Z,22,FALSE))</f>
        <v>13.34</v>
      </c>
      <c r="AF746" s="16">
        <f>IF(ISERROR(VLOOKUP($A746,'13. Updated Demand'!A:Z,23,FALSE)),0,VLOOKUP($A746,'13. Updated Demand'!A:Z,23,FALSE))</f>
        <v>7.01</v>
      </c>
      <c r="AG746" s="16">
        <f>IF(ISERROR(VLOOKUP($A746,'13. Updated Demand'!A:Z,24,FALSE)),0,VLOOKUP($A746,'13. Updated Demand'!A:Z,24,FALSE))</f>
        <v>4.8499999999999996</v>
      </c>
      <c r="AH746" s="16">
        <f>IF(ISERROR(VLOOKUP($A746,'13. Updated Demand'!A:Z,25,FALSE)),0,VLOOKUP($A746,'13. Updated Demand'!A:Z,25,FALSE))</f>
        <v>11.24</v>
      </c>
      <c r="AI746" s="16">
        <f>IF(ISERROR(VLOOKUP($A746,'13. Updated Demand'!A:Z,26,FALSE)),0,VLOOKUP($A746,'13. Updated Demand'!A:Z,26,FALSE))</f>
        <v>0</v>
      </c>
      <c r="AJ746" s="16">
        <f t="shared" si="144"/>
        <v>56.77</v>
      </c>
      <c r="AK746" s="19">
        <v>40.689944666666698</v>
      </c>
      <c r="AL746" s="16">
        <f t="shared" si="142"/>
        <v>0.13496391143907074</v>
      </c>
      <c r="AM746" s="17">
        <v>0.72803843589743622</v>
      </c>
      <c r="AN746" s="19"/>
      <c r="AO746" s="19"/>
      <c r="AP746" s="19">
        <v>78</v>
      </c>
      <c r="AQ746" s="19" t="s">
        <v>307</v>
      </c>
      <c r="AR746" s="9" t="s">
        <v>311</v>
      </c>
      <c r="AS746" s="12">
        <v>0</v>
      </c>
      <c r="AT746" s="19">
        <v>38.606192669999999</v>
      </c>
      <c r="AU746" s="19">
        <v>-122.78111488</v>
      </c>
      <c r="AV746" s="19" t="s">
        <v>417</v>
      </c>
    </row>
    <row r="747" spans="1:48" x14ac:dyDescent="0.25">
      <c r="A747" s="18" t="s">
        <v>1135</v>
      </c>
      <c r="B747" s="10">
        <v>19720427</v>
      </c>
      <c r="C747" s="9">
        <v>5</v>
      </c>
      <c r="D747" s="8" t="str">
        <f t="shared" si="133"/>
        <v>Y</v>
      </c>
      <c r="E747" s="8" t="str">
        <f t="shared" si="134"/>
        <v>N</v>
      </c>
      <c r="F747" s="8" t="str">
        <f t="shared" si="135"/>
        <v>Y</v>
      </c>
      <c r="G747" s="8" t="str">
        <f t="shared" si="136"/>
        <v>Y</v>
      </c>
      <c r="H747" s="8" t="str">
        <f t="shared" si="137"/>
        <v>Upper</v>
      </c>
      <c r="I747" s="8" t="str">
        <f t="shared" si="138"/>
        <v>West Fork and Below Lake</v>
      </c>
      <c r="J747" s="8" t="str">
        <f t="shared" si="139"/>
        <v>Mendocino (d/s of lake)</v>
      </c>
      <c r="K747" s="8" t="str">
        <f t="shared" si="140"/>
        <v>Post-1949</v>
      </c>
      <c r="L747" s="8">
        <f t="shared" si="141"/>
        <v>1972</v>
      </c>
      <c r="M747" s="8" t="str">
        <f t="shared" si="143"/>
        <v>1971-1990</v>
      </c>
      <c r="N747" s="10" t="s">
        <v>242</v>
      </c>
      <c r="O747" s="10" t="s">
        <v>241</v>
      </c>
      <c r="P747" s="10" t="s">
        <v>242</v>
      </c>
      <c r="Q747" s="10" t="s">
        <v>242</v>
      </c>
      <c r="R747" s="10" t="s">
        <v>241</v>
      </c>
      <c r="S747" s="10" t="s">
        <v>242</v>
      </c>
      <c r="T747" s="10" t="s">
        <v>242</v>
      </c>
      <c r="U747" s="10" t="s">
        <v>242</v>
      </c>
      <c r="V747" s="10" t="s">
        <v>241</v>
      </c>
      <c r="W747" s="10" t="s">
        <v>242</v>
      </c>
      <c r="X747" s="15">
        <f>IF(ISERROR(VLOOKUP($A747,'13. Updated Demand'!A:Z,15,FALSE)),0,VLOOKUP($A747,'13. Updated Demand'!A:Z,15,FALSE))</f>
        <v>2.08</v>
      </c>
      <c r="Y747" s="16">
        <f>IF(ISERROR(VLOOKUP($A747,'13. Updated Demand'!A:Z,16,FALSE)),0,VLOOKUP($A747,'13. Updated Demand'!A:Z,16,FALSE))</f>
        <v>0</v>
      </c>
      <c r="Z747" s="16">
        <f>IF(ISERROR(VLOOKUP($A747,'13. Updated Demand'!A:Z,17,FALSE)),0,VLOOKUP($A747,'13. Updated Demand'!A:Z,17,FALSE))</f>
        <v>0</v>
      </c>
      <c r="AA747" s="16">
        <f>IF(ISERROR(VLOOKUP($A747,'13. Updated Demand'!A:Z,18,FALSE)),0,VLOOKUP($A747,'13. Updated Demand'!A:Z,18,FALSE))</f>
        <v>0</v>
      </c>
      <c r="AB747" s="16">
        <f>IF(ISERROR(VLOOKUP($A747,'13. Updated Demand'!A:Z,19,FALSE)),0,VLOOKUP($A747,'13. Updated Demand'!A:Z,19,FALSE))</f>
        <v>0</v>
      </c>
      <c r="AC747" s="16">
        <f>IF(ISERROR(VLOOKUP($A747,'13. Updated Demand'!A:Z,20,FALSE)),0,VLOOKUP($A747,'13. Updated Demand'!A:Z,20,FALSE))</f>
        <v>0</v>
      </c>
      <c r="AD747" s="16">
        <f>IF(ISERROR(VLOOKUP($A747,'13. Updated Demand'!A:Z,21,FALSE)),0,VLOOKUP($A747,'13. Updated Demand'!A:Z,21,FALSE))</f>
        <v>0</v>
      </c>
      <c r="AE747" s="16">
        <f>IF(ISERROR(VLOOKUP($A747,'13. Updated Demand'!A:Z,22,FALSE)),0,VLOOKUP($A747,'13. Updated Demand'!A:Z,22,FALSE))</f>
        <v>0</v>
      </c>
      <c r="AF747" s="16">
        <f>IF(ISERROR(VLOOKUP($A747,'13. Updated Demand'!A:Z,23,FALSE)),0,VLOOKUP($A747,'13. Updated Demand'!A:Z,23,FALSE))</f>
        <v>0</v>
      </c>
      <c r="AG747" s="16">
        <f>IF(ISERROR(VLOOKUP($A747,'13. Updated Demand'!A:Z,24,FALSE)),0,VLOOKUP($A747,'13. Updated Demand'!A:Z,24,FALSE))</f>
        <v>0</v>
      </c>
      <c r="AH747" s="16">
        <f>IF(ISERROR(VLOOKUP($A747,'13. Updated Demand'!A:Z,25,FALSE)),0,VLOOKUP($A747,'13. Updated Demand'!A:Z,25,FALSE))</f>
        <v>1.33</v>
      </c>
      <c r="AI747" s="16">
        <f>IF(ISERROR(VLOOKUP($A747,'13. Updated Demand'!A:Z,26,FALSE)),0,VLOOKUP($A747,'13. Updated Demand'!A:Z,26,FALSE))</f>
        <v>2.04</v>
      </c>
      <c r="AJ747" s="16">
        <f t="shared" si="144"/>
        <v>5.45</v>
      </c>
      <c r="AK747" s="19">
        <v>0</v>
      </c>
      <c r="AL747" s="16">
        <f t="shared" si="142"/>
        <v>0</v>
      </c>
      <c r="AM747" s="17">
        <v>0.41414141416666672</v>
      </c>
      <c r="AN747" s="19"/>
      <c r="AO747" s="19"/>
      <c r="AP747" s="19">
        <v>13.2</v>
      </c>
      <c r="AQ747" s="19" t="s">
        <v>307</v>
      </c>
      <c r="AR747" s="9" t="s">
        <v>333</v>
      </c>
      <c r="AS747" s="12">
        <v>0</v>
      </c>
      <c r="AT747" s="19">
        <v>39.122437050000002</v>
      </c>
      <c r="AU747" s="19">
        <v>-123.1595923</v>
      </c>
      <c r="AV747" s="19" t="s">
        <v>417</v>
      </c>
    </row>
    <row r="748" spans="1:48" x14ac:dyDescent="0.25">
      <c r="A748" s="18" t="s">
        <v>1136</v>
      </c>
      <c r="B748" s="10">
        <v>19720501</v>
      </c>
      <c r="C748" s="9">
        <v>1</v>
      </c>
      <c r="D748" s="8" t="str">
        <f t="shared" si="133"/>
        <v>N</v>
      </c>
      <c r="E748" s="8" t="str">
        <f t="shared" si="134"/>
        <v>N</v>
      </c>
      <c r="F748" s="8" t="str">
        <f t="shared" si="135"/>
        <v>Y</v>
      </c>
      <c r="G748" s="8" t="str">
        <f t="shared" si="136"/>
        <v>Y</v>
      </c>
      <c r="H748" s="8" t="str">
        <f t="shared" si="137"/>
        <v>Upper</v>
      </c>
      <c r="I748" s="8" t="str">
        <f t="shared" si="138"/>
        <v>West Fork and Below Lake</v>
      </c>
      <c r="J748" s="8" t="str">
        <f t="shared" si="139"/>
        <v>Outside</v>
      </c>
      <c r="K748" s="8" t="str">
        <f t="shared" si="140"/>
        <v>Post-1949</v>
      </c>
      <c r="L748" s="8">
        <f t="shared" si="141"/>
        <v>1972</v>
      </c>
      <c r="M748" s="8" t="str">
        <f t="shared" si="143"/>
        <v>1971-1990</v>
      </c>
      <c r="N748" s="10" t="s">
        <v>242</v>
      </c>
      <c r="O748" s="10" t="s">
        <v>241</v>
      </c>
      <c r="P748" s="10" t="s">
        <v>242</v>
      </c>
      <c r="Q748" s="10" t="s">
        <v>242</v>
      </c>
      <c r="R748" s="10" t="s">
        <v>241</v>
      </c>
      <c r="S748" s="10" t="s">
        <v>242</v>
      </c>
      <c r="T748" s="10" t="s">
        <v>242</v>
      </c>
      <c r="U748" s="10" t="s">
        <v>242</v>
      </c>
      <c r="V748" s="10" t="s">
        <v>242</v>
      </c>
      <c r="W748" s="10" t="s">
        <v>242</v>
      </c>
      <c r="X748" s="15">
        <f>IF(ISERROR(VLOOKUP($A748,'13. Updated Demand'!A:Z,15,FALSE)),0,VLOOKUP($A748,'13. Updated Demand'!A:Z,15,FALSE))</f>
        <v>10.33</v>
      </c>
      <c r="Y748" s="16">
        <f>IF(ISERROR(VLOOKUP($A748,'13. Updated Demand'!A:Z,16,FALSE)),0,VLOOKUP($A748,'13. Updated Demand'!A:Z,16,FALSE))</f>
        <v>10.33</v>
      </c>
      <c r="Z748" s="16">
        <f>IF(ISERROR(VLOOKUP($A748,'13. Updated Demand'!A:Z,17,FALSE)),0,VLOOKUP($A748,'13. Updated Demand'!A:Z,17,FALSE))</f>
        <v>9</v>
      </c>
      <c r="AA748" s="16">
        <f>IF(ISERROR(VLOOKUP($A748,'13. Updated Demand'!A:Z,18,FALSE)),0,VLOOKUP($A748,'13. Updated Demand'!A:Z,18,FALSE))</f>
        <v>6</v>
      </c>
      <c r="AB748" s="16">
        <f>IF(ISERROR(VLOOKUP($A748,'13. Updated Demand'!A:Z,19,FALSE)),0,VLOOKUP($A748,'13. Updated Demand'!A:Z,19,FALSE))</f>
        <v>3.33</v>
      </c>
      <c r="AC748" s="16">
        <f>IF(ISERROR(VLOOKUP($A748,'13. Updated Demand'!A:Z,20,FALSE)),0,VLOOKUP($A748,'13. Updated Demand'!A:Z,20,FALSE))</f>
        <v>0</v>
      </c>
      <c r="AD748" s="16">
        <f>IF(ISERROR(VLOOKUP($A748,'13. Updated Demand'!A:Z,21,FALSE)),0,VLOOKUP($A748,'13. Updated Demand'!A:Z,21,FALSE))</f>
        <v>0</v>
      </c>
      <c r="AE748" s="16">
        <f>IF(ISERROR(VLOOKUP($A748,'13. Updated Demand'!A:Z,22,FALSE)),0,VLOOKUP($A748,'13. Updated Demand'!A:Z,22,FALSE))</f>
        <v>0</v>
      </c>
      <c r="AF748" s="16">
        <f>IF(ISERROR(VLOOKUP($A748,'13. Updated Demand'!A:Z,23,FALSE)),0,VLOOKUP($A748,'13. Updated Demand'!A:Z,23,FALSE))</f>
        <v>0</v>
      </c>
      <c r="AG748" s="16">
        <f>IF(ISERROR(VLOOKUP($A748,'13. Updated Demand'!A:Z,24,FALSE)),0,VLOOKUP($A748,'13. Updated Demand'!A:Z,24,FALSE))</f>
        <v>0</v>
      </c>
      <c r="AH748" s="16">
        <f>IF(ISERROR(VLOOKUP($A748,'13. Updated Demand'!A:Z,25,FALSE)),0,VLOOKUP($A748,'13. Updated Demand'!A:Z,25,FALSE))</f>
        <v>0</v>
      </c>
      <c r="AI748" s="16">
        <f>IF(ISERROR(VLOOKUP($A748,'13. Updated Demand'!A:Z,26,FALSE)),0,VLOOKUP($A748,'13. Updated Demand'!A:Z,26,FALSE))</f>
        <v>0</v>
      </c>
      <c r="AJ748" s="16">
        <f t="shared" si="144"/>
        <v>38.989999999999995</v>
      </c>
      <c r="AK748" s="19">
        <v>3.3333333330000001</v>
      </c>
      <c r="AL748" s="16">
        <f t="shared" si="142"/>
        <v>1.1056286963212734E-2</v>
      </c>
      <c r="AM748" s="17">
        <v>0.97499999982500007</v>
      </c>
      <c r="AN748" s="19"/>
      <c r="AO748" s="19"/>
      <c r="AP748" s="19">
        <v>40</v>
      </c>
      <c r="AQ748" s="19" t="s">
        <v>307</v>
      </c>
      <c r="AR748" s="9" t="s">
        <v>317</v>
      </c>
      <c r="AS748" s="12">
        <v>0</v>
      </c>
      <c r="AT748" s="19">
        <v>39.276773409999997</v>
      </c>
      <c r="AU748" s="19">
        <v>-123.21211542</v>
      </c>
      <c r="AV748" s="19" t="s">
        <v>417</v>
      </c>
    </row>
    <row r="749" spans="1:48" x14ac:dyDescent="0.25">
      <c r="A749" s="18" t="s">
        <v>1137</v>
      </c>
      <c r="B749" s="10">
        <v>19720623</v>
      </c>
      <c r="C749" s="9">
        <v>12</v>
      </c>
      <c r="D749" s="8" t="str">
        <f t="shared" si="133"/>
        <v>N</v>
      </c>
      <c r="E749" s="8" t="str">
        <f t="shared" si="134"/>
        <v>Y</v>
      </c>
      <c r="F749" s="8" t="str">
        <f t="shared" si="135"/>
        <v>Y</v>
      </c>
      <c r="G749" s="8" t="str">
        <f t="shared" si="136"/>
        <v>Y</v>
      </c>
      <c r="H749" s="8" t="str">
        <f t="shared" si="137"/>
        <v>Upper</v>
      </c>
      <c r="I749" s="8" t="str">
        <f t="shared" si="138"/>
        <v>West Fork and Below Lake</v>
      </c>
      <c r="J749" s="8" t="str">
        <f t="shared" si="139"/>
        <v>Sonoma (d/s of Clov. Gage)</v>
      </c>
      <c r="K749" s="8" t="str">
        <f t="shared" si="140"/>
        <v>Post-1949</v>
      </c>
      <c r="L749" s="8">
        <f t="shared" si="141"/>
        <v>1972</v>
      </c>
      <c r="M749" s="8" t="str">
        <f t="shared" si="143"/>
        <v>1971-1990</v>
      </c>
      <c r="N749" s="10" t="s">
        <v>241</v>
      </c>
      <c r="O749" s="10" t="s">
        <v>241</v>
      </c>
      <c r="P749" s="10" t="s">
        <v>242</v>
      </c>
      <c r="Q749" s="10" t="s">
        <v>242</v>
      </c>
      <c r="R749" s="10" t="s">
        <v>241</v>
      </c>
      <c r="S749" s="10" t="s">
        <v>242</v>
      </c>
      <c r="T749" s="10" t="s">
        <v>242</v>
      </c>
      <c r="U749" s="10" t="s">
        <v>242</v>
      </c>
      <c r="V749" s="10" t="s">
        <v>242</v>
      </c>
      <c r="W749" s="10" t="s">
        <v>242</v>
      </c>
      <c r="X749" s="15">
        <f>IF(ISERROR(VLOOKUP($A749,'13. Updated Demand'!A:Z,15,FALSE)),0,VLOOKUP($A749,'13. Updated Demand'!A:Z,15,FALSE))</f>
        <v>0</v>
      </c>
      <c r="Y749" s="16">
        <f>IF(ISERROR(VLOOKUP($A749,'13. Updated Demand'!A:Z,16,FALSE)),0,VLOOKUP($A749,'13. Updated Demand'!A:Z,16,FALSE))</f>
        <v>0.17</v>
      </c>
      <c r="Z749" s="16">
        <f>IF(ISERROR(VLOOKUP($A749,'13. Updated Demand'!A:Z,17,FALSE)),0,VLOOKUP($A749,'13. Updated Demand'!A:Z,17,FALSE))</f>
        <v>0.39</v>
      </c>
      <c r="AA749" s="16">
        <f>IF(ISERROR(VLOOKUP($A749,'13. Updated Demand'!A:Z,18,FALSE)),0,VLOOKUP($A749,'13. Updated Demand'!A:Z,18,FALSE))</f>
        <v>0.24</v>
      </c>
      <c r="AB749" s="16">
        <f>IF(ISERROR(VLOOKUP($A749,'13. Updated Demand'!A:Z,19,FALSE)),0,VLOOKUP($A749,'13. Updated Demand'!A:Z,19,FALSE))</f>
        <v>0.02</v>
      </c>
      <c r="AC749" s="16">
        <f>IF(ISERROR(VLOOKUP($A749,'13. Updated Demand'!A:Z,20,FALSE)),0,VLOOKUP($A749,'13. Updated Demand'!A:Z,20,FALSE))</f>
        <v>0.05</v>
      </c>
      <c r="AD749" s="16">
        <f>IF(ISERROR(VLOOKUP($A749,'13. Updated Demand'!A:Z,21,FALSE)),0,VLOOKUP($A749,'13. Updated Demand'!A:Z,21,FALSE))</f>
        <v>0.16</v>
      </c>
      <c r="AE749" s="16">
        <f>IF(ISERROR(VLOOKUP($A749,'13. Updated Demand'!A:Z,22,FALSE)),0,VLOOKUP($A749,'13. Updated Demand'!A:Z,22,FALSE))</f>
        <v>0.24</v>
      </c>
      <c r="AF749" s="16">
        <f>IF(ISERROR(VLOOKUP($A749,'13. Updated Demand'!A:Z,23,FALSE)),0,VLOOKUP($A749,'13. Updated Demand'!A:Z,23,FALSE))</f>
        <v>0.31</v>
      </c>
      <c r="AG749" s="16">
        <f>IF(ISERROR(VLOOKUP($A749,'13. Updated Demand'!A:Z,24,FALSE)),0,VLOOKUP($A749,'13. Updated Demand'!A:Z,24,FALSE))</f>
        <v>0.09</v>
      </c>
      <c r="AH749" s="16">
        <f>IF(ISERROR(VLOOKUP($A749,'13. Updated Demand'!A:Z,25,FALSE)),0,VLOOKUP($A749,'13. Updated Demand'!A:Z,25,FALSE))</f>
        <v>0</v>
      </c>
      <c r="AI749" s="16">
        <f>IF(ISERROR(VLOOKUP($A749,'13. Updated Demand'!A:Z,26,FALSE)),0,VLOOKUP($A749,'13. Updated Demand'!A:Z,26,FALSE))</f>
        <v>0</v>
      </c>
      <c r="AJ749" s="16">
        <f t="shared" si="144"/>
        <v>1.6700000000000002</v>
      </c>
      <c r="AK749" s="19">
        <v>0.78666666666666596</v>
      </c>
      <c r="AL749" s="16">
        <f t="shared" si="142"/>
        <v>2.6092837235791315E-3</v>
      </c>
      <c r="AM749" s="17">
        <v>0.13051282051282051</v>
      </c>
      <c r="AN749" s="19"/>
      <c r="AO749" s="19"/>
      <c r="AP749" s="19">
        <v>13</v>
      </c>
      <c r="AQ749" s="19" t="s">
        <v>307</v>
      </c>
      <c r="AR749" s="9" t="s">
        <v>311</v>
      </c>
      <c r="AS749" s="12">
        <v>0</v>
      </c>
      <c r="AT749" s="19">
        <v>38.623763500000003</v>
      </c>
      <c r="AU749" s="19">
        <v>-122.78165740999999</v>
      </c>
      <c r="AV749" s="19" t="s">
        <v>417</v>
      </c>
    </row>
    <row r="750" spans="1:48" x14ac:dyDescent="0.25">
      <c r="A750" s="18" t="s">
        <v>1138</v>
      </c>
      <c r="B750" s="10">
        <v>19720630</v>
      </c>
      <c r="C750" s="9">
        <v>1</v>
      </c>
      <c r="D750" s="8" t="str">
        <f t="shared" si="133"/>
        <v>N</v>
      </c>
      <c r="E750" s="8" t="str">
        <f t="shared" si="134"/>
        <v>N</v>
      </c>
      <c r="F750" s="8" t="str">
        <f t="shared" si="135"/>
        <v>Y</v>
      </c>
      <c r="G750" s="8" t="str">
        <f t="shared" si="136"/>
        <v>Y</v>
      </c>
      <c r="H750" s="8" t="str">
        <f t="shared" si="137"/>
        <v>Upper</v>
      </c>
      <c r="I750" s="8" t="str">
        <f t="shared" si="138"/>
        <v>West Fork and Below Lake</v>
      </c>
      <c r="J750" s="8" t="str">
        <f t="shared" si="139"/>
        <v>Outside</v>
      </c>
      <c r="K750" s="8" t="str">
        <f t="shared" si="140"/>
        <v>Post-1949</v>
      </c>
      <c r="L750" s="8">
        <f t="shared" si="141"/>
        <v>1972</v>
      </c>
      <c r="M750" s="8" t="str">
        <f t="shared" si="143"/>
        <v>1971-1990</v>
      </c>
      <c r="N750" s="10" t="s">
        <v>242</v>
      </c>
      <c r="O750" s="10" t="s">
        <v>241</v>
      </c>
      <c r="P750" s="10" t="s">
        <v>242</v>
      </c>
      <c r="Q750" s="10" t="s">
        <v>242</v>
      </c>
      <c r="R750" s="10" t="s">
        <v>241</v>
      </c>
      <c r="S750" s="10" t="s">
        <v>242</v>
      </c>
      <c r="T750" s="10" t="s">
        <v>242</v>
      </c>
      <c r="U750" s="10" t="s">
        <v>242</v>
      </c>
      <c r="V750" s="10" t="s">
        <v>241</v>
      </c>
      <c r="W750" s="10" t="s">
        <v>242</v>
      </c>
      <c r="X750" s="15">
        <f>IF(ISERROR(VLOOKUP($A750,'13. Updated Demand'!A:Z,15,FALSE)),0,VLOOKUP($A750,'13. Updated Demand'!A:Z,15,FALSE))</f>
        <v>2</v>
      </c>
      <c r="Y750" s="16">
        <f>IF(ISERROR(VLOOKUP($A750,'13. Updated Demand'!A:Z,16,FALSE)),0,VLOOKUP($A750,'13. Updated Demand'!A:Z,16,FALSE))</f>
        <v>2</v>
      </c>
      <c r="Z750" s="16">
        <f>IF(ISERROR(VLOOKUP($A750,'13. Updated Demand'!A:Z,17,FALSE)),0,VLOOKUP($A750,'13. Updated Demand'!A:Z,17,FALSE))</f>
        <v>1</v>
      </c>
      <c r="AA750" s="16">
        <f>IF(ISERROR(VLOOKUP($A750,'13. Updated Demand'!A:Z,18,FALSE)),0,VLOOKUP($A750,'13. Updated Demand'!A:Z,18,FALSE))</f>
        <v>1</v>
      </c>
      <c r="AB750" s="16">
        <f>IF(ISERROR(VLOOKUP($A750,'13. Updated Demand'!A:Z,19,FALSE)),0,VLOOKUP($A750,'13. Updated Demand'!A:Z,19,FALSE))</f>
        <v>0</v>
      </c>
      <c r="AC750" s="16">
        <f>IF(ISERROR(VLOOKUP($A750,'13. Updated Demand'!A:Z,20,FALSE)),0,VLOOKUP($A750,'13. Updated Demand'!A:Z,20,FALSE))</f>
        <v>0</v>
      </c>
      <c r="AD750" s="16">
        <f>IF(ISERROR(VLOOKUP($A750,'13. Updated Demand'!A:Z,21,FALSE)),0,VLOOKUP($A750,'13. Updated Demand'!A:Z,21,FALSE))</f>
        <v>0</v>
      </c>
      <c r="AE750" s="16">
        <f>IF(ISERROR(VLOOKUP($A750,'13. Updated Demand'!A:Z,22,FALSE)),0,VLOOKUP($A750,'13. Updated Demand'!A:Z,22,FALSE))</f>
        <v>0</v>
      </c>
      <c r="AF750" s="16">
        <f>IF(ISERROR(VLOOKUP($A750,'13. Updated Demand'!A:Z,23,FALSE)),0,VLOOKUP($A750,'13. Updated Demand'!A:Z,23,FALSE))</f>
        <v>0</v>
      </c>
      <c r="AG750" s="16">
        <f>IF(ISERROR(VLOOKUP($A750,'13. Updated Demand'!A:Z,24,FALSE)),0,VLOOKUP($A750,'13. Updated Demand'!A:Z,24,FALSE))</f>
        <v>0</v>
      </c>
      <c r="AH750" s="16">
        <f>IF(ISERROR(VLOOKUP($A750,'13. Updated Demand'!A:Z,25,FALSE)),0,VLOOKUP($A750,'13. Updated Demand'!A:Z,25,FALSE))</f>
        <v>0</v>
      </c>
      <c r="AI750" s="16">
        <f>IF(ISERROR(VLOOKUP($A750,'13. Updated Demand'!A:Z,26,FALSE)),0,VLOOKUP($A750,'13. Updated Demand'!A:Z,26,FALSE))</f>
        <v>1</v>
      </c>
      <c r="AJ750" s="16">
        <f t="shared" si="144"/>
        <v>7</v>
      </c>
      <c r="AK750" s="19">
        <v>0</v>
      </c>
      <c r="AL750" s="16">
        <f t="shared" si="142"/>
        <v>0</v>
      </c>
      <c r="AM750" s="17">
        <v>1</v>
      </c>
      <c r="AN750" s="19"/>
      <c r="AO750" s="19"/>
      <c r="AP750" s="19">
        <v>7</v>
      </c>
      <c r="AQ750" s="19" t="s">
        <v>307</v>
      </c>
      <c r="AR750" s="9" t="s">
        <v>317</v>
      </c>
      <c r="AS750" s="12">
        <v>0</v>
      </c>
      <c r="AT750" s="19">
        <v>39.279660999999997</v>
      </c>
      <c r="AU750" s="19">
        <v>-123.22488423</v>
      </c>
      <c r="AV750" s="19" t="s">
        <v>417</v>
      </c>
    </row>
    <row r="751" spans="1:48" x14ac:dyDescent="0.25">
      <c r="A751" s="18" t="s">
        <v>1139</v>
      </c>
      <c r="B751" s="10">
        <v>19720724</v>
      </c>
      <c r="C751" s="9">
        <v>1</v>
      </c>
      <c r="D751" s="8" t="str">
        <f t="shared" si="133"/>
        <v>N</v>
      </c>
      <c r="E751" s="8" t="str">
        <f t="shared" si="134"/>
        <v>N</v>
      </c>
      <c r="F751" s="8" t="str">
        <f t="shared" si="135"/>
        <v>Y</v>
      </c>
      <c r="G751" s="8" t="str">
        <f t="shared" si="136"/>
        <v>Y</v>
      </c>
      <c r="H751" s="8" t="str">
        <f t="shared" si="137"/>
        <v>Upper</v>
      </c>
      <c r="I751" s="8" t="str">
        <f t="shared" si="138"/>
        <v>West Fork and Below Lake</v>
      </c>
      <c r="J751" s="8" t="str">
        <f t="shared" si="139"/>
        <v>Outside</v>
      </c>
      <c r="K751" s="8" t="str">
        <f t="shared" si="140"/>
        <v>Post-1949</v>
      </c>
      <c r="L751" s="8">
        <f t="shared" si="141"/>
        <v>1972</v>
      </c>
      <c r="M751" s="8" t="str">
        <f t="shared" si="143"/>
        <v>1971-1990</v>
      </c>
      <c r="N751" s="10" t="s">
        <v>242</v>
      </c>
      <c r="O751" s="10" t="s">
        <v>241</v>
      </c>
      <c r="P751" s="10" t="s">
        <v>242</v>
      </c>
      <c r="Q751" s="10" t="s">
        <v>242</v>
      </c>
      <c r="R751" s="10" t="s">
        <v>241</v>
      </c>
      <c r="S751" s="10" t="s">
        <v>242</v>
      </c>
      <c r="T751" s="10" t="s">
        <v>242</v>
      </c>
      <c r="U751" s="10" t="s">
        <v>242</v>
      </c>
      <c r="V751" s="10" t="s">
        <v>242</v>
      </c>
      <c r="W751" s="10" t="s">
        <v>242</v>
      </c>
      <c r="X751" s="15">
        <f>IF(ISERROR(VLOOKUP($A751,'13. Updated Demand'!A:Z,15,FALSE)),0,VLOOKUP($A751,'13. Updated Demand'!A:Z,15,FALSE))</f>
        <v>4.33</v>
      </c>
      <c r="Y751" s="16">
        <f>IF(ISERROR(VLOOKUP($A751,'13. Updated Demand'!A:Z,16,FALSE)),0,VLOOKUP($A751,'13. Updated Demand'!A:Z,16,FALSE))</f>
        <v>4</v>
      </c>
      <c r="Z751" s="16">
        <f>IF(ISERROR(VLOOKUP($A751,'13. Updated Demand'!A:Z,17,FALSE)),0,VLOOKUP($A751,'13. Updated Demand'!A:Z,17,FALSE))</f>
        <v>4.33</v>
      </c>
      <c r="AA751" s="16">
        <f>IF(ISERROR(VLOOKUP($A751,'13. Updated Demand'!A:Z,18,FALSE)),0,VLOOKUP($A751,'13. Updated Demand'!A:Z,18,FALSE))</f>
        <v>3.33</v>
      </c>
      <c r="AB751" s="16">
        <f>IF(ISERROR(VLOOKUP($A751,'13. Updated Demand'!A:Z,19,FALSE)),0,VLOOKUP($A751,'13. Updated Demand'!A:Z,19,FALSE))</f>
        <v>1.66</v>
      </c>
      <c r="AC751" s="16">
        <f>IF(ISERROR(VLOOKUP($A751,'13. Updated Demand'!A:Z,20,FALSE)),0,VLOOKUP($A751,'13. Updated Demand'!A:Z,20,FALSE))</f>
        <v>0</v>
      </c>
      <c r="AD751" s="16">
        <f>IF(ISERROR(VLOOKUP($A751,'13. Updated Demand'!A:Z,21,FALSE)),0,VLOOKUP($A751,'13. Updated Demand'!A:Z,21,FALSE))</f>
        <v>0</v>
      </c>
      <c r="AE751" s="16">
        <f>IF(ISERROR(VLOOKUP($A751,'13. Updated Demand'!A:Z,22,FALSE)),0,VLOOKUP($A751,'13. Updated Demand'!A:Z,22,FALSE))</f>
        <v>0</v>
      </c>
      <c r="AF751" s="16">
        <f>IF(ISERROR(VLOOKUP($A751,'13. Updated Demand'!A:Z,23,FALSE)),0,VLOOKUP($A751,'13. Updated Demand'!A:Z,23,FALSE))</f>
        <v>0</v>
      </c>
      <c r="AG751" s="16">
        <f>IF(ISERROR(VLOOKUP($A751,'13. Updated Demand'!A:Z,24,FALSE)),0,VLOOKUP($A751,'13. Updated Demand'!A:Z,24,FALSE))</f>
        <v>0</v>
      </c>
      <c r="AH751" s="16">
        <f>IF(ISERROR(VLOOKUP($A751,'13. Updated Demand'!A:Z,25,FALSE)),0,VLOOKUP($A751,'13. Updated Demand'!A:Z,25,FALSE))</f>
        <v>0</v>
      </c>
      <c r="AI751" s="16">
        <f>IF(ISERROR(VLOOKUP($A751,'13. Updated Demand'!A:Z,26,FALSE)),0,VLOOKUP($A751,'13. Updated Demand'!A:Z,26,FALSE))</f>
        <v>2.66</v>
      </c>
      <c r="AJ751" s="16">
        <f t="shared" si="144"/>
        <v>20.309999999999999</v>
      </c>
      <c r="AK751" s="19">
        <v>1.6666666670000001</v>
      </c>
      <c r="AL751" s="16">
        <f t="shared" si="142"/>
        <v>5.5281434832648111E-3</v>
      </c>
      <c r="AM751" s="17">
        <v>0.6559139784838709</v>
      </c>
      <c r="AN751" s="19"/>
      <c r="AO751" s="19"/>
      <c r="AP751" s="19">
        <v>31</v>
      </c>
      <c r="AQ751" s="19" t="s">
        <v>307</v>
      </c>
      <c r="AR751" s="9" t="s">
        <v>317</v>
      </c>
      <c r="AS751" s="12">
        <v>0</v>
      </c>
      <c r="AT751" s="19">
        <v>39.292021939999998</v>
      </c>
      <c r="AU751" s="19">
        <v>-123.19788884</v>
      </c>
      <c r="AV751" s="19" t="s">
        <v>417</v>
      </c>
    </row>
    <row r="752" spans="1:48" x14ac:dyDescent="0.25">
      <c r="A752" s="18" t="s">
        <v>1140</v>
      </c>
      <c r="B752" s="10">
        <v>19720727</v>
      </c>
      <c r="C752" s="9">
        <v>1</v>
      </c>
      <c r="D752" s="8" t="str">
        <f t="shared" si="133"/>
        <v>N</v>
      </c>
      <c r="E752" s="8" t="str">
        <f t="shared" si="134"/>
        <v>N</v>
      </c>
      <c r="F752" s="8" t="str">
        <f t="shared" si="135"/>
        <v>Y</v>
      </c>
      <c r="G752" s="8" t="str">
        <f t="shared" si="136"/>
        <v>Y</v>
      </c>
      <c r="H752" s="8" t="str">
        <f t="shared" si="137"/>
        <v>Upper</v>
      </c>
      <c r="I752" s="8" t="str">
        <f t="shared" si="138"/>
        <v>West Fork and Below Lake</v>
      </c>
      <c r="J752" s="8" t="str">
        <f t="shared" si="139"/>
        <v>Outside</v>
      </c>
      <c r="K752" s="8" t="str">
        <f t="shared" si="140"/>
        <v>Post-1949</v>
      </c>
      <c r="L752" s="8">
        <f t="shared" si="141"/>
        <v>1972</v>
      </c>
      <c r="M752" s="8" t="str">
        <f t="shared" si="143"/>
        <v>1971-1990</v>
      </c>
      <c r="N752" s="10" t="s">
        <v>242</v>
      </c>
      <c r="O752" s="10" t="s">
        <v>241</v>
      </c>
      <c r="P752" s="10" t="s">
        <v>242</v>
      </c>
      <c r="Q752" s="10" t="s">
        <v>242</v>
      </c>
      <c r="R752" s="10" t="s">
        <v>241</v>
      </c>
      <c r="S752" s="10" t="s">
        <v>242</v>
      </c>
      <c r="T752" s="10" t="s">
        <v>242</v>
      </c>
      <c r="U752" s="10" t="s">
        <v>242</v>
      </c>
      <c r="V752" s="10" t="s">
        <v>241</v>
      </c>
      <c r="W752" s="10" t="s">
        <v>242</v>
      </c>
      <c r="X752" s="15">
        <f>IF(ISERROR(VLOOKUP($A752,'13. Updated Demand'!A:Z,15,FALSE)),0,VLOOKUP($A752,'13. Updated Demand'!A:Z,15,FALSE))</f>
        <v>19.329999999999998</v>
      </c>
      <c r="Y752" s="16">
        <f>IF(ISERROR(VLOOKUP($A752,'13. Updated Demand'!A:Z,16,FALSE)),0,VLOOKUP($A752,'13. Updated Demand'!A:Z,16,FALSE))</f>
        <v>9.66</v>
      </c>
      <c r="Z752" s="16">
        <f>IF(ISERROR(VLOOKUP($A752,'13. Updated Demand'!A:Z,17,FALSE)),0,VLOOKUP($A752,'13. Updated Demand'!A:Z,17,FALSE))</f>
        <v>4.33</v>
      </c>
      <c r="AA752" s="16">
        <f>IF(ISERROR(VLOOKUP($A752,'13. Updated Demand'!A:Z,18,FALSE)),0,VLOOKUP($A752,'13. Updated Demand'!A:Z,18,FALSE))</f>
        <v>0</v>
      </c>
      <c r="AB752" s="16">
        <f>IF(ISERROR(VLOOKUP($A752,'13. Updated Demand'!A:Z,19,FALSE)),0,VLOOKUP($A752,'13. Updated Demand'!A:Z,19,FALSE))</f>
        <v>0</v>
      </c>
      <c r="AC752" s="16">
        <f>IF(ISERROR(VLOOKUP($A752,'13. Updated Demand'!A:Z,20,FALSE)),0,VLOOKUP($A752,'13. Updated Demand'!A:Z,20,FALSE))</f>
        <v>0</v>
      </c>
      <c r="AD752" s="16">
        <f>IF(ISERROR(VLOOKUP($A752,'13. Updated Demand'!A:Z,21,FALSE)),0,VLOOKUP($A752,'13. Updated Demand'!A:Z,21,FALSE))</f>
        <v>0</v>
      </c>
      <c r="AE752" s="16">
        <f>IF(ISERROR(VLOOKUP($A752,'13. Updated Demand'!A:Z,22,FALSE)),0,VLOOKUP($A752,'13. Updated Demand'!A:Z,22,FALSE))</f>
        <v>0</v>
      </c>
      <c r="AF752" s="16">
        <f>IF(ISERROR(VLOOKUP($A752,'13. Updated Demand'!A:Z,23,FALSE)),0,VLOOKUP($A752,'13. Updated Demand'!A:Z,23,FALSE))</f>
        <v>0</v>
      </c>
      <c r="AG752" s="16">
        <f>IF(ISERROR(VLOOKUP($A752,'13. Updated Demand'!A:Z,24,FALSE)),0,VLOOKUP($A752,'13. Updated Demand'!A:Z,24,FALSE))</f>
        <v>0</v>
      </c>
      <c r="AH752" s="16">
        <f>IF(ISERROR(VLOOKUP($A752,'13. Updated Demand'!A:Z,25,FALSE)),0,VLOOKUP($A752,'13. Updated Demand'!A:Z,25,FALSE))</f>
        <v>0</v>
      </c>
      <c r="AI752" s="16">
        <f>IF(ISERROR(VLOOKUP($A752,'13. Updated Demand'!A:Z,26,FALSE)),0,VLOOKUP($A752,'13. Updated Demand'!A:Z,26,FALSE))</f>
        <v>3.33</v>
      </c>
      <c r="AJ752" s="16">
        <f t="shared" si="144"/>
        <v>36.65</v>
      </c>
      <c r="AK752" s="19">
        <v>0</v>
      </c>
      <c r="AL752" s="16">
        <f t="shared" si="142"/>
        <v>0</v>
      </c>
      <c r="AM752" s="17">
        <v>0.93299406267175566</v>
      </c>
      <c r="AN752" s="19"/>
      <c r="AO752" s="19"/>
      <c r="AP752" s="19">
        <v>39.299999999999997</v>
      </c>
      <c r="AQ752" s="19" t="s">
        <v>307</v>
      </c>
      <c r="AR752" s="9" t="s">
        <v>317</v>
      </c>
      <c r="AS752" s="12">
        <v>0</v>
      </c>
      <c r="AT752" s="19">
        <v>39.210299999999997</v>
      </c>
      <c r="AU752" s="19">
        <v>-123.2131</v>
      </c>
      <c r="AV752" s="19" t="s">
        <v>385</v>
      </c>
    </row>
    <row r="753" spans="1:48" x14ac:dyDescent="0.25">
      <c r="A753" s="18" t="s">
        <v>1141</v>
      </c>
      <c r="B753" s="10">
        <v>19720808</v>
      </c>
      <c r="C753" s="9">
        <v>5</v>
      </c>
      <c r="D753" s="8" t="str">
        <f t="shared" si="133"/>
        <v>Y</v>
      </c>
      <c r="E753" s="8" t="str">
        <f t="shared" si="134"/>
        <v>N</v>
      </c>
      <c r="F753" s="8" t="str">
        <f t="shared" si="135"/>
        <v>Y</v>
      </c>
      <c r="G753" s="8" t="str">
        <f t="shared" si="136"/>
        <v>Y</v>
      </c>
      <c r="H753" s="8" t="str">
        <f t="shared" si="137"/>
        <v>Upper</v>
      </c>
      <c r="I753" s="8" t="str">
        <f t="shared" si="138"/>
        <v>West Fork and Below Lake</v>
      </c>
      <c r="J753" s="8" t="str">
        <f t="shared" si="139"/>
        <v>Mendocino (d/s of lake)</v>
      </c>
      <c r="K753" s="8" t="str">
        <f t="shared" si="140"/>
        <v>Post-1949</v>
      </c>
      <c r="L753" s="8">
        <f t="shared" si="141"/>
        <v>1972</v>
      </c>
      <c r="M753" s="8" t="str">
        <f t="shared" si="143"/>
        <v>1971-1990</v>
      </c>
      <c r="N753" s="10" t="s">
        <v>242</v>
      </c>
      <c r="O753" s="10" t="s">
        <v>241</v>
      </c>
      <c r="P753" s="10" t="s">
        <v>242</v>
      </c>
      <c r="Q753" s="10" t="s">
        <v>242</v>
      </c>
      <c r="R753" s="10" t="s">
        <v>241</v>
      </c>
      <c r="S753" s="10" t="s">
        <v>242</v>
      </c>
      <c r="T753" s="10" t="s">
        <v>242</v>
      </c>
      <c r="U753" s="10" t="s">
        <v>241</v>
      </c>
      <c r="V753" s="10" t="s">
        <v>241</v>
      </c>
      <c r="W753" s="10" t="s">
        <v>242</v>
      </c>
      <c r="X753" s="15">
        <f>IF(ISERROR(VLOOKUP($A753,'13. Updated Demand'!A:Z,15,FALSE)),0,VLOOKUP($A753,'13. Updated Demand'!A:Z,15,FALSE))</f>
        <v>0</v>
      </c>
      <c r="Y753" s="16">
        <f>IF(ISERROR(VLOOKUP($A753,'13. Updated Demand'!A:Z,16,FALSE)),0,VLOOKUP($A753,'13. Updated Demand'!A:Z,16,FALSE))</f>
        <v>0</v>
      </c>
      <c r="Z753" s="16">
        <f>IF(ISERROR(VLOOKUP($A753,'13. Updated Demand'!A:Z,17,FALSE)),0,VLOOKUP($A753,'13. Updated Demand'!A:Z,17,FALSE))</f>
        <v>0</v>
      </c>
      <c r="AA753" s="16">
        <f>IF(ISERROR(VLOOKUP($A753,'13. Updated Demand'!A:Z,18,FALSE)),0,VLOOKUP($A753,'13. Updated Demand'!A:Z,18,FALSE))</f>
        <v>0</v>
      </c>
      <c r="AB753" s="16">
        <f>IF(ISERROR(VLOOKUP($A753,'13. Updated Demand'!A:Z,19,FALSE)),0,VLOOKUP($A753,'13. Updated Demand'!A:Z,19,FALSE))</f>
        <v>0</v>
      </c>
      <c r="AC753" s="16">
        <f>IF(ISERROR(VLOOKUP($A753,'13. Updated Demand'!A:Z,20,FALSE)),0,VLOOKUP($A753,'13. Updated Demand'!A:Z,20,FALSE))</f>
        <v>0</v>
      </c>
      <c r="AD753" s="16">
        <f>IF(ISERROR(VLOOKUP($A753,'13. Updated Demand'!A:Z,21,FALSE)),0,VLOOKUP($A753,'13. Updated Demand'!A:Z,21,FALSE))</f>
        <v>0</v>
      </c>
      <c r="AE753" s="16">
        <f>IF(ISERROR(VLOOKUP($A753,'13. Updated Demand'!A:Z,22,FALSE)),0,VLOOKUP($A753,'13. Updated Demand'!A:Z,22,FALSE))</f>
        <v>0</v>
      </c>
      <c r="AF753" s="16">
        <f>IF(ISERROR(VLOOKUP($A753,'13. Updated Demand'!A:Z,23,FALSE)),0,VLOOKUP($A753,'13. Updated Demand'!A:Z,23,FALSE))</f>
        <v>0</v>
      </c>
      <c r="AG753" s="16">
        <f>IF(ISERROR(VLOOKUP($A753,'13. Updated Demand'!A:Z,24,FALSE)),0,VLOOKUP($A753,'13. Updated Demand'!A:Z,24,FALSE))</f>
        <v>0</v>
      </c>
      <c r="AH753" s="16">
        <f>IF(ISERROR(VLOOKUP($A753,'13. Updated Demand'!A:Z,25,FALSE)),0,VLOOKUP($A753,'13. Updated Demand'!A:Z,25,FALSE))</f>
        <v>0</v>
      </c>
      <c r="AI753" s="16">
        <f>IF(ISERROR(VLOOKUP($A753,'13. Updated Demand'!A:Z,26,FALSE)),0,VLOOKUP($A753,'13. Updated Demand'!A:Z,26,FALSE))</f>
        <v>0</v>
      </c>
      <c r="AJ753" s="16">
        <f t="shared" si="144"/>
        <v>0</v>
      </c>
      <c r="AK753" s="19">
        <v>0</v>
      </c>
      <c r="AL753" s="16">
        <f t="shared" si="142"/>
        <v>0</v>
      </c>
      <c r="AM753" s="17">
        <v>0</v>
      </c>
      <c r="AN753" s="19"/>
      <c r="AO753" s="19"/>
      <c r="AP753" s="19">
        <v>50</v>
      </c>
      <c r="AQ753" s="19" t="s">
        <v>307</v>
      </c>
      <c r="AR753" s="9" t="s">
        <v>333</v>
      </c>
      <c r="AS753" s="12">
        <v>0</v>
      </c>
      <c r="AT753" s="19">
        <v>39.044998040000003</v>
      </c>
      <c r="AU753" s="19">
        <v>-123.15991108999999</v>
      </c>
      <c r="AV753" s="19" t="s">
        <v>664</v>
      </c>
    </row>
    <row r="754" spans="1:48" x14ac:dyDescent="0.25">
      <c r="A754" s="18" t="s">
        <v>75</v>
      </c>
      <c r="B754" s="10">
        <v>19720808</v>
      </c>
      <c r="C754" s="9">
        <v>5</v>
      </c>
      <c r="D754" s="8" t="str">
        <f t="shared" si="133"/>
        <v>Y</v>
      </c>
      <c r="E754" s="8" t="str">
        <f t="shared" si="134"/>
        <v>N</v>
      </c>
      <c r="F754" s="8" t="str">
        <f t="shared" si="135"/>
        <v>Y</v>
      </c>
      <c r="G754" s="8" t="str">
        <f t="shared" si="136"/>
        <v>Y</v>
      </c>
      <c r="H754" s="8" t="str">
        <f t="shared" si="137"/>
        <v>Upper</v>
      </c>
      <c r="I754" s="8" t="str">
        <f t="shared" si="138"/>
        <v>West Fork and Below Lake</v>
      </c>
      <c r="J754" s="8" t="str">
        <f t="shared" si="139"/>
        <v>Mendocino (d/s of lake)</v>
      </c>
      <c r="K754" s="8" t="str">
        <f t="shared" si="140"/>
        <v>Post-1949</v>
      </c>
      <c r="L754" s="8">
        <f t="shared" si="141"/>
        <v>1972</v>
      </c>
      <c r="M754" s="8" t="str">
        <f t="shared" si="143"/>
        <v>1971-1990</v>
      </c>
      <c r="N754" s="10" t="s">
        <v>241</v>
      </c>
      <c r="O754" s="10" t="s">
        <v>241</v>
      </c>
      <c r="P754" s="10" t="s">
        <v>242</v>
      </c>
      <c r="Q754" s="10" t="s">
        <v>242</v>
      </c>
      <c r="R754" s="10" t="s">
        <v>241</v>
      </c>
      <c r="S754" s="10" t="s">
        <v>242</v>
      </c>
      <c r="T754" s="10" t="s">
        <v>242</v>
      </c>
      <c r="U754" s="10" t="s">
        <v>242</v>
      </c>
      <c r="V754" s="10" t="s">
        <v>241</v>
      </c>
      <c r="W754" s="10" t="s">
        <v>242</v>
      </c>
      <c r="X754" s="15">
        <f>IF(ISERROR(VLOOKUP($A754,'13. Updated Demand'!A:Z,15,FALSE)),0,VLOOKUP($A754,'13. Updated Demand'!A:Z,15,FALSE))</f>
        <v>0.83</v>
      </c>
      <c r="Y754" s="16">
        <f>IF(ISERROR(VLOOKUP($A754,'13. Updated Demand'!A:Z,16,FALSE)),0,VLOOKUP($A754,'13. Updated Demand'!A:Z,16,FALSE))</f>
        <v>0</v>
      </c>
      <c r="Z754" s="16">
        <f>IF(ISERROR(VLOOKUP($A754,'13. Updated Demand'!A:Z,17,FALSE)),0,VLOOKUP($A754,'13. Updated Demand'!A:Z,17,FALSE))</f>
        <v>0</v>
      </c>
      <c r="AA754" s="16">
        <f>IF(ISERROR(VLOOKUP($A754,'13. Updated Demand'!A:Z,18,FALSE)),0,VLOOKUP($A754,'13. Updated Demand'!A:Z,18,FALSE))</f>
        <v>0</v>
      </c>
      <c r="AB754" s="16">
        <f>IF(ISERROR(VLOOKUP($A754,'13. Updated Demand'!A:Z,19,FALSE)),0,VLOOKUP($A754,'13. Updated Demand'!A:Z,19,FALSE))</f>
        <v>0</v>
      </c>
      <c r="AC754" s="16">
        <f>IF(ISERROR(VLOOKUP($A754,'13. Updated Demand'!A:Z,20,FALSE)),0,VLOOKUP($A754,'13. Updated Demand'!A:Z,20,FALSE))</f>
        <v>0</v>
      </c>
      <c r="AD754" s="16">
        <f>IF(ISERROR(VLOOKUP($A754,'13. Updated Demand'!A:Z,21,FALSE)),0,VLOOKUP($A754,'13. Updated Demand'!A:Z,21,FALSE))</f>
        <v>0</v>
      </c>
      <c r="AE754" s="16">
        <f>IF(ISERROR(VLOOKUP($A754,'13. Updated Demand'!A:Z,22,FALSE)),0,VLOOKUP($A754,'13. Updated Demand'!A:Z,22,FALSE))</f>
        <v>0</v>
      </c>
      <c r="AF754" s="16">
        <f>IF(ISERROR(VLOOKUP($A754,'13. Updated Demand'!A:Z,23,FALSE)),0,VLOOKUP($A754,'13. Updated Demand'!A:Z,23,FALSE))</f>
        <v>0</v>
      </c>
      <c r="AG754" s="16">
        <f>IF(ISERROR(VLOOKUP($A754,'13. Updated Demand'!A:Z,24,FALSE)),0,VLOOKUP($A754,'13. Updated Demand'!A:Z,24,FALSE))</f>
        <v>0</v>
      </c>
      <c r="AH754" s="16">
        <f>IF(ISERROR(VLOOKUP($A754,'13. Updated Demand'!A:Z,25,FALSE)),0,VLOOKUP($A754,'13. Updated Demand'!A:Z,25,FALSE))</f>
        <v>29.3</v>
      </c>
      <c r="AI754" s="16">
        <f>IF(ISERROR(VLOOKUP($A754,'13. Updated Demand'!A:Z,26,FALSE)),0,VLOOKUP($A754,'13. Updated Demand'!A:Z,26,FALSE))</f>
        <v>7.3</v>
      </c>
      <c r="AJ754" s="16">
        <f t="shared" si="144"/>
        <v>37.43</v>
      </c>
      <c r="AK754" s="19">
        <v>0</v>
      </c>
      <c r="AL754" s="16">
        <f t="shared" si="142"/>
        <v>0</v>
      </c>
      <c r="AM754" s="17">
        <v>6.2388888888888883E-2</v>
      </c>
      <c r="AN754" s="19"/>
      <c r="AO754" s="19"/>
      <c r="AP754" s="19">
        <v>600</v>
      </c>
      <c r="AQ754" s="19" t="s">
        <v>307</v>
      </c>
      <c r="AR754" s="9" t="s">
        <v>333</v>
      </c>
      <c r="AS754" s="12">
        <v>0</v>
      </c>
      <c r="AT754" s="19">
        <v>39.059235970000003</v>
      </c>
      <c r="AU754" s="19">
        <v>-123.14483009</v>
      </c>
      <c r="AV754" s="19" t="s">
        <v>387</v>
      </c>
    </row>
    <row r="755" spans="1:48" x14ac:dyDescent="0.25">
      <c r="A755" s="18" t="s">
        <v>1142</v>
      </c>
      <c r="B755" s="10">
        <v>19720808</v>
      </c>
      <c r="C755" s="9">
        <v>6</v>
      </c>
      <c r="D755" s="8" t="str">
        <f t="shared" si="133"/>
        <v>Y</v>
      </c>
      <c r="E755" s="8" t="str">
        <f t="shared" si="134"/>
        <v>N</v>
      </c>
      <c r="F755" s="8" t="str">
        <f t="shared" si="135"/>
        <v>Y</v>
      </c>
      <c r="G755" s="8" t="str">
        <f t="shared" si="136"/>
        <v>Y</v>
      </c>
      <c r="H755" s="8" t="str">
        <f t="shared" si="137"/>
        <v>Upper</v>
      </c>
      <c r="I755" s="8" t="str">
        <f t="shared" si="138"/>
        <v>West Fork and Below Lake</v>
      </c>
      <c r="J755" s="8" t="str">
        <f t="shared" si="139"/>
        <v>Mendocino (d/s of lake)</v>
      </c>
      <c r="K755" s="8" t="str">
        <f t="shared" si="140"/>
        <v>Post-1949</v>
      </c>
      <c r="L755" s="8">
        <f t="shared" si="141"/>
        <v>1972</v>
      </c>
      <c r="M755" s="8" t="str">
        <f t="shared" si="143"/>
        <v>1971-1990</v>
      </c>
      <c r="N755" s="10" t="s">
        <v>241</v>
      </c>
      <c r="O755" s="10" t="s">
        <v>241</v>
      </c>
      <c r="P755" s="10" t="s">
        <v>242</v>
      </c>
      <c r="Q755" s="10" t="s">
        <v>242</v>
      </c>
      <c r="R755" s="10" t="s">
        <v>241</v>
      </c>
      <c r="S755" s="10" t="s">
        <v>242</v>
      </c>
      <c r="T755" s="10" t="s">
        <v>242</v>
      </c>
      <c r="U755" s="10" t="s">
        <v>242</v>
      </c>
      <c r="V755" s="10" t="s">
        <v>241</v>
      </c>
      <c r="W755" s="10" t="s">
        <v>242</v>
      </c>
      <c r="X755" s="15">
        <f>IF(ISERROR(VLOOKUP($A755,'13. Updated Demand'!A:Z,15,FALSE)),0,VLOOKUP($A755,'13. Updated Demand'!A:Z,15,FALSE))</f>
        <v>0</v>
      </c>
      <c r="Y755" s="16">
        <f>IF(ISERROR(VLOOKUP($A755,'13. Updated Demand'!A:Z,16,FALSE)),0,VLOOKUP($A755,'13. Updated Demand'!A:Z,16,FALSE))</f>
        <v>0</v>
      </c>
      <c r="Z755" s="16">
        <f>IF(ISERROR(VLOOKUP($A755,'13. Updated Demand'!A:Z,17,FALSE)),0,VLOOKUP($A755,'13. Updated Demand'!A:Z,17,FALSE))</f>
        <v>0.64</v>
      </c>
      <c r="AA755" s="16">
        <f>IF(ISERROR(VLOOKUP($A755,'13. Updated Demand'!A:Z,18,FALSE)),0,VLOOKUP($A755,'13. Updated Demand'!A:Z,18,FALSE))</f>
        <v>0.24</v>
      </c>
      <c r="AB755" s="16">
        <f>IF(ISERROR(VLOOKUP($A755,'13. Updated Demand'!A:Z,19,FALSE)),0,VLOOKUP($A755,'13. Updated Demand'!A:Z,19,FALSE))</f>
        <v>0</v>
      </c>
      <c r="AC755" s="16">
        <f>IF(ISERROR(VLOOKUP($A755,'13. Updated Demand'!A:Z,20,FALSE)),0,VLOOKUP($A755,'13. Updated Demand'!A:Z,20,FALSE))</f>
        <v>0</v>
      </c>
      <c r="AD755" s="16">
        <f>IF(ISERROR(VLOOKUP($A755,'13. Updated Demand'!A:Z,21,FALSE)),0,VLOOKUP($A755,'13. Updated Demand'!A:Z,21,FALSE))</f>
        <v>0</v>
      </c>
      <c r="AE755" s="16">
        <f>IF(ISERROR(VLOOKUP($A755,'13. Updated Demand'!A:Z,22,FALSE)),0,VLOOKUP($A755,'13. Updated Demand'!A:Z,22,FALSE))</f>
        <v>0</v>
      </c>
      <c r="AF755" s="16">
        <f>IF(ISERROR(VLOOKUP($A755,'13. Updated Demand'!A:Z,23,FALSE)),0,VLOOKUP($A755,'13. Updated Demand'!A:Z,23,FALSE))</f>
        <v>0</v>
      </c>
      <c r="AG755" s="16">
        <f>IF(ISERROR(VLOOKUP($A755,'13. Updated Demand'!A:Z,24,FALSE)),0,VLOOKUP($A755,'13. Updated Demand'!A:Z,24,FALSE))</f>
        <v>0</v>
      </c>
      <c r="AH755" s="16">
        <f>IF(ISERROR(VLOOKUP($A755,'13. Updated Demand'!A:Z,25,FALSE)),0,VLOOKUP($A755,'13. Updated Demand'!A:Z,25,FALSE))</f>
        <v>0</v>
      </c>
      <c r="AI755" s="16">
        <f>IF(ISERROR(VLOOKUP($A755,'13. Updated Demand'!A:Z,26,FALSE)),0,VLOOKUP($A755,'13. Updated Demand'!A:Z,26,FALSE))</f>
        <v>0</v>
      </c>
      <c r="AJ755" s="16">
        <f t="shared" si="144"/>
        <v>0.88</v>
      </c>
      <c r="AK755" s="19">
        <v>0</v>
      </c>
      <c r="AL755" s="16">
        <f t="shared" si="142"/>
        <v>0</v>
      </c>
      <c r="AM755" s="17">
        <v>8.3647798742138308E-3</v>
      </c>
      <c r="AN755" s="19"/>
      <c r="AO755" s="19"/>
      <c r="AP755" s="19">
        <v>106</v>
      </c>
      <c r="AQ755" s="19" t="s">
        <v>307</v>
      </c>
      <c r="AR755" s="9" t="s">
        <v>319</v>
      </c>
      <c r="AS755" s="12">
        <v>0</v>
      </c>
      <c r="AT755" s="19">
        <v>38.955800000000004</v>
      </c>
      <c r="AU755" s="19">
        <v>-123.10290000000001</v>
      </c>
      <c r="AV755" s="19" t="s">
        <v>387</v>
      </c>
    </row>
    <row r="756" spans="1:48" x14ac:dyDescent="0.25">
      <c r="A756" s="18" t="s">
        <v>1143</v>
      </c>
      <c r="B756" s="10">
        <v>19721011</v>
      </c>
      <c r="C756" s="9">
        <v>9</v>
      </c>
      <c r="D756" s="8" t="str">
        <f t="shared" si="133"/>
        <v>N</v>
      </c>
      <c r="E756" s="8" t="str">
        <f t="shared" si="134"/>
        <v>Y</v>
      </c>
      <c r="F756" s="8" t="str">
        <f t="shared" si="135"/>
        <v>Y</v>
      </c>
      <c r="G756" s="8" t="str">
        <f t="shared" si="136"/>
        <v>Y</v>
      </c>
      <c r="H756" s="8" t="str">
        <f t="shared" si="137"/>
        <v>Upper</v>
      </c>
      <c r="I756" s="8" t="str">
        <f t="shared" si="138"/>
        <v>West Fork and Below Lake</v>
      </c>
      <c r="J756" s="8" t="str">
        <f t="shared" si="139"/>
        <v>Sonoma (d/s of Clov. Gage)</v>
      </c>
      <c r="K756" s="8" t="str">
        <f t="shared" si="140"/>
        <v>Post-1949</v>
      </c>
      <c r="L756" s="8">
        <f t="shared" si="141"/>
        <v>1972</v>
      </c>
      <c r="M756" s="8" t="str">
        <f t="shared" si="143"/>
        <v>1971-1990</v>
      </c>
      <c r="N756" s="10" t="s">
        <v>242</v>
      </c>
      <c r="O756" s="10" t="s">
        <v>241</v>
      </c>
      <c r="P756" s="10" t="s">
        <v>242</v>
      </c>
      <c r="Q756" s="10" t="s">
        <v>242</v>
      </c>
      <c r="R756" s="10" t="s">
        <v>241</v>
      </c>
      <c r="S756" s="10" t="s">
        <v>242</v>
      </c>
      <c r="T756" s="10" t="s">
        <v>242</v>
      </c>
      <c r="U756" s="10" t="s">
        <v>242</v>
      </c>
      <c r="V756" s="10" t="s">
        <v>242</v>
      </c>
      <c r="W756" s="10" t="s">
        <v>242</v>
      </c>
      <c r="X756" s="15">
        <f>IF(ISERROR(VLOOKUP($A756,'13. Updated Demand'!A:Z,15,FALSE)),0,VLOOKUP($A756,'13. Updated Demand'!A:Z,15,FALSE))</f>
        <v>0</v>
      </c>
      <c r="Y756" s="16">
        <f>IF(ISERROR(VLOOKUP($A756,'13. Updated Demand'!A:Z,16,FALSE)),0,VLOOKUP($A756,'13. Updated Demand'!A:Z,16,FALSE))</f>
        <v>0</v>
      </c>
      <c r="Z756" s="16">
        <f>IF(ISERROR(VLOOKUP($A756,'13. Updated Demand'!A:Z,17,FALSE)),0,VLOOKUP($A756,'13. Updated Demand'!A:Z,17,FALSE))</f>
        <v>0</v>
      </c>
      <c r="AA756" s="16">
        <f>IF(ISERROR(VLOOKUP($A756,'13. Updated Demand'!A:Z,18,FALSE)),0,VLOOKUP($A756,'13. Updated Demand'!A:Z,18,FALSE))</f>
        <v>1.2300000000000001E-4</v>
      </c>
      <c r="AB756" s="16">
        <f>IF(ISERROR(VLOOKUP($A756,'13. Updated Demand'!A:Z,19,FALSE)),0,VLOOKUP($A756,'13. Updated Demand'!A:Z,19,FALSE))</f>
        <v>1.5300000000000001E-4</v>
      </c>
      <c r="AC756" s="16">
        <f>IF(ISERROR(VLOOKUP($A756,'13. Updated Demand'!A:Z,20,FALSE)),0,VLOOKUP($A756,'13. Updated Demand'!A:Z,20,FALSE))</f>
        <v>0</v>
      </c>
      <c r="AD756" s="16">
        <f>IF(ISERROR(VLOOKUP($A756,'13. Updated Demand'!A:Z,21,FALSE)),0,VLOOKUP($A756,'13. Updated Demand'!A:Z,21,FALSE))</f>
        <v>0</v>
      </c>
      <c r="AE756" s="16">
        <f>IF(ISERROR(VLOOKUP($A756,'13. Updated Demand'!A:Z,22,FALSE)),0,VLOOKUP($A756,'13. Updated Demand'!A:Z,22,FALSE))</f>
        <v>0</v>
      </c>
      <c r="AF756" s="16">
        <f>IF(ISERROR(VLOOKUP($A756,'13. Updated Demand'!A:Z,23,FALSE)),0,VLOOKUP($A756,'13. Updated Demand'!A:Z,23,FALSE))</f>
        <v>0</v>
      </c>
      <c r="AG756" s="16">
        <f>IF(ISERROR(VLOOKUP($A756,'13. Updated Demand'!A:Z,24,FALSE)),0,VLOOKUP($A756,'13. Updated Demand'!A:Z,24,FALSE))</f>
        <v>0</v>
      </c>
      <c r="AH756" s="16">
        <f>IF(ISERROR(VLOOKUP($A756,'13. Updated Demand'!A:Z,25,FALSE)),0,VLOOKUP($A756,'13. Updated Demand'!A:Z,25,FALSE))</f>
        <v>0</v>
      </c>
      <c r="AI756" s="16">
        <f>IF(ISERROR(VLOOKUP($A756,'13. Updated Demand'!A:Z,26,FALSE)),0,VLOOKUP($A756,'13. Updated Demand'!A:Z,26,FALSE))</f>
        <v>0</v>
      </c>
      <c r="AJ756" s="16">
        <f t="shared" si="144"/>
        <v>2.7599999999999999E-4</v>
      </c>
      <c r="AK756" s="19">
        <v>1.5300000000000001E-4</v>
      </c>
      <c r="AL756" s="16">
        <f t="shared" si="142"/>
        <v>5.0748357166221282E-7</v>
      </c>
      <c r="AM756" s="17">
        <v>5.5533199195171024E-6</v>
      </c>
      <c r="AN756" s="19"/>
      <c r="AO756" s="19"/>
      <c r="AP756" s="19">
        <v>49.7</v>
      </c>
      <c r="AQ756" s="19" t="s">
        <v>307</v>
      </c>
      <c r="AR756" s="9" t="s">
        <v>354</v>
      </c>
      <c r="AS756" s="12">
        <v>3.4039024194010059E-4</v>
      </c>
      <c r="AT756" s="19">
        <v>38.762519930000003</v>
      </c>
      <c r="AU756" s="19">
        <v>-123.00344124</v>
      </c>
      <c r="AV756" s="19" t="s">
        <v>417</v>
      </c>
    </row>
    <row r="757" spans="1:48" x14ac:dyDescent="0.25">
      <c r="A757" s="18" t="s">
        <v>1144</v>
      </c>
      <c r="B757" s="10">
        <v>19721122</v>
      </c>
      <c r="C757" s="9">
        <v>23</v>
      </c>
      <c r="D757" s="8" t="str">
        <f t="shared" si="133"/>
        <v>N</v>
      </c>
      <c r="E757" s="8" t="str">
        <f t="shared" si="134"/>
        <v>N</v>
      </c>
      <c r="F757" s="8" t="str">
        <f t="shared" si="135"/>
        <v>N</v>
      </c>
      <c r="G757" s="8" t="str">
        <f t="shared" si="136"/>
        <v>N</v>
      </c>
      <c r="H757" s="8" t="str">
        <f t="shared" si="137"/>
        <v>Lower</v>
      </c>
      <c r="I757" s="8" t="str">
        <f t="shared" si="138"/>
        <v>Outside</v>
      </c>
      <c r="J757" s="8" t="str">
        <f t="shared" si="139"/>
        <v>Outside</v>
      </c>
      <c r="K757" s="8" t="str">
        <f t="shared" si="140"/>
        <v>Post-1949</v>
      </c>
      <c r="L757" s="8">
        <f t="shared" si="141"/>
        <v>1972</v>
      </c>
      <c r="M757" s="8" t="str">
        <f t="shared" si="143"/>
        <v>1971-1990</v>
      </c>
      <c r="N757" s="10" t="s">
        <v>242</v>
      </c>
      <c r="O757" s="10" t="s">
        <v>242</v>
      </c>
      <c r="P757" s="10" t="s">
        <v>242</v>
      </c>
      <c r="Q757" s="10" t="s">
        <v>242</v>
      </c>
      <c r="R757" s="10" t="s">
        <v>241</v>
      </c>
      <c r="S757" s="10" t="s">
        <v>242</v>
      </c>
      <c r="T757" s="10" t="s">
        <v>242</v>
      </c>
      <c r="U757" s="10" t="s">
        <v>241</v>
      </c>
      <c r="V757" s="10" t="s">
        <v>241</v>
      </c>
      <c r="W757" s="10" t="s">
        <v>242</v>
      </c>
      <c r="X757" s="15">
        <f>IF(ISERROR(VLOOKUP($A757,'13. Updated Demand'!A:Z,15,FALSE)),0,VLOOKUP($A757,'13. Updated Demand'!A:Z,15,FALSE))</f>
        <v>0</v>
      </c>
      <c r="Y757" s="16">
        <f>IF(ISERROR(VLOOKUP($A757,'13. Updated Demand'!A:Z,16,FALSE)),0,VLOOKUP($A757,'13. Updated Demand'!A:Z,16,FALSE))</f>
        <v>0</v>
      </c>
      <c r="Z757" s="16">
        <f>IF(ISERROR(VLOOKUP($A757,'13. Updated Demand'!A:Z,17,FALSE)),0,VLOOKUP($A757,'13. Updated Demand'!A:Z,17,FALSE))</f>
        <v>0</v>
      </c>
      <c r="AA757" s="16">
        <f>IF(ISERROR(VLOOKUP($A757,'13. Updated Demand'!A:Z,18,FALSE)),0,VLOOKUP($A757,'13. Updated Demand'!A:Z,18,FALSE))</f>
        <v>0</v>
      </c>
      <c r="AB757" s="16">
        <f>IF(ISERROR(VLOOKUP($A757,'13. Updated Demand'!A:Z,19,FALSE)),0,VLOOKUP($A757,'13. Updated Demand'!A:Z,19,FALSE))</f>
        <v>0</v>
      </c>
      <c r="AC757" s="16">
        <f>IF(ISERROR(VLOOKUP($A757,'13. Updated Demand'!A:Z,20,FALSE)),0,VLOOKUP($A757,'13. Updated Demand'!A:Z,20,FALSE))</f>
        <v>0</v>
      </c>
      <c r="AD757" s="16">
        <f>IF(ISERROR(VLOOKUP($A757,'13. Updated Demand'!A:Z,21,FALSE)),0,VLOOKUP($A757,'13. Updated Demand'!A:Z,21,FALSE))</f>
        <v>0</v>
      </c>
      <c r="AE757" s="16">
        <f>IF(ISERROR(VLOOKUP($A757,'13. Updated Demand'!A:Z,22,FALSE)),0,VLOOKUP($A757,'13. Updated Demand'!A:Z,22,FALSE))</f>
        <v>0</v>
      </c>
      <c r="AF757" s="16">
        <f>IF(ISERROR(VLOOKUP($A757,'13. Updated Demand'!A:Z,23,FALSE)),0,VLOOKUP($A757,'13. Updated Demand'!A:Z,23,FALSE))</f>
        <v>0</v>
      </c>
      <c r="AG757" s="16">
        <f>IF(ISERROR(VLOOKUP($A757,'13. Updated Demand'!A:Z,24,FALSE)),0,VLOOKUP($A757,'13. Updated Demand'!A:Z,24,FALSE))</f>
        <v>0</v>
      </c>
      <c r="AH757" s="16">
        <f>IF(ISERROR(VLOOKUP($A757,'13. Updated Demand'!A:Z,25,FALSE)),0,VLOOKUP($A757,'13. Updated Demand'!A:Z,25,FALSE))</f>
        <v>0</v>
      </c>
      <c r="AI757" s="16">
        <f>IF(ISERROR(VLOOKUP($A757,'13. Updated Demand'!A:Z,26,FALSE)),0,VLOOKUP($A757,'13. Updated Demand'!A:Z,26,FALSE))</f>
        <v>0</v>
      </c>
      <c r="AJ757" s="16">
        <f t="shared" si="144"/>
        <v>0</v>
      </c>
      <c r="AK757" s="19">
        <v>0</v>
      </c>
      <c r="AL757" s="16">
        <f t="shared" si="142"/>
        <v>0</v>
      </c>
      <c r="AM757" s="17">
        <v>0</v>
      </c>
      <c r="AN757" s="19"/>
      <c r="AO757" s="19"/>
      <c r="AP757" s="19">
        <v>5</v>
      </c>
      <c r="AQ757" s="19" t="s">
        <v>307</v>
      </c>
      <c r="AR757" s="9" t="s">
        <v>378</v>
      </c>
      <c r="AS757" s="12">
        <v>0</v>
      </c>
      <c r="AT757" s="19">
        <v>38.506094470000001</v>
      </c>
      <c r="AU757" s="19">
        <v>-122.69579845</v>
      </c>
      <c r="AV757" s="19" t="s">
        <v>417</v>
      </c>
    </row>
    <row r="758" spans="1:48" x14ac:dyDescent="0.25">
      <c r="A758" s="18" t="s">
        <v>1145</v>
      </c>
      <c r="B758" s="10">
        <v>19721221</v>
      </c>
      <c r="C758" s="9">
        <v>9</v>
      </c>
      <c r="D758" s="8" t="str">
        <f t="shared" si="133"/>
        <v>N</v>
      </c>
      <c r="E758" s="8" t="str">
        <f t="shared" si="134"/>
        <v>Y</v>
      </c>
      <c r="F758" s="8" t="str">
        <f t="shared" si="135"/>
        <v>Y</v>
      </c>
      <c r="G758" s="8" t="str">
        <f t="shared" si="136"/>
        <v>Y</v>
      </c>
      <c r="H758" s="8" t="str">
        <f t="shared" si="137"/>
        <v>Upper</v>
      </c>
      <c r="I758" s="8" t="str">
        <f t="shared" si="138"/>
        <v>West Fork and Below Lake</v>
      </c>
      <c r="J758" s="8" t="str">
        <f t="shared" si="139"/>
        <v>Sonoma (d/s of Clov. Gage)</v>
      </c>
      <c r="K758" s="8" t="str">
        <f t="shared" si="140"/>
        <v>Post-1949</v>
      </c>
      <c r="L758" s="8">
        <f t="shared" si="141"/>
        <v>1972</v>
      </c>
      <c r="M758" s="8" t="str">
        <f t="shared" si="143"/>
        <v>1971-1990</v>
      </c>
      <c r="N758" s="10" t="s">
        <v>241</v>
      </c>
      <c r="O758" s="10" t="s">
        <v>241</v>
      </c>
      <c r="P758" s="10" t="s">
        <v>242</v>
      </c>
      <c r="Q758" s="10" t="s">
        <v>242</v>
      </c>
      <c r="R758" s="10" t="s">
        <v>241</v>
      </c>
      <c r="S758" s="10" t="s">
        <v>242</v>
      </c>
      <c r="T758" s="10" t="s">
        <v>242</v>
      </c>
      <c r="U758" s="10" t="s">
        <v>242</v>
      </c>
      <c r="V758" s="10" t="s">
        <v>242</v>
      </c>
      <c r="W758" s="10" t="s">
        <v>242</v>
      </c>
      <c r="X758" s="15">
        <f>IF(ISERROR(VLOOKUP($A758,'13. Updated Demand'!A:Z,15,FALSE)),0,VLOOKUP($A758,'13. Updated Demand'!A:Z,15,FALSE))</f>
        <v>0</v>
      </c>
      <c r="Y758" s="16">
        <f>IF(ISERROR(VLOOKUP($A758,'13. Updated Demand'!A:Z,16,FALSE)),0,VLOOKUP($A758,'13. Updated Demand'!A:Z,16,FALSE))</f>
        <v>0</v>
      </c>
      <c r="Z758" s="16">
        <f>IF(ISERROR(VLOOKUP($A758,'13. Updated Demand'!A:Z,17,FALSE)),0,VLOOKUP($A758,'13. Updated Demand'!A:Z,17,FALSE))</f>
        <v>0</v>
      </c>
      <c r="AA758" s="16">
        <f>IF(ISERROR(VLOOKUP($A758,'13. Updated Demand'!A:Z,18,FALSE)),0,VLOOKUP($A758,'13. Updated Demand'!A:Z,18,FALSE))</f>
        <v>0</v>
      </c>
      <c r="AB758" s="16">
        <f>IF(ISERROR(VLOOKUP($A758,'13. Updated Demand'!A:Z,19,FALSE)),0,VLOOKUP($A758,'13. Updated Demand'!A:Z,19,FALSE))</f>
        <v>0</v>
      </c>
      <c r="AC758" s="16">
        <f>IF(ISERROR(VLOOKUP($A758,'13. Updated Demand'!A:Z,20,FALSE)),0,VLOOKUP($A758,'13. Updated Demand'!A:Z,20,FALSE))</f>
        <v>2.15</v>
      </c>
      <c r="AD758" s="16">
        <f>IF(ISERROR(VLOOKUP($A758,'13. Updated Demand'!A:Z,21,FALSE)),0,VLOOKUP($A758,'13. Updated Demand'!A:Z,21,FALSE))</f>
        <v>2.15</v>
      </c>
      <c r="AE758" s="16">
        <f>IF(ISERROR(VLOOKUP($A758,'13. Updated Demand'!A:Z,22,FALSE)),0,VLOOKUP($A758,'13. Updated Demand'!A:Z,22,FALSE))</f>
        <v>2.16</v>
      </c>
      <c r="AF758" s="16">
        <f>IF(ISERROR(VLOOKUP($A758,'13. Updated Demand'!A:Z,23,FALSE)),0,VLOOKUP($A758,'13. Updated Demand'!A:Z,23,FALSE))</f>
        <v>2.16</v>
      </c>
      <c r="AG758" s="16">
        <f>IF(ISERROR(VLOOKUP($A758,'13. Updated Demand'!A:Z,24,FALSE)),0,VLOOKUP($A758,'13. Updated Demand'!A:Z,24,FALSE))</f>
        <v>0</v>
      </c>
      <c r="AH758" s="16">
        <f>IF(ISERROR(VLOOKUP($A758,'13. Updated Demand'!A:Z,25,FALSE)),0,VLOOKUP($A758,'13. Updated Demand'!A:Z,25,FALSE))</f>
        <v>0</v>
      </c>
      <c r="AI758" s="16">
        <f>IF(ISERROR(VLOOKUP($A758,'13. Updated Demand'!A:Z,26,FALSE)),0,VLOOKUP($A758,'13. Updated Demand'!A:Z,26,FALSE))</f>
        <v>0</v>
      </c>
      <c r="AJ758" s="16">
        <f t="shared" si="144"/>
        <v>8.620000000000001</v>
      </c>
      <c r="AK758" s="19">
        <v>8.63333333333334</v>
      </c>
      <c r="AL758" s="16">
        <f t="shared" si="142"/>
        <v>2.8635783237584585E-2</v>
      </c>
      <c r="AM758" s="17">
        <v>0.93840579710145011</v>
      </c>
      <c r="AN758" s="19"/>
      <c r="AO758" s="19"/>
      <c r="AP758" s="19">
        <v>9.1999999999999993</v>
      </c>
      <c r="AQ758" s="19" t="s">
        <v>307</v>
      </c>
      <c r="AR758" s="9" t="s">
        <v>354</v>
      </c>
      <c r="AS758" s="12">
        <v>0</v>
      </c>
      <c r="AT758" s="19">
        <v>38.722099999999998</v>
      </c>
      <c r="AU758" s="19">
        <v>-122.9051</v>
      </c>
      <c r="AV758" s="19" t="s">
        <v>548</v>
      </c>
    </row>
    <row r="759" spans="1:48" x14ac:dyDescent="0.25">
      <c r="A759" s="18" t="s">
        <v>1146</v>
      </c>
      <c r="B759" s="10">
        <v>19721221</v>
      </c>
      <c r="C759" s="9">
        <v>9</v>
      </c>
      <c r="D759" s="8" t="str">
        <f t="shared" si="133"/>
        <v>N</v>
      </c>
      <c r="E759" s="8" t="str">
        <f t="shared" si="134"/>
        <v>Y</v>
      </c>
      <c r="F759" s="8" t="str">
        <f t="shared" si="135"/>
        <v>Y</v>
      </c>
      <c r="G759" s="8" t="str">
        <f t="shared" si="136"/>
        <v>Y</v>
      </c>
      <c r="H759" s="8" t="str">
        <f t="shared" si="137"/>
        <v>Upper</v>
      </c>
      <c r="I759" s="8" t="str">
        <f t="shared" si="138"/>
        <v>West Fork and Below Lake</v>
      </c>
      <c r="J759" s="8" t="str">
        <f t="shared" si="139"/>
        <v>Sonoma (d/s of Clov. Gage)</v>
      </c>
      <c r="K759" s="8" t="str">
        <f t="shared" si="140"/>
        <v>Post-1949</v>
      </c>
      <c r="L759" s="8">
        <f t="shared" si="141"/>
        <v>1972</v>
      </c>
      <c r="M759" s="8" t="str">
        <f t="shared" si="143"/>
        <v>1971-1990</v>
      </c>
      <c r="N759" s="10" t="s">
        <v>241</v>
      </c>
      <c r="O759" s="10" t="s">
        <v>241</v>
      </c>
      <c r="P759" s="10" t="s">
        <v>242</v>
      </c>
      <c r="Q759" s="10" t="s">
        <v>242</v>
      </c>
      <c r="R759" s="10" t="s">
        <v>241</v>
      </c>
      <c r="S759" s="10" t="s">
        <v>242</v>
      </c>
      <c r="T759" s="10" t="s">
        <v>242</v>
      </c>
      <c r="U759" s="10" t="s">
        <v>242</v>
      </c>
      <c r="V759" s="10" t="s">
        <v>241</v>
      </c>
      <c r="W759" s="10" t="s">
        <v>242</v>
      </c>
      <c r="X759" s="15">
        <f>IF(ISERROR(VLOOKUP($A759,'13. Updated Demand'!A:Z,15,FALSE)),0,VLOOKUP($A759,'13. Updated Demand'!A:Z,15,FALSE))</f>
        <v>0</v>
      </c>
      <c r="Y759" s="16">
        <f>IF(ISERROR(VLOOKUP($A759,'13. Updated Demand'!A:Z,16,FALSE)),0,VLOOKUP($A759,'13. Updated Demand'!A:Z,16,FALSE))</f>
        <v>0</v>
      </c>
      <c r="Z759" s="16">
        <f>IF(ISERROR(VLOOKUP($A759,'13. Updated Demand'!A:Z,17,FALSE)),0,VLOOKUP($A759,'13. Updated Demand'!A:Z,17,FALSE))</f>
        <v>6.74</v>
      </c>
      <c r="AA759" s="16">
        <f>IF(ISERROR(VLOOKUP($A759,'13. Updated Demand'!A:Z,18,FALSE)),0,VLOOKUP($A759,'13. Updated Demand'!A:Z,18,FALSE))</f>
        <v>0</v>
      </c>
      <c r="AB759" s="16">
        <f>IF(ISERROR(VLOOKUP($A759,'13. Updated Demand'!A:Z,19,FALSE)),0,VLOOKUP($A759,'13. Updated Demand'!A:Z,19,FALSE))</f>
        <v>0</v>
      </c>
      <c r="AC759" s="16">
        <f>IF(ISERROR(VLOOKUP($A759,'13. Updated Demand'!A:Z,20,FALSE)),0,VLOOKUP($A759,'13. Updated Demand'!A:Z,20,FALSE))</f>
        <v>0</v>
      </c>
      <c r="AD759" s="16">
        <f>IF(ISERROR(VLOOKUP($A759,'13. Updated Demand'!A:Z,21,FALSE)),0,VLOOKUP($A759,'13. Updated Demand'!A:Z,21,FALSE))</f>
        <v>0</v>
      </c>
      <c r="AE759" s="16">
        <f>IF(ISERROR(VLOOKUP($A759,'13. Updated Demand'!A:Z,22,FALSE)),0,VLOOKUP($A759,'13. Updated Demand'!A:Z,22,FALSE))</f>
        <v>0</v>
      </c>
      <c r="AF759" s="16">
        <f>IF(ISERROR(VLOOKUP($A759,'13. Updated Demand'!A:Z,23,FALSE)),0,VLOOKUP($A759,'13. Updated Demand'!A:Z,23,FALSE))</f>
        <v>0</v>
      </c>
      <c r="AG759" s="16">
        <f>IF(ISERROR(VLOOKUP($A759,'13. Updated Demand'!A:Z,24,FALSE)),0,VLOOKUP($A759,'13. Updated Demand'!A:Z,24,FALSE))</f>
        <v>0</v>
      </c>
      <c r="AH759" s="16">
        <f>IF(ISERROR(VLOOKUP($A759,'13. Updated Demand'!A:Z,25,FALSE)),0,VLOOKUP($A759,'13. Updated Demand'!A:Z,25,FALSE))</f>
        <v>0</v>
      </c>
      <c r="AI759" s="16">
        <f>IF(ISERROR(VLOOKUP($A759,'13. Updated Demand'!A:Z,26,FALSE)),0,VLOOKUP($A759,'13. Updated Demand'!A:Z,26,FALSE))</f>
        <v>0</v>
      </c>
      <c r="AJ759" s="16">
        <f t="shared" si="144"/>
        <v>6.74</v>
      </c>
      <c r="AK759" s="19">
        <v>0</v>
      </c>
      <c r="AL759" s="16">
        <f t="shared" si="142"/>
        <v>0</v>
      </c>
      <c r="AM759" s="17">
        <v>0.1348</v>
      </c>
      <c r="AN759" s="19"/>
      <c r="AO759" s="19"/>
      <c r="AP759" s="19">
        <v>50</v>
      </c>
      <c r="AQ759" s="19" t="s">
        <v>307</v>
      </c>
      <c r="AR759" s="9" t="s">
        <v>354</v>
      </c>
      <c r="AS759" s="12">
        <v>0</v>
      </c>
      <c r="AT759" s="19">
        <v>38.722136800000001</v>
      </c>
      <c r="AU759" s="19">
        <v>-122.90507301</v>
      </c>
      <c r="AV759" s="19" t="s">
        <v>548</v>
      </c>
    </row>
    <row r="760" spans="1:48" x14ac:dyDescent="0.25">
      <c r="A760" s="18" t="s">
        <v>1147</v>
      </c>
      <c r="B760" s="10">
        <v>19721222</v>
      </c>
      <c r="C760" s="9">
        <v>17</v>
      </c>
      <c r="D760" s="8" t="str">
        <f t="shared" si="133"/>
        <v>N</v>
      </c>
      <c r="E760" s="8" t="str">
        <f t="shared" si="134"/>
        <v>N</v>
      </c>
      <c r="F760" s="8" t="str">
        <f t="shared" si="135"/>
        <v>N</v>
      </c>
      <c r="G760" s="8" t="str">
        <f t="shared" si="136"/>
        <v>N</v>
      </c>
      <c r="H760" s="8" t="str">
        <f t="shared" si="137"/>
        <v>Lower</v>
      </c>
      <c r="I760" s="8" t="str">
        <f t="shared" si="138"/>
        <v>Outside</v>
      </c>
      <c r="J760" s="8" t="str">
        <f t="shared" si="139"/>
        <v>Outside</v>
      </c>
      <c r="K760" s="8" t="str">
        <f t="shared" si="140"/>
        <v>Post-1949</v>
      </c>
      <c r="L760" s="8">
        <f t="shared" si="141"/>
        <v>1972</v>
      </c>
      <c r="M760" s="8" t="str">
        <f t="shared" si="143"/>
        <v>1971-1990</v>
      </c>
      <c r="N760" s="10" t="s">
        <v>241</v>
      </c>
      <c r="O760" s="10" t="s">
        <v>242</v>
      </c>
      <c r="P760" s="10" t="s">
        <v>242</v>
      </c>
      <c r="Q760" s="10" t="s">
        <v>242</v>
      </c>
      <c r="R760" s="10" t="s">
        <v>241</v>
      </c>
      <c r="S760" s="10" t="s">
        <v>242</v>
      </c>
      <c r="T760" s="10" t="s">
        <v>242</v>
      </c>
      <c r="U760" s="10" t="s">
        <v>242</v>
      </c>
      <c r="V760" s="10" t="s">
        <v>242</v>
      </c>
      <c r="W760" s="10" t="s">
        <v>242</v>
      </c>
      <c r="X760" s="15">
        <f>IF(ISERROR(VLOOKUP($A760,'13. Updated Demand'!A:Z,15,FALSE)),0,VLOOKUP($A760,'13. Updated Demand'!A:Z,15,FALSE))</f>
        <v>0</v>
      </c>
      <c r="Y760" s="16">
        <f>IF(ISERROR(VLOOKUP($A760,'13. Updated Demand'!A:Z,16,FALSE)),0,VLOOKUP($A760,'13. Updated Demand'!A:Z,16,FALSE))</f>
        <v>0</v>
      </c>
      <c r="Z760" s="16">
        <f>IF(ISERROR(VLOOKUP($A760,'13. Updated Demand'!A:Z,17,FALSE)),0,VLOOKUP($A760,'13. Updated Demand'!A:Z,17,FALSE))</f>
        <v>0</v>
      </c>
      <c r="AA760" s="16">
        <f>IF(ISERROR(VLOOKUP($A760,'13. Updated Demand'!A:Z,18,FALSE)),0,VLOOKUP($A760,'13. Updated Demand'!A:Z,18,FALSE))</f>
        <v>0</v>
      </c>
      <c r="AB760" s="16">
        <f>IF(ISERROR(VLOOKUP($A760,'13. Updated Demand'!A:Z,19,FALSE)),0,VLOOKUP($A760,'13. Updated Demand'!A:Z,19,FALSE))</f>
        <v>2.5</v>
      </c>
      <c r="AC760" s="16">
        <f>IF(ISERROR(VLOOKUP($A760,'13. Updated Demand'!A:Z,20,FALSE)),0,VLOOKUP($A760,'13. Updated Demand'!A:Z,20,FALSE))</f>
        <v>8.2333333329999991</v>
      </c>
      <c r="AD760" s="16">
        <f>IF(ISERROR(VLOOKUP($A760,'13. Updated Demand'!A:Z,21,FALSE)),0,VLOOKUP($A760,'13. Updated Demand'!A:Z,21,FALSE))</f>
        <v>16.5</v>
      </c>
      <c r="AE760" s="16">
        <f>IF(ISERROR(VLOOKUP($A760,'13. Updated Demand'!A:Z,22,FALSE)),0,VLOOKUP($A760,'13. Updated Demand'!A:Z,22,FALSE))</f>
        <v>16.100000000000001</v>
      </c>
      <c r="AF760" s="16">
        <f>IF(ISERROR(VLOOKUP($A760,'13. Updated Demand'!A:Z,23,FALSE)),0,VLOOKUP($A760,'13. Updated Demand'!A:Z,23,FALSE))</f>
        <v>8.4666666670000001</v>
      </c>
      <c r="AG760" s="16">
        <f>IF(ISERROR(VLOOKUP($A760,'13. Updated Demand'!A:Z,24,FALSE)),0,VLOOKUP($A760,'13. Updated Demand'!A:Z,24,FALSE))</f>
        <v>0</v>
      </c>
      <c r="AH760" s="16">
        <f>IF(ISERROR(VLOOKUP($A760,'13. Updated Demand'!A:Z,25,FALSE)),0,VLOOKUP($A760,'13. Updated Demand'!A:Z,25,FALSE))</f>
        <v>0</v>
      </c>
      <c r="AI760" s="16">
        <f>IF(ISERROR(VLOOKUP($A760,'13. Updated Demand'!A:Z,26,FALSE)),0,VLOOKUP($A760,'13. Updated Demand'!A:Z,26,FALSE))</f>
        <v>0</v>
      </c>
      <c r="AJ760" s="16">
        <f t="shared" si="144"/>
        <v>51.8</v>
      </c>
      <c r="AK760" s="19">
        <v>51.8</v>
      </c>
      <c r="AL760" s="16">
        <f t="shared" si="142"/>
        <v>0.17181469942550737</v>
      </c>
      <c r="AM760" s="17">
        <v>0.50784313725490193</v>
      </c>
      <c r="AN760" s="19"/>
      <c r="AO760" s="19"/>
      <c r="AP760" s="19">
        <v>102</v>
      </c>
      <c r="AQ760" s="19" t="s">
        <v>307</v>
      </c>
      <c r="AR760" s="9" t="s">
        <v>486</v>
      </c>
      <c r="AS760" s="12">
        <v>0</v>
      </c>
      <c r="AT760" s="19">
        <v>38.578068399999999</v>
      </c>
      <c r="AU760" s="19">
        <v>-122.85584454000001</v>
      </c>
      <c r="AV760" s="19" t="s">
        <v>548</v>
      </c>
    </row>
    <row r="761" spans="1:48" x14ac:dyDescent="0.25">
      <c r="A761" s="18" t="s">
        <v>1148</v>
      </c>
      <c r="B761" s="10">
        <v>19721222</v>
      </c>
      <c r="C761" s="9">
        <v>17</v>
      </c>
      <c r="D761" s="8" t="str">
        <f t="shared" si="133"/>
        <v>N</v>
      </c>
      <c r="E761" s="8" t="str">
        <f t="shared" si="134"/>
        <v>N</v>
      </c>
      <c r="F761" s="8" t="str">
        <f t="shared" si="135"/>
        <v>N</v>
      </c>
      <c r="G761" s="8" t="str">
        <f t="shared" si="136"/>
        <v>N</v>
      </c>
      <c r="H761" s="8" t="str">
        <f t="shared" si="137"/>
        <v>Lower</v>
      </c>
      <c r="I761" s="8" t="str">
        <f t="shared" si="138"/>
        <v>Outside</v>
      </c>
      <c r="J761" s="8" t="str">
        <f t="shared" si="139"/>
        <v>Outside</v>
      </c>
      <c r="K761" s="8" t="str">
        <f t="shared" si="140"/>
        <v>Post-1949</v>
      </c>
      <c r="L761" s="8">
        <f t="shared" si="141"/>
        <v>1972</v>
      </c>
      <c r="M761" s="8" t="str">
        <f t="shared" si="143"/>
        <v>1971-1990</v>
      </c>
      <c r="N761" s="10" t="s">
        <v>241</v>
      </c>
      <c r="O761" s="10" t="s">
        <v>242</v>
      </c>
      <c r="P761" s="10" t="s">
        <v>242</v>
      </c>
      <c r="Q761" s="10" t="s">
        <v>242</v>
      </c>
      <c r="R761" s="10" t="s">
        <v>241</v>
      </c>
      <c r="S761" s="10" t="s">
        <v>242</v>
      </c>
      <c r="T761" s="10" t="s">
        <v>242</v>
      </c>
      <c r="U761" s="10" t="s">
        <v>242</v>
      </c>
      <c r="V761" s="10" t="s">
        <v>241</v>
      </c>
      <c r="W761" s="10" t="s">
        <v>242</v>
      </c>
      <c r="X761" s="15">
        <f>IF(ISERROR(VLOOKUP($A761,'13. Updated Demand'!A:Z,15,FALSE)),0,VLOOKUP($A761,'13. Updated Demand'!A:Z,15,FALSE))</f>
        <v>0</v>
      </c>
      <c r="Y761" s="16">
        <f>IF(ISERROR(VLOOKUP($A761,'13. Updated Demand'!A:Z,16,FALSE)),0,VLOOKUP($A761,'13. Updated Demand'!A:Z,16,FALSE))</f>
        <v>0</v>
      </c>
      <c r="Z761" s="16">
        <f>IF(ISERROR(VLOOKUP($A761,'13. Updated Demand'!A:Z,17,FALSE)),0,VLOOKUP($A761,'13. Updated Demand'!A:Z,17,FALSE))</f>
        <v>4.5</v>
      </c>
      <c r="AA761" s="16">
        <f>IF(ISERROR(VLOOKUP($A761,'13. Updated Demand'!A:Z,18,FALSE)),0,VLOOKUP($A761,'13. Updated Demand'!A:Z,18,FALSE))</f>
        <v>1.4666666669999999</v>
      </c>
      <c r="AB761" s="16">
        <f>IF(ISERROR(VLOOKUP($A761,'13. Updated Demand'!A:Z,19,FALSE)),0,VLOOKUP($A761,'13. Updated Demand'!A:Z,19,FALSE))</f>
        <v>0</v>
      </c>
      <c r="AC761" s="16">
        <f>IF(ISERROR(VLOOKUP($A761,'13. Updated Demand'!A:Z,20,FALSE)),0,VLOOKUP($A761,'13. Updated Demand'!A:Z,20,FALSE))</f>
        <v>0</v>
      </c>
      <c r="AD761" s="16">
        <f>IF(ISERROR(VLOOKUP($A761,'13. Updated Demand'!A:Z,21,FALSE)),0,VLOOKUP($A761,'13. Updated Demand'!A:Z,21,FALSE))</f>
        <v>0</v>
      </c>
      <c r="AE761" s="16">
        <f>IF(ISERROR(VLOOKUP($A761,'13. Updated Demand'!A:Z,22,FALSE)),0,VLOOKUP($A761,'13. Updated Demand'!A:Z,22,FALSE))</f>
        <v>0</v>
      </c>
      <c r="AF761" s="16">
        <f>IF(ISERROR(VLOOKUP($A761,'13. Updated Demand'!A:Z,23,FALSE)),0,VLOOKUP($A761,'13. Updated Demand'!A:Z,23,FALSE))</f>
        <v>0</v>
      </c>
      <c r="AG761" s="16">
        <f>IF(ISERROR(VLOOKUP($A761,'13. Updated Demand'!A:Z,24,FALSE)),0,VLOOKUP($A761,'13. Updated Demand'!A:Z,24,FALSE))</f>
        <v>0</v>
      </c>
      <c r="AH761" s="16">
        <f>IF(ISERROR(VLOOKUP($A761,'13. Updated Demand'!A:Z,25,FALSE)),0,VLOOKUP($A761,'13. Updated Demand'!A:Z,25,FALSE))</f>
        <v>0</v>
      </c>
      <c r="AI761" s="16">
        <f>IF(ISERROR(VLOOKUP($A761,'13. Updated Demand'!A:Z,26,FALSE)),0,VLOOKUP($A761,'13. Updated Demand'!A:Z,26,FALSE))</f>
        <v>0</v>
      </c>
      <c r="AJ761" s="16">
        <f t="shared" si="144"/>
        <v>5.9666666670000001</v>
      </c>
      <c r="AK761" s="19">
        <v>0</v>
      </c>
      <c r="AL761" s="16">
        <f t="shared" si="142"/>
        <v>0</v>
      </c>
      <c r="AM761" s="17">
        <v>5.4740061165137618E-2</v>
      </c>
      <c r="AN761" s="19"/>
      <c r="AO761" s="19"/>
      <c r="AP761" s="19">
        <v>109</v>
      </c>
      <c r="AQ761" s="19" t="s">
        <v>307</v>
      </c>
      <c r="AR761" s="9" t="s">
        <v>486</v>
      </c>
      <c r="AS761" s="12">
        <v>0</v>
      </c>
      <c r="AT761" s="19">
        <v>38.578068399999999</v>
      </c>
      <c r="AU761" s="19">
        <v>-122.85584454000001</v>
      </c>
      <c r="AV761" s="19" t="s">
        <v>548</v>
      </c>
    </row>
    <row r="762" spans="1:48" x14ac:dyDescent="0.25">
      <c r="A762" s="18" t="s">
        <v>1149</v>
      </c>
      <c r="B762" s="10">
        <v>19721222</v>
      </c>
      <c r="C762" s="9">
        <v>12</v>
      </c>
      <c r="D762" s="8" t="str">
        <f t="shared" si="133"/>
        <v>N</v>
      </c>
      <c r="E762" s="8" t="str">
        <f t="shared" si="134"/>
        <v>Y</v>
      </c>
      <c r="F762" s="8" t="str">
        <f t="shared" si="135"/>
        <v>Y</v>
      </c>
      <c r="G762" s="8" t="str">
        <f t="shared" si="136"/>
        <v>Y</v>
      </c>
      <c r="H762" s="8" t="str">
        <f t="shared" si="137"/>
        <v>Upper</v>
      </c>
      <c r="I762" s="8" t="str">
        <f t="shared" si="138"/>
        <v>West Fork and Below Lake</v>
      </c>
      <c r="J762" s="8" t="str">
        <f t="shared" si="139"/>
        <v>Sonoma (d/s of Clov. Gage)</v>
      </c>
      <c r="K762" s="8" t="str">
        <f t="shared" si="140"/>
        <v>Post-1949</v>
      </c>
      <c r="L762" s="8">
        <f t="shared" si="141"/>
        <v>1972</v>
      </c>
      <c r="M762" s="8" t="str">
        <f t="shared" si="143"/>
        <v>1971-1990</v>
      </c>
      <c r="N762" s="10" t="s">
        <v>241</v>
      </c>
      <c r="O762" s="10" t="s">
        <v>241</v>
      </c>
      <c r="P762" s="10" t="s">
        <v>242</v>
      </c>
      <c r="Q762" s="10" t="s">
        <v>242</v>
      </c>
      <c r="R762" s="10" t="s">
        <v>241</v>
      </c>
      <c r="S762" s="10" t="s">
        <v>242</v>
      </c>
      <c r="T762" s="10" t="s">
        <v>242</v>
      </c>
      <c r="U762" s="10" t="s">
        <v>241</v>
      </c>
      <c r="V762" s="10" t="s">
        <v>241</v>
      </c>
      <c r="W762" s="10" t="s">
        <v>242</v>
      </c>
      <c r="X762" s="15">
        <f>IF(ISERROR(VLOOKUP($A762,'13. Updated Demand'!A:Z,15,FALSE)),0,VLOOKUP($A762,'13. Updated Demand'!A:Z,15,FALSE))</f>
        <v>0</v>
      </c>
      <c r="Y762" s="16">
        <f>IF(ISERROR(VLOOKUP($A762,'13. Updated Demand'!A:Z,16,FALSE)),0,VLOOKUP($A762,'13. Updated Demand'!A:Z,16,FALSE))</f>
        <v>0</v>
      </c>
      <c r="Z762" s="16">
        <f>IF(ISERROR(VLOOKUP($A762,'13. Updated Demand'!A:Z,17,FALSE)),0,VLOOKUP($A762,'13. Updated Demand'!A:Z,17,FALSE))</f>
        <v>0</v>
      </c>
      <c r="AA762" s="16">
        <f>IF(ISERROR(VLOOKUP($A762,'13. Updated Demand'!A:Z,18,FALSE)),0,VLOOKUP($A762,'13. Updated Demand'!A:Z,18,FALSE))</f>
        <v>0</v>
      </c>
      <c r="AB762" s="16">
        <f>IF(ISERROR(VLOOKUP($A762,'13. Updated Demand'!A:Z,19,FALSE)),0,VLOOKUP($A762,'13. Updated Demand'!A:Z,19,FALSE))</f>
        <v>0</v>
      </c>
      <c r="AC762" s="16">
        <f>IF(ISERROR(VLOOKUP($A762,'13. Updated Demand'!A:Z,20,FALSE)),0,VLOOKUP($A762,'13. Updated Demand'!A:Z,20,FALSE))</f>
        <v>0</v>
      </c>
      <c r="AD762" s="16">
        <f>IF(ISERROR(VLOOKUP($A762,'13. Updated Demand'!A:Z,21,FALSE)),0,VLOOKUP($A762,'13. Updated Demand'!A:Z,21,FALSE))</f>
        <v>0</v>
      </c>
      <c r="AE762" s="16">
        <f>IF(ISERROR(VLOOKUP($A762,'13. Updated Demand'!A:Z,22,FALSE)),0,VLOOKUP($A762,'13. Updated Demand'!A:Z,22,FALSE))</f>
        <v>0</v>
      </c>
      <c r="AF762" s="16">
        <f>IF(ISERROR(VLOOKUP($A762,'13. Updated Demand'!A:Z,23,FALSE)),0,VLOOKUP($A762,'13. Updated Demand'!A:Z,23,FALSE))</f>
        <v>0</v>
      </c>
      <c r="AG762" s="16">
        <f>IF(ISERROR(VLOOKUP($A762,'13. Updated Demand'!A:Z,24,FALSE)),0,VLOOKUP($A762,'13. Updated Demand'!A:Z,24,FALSE))</f>
        <v>0</v>
      </c>
      <c r="AH762" s="16">
        <f>IF(ISERROR(VLOOKUP($A762,'13. Updated Demand'!A:Z,25,FALSE)),0,VLOOKUP($A762,'13. Updated Demand'!A:Z,25,FALSE))</f>
        <v>0</v>
      </c>
      <c r="AI762" s="16">
        <f>IF(ISERROR(VLOOKUP($A762,'13. Updated Demand'!A:Z,26,FALSE)),0,VLOOKUP($A762,'13. Updated Demand'!A:Z,26,FALSE))</f>
        <v>0</v>
      </c>
      <c r="AJ762" s="16">
        <f t="shared" si="144"/>
        <v>0</v>
      </c>
      <c r="AK762" s="19">
        <v>0</v>
      </c>
      <c r="AL762" s="16">
        <f t="shared" si="142"/>
        <v>0</v>
      </c>
      <c r="AM762" s="17">
        <v>0</v>
      </c>
      <c r="AN762" s="19"/>
      <c r="AO762" s="19"/>
      <c r="AP762" s="19">
        <v>26</v>
      </c>
      <c r="AQ762" s="19" t="s">
        <v>307</v>
      </c>
      <c r="AR762" s="9" t="s">
        <v>311</v>
      </c>
      <c r="AS762" s="12">
        <v>0</v>
      </c>
      <c r="AT762" s="19">
        <v>38.642526289999999</v>
      </c>
      <c r="AU762" s="19">
        <v>-122.79872819000001</v>
      </c>
      <c r="AV762" s="19" t="s">
        <v>548</v>
      </c>
    </row>
    <row r="763" spans="1:48" x14ac:dyDescent="0.25">
      <c r="A763" s="18" t="s">
        <v>1150</v>
      </c>
      <c r="B763" s="10">
        <v>19721222</v>
      </c>
      <c r="C763" s="9">
        <v>12</v>
      </c>
      <c r="D763" s="8" t="str">
        <f t="shared" si="133"/>
        <v>N</v>
      </c>
      <c r="E763" s="8" t="str">
        <f t="shared" si="134"/>
        <v>Y</v>
      </c>
      <c r="F763" s="8" t="str">
        <f t="shared" si="135"/>
        <v>Y</v>
      </c>
      <c r="G763" s="8" t="str">
        <f t="shared" si="136"/>
        <v>Y</v>
      </c>
      <c r="H763" s="8" t="str">
        <f t="shared" si="137"/>
        <v>Upper</v>
      </c>
      <c r="I763" s="8" t="str">
        <f t="shared" si="138"/>
        <v>West Fork and Below Lake</v>
      </c>
      <c r="J763" s="8" t="str">
        <f t="shared" si="139"/>
        <v>Sonoma (d/s of Clov. Gage)</v>
      </c>
      <c r="K763" s="8" t="str">
        <f t="shared" si="140"/>
        <v>Post-1949</v>
      </c>
      <c r="L763" s="8">
        <f t="shared" si="141"/>
        <v>1972</v>
      </c>
      <c r="M763" s="8" t="str">
        <f t="shared" si="143"/>
        <v>1971-1990</v>
      </c>
      <c r="N763" s="10" t="s">
        <v>241</v>
      </c>
      <c r="O763" s="10" t="s">
        <v>241</v>
      </c>
      <c r="P763" s="10" t="s">
        <v>242</v>
      </c>
      <c r="Q763" s="10" t="s">
        <v>242</v>
      </c>
      <c r="R763" s="10" t="s">
        <v>241</v>
      </c>
      <c r="S763" s="10" t="s">
        <v>242</v>
      </c>
      <c r="T763" s="10" t="s">
        <v>242</v>
      </c>
      <c r="U763" s="10" t="s">
        <v>241</v>
      </c>
      <c r="V763" s="10" t="s">
        <v>241</v>
      </c>
      <c r="W763" s="10" t="s">
        <v>242</v>
      </c>
      <c r="X763" s="15">
        <f>IF(ISERROR(VLOOKUP($A763,'13. Updated Demand'!A:Z,15,FALSE)),0,VLOOKUP($A763,'13. Updated Demand'!A:Z,15,FALSE))</f>
        <v>0</v>
      </c>
      <c r="Y763" s="16">
        <f>IF(ISERROR(VLOOKUP($A763,'13. Updated Demand'!A:Z,16,FALSE)),0,VLOOKUP($A763,'13. Updated Demand'!A:Z,16,FALSE))</f>
        <v>0</v>
      </c>
      <c r="Z763" s="16">
        <f>IF(ISERROR(VLOOKUP($A763,'13. Updated Demand'!A:Z,17,FALSE)),0,VLOOKUP($A763,'13. Updated Demand'!A:Z,17,FALSE))</f>
        <v>0</v>
      </c>
      <c r="AA763" s="16">
        <f>IF(ISERROR(VLOOKUP($A763,'13. Updated Demand'!A:Z,18,FALSE)),0,VLOOKUP($A763,'13. Updated Demand'!A:Z,18,FALSE))</f>
        <v>0</v>
      </c>
      <c r="AB763" s="16">
        <f>IF(ISERROR(VLOOKUP($A763,'13. Updated Demand'!A:Z,19,FALSE)),0,VLOOKUP($A763,'13. Updated Demand'!A:Z,19,FALSE))</f>
        <v>0</v>
      </c>
      <c r="AC763" s="16">
        <f>IF(ISERROR(VLOOKUP($A763,'13. Updated Demand'!A:Z,20,FALSE)),0,VLOOKUP($A763,'13. Updated Demand'!A:Z,20,FALSE))</f>
        <v>0</v>
      </c>
      <c r="AD763" s="16">
        <f>IF(ISERROR(VLOOKUP($A763,'13. Updated Demand'!A:Z,21,FALSE)),0,VLOOKUP($A763,'13. Updated Demand'!A:Z,21,FALSE))</f>
        <v>0</v>
      </c>
      <c r="AE763" s="16">
        <f>IF(ISERROR(VLOOKUP($A763,'13. Updated Demand'!A:Z,22,FALSE)),0,VLOOKUP($A763,'13. Updated Demand'!A:Z,22,FALSE))</f>
        <v>0</v>
      </c>
      <c r="AF763" s="16">
        <f>IF(ISERROR(VLOOKUP($A763,'13. Updated Demand'!A:Z,23,FALSE)),0,VLOOKUP($A763,'13. Updated Demand'!A:Z,23,FALSE))</f>
        <v>0</v>
      </c>
      <c r="AG763" s="16">
        <f>IF(ISERROR(VLOOKUP($A763,'13. Updated Demand'!A:Z,24,FALSE)),0,VLOOKUP($A763,'13. Updated Demand'!A:Z,24,FALSE))</f>
        <v>0</v>
      </c>
      <c r="AH763" s="16">
        <f>IF(ISERROR(VLOOKUP($A763,'13. Updated Demand'!A:Z,25,FALSE)),0,VLOOKUP($A763,'13. Updated Demand'!A:Z,25,FALSE))</f>
        <v>0</v>
      </c>
      <c r="AI763" s="16">
        <f>IF(ISERROR(VLOOKUP($A763,'13. Updated Demand'!A:Z,26,FALSE)),0,VLOOKUP($A763,'13. Updated Demand'!A:Z,26,FALSE))</f>
        <v>0</v>
      </c>
      <c r="AJ763" s="16">
        <f t="shared" si="144"/>
        <v>0</v>
      </c>
      <c r="AK763" s="19">
        <v>0</v>
      </c>
      <c r="AL763" s="16">
        <f t="shared" si="142"/>
        <v>0</v>
      </c>
      <c r="AM763" s="17">
        <v>0</v>
      </c>
      <c r="AN763" s="19"/>
      <c r="AO763" s="19"/>
      <c r="AP763" s="19">
        <v>13</v>
      </c>
      <c r="AQ763" s="19" t="s">
        <v>307</v>
      </c>
      <c r="AR763" s="9" t="s">
        <v>311</v>
      </c>
      <c r="AS763" s="12">
        <v>0</v>
      </c>
      <c r="AT763" s="19">
        <v>38.649275660000001</v>
      </c>
      <c r="AU763" s="19">
        <v>-122.80837299</v>
      </c>
      <c r="AV763" s="19" t="s">
        <v>387</v>
      </c>
    </row>
    <row r="764" spans="1:48" x14ac:dyDescent="0.25">
      <c r="A764" s="18" t="s">
        <v>1151</v>
      </c>
      <c r="B764" s="10">
        <v>19721222</v>
      </c>
      <c r="C764" s="9">
        <v>17</v>
      </c>
      <c r="D764" s="8" t="str">
        <f t="shared" si="133"/>
        <v>N</v>
      </c>
      <c r="E764" s="8" t="str">
        <f t="shared" si="134"/>
        <v>N</v>
      </c>
      <c r="F764" s="8" t="str">
        <f t="shared" si="135"/>
        <v>N</v>
      </c>
      <c r="G764" s="8" t="str">
        <f t="shared" si="136"/>
        <v>N</v>
      </c>
      <c r="H764" s="8" t="str">
        <f t="shared" si="137"/>
        <v>Lower</v>
      </c>
      <c r="I764" s="8" t="str">
        <f t="shared" si="138"/>
        <v>Outside</v>
      </c>
      <c r="J764" s="8" t="str">
        <f t="shared" si="139"/>
        <v>Outside</v>
      </c>
      <c r="K764" s="8" t="str">
        <f t="shared" si="140"/>
        <v>Post-1949</v>
      </c>
      <c r="L764" s="8">
        <f t="shared" si="141"/>
        <v>1972</v>
      </c>
      <c r="M764" s="8" t="str">
        <f t="shared" si="143"/>
        <v>1971-1990</v>
      </c>
      <c r="N764" s="10" t="s">
        <v>241</v>
      </c>
      <c r="O764" s="10" t="s">
        <v>242</v>
      </c>
      <c r="P764" s="10" t="s">
        <v>242</v>
      </c>
      <c r="Q764" s="10" t="s">
        <v>242</v>
      </c>
      <c r="R764" s="10" t="s">
        <v>241</v>
      </c>
      <c r="S764" s="10" t="s">
        <v>242</v>
      </c>
      <c r="T764" s="10" t="s">
        <v>242</v>
      </c>
      <c r="U764" s="10" t="s">
        <v>242</v>
      </c>
      <c r="V764" s="10" t="s">
        <v>241</v>
      </c>
      <c r="W764" s="10" t="s">
        <v>242</v>
      </c>
      <c r="X764" s="15">
        <f>IF(ISERROR(VLOOKUP($A764,'13. Updated Demand'!A:Z,15,FALSE)),0,VLOOKUP($A764,'13. Updated Demand'!A:Z,15,FALSE))</f>
        <v>0</v>
      </c>
      <c r="Y764" s="16">
        <f>IF(ISERROR(VLOOKUP($A764,'13. Updated Demand'!A:Z,16,FALSE)),0,VLOOKUP($A764,'13. Updated Demand'!A:Z,16,FALSE))</f>
        <v>8.6666667000000003E-2</v>
      </c>
      <c r="Z764" s="16">
        <f>IF(ISERROR(VLOOKUP($A764,'13. Updated Demand'!A:Z,17,FALSE)),0,VLOOKUP($A764,'13. Updated Demand'!A:Z,17,FALSE))</f>
        <v>0.51485700000000001</v>
      </c>
      <c r="AA764" s="16">
        <f>IF(ISERROR(VLOOKUP($A764,'13. Updated Demand'!A:Z,18,FALSE)),0,VLOOKUP($A764,'13. Updated Demand'!A:Z,18,FALSE))</f>
        <v>0</v>
      </c>
      <c r="AB764" s="16">
        <f>IF(ISERROR(VLOOKUP($A764,'13. Updated Demand'!A:Z,19,FALSE)),0,VLOOKUP($A764,'13. Updated Demand'!A:Z,19,FALSE))</f>
        <v>0</v>
      </c>
      <c r="AC764" s="16">
        <f>IF(ISERROR(VLOOKUP($A764,'13. Updated Demand'!A:Z,20,FALSE)),0,VLOOKUP($A764,'13. Updated Demand'!A:Z,20,FALSE))</f>
        <v>0</v>
      </c>
      <c r="AD764" s="16">
        <f>IF(ISERROR(VLOOKUP($A764,'13. Updated Demand'!A:Z,21,FALSE)),0,VLOOKUP($A764,'13. Updated Demand'!A:Z,21,FALSE))</f>
        <v>0</v>
      </c>
      <c r="AE764" s="16">
        <f>IF(ISERROR(VLOOKUP($A764,'13. Updated Demand'!A:Z,22,FALSE)),0,VLOOKUP($A764,'13. Updated Demand'!A:Z,22,FALSE))</f>
        <v>0</v>
      </c>
      <c r="AF764" s="16">
        <f>IF(ISERROR(VLOOKUP($A764,'13. Updated Demand'!A:Z,23,FALSE)),0,VLOOKUP($A764,'13. Updated Demand'!A:Z,23,FALSE))</f>
        <v>0</v>
      </c>
      <c r="AG764" s="16">
        <f>IF(ISERROR(VLOOKUP($A764,'13. Updated Demand'!A:Z,24,FALSE)),0,VLOOKUP($A764,'13. Updated Demand'!A:Z,24,FALSE))</f>
        <v>1.284334667</v>
      </c>
      <c r="AH764" s="16">
        <f>IF(ISERROR(VLOOKUP($A764,'13. Updated Demand'!A:Z,25,FALSE)),0,VLOOKUP($A764,'13. Updated Demand'!A:Z,25,FALSE))</f>
        <v>0.63333333300000005</v>
      </c>
      <c r="AI764" s="16">
        <f>IF(ISERROR(VLOOKUP($A764,'13. Updated Demand'!A:Z,26,FALSE)),0,VLOOKUP($A764,'13. Updated Demand'!A:Z,26,FALSE))</f>
        <v>0</v>
      </c>
      <c r="AJ764" s="16">
        <f t="shared" si="144"/>
        <v>2.5191916669999999</v>
      </c>
      <c r="AK764" s="19">
        <v>0</v>
      </c>
      <c r="AL764" s="16">
        <f t="shared" si="142"/>
        <v>0</v>
      </c>
      <c r="AM764" s="17">
        <v>2.0153533336E-2</v>
      </c>
      <c r="AN764" s="19"/>
      <c r="AO764" s="19"/>
      <c r="AP764" s="19">
        <v>125</v>
      </c>
      <c r="AQ764" s="19" t="s">
        <v>307</v>
      </c>
      <c r="AR764" s="9" t="s">
        <v>486</v>
      </c>
      <c r="AS764" s="12">
        <v>0</v>
      </c>
      <c r="AT764" s="19">
        <v>38.566499999999998</v>
      </c>
      <c r="AU764" s="19">
        <v>-122.85469999999999</v>
      </c>
      <c r="AV764" s="19" t="s">
        <v>548</v>
      </c>
    </row>
    <row r="765" spans="1:48" x14ac:dyDescent="0.25">
      <c r="A765" s="18" t="s">
        <v>1152</v>
      </c>
      <c r="B765" s="10">
        <v>19721222</v>
      </c>
      <c r="C765" s="9">
        <v>17</v>
      </c>
      <c r="D765" s="8" t="str">
        <f t="shared" si="133"/>
        <v>N</v>
      </c>
      <c r="E765" s="8" t="str">
        <f t="shared" si="134"/>
        <v>N</v>
      </c>
      <c r="F765" s="8" t="str">
        <f t="shared" si="135"/>
        <v>N</v>
      </c>
      <c r="G765" s="8" t="str">
        <f t="shared" si="136"/>
        <v>N</v>
      </c>
      <c r="H765" s="8" t="str">
        <f t="shared" si="137"/>
        <v>Lower</v>
      </c>
      <c r="I765" s="8" t="str">
        <f t="shared" si="138"/>
        <v>Outside</v>
      </c>
      <c r="J765" s="8" t="str">
        <f t="shared" si="139"/>
        <v>Outside</v>
      </c>
      <c r="K765" s="8" t="str">
        <f t="shared" si="140"/>
        <v>Post-1949</v>
      </c>
      <c r="L765" s="8">
        <f t="shared" si="141"/>
        <v>1972</v>
      </c>
      <c r="M765" s="8" t="str">
        <f t="shared" si="143"/>
        <v>1971-1990</v>
      </c>
      <c r="N765" s="10" t="s">
        <v>241</v>
      </c>
      <c r="O765" s="10" t="s">
        <v>242</v>
      </c>
      <c r="P765" s="10" t="s">
        <v>242</v>
      </c>
      <c r="Q765" s="10" t="s">
        <v>242</v>
      </c>
      <c r="R765" s="10" t="s">
        <v>241</v>
      </c>
      <c r="S765" s="10" t="s">
        <v>242</v>
      </c>
      <c r="T765" s="10" t="s">
        <v>242</v>
      </c>
      <c r="U765" s="10" t="s">
        <v>242</v>
      </c>
      <c r="V765" s="10" t="s">
        <v>241</v>
      </c>
      <c r="W765" s="10" t="s">
        <v>242</v>
      </c>
      <c r="X765" s="15">
        <f>IF(ISERROR(VLOOKUP($A765,'13. Updated Demand'!A:Z,15,FALSE)),0,VLOOKUP($A765,'13. Updated Demand'!A:Z,15,FALSE))</f>
        <v>0</v>
      </c>
      <c r="Y765" s="16">
        <f>IF(ISERROR(VLOOKUP($A765,'13. Updated Demand'!A:Z,16,FALSE)),0,VLOOKUP($A765,'13. Updated Demand'!A:Z,16,FALSE))</f>
        <v>0.29333333299999997</v>
      </c>
      <c r="Z765" s="16">
        <f>IF(ISERROR(VLOOKUP($A765,'13. Updated Demand'!A:Z,17,FALSE)),0,VLOOKUP($A765,'13. Updated Demand'!A:Z,17,FALSE))</f>
        <v>0.56062633299999998</v>
      </c>
      <c r="AA765" s="16">
        <f>IF(ISERROR(VLOOKUP($A765,'13. Updated Demand'!A:Z,18,FALSE)),0,VLOOKUP($A765,'13. Updated Demand'!A:Z,18,FALSE))</f>
        <v>0</v>
      </c>
      <c r="AB765" s="16">
        <f>IF(ISERROR(VLOOKUP($A765,'13. Updated Demand'!A:Z,19,FALSE)),0,VLOOKUP($A765,'13. Updated Demand'!A:Z,19,FALSE))</f>
        <v>0</v>
      </c>
      <c r="AC765" s="16">
        <f>IF(ISERROR(VLOOKUP($A765,'13. Updated Demand'!A:Z,20,FALSE)),0,VLOOKUP($A765,'13. Updated Demand'!A:Z,20,FALSE))</f>
        <v>0</v>
      </c>
      <c r="AD765" s="16">
        <f>IF(ISERROR(VLOOKUP($A765,'13. Updated Demand'!A:Z,21,FALSE)),0,VLOOKUP($A765,'13. Updated Demand'!A:Z,21,FALSE))</f>
        <v>0</v>
      </c>
      <c r="AE765" s="16">
        <f>IF(ISERROR(VLOOKUP($A765,'13. Updated Demand'!A:Z,22,FALSE)),0,VLOOKUP($A765,'13. Updated Demand'!A:Z,22,FALSE))</f>
        <v>0</v>
      </c>
      <c r="AF765" s="16">
        <f>IF(ISERROR(VLOOKUP($A765,'13. Updated Demand'!A:Z,23,FALSE)),0,VLOOKUP($A765,'13. Updated Demand'!A:Z,23,FALSE))</f>
        <v>0</v>
      </c>
      <c r="AG765" s="16">
        <f>IF(ISERROR(VLOOKUP($A765,'13. Updated Demand'!A:Z,24,FALSE)),0,VLOOKUP($A765,'13. Updated Demand'!A:Z,24,FALSE))</f>
        <v>1.850698</v>
      </c>
      <c r="AH765" s="16">
        <f>IF(ISERROR(VLOOKUP($A765,'13. Updated Demand'!A:Z,25,FALSE)),0,VLOOKUP($A765,'13. Updated Demand'!A:Z,25,FALSE))</f>
        <v>0.87333333300000004</v>
      </c>
      <c r="AI765" s="16">
        <f>IF(ISERROR(VLOOKUP($A765,'13. Updated Demand'!A:Z,26,FALSE)),0,VLOOKUP($A765,'13. Updated Demand'!A:Z,26,FALSE))</f>
        <v>0</v>
      </c>
      <c r="AJ765" s="16">
        <f t="shared" si="144"/>
        <v>3.5779909990000003</v>
      </c>
      <c r="AK765" s="19">
        <v>0</v>
      </c>
      <c r="AL765" s="16">
        <f t="shared" si="142"/>
        <v>0</v>
      </c>
      <c r="AM765" s="17">
        <v>5.1854942014492754E-3</v>
      </c>
      <c r="AN765" s="19"/>
      <c r="AO765" s="19"/>
      <c r="AP765" s="19">
        <v>690</v>
      </c>
      <c r="AQ765" s="19" t="s">
        <v>307</v>
      </c>
      <c r="AR765" s="9" t="s">
        <v>486</v>
      </c>
      <c r="AS765" s="12">
        <v>0</v>
      </c>
      <c r="AT765" s="19">
        <v>38.566499999999998</v>
      </c>
      <c r="AU765" s="19">
        <v>-122.85469999999999</v>
      </c>
      <c r="AV765" s="19" t="s">
        <v>548</v>
      </c>
    </row>
    <row r="766" spans="1:48" x14ac:dyDescent="0.25">
      <c r="A766" s="18" t="s">
        <v>1153</v>
      </c>
      <c r="B766" s="10">
        <v>19721222</v>
      </c>
      <c r="C766" s="9">
        <v>23</v>
      </c>
      <c r="D766" s="8" t="str">
        <f t="shared" si="133"/>
        <v>N</v>
      </c>
      <c r="E766" s="8" t="str">
        <f t="shared" si="134"/>
        <v>N</v>
      </c>
      <c r="F766" s="8" t="str">
        <f t="shared" si="135"/>
        <v>N</v>
      </c>
      <c r="G766" s="8" t="str">
        <f t="shared" si="136"/>
        <v>N</v>
      </c>
      <c r="H766" s="8" t="str">
        <f t="shared" si="137"/>
        <v>Lower</v>
      </c>
      <c r="I766" s="8" t="str">
        <f t="shared" si="138"/>
        <v>Outside</v>
      </c>
      <c r="J766" s="8" t="str">
        <f t="shared" si="139"/>
        <v>Outside</v>
      </c>
      <c r="K766" s="8" t="str">
        <f t="shared" si="140"/>
        <v>Post-1949</v>
      </c>
      <c r="L766" s="8">
        <f t="shared" si="141"/>
        <v>1972</v>
      </c>
      <c r="M766" s="8" t="str">
        <f t="shared" si="143"/>
        <v>1971-1990</v>
      </c>
      <c r="N766" s="10" t="s">
        <v>242</v>
      </c>
      <c r="O766" s="10" t="s">
        <v>242</v>
      </c>
      <c r="P766" s="10" t="s">
        <v>242</v>
      </c>
      <c r="Q766" s="10" t="s">
        <v>242</v>
      </c>
      <c r="R766" s="10" t="s">
        <v>241</v>
      </c>
      <c r="S766" s="10" t="s">
        <v>242</v>
      </c>
      <c r="T766" s="10" t="s">
        <v>242</v>
      </c>
      <c r="U766" s="10" t="s">
        <v>241</v>
      </c>
      <c r="V766" s="10" t="s">
        <v>241</v>
      </c>
      <c r="W766" s="10" t="s">
        <v>242</v>
      </c>
      <c r="X766" s="15">
        <f>IF(ISERROR(VLOOKUP($A766,'13. Updated Demand'!A:Z,15,FALSE)),0,VLOOKUP($A766,'13. Updated Demand'!A:Z,15,FALSE))</f>
        <v>0</v>
      </c>
      <c r="Y766" s="16">
        <f>IF(ISERROR(VLOOKUP($A766,'13. Updated Demand'!A:Z,16,FALSE)),0,VLOOKUP($A766,'13. Updated Demand'!A:Z,16,FALSE))</f>
        <v>0</v>
      </c>
      <c r="Z766" s="16">
        <f>IF(ISERROR(VLOOKUP($A766,'13. Updated Demand'!A:Z,17,FALSE)),0,VLOOKUP($A766,'13. Updated Demand'!A:Z,17,FALSE))</f>
        <v>0</v>
      </c>
      <c r="AA766" s="16">
        <f>IF(ISERROR(VLOOKUP($A766,'13. Updated Demand'!A:Z,18,FALSE)),0,VLOOKUP($A766,'13. Updated Demand'!A:Z,18,FALSE))</f>
        <v>0</v>
      </c>
      <c r="AB766" s="16">
        <f>IF(ISERROR(VLOOKUP($A766,'13. Updated Demand'!A:Z,19,FALSE)),0,VLOOKUP($A766,'13. Updated Demand'!A:Z,19,FALSE))</f>
        <v>0</v>
      </c>
      <c r="AC766" s="16">
        <f>IF(ISERROR(VLOOKUP($A766,'13. Updated Demand'!A:Z,20,FALSE)),0,VLOOKUP($A766,'13. Updated Demand'!A:Z,20,FALSE))</f>
        <v>0</v>
      </c>
      <c r="AD766" s="16">
        <f>IF(ISERROR(VLOOKUP($A766,'13. Updated Demand'!A:Z,21,FALSE)),0,VLOOKUP($A766,'13. Updated Demand'!A:Z,21,FALSE))</f>
        <v>0</v>
      </c>
      <c r="AE766" s="16">
        <f>IF(ISERROR(VLOOKUP($A766,'13. Updated Demand'!A:Z,22,FALSE)),0,VLOOKUP($A766,'13. Updated Demand'!A:Z,22,FALSE))</f>
        <v>0</v>
      </c>
      <c r="AF766" s="16">
        <f>IF(ISERROR(VLOOKUP($A766,'13. Updated Demand'!A:Z,23,FALSE)),0,VLOOKUP($A766,'13. Updated Demand'!A:Z,23,FALSE))</f>
        <v>0</v>
      </c>
      <c r="AG766" s="16">
        <f>IF(ISERROR(VLOOKUP($A766,'13. Updated Demand'!A:Z,24,FALSE)),0,VLOOKUP($A766,'13. Updated Demand'!A:Z,24,FALSE))</f>
        <v>0</v>
      </c>
      <c r="AH766" s="16">
        <f>IF(ISERROR(VLOOKUP($A766,'13. Updated Demand'!A:Z,25,FALSE)),0,VLOOKUP($A766,'13. Updated Demand'!A:Z,25,FALSE))</f>
        <v>0</v>
      </c>
      <c r="AI766" s="16">
        <f>IF(ISERROR(VLOOKUP($A766,'13. Updated Demand'!A:Z,26,FALSE)),0,VLOOKUP($A766,'13. Updated Demand'!A:Z,26,FALSE))</f>
        <v>0</v>
      </c>
      <c r="AJ766" s="16">
        <f t="shared" si="144"/>
        <v>0</v>
      </c>
      <c r="AK766" s="19">
        <v>0</v>
      </c>
      <c r="AL766" s="16">
        <f t="shared" si="142"/>
        <v>0</v>
      </c>
      <c r="AM766" s="17">
        <v>0</v>
      </c>
      <c r="AN766" s="19"/>
      <c r="AO766" s="19"/>
      <c r="AP766" s="19">
        <v>7.5</v>
      </c>
      <c r="AQ766" s="19" t="s">
        <v>307</v>
      </c>
      <c r="AR766" s="9" t="s">
        <v>323</v>
      </c>
      <c r="AS766" s="12">
        <v>0</v>
      </c>
      <c r="AT766" s="19">
        <v>38.495314870000001</v>
      </c>
      <c r="AU766" s="19">
        <v>-122.86900498</v>
      </c>
      <c r="AV766" s="19" t="s">
        <v>735</v>
      </c>
    </row>
    <row r="767" spans="1:48" x14ac:dyDescent="0.25">
      <c r="A767" s="18" t="s">
        <v>1154</v>
      </c>
      <c r="B767" s="10">
        <v>19721222</v>
      </c>
      <c r="C767" s="9">
        <v>23</v>
      </c>
      <c r="D767" s="8" t="str">
        <f t="shared" si="133"/>
        <v>N</v>
      </c>
      <c r="E767" s="8" t="str">
        <f t="shared" si="134"/>
        <v>N</v>
      </c>
      <c r="F767" s="8" t="str">
        <f t="shared" si="135"/>
        <v>N</v>
      </c>
      <c r="G767" s="8" t="str">
        <f t="shared" si="136"/>
        <v>N</v>
      </c>
      <c r="H767" s="8" t="str">
        <f t="shared" si="137"/>
        <v>Lower</v>
      </c>
      <c r="I767" s="8" t="str">
        <f t="shared" si="138"/>
        <v>Outside</v>
      </c>
      <c r="J767" s="8" t="str">
        <f t="shared" si="139"/>
        <v>Outside</v>
      </c>
      <c r="K767" s="8" t="str">
        <f t="shared" si="140"/>
        <v>Post-1949</v>
      </c>
      <c r="L767" s="8">
        <f t="shared" si="141"/>
        <v>1972</v>
      </c>
      <c r="M767" s="8" t="str">
        <f t="shared" si="143"/>
        <v>1971-1990</v>
      </c>
      <c r="N767" s="10" t="s">
        <v>242</v>
      </c>
      <c r="O767" s="10" t="s">
        <v>242</v>
      </c>
      <c r="P767" s="10" t="s">
        <v>242</v>
      </c>
      <c r="Q767" s="10" t="s">
        <v>242</v>
      </c>
      <c r="R767" s="10" t="s">
        <v>241</v>
      </c>
      <c r="S767" s="10" t="s">
        <v>242</v>
      </c>
      <c r="T767" s="10" t="s">
        <v>242</v>
      </c>
      <c r="U767" s="10" t="s">
        <v>241</v>
      </c>
      <c r="V767" s="10" t="s">
        <v>241</v>
      </c>
      <c r="W767" s="10" t="s">
        <v>242</v>
      </c>
      <c r="X767" s="15">
        <f>IF(ISERROR(VLOOKUP($A767,'13. Updated Demand'!A:Z,15,FALSE)),0,VLOOKUP($A767,'13. Updated Demand'!A:Z,15,FALSE))</f>
        <v>0</v>
      </c>
      <c r="Y767" s="16">
        <f>IF(ISERROR(VLOOKUP($A767,'13. Updated Demand'!A:Z,16,FALSE)),0,VLOOKUP($A767,'13. Updated Demand'!A:Z,16,FALSE))</f>
        <v>0</v>
      </c>
      <c r="Z767" s="16">
        <f>IF(ISERROR(VLOOKUP($A767,'13. Updated Demand'!A:Z,17,FALSE)),0,VLOOKUP($A767,'13. Updated Demand'!A:Z,17,FALSE))</f>
        <v>0</v>
      </c>
      <c r="AA767" s="16">
        <f>IF(ISERROR(VLOOKUP($A767,'13. Updated Demand'!A:Z,18,FALSE)),0,VLOOKUP($A767,'13. Updated Demand'!A:Z,18,FALSE))</f>
        <v>0</v>
      </c>
      <c r="AB767" s="16">
        <f>IF(ISERROR(VLOOKUP($A767,'13. Updated Demand'!A:Z,19,FALSE)),0,VLOOKUP($A767,'13. Updated Demand'!A:Z,19,FALSE))</f>
        <v>0</v>
      </c>
      <c r="AC767" s="16">
        <f>IF(ISERROR(VLOOKUP($A767,'13. Updated Demand'!A:Z,20,FALSE)),0,VLOOKUP($A767,'13. Updated Demand'!A:Z,20,FALSE))</f>
        <v>0</v>
      </c>
      <c r="AD767" s="16">
        <f>IF(ISERROR(VLOOKUP($A767,'13. Updated Demand'!A:Z,21,FALSE)),0,VLOOKUP($A767,'13. Updated Demand'!A:Z,21,FALSE))</f>
        <v>0</v>
      </c>
      <c r="AE767" s="16">
        <f>IF(ISERROR(VLOOKUP($A767,'13. Updated Demand'!A:Z,22,FALSE)),0,VLOOKUP($A767,'13. Updated Demand'!A:Z,22,FALSE))</f>
        <v>0</v>
      </c>
      <c r="AF767" s="16">
        <f>IF(ISERROR(VLOOKUP($A767,'13. Updated Demand'!A:Z,23,FALSE)),0,VLOOKUP($A767,'13. Updated Demand'!A:Z,23,FALSE))</f>
        <v>0</v>
      </c>
      <c r="AG767" s="16">
        <f>IF(ISERROR(VLOOKUP($A767,'13. Updated Demand'!A:Z,24,FALSE)),0,VLOOKUP($A767,'13. Updated Demand'!A:Z,24,FALSE))</f>
        <v>0</v>
      </c>
      <c r="AH767" s="16">
        <f>IF(ISERROR(VLOOKUP($A767,'13. Updated Demand'!A:Z,25,FALSE)),0,VLOOKUP($A767,'13. Updated Demand'!A:Z,25,FALSE))</f>
        <v>0</v>
      </c>
      <c r="AI767" s="16">
        <f>IF(ISERROR(VLOOKUP($A767,'13. Updated Demand'!A:Z,26,FALSE)),0,VLOOKUP($A767,'13. Updated Demand'!A:Z,26,FALSE))</f>
        <v>0</v>
      </c>
      <c r="AJ767" s="16">
        <f t="shared" si="144"/>
        <v>0</v>
      </c>
      <c r="AK767" s="19">
        <v>0</v>
      </c>
      <c r="AL767" s="16">
        <f t="shared" si="142"/>
        <v>0</v>
      </c>
      <c r="AM767" s="17">
        <v>0</v>
      </c>
      <c r="AN767" s="19"/>
      <c r="AO767" s="19"/>
      <c r="AP767" s="19">
        <v>28.7</v>
      </c>
      <c r="AQ767" s="19" t="s">
        <v>307</v>
      </c>
      <c r="AR767" s="9" t="s">
        <v>323</v>
      </c>
      <c r="AS767" s="12">
        <v>0</v>
      </c>
      <c r="AT767" s="19">
        <v>38.495032430000002</v>
      </c>
      <c r="AU767" s="19">
        <v>-122.87004981</v>
      </c>
      <c r="AV767" s="19" t="s">
        <v>735</v>
      </c>
    </row>
    <row r="768" spans="1:48" x14ac:dyDescent="0.25">
      <c r="A768" s="18" t="s">
        <v>1155</v>
      </c>
      <c r="B768" s="10">
        <v>19721027</v>
      </c>
      <c r="C768" s="9">
        <v>16</v>
      </c>
      <c r="D768" s="8" t="str">
        <f t="shared" si="133"/>
        <v>N</v>
      </c>
      <c r="E768" s="8" t="str">
        <f t="shared" si="134"/>
        <v>N</v>
      </c>
      <c r="F768" s="8" t="str">
        <f t="shared" si="135"/>
        <v>N</v>
      </c>
      <c r="G768" s="8" t="str">
        <f t="shared" si="136"/>
        <v>N</v>
      </c>
      <c r="H768" s="8" t="str">
        <f t="shared" si="137"/>
        <v>Lower</v>
      </c>
      <c r="I768" s="8" t="str">
        <f t="shared" si="138"/>
        <v>Outside</v>
      </c>
      <c r="J768" s="8" t="str">
        <f t="shared" si="139"/>
        <v>Outside</v>
      </c>
      <c r="K768" s="8" t="str">
        <f t="shared" si="140"/>
        <v>Post-1949</v>
      </c>
      <c r="L768" s="8">
        <f t="shared" si="141"/>
        <v>1972</v>
      </c>
      <c r="M768" s="8" t="str">
        <f t="shared" si="143"/>
        <v>1971-1990</v>
      </c>
      <c r="N768" s="10" t="s">
        <v>242</v>
      </c>
      <c r="O768" s="10" t="s">
        <v>242</v>
      </c>
      <c r="P768" s="10" t="s">
        <v>242</v>
      </c>
      <c r="Q768" s="10" t="s">
        <v>242</v>
      </c>
      <c r="R768" s="10" t="s">
        <v>241</v>
      </c>
      <c r="S768" s="10" t="s">
        <v>242</v>
      </c>
      <c r="T768" s="10" t="s">
        <v>242</v>
      </c>
      <c r="U768" s="10" t="s">
        <v>242</v>
      </c>
      <c r="V768" s="10" t="s">
        <v>241</v>
      </c>
      <c r="W768" s="10" t="s">
        <v>242</v>
      </c>
      <c r="X768" s="15">
        <f>IF(ISERROR(VLOOKUP($A768,'13. Updated Demand'!A:Z,15,FALSE)),0,VLOOKUP($A768,'13. Updated Demand'!A:Z,15,FALSE))</f>
        <v>1</v>
      </c>
      <c r="Y768" s="16">
        <f>IF(ISERROR(VLOOKUP($A768,'13. Updated Demand'!A:Z,16,FALSE)),0,VLOOKUP($A768,'13. Updated Demand'!A:Z,16,FALSE))</f>
        <v>1</v>
      </c>
      <c r="Z768" s="16">
        <f>IF(ISERROR(VLOOKUP($A768,'13. Updated Demand'!A:Z,17,FALSE)),0,VLOOKUP($A768,'13. Updated Demand'!A:Z,17,FALSE))</f>
        <v>1</v>
      </c>
      <c r="AA768" s="16">
        <f>IF(ISERROR(VLOOKUP($A768,'13. Updated Demand'!A:Z,18,FALSE)),0,VLOOKUP($A768,'13. Updated Demand'!A:Z,18,FALSE))</f>
        <v>0.2</v>
      </c>
      <c r="AB768" s="16">
        <f>IF(ISERROR(VLOOKUP($A768,'13. Updated Demand'!A:Z,19,FALSE)),0,VLOOKUP($A768,'13. Updated Demand'!A:Z,19,FALSE))</f>
        <v>0</v>
      </c>
      <c r="AC768" s="16">
        <f>IF(ISERROR(VLOOKUP($A768,'13. Updated Demand'!A:Z,20,FALSE)),0,VLOOKUP($A768,'13. Updated Demand'!A:Z,20,FALSE))</f>
        <v>0</v>
      </c>
      <c r="AD768" s="16">
        <f>IF(ISERROR(VLOOKUP($A768,'13. Updated Demand'!A:Z,21,FALSE)),0,VLOOKUP($A768,'13. Updated Demand'!A:Z,21,FALSE))</f>
        <v>0</v>
      </c>
      <c r="AE768" s="16">
        <f>IF(ISERROR(VLOOKUP($A768,'13. Updated Demand'!A:Z,22,FALSE)),0,VLOOKUP($A768,'13. Updated Demand'!A:Z,22,FALSE))</f>
        <v>0</v>
      </c>
      <c r="AF768" s="16">
        <f>IF(ISERROR(VLOOKUP($A768,'13. Updated Demand'!A:Z,23,FALSE)),0,VLOOKUP($A768,'13. Updated Demand'!A:Z,23,FALSE))</f>
        <v>0</v>
      </c>
      <c r="AG768" s="16">
        <f>IF(ISERROR(VLOOKUP($A768,'13. Updated Demand'!A:Z,24,FALSE)),0,VLOOKUP($A768,'13. Updated Demand'!A:Z,24,FALSE))</f>
        <v>0</v>
      </c>
      <c r="AH768" s="16">
        <f>IF(ISERROR(VLOOKUP($A768,'13. Updated Demand'!A:Z,25,FALSE)),0,VLOOKUP($A768,'13. Updated Demand'!A:Z,25,FALSE))</f>
        <v>0</v>
      </c>
      <c r="AI768" s="16">
        <f>IF(ISERROR(VLOOKUP($A768,'13. Updated Demand'!A:Z,26,FALSE)),0,VLOOKUP($A768,'13. Updated Demand'!A:Z,26,FALSE))</f>
        <v>0</v>
      </c>
      <c r="AJ768" s="16">
        <f t="shared" si="144"/>
        <v>3.2</v>
      </c>
      <c r="AK768" s="19">
        <v>0</v>
      </c>
      <c r="AL768" s="16">
        <f t="shared" si="142"/>
        <v>0</v>
      </c>
      <c r="AM768" s="17">
        <v>1</v>
      </c>
      <c r="AN768" s="19"/>
      <c r="AO768" s="19"/>
      <c r="AP768" s="19">
        <v>3.2</v>
      </c>
      <c r="AQ768" s="19" t="s">
        <v>307</v>
      </c>
      <c r="AR768" s="9" t="s">
        <v>394</v>
      </c>
      <c r="AS768" s="12">
        <v>3.4039024194010059E-4</v>
      </c>
      <c r="AT768" s="19">
        <v>38.629712249999997</v>
      </c>
      <c r="AU768" s="19">
        <v>-122.92508014000001</v>
      </c>
      <c r="AV768" s="19" t="s">
        <v>417</v>
      </c>
    </row>
    <row r="769" spans="1:48" x14ac:dyDescent="0.25">
      <c r="A769" s="18" t="s">
        <v>1156</v>
      </c>
      <c r="B769" s="10">
        <v>19720825</v>
      </c>
      <c r="C769" s="9">
        <v>2</v>
      </c>
      <c r="D769" s="8" t="str">
        <f t="shared" si="133"/>
        <v>N</v>
      </c>
      <c r="E769" s="8" t="str">
        <f t="shared" si="134"/>
        <v>N</v>
      </c>
      <c r="F769" s="8" t="str">
        <f t="shared" si="135"/>
        <v>Y</v>
      </c>
      <c r="G769" s="8" t="str">
        <f t="shared" si="136"/>
        <v>N</v>
      </c>
      <c r="H769" s="8" t="str">
        <f t="shared" si="137"/>
        <v>Upper</v>
      </c>
      <c r="I769" s="8" t="str">
        <f t="shared" si="138"/>
        <v>Outside</v>
      </c>
      <c r="J769" s="8" t="str">
        <f t="shared" si="139"/>
        <v>Outside</v>
      </c>
      <c r="K769" s="8" t="str">
        <f t="shared" si="140"/>
        <v>Post-1949</v>
      </c>
      <c r="L769" s="8">
        <f t="shared" si="141"/>
        <v>1972</v>
      </c>
      <c r="M769" s="8" t="str">
        <f t="shared" si="143"/>
        <v>1971-1990</v>
      </c>
      <c r="N769" s="10" t="s">
        <v>242</v>
      </c>
      <c r="O769" s="10" t="s">
        <v>241</v>
      </c>
      <c r="P769" s="10" t="s">
        <v>242</v>
      </c>
      <c r="Q769" s="10" t="s">
        <v>242</v>
      </c>
      <c r="R769" s="10" t="s">
        <v>241</v>
      </c>
      <c r="S769" s="10" t="s">
        <v>242</v>
      </c>
      <c r="T769" s="10" t="s">
        <v>242</v>
      </c>
      <c r="U769" s="10" t="s">
        <v>242</v>
      </c>
      <c r="V769" s="10" t="s">
        <v>242</v>
      </c>
      <c r="W769" s="10" t="s">
        <v>242</v>
      </c>
      <c r="X769" s="15">
        <f>IF(ISERROR(VLOOKUP($A769,'13. Updated Demand'!A:Z,15,FALSE)),0,VLOOKUP($A769,'13. Updated Demand'!A:Z,15,FALSE))</f>
        <v>0</v>
      </c>
      <c r="Y769" s="16">
        <f>IF(ISERROR(VLOOKUP($A769,'13. Updated Demand'!A:Z,16,FALSE)),0,VLOOKUP($A769,'13. Updated Demand'!A:Z,16,FALSE))</f>
        <v>0</v>
      </c>
      <c r="Z769" s="16">
        <f>IF(ISERROR(VLOOKUP($A769,'13. Updated Demand'!A:Z,17,FALSE)),0,VLOOKUP($A769,'13. Updated Demand'!A:Z,17,FALSE))</f>
        <v>0</v>
      </c>
      <c r="AA769" s="16">
        <f>IF(ISERROR(VLOOKUP($A769,'13. Updated Demand'!A:Z,18,FALSE)),0,VLOOKUP($A769,'13. Updated Demand'!A:Z,18,FALSE))</f>
        <v>0</v>
      </c>
      <c r="AB769" s="16">
        <f>IF(ISERROR(VLOOKUP($A769,'13. Updated Demand'!A:Z,19,FALSE)),0,VLOOKUP($A769,'13. Updated Demand'!A:Z,19,FALSE))</f>
        <v>0.47</v>
      </c>
      <c r="AC769" s="16">
        <f>IF(ISERROR(VLOOKUP($A769,'13. Updated Demand'!A:Z,20,FALSE)),0,VLOOKUP($A769,'13. Updated Demand'!A:Z,20,FALSE))</f>
        <v>0.75</v>
      </c>
      <c r="AD769" s="16">
        <f>IF(ISERROR(VLOOKUP($A769,'13. Updated Demand'!A:Z,21,FALSE)),0,VLOOKUP($A769,'13. Updated Demand'!A:Z,21,FALSE))</f>
        <v>0.91</v>
      </c>
      <c r="AE769" s="16">
        <f>IF(ISERROR(VLOOKUP($A769,'13. Updated Demand'!A:Z,22,FALSE)),0,VLOOKUP($A769,'13. Updated Demand'!A:Z,22,FALSE))</f>
        <v>0.74</v>
      </c>
      <c r="AF769" s="16">
        <f>IF(ISERROR(VLOOKUP($A769,'13. Updated Demand'!A:Z,23,FALSE)),0,VLOOKUP($A769,'13. Updated Demand'!A:Z,23,FALSE))</f>
        <v>0.4</v>
      </c>
      <c r="AG769" s="16">
        <f>IF(ISERROR(VLOOKUP($A769,'13. Updated Demand'!A:Z,24,FALSE)),0,VLOOKUP($A769,'13. Updated Demand'!A:Z,24,FALSE))</f>
        <v>0.19</v>
      </c>
      <c r="AH769" s="16">
        <f>IF(ISERROR(VLOOKUP($A769,'13. Updated Demand'!A:Z,25,FALSE)),0,VLOOKUP($A769,'13. Updated Demand'!A:Z,25,FALSE))</f>
        <v>0</v>
      </c>
      <c r="AI769" s="16">
        <f>IF(ISERROR(VLOOKUP($A769,'13. Updated Demand'!A:Z,26,FALSE)),0,VLOOKUP($A769,'13. Updated Demand'!A:Z,26,FALSE))</f>
        <v>0</v>
      </c>
      <c r="AJ769" s="16">
        <f t="shared" si="144"/>
        <v>3.46</v>
      </c>
      <c r="AK769" s="19">
        <v>3.3036916670000003</v>
      </c>
      <c r="AL769" s="16">
        <f t="shared" si="142"/>
        <v>1.0957968933593793E-2</v>
      </c>
      <c r="AM769" s="17">
        <v>0.25198829741007195</v>
      </c>
      <c r="AN769" s="19"/>
      <c r="AO769" s="19"/>
      <c r="AP769" s="19">
        <v>13.9</v>
      </c>
      <c r="AQ769" s="19" t="s">
        <v>307</v>
      </c>
      <c r="AR769" s="9" t="s">
        <v>348</v>
      </c>
      <c r="AS769" s="12">
        <v>0</v>
      </c>
      <c r="AT769" s="19">
        <v>39.263780400000002</v>
      </c>
      <c r="AU769" s="19">
        <v>-123.11016211</v>
      </c>
      <c r="AV769" s="19" t="s">
        <v>542</v>
      </c>
    </row>
    <row r="770" spans="1:48" x14ac:dyDescent="0.25">
      <c r="A770" s="18" t="s">
        <v>1157</v>
      </c>
      <c r="B770" s="10">
        <v>19720908</v>
      </c>
      <c r="C770" s="9">
        <v>2</v>
      </c>
      <c r="D770" s="8" t="str">
        <f t="shared" ref="D770:D833" si="145">IF(OR(C770=4,C770=5,C770=6),"Y","N")</f>
        <v>N</v>
      </c>
      <c r="E770" s="8" t="str">
        <f t="shared" ref="E770:E833" si="146">IF(AND(C770&gt;6,C770&lt;14),"Y","N")</f>
        <v>N</v>
      </c>
      <c r="F770" s="8" t="str">
        <f t="shared" ref="F770:F833" si="147">IF(C770&lt;14,"Y","N")</f>
        <v>Y</v>
      </c>
      <c r="G770" s="8" t="str">
        <f t="shared" ref="G770:G833" si="148">IF(OR(C770=1,AND(C770&gt;3,C770&lt;14)),"Y","N")</f>
        <v>N</v>
      </c>
      <c r="H770" s="8" t="str">
        <f t="shared" ref="H770:H833" si="149">IF(C770&lt;14,"Upper","Lower")</f>
        <v>Upper</v>
      </c>
      <c r="I770" s="8" t="str">
        <f t="shared" ref="I770:I833" si="150">IF(G770="Y","West Fork and Below Lake","Outside")</f>
        <v>Outside</v>
      </c>
      <c r="J770" s="8" t="str">
        <f t="shared" ref="J770:J833" si="151">IF(D770="Y", "Mendocino (d/s of lake)", IF(E770="Y", "Sonoma (d/s of Clov. Gage)","Outside"))</f>
        <v>Outside</v>
      </c>
      <c r="K770" s="8" t="str">
        <f t="shared" ref="K770:K833" si="152">IF(P770="Y","pre-1914",IF(Q770="Y","Pre-1949",IF(R770="Y","Post-1949",IF(S770="Y","Riparian","Unknown"))))</f>
        <v>Post-1949</v>
      </c>
      <c r="L770" s="8">
        <f t="shared" ref="L770:L833" si="153">_xlfn.NUMBERVALUE(LEFT(B770,4))</f>
        <v>1972</v>
      </c>
      <c r="M770" s="8" t="str">
        <f t="shared" si="143"/>
        <v>1971-1990</v>
      </c>
      <c r="N770" s="10" t="s">
        <v>242</v>
      </c>
      <c r="O770" s="10" t="s">
        <v>241</v>
      </c>
      <c r="P770" s="10" t="s">
        <v>242</v>
      </c>
      <c r="Q770" s="10" t="s">
        <v>242</v>
      </c>
      <c r="R770" s="10" t="s">
        <v>241</v>
      </c>
      <c r="S770" s="10" t="s">
        <v>242</v>
      </c>
      <c r="T770" s="10" t="s">
        <v>242</v>
      </c>
      <c r="U770" s="10" t="s">
        <v>242</v>
      </c>
      <c r="V770" s="10" t="s">
        <v>241</v>
      </c>
      <c r="W770" s="10" t="s">
        <v>242</v>
      </c>
      <c r="X770" s="15">
        <f>IF(ISERROR(VLOOKUP($A770,'13. Updated Demand'!A:Z,15,FALSE)),0,VLOOKUP($A770,'13. Updated Demand'!A:Z,15,FALSE))</f>
        <v>0.26</v>
      </c>
      <c r="Y770" s="16">
        <f>IF(ISERROR(VLOOKUP($A770,'13. Updated Demand'!A:Z,16,FALSE)),0,VLOOKUP($A770,'13. Updated Demand'!A:Z,16,FALSE))</f>
        <v>0</v>
      </c>
      <c r="Z770" s="16">
        <f>IF(ISERROR(VLOOKUP($A770,'13. Updated Demand'!A:Z,17,FALSE)),0,VLOOKUP($A770,'13. Updated Demand'!A:Z,17,FALSE))</f>
        <v>0</v>
      </c>
      <c r="AA770" s="16">
        <f>IF(ISERROR(VLOOKUP($A770,'13. Updated Demand'!A:Z,18,FALSE)),0,VLOOKUP($A770,'13. Updated Demand'!A:Z,18,FALSE))</f>
        <v>0</v>
      </c>
      <c r="AB770" s="16">
        <f>IF(ISERROR(VLOOKUP($A770,'13. Updated Demand'!A:Z,19,FALSE)),0,VLOOKUP($A770,'13. Updated Demand'!A:Z,19,FALSE))</f>
        <v>0</v>
      </c>
      <c r="AC770" s="16">
        <f>IF(ISERROR(VLOOKUP($A770,'13. Updated Demand'!A:Z,20,FALSE)),0,VLOOKUP($A770,'13. Updated Demand'!A:Z,20,FALSE))</f>
        <v>0</v>
      </c>
      <c r="AD770" s="16">
        <f>IF(ISERROR(VLOOKUP($A770,'13. Updated Demand'!A:Z,21,FALSE)),0,VLOOKUP($A770,'13. Updated Demand'!A:Z,21,FALSE))</f>
        <v>0</v>
      </c>
      <c r="AE770" s="16">
        <f>IF(ISERROR(VLOOKUP($A770,'13. Updated Demand'!A:Z,22,FALSE)),0,VLOOKUP($A770,'13. Updated Demand'!A:Z,22,FALSE))</f>
        <v>0</v>
      </c>
      <c r="AF770" s="16">
        <f>IF(ISERROR(VLOOKUP($A770,'13. Updated Demand'!A:Z,23,FALSE)),0,VLOOKUP($A770,'13. Updated Demand'!A:Z,23,FALSE))</f>
        <v>0</v>
      </c>
      <c r="AG770" s="16">
        <f>IF(ISERROR(VLOOKUP($A770,'13. Updated Demand'!A:Z,24,FALSE)),0,VLOOKUP($A770,'13. Updated Demand'!A:Z,24,FALSE))</f>
        <v>0</v>
      </c>
      <c r="AH770" s="16">
        <f>IF(ISERROR(VLOOKUP($A770,'13. Updated Demand'!A:Z,25,FALSE)),0,VLOOKUP($A770,'13. Updated Demand'!A:Z,25,FALSE))</f>
        <v>0</v>
      </c>
      <c r="AI770" s="16">
        <f>IF(ISERROR(VLOOKUP($A770,'13. Updated Demand'!A:Z,26,FALSE)),0,VLOOKUP($A770,'13. Updated Demand'!A:Z,26,FALSE))</f>
        <v>0</v>
      </c>
      <c r="AJ770" s="16">
        <f t="shared" si="144"/>
        <v>0.26</v>
      </c>
      <c r="AK770" s="19">
        <v>0</v>
      </c>
      <c r="AL770" s="16">
        <f t="shared" ref="AL770:AL833" si="154">AK770/152/1.983471</f>
        <v>0</v>
      </c>
      <c r="AM770" s="17">
        <v>0.19047619071428573</v>
      </c>
      <c r="AN770" s="19"/>
      <c r="AO770" s="19"/>
      <c r="AP770" s="19">
        <v>1.4</v>
      </c>
      <c r="AQ770" s="19" t="s">
        <v>307</v>
      </c>
      <c r="AR770" s="9" t="s">
        <v>348</v>
      </c>
      <c r="AS770" s="12">
        <v>0</v>
      </c>
      <c r="AT770" s="19">
        <v>39.231642090000001</v>
      </c>
      <c r="AU770" s="19">
        <v>-123.11142292</v>
      </c>
      <c r="AV770" s="19" t="s">
        <v>417</v>
      </c>
    </row>
    <row r="771" spans="1:48" x14ac:dyDescent="0.25">
      <c r="A771" s="18" t="s">
        <v>1158</v>
      </c>
      <c r="B771" s="10">
        <v>19710113</v>
      </c>
      <c r="C771" s="9">
        <v>5</v>
      </c>
      <c r="D771" s="8" t="str">
        <f t="shared" si="145"/>
        <v>Y</v>
      </c>
      <c r="E771" s="8" t="str">
        <f t="shared" si="146"/>
        <v>N</v>
      </c>
      <c r="F771" s="8" t="str">
        <f t="shared" si="147"/>
        <v>Y</v>
      </c>
      <c r="G771" s="8" t="str">
        <f t="shared" si="148"/>
        <v>Y</v>
      </c>
      <c r="H771" s="8" t="str">
        <f t="shared" si="149"/>
        <v>Upper</v>
      </c>
      <c r="I771" s="8" t="str">
        <f t="shared" si="150"/>
        <v>West Fork and Below Lake</v>
      </c>
      <c r="J771" s="8" t="str">
        <f t="shared" si="151"/>
        <v>Mendocino (d/s of lake)</v>
      </c>
      <c r="K771" s="8" t="str">
        <f t="shared" si="152"/>
        <v>Post-1949</v>
      </c>
      <c r="L771" s="8">
        <f t="shared" si="153"/>
        <v>1971</v>
      </c>
      <c r="M771" s="8" t="str">
        <f t="shared" ref="M771:M834" si="155">IF(L771=1949,"1949",IF(AND(L771&gt;1949,L771&lt;1953),"1950-1952",IF(AND(L771&gt;1952,L771&lt;1955),"1953-1954",IF(AND(L771&gt;1954,L771&lt;1957),"1955-1956",IF(AND(L771&gt;1956,L771&lt;1960),"1957-1959",IF(AND(L771&gt;1959,L771&lt;1971),"1960-1970",IF(AND(L771&gt;1970,L771&lt;1991),"1971-1990",IF(L771&gt;1990,"1991-present","-"))))))))</f>
        <v>1971-1990</v>
      </c>
      <c r="N771" s="10" t="s">
        <v>241</v>
      </c>
      <c r="O771" s="10" t="s">
        <v>241</v>
      </c>
      <c r="P771" s="10" t="s">
        <v>242</v>
      </c>
      <c r="Q771" s="10" t="s">
        <v>242</v>
      </c>
      <c r="R771" s="10" t="s">
        <v>241</v>
      </c>
      <c r="S771" s="10" t="s">
        <v>242</v>
      </c>
      <c r="T771" s="10" t="s">
        <v>242</v>
      </c>
      <c r="U771" s="10" t="s">
        <v>242</v>
      </c>
      <c r="V771" s="10" t="s">
        <v>242</v>
      </c>
      <c r="W771" s="10" t="s">
        <v>242</v>
      </c>
      <c r="X771" s="15">
        <f>IF(ISERROR(VLOOKUP($A771,'13. Updated Demand'!A:Z,15,FALSE)),0,VLOOKUP($A771,'13. Updated Demand'!A:Z,15,FALSE))</f>
        <v>0</v>
      </c>
      <c r="Y771" s="16">
        <f>IF(ISERROR(VLOOKUP($A771,'13. Updated Demand'!A:Z,16,FALSE)),0,VLOOKUP($A771,'13. Updated Demand'!A:Z,16,FALSE))</f>
        <v>0</v>
      </c>
      <c r="Z771" s="16">
        <f>IF(ISERROR(VLOOKUP($A771,'13. Updated Demand'!A:Z,17,FALSE)),0,VLOOKUP($A771,'13. Updated Demand'!A:Z,17,FALSE))</f>
        <v>0</v>
      </c>
      <c r="AA771" s="16">
        <f>IF(ISERROR(VLOOKUP($A771,'13. Updated Demand'!A:Z,18,FALSE)),0,VLOOKUP($A771,'13. Updated Demand'!A:Z,18,FALSE))</f>
        <v>0</v>
      </c>
      <c r="AB771" s="16">
        <f>IF(ISERROR(VLOOKUP($A771,'13. Updated Demand'!A:Z,19,FALSE)),0,VLOOKUP($A771,'13. Updated Demand'!A:Z,19,FALSE))</f>
        <v>8.16</v>
      </c>
      <c r="AC771" s="16">
        <f>IF(ISERROR(VLOOKUP($A771,'13. Updated Demand'!A:Z,20,FALSE)),0,VLOOKUP($A771,'13. Updated Demand'!A:Z,20,FALSE))</f>
        <v>68.66</v>
      </c>
      <c r="AD771" s="16">
        <f>IF(ISERROR(VLOOKUP($A771,'13. Updated Demand'!A:Z,21,FALSE)),0,VLOOKUP($A771,'13. Updated Demand'!A:Z,21,FALSE))</f>
        <v>79.33</v>
      </c>
      <c r="AE771" s="16">
        <f>IF(ISERROR(VLOOKUP($A771,'13. Updated Demand'!A:Z,22,FALSE)),0,VLOOKUP($A771,'13. Updated Demand'!A:Z,22,FALSE))</f>
        <v>20.5</v>
      </c>
      <c r="AF771" s="16">
        <f>IF(ISERROR(VLOOKUP($A771,'13. Updated Demand'!A:Z,23,FALSE)),0,VLOOKUP($A771,'13. Updated Demand'!A:Z,23,FALSE))</f>
        <v>44.5</v>
      </c>
      <c r="AG771" s="16">
        <f>IF(ISERROR(VLOOKUP($A771,'13. Updated Demand'!A:Z,24,FALSE)),0,VLOOKUP($A771,'13. Updated Demand'!A:Z,24,FALSE))</f>
        <v>0</v>
      </c>
      <c r="AH771" s="16">
        <f>IF(ISERROR(VLOOKUP($A771,'13. Updated Demand'!A:Z,25,FALSE)),0,VLOOKUP($A771,'13. Updated Demand'!A:Z,25,FALSE))</f>
        <v>0</v>
      </c>
      <c r="AI771" s="16">
        <f>IF(ISERROR(VLOOKUP($A771,'13. Updated Demand'!A:Z,26,FALSE)),0,VLOOKUP($A771,'13. Updated Demand'!A:Z,26,FALSE))</f>
        <v>0</v>
      </c>
      <c r="AJ771" s="16">
        <f t="shared" si="144"/>
        <v>221.14999999999998</v>
      </c>
      <c r="AK771" s="19">
        <v>221.16666666666669</v>
      </c>
      <c r="AL771" s="16">
        <f t="shared" si="154"/>
        <v>0.73358464008252344</v>
      </c>
      <c r="AM771" s="17">
        <v>0.90642076502732249</v>
      </c>
      <c r="AN771" s="19"/>
      <c r="AO771" s="19"/>
      <c r="AP771" s="19">
        <v>244</v>
      </c>
      <c r="AQ771" s="19" t="s">
        <v>307</v>
      </c>
      <c r="AR771" s="9" t="s">
        <v>333</v>
      </c>
      <c r="AS771" s="12">
        <v>0</v>
      </c>
      <c r="AT771" s="19">
        <v>39.112646329999997</v>
      </c>
      <c r="AU771" s="19">
        <v>-123.17758468</v>
      </c>
      <c r="AV771" s="19" t="s">
        <v>548</v>
      </c>
    </row>
    <row r="772" spans="1:48" x14ac:dyDescent="0.25">
      <c r="A772" s="18" t="s">
        <v>1159</v>
      </c>
      <c r="B772" s="10">
        <v>19710122</v>
      </c>
      <c r="C772" s="9">
        <v>8</v>
      </c>
      <c r="D772" s="8" t="str">
        <f t="shared" si="145"/>
        <v>N</v>
      </c>
      <c r="E772" s="8" t="str">
        <f t="shared" si="146"/>
        <v>Y</v>
      </c>
      <c r="F772" s="8" t="str">
        <f t="shared" si="147"/>
        <v>Y</v>
      </c>
      <c r="G772" s="8" t="str">
        <f t="shared" si="148"/>
        <v>Y</v>
      </c>
      <c r="H772" s="8" t="str">
        <f t="shared" si="149"/>
        <v>Upper</v>
      </c>
      <c r="I772" s="8" t="str">
        <f t="shared" si="150"/>
        <v>West Fork and Below Lake</v>
      </c>
      <c r="J772" s="8" t="str">
        <f t="shared" si="151"/>
        <v>Sonoma (d/s of Clov. Gage)</v>
      </c>
      <c r="K772" s="8" t="str">
        <f t="shared" si="152"/>
        <v>Post-1949</v>
      </c>
      <c r="L772" s="8">
        <f t="shared" si="153"/>
        <v>1971</v>
      </c>
      <c r="M772" s="8" t="str">
        <f t="shared" si="155"/>
        <v>1971-1990</v>
      </c>
      <c r="N772" s="10" t="s">
        <v>242</v>
      </c>
      <c r="O772" s="10" t="s">
        <v>241</v>
      </c>
      <c r="P772" s="10" t="s">
        <v>242</v>
      </c>
      <c r="Q772" s="10" t="s">
        <v>242</v>
      </c>
      <c r="R772" s="10" t="s">
        <v>241</v>
      </c>
      <c r="S772" s="10" t="s">
        <v>242</v>
      </c>
      <c r="T772" s="10" t="s">
        <v>242</v>
      </c>
      <c r="U772" s="10" t="s">
        <v>241</v>
      </c>
      <c r="V772" s="10" t="s">
        <v>241</v>
      </c>
      <c r="W772" s="10" t="s">
        <v>242</v>
      </c>
      <c r="X772" s="15">
        <f>IF(ISERROR(VLOOKUP($A772,'13. Updated Demand'!A:Z,15,FALSE)),0,VLOOKUP($A772,'13. Updated Demand'!A:Z,15,FALSE))</f>
        <v>0</v>
      </c>
      <c r="Y772" s="16">
        <f>IF(ISERROR(VLOOKUP($A772,'13. Updated Demand'!A:Z,16,FALSE)),0,VLOOKUP($A772,'13. Updated Demand'!A:Z,16,FALSE))</f>
        <v>0</v>
      </c>
      <c r="Z772" s="16">
        <f>IF(ISERROR(VLOOKUP($A772,'13. Updated Demand'!A:Z,17,FALSE)),0,VLOOKUP($A772,'13. Updated Demand'!A:Z,17,FALSE))</f>
        <v>0</v>
      </c>
      <c r="AA772" s="16">
        <f>IF(ISERROR(VLOOKUP($A772,'13. Updated Demand'!A:Z,18,FALSE)),0,VLOOKUP($A772,'13. Updated Demand'!A:Z,18,FALSE))</f>
        <v>0</v>
      </c>
      <c r="AB772" s="16">
        <f>IF(ISERROR(VLOOKUP($A772,'13. Updated Demand'!A:Z,19,FALSE)),0,VLOOKUP($A772,'13. Updated Demand'!A:Z,19,FALSE))</f>
        <v>0</v>
      </c>
      <c r="AC772" s="16">
        <f>IF(ISERROR(VLOOKUP($A772,'13. Updated Demand'!A:Z,20,FALSE)),0,VLOOKUP($A772,'13. Updated Demand'!A:Z,20,FALSE))</f>
        <v>0</v>
      </c>
      <c r="AD772" s="16">
        <f>IF(ISERROR(VLOOKUP($A772,'13. Updated Demand'!A:Z,21,FALSE)),0,VLOOKUP($A772,'13. Updated Demand'!A:Z,21,FALSE))</f>
        <v>0</v>
      </c>
      <c r="AE772" s="16">
        <f>IF(ISERROR(VLOOKUP($A772,'13. Updated Demand'!A:Z,22,FALSE)),0,VLOOKUP($A772,'13. Updated Demand'!A:Z,22,FALSE))</f>
        <v>0</v>
      </c>
      <c r="AF772" s="16">
        <f>IF(ISERROR(VLOOKUP($A772,'13. Updated Demand'!A:Z,23,FALSE)),0,VLOOKUP($A772,'13. Updated Demand'!A:Z,23,FALSE))</f>
        <v>0</v>
      </c>
      <c r="AG772" s="16">
        <f>IF(ISERROR(VLOOKUP($A772,'13. Updated Demand'!A:Z,24,FALSE)),0,VLOOKUP($A772,'13. Updated Demand'!A:Z,24,FALSE))</f>
        <v>0</v>
      </c>
      <c r="AH772" s="16">
        <f>IF(ISERROR(VLOOKUP($A772,'13. Updated Demand'!A:Z,25,FALSE)),0,VLOOKUP($A772,'13. Updated Demand'!A:Z,25,FALSE))</f>
        <v>0</v>
      </c>
      <c r="AI772" s="16">
        <f>IF(ISERROR(VLOOKUP($A772,'13. Updated Demand'!A:Z,26,FALSE)),0,VLOOKUP($A772,'13. Updated Demand'!A:Z,26,FALSE))</f>
        <v>0</v>
      </c>
      <c r="AJ772" s="16">
        <f t="shared" si="144"/>
        <v>0</v>
      </c>
      <c r="AK772" s="19">
        <v>0</v>
      </c>
      <c r="AL772" s="16">
        <f t="shared" si="154"/>
        <v>0</v>
      </c>
      <c r="AM772" s="17">
        <v>0</v>
      </c>
      <c r="AN772" s="19"/>
      <c r="AO772" s="19"/>
      <c r="AP772" s="19">
        <v>1.4</v>
      </c>
      <c r="AQ772" s="19" t="s">
        <v>307</v>
      </c>
      <c r="AR772" s="9" t="s">
        <v>409</v>
      </c>
      <c r="AS772" s="12">
        <v>0</v>
      </c>
      <c r="AT772" s="19">
        <v>38.860543120000003</v>
      </c>
      <c r="AU772" s="19">
        <v>-122.90367264</v>
      </c>
      <c r="AV772" s="19" t="s">
        <v>417</v>
      </c>
    </row>
    <row r="773" spans="1:48" x14ac:dyDescent="0.25">
      <c r="A773" s="18" t="s">
        <v>1160</v>
      </c>
      <c r="B773" s="10">
        <v>19710122</v>
      </c>
      <c r="C773" s="9">
        <v>8</v>
      </c>
      <c r="D773" s="8" t="str">
        <f t="shared" si="145"/>
        <v>N</v>
      </c>
      <c r="E773" s="8" t="str">
        <f t="shared" si="146"/>
        <v>Y</v>
      </c>
      <c r="F773" s="8" t="str">
        <f t="shared" si="147"/>
        <v>Y</v>
      </c>
      <c r="G773" s="8" t="str">
        <f t="shared" si="148"/>
        <v>Y</v>
      </c>
      <c r="H773" s="8" t="str">
        <f t="shared" si="149"/>
        <v>Upper</v>
      </c>
      <c r="I773" s="8" t="str">
        <f t="shared" si="150"/>
        <v>West Fork and Below Lake</v>
      </c>
      <c r="J773" s="8" t="str">
        <f t="shared" si="151"/>
        <v>Sonoma (d/s of Clov. Gage)</v>
      </c>
      <c r="K773" s="8" t="str">
        <f t="shared" si="152"/>
        <v>Post-1949</v>
      </c>
      <c r="L773" s="8">
        <f t="shared" si="153"/>
        <v>1971</v>
      </c>
      <c r="M773" s="8" t="str">
        <f t="shared" si="155"/>
        <v>1971-1990</v>
      </c>
      <c r="N773" s="10" t="s">
        <v>242</v>
      </c>
      <c r="O773" s="10" t="s">
        <v>241</v>
      </c>
      <c r="P773" s="10" t="s">
        <v>242</v>
      </c>
      <c r="Q773" s="10" t="s">
        <v>242</v>
      </c>
      <c r="R773" s="10" t="s">
        <v>241</v>
      </c>
      <c r="S773" s="10" t="s">
        <v>242</v>
      </c>
      <c r="T773" s="10" t="s">
        <v>242</v>
      </c>
      <c r="U773" s="10" t="s">
        <v>242</v>
      </c>
      <c r="V773" s="10" t="s">
        <v>242</v>
      </c>
      <c r="W773" s="10" t="s">
        <v>242</v>
      </c>
      <c r="X773" s="15">
        <f>IF(ISERROR(VLOOKUP($A773,'13. Updated Demand'!A:Z,15,FALSE)),0,VLOOKUP($A773,'13. Updated Demand'!A:Z,15,FALSE))</f>
        <v>0.57999999999999996</v>
      </c>
      <c r="Y773" s="16">
        <f>IF(ISERROR(VLOOKUP($A773,'13. Updated Demand'!A:Z,16,FALSE)),0,VLOOKUP($A773,'13. Updated Demand'!A:Z,16,FALSE))</f>
        <v>0.57999999999999996</v>
      </c>
      <c r="Z773" s="16">
        <f>IF(ISERROR(VLOOKUP($A773,'13. Updated Demand'!A:Z,17,FALSE)),0,VLOOKUP($A773,'13. Updated Demand'!A:Z,17,FALSE))</f>
        <v>0.57999999999999996</v>
      </c>
      <c r="AA773" s="16">
        <f>IF(ISERROR(VLOOKUP($A773,'13. Updated Demand'!A:Z,18,FALSE)),0,VLOOKUP($A773,'13. Updated Demand'!A:Z,18,FALSE))</f>
        <v>0.57999999999999996</v>
      </c>
      <c r="AB773" s="16">
        <f>IF(ISERROR(VLOOKUP($A773,'13. Updated Demand'!A:Z,19,FALSE)),0,VLOOKUP($A773,'13. Updated Demand'!A:Z,19,FALSE))</f>
        <v>0.57999999999999996</v>
      </c>
      <c r="AC773" s="16">
        <f>IF(ISERROR(VLOOKUP($A773,'13. Updated Demand'!A:Z,20,FALSE)),0,VLOOKUP($A773,'13. Updated Demand'!A:Z,20,FALSE))</f>
        <v>0.57999999999999996</v>
      </c>
      <c r="AD773" s="16">
        <f>IF(ISERROR(VLOOKUP($A773,'13. Updated Demand'!A:Z,21,FALSE)),0,VLOOKUP($A773,'13. Updated Demand'!A:Z,21,FALSE))</f>
        <v>0.57999999999999996</v>
      </c>
      <c r="AE773" s="16">
        <f>IF(ISERROR(VLOOKUP($A773,'13. Updated Demand'!A:Z,22,FALSE)),0,VLOOKUP($A773,'13. Updated Demand'!A:Z,22,FALSE))</f>
        <v>0.57999999999999996</v>
      </c>
      <c r="AF773" s="16">
        <f>IF(ISERROR(VLOOKUP($A773,'13. Updated Demand'!A:Z,23,FALSE)),0,VLOOKUP($A773,'13. Updated Demand'!A:Z,23,FALSE))</f>
        <v>0.57999999999999996</v>
      </c>
      <c r="AG773" s="16">
        <f>IF(ISERROR(VLOOKUP($A773,'13. Updated Demand'!A:Z,24,FALSE)),0,VLOOKUP($A773,'13. Updated Demand'!A:Z,24,FALSE))</f>
        <v>0.57999999999999996</v>
      </c>
      <c r="AH773" s="16">
        <f>IF(ISERROR(VLOOKUP($A773,'13. Updated Demand'!A:Z,25,FALSE)),0,VLOOKUP($A773,'13. Updated Demand'!A:Z,25,FALSE))</f>
        <v>0.57999999999999996</v>
      </c>
      <c r="AI773" s="16">
        <f>IF(ISERROR(VLOOKUP($A773,'13. Updated Demand'!A:Z,26,FALSE)),0,VLOOKUP($A773,'13. Updated Demand'!A:Z,26,FALSE))</f>
        <v>0.57999999999999996</v>
      </c>
      <c r="AJ773" s="16">
        <f t="shared" si="144"/>
        <v>6.96</v>
      </c>
      <c r="AK773" s="19">
        <v>2.9116666650000003</v>
      </c>
      <c r="AL773" s="16">
        <f t="shared" si="154"/>
        <v>9.6576666578039472E-3</v>
      </c>
      <c r="AM773" s="17">
        <v>0.99828571371428598</v>
      </c>
      <c r="AN773" s="19"/>
      <c r="AO773" s="19"/>
      <c r="AP773" s="19">
        <v>7</v>
      </c>
      <c r="AQ773" s="19" t="s">
        <v>307</v>
      </c>
      <c r="AR773" s="9" t="s">
        <v>409</v>
      </c>
      <c r="AS773" s="12">
        <v>0</v>
      </c>
      <c r="AT773" s="19">
        <v>38.853322249999998</v>
      </c>
      <c r="AU773" s="19">
        <v>-122.9141164</v>
      </c>
      <c r="AV773" s="19" t="s">
        <v>417</v>
      </c>
    </row>
    <row r="774" spans="1:48" x14ac:dyDescent="0.25">
      <c r="A774" s="18" t="s">
        <v>1161</v>
      </c>
      <c r="B774" s="10">
        <v>19710122</v>
      </c>
      <c r="C774" s="9">
        <v>6</v>
      </c>
      <c r="D774" s="8" t="str">
        <f t="shared" si="145"/>
        <v>Y</v>
      </c>
      <c r="E774" s="8" t="str">
        <f t="shared" si="146"/>
        <v>N</v>
      </c>
      <c r="F774" s="8" t="str">
        <f t="shared" si="147"/>
        <v>Y</v>
      </c>
      <c r="G774" s="8" t="str">
        <f t="shared" si="148"/>
        <v>Y</v>
      </c>
      <c r="H774" s="8" t="str">
        <f t="shared" si="149"/>
        <v>Upper</v>
      </c>
      <c r="I774" s="8" t="str">
        <f t="shared" si="150"/>
        <v>West Fork and Below Lake</v>
      </c>
      <c r="J774" s="8" t="str">
        <f t="shared" si="151"/>
        <v>Mendocino (d/s of lake)</v>
      </c>
      <c r="K774" s="8" t="str">
        <f t="shared" si="152"/>
        <v>Post-1949</v>
      </c>
      <c r="L774" s="8">
        <f t="shared" si="153"/>
        <v>1971</v>
      </c>
      <c r="M774" s="8" t="str">
        <f t="shared" si="155"/>
        <v>1971-1990</v>
      </c>
      <c r="N774" s="10" t="s">
        <v>242</v>
      </c>
      <c r="O774" s="10" t="s">
        <v>241</v>
      </c>
      <c r="P774" s="10" t="s">
        <v>242</v>
      </c>
      <c r="Q774" s="10" t="s">
        <v>242</v>
      </c>
      <c r="R774" s="10" t="s">
        <v>241</v>
      </c>
      <c r="S774" s="10" t="s">
        <v>242</v>
      </c>
      <c r="T774" s="10" t="s">
        <v>241</v>
      </c>
      <c r="U774" s="10" t="s">
        <v>241</v>
      </c>
      <c r="V774" s="10" t="s">
        <v>241</v>
      </c>
      <c r="W774" s="10" t="s">
        <v>242</v>
      </c>
      <c r="X774" s="15">
        <f>IF(ISERROR(VLOOKUP($A774,'13. Updated Demand'!A:Z,15,FALSE)),0,VLOOKUP($A774,'13. Updated Demand'!A:Z,15,FALSE))</f>
        <v>0</v>
      </c>
      <c r="Y774" s="16">
        <f>IF(ISERROR(VLOOKUP($A774,'13. Updated Demand'!A:Z,16,FALSE)),0,VLOOKUP($A774,'13. Updated Demand'!A:Z,16,FALSE))</f>
        <v>0</v>
      </c>
      <c r="Z774" s="16">
        <f>IF(ISERROR(VLOOKUP($A774,'13. Updated Demand'!A:Z,17,FALSE)),0,VLOOKUP($A774,'13. Updated Demand'!A:Z,17,FALSE))</f>
        <v>0</v>
      </c>
      <c r="AA774" s="16">
        <f>IF(ISERROR(VLOOKUP($A774,'13. Updated Demand'!A:Z,18,FALSE)),0,VLOOKUP($A774,'13. Updated Demand'!A:Z,18,FALSE))</f>
        <v>0</v>
      </c>
      <c r="AB774" s="16">
        <f>IF(ISERROR(VLOOKUP($A774,'13. Updated Demand'!A:Z,19,FALSE)),0,VLOOKUP($A774,'13. Updated Demand'!A:Z,19,FALSE))</f>
        <v>0</v>
      </c>
      <c r="AC774" s="16">
        <f>IF(ISERROR(VLOOKUP($A774,'13. Updated Demand'!A:Z,20,FALSE)),0,VLOOKUP($A774,'13. Updated Demand'!A:Z,20,FALSE))</f>
        <v>0</v>
      </c>
      <c r="AD774" s="16">
        <f>IF(ISERROR(VLOOKUP($A774,'13. Updated Demand'!A:Z,21,FALSE)),0,VLOOKUP($A774,'13. Updated Demand'!A:Z,21,FALSE))</f>
        <v>0</v>
      </c>
      <c r="AE774" s="16">
        <f>IF(ISERROR(VLOOKUP($A774,'13. Updated Demand'!A:Z,22,FALSE)),0,VLOOKUP($A774,'13. Updated Demand'!A:Z,22,FALSE))</f>
        <v>0</v>
      </c>
      <c r="AF774" s="16">
        <f>IF(ISERROR(VLOOKUP($A774,'13. Updated Demand'!A:Z,23,FALSE)),0,VLOOKUP($A774,'13. Updated Demand'!A:Z,23,FALSE))</f>
        <v>0</v>
      </c>
      <c r="AG774" s="16">
        <f>IF(ISERROR(VLOOKUP($A774,'13. Updated Demand'!A:Z,24,FALSE)),0,VLOOKUP($A774,'13. Updated Demand'!A:Z,24,FALSE))</f>
        <v>0</v>
      </c>
      <c r="AH774" s="16">
        <f>IF(ISERROR(VLOOKUP($A774,'13. Updated Demand'!A:Z,25,FALSE)),0,VLOOKUP($A774,'13. Updated Demand'!A:Z,25,FALSE))</f>
        <v>0</v>
      </c>
      <c r="AI774" s="16">
        <f>IF(ISERROR(VLOOKUP($A774,'13. Updated Demand'!A:Z,26,FALSE)),0,VLOOKUP($A774,'13. Updated Demand'!A:Z,26,FALSE))</f>
        <v>0</v>
      </c>
      <c r="AJ774" s="16">
        <f t="shared" si="144"/>
        <v>0</v>
      </c>
      <c r="AK774" s="19">
        <v>0</v>
      </c>
      <c r="AL774" s="16">
        <f t="shared" si="154"/>
        <v>0</v>
      </c>
      <c r="AM774" s="17">
        <v>0</v>
      </c>
      <c r="AN774" s="19"/>
      <c r="AO774" s="19"/>
      <c r="AP774" s="19">
        <v>5.6</v>
      </c>
      <c r="AQ774" s="19" t="s">
        <v>307</v>
      </c>
      <c r="AR774" s="9" t="s">
        <v>319</v>
      </c>
      <c r="AS774" s="12">
        <v>0</v>
      </c>
      <c r="AT774" s="19">
        <v>38.867388099999999</v>
      </c>
      <c r="AU774" s="19">
        <v>-122.90621831999999</v>
      </c>
      <c r="AV774" s="19" t="s">
        <v>417</v>
      </c>
    </row>
    <row r="775" spans="1:48" x14ac:dyDescent="0.25">
      <c r="A775" s="18" t="s">
        <v>1162</v>
      </c>
      <c r="B775" s="10">
        <v>19710122</v>
      </c>
      <c r="C775" s="9">
        <v>8</v>
      </c>
      <c r="D775" s="8" t="str">
        <f t="shared" si="145"/>
        <v>N</v>
      </c>
      <c r="E775" s="8" t="str">
        <f t="shared" si="146"/>
        <v>Y</v>
      </c>
      <c r="F775" s="8" t="str">
        <f t="shared" si="147"/>
        <v>Y</v>
      </c>
      <c r="G775" s="8" t="str">
        <f t="shared" si="148"/>
        <v>Y</v>
      </c>
      <c r="H775" s="8" t="str">
        <f t="shared" si="149"/>
        <v>Upper</v>
      </c>
      <c r="I775" s="8" t="str">
        <f t="shared" si="150"/>
        <v>West Fork and Below Lake</v>
      </c>
      <c r="J775" s="8" t="str">
        <f t="shared" si="151"/>
        <v>Sonoma (d/s of Clov. Gage)</v>
      </c>
      <c r="K775" s="8" t="str">
        <f t="shared" si="152"/>
        <v>Post-1949</v>
      </c>
      <c r="L775" s="8">
        <f t="shared" si="153"/>
        <v>1971</v>
      </c>
      <c r="M775" s="8" t="str">
        <f t="shared" si="155"/>
        <v>1971-1990</v>
      </c>
      <c r="N775" s="10" t="s">
        <v>242</v>
      </c>
      <c r="O775" s="10" t="s">
        <v>241</v>
      </c>
      <c r="P775" s="10" t="s">
        <v>242</v>
      </c>
      <c r="Q775" s="10" t="s">
        <v>242</v>
      </c>
      <c r="R775" s="10" t="s">
        <v>241</v>
      </c>
      <c r="S775" s="10" t="s">
        <v>242</v>
      </c>
      <c r="T775" s="10" t="s">
        <v>242</v>
      </c>
      <c r="U775" s="10" t="s">
        <v>241</v>
      </c>
      <c r="V775" s="10" t="s">
        <v>241</v>
      </c>
      <c r="W775" s="10" t="s">
        <v>242</v>
      </c>
      <c r="X775" s="15">
        <f>IF(ISERROR(VLOOKUP($A775,'13. Updated Demand'!A:Z,15,FALSE)),0,VLOOKUP($A775,'13. Updated Demand'!A:Z,15,FALSE))</f>
        <v>0</v>
      </c>
      <c r="Y775" s="16">
        <f>IF(ISERROR(VLOOKUP($A775,'13. Updated Demand'!A:Z,16,FALSE)),0,VLOOKUP($A775,'13. Updated Demand'!A:Z,16,FALSE))</f>
        <v>0</v>
      </c>
      <c r="Z775" s="16">
        <f>IF(ISERROR(VLOOKUP($A775,'13. Updated Demand'!A:Z,17,FALSE)),0,VLOOKUP($A775,'13. Updated Demand'!A:Z,17,FALSE))</f>
        <v>0</v>
      </c>
      <c r="AA775" s="16">
        <f>IF(ISERROR(VLOOKUP($A775,'13. Updated Demand'!A:Z,18,FALSE)),0,VLOOKUP($A775,'13. Updated Demand'!A:Z,18,FALSE))</f>
        <v>0</v>
      </c>
      <c r="AB775" s="16">
        <f>IF(ISERROR(VLOOKUP($A775,'13. Updated Demand'!A:Z,19,FALSE)),0,VLOOKUP($A775,'13. Updated Demand'!A:Z,19,FALSE))</f>
        <v>0</v>
      </c>
      <c r="AC775" s="16">
        <f>IF(ISERROR(VLOOKUP($A775,'13. Updated Demand'!A:Z,20,FALSE)),0,VLOOKUP($A775,'13. Updated Demand'!A:Z,20,FALSE))</f>
        <v>0</v>
      </c>
      <c r="AD775" s="16">
        <f>IF(ISERROR(VLOOKUP($A775,'13. Updated Demand'!A:Z,21,FALSE)),0,VLOOKUP($A775,'13. Updated Demand'!A:Z,21,FALSE))</f>
        <v>0</v>
      </c>
      <c r="AE775" s="16">
        <f>IF(ISERROR(VLOOKUP($A775,'13. Updated Demand'!A:Z,22,FALSE)),0,VLOOKUP($A775,'13. Updated Demand'!A:Z,22,FALSE))</f>
        <v>0</v>
      </c>
      <c r="AF775" s="16">
        <f>IF(ISERROR(VLOOKUP($A775,'13. Updated Demand'!A:Z,23,FALSE)),0,VLOOKUP($A775,'13. Updated Demand'!A:Z,23,FALSE))</f>
        <v>0</v>
      </c>
      <c r="AG775" s="16">
        <f>IF(ISERROR(VLOOKUP($A775,'13. Updated Demand'!A:Z,24,FALSE)),0,VLOOKUP($A775,'13. Updated Demand'!A:Z,24,FALSE))</f>
        <v>0</v>
      </c>
      <c r="AH775" s="16">
        <f>IF(ISERROR(VLOOKUP($A775,'13. Updated Demand'!A:Z,25,FALSE)),0,VLOOKUP($A775,'13. Updated Demand'!A:Z,25,FALSE))</f>
        <v>0</v>
      </c>
      <c r="AI775" s="16">
        <f>IF(ISERROR(VLOOKUP($A775,'13. Updated Demand'!A:Z,26,FALSE)),0,VLOOKUP($A775,'13. Updated Demand'!A:Z,26,FALSE))</f>
        <v>0</v>
      </c>
      <c r="AJ775" s="16">
        <f t="shared" si="144"/>
        <v>0</v>
      </c>
      <c r="AK775" s="19">
        <v>0</v>
      </c>
      <c r="AL775" s="16">
        <f t="shared" si="154"/>
        <v>0</v>
      </c>
      <c r="AM775" s="17">
        <v>0</v>
      </c>
      <c r="AN775" s="19"/>
      <c r="AO775" s="19"/>
      <c r="AP775" s="19">
        <v>9.6999999999999993</v>
      </c>
      <c r="AQ775" s="19" t="s">
        <v>307</v>
      </c>
      <c r="AR775" s="9" t="s">
        <v>409</v>
      </c>
      <c r="AS775" s="12">
        <v>0</v>
      </c>
      <c r="AT775" s="19">
        <v>38.840660229999997</v>
      </c>
      <c r="AU775" s="19">
        <v>-122.95222588</v>
      </c>
      <c r="AV775" s="19" t="s">
        <v>417</v>
      </c>
    </row>
    <row r="776" spans="1:48" x14ac:dyDescent="0.25">
      <c r="A776" s="18" t="s">
        <v>1163</v>
      </c>
      <c r="B776" s="10">
        <v>19710223</v>
      </c>
      <c r="C776" s="9">
        <v>1</v>
      </c>
      <c r="D776" s="8" t="str">
        <f t="shared" si="145"/>
        <v>N</v>
      </c>
      <c r="E776" s="8" t="str">
        <f t="shared" si="146"/>
        <v>N</v>
      </c>
      <c r="F776" s="8" t="str">
        <f t="shared" si="147"/>
        <v>Y</v>
      </c>
      <c r="G776" s="8" t="str">
        <f t="shared" si="148"/>
        <v>Y</v>
      </c>
      <c r="H776" s="8" t="str">
        <f t="shared" si="149"/>
        <v>Upper</v>
      </c>
      <c r="I776" s="8" t="str">
        <f t="shared" si="150"/>
        <v>West Fork and Below Lake</v>
      </c>
      <c r="J776" s="8" t="str">
        <f t="shared" si="151"/>
        <v>Outside</v>
      </c>
      <c r="K776" s="8" t="str">
        <f t="shared" si="152"/>
        <v>Post-1949</v>
      </c>
      <c r="L776" s="8">
        <f t="shared" si="153"/>
        <v>1971</v>
      </c>
      <c r="M776" s="8" t="str">
        <f t="shared" si="155"/>
        <v>1971-1990</v>
      </c>
      <c r="N776" s="10" t="s">
        <v>242</v>
      </c>
      <c r="O776" s="10" t="s">
        <v>241</v>
      </c>
      <c r="P776" s="10" t="s">
        <v>242</v>
      </c>
      <c r="Q776" s="10" t="s">
        <v>242</v>
      </c>
      <c r="R776" s="10" t="s">
        <v>241</v>
      </c>
      <c r="S776" s="10" t="s">
        <v>242</v>
      </c>
      <c r="T776" s="10" t="s">
        <v>242</v>
      </c>
      <c r="U776" s="10" t="s">
        <v>242</v>
      </c>
      <c r="V776" s="10" t="s">
        <v>242</v>
      </c>
      <c r="W776" s="10" t="s">
        <v>242</v>
      </c>
      <c r="X776" s="15">
        <f>IF(ISERROR(VLOOKUP($A776,'13. Updated Demand'!A:Z,15,FALSE)),0,VLOOKUP($A776,'13. Updated Demand'!A:Z,15,FALSE))</f>
        <v>0.66</v>
      </c>
      <c r="Y776" s="16">
        <f>IF(ISERROR(VLOOKUP($A776,'13. Updated Demand'!A:Z,16,FALSE)),0,VLOOKUP($A776,'13. Updated Demand'!A:Z,16,FALSE))</f>
        <v>1.33</v>
      </c>
      <c r="Z776" s="16">
        <f>IF(ISERROR(VLOOKUP($A776,'13. Updated Demand'!A:Z,17,FALSE)),0,VLOOKUP($A776,'13. Updated Demand'!A:Z,17,FALSE))</f>
        <v>2</v>
      </c>
      <c r="AA776" s="16">
        <f>IF(ISERROR(VLOOKUP($A776,'13. Updated Demand'!A:Z,18,FALSE)),0,VLOOKUP($A776,'13. Updated Demand'!A:Z,18,FALSE))</f>
        <v>0.66</v>
      </c>
      <c r="AB776" s="16">
        <f>IF(ISERROR(VLOOKUP($A776,'13. Updated Demand'!A:Z,19,FALSE)),0,VLOOKUP($A776,'13. Updated Demand'!A:Z,19,FALSE))</f>
        <v>0.33</v>
      </c>
      <c r="AC776" s="16">
        <f>IF(ISERROR(VLOOKUP($A776,'13. Updated Demand'!A:Z,20,FALSE)),0,VLOOKUP($A776,'13. Updated Demand'!A:Z,20,FALSE))</f>
        <v>0.33</v>
      </c>
      <c r="AD776" s="16">
        <f>IF(ISERROR(VLOOKUP($A776,'13. Updated Demand'!A:Z,21,FALSE)),0,VLOOKUP($A776,'13. Updated Demand'!A:Z,21,FALSE))</f>
        <v>0.33</v>
      </c>
      <c r="AE776" s="16">
        <f>IF(ISERROR(VLOOKUP($A776,'13. Updated Demand'!A:Z,22,FALSE)),0,VLOOKUP($A776,'13. Updated Demand'!A:Z,22,FALSE))</f>
        <v>0.33</v>
      </c>
      <c r="AF776" s="16">
        <f>IF(ISERROR(VLOOKUP($A776,'13. Updated Demand'!A:Z,23,FALSE)),0,VLOOKUP($A776,'13. Updated Demand'!A:Z,23,FALSE))</f>
        <v>0</v>
      </c>
      <c r="AG776" s="16">
        <f>IF(ISERROR(VLOOKUP($A776,'13. Updated Demand'!A:Z,24,FALSE)),0,VLOOKUP($A776,'13. Updated Demand'!A:Z,24,FALSE))</f>
        <v>0</v>
      </c>
      <c r="AH776" s="16">
        <f>IF(ISERROR(VLOOKUP($A776,'13. Updated Demand'!A:Z,25,FALSE)),0,VLOOKUP($A776,'13. Updated Demand'!A:Z,25,FALSE))</f>
        <v>0</v>
      </c>
      <c r="AI776" s="16">
        <f>IF(ISERROR(VLOOKUP($A776,'13. Updated Demand'!A:Z,26,FALSE)),0,VLOOKUP($A776,'13. Updated Demand'!A:Z,26,FALSE))</f>
        <v>0.66</v>
      </c>
      <c r="AJ776" s="16">
        <f t="shared" si="144"/>
        <v>6.6300000000000008</v>
      </c>
      <c r="AK776" s="19">
        <v>1.333333332</v>
      </c>
      <c r="AL776" s="16">
        <f t="shared" si="154"/>
        <v>4.4225147813048305E-3</v>
      </c>
      <c r="AM776" s="17">
        <v>0.83333333324999992</v>
      </c>
      <c r="AN776" s="19"/>
      <c r="AO776" s="19"/>
      <c r="AP776" s="19">
        <v>8</v>
      </c>
      <c r="AQ776" s="19" t="s">
        <v>307</v>
      </c>
      <c r="AR776" s="9" t="s">
        <v>317</v>
      </c>
      <c r="AS776" s="12">
        <v>0</v>
      </c>
      <c r="AT776" s="19">
        <v>39.293520119999997</v>
      </c>
      <c r="AU776" s="19">
        <v>-123.21240289000001</v>
      </c>
      <c r="AV776" s="19" t="s">
        <v>417</v>
      </c>
    </row>
    <row r="777" spans="1:48" x14ac:dyDescent="0.25">
      <c r="A777" s="18" t="s">
        <v>1164</v>
      </c>
      <c r="B777" s="10">
        <v>19710324</v>
      </c>
      <c r="C777" s="9">
        <v>1</v>
      </c>
      <c r="D777" s="8" t="str">
        <f t="shared" si="145"/>
        <v>N</v>
      </c>
      <c r="E777" s="8" t="str">
        <f t="shared" si="146"/>
        <v>N</v>
      </c>
      <c r="F777" s="8" t="str">
        <f t="shared" si="147"/>
        <v>Y</v>
      </c>
      <c r="G777" s="8" t="str">
        <f t="shared" si="148"/>
        <v>Y</v>
      </c>
      <c r="H777" s="8" t="str">
        <f t="shared" si="149"/>
        <v>Upper</v>
      </c>
      <c r="I777" s="8" t="str">
        <f t="shared" si="150"/>
        <v>West Fork and Below Lake</v>
      </c>
      <c r="J777" s="8" t="str">
        <f t="shared" si="151"/>
        <v>Outside</v>
      </c>
      <c r="K777" s="8" t="str">
        <f t="shared" si="152"/>
        <v>Post-1949</v>
      </c>
      <c r="L777" s="8">
        <f t="shared" si="153"/>
        <v>1971</v>
      </c>
      <c r="M777" s="8" t="str">
        <f t="shared" si="155"/>
        <v>1971-1990</v>
      </c>
      <c r="N777" s="10" t="s">
        <v>242</v>
      </c>
      <c r="O777" s="10" t="s">
        <v>241</v>
      </c>
      <c r="P777" s="10" t="s">
        <v>242</v>
      </c>
      <c r="Q777" s="10" t="s">
        <v>242</v>
      </c>
      <c r="R777" s="10" t="s">
        <v>241</v>
      </c>
      <c r="S777" s="10" t="s">
        <v>242</v>
      </c>
      <c r="T777" s="10" t="s">
        <v>242</v>
      </c>
      <c r="U777" s="10" t="s">
        <v>241</v>
      </c>
      <c r="V777" s="10" t="s">
        <v>241</v>
      </c>
      <c r="W777" s="10" t="s">
        <v>242</v>
      </c>
      <c r="X777" s="15">
        <f>IF(ISERROR(VLOOKUP($A777,'13. Updated Demand'!A:Z,15,FALSE)),0,VLOOKUP($A777,'13. Updated Demand'!A:Z,15,FALSE))</f>
        <v>0</v>
      </c>
      <c r="Y777" s="16">
        <f>IF(ISERROR(VLOOKUP($A777,'13. Updated Demand'!A:Z,16,FALSE)),0,VLOOKUP($A777,'13. Updated Demand'!A:Z,16,FALSE))</f>
        <v>0</v>
      </c>
      <c r="Z777" s="16">
        <f>IF(ISERROR(VLOOKUP($A777,'13. Updated Demand'!A:Z,17,FALSE)),0,VLOOKUP($A777,'13. Updated Demand'!A:Z,17,FALSE))</f>
        <v>0</v>
      </c>
      <c r="AA777" s="16">
        <f>IF(ISERROR(VLOOKUP($A777,'13. Updated Demand'!A:Z,18,FALSE)),0,VLOOKUP($A777,'13. Updated Demand'!A:Z,18,FALSE))</f>
        <v>0</v>
      </c>
      <c r="AB777" s="16">
        <f>IF(ISERROR(VLOOKUP($A777,'13. Updated Demand'!A:Z,19,FALSE)),0,VLOOKUP($A777,'13. Updated Demand'!A:Z,19,FALSE))</f>
        <v>0</v>
      </c>
      <c r="AC777" s="16">
        <f>IF(ISERROR(VLOOKUP($A777,'13. Updated Demand'!A:Z,20,FALSE)),0,VLOOKUP($A777,'13. Updated Demand'!A:Z,20,FALSE))</f>
        <v>0</v>
      </c>
      <c r="AD777" s="16">
        <f>IF(ISERROR(VLOOKUP($A777,'13. Updated Demand'!A:Z,21,FALSE)),0,VLOOKUP($A777,'13. Updated Demand'!A:Z,21,FALSE))</f>
        <v>0</v>
      </c>
      <c r="AE777" s="16">
        <f>IF(ISERROR(VLOOKUP($A777,'13. Updated Demand'!A:Z,22,FALSE)),0,VLOOKUP($A777,'13. Updated Demand'!A:Z,22,FALSE))</f>
        <v>0</v>
      </c>
      <c r="AF777" s="16">
        <f>IF(ISERROR(VLOOKUP($A777,'13. Updated Demand'!A:Z,23,FALSE)),0,VLOOKUP($A777,'13. Updated Demand'!A:Z,23,FALSE))</f>
        <v>0</v>
      </c>
      <c r="AG777" s="16">
        <f>IF(ISERROR(VLOOKUP($A777,'13. Updated Demand'!A:Z,24,FALSE)),0,VLOOKUP($A777,'13. Updated Demand'!A:Z,24,FALSE))</f>
        <v>0</v>
      </c>
      <c r="AH777" s="16">
        <f>IF(ISERROR(VLOOKUP($A777,'13. Updated Demand'!A:Z,25,FALSE)),0,VLOOKUP($A777,'13. Updated Demand'!A:Z,25,FALSE))</f>
        <v>0</v>
      </c>
      <c r="AI777" s="16">
        <f>IF(ISERROR(VLOOKUP($A777,'13. Updated Demand'!A:Z,26,FALSE)),0,VLOOKUP($A777,'13. Updated Demand'!A:Z,26,FALSE))</f>
        <v>0</v>
      </c>
      <c r="AJ777" s="16">
        <f t="shared" si="144"/>
        <v>0</v>
      </c>
      <c r="AK777" s="19">
        <v>0</v>
      </c>
      <c r="AL777" s="16">
        <f t="shared" si="154"/>
        <v>0</v>
      </c>
      <c r="AM777" s="17">
        <v>0</v>
      </c>
      <c r="AN777" s="19"/>
      <c r="AO777" s="19"/>
      <c r="AP777" s="19">
        <v>41</v>
      </c>
      <c r="AQ777" s="19" t="s">
        <v>307</v>
      </c>
      <c r="AR777" s="9" t="s">
        <v>317</v>
      </c>
      <c r="AS777" s="12">
        <v>0</v>
      </c>
      <c r="AT777" s="19">
        <v>39.268900000000002</v>
      </c>
      <c r="AU777" s="19">
        <v>-123.2123</v>
      </c>
      <c r="AV777" s="19" t="s">
        <v>456</v>
      </c>
    </row>
    <row r="778" spans="1:48" x14ac:dyDescent="0.25">
      <c r="A778" s="18" t="s">
        <v>1165</v>
      </c>
      <c r="B778" s="10">
        <v>19710405</v>
      </c>
      <c r="C778" s="9">
        <v>1</v>
      </c>
      <c r="D778" s="8" t="str">
        <f t="shared" si="145"/>
        <v>N</v>
      </c>
      <c r="E778" s="8" t="str">
        <f t="shared" si="146"/>
        <v>N</v>
      </c>
      <c r="F778" s="8" t="str">
        <f t="shared" si="147"/>
        <v>Y</v>
      </c>
      <c r="G778" s="8" t="str">
        <f t="shared" si="148"/>
        <v>Y</v>
      </c>
      <c r="H778" s="8" t="str">
        <f t="shared" si="149"/>
        <v>Upper</v>
      </c>
      <c r="I778" s="8" t="str">
        <f t="shared" si="150"/>
        <v>West Fork and Below Lake</v>
      </c>
      <c r="J778" s="8" t="str">
        <f t="shared" si="151"/>
        <v>Outside</v>
      </c>
      <c r="K778" s="8" t="str">
        <f t="shared" si="152"/>
        <v>Post-1949</v>
      </c>
      <c r="L778" s="8">
        <f t="shared" si="153"/>
        <v>1971</v>
      </c>
      <c r="M778" s="8" t="str">
        <f t="shared" si="155"/>
        <v>1971-1990</v>
      </c>
      <c r="N778" s="10" t="s">
        <v>242</v>
      </c>
      <c r="O778" s="10" t="s">
        <v>241</v>
      </c>
      <c r="P778" s="10" t="s">
        <v>242</v>
      </c>
      <c r="Q778" s="10" t="s">
        <v>242</v>
      </c>
      <c r="R778" s="10" t="s">
        <v>241</v>
      </c>
      <c r="S778" s="10" t="s">
        <v>242</v>
      </c>
      <c r="T778" s="10" t="s">
        <v>242</v>
      </c>
      <c r="U778" s="10" t="s">
        <v>242</v>
      </c>
      <c r="V778" s="10" t="s">
        <v>242</v>
      </c>
      <c r="W778" s="10" t="s">
        <v>242</v>
      </c>
      <c r="X778" s="15">
        <f>IF(ISERROR(VLOOKUP($A778,'13. Updated Demand'!A:Z,15,FALSE)),0,VLOOKUP($A778,'13. Updated Demand'!A:Z,15,FALSE))</f>
        <v>10</v>
      </c>
      <c r="Y778" s="16">
        <f>IF(ISERROR(VLOOKUP($A778,'13. Updated Demand'!A:Z,16,FALSE)),0,VLOOKUP($A778,'13. Updated Demand'!A:Z,16,FALSE))</f>
        <v>10.16</v>
      </c>
      <c r="Z778" s="16">
        <f>IF(ISERROR(VLOOKUP($A778,'13. Updated Demand'!A:Z,17,FALSE)),0,VLOOKUP($A778,'13. Updated Demand'!A:Z,17,FALSE))</f>
        <v>11.33</v>
      </c>
      <c r="AA778" s="16">
        <f>IF(ISERROR(VLOOKUP($A778,'13. Updated Demand'!A:Z,18,FALSE)),0,VLOOKUP($A778,'13. Updated Demand'!A:Z,18,FALSE))</f>
        <v>5.46</v>
      </c>
      <c r="AB778" s="16">
        <f>IF(ISERROR(VLOOKUP($A778,'13. Updated Demand'!A:Z,19,FALSE)),0,VLOOKUP($A778,'13. Updated Demand'!A:Z,19,FALSE))</f>
        <v>4.7300000000000004</v>
      </c>
      <c r="AC778" s="16">
        <f>IF(ISERROR(VLOOKUP($A778,'13. Updated Demand'!A:Z,20,FALSE)),0,VLOOKUP($A778,'13. Updated Demand'!A:Z,20,FALSE))</f>
        <v>1.33</v>
      </c>
      <c r="AD778" s="16">
        <f>IF(ISERROR(VLOOKUP($A778,'13. Updated Demand'!A:Z,21,FALSE)),0,VLOOKUP($A778,'13. Updated Demand'!A:Z,21,FALSE))</f>
        <v>0</v>
      </c>
      <c r="AE778" s="16">
        <f>IF(ISERROR(VLOOKUP($A778,'13. Updated Demand'!A:Z,22,FALSE)),0,VLOOKUP($A778,'13. Updated Demand'!A:Z,22,FALSE))</f>
        <v>0</v>
      </c>
      <c r="AF778" s="16">
        <f>IF(ISERROR(VLOOKUP($A778,'13. Updated Demand'!A:Z,23,FALSE)),0,VLOOKUP($A778,'13. Updated Demand'!A:Z,23,FALSE))</f>
        <v>0</v>
      </c>
      <c r="AG778" s="16">
        <f>IF(ISERROR(VLOOKUP($A778,'13. Updated Demand'!A:Z,24,FALSE)),0,VLOOKUP($A778,'13. Updated Demand'!A:Z,24,FALSE))</f>
        <v>0</v>
      </c>
      <c r="AH778" s="16">
        <f>IF(ISERROR(VLOOKUP($A778,'13. Updated Demand'!A:Z,25,FALSE)),0,VLOOKUP($A778,'13. Updated Demand'!A:Z,25,FALSE))</f>
        <v>2.33</v>
      </c>
      <c r="AI778" s="16">
        <f>IF(ISERROR(VLOOKUP($A778,'13. Updated Demand'!A:Z,26,FALSE)),0,VLOOKUP($A778,'13. Updated Demand'!A:Z,26,FALSE))</f>
        <v>7</v>
      </c>
      <c r="AJ778" s="16">
        <f t="shared" si="144"/>
        <v>52.34</v>
      </c>
      <c r="AK778" s="19">
        <v>6.0666666659999997</v>
      </c>
      <c r="AL778" s="16">
        <f t="shared" si="154"/>
        <v>2.0122442272848165E-2</v>
      </c>
      <c r="AM778" s="17">
        <v>0.74809523808571421</v>
      </c>
      <c r="AN778" s="19"/>
      <c r="AO778" s="19"/>
      <c r="AP778" s="19">
        <v>70</v>
      </c>
      <c r="AQ778" s="19" t="s">
        <v>307</v>
      </c>
      <c r="AR778" s="9" t="s">
        <v>317</v>
      </c>
      <c r="AS778" s="12">
        <v>0</v>
      </c>
      <c r="AT778" s="19">
        <v>39.287367799999998</v>
      </c>
      <c r="AU778" s="19">
        <v>-123.18979945</v>
      </c>
      <c r="AV778" s="19" t="s">
        <v>417</v>
      </c>
    </row>
    <row r="779" spans="1:48" x14ac:dyDescent="0.25">
      <c r="A779" s="18" t="s">
        <v>1166</v>
      </c>
      <c r="B779" s="10">
        <v>19710528</v>
      </c>
      <c r="C779" s="9">
        <v>1</v>
      </c>
      <c r="D779" s="8" t="str">
        <f t="shared" si="145"/>
        <v>N</v>
      </c>
      <c r="E779" s="8" t="str">
        <f t="shared" si="146"/>
        <v>N</v>
      </c>
      <c r="F779" s="8" t="str">
        <f t="shared" si="147"/>
        <v>Y</v>
      </c>
      <c r="G779" s="8" t="str">
        <f t="shared" si="148"/>
        <v>Y</v>
      </c>
      <c r="H779" s="8" t="str">
        <f t="shared" si="149"/>
        <v>Upper</v>
      </c>
      <c r="I779" s="8" t="str">
        <f t="shared" si="150"/>
        <v>West Fork and Below Lake</v>
      </c>
      <c r="J779" s="8" t="str">
        <f t="shared" si="151"/>
        <v>Outside</v>
      </c>
      <c r="K779" s="8" t="str">
        <f t="shared" si="152"/>
        <v>Post-1949</v>
      </c>
      <c r="L779" s="8">
        <f t="shared" si="153"/>
        <v>1971</v>
      </c>
      <c r="M779" s="8" t="str">
        <f t="shared" si="155"/>
        <v>1971-1990</v>
      </c>
      <c r="N779" s="10" t="s">
        <v>242</v>
      </c>
      <c r="O779" s="10" t="s">
        <v>241</v>
      </c>
      <c r="P779" s="10" t="s">
        <v>242</v>
      </c>
      <c r="Q779" s="10" t="s">
        <v>242</v>
      </c>
      <c r="R779" s="10" t="s">
        <v>241</v>
      </c>
      <c r="S779" s="10" t="s">
        <v>242</v>
      </c>
      <c r="T779" s="10" t="s">
        <v>242</v>
      </c>
      <c r="U779" s="10" t="s">
        <v>242</v>
      </c>
      <c r="V779" s="10" t="s">
        <v>242</v>
      </c>
      <c r="W779" s="10" t="s">
        <v>242</v>
      </c>
      <c r="X779" s="15">
        <f>IF(ISERROR(VLOOKUP($A779,'13. Updated Demand'!A:Z,15,FALSE)),0,VLOOKUP($A779,'13. Updated Demand'!A:Z,15,FALSE))</f>
        <v>0</v>
      </c>
      <c r="Y779" s="16">
        <f>IF(ISERROR(VLOOKUP($A779,'13. Updated Demand'!A:Z,16,FALSE)),0,VLOOKUP($A779,'13. Updated Demand'!A:Z,16,FALSE))</f>
        <v>0</v>
      </c>
      <c r="Z779" s="16">
        <f>IF(ISERROR(VLOOKUP($A779,'13. Updated Demand'!A:Z,17,FALSE)),0,VLOOKUP($A779,'13. Updated Demand'!A:Z,17,FALSE))</f>
        <v>1</v>
      </c>
      <c r="AA779" s="16">
        <f>IF(ISERROR(VLOOKUP($A779,'13. Updated Demand'!A:Z,18,FALSE)),0,VLOOKUP($A779,'13. Updated Demand'!A:Z,18,FALSE))</f>
        <v>1</v>
      </c>
      <c r="AB779" s="16">
        <f>IF(ISERROR(VLOOKUP($A779,'13. Updated Demand'!A:Z,19,FALSE)),0,VLOOKUP($A779,'13. Updated Demand'!A:Z,19,FALSE))</f>
        <v>0.66</v>
      </c>
      <c r="AC779" s="16">
        <f>IF(ISERROR(VLOOKUP($A779,'13. Updated Demand'!A:Z,20,FALSE)),0,VLOOKUP($A779,'13. Updated Demand'!A:Z,20,FALSE))</f>
        <v>0</v>
      </c>
      <c r="AD779" s="16">
        <f>IF(ISERROR(VLOOKUP($A779,'13. Updated Demand'!A:Z,21,FALSE)),0,VLOOKUP($A779,'13. Updated Demand'!A:Z,21,FALSE))</f>
        <v>0</v>
      </c>
      <c r="AE779" s="16">
        <f>IF(ISERROR(VLOOKUP($A779,'13. Updated Demand'!A:Z,22,FALSE)),0,VLOOKUP($A779,'13. Updated Demand'!A:Z,22,FALSE))</f>
        <v>0</v>
      </c>
      <c r="AF779" s="16">
        <f>IF(ISERROR(VLOOKUP($A779,'13. Updated Demand'!A:Z,23,FALSE)),0,VLOOKUP($A779,'13. Updated Demand'!A:Z,23,FALSE))</f>
        <v>0</v>
      </c>
      <c r="AG779" s="16">
        <f>IF(ISERROR(VLOOKUP($A779,'13. Updated Demand'!A:Z,24,FALSE)),0,VLOOKUP($A779,'13. Updated Demand'!A:Z,24,FALSE))</f>
        <v>0</v>
      </c>
      <c r="AH779" s="16">
        <f>IF(ISERROR(VLOOKUP($A779,'13. Updated Demand'!A:Z,25,FALSE)),0,VLOOKUP($A779,'13. Updated Demand'!A:Z,25,FALSE))</f>
        <v>0</v>
      </c>
      <c r="AI779" s="16">
        <f>IF(ISERROR(VLOOKUP($A779,'13. Updated Demand'!A:Z,26,FALSE)),0,VLOOKUP($A779,'13. Updated Demand'!A:Z,26,FALSE))</f>
        <v>0</v>
      </c>
      <c r="AJ779" s="16">
        <f t="shared" si="144"/>
        <v>2.66</v>
      </c>
      <c r="AK779" s="19">
        <v>0.66666666699999999</v>
      </c>
      <c r="AL779" s="16">
        <f t="shared" si="154"/>
        <v>2.2112573939693015E-3</v>
      </c>
      <c r="AM779" s="17">
        <v>0.66666666674999997</v>
      </c>
      <c r="AN779" s="19"/>
      <c r="AO779" s="19"/>
      <c r="AP779" s="19">
        <v>4</v>
      </c>
      <c r="AQ779" s="19" t="s">
        <v>307</v>
      </c>
      <c r="AR779" s="9" t="s">
        <v>317</v>
      </c>
      <c r="AS779" s="12">
        <v>0</v>
      </c>
      <c r="AT779" s="19">
        <v>39.270255980000002</v>
      </c>
      <c r="AU779" s="19">
        <v>-123.17809018</v>
      </c>
      <c r="AV779" s="19" t="s">
        <v>417</v>
      </c>
    </row>
    <row r="780" spans="1:48" x14ac:dyDescent="0.25">
      <c r="A780" s="18" t="s">
        <v>1167</v>
      </c>
      <c r="B780" s="10">
        <v>19710528</v>
      </c>
      <c r="C780" s="9">
        <v>6</v>
      </c>
      <c r="D780" s="8" t="str">
        <f t="shared" si="145"/>
        <v>Y</v>
      </c>
      <c r="E780" s="8" t="str">
        <f t="shared" si="146"/>
        <v>N</v>
      </c>
      <c r="F780" s="8" t="str">
        <f t="shared" si="147"/>
        <v>Y</v>
      </c>
      <c r="G780" s="8" t="str">
        <f t="shared" si="148"/>
        <v>Y</v>
      </c>
      <c r="H780" s="8" t="str">
        <f t="shared" si="149"/>
        <v>Upper</v>
      </c>
      <c r="I780" s="8" t="str">
        <f t="shared" si="150"/>
        <v>West Fork and Below Lake</v>
      </c>
      <c r="J780" s="8" t="str">
        <f t="shared" si="151"/>
        <v>Mendocino (d/s of lake)</v>
      </c>
      <c r="K780" s="8" t="str">
        <f t="shared" si="152"/>
        <v>Post-1949</v>
      </c>
      <c r="L780" s="8">
        <f t="shared" si="153"/>
        <v>1971</v>
      </c>
      <c r="M780" s="8" t="str">
        <f t="shared" si="155"/>
        <v>1971-1990</v>
      </c>
      <c r="N780" s="10" t="s">
        <v>242</v>
      </c>
      <c r="O780" s="10" t="s">
        <v>241</v>
      </c>
      <c r="P780" s="10" t="s">
        <v>242</v>
      </c>
      <c r="Q780" s="10" t="s">
        <v>242</v>
      </c>
      <c r="R780" s="10" t="s">
        <v>241</v>
      </c>
      <c r="S780" s="10" t="s">
        <v>242</v>
      </c>
      <c r="T780" s="10" t="s">
        <v>242</v>
      </c>
      <c r="U780" s="10" t="s">
        <v>242</v>
      </c>
      <c r="V780" s="10" t="s">
        <v>242</v>
      </c>
      <c r="W780" s="10" t="s">
        <v>242</v>
      </c>
      <c r="X780" s="15">
        <f>IF(ISERROR(VLOOKUP($A780,'13. Updated Demand'!A:Z,15,FALSE)),0,VLOOKUP($A780,'13. Updated Demand'!A:Z,15,FALSE))</f>
        <v>0.26</v>
      </c>
      <c r="Y780" s="16">
        <f>IF(ISERROR(VLOOKUP($A780,'13. Updated Demand'!A:Z,16,FALSE)),0,VLOOKUP($A780,'13. Updated Demand'!A:Z,16,FALSE))</f>
        <v>3.66</v>
      </c>
      <c r="Z780" s="16">
        <f>IF(ISERROR(VLOOKUP($A780,'13. Updated Demand'!A:Z,17,FALSE)),0,VLOOKUP($A780,'13. Updated Demand'!A:Z,17,FALSE))</f>
        <v>5.0999999999999996</v>
      </c>
      <c r="AA780" s="16">
        <f>IF(ISERROR(VLOOKUP($A780,'13. Updated Demand'!A:Z,18,FALSE)),0,VLOOKUP($A780,'13. Updated Demand'!A:Z,18,FALSE))</f>
        <v>6.03</v>
      </c>
      <c r="AB780" s="16">
        <f>IF(ISERROR(VLOOKUP($A780,'13. Updated Demand'!A:Z,19,FALSE)),0,VLOOKUP($A780,'13. Updated Demand'!A:Z,19,FALSE))</f>
        <v>0.36</v>
      </c>
      <c r="AC780" s="16">
        <f>IF(ISERROR(VLOOKUP($A780,'13. Updated Demand'!A:Z,20,FALSE)),0,VLOOKUP($A780,'13. Updated Demand'!A:Z,20,FALSE))</f>
        <v>0</v>
      </c>
      <c r="AD780" s="16">
        <f>IF(ISERROR(VLOOKUP($A780,'13. Updated Demand'!A:Z,21,FALSE)),0,VLOOKUP($A780,'13. Updated Demand'!A:Z,21,FALSE))</f>
        <v>0</v>
      </c>
      <c r="AE780" s="16">
        <f>IF(ISERROR(VLOOKUP($A780,'13. Updated Demand'!A:Z,22,FALSE)),0,VLOOKUP($A780,'13. Updated Demand'!A:Z,22,FALSE))</f>
        <v>0</v>
      </c>
      <c r="AF780" s="16">
        <f>IF(ISERROR(VLOOKUP($A780,'13. Updated Demand'!A:Z,23,FALSE)),0,VLOOKUP($A780,'13. Updated Demand'!A:Z,23,FALSE))</f>
        <v>0</v>
      </c>
      <c r="AG780" s="16">
        <f>IF(ISERROR(VLOOKUP($A780,'13. Updated Demand'!A:Z,24,FALSE)),0,VLOOKUP($A780,'13. Updated Demand'!A:Z,24,FALSE))</f>
        <v>0</v>
      </c>
      <c r="AH780" s="16">
        <f>IF(ISERROR(VLOOKUP($A780,'13. Updated Demand'!A:Z,25,FALSE)),0,VLOOKUP($A780,'13. Updated Demand'!A:Z,25,FALSE))</f>
        <v>0</v>
      </c>
      <c r="AI780" s="16">
        <f>IF(ISERROR(VLOOKUP($A780,'13. Updated Demand'!A:Z,26,FALSE)),0,VLOOKUP($A780,'13. Updated Demand'!A:Z,26,FALSE))</f>
        <v>3.36</v>
      </c>
      <c r="AJ780" s="16">
        <f t="shared" si="144"/>
        <v>18.77</v>
      </c>
      <c r="AK780" s="19">
        <v>0.366666667</v>
      </c>
      <c r="AL780" s="16">
        <f t="shared" si="154"/>
        <v>1.2161915671806487E-3</v>
      </c>
      <c r="AM780" s="17">
        <v>5.5131964812316719E-2</v>
      </c>
      <c r="AN780" s="19"/>
      <c r="AO780" s="19"/>
      <c r="AP780" s="19">
        <v>341</v>
      </c>
      <c r="AQ780" s="19" t="s">
        <v>307</v>
      </c>
      <c r="AR780" s="9" t="s">
        <v>319</v>
      </c>
      <c r="AS780" s="12">
        <v>0</v>
      </c>
      <c r="AT780" s="19">
        <v>38.974899999999998</v>
      </c>
      <c r="AU780" s="19">
        <v>-123.0586</v>
      </c>
      <c r="AV780" s="19" t="s">
        <v>385</v>
      </c>
    </row>
    <row r="781" spans="1:48" x14ac:dyDescent="0.25">
      <c r="A781" s="18" t="s">
        <v>1168</v>
      </c>
      <c r="B781" s="10">
        <v>19710601</v>
      </c>
      <c r="C781" s="9">
        <v>5</v>
      </c>
      <c r="D781" s="8" t="str">
        <f t="shared" si="145"/>
        <v>Y</v>
      </c>
      <c r="E781" s="8" t="str">
        <f t="shared" si="146"/>
        <v>N</v>
      </c>
      <c r="F781" s="8" t="str">
        <f t="shared" si="147"/>
        <v>Y</v>
      </c>
      <c r="G781" s="8" t="str">
        <f t="shared" si="148"/>
        <v>Y</v>
      </c>
      <c r="H781" s="8" t="str">
        <f t="shared" si="149"/>
        <v>Upper</v>
      </c>
      <c r="I781" s="8" t="str">
        <f t="shared" si="150"/>
        <v>West Fork and Below Lake</v>
      </c>
      <c r="J781" s="8" t="str">
        <f t="shared" si="151"/>
        <v>Mendocino (d/s of lake)</v>
      </c>
      <c r="K781" s="8" t="str">
        <f t="shared" si="152"/>
        <v>Post-1949</v>
      </c>
      <c r="L781" s="8">
        <f t="shared" si="153"/>
        <v>1971</v>
      </c>
      <c r="M781" s="8" t="str">
        <f t="shared" si="155"/>
        <v>1971-1990</v>
      </c>
      <c r="N781" s="10" t="s">
        <v>242</v>
      </c>
      <c r="O781" s="10" t="s">
        <v>241</v>
      </c>
      <c r="P781" s="10" t="s">
        <v>242</v>
      </c>
      <c r="Q781" s="10" t="s">
        <v>242</v>
      </c>
      <c r="R781" s="10" t="s">
        <v>241</v>
      </c>
      <c r="S781" s="10" t="s">
        <v>242</v>
      </c>
      <c r="T781" s="10" t="s">
        <v>242</v>
      </c>
      <c r="U781" s="10" t="s">
        <v>242</v>
      </c>
      <c r="V781" s="10" t="s">
        <v>241</v>
      </c>
      <c r="W781" s="10" t="s">
        <v>242</v>
      </c>
      <c r="X781" s="15">
        <f>IF(ISERROR(VLOOKUP($A781,'13. Updated Demand'!A:Z,15,FALSE)),0,VLOOKUP($A781,'13. Updated Demand'!A:Z,15,FALSE))</f>
        <v>2</v>
      </c>
      <c r="Y781" s="16">
        <f>IF(ISERROR(VLOOKUP($A781,'13. Updated Demand'!A:Z,16,FALSE)),0,VLOOKUP($A781,'13. Updated Demand'!A:Z,16,FALSE))</f>
        <v>2</v>
      </c>
      <c r="Z781" s="16">
        <f>IF(ISERROR(VLOOKUP($A781,'13. Updated Demand'!A:Z,17,FALSE)),0,VLOOKUP($A781,'13. Updated Demand'!A:Z,17,FALSE))</f>
        <v>2</v>
      </c>
      <c r="AA781" s="16">
        <f>IF(ISERROR(VLOOKUP($A781,'13. Updated Demand'!A:Z,18,FALSE)),0,VLOOKUP($A781,'13. Updated Demand'!A:Z,18,FALSE))</f>
        <v>0</v>
      </c>
      <c r="AB781" s="16">
        <f>IF(ISERROR(VLOOKUP($A781,'13. Updated Demand'!A:Z,19,FALSE)),0,VLOOKUP($A781,'13. Updated Demand'!A:Z,19,FALSE))</f>
        <v>0</v>
      </c>
      <c r="AC781" s="16">
        <f>IF(ISERROR(VLOOKUP($A781,'13. Updated Demand'!A:Z,20,FALSE)),0,VLOOKUP($A781,'13. Updated Demand'!A:Z,20,FALSE))</f>
        <v>0</v>
      </c>
      <c r="AD781" s="16">
        <f>IF(ISERROR(VLOOKUP($A781,'13. Updated Demand'!A:Z,21,FALSE)),0,VLOOKUP($A781,'13. Updated Demand'!A:Z,21,FALSE))</f>
        <v>0</v>
      </c>
      <c r="AE781" s="16">
        <f>IF(ISERROR(VLOOKUP($A781,'13. Updated Demand'!A:Z,22,FALSE)),0,VLOOKUP($A781,'13. Updated Demand'!A:Z,22,FALSE))</f>
        <v>0</v>
      </c>
      <c r="AF781" s="16">
        <f>IF(ISERROR(VLOOKUP($A781,'13. Updated Demand'!A:Z,23,FALSE)),0,VLOOKUP($A781,'13. Updated Demand'!A:Z,23,FALSE))</f>
        <v>0</v>
      </c>
      <c r="AG781" s="16">
        <f>IF(ISERROR(VLOOKUP($A781,'13. Updated Demand'!A:Z,24,FALSE)),0,VLOOKUP($A781,'13. Updated Demand'!A:Z,24,FALSE))</f>
        <v>0</v>
      </c>
      <c r="AH781" s="16">
        <f>IF(ISERROR(VLOOKUP($A781,'13. Updated Demand'!A:Z,25,FALSE)),0,VLOOKUP($A781,'13. Updated Demand'!A:Z,25,FALSE))</f>
        <v>0.33</v>
      </c>
      <c r="AI781" s="16">
        <f>IF(ISERROR(VLOOKUP($A781,'13. Updated Demand'!A:Z,26,FALSE)),0,VLOOKUP($A781,'13. Updated Demand'!A:Z,26,FALSE))</f>
        <v>2</v>
      </c>
      <c r="AJ781" s="16">
        <f t="shared" si="144"/>
        <v>8.33</v>
      </c>
      <c r="AK781" s="19">
        <v>0</v>
      </c>
      <c r="AL781" s="16">
        <f t="shared" si="154"/>
        <v>0</v>
      </c>
      <c r="AM781" s="17">
        <v>0.66666666666666652</v>
      </c>
      <c r="AN781" s="19"/>
      <c r="AO781" s="19"/>
      <c r="AP781" s="19">
        <v>12.5</v>
      </c>
      <c r="AQ781" s="19" t="s">
        <v>307</v>
      </c>
      <c r="AR781" s="9" t="s">
        <v>333</v>
      </c>
      <c r="AS781" s="12">
        <v>0</v>
      </c>
      <c r="AT781" s="19">
        <v>39.102956280000001</v>
      </c>
      <c r="AU781" s="19">
        <v>-123.15804009999999</v>
      </c>
      <c r="AV781" s="19" t="s">
        <v>417</v>
      </c>
    </row>
    <row r="782" spans="1:48" x14ac:dyDescent="0.25">
      <c r="A782" s="18" t="s">
        <v>1169</v>
      </c>
      <c r="B782" s="10">
        <v>19710608</v>
      </c>
      <c r="C782" s="9">
        <v>1</v>
      </c>
      <c r="D782" s="8" t="str">
        <f t="shared" si="145"/>
        <v>N</v>
      </c>
      <c r="E782" s="8" t="str">
        <f t="shared" si="146"/>
        <v>N</v>
      </c>
      <c r="F782" s="8" t="str">
        <f t="shared" si="147"/>
        <v>Y</v>
      </c>
      <c r="G782" s="8" t="str">
        <f t="shared" si="148"/>
        <v>Y</v>
      </c>
      <c r="H782" s="8" t="str">
        <f t="shared" si="149"/>
        <v>Upper</v>
      </c>
      <c r="I782" s="8" t="str">
        <f t="shared" si="150"/>
        <v>West Fork and Below Lake</v>
      </c>
      <c r="J782" s="8" t="str">
        <f t="shared" si="151"/>
        <v>Outside</v>
      </c>
      <c r="K782" s="8" t="str">
        <f t="shared" si="152"/>
        <v>Post-1949</v>
      </c>
      <c r="L782" s="8">
        <f t="shared" si="153"/>
        <v>1971</v>
      </c>
      <c r="M782" s="8" t="str">
        <f t="shared" si="155"/>
        <v>1971-1990</v>
      </c>
      <c r="N782" s="10" t="s">
        <v>242</v>
      </c>
      <c r="O782" s="10" t="s">
        <v>241</v>
      </c>
      <c r="P782" s="10" t="s">
        <v>242</v>
      </c>
      <c r="Q782" s="10" t="s">
        <v>242</v>
      </c>
      <c r="R782" s="10" t="s">
        <v>241</v>
      </c>
      <c r="S782" s="10" t="s">
        <v>242</v>
      </c>
      <c r="T782" s="10" t="s">
        <v>242</v>
      </c>
      <c r="U782" s="10" t="s">
        <v>241</v>
      </c>
      <c r="V782" s="10" t="s">
        <v>241</v>
      </c>
      <c r="W782" s="10" t="s">
        <v>242</v>
      </c>
      <c r="X782" s="15">
        <f>IF(ISERROR(VLOOKUP($A782,'13. Updated Demand'!A:Z,15,FALSE)),0,VLOOKUP($A782,'13. Updated Demand'!A:Z,15,FALSE))</f>
        <v>0</v>
      </c>
      <c r="Y782" s="16">
        <f>IF(ISERROR(VLOOKUP($A782,'13. Updated Demand'!A:Z,16,FALSE)),0,VLOOKUP($A782,'13. Updated Demand'!A:Z,16,FALSE))</f>
        <v>0</v>
      </c>
      <c r="Z782" s="16">
        <f>IF(ISERROR(VLOOKUP($A782,'13. Updated Demand'!A:Z,17,FALSE)),0,VLOOKUP($A782,'13. Updated Demand'!A:Z,17,FALSE))</f>
        <v>0</v>
      </c>
      <c r="AA782" s="16">
        <f>IF(ISERROR(VLOOKUP($A782,'13. Updated Demand'!A:Z,18,FALSE)),0,VLOOKUP($A782,'13. Updated Demand'!A:Z,18,FALSE))</f>
        <v>0</v>
      </c>
      <c r="AB782" s="16">
        <f>IF(ISERROR(VLOOKUP($A782,'13. Updated Demand'!A:Z,19,FALSE)),0,VLOOKUP($A782,'13. Updated Demand'!A:Z,19,FALSE))</f>
        <v>0</v>
      </c>
      <c r="AC782" s="16">
        <f>IF(ISERROR(VLOOKUP($A782,'13. Updated Demand'!A:Z,20,FALSE)),0,VLOOKUP($A782,'13. Updated Demand'!A:Z,20,FALSE))</f>
        <v>0</v>
      </c>
      <c r="AD782" s="16">
        <f>IF(ISERROR(VLOOKUP($A782,'13. Updated Demand'!A:Z,21,FALSE)),0,VLOOKUP($A782,'13. Updated Demand'!A:Z,21,FALSE))</f>
        <v>0</v>
      </c>
      <c r="AE782" s="16">
        <f>IF(ISERROR(VLOOKUP($A782,'13. Updated Demand'!A:Z,22,FALSE)),0,VLOOKUP($A782,'13. Updated Demand'!A:Z,22,FALSE))</f>
        <v>0</v>
      </c>
      <c r="AF782" s="16">
        <f>IF(ISERROR(VLOOKUP($A782,'13. Updated Demand'!A:Z,23,FALSE)),0,VLOOKUP($A782,'13. Updated Demand'!A:Z,23,FALSE))</f>
        <v>0</v>
      </c>
      <c r="AG782" s="16">
        <f>IF(ISERROR(VLOOKUP($A782,'13. Updated Demand'!A:Z,24,FALSE)),0,VLOOKUP($A782,'13. Updated Demand'!A:Z,24,FALSE))</f>
        <v>0</v>
      </c>
      <c r="AH782" s="16">
        <f>IF(ISERROR(VLOOKUP($A782,'13. Updated Demand'!A:Z,25,FALSE)),0,VLOOKUP($A782,'13. Updated Demand'!A:Z,25,FALSE))</f>
        <v>0</v>
      </c>
      <c r="AI782" s="16">
        <f>IF(ISERROR(VLOOKUP($A782,'13. Updated Demand'!A:Z,26,FALSE)),0,VLOOKUP($A782,'13. Updated Demand'!A:Z,26,FALSE))</f>
        <v>0</v>
      </c>
      <c r="AJ782" s="16">
        <f t="shared" si="144"/>
        <v>0</v>
      </c>
      <c r="AK782" s="19">
        <v>0</v>
      </c>
      <c r="AL782" s="16">
        <f t="shared" si="154"/>
        <v>0</v>
      </c>
      <c r="AM782" s="17">
        <v>0</v>
      </c>
      <c r="AN782" s="19"/>
      <c r="AO782" s="19"/>
      <c r="AP782" s="19">
        <v>34</v>
      </c>
      <c r="AQ782" s="19" t="s">
        <v>307</v>
      </c>
      <c r="AR782" s="9" t="s">
        <v>317</v>
      </c>
      <c r="AS782" s="12">
        <v>0</v>
      </c>
      <c r="AT782" s="19">
        <v>39.235790029999997</v>
      </c>
      <c r="AU782" s="19">
        <v>-123.2055867</v>
      </c>
      <c r="AV782" s="19" t="s">
        <v>417</v>
      </c>
    </row>
    <row r="783" spans="1:48" x14ac:dyDescent="0.25">
      <c r="A783" s="21" t="s">
        <v>134</v>
      </c>
      <c r="B783" s="22">
        <v>19710629</v>
      </c>
      <c r="C783" s="9">
        <v>4</v>
      </c>
      <c r="D783" s="8" t="str">
        <f t="shared" si="145"/>
        <v>Y</v>
      </c>
      <c r="E783" s="8" t="str">
        <f t="shared" si="146"/>
        <v>N</v>
      </c>
      <c r="F783" s="8" t="str">
        <f t="shared" si="147"/>
        <v>Y</v>
      </c>
      <c r="G783" s="8" t="str">
        <f t="shared" si="148"/>
        <v>Y</v>
      </c>
      <c r="H783" s="8" t="str">
        <f t="shared" si="149"/>
        <v>Upper</v>
      </c>
      <c r="I783" s="8" t="str">
        <f t="shared" si="150"/>
        <v>West Fork and Below Lake</v>
      </c>
      <c r="J783" s="8" t="str">
        <f t="shared" si="151"/>
        <v>Mendocino (d/s of lake)</v>
      </c>
      <c r="K783" s="8" t="str">
        <f t="shared" si="152"/>
        <v>Post-1949</v>
      </c>
      <c r="L783" s="8">
        <f t="shared" si="153"/>
        <v>1971</v>
      </c>
      <c r="M783" s="8" t="str">
        <f t="shared" si="155"/>
        <v>1971-1990</v>
      </c>
      <c r="N783" s="10" t="s">
        <v>241</v>
      </c>
      <c r="O783" s="10" t="s">
        <v>241</v>
      </c>
      <c r="P783" s="10" t="s">
        <v>242</v>
      </c>
      <c r="Q783" s="10" t="s">
        <v>242</v>
      </c>
      <c r="R783" s="10" t="s">
        <v>241</v>
      </c>
      <c r="S783" s="10" t="s">
        <v>242</v>
      </c>
      <c r="T783" s="10" t="s">
        <v>242</v>
      </c>
      <c r="U783" s="10" t="s">
        <v>241</v>
      </c>
      <c r="V783" s="10" t="s">
        <v>241</v>
      </c>
      <c r="W783" s="10" t="s">
        <v>242</v>
      </c>
      <c r="X783" s="15">
        <f>IF(ISERROR(VLOOKUP($A783,'13. Updated Demand'!A:Z,15,FALSE)),0,VLOOKUP($A783,'13. Updated Demand'!A:Z,15,FALSE))</f>
        <v>0</v>
      </c>
      <c r="Y783" s="16">
        <f>IF(ISERROR(VLOOKUP($A783,'13. Updated Demand'!A:Z,16,FALSE)),0,VLOOKUP($A783,'13. Updated Demand'!A:Z,16,FALSE))</f>
        <v>0</v>
      </c>
      <c r="Z783" s="16">
        <f>IF(ISERROR(VLOOKUP($A783,'13. Updated Demand'!A:Z,17,FALSE)),0,VLOOKUP($A783,'13. Updated Demand'!A:Z,17,FALSE))</f>
        <v>0</v>
      </c>
      <c r="AA783" s="16">
        <f>IF(ISERROR(VLOOKUP($A783,'13. Updated Demand'!A:Z,18,FALSE)),0,VLOOKUP($A783,'13. Updated Demand'!A:Z,18,FALSE))</f>
        <v>0</v>
      </c>
      <c r="AB783" s="16">
        <f>IF(ISERROR(VLOOKUP($A783,'13. Updated Demand'!A:Z,19,FALSE)),0,VLOOKUP($A783,'13. Updated Demand'!A:Z,19,FALSE))</f>
        <v>0</v>
      </c>
      <c r="AC783" s="16">
        <f>IF(ISERROR(VLOOKUP($A783,'13. Updated Demand'!A:Z,20,FALSE)),0,VLOOKUP($A783,'13. Updated Demand'!A:Z,20,FALSE))</f>
        <v>0</v>
      </c>
      <c r="AD783" s="16">
        <f>IF(ISERROR(VLOOKUP($A783,'13. Updated Demand'!A:Z,21,FALSE)),0,VLOOKUP($A783,'13. Updated Demand'!A:Z,21,FALSE))</f>
        <v>0</v>
      </c>
      <c r="AE783" s="16">
        <f>IF(ISERROR(VLOOKUP($A783,'13. Updated Demand'!A:Z,22,FALSE)),0,VLOOKUP($A783,'13. Updated Demand'!A:Z,22,FALSE))</f>
        <v>0</v>
      </c>
      <c r="AF783" s="16">
        <f>IF(ISERROR(VLOOKUP($A783,'13. Updated Demand'!A:Z,23,FALSE)),0,VLOOKUP($A783,'13. Updated Demand'!A:Z,23,FALSE))</f>
        <v>0</v>
      </c>
      <c r="AG783" s="16">
        <f>IF(ISERROR(VLOOKUP($A783,'13. Updated Demand'!A:Z,24,FALSE)),0,VLOOKUP($A783,'13. Updated Demand'!A:Z,24,FALSE))</f>
        <v>0</v>
      </c>
      <c r="AH783" s="16">
        <f>IF(ISERROR(VLOOKUP($A783,'13. Updated Demand'!A:Z,25,FALSE)),0,VLOOKUP($A783,'13. Updated Demand'!A:Z,25,FALSE))</f>
        <v>0</v>
      </c>
      <c r="AI783" s="16">
        <f>IF(ISERROR(VLOOKUP($A783,'13. Updated Demand'!A:Z,26,FALSE)),0,VLOOKUP($A783,'13. Updated Demand'!A:Z,26,FALSE))</f>
        <v>0</v>
      </c>
      <c r="AJ783" s="16">
        <f t="shared" si="144"/>
        <v>0</v>
      </c>
      <c r="AK783" s="19">
        <v>0</v>
      </c>
      <c r="AL783" s="16">
        <f t="shared" si="154"/>
        <v>0</v>
      </c>
      <c r="AM783" s="17">
        <v>0</v>
      </c>
      <c r="AN783" s="23"/>
      <c r="AO783" s="23"/>
      <c r="AP783" s="23">
        <v>4.8</v>
      </c>
      <c r="AQ783" s="23" t="s">
        <v>307</v>
      </c>
      <c r="AR783" s="9" t="s">
        <v>331</v>
      </c>
      <c r="AS783" s="12">
        <v>0</v>
      </c>
      <c r="AT783" s="23">
        <v>39.187806780000003</v>
      </c>
      <c r="AU783" s="23">
        <v>-123.19877105</v>
      </c>
      <c r="AV783" s="23" t="s">
        <v>387</v>
      </c>
    </row>
    <row r="784" spans="1:48" x14ac:dyDescent="0.25">
      <c r="A784" s="18" t="s">
        <v>1170</v>
      </c>
      <c r="B784" s="10">
        <v>19710803</v>
      </c>
      <c r="C784" s="9">
        <v>6</v>
      </c>
      <c r="D784" s="8" t="str">
        <f t="shared" si="145"/>
        <v>Y</v>
      </c>
      <c r="E784" s="8" t="str">
        <f t="shared" si="146"/>
        <v>N</v>
      </c>
      <c r="F784" s="8" t="str">
        <f t="shared" si="147"/>
        <v>Y</v>
      </c>
      <c r="G784" s="8" t="str">
        <f t="shared" si="148"/>
        <v>Y</v>
      </c>
      <c r="H784" s="8" t="str">
        <f t="shared" si="149"/>
        <v>Upper</v>
      </c>
      <c r="I784" s="8" t="str">
        <f t="shared" si="150"/>
        <v>West Fork and Below Lake</v>
      </c>
      <c r="J784" s="8" t="str">
        <f t="shared" si="151"/>
        <v>Mendocino (d/s of lake)</v>
      </c>
      <c r="K784" s="8" t="str">
        <f t="shared" si="152"/>
        <v>Post-1949</v>
      </c>
      <c r="L784" s="8">
        <f t="shared" si="153"/>
        <v>1971</v>
      </c>
      <c r="M784" s="8" t="str">
        <f t="shared" si="155"/>
        <v>1971-1990</v>
      </c>
      <c r="N784" s="10" t="s">
        <v>242</v>
      </c>
      <c r="O784" s="10" t="s">
        <v>241</v>
      </c>
      <c r="P784" s="10" t="s">
        <v>242</v>
      </c>
      <c r="Q784" s="10" t="s">
        <v>242</v>
      </c>
      <c r="R784" s="10" t="s">
        <v>241</v>
      </c>
      <c r="S784" s="10" t="s">
        <v>242</v>
      </c>
      <c r="T784" s="10" t="s">
        <v>242</v>
      </c>
      <c r="U784" s="10" t="s">
        <v>242</v>
      </c>
      <c r="V784" s="10" t="s">
        <v>242</v>
      </c>
      <c r="W784" s="10" t="s">
        <v>242</v>
      </c>
      <c r="X784" s="15">
        <f>IF(ISERROR(VLOOKUP($A784,'13. Updated Demand'!A:Z,15,FALSE)),0,VLOOKUP($A784,'13. Updated Demand'!A:Z,15,FALSE))</f>
        <v>0.22</v>
      </c>
      <c r="Y784" s="16">
        <f>IF(ISERROR(VLOOKUP($A784,'13. Updated Demand'!A:Z,16,FALSE)),0,VLOOKUP($A784,'13. Updated Demand'!A:Z,16,FALSE))</f>
        <v>0.22</v>
      </c>
      <c r="Z784" s="16">
        <f>IF(ISERROR(VLOOKUP($A784,'13. Updated Demand'!A:Z,17,FALSE)),0,VLOOKUP($A784,'13. Updated Demand'!A:Z,17,FALSE))</f>
        <v>0.22</v>
      </c>
      <c r="AA784" s="16">
        <f>IF(ISERROR(VLOOKUP($A784,'13. Updated Demand'!A:Z,18,FALSE)),0,VLOOKUP($A784,'13. Updated Demand'!A:Z,18,FALSE))</f>
        <v>0.22</v>
      </c>
      <c r="AB784" s="16">
        <f>IF(ISERROR(VLOOKUP($A784,'13. Updated Demand'!A:Z,19,FALSE)),0,VLOOKUP($A784,'13. Updated Demand'!A:Z,19,FALSE))</f>
        <v>0.22</v>
      </c>
      <c r="AC784" s="16">
        <f>IF(ISERROR(VLOOKUP($A784,'13. Updated Demand'!A:Z,20,FALSE)),0,VLOOKUP($A784,'13. Updated Demand'!A:Z,20,FALSE))</f>
        <v>0.39</v>
      </c>
      <c r="AD784" s="16">
        <f>IF(ISERROR(VLOOKUP($A784,'13. Updated Demand'!A:Z,21,FALSE)),0,VLOOKUP($A784,'13. Updated Demand'!A:Z,21,FALSE))</f>
        <v>0.39</v>
      </c>
      <c r="AE784" s="16">
        <f>IF(ISERROR(VLOOKUP($A784,'13. Updated Demand'!A:Z,22,FALSE)),0,VLOOKUP($A784,'13. Updated Demand'!A:Z,22,FALSE))</f>
        <v>0.39</v>
      </c>
      <c r="AF784" s="16">
        <f>IF(ISERROR(VLOOKUP($A784,'13. Updated Demand'!A:Z,23,FALSE)),0,VLOOKUP($A784,'13. Updated Demand'!A:Z,23,FALSE))</f>
        <v>0.39</v>
      </c>
      <c r="AG784" s="16">
        <f>IF(ISERROR(VLOOKUP($A784,'13. Updated Demand'!A:Z,24,FALSE)),0,VLOOKUP($A784,'13. Updated Demand'!A:Z,24,FALSE))</f>
        <v>0.39</v>
      </c>
      <c r="AH784" s="16">
        <f>IF(ISERROR(VLOOKUP($A784,'13. Updated Demand'!A:Z,25,FALSE)),0,VLOOKUP($A784,'13. Updated Demand'!A:Z,25,FALSE))</f>
        <v>0.22</v>
      </c>
      <c r="AI784" s="16">
        <f>IF(ISERROR(VLOOKUP($A784,'13. Updated Demand'!A:Z,26,FALSE)),0,VLOOKUP($A784,'13. Updated Demand'!A:Z,26,FALSE))</f>
        <v>0.22</v>
      </c>
      <c r="AJ784" s="16">
        <f t="shared" ref="AJ784:AJ847" si="156">SUM(X784:AI784)</f>
        <v>3.4900000000000011</v>
      </c>
      <c r="AK784" s="19">
        <v>1.793333332</v>
      </c>
      <c r="AL784" s="16">
        <f t="shared" si="154"/>
        <v>5.9482823823807651E-3</v>
      </c>
      <c r="AM784" s="17">
        <v>0.6616352198113209</v>
      </c>
      <c r="AN784" s="19"/>
      <c r="AO784" s="19"/>
      <c r="AP784" s="19">
        <v>5.3</v>
      </c>
      <c r="AQ784" s="19" t="s">
        <v>307</v>
      </c>
      <c r="AR784" s="9" t="s">
        <v>319</v>
      </c>
      <c r="AS784" s="12">
        <v>3.4039024194010059E-4</v>
      </c>
      <c r="AT784" s="19">
        <v>38.945618719999999</v>
      </c>
      <c r="AU784" s="19">
        <v>-123.1294535</v>
      </c>
      <c r="AV784" s="19" t="s">
        <v>417</v>
      </c>
    </row>
    <row r="785" spans="1:48" x14ac:dyDescent="0.25">
      <c r="A785" s="18" t="s">
        <v>1171</v>
      </c>
      <c r="B785" s="10">
        <v>19710804</v>
      </c>
      <c r="C785" s="9">
        <v>1</v>
      </c>
      <c r="D785" s="8" t="str">
        <f t="shared" si="145"/>
        <v>N</v>
      </c>
      <c r="E785" s="8" t="str">
        <f t="shared" si="146"/>
        <v>N</v>
      </c>
      <c r="F785" s="8" t="str">
        <f t="shared" si="147"/>
        <v>Y</v>
      </c>
      <c r="G785" s="8" t="str">
        <f t="shared" si="148"/>
        <v>Y</v>
      </c>
      <c r="H785" s="8" t="str">
        <f t="shared" si="149"/>
        <v>Upper</v>
      </c>
      <c r="I785" s="8" t="str">
        <f t="shared" si="150"/>
        <v>West Fork and Below Lake</v>
      </c>
      <c r="J785" s="8" t="str">
        <f t="shared" si="151"/>
        <v>Outside</v>
      </c>
      <c r="K785" s="8" t="str">
        <f t="shared" si="152"/>
        <v>Post-1949</v>
      </c>
      <c r="L785" s="8">
        <f t="shared" si="153"/>
        <v>1971</v>
      </c>
      <c r="M785" s="8" t="str">
        <f t="shared" si="155"/>
        <v>1971-1990</v>
      </c>
      <c r="N785" s="10" t="s">
        <v>242</v>
      </c>
      <c r="O785" s="10" t="s">
        <v>241</v>
      </c>
      <c r="P785" s="10" t="s">
        <v>242</v>
      </c>
      <c r="Q785" s="10" t="s">
        <v>242</v>
      </c>
      <c r="R785" s="10" t="s">
        <v>241</v>
      </c>
      <c r="S785" s="10" t="s">
        <v>242</v>
      </c>
      <c r="T785" s="10" t="s">
        <v>242</v>
      </c>
      <c r="U785" s="10" t="s">
        <v>242</v>
      </c>
      <c r="V785" s="10" t="s">
        <v>241</v>
      </c>
      <c r="W785" s="10" t="s">
        <v>242</v>
      </c>
      <c r="X785" s="15">
        <f>IF(ISERROR(VLOOKUP($A785,'13. Updated Demand'!A:Z,15,FALSE)),0,VLOOKUP($A785,'13. Updated Demand'!A:Z,15,FALSE))</f>
        <v>3</v>
      </c>
      <c r="Y785" s="16">
        <f>IF(ISERROR(VLOOKUP($A785,'13. Updated Demand'!A:Z,16,FALSE)),0,VLOOKUP($A785,'13. Updated Demand'!A:Z,16,FALSE))</f>
        <v>0.66</v>
      </c>
      <c r="Z785" s="16">
        <f>IF(ISERROR(VLOOKUP($A785,'13. Updated Demand'!A:Z,17,FALSE)),0,VLOOKUP($A785,'13. Updated Demand'!A:Z,17,FALSE))</f>
        <v>1</v>
      </c>
      <c r="AA785" s="16">
        <f>IF(ISERROR(VLOOKUP($A785,'13. Updated Demand'!A:Z,18,FALSE)),0,VLOOKUP($A785,'13. Updated Demand'!A:Z,18,FALSE))</f>
        <v>0</v>
      </c>
      <c r="AB785" s="16">
        <f>IF(ISERROR(VLOOKUP($A785,'13. Updated Demand'!A:Z,19,FALSE)),0,VLOOKUP($A785,'13. Updated Demand'!A:Z,19,FALSE))</f>
        <v>0</v>
      </c>
      <c r="AC785" s="16">
        <f>IF(ISERROR(VLOOKUP($A785,'13. Updated Demand'!A:Z,20,FALSE)),0,VLOOKUP($A785,'13. Updated Demand'!A:Z,20,FALSE))</f>
        <v>0</v>
      </c>
      <c r="AD785" s="16">
        <f>IF(ISERROR(VLOOKUP($A785,'13. Updated Demand'!A:Z,21,FALSE)),0,VLOOKUP($A785,'13. Updated Demand'!A:Z,21,FALSE))</f>
        <v>0</v>
      </c>
      <c r="AE785" s="16">
        <f>IF(ISERROR(VLOOKUP($A785,'13. Updated Demand'!A:Z,22,FALSE)),0,VLOOKUP($A785,'13. Updated Demand'!A:Z,22,FALSE))</f>
        <v>0</v>
      </c>
      <c r="AF785" s="16">
        <f>IF(ISERROR(VLOOKUP($A785,'13. Updated Demand'!A:Z,23,FALSE)),0,VLOOKUP($A785,'13. Updated Demand'!A:Z,23,FALSE))</f>
        <v>0</v>
      </c>
      <c r="AG785" s="16">
        <f>IF(ISERROR(VLOOKUP($A785,'13. Updated Demand'!A:Z,24,FALSE)),0,VLOOKUP($A785,'13. Updated Demand'!A:Z,24,FALSE))</f>
        <v>0</v>
      </c>
      <c r="AH785" s="16">
        <f>IF(ISERROR(VLOOKUP($A785,'13. Updated Demand'!A:Z,25,FALSE)),0,VLOOKUP($A785,'13. Updated Demand'!A:Z,25,FALSE))</f>
        <v>1</v>
      </c>
      <c r="AI785" s="16">
        <f>IF(ISERROR(VLOOKUP($A785,'13. Updated Demand'!A:Z,26,FALSE)),0,VLOOKUP($A785,'13. Updated Demand'!A:Z,26,FALSE))</f>
        <v>2.33</v>
      </c>
      <c r="AJ785" s="16">
        <f t="shared" si="156"/>
        <v>7.99</v>
      </c>
      <c r="AK785" s="19">
        <v>0</v>
      </c>
      <c r="AL785" s="16">
        <f t="shared" si="154"/>
        <v>0</v>
      </c>
      <c r="AM785" s="17">
        <v>1</v>
      </c>
      <c r="AN785" s="19"/>
      <c r="AO785" s="19"/>
      <c r="AP785" s="19">
        <v>8</v>
      </c>
      <c r="AQ785" s="19" t="s">
        <v>307</v>
      </c>
      <c r="AR785" s="9" t="s">
        <v>317</v>
      </c>
      <c r="AS785" s="12">
        <v>0</v>
      </c>
      <c r="AT785" s="19">
        <v>39.285096950000003</v>
      </c>
      <c r="AU785" s="19">
        <v>-123.20377814</v>
      </c>
      <c r="AV785" s="19" t="s">
        <v>417</v>
      </c>
    </row>
    <row r="786" spans="1:48" x14ac:dyDescent="0.25">
      <c r="A786" s="18" t="s">
        <v>1172</v>
      </c>
      <c r="B786" s="10">
        <v>19710811</v>
      </c>
      <c r="C786" s="9">
        <v>5</v>
      </c>
      <c r="D786" s="8" t="str">
        <f t="shared" si="145"/>
        <v>Y</v>
      </c>
      <c r="E786" s="8" t="str">
        <f t="shared" si="146"/>
        <v>N</v>
      </c>
      <c r="F786" s="8" t="str">
        <f t="shared" si="147"/>
        <v>Y</v>
      </c>
      <c r="G786" s="8" t="str">
        <f t="shared" si="148"/>
        <v>Y</v>
      </c>
      <c r="H786" s="8" t="str">
        <f t="shared" si="149"/>
        <v>Upper</v>
      </c>
      <c r="I786" s="8" t="str">
        <f t="shared" si="150"/>
        <v>West Fork and Below Lake</v>
      </c>
      <c r="J786" s="8" t="str">
        <f t="shared" si="151"/>
        <v>Mendocino (d/s of lake)</v>
      </c>
      <c r="K786" s="8" t="str">
        <f t="shared" si="152"/>
        <v>Post-1949</v>
      </c>
      <c r="L786" s="8">
        <f t="shared" si="153"/>
        <v>1971</v>
      </c>
      <c r="M786" s="8" t="str">
        <f t="shared" si="155"/>
        <v>1971-1990</v>
      </c>
      <c r="N786" s="10" t="s">
        <v>242</v>
      </c>
      <c r="O786" s="10" t="s">
        <v>241</v>
      </c>
      <c r="P786" s="10" t="s">
        <v>242</v>
      </c>
      <c r="Q786" s="10" t="s">
        <v>242</v>
      </c>
      <c r="R786" s="10" t="s">
        <v>241</v>
      </c>
      <c r="S786" s="10" t="s">
        <v>242</v>
      </c>
      <c r="T786" s="10" t="s">
        <v>241</v>
      </c>
      <c r="U786" s="10" t="s">
        <v>241</v>
      </c>
      <c r="V786" s="10" t="s">
        <v>241</v>
      </c>
      <c r="W786" s="10" t="s">
        <v>242</v>
      </c>
      <c r="X786" s="15">
        <f>IF(ISERROR(VLOOKUP($A786,'13. Updated Demand'!A:Z,15,FALSE)),0,VLOOKUP($A786,'13. Updated Demand'!A:Z,15,FALSE))</f>
        <v>0</v>
      </c>
      <c r="Y786" s="16">
        <f>IF(ISERROR(VLOOKUP($A786,'13. Updated Demand'!A:Z,16,FALSE)),0,VLOOKUP($A786,'13. Updated Demand'!A:Z,16,FALSE))</f>
        <v>0</v>
      </c>
      <c r="Z786" s="16">
        <f>IF(ISERROR(VLOOKUP($A786,'13. Updated Demand'!A:Z,17,FALSE)),0,VLOOKUP($A786,'13. Updated Demand'!A:Z,17,FALSE))</f>
        <v>0</v>
      </c>
      <c r="AA786" s="16">
        <f>IF(ISERROR(VLOOKUP($A786,'13. Updated Demand'!A:Z,18,FALSE)),0,VLOOKUP($A786,'13. Updated Demand'!A:Z,18,FALSE))</f>
        <v>0</v>
      </c>
      <c r="AB786" s="16">
        <f>IF(ISERROR(VLOOKUP($A786,'13. Updated Demand'!A:Z,19,FALSE)),0,VLOOKUP($A786,'13. Updated Demand'!A:Z,19,FALSE))</f>
        <v>0</v>
      </c>
      <c r="AC786" s="16">
        <f>IF(ISERROR(VLOOKUP($A786,'13. Updated Demand'!A:Z,20,FALSE)),0,VLOOKUP($A786,'13. Updated Demand'!A:Z,20,FALSE))</f>
        <v>0</v>
      </c>
      <c r="AD786" s="16">
        <f>IF(ISERROR(VLOOKUP($A786,'13. Updated Demand'!A:Z,21,FALSE)),0,VLOOKUP($A786,'13. Updated Demand'!A:Z,21,FALSE))</f>
        <v>0</v>
      </c>
      <c r="AE786" s="16">
        <f>IF(ISERROR(VLOOKUP($A786,'13. Updated Demand'!A:Z,22,FALSE)),0,VLOOKUP($A786,'13. Updated Demand'!A:Z,22,FALSE))</f>
        <v>0</v>
      </c>
      <c r="AF786" s="16">
        <f>IF(ISERROR(VLOOKUP($A786,'13. Updated Demand'!A:Z,23,FALSE)),0,VLOOKUP($A786,'13. Updated Demand'!A:Z,23,FALSE))</f>
        <v>0</v>
      </c>
      <c r="AG786" s="16">
        <f>IF(ISERROR(VLOOKUP($A786,'13. Updated Demand'!A:Z,24,FALSE)),0,VLOOKUP($A786,'13. Updated Demand'!A:Z,24,FALSE))</f>
        <v>0</v>
      </c>
      <c r="AH786" s="16">
        <f>IF(ISERROR(VLOOKUP($A786,'13. Updated Demand'!A:Z,25,FALSE)),0,VLOOKUP($A786,'13. Updated Demand'!A:Z,25,FALSE))</f>
        <v>0</v>
      </c>
      <c r="AI786" s="16">
        <f>IF(ISERROR(VLOOKUP($A786,'13. Updated Demand'!A:Z,26,FALSE)),0,VLOOKUP($A786,'13. Updated Demand'!A:Z,26,FALSE))</f>
        <v>0</v>
      </c>
      <c r="AJ786" s="16">
        <f t="shared" si="156"/>
        <v>0</v>
      </c>
      <c r="AK786" s="19">
        <v>0</v>
      </c>
      <c r="AL786" s="16">
        <f t="shared" si="154"/>
        <v>0</v>
      </c>
      <c r="AM786" s="17">
        <v>0</v>
      </c>
      <c r="AN786" s="19"/>
      <c r="AO786" s="19"/>
      <c r="AP786" s="19">
        <v>6.3</v>
      </c>
      <c r="AQ786" s="19" t="s">
        <v>307</v>
      </c>
      <c r="AR786" s="9" t="s">
        <v>333</v>
      </c>
      <c r="AS786" s="12">
        <v>0</v>
      </c>
      <c r="AT786" s="19">
        <v>39.117503910000003</v>
      </c>
      <c r="AU786" s="19">
        <v>-123.15863032</v>
      </c>
      <c r="AV786" s="19" t="s">
        <v>417</v>
      </c>
    </row>
    <row r="787" spans="1:48" x14ac:dyDescent="0.25">
      <c r="A787" s="18" t="s">
        <v>1173</v>
      </c>
      <c r="B787" s="10">
        <v>19710811</v>
      </c>
      <c r="C787" s="9">
        <v>5</v>
      </c>
      <c r="D787" s="8" t="str">
        <f t="shared" si="145"/>
        <v>Y</v>
      </c>
      <c r="E787" s="8" t="str">
        <f t="shared" si="146"/>
        <v>N</v>
      </c>
      <c r="F787" s="8" t="str">
        <f t="shared" si="147"/>
        <v>Y</v>
      </c>
      <c r="G787" s="8" t="str">
        <f t="shared" si="148"/>
        <v>Y</v>
      </c>
      <c r="H787" s="8" t="str">
        <f t="shared" si="149"/>
        <v>Upper</v>
      </c>
      <c r="I787" s="8" t="str">
        <f t="shared" si="150"/>
        <v>West Fork and Below Lake</v>
      </c>
      <c r="J787" s="8" t="str">
        <f t="shared" si="151"/>
        <v>Mendocino (d/s of lake)</v>
      </c>
      <c r="K787" s="8" t="str">
        <f t="shared" si="152"/>
        <v>Post-1949</v>
      </c>
      <c r="L787" s="8">
        <f t="shared" si="153"/>
        <v>1971</v>
      </c>
      <c r="M787" s="8" t="str">
        <f t="shared" si="155"/>
        <v>1971-1990</v>
      </c>
      <c r="N787" s="10" t="s">
        <v>242</v>
      </c>
      <c r="O787" s="10" t="s">
        <v>241</v>
      </c>
      <c r="P787" s="10" t="s">
        <v>242</v>
      </c>
      <c r="Q787" s="10" t="s">
        <v>242</v>
      </c>
      <c r="R787" s="10" t="s">
        <v>241</v>
      </c>
      <c r="S787" s="10" t="s">
        <v>242</v>
      </c>
      <c r="T787" s="10" t="s">
        <v>242</v>
      </c>
      <c r="U787" s="10" t="s">
        <v>241</v>
      </c>
      <c r="V787" s="10" t="s">
        <v>241</v>
      </c>
      <c r="W787" s="10" t="s">
        <v>242</v>
      </c>
      <c r="X787" s="15">
        <f>IF(ISERROR(VLOOKUP($A787,'13. Updated Demand'!A:Z,15,FALSE)),0,VLOOKUP($A787,'13. Updated Demand'!A:Z,15,FALSE))</f>
        <v>0</v>
      </c>
      <c r="Y787" s="16">
        <f>IF(ISERROR(VLOOKUP($A787,'13. Updated Demand'!A:Z,16,FALSE)),0,VLOOKUP($A787,'13. Updated Demand'!A:Z,16,FALSE))</f>
        <v>0</v>
      </c>
      <c r="Z787" s="16">
        <f>IF(ISERROR(VLOOKUP($A787,'13. Updated Demand'!A:Z,17,FALSE)),0,VLOOKUP($A787,'13. Updated Demand'!A:Z,17,FALSE))</f>
        <v>0</v>
      </c>
      <c r="AA787" s="16">
        <f>IF(ISERROR(VLOOKUP($A787,'13. Updated Demand'!A:Z,18,FALSE)),0,VLOOKUP($A787,'13. Updated Demand'!A:Z,18,FALSE))</f>
        <v>0</v>
      </c>
      <c r="AB787" s="16">
        <f>IF(ISERROR(VLOOKUP($A787,'13. Updated Demand'!A:Z,19,FALSE)),0,VLOOKUP($A787,'13. Updated Demand'!A:Z,19,FALSE))</f>
        <v>0</v>
      </c>
      <c r="AC787" s="16">
        <f>IF(ISERROR(VLOOKUP($A787,'13. Updated Demand'!A:Z,20,FALSE)),0,VLOOKUP($A787,'13. Updated Demand'!A:Z,20,FALSE))</f>
        <v>0</v>
      </c>
      <c r="AD787" s="16">
        <f>IF(ISERROR(VLOOKUP($A787,'13. Updated Demand'!A:Z,21,FALSE)),0,VLOOKUP($A787,'13. Updated Demand'!A:Z,21,FALSE))</f>
        <v>0</v>
      </c>
      <c r="AE787" s="16">
        <f>IF(ISERROR(VLOOKUP($A787,'13. Updated Demand'!A:Z,22,FALSE)),0,VLOOKUP($A787,'13. Updated Demand'!A:Z,22,FALSE))</f>
        <v>0</v>
      </c>
      <c r="AF787" s="16">
        <f>IF(ISERROR(VLOOKUP($A787,'13. Updated Demand'!A:Z,23,FALSE)),0,VLOOKUP($A787,'13. Updated Demand'!A:Z,23,FALSE))</f>
        <v>0</v>
      </c>
      <c r="AG787" s="16">
        <f>IF(ISERROR(VLOOKUP($A787,'13. Updated Demand'!A:Z,24,FALSE)),0,VLOOKUP($A787,'13. Updated Demand'!A:Z,24,FALSE))</f>
        <v>0</v>
      </c>
      <c r="AH787" s="16">
        <f>IF(ISERROR(VLOOKUP($A787,'13. Updated Demand'!A:Z,25,FALSE)),0,VLOOKUP($A787,'13. Updated Demand'!A:Z,25,FALSE))</f>
        <v>0</v>
      </c>
      <c r="AI787" s="16">
        <f>IF(ISERROR(VLOOKUP($A787,'13. Updated Demand'!A:Z,26,FALSE)),0,VLOOKUP($A787,'13. Updated Demand'!A:Z,26,FALSE))</f>
        <v>0</v>
      </c>
      <c r="AJ787" s="16">
        <f t="shared" si="156"/>
        <v>0</v>
      </c>
      <c r="AK787" s="19">
        <v>0</v>
      </c>
      <c r="AL787" s="16">
        <f t="shared" si="154"/>
        <v>0</v>
      </c>
      <c r="AM787" s="17">
        <v>0</v>
      </c>
      <c r="AN787" s="19"/>
      <c r="AO787" s="19"/>
      <c r="AP787" s="19">
        <v>16</v>
      </c>
      <c r="AQ787" s="19" t="s">
        <v>307</v>
      </c>
      <c r="AR787" s="9" t="s">
        <v>333</v>
      </c>
      <c r="AS787" s="12">
        <v>0</v>
      </c>
      <c r="AT787" s="19">
        <v>39.121519759999998</v>
      </c>
      <c r="AU787" s="19">
        <v>-123.15517078000001</v>
      </c>
      <c r="AV787" s="19" t="s">
        <v>417</v>
      </c>
    </row>
    <row r="788" spans="1:48" x14ac:dyDescent="0.25">
      <c r="A788" s="18" t="s">
        <v>1174</v>
      </c>
      <c r="B788" s="10">
        <v>19710917</v>
      </c>
      <c r="C788" s="9">
        <v>1</v>
      </c>
      <c r="D788" s="8" t="str">
        <f t="shared" si="145"/>
        <v>N</v>
      </c>
      <c r="E788" s="8" t="str">
        <f t="shared" si="146"/>
        <v>N</v>
      </c>
      <c r="F788" s="8" t="str">
        <f t="shared" si="147"/>
        <v>Y</v>
      </c>
      <c r="G788" s="8" t="str">
        <f t="shared" si="148"/>
        <v>Y</v>
      </c>
      <c r="H788" s="8" t="str">
        <f t="shared" si="149"/>
        <v>Upper</v>
      </c>
      <c r="I788" s="8" t="str">
        <f t="shared" si="150"/>
        <v>West Fork and Below Lake</v>
      </c>
      <c r="J788" s="8" t="str">
        <f t="shared" si="151"/>
        <v>Outside</v>
      </c>
      <c r="K788" s="8" t="str">
        <f t="shared" si="152"/>
        <v>Post-1949</v>
      </c>
      <c r="L788" s="8">
        <f t="shared" si="153"/>
        <v>1971</v>
      </c>
      <c r="M788" s="8" t="str">
        <f t="shared" si="155"/>
        <v>1971-1990</v>
      </c>
      <c r="N788" s="10" t="s">
        <v>242</v>
      </c>
      <c r="O788" s="10" t="s">
        <v>241</v>
      </c>
      <c r="P788" s="10" t="s">
        <v>242</v>
      </c>
      <c r="Q788" s="10" t="s">
        <v>242</v>
      </c>
      <c r="R788" s="10" t="s">
        <v>241</v>
      </c>
      <c r="S788" s="10" t="s">
        <v>242</v>
      </c>
      <c r="T788" s="10" t="s">
        <v>242</v>
      </c>
      <c r="U788" s="10" t="s">
        <v>241</v>
      </c>
      <c r="V788" s="10" t="s">
        <v>241</v>
      </c>
      <c r="W788" s="10" t="s">
        <v>242</v>
      </c>
      <c r="X788" s="15">
        <f>IF(ISERROR(VLOOKUP($A788,'13. Updated Demand'!A:Z,15,FALSE)),0,VLOOKUP($A788,'13. Updated Demand'!A:Z,15,FALSE))</f>
        <v>0</v>
      </c>
      <c r="Y788" s="16">
        <f>IF(ISERROR(VLOOKUP($A788,'13. Updated Demand'!A:Z,16,FALSE)),0,VLOOKUP($A788,'13. Updated Demand'!A:Z,16,FALSE))</f>
        <v>0</v>
      </c>
      <c r="Z788" s="16">
        <f>IF(ISERROR(VLOOKUP($A788,'13. Updated Demand'!A:Z,17,FALSE)),0,VLOOKUP($A788,'13. Updated Demand'!A:Z,17,FALSE))</f>
        <v>0</v>
      </c>
      <c r="AA788" s="16">
        <f>IF(ISERROR(VLOOKUP($A788,'13. Updated Demand'!A:Z,18,FALSE)),0,VLOOKUP($A788,'13. Updated Demand'!A:Z,18,FALSE))</f>
        <v>0</v>
      </c>
      <c r="AB788" s="16">
        <f>IF(ISERROR(VLOOKUP($A788,'13. Updated Demand'!A:Z,19,FALSE)),0,VLOOKUP($A788,'13. Updated Demand'!A:Z,19,FALSE))</f>
        <v>0</v>
      </c>
      <c r="AC788" s="16">
        <f>IF(ISERROR(VLOOKUP($A788,'13. Updated Demand'!A:Z,20,FALSE)),0,VLOOKUP($A788,'13. Updated Demand'!A:Z,20,FALSE))</f>
        <v>0</v>
      </c>
      <c r="AD788" s="16">
        <f>IF(ISERROR(VLOOKUP($A788,'13. Updated Demand'!A:Z,21,FALSE)),0,VLOOKUP($A788,'13. Updated Demand'!A:Z,21,FALSE))</f>
        <v>0</v>
      </c>
      <c r="AE788" s="16">
        <f>IF(ISERROR(VLOOKUP($A788,'13. Updated Demand'!A:Z,22,FALSE)),0,VLOOKUP($A788,'13. Updated Demand'!A:Z,22,FALSE))</f>
        <v>0</v>
      </c>
      <c r="AF788" s="16">
        <f>IF(ISERROR(VLOOKUP($A788,'13. Updated Demand'!A:Z,23,FALSE)),0,VLOOKUP($A788,'13. Updated Demand'!A:Z,23,FALSE))</f>
        <v>0</v>
      </c>
      <c r="AG788" s="16">
        <f>IF(ISERROR(VLOOKUP($A788,'13. Updated Demand'!A:Z,24,FALSE)),0,VLOOKUP($A788,'13. Updated Demand'!A:Z,24,FALSE))</f>
        <v>0</v>
      </c>
      <c r="AH788" s="16">
        <f>IF(ISERROR(VLOOKUP($A788,'13. Updated Demand'!A:Z,25,FALSE)),0,VLOOKUP($A788,'13. Updated Demand'!A:Z,25,FALSE))</f>
        <v>0</v>
      </c>
      <c r="AI788" s="16">
        <f>IF(ISERROR(VLOOKUP($A788,'13. Updated Demand'!A:Z,26,FALSE)),0,VLOOKUP($A788,'13. Updated Demand'!A:Z,26,FALSE))</f>
        <v>0</v>
      </c>
      <c r="AJ788" s="16">
        <f t="shared" si="156"/>
        <v>0</v>
      </c>
      <c r="AK788" s="19">
        <v>0</v>
      </c>
      <c r="AL788" s="16">
        <f t="shared" si="154"/>
        <v>0</v>
      </c>
      <c r="AM788" s="17">
        <v>0</v>
      </c>
      <c r="AN788" s="19"/>
      <c r="AO788" s="19"/>
      <c r="AP788" s="19">
        <v>28</v>
      </c>
      <c r="AQ788" s="19" t="s">
        <v>307</v>
      </c>
      <c r="AR788" s="9" t="s">
        <v>317</v>
      </c>
      <c r="AS788" s="12">
        <v>0</v>
      </c>
      <c r="AT788" s="19">
        <v>39.2288201</v>
      </c>
      <c r="AU788" s="19">
        <v>-123.20246693999999</v>
      </c>
      <c r="AV788" s="19" t="s">
        <v>456</v>
      </c>
    </row>
    <row r="789" spans="1:48" x14ac:dyDescent="0.25">
      <c r="A789" s="18" t="s">
        <v>1175</v>
      </c>
      <c r="B789" s="10">
        <v>19710930</v>
      </c>
      <c r="C789" s="9">
        <v>5</v>
      </c>
      <c r="D789" s="8" t="str">
        <f t="shared" si="145"/>
        <v>Y</v>
      </c>
      <c r="E789" s="8" t="str">
        <f t="shared" si="146"/>
        <v>N</v>
      </c>
      <c r="F789" s="8" t="str">
        <f t="shared" si="147"/>
        <v>Y</v>
      </c>
      <c r="G789" s="8" t="str">
        <f t="shared" si="148"/>
        <v>Y</v>
      </c>
      <c r="H789" s="8" t="str">
        <f t="shared" si="149"/>
        <v>Upper</v>
      </c>
      <c r="I789" s="8" t="str">
        <f t="shared" si="150"/>
        <v>West Fork and Below Lake</v>
      </c>
      <c r="J789" s="8" t="str">
        <f t="shared" si="151"/>
        <v>Mendocino (d/s of lake)</v>
      </c>
      <c r="K789" s="8" t="str">
        <f t="shared" si="152"/>
        <v>Post-1949</v>
      </c>
      <c r="L789" s="8">
        <f t="shared" si="153"/>
        <v>1971</v>
      </c>
      <c r="M789" s="8" t="str">
        <f t="shared" si="155"/>
        <v>1971-1990</v>
      </c>
      <c r="N789" s="10" t="s">
        <v>242</v>
      </c>
      <c r="O789" s="10" t="s">
        <v>241</v>
      </c>
      <c r="P789" s="10" t="s">
        <v>242</v>
      </c>
      <c r="Q789" s="10" t="s">
        <v>242</v>
      </c>
      <c r="R789" s="10" t="s">
        <v>241</v>
      </c>
      <c r="S789" s="10" t="s">
        <v>242</v>
      </c>
      <c r="T789" s="10" t="s">
        <v>242</v>
      </c>
      <c r="U789" s="10" t="s">
        <v>242</v>
      </c>
      <c r="V789" s="10" t="s">
        <v>241</v>
      </c>
      <c r="W789" s="10" t="s">
        <v>242</v>
      </c>
      <c r="X789" s="15">
        <f>IF(ISERROR(VLOOKUP($A789,'13. Updated Demand'!A:Z,15,FALSE)),0,VLOOKUP($A789,'13. Updated Demand'!A:Z,15,FALSE))</f>
        <v>12</v>
      </c>
      <c r="Y789" s="16">
        <f>IF(ISERROR(VLOOKUP($A789,'13. Updated Demand'!A:Z,16,FALSE)),0,VLOOKUP($A789,'13. Updated Demand'!A:Z,16,FALSE))</f>
        <v>20</v>
      </c>
      <c r="Z789" s="16">
        <f>IF(ISERROR(VLOOKUP($A789,'13. Updated Demand'!A:Z,17,FALSE)),0,VLOOKUP($A789,'13. Updated Demand'!A:Z,17,FALSE))</f>
        <v>10</v>
      </c>
      <c r="AA789" s="16">
        <f>IF(ISERROR(VLOOKUP($A789,'13. Updated Demand'!A:Z,18,FALSE)),0,VLOOKUP($A789,'13. Updated Demand'!A:Z,18,FALSE))</f>
        <v>0</v>
      </c>
      <c r="AB789" s="16">
        <f>IF(ISERROR(VLOOKUP($A789,'13. Updated Demand'!A:Z,19,FALSE)),0,VLOOKUP($A789,'13. Updated Demand'!A:Z,19,FALSE))</f>
        <v>0</v>
      </c>
      <c r="AC789" s="16">
        <f>IF(ISERROR(VLOOKUP($A789,'13. Updated Demand'!A:Z,20,FALSE)),0,VLOOKUP($A789,'13. Updated Demand'!A:Z,20,FALSE))</f>
        <v>0</v>
      </c>
      <c r="AD789" s="16">
        <f>IF(ISERROR(VLOOKUP($A789,'13. Updated Demand'!A:Z,21,FALSE)),0,VLOOKUP($A789,'13. Updated Demand'!A:Z,21,FALSE))</f>
        <v>0</v>
      </c>
      <c r="AE789" s="16">
        <f>IF(ISERROR(VLOOKUP($A789,'13. Updated Demand'!A:Z,22,FALSE)),0,VLOOKUP($A789,'13. Updated Demand'!A:Z,22,FALSE))</f>
        <v>0</v>
      </c>
      <c r="AF789" s="16">
        <f>IF(ISERROR(VLOOKUP($A789,'13. Updated Demand'!A:Z,23,FALSE)),0,VLOOKUP($A789,'13. Updated Demand'!A:Z,23,FALSE))</f>
        <v>0</v>
      </c>
      <c r="AG789" s="16">
        <f>IF(ISERROR(VLOOKUP($A789,'13. Updated Demand'!A:Z,24,FALSE)),0,VLOOKUP($A789,'13. Updated Demand'!A:Z,24,FALSE))</f>
        <v>0</v>
      </c>
      <c r="AH789" s="16">
        <f>IF(ISERROR(VLOOKUP($A789,'13. Updated Demand'!A:Z,25,FALSE)),0,VLOOKUP($A789,'13. Updated Demand'!A:Z,25,FALSE))</f>
        <v>0</v>
      </c>
      <c r="AI789" s="16">
        <f>IF(ISERROR(VLOOKUP($A789,'13. Updated Demand'!A:Z,26,FALSE)),0,VLOOKUP($A789,'13. Updated Demand'!A:Z,26,FALSE))</f>
        <v>7.9</v>
      </c>
      <c r="AJ789" s="16">
        <f t="shared" si="156"/>
        <v>49.9</v>
      </c>
      <c r="AK789" s="19">
        <v>0</v>
      </c>
      <c r="AL789" s="16">
        <f t="shared" si="154"/>
        <v>0</v>
      </c>
      <c r="AM789" s="17">
        <v>0.61681087762669962</v>
      </c>
      <c r="AN789" s="19"/>
      <c r="AO789" s="19"/>
      <c r="AP789" s="19">
        <v>80.900000000000006</v>
      </c>
      <c r="AQ789" s="19" t="s">
        <v>307</v>
      </c>
      <c r="AR789" s="9" t="s">
        <v>333</v>
      </c>
      <c r="AS789" s="12">
        <v>0</v>
      </c>
      <c r="AT789" s="19">
        <v>39.054794999999999</v>
      </c>
      <c r="AU789" s="19">
        <v>-123.22240905</v>
      </c>
      <c r="AV789" s="19" t="s">
        <v>417</v>
      </c>
    </row>
    <row r="790" spans="1:48" x14ac:dyDescent="0.25">
      <c r="A790" s="18" t="s">
        <v>1176</v>
      </c>
      <c r="B790" s="10">
        <v>19711013</v>
      </c>
      <c r="C790" s="9">
        <v>1</v>
      </c>
      <c r="D790" s="8" t="str">
        <f t="shared" si="145"/>
        <v>N</v>
      </c>
      <c r="E790" s="8" t="str">
        <f t="shared" si="146"/>
        <v>N</v>
      </c>
      <c r="F790" s="8" t="str">
        <f t="shared" si="147"/>
        <v>Y</v>
      </c>
      <c r="G790" s="8" t="str">
        <f t="shared" si="148"/>
        <v>Y</v>
      </c>
      <c r="H790" s="8" t="str">
        <f t="shared" si="149"/>
        <v>Upper</v>
      </c>
      <c r="I790" s="8" t="str">
        <f t="shared" si="150"/>
        <v>West Fork and Below Lake</v>
      </c>
      <c r="J790" s="8" t="str">
        <f t="shared" si="151"/>
        <v>Outside</v>
      </c>
      <c r="K790" s="8" t="str">
        <f t="shared" si="152"/>
        <v>Post-1949</v>
      </c>
      <c r="L790" s="8">
        <f t="shared" si="153"/>
        <v>1971</v>
      </c>
      <c r="M790" s="8" t="str">
        <f t="shared" si="155"/>
        <v>1971-1990</v>
      </c>
      <c r="N790" s="10" t="s">
        <v>242</v>
      </c>
      <c r="O790" s="10" t="s">
        <v>241</v>
      </c>
      <c r="P790" s="10" t="s">
        <v>242</v>
      </c>
      <c r="Q790" s="10" t="s">
        <v>242</v>
      </c>
      <c r="R790" s="10" t="s">
        <v>241</v>
      </c>
      <c r="S790" s="10" t="s">
        <v>242</v>
      </c>
      <c r="T790" s="10" t="s">
        <v>242</v>
      </c>
      <c r="U790" s="10" t="s">
        <v>241</v>
      </c>
      <c r="V790" s="10" t="s">
        <v>241</v>
      </c>
      <c r="W790" s="10" t="s">
        <v>242</v>
      </c>
      <c r="X790" s="15">
        <f>IF(ISERROR(VLOOKUP($A790,'13. Updated Demand'!A:Z,15,FALSE)),0,VLOOKUP($A790,'13. Updated Demand'!A:Z,15,FALSE))</f>
        <v>0</v>
      </c>
      <c r="Y790" s="16">
        <f>IF(ISERROR(VLOOKUP($A790,'13. Updated Demand'!A:Z,16,FALSE)),0,VLOOKUP($A790,'13. Updated Demand'!A:Z,16,FALSE))</f>
        <v>0</v>
      </c>
      <c r="Z790" s="16">
        <f>IF(ISERROR(VLOOKUP($A790,'13. Updated Demand'!A:Z,17,FALSE)),0,VLOOKUP($A790,'13. Updated Demand'!A:Z,17,FALSE))</f>
        <v>0</v>
      </c>
      <c r="AA790" s="16">
        <f>IF(ISERROR(VLOOKUP($A790,'13. Updated Demand'!A:Z,18,FALSE)),0,VLOOKUP($A790,'13. Updated Demand'!A:Z,18,FALSE))</f>
        <v>0</v>
      </c>
      <c r="AB790" s="16">
        <f>IF(ISERROR(VLOOKUP($A790,'13. Updated Demand'!A:Z,19,FALSE)),0,VLOOKUP($A790,'13. Updated Demand'!A:Z,19,FALSE))</f>
        <v>0</v>
      </c>
      <c r="AC790" s="16">
        <f>IF(ISERROR(VLOOKUP($A790,'13. Updated Demand'!A:Z,20,FALSE)),0,VLOOKUP($A790,'13. Updated Demand'!A:Z,20,FALSE))</f>
        <v>0</v>
      </c>
      <c r="AD790" s="16">
        <f>IF(ISERROR(VLOOKUP($A790,'13. Updated Demand'!A:Z,21,FALSE)),0,VLOOKUP($A790,'13. Updated Demand'!A:Z,21,FALSE))</f>
        <v>0</v>
      </c>
      <c r="AE790" s="16">
        <f>IF(ISERROR(VLOOKUP($A790,'13. Updated Demand'!A:Z,22,FALSE)),0,VLOOKUP($A790,'13. Updated Demand'!A:Z,22,FALSE))</f>
        <v>0</v>
      </c>
      <c r="AF790" s="16">
        <f>IF(ISERROR(VLOOKUP($A790,'13. Updated Demand'!A:Z,23,FALSE)),0,VLOOKUP($A790,'13. Updated Demand'!A:Z,23,FALSE))</f>
        <v>0</v>
      </c>
      <c r="AG790" s="16">
        <f>IF(ISERROR(VLOOKUP($A790,'13. Updated Demand'!A:Z,24,FALSE)),0,VLOOKUP($A790,'13. Updated Demand'!A:Z,24,FALSE))</f>
        <v>0</v>
      </c>
      <c r="AH790" s="16">
        <f>IF(ISERROR(VLOOKUP($A790,'13. Updated Demand'!A:Z,25,FALSE)),0,VLOOKUP($A790,'13. Updated Demand'!A:Z,25,FALSE))</f>
        <v>0</v>
      </c>
      <c r="AI790" s="16">
        <f>IF(ISERROR(VLOOKUP($A790,'13. Updated Demand'!A:Z,26,FALSE)),0,VLOOKUP($A790,'13. Updated Demand'!A:Z,26,FALSE))</f>
        <v>0</v>
      </c>
      <c r="AJ790" s="16">
        <f t="shared" si="156"/>
        <v>0</v>
      </c>
      <c r="AK790" s="19">
        <v>0</v>
      </c>
      <c r="AL790" s="16">
        <f t="shared" si="154"/>
        <v>0</v>
      </c>
      <c r="AM790" s="17">
        <v>0</v>
      </c>
      <c r="AN790" s="19"/>
      <c r="AO790" s="19"/>
      <c r="AP790" s="19">
        <v>28</v>
      </c>
      <c r="AQ790" s="19" t="s">
        <v>307</v>
      </c>
      <c r="AR790" s="9" t="s">
        <v>317</v>
      </c>
      <c r="AS790" s="12">
        <v>0</v>
      </c>
      <c r="AT790" s="19">
        <v>39.259999749999999</v>
      </c>
      <c r="AU790" s="19">
        <v>-123.24061463</v>
      </c>
      <c r="AV790" s="19" t="s">
        <v>417</v>
      </c>
    </row>
    <row r="791" spans="1:48" x14ac:dyDescent="0.25">
      <c r="A791" s="18" t="s">
        <v>1177</v>
      </c>
      <c r="B791" s="10">
        <v>19711021</v>
      </c>
      <c r="C791" s="9">
        <v>11</v>
      </c>
      <c r="D791" s="8" t="str">
        <f t="shared" si="145"/>
        <v>N</v>
      </c>
      <c r="E791" s="8" t="str">
        <f t="shared" si="146"/>
        <v>Y</v>
      </c>
      <c r="F791" s="8" t="str">
        <f t="shared" si="147"/>
        <v>Y</v>
      </c>
      <c r="G791" s="8" t="str">
        <f t="shared" si="148"/>
        <v>Y</v>
      </c>
      <c r="H791" s="8" t="str">
        <f t="shared" si="149"/>
        <v>Upper</v>
      </c>
      <c r="I791" s="8" t="str">
        <f t="shared" si="150"/>
        <v>West Fork and Below Lake</v>
      </c>
      <c r="J791" s="8" t="str">
        <f t="shared" si="151"/>
        <v>Sonoma (d/s of Clov. Gage)</v>
      </c>
      <c r="K791" s="8" t="str">
        <f t="shared" si="152"/>
        <v>Post-1949</v>
      </c>
      <c r="L791" s="8">
        <f t="shared" si="153"/>
        <v>1971</v>
      </c>
      <c r="M791" s="8" t="str">
        <f t="shared" si="155"/>
        <v>1971-1990</v>
      </c>
      <c r="N791" s="10" t="s">
        <v>242</v>
      </c>
      <c r="O791" s="10" t="s">
        <v>241</v>
      </c>
      <c r="P791" s="10" t="s">
        <v>242</v>
      </c>
      <c r="Q791" s="10" t="s">
        <v>242</v>
      </c>
      <c r="R791" s="10" t="s">
        <v>241</v>
      </c>
      <c r="S791" s="10" t="s">
        <v>242</v>
      </c>
      <c r="T791" s="10" t="s">
        <v>242</v>
      </c>
      <c r="U791" s="10" t="s">
        <v>241</v>
      </c>
      <c r="V791" s="10" t="s">
        <v>241</v>
      </c>
      <c r="W791" s="10" t="s">
        <v>242</v>
      </c>
      <c r="X791" s="15">
        <f>IF(ISERROR(VLOOKUP($A791,'13. Updated Demand'!A:Z,15,FALSE)),0,VLOOKUP($A791,'13. Updated Demand'!A:Z,15,FALSE))</f>
        <v>0</v>
      </c>
      <c r="Y791" s="16">
        <f>IF(ISERROR(VLOOKUP($A791,'13. Updated Demand'!A:Z,16,FALSE)),0,VLOOKUP($A791,'13. Updated Demand'!A:Z,16,FALSE))</f>
        <v>0</v>
      </c>
      <c r="Z791" s="16">
        <f>IF(ISERROR(VLOOKUP($A791,'13. Updated Demand'!A:Z,17,FALSE)),0,VLOOKUP($A791,'13. Updated Demand'!A:Z,17,FALSE))</f>
        <v>0</v>
      </c>
      <c r="AA791" s="16">
        <f>IF(ISERROR(VLOOKUP($A791,'13. Updated Demand'!A:Z,18,FALSE)),0,VLOOKUP($A791,'13. Updated Demand'!A:Z,18,FALSE))</f>
        <v>0</v>
      </c>
      <c r="AB791" s="16">
        <f>IF(ISERROR(VLOOKUP($A791,'13. Updated Demand'!A:Z,19,FALSE)),0,VLOOKUP($A791,'13. Updated Demand'!A:Z,19,FALSE))</f>
        <v>0</v>
      </c>
      <c r="AC791" s="16">
        <f>IF(ISERROR(VLOOKUP($A791,'13. Updated Demand'!A:Z,20,FALSE)),0,VLOOKUP($A791,'13. Updated Demand'!A:Z,20,FALSE))</f>
        <v>0</v>
      </c>
      <c r="AD791" s="16">
        <f>IF(ISERROR(VLOOKUP($A791,'13. Updated Demand'!A:Z,21,FALSE)),0,VLOOKUP($A791,'13. Updated Demand'!A:Z,21,FALSE))</f>
        <v>0</v>
      </c>
      <c r="AE791" s="16">
        <f>IF(ISERROR(VLOOKUP($A791,'13. Updated Demand'!A:Z,22,FALSE)),0,VLOOKUP($A791,'13. Updated Demand'!A:Z,22,FALSE))</f>
        <v>0</v>
      </c>
      <c r="AF791" s="16">
        <f>IF(ISERROR(VLOOKUP($A791,'13. Updated Demand'!A:Z,23,FALSE)),0,VLOOKUP($A791,'13. Updated Demand'!A:Z,23,FALSE))</f>
        <v>0</v>
      </c>
      <c r="AG791" s="16">
        <f>IF(ISERROR(VLOOKUP($A791,'13. Updated Demand'!A:Z,24,FALSE)),0,VLOOKUP($A791,'13. Updated Demand'!A:Z,24,FALSE))</f>
        <v>0</v>
      </c>
      <c r="AH791" s="16">
        <f>IF(ISERROR(VLOOKUP($A791,'13. Updated Demand'!A:Z,25,FALSE)),0,VLOOKUP($A791,'13. Updated Demand'!A:Z,25,FALSE))</f>
        <v>0</v>
      </c>
      <c r="AI791" s="16">
        <f>IF(ISERROR(VLOOKUP($A791,'13. Updated Demand'!A:Z,26,FALSE)),0,VLOOKUP($A791,'13. Updated Demand'!A:Z,26,FALSE))</f>
        <v>0</v>
      </c>
      <c r="AJ791" s="16">
        <f t="shared" si="156"/>
        <v>0</v>
      </c>
      <c r="AK791" s="19">
        <v>0</v>
      </c>
      <c r="AL791" s="16">
        <f t="shared" si="154"/>
        <v>0</v>
      </c>
      <c r="AM791" s="17">
        <v>0</v>
      </c>
      <c r="AN791" s="19"/>
      <c r="AO791" s="19"/>
      <c r="AP791" s="19">
        <v>42</v>
      </c>
      <c r="AQ791" s="19" t="s">
        <v>307</v>
      </c>
      <c r="AR791" s="9" t="s">
        <v>308</v>
      </c>
      <c r="AS791" s="12">
        <v>0</v>
      </c>
      <c r="AT791" s="19">
        <v>38.641399999999997</v>
      </c>
      <c r="AU791" s="19">
        <v>-122.7634</v>
      </c>
      <c r="AV791" s="19" t="s">
        <v>609</v>
      </c>
    </row>
    <row r="792" spans="1:48" x14ac:dyDescent="0.25">
      <c r="A792" s="18" t="s">
        <v>1178</v>
      </c>
      <c r="B792" s="10">
        <v>19711103</v>
      </c>
      <c r="C792" s="9">
        <v>23</v>
      </c>
      <c r="D792" s="8" t="str">
        <f t="shared" si="145"/>
        <v>N</v>
      </c>
      <c r="E792" s="8" t="str">
        <f t="shared" si="146"/>
        <v>N</v>
      </c>
      <c r="F792" s="8" t="str">
        <f t="shared" si="147"/>
        <v>N</v>
      </c>
      <c r="G792" s="8" t="str">
        <f t="shared" si="148"/>
        <v>N</v>
      </c>
      <c r="H792" s="8" t="str">
        <f t="shared" si="149"/>
        <v>Lower</v>
      </c>
      <c r="I792" s="8" t="str">
        <f t="shared" si="150"/>
        <v>Outside</v>
      </c>
      <c r="J792" s="8" t="str">
        <f t="shared" si="151"/>
        <v>Outside</v>
      </c>
      <c r="K792" s="8" t="str">
        <f t="shared" si="152"/>
        <v>Post-1949</v>
      </c>
      <c r="L792" s="8">
        <f t="shared" si="153"/>
        <v>1971</v>
      </c>
      <c r="M792" s="8" t="str">
        <f t="shared" si="155"/>
        <v>1971-1990</v>
      </c>
      <c r="N792" s="10" t="s">
        <v>242</v>
      </c>
      <c r="O792" s="10" t="s">
        <v>242</v>
      </c>
      <c r="P792" s="10" t="s">
        <v>242</v>
      </c>
      <c r="Q792" s="10" t="s">
        <v>242</v>
      </c>
      <c r="R792" s="10" t="s">
        <v>241</v>
      </c>
      <c r="S792" s="10" t="s">
        <v>242</v>
      </c>
      <c r="T792" s="10" t="s">
        <v>242</v>
      </c>
      <c r="U792" s="10" t="s">
        <v>242</v>
      </c>
      <c r="V792" s="10" t="s">
        <v>241</v>
      </c>
      <c r="W792" s="10" t="s">
        <v>242</v>
      </c>
      <c r="X792" s="15">
        <f>IF(ISERROR(VLOOKUP($A792,'13. Updated Demand'!A:Z,15,FALSE)),0,VLOOKUP($A792,'13. Updated Demand'!A:Z,15,FALSE))</f>
        <v>8.3333333330000006</v>
      </c>
      <c r="Y792" s="16">
        <f>IF(ISERROR(VLOOKUP($A792,'13. Updated Demand'!A:Z,16,FALSE)),0,VLOOKUP($A792,'13. Updated Demand'!A:Z,16,FALSE))</f>
        <v>1.1000000000000001</v>
      </c>
      <c r="Z792" s="16">
        <f>IF(ISERROR(VLOOKUP($A792,'13. Updated Demand'!A:Z,17,FALSE)),0,VLOOKUP($A792,'13. Updated Demand'!A:Z,17,FALSE))</f>
        <v>0</v>
      </c>
      <c r="AA792" s="16">
        <f>IF(ISERROR(VLOOKUP($A792,'13. Updated Demand'!A:Z,18,FALSE)),0,VLOOKUP($A792,'13. Updated Demand'!A:Z,18,FALSE))</f>
        <v>0</v>
      </c>
      <c r="AB792" s="16">
        <f>IF(ISERROR(VLOOKUP($A792,'13. Updated Demand'!A:Z,19,FALSE)),0,VLOOKUP($A792,'13. Updated Demand'!A:Z,19,FALSE))</f>
        <v>0</v>
      </c>
      <c r="AC792" s="16">
        <f>IF(ISERROR(VLOOKUP($A792,'13. Updated Demand'!A:Z,20,FALSE)),0,VLOOKUP($A792,'13. Updated Demand'!A:Z,20,FALSE))</f>
        <v>0</v>
      </c>
      <c r="AD792" s="16">
        <f>IF(ISERROR(VLOOKUP($A792,'13. Updated Demand'!A:Z,21,FALSE)),0,VLOOKUP($A792,'13. Updated Demand'!A:Z,21,FALSE))</f>
        <v>0</v>
      </c>
      <c r="AE792" s="16">
        <f>IF(ISERROR(VLOOKUP($A792,'13. Updated Demand'!A:Z,22,FALSE)),0,VLOOKUP($A792,'13. Updated Demand'!A:Z,22,FALSE))</f>
        <v>0</v>
      </c>
      <c r="AF792" s="16">
        <f>IF(ISERROR(VLOOKUP($A792,'13. Updated Demand'!A:Z,23,FALSE)),0,VLOOKUP($A792,'13. Updated Demand'!A:Z,23,FALSE))</f>
        <v>0</v>
      </c>
      <c r="AG792" s="16">
        <f>IF(ISERROR(VLOOKUP($A792,'13. Updated Demand'!A:Z,24,FALSE)),0,VLOOKUP($A792,'13. Updated Demand'!A:Z,24,FALSE))</f>
        <v>0</v>
      </c>
      <c r="AH792" s="16">
        <f>IF(ISERROR(VLOOKUP($A792,'13. Updated Demand'!A:Z,25,FALSE)),0,VLOOKUP($A792,'13. Updated Demand'!A:Z,25,FALSE))</f>
        <v>0</v>
      </c>
      <c r="AI792" s="16">
        <f>IF(ISERROR(VLOOKUP($A792,'13. Updated Demand'!A:Z,26,FALSE)),0,VLOOKUP($A792,'13. Updated Demand'!A:Z,26,FALSE))</f>
        <v>0</v>
      </c>
      <c r="AJ792" s="16">
        <f t="shared" si="156"/>
        <v>9.4333333330000002</v>
      </c>
      <c r="AK792" s="19">
        <v>0</v>
      </c>
      <c r="AL792" s="16">
        <f t="shared" si="154"/>
        <v>0</v>
      </c>
      <c r="AM792" s="17">
        <v>0.34938271603703702</v>
      </c>
      <c r="AN792" s="19"/>
      <c r="AO792" s="19"/>
      <c r="AP792" s="19">
        <v>27</v>
      </c>
      <c r="AQ792" s="19" t="s">
        <v>307</v>
      </c>
      <c r="AR792" s="9" t="s">
        <v>323</v>
      </c>
      <c r="AS792" s="12">
        <v>0</v>
      </c>
      <c r="AT792" s="19">
        <v>38.484263509999998</v>
      </c>
      <c r="AU792" s="19">
        <v>-122.80214149</v>
      </c>
      <c r="AV792" s="19" t="s">
        <v>417</v>
      </c>
    </row>
    <row r="793" spans="1:48" x14ac:dyDescent="0.25">
      <c r="A793" s="18" t="s">
        <v>1179</v>
      </c>
      <c r="B793" s="10">
        <v>19711122</v>
      </c>
      <c r="C793" s="9">
        <v>6</v>
      </c>
      <c r="D793" s="8" t="str">
        <f t="shared" si="145"/>
        <v>Y</v>
      </c>
      <c r="E793" s="8" t="str">
        <f t="shared" si="146"/>
        <v>N</v>
      </c>
      <c r="F793" s="8" t="str">
        <f t="shared" si="147"/>
        <v>Y</v>
      </c>
      <c r="G793" s="8" t="str">
        <f t="shared" si="148"/>
        <v>Y</v>
      </c>
      <c r="H793" s="8" t="str">
        <f t="shared" si="149"/>
        <v>Upper</v>
      </c>
      <c r="I793" s="8" t="str">
        <f t="shared" si="150"/>
        <v>West Fork and Below Lake</v>
      </c>
      <c r="J793" s="8" t="str">
        <f t="shared" si="151"/>
        <v>Mendocino (d/s of lake)</v>
      </c>
      <c r="K793" s="8" t="str">
        <f t="shared" si="152"/>
        <v>Post-1949</v>
      </c>
      <c r="L793" s="8">
        <f t="shared" si="153"/>
        <v>1971</v>
      </c>
      <c r="M793" s="8" t="str">
        <f t="shared" si="155"/>
        <v>1971-1990</v>
      </c>
      <c r="N793" s="10" t="s">
        <v>241</v>
      </c>
      <c r="O793" s="10" t="s">
        <v>241</v>
      </c>
      <c r="P793" s="10" t="s">
        <v>242</v>
      </c>
      <c r="Q793" s="10" t="s">
        <v>242</v>
      </c>
      <c r="R793" s="10" t="s">
        <v>241</v>
      </c>
      <c r="S793" s="10" t="s">
        <v>242</v>
      </c>
      <c r="T793" s="10" t="s">
        <v>242</v>
      </c>
      <c r="U793" s="10" t="s">
        <v>242</v>
      </c>
      <c r="V793" s="10" t="s">
        <v>242</v>
      </c>
      <c r="W793" s="10" t="s">
        <v>242</v>
      </c>
      <c r="X793" s="15">
        <f>IF(ISERROR(VLOOKUP($A793,'13. Updated Demand'!A:Z,15,FALSE)),0,VLOOKUP($A793,'13. Updated Demand'!A:Z,15,FALSE))</f>
        <v>0</v>
      </c>
      <c r="Y793" s="16">
        <f>IF(ISERROR(VLOOKUP($A793,'13. Updated Demand'!A:Z,16,FALSE)),0,VLOOKUP($A793,'13. Updated Demand'!A:Z,16,FALSE))</f>
        <v>0</v>
      </c>
      <c r="Z793" s="16">
        <f>IF(ISERROR(VLOOKUP($A793,'13. Updated Demand'!A:Z,17,FALSE)),0,VLOOKUP($A793,'13. Updated Demand'!A:Z,17,FALSE))</f>
        <v>0</v>
      </c>
      <c r="AA793" s="16">
        <f>IF(ISERROR(VLOOKUP($A793,'13. Updated Demand'!A:Z,18,FALSE)),0,VLOOKUP($A793,'13. Updated Demand'!A:Z,18,FALSE))</f>
        <v>0</v>
      </c>
      <c r="AB793" s="16">
        <f>IF(ISERROR(VLOOKUP($A793,'13. Updated Demand'!A:Z,19,FALSE)),0,VLOOKUP($A793,'13. Updated Demand'!A:Z,19,FALSE))</f>
        <v>0</v>
      </c>
      <c r="AC793" s="16">
        <f>IF(ISERROR(VLOOKUP($A793,'13. Updated Demand'!A:Z,20,FALSE)),0,VLOOKUP($A793,'13. Updated Demand'!A:Z,20,FALSE))</f>
        <v>0</v>
      </c>
      <c r="AD793" s="16">
        <f>IF(ISERROR(VLOOKUP($A793,'13. Updated Demand'!A:Z,21,FALSE)),0,VLOOKUP($A793,'13. Updated Demand'!A:Z,21,FALSE))</f>
        <v>0.04</v>
      </c>
      <c r="AE793" s="16">
        <f>IF(ISERROR(VLOOKUP($A793,'13. Updated Demand'!A:Z,22,FALSE)),0,VLOOKUP($A793,'13. Updated Demand'!A:Z,22,FALSE))</f>
        <v>0</v>
      </c>
      <c r="AF793" s="16">
        <f>IF(ISERROR(VLOOKUP($A793,'13. Updated Demand'!A:Z,23,FALSE)),0,VLOOKUP($A793,'13. Updated Demand'!A:Z,23,FALSE))</f>
        <v>0</v>
      </c>
      <c r="AG793" s="16">
        <f>IF(ISERROR(VLOOKUP($A793,'13. Updated Demand'!A:Z,24,FALSE)),0,VLOOKUP($A793,'13. Updated Demand'!A:Z,24,FALSE))</f>
        <v>0</v>
      </c>
      <c r="AH793" s="16">
        <f>IF(ISERROR(VLOOKUP($A793,'13. Updated Demand'!A:Z,25,FALSE)),0,VLOOKUP($A793,'13. Updated Demand'!A:Z,25,FALSE))</f>
        <v>0</v>
      </c>
      <c r="AI793" s="16">
        <f>IF(ISERROR(VLOOKUP($A793,'13. Updated Demand'!A:Z,26,FALSE)),0,VLOOKUP($A793,'13. Updated Demand'!A:Z,26,FALSE))</f>
        <v>0</v>
      </c>
      <c r="AJ793" s="16">
        <f t="shared" si="156"/>
        <v>0.04</v>
      </c>
      <c r="AK793" s="19">
        <v>4.33333333333333E-2</v>
      </c>
      <c r="AL793" s="16">
        <f t="shared" si="154"/>
        <v>1.437317305361386E-4</v>
      </c>
      <c r="AM793" s="17">
        <v>2.1885521885521867E-3</v>
      </c>
      <c r="AN793" s="19"/>
      <c r="AO793" s="19"/>
      <c r="AP793" s="19">
        <v>19.8</v>
      </c>
      <c r="AQ793" s="19" t="s">
        <v>307</v>
      </c>
      <c r="AR793" s="9" t="s">
        <v>319</v>
      </c>
      <c r="AS793" s="12">
        <v>0</v>
      </c>
      <c r="AT793" s="19">
        <v>38.986203809999999</v>
      </c>
      <c r="AU793" s="19">
        <v>-123.10652532</v>
      </c>
      <c r="AV793" s="19" t="s">
        <v>548</v>
      </c>
    </row>
    <row r="794" spans="1:48" x14ac:dyDescent="0.25">
      <c r="A794" s="18" t="s">
        <v>1180</v>
      </c>
      <c r="B794" s="10">
        <v>19711122</v>
      </c>
      <c r="C794" s="9">
        <v>6</v>
      </c>
      <c r="D794" s="8" t="str">
        <f t="shared" si="145"/>
        <v>Y</v>
      </c>
      <c r="E794" s="8" t="str">
        <f t="shared" si="146"/>
        <v>N</v>
      </c>
      <c r="F794" s="8" t="str">
        <f t="shared" si="147"/>
        <v>Y</v>
      </c>
      <c r="G794" s="8" t="str">
        <f t="shared" si="148"/>
        <v>Y</v>
      </c>
      <c r="H794" s="8" t="str">
        <f t="shared" si="149"/>
        <v>Upper</v>
      </c>
      <c r="I794" s="8" t="str">
        <f t="shared" si="150"/>
        <v>West Fork and Below Lake</v>
      </c>
      <c r="J794" s="8" t="str">
        <f t="shared" si="151"/>
        <v>Mendocino (d/s of lake)</v>
      </c>
      <c r="K794" s="8" t="str">
        <f t="shared" si="152"/>
        <v>Post-1949</v>
      </c>
      <c r="L794" s="8">
        <f t="shared" si="153"/>
        <v>1971</v>
      </c>
      <c r="M794" s="8" t="str">
        <f t="shared" si="155"/>
        <v>1971-1990</v>
      </c>
      <c r="N794" s="10" t="s">
        <v>241</v>
      </c>
      <c r="O794" s="10" t="s">
        <v>241</v>
      </c>
      <c r="P794" s="10" t="s">
        <v>242</v>
      </c>
      <c r="Q794" s="10" t="s">
        <v>242</v>
      </c>
      <c r="R794" s="10" t="s">
        <v>241</v>
      </c>
      <c r="S794" s="10" t="s">
        <v>242</v>
      </c>
      <c r="T794" s="10" t="s">
        <v>242</v>
      </c>
      <c r="U794" s="10" t="s">
        <v>242</v>
      </c>
      <c r="V794" s="10" t="s">
        <v>241</v>
      </c>
      <c r="W794" s="10" t="s">
        <v>242</v>
      </c>
      <c r="X794" s="15">
        <f>IF(ISERROR(VLOOKUP($A794,'13. Updated Demand'!A:Z,15,FALSE)),0,VLOOKUP($A794,'13. Updated Demand'!A:Z,15,FALSE))</f>
        <v>0</v>
      </c>
      <c r="Y794" s="16">
        <f>IF(ISERROR(VLOOKUP($A794,'13. Updated Demand'!A:Z,16,FALSE)),0,VLOOKUP($A794,'13. Updated Demand'!A:Z,16,FALSE))</f>
        <v>0</v>
      </c>
      <c r="Z794" s="16">
        <f>IF(ISERROR(VLOOKUP($A794,'13. Updated Demand'!A:Z,17,FALSE)),0,VLOOKUP($A794,'13. Updated Demand'!A:Z,17,FALSE))</f>
        <v>0.03</v>
      </c>
      <c r="AA794" s="16">
        <f>IF(ISERROR(VLOOKUP($A794,'13. Updated Demand'!A:Z,18,FALSE)),0,VLOOKUP($A794,'13. Updated Demand'!A:Z,18,FALSE))</f>
        <v>0</v>
      </c>
      <c r="AB794" s="16">
        <f>IF(ISERROR(VLOOKUP($A794,'13. Updated Demand'!A:Z,19,FALSE)),0,VLOOKUP($A794,'13. Updated Demand'!A:Z,19,FALSE))</f>
        <v>0</v>
      </c>
      <c r="AC794" s="16">
        <f>IF(ISERROR(VLOOKUP($A794,'13. Updated Demand'!A:Z,20,FALSE)),0,VLOOKUP($A794,'13. Updated Demand'!A:Z,20,FALSE))</f>
        <v>0</v>
      </c>
      <c r="AD794" s="16">
        <f>IF(ISERROR(VLOOKUP($A794,'13. Updated Demand'!A:Z,21,FALSE)),0,VLOOKUP($A794,'13. Updated Demand'!A:Z,21,FALSE))</f>
        <v>0</v>
      </c>
      <c r="AE794" s="16">
        <f>IF(ISERROR(VLOOKUP($A794,'13. Updated Demand'!A:Z,22,FALSE)),0,VLOOKUP($A794,'13. Updated Demand'!A:Z,22,FALSE))</f>
        <v>0</v>
      </c>
      <c r="AF794" s="16">
        <f>IF(ISERROR(VLOOKUP($A794,'13. Updated Demand'!A:Z,23,FALSE)),0,VLOOKUP($A794,'13. Updated Demand'!A:Z,23,FALSE))</f>
        <v>0</v>
      </c>
      <c r="AG794" s="16">
        <f>IF(ISERROR(VLOOKUP($A794,'13. Updated Demand'!A:Z,24,FALSE)),0,VLOOKUP($A794,'13. Updated Demand'!A:Z,24,FALSE))</f>
        <v>0</v>
      </c>
      <c r="AH794" s="16">
        <f>IF(ISERROR(VLOOKUP($A794,'13. Updated Demand'!A:Z,25,FALSE)),0,VLOOKUP($A794,'13. Updated Demand'!A:Z,25,FALSE))</f>
        <v>0</v>
      </c>
      <c r="AI794" s="16">
        <f>IF(ISERROR(VLOOKUP($A794,'13. Updated Demand'!A:Z,26,FALSE)),0,VLOOKUP($A794,'13. Updated Demand'!A:Z,26,FALSE))</f>
        <v>0</v>
      </c>
      <c r="AJ794" s="16">
        <f t="shared" si="156"/>
        <v>0.03</v>
      </c>
      <c r="AK794" s="19">
        <v>0</v>
      </c>
      <c r="AL794" s="16">
        <f t="shared" si="154"/>
        <v>0</v>
      </c>
      <c r="AM794" s="17">
        <v>4.1666666666666621E-4</v>
      </c>
      <c r="AN794" s="19"/>
      <c r="AO794" s="19"/>
      <c r="AP794" s="19">
        <v>80</v>
      </c>
      <c r="AQ794" s="19" t="s">
        <v>307</v>
      </c>
      <c r="AR794" s="9" t="s">
        <v>319</v>
      </c>
      <c r="AS794" s="12">
        <v>0</v>
      </c>
      <c r="AT794" s="19">
        <v>38.986699999999999</v>
      </c>
      <c r="AU794" s="19">
        <v>-123.10680000000001</v>
      </c>
      <c r="AV794" s="19" t="s">
        <v>387</v>
      </c>
    </row>
    <row r="795" spans="1:48" x14ac:dyDescent="0.25">
      <c r="A795" s="18" t="s">
        <v>1181</v>
      </c>
      <c r="B795" s="10">
        <v>19711214</v>
      </c>
      <c r="C795" s="9">
        <v>1</v>
      </c>
      <c r="D795" s="8" t="str">
        <f t="shared" si="145"/>
        <v>N</v>
      </c>
      <c r="E795" s="8" t="str">
        <f t="shared" si="146"/>
        <v>N</v>
      </c>
      <c r="F795" s="8" t="str">
        <f t="shared" si="147"/>
        <v>Y</v>
      </c>
      <c r="G795" s="8" t="str">
        <f t="shared" si="148"/>
        <v>Y</v>
      </c>
      <c r="H795" s="8" t="str">
        <f t="shared" si="149"/>
        <v>Upper</v>
      </c>
      <c r="I795" s="8" t="str">
        <f t="shared" si="150"/>
        <v>West Fork and Below Lake</v>
      </c>
      <c r="J795" s="8" t="str">
        <f t="shared" si="151"/>
        <v>Outside</v>
      </c>
      <c r="K795" s="8" t="str">
        <f t="shared" si="152"/>
        <v>Post-1949</v>
      </c>
      <c r="L795" s="8">
        <f t="shared" si="153"/>
        <v>1971</v>
      </c>
      <c r="M795" s="8" t="str">
        <f t="shared" si="155"/>
        <v>1971-1990</v>
      </c>
      <c r="N795" s="10" t="s">
        <v>242</v>
      </c>
      <c r="O795" s="10" t="s">
        <v>241</v>
      </c>
      <c r="P795" s="10" t="s">
        <v>242</v>
      </c>
      <c r="Q795" s="10" t="s">
        <v>242</v>
      </c>
      <c r="R795" s="10" t="s">
        <v>241</v>
      </c>
      <c r="S795" s="10" t="s">
        <v>242</v>
      </c>
      <c r="T795" s="10" t="s">
        <v>242</v>
      </c>
      <c r="U795" s="10" t="s">
        <v>242</v>
      </c>
      <c r="V795" s="10" t="s">
        <v>241</v>
      </c>
      <c r="W795" s="10" t="s">
        <v>242</v>
      </c>
      <c r="X795" s="15">
        <f>IF(ISERROR(VLOOKUP($A795,'13. Updated Demand'!A:Z,15,FALSE)),0,VLOOKUP($A795,'13. Updated Demand'!A:Z,15,FALSE))</f>
        <v>2</v>
      </c>
      <c r="Y795" s="16">
        <f>IF(ISERROR(VLOOKUP($A795,'13. Updated Demand'!A:Z,16,FALSE)),0,VLOOKUP($A795,'13. Updated Demand'!A:Z,16,FALSE))</f>
        <v>1.33</v>
      </c>
      <c r="Z795" s="16">
        <f>IF(ISERROR(VLOOKUP($A795,'13. Updated Demand'!A:Z,17,FALSE)),0,VLOOKUP($A795,'13. Updated Demand'!A:Z,17,FALSE))</f>
        <v>0</v>
      </c>
      <c r="AA795" s="16">
        <f>IF(ISERROR(VLOOKUP($A795,'13. Updated Demand'!A:Z,18,FALSE)),0,VLOOKUP($A795,'13. Updated Demand'!A:Z,18,FALSE))</f>
        <v>3.2</v>
      </c>
      <c r="AB795" s="16">
        <f>IF(ISERROR(VLOOKUP($A795,'13. Updated Demand'!A:Z,19,FALSE)),0,VLOOKUP($A795,'13. Updated Demand'!A:Z,19,FALSE))</f>
        <v>0</v>
      </c>
      <c r="AC795" s="16">
        <f>IF(ISERROR(VLOOKUP($A795,'13. Updated Demand'!A:Z,20,FALSE)),0,VLOOKUP($A795,'13. Updated Demand'!A:Z,20,FALSE))</f>
        <v>0</v>
      </c>
      <c r="AD795" s="16">
        <f>IF(ISERROR(VLOOKUP($A795,'13. Updated Demand'!A:Z,21,FALSE)),0,VLOOKUP($A795,'13. Updated Demand'!A:Z,21,FALSE))</f>
        <v>0</v>
      </c>
      <c r="AE795" s="16">
        <f>IF(ISERROR(VLOOKUP($A795,'13. Updated Demand'!A:Z,22,FALSE)),0,VLOOKUP($A795,'13. Updated Demand'!A:Z,22,FALSE))</f>
        <v>0</v>
      </c>
      <c r="AF795" s="16">
        <f>IF(ISERROR(VLOOKUP($A795,'13. Updated Demand'!A:Z,23,FALSE)),0,VLOOKUP($A795,'13. Updated Demand'!A:Z,23,FALSE))</f>
        <v>0</v>
      </c>
      <c r="AG795" s="16">
        <f>IF(ISERROR(VLOOKUP($A795,'13. Updated Demand'!A:Z,24,FALSE)),0,VLOOKUP($A795,'13. Updated Demand'!A:Z,24,FALSE))</f>
        <v>0</v>
      </c>
      <c r="AH795" s="16">
        <f>IF(ISERROR(VLOOKUP($A795,'13. Updated Demand'!A:Z,25,FALSE)),0,VLOOKUP($A795,'13. Updated Demand'!A:Z,25,FALSE))</f>
        <v>0</v>
      </c>
      <c r="AI795" s="16">
        <f>IF(ISERROR(VLOOKUP($A795,'13. Updated Demand'!A:Z,26,FALSE)),0,VLOOKUP($A795,'13. Updated Demand'!A:Z,26,FALSE))</f>
        <v>0</v>
      </c>
      <c r="AJ795" s="16">
        <f t="shared" si="156"/>
        <v>6.53</v>
      </c>
      <c r="AK795" s="19">
        <v>0</v>
      </c>
      <c r="AL795" s="16">
        <f t="shared" si="154"/>
        <v>0</v>
      </c>
      <c r="AM795" s="17">
        <v>0.18154709258333332</v>
      </c>
      <c r="AN795" s="19"/>
      <c r="AO795" s="19"/>
      <c r="AP795" s="19">
        <v>36</v>
      </c>
      <c r="AQ795" s="19" t="s">
        <v>307</v>
      </c>
      <c r="AR795" s="9" t="s">
        <v>317</v>
      </c>
      <c r="AS795" s="12">
        <v>0</v>
      </c>
      <c r="AT795" s="19">
        <v>39.208928499999999</v>
      </c>
      <c r="AU795" s="19">
        <v>-123.20089360999999</v>
      </c>
      <c r="AV795" s="19" t="s">
        <v>456</v>
      </c>
    </row>
    <row r="796" spans="1:48" x14ac:dyDescent="0.25">
      <c r="A796" s="18" t="s">
        <v>1182</v>
      </c>
      <c r="B796" s="10">
        <v>19710111</v>
      </c>
      <c r="C796" s="9">
        <v>6</v>
      </c>
      <c r="D796" s="8" t="str">
        <f t="shared" si="145"/>
        <v>Y</v>
      </c>
      <c r="E796" s="8" t="str">
        <f t="shared" si="146"/>
        <v>N</v>
      </c>
      <c r="F796" s="8" t="str">
        <f t="shared" si="147"/>
        <v>Y</v>
      </c>
      <c r="G796" s="8" t="str">
        <f t="shared" si="148"/>
        <v>Y</v>
      </c>
      <c r="H796" s="8" t="str">
        <f t="shared" si="149"/>
        <v>Upper</v>
      </c>
      <c r="I796" s="8" t="str">
        <f t="shared" si="150"/>
        <v>West Fork and Below Lake</v>
      </c>
      <c r="J796" s="8" t="str">
        <f t="shared" si="151"/>
        <v>Mendocino (d/s of lake)</v>
      </c>
      <c r="K796" s="8" t="str">
        <f t="shared" si="152"/>
        <v>Post-1949</v>
      </c>
      <c r="L796" s="8">
        <f t="shared" si="153"/>
        <v>1971</v>
      </c>
      <c r="M796" s="8" t="str">
        <f t="shared" si="155"/>
        <v>1971-1990</v>
      </c>
      <c r="N796" s="10" t="s">
        <v>241</v>
      </c>
      <c r="O796" s="10" t="s">
        <v>241</v>
      </c>
      <c r="P796" s="10" t="s">
        <v>242</v>
      </c>
      <c r="Q796" s="10" t="s">
        <v>242</v>
      </c>
      <c r="R796" s="10" t="s">
        <v>241</v>
      </c>
      <c r="S796" s="10" t="s">
        <v>242</v>
      </c>
      <c r="T796" s="10" t="s">
        <v>242</v>
      </c>
      <c r="U796" s="10" t="s">
        <v>241</v>
      </c>
      <c r="V796" s="10" t="s">
        <v>241</v>
      </c>
      <c r="W796" s="10" t="s">
        <v>242</v>
      </c>
      <c r="X796" s="15">
        <f>IF(ISERROR(VLOOKUP($A796,'13. Updated Demand'!A:Z,15,FALSE)),0,VLOOKUP($A796,'13. Updated Demand'!A:Z,15,FALSE))</f>
        <v>0</v>
      </c>
      <c r="Y796" s="16">
        <f>IF(ISERROR(VLOOKUP($A796,'13. Updated Demand'!A:Z,16,FALSE)),0,VLOOKUP($A796,'13. Updated Demand'!A:Z,16,FALSE))</f>
        <v>0</v>
      </c>
      <c r="Z796" s="16">
        <f>IF(ISERROR(VLOOKUP($A796,'13. Updated Demand'!A:Z,17,FALSE)),0,VLOOKUP($A796,'13. Updated Demand'!A:Z,17,FALSE))</f>
        <v>0</v>
      </c>
      <c r="AA796" s="16">
        <f>IF(ISERROR(VLOOKUP($A796,'13. Updated Demand'!A:Z,18,FALSE)),0,VLOOKUP($A796,'13. Updated Demand'!A:Z,18,FALSE))</f>
        <v>0</v>
      </c>
      <c r="AB796" s="16">
        <f>IF(ISERROR(VLOOKUP($A796,'13. Updated Demand'!A:Z,19,FALSE)),0,VLOOKUP($A796,'13. Updated Demand'!A:Z,19,FALSE))</f>
        <v>0</v>
      </c>
      <c r="AC796" s="16">
        <f>IF(ISERROR(VLOOKUP($A796,'13. Updated Demand'!A:Z,20,FALSE)),0,VLOOKUP($A796,'13. Updated Demand'!A:Z,20,FALSE))</f>
        <v>0</v>
      </c>
      <c r="AD796" s="16">
        <f>IF(ISERROR(VLOOKUP($A796,'13. Updated Demand'!A:Z,21,FALSE)),0,VLOOKUP($A796,'13. Updated Demand'!A:Z,21,FALSE))</f>
        <v>0</v>
      </c>
      <c r="AE796" s="16">
        <f>IF(ISERROR(VLOOKUP($A796,'13. Updated Demand'!A:Z,22,FALSE)),0,VLOOKUP($A796,'13. Updated Demand'!A:Z,22,FALSE))</f>
        <v>0</v>
      </c>
      <c r="AF796" s="16">
        <f>IF(ISERROR(VLOOKUP($A796,'13. Updated Demand'!A:Z,23,FALSE)),0,VLOOKUP($A796,'13. Updated Demand'!A:Z,23,FALSE))</f>
        <v>0</v>
      </c>
      <c r="AG796" s="16">
        <f>IF(ISERROR(VLOOKUP($A796,'13. Updated Demand'!A:Z,24,FALSE)),0,VLOOKUP($A796,'13. Updated Demand'!A:Z,24,FALSE))</f>
        <v>0</v>
      </c>
      <c r="AH796" s="16">
        <f>IF(ISERROR(VLOOKUP($A796,'13. Updated Demand'!A:Z,25,FALSE)),0,VLOOKUP($A796,'13. Updated Demand'!A:Z,25,FALSE))</f>
        <v>0</v>
      </c>
      <c r="AI796" s="16">
        <f>IF(ISERROR(VLOOKUP($A796,'13. Updated Demand'!A:Z,26,FALSE)),0,VLOOKUP($A796,'13. Updated Demand'!A:Z,26,FALSE))</f>
        <v>0</v>
      </c>
      <c r="AJ796" s="16">
        <f t="shared" si="156"/>
        <v>0</v>
      </c>
      <c r="AK796" s="19">
        <v>0</v>
      </c>
      <c r="AL796" s="16">
        <f t="shared" si="154"/>
        <v>0</v>
      </c>
      <c r="AM796" s="17">
        <v>0</v>
      </c>
      <c r="AN796" s="19"/>
      <c r="AO796" s="19"/>
      <c r="AP796" s="19">
        <v>87</v>
      </c>
      <c r="AQ796" s="19" t="s">
        <v>307</v>
      </c>
      <c r="AR796" s="9" t="s">
        <v>319</v>
      </c>
      <c r="AS796" s="12">
        <v>0</v>
      </c>
      <c r="AT796" s="19">
        <v>38.981933730000002</v>
      </c>
      <c r="AU796" s="19">
        <v>-123.09344127999999</v>
      </c>
      <c r="AV796" s="19" t="s">
        <v>387</v>
      </c>
    </row>
    <row r="797" spans="1:48" x14ac:dyDescent="0.25">
      <c r="A797" s="18" t="s">
        <v>1183</v>
      </c>
      <c r="B797" s="10">
        <v>19710422</v>
      </c>
      <c r="C797" s="9">
        <v>16</v>
      </c>
      <c r="D797" s="8" t="str">
        <f t="shared" si="145"/>
        <v>N</v>
      </c>
      <c r="E797" s="8" t="str">
        <f t="shared" si="146"/>
        <v>N</v>
      </c>
      <c r="F797" s="8" t="str">
        <f t="shared" si="147"/>
        <v>N</v>
      </c>
      <c r="G797" s="8" t="str">
        <f t="shared" si="148"/>
        <v>N</v>
      </c>
      <c r="H797" s="8" t="str">
        <f t="shared" si="149"/>
        <v>Lower</v>
      </c>
      <c r="I797" s="8" t="str">
        <f t="shared" si="150"/>
        <v>Outside</v>
      </c>
      <c r="J797" s="8" t="str">
        <f t="shared" si="151"/>
        <v>Outside</v>
      </c>
      <c r="K797" s="8" t="str">
        <f t="shared" si="152"/>
        <v>Post-1949</v>
      </c>
      <c r="L797" s="8">
        <f t="shared" si="153"/>
        <v>1971</v>
      </c>
      <c r="M797" s="8" t="str">
        <f t="shared" si="155"/>
        <v>1971-1990</v>
      </c>
      <c r="N797" s="10" t="s">
        <v>242</v>
      </c>
      <c r="O797" s="10" t="s">
        <v>242</v>
      </c>
      <c r="P797" s="10" t="s">
        <v>242</v>
      </c>
      <c r="Q797" s="10" t="s">
        <v>242</v>
      </c>
      <c r="R797" s="10" t="s">
        <v>241</v>
      </c>
      <c r="S797" s="10" t="s">
        <v>242</v>
      </c>
      <c r="T797" s="10" t="s">
        <v>242</v>
      </c>
      <c r="U797" s="10" t="s">
        <v>241</v>
      </c>
      <c r="V797" s="10" t="s">
        <v>241</v>
      </c>
      <c r="W797" s="10" t="s">
        <v>242</v>
      </c>
      <c r="X797" s="15">
        <f>IF(ISERROR(VLOOKUP($A797,'13. Updated Demand'!A:Z,15,FALSE)),0,VLOOKUP($A797,'13. Updated Demand'!A:Z,15,FALSE))</f>
        <v>0</v>
      </c>
      <c r="Y797" s="16">
        <f>IF(ISERROR(VLOOKUP($A797,'13. Updated Demand'!A:Z,16,FALSE)),0,VLOOKUP($A797,'13. Updated Demand'!A:Z,16,FALSE))</f>
        <v>0</v>
      </c>
      <c r="Z797" s="16">
        <f>IF(ISERROR(VLOOKUP($A797,'13. Updated Demand'!A:Z,17,FALSE)),0,VLOOKUP($A797,'13. Updated Demand'!A:Z,17,FALSE))</f>
        <v>0</v>
      </c>
      <c r="AA797" s="16">
        <f>IF(ISERROR(VLOOKUP($A797,'13. Updated Demand'!A:Z,18,FALSE)),0,VLOOKUP($A797,'13. Updated Demand'!A:Z,18,FALSE))</f>
        <v>0</v>
      </c>
      <c r="AB797" s="16">
        <f>IF(ISERROR(VLOOKUP($A797,'13. Updated Demand'!A:Z,19,FALSE)),0,VLOOKUP($A797,'13. Updated Demand'!A:Z,19,FALSE))</f>
        <v>0</v>
      </c>
      <c r="AC797" s="16">
        <f>IF(ISERROR(VLOOKUP($A797,'13. Updated Demand'!A:Z,20,FALSE)),0,VLOOKUP($A797,'13. Updated Demand'!A:Z,20,FALSE))</f>
        <v>0</v>
      </c>
      <c r="AD797" s="16">
        <f>IF(ISERROR(VLOOKUP($A797,'13. Updated Demand'!A:Z,21,FALSE)),0,VLOOKUP($A797,'13. Updated Demand'!A:Z,21,FALSE))</f>
        <v>0</v>
      </c>
      <c r="AE797" s="16">
        <f>IF(ISERROR(VLOOKUP($A797,'13. Updated Demand'!A:Z,22,FALSE)),0,VLOOKUP($A797,'13. Updated Demand'!A:Z,22,FALSE))</f>
        <v>0</v>
      </c>
      <c r="AF797" s="16">
        <f>IF(ISERROR(VLOOKUP($A797,'13. Updated Demand'!A:Z,23,FALSE)),0,VLOOKUP($A797,'13. Updated Demand'!A:Z,23,FALSE))</f>
        <v>0</v>
      </c>
      <c r="AG797" s="16">
        <f>IF(ISERROR(VLOOKUP($A797,'13. Updated Demand'!A:Z,24,FALSE)),0,VLOOKUP($A797,'13. Updated Demand'!A:Z,24,FALSE))</f>
        <v>0</v>
      </c>
      <c r="AH797" s="16">
        <f>IF(ISERROR(VLOOKUP($A797,'13. Updated Demand'!A:Z,25,FALSE)),0,VLOOKUP($A797,'13. Updated Demand'!A:Z,25,FALSE))</f>
        <v>0</v>
      </c>
      <c r="AI797" s="16">
        <f>IF(ISERROR(VLOOKUP($A797,'13. Updated Demand'!A:Z,26,FALSE)),0,VLOOKUP($A797,'13. Updated Demand'!A:Z,26,FALSE))</f>
        <v>0</v>
      </c>
      <c r="AJ797" s="16">
        <f t="shared" si="156"/>
        <v>0</v>
      </c>
      <c r="AK797" s="19">
        <v>0</v>
      </c>
      <c r="AL797" s="16">
        <f t="shared" si="154"/>
        <v>0</v>
      </c>
      <c r="AM797" s="17">
        <v>0</v>
      </c>
      <c r="AN797" s="19"/>
      <c r="AO797" s="19"/>
      <c r="AP797" s="19">
        <v>2.5</v>
      </c>
      <c r="AQ797" s="19" t="s">
        <v>307</v>
      </c>
      <c r="AR797" s="9" t="s">
        <v>394</v>
      </c>
      <c r="AS797" s="12">
        <v>0</v>
      </c>
      <c r="AT797" s="19">
        <v>38.63708579</v>
      </c>
      <c r="AU797" s="19">
        <v>-122.89524072</v>
      </c>
      <c r="AV797" s="19" t="s">
        <v>417</v>
      </c>
    </row>
    <row r="798" spans="1:48" x14ac:dyDescent="0.25">
      <c r="A798" s="18" t="s">
        <v>1184</v>
      </c>
      <c r="B798" s="10">
        <v>19711110</v>
      </c>
      <c r="C798" s="9">
        <v>2</v>
      </c>
      <c r="D798" s="8" t="str">
        <f t="shared" si="145"/>
        <v>N</v>
      </c>
      <c r="E798" s="8" t="str">
        <f t="shared" si="146"/>
        <v>N</v>
      </c>
      <c r="F798" s="8" t="str">
        <f t="shared" si="147"/>
        <v>Y</v>
      </c>
      <c r="G798" s="8" t="str">
        <f t="shared" si="148"/>
        <v>N</v>
      </c>
      <c r="H798" s="8" t="str">
        <f t="shared" si="149"/>
        <v>Upper</v>
      </c>
      <c r="I798" s="8" t="str">
        <f t="shared" si="150"/>
        <v>Outside</v>
      </c>
      <c r="J798" s="8" t="str">
        <f t="shared" si="151"/>
        <v>Outside</v>
      </c>
      <c r="K798" s="8" t="str">
        <f t="shared" si="152"/>
        <v>Post-1949</v>
      </c>
      <c r="L798" s="8">
        <f t="shared" si="153"/>
        <v>1971</v>
      </c>
      <c r="M798" s="8" t="str">
        <f t="shared" si="155"/>
        <v>1971-1990</v>
      </c>
      <c r="N798" s="10" t="s">
        <v>242</v>
      </c>
      <c r="O798" s="10" t="s">
        <v>241</v>
      </c>
      <c r="P798" s="10" t="s">
        <v>242</v>
      </c>
      <c r="Q798" s="10" t="s">
        <v>242</v>
      </c>
      <c r="R798" s="10" t="s">
        <v>241</v>
      </c>
      <c r="S798" s="10" t="s">
        <v>242</v>
      </c>
      <c r="T798" s="10" t="s">
        <v>242</v>
      </c>
      <c r="U798" s="10" t="s">
        <v>242</v>
      </c>
      <c r="V798" s="10" t="s">
        <v>242</v>
      </c>
      <c r="W798" s="10" t="s">
        <v>242</v>
      </c>
      <c r="X798" s="15">
        <f>IF(ISERROR(VLOOKUP($A798,'13. Updated Demand'!A:Z,15,FALSE)),0,VLOOKUP($A798,'13. Updated Demand'!A:Z,15,FALSE))</f>
        <v>0</v>
      </c>
      <c r="Y798" s="16">
        <f>IF(ISERROR(VLOOKUP($A798,'13. Updated Demand'!A:Z,16,FALSE)),0,VLOOKUP($A798,'13. Updated Demand'!A:Z,16,FALSE))</f>
        <v>0</v>
      </c>
      <c r="Z798" s="16">
        <f>IF(ISERROR(VLOOKUP($A798,'13. Updated Demand'!A:Z,17,FALSE)),0,VLOOKUP($A798,'13. Updated Demand'!A:Z,17,FALSE))</f>
        <v>0</v>
      </c>
      <c r="AA798" s="16">
        <f>IF(ISERROR(VLOOKUP($A798,'13. Updated Demand'!A:Z,18,FALSE)),0,VLOOKUP($A798,'13. Updated Demand'!A:Z,18,FALSE))</f>
        <v>0</v>
      </c>
      <c r="AB798" s="16">
        <f>IF(ISERROR(VLOOKUP($A798,'13. Updated Demand'!A:Z,19,FALSE)),0,VLOOKUP($A798,'13. Updated Demand'!A:Z,19,FALSE))</f>
        <v>9.206667E-3</v>
      </c>
      <c r="AC798" s="16">
        <f>IF(ISERROR(VLOOKUP($A798,'13. Updated Demand'!A:Z,20,FALSE)),0,VLOOKUP($A798,'13. Updated Demand'!A:Z,20,FALSE))</f>
        <v>0.03</v>
      </c>
      <c r="AD798" s="16">
        <f>IF(ISERROR(VLOOKUP($A798,'13. Updated Demand'!A:Z,21,FALSE)),0,VLOOKUP($A798,'13. Updated Demand'!A:Z,21,FALSE))</f>
        <v>0.03</v>
      </c>
      <c r="AE798" s="16">
        <f>IF(ISERROR(VLOOKUP($A798,'13. Updated Demand'!A:Z,22,FALSE)),0,VLOOKUP($A798,'13. Updated Demand'!A:Z,22,FALSE))</f>
        <v>0.03</v>
      </c>
      <c r="AF798" s="16">
        <f>IF(ISERROR(VLOOKUP($A798,'13. Updated Demand'!A:Z,23,FALSE)),0,VLOOKUP($A798,'13. Updated Demand'!A:Z,23,FALSE))</f>
        <v>0.03</v>
      </c>
      <c r="AG798" s="16">
        <f>IF(ISERROR(VLOOKUP($A798,'13. Updated Demand'!A:Z,24,FALSE)),0,VLOOKUP($A798,'13. Updated Demand'!A:Z,24,FALSE))</f>
        <v>0</v>
      </c>
      <c r="AH798" s="16">
        <f>IF(ISERROR(VLOOKUP($A798,'13. Updated Demand'!A:Z,25,FALSE)),0,VLOOKUP($A798,'13. Updated Demand'!A:Z,25,FALSE))</f>
        <v>0</v>
      </c>
      <c r="AI798" s="16">
        <f>IF(ISERROR(VLOOKUP($A798,'13. Updated Demand'!A:Z,26,FALSE)),0,VLOOKUP($A798,'13. Updated Demand'!A:Z,26,FALSE))</f>
        <v>0</v>
      </c>
      <c r="AJ798" s="16">
        <f t="shared" si="156"/>
        <v>0.129206667</v>
      </c>
      <c r="AK798" s="19">
        <v>0.14821999899999999</v>
      </c>
      <c r="AL798" s="16">
        <f t="shared" si="154"/>
        <v>4.9162885283849419E-4</v>
      </c>
      <c r="AM798" s="17">
        <v>8.2344443888888886E-3</v>
      </c>
      <c r="AN798" s="19"/>
      <c r="AO798" s="19"/>
      <c r="AP798" s="19">
        <v>18</v>
      </c>
      <c r="AQ798" s="19" t="s">
        <v>307</v>
      </c>
      <c r="AR798" s="9" t="s">
        <v>348</v>
      </c>
      <c r="AS798" s="12">
        <v>0</v>
      </c>
      <c r="AT798" s="19">
        <v>39.272913690000003</v>
      </c>
      <c r="AU798" s="19">
        <v>-123.10253365</v>
      </c>
      <c r="AV798" s="19" t="s">
        <v>433</v>
      </c>
    </row>
    <row r="799" spans="1:48" x14ac:dyDescent="0.25">
      <c r="A799" s="18" t="s">
        <v>1185</v>
      </c>
      <c r="B799" s="10">
        <v>19710112</v>
      </c>
      <c r="C799" s="9">
        <v>2</v>
      </c>
      <c r="D799" s="8" t="str">
        <f t="shared" si="145"/>
        <v>N</v>
      </c>
      <c r="E799" s="8" t="str">
        <f t="shared" si="146"/>
        <v>N</v>
      </c>
      <c r="F799" s="8" t="str">
        <f t="shared" si="147"/>
        <v>Y</v>
      </c>
      <c r="G799" s="8" t="str">
        <f t="shared" si="148"/>
        <v>N</v>
      </c>
      <c r="H799" s="8" t="str">
        <f t="shared" si="149"/>
        <v>Upper</v>
      </c>
      <c r="I799" s="8" t="str">
        <f t="shared" si="150"/>
        <v>Outside</v>
      </c>
      <c r="J799" s="8" t="str">
        <f t="shared" si="151"/>
        <v>Outside</v>
      </c>
      <c r="K799" s="8" t="str">
        <f t="shared" si="152"/>
        <v>Post-1949</v>
      </c>
      <c r="L799" s="8">
        <f t="shared" si="153"/>
        <v>1971</v>
      </c>
      <c r="M799" s="8" t="str">
        <f t="shared" si="155"/>
        <v>1971-1990</v>
      </c>
      <c r="N799" s="10" t="s">
        <v>242</v>
      </c>
      <c r="O799" s="10" t="s">
        <v>241</v>
      </c>
      <c r="P799" s="10" t="s">
        <v>242</v>
      </c>
      <c r="Q799" s="10" t="s">
        <v>242</v>
      </c>
      <c r="R799" s="10" t="s">
        <v>241</v>
      </c>
      <c r="S799" s="10" t="s">
        <v>242</v>
      </c>
      <c r="T799" s="10" t="s">
        <v>242</v>
      </c>
      <c r="U799" s="10" t="s">
        <v>241</v>
      </c>
      <c r="V799" s="10" t="s">
        <v>241</v>
      </c>
      <c r="W799" s="10" t="s">
        <v>242</v>
      </c>
      <c r="X799" s="15">
        <f>IF(ISERROR(VLOOKUP($A799,'13. Updated Demand'!A:Z,15,FALSE)),0,VLOOKUP($A799,'13. Updated Demand'!A:Z,15,FALSE))</f>
        <v>0</v>
      </c>
      <c r="Y799" s="16">
        <f>IF(ISERROR(VLOOKUP($A799,'13. Updated Demand'!A:Z,16,FALSE)),0,VLOOKUP($A799,'13. Updated Demand'!A:Z,16,FALSE))</f>
        <v>0</v>
      </c>
      <c r="Z799" s="16">
        <f>IF(ISERROR(VLOOKUP($A799,'13. Updated Demand'!A:Z,17,FALSE)),0,VLOOKUP($A799,'13. Updated Demand'!A:Z,17,FALSE))</f>
        <v>0</v>
      </c>
      <c r="AA799" s="16">
        <f>IF(ISERROR(VLOOKUP($A799,'13. Updated Demand'!A:Z,18,FALSE)),0,VLOOKUP($A799,'13. Updated Demand'!A:Z,18,FALSE))</f>
        <v>0</v>
      </c>
      <c r="AB799" s="16">
        <f>IF(ISERROR(VLOOKUP($A799,'13. Updated Demand'!A:Z,19,FALSE)),0,VLOOKUP($A799,'13. Updated Demand'!A:Z,19,FALSE))</f>
        <v>0</v>
      </c>
      <c r="AC799" s="16">
        <f>IF(ISERROR(VLOOKUP($A799,'13. Updated Demand'!A:Z,20,FALSE)),0,VLOOKUP($A799,'13. Updated Demand'!A:Z,20,FALSE))</f>
        <v>0</v>
      </c>
      <c r="AD799" s="16">
        <f>IF(ISERROR(VLOOKUP($A799,'13. Updated Demand'!A:Z,21,FALSE)),0,VLOOKUP($A799,'13. Updated Demand'!A:Z,21,FALSE))</f>
        <v>0</v>
      </c>
      <c r="AE799" s="16">
        <f>IF(ISERROR(VLOOKUP($A799,'13. Updated Demand'!A:Z,22,FALSE)),0,VLOOKUP($A799,'13. Updated Demand'!A:Z,22,FALSE))</f>
        <v>0</v>
      </c>
      <c r="AF799" s="16">
        <f>IF(ISERROR(VLOOKUP($A799,'13. Updated Demand'!A:Z,23,FALSE)),0,VLOOKUP($A799,'13. Updated Demand'!A:Z,23,FALSE))</f>
        <v>0</v>
      </c>
      <c r="AG799" s="16">
        <f>IF(ISERROR(VLOOKUP($A799,'13. Updated Demand'!A:Z,24,FALSE)),0,VLOOKUP($A799,'13. Updated Demand'!A:Z,24,FALSE))</f>
        <v>0</v>
      </c>
      <c r="AH799" s="16">
        <f>IF(ISERROR(VLOOKUP($A799,'13. Updated Demand'!A:Z,25,FALSE)),0,VLOOKUP($A799,'13. Updated Demand'!A:Z,25,FALSE))</f>
        <v>0</v>
      </c>
      <c r="AI799" s="16">
        <f>IF(ISERROR(VLOOKUP($A799,'13. Updated Demand'!A:Z,26,FALSE)),0,VLOOKUP($A799,'13. Updated Demand'!A:Z,26,FALSE))</f>
        <v>0</v>
      </c>
      <c r="AJ799" s="16">
        <f t="shared" si="156"/>
        <v>0</v>
      </c>
      <c r="AK799" s="19">
        <v>0</v>
      </c>
      <c r="AL799" s="16">
        <f t="shared" si="154"/>
        <v>0</v>
      </c>
      <c r="AM799" s="17">
        <v>0</v>
      </c>
      <c r="AN799" s="19"/>
      <c r="AO799" s="19"/>
      <c r="AP799" s="19">
        <v>26</v>
      </c>
      <c r="AQ799" s="19" t="s">
        <v>307</v>
      </c>
      <c r="AR799" s="9" t="s">
        <v>348</v>
      </c>
      <c r="AS799" s="12">
        <v>0</v>
      </c>
      <c r="AT799" s="19">
        <v>39.288699999999999</v>
      </c>
      <c r="AU799" s="19">
        <v>-123.0919</v>
      </c>
      <c r="AV799" s="19" t="s">
        <v>417</v>
      </c>
    </row>
    <row r="800" spans="1:48" x14ac:dyDescent="0.25">
      <c r="A800" s="18" t="s">
        <v>1186</v>
      </c>
      <c r="B800" s="10">
        <v>19710209</v>
      </c>
      <c r="C800" s="9">
        <v>2</v>
      </c>
      <c r="D800" s="8" t="str">
        <f t="shared" si="145"/>
        <v>N</v>
      </c>
      <c r="E800" s="8" t="str">
        <f t="shared" si="146"/>
        <v>N</v>
      </c>
      <c r="F800" s="8" t="str">
        <f t="shared" si="147"/>
        <v>Y</v>
      </c>
      <c r="G800" s="8" t="str">
        <f t="shared" si="148"/>
        <v>N</v>
      </c>
      <c r="H800" s="8" t="str">
        <f t="shared" si="149"/>
        <v>Upper</v>
      </c>
      <c r="I800" s="8" t="str">
        <f t="shared" si="150"/>
        <v>Outside</v>
      </c>
      <c r="J800" s="8" t="str">
        <f t="shared" si="151"/>
        <v>Outside</v>
      </c>
      <c r="K800" s="8" t="str">
        <f t="shared" si="152"/>
        <v>Post-1949</v>
      </c>
      <c r="L800" s="8">
        <f t="shared" si="153"/>
        <v>1971</v>
      </c>
      <c r="M800" s="8" t="str">
        <f t="shared" si="155"/>
        <v>1971-1990</v>
      </c>
      <c r="N800" s="10" t="s">
        <v>242</v>
      </c>
      <c r="O800" s="10" t="s">
        <v>241</v>
      </c>
      <c r="P800" s="10" t="s">
        <v>242</v>
      </c>
      <c r="Q800" s="10" t="s">
        <v>242</v>
      </c>
      <c r="R800" s="10" t="s">
        <v>241</v>
      </c>
      <c r="S800" s="10" t="s">
        <v>242</v>
      </c>
      <c r="T800" s="10" t="s">
        <v>242</v>
      </c>
      <c r="U800" s="10" t="s">
        <v>241</v>
      </c>
      <c r="V800" s="10" t="s">
        <v>241</v>
      </c>
      <c r="W800" s="10" t="s">
        <v>242</v>
      </c>
      <c r="X800" s="15">
        <f>IF(ISERROR(VLOOKUP($A800,'13. Updated Demand'!A:Z,15,FALSE)),0,VLOOKUP($A800,'13. Updated Demand'!A:Z,15,FALSE))</f>
        <v>0</v>
      </c>
      <c r="Y800" s="16">
        <f>IF(ISERROR(VLOOKUP($A800,'13. Updated Demand'!A:Z,16,FALSE)),0,VLOOKUP($A800,'13. Updated Demand'!A:Z,16,FALSE))</f>
        <v>0</v>
      </c>
      <c r="Z800" s="16">
        <f>IF(ISERROR(VLOOKUP($A800,'13. Updated Demand'!A:Z,17,FALSE)),0,VLOOKUP($A800,'13. Updated Demand'!A:Z,17,FALSE))</f>
        <v>0</v>
      </c>
      <c r="AA800" s="16">
        <f>IF(ISERROR(VLOOKUP($A800,'13. Updated Demand'!A:Z,18,FALSE)),0,VLOOKUP($A800,'13. Updated Demand'!A:Z,18,FALSE))</f>
        <v>0</v>
      </c>
      <c r="AB800" s="16">
        <f>IF(ISERROR(VLOOKUP($A800,'13. Updated Demand'!A:Z,19,FALSE)),0,VLOOKUP($A800,'13. Updated Demand'!A:Z,19,FALSE))</f>
        <v>0</v>
      </c>
      <c r="AC800" s="16">
        <f>IF(ISERROR(VLOOKUP($A800,'13. Updated Demand'!A:Z,20,FALSE)),0,VLOOKUP($A800,'13. Updated Demand'!A:Z,20,FALSE))</f>
        <v>0</v>
      </c>
      <c r="AD800" s="16">
        <f>IF(ISERROR(VLOOKUP($A800,'13. Updated Demand'!A:Z,21,FALSE)),0,VLOOKUP($A800,'13. Updated Demand'!A:Z,21,FALSE))</f>
        <v>0</v>
      </c>
      <c r="AE800" s="16">
        <f>IF(ISERROR(VLOOKUP($A800,'13. Updated Demand'!A:Z,22,FALSE)),0,VLOOKUP($A800,'13. Updated Demand'!A:Z,22,FALSE))</f>
        <v>0</v>
      </c>
      <c r="AF800" s="16">
        <f>IF(ISERROR(VLOOKUP($A800,'13. Updated Demand'!A:Z,23,FALSE)),0,VLOOKUP($A800,'13. Updated Demand'!A:Z,23,FALSE))</f>
        <v>0</v>
      </c>
      <c r="AG800" s="16">
        <f>IF(ISERROR(VLOOKUP($A800,'13. Updated Demand'!A:Z,24,FALSE)),0,VLOOKUP($A800,'13. Updated Demand'!A:Z,24,FALSE))</f>
        <v>0</v>
      </c>
      <c r="AH800" s="16">
        <f>IF(ISERROR(VLOOKUP($A800,'13. Updated Demand'!A:Z,25,FALSE)),0,VLOOKUP($A800,'13. Updated Demand'!A:Z,25,FALSE))</f>
        <v>0</v>
      </c>
      <c r="AI800" s="16">
        <f>IF(ISERROR(VLOOKUP($A800,'13. Updated Demand'!A:Z,26,FALSE)),0,VLOOKUP($A800,'13. Updated Demand'!A:Z,26,FALSE))</f>
        <v>0</v>
      </c>
      <c r="AJ800" s="16">
        <f t="shared" si="156"/>
        <v>0</v>
      </c>
      <c r="AK800" s="19">
        <v>0</v>
      </c>
      <c r="AL800" s="16">
        <f t="shared" si="154"/>
        <v>0</v>
      </c>
      <c r="AM800" s="17">
        <v>0</v>
      </c>
      <c r="AN800" s="19"/>
      <c r="AO800" s="19"/>
      <c r="AP800" s="19">
        <v>29</v>
      </c>
      <c r="AQ800" s="19" t="s">
        <v>307</v>
      </c>
      <c r="AR800" s="9" t="s">
        <v>348</v>
      </c>
      <c r="AS800" s="12">
        <v>0</v>
      </c>
      <c r="AT800" s="19">
        <v>39.341180459999997</v>
      </c>
      <c r="AU800" s="19">
        <v>-123.11350155</v>
      </c>
      <c r="AV800" s="19" t="s">
        <v>542</v>
      </c>
    </row>
    <row r="801" spans="1:48" x14ac:dyDescent="0.25">
      <c r="A801" s="18" t="s">
        <v>1187</v>
      </c>
      <c r="B801" s="10">
        <v>19700618</v>
      </c>
      <c r="C801" s="9">
        <v>2</v>
      </c>
      <c r="D801" s="8" t="str">
        <f t="shared" si="145"/>
        <v>N</v>
      </c>
      <c r="E801" s="8" t="str">
        <f t="shared" si="146"/>
        <v>N</v>
      </c>
      <c r="F801" s="8" t="str">
        <f t="shared" si="147"/>
        <v>Y</v>
      </c>
      <c r="G801" s="8" t="str">
        <f t="shared" si="148"/>
        <v>N</v>
      </c>
      <c r="H801" s="8" t="str">
        <f t="shared" si="149"/>
        <v>Upper</v>
      </c>
      <c r="I801" s="8" t="str">
        <f t="shared" si="150"/>
        <v>Outside</v>
      </c>
      <c r="J801" s="8" t="str">
        <f t="shared" si="151"/>
        <v>Outside</v>
      </c>
      <c r="K801" s="8" t="str">
        <f t="shared" si="152"/>
        <v>Post-1949</v>
      </c>
      <c r="L801" s="8">
        <f t="shared" si="153"/>
        <v>1970</v>
      </c>
      <c r="M801" s="8" t="str">
        <f t="shared" si="155"/>
        <v>1960-1970</v>
      </c>
      <c r="N801" s="10" t="s">
        <v>242</v>
      </c>
      <c r="O801" s="10" t="s">
        <v>241</v>
      </c>
      <c r="P801" s="10" t="s">
        <v>242</v>
      </c>
      <c r="Q801" s="10" t="s">
        <v>242</v>
      </c>
      <c r="R801" s="10" t="s">
        <v>241</v>
      </c>
      <c r="S801" s="10" t="s">
        <v>242</v>
      </c>
      <c r="T801" s="10" t="s">
        <v>242</v>
      </c>
      <c r="U801" s="10" t="s">
        <v>242</v>
      </c>
      <c r="V801" s="10" t="s">
        <v>242</v>
      </c>
      <c r="W801" s="10" t="s">
        <v>242</v>
      </c>
      <c r="X801" s="15">
        <f>IF(ISERROR(VLOOKUP($A801,'13. Updated Demand'!A:Z,15,FALSE)),0,VLOOKUP($A801,'13. Updated Demand'!A:Z,15,FALSE))</f>
        <v>0</v>
      </c>
      <c r="Y801" s="16">
        <f>IF(ISERROR(VLOOKUP($A801,'13. Updated Demand'!A:Z,16,FALSE)),0,VLOOKUP($A801,'13. Updated Demand'!A:Z,16,FALSE))</f>
        <v>0</v>
      </c>
      <c r="Z801" s="16">
        <f>IF(ISERROR(VLOOKUP($A801,'13. Updated Demand'!A:Z,17,FALSE)),0,VLOOKUP($A801,'13. Updated Demand'!A:Z,17,FALSE))</f>
        <v>0</v>
      </c>
      <c r="AA801" s="16">
        <f>IF(ISERROR(VLOOKUP($A801,'13. Updated Demand'!A:Z,18,FALSE)),0,VLOOKUP($A801,'13. Updated Demand'!A:Z,18,FALSE))</f>
        <v>18.329999999999998</v>
      </c>
      <c r="AB801" s="16">
        <f>IF(ISERROR(VLOOKUP($A801,'13. Updated Demand'!A:Z,19,FALSE)),0,VLOOKUP($A801,'13. Updated Demand'!A:Z,19,FALSE))</f>
        <v>9</v>
      </c>
      <c r="AC801" s="16">
        <f>IF(ISERROR(VLOOKUP($A801,'13. Updated Demand'!A:Z,20,FALSE)),0,VLOOKUP($A801,'13. Updated Demand'!A:Z,20,FALSE))</f>
        <v>6.66</v>
      </c>
      <c r="AD801" s="16">
        <f>IF(ISERROR(VLOOKUP($A801,'13. Updated Demand'!A:Z,21,FALSE)),0,VLOOKUP($A801,'13. Updated Demand'!A:Z,21,FALSE))</f>
        <v>6.66</v>
      </c>
      <c r="AE801" s="16">
        <f>IF(ISERROR(VLOOKUP($A801,'13. Updated Demand'!A:Z,22,FALSE)),0,VLOOKUP($A801,'13. Updated Demand'!A:Z,22,FALSE))</f>
        <v>6.66</v>
      </c>
      <c r="AF801" s="16">
        <f>IF(ISERROR(VLOOKUP($A801,'13. Updated Demand'!A:Z,23,FALSE)),0,VLOOKUP($A801,'13. Updated Demand'!A:Z,23,FALSE))</f>
        <v>6.66</v>
      </c>
      <c r="AG801" s="16">
        <f>IF(ISERROR(VLOOKUP($A801,'13. Updated Demand'!A:Z,24,FALSE)),0,VLOOKUP($A801,'13. Updated Demand'!A:Z,24,FALSE))</f>
        <v>6.33</v>
      </c>
      <c r="AH801" s="16">
        <f>IF(ISERROR(VLOOKUP($A801,'13. Updated Demand'!A:Z,25,FALSE)),0,VLOOKUP($A801,'13. Updated Demand'!A:Z,25,FALSE))</f>
        <v>0</v>
      </c>
      <c r="AI801" s="16">
        <f>IF(ISERROR(VLOOKUP($A801,'13. Updated Demand'!A:Z,26,FALSE)),0,VLOOKUP($A801,'13. Updated Demand'!A:Z,26,FALSE))</f>
        <v>0</v>
      </c>
      <c r="AJ801" s="16">
        <f t="shared" si="156"/>
        <v>60.299999999999983</v>
      </c>
      <c r="AK801" s="19">
        <v>35.666666666666679</v>
      </c>
      <c r="AL801" s="16">
        <f t="shared" si="154"/>
        <v>0.11830227051820653</v>
      </c>
      <c r="AM801" s="17">
        <v>0.60514877967235015</v>
      </c>
      <c r="AN801" s="19"/>
      <c r="AO801" s="19"/>
      <c r="AP801" s="19">
        <v>99.7</v>
      </c>
      <c r="AQ801" s="19" t="s">
        <v>307</v>
      </c>
      <c r="AR801" s="9" t="s">
        <v>348</v>
      </c>
      <c r="AS801" s="12">
        <v>0</v>
      </c>
      <c r="AT801" s="19">
        <v>39.33846862</v>
      </c>
      <c r="AU801" s="19">
        <v>-123.10992274</v>
      </c>
      <c r="AV801" s="19" t="s">
        <v>542</v>
      </c>
    </row>
    <row r="802" spans="1:48" x14ac:dyDescent="0.25">
      <c r="A802" s="18" t="s">
        <v>1188</v>
      </c>
      <c r="B802" s="10">
        <v>19701014</v>
      </c>
      <c r="C802" s="9">
        <v>2</v>
      </c>
      <c r="D802" s="8" t="str">
        <f t="shared" si="145"/>
        <v>N</v>
      </c>
      <c r="E802" s="8" t="str">
        <f t="shared" si="146"/>
        <v>N</v>
      </c>
      <c r="F802" s="8" t="str">
        <f t="shared" si="147"/>
        <v>Y</v>
      </c>
      <c r="G802" s="8" t="str">
        <f t="shared" si="148"/>
        <v>N</v>
      </c>
      <c r="H802" s="8" t="str">
        <f t="shared" si="149"/>
        <v>Upper</v>
      </c>
      <c r="I802" s="8" t="str">
        <f t="shared" si="150"/>
        <v>Outside</v>
      </c>
      <c r="J802" s="8" t="str">
        <f t="shared" si="151"/>
        <v>Outside</v>
      </c>
      <c r="K802" s="8" t="str">
        <f t="shared" si="152"/>
        <v>Post-1949</v>
      </c>
      <c r="L802" s="8">
        <f t="shared" si="153"/>
        <v>1970</v>
      </c>
      <c r="M802" s="8" t="str">
        <f t="shared" si="155"/>
        <v>1960-1970</v>
      </c>
      <c r="N802" s="10" t="s">
        <v>242</v>
      </c>
      <c r="O802" s="10" t="s">
        <v>241</v>
      </c>
      <c r="P802" s="10" t="s">
        <v>242</v>
      </c>
      <c r="Q802" s="10" t="s">
        <v>242</v>
      </c>
      <c r="R802" s="10" t="s">
        <v>241</v>
      </c>
      <c r="S802" s="10" t="s">
        <v>242</v>
      </c>
      <c r="T802" s="10" t="s">
        <v>242</v>
      </c>
      <c r="U802" s="10" t="s">
        <v>242</v>
      </c>
      <c r="V802" s="10" t="s">
        <v>242</v>
      </c>
      <c r="W802" s="10" t="s">
        <v>242</v>
      </c>
      <c r="X802" s="15">
        <f>IF(ISERROR(VLOOKUP($A802,'13. Updated Demand'!A:Z,15,FALSE)),0,VLOOKUP($A802,'13. Updated Demand'!A:Z,15,FALSE))</f>
        <v>0</v>
      </c>
      <c r="Y802" s="16">
        <f>IF(ISERROR(VLOOKUP($A802,'13. Updated Demand'!A:Z,16,FALSE)),0,VLOOKUP($A802,'13. Updated Demand'!A:Z,16,FALSE))</f>
        <v>0</v>
      </c>
      <c r="Z802" s="16">
        <f>IF(ISERROR(VLOOKUP($A802,'13. Updated Demand'!A:Z,17,FALSE)),0,VLOOKUP($A802,'13. Updated Demand'!A:Z,17,FALSE))</f>
        <v>8.16</v>
      </c>
      <c r="AA802" s="16">
        <f>IF(ISERROR(VLOOKUP($A802,'13. Updated Demand'!A:Z,18,FALSE)),0,VLOOKUP($A802,'13. Updated Demand'!A:Z,18,FALSE))</f>
        <v>5</v>
      </c>
      <c r="AB802" s="16">
        <f>IF(ISERROR(VLOOKUP($A802,'13. Updated Demand'!A:Z,19,FALSE)),0,VLOOKUP($A802,'13. Updated Demand'!A:Z,19,FALSE))</f>
        <v>5.4</v>
      </c>
      <c r="AC802" s="16">
        <f>IF(ISERROR(VLOOKUP($A802,'13. Updated Demand'!A:Z,20,FALSE)),0,VLOOKUP($A802,'13. Updated Demand'!A:Z,20,FALSE))</f>
        <v>5.73</v>
      </c>
      <c r="AD802" s="16">
        <f>IF(ISERROR(VLOOKUP($A802,'13. Updated Demand'!A:Z,21,FALSE)),0,VLOOKUP($A802,'13. Updated Demand'!A:Z,21,FALSE))</f>
        <v>7.16</v>
      </c>
      <c r="AE802" s="16">
        <f>IF(ISERROR(VLOOKUP($A802,'13. Updated Demand'!A:Z,22,FALSE)),0,VLOOKUP($A802,'13. Updated Demand'!A:Z,22,FALSE))</f>
        <v>1.43</v>
      </c>
      <c r="AF802" s="16">
        <f>IF(ISERROR(VLOOKUP($A802,'13. Updated Demand'!A:Z,23,FALSE)),0,VLOOKUP($A802,'13. Updated Demand'!A:Z,23,FALSE))</f>
        <v>2.63</v>
      </c>
      <c r="AG802" s="16">
        <f>IF(ISERROR(VLOOKUP($A802,'13. Updated Demand'!A:Z,24,FALSE)),0,VLOOKUP($A802,'13. Updated Demand'!A:Z,24,FALSE))</f>
        <v>7.36</v>
      </c>
      <c r="AH802" s="16">
        <f>IF(ISERROR(VLOOKUP($A802,'13. Updated Demand'!A:Z,25,FALSE)),0,VLOOKUP($A802,'13. Updated Demand'!A:Z,25,FALSE))</f>
        <v>0</v>
      </c>
      <c r="AI802" s="16">
        <f>IF(ISERROR(VLOOKUP($A802,'13. Updated Demand'!A:Z,26,FALSE)),0,VLOOKUP($A802,'13. Updated Demand'!A:Z,26,FALSE))</f>
        <v>0</v>
      </c>
      <c r="AJ802" s="16">
        <f t="shared" si="156"/>
        <v>42.870000000000005</v>
      </c>
      <c r="AK802" s="19">
        <v>22.369333333</v>
      </c>
      <c r="AL802" s="16">
        <f t="shared" si="154"/>
        <v>7.4196530559042045E-2</v>
      </c>
      <c r="AM802" s="17">
        <v>0.51074603175</v>
      </c>
      <c r="AN802" s="19"/>
      <c r="AO802" s="19"/>
      <c r="AP802" s="19">
        <v>84</v>
      </c>
      <c r="AQ802" s="19" t="s">
        <v>307</v>
      </c>
      <c r="AR802" s="9" t="s">
        <v>348</v>
      </c>
      <c r="AS802" s="12">
        <v>0</v>
      </c>
      <c r="AT802" s="19">
        <v>39.356412470000002</v>
      </c>
      <c r="AU802" s="19">
        <v>-123.12859704</v>
      </c>
      <c r="AV802" s="19" t="s">
        <v>433</v>
      </c>
    </row>
    <row r="803" spans="1:48" x14ac:dyDescent="0.25">
      <c r="A803" s="18" t="s">
        <v>1189</v>
      </c>
      <c r="B803" s="10">
        <v>19700206</v>
      </c>
      <c r="C803" s="9">
        <v>5</v>
      </c>
      <c r="D803" s="8" t="str">
        <f t="shared" si="145"/>
        <v>Y</v>
      </c>
      <c r="E803" s="8" t="str">
        <f t="shared" si="146"/>
        <v>N</v>
      </c>
      <c r="F803" s="8" t="str">
        <f t="shared" si="147"/>
        <v>Y</v>
      </c>
      <c r="G803" s="8" t="str">
        <f t="shared" si="148"/>
        <v>Y</v>
      </c>
      <c r="H803" s="8" t="str">
        <f t="shared" si="149"/>
        <v>Upper</v>
      </c>
      <c r="I803" s="8" t="str">
        <f t="shared" si="150"/>
        <v>West Fork and Below Lake</v>
      </c>
      <c r="J803" s="8" t="str">
        <f t="shared" si="151"/>
        <v>Mendocino (d/s of lake)</v>
      </c>
      <c r="K803" s="8" t="str">
        <f t="shared" si="152"/>
        <v>Post-1949</v>
      </c>
      <c r="L803" s="8">
        <f t="shared" si="153"/>
        <v>1970</v>
      </c>
      <c r="M803" s="8" t="str">
        <f t="shared" si="155"/>
        <v>1960-1970</v>
      </c>
      <c r="N803" s="10" t="s">
        <v>241</v>
      </c>
      <c r="O803" s="10" t="s">
        <v>241</v>
      </c>
      <c r="P803" s="10" t="s">
        <v>242</v>
      </c>
      <c r="Q803" s="10" t="s">
        <v>242</v>
      </c>
      <c r="R803" s="10" t="s">
        <v>241</v>
      </c>
      <c r="S803" s="10" t="s">
        <v>242</v>
      </c>
      <c r="T803" s="10" t="s">
        <v>242</v>
      </c>
      <c r="U803" s="10" t="s">
        <v>242</v>
      </c>
      <c r="V803" s="10" t="s">
        <v>241</v>
      </c>
      <c r="W803" s="10" t="s">
        <v>242</v>
      </c>
      <c r="X803" s="15">
        <f>IF(ISERROR(VLOOKUP($A803,'13. Updated Demand'!A:Z,15,FALSE)),0,VLOOKUP($A803,'13. Updated Demand'!A:Z,15,FALSE))</f>
        <v>0</v>
      </c>
      <c r="Y803" s="16">
        <f>IF(ISERROR(VLOOKUP($A803,'13. Updated Demand'!A:Z,16,FALSE)),0,VLOOKUP($A803,'13. Updated Demand'!A:Z,16,FALSE))</f>
        <v>0</v>
      </c>
      <c r="Z803" s="16">
        <f>IF(ISERROR(VLOOKUP($A803,'13. Updated Demand'!A:Z,17,FALSE)),0,VLOOKUP($A803,'13. Updated Demand'!A:Z,17,FALSE))</f>
        <v>2.1800000000000002</v>
      </c>
      <c r="AA803" s="16">
        <f>IF(ISERROR(VLOOKUP($A803,'13. Updated Demand'!A:Z,18,FALSE)),0,VLOOKUP($A803,'13. Updated Demand'!A:Z,18,FALSE))</f>
        <v>1.84</v>
      </c>
      <c r="AB803" s="16">
        <f>IF(ISERROR(VLOOKUP($A803,'13. Updated Demand'!A:Z,19,FALSE)),0,VLOOKUP($A803,'13. Updated Demand'!A:Z,19,FALSE))</f>
        <v>0</v>
      </c>
      <c r="AC803" s="16">
        <f>IF(ISERROR(VLOOKUP($A803,'13. Updated Demand'!A:Z,20,FALSE)),0,VLOOKUP($A803,'13. Updated Demand'!A:Z,20,FALSE))</f>
        <v>0</v>
      </c>
      <c r="AD803" s="16">
        <f>IF(ISERROR(VLOOKUP($A803,'13. Updated Demand'!A:Z,21,FALSE)),0,VLOOKUP($A803,'13. Updated Demand'!A:Z,21,FALSE))</f>
        <v>0</v>
      </c>
      <c r="AE803" s="16">
        <f>IF(ISERROR(VLOOKUP($A803,'13. Updated Demand'!A:Z,22,FALSE)),0,VLOOKUP($A803,'13. Updated Demand'!A:Z,22,FALSE))</f>
        <v>0</v>
      </c>
      <c r="AF803" s="16">
        <f>IF(ISERROR(VLOOKUP($A803,'13. Updated Demand'!A:Z,23,FALSE)),0,VLOOKUP($A803,'13. Updated Demand'!A:Z,23,FALSE))</f>
        <v>0</v>
      </c>
      <c r="AG803" s="16">
        <f>IF(ISERROR(VLOOKUP($A803,'13. Updated Demand'!A:Z,24,FALSE)),0,VLOOKUP($A803,'13. Updated Demand'!A:Z,24,FALSE))</f>
        <v>0</v>
      </c>
      <c r="AH803" s="16">
        <f>IF(ISERROR(VLOOKUP($A803,'13. Updated Demand'!A:Z,25,FALSE)),0,VLOOKUP($A803,'13. Updated Demand'!A:Z,25,FALSE))</f>
        <v>0</v>
      </c>
      <c r="AI803" s="16">
        <f>IF(ISERROR(VLOOKUP($A803,'13. Updated Demand'!A:Z,26,FALSE)),0,VLOOKUP($A803,'13. Updated Demand'!A:Z,26,FALSE))</f>
        <v>0</v>
      </c>
      <c r="AJ803" s="16">
        <f t="shared" si="156"/>
        <v>4.0200000000000005</v>
      </c>
      <c r="AK803" s="19">
        <v>0</v>
      </c>
      <c r="AL803" s="16">
        <f t="shared" si="154"/>
        <v>0</v>
      </c>
      <c r="AM803" s="17">
        <v>1.7341954022988489E-2</v>
      </c>
      <c r="AN803" s="19"/>
      <c r="AO803" s="19"/>
      <c r="AP803" s="19">
        <v>232</v>
      </c>
      <c r="AQ803" s="19" t="s">
        <v>307</v>
      </c>
      <c r="AR803" s="9" t="s">
        <v>333</v>
      </c>
      <c r="AS803" s="12">
        <v>0</v>
      </c>
      <c r="AT803" s="19">
        <v>39.039000680000001</v>
      </c>
      <c r="AU803" s="19">
        <v>-123.12741893</v>
      </c>
      <c r="AV803" s="19" t="s">
        <v>548</v>
      </c>
    </row>
    <row r="804" spans="1:48" x14ac:dyDescent="0.25">
      <c r="A804" s="18" t="s">
        <v>1190</v>
      </c>
      <c r="B804" s="10">
        <v>19700218</v>
      </c>
      <c r="C804" s="9">
        <v>1</v>
      </c>
      <c r="D804" s="8" t="str">
        <f t="shared" si="145"/>
        <v>N</v>
      </c>
      <c r="E804" s="8" t="str">
        <f t="shared" si="146"/>
        <v>N</v>
      </c>
      <c r="F804" s="8" t="str">
        <f t="shared" si="147"/>
        <v>Y</v>
      </c>
      <c r="G804" s="8" t="str">
        <f t="shared" si="148"/>
        <v>Y</v>
      </c>
      <c r="H804" s="8" t="str">
        <f t="shared" si="149"/>
        <v>Upper</v>
      </c>
      <c r="I804" s="8" t="str">
        <f t="shared" si="150"/>
        <v>West Fork and Below Lake</v>
      </c>
      <c r="J804" s="8" t="str">
        <f t="shared" si="151"/>
        <v>Outside</v>
      </c>
      <c r="K804" s="8" t="str">
        <f t="shared" si="152"/>
        <v>Post-1949</v>
      </c>
      <c r="L804" s="8">
        <f t="shared" si="153"/>
        <v>1970</v>
      </c>
      <c r="M804" s="8" t="str">
        <f t="shared" si="155"/>
        <v>1960-1970</v>
      </c>
      <c r="N804" s="10" t="s">
        <v>242</v>
      </c>
      <c r="O804" s="10" t="s">
        <v>241</v>
      </c>
      <c r="P804" s="10" t="s">
        <v>242</v>
      </c>
      <c r="Q804" s="10" t="s">
        <v>242</v>
      </c>
      <c r="R804" s="10" t="s">
        <v>241</v>
      </c>
      <c r="S804" s="10" t="s">
        <v>242</v>
      </c>
      <c r="T804" s="10" t="s">
        <v>242</v>
      </c>
      <c r="U804" s="10" t="s">
        <v>241</v>
      </c>
      <c r="V804" s="10" t="s">
        <v>241</v>
      </c>
      <c r="W804" s="10" t="s">
        <v>242</v>
      </c>
      <c r="X804" s="15">
        <f>IF(ISERROR(VLOOKUP($A804,'13. Updated Demand'!A:Z,15,FALSE)),0,VLOOKUP($A804,'13. Updated Demand'!A:Z,15,FALSE))</f>
        <v>0</v>
      </c>
      <c r="Y804" s="16">
        <f>IF(ISERROR(VLOOKUP($A804,'13. Updated Demand'!A:Z,16,FALSE)),0,VLOOKUP($A804,'13. Updated Demand'!A:Z,16,FALSE))</f>
        <v>0</v>
      </c>
      <c r="Z804" s="16">
        <f>IF(ISERROR(VLOOKUP($A804,'13. Updated Demand'!A:Z,17,FALSE)),0,VLOOKUP($A804,'13. Updated Demand'!A:Z,17,FALSE))</f>
        <v>0</v>
      </c>
      <c r="AA804" s="16">
        <f>IF(ISERROR(VLOOKUP($A804,'13. Updated Demand'!A:Z,18,FALSE)),0,VLOOKUP($A804,'13. Updated Demand'!A:Z,18,FALSE))</f>
        <v>0</v>
      </c>
      <c r="AB804" s="16">
        <f>IF(ISERROR(VLOOKUP($A804,'13. Updated Demand'!A:Z,19,FALSE)),0,VLOOKUP($A804,'13. Updated Demand'!A:Z,19,FALSE))</f>
        <v>0</v>
      </c>
      <c r="AC804" s="16">
        <f>IF(ISERROR(VLOOKUP($A804,'13. Updated Demand'!A:Z,20,FALSE)),0,VLOOKUP($A804,'13. Updated Demand'!A:Z,20,FALSE))</f>
        <v>0</v>
      </c>
      <c r="AD804" s="16">
        <f>IF(ISERROR(VLOOKUP($A804,'13. Updated Demand'!A:Z,21,FALSE)),0,VLOOKUP($A804,'13. Updated Demand'!A:Z,21,FALSE))</f>
        <v>0</v>
      </c>
      <c r="AE804" s="16">
        <f>IF(ISERROR(VLOOKUP($A804,'13. Updated Demand'!A:Z,22,FALSE)),0,VLOOKUP($A804,'13. Updated Demand'!A:Z,22,FALSE))</f>
        <v>0</v>
      </c>
      <c r="AF804" s="16">
        <f>IF(ISERROR(VLOOKUP($A804,'13. Updated Demand'!A:Z,23,FALSE)),0,VLOOKUP($A804,'13. Updated Demand'!A:Z,23,FALSE))</f>
        <v>0</v>
      </c>
      <c r="AG804" s="16">
        <f>IF(ISERROR(VLOOKUP($A804,'13. Updated Demand'!A:Z,24,FALSE)),0,VLOOKUP($A804,'13. Updated Demand'!A:Z,24,FALSE))</f>
        <v>0</v>
      </c>
      <c r="AH804" s="16">
        <f>IF(ISERROR(VLOOKUP($A804,'13. Updated Demand'!A:Z,25,FALSE)),0,VLOOKUP($A804,'13. Updated Demand'!A:Z,25,FALSE))</f>
        <v>0</v>
      </c>
      <c r="AI804" s="16">
        <f>IF(ISERROR(VLOOKUP($A804,'13. Updated Demand'!A:Z,26,FALSE)),0,VLOOKUP($A804,'13. Updated Demand'!A:Z,26,FALSE))</f>
        <v>0</v>
      </c>
      <c r="AJ804" s="16">
        <f t="shared" si="156"/>
        <v>0</v>
      </c>
      <c r="AK804" s="19">
        <v>0</v>
      </c>
      <c r="AL804" s="16">
        <f t="shared" si="154"/>
        <v>0</v>
      </c>
      <c r="AM804" s="17">
        <v>0</v>
      </c>
      <c r="AN804" s="19"/>
      <c r="AO804" s="19"/>
      <c r="AP804" s="19">
        <v>15</v>
      </c>
      <c r="AQ804" s="19" t="s">
        <v>307</v>
      </c>
      <c r="AR804" s="9" t="s">
        <v>317</v>
      </c>
      <c r="AS804" s="12">
        <v>0</v>
      </c>
      <c r="AT804" s="19">
        <v>39.270113010000003</v>
      </c>
      <c r="AU804" s="19">
        <v>-123.19221833</v>
      </c>
      <c r="AV804" s="19" t="s">
        <v>417</v>
      </c>
    </row>
    <row r="805" spans="1:48" x14ac:dyDescent="0.25">
      <c r="A805" s="18" t="s">
        <v>1191</v>
      </c>
      <c r="B805" s="10">
        <v>19700406</v>
      </c>
      <c r="C805" s="9">
        <v>3</v>
      </c>
      <c r="D805" s="8" t="str">
        <f t="shared" si="145"/>
        <v>N</v>
      </c>
      <c r="E805" s="8" t="str">
        <f t="shared" si="146"/>
        <v>N</v>
      </c>
      <c r="F805" s="8" t="str">
        <f t="shared" si="147"/>
        <v>Y</v>
      </c>
      <c r="G805" s="8" t="str">
        <f t="shared" si="148"/>
        <v>N</v>
      </c>
      <c r="H805" s="8" t="str">
        <f t="shared" si="149"/>
        <v>Upper</v>
      </c>
      <c r="I805" s="8" t="str">
        <f t="shared" si="150"/>
        <v>Outside</v>
      </c>
      <c r="J805" s="8" t="str">
        <f t="shared" si="151"/>
        <v>Outside</v>
      </c>
      <c r="K805" s="8" t="str">
        <f t="shared" si="152"/>
        <v>Post-1949</v>
      </c>
      <c r="L805" s="8">
        <f t="shared" si="153"/>
        <v>1970</v>
      </c>
      <c r="M805" s="8" t="str">
        <f t="shared" si="155"/>
        <v>1960-1970</v>
      </c>
      <c r="N805" s="10" t="s">
        <v>242</v>
      </c>
      <c r="O805" s="10" t="s">
        <v>241</v>
      </c>
      <c r="P805" s="10" t="s">
        <v>242</v>
      </c>
      <c r="Q805" s="10" t="s">
        <v>242</v>
      </c>
      <c r="R805" s="10" t="s">
        <v>241</v>
      </c>
      <c r="S805" s="10" t="s">
        <v>242</v>
      </c>
      <c r="T805" s="10" t="s">
        <v>242</v>
      </c>
      <c r="U805" s="10" t="s">
        <v>241</v>
      </c>
      <c r="V805" s="10" t="s">
        <v>241</v>
      </c>
      <c r="W805" s="10" t="s">
        <v>242</v>
      </c>
      <c r="X805" s="15">
        <f>IF(ISERROR(VLOOKUP($A805,'13. Updated Demand'!A:Z,15,FALSE)),0,VLOOKUP($A805,'13. Updated Demand'!A:Z,15,FALSE))</f>
        <v>0</v>
      </c>
      <c r="Y805" s="16">
        <f>IF(ISERROR(VLOOKUP($A805,'13. Updated Demand'!A:Z,16,FALSE)),0,VLOOKUP($A805,'13. Updated Demand'!A:Z,16,FALSE))</f>
        <v>0</v>
      </c>
      <c r="Z805" s="16">
        <f>IF(ISERROR(VLOOKUP($A805,'13. Updated Demand'!A:Z,17,FALSE)),0,VLOOKUP($A805,'13. Updated Demand'!A:Z,17,FALSE))</f>
        <v>0</v>
      </c>
      <c r="AA805" s="16">
        <f>IF(ISERROR(VLOOKUP($A805,'13. Updated Demand'!A:Z,18,FALSE)),0,VLOOKUP($A805,'13. Updated Demand'!A:Z,18,FALSE))</f>
        <v>0</v>
      </c>
      <c r="AB805" s="16">
        <f>IF(ISERROR(VLOOKUP($A805,'13. Updated Demand'!A:Z,19,FALSE)),0,VLOOKUP($A805,'13. Updated Demand'!A:Z,19,FALSE))</f>
        <v>0</v>
      </c>
      <c r="AC805" s="16">
        <f>IF(ISERROR(VLOOKUP($A805,'13. Updated Demand'!A:Z,20,FALSE)),0,VLOOKUP($A805,'13. Updated Demand'!A:Z,20,FALSE))</f>
        <v>0</v>
      </c>
      <c r="AD805" s="16">
        <f>IF(ISERROR(VLOOKUP($A805,'13. Updated Demand'!A:Z,21,FALSE)),0,VLOOKUP($A805,'13. Updated Demand'!A:Z,21,FALSE))</f>
        <v>0</v>
      </c>
      <c r="AE805" s="16">
        <f>IF(ISERROR(VLOOKUP($A805,'13. Updated Demand'!A:Z,22,FALSE)),0,VLOOKUP($A805,'13. Updated Demand'!A:Z,22,FALSE))</f>
        <v>0</v>
      </c>
      <c r="AF805" s="16">
        <f>IF(ISERROR(VLOOKUP($A805,'13. Updated Demand'!A:Z,23,FALSE)),0,VLOOKUP($A805,'13. Updated Demand'!A:Z,23,FALSE))</f>
        <v>0</v>
      </c>
      <c r="AG805" s="16">
        <f>IF(ISERROR(VLOOKUP($A805,'13. Updated Demand'!A:Z,24,FALSE)),0,VLOOKUP($A805,'13. Updated Demand'!A:Z,24,FALSE))</f>
        <v>0</v>
      </c>
      <c r="AH805" s="16">
        <f>IF(ISERROR(VLOOKUP($A805,'13. Updated Demand'!A:Z,25,FALSE)),0,VLOOKUP($A805,'13. Updated Demand'!A:Z,25,FALSE))</f>
        <v>0</v>
      </c>
      <c r="AI805" s="16">
        <f>IF(ISERROR(VLOOKUP($A805,'13. Updated Demand'!A:Z,26,FALSE)),0,VLOOKUP($A805,'13. Updated Demand'!A:Z,26,FALSE))</f>
        <v>0</v>
      </c>
      <c r="AJ805" s="16">
        <f t="shared" si="156"/>
        <v>0</v>
      </c>
      <c r="AK805" s="19">
        <v>0</v>
      </c>
      <c r="AL805" s="16">
        <f t="shared" si="154"/>
        <v>0</v>
      </c>
      <c r="AM805" s="17">
        <v>0</v>
      </c>
      <c r="AN805" s="19"/>
      <c r="AO805" s="19"/>
      <c r="AP805" s="19">
        <v>67.5</v>
      </c>
      <c r="AQ805" s="19" t="s">
        <v>307</v>
      </c>
      <c r="AR805" s="9" t="s">
        <v>326</v>
      </c>
      <c r="AS805" s="12">
        <v>0</v>
      </c>
      <c r="AT805" s="19">
        <v>39.234273430000002</v>
      </c>
      <c r="AU805" s="19">
        <v>-123.17925605000001</v>
      </c>
      <c r="AV805" s="19" t="s">
        <v>1074</v>
      </c>
    </row>
    <row r="806" spans="1:48" x14ac:dyDescent="0.25">
      <c r="A806" s="18" t="s">
        <v>1192</v>
      </c>
      <c r="B806" s="10">
        <v>19700427</v>
      </c>
      <c r="C806" s="9">
        <v>1</v>
      </c>
      <c r="D806" s="8" t="str">
        <f t="shared" si="145"/>
        <v>N</v>
      </c>
      <c r="E806" s="8" t="str">
        <f t="shared" si="146"/>
        <v>N</v>
      </c>
      <c r="F806" s="8" t="str">
        <f t="shared" si="147"/>
        <v>Y</v>
      </c>
      <c r="G806" s="8" t="str">
        <f t="shared" si="148"/>
        <v>Y</v>
      </c>
      <c r="H806" s="8" t="str">
        <f t="shared" si="149"/>
        <v>Upper</v>
      </c>
      <c r="I806" s="8" t="str">
        <f t="shared" si="150"/>
        <v>West Fork and Below Lake</v>
      </c>
      <c r="J806" s="8" t="str">
        <f t="shared" si="151"/>
        <v>Outside</v>
      </c>
      <c r="K806" s="8" t="str">
        <f t="shared" si="152"/>
        <v>Post-1949</v>
      </c>
      <c r="L806" s="8">
        <f t="shared" si="153"/>
        <v>1970</v>
      </c>
      <c r="M806" s="8" t="str">
        <f t="shared" si="155"/>
        <v>1960-1970</v>
      </c>
      <c r="N806" s="10" t="s">
        <v>242</v>
      </c>
      <c r="O806" s="10" t="s">
        <v>241</v>
      </c>
      <c r="P806" s="10" t="s">
        <v>242</v>
      </c>
      <c r="Q806" s="10" t="s">
        <v>242</v>
      </c>
      <c r="R806" s="10" t="s">
        <v>241</v>
      </c>
      <c r="S806" s="10" t="s">
        <v>242</v>
      </c>
      <c r="T806" s="10" t="s">
        <v>242</v>
      </c>
      <c r="U806" s="10" t="s">
        <v>242</v>
      </c>
      <c r="V806" s="10" t="s">
        <v>241</v>
      </c>
      <c r="W806" s="10" t="s">
        <v>242</v>
      </c>
      <c r="X806" s="15">
        <f>IF(ISERROR(VLOOKUP($A806,'13. Updated Demand'!A:Z,15,FALSE)),0,VLOOKUP($A806,'13. Updated Demand'!A:Z,15,FALSE))</f>
        <v>1.66</v>
      </c>
      <c r="Y806" s="16">
        <f>IF(ISERROR(VLOOKUP($A806,'13. Updated Demand'!A:Z,16,FALSE)),0,VLOOKUP($A806,'13. Updated Demand'!A:Z,16,FALSE))</f>
        <v>0.56000000000000005</v>
      </c>
      <c r="Z806" s="16">
        <f>IF(ISERROR(VLOOKUP($A806,'13. Updated Demand'!A:Z,17,FALSE)),0,VLOOKUP($A806,'13. Updated Demand'!A:Z,17,FALSE))</f>
        <v>0.8</v>
      </c>
      <c r="AA806" s="16">
        <f>IF(ISERROR(VLOOKUP($A806,'13. Updated Demand'!A:Z,18,FALSE)),0,VLOOKUP($A806,'13. Updated Demand'!A:Z,18,FALSE))</f>
        <v>0</v>
      </c>
      <c r="AB806" s="16">
        <f>IF(ISERROR(VLOOKUP($A806,'13. Updated Demand'!A:Z,19,FALSE)),0,VLOOKUP($A806,'13. Updated Demand'!A:Z,19,FALSE))</f>
        <v>0</v>
      </c>
      <c r="AC806" s="16">
        <f>IF(ISERROR(VLOOKUP($A806,'13. Updated Demand'!A:Z,20,FALSE)),0,VLOOKUP($A806,'13. Updated Demand'!A:Z,20,FALSE))</f>
        <v>0</v>
      </c>
      <c r="AD806" s="16">
        <f>IF(ISERROR(VLOOKUP($A806,'13. Updated Demand'!A:Z,21,FALSE)),0,VLOOKUP($A806,'13. Updated Demand'!A:Z,21,FALSE))</f>
        <v>0</v>
      </c>
      <c r="AE806" s="16">
        <f>IF(ISERROR(VLOOKUP($A806,'13. Updated Demand'!A:Z,22,FALSE)),0,VLOOKUP($A806,'13. Updated Demand'!A:Z,22,FALSE))</f>
        <v>0</v>
      </c>
      <c r="AF806" s="16">
        <f>IF(ISERROR(VLOOKUP($A806,'13. Updated Demand'!A:Z,23,FALSE)),0,VLOOKUP($A806,'13. Updated Demand'!A:Z,23,FALSE))</f>
        <v>0</v>
      </c>
      <c r="AG806" s="16">
        <f>IF(ISERROR(VLOOKUP($A806,'13. Updated Demand'!A:Z,24,FALSE)),0,VLOOKUP($A806,'13. Updated Demand'!A:Z,24,FALSE))</f>
        <v>0</v>
      </c>
      <c r="AH806" s="16">
        <f>IF(ISERROR(VLOOKUP($A806,'13. Updated Demand'!A:Z,25,FALSE)),0,VLOOKUP($A806,'13. Updated Demand'!A:Z,25,FALSE))</f>
        <v>0.46</v>
      </c>
      <c r="AI806" s="16">
        <f>IF(ISERROR(VLOOKUP($A806,'13. Updated Demand'!A:Z,26,FALSE)),0,VLOOKUP($A806,'13. Updated Demand'!A:Z,26,FALSE))</f>
        <v>0.93</v>
      </c>
      <c r="AJ806" s="16">
        <f t="shared" si="156"/>
        <v>4.4099999999999993</v>
      </c>
      <c r="AK806" s="19">
        <v>0</v>
      </c>
      <c r="AL806" s="16">
        <f t="shared" si="154"/>
        <v>0</v>
      </c>
      <c r="AM806" s="17">
        <v>0.42628205134615388</v>
      </c>
      <c r="AN806" s="19"/>
      <c r="AO806" s="19"/>
      <c r="AP806" s="19">
        <v>10.4</v>
      </c>
      <c r="AQ806" s="19" t="s">
        <v>307</v>
      </c>
      <c r="AR806" s="9" t="s">
        <v>317</v>
      </c>
      <c r="AS806" s="12">
        <v>0</v>
      </c>
      <c r="AT806" s="19">
        <v>39.237214260000002</v>
      </c>
      <c r="AU806" s="19">
        <v>-123.21390882</v>
      </c>
      <c r="AV806" s="19" t="s">
        <v>417</v>
      </c>
    </row>
    <row r="807" spans="1:48" x14ac:dyDescent="0.25">
      <c r="A807" s="18" t="s">
        <v>1193</v>
      </c>
      <c r="B807" s="10">
        <v>19700427</v>
      </c>
      <c r="C807" s="9">
        <v>1</v>
      </c>
      <c r="D807" s="8" t="str">
        <f t="shared" si="145"/>
        <v>N</v>
      </c>
      <c r="E807" s="8" t="str">
        <f t="shared" si="146"/>
        <v>N</v>
      </c>
      <c r="F807" s="8" t="str">
        <f t="shared" si="147"/>
        <v>Y</v>
      </c>
      <c r="G807" s="8" t="str">
        <f t="shared" si="148"/>
        <v>Y</v>
      </c>
      <c r="H807" s="8" t="str">
        <f t="shared" si="149"/>
        <v>Upper</v>
      </c>
      <c r="I807" s="8" t="str">
        <f t="shared" si="150"/>
        <v>West Fork and Below Lake</v>
      </c>
      <c r="J807" s="8" t="str">
        <f t="shared" si="151"/>
        <v>Outside</v>
      </c>
      <c r="K807" s="8" t="str">
        <f t="shared" si="152"/>
        <v>Post-1949</v>
      </c>
      <c r="L807" s="8">
        <f t="shared" si="153"/>
        <v>1970</v>
      </c>
      <c r="M807" s="8" t="str">
        <f t="shared" si="155"/>
        <v>1960-1970</v>
      </c>
      <c r="N807" s="10" t="s">
        <v>242</v>
      </c>
      <c r="O807" s="10" t="s">
        <v>241</v>
      </c>
      <c r="P807" s="10" t="s">
        <v>242</v>
      </c>
      <c r="Q807" s="10" t="s">
        <v>242</v>
      </c>
      <c r="R807" s="10" t="s">
        <v>241</v>
      </c>
      <c r="S807" s="10" t="s">
        <v>242</v>
      </c>
      <c r="T807" s="10" t="s">
        <v>242</v>
      </c>
      <c r="U807" s="10" t="s">
        <v>242</v>
      </c>
      <c r="V807" s="10" t="s">
        <v>242</v>
      </c>
      <c r="W807" s="10" t="s">
        <v>242</v>
      </c>
      <c r="X807" s="15">
        <f>IF(ISERROR(VLOOKUP($A807,'13. Updated Demand'!A:Z,15,FALSE)),0,VLOOKUP($A807,'13. Updated Demand'!A:Z,15,FALSE))</f>
        <v>0.25</v>
      </c>
      <c r="Y807" s="16">
        <f>IF(ISERROR(VLOOKUP($A807,'13. Updated Demand'!A:Z,16,FALSE)),0,VLOOKUP($A807,'13. Updated Demand'!A:Z,16,FALSE))</f>
        <v>0.3</v>
      </c>
      <c r="Z807" s="16">
        <f>IF(ISERROR(VLOOKUP($A807,'13. Updated Demand'!A:Z,17,FALSE)),0,VLOOKUP($A807,'13. Updated Demand'!A:Z,17,FALSE))</f>
        <v>0.9</v>
      </c>
      <c r="AA807" s="16">
        <f>IF(ISERROR(VLOOKUP($A807,'13. Updated Demand'!A:Z,18,FALSE)),0,VLOOKUP($A807,'13. Updated Demand'!A:Z,18,FALSE))</f>
        <v>0.62</v>
      </c>
      <c r="AB807" s="16">
        <f>IF(ISERROR(VLOOKUP($A807,'13. Updated Demand'!A:Z,19,FALSE)),0,VLOOKUP($A807,'13. Updated Demand'!A:Z,19,FALSE))</f>
        <v>0.66</v>
      </c>
      <c r="AC807" s="16">
        <f>IF(ISERROR(VLOOKUP($A807,'13. Updated Demand'!A:Z,20,FALSE)),0,VLOOKUP($A807,'13. Updated Demand'!A:Z,20,FALSE))</f>
        <v>0.66</v>
      </c>
      <c r="AD807" s="16">
        <f>IF(ISERROR(VLOOKUP($A807,'13. Updated Demand'!A:Z,21,FALSE)),0,VLOOKUP($A807,'13. Updated Demand'!A:Z,21,FALSE))</f>
        <v>0.66</v>
      </c>
      <c r="AE807" s="16">
        <f>IF(ISERROR(VLOOKUP($A807,'13. Updated Demand'!A:Z,22,FALSE)),0,VLOOKUP($A807,'13. Updated Demand'!A:Z,22,FALSE))</f>
        <v>0.5</v>
      </c>
      <c r="AF807" s="16">
        <f>IF(ISERROR(VLOOKUP($A807,'13. Updated Demand'!A:Z,23,FALSE)),0,VLOOKUP($A807,'13. Updated Demand'!A:Z,23,FALSE))</f>
        <v>0.48</v>
      </c>
      <c r="AG807" s="16">
        <f>IF(ISERROR(VLOOKUP($A807,'13. Updated Demand'!A:Z,24,FALSE)),0,VLOOKUP($A807,'13. Updated Demand'!A:Z,24,FALSE))</f>
        <v>0.45</v>
      </c>
      <c r="AH807" s="16">
        <f>IF(ISERROR(VLOOKUP($A807,'13. Updated Demand'!A:Z,25,FALSE)),0,VLOOKUP($A807,'13. Updated Demand'!A:Z,25,FALSE))</f>
        <v>0.35</v>
      </c>
      <c r="AI807" s="16">
        <f>IF(ISERROR(VLOOKUP($A807,'13. Updated Demand'!A:Z,26,FALSE)),0,VLOOKUP($A807,'13. Updated Demand'!A:Z,26,FALSE))</f>
        <v>0.35</v>
      </c>
      <c r="AJ807" s="16">
        <f t="shared" si="156"/>
        <v>6.1800000000000006</v>
      </c>
      <c r="AK807" s="19">
        <v>2.9833333340000001</v>
      </c>
      <c r="AL807" s="16">
        <f t="shared" si="154"/>
        <v>9.8953768352761928E-3</v>
      </c>
      <c r="AM807" s="17">
        <v>0.88761904771428568</v>
      </c>
      <c r="AN807" s="19"/>
      <c r="AO807" s="19"/>
      <c r="AP807" s="19">
        <v>7</v>
      </c>
      <c r="AQ807" s="19" t="s">
        <v>307</v>
      </c>
      <c r="AR807" s="9" t="s">
        <v>317</v>
      </c>
      <c r="AS807" s="12">
        <v>0</v>
      </c>
      <c r="AT807" s="19">
        <v>39.335888650000001</v>
      </c>
      <c r="AU807" s="19">
        <v>-123.23081051</v>
      </c>
      <c r="AV807" s="19" t="s">
        <v>417</v>
      </c>
    </row>
    <row r="808" spans="1:48" x14ac:dyDescent="0.25">
      <c r="A808" s="18" t="s">
        <v>1194</v>
      </c>
      <c r="B808" s="10">
        <v>19700624</v>
      </c>
      <c r="C808" s="9">
        <v>1</v>
      </c>
      <c r="D808" s="8" t="str">
        <f t="shared" si="145"/>
        <v>N</v>
      </c>
      <c r="E808" s="8" t="str">
        <f t="shared" si="146"/>
        <v>N</v>
      </c>
      <c r="F808" s="8" t="str">
        <f t="shared" si="147"/>
        <v>Y</v>
      </c>
      <c r="G808" s="8" t="str">
        <f t="shared" si="148"/>
        <v>Y</v>
      </c>
      <c r="H808" s="8" t="str">
        <f t="shared" si="149"/>
        <v>Upper</v>
      </c>
      <c r="I808" s="8" t="str">
        <f t="shared" si="150"/>
        <v>West Fork and Below Lake</v>
      </c>
      <c r="J808" s="8" t="str">
        <f t="shared" si="151"/>
        <v>Outside</v>
      </c>
      <c r="K808" s="8" t="str">
        <f t="shared" si="152"/>
        <v>Post-1949</v>
      </c>
      <c r="L808" s="8">
        <f t="shared" si="153"/>
        <v>1970</v>
      </c>
      <c r="M808" s="8" t="str">
        <f t="shared" si="155"/>
        <v>1960-1970</v>
      </c>
      <c r="N808" s="10" t="s">
        <v>242</v>
      </c>
      <c r="O808" s="10" t="s">
        <v>241</v>
      </c>
      <c r="P808" s="10" t="s">
        <v>242</v>
      </c>
      <c r="Q808" s="10" t="s">
        <v>242</v>
      </c>
      <c r="R808" s="10" t="s">
        <v>241</v>
      </c>
      <c r="S808" s="10" t="s">
        <v>242</v>
      </c>
      <c r="T808" s="10" t="s">
        <v>242</v>
      </c>
      <c r="U808" s="10" t="s">
        <v>242</v>
      </c>
      <c r="V808" s="10" t="s">
        <v>242</v>
      </c>
      <c r="W808" s="10" t="s">
        <v>242</v>
      </c>
      <c r="X808" s="15">
        <f>IF(ISERROR(VLOOKUP($A808,'13. Updated Demand'!A:Z,15,FALSE)),0,VLOOKUP($A808,'13. Updated Demand'!A:Z,15,FALSE))</f>
        <v>1.33</v>
      </c>
      <c r="Y808" s="16">
        <f>IF(ISERROR(VLOOKUP($A808,'13. Updated Demand'!A:Z,16,FALSE)),0,VLOOKUP($A808,'13. Updated Demand'!A:Z,16,FALSE))</f>
        <v>1.66</v>
      </c>
      <c r="Z808" s="16">
        <f>IF(ISERROR(VLOOKUP($A808,'13. Updated Demand'!A:Z,17,FALSE)),0,VLOOKUP($A808,'13. Updated Demand'!A:Z,17,FALSE))</f>
        <v>2.66</v>
      </c>
      <c r="AA808" s="16">
        <f>IF(ISERROR(VLOOKUP($A808,'13. Updated Demand'!A:Z,18,FALSE)),0,VLOOKUP($A808,'13. Updated Demand'!A:Z,18,FALSE))</f>
        <v>2</v>
      </c>
      <c r="AB808" s="16">
        <f>IF(ISERROR(VLOOKUP($A808,'13. Updated Demand'!A:Z,19,FALSE)),0,VLOOKUP($A808,'13. Updated Demand'!A:Z,19,FALSE))</f>
        <v>1.33</v>
      </c>
      <c r="AC808" s="16">
        <f>IF(ISERROR(VLOOKUP($A808,'13. Updated Demand'!A:Z,20,FALSE)),0,VLOOKUP($A808,'13. Updated Demand'!A:Z,20,FALSE))</f>
        <v>0</v>
      </c>
      <c r="AD808" s="16">
        <f>IF(ISERROR(VLOOKUP($A808,'13. Updated Demand'!A:Z,21,FALSE)),0,VLOOKUP($A808,'13. Updated Demand'!A:Z,21,FALSE))</f>
        <v>0</v>
      </c>
      <c r="AE808" s="16">
        <f>IF(ISERROR(VLOOKUP($A808,'13. Updated Demand'!A:Z,22,FALSE)),0,VLOOKUP($A808,'13. Updated Demand'!A:Z,22,FALSE))</f>
        <v>0</v>
      </c>
      <c r="AF808" s="16">
        <f>IF(ISERROR(VLOOKUP($A808,'13. Updated Demand'!A:Z,23,FALSE)),0,VLOOKUP($A808,'13. Updated Demand'!A:Z,23,FALSE))</f>
        <v>0</v>
      </c>
      <c r="AG808" s="16">
        <f>IF(ISERROR(VLOOKUP($A808,'13. Updated Demand'!A:Z,24,FALSE)),0,VLOOKUP($A808,'13. Updated Demand'!A:Z,24,FALSE))</f>
        <v>0</v>
      </c>
      <c r="AH808" s="16">
        <f>IF(ISERROR(VLOOKUP($A808,'13. Updated Demand'!A:Z,25,FALSE)),0,VLOOKUP($A808,'13. Updated Demand'!A:Z,25,FALSE))</f>
        <v>0</v>
      </c>
      <c r="AI808" s="16">
        <f>IF(ISERROR(VLOOKUP($A808,'13. Updated Demand'!A:Z,26,FALSE)),0,VLOOKUP($A808,'13. Updated Demand'!A:Z,26,FALSE))</f>
        <v>0</v>
      </c>
      <c r="AJ808" s="16">
        <f t="shared" si="156"/>
        <v>8.98</v>
      </c>
      <c r="AK808" s="19">
        <v>1.3333333329999999</v>
      </c>
      <c r="AL808" s="16">
        <f t="shared" si="154"/>
        <v>4.4225147846217163E-3</v>
      </c>
      <c r="AM808" s="17">
        <v>0.81818181818181823</v>
      </c>
      <c r="AN808" s="19"/>
      <c r="AO808" s="19"/>
      <c r="AP808" s="19">
        <v>11</v>
      </c>
      <c r="AQ808" s="19" t="s">
        <v>307</v>
      </c>
      <c r="AR808" s="9" t="s">
        <v>317</v>
      </c>
      <c r="AS808" s="12">
        <v>0</v>
      </c>
      <c r="AT808" s="19">
        <v>39.273716890000003</v>
      </c>
      <c r="AU808" s="19">
        <v>-123.21559578999999</v>
      </c>
      <c r="AV808" s="19" t="s">
        <v>417</v>
      </c>
    </row>
    <row r="809" spans="1:48" x14ac:dyDescent="0.25">
      <c r="A809" s="18" t="s">
        <v>1195</v>
      </c>
      <c r="B809" s="10">
        <v>19700629</v>
      </c>
      <c r="C809" s="9">
        <v>10</v>
      </c>
      <c r="D809" s="8" t="str">
        <f t="shared" si="145"/>
        <v>N</v>
      </c>
      <c r="E809" s="8" t="str">
        <f t="shared" si="146"/>
        <v>Y</v>
      </c>
      <c r="F809" s="8" t="str">
        <f t="shared" si="147"/>
        <v>Y</v>
      </c>
      <c r="G809" s="8" t="str">
        <f t="shared" si="148"/>
        <v>Y</v>
      </c>
      <c r="H809" s="8" t="str">
        <f t="shared" si="149"/>
        <v>Upper</v>
      </c>
      <c r="I809" s="8" t="str">
        <f t="shared" si="150"/>
        <v>West Fork and Below Lake</v>
      </c>
      <c r="J809" s="8" t="str">
        <f t="shared" si="151"/>
        <v>Sonoma (d/s of Clov. Gage)</v>
      </c>
      <c r="K809" s="8" t="str">
        <f t="shared" si="152"/>
        <v>Post-1949</v>
      </c>
      <c r="L809" s="8">
        <f t="shared" si="153"/>
        <v>1970</v>
      </c>
      <c r="M809" s="8" t="str">
        <f t="shared" si="155"/>
        <v>1960-1970</v>
      </c>
      <c r="N809" s="10" t="s">
        <v>242</v>
      </c>
      <c r="O809" s="10" t="s">
        <v>241</v>
      </c>
      <c r="P809" s="10" t="s">
        <v>242</v>
      </c>
      <c r="Q809" s="10" t="s">
        <v>242</v>
      </c>
      <c r="R809" s="10" t="s">
        <v>241</v>
      </c>
      <c r="S809" s="10" t="s">
        <v>242</v>
      </c>
      <c r="T809" s="10" t="s">
        <v>242</v>
      </c>
      <c r="U809" s="10" t="s">
        <v>242</v>
      </c>
      <c r="V809" s="10" t="s">
        <v>241</v>
      </c>
      <c r="W809" s="10" t="s">
        <v>242</v>
      </c>
      <c r="X809" s="15">
        <f>IF(ISERROR(VLOOKUP($A809,'13. Updated Demand'!A:Z,15,FALSE)),0,VLOOKUP($A809,'13. Updated Demand'!A:Z,15,FALSE))</f>
        <v>1.26</v>
      </c>
      <c r="Y809" s="16">
        <f>IF(ISERROR(VLOOKUP($A809,'13. Updated Demand'!A:Z,16,FALSE)),0,VLOOKUP($A809,'13. Updated Demand'!A:Z,16,FALSE))</f>
        <v>1.1000000000000001</v>
      </c>
      <c r="Z809" s="16">
        <f>IF(ISERROR(VLOOKUP($A809,'13. Updated Demand'!A:Z,17,FALSE)),0,VLOOKUP($A809,'13. Updated Demand'!A:Z,17,FALSE))</f>
        <v>0.56000000000000005</v>
      </c>
      <c r="AA809" s="16">
        <f>IF(ISERROR(VLOOKUP($A809,'13. Updated Demand'!A:Z,18,FALSE)),0,VLOOKUP($A809,'13. Updated Demand'!A:Z,18,FALSE))</f>
        <v>0.14000000000000001</v>
      </c>
      <c r="AB809" s="16">
        <f>IF(ISERROR(VLOOKUP($A809,'13. Updated Demand'!A:Z,19,FALSE)),0,VLOOKUP($A809,'13. Updated Demand'!A:Z,19,FALSE))</f>
        <v>0</v>
      </c>
      <c r="AC809" s="16">
        <f>IF(ISERROR(VLOOKUP($A809,'13. Updated Demand'!A:Z,20,FALSE)),0,VLOOKUP($A809,'13. Updated Demand'!A:Z,20,FALSE))</f>
        <v>0</v>
      </c>
      <c r="AD809" s="16">
        <f>IF(ISERROR(VLOOKUP($A809,'13. Updated Demand'!A:Z,21,FALSE)),0,VLOOKUP($A809,'13. Updated Demand'!A:Z,21,FALSE))</f>
        <v>0</v>
      </c>
      <c r="AE809" s="16">
        <f>IF(ISERROR(VLOOKUP($A809,'13. Updated Demand'!A:Z,22,FALSE)),0,VLOOKUP($A809,'13. Updated Demand'!A:Z,22,FALSE))</f>
        <v>0</v>
      </c>
      <c r="AF809" s="16">
        <f>IF(ISERROR(VLOOKUP($A809,'13. Updated Demand'!A:Z,23,FALSE)),0,VLOOKUP($A809,'13. Updated Demand'!A:Z,23,FALSE))</f>
        <v>0</v>
      </c>
      <c r="AG809" s="16">
        <f>IF(ISERROR(VLOOKUP($A809,'13. Updated Demand'!A:Z,24,FALSE)),0,VLOOKUP($A809,'13. Updated Demand'!A:Z,24,FALSE))</f>
        <v>0</v>
      </c>
      <c r="AH809" s="16">
        <f>IF(ISERROR(VLOOKUP($A809,'13. Updated Demand'!A:Z,25,FALSE)),0,VLOOKUP($A809,'13. Updated Demand'!A:Z,25,FALSE))</f>
        <v>0</v>
      </c>
      <c r="AI809" s="16">
        <f>IF(ISERROR(VLOOKUP($A809,'13. Updated Demand'!A:Z,26,FALSE)),0,VLOOKUP($A809,'13. Updated Demand'!A:Z,26,FALSE))</f>
        <v>0</v>
      </c>
      <c r="AJ809" s="16">
        <f t="shared" si="156"/>
        <v>3.0600000000000005</v>
      </c>
      <c r="AK809" s="19">
        <v>0</v>
      </c>
      <c r="AL809" s="16">
        <f t="shared" si="154"/>
        <v>0</v>
      </c>
      <c r="AM809" s="17">
        <v>0.41022222226666671</v>
      </c>
      <c r="AN809" s="19"/>
      <c r="AO809" s="19"/>
      <c r="AP809" s="19">
        <v>7.5</v>
      </c>
      <c r="AQ809" s="19" t="s">
        <v>307</v>
      </c>
      <c r="AR809" s="9" t="s">
        <v>436</v>
      </c>
      <c r="AS809" s="12">
        <v>0</v>
      </c>
      <c r="AT809" s="19">
        <v>38.673745680000003</v>
      </c>
      <c r="AU809" s="19">
        <v>-122.80112155</v>
      </c>
      <c r="AV809" s="19" t="s">
        <v>417</v>
      </c>
    </row>
    <row r="810" spans="1:48" x14ac:dyDescent="0.25">
      <c r="A810" s="18" t="s">
        <v>1196</v>
      </c>
      <c r="B810" s="10">
        <v>19700714</v>
      </c>
      <c r="C810" s="9">
        <v>1</v>
      </c>
      <c r="D810" s="8" t="str">
        <f t="shared" si="145"/>
        <v>N</v>
      </c>
      <c r="E810" s="8" t="str">
        <f t="shared" si="146"/>
        <v>N</v>
      </c>
      <c r="F810" s="8" t="str">
        <f t="shared" si="147"/>
        <v>Y</v>
      </c>
      <c r="G810" s="8" t="str">
        <f t="shared" si="148"/>
        <v>Y</v>
      </c>
      <c r="H810" s="8" t="str">
        <f t="shared" si="149"/>
        <v>Upper</v>
      </c>
      <c r="I810" s="8" t="str">
        <f t="shared" si="150"/>
        <v>West Fork and Below Lake</v>
      </c>
      <c r="J810" s="8" t="str">
        <f t="shared" si="151"/>
        <v>Outside</v>
      </c>
      <c r="K810" s="8" t="str">
        <f t="shared" si="152"/>
        <v>Post-1949</v>
      </c>
      <c r="L810" s="8">
        <f t="shared" si="153"/>
        <v>1970</v>
      </c>
      <c r="M810" s="8" t="str">
        <f t="shared" si="155"/>
        <v>1960-1970</v>
      </c>
      <c r="N810" s="10" t="s">
        <v>242</v>
      </c>
      <c r="O810" s="10" t="s">
        <v>241</v>
      </c>
      <c r="P810" s="10" t="s">
        <v>242</v>
      </c>
      <c r="Q810" s="10" t="s">
        <v>242</v>
      </c>
      <c r="R810" s="10" t="s">
        <v>241</v>
      </c>
      <c r="S810" s="10" t="s">
        <v>242</v>
      </c>
      <c r="T810" s="10" t="s">
        <v>242</v>
      </c>
      <c r="U810" s="10" t="s">
        <v>242</v>
      </c>
      <c r="V810" s="10" t="s">
        <v>241</v>
      </c>
      <c r="W810" s="10" t="s">
        <v>242</v>
      </c>
      <c r="X810" s="15">
        <f>IF(ISERROR(VLOOKUP($A810,'13. Updated Demand'!A:Z,15,FALSE)),0,VLOOKUP($A810,'13. Updated Demand'!A:Z,15,FALSE))</f>
        <v>3</v>
      </c>
      <c r="Y810" s="16">
        <f>IF(ISERROR(VLOOKUP($A810,'13. Updated Demand'!A:Z,16,FALSE)),0,VLOOKUP($A810,'13. Updated Demand'!A:Z,16,FALSE))</f>
        <v>3.16</v>
      </c>
      <c r="Z810" s="16">
        <f>IF(ISERROR(VLOOKUP($A810,'13. Updated Demand'!A:Z,17,FALSE)),0,VLOOKUP($A810,'13. Updated Demand'!A:Z,17,FALSE))</f>
        <v>2.83</v>
      </c>
      <c r="AA810" s="16">
        <f>IF(ISERROR(VLOOKUP($A810,'13. Updated Demand'!A:Z,18,FALSE)),0,VLOOKUP($A810,'13. Updated Demand'!A:Z,18,FALSE))</f>
        <v>0</v>
      </c>
      <c r="AB810" s="16">
        <f>IF(ISERROR(VLOOKUP($A810,'13. Updated Demand'!A:Z,19,FALSE)),0,VLOOKUP($A810,'13. Updated Demand'!A:Z,19,FALSE))</f>
        <v>0</v>
      </c>
      <c r="AC810" s="16">
        <f>IF(ISERROR(VLOOKUP($A810,'13. Updated Demand'!A:Z,20,FALSE)),0,VLOOKUP($A810,'13. Updated Demand'!A:Z,20,FALSE))</f>
        <v>0</v>
      </c>
      <c r="AD810" s="16">
        <f>IF(ISERROR(VLOOKUP($A810,'13. Updated Demand'!A:Z,21,FALSE)),0,VLOOKUP($A810,'13. Updated Demand'!A:Z,21,FALSE))</f>
        <v>0</v>
      </c>
      <c r="AE810" s="16">
        <f>IF(ISERROR(VLOOKUP($A810,'13. Updated Demand'!A:Z,22,FALSE)),0,VLOOKUP($A810,'13. Updated Demand'!A:Z,22,FALSE))</f>
        <v>0</v>
      </c>
      <c r="AF810" s="16">
        <f>IF(ISERROR(VLOOKUP($A810,'13. Updated Demand'!A:Z,23,FALSE)),0,VLOOKUP($A810,'13. Updated Demand'!A:Z,23,FALSE))</f>
        <v>0</v>
      </c>
      <c r="AG810" s="16">
        <f>IF(ISERROR(VLOOKUP($A810,'13. Updated Demand'!A:Z,24,FALSE)),0,VLOOKUP($A810,'13. Updated Demand'!A:Z,24,FALSE))</f>
        <v>0</v>
      </c>
      <c r="AH810" s="16">
        <f>IF(ISERROR(VLOOKUP($A810,'13. Updated Demand'!A:Z,25,FALSE)),0,VLOOKUP($A810,'13. Updated Demand'!A:Z,25,FALSE))</f>
        <v>1.33</v>
      </c>
      <c r="AI810" s="16">
        <f>IF(ISERROR(VLOOKUP($A810,'13. Updated Demand'!A:Z,26,FALSE)),0,VLOOKUP($A810,'13. Updated Demand'!A:Z,26,FALSE))</f>
        <v>0.66</v>
      </c>
      <c r="AJ810" s="16">
        <f t="shared" si="156"/>
        <v>10.98</v>
      </c>
      <c r="AK810" s="19">
        <v>0</v>
      </c>
      <c r="AL810" s="16">
        <f t="shared" si="154"/>
        <v>0</v>
      </c>
      <c r="AM810" s="17">
        <v>1</v>
      </c>
      <c r="AN810" s="19"/>
      <c r="AO810" s="19"/>
      <c r="AP810" s="19">
        <v>11</v>
      </c>
      <c r="AQ810" s="19" t="s">
        <v>307</v>
      </c>
      <c r="AR810" s="9" t="s">
        <v>317</v>
      </c>
      <c r="AS810" s="12">
        <v>0</v>
      </c>
      <c r="AT810" s="19">
        <v>39.291425799999999</v>
      </c>
      <c r="AU810" s="19">
        <v>-123.20247254</v>
      </c>
      <c r="AV810" s="19" t="s">
        <v>417</v>
      </c>
    </row>
    <row r="811" spans="1:48" x14ac:dyDescent="0.25">
      <c r="A811" s="18" t="s">
        <v>1197</v>
      </c>
      <c r="B811" s="10">
        <v>19700721</v>
      </c>
      <c r="C811" s="9">
        <v>6</v>
      </c>
      <c r="D811" s="8" t="str">
        <f t="shared" si="145"/>
        <v>Y</v>
      </c>
      <c r="E811" s="8" t="str">
        <f t="shared" si="146"/>
        <v>N</v>
      </c>
      <c r="F811" s="8" t="str">
        <f t="shared" si="147"/>
        <v>Y</v>
      </c>
      <c r="G811" s="8" t="str">
        <f t="shared" si="148"/>
        <v>Y</v>
      </c>
      <c r="H811" s="8" t="str">
        <f t="shared" si="149"/>
        <v>Upper</v>
      </c>
      <c r="I811" s="8" t="str">
        <f t="shared" si="150"/>
        <v>West Fork and Below Lake</v>
      </c>
      <c r="J811" s="8" t="str">
        <f t="shared" si="151"/>
        <v>Mendocino (d/s of lake)</v>
      </c>
      <c r="K811" s="8" t="str">
        <f t="shared" si="152"/>
        <v>Post-1949</v>
      </c>
      <c r="L811" s="8">
        <f t="shared" si="153"/>
        <v>1970</v>
      </c>
      <c r="M811" s="8" t="str">
        <f t="shared" si="155"/>
        <v>1960-1970</v>
      </c>
      <c r="N811" s="10" t="s">
        <v>241</v>
      </c>
      <c r="O811" s="10" t="s">
        <v>241</v>
      </c>
      <c r="P811" s="10" t="s">
        <v>242</v>
      </c>
      <c r="Q811" s="10" t="s">
        <v>242</v>
      </c>
      <c r="R811" s="10" t="s">
        <v>241</v>
      </c>
      <c r="S811" s="10" t="s">
        <v>242</v>
      </c>
      <c r="T811" s="10" t="s">
        <v>242</v>
      </c>
      <c r="U811" s="10" t="s">
        <v>242</v>
      </c>
      <c r="V811" s="10" t="s">
        <v>242</v>
      </c>
      <c r="W811" s="10" t="s">
        <v>242</v>
      </c>
      <c r="X811" s="15">
        <f>IF(ISERROR(VLOOKUP($A811,'13. Updated Demand'!A:Z,15,FALSE)),0,VLOOKUP($A811,'13. Updated Demand'!A:Z,15,FALSE))</f>
        <v>0</v>
      </c>
      <c r="Y811" s="16">
        <f>IF(ISERROR(VLOOKUP($A811,'13. Updated Demand'!A:Z,16,FALSE)),0,VLOOKUP($A811,'13. Updated Demand'!A:Z,16,FALSE))</f>
        <v>0</v>
      </c>
      <c r="Z811" s="16">
        <f>IF(ISERROR(VLOOKUP($A811,'13. Updated Demand'!A:Z,17,FALSE)),0,VLOOKUP($A811,'13. Updated Demand'!A:Z,17,FALSE))</f>
        <v>0</v>
      </c>
      <c r="AA811" s="16">
        <f>IF(ISERROR(VLOOKUP($A811,'13. Updated Demand'!A:Z,18,FALSE)),0,VLOOKUP($A811,'13. Updated Demand'!A:Z,18,FALSE))</f>
        <v>0.1</v>
      </c>
      <c r="AB811" s="16">
        <f>IF(ISERROR(VLOOKUP($A811,'13. Updated Demand'!A:Z,19,FALSE)),0,VLOOKUP($A811,'13. Updated Demand'!A:Z,19,FALSE))</f>
        <v>0.73</v>
      </c>
      <c r="AC811" s="16">
        <f>IF(ISERROR(VLOOKUP($A811,'13. Updated Demand'!A:Z,20,FALSE)),0,VLOOKUP($A811,'13. Updated Demand'!A:Z,20,FALSE))</f>
        <v>1.23</v>
      </c>
      <c r="AD811" s="16">
        <f>IF(ISERROR(VLOOKUP($A811,'13. Updated Demand'!A:Z,21,FALSE)),0,VLOOKUP($A811,'13. Updated Demand'!A:Z,21,FALSE))</f>
        <v>1.63</v>
      </c>
      <c r="AE811" s="16">
        <f>IF(ISERROR(VLOOKUP($A811,'13. Updated Demand'!A:Z,22,FALSE)),0,VLOOKUP($A811,'13. Updated Demand'!A:Z,22,FALSE))</f>
        <v>0</v>
      </c>
      <c r="AF811" s="16">
        <f>IF(ISERROR(VLOOKUP($A811,'13. Updated Demand'!A:Z,23,FALSE)),0,VLOOKUP($A811,'13. Updated Demand'!A:Z,23,FALSE))</f>
        <v>0</v>
      </c>
      <c r="AG811" s="16">
        <f>IF(ISERROR(VLOOKUP($A811,'13. Updated Demand'!A:Z,24,FALSE)),0,VLOOKUP($A811,'13. Updated Demand'!A:Z,24,FALSE))</f>
        <v>0</v>
      </c>
      <c r="AH811" s="16">
        <f>IF(ISERROR(VLOOKUP($A811,'13. Updated Demand'!A:Z,25,FALSE)),0,VLOOKUP($A811,'13. Updated Demand'!A:Z,25,FALSE))</f>
        <v>0</v>
      </c>
      <c r="AI811" s="16">
        <f>IF(ISERROR(VLOOKUP($A811,'13. Updated Demand'!A:Z,26,FALSE)),0,VLOOKUP($A811,'13. Updated Demand'!A:Z,26,FALSE))</f>
        <v>0</v>
      </c>
      <c r="AJ811" s="16">
        <f t="shared" si="156"/>
        <v>3.69</v>
      </c>
      <c r="AK811" s="19">
        <v>3.599999999999993</v>
      </c>
      <c r="AL811" s="16">
        <f t="shared" si="154"/>
        <v>1.1940789921463808E-2</v>
      </c>
      <c r="AM811" s="17">
        <v>2.387096774193544E-2</v>
      </c>
      <c r="AN811" s="19"/>
      <c r="AO811" s="19"/>
      <c r="AP811" s="19">
        <v>155</v>
      </c>
      <c r="AQ811" s="19" t="s">
        <v>307</v>
      </c>
      <c r="AR811" s="9" t="s">
        <v>319</v>
      </c>
      <c r="AS811" s="12">
        <v>0</v>
      </c>
      <c r="AT811" s="19">
        <v>38.96009463</v>
      </c>
      <c r="AU811" s="19">
        <v>-123.10893235</v>
      </c>
      <c r="AV811" s="19" t="s">
        <v>548</v>
      </c>
    </row>
    <row r="812" spans="1:48" x14ac:dyDescent="0.25">
      <c r="A812" s="18" t="s">
        <v>1198</v>
      </c>
      <c r="B812" s="10">
        <v>19700911</v>
      </c>
      <c r="C812" s="9">
        <v>1</v>
      </c>
      <c r="D812" s="8" t="str">
        <f t="shared" si="145"/>
        <v>N</v>
      </c>
      <c r="E812" s="8" t="str">
        <f t="shared" si="146"/>
        <v>N</v>
      </c>
      <c r="F812" s="8" t="str">
        <f t="shared" si="147"/>
        <v>Y</v>
      </c>
      <c r="G812" s="8" t="str">
        <f t="shared" si="148"/>
        <v>Y</v>
      </c>
      <c r="H812" s="8" t="str">
        <f t="shared" si="149"/>
        <v>Upper</v>
      </c>
      <c r="I812" s="8" t="str">
        <f t="shared" si="150"/>
        <v>West Fork and Below Lake</v>
      </c>
      <c r="J812" s="8" t="str">
        <f t="shared" si="151"/>
        <v>Outside</v>
      </c>
      <c r="K812" s="8" t="str">
        <f t="shared" si="152"/>
        <v>Post-1949</v>
      </c>
      <c r="L812" s="8">
        <f t="shared" si="153"/>
        <v>1970</v>
      </c>
      <c r="M812" s="8" t="str">
        <f t="shared" si="155"/>
        <v>1960-1970</v>
      </c>
      <c r="N812" s="10" t="s">
        <v>242</v>
      </c>
      <c r="O812" s="10" t="s">
        <v>241</v>
      </c>
      <c r="P812" s="10" t="s">
        <v>242</v>
      </c>
      <c r="Q812" s="10" t="s">
        <v>242</v>
      </c>
      <c r="R812" s="10" t="s">
        <v>241</v>
      </c>
      <c r="S812" s="10" t="s">
        <v>242</v>
      </c>
      <c r="T812" s="10" t="s">
        <v>242</v>
      </c>
      <c r="U812" s="10" t="s">
        <v>241</v>
      </c>
      <c r="V812" s="10" t="s">
        <v>241</v>
      </c>
      <c r="W812" s="10" t="s">
        <v>242</v>
      </c>
      <c r="X812" s="15">
        <f>IF(ISERROR(VLOOKUP($A812,'13. Updated Demand'!A:Z,15,FALSE)),0,VLOOKUP($A812,'13. Updated Demand'!A:Z,15,FALSE))</f>
        <v>0</v>
      </c>
      <c r="Y812" s="16">
        <f>IF(ISERROR(VLOOKUP($A812,'13. Updated Demand'!A:Z,16,FALSE)),0,VLOOKUP($A812,'13. Updated Demand'!A:Z,16,FALSE))</f>
        <v>0</v>
      </c>
      <c r="Z812" s="16">
        <f>IF(ISERROR(VLOOKUP($A812,'13. Updated Demand'!A:Z,17,FALSE)),0,VLOOKUP($A812,'13. Updated Demand'!A:Z,17,FALSE))</f>
        <v>0</v>
      </c>
      <c r="AA812" s="16">
        <f>IF(ISERROR(VLOOKUP($A812,'13. Updated Demand'!A:Z,18,FALSE)),0,VLOOKUP($A812,'13. Updated Demand'!A:Z,18,FALSE))</f>
        <v>0</v>
      </c>
      <c r="AB812" s="16">
        <f>IF(ISERROR(VLOOKUP($A812,'13. Updated Demand'!A:Z,19,FALSE)),0,VLOOKUP($A812,'13. Updated Demand'!A:Z,19,FALSE))</f>
        <v>0</v>
      </c>
      <c r="AC812" s="16">
        <f>IF(ISERROR(VLOOKUP($A812,'13. Updated Demand'!A:Z,20,FALSE)),0,VLOOKUP($A812,'13. Updated Demand'!A:Z,20,FALSE))</f>
        <v>0</v>
      </c>
      <c r="AD812" s="16">
        <f>IF(ISERROR(VLOOKUP($A812,'13. Updated Demand'!A:Z,21,FALSE)),0,VLOOKUP($A812,'13. Updated Demand'!A:Z,21,FALSE))</f>
        <v>0</v>
      </c>
      <c r="AE812" s="16">
        <f>IF(ISERROR(VLOOKUP($A812,'13. Updated Demand'!A:Z,22,FALSE)),0,VLOOKUP($A812,'13. Updated Demand'!A:Z,22,FALSE))</f>
        <v>0</v>
      </c>
      <c r="AF812" s="16">
        <f>IF(ISERROR(VLOOKUP($A812,'13. Updated Demand'!A:Z,23,FALSE)),0,VLOOKUP($A812,'13. Updated Demand'!A:Z,23,FALSE))</f>
        <v>0</v>
      </c>
      <c r="AG812" s="16">
        <f>IF(ISERROR(VLOOKUP($A812,'13. Updated Demand'!A:Z,24,FALSE)),0,VLOOKUP($A812,'13. Updated Demand'!A:Z,24,FALSE))</f>
        <v>0</v>
      </c>
      <c r="AH812" s="16">
        <f>IF(ISERROR(VLOOKUP($A812,'13. Updated Demand'!A:Z,25,FALSE)),0,VLOOKUP($A812,'13. Updated Demand'!A:Z,25,FALSE))</f>
        <v>0</v>
      </c>
      <c r="AI812" s="16">
        <f>IF(ISERROR(VLOOKUP($A812,'13. Updated Demand'!A:Z,26,FALSE)),0,VLOOKUP($A812,'13. Updated Demand'!A:Z,26,FALSE))</f>
        <v>0</v>
      </c>
      <c r="AJ812" s="16">
        <f t="shared" si="156"/>
        <v>0</v>
      </c>
      <c r="AK812" s="19">
        <v>0</v>
      </c>
      <c r="AL812" s="16">
        <f t="shared" si="154"/>
        <v>0</v>
      </c>
      <c r="AM812" s="17">
        <v>0</v>
      </c>
      <c r="AN812" s="19"/>
      <c r="AO812" s="19"/>
      <c r="AP812" s="19">
        <v>8.6</v>
      </c>
      <c r="AQ812" s="19" t="s">
        <v>307</v>
      </c>
      <c r="AR812" s="9" t="s">
        <v>317</v>
      </c>
      <c r="AS812" s="12">
        <v>0</v>
      </c>
      <c r="AT812" s="19">
        <v>39.27584229</v>
      </c>
      <c r="AU812" s="19">
        <v>-123.19584797</v>
      </c>
      <c r="AV812" s="19" t="s">
        <v>417</v>
      </c>
    </row>
    <row r="813" spans="1:48" x14ac:dyDescent="0.25">
      <c r="A813" s="18" t="s">
        <v>1199</v>
      </c>
      <c r="B813" s="10">
        <v>19700922</v>
      </c>
      <c r="C813" s="9">
        <v>1</v>
      </c>
      <c r="D813" s="8" t="str">
        <f t="shared" si="145"/>
        <v>N</v>
      </c>
      <c r="E813" s="8" t="str">
        <f t="shared" si="146"/>
        <v>N</v>
      </c>
      <c r="F813" s="8" t="str">
        <f t="shared" si="147"/>
        <v>Y</v>
      </c>
      <c r="G813" s="8" t="str">
        <f t="shared" si="148"/>
        <v>Y</v>
      </c>
      <c r="H813" s="8" t="str">
        <f t="shared" si="149"/>
        <v>Upper</v>
      </c>
      <c r="I813" s="8" t="str">
        <f t="shared" si="150"/>
        <v>West Fork and Below Lake</v>
      </c>
      <c r="J813" s="8" t="str">
        <f t="shared" si="151"/>
        <v>Outside</v>
      </c>
      <c r="K813" s="8" t="str">
        <f t="shared" si="152"/>
        <v>Post-1949</v>
      </c>
      <c r="L813" s="8">
        <f t="shared" si="153"/>
        <v>1970</v>
      </c>
      <c r="M813" s="8" t="str">
        <f t="shared" si="155"/>
        <v>1960-1970</v>
      </c>
      <c r="N813" s="10" t="s">
        <v>242</v>
      </c>
      <c r="O813" s="10" t="s">
        <v>241</v>
      </c>
      <c r="P813" s="10" t="s">
        <v>242</v>
      </c>
      <c r="Q813" s="10" t="s">
        <v>242</v>
      </c>
      <c r="R813" s="10" t="s">
        <v>241</v>
      </c>
      <c r="S813" s="10" t="s">
        <v>242</v>
      </c>
      <c r="T813" s="10" t="s">
        <v>242</v>
      </c>
      <c r="U813" s="10" t="s">
        <v>242</v>
      </c>
      <c r="V813" s="10" t="s">
        <v>241</v>
      </c>
      <c r="W813" s="10" t="s">
        <v>242</v>
      </c>
      <c r="X813" s="15">
        <f>IF(ISERROR(VLOOKUP($A813,'13. Updated Demand'!A:Z,15,FALSE)),0,VLOOKUP($A813,'13. Updated Demand'!A:Z,15,FALSE))</f>
        <v>4.93</v>
      </c>
      <c r="Y813" s="16">
        <f>IF(ISERROR(VLOOKUP($A813,'13. Updated Demand'!A:Z,16,FALSE)),0,VLOOKUP($A813,'13. Updated Demand'!A:Z,16,FALSE))</f>
        <v>4.2300000000000004</v>
      </c>
      <c r="Z813" s="16">
        <f>IF(ISERROR(VLOOKUP($A813,'13. Updated Demand'!A:Z,17,FALSE)),0,VLOOKUP($A813,'13. Updated Demand'!A:Z,17,FALSE))</f>
        <v>1.03</v>
      </c>
      <c r="AA813" s="16">
        <f>IF(ISERROR(VLOOKUP($A813,'13. Updated Demand'!A:Z,18,FALSE)),0,VLOOKUP($A813,'13. Updated Demand'!A:Z,18,FALSE))</f>
        <v>0.33</v>
      </c>
      <c r="AB813" s="16">
        <f>IF(ISERROR(VLOOKUP($A813,'13. Updated Demand'!A:Z,19,FALSE)),0,VLOOKUP($A813,'13. Updated Demand'!A:Z,19,FALSE))</f>
        <v>0</v>
      </c>
      <c r="AC813" s="16">
        <f>IF(ISERROR(VLOOKUP($A813,'13. Updated Demand'!A:Z,20,FALSE)),0,VLOOKUP($A813,'13. Updated Demand'!A:Z,20,FALSE))</f>
        <v>0</v>
      </c>
      <c r="AD813" s="16">
        <f>IF(ISERROR(VLOOKUP($A813,'13. Updated Demand'!A:Z,21,FALSE)),0,VLOOKUP($A813,'13. Updated Demand'!A:Z,21,FALSE))</f>
        <v>0</v>
      </c>
      <c r="AE813" s="16">
        <f>IF(ISERROR(VLOOKUP($A813,'13. Updated Demand'!A:Z,22,FALSE)),0,VLOOKUP($A813,'13. Updated Demand'!A:Z,22,FALSE))</f>
        <v>0</v>
      </c>
      <c r="AF813" s="16">
        <f>IF(ISERROR(VLOOKUP($A813,'13. Updated Demand'!A:Z,23,FALSE)),0,VLOOKUP($A813,'13. Updated Demand'!A:Z,23,FALSE))</f>
        <v>0</v>
      </c>
      <c r="AG813" s="16">
        <f>IF(ISERROR(VLOOKUP($A813,'13. Updated Demand'!A:Z,24,FALSE)),0,VLOOKUP($A813,'13. Updated Demand'!A:Z,24,FALSE))</f>
        <v>0</v>
      </c>
      <c r="AH813" s="16">
        <f>IF(ISERROR(VLOOKUP($A813,'13. Updated Demand'!A:Z,25,FALSE)),0,VLOOKUP($A813,'13. Updated Demand'!A:Z,25,FALSE))</f>
        <v>0.8</v>
      </c>
      <c r="AI813" s="16">
        <f>IF(ISERROR(VLOOKUP($A813,'13. Updated Demand'!A:Z,26,FALSE)),0,VLOOKUP($A813,'13. Updated Demand'!A:Z,26,FALSE))</f>
        <v>5</v>
      </c>
      <c r="AJ813" s="16">
        <f t="shared" si="156"/>
        <v>16.32</v>
      </c>
      <c r="AK813" s="19">
        <v>0</v>
      </c>
      <c r="AL813" s="16">
        <f t="shared" si="154"/>
        <v>0</v>
      </c>
      <c r="AM813" s="17">
        <v>0.96078431364705896</v>
      </c>
      <c r="AN813" s="19"/>
      <c r="AO813" s="19"/>
      <c r="AP813" s="19">
        <v>17</v>
      </c>
      <c r="AQ813" s="19" t="s">
        <v>307</v>
      </c>
      <c r="AR813" s="9" t="s">
        <v>317</v>
      </c>
      <c r="AS813" s="12">
        <v>0</v>
      </c>
      <c r="AT813" s="19">
        <v>39.248942919999998</v>
      </c>
      <c r="AU813" s="19">
        <v>-123.19486298</v>
      </c>
      <c r="AV813" s="19" t="s">
        <v>417</v>
      </c>
    </row>
    <row r="814" spans="1:48" x14ac:dyDescent="0.25">
      <c r="A814" s="18" t="s">
        <v>1200</v>
      </c>
      <c r="B814" s="10">
        <v>19701102</v>
      </c>
      <c r="C814" s="9">
        <v>17</v>
      </c>
      <c r="D814" s="8" t="str">
        <f t="shared" si="145"/>
        <v>N</v>
      </c>
      <c r="E814" s="8" t="str">
        <f t="shared" si="146"/>
        <v>N</v>
      </c>
      <c r="F814" s="8" t="str">
        <f t="shared" si="147"/>
        <v>N</v>
      </c>
      <c r="G814" s="8" t="str">
        <f t="shared" si="148"/>
        <v>N</v>
      </c>
      <c r="H814" s="8" t="str">
        <f t="shared" si="149"/>
        <v>Lower</v>
      </c>
      <c r="I814" s="8" t="str">
        <f t="shared" si="150"/>
        <v>Outside</v>
      </c>
      <c r="J814" s="8" t="str">
        <f t="shared" si="151"/>
        <v>Outside</v>
      </c>
      <c r="K814" s="8" t="str">
        <f t="shared" si="152"/>
        <v>Post-1949</v>
      </c>
      <c r="L814" s="8">
        <f t="shared" si="153"/>
        <v>1970</v>
      </c>
      <c r="M814" s="8" t="str">
        <f t="shared" si="155"/>
        <v>1960-1970</v>
      </c>
      <c r="N814" s="10" t="s">
        <v>241</v>
      </c>
      <c r="O814" s="10" t="s">
        <v>242</v>
      </c>
      <c r="P814" s="10" t="s">
        <v>242</v>
      </c>
      <c r="Q814" s="10" t="s">
        <v>242</v>
      </c>
      <c r="R814" s="10" t="s">
        <v>241</v>
      </c>
      <c r="S814" s="10" t="s">
        <v>242</v>
      </c>
      <c r="T814" s="10" t="s">
        <v>242</v>
      </c>
      <c r="U814" s="10" t="s">
        <v>242</v>
      </c>
      <c r="V814" s="10" t="s">
        <v>241</v>
      </c>
      <c r="W814" s="10" t="s">
        <v>242</v>
      </c>
      <c r="X814" s="15">
        <f>IF(ISERROR(VLOOKUP($A814,'13. Updated Demand'!A:Z,15,FALSE)),0,VLOOKUP($A814,'13. Updated Demand'!A:Z,15,FALSE))</f>
        <v>0</v>
      </c>
      <c r="Y814" s="16">
        <f>IF(ISERROR(VLOOKUP($A814,'13. Updated Demand'!A:Z,16,FALSE)),0,VLOOKUP($A814,'13. Updated Demand'!A:Z,16,FALSE))</f>
        <v>0</v>
      </c>
      <c r="Z814" s="16">
        <f>IF(ISERROR(VLOOKUP($A814,'13. Updated Demand'!A:Z,17,FALSE)),0,VLOOKUP($A814,'13. Updated Demand'!A:Z,17,FALSE))</f>
        <v>0</v>
      </c>
      <c r="AA814" s="16">
        <f>IF(ISERROR(VLOOKUP($A814,'13. Updated Demand'!A:Z,18,FALSE)),0,VLOOKUP($A814,'13. Updated Demand'!A:Z,18,FALSE))</f>
        <v>0.83333333300000001</v>
      </c>
      <c r="AB814" s="16">
        <f>IF(ISERROR(VLOOKUP($A814,'13. Updated Demand'!A:Z,19,FALSE)),0,VLOOKUP($A814,'13. Updated Demand'!A:Z,19,FALSE))</f>
        <v>0</v>
      </c>
      <c r="AC814" s="16">
        <f>IF(ISERROR(VLOOKUP($A814,'13. Updated Demand'!A:Z,20,FALSE)),0,VLOOKUP($A814,'13. Updated Demand'!A:Z,20,FALSE))</f>
        <v>0</v>
      </c>
      <c r="AD814" s="16">
        <f>IF(ISERROR(VLOOKUP($A814,'13. Updated Demand'!A:Z,21,FALSE)),0,VLOOKUP($A814,'13. Updated Demand'!A:Z,21,FALSE))</f>
        <v>0</v>
      </c>
      <c r="AE814" s="16">
        <f>IF(ISERROR(VLOOKUP($A814,'13. Updated Demand'!A:Z,22,FALSE)),0,VLOOKUP($A814,'13. Updated Demand'!A:Z,22,FALSE))</f>
        <v>0</v>
      </c>
      <c r="AF814" s="16">
        <f>IF(ISERROR(VLOOKUP($A814,'13. Updated Demand'!A:Z,23,FALSE)),0,VLOOKUP($A814,'13. Updated Demand'!A:Z,23,FALSE))</f>
        <v>0</v>
      </c>
      <c r="AG814" s="16">
        <f>IF(ISERROR(VLOOKUP($A814,'13. Updated Demand'!A:Z,24,FALSE)),0,VLOOKUP($A814,'13. Updated Demand'!A:Z,24,FALSE))</f>
        <v>0</v>
      </c>
      <c r="AH814" s="16">
        <f>IF(ISERROR(VLOOKUP($A814,'13. Updated Demand'!A:Z,25,FALSE)),0,VLOOKUP($A814,'13. Updated Demand'!A:Z,25,FALSE))</f>
        <v>0</v>
      </c>
      <c r="AI814" s="16">
        <f>IF(ISERROR(VLOOKUP($A814,'13. Updated Demand'!A:Z,26,FALSE)),0,VLOOKUP($A814,'13. Updated Demand'!A:Z,26,FALSE))</f>
        <v>0</v>
      </c>
      <c r="AJ814" s="16">
        <f t="shared" si="156"/>
        <v>0.83333333300000001</v>
      </c>
      <c r="AK814" s="19">
        <v>0</v>
      </c>
      <c r="AL814" s="16">
        <f t="shared" si="154"/>
        <v>0</v>
      </c>
      <c r="AM814" s="17">
        <v>2.2522522513513513E-2</v>
      </c>
      <c r="AN814" s="19"/>
      <c r="AO814" s="19"/>
      <c r="AP814" s="19">
        <v>37</v>
      </c>
      <c r="AQ814" s="19" t="s">
        <v>307</v>
      </c>
      <c r="AR814" s="9" t="s">
        <v>486</v>
      </c>
      <c r="AS814" s="12">
        <v>3.4039024194010059E-4</v>
      </c>
      <c r="AT814" s="19">
        <v>38.542079149999999</v>
      </c>
      <c r="AU814" s="19">
        <v>-122.85803554</v>
      </c>
      <c r="AV814" s="19" t="s">
        <v>548</v>
      </c>
    </row>
    <row r="815" spans="1:48" x14ac:dyDescent="0.25">
      <c r="A815" s="18" t="s">
        <v>1201</v>
      </c>
      <c r="B815" s="10">
        <v>19701214</v>
      </c>
      <c r="C815" s="9">
        <v>1</v>
      </c>
      <c r="D815" s="8" t="str">
        <f t="shared" si="145"/>
        <v>N</v>
      </c>
      <c r="E815" s="8" t="str">
        <f t="shared" si="146"/>
        <v>N</v>
      </c>
      <c r="F815" s="8" t="str">
        <f t="shared" si="147"/>
        <v>Y</v>
      </c>
      <c r="G815" s="8" t="str">
        <f t="shared" si="148"/>
        <v>Y</v>
      </c>
      <c r="H815" s="8" t="str">
        <f t="shared" si="149"/>
        <v>Upper</v>
      </c>
      <c r="I815" s="8" t="str">
        <f t="shared" si="150"/>
        <v>West Fork and Below Lake</v>
      </c>
      <c r="J815" s="8" t="str">
        <f t="shared" si="151"/>
        <v>Outside</v>
      </c>
      <c r="K815" s="8" t="str">
        <f t="shared" si="152"/>
        <v>Post-1949</v>
      </c>
      <c r="L815" s="8">
        <f t="shared" si="153"/>
        <v>1970</v>
      </c>
      <c r="M815" s="8" t="str">
        <f t="shared" si="155"/>
        <v>1960-1970</v>
      </c>
      <c r="N815" s="10" t="s">
        <v>242</v>
      </c>
      <c r="O815" s="10" t="s">
        <v>241</v>
      </c>
      <c r="P815" s="10" t="s">
        <v>242</v>
      </c>
      <c r="Q815" s="10" t="s">
        <v>242</v>
      </c>
      <c r="R815" s="10" t="s">
        <v>241</v>
      </c>
      <c r="S815" s="10" t="s">
        <v>242</v>
      </c>
      <c r="T815" s="10" t="s">
        <v>242</v>
      </c>
      <c r="U815" s="10" t="s">
        <v>242</v>
      </c>
      <c r="V815" s="10" t="s">
        <v>241</v>
      </c>
      <c r="W815" s="10" t="s">
        <v>242</v>
      </c>
      <c r="X815" s="15">
        <f>IF(ISERROR(VLOOKUP($A815,'13. Updated Demand'!A:Z,15,FALSE)),0,VLOOKUP($A815,'13. Updated Demand'!A:Z,15,FALSE))</f>
        <v>0</v>
      </c>
      <c r="Y815" s="16">
        <f>IF(ISERROR(VLOOKUP($A815,'13. Updated Demand'!A:Z,16,FALSE)),0,VLOOKUP($A815,'13. Updated Demand'!A:Z,16,FALSE))</f>
        <v>0</v>
      </c>
      <c r="Z815" s="16">
        <f>IF(ISERROR(VLOOKUP($A815,'13. Updated Demand'!A:Z,17,FALSE)),0,VLOOKUP($A815,'13. Updated Demand'!A:Z,17,FALSE))</f>
        <v>0</v>
      </c>
      <c r="AA815" s="16">
        <f>IF(ISERROR(VLOOKUP($A815,'13. Updated Demand'!A:Z,18,FALSE)),0,VLOOKUP($A815,'13. Updated Demand'!A:Z,18,FALSE))</f>
        <v>0.24</v>
      </c>
      <c r="AB815" s="16">
        <f>IF(ISERROR(VLOOKUP($A815,'13. Updated Demand'!A:Z,19,FALSE)),0,VLOOKUP($A815,'13. Updated Demand'!A:Z,19,FALSE))</f>
        <v>0</v>
      </c>
      <c r="AC815" s="16">
        <f>IF(ISERROR(VLOOKUP($A815,'13. Updated Demand'!A:Z,20,FALSE)),0,VLOOKUP($A815,'13. Updated Demand'!A:Z,20,FALSE))</f>
        <v>0</v>
      </c>
      <c r="AD815" s="16">
        <f>IF(ISERROR(VLOOKUP($A815,'13. Updated Demand'!A:Z,21,FALSE)),0,VLOOKUP($A815,'13. Updated Demand'!A:Z,21,FALSE))</f>
        <v>0</v>
      </c>
      <c r="AE815" s="16">
        <f>IF(ISERROR(VLOOKUP($A815,'13. Updated Demand'!A:Z,22,FALSE)),0,VLOOKUP($A815,'13. Updated Demand'!A:Z,22,FALSE))</f>
        <v>0</v>
      </c>
      <c r="AF815" s="16">
        <f>IF(ISERROR(VLOOKUP($A815,'13. Updated Demand'!A:Z,23,FALSE)),0,VLOOKUP($A815,'13. Updated Demand'!A:Z,23,FALSE))</f>
        <v>0</v>
      </c>
      <c r="AG815" s="16">
        <f>IF(ISERROR(VLOOKUP($A815,'13. Updated Demand'!A:Z,24,FALSE)),0,VLOOKUP($A815,'13. Updated Demand'!A:Z,24,FALSE))</f>
        <v>0</v>
      </c>
      <c r="AH815" s="16">
        <f>IF(ISERROR(VLOOKUP($A815,'13. Updated Demand'!A:Z,25,FALSE)),0,VLOOKUP($A815,'13. Updated Demand'!A:Z,25,FALSE))</f>
        <v>0</v>
      </c>
      <c r="AI815" s="16">
        <f>IF(ISERROR(VLOOKUP($A815,'13. Updated Demand'!A:Z,26,FALSE)),0,VLOOKUP($A815,'13. Updated Demand'!A:Z,26,FALSE))</f>
        <v>0</v>
      </c>
      <c r="AJ815" s="16">
        <f t="shared" si="156"/>
        <v>0.24</v>
      </c>
      <c r="AK815" s="19">
        <v>0</v>
      </c>
      <c r="AL815" s="16">
        <f t="shared" si="154"/>
        <v>0</v>
      </c>
      <c r="AM815" s="17">
        <v>7.7680250783699056E-3</v>
      </c>
      <c r="AN815" s="19"/>
      <c r="AO815" s="19"/>
      <c r="AP815" s="19">
        <v>31.9</v>
      </c>
      <c r="AQ815" s="19" t="s">
        <v>307</v>
      </c>
      <c r="AR815" s="9" t="s">
        <v>317</v>
      </c>
      <c r="AS815" s="12">
        <v>0</v>
      </c>
      <c r="AT815" s="19">
        <v>39.271814050000003</v>
      </c>
      <c r="AU815" s="19">
        <v>-123.18694796</v>
      </c>
      <c r="AV815" s="19" t="s">
        <v>417</v>
      </c>
    </row>
    <row r="816" spans="1:48" x14ac:dyDescent="0.25">
      <c r="A816" s="18" t="s">
        <v>1202</v>
      </c>
      <c r="B816" s="10">
        <v>19701214</v>
      </c>
      <c r="C816" s="9">
        <v>1</v>
      </c>
      <c r="D816" s="8" t="str">
        <f t="shared" si="145"/>
        <v>N</v>
      </c>
      <c r="E816" s="8" t="str">
        <f t="shared" si="146"/>
        <v>N</v>
      </c>
      <c r="F816" s="8" t="str">
        <f t="shared" si="147"/>
        <v>Y</v>
      </c>
      <c r="G816" s="8" t="str">
        <f t="shared" si="148"/>
        <v>Y</v>
      </c>
      <c r="H816" s="8" t="str">
        <f t="shared" si="149"/>
        <v>Upper</v>
      </c>
      <c r="I816" s="8" t="str">
        <f t="shared" si="150"/>
        <v>West Fork and Below Lake</v>
      </c>
      <c r="J816" s="8" t="str">
        <f t="shared" si="151"/>
        <v>Outside</v>
      </c>
      <c r="K816" s="8" t="str">
        <f t="shared" si="152"/>
        <v>Post-1949</v>
      </c>
      <c r="L816" s="8">
        <f t="shared" si="153"/>
        <v>1970</v>
      </c>
      <c r="M816" s="8" t="str">
        <f t="shared" si="155"/>
        <v>1960-1970</v>
      </c>
      <c r="N816" s="10" t="s">
        <v>242</v>
      </c>
      <c r="O816" s="10" t="s">
        <v>241</v>
      </c>
      <c r="P816" s="10" t="s">
        <v>242</v>
      </c>
      <c r="Q816" s="10" t="s">
        <v>242</v>
      </c>
      <c r="R816" s="10" t="s">
        <v>241</v>
      </c>
      <c r="S816" s="10" t="s">
        <v>242</v>
      </c>
      <c r="T816" s="10" t="s">
        <v>242</v>
      </c>
      <c r="U816" s="10" t="s">
        <v>242</v>
      </c>
      <c r="V816" s="10" t="s">
        <v>242</v>
      </c>
      <c r="W816" s="10" t="s">
        <v>242</v>
      </c>
      <c r="X816" s="15">
        <f>IF(ISERROR(VLOOKUP($A816,'13. Updated Demand'!A:Z,15,FALSE)),0,VLOOKUP($A816,'13. Updated Demand'!A:Z,15,FALSE))</f>
        <v>3.66</v>
      </c>
      <c r="Y816" s="16">
        <f>IF(ISERROR(VLOOKUP($A816,'13. Updated Demand'!A:Z,16,FALSE)),0,VLOOKUP($A816,'13. Updated Demand'!A:Z,16,FALSE))</f>
        <v>4</v>
      </c>
      <c r="Z816" s="16">
        <f>IF(ISERROR(VLOOKUP($A816,'13. Updated Demand'!A:Z,17,FALSE)),0,VLOOKUP($A816,'13. Updated Demand'!A:Z,17,FALSE))</f>
        <v>5.6</v>
      </c>
      <c r="AA816" s="16">
        <f>IF(ISERROR(VLOOKUP($A816,'13. Updated Demand'!A:Z,18,FALSE)),0,VLOOKUP($A816,'13. Updated Demand'!A:Z,18,FALSE))</f>
        <v>5.66</v>
      </c>
      <c r="AB816" s="16">
        <f>IF(ISERROR(VLOOKUP($A816,'13. Updated Demand'!A:Z,19,FALSE)),0,VLOOKUP($A816,'13. Updated Demand'!A:Z,19,FALSE))</f>
        <v>4.33</v>
      </c>
      <c r="AC816" s="16">
        <f>IF(ISERROR(VLOOKUP($A816,'13. Updated Demand'!A:Z,20,FALSE)),0,VLOOKUP($A816,'13. Updated Demand'!A:Z,20,FALSE))</f>
        <v>5.33</v>
      </c>
      <c r="AD816" s="16">
        <f>IF(ISERROR(VLOOKUP($A816,'13. Updated Demand'!A:Z,21,FALSE)),0,VLOOKUP($A816,'13. Updated Demand'!A:Z,21,FALSE))</f>
        <v>3.66</v>
      </c>
      <c r="AE816" s="16">
        <f>IF(ISERROR(VLOOKUP($A816,'13. Updated Demand'!A:Z,22,FALSE)),0,VLOOKUP($A816,'13. Updated Demand'!A:Z,22,FALSE))</f>
        <v>2.66</v>
      </c>
      <c r="AF816" s="16">
        <f>IF(ISERROR(VLOOKUP($A816,'13. Updated Demand'!A:Z,23,FALSE)),0,VLOOKUP($A816,'13. Updated Demand'!A:Z,23,FALSE))</f>
        <v>2.66</v>
      </c>
      <c r="AG816" s="16">
        <f>IF(ISERROR(VLOOKUP($A816,'13. Updated Demand'!A:Z,24,FALSE)),0,VLOOKUP($A816,'13. Updated Demand'!A:Z,24,FALSE))</f>
        <v>2</v>
      </c>
      <c r="AH816" s="16">
        <f>IF(ISERROR(VLOOKUP($A816,'13. Updated Demand'!A:Z,25,FALSE)),0,VLOOKUP($A816,'13. Updated Demand'!A:Z,25,FALSE))</f>
        <v>0</v>
      </c>
      <c r="AI816" s="16">
        <f>IF(ISERROR(VLOOKUP($A816,'13. Updated Demand'!A:Z,26,FALSE)),0,VLOOKUP($A816,'13. Updated Demand'!A:Z,26,FALSE))</f>
        <v>0</v>
      </c>
      <c r="AJ816" s="16">
        <f t="shared" si="156"/>
        <v>39.559999999999988</v>
      </c>
      <c r="AK816" s="19">
        <v>18.666666666999998</v>
      </c>
      <c r="AL816" s="16">
        <f t="shared" si="154"/>
        <v>6.1915207001288455E-2</v>
      </c>
      <c r="AM816" s="17">
        <v>0.73605947957249074</v>
      </c>
      <c r="AN816" s="19"/>
      <c r="AO816" s="19"/>
      <c r="AP816" s="19">
        <v>53.8</v>
      </c>
      <c r="AQ816" s="19" t="s">
        <v>307</v>
      </c>
      <c r="AR816" s="9" t="s">
        <v>317</v>
      </c>
      <c r="AS816" s="12">
        <v>0</v>
      </c>
      <c r="AT816" s="19">
        <v>39.271831939999998</v>
      </c>
      <c r="AU816" s="19">
        <v>-123.1851819</v>
      </c>
      <c r="AV816" s="19" t="s">
        <v>417</v>
      </c>
    </row>
    <row r="817" spans="1:48" x14ac:dyDescent="0.25">
      <c r="A817" s="18" t="s">
        <v>1203</v>
      </c>
      <c r="B817" s="10">
        <v>19701214</v>
      </c>
      <c r="C817" s="9">
        <v>17</v>
      </c>
      <c r="D817" s="8" t="str">
        <f t="shared" si="145"/>
        <v>N</v>
      </c>
      <c r="E817" s="8" t="str">
        <f t="shared" si="146"/>
        <v>N</v>
      </c>
      <c r="F817" s="8" t="str">
        <f t="shared" si="147"/>
        <v>N</v>
      </c>
      <c r="G817" s="8" t="str">
        <f t="shared" si="148"/>
        <v>N</v>
      </c>
      <c r="H817" s="8" t="str">
        <f t="shared" si="149"/>
        <v>Lower</v>
      </c>
      <c r="I817" s="8" t="str">
        <f t="shared" si="150"/>
        <v>Outside</v>
      </c>
      <c r="J817" s="8" t="str">
        <f t="shared" si="151"/>
        <v>Outside</v>
      </c>
      <c r="K817" s="8" t="str">
        <f t="shared" si="152"/>
        <v>Post-1949</v>
      </c>
      <c r="L817" s="8">
        <f t="shared" si="153"/>
        <v>1970</v>
      </c>
      <c r="M817" s="8" t="str">
        <f t="shared" si="155"/>
        <v>1960-1970</v>
      </c>
      <c r="N817" s="10" t="s">
        <v>241</v>
      </c>
      <c r="O817" s="10" t="s">
        <v>242</v>
      </c>
      <c r="P817" s="10" t="s">
        <v>242</v>
      </c>
      <c r="Q817" s="10" t="s">
        <v>242</v>
      </c>
      <c r="R817" s="10" t="s">
        <v>241</v>
      </c>
      <c r="S817" s="10" t="s">
        <v>242</v>
      </c>
      <c r="T817" s="10" t="s">
        <v>242</v>
      </c>
      <c r="U817" s="10" t="s">
        <v>242</v>
      </c>
      <c r="V817" s="10" t="s">
        <v>241</v>
      </c>
      <c r="W817" s="10" t="s">
        <v>242</v>
      </c>
      <c r="X817" s="15">
        <f>IF(ISERROR(VLOOKUP($A817,'13. Updated Demand'!A:Z,15,FALSE)),0,VLOOKUP($A817,'13. Updated Demand'!A:Z,15,FALSE))</f>
        <v>0</v>
      </c>
      <c r="Y817" s="16">
        <f>IF(ISERROR(VLOOKUP($A817,'13. Updated Demand'!A:Z,16,FALSE)),0,VLOOKUP($A817,'13. Updated Demand'!A:Z,16,FALSE))</f>
        <v>0</v>
      </c>
      <c r="Z817" s="16">
        <f>IF(ISERROR(VLOOKUP($A817,'13. Updated Demand'!A:Z,17,FALSE)),0,VLOOKUP($A817,'13. Updated Demand'!A:Z,17,FALSE))</f>
        <v>0.2</v>
      </c>
      <c r="AA817" s="16">
        <f>IF(ISERROR(VLOOKUP($A817,'13. Updated Demand'!A:Z,18,FALSE)),0,VLOOKUP($A817,'13. Updated Demand'!A:Z,18,FALSE))</f>
        <v>0</v>
      </c>
      <c r="AB817" s="16">
        <f>IF(ISERROR(VLOOKUP($A817,'13. Updated Demand'!A:Z,19,FALSE)),0,VLOOKUP($A817,'13. Updated Demand'!A:Z,19,FALSE))</f>
        <v>0</v>
      </c>
      <c r="AC817" s="16">
        <f>IF(ISERROR(VLOOKUP($A817,'13. Updated Demand'!A:Z,20,FALSE)),0,VLOOKUP($A817,'13. Updated Demand'!A:Z,20,FALSE))</f>
        <v>0</v>
      </c>
      <c r="AD817" s="16">
        <f>IF(ISERROR(VLOOKUP($A817,'13. Updated Demand'!A:Z,21,FALSE)),0,VLOOKUP($A817,'13. Updated Demand'!A:Z,21,FALSE))</f>
        <v>0</v>
      </c>
      <c r="AE817" s="16">
        <f>IF(ISERROR(VLOOKUP($A817,'13. Updated Demand'!A:Z,22,FALSE)),0,VLOOKUP($A817,'13. Updated Demand'!A:Z,22,FALSE))</f>
        <v>0</v>
      </c>
      <c r="AF817" s="16">
        <f>IF(ISERROR(VLOOKUP($A817,'13. Updated Demand'!A:Z,23,FALSE)),0,VLOOKUP($A817,'13. Updated Demand'!A:Z,23,FALSE))</f>
        <v>0</v>
      </c>
      <c r="AG817" s="16">
        <f>IF(ISERROR(VLOOKUP($A817,'13. Updated Demand'!A:Z,24,FALSE)),0,VLOOKUP($A817,'13. Updated Demand'!A:Z,24,FALSE))</f>
        <v>0</v>
      </c>
      <c r="AH817" s="16">
        <f>IF(ISERROR(VLOOKUP($A817,'13. Updated Demand'!A:Z,25,FALSE)),0,VLOOKUP($A817,'13. Updated Demand'!A:Z,25,FALSE))</f>
        <v>0</v>
      </c>
      <c r="AI817" s="16">
        <f>IF(ISERROR(VLOOKUP($A817,'13. Updated Demand'!A:Z,26,FALSE)),0,VLOOKUP($A817,'13. Updated Demand'!A:Z,26,FALSE))</f>
        <v>0</v>
      </c>
      <c r="AJ817" s="16">
        <f t="shared" si="156"/>
        <v>0.2</v>
      </c>
      <c r="AK817" s="19">
        <v>0</v>
      </c>
      <c r="AL817" s="16">
        <f t="shared" si="154"/>
        <v>0</v>
      </c>
      <c r="AM817" s="17">
        <v>4.2553191489361701E-2</v>
      </c>
      <c r="AN817" s="19"/>
      <c r="AO817" s="19"/>
      <c r="AP817" s="19">
        <v>4.7</v>
      </c>
      <c r="AQ817" s="19" t="s">
        <v>307</v>
      </c>
      <c r="AR817" s="9" t="s">
        <v>486</v>
      </c>
      <c r="AS817" s="12">
        <v>0</v>
      </c>
      <c r="AT817" s="19">
        <v>38.531603629999999</v>
      </c>
      <c r="AU817" s="19">
        <v>-122.86350327</v>
      </c>
      <c r="AV817" s="19" t="s">
        <v>548</v>
      </c>
    </row>
    <row r="818" spans="1:48" x14ac:dyDescent="0.25">
      <c r="A818" s="18" t="s">
        <v>1204</v>
      </c>
      <c r="B818" s="10">
        <v>19701221</v>
      </c>
      <c r="C818" s="9">
        <v>4</v>
      </c>
      <c r="D818" s="8" t="str">
        <f t="shared" si="145"/>
        <v>Y</v>
      </c>
      <c r="E818" s="8" t="str">
        <f t="shared" si="146"/>
        <v>N</v>
      </c>
      <c r="F818" s="8" t="str">
        <f t="shared" si="147"/>
        <v>Y</v>
      </c>
      <c r="G818" s="8" t="str">
        <f t="shared" si="148"/>
        <v>Y</v>
      </c>
      <c r="H818" s="8" t="str">
        <f t="shared" si="149"/>
        <v>Upper</v>
      </c>
      <c r="I818" s="8" t="str">
        <f t="shared" si="150"/>
        <v>West Fork and Below Lake</v>
      </c>
      <c r="J818" s="8" t="str">
        <f t="shared" si="151"/>
        <v>Mendocino (d/s of lake)</v>
      </c>
      <c r="K818" s="8" t="str">
        <f t="shared" si="152"/>
        <v>Post-1949</v>
      </c>
      <c r="L818" s="8">
        <f t="shared" si="153"/>
        <v>1970</v>
      </c>
      <c r="M818" s="8" t="str">
        <f t="shared" si="155"/>
        <v>1960-1970</v>
      </c>
      <c r="N818" s="10" t="s">
        <v>242</v>
      </c>
      <c r="O818" s="10" t="s">
        <v>241</v>
      </c>
      <c r="P818" s="10" t="s">
        <v>242</v>
      </c>
      <c r="Q818" s="10" t="s">
        <v>242</v>
      </c>
      <c r="R818" s="10" t="s">
        <v>241</v>
      </c>
      <c r="S818" s="10" t="s">
        <v>242</v>
      </c>
      <c r="T818" s="10" t="s">
        <v>242</v>
      </c>
      <c r="U818" s="10" t="s">
        <v>242</v>
      </c>
      <c r="V818" s="10" t="s">
        <v>241</v>
      </c>
      <c r="W818" s="10" t="s">
        <v>242</v>
      </c>
      <c r="X818" s="15">
        <f>IF(ISERROR(VLOOKUP($A818,'13. Updated Demand'!A:Z,15,FALSE)),0,VLOOKUP($A818,'13. Updated Demand'!A:Z,15,FALSE))</f>
        <v>0</v>
      </c>
      <c r="Y818" s="16">
        <f>IF(ISERROR(VLOOKUP($A818,'13. Updated Demand'!A:Z,16,FALSE)),0,VLOOKUP($A818,'13. Updated Demand'!A:Z,16,FALSE))</f>
        <v>0</v>
      </c>
      <c r="Z818" s="16">
        <f>IF(ISERROR(VLOOKUP($A818,'13. Updated Demand'!A:Z,17,FALSE)),0,VLOOKUP($A818,'13. Updated Demand'!A:Z,17,FALSE))</f>
        <v>0</v>
      </c>
      <c r="AA818" s="16">
        <f>IF(ISERROR(VLOOKUP($A818,'13. Updated Demand'!A:Z,18,FALSE)),0,VLOOKUP($A818,'13. Updated Demand'!A:Z,18,FALSE))</f>
        <v>2.64</v>
      </c>
      <c r="AB818" s="16">
        <f>IF(ISERROR(VLOOKUP($A818,'13. Updated Demand'!A:Z,19,FALSE)),0,VLOOKUP($A818,'13. Updated Demand'!A:Z,19,FALSE))</f>
        <v>0</v>
      </c>
      <c r="AC818" s="16">
        <f>IF(ISERROR(VLOOKUP($A818,'13. Updated Demand'!A:Z,20,FALSE)),0,VLOOKUP($A818,'13. Updated Demand'!A:Z,20,FALSE))</f>
        <v>0</v>
      </c>
      <c r="AD818" s="16">
        <f>IF(ISERROR(VLOOKUP($A818,'13. Updated Demand'!A:Z,21,FALSE)),0,VLOOKUP($A818,'13. Updated Demand'!A:Z,21,FALSE))</f>
        <v>0</v>
      </c>
      <c r="AE818" s="16">
        <f>IF(ISERROR(VLOOKUP($A818,'13. Updated Demand'!A:Z,22,FALSE)),0,VLOOKUP($A818,'13. Updated Demand'!A:Z,22,FALSE))</f>
        <v>0</v>
      </c>
      <c r="AF818" s="16">
        <f>IF(ISERROR(VLOOKUP($A818,'13. Updated Demand'!A:Z,23,FALSE)),0,VLOOKUP($A818,'13. Updated Demand'!A:Z,23,FALSE))</f>
        <v>0</v>
      </c>
      <c r="AG818" s="16">
        <f>IF(ISERROR(VLOOKUP($A818,'13. Updated Demand'!A:Z,24,FALSE)),0,VLOOKUP($A818,'13. Updated Demand'!A:Z,24,FALSE))</f>
        <v>0</v>
      </c>
      <c r="AH818" s="16">
        <f>IF(ISERROR(VLOOKUP($A818,'13. Updated Demand'!A:Z,25,FALSE)),0,VLOOKUP($A818,'13. Updated Demand'!A:Z,25,FALSE))</f>
        <v>0</v>
      </c>
      <c r="AI818" s="16">
        <f>IF(ISERROR(VLOOKUP($A818,'13. Updated Demand'!A:Z,26,FALSE)),0,VLOOKUP($A818,'13. Updated Demand'!A:Z,26,FALSE))</f>
        <v>0</v>
      </c>
      <c r="AJ818" s="16">
        <f t="shared" si="156"/>
        <v>2.64</v>
      </c>
      <c r="AK818" s="19">
        <v>0</v>
      </c>
      <c r="AL818" s="16">
        <f t="shared" si="154"/>
        <v>0</v>
      </c>
      <c r="AM818" s="17">
        <v>0.10114942528735632</v>
      </c>
      <c r="AN818" s="19"/>
      <c r="AO818" s="19"/>
      <c r="AP818" s="19">
        <v>26.1</v>
      </c>
      <c r="AQ818" s="19" t="s">
        <v>307</v>
      </c>
      <c r="AR818" s="9" t="s">
        <v>331</v>
      </c>
      <c r="AS818" s="12">
        <v>0</v>
      </c>
      <c r="AT818" s="19">
        <v>39.142984349999999</v>
      </c>
      <c r="AU818" s="19">
        <v>-123.16433649</v>
      </c>
      <c r="AV818" s="19" t="s">
        <v>1062</v>
      </c>
    </row>
    <row r="819" spans="1:48" x14ac:dyDescent="0.25">
      <c r="A819" s="18" t="s">
        <v>85</v>
      </c>
      <c r="B819" s="10">
        <v>19701222</v>
      </c>
      <c r="C819" s="9">
        <v>5</v>
      </c>
      <c r="D819" s="8" t="str">
        <f t="shared" si="145"/>
        <v>Y</v>
      </c>
      <c r="E819" s="8" t="str">
        <f t="shared" si="146"/>
        <v>N</v>
      </c>
      <c r="F819" s="8" t="str">
        <f t="shared" si="147"/>
        <v>Y</v>
      </c>
      <c r="G819" s="8" t="str">
        <f t="shared" si="148"/>
        <v>Y</v>
      </c>
      <c r="H819" s="8" t="str">
        <f t="shared" si="149"/>
        <v>Upper</v>
      </c>
      <c r="I819" s="8" t="str">
        <f t="shared" si="150"/>
        <v>West Fork and Below Lake</v>
      </c>
      <c r="J819" s="8" t="str">
        <f t="shared" si="151"/>
        <v>Mendocino (d/s of lake)</v>
      </c>
      <c r="K819" s="8" t="str">
        <f t="shared" si="152"/>
        <v>Post-1949</v>
      </c>
      <c r="L819" s="8">
        <f t="shared" si="153"/>
        <v>1970</v>
      </c>
      <c r="M819" s="8" t="str">
        <f t="shared" si="155"/>
        <v>1960-1970</v>
      </c>
      <c r="N819" s="10" t="s">
        <v>241</v>
      </c>
      <c r="O819" s="10" t="s">
        <v>241</v>
      </c>
      <c r="P819" s="10" t="s">
        <v>242</v>
      </c>
      <c r="Q819" s="10" t="s">
        <v>242</v>
      </c>
      <c r="R819" s="10" t="s">
        <v>241</v>
      </c>
      <c r="S819" s="10" t="s">
        <v>242</v>
      </c>
      <c r="T819" s="10" t="s">
        <v>242</v>
      </c>
      <c r="U819" s="10" t="s">
        <v>242</v>
      </c>
      <c r="V819" s="10" t="s">
        <v>242</v>
      </c>
      <c r="W819" s="10" t="s">
        <v>242</v>
      </c>
      <c r="X819" s="15">
        <f>IF(ISERROR(VLOOKUP($A819,'13. Updated Demand'!A:Z,15,FALSE)),0,VLOOKUP($A819,'13. Updated Demand'!A:Z,15,FALSE))</f>
        <v>1.31</v>
      </c>
      <c r="Y819" s="16">
        <f>IF(ISERROR(VLOOKUP($A819,'13. Updated Demand'!A:Z,16,FALSE)),0,VLOOKUP($A819,'13. Updated Demand'!A:Z,16,FALSE))</f>
        <v>1.07</v>
      </c>
      <c r="Z819" s="16">
        <f>IF(ISERROR(VLOOKUP($A819,'13. Updated Demand'!A:Z,17,FALSE)),0,VLOOKUP($A819,'13. Updated Demand'!A:Z,17,FALSE))</f>
        <v>1.45</v>
      </c>
      <c r="AA819" s="16">
        <f>IF(ISERROR(VLOOKUP($A819,'13. Updated Demand'!A:Z,18,FALSE)),0,VLOOKUP($A819,'13. Updated Demand'!A:Z,18,FALSE))</f>
        <v>1.59</v>
      </c>
      <c r="AB819" s="16">
        <f>IF(ISERROR(VLOOKUP($A819,'13. Updated Demand'!A:Z,19,FALSE)),0,VLOOKUP($A819,'13. Updated Demand'!A:Z,19,FALSE))</f>
        <v>3.19</v>
      </c>
      <c r="AC819" s="16">
        <f>IF(ISERROR(VLOOKUP($A819,'13. Updated Demand'!A:Z,20,FALSE)),0,VLOOKUP($A819,'13. Updated Demand'!A:Z,20,FALSE))</f>
        <v>4.28</v>
      </c>
      <c r="AD819" s="16">
        <f>IF(ISERROR(VLOOKUP($A819,'13. Updated Demand'!A:Z,21,FALSE)),0,VLOOKUP($A819,'13. Updated Demand'!A:Z,21,FALSE))</f>
        <v>0</v>
      </c>
      <c r="AE819" s="16">
        <f>IF(ISERROR(VLOOKUP($A819,'13. Updated Demand'!A:Z,22,FALSE)),0,VLOOKUP($A819,'13. Updated Demand'!A:Z,22,FALSE))</f>
        <v>0</v>
      </c>
      <c r="AF819" s="16">
        <f>IF(ISERROR(VLOOKUP($A819,'13. Updated Demand'!A:Z,23,FALSE)),0,VLOOKUP($A819,'13. Updated Demand'!A:Z,23,FALSE))</f>
        <v>0</v>
      </c>
      <c r="AG819" s="16">
        <f>IF(ISERROR(VLOOKUP($A819,'13. Updated Demand'!A:Z,24,FALSE)),0,VLOOKUP($A819,'13. Updated Demand'!A:Z,24,FALSE))</f>
        <v>0</v>
      </c>
      <c r="AH819" s="16">
        <f>IF(ISERROR(VLOOKUP($A819,'13. Updated Demand'!A:Z,25,FALSE)),0,VLOOKUP($A819,'13. Updated Demand'!A:Z,25,FALSE))</f>
        <v>2.23</v>
      </c>
      <c r="AI819" s="16">
        <f>IF(ISERROR(VLOOKUP($A819,'13. Updated Demand'!A:Z,26,FALSE)),0,VLOOKUP($A819,'13. Updated Demand'!A:Z,26,FALSE))</f>
        <v>1.53</v>
      </c>
      <c r="AJ819" s="16">
        <f t="shared" si="156"/>
        <v>16.650000000000002</v>
      </c>
      <c r="AK819" s="19">
        <v>7.4808356666666604</v>
      </c>
      <c r="AL819" s="16">
        <f t="shared" si="154"/>
        <v>2.4813079759072341E-2</v>
      </c>
      <c r="AM819" s="17">
        <v>0.6948695138888884</v>
      </c>
      <c r="AN819" s="19"/>
      <c r="AO819" s="19"/>
      <c r="AP819" s="19">
        <v>24</v>
      </c>
      <c r="AQ819" s="19" t="s">
        <v>307</v>
      </c>
      <c r="AR819" s="9" t="s">
        <v>333</v>
      </c>
      <c r="AS819" s="12">
        <v>0</v>
      </c>
      <c r="AT819" s="19">
        <v>39.047400000000003</v>
      </c>
      <c r="AU819" s="19">
        <v>-123.1365</v>
      </c>
      <c r="AV819" s="19"/>
    </row>
    <row r="820" spans="1:48" x14ac:dyDescent="0.25">
      <c r="A820" s="18" t="s">
        <v>1205</v>
      </c>
      <c r="B820" s="10">
        <v>19700629</v>
      </c>
      <c r="C820" s="9">
        <v>16</v>
      </c>
      <c r="D820" s="8" t="str">
        <f t="shared" si="145"/>
        <v>N</v>
      </c>
      <c r="E820" s="8" t="str">
        <f t="shared" si="146"/>
        <v>N</v>
      </c>
      <c r="F820" s="8" t="str">
        <f t="shared" si="147"/>
        <v>N</v>
      </c>
      <c r="G820" s="8" t="str">
        <f t="shared" si="148"/>
        <v>N</v>
      </c>
      <c r="H820" s="8" t="str">
        <f t="shared" si="149"/>
        <v>Lower</v>
      </c>
      <c r="I820" s="8" t="str">
        <f t="shared" si="150"/>
        <v>Outside</v>
      </c>
      <c r="J820" s="8" t="str">
        <f t="shared" si="151"/>
        <v>Outside</v>
      </c>
      <c r="K820" s="8" t="str">
        <f t="shared" si="152"/>
        <v>Post-1949</v>
      </c>
      <c r="L820" s="8">
        <f t="shared" si="153"/>
        <v>1970</v>
      </c>
      <c r="M820" s="8" t="str">
        <f t="shared" si="155"/>
        <v>1960-1970</v>
      </c>
      <c r="N820" s="10" t="s">
        <v>242</v>
      </c>
      <c r="O820" s="10" t="s">
        <v>242</v>
      </c>
      <c r="P820" s="10" t="s">
        <v>242</v>
      </c>
      <c r="Q820" s="10" t="s">
        <v>242</v>
      </c>
      <c r="R820" s="10" t="s">
        <v>241</v>
      </c>
      <c r="S820" s="10" t="s">
        <v>242</v>
      </c>
      <c r="T820" s="10" t="s">
        <v>242</v>
      </c>
      <c r="U820" s="10" t="s">
        <v>241</v>
      </c>
      <c r="V820" s="10" t="s">
        <v>241</v>
      </c>
      <c r="W820" s="10" t="s">
        <v>242</v>
      </c>
      <c r="X820" s="15">
        <f>IF(ISERROR(VLOOKUP($A820,'13. Updated Demand'!A:Z,15,FALSE)),0,VLOOKUP($A820,'13. Updated Demand'!A:Z,15,FALSE))</f>
        <v>0</v>
      </c>
      <c r="Y820" s="16">
        <f>IF(ISERROR(VLOOKUP($A820,'13. Updated Demand'!A:Z,16,FALSE)),0,VLOOKUP($A820,'13. Updated Demand'!A:Z,16,FALSE))</f>
        <v>0</v>
      </c>
      <c r="Z820" s="16">
        <f>IF(ISERROR(VLOOKUP($A820,'13. Updated Demand'!A:Z,17,FALSE)),0,VLOOKUP($A820,'13. Updated Demand'!A:Z,17,FALSE))</f>
        <v>0</v>
      </c>
      <c r="AA820" s="16">
        <f>IF(ISERROR(VLOOKUP($A820,'13. Updated Demand'!A:Z,18,FALSE)),0,VLOOKUP($A820,'13. Updated Demand'!A:Z,18,FALSE))</f>
        <v>0</v>
      </c>
      <c r="AB820" s="16">
        <f>IF(ISERROR(VLOOKUP($A820,'13. Updated Demand'!A:Z,19,FALSE)),0,VLOOKUP($A820,'13. Updated Demand'!A:Z,19,FALSE))</f>
        <v>0</v>
      </c>
      <c r="AC820" s="16">
        <f>IF(ISERROR(VLOOKUP($A820,'13. Updated Demand'!A:Z,20,FALSE)),0,VLOOKUP($A820,'13. Updated Demand'!A:Z,20,FALSE))</f>
        <v>0</v>
      </c>
      <c r="AD820" s="16">
        <f>IF(ISERROR(VLOOKUP($A820,'13. Updated Demand'!A:Z,21,FALSE)),0,VLOOKUP($A820,'13. Updated Demand'!A:Z,21,FALSE))</f>
        <v>0</v>
      </c>
      <c r="AE820" s="16">
        <f>IF(ISERROR(VLOOKUP($A820,'13. Updated Demand'!A:Z,22,FALSE)),0,VLOOKUP($A820,'13. Updated Demand'!A:Z,22,FALSE))</f>
        <v>0</v>
      </c>
      <c r="AF820" s="16">
        <f>IF(ISERROR(VLOOKUP($A820,'13. Updated Demand'!A:Z,23,FALSE)),0,VLOOKUP($A820,'13. Updated Demand'!A:Z,23,FALSE))</f>
        <v>0</v>
      </c>
      <c r="AG820" s="16">
        <f>IF(ISERROR(VLOOKUP($A820,'13. Updated Demand'!A:Z,24,FALSE)),0,VLOOKUP($A820,'13. Updated Demand'!A:Z,24,FALSE))</f>
        <v>0</v>
      </c>
      <c r="AH820" s="16">
        <f>IF(ISERROR(VLOOKUP($A820,'13. Updated Demand'!A:Z,25,FALSE)),0,VLOOKUP($A820,'13. Updated Demand'!A:Z,25,FALSE))</f>
        <v>0</v>
      </c>
      <c r="AI820" s="16">
        <f>IF(ISERROR(VLOOKUP($A820,'13. Updated Demand'!A:Z,26,FALSE)),0,VLOOKUP($A820,'13. Updated Demand'!A:Z,26,FALSE))</f>
        <v>0</v>
      </c>
      <c r="AJ820" s="16">
        <f t="shared" si="156"/>
        <v>0</v>
      </c>
      <c r="AK820" s="19">
        <v>0</v>
      </c>
      <c r="AL820" s="16">
        <f t="shared" si="154"/>
        <v>0</v>
      </c>
      <c r="AM820" s="17">
        <v>0</v>
      </c>
      <c r="AN820" s="19"/>
      <c r="AO820" s="19"/>
      <c r="AP820" s="19">
        <v>20</v>
      </c>
      <c r="AQ820" s="19" t="s">
        <v>307</v>
      </c>
      <c r="AR820" s="9" t="s">
        <v>394</v>
      </c>
      <c r="AS820" s="12">
        <v>0</v>
      </c>
      <c r="AT820" s="19">
        <v>38.641968570000003</v>
      </c>
      <c r="AU820" s="19">
        <v>-122.90300513</v>
      </c>
      <c r="AV820" s="19" t="s">
        <v>417</v>
      </c>
    </row>
    <row r="821" spans="1:48" x14ac:dyDescent="0.25">
      <c r="A821" s="18" t="s">
        <v>1206</v>
      </c>
      <c r="B821" s="10">
        <v>19700618</v>
      </c>
      <c r="C821" s="9">
        <v>2</v>
      </c>
      <c r="D821" s="8" t="str">
        <f t="shared" si="145"/>
        <v>N</v>
      </c>
      <c r="E821" s="8" t="str">
        <f t="shared" si="146"/>
        <v>N</v>
      </c>
      <c r="F821" s="8" t="str">
        <f t="shared" si="147"/>
        <v>Y</v>
      </c>
      <c r="G821" s="8" t="str">
        <f t="shared" si="148"/>
        <v>N</v>
      </c>
      <c r="H821" s="8" t="str">
        <f t="shared" si="149"/>
        <v>Upper</v>
      </c>
      <c r="I821" s="8" t="str">
        <f t="shared" si="150"/>
        <v>Outside</v>
      </c>
      <c r="J821" s="8" t="str">
        <f t="shared" si="151"/>
        <v>Outside</v>
      </c>
      <c r="K821" s="8" t="str">
        <f t="shared" si="152"/>
        <v>Post-1949</v>
      </c>
      <c r="L821" s="8">
        <f t="shared" si="153"/>
        <v>1970</v>
      </c>
      <c r="M821" s="8" t="str">
        <f t="shared" si="155"/>
        <v>1960-1970</v>
      </c>
      <c r="N821" s="10" t="s">
        <v>242</v>
      </c>
      <c r="O821" s="10" t="s">
        <v>241</v>
      </c>
      <c r="P821" s="10" t="s">
        <v>242</v>
      </c>
      <c r="Q821" s="10" t="s">
        <v>242</v>
      </c>
      <c r="R821" s="10" t="s">
        <v>241</v>
      </c>
      <c r="S821" s="10" t="s">
        <v>242</v>
      </c>
      <c r="T821" s="10" t="s">
        <v>242</v>
      </c>
      <c r="U821" s="10" t="s">
        <v>242</v>
      </c>
      <c r="V821" s="10" t="s">
        <v>242</v>
      </c>
      <c r="W821" s="10" t="s">
        <v>242</v>
      </c>
      <c r="X821" s="15">
        <f>IF(ISERROR(VLOOKUP($A821,'13. Updated Demand'!A:Z,15,FALSE)),0,VLOOKUP($A821,'13. Updated Demand'!A:Z,15,FALSE))</f>
        <v>0</v>
      </c>
      <c r="Y821" s="16">
        <f>IF(ISERROR(VLOOKUP($A821,'13. Updated Demand'!A:Z,16,FALSE)),0,VLOOKUP($A821,'13. Updated Demand'!A:Z,16,FALSE))</f>
        <v>0</v>
      </c>
      <c r="Z821" s="16">
        <f>IF(ISERROR(VLOOKUP($A821,'13. Updated Demand'!A:Z,17,FALSE)),0,VLOOKUP($A821,'13. Updated Demand'!A:Z,17,FALSE))</f>
        <v>1.9</v>
      </c>
      <c r="AA821" s="16">
        <f>IF(ISERROR(VLOOKUP($A821,'13. Updated Demand'!A:Z,18,FALSE)),0,VLOOKUP($A821,'13. Updated Demand'!A:Z,18,FALSE))</f>
        <v>2.0099999999999998</v>
      </c>
      <c r="AB821" s="16">
        <f>IF(ISERROR(VLOOKUP($A821,'13. Updated Demand'!A:Z,19,FALSE)),0,VLOOKUP($A821,'13. Updated Demand'!A:Z,19,FALSE))</f>
        <v>0.97</v>
      </c>
      <c r="AC821" s="16">
        <f>IF(ISERROR(VLOOKUP($A821,'13. Updated Demand'!A:Z,20,FALSE)),0,VLOOKUP($A821,'13. Updated Demand'!A:Z,20,FALSE))</f>
        <v>0.43</v>
      </c>
      <c r="AD821" s="16">
        <f>IF(ISERROR(VLOOKUP($A821,'13. Updated Demand'!A:Z,21,FALSE)),0,VLOOKUP($A821,'13. Updated Demand'!A:Z,21,FALSE))</f>
        <v>0.46</v>
      </c>
      <c r="AE821" s="16">
        <f>IF(ISERROR(VLOOKUP($A821,'13. Updated Demand'!A:Z,22,FALSE)),0,VLOOKUP($A821,'13. Updated Demand'!A:Z,22,FALSE))</f>
        <v>0.45</v>
      </c>
      <c r="AF821" s="16">
        <f>IF(ISERROR(VLOOKUP($A821,'13. Updated Demand'!A:Z,23,FALSE)),0,VLOOKUP($A821,'13. Updated Demand'!A:Z,23,FALSE))</f>
        <v>0.3</v>
      </c>
      <c r="AG821" s="16">
        <f>IF(ISERROR(VLOOKUP($A821,'13. Updated Demand'!A:Z,24,FALSE)),0,VLOOKUP($A821,'13. Updated Demand'!A:Z,24,FALSE))</f>
        <v>0.14000000000000001</v>
      </c>
      <c r="AH821" s="16">
        <f>IF(ISERROR(VLOOKUP($A821,'13. Updated Demand'!A:Z,25,FALSE)),0,VLOOKUP($A821,'13. Updated Demand'!A:Z,25,FALSE))</f>
        <v>0</v>
      </c>
      <c r="AI821" s="16">
        <f>IF(ISERROR(VLOOKUP($A821,'13. Updated Demand'!A:Z,26,FALSE)),0,VLOOKUP($A821,'13. Updated Demand'!A:Z,26,FALSE))</f>
        <v>0</v>
      </c>
      <c r="AJ821" s="16">
        <f t="shared" si="156"/>
        <v>6.6599999999999993</v>
      </c>
      <c r="AK821" s="19">
        <v>2.6266666659999998</v>
      </c>
      <c r="AL821" s="16">
        <f t="shared" si="154"/>
        <v>8.7123541256716123E-3</v>
      </c>
      <c r="AM821" s="17">
        <v>0.3375420875252525</v>
      </c>
      <c r="AN821" s="19"/>
      <c r="AO821" s="19"/>
      <c r="AP821" s="19">
        <v>19.8</v>
      </c>
      <c r="AQ821" s="19" t="s">
        <v>307</v>
      </c>
      <c r="AR821" s="9" t="s">
        <v>348</v>
      </c>
      <c r="AS821" s="12">
        <v>0</v>
      </c>
      <c r="AT821" s="19">
        <v>39.33846862</v>
      </c>
      <c r="AU821" s="19">
        <v>-123.10992274</v>
      </c>
      <c r="AV821" s="19" t="s">
        <v>542</v>
      </c>
    </row>
    <row r="822" spans="1:48" x14ac:dyDescent="0.25">
      <c r="A822" s="18" t="s">
        <v>1207</v>
      </c>
      <c r="B822" s="10">
        <v>19690121</v>
      </c>
      <c r="C822" s="9">
        <v>2</v>
      </c>
      <c r="D822" s="8" t="str">
        <f t="shared" si="145"/>
        <v>N</v>
      </c>
      <c r="E822" s="8" t="str">
        <f t="shared" si="146"/>
        <v>N</v>
      </c>
      <c r="F822" s="8" t="str">
        <f t="shared" si="147"/>
        <v>Y</v>
      </c>
      <c r="G822" s="8" t="str">
        <f t="shared" si="148"/>
        <v>N</v>
      </c>
      <c r="H822" s="8" t="str">
        <f t="shared" si="149"/>
        <v>Upper</v>
      </c>
      <c r="I822" s="8" t="str">
        <f t="shared" si="150"/>
        <v>Outside</v>
      </c>
      <c r="J822" s="8" t="str">
        <f t="shared" si="151"/>
        <v>Outside</v>
      </c>
      <c r="K822" s="8" t="str">
        <f t="shared" si="152"/>
        <v>Post-1949</v>
      </c>
      <c r="L822" s="8">
        <f t="shared" si="153"/>
        <v>1969</v>
      </c>
      <c r="M822" s="8" t="str">
        <f t="shared" si="155"/>
        <v>1960-1970</v>
      </c>
      <c r="N822" s="10" t="s">
        <v>242</v>
      </c>
      <c r="O822" s="10" t="s">
        <v>241</v>
      </c>
      <c r="P822" s="10" t="s">
        <v>242</v>
      </c>
      <c r="Q822" s="10" t="s">
        <v>242</v>
      </c>
      <c r="R822" s="10" t="s">
        <v>241</v>
      </c>
      <c r="S822" s="10" t="s">
        <v>242</v>
      </c>
      <c r="T822" s="10" t="s">
        <v>242</v>
      </c>
      <c r="U822" s="10" t="s">
        <v>242</v>
      </c>
      <c r="V822" s="10" t="s">
        <v>242</v>
      </c>
      <c r="W822" s="10" t="s">
        <v>242</v>
      </c>
      <c r="X822" s="15">
        <f>IF(ISERROR(VLOOKUP($A822,'13. Updated Demand'!A:Z,15,FALSE)),0,VLOOKUP($A822,'13. Updated Demand'!A:Z,15,FALSE))</f>
        <v>0</v>
      </c>
      <c r="Y822" s="16">
        <f>IF(ISERROR(VLOOKUP($A822,'13. Updated Demand'!A:Z,16,FALSE)),0,VLOOKUP($A822,'13. Updated Demand'!A:Z,16,FALSE))</f>
        <v>0</v>
      </c>
      <c r="Z822" s="16">
        <f>IF(ISERROR(VLOOKUP($A822,'13. Updated Demand'!A:Z,17,FALSE)),0,VLOOKUP($A822,'13. Updated Demand'!A:Z,17,FALSE))</f>
        <v>0</v>
      </c>
      <c r="AA822" s="16">
        <f>IF(ISERROR(VLOOKUP($A822,'13. Updated Demand'!A:Z,18,FALSE)),0,VLOOKUP($A822,'13. Updated Demand'!A:Z,18,FALSE))</f>
        <v>0</v>
      </c>
      <c r="AB822" s="16">
        <f>IF(ISERROR(VLOOKUP($A822,'13. Updated Demand'!A:Z,19,FALSE)),0,VLOOKUP($A822,'13. Updated Demand'!A:Z,19,FALSE))</f>
        <v>25</v>
      </c>
      <c r="AC822" s="16">
        <f>IF(ISERROR(VLOOKUP($A822,'13. Updated Demand'!A:Z,20,FALSE)),0,VLOOKUP($A822,'13. Updated Demand'!A:Z,20,FALSE))</f>
        <v>60</v>
      </c>
      <c r="AD822" s="16">
        <f>IF(ISERROR(VLOOKUP($A822,'13. Updated Demand'!A:Z,21,FALSE)),0,VLOOKUP($A822,'13. Updated Demand'!A:Z,21,FALSE))</f>
        <v>60</v>
      </c>
      <c r="AE822" s="16">
        <f>IF(ISERROR(VLOOKUP($A822,'13. Updated Demand'!A:Z,22,FALSE)),0,VLOOKUP($A822,'13. Updated Demand'!A:Z,22,FALSE))</f>
        <v>60</v>
      </c>
      <c r="AF822" s="16">
        <f>IF(ISERROR(VLOOKUP($A822,'13. Updated Demand'!A:Z,23,FALSE)),0,VLOOKUP($A822,'13. Updated Demand'!A:Z,23,FALSE))</f>
        <v>50</v>
      </c>
      <c r="AG822" s="16">
        <f>IF(ISERROR(VLOOKUP($A822,'13. Updated Demand'!A:Z,24,FALSE)),0,VLOOKUP($A822,'13. Updated Demand'!A:Z,24,FALSE))</f>
        <v>30</v>
      </c>
      <c r="AH822" s="16">
        <f>IF(ISERROR(VLOOKUP($A822,'13. Updated Demand'!A:Z,25,FALSE)),0,VLOOKUP($A822,'13. Updated Demand'!A:Z,25,FALSE))</f>
        <v>0</v>
      </c>
      <c r="AI822" s="16">
        <f>IF(ISERROR(VLOOKUP($A822,'13. Updated Demand'!A:Z,26,FALSE)),0,VLOOKUP($A822,'13. Updated Demand'!A:Z,26,FALSE))</f>
        <v>0</v>
      </c>
      <c r="AJ822" s="16">
        <f t="shared" si="156"/>
        <v>285</v>
      </c>
      <c r="AK822" s="19">
        <v>255</v>
      </c>
      <c r="AL822" s="16">
        <f t="shared" si="154"/>
        <v>0.84580595277035475</v>
      </c>
      <c r="AM822" s="17">
        <v>0.92833876221498368</v>
      </c>
      <c r="AN822" s="19"/>
      <c r="AO822" s="19"/>
      <c r="AP822" s="19">
        <v>307</v>
      </c>
      <c r="AQ822" s="19" t="s">
        <v>307</v>
      </c>
      <c r="AR822" s="9" t="s">
        <v>348</v>
      </c>
      <c r="AS822" s="12">
        <v>0</v>
      </c>
      <c r="AT822" s="19">
        <v>39.280878719999997</v>
      </c>
      <c r="AU822" s="19">
        <v>-123.10230469</v>
      </c>
      <c r="AV822" s="19" t="s">
        <v>542</v>
      </c>
    </row>
    <row r="823" spans="1:48" x14ac:dyDescent="0.25">
      <c r="A823" s="18" t="s">
        <v>122</v>
      </c>
      <c r="B823" s="10">
        <v>19690121</v>
      </c>
      <c r="C823" s="9">
        <v>12</v>
      </c>
      <c r="D823" s="8" t="str">
        <f t="shared" si="145"/>
        <v>N</v>
      </c>
      <c r="E823" s="8" t="str">
        <f t="shared" si="146"/>
        <v>Y</v>
      </c>
      <c r="F823" s="8" t="str">
        <f t="shared" si="147"/>
        <v>Y</v>
      </c>
      <c r="G823" s="8" t="str">
        <f t="shared" si="148"/>
        <v>Y</v>
      </c>
      <c r="H823" s="8" t="str">
        <f t="shared" si="149"/>
        <v>Upper</v>
      </c>
      <c r="I823" s="8" t="str">
        <f t="shared" si="150"/>
        <v>West Fork and Below Lake</v>
      </c>
      <c r="J823" s="8" t="str">
        <f t="shared" si="151"/>
        <v>Sonoma (d/s of Clov. Gage)</v>
      </c>
      <c r="K823" s="8" t="str">
        <f t="shared" si="152"/>
        <v>Post-1949</v>
      </c>
      <c r="L823" s="8">
        <f t="shared" si="153"/>
        <v>1969</v>
      </c>
      <c r="M823" s="8" t="str">
        <f t="shared" si="155"/>
        <v>1960-1970</v>
      </c>
      <c r="N823" s="10" t="s">
        <v>241</v>
      </c>
      <c r="O823" s="10" t="s">
        <v>241</v>
      </c>
      <c r="P823" s="10" t="s">
        <v>242</v>
      </c>
      <c r="Q823" s="10" t="s">
        <v>242</v>
      </c>
      <c r="R823" s="10" t="s">
        <v>241</v>
      </c>
      <c r="S823" s="10" t="s">
        <v>242</v>
      </c>
      <c r="T823" s="10" t="s">
        <v>242</v>
      </c>
      <c r="U823" s="10" t="s">
        <v>242</v>
      </c>
      <c r="V823" s="10" t="s">
        <v>242</v>
      </c>
      <c r="W823" s="10" t="s">
        <v>242</v>
      </c>
      <c r="X823" s="15">
        <f>IF(ISERROR(VLOOKUP($A823,'13. Updated Demand'!A:Z,15,FALSE)),0,VLOOKUP($A823,'13. Updated Demand'!A:Z,15,FALSE))</f>
        <v>0</v>
      </c>
      <c r="Y823" s="16">
        <f>IF(ISERROR(VLOOKUP($A823,'13. Updated Demand'!A:Z,16,FALSE)),0,VLOOKUP($A823,'13. Updated Demand'!A:Z,16,FALSE))</f>
        <v>0</v>
      </c>
      <c r="Z823" s="16">
        <f>IF(ISERROR(VLOOKUP($A823,'13. Updated Demand'!A:Z,17,FALSE)),0,VLOOKUP($A823,'13. Updated Demand'!A:Z,17,FALSE))</f>
        <v>0</v>
      </c>
      <c r="AA823" s="16">
        <f>IF(ISERROR(VLOOKUP($A823,'13. Updated Demand'!A:Z,18,FALSE)),0,VLOOKUP($A823,'13. Updated Demand'!A:Z,18,FALSE))</f>
        <v>2.73</v>
      </c>
      <c r="AB823" s="16">
        <f>IF(ISERROR(VLOOKUP($A823,'13. Updated Demand'!A:Z,19,FALSE)),0,VLOOKUP($A823,'13. Updated Demand'!A:Z,19,FALSE))</f>
        <v>2.7</v>
      </c>
      <c r="AC823" s="16">
        <f>IF(ISERROR(VLOOKUP($A823,'13. Updated Demand'!A:Z,20,FALSE)),0,VLOOKUP($A823,'13. Updated Demand'!A:Z,20,FALSE))</f>
        <v>1.73</v>
      </c>
      <c r="AD823" s="16">
        <f>IF(ISERROR(VLOOKUP($A823,'13. Updated Demand'!A:Z,21,FALSE)),0,VLOOKUP($A823,'13. Updated Demand'!A:Z,21,FALSE))</f>
        <v>0</v>
      </c>
      <c r="AE823" s="16">
        <f>IF(ISERROR(VLOOKUP($A823,'13. Updated Demand'!A:Z,22,FALSE)),0,VLOOKUP($A823,'13. Updated Demand'!A:Z,22,FALSE))</f>
        <v>0</v>
      </c>
      <c r="AF823" s="16">
        <f>IF(ISERROR(VLOOKUP($A823,'13. Updated Demand'!A:Z,23,FALSE)),0,VLOOKUP($A823,'13. Updated Demand'!A:Z,23,FALSE))</f>
        <v>0</v>
      </c>
      <c r="AG823" s="16">
        <f>IF(ISERROR(VLOOKUP($A823,'13. Updated Demand'!A:Z,24,FALSE)),0,VLOOKUP($A823,'13. Updated Demand'!A:Z,24,FALSE))</f>
        <v>0</v>
      </c>
      <c r="AH823" s="16">
        <f>IF(ISERROR(VLOOKUP($A823,'13. Updated Demand'!A:Z,25,FALSE)),0,VLOOKUP($A823,'13. Updated Demand'!A:Z,25,FALSE))</f>
        <v>0</v>
      </c>
      <c r="AI823" s="16">
        <f>IF(ISERROR(VLOOKUP($A823,'13. Updated Demand'!A:Z,26,FALSE)),0,VLOOKUP($A823,'13. Updated Demand'!A:Z,26,FALSE))</f>
        <v>0</v>
      </c>
      <c r="AJ823" s="16">
        <f t="shared" si="156"/>
        <v>7.16</v>
      </c>
      <c r="AK823" s="19">
        <v>4.43333333333333</v>
      </c>
      <c r="AL823" s="16">
        <f t="shared" si="154"/>
        <v>1.4704861662543414E-2</v>
      </c>
      <c r="AM823" s="17">
        <v>9.5555555555555463E-2</v>
      </c>
      <c r="AN823" s="19"/>
      <c r="AO823" s="19"/>
      <c r="AP823" s="19">
        <v>75</v>
      </c>
      <c r="AQ823" s="19" t="s">
        <v>307</v>
      </c>
      <c r="AR823" s="9" t="s">
        <v>311</v>
      </c>
      <c r="AS823" s="12">
        <v>0</v>
      </c>
      <c r="AT823" s="19">
        <v>38.65040638</v>
      </c>
      <c r="AU823" s="19">
        <v>-122.80085923999999</v>
      </c>
      <c r="AV823" s="19" t="s">
        <v>548</v>
      </c>
    </row>
    <row r="824" spans="1:48" x14ac:dyDescent="0.25">
      <c r="A824" s="18" t="s">
        <v>162</v>
      </c>
      <c r="B824" s="10">
        <v>19690121</v>
      </c>
      <c r="C824" s="9">
        <v>12</v>
      </c>
      <c r="D824" s="8" t="str">
        <f t="shared" si="145"/>
        <v>N</v>
      </c>
      <c r="E824" s="8" t="str">
        <f t="shared" si="146"/>
        <v>Y</v>
      </c>
      <c r="F824" s="8" t="str">
        <f t="shared" si="147"/>
        <v>Y</v>
      </c>
      <c r="G824" s="8" t="str">
        <f t="shared" si="148"/>
        <v>Y</v>
      </c>
      <c r="H824" s="8" t="str">
        <f t="shared" si="149"/>
        <v>Upper</v>
      </c>
      <c r="I824" s="8" t="str">
        <f t="shared" si="150"/>
        <v>West Fork and Below Lake</v>
      </c>
      <c r="J824" s="8" t="str">
        <f t="shared" si="151"/>
        <v>Sonoma (d/s of Clov. Gage)</v>
      </c>
      <c r="K824" s="8" t="str">
        <f t="shared" si="152"/>
        <v>Post-1949</v>
      </c>
      <c r="L824" s="8">
        <f t="shared" si="153"/>
        <v>1969</v>
      </c>
      <c r="M824" s="8" t="str">
        <f t="shared" si="155"/>
        <v>1960-1970</v>
      </c>
      <c r="N824" s="10" t="s">
        <v>241</v>
      </c>
      <c r="O824" s="10" t="s">
        <v>241</v>
      </c>
      <c r="P824" s="10" t="s">
        <v>242</v>
      </c>
      <c r="Q824" s="10" t="s">
        <v>242</v>
      </c>
      <c r="R824" s="10" t="s">
        <v>241</v>
      </c>
      <c r="S824" s="10" t="s">
        <v>242</v>
      </c>
      <c r="T824" s="10" t="s">
        <v>242</v>
      </c>
      <c r="U824" s="10" t="s">
        <v>242</v>
      </c>
      <c r="V824" s="10" t="s">
        <v>241</v>
      </c>
      <c r="W824" s="10" t="s">
        <v>242</v>
      </c>
      <c r="X824" s="15">
        <f>IF(ISERROR(VLOOKUP($A824,'13. Updated Demand'!A:Z,15,FALSE)),0,VLOOKUP($A824,'13. Updated Demand'!A:Z,15,FALSE))</f>
        <v>0</v>
      </c>
      <c r="Y824" s="16">
        <f>IF(ISERROR(VLOOKUP($A824,'13. Updated Demand'!A:Z,16,FALSE)),0,VLOOKUP($A824,'13. Updated Demand'!A:Z,16,FALSE))</f>
        <v>0</v>
      </c>
      <c r="Z824" s="16">
        <f>IF(ISERROR(VLOOKUP($A824,'13. Updated Demand'!A:Z,17,FALSE)),0,VLOOKUP($A824,'13. Updated Demand'!A:Z,17,FALSE))</f>
        <v>0</v>
      </c>
      <c r="AA824" s="16">
        <f>IF(ISERROR(VLOOKUP($A824,'13. Updated Demand'!A:Z,18,FALSE)),0,VLOOKUP($A824,'13. Updated Demand'!A:Z,18,FALSE))</f>
        <v>0.28999999999999998</v>
      </c>
      <c r="AB824" s="16">
        <f>IF(ISERROR(VLOOKUP($A824,'13. Updated Demand'!A:Z,19,FALSE)),0,VLOOKUP($A824,'13. Updated Demand'!A:Z,19,FALSE))</f>
        <v>0</v>
      </c>
      <c r="AC824" s="16">
        <f>IF(ISERROR(VLOOKUP($A824,'13. Updated Demand'!A:Z,20,FALSE)),0,VLOOKUP($A824,'13. Updated Demand'!A:Z,20,FALSE))</f>
        <v>0</v>
      </c>
      <c r="AD824" s="16">
        <f>IF(ISERROR(VLOOKUP($A824,'13. Updated Demand'!A:Z,21,FALSE)),0,VLOOKUP($A824,'13. Updated Demand'!A:Z,21,FALSE))</f>
        <v>0</v>
      </c>
      <c r="AE824" s="16">
        <f>IF(ISERROR(VLOOKUP($A824,'13. Updated Demand'!A:Z,22,FALSE)),0,VLOOKUP($A824,'13. Updated Demand'!A:Z,22,FALSE))</f>
        <v>0</v>
      </c>
      <c r="AF824" s="16">
        <f>IF(ISERROR(VLOOKUP($A824,'13. Updated Demand'!A:Z,23,FALSE)),0,VLOOKUP($A824,'13. Updated Demand'!A:Z,23,FALSE))</f>
        <v>0</v>
      </c>
      <c r="AG824" s="16">
        <f>IF(ISERROR(VLOOKUP($A824,'13. Updated Demand'!A:Z,24,FALSE)),0,VLOOKUP($A824,'13. Updated Demand'!A:Z,24,FALSE))</f>
        <v>0</v>
      </c>
      <c r="AH824" s="16">
        <f>IF(ISERROR(VLOOKUP($A824,'13. Updated Demand'!A:Z,25,FALSE)),0,VLOOKUP($A824,'13. Updated Demand'!A:Z,25,FALSE))</f>
        <v>0</v>
      </c>
      <c r="AI824" s="16">
        <f>IF(ISERROR(VLOOKUP($A824,'13. Updated Demand'!A:Z,26,FALSE)),0,VLOOKUP($A824,'13. Updated Demand'!A:Z,26,FALSE))</f>
        <v>0</v>
      </c>
      <c r="AJ824" s="16">
        <f t="shared" si="156"/>
        <v>0.28999999999999998</v>
      </c>
      <c r="AK824" s="19">
        <v>0</v>
      </c>
      <c r="AL824" s="16">
        <f t="shared" si="154"/>
        <v>0</v>
      </c>
      <c r="AM824" s="17">
        <v>6.0068027210884289E-3</v>
      </c>
      <c r="AN824" s="19"/>
      <c r="AO824" s="19"/>
      <c r="AP824" s="19">
        <v>49</v>
      </c>
      <c r="AQ824" s="19" t="s">
        <v>307</v>
      </c>
      <c r="AR824" s="9" t="s">
        <v>311</v>
      </c>
      <c r="AS824" s="12">
        <v>0</v>
      </c>
      <c r="AT824" s="19">
        <v>38.65040638</v>
      </c>
      <c r="AU824" s="19">
        <v>-122.80085923999999</v>
      </c>
      <c r="AV824" s="19" t="s">
        <v>548</v>
      </c>
    </row>
    <row r="825" spans="1:48" x14ac:dyDescent="0.25">
      <c r="A825" s="18" t="s">
        <v>1208</v>
      </c>
      <c r="B825" s="10">
        <v>19690826</v>
      </c>
      <c r="C825" s="9">
        <v>2</v>
      </c>
      <c r="D825" s="8" t="str">
        <f t="shared" si="145"/>
        <v>N</v>
      </c>
      <c r="E825" s="8" t="str">
        <f t="shared" si="146"/>
        <v>N</v>
      </c>
      <c r="F825" s="8" t="str">
        <f t="shared" si="147"/>
        <v>Y</v>
      </c>
      <c r="G825" s="8" t="str">
        <f t="shared" si="148"/>
        <v>N</v>
      </c>
      <c r="H825" s="8" t="str">
        <f t="shared" si="149"/>
        <v>Upper</v>
      </c>
      <c r="I825" s="8" t="str">
        <f t="shared" si="150"/>
        <v>Outside</v>
      </c>
      <c r="J825" s="8" t="str">
        <f t="shared" si="151"/>
        <v>Outside</v>
      </c>
      <c r="K825" s="8" t="str">
        <f t="shared" si="152"/>
        <v>Post-1949</v>
      </c>
      <c r="L825" s="8">
        <f t="shared" si="153"/>
        <v>1969</v>
      </c>
      <c r="M825" s="8" t="str">
        <f t="shared" si="155"/>
        <v>1960-1970</v>
      </c>
      <c r="N825" s="10" t="s">
        <v>242</v>
      </c>
      <c r="O825" s="10" t="s">
        <v>241</v>
      </c>
      <c r="P825" s="10" t="s">
        <v>242</v>
      </c>
      <c r="Q825" s="10" t="s">
        <v>242</v>
      </c>
      <c r="R825" s="10" t="s">
        <v>241</v>
      </c>
      <c r="S825" s="10" t="s">
        <v>242</v>
      </c>
      <c r="T825" s="10" t="s">
        <v>242</v>
      </c>
      <c r="U825" s="10" t="s">
        <v>242</v>
      </c>
      <c r="V825" s="10" t="s">
        <v>242</v>
      </c>
      <c r="W825" s="10" t="s">
        <v>242</v>
      </c>
      <c r="X825" s="15">
        <f>IF(ISERROR(VLOOKUP($A825,'13. Updated Demand'!A:Z,15,FALSE)),0,VLOOKUP($A825,'13. Updated Demand'!A:Z,15,FALSE))</f>
        <v>0</v>
      </c>
      <c r="Y825" s="16">
        <f>IF(ISERROR(VLOOKUP($A825,'13. Updated Demand'!A:Z,16,FALSE)),0,VLOOKUP($A825,'13. Updated Demand'!A:Z,16,FALSE))</f>
        <v>0</v>
      </c>
      <c r="Z825" s="16">
        <f>IF(ISERROR(VLOOKUP($A825,'13. Updated Demand'!A:Z,17,FALSE)),0,VLOOKUP($A825,'13. Updated Demand'!A:Z,17,FALSE))</f>
        <v>0</v>
      </c>
      <c r="AA825" s="16">
        <f>IF(ISERROR(VLOOKUP($A825,'13. Updated Demand'!A:Z,18,FALSE)),0,VLOOKUP($A825,'13. Updated Demand'!A:Z,18,FALSE))</f>
        <v>8.93</v>
      </c>
      <c r="AB825" s="16">
        <f>IF(ISERROR(VLOOKUP($A825,'13. Updated Demand'!A:Z,19,FALSE)),0,VLOOKUP($A825,'13. Updated Demand'!A:Z,19,FALSE))</f>
        <v>4.26</v>
      </c>
      <c r="AC825" s="16">
        <f>IF(ISERROR(VLOOKUP($A825,'13. Updated Demand'!A:Z,20,FALSE)),0,VLOOKUP($A825,'13. Updated Demand'!A:Z,20,FALSE))</f>
        <v>4.4000000000000004</v>
      </c>
      <c r="AD825" s="16">
        <f>IF(ISERROR(VLOOKUP($A825,'13. Updated Demand'!A:Z,21,FALSE)),0,VLOOKUP($A825,'13. Updated Demand'!A:Z,21,FALSE))</f>
        <v>9.8000000000000007</v>
      </c>
      <c r="AE825" s="16">
        <f>IF(ISERROR(VLOOKUP($A825,'13. Updated Demand'!A:Z,22,FALSE)),0,VLOOKUP($A825,'13. Updated Demand'!A:Z,22,FALSE))</f>
        <v>3.26</v>
      </c>
      <c r="AF825" s="16">
        <f>IF(ISERROR(VLOOKUP($A825,'13. Updated Demand'!A:Z,23,FALSE)),0,VLOOKUP($A825,'13. Updated Demand'!A:Z,23,FALSE))</f>
        <v>4.2</v>
      </c>
      <c r="AG825" s="16">
        <f>IF(ISERROR(VLOOKUP($A825,'13. Updated Demand'!A:Z,24,FALSE)),0,VLOOKUP($A825,'13. Updated Demand'!A:Z,24,FALSE))</f>
        <v>0</v>
      </c>
      <c r="AH825" s="16">
        <f>IF(ISERROR(VLOOKUP($A825,'13. Updated Demand'!A:Z,25,FALSE)),0,VLOOKUP($A825,'13. Updated Demand'!A:Z,25,FALSE))</f>
        <v>0</v>
      </c>
      <c r="AI825" s="16">
        <f>IF(ISERROR(VLOOKUP($A825,'13. Updated Demand'!A:Z,26,FALSE)),0,VLOOKUP($A825,'13. Updated Demand'!A:Z,26,FALSE))</f>
        <v>0</v>
      </c>
      <c r="AJ825" s="16">
        <f t="shared" si="156"/>
        <v>34.85</v>
      </c>
      <c r="AK825" s="19">
        <v>25.933333334</v>
      </c>
      <c r="AL825" s="16">
        <f t="shared" si="154"/>
        <v>8.6017912584608128E-2</v>
      </c>
      <c r="AM825" s="17">
        <v>0.2324444444466667</v>
      </c>
      <c r="AN825" s="19"/>
      <c r="AO825" s="19"/>
      <c r="AP825" s="19">
        <v>150</v>
      </c>
      <c r="AQ825" s="19" t="s">
        <v>307</v>
      </c>
      <c r="AR825" s="9" t="s">
        <v>348</v>
      </c>
      <c r="AS825" s="12">
        <v>0</v>
      </c>
      <c r="AT825" s="19">
        <v>39.295985129999998</v>
      </c>
      <c r="AU825" s="19">
        <v>-123.10183375</v>
      </c>
      <c r="AV825" s="19" t="s">
        <v>542</v>
      </c>
    </row>
    <row r="826" spans="1:48" x14ac:dyDescent="0.25">
      <c r="A826" s="18" t="s">
        <v>1209</v>
      </c>
      <c r="B826" s="10">
        <v>19690321</v>
      </c>
      <c r="C826" s="9">
        <v>6</v>
      </c>
      <c r="D826" s="8" t="str">
        <f t="shared" si="145"/>
        <v>Y</v>
      </c>
      <c r="E826" s="8" t="str">
        <f t="shared" si="146"/>
        <v>N</v>
      </c>
      <c r="F826" s="8" t="str">
        <f t="shared" si="147"/>
        <v>Y</v>
      </c>
      <c r="G826" s="8" t="str">
        <f t="shared" si="148"/>
        <v>Y</v>
      </c>
      <c r="H826" s="8" t="str">
        <f t="shared" si="149"/>
        <v>Upper</v>
      </c>
      <c r="I826" s="8" t="str">
        <f t="shared" si="150"/>
        <v>West Fork and Below Lake</v>
      </c>
      <c r="J826" s="8" t="str">
        <f t="shared" si="151"/>
        <v>Mendocino (d/s of lake)</v>
      </c>
      <c r="K826" s="8" t="str">
        <f t="shared" si="152"/>
        <v>Post-1949</v>
      </c>
      <c r="L826" s="8">
        <f t="shared" si="153"/>
        <v>1969</v>
      </c>
      <c r="M826" s="8" t="str">
        <f t="shared" si="155"/>
        <v>1960-1970</v>
      </c>
      <c r="N826" s="10" t="s">
        <v>242</v>
      </c>
      <c r="O826" s="10" t="s">
        <v>241</v>
      </c>
      <c r="P826" s="10" t="s">
        <v>242</v>
      </c>
      <c r="Q826" s="10" t="s">
        <v>242</v>
      </c>
      <c r="R826" s="10" t="s">
        <v>241</v>
      </c>
      <c r="S826" s="10" t="s">
        <v>242</v>
      </c>
      <c r="T826" s="10" t="s">
        <v>242</v>
      </c>
      <c r="U826" s="10" t="s">
        <v>241</v>
      </c>
      <c r="V826" s="10" t="s">
        <v>241</v>
      </c>
      <c r="W826" s="10" t="s">
        <v>242</v>
      </c>
      <c r="X826" s="15">
        <f>IF(ISERROR(VLOOKUP($A826,'13. Updated Demand'!A:Z,15,FALSE)),0,VLOOKUP($A826,'13. Updated Demand'!A:Z,15,FALSE))</f>
        <v>0</v>
      </c>
      <c r="Y826" s="16">
        <f>IF(ISERROR(VLOOKUP($A826,'13. Updated Demand'!A:Z,16,FALSE)),0,VLOOKUP($A826,'13. Updated Demand'!A:Z,16,FALSE))</f>
        <v>0</v>
      </c>
      <c r="Z826" s="16">
        <f>IF(ISERROR(VLOOKUP($A826,'13. Updated Demand'!A:Z,17,FALSE)),0,VLOOKUP($A826,'13. Updated Demand'!A:Z,17,FALSE))</f>
        <v>0</v>
      </c>
      <c r="AA826" s="16">
        <f>IF(ISERROR(VLOOKUP($A826,'13. Updated Demand'!A:Z,18,FALSE)),0,VLOOKUP($A826,'13. Updated Demand'!A:Z,18,FALSE))</f>
        <v>0</v>
      </c>
      <c r="AB826" s="16">
        <f>IF(ISERROR(VLOOKUP($A826,'13. Updated Demand'!A:Z,19,FALSE)),0,VLOOKUP($A826,'13. Updated Demand'!A:Z,19,FALSE))</f>
        <v>0</v>
      </c>
      <c r="AC826" s="16">
        <f>IF(ISERROR(VLOOKUP($A826,'13. Updated Demand'!A:Z,20,FALSE)),0,VLOOKUP($A826,'13. Updated Demand'!A:Z,20,FALSE))</f>
        <v>0</v>
      </c>
      <c r="AD826" s="16">
        <f>IF(ISERROR(VLOOKUP($A826,'13. Updated Demand'!A:Z,21,FALSE)),0,VLOOKUP($A826,'13. Updated Demand'!A:Z,21,FALSE))</f>
        <v>0</v>
      </c>
      <c r="AE826" s="16">
        <f>IF(ISERROR(VLOOKUP($A826,'13. Updated Demand'!A:Z,22,FALSE)),0,VLOOKUP($A826,'13. Updated Demand'!A:Z,22,FALSE))</f>
        <v>0</v>
      </c>
      <c r="AF826" s="16">
        <f>IF(ISERROR(VLOOKUP($A826,'13. Updated Demand'!A:Z,23,FALSE)),0,VLOOKUP($A826,'13. Updated Demand'!A:Z,23,FALSE))</f>
        <v>0</v>
      </c>
      <c r="AG826" s="16">
        <f>IF(ISERROR(VLOOKUP($A826,'13. Updated Demand'!A:Z,24,FALSE)),0,VLOOKUP($A826,'13. Updated Demand'!A:Z,24,FALSE))</f>
        <v>0</v>
      </c>
      <c r="AH826" s="16">
        <f>IF(ISERROR(VLOOKUP($A826,'13. Updated Demand'!A:Z,25,FALSE)),0,VLOOKUP($A826,'13. Updated Demand'!A:Z,25,FALSE))</f>
        <v>0</v>
      </c>
      <c r="AI826" s="16">
        <f>IF(ISERROR(VLOOKUP($A826,'13. Updated Demand'!A:Z,26,FALSE)),0,VLOOKUP($A826,'13. Updated Demand'!A:Z,26,FALSE))</f>
        <v>0</v>
      </c>
      <c r="AJ826" s="16">
        <f t="shared" si="156"/>
        <v>0</v>
      </c>
      <c r="AK826" s="19">
        <v>0</v>
      </c>
      <c r="AL826" s="16">
        <f t="shared" si="154"/>
        <v>0</v>
      </c>
      <c r="AM826" s="17">
        <v>0</v>
      </c>
      <c r="AN826" s="19"/>
      <c r="AO826" s="19"/>
      <c r="AP826" s="19">
        <v>25</v>
      </c>
      <c r="AQ826" s="19" t="s">
        <v>307</v>
      </c>
      <c r="AR826" s="9" t="s">
        <v>319</v>
      </c>
      <c r="AS826" s="12">
        <v>0</v>
      </c>
      <c r="AT826" s="19">
        <v>38.97245985</v>
      </c>
      <c r="AU826" s="19">
        <v>-123.13656416000001</v>
      </c>
      <c r="AV826" s="19" t="s">
        <v>362</v>
      </c>
    </row>
    <row r="827" spans="1:48" x14ac:dyDescent="0.25">
      <c r="A827" s="18" t="s">
        <v>1210</v>
      </c>
      <c r="B827" s="10">
        <v>19690409</v>
      </c>
      <c r="C827" s="9">
        <v>12</v>
      </c>
      <c r="D827" s="8" t="str">
        <f t="shared" si="145"/>
        <v>N</v>
      </c>
      <c r="E827" s="8" t="str">
        <f t="shared" si="146"/>
        <v>Y</v>
      </c>
      <c r="F827" s="8" t="str">
        <f t="shared" si="147"/>
        <v>Y</v>
      </c>
      <c r="G827" s="8" t="str">
        <f t="shared" si="148"/>
        <v>Y</v>
      </c>
      <c r="H827" s="8" t="str">
        <f t="shared" si="149"/>
        <v>Upper</v>
      </c>
      <c r="I827" s="8" t="str">
        <f t="shared" si="150"/>
        <v>West Fork and Below Lake</v>
      </c>
      <c r="J827" s="8" t="str">
        <f t="shared" si="151"/>
        <v>Sonoma (d/s of Clov. Gage)</v>
      </c>
      <c r="K827" s="8" t="str">
        <f t="shared" si="152"/>
        <v>Post-1949</v>
      </c>
      <c r="L827" s="8">
        <f t="shared" si="153"/>
        <v>1969</v>
      </c>
      <c r="M827" s="8" t="str">
        <f t="shared" si="155"/>
        <v>1960-1970</v>
      </c>
      <c r="N827" s="10" t="s">
        <v>241</v>
      </c>
      <c r="O827" s="10" t="s">
        <v>241</v>
      </c>
      <c r="P827" s="10" t="s">
        <v>242</v>
      </c>
      <c r="Q827" s="10" t="s">
        <v>242</v>
      </c>
      <c r="R827" s="10" t="s">
        <v>241</v>
      </c>
      <c r="S827" s="10" t="s">
        <v>242</v>
      </c>
      <c r="T827" s="10" t="s">
        <v>242</v>
      </c>
      <c r="U827" s="10" t="s">
        <v>242</v>
      </c>
      <c r="V827" s="10" t="s">
        <v>241</v>
      </c>
      <c r="W827" s="10" t="s">
        <v>242</v>
      </c>
      <c r="X827" s="15">
        <f>IF(ISERROR(VLOOKUP($A827,'13. Updated Demand'!A:Z,15,FALSE)),0,VLOOKUP($A827,'13. Updated Demand'!A:Z,15,FALSE))</f>
        <v>3.33</v>
      </c>
      <c r="Y827" s="16">
        <f>IF(ISERROR(VLOOKUP($A827,'13. Updated Demand'!A:Z,16,FALSE)),0,VLOOKUP($A827,'13. Updated Demand'!A:Z,16,FALSE))</f>
        <v>0</v>
      </c>
      <c r="Z827" s="16">
        <f>IF(ISERROR(VLOOKUP($A827,'13. Updated Demand'!A:Z,17,FALSE)),0,VLOOKUP($A827,'13. Updated Demand'!A:Z,17,FALSE))</f>
        <v>0</v>
      </c>
      <c r="AA827" s="16">
        <f>IF(ISERROR(VLOOKUP($A827,'13. Updated Demand'!A:Z,18,FALSE)),0,VLOOKUP($A827,'13. Updated Demand'!A:Z,18,FALSE))</f>
        <v>0</v>
      </c>
      <c r="AB827" s="16">
        <f>IF(ISERROR(VLOOKUP($A827,'13. Updated Demand'!A:Z,19,FALSE)),0,VLOOKUP($A827,'13. Updated Demand'!A:Z,19,FALSE))</f>
        <v>0</v>
      </c>
      <c r="AC827" s="16">
        <f>IF(ISERROR(VLOOKUP($A827,'13. Updated Demand'!A:Z,20,FALSE)),0,VLOOKUP($A827,'13. Updated Demand'!A:Z,20,FALSE))</f>
        <v>0</v>
      </c>
      <c r="AD827" s="16">
        <f>IF(ISERROR(VLOOKUP($A827,'13. Updated Demand'!A:Z,21,FALSE)),0,VLOOKUP($A827,'13. Updated Demand'!A:Z,21,FALSE))</f>
        <v>0</v>
      </c>
      <c r="AE827" s="16">
        <f>IF(ISERROR(VLOOKUP($A827,'13. Updated Demand'!A:Z,22,FALSE)),0,VLOOKUP($A827,'13. Updated Demand'!A:Z,22,FALSE))</f>
        <v>0</v>
      </c>
      <c r="AF827" s="16">
        <f>IF(ISERROR(VLOOKUP($A827,'13. Updated Demand'!A:Z,23,FALSE)),0,VLOOKUP($A827,'13. Updated Demand'!A:Z,23,FALSE))</f>
        <v>0</v>
      </c>
      <c r="AG827" s="16">
        <f>IF(ISERROR(VLOOKUP($A827,'13. Updated Demand'!A:Z,24,FALSE)),0,VLOOKUP($A827,'13. Updated Demand'!A:Z,24,FALSE))</f>
        <v>0</v>
      </c>
      <c r="AH827" s="16">
        <f>IF(ISERROR(VLOOKUP($A827,'13. Updated Demand'!A:Z,25,FALSE)),0,VLOOKUP($A827,'13. Updated Demand'!A:Z,25,FALSE))</f>
        <v>0</v>
      </c>
      <c r="AI827" s="16">
        <f>IF(ISERROR(VLOOKUP($A827,'13. Updated Demand'!A:Z,26,FALSE)),0,VLOOKUP($A827,'13. Updated Demand'!A:Z,26,FALSE))</f>
        <v>0</v>
      </c>
      <c r="AJ827" s="16">
        <f t="shared" si="156"/>
        <v>3.33</v>
      </c>
      <c r="AK827" s="19">
        <v>0</v>
      </c>
      <c r="AL827" s="16">
        <f t="shared" si="154"/>
        <v>0</v>
      </c>
      <c r="AM827" s="17">
        <v>0.16666666666666649</v>
      </c>
      <c r="AN827" s="19"/>
      <c r="AO827" s="19"/>
      <c r="AP827" s="19">
        <v>20</v>
      </c>
      <c r="AQ827" s="19" t="s">
        <v>307</v>
      </c>
      <c r="AR827" s="9" t="s">
        <v>311</v>
      </c>
      <c r="AS827" s="12">
        <v>0</v>
      </c>
      <c r="AT827" s="19">
        <v>38.635983680000002</v>
      </c>
      <c r="AU827" s="19">
        <v>-122.80174755</v>
      </c>
      <c r="AV827" s="19" t="s">
        <v>417</v>
      </c>
    </row>
    <row r="828" spans="1:48" x14ac:dyDescent="0.25">
      <c r="A828" s="18" t="s">
        <v>1211</v>
      </c>
      <c r="B828" s="10">
        <v>19690520</v>
      </c>
      <c r="C828" s="9">
        <v>1</v>
      </c>
      <c r="D828" s="8" t="str">
        <f t="shared" si="145"/>
        <v>N</v>
      </c>
      <c r="E828" s="8" t="str">
        <f t="shared" si="146"/>
        <v>N</v>
      </c>
      <c r="F828" s="8" t="str">
        <f t="shared" si="147"/>
        <v>Y</v>
      </c>
      <c r="G828" s="8" t="str">
        <f t="shared" si="148"/>
        <v>Y</v>
      </c>
      <c r="H828" s="8" t="str">
        <f t="shared" si="149"/>
        <v>Upper</v>
      </c>
      <c r="I828" s="8" t="str">
        <f t="shared" si="150"/>
        <v>West Fork and Below Lake</v>
      </c>
      <c r="J828" s="8" t="str">
        <f t="shared" si="151"/>
        <v>Outside</v>
      </c>
      <c r="K828" s="8" t="str">
        <f t="shared" si="152"/>
        <v>Post-1949</v>
      </c>
      <c r="L828" s="8">
        <f t="shared" si="153"/>
        <v>1969</v>
      </c>
      <c r="M828" s="8" t="str">
        <f t="shared" si="155"/>
        <v>1960-1970</v>
      </c>
      <c r="N828" s="10" t="s">
        <v>242</v>
      </c>
      <c r="O828" s="10" t="s">
        <v>241</v>
      </c>
      <c r="P828" s="10" t="s">
        <v>242</v>
      </c>
      <c r="Q828" s="10" t="s">
        <v>242</v>
      </c>
      <c r="R828" s="10" t="s">
        <v>241</v>
      </c>
      <c r="S828" s="10" t="s">
        <v>242</v>
      </c>
      <c r="T828" s="10" t="s">
        <v>242</v>
      </c>
      <c r="U828" s="10" t="s">
        <v>242</v>
      </c>
      <c r="V828" s="10" t="s">
        <v>242</v>
      </c>
      <c r="W828" s="10" t="s">
        <v>242</v>
      </c>
      <c r="X828" s="15">
        <f>IF(ISERROR(VLOOKUP($A828,'13. Updated Demand'!A:Z,15,FALSE)),0,VLOOKUP($A828,'13. Updated Demand'!A:Z,15,FALSE))</f>
        <v>0.33</v>
      </c>
      <c r="Y828" s="16">
        <f>IF(ISERROR(VLOOKUP($A828,'13. Updated Demand'!A:Z,16,FALSE)),0,VLOOKUP($A828,'13. Updated Demand'!A:Z,16,FALSE))</f>
        <v>0.33</v>
      </c>
      <c r="Z828" s="16">
        <f>IF(ISERROR(VLOOKUP($A828,'13. Updated Demand'!A:Z,17,FALSE)),0,VLOOKUP($A828,'13. Updated Demand'!A:Z,17,FALSE))</f>
        <v>5</v>
      </c>
      <c r="AA828" s="16">
        <f>IF(ISERROR(VLOOKUP($A828,'13. Updated Demand'!A:Z,18,FALSE)),0,VLOOKUP($A828,'13. Updated Demand'!A:Z,18,FALSE))</f>
        <v>5</v>
      </c>
      <c r="AB828" s="16">
        <f>IF(ISERROR(VLOOKUP($A828,'13. Updated Demand'!A:Z,19,FALSE)),0,VLOOKUP($A828,'13. Updated Demand'!A:Z,19,FALSE))</f>
        <v>3.83</v>
      </c>
      <c r="AC828" s="16">
        <f>IF(ISERROR(VLOOKUP($A828,'13. Updated Demand'!A:Z,20,FALSE)),0,VLOOKUP($A828,'13. Updated Demand'!A:Z,20,FALSE))</f>
        <v>0</v>
      </c>
      <c r="AD828" s="16">
        <f>IF(ISERROR(VLOOKUP($A828,'13. Updated Demand'!A:Z,21,FALSE)),0,VLOOKUP($A828,'13. Updated Demand'!A:Z,21,FALSE))</f>
        <v>0</v>
      </c>
      <c r="AE828" s="16">
        <f>IF(ISERROR(VLOOKUP($A828,'13. Updated Demand'!A:Z,22,FALSE)),0,VLOOKUP($A828,'13. Updated Demand'!A:Z,22,FALSE))</f>
        <v>0</v>
      </c>
      <c r="AF828" s="16">
        <f>IF(ISERROR(VLOOKUP($A828,'13. Updated Demand'!A:Z,23,FALSE)),0,VLOOKUP($A828,'13. Updated Demand'!A:Z,23,FALSE))</f>
        <v>0</v>
      </c>
      <c r="AG828" s="16">
        <f>IF(ISERROR(VLOOKUP($A828,'13. Updated Demand'!A:Z,24,FALSE)),0,VLOOKUP($A828,'13. Updated Demand'!A:Z,24,FALSE))</f>
        <v>0</v>
      </c>
      <c r="AH828" s="16">
        <f>IF(ISERROR(VLOOKUP($A828,'13. Updated Demand'!A:Z,25,FALSE)),0,VLOOKUP($A828,'13. Updated Demand'!A:Z,25,FALSE))</f>
        <v>0</v>
      </c>
      <c r="AI828" s="16">
        <f>IF(ISERROR(VLOOKUP($A828,'13. Updated Demand'!A:Z,26,FALSE)),0,VLOOKUP($A828,'13. Updated Demand'!A:Z,26,FALSE))</f>
        <v>0</v>
      </c>
      <c r="AJ828" s="16">
        <f t="shared" si="156"/>
        <v>14.49</v>
      </c>
      <c r="AK828" s="19">
        <v>3.8333333330000001</v>
      </c>
      <c r="AL828" s="16">
        <f t="shared" si="154"/>
        <v>1.2714730007860489E-2</v>
      </c>
      <c r="AM828" s="17">
        <v>0.99999999993103461</v>
      </c>
      <c r="AN828" s="19"/>
      <c r="AO828" s="19"/>
      <c r="AP828" s="19">
        <v>14.5</v>
      </c>
      <c r="AQ828" s="19" t="s">
        <v>307</v>
      </c>
      <c r="AR828" s="9" t="s">
        <v>317</v>
      </c>
      <c r="AS828" s="12">
        <v>0</v>
      </c>
      <c r="AT828" s="19">
        <v>39.278284239999998</v>
      </c>
      <c r="AU828" s="19">
        <v>-123.19871575000001</v>
      </c>
      <c r="AV828" s="19" t="s">
        <v>417</v>
      </c>
    </row>
    <row r="829" spans="1:48" x14ac:dyDescent="0.25">
      <c r="A829" s="18" t="s">
        <v>1212</v>
      </c>
      <c r="B829" s="10">
        <v>19690611</v>
      </c>
      <c r="C829" s="9">
        <v>12</v>
      </c>
      <c r="D829" s="8" t="str">
        <f t="shared" si="145"/>
        <v>N</v>
      </c>
      <c r="E829" s="8" t="str">
        <f t="shared" si="146"/>
        <v>Y</v>
      </c>
      <c r="F829" s="8" t="str">
        <f t="shared" si="147"/>
        <v>Y</v>
      </c>
      <c r="G829" s="8" t="str">
        <f t="shared" si="148"/>
        <v>Y</v>
      </c>
      <c r="H829" s="8" t="str">
        <f t="shared" si="149"/>
        <v>Upper</v>
      </c>
      <c r="I829" s="8" t="str">
        <f t="shared" si="150"/>
        <v>West Fork and Below Lake</v>
      </c>
      <c r="J829" s="8" t="str">
        <f t="shared" si="151"/>
        <v>Sonoma (d/s of Clov. Gage)</v>
      </c>
      <c r="K829" s="8" t="str">
        <f t="shared" si="152"/>
        <v>Post-1949</v>
      </c>
      <c r="L829" s="8">
        <f t="shared" si="153"/>
        <v>1969</v>
      </c>
      <c r="M829" s="8" t="str">
        <f t="shared" si="155"/>
        <v>1960-1970</v>
      </c>
      <c r="N829" s="10" t="s">
        <v>242</v>
      </c>
      <c r="O829" s="10" t="s">
        <v>241</v>
      </c>
      <c r="P829" s="10" t="s">
        <v>242</v>
      </c>
      <c r="Q829" s="10" t="s">
        <v>242</v>
      </c>
      <c r="R829" s="10" t="s">
        <v>241</v>
      </c>
      <c r="S829" s="10" t="s">
        <v>242</v>
      </c>
      <c r="T829" s="10" t="s">
        <v>242</v>
      </c>
      <c r="U829" s="10" t="s">
        <v>241</v>
      </c>
      <c r="V829" s="10" t="s">
        <v>241</v>
      </c>
      <c r="W829" s="10" t="s">
        <v>242</v>
      </c>
      <c r="X829" s="15">
        <f>IF(ISERROR(VLOOKUP($A829,'13. Updated Demand'!A:Z,15,FALSE)),0,VLOOKUP($A829,'13. Updated Demand'!A:Z,15,FALSE))</f>
        <v>0</v>
      </c>
      <c r="Y829" s="16">
        <f>IF(ISERROR(VLOOKUP($A829,'13. Updated Demand'!A:Z,16,FALSE)),0,VLOOKUP($A829,'13. Updated Demand'!A:Z,16,FALSE))</f>
        <v>0</v>
      </c>
      <c r="Z829" s="16">
        <f>IF(ISERROR(VLOOKUP($A829,'13. Updated Demand'!A:Z,17,FALSE)),0,VLOOKUP($A829,'13. Updated Demand'!A:Z,17,FALSE))</f>
        <v>0</v>
      </c>
      <c r="AA829" s="16">
        <f>IF(ISERROR(VLOOKUP($A829,'13. Updated Demand'!A:Z,18,FALSE)),0,VLOOKUP($A829,'13. Updated Demand'!A:Z,18,FALSE))</f>
        <v>0</v>
      </c>
      <c r="AB829" s="16">
        <f>IF(ISERROR(VLOOKUP($A829,'13. Updated Demand'!A:Z,19,FALSE)),0,VLOOKUP($A829,'13. Updated Demand'!A:Z,19,FALSE))</f>
        <v>0</v>
      </c>
      <c r="AC829" s="16">
        <f>IF(ISERROR(VLOOKUP($A829,'13. Updated Demand'!A:Z,20,FALSE)),0,VLOOKUP($A829,'13. Updated Demand'!A:Z,20,FALSE))</f>
        <v>0</v>
      </c>
      <c r="AD829" s="16">
        <f>IF(ISERROR(VLOOKUP($A829,'13. Updated Demand'!A:Z,21,FALSE)),0,VLOOKUP($A829,'13. Updated Demand'!A:Z,21,FALSE))</f>
        <v>0</v>
      </c>
      <c r="AE829" s="16">
        <f>IF(ISERROR(VLOOKUP($A829,'13. Updated Demand'!A:Z,22,FALSE)),0,VLOOKUP($A829,'13. Updated Demand'!A:Z,22,FALSE))</f>
        <v>0</v>
      </c>
      <c r="AF829" s="16">
        <f>IF(ISERROR(VLOOKUP($A829,'13. Updated Demand'!A:Z,23,FALSE)),0,VLOOKUP($A829,'13. Updated Demand'!A:Z,23,FALSE))</f>
        <v>0</v>
      </c>
      <c r="AG829" s="16">
        <f>IF(ISERROR(VLOOKUP($A829,'13. Updated Demand'!A:Z,24,FALSE)),0,VLOOKUP($A829,'13. Updated Demand'!A:Z,24,FALSE))</f>
        <v>0</v>
      </c>
      <c r="AH829" s="16">
        <f>IF(ISERROR(VLOOKUP($A829,'13. Updated Demand'!A:Z,25,FALSE)),0,VLOOKUP($A829,'13. Updated Demand'!A:Z,25,FALSE))</f>
        <v>0</v>
      </c>
      <c r="AI829" s="16">
        <f>IF(ISERROR(VLOOKUP($A829,'13. Updated Demand'!A:Z,26,FALSE)),0,VLOOKUP($A829,'13. Updated Demand'!A:Z,26,FALSE))</f>
        <v>0</v>
      </c>
      <c r="AJ829" s="16">
        <f t="shared" si="156"/>
        <v>0</v>
      </c>
      <c r="AK829" s="19">
        <v>0</v>
      </c>
      <c r="AL829" s="16">
        <f t="shared" si="154"/>
        <v>0</v>
      </c>
      <c r="AM829" s="17">
        <v>0</v>
      </c>
      <c r="AN829" s="19"/>
      <c r="AO829" s="19"/>
      <c r="AP829" s="19">
        <v>2.8</v>
      </c>
      <c r="AQ829" s="19" t="s">
        <v>307</v>
      </c>
      <c r="AR829" s="9" t="s">
        <v>311</v>
      </c>
      <c r="AS829" s="12">
        <v>0</v>
      </c>
      <c r="AT829" s="19">
        <v>38.582543880000003</v>
      </c>
      <c r="AU829" s="19">
        <v>-122.76546273</v>
      </c>
      <c r="AV829" s="19" t="s">
        <v>417</v>
      </c>
    </row>
    <row r="830" spans="1:48" x14ac:dyDescent="0.25">
      <c r="A830" s="18" t="s">
        <v>1213</v>
      </c>
      <c r="B830" s="10">
        <v>19690617</v>
      </c>
      <c r="C830" s="9">
        <v>12</v>
      </c>
      <c r="D830" s="8" t="str">
        <f t="shared" si="145"/>
        <v>N</v>
      </c>
      <c r="E830" s="8" t="str">
        <f t="shared" si="146"/>
        <v>Y</v>
      </c>
      <c r="F830" s="8" t="str">
        <f t="shared" si="147"/>
        <v>Y</v>
      </c>
      <c r="G830" s="8" t="str">
        <f t="shared" si="148"/>
        <v>Y</v>
      </c>
      <c r="H830" s="8" t="str">
        <f t="shared" si="149"/>
        <v>Upper</v>
      </c>
      <c r="I830" s="8" t="str">
        <f t="shared" si="150"/>
        <v>West Fork and Below Lake</v>
      </c>
      <c r="J830" s="8" t="str">
        <f t="shared" si="151"/>
        <v>Sonoma (d/s of Clov. Gage)</v>
      </c>
      <c r="K830" s="8" t="str">
        <f t="shared" si="152"/>
        <v>Post-1949</v>
      </c>
      <c r="L830" s="8">
        <f t="shared" si="153"/>
        <v>1969</v>
      </c>
      <c r="M830" s="8" t="str">
        <f t="shared" si="155"/>
        <v>1960-1970</v>
      </c>
      <c r="N830" s="10" t="s">
        <v>241</v>
      </c>
      <c r="O830" s="10" t="s">
        <v>241</v>
      </c>
      <c r="P830" s="10" t="s">
        <v>242</v>
      </c>
      <c r="Q830" s="10" t="s">
        <v>242</v>
      </c>
      <c r="R830" s="10" t="s">
        <v>241</v>
      </c>
      <c r="S830" s="10" t="s">
        <v>242</v>
      </c>
      <c r="T830" s="10" t="s">
        <v>242</v>
      </c>
      <c r="U830" s="10" t="s">
        <v>242</v>
      </c>
      <c r="V830" s="10" t="s">
        <v>242</v>
      </c>
      <c r="W830" s="10" t="s">
        <v>242</v>
      </c>
      <c r="X830" s="15">
        <f>IF(ISERROR(VLOOKUP($A830,'13. Updated Demand'!A:Z,15,FALSE)),0,VLOOKUP($A830,'13. Updated Demand'!A:Z,15,FALSE))</f>
        <v>0.09</v>
      </c>
      <c r="Y830" s="16">
        <f>IF(ISERROR(VLOOKUP($A830,'13. Updated Demand'!A:Z,16,FALSE)),0,VLOOKUP($A830,'13. Updated Demand'!A:Z,16,FALSE))</f>
        <v>7.0000000000000007E-2</v>
      </c>
      <c r="Z830" s="16">
        <f>IF(ISERROR(VLOOKUP($A830,'13. Updated Demand'!A:Z,17,FALSE)),0,VLOOKUP($A830,'13. Updated Demand'!A:Z,17,FALSE))</f>
        <v>0.03</v>
      </c>
      <c r="AA830" s="16">
        <f>IF(ISERROR(VLOOKUP($A830,'13. Updated Demand'!A:Z,18,FALSE)),0,VLOOKUP($A830,'13. Updated Demand'!A:Z,18,FALSE))</f>
        <v>0.02</v>
      </c>
      <c r="AB830" s="16">
        <f>IF(ISERROR(VLOOKUP($A830,'13. Updated Demand'!A:Z,19,FALSE)),0,VLOOKUP($A830,'13. Updated Demand'!A:Z,19,FALSE))</f>
        <v>3.3333333333333301E-3</v>
      </c>
      <c r="AC830" s="16">
        <f>IF(ISERROR(VLOOKUP($A830,'13. Updated Demand'!A:Z,20,FALSE)),0,VLOOKUP($A830,'13. Updated Demand'!A:Z,20,FALSE))</f>
        <v>0</v>
      </c>
      <c r="AD830" s="16">
        <f>IF(ISERROR(VLOOKUP($A830,'13. Updated Demand'!A:Z,21,FALSE)),0,VLOOKUP($A830,'13. Updated Demand'!A:Z,21,FALSE))</f>
        <v>0</v>
      </c>
      <c r="AE830" s="16">
        <f>IF(ISERROR(VLOOKUP($A830,'13. Updated Demand'!A:Z,22,FALSE)),0,VLOOKUP($A830,'13. Updated Demand'!A:Z,22,FALSE))</f>
        <v>0</v>
      </c>
      <c r="AF830" s="16">
        <f>IF(ISERROR(VLOOKUP($A830,'13. Updated Demand'!A:Z,23,FALSE)),0,VLOOKUP($A830,'13. Updated Demand'!A:Z,23,FALSE))</f>
        <v>0</v>
      </c>
      <c r="AG830" s="16">
        <f>IF(ISERROR(VLOOKUP($A830,'13. Updated Demand'!A:Z,24,FALSE)),0,VLOOKUP($A830,'13. Updated Demand'!A:Z,24,FALSE))</f>
        <v>0</v>
      </c>
      <c r="AH830" s="16">
        <f>IF(ISERROR(VLOOKUP($A830,'13. Updated Demand'!A:Z,25,FALSE)),0,VLOOKUP($A830,'13. Updated Demand'!A:Z,25,FALSE))</f>
        <v>0.74</v>
      </c>
      <c r="AI830" s="16">
        <f>IF(ISERROR(VLOOKUP($A830,'13. Updated Demand'!A:Z,26,FALSE)),0,VLOOKUP($A830,'13. Updated Demand'!A:Z,26,FALSE))</f>
        <v>0.84</v>
      </c>
      <c r="AJ830" s="16">
        <f t="shared" si="156"/>
        <v>1.7933333333333334</v>
      </c>
      <c r="AK830" s="19">
        <v>3.3333333333333301E-3</v>
      </c>
      <c r="AL830" s="16">
        <f t="shared" si="154"/>
        <v>1.1056286964318353E-5</v>
      </c>
      <c r="AM830" s="17">
        <v>0.4065185185185185</v>
      </c>
      <c r="AN830" s="19"/>
      <c r="AO830" s="19"/>
      <c r="AP830" s="19">
        <v>4.5</v>
      </c>
      <c r="AQ830" s="19" t="s">
        <v>307</v>
      </c>
      <c r="AR830" s="9" t="s">
        <v>311</v>
      </c>
      <c r="AS830" s="12">
        <v>0</v>
      </c>
      <c r="AT830" s="19">
        <v>38.649124399999998</v>
      </c>
      <c r="AU830" s="19">
        <v>-122.78753829</v>
      </c>
      <c r="AV830" s="19" t="s">
        <v>417</v>
      </c>
    </row>
    <row r="831" spans="1:48" x14ac:dyDescent="0.25">
      <c r="A831" s="18" t="s">
        <v>1214</v>
      </c>
      <c r="B831" s="10">
        <v>19690812</v>
      </c>
      <c r="C831" s="9">
        <v>5</v>
      </c>
      <c r="D831" s="8" t="str">
        <f t="shared" si="145"/>
        <v>Y</v>
      </c>
      <c r="E831" s="8" t="str">
        <f t="shared" si="146"/>
        <v>N</v>
      </c>
      <c r="F831" s="8" t="str">
        <f t="shared" si="147"/>
        <v>Y</v>
      </c>
      <c r="G831" s="8" t="str">
        <f t="shared" si="148"/>
        <v>Y</v>
      </c>
      <c r="H831" s="8" t="str">
        <f t="shared" si="149"/>
        <v>Upper</v>
      </c>
      <c r="I831" s="8" t="str">
        <f t="shared" si="150"/>
        <v>West Fork and Below Lake</v>
      </c>
      <c r="J831" s="8" t="str">
        <f t="shared" si="151"/>
        <v>Mendocino (d/s of lake)</v>
      </c>
      <c r="K831" s="8" t="str">
        <f t="shared" si="152"/>
        <v>Post-1949</v>
      </c>
      <c r="L831" s="8">
        <f t="shared" si="153"/>
        <v>1969</v>
      </c>
      <c r="M831" s="8" t="str">
        <f t="shared" si="155"/>
        <v>1960-1970</v>
      </c>
      <c r="N831" s="10" t="s">
        <v>242</v>
      </c>
      <c r="O831" s="10" t="s">
        <v>241</v>
      </c>
      <c r="P831" s="10" t="s">
        <v>242</v>
      </c>
      <c r="Q831" s="10" t="s">
        <v>242</v>
      </c>
      <c r="R831" s="10" t="s">
        <v>241</v>
      </c>
      <c r="S831" s="10" t="s">
        <v>242</v>
      </c>
      <c r="T831" s="10" t="s">
        <v>242</v>
      </c>
      <c r="U831" s="10" t="s">
        <v>242</v>
      </c>
      <c r="V831" s="10" t="s">
        <v>241</v>
      </c>
      <c r="W831" s="10" t="s">
        <v>242</v>
      </c>
      <c r="X831" s="15">
        <f>IF(ISERROR(VLOOKUP($A831,'13. Updated Demand'!A:Z,15,FALSE)),0,VLOOKUP($A831,'13. Updated Demand'!A:Z,15,FALSE))</f>
        <v>4.66</v>
      </c>
      <c r="Y831" s="16">
        <f>IF(ISERROR(VLOOKUP($A831,'13. Updated Demand'!A:Z,16,FALSE)),0,VLOOKUP($A831,'13. Updated Demand'!A:Z,16,FALSE))</f>
        <v>3.66</v>
      </c>
      <c r="Z831" s="16">
        <f>IF(ISERROR(VLOOKUP($A831,'13. Updated Demand'!A:Z,17,FALSE)),0,VLOOKUP($A831,'13. Updated Demand'!A:Z,17,FALSE))</f>
        <v>0.66</v>
      </c>
      <c r="AA831" s="16">
        <f>IF(ISERROR(VLOOKUP($A831,'13. Updated Demand'!A:Z,18,FALSE)),0,VLOOKUP($A831,'13. Updated Demand'!A:Z,18,FALSE))</f>
        <v>0</v>
      </c>
      <c r="AB831" s="16">
        <f>IF(ISERROR(VLOOKUP($A831,'13. Updated Demand'!A:Z,19,FALSE)),0,VLOOKUP($A831,'13. Updated Demand'!A:Z,19,FALSE))</f>
        <v>0</v>
      </c>
      <c r="AC831" s="16">
        <f>IF(ISERROR(VLOOKUP($A831,'13. Updated Demand'!A:Z,20,FALSE)),0,VLOOKUP($A831,'13. Updated Demand'!A:Z,20,FALSE))</f>
        <v>0</v>
      </c>
      <c r="AD831" s="16">
        <f>IF(ISERROR(VLOOKUP($A831,'13. Updated Demand'!A:Z,21,FALSE)),0,VLOOKUP($A831,'13. Updated Demand'!A:Z,21,FALSE))</f>
        <v>0</v>
      </c>
      <c r="AE831" s="16">
        <f>IF(ISERROR(VLOOKUP($A831,'13. Updated Demand'!A:Z,22,FALSE)),0,VLOOKUP($A831,'13. Updated Demand'!A:Z,22,FALSE))</f>
        <v>0</v>
      </c>
      <c r="AF831" s="16">
        <f>IF(ISERROR(VLOOKUP($A831,'13. Updated Demand'!A:Z,23,FALSE)),0,VLOOKUP($A831,'13. Updated Demand'!A:Z,23,FALSE))</f>
        <v>0</v>
      </c>
      <c r="AG831" s="16">
        <f>IF(ISERROR(VLOOKUP($A831,'13. Updated Demand'!A:Z,24,FALSE)),0,VLOOKUP($A831,'13. Updated Demand'!A:Z,24,FALSE))</f>
        <v>0</v>
      </c>
      <c r="AH831" s="16">
        <f>IF(ISERROR(VLOOKUP($A831,'13. Updated Demand'!A:Z,25,FALSE)),0,VLOOKUP($A831,'13. Updated Demand'!A:Z,25,FALSE))</f>
        <v>0</v>
      </c>
      <c r="AI831" s="16">
        <f>IF(ISERROR(VLOOKUP($A831,'13. Updated Demand'!A:Z,26,FALSE)),0,VLOOKUP($A831,'13. Updated Demand'!A:Z,26,FALSE))</f>
        <v>1</v>
      </c>
      <c r="AJ831" s="16">
        <f t="shared" si="156"/>
        <v>9.98</v>
      </c>
      <c r="AK831" s="19">
        <v>0</v>
      </c>
      <c r="AL831" s="16">
        <f t="shared" si="154"/>
        <v>0</v>
      </c>
      <c r="AM831" s="17">
        <v>0.90909090918181823</v>
      </c>
      <c r="AN831" s="19"/>
      <c r="AO831" s="19"/>
      <c r="AP831" s="19">
        <v>11</v>
      </c>
      <c r="AQ831" s="19" t="s">
        <v>307</v>
      </c>
      <c r="AR831" s="9" t="s">
        <v>333</v>
      </c>
      <c r="AS831" s="12">
        <v>0</v>
      </c>
      <c r="AT831" s="19">
        <v>39.124409489999998</v>
      </c>
      <c r="AU831" s="19">
        <v>-123.15451281999999</v>
      </c>
      <c r="AV831" s="19" t="s">
        <v>417</v>
      </c>
    </row>
    <row r="832" spans="1:48" x14ac:dyDescent="0.25">
      <c r="A832" s="18" t="s">
        <v>1215</v>
      </c>
      <c r="B832" s="10">
        <v>19690814</v>
      </c>
      <c r="C832" s="9">
        <v>23</v>
      </c>
      <c r="D832" s="8" t="str">
        <f t="shared" si="145"/>
        <v>N</v>
      </c>
      <c r="E832" s="8" t="str">
        <f t="shared" si="146"/>
        <v>N</v>
      </c>
      <c r="F832" s="8" t="str">
        <f t="shared" si="147"/>
        <v>N</v>
      </c>
      <c r="G832" s="8" t="str">
        <f t="shared" si="148"/>
        <v>N</v>
      </c>
      <c r="H832" s="8" t="str">
        <f t="shared" si="149"/>
        <v>Lower</v>
      </c>
      <c r="I832" s="8" t="str">
        <f t="shared" si="150"/>
        <v>Outside</v>
      </c>
      <c r="J832" s="8" t="str">
        <f t="shared" si="151"/>
        <v>Outside</v>
      </c>
      <c r="K832" s="8" t="str">
        <f t="shared" si="152"/>
        <v>Post-1949</v>
      </c>
      <c r="L832" s="8">
        <f t="shared" si="153"/>
        <v>1969</v>
      </c>
      <c r="M832" s="8" t="str">
        <f t="shared" si="155"/>
        <v>1960-1970</v>
      </c>
      <c r="N832" s="10" t="s">
        <v>242</v>
      </c>
      <c r="O832" s="10" t="s">
        <v>242</v>
      </c>
      <c r="P832" s="10" t="s">
        <v>242</v>
      </c>
      <c r="Q832" s="10" t="s">
        <v>242</v>
      </c>
      <c r="R832" s="10" t="s">
        <v>241</v>
      </c>
      <c r="S832" s="10" t="s">
        <v>242</v>
      </c>
      <c r="T832" s="10" t="s">
        <v>242</v>
      </c>
      <c r="U832" s="10" t="s">
        <v>242</v>
      </c>
      <c r="V832" s="10" t="s">
        <v>241</v>
      </c>
      <c r="W832" s="10" t="s">
        <v>242</v>
      </c>
      <c r="X832" s="15">
        <f>IF(ISERROR(VLOOKUP($A832,'13. Updated Demand'!A:Z,15,FALSE)),0,VLOOKUP($A832,'13. Updated Demand'!A:Z,15,FALSE))</f>
        <v>2</v>
      </c>
      <c r="Y832" s="16">
        <f>IF(ISERROR(VLOOKUP($A832,'13. Updated Demand'!A:Z,16,FALSE)),0,VLOOKUP($A832,'13. Updated Demand'!A:Z,16,FALSE))</f>
        <v>1.5</v>
      </c>
      <c r="Z832" s="16">
        <f>IF(ISERROR(VLOOKUP($A832,'13. Updated Demand'!A:Z,17,FALSE)),0,VLOOKUP($A832,'13. Updated Demand'!A:Z,17,FALSE))</f>
        <v>1.25</v>
      </c>
      <c r="AA832" s="16">
        <f>IF(ISERROR(VLOOKUP($A832,'13. Updated Demand'!A:Z,18,FALSE)),0,VLOOKUP($A832,'13. Updated Demand'!A:Z,18,FALSE))</f>
        <v>1</v>
      </c>
      <c r="AB832" s="16">
        <f>IF(ISERROR(VLOOKUP($A832,'13. Updated Demand'!A:Z,19,FALSE)),0,VLOOKUP($A832,'13. Updated Demand'!A:Z,19,FALSE))</f>
        <v>0</v>
      </c>
      <c r="AC832" s="16">
        <f>IF(ISERROR(VLOOKUP($A832,'13. Updated Demand'!A:Z,20,FALSE)),0,VLOOKUP($A832,'13. Updated Demand'!A:Z,20,FALSE))</f>
        <v>0</v>
      </c>
      <c r="AD832" s="16">
        <f>IF(ISERROR(VLOOKUP($A832,'13. Updated Demand'!A:Z,21,FALSE)),0,VLOOKUP($A832,'13. Updated Demand'!A:Z,21,FALSE))</f>
        <v>0</v>
      </c>
      <c r="AE832" s="16">
        <f>IF(ISERROR(VLOOKUP($A832,'13. Updated Demand'!A:Z,22,FALSE)),0,VLOOKUP($A832,'13. Updated Demand'!A:Z,22,FALSE))</f>
        <v>0</v>
      </c>
      <c r="AF832" s="16">
        <f>IF(ISERROR(VLOOKUP($A832,'13. Updated Demand'!A:Z,23,FALSE)),0,VLOOKUP($A832,'13. Updated Demand'!A:Z,23,FALSE))</f>
        <v>0</v>
      </c>
      <c r="AG832" s="16">
        <f>IF(ISERROR(VLOOKUP($A832,'13. Updated Demand'!A:Z,24,FALSE)),0,VLOOKUP($A832,'13. Updated Demand'!A:Z,24,FALSE))</f>
        <v>1</v>
      </c>
      <c r="AH832" s="16">
        <f>IF(ISERROR(VLOOKUP($A832,'13. Updated Demand'!A:Z,25,FALSE)),0,VLOOKUP($A832,'13. Updated Demand'!A:Z,25,FALSE))</f>
        <v>1</v>
      </c>
      <c r="AI832" s="16">
        <f>IF(ISERROR(VLOOKUP($A832,'13. Updated Demand'!A:Z,26,FALSE)),0,VLOOKUP($A832,'13. Updated Demand'!A:Z,26,FALSE))</f>
        <v>1.75</v>
      </c>
      <c r="AJ832" s="16">
        <f t="shared" si="156"/>
        <v>9.5</v>
      </c>
      <c r="AK832" s="19">
        <v>0</v>
      </c>
      <c r="AL832" s="16">
        <f t="shared" si="154"/>
        <v>0</v>
      </c>
      <c r="AM832" s="17">
        <v>0.95</v>
      </c>
      <c r="AN832" s="19"/>
      <c r="AO832" s="19"/>
      <c r="AP832" s="19">
        <v>10</v>
      </c>
      <c r="AQ832" s="19" t="s">
        <v>307</v>
      </c>
      <c r="AR832" s="9" t="s">
        <v>378</v>
      </c>
      <c r="AS832" s="12">
        <v>0</v>
      </c>
      <c r="AT832" s="19">
        <v>38.511501539999998</v>
      </c>
      <c r="AU832" s="19">
        <v>-122.55920103</v>
      </c>
      <c r="AV832" s="19" t="s">
        <v>417</v>
      </c>
    </row>
    <row r="833" spans="1:48" x14ac:dyDescent="0.25">
      <c r="A833" s="18" t="s">
        <v>1216</v>
      </c>
      <c r="B833" s="10">
        <v>19690825</v>
      </c>
      <c r="C833" s="9">
        <v>1</v>
      </c>
      <c r="D833" s="8" t="str">
        <f t="shared" si="145"/>
        <v>N</v>
      </c>
      <c r="E833" s="8" t="str">
        <f t="shared" si="146"/>
        <v>N</v>
      </c>
      <c r="F833" s="8" t="str">
        <f t="shared" si="147"/>
        <v>Y</v>
      </c>
      <c r="G833" s="8" t="str">
        <f t="shared" si="148"/>
        <v>Y</v>
      </c>
      <c r="H833" s="8" t="str">
        <f t="shared" si="149"/>
        <v>Upper</v>
      </c>
      <c r="I833" s="8" t="str">
        <f t="shared" si="150"/>
        <v>West Fork and Below Lake</v>
      </c>
      <c r="J833" s="8" t="str">
        <f t="shared" si="151"/>
        <v>Outside</v>
      </c>
      <c r="K833" s="8" t="str">
        <f t="shared" si="152"/>
        <v>Post-1949</v>
      </c>
      <c r="L833" s="8">
        <f t="shared" si="153"/>
        <v>1969</v>
      </c>
      <c r="M833" s="8" t="str">
        <f t="shared" si="155"/>
        <v>1960-1970</v>
      </c>
      <c r="N833" s="10" t="s">
        <v>242</v>
      </c>
      <c r="O833" s="10" t="s">
        <v>241</v>
      </c>
      <c r="P833" s="10" t="s">
        <v>242</v>
      </c>
      <c r="Q833" s="10" t="s">
        <v>242</v>
      </c>
      <c r="R833" s="10" t="s">
        <v>241</v>
      </c>
      <c r="S833" s="10" t="s">
        <v>242</v>
      </c>
      <c r="T833" s="10" t="s">
        <v>242</v>
      </c>
      <c r="U833" s="10" t="s">
        <v>242</v>
      </c>
      <c r="V833" s="10" t="s">
        <v>242</v>
      </c>
      <c r="W833" s="10" t="s">
        <v>242</v>
      </c>
      <c r="X833" s="15">
        <f>IF(ISERROR(VLOOKUP($A833,'13. Updated Demand'!A:Z,15,FALSE)),0,VLOOKUP($A833,'13. Updated Demand'!A:Z,15,FALSE))</f>
        <v>8.2899999999999991</v>
      </c>
      <c r="Y833" s="16">
        <f>IF(ISERROR(VLOOKUP($A833,'13. Updated Demand'!A:Z,16,FALSE)),0,VLOOKUP($A833,'13. Updated Demand'!A:Z,16,FALSE))</f>
        <v>6.23</v>
      </c>
      <c r="Z833" s="16">
        <f>IF(ISERROR(VLOOKUP($A833,'13. Updated Demand'!A:Z,17,FALSE)),0,VLOOKUP($A833,'13. Updated Demand'!A:Z,17,FALSE))</f>
        <v>4.13</v>
      </c>
      <c r="AA833" s="16">
        <f>IF(ISERROR(VLOOKUP($A833,'13. Updated Demand'!A:Z,18,FALSE)),0,VLOOKUP($A833,'13. Updated Demand'!A:Z,18,FALSE))</f>
        <v>2.4</v>
      </c>
      <c r="AB833" s="16">
        <f>IF(ISERROR(VLOOKUP($A833,'13. Updated Demand'!A:Z,19,FALSE)),0,VLOOKUP($A833,'13. Updated Demand'!A:Z,19,FALSE))</f>
        <v>1.42</v>
      </c>
      <c r="AC833" s="16">
        <f>IF(ISERROR(VLOOKUP($A833,'13. Updated Demand'!A:Z,20,FALSE)),0,VLOOKUP($A833,'13. Updated Demand'!A:Z,20,FALSE))</f>
        <v>0</v>
      </c>
      <c r="AD833" s="16">
        <f>IF(ISERROR(VLOOKUP($A833,'13. Updated Demand'!A:Z,21,FALSE)),0,VLOOKUP($A833,'13. Updated Demand'!A:Z,21,FALSE))</f>
        <v>0</v>
      </c>
      <c r="AE833" s="16">
        <f>IF(ISERROR(VLOOKUP($A833,'13. Updated Demand'!A:Z,22,FALSE)),0,VLOOKUP($A833,'13. Updated Demand'!A:Z,22,FALSE))</f>
        <v>0.01</v>
      </c>
      <c r="AF833" s="16">
        <f>IF(ISERROR(VLOOKUP($A833,'13. Updated Demand'!A:Z,23,FALSE)),0,VLOOKUP($A833,'13. Updated Demand'!A:Z,23,FALSE))</f>
        <v>0.01</v>
      </c>
      <c r="AG833" s="16">
        <f>IF(ISERROR(VLOOKUP($A833,'13. Updated Demand'!A:Z,24,FALSE)),0,VLOOKUP($A833,'13. Updated Demand'!A:Z,24,FALSE))</f>
        <v>0</v>
      </c>
      <c r="AH833" s="16">
        <f>IF(ISERROR(VLOOKUP($A833,'13. Updated Demand'!A:Z,25,FALSE)),0,VLOOKUP($A833,'13. Updated Demand'!A:Z,25,FALSE))</f>
        <v>1.73</v>
      </c>
      <c r="AI833" s="16">
        <f>IF(ISERROR(VLOOKUP($A833,'13. Updated Demand'!A:Z,26,FALSE)),0,VLOOKUP($A833,'13. Updated Demand'!A:Z,26,FALSE))</f>
        <v>2.97</v>
      </c>
      <c r="AJ833" s="16">
        <f t="shared" si="156"/>
        <v>27.19</v>
      </c>
      <c r="AK833" s="19">
        <v>1.446666666</v>
      </c>
      <c r="AL833" s="16">
        <f t="shared" si="154"/>
        <v>4.7984285403029131E-3</v>
      </c>
      <c r="AM833" s="17">
        <v>0.86391534384126978</v>
      </c>
      <c r="AN833" s="19"/>
      <c r="AO833" s="19"/>
      <c r="AP833" s="19">
        <v>31.5</v>
      </c>
      <c r="AQ833" s="19" t="s">
        <v>307</v>
      </c>
      <c r="AR833" s="9" t="s">
        <v>317</v>
      </c>
      <c r="AS833" s="12">
        <v>0</v>
      </c>
      <c r="AT833" s="19">
        <v>39.298556490000003</v>
      </c>
      <c r="AU833" s="19">
        <v>-123.20330079999999</v>
      </c>
      <c r="AV833" s="19" t="s">
        <v>573</v>
      </c>
    </row>
    <row r="834" spans="1:48" x14ac:dyDescent="0.25">
      <c r="A834" s="18" t="s">
        <v>1217</v>
      </c>
      <c r="B834" s="10">
        <v>19691031</v>
      </c>
      <c r="C834" s="9">
        <v>6</v>
      </c>
      <c r="D834" s="8" t="str">
        <f t="shared" ref="D834:D897" si="157">IF(OR(C834=4,C834=5,C834=6),"Y","N")</f>
        <v>Y</v>
      </c>
      <c r="E834" s="8" t="str">
        <f t="shared" ref="E834:E897" si="158">IF(AND(C834&gt;6,C834&lt;14),"Y","N")</f>
        <v>N</v>
      </c>
      <c r="F834" s="8" t="str">
        <f t="shared" ref="F834:F897" si="159">IF(C834&lt;14,"Y","N")</f>
        <v>Y</v>
      </c>
      <c r="G834" s="8" t="str">
        <f t="shared" ref="G834:G897" si="160">IF(OR(C834=1,AND(C834&gt;3,C834&lt;14)),"Y","N")</f>
        <v>Y</v>
      </c>
      <c r="H834" s="8" t="str">
        <f t="shared" ref="H834:H897" si="161">IF(C834&lt;14,"Upper","Lower")</f>
        <v>Upper</v>
      </c>
      <c r="I834" s="8" t="str">
        <f t="shared" ref="I834:I897" si="162">IF(G834="Y","West Fork and Below Lake","Outside")</f>
        <v>West Fork and Below Lake</v>
      </c>
      <c r="J834" s="8" t="str">
        <f t="shared" ref="J834:J897" si="163">IF(D834="Y", "Mendocino (d/s of lake)", IF(E834="Y", "Sonoma (d/s of Clov. Gage)","Outside"))</f>
        <v>Mendocino (d/s of lake)</v>
      </c>
      <c r="K834" s="8" t="str">
        <f t="shared" ref="K834:K897" si="164">IF(P834="Y","pre-1914",IF(Q834="Y","Pre-1949",IF(R834="Y","Post-1949",IF(S834="Y","Riparian","Unknown"))))</f>
        <v>Post-1949</v>
      </c>
      <c r="L834" s="8">
        <f t="shared" ref="L834:L897" si="165">_xlfn.NUMBERVALUE(LEFT(B834,4))</f>
        <v>1969</v>
      </c>
      <c r="M834" s="8" t="str">
        <f t="shared" si="155"/>
        <v>1960-1970</v>
      </c>
      <c r="N834" s="10" t="s">
        <v>241</v>
      </c>
      <c r="O834" s="10" t="s">
        <v>241</v>
      </c>
      <c r="P834" s="10" t="s">
        <v>242</v>
      </c>
      <c r="Q834" s="10" t="s">
        <v>242</v>
      </c>
      <c r="R834" s="10" t="s">
        <v>241</v>
      </c>
      <c r="S834" s="10" t="s">
        <v>242</v>
      </c>
      <c r="T834" s="10" t="s">
        <v>242</v>
      </c>
      <c r="U834" s="10" t="s">
        <v>241</v>
      </c>
      <c r="V834" s="10" t="s">
        <v>241</v>
      </c>
      <c r="W834" s="10" t="s">
        <v>242</v>
      </c>
      <c r="X834" s="15">
        <f>IF(ISERROR(VLOOKUP($A834,'13. Updated Demand'!A:Z,15,FALSE)),0,VLOOKUP($A834,'13. Updated Demand'!A:Z,15,FALSE))</f>
        <v>0</v>
      </c>
      <c r="Y834" s="16">
        <f>IF(ISERROR(VLOOKUP($A834,'13. Updated Demand'!A:Z,16,FALSE)),0,VLOOKUP($A834,'13. Updated Demand'!A:Z,16,FALSE))</f>
        <v>0</v>
      </c>
      <c r="Z834" s="16">
        <f>IF(ISERROR(VLOOKUP($A834,'13. Updated Demand'!A:Z,17,FALSE)),0,VLOOKUP($A834,'13. Updated Demand'!A:Z,17,FALSE))</f>
        <v>0</v>
      </c>
      <c r="AA834" s="16">
        <f>IF(ISERROR(VLOOKUP($A834,'13. Updated Demand'!A:Z,18,FALSE)),0,VLOOKUP($A834,'13. Updated Demand'!A:Z,18,FALSE))</f>
        <v>0</v>
      </c>
      <c r="AB834" s="16">
        <f>IF(ISERROR(VLOOKUP($A834,'13. Updated Demand'!A:Z,19,FALSE)),0,VLOOKUP($A834,'13. Updated Demand'!A:Z,19,FALSE))</f>
        <v>0</v>
      </c>
      <c r="AC834" s="16">
        <f>IF(ISERROR(VLOOKUP($A834,'13. Updated Demand'!A:Z,20,FALSE)),0,VLOOKUP($A834,'13. Updated Demand'!A:Z,20,FALSE))</f>
        <v>0</v>
      </c>
      <c r="AD834" s="16">
        <f>IF(ISERROR(VLOOKUP($A834,'13. Updated Demand'!A:Z,21,FALSE)),0,VLOOKUP($A834,'13. Updated Demand'!A:Z,21,FALSE))</f>
        <v>0</v>
      </c>
      <c r="AE834" s="16">
        <f>IF(ISERROR(VLOOKUP($A834,'13. Updated Demand'!A:Z,22,FALSE)),0,VLOOKUP($A834,'13. Updated Demand'!A:Z,22,FALSE))</f>
        <v>0</v>
      </c>
      <c r="AF834" s="16">
        <f>IF(ISERROR(VLOOKUP($A834,'13. Updated Demand'!A:Z,23,FALSE)),0,VLOOKUP($A834,'13. Updated Demand'!A:Z,23,FALSE))</f>
        <v>0</v>
      </c>
      <c r="AG834" s="16">
        <f>IF(ISERROR(VLOOKUP($A834,'13. Updated Demand'!A:Z,24,FALSE)),0,VLOOKUP($A834,'13. Updated Demand'!A:Z,24,FALSE))</f>
        <v>0</v>
      </c>
      <c r="AH834" s="16">
        <f>IF(ISERROR(VLOOKUP($A834,'13. Updated Demand'!A:Z,25,FALSE)),0,VLOOKUP($A834,'13. Updated Demand'!A:Z,25,FALSE))</f>
        <v>0</v>
      </c>
      <c r="AI834" s="16">
        <f>IF(ISERROR(VLOOKUP($A834,'13. Updated Demand'!A:Z,26,FALSE)),0,VLOOKUP($A834,'13. Updated Demand'!A:Z,26,FALSE))</f>
        <v>0</v>
      </c>
      <c r="AJ834" s="16">
        <f t="shared" si="156"/>
        <v>0</v>
      </c>
      <c r="AK834" s="19">
        <v>0</v>
      </c>
      <c r="AL834" s="16">
        <f t="shared" ref="AL834:AL897" si="166">AK834/152/1.983471</f>
        <v>0</v>
      </c>
      <c r="AM834" s="17">
        <v>0</v>
      </c>
      <c r="AN834" s="19"/>
      <c r="AO834" s="19"/>
      <c r="AP834" s="19">
        <v>19</v>
      </c>
      <c r="AQ834" s="19" t="s">
        <v>307</v>
      </c>
      <c r="AR834" s="9" t="s">
        <v>319</v>
      </c>
      <c r="AS834" s="12">
        <v>0</v>
      </c>
      <c r="AT834" s="19">
        <v>38.928158250000003</v>
      </c>
      <c r="AU834" s="19">
        <v>-123.05886443</v>
      </c>
      <c r="AV834" s="19" t="s">
        <v>387</v>
      </c>
    </row>
    <row r="835" spans="1:48" x14ac:dyDescent="0.25">
      <c r="A835" s="18" t="s">
        <v>1218</v>
      </c>
      <c r="B835" s="10">
        <v>19691117</v>
      </c>
      <c r="C835" s="9">
        <v>1</v>
      </c>
      <c r="D835" s="8" t="str">
        <f t="shared" si="157"/>
        <v>N</v>
      </c>
      <c r="E835" s="8" t="str">
        <f t="shared" si="158"/>
        <v>N</v>
      </c>
      <c r="F835" s="8" t="str">
        <f t="shared" si="159"/>
        <v>Y</v>
      </c>
      <c r="G835" s="8" t="str">
        <f t="shared" si="160"/>
        <v>Y</v>
      </c>
      <c r="H835" s="8" t="str">
        <f t="shared" si="161"/>
        <v>Upper</v>
      </c>
      <c r="I835" s="8" t="str">
        <f t="shared" si="162"/>
        <v>West Fork and Below Lake</v>
      </c>
      <c r="J835" s="8" t="str">
        <f t="shared" si="163"/>
        <v>Outside</v>
      </c>
      <c r="K835" s="8" t="str">
        <f t="shared" si="164"/>
        <v>Post-1949</v>
      </c>
      <c r="L835" s="8">
        <f t="shared" si="165"/>
        <v>1969</v>
      </c>
      <c r="M835" s="8" t="str">
        <f t="shared" ref="M835:M898" si="167">IF(L835=1949,"1949",IF(AND(L835&gt;1949,L835&lt;1953),"1950-1952",IF(AND(L835&gt;1952,L835&lt;1955),"1953-1954",IF(AND(L835&gt;1954,L835&lt;1957),"1955-1956",IF(AND(L835&gt;1956,L835&lt;1960),"1957-1959",IF(AND(L835&gt;1959,L835&lt;1971),"1960-1970",IF(AND(L835&gt;1970,L835&lt;1991),"1971-1990",IF(L835&gt;1990,"1991-present","-"))))))))</f>
        <v>1960-1970</v>
      </c>
      <c r="N835" s="10" t="s">
        <v>242</v>
      </c>
      <c r="O835" s="10" t="s">
        <v>241</v>
      </c>
      <c r="P835" s="10" t="s">
        <v>242</v>
      </c>
      <c r="Q835" s="10" t="s">
        <v>242</v>
      </c>
      <c r="R835" s="10" t="s">
        <v>241</v>
      </c>
      <c r="S835" s="10" t="s">
        <v>242</v>
      </c>
      <c r="T835" s="10" t="s">
        <v>242</v>
      </c>
      <c r="U835" s="10" t="s">
        <v>242</v>
      </c>
      <c r="V835" s="10" t="s">
        <v>241</v>
      </c>
      <c r="W835" s="10" t="s">
        <v>242</v>
      </c>
      <c r="X835" s="15">
        <f>IF(ISERROR(VLOOKUP($A835,'13. Updated Demand'!A:Z,15,FALSE)),0,VLOOKUP($A835,'13. Updated Demand'!A:Z,15,FALSE))</f>
        <v>6</v>
      </c>
      <c r="Y835" s="16">
        <f>IF(ISERROR(VLOOKUP($A835,'13. Updated Demand'!A:Z,16,FALSE)),0,VLOOKUP($A835,'13. Updated Demand'!A:Z,16,FALSE))</f>
        <v>0</v>
      </c>
      <c r="Z835" s="16">
        <f>IF(ISERROR(VLOOKUP($A835,'13. Updated Demand'!A:Z,17,FALSE)),0,VLOOKUP($A835,'13. Updated Demand'!A:Z,17,FALSE))</f>
        <v>0</v>
      </c>
      <c r="AA835" s="16">
        <f>IF(ISERROR(VLOOKUP($A835,'13. Updated Demand'!A:Z,18,FALSE)),0,VLOOKUP($A835,'13. Updated Demand'!A:Z,18,FALSE))</f>
        <v>0</v>
      </c>
      <c r="AB835" s="16">
        <f>IF(ISERROR(VLOOKUP($A835,'13. Updated Demand'!A:Z,19,FALSE)),0,VLOOKUP($A835,'13. Updated Demand'!A:Z,19,FALSE))</f>
        <v>0</v>
      </c>
      <c r="AC835" s="16">
        <f>IF(ISERROR(VLOOKUP($A835,'13. Updated Demand'!A:Z,20,FALSE)),0,VLOOKUP($A835,'13. Updated Demand'!A:Z,20,FALSE))</f>
        <v>0</v>
      </c>
      <c r="AD835" s="16">
        <f>IF(ISERROR(VLOOKUP($A835,'13. Updated Demand'!A:Z,21,FALSE)),0,VLOOKUP($A835,'13. Updated Demand'!A:Z,21,FALSE))</f>
        <v>0</v>
      </c>
      <c r="AE835" s="16">
        <f>IF(ISERROR(VLOOKUP($A835,'13. Updated Demand'!A:Z,22,FALSE)),0,VLOOKUP($A835,'13. Updated Demand'!A:Z,22,FALSE))</f>
        <v>0</v>
      </c>
      <c r="AF835" s="16">
        <f>IF(ISERROR(VLOOKUP($A835,'13. Updated Demand'!A:Z,23,FALSE)),0,VLOOKUP($A835,'13. Updated Demand'!A:Z,23,FALSE))</f>
        <v>0</v>
      </c>
      <c r="AG835" s="16">
        <f>IF(ISERROR(VLOOKUP($A835,'13. Updated Demand'!A:Z,24,FALSE)),0,VLOOKUP($A835,'13. Updated Demand'!A:Z,24,FALSE))</f>
        <v>0</v>
      </c>
      <c r="AH835" s="16">
        <f>IF(ISERROR(VLOOKUP($A835,'13. Updated Demand'!A:Z,25,FALSE)),0,VLOOKUP($A835,'13. Updated Demand'!A:Z,25,FALSE))</f>
        <v>0</v>
      </c>
      <c r="AI835" s="16">
        <f>IF(ISERROR(VLOOKUP($A835,'13. Updated Demand'!A:Z,26,FALSE)),0,VLOOKUP($A835,'13. Updated Demand'!A:Z,26,FALSE))</f>
        <v>0</v>
      </c>
      <c r="AJ835" s="16">
        <f t="shared" si="156"/>
        <v>6</v>
      </c>
      <c r="AK835" s="19">
        <v>0</v>
      </c>
      <c r="AL835" s="16">
        <f t="shared" si="166"/>
        <v>0</v>
      </c>
      <c r="AM835" s="17">
        <v>1</v>
      </c>
      <c r="AN835" s="19"/>
      <c r="AO835" s="19"/>
      <c r="AP835" s="19">
        <v>6</v>
      </c>
      <c r="AQ835" s="19" t="s">
        <v>307</v>
      </c>
      <c r="AR835" s="9" t="s">
        <v>317</v>
      </c>
      <c r="AS835" s="12">
        <v>0</v>
      </c>
      <c r="AT835" s="19">
        <v>39.278305920000001</v>
      </c>
      <c r="AU835" s="19">
        <v>-123.19659629</v>
      </c>
      <c r="AV835" s="19" t="s">
        <v>573</v>
      </c>
    </row>
    <row r="836" spans="1:48" x14ac:dyDescent="0.25">
      <c r="A836" s="18" t="s">
        <v>1219</v>
      </c>
      <c r="B836" s="10">
        <v>19691209</v>
      </c>
      <c r="C836" s="9">
        <v>1</v>
      </c>
      <c r="D836" s="8" t="str">
        <f t="shared" si="157"/>
        <v>N</v>
      </c>
      <c r="E836" s="8" t="str">
        <f t="shared" si="158"/>
        <v>N</v>
      </c>
      <c r="F836" s="8" t="str">
        <f t="shared" si="159"/>
        <v>Y</v>
      </c>
      <c r="G836" s="8" t="str">
        <f t="shared" si="160"/>
        <v>Y</v>
      </c>
      <c r="H836" s="8" t="str">
        <f t="shared" si="161"/>
        <v>Upper</v>
      </c>
      <c r="I836" s="8" t="str">
        <f t="shared" si="162"/>
        <v>West Fork and Below Lake</v>
      </c>
      <c r="J836" s="8" t="str">
        <f t="shared" si="163"/>
        <v>Outside</v>
      </c>
      <c r="K836" s="8" t="str">
        <f t="shared" si="164"/>
        <v>Post-1949</v>
      </c>
      <c r="L836" s="8">
        <f t="shared" si="165"/>
        <v>1969</v>
      </c>
      <c r="M836" s="8" t="str">
        <f t="shared" si="167"/>
        <v>1960-1970</v>
      </c>
      <c r="N836" s="10" t="s">
        <v>242</v>
      </c>
      <c r="O836" s="10" t="s">
        <v>241</v>
      </c>
      <c r="P836" s="10" t="s">
        <v>242</v>
      </c>
      <c r="Q836" s="10" t="s">
        <v>242</v>
      </c>
      <c r="R836" s="10" t="s">
        <v>241</v>
      </c>
      <c r="S836" s="10" t="s">
        <v>242</v>
      </c>
      <c r="T836" s="10" t="s">
        <v>242</v>
      </c>
      <c r="U836" s="10" t="s">
        <v>242</v>
      </c>
      <c r="V836" s="10" t="s">
        <v>241</v>
      </c>
      <c r="W836" s="10" t="s">
        <v>242</v>
      </c>
      <c r="X836" s="15">
        <f>IF(ISERROR(VLOOKUP($A836,'13. Updated Demand'!A:Z,15,FALSE)),0,VLOOKUP($A836,'13. Updated Demand'!A:Z,15,FALSE))</f>
        <v>0</v>
      </c>
      <c r="Y836" s="16">
        <f>IF(ISERROR(VLOOKUP($A836,'13. Updated Demand'!A:Z,16,FALSE)),0,VLOOKUP($A836,'13. Updated Demand'!A:Z,16,FALSE))</f>
        <v>0</v>
      </c>
      <c r="Z836" s="16">
        <f>IF(ISERROR(VLOOKUP($A836,'13. Updated Demand'!A:Z,17,FALSE)),0,VLOOKUP($A836,'13. Updated Demand'!A:Z,17,FALSE))</f>
        <v>0</v>
      </c>
      <c r="AA836" s="16">
        <f>IF(ISERROR(VLOOKUP($A836,'13. Updated Demand'!A:Z,18,FALSE)),0,VLOOKUP($A836,'13. Updated Demand'!A:Z,18,FALSE))</f>
        <v>0</v>
      </c>
      <c r="AB836" s="16">
        <f>IF(ISERROR(VLOOKUP($A836,'13. Updated Demand'!A:Z,19,FALSE)),0,VLOOKUP($A836,'13. Updated Demand'!A:Z,19,FALSE))</f>
        <v>0</v>
      </c>
      <c r="AC836" s="16">
        <f>IF(ISERROR(VLOOKUP($A836,'13. Updated Demand'!A:Z,20,FALSE)),0,VLOOKUP($A836,'13. Updated Demand'!A:Z,20,FALSE))</f>
        <v>0</v>
      </c>
      <c r="AD836" s="16">
        <f>IF(ISERROR(VLOOKUP($A836,'13. Updated Demand'!A:Z,21,FALSE)),0,VLOOKUP($A836,'13. Updated Demand'!A:Z,21,FALSE))</f>
        <v>0</v>
      </c>
      <c r="AE836" s="16">
        <f>IF(ISERROR(VLOOKUP($A836,'13. Updated Demand'!A:Z,22,FALSE)),0,VLOOKUP($A836,'13. Updated Demand'!A:Z,22,FALSE))</f>
        <v>0</v>
      </c>
      <c r="AF836" s="16">
        <f>IF(ISERROR(VLOOKUP($A836,'13. Updated Demand'!A:Z,23,FALSE)),0,VLOOKUP($A836,'13. Updated Demand'!A:Z,23,FALSE))</f>
        <v>0</v>
      </c>
      <c r="AG836" s="16">
        <f>IF(ISERROR(VLOOKUP($A836,'13. Updated Demand'!A:Z,24,FALSE)),0,VLOOKUP($A836,'13. Updated Demand'!A:Z,24,FALSE))</f>
        <v>0</v>
      </c>
      <c r="AH836" s="16">
        <f>IF(ISERROR(VLOOKUP($A836,'13. Updated Demand'!A:Z,25,FALSE)),0,VLOOKUP($A836,'13. Updated Demand'!A:Z,25,FALSE))</f>
        <v>0</v>
      </c>
      <c r="AI836" s="16">
        <f>IF(ISERROR(VLOOKUP($A836,'13. Updated Demand'!A:Z,26,FALSE)),0,VLOOKUP($A836,'13. Updated Demand'!A:Z,26,FALSE))</f>
        <v>2.93</v>
      </c>
      <c r="AJ836" s="16">
        <f t="shared" si="156"/>
        <v>2.93</v>
      </c>
      <c r="AK836" s="19">
        <v>0</v>
      </c>
      <c r="AL836" s="16">
        <f t="shared" si="166"/>
        <v>0</v>
      </c>
      <c r="AM836" s="17">
        <v>0.66666666659090912</v>
      </c>
      <c r="AN836" s="19"/>
      <c r="AO836" s="19"/>
      <c r="AP836" s="19">
        <v>4.4000000000000004</v>
      </c>
      <c r="AQ836" s="19" t="s">
        <v>307</v>
      </c>
      <c r="AR836" s="9" t="s">
        <v>317</v>
      </c>
      <c r="AS836" s="12">
        <v>0</v>
      </c>
      <c r="AT836" s="19">
        <v>39.293515810000002</v>
      </c>
      <c r="AU836" s="19">
        <v>-123.22600801999999</v>
      </c>
      <c r="AV836" s="19" t="s">
        <v>417</v>
      </c>
    </row>
    <row r="837" spans="1:48" x14ac:dyDescent="0.25">
      <c r="A837" s="18" t="s">
        <v>1220</v>
      </c>
      <c r="B837" s="10">
        <v>19690826</v>
      </c>
      <c r="C837" s="9">
        <v>2</v>
      </c>
      <c r="D837" s="8" t="str">
        <f t="shared" si="157"/>
        <v>N</v>
      </c>
      <c r="E837" s="8" t="str">
        <f t="shared" si="158"/>
        <v>N</v>
      </c>
      <c r="F837" s="8" t="str">
        <f t="shared" si="159"/>
        <v>Y</v>
      </c>
      <c r="G837" s="8" t="str">
        <f t="shared" si="160"/>
        <v>N</v>
      </c>
      <c r="H837" s="8" t="str">
        <f t="shared" si="161"/>
        <v>Upper</v>
      </c>
      <c r="I837" s="8" t="str">
        <f t="shared" si="162"/>
        <v>Outside</v>
      </c>
      <c r="J837" s="8" t="str">
        <f t="shared" si="163"/>
        <v>Outside</v>
      </c>
      <c r="K837" s="8" t="str">
        <f t="shared" si="164"/>
        <v>Post-1949</v>
      </c>
      <c r="L837" s="8">
        <f t="shared" si="165"/>
        <v>1969</v>
      </c>
      <c r="M837" s="8" t="str">
        <f t="shared" si="167"/>
        <v>1960-1970</v>
      </c>
      <c r="N837" s="10" t="s">
        <v>242</v>
      </c>
      <c r="O837" s="10" t="s">
        <v>241</v>
      </c>
      <c r="P837" s="10" t="s">
        <v>242</v>
      </c>
      <c r="Q837" s="10" t="s">
        <v>242</v>
      </c>
      <c r="R837" s="10" t="s">
        <v>241</v>
      </c>
      <c r="S837" s="10" t="s">
        <v>242</v>
      </c>
      <c r="T837" s="10" t="s">
        <v>242</v>
      </c>
      <c r="U837" s="10" t="s">
        <v>242</v>
      </c>
      <c r="V837" s="10" t="s">
        <v>242</v>
      </c>
      <c r="W837" s="10" t="s">
        <v>242</v>
      </c>
      <c r="X837" s="15">
        <f>IF(ISERROR(VLOOKUP($A837,'13. Updated Demand'!A:Z,15,FALSE)),0,VLOOKUP($A837,'13. Updated Demand'!A:Z,15,FALSE))</f>
        <v>0</v>
      </c>
      <c r="Y837" s="16">
        <f>IF(ISERROR(VLOOKUP($A837,'13. Updated Demand'!A:Z,16,FALSE)),0,VLOOKUP($A837,'13. Updated Demand'!A:Z,16,FALSE))</f>
        <v>0</v>
      </c>
      <c r="Z837" s="16">
        <f>IF(ISERROR(VLOOKUP($A837,'13. Updated Demand'!A:Z,17,FALSE)),0,VLOOKUP($A837,'13. Updated Demand'!A:Z,17,FALSE))</f>
        <v>0</v>
      </c>
      <c r="AA837" s="16">
        <f>IF(ISERROR(VLOOKUP($A837,'13. Updated Demand'!A:Z,18,FALSE)),0,VLOOKUP($A837,'13. Updated Demand'!A:Z,18,FALSE))</f>
        <v>0</v>
      </c>
      <c r="AB837" s="16">
        <f>IF(ISERROR(VLOOKUP($A837,'13. Updated Demand'!A:Z,19,FALSE)),0,VLOOKUP($A837,'13. Updated Demand'!A:Z,19,FALSE))</f>
        <v>0.05</v>
      </c>
      <c r="AC837" s="16">
        <f>IF(ISERROR(VLOOKUP($A837,'13. Updated Demand'!A:Z,20,FALSE)),0,VLOOKUP($A837,'13. Updated Demand'!A:Z,20,FALSE))</f>
        <v>1.65</v>
      </c>
      <c r="AD837" s="16">
        <f>IF(ISERROR(VLOOKUP($A837,'13. Updated Demand'!A:Z,21,FALSE)),0,VLOOKUP($A837,'13. Updated Demand'!A:Z,21,FALSE))</f>
        <v>1.65</v>
      </c>
      <c r="AE837" s="16">
        <f>IF(ISERROR(VLOOKUP($A837,'13. Updated Demand'!A:Z,22,FALSE)),0,VLOOKUP($A837,'13. Updated Demand'!A:Z,22,FALSE))</f>
        <v>1.65</v>
      </c>
      <c r="AF837" s="16">
        <f>IF(ISERROR(VLOOKUP($A837,'13. Updated Demand'!A:Z,23,FALSE)),0,VLOOKUP($A837,'13. Updated Demand'!A:Z,23,FALSE))</f>
        <v>1.65</v>
      </c>
      <c r="AG837" s="16">
        <f>IF(ISERROR(VLOOKUP($A837,'13. Updated Demand'!A:Z,24,FALSE)),0,VLOOKUP($A837,'13. Updated Demand'!A:Z,24,FALSE))</f>
        <v>1.65</v>
      </c>
      <c r="AH837" s="16">
        <f>IF(ISERROR(VLOOKUP($A837,'13. Updated Demand'!A:Z,25,FALSE)),0,VLOOKUP($A837,'13. Updated Demand'!A:Z,25,FALSE))</f>
        <v>0</v>
      </c>
      <c r="AI837" s="16">
        <f>IF(ISERROR(VLOOKUP($A837,'13. Updated Demand'!A:Z,26,FALSE)),0,VLOOKUP($A837,'13. Updated Demand'!A:Z,26,FALSE))</f>
        <v>0</v>
      </c>
      <c r="AJ837" s="16">
        <f t="shared" si="156"/>
        <v>8.3000000000000007</v>
      </c>
      <c r="AK837" s="19">
        <v>6.6666666650000002</v>
      </c>
      <c r="AL837" s="16">
        <f t="shared" si="166"/>
        <v>2.2112573923108583E-2</v>
      </c>
      <c r="AM837" s="17">
        <v>0.34666666658333334</v>
      </c>
      <c r="AN837" s="19"/>
      <c r="AO837" s="19"/>
      <c r="AP837" s="19">
        <v>24</v>
      </c>
      <c r="AQ837" s="19" t="s">
        <v>307</v>
      </c>
      <c r="AR837" s="9" t="s">
        <v>348</v>
      </c>
      <c r="AS837" s="12">
        <v>0</v>
      </c>
      <c r="AT837" s="19">
        <v>39.28970717</v>
      </c>
      <c r="AU837" s="19">
        <v>-123.09784886</v>
      </c>
      <c r="AV837" s="19" t="s">
        <v>542</v>
      </c>
    </row>
    <row r="838" spans="1:48" x14ac:dyDescent="0.25">
      <c r="A838" s="18" t="s">
        <v>1221</v>
      </c>
      <c r="B838" s="10">
        <v>19681014</v>
      </c>
      <c r="C838" s="9">
        <v>17</v>
      </c>
      <c r="D838" s="8" t="str">
        <f t="shared" si="157"/>
        <v>N</v>
      </c>
      <c r="E838" s="8" t="str">
        <f t="shared" si="158"/>
        <v>N</v>
      </c>
      <c r="F838" s="8" t="str">
        <f t="shared" si="159"/>
        <v>N</v>
      </c>
      <c r="G838" s="8" t="str">
        <f t="shared" si="160"/>
        <v>N</v>
      </c>
      <c r="H838" s="8" t="str">
        <f t="shared" si="161"/>
        <v>Lower</v>
      </c>
      <c r="I838" s="8" t="str">
        <f t="shared" si="162"/>
        <v>Outside</v>
      </c>
      <c r="J838" s="8" t="str">
        <f t="shared" si="163"/>
        <v>Outside</v>
      </c>
      <c r="K838" s="8" t="str">
        <f t="shared" si="164"/>
        <v>Post-1949</v>
      </c>
      <c r="L838" s="8">
        <f t="shared" si="165"/>
        <v>1968</v>
      </c>
      <c r="M838" s="8" t="str">
        <f t="shared" si="167"/>
        <v>1960-1970</v>
      </c>
      <c r="N838" s="10" t="s">
        <v>241</v>
      </c>
      <c r="O838" s="10" t="s">
        <v>242</v>
      </c>
      <c r="P838" s="10" t="s">
        <v>242</v>
      </c>
      <c r="Q838" s="10" t="s">
        <v>242</v>
      </c>
      <c r="R838" s="10" t="s">
        <v>241</v>
      </c>
      <c r="S838" s="10" t="s">
        <v>242</v>
      </c>
      <c r="T838" s="10" t="s">
        <v>242</v>
      </c>
      <c r="U838" s="10" t="s">
        <v>241</v>
      </c>
      <c r="V838" s="10" t="s">
        <v>241</v>
      </c>
      <c r="W838" s="10" t="s">
        <v>242</v>
      </c>
      <c r="X838" s="15">
        <f>IF(ISERROR(VLOOKUP($A838,'13. Updated Demand'!A:Z,15,FALSE)),0,VLOOKUP($A838,'13. Updated Demand'!A:Z,15,FALSE))</f>
        <v>0</v>
      </c>
      <c r="Y838" s="16">
        <f>IF(ISERROR(VLOOKUP($A838,'13. Updated Demand'!A:Z,16,FALSE)),0,VLOOKUP($A838,'13. Updated Demand'!A:Z,16,FALSE))</f>
        <v>0</v>
      </c>
      <c r="Z838" s="16">
        <f>IF(ISERROR(VLOOKUP($A838,'13. Updated Demand'!A:Z,17,FALSE)),0,VLOOKUP($A838,'13. Updated Demand'!A:Z,17,FALSE))</f>
        <v>0</v>
      </c>
      <c r="AA838" s="16">
        <f>IF(ISERROR(VLOOKUP($A838,'13. Updated Demand'!A:Z,18,FALSE)),0,VLOOKUP($A838,'13. Updated Demand'!A:Z,18,FALSE))</f>
        <v>0</v>
      </c>
      <c r="AB838" s="16">
        <f>IF(ISERROR(VLOOKUP($A838,'13. Updated Demand'!A:Z,19,FALSE)),0,VLOOKUP($A838,'13. Updated Demand'!A:Z,19,FALSE))</f>
        <v>0</v>
      </c>
      <c r="AC838" s="16">
        <f>IF(ISERROR(VLOOKUP($A838,'13. Updated Demand'!A:Z,20,FALSE)),0,VLOOKUP($A838,'13. Updated Demand'!A:Z,20,FALSE))</f>
        <v>0</v>
      </c>
      <c r="AD838" s="16">
        <f>IF(ISERROR(VLOOKUP($A838,'13. Updated Demand'!A:Z,21,FALSE)),0,VLOOKUP($A838,'13. Updated Demand'!A:Z,21,FALSE))</f>
        <v>0</v>
      </c>
      <c r="AE838" s="16">
        <f>IF(ISERROR(VLOOKUP($A838,'13. Updated Demand'!A:Z,22,FALSE)),0,VLOOKUP($A838,'13. Updated Demand'!A:Z,22,FALSE))</f>
        <v>0</v>
      </c>
      <c r="AF838" s="16">
        <f>IF(ISERROR(VLOOKUP($A838,'13. Updated Demand'!A:Z,23,FALSE)),0,VLOOKUP($A838,'13. Updated Demand'!A:Z,23,FALSE))</f>
        <v>0</v>
      </c>
      <c r="AG838" s="16">
        <f>IF(ISERROR(VLOOKUP($A838,'13. Updated Demand'!A:Z,24,FALSE)),0,VLOOKUP($A838,'13. Updated Demand'!A:Z,24,FALSE))</f>
        <v>0</v>
      </c>
      <c r="AH838" s="16">
        <f>IF(ISERROR(VLOOKUP($A838,'13. Updated Demand'!A:Z,25,FALSE)),0,VLOOKUP($A838,'13. Updated Demand'!A:Z,25,FALSE))</f>
        <v>0</v>
      </c>
      <c r="AI838" s="16">
        <f>IF(ISERROR(VLOOKUP($A838,'13. Updated Demand'!A:Z,26,FALSE)),0,VLOOKUP($A838,'13. Updated Demand'!A:Z,26,FALSE))</f>
        <v>0</v>
      </c>
      <c r="AJ838" s="16">
        <f t="shared" si="156"/>
        <v>0</v>
      </c>
      <c r="AK838" s="19">
        <v>0</v>
      </c>
      <c r="AL838" s="16">
        <f t="shared" si="166"/>
        <v>0</v>
      </c>
      <c r="AM838" s="17">
        <v>0</v>
      </c>
      <c r="AN838" s="19"/>
      <c r="AO838" s="19"/>
      <c r="AP838" s="19">
        <v>11</v>
      </c>
      <c r="AQ838" s="19" t="s">
        <v>307</v>
      </c>
      <c r="AR838" s="9" t="s">
        <v>486</v>
      </c>
      <c r="AS838" s="12">
        <v>0</v>
      </c>
      <c r="AT838" s="19">
        <v>38.56444553</v>
      </c>
      <c r="AU838" s="19">
        <v>-122.84116616</v>
      </c>
      <c r="AV838" s="19" t="s">
        <v>417</v>
      </c>
    </row>
    <row r="839" spans="1:48" x14ac:dyDescent="0.25">
      <c r="A839" s="18" t="s">
        <v>1222</v>
      </c>
      <c r="B839" s="10">
        <v>19680226</v>
      </c>
      <c r="C839" s="9">
        <v>9</v>
      </c>
      <c r="D839" s="8" t="str">
        <f t="shared" si="157"/>
        <v>N</v>
      </c>
      <c r="E839" s="8" t="str">
        <f t="shared" si="158"/>
        <v>Y</v>
      </c>
      <c r="F839" s="8" t="str">
        <f t="shared" si="159"/>
        <v>Y</v>
      </c>
      <c r="G839" s="8" t="str">
        <f t="shared" si="160"/>
        <v>Y</v>
      </c>
      <c r="H839" s="8" t="str">
        <f t="shared" si="161"/>
        <v>Upper</v>
      </c>
      <c r="I839" s="8" t="str">
        <f t="shared" si="162"/>
        <v>West Fork and Below Lake</v>
      </c>
      <c r="J839" s="8" t="str">
        <f t="shared" si="163"/>
        <v>Sonoma (d/s of Clov. Gage)</v>
      </c>
      <c r="K839" s="8" t="str">
        <f t="shared" si="164"/>
        <v>Post-1949</v>
      </c>
      <c r="L839" s="8">
        <f t="shared" si="165"/>
        <v>1968</v>
      </c>
      <c r="M839" s="8" t="str">
        <f t="shared" si="167"/>
        <v>1960-1970</v>
      </c>
      <c r="N839" s="10" t="s">
        <v>242</v>
      </c>
      <c r="O839" s="10" t="s">
        <v>241</v>
      </c>
      <c r="P839" s="10" t="s">
        <v>242</v>
      </c>
      <c r="Q839" s="10" t="s">
        <v>242</v>
      </c>
      <c r="R839" s="10" t="s">
        <v>241</v>
      </c>
      <c r="S839" s="10" t="s">
        <v>242</v>
      </c>
      <c r="T839" s="10" t="s">
        <v>242</v>
      </c>
      <c r="U839" s="10" t="s">
        <v>242</v>
      </c>
      <c r="V839" s="10" t="s">
        <v>242</v>
      </c>
      <c r="W839" s="10" t="s">
        <v>242</v>
      </c>
      <c r="X839" s="15">
        <f>IF(ISERROR(VLOOKUP($A839,'13. Updated Demand'!A:Z,15,FALSE)),0,VLOOKUP($A839,'13. Updated Demand'!A:Z,15,FALSE))</f>
        <v>0</v>
      </c>
      <c r="Y839" s="16">
        <f>IF(ISERROR(VLOOKUP($A839,'13. Updated Demand'!A:Z,16,FALSE)),0,VLOOKUP($A839,'13. Updated Demand'!A:Z,16,FALSE))</f>
        <v>0</v>
      </c>
      <c r="Z839" s="16">
        <f>IF(ISERROR(VLOOKUP($A839,'13. Updated Demand'!A:Z,17,FALSE)),0,VLOOKUP($A839,'13. Updated Demand'!A:Z,17,FALSE))</f>
        <v>0</v>
      </c>
      <c r="AA839" s="16">
        <f>IF(ISERROR(VLOOKUP($A839,'13. Updated Demand'!A:Z,18,FALSE)),0,VLOOKUP($A839,'13. Updated Demand'!A:Z,18,FALSE))</f>
        <v>0</v>
      </c>
      <c r="AB839" s="16">
        <f>IF(ISERROR(VLOOKUP($A839,'13. Updated Demand'!A:Z,19,FALSE)),0,VLOOKUP($A839,'13. Updated Demand'!A:Z,19,FALSE))</f>
        <v>0</v>
      </c>
      <c r="AC839" s="16">
        <f>IF(ISERROR(VLOOKUP($A839,'13. Updated Demand'!A:Z,20,FALSE)),0,VLOOKUP($A839,'13. Updated Demand'!A:Z,20,FALSE))</f>
        <v>1.7366699999999999E-4</v>
      </c>
      <c r="AD839" s="16">
        <f>IF(ISERROR(VLOOKUP($A839,'13. Updated Demand'!A:Z,21,FALSE)),0,VLOOKUP($A839,'13. Updated Demand'!A:Z,21,FALSE))</f>
        <v>1.7899999999999999E-4</v>
      </c>
      <c r="AE839" s="16">
        <f>IF(ISERROR(VLOOKUP($A839,'13. Updated Demand'!A:Z,22,FALSE)),0,VLOOKUP($A839,'13. Updated Demand'!A:Z,22,FALSE))</f>
        <v>1.7899999999999999E-4</v>
      </c>
      <c r="AF839" s="16">
        <f>IF(ISERROR(VLOOKUP($A839,'13. Updated Demand'!A:Z,23,FALSE)),0,VLOOKUP($A839,'13. Updated Demand'!A:Z,23,FALSE))</f>
        <v>1.7366699999999999E-4</v>
      </c>
      <c r="AG839" s="16">
        <f>IF(ISERROR(VLOOKUP($A839,'13. Updated Demand'!A:Z,24,FALSE)),0,VLOOKUP($A839,'13. Updated Demand'!A:Z,24,FALSE))</f>
        <v>7.1299999999999998E-5</v>
      </c>
      <c r="AH839" s="16">
        <f>IF(ISERROR(VLOOKUP($A839,'13. Updated Demand'!A:Z,25,FALSE)),0,VLOOKUP($A839,'13. Updated Demand'!A:Z,25,FALSE))</f>
        <v>0</v>
      </c>
      <c r="AI839" s="16">
        <f>IF(ISERROR(VLOOKUP($A839,'13. Updated Demand'!A:Z,26,FALSE)),0,VLOOKUP($A839,'13. Updated Demand'!A:Z,26,FALSE))</f>
        <v>0</v>
      </c>
      <c r="AJ839" s="16">
        <f t="shared" si="156"/>
        <v>7.76634E-4</v>
      </c>
      <c r="AK839" s="19">
        <v>7.0533399999999995E-4</v>
      </c>
      <c r="AL839" s="16">
        <f t="shared" si="166"/>
        <v>2.3395125329071582E-6</v>
      </c>
      <c r="AM839" s="17">
        <v>7.76634E-3</v>
      </c>
      <c r="AN839" s="19"/>
      <c r="AO839" s="19"/>
      <c r="AP839" s="19">
        <v>0.1</v>
      </c>
      <c r="AQ839" s="19" t="s">
        <v>307</v>
      </c>
      <c r="AR839" s="9" t="s">
        <v>354</v>
      </c>
      <c r="AS839" s="12">
        <v>0</v>
      </c>
      <c r="AT839" s="19">
        <v>38.858724510000002</v>
      </c>
      <c r="AU839" s="19">
        <v>-122.99215445</v>
      </c>
      <c r="AV839" s="19" t="s">
        <v>1223</v>
      </c>
    </row>
    <row r="840" spans="1:48" x14ac:dyDescent="0.25">
      <c r="A840" s="18" t="s">
        <v>1224</v>
      </c>
      <c r="B840" s="10">
        <v>19680415</v>
      </c>
      <c r="C840" s="9">
        <v>23</v>
      </c>
      <c r="D840" s="8" t="str">
        <f t="shared" si="157"/>
        <v>N</v>
      </c>
      <c r="E840" s="8" t="str">
        <f t="shared" si="158"/>
        <v>N</v>
      </c>
      <c r="F840" s="8" t="str">
        <f t="shared" si="159"/>
        <v>N</v>
      </c>
      <c r="G840" s="8" t="str">
        <f t="shared" si="160"/>
        <v>N</v>
      </c>
      <c r="H840" s="8" t="str">
        <f t="shared" si="161"/>
        <v>Lower</v>
      </c>
      <c r="I840" s="8" t="str">
        <f t="shared" si="162"/>
        <v>Outside</v>
      </c>
      <c r="J840" s="8" t="str">
        <f t="shared" si="163"/>
        <v>Outside</v>
      </c>
      <c r="K840" s="8" t="str">
        <f t="shared" si="164"/>
        <v>Post-1949</v>
      </c>
      <c r="L840" s="8">
        <f t="shared" si="165"/>
        <v>1968</v>
      </c>
      <c r="M840" s="8" t="str">
        <f t="shared" si="167"/>
        <v>1960-1970</v>
      </c>
      <c r="N840" s="10" t="s">
        <v>242</v>
      </c>
      <c r="O840" s="10" t="s">
        <v>242</v>
      </c>
      <c r="P840" s="10" t="s">
        <v>242</v>
      </c>
      <c r="Q840" s="10" t="s">
        <v>242</v>
      </c>
      <c r="R840" s="10" t="s">
        <v>241</v>
      </c>
      <c r="S840" s="10" t="s">
        <v>242</v>
      </c>
      <c r="T840" s="10" t="s">
        <v>242</v>
      </c>
      <c r="U840" s="10" t="s">
        <v>242</v>
      </c>
      <c r="V840" s="10" t="s">
        <v>241</v>
      </c>
      <c r="W840" s="10" t="s">
        <v>242</v>
      </c>
      <c r="X840" s="15">
        <f>IF(ISERROR(VLOOKUP($A840,'13. Updated Demand'!A:Z,15,FALSE)),0,VLOOKUP($A840,'13. Updated Demand'!A:Z,15,FALSE))</f>
        <v>1</v>
      </c>
      <c r="Y840" s="16">
        <f>IF(ISERROR(VLOOKUP($A840,'13. Updated Demand'!A:Z,16,FALSE)),0,VLOOKUP($A840,'13. Updated Demand'!A:Z,16,FALSE))</f>
        <v>0.16666666699999999</v>
      </c>
      <c r="Z840" s="16">
        <f>IF(ISERROR(VLOOKUP($A840,'13. Updated Demand'!A:Z,17,FALSE)),0,VLOOKUP($A840,'13. Updated Demand'!A:Z,17,FALSE))</f>
        <v>0.4</v>
      </c>
      <c r="AA840" s="16">
        <f>IF(ISERROR(VLOOKUP($A840,'13. Updated Demand'!A:Z,18,FALSE)),0,VLOOKUP($A840,'13. Updated Demand'!A:Z,18,FALSE))</f>
        <v>3.3333333E-2</v>
      </c>
      <c r="AB840" s="16">
        <f>IF(ISERROR(VLOOKUP($A840,'13. Updated Demand'!A:Z,19,FALSE)),0,VLOOKUP($A840,'13. Updated Demand'!A:Z,19,FALSE))</f>
        <v>0</v>
      </c>
      <c r="AC840" s="16">
        <f>IF(ISERROR(VLOOKUP($A840,'13. Updated Demand'!A:Z,20,FALSE)),0,VLOOKUP($A840,'13. Updated Demand'!A:Z,20,FALSE))</f>
        <v>0</v>
      </c>
      <c r="AD840" s="16">
        <f>IF(ISERROR(VLOOKUP($A840,'13. Updated Demand'!A:Z,21,FALSE)),0,VLOOKUP($A840,'13. Updated Demand'!A:Z,21,FALSE))</f>
        <v>0</v>
      </c>
      <c r="AE840" s="16">
        <f>IF(ISERROR(VLOOKUP($A840,'13. Updated Demand'!A:Z,22,FALSE)),0,VLOOKUP($A840,'13. Updated Demand'!A:Z,22,FALSE))</f>
        <v>0</v>
      </c>
      <c r="AF840" s="16">
        <f>IF(ISERROR(VLOOKUP($A840,'13. Updated Demand'!A:Z,23,FALSE)),0,VLOOKUP($A840,'13. Updated Demand'!A:Z,23,FALSE))</f>
        <v>0</v>
      </c>
      <c r="AG840" s="16">
        <f>IF(ISERROR(VLOOKUP($A840,'13. Updated Demand'!A:Z,24,FALSE)),0,VLOOKUP($A840,'13. Updated Demand'!A:Z,24,FALSE))</f>
        <v>0</v>
      </c>
      <c r="AH840" s="16">
        <f>IF(ISERROR(VLOOKUP($A840,'13. Updated Demand'!A:Z,25,FALSE)),0,VLOOKUP($A840,'13. Updated Demand'!A:Z,25,FALSE))</f>
        <v>6.6666666999999999E-2</v>
      </c>
      <c r="AI840" s="16">
        <f>IF(ISERROR(VLOOKUP($A840,'13. Updated Demand'!A:Z,26,FALSE)),0,VLOOKUP($A840,'13. Updated Demand'!A:Z,26,FALSE))</f>
        <v>0.5</v>
      </c>
      <c r="AJ840" s="16">
        <f t="shared" si="156"/>
        <v>2.1666666669999999</v>
      </c>
      <c r="AK840" s="19">
        <v>0</v>
      </c>
      <c r="AL840" s="16">
        <f t="shared" si="166"/>
        <v>0</v>
      </c>
      <c r="AM840" s="17">
        <v>0.24074074077777777</v>
      </c>
      <c r="AN840" s="19"/>
      <c r="AO840" s="19"/>
      <c r="AP840" s="19">
        <v>9</v>
      </c>
      <c r="AQ840" s="19" t="s">
        <v>307</v>
      </c>
      <c r="AR840" s="9" t="s">
        <v>378</v>
      </c>
      <c r="AS840" s="12">
        <v>0</v>
      </c>
      <c r="AT840" s="19">
        <v>38.506700000000002</v>
      </c>
      <c r="AU840" s="19">
        <v>-122.5433</v>
      </c>
      <c r="AV840" s="19" t="s">
        <v>417</v>
      </c>
    </row>
    <row r="841" spans="1:48" x14ac:dyDescent="0.25">
      <c r="A841" s="18" t="s">
        <v>1225</v>
      </c>
      <c r="B841" s="10">
        <v>19680426</v>
      </c>
      <c r="C841" s="9">
        <v>4</v>
      </c>
      <c r="D841" s="8" t="str">
        <f t="shared" si="157"/>
        <v>Y</v>
      </c>
      <c r="E841" s="8" t="str">
        <f t="shared" si="158"/>
        <v>N</v>
      </c>
      <c r="F841" s="8" t="str">
        <f t="shared" si="159"/>
        <v>Y</v>
      </c>
      <c r="G841" s="8" t="str">
        <f t="shared" si="160"/>
        <v>Y</v>
      </c>
      <c r="H841" s="8" t="str">
        <f t="shared" si="161"/>
        <v>Upper</v>
      </c>
      <c r="I841" s="8" t="str">
        <f t="shared" si="162"/>
        <v>West Fork and Below Lake</v>
      </c>
      <c r="J841" s="8" t="str">
        <f t="shared" si="163"/>
        <v>Mendocino (d/s of lake)</v>
      </c>
      <c r="K841" s="8" t="str">
        <f t="shared" si="164"/>
        <v>Post-1949</v>
      </c>
      <c r="L841" s="8">
        <f t="shared" si="165"/>
        <v>1968</v>
      </c>
      <c r="M841" s="8" t="str">
        <f t="shared" si="167"/>
        <v>1960-1970</v>
      </c>
      <c r="N841" s="10" t="s">
        <v>241</v>
      </c>
      <c r="O841" s="10" t="s">
        <v>241</v>
      </c>
      <c r="P841" s="10" t="s">
        <v>242</v>
      </c>
      <c r="Q841" s="10" t="s">
        <v>242</v>
      </c>
      <c r="R841" s="10" t="s">
        <v>241</v>
      </c>
      <c r="S841" s="10" t="s">
        <v>242</v>
      </c>
      <c r="T841" s="10" t="s">
        <v>242</v>
      </c>
      <c r="U841" s="10" t="s">
        <v>241</v>
      </c>
      <c r="V841" s="10" t="s">
        <v>241</v>
      </c>
      <c r="W841" s="10" t="s">
        <v>242</v>
      </c>
      <c r="X841" s="15">
        <f>IF(ISERROR(VLOOKUP($A841,'13. Updated Demand'!A:Z,15,FALSE)),0,VLOOKUP($A841,'13. Updated Demand'!A:Z,15,FALSE))</f>
        <v>0</v>
      </c>
      <c r="Y841" s="16">
        <f>IF(ISERROR(VLOOKUP($A841,'13. Updated Demand'!A:Z,16,FALSE)),0,VLOOKUP($A841,'13. Updated Demand'!A:Z,16,FALSE))</f>
        <v>0</v>
      </c>
      <c r="Z841" s="16">
        <f>IF(ISERROR(VLOOKUP($A841,'13. Updated Demand'!A:Z,17,FALSE)),0,VLOOKUP($A841,'13. Updated Demand'!A:Z,17,FALSE))</f>
        <v>0</v>
      </c>
      <c r="AA841" s="16">
        <f>IF(ISERROR(VLOOKUP($A841,'13. Updated Demand'!A:Z,18,FALSE)),0,VLOOKUP($A841,'13. Updated Demand'!A:Z,18,FALSE))</f>
        <v>0</v>
      </c>
      <c r="AB841" s="16">
        <f>IF(ISERROR(VLOOKUP($A841,'13. Updated Demand'!A:Z,19,FALSE)),0,VLOOKUP($A841,'13. Updated Demand'!A:Z,19,FALSE))</f>
        <v>0</v>
      </c>
      <c r="AC841" s="16">
        <f>IF(ISERROR(VLOOKUP($A841,'13. Updated Demand'!A:Z,20,FALSE)),0,VLOOKUP($A841,'13. Updated Demand'!A:Z,20,FALSE))</f>
        <v>0</v>
      </c>
      <c r="AD841" s="16">
        <f>IF(ISERROR(VLOOKUP($A841,'13. Updated Demand'!A:Z,21,FALSE)),0,VLOOKUP($A841,'13. Updated Demand'!A:Z,21,FALSE))</f>
        <v>0</v>
      </c>
      <c r="AE841" s="16">
        <f>IF(ISERROR(VLOOKUP($A841,'13. Updated Demand'!A:Z,22,FALSE)),0,VLOOKUP($A841,'13. Updated Demand'!A:Z,22,FALSE))</f>
        <v>0</v>
      </c>
      <c r="AF841" s="16">
        <f>IF(ISERROR(VLOOKUP($A841,'13. Updated Demand'!A:Z,23,FALSE)),0,VLOOKUP($A841,'13. Updated Demand'!A:Z,23,FALSE))</f>
        <v>0</v>
      </c>
      <c r="AG841" s="16">
        <f>IF(ISERROR(VLOOKUP($A841,'13. Updated Demand'!A:Z,24,FALSE)),0,VLOOKUP($A841,'13. Updated Demand'!A:Z,24,FALSE))</f>
        <v>0</v>
      </c>
      <c r="AH841" s="16">
        <f>IF(ISERROR(VLOOKUP($A841,'13. Updated Demand'!A:Z,25,FALSE)),0,VLOOKUP($A841,'13. Updated Demand'!A:Z,25,FALSE))</f>
        <v>0</v>
      </c>
      <c r="AI841" s="16">
        <f>IF(ISERROR(VLOOKUP($A841,'13. Updated Demand'!A:Z,26,FALSE)),0,VLOOKUP($A841,'13. Updated Demand'!A:Z,26,FALSE))</f>
        <v>0</v>
      </c>
      <c r="AJ841" s="16">
        <f t="shared" si="156"/>
        <v>0</v>
      </c>
      <c r="AK841" s="19">
        <v>0</v>
      </c>
      <c r="AL841" s="16">
        <f t="shared" si="166"/>
        <v>0</v>
      </c>
      <c r="AM841" s="17">
        <v>0</v>
      </c>
      <c r="AN841" s="19"/>
      <c r="AO841" s="19"/>
      <c r="AP841" s="19">
        <v>74</v>
      </c>
      <c r="AQ841" s="19" t="s">
        <v>307</v>
      </c>
      <c r="AR841" s="9" t="s">
        <v>331</v>
      </c>
      <c r="AS841" s="12">
        <v>0</v>
      </c>
      <c r="AT841" s="19">
        <v>39.166677550000003</v>
      </c>
      <c r="AU841" s="19">
        <v>-123.19629688000001</v>
      </c>
      <c r="AV841" s="19" t="s">
        <v>387</v>
      </c>
    </row>
    <row r="842" spans="1:48" x14ac:dyDescent="0.25">
      <c r="A842" s="18" t="s">
        <v>146</v>
      </c>
      <c r="B842" s="10">
        <v>19680502</v>
      </c>
      <c r="C842" s="9">
        <v>4</v>
      </c>
      <c r="D842" s="8" t="str">
        <f t="shared" si="157"/>
        <v>Y</v>
      </c>
      <c r="E842" s="8" t="str">
        <f t="shared" si="158"/>
        <v>N</v>
      </c>
      <c r="F842" s="8" t="str">
        <f t="shared" si="159"/>
        <v>Y</v>
      </c>
      <c r="G842" s="8" t="str">
        <f t="shared" si="160"/>
        <v>Y</v>
      </c>
      <c r="H842" s="8" t="str">
        <f t="shared" si="161"/>
        <v>Upper</v>
      </c>
      <c r="I842" s="8" t="str">
        <f t="shared" si="162"/>
        <v>West Fork and Below Lake</v>
      </c>
      <c r="J842" s="8" t="str">
        <f t="shared" si="163"/>
        <v>Mendocino (d/s of lake)</v>
      </c>
      <c r="K842" s="8" t="str">
        <f t="shared" si="164"/>
        <v>Post-1949</v>
      </c>
      <c r="L842" s="8">
        <f t="shared" si="165"/>
        <v>1968</v>
      </c>
      <c r="M842" s="8" t="str">
        <f t="shared" si="167"/>
        <v>1960-1970</v>
      </c>
      <c r="N842" s="10" t="s">
        <v>241</v>
      </c>
      <c r="O842" s="10" t="s">
        <v>241</v>
      </c>
      <c r="P842" s="10" t="s">
        <v>242</v>
      </c>
      <c r="Q842" s="10" t="s">
        <v>242</v>
      </c>
      <c r="R842" s="10" t="s">
        <v>241</v>
      </c>
      <c r="S842" s="10" t="s">
        <v>242</v>
      </c>
      <c r="T842" s="10" t="s">
        <v>242</v>
      </c>
      <c r="U842" s="10" t="s">
        <v>242</v>
      </c>
      <c r="V842" s="10" t="s">
        <v>242</v>
      </c>
      <c r="W842" s="10" t="s">
        <v>242</v>
      </c>
      <c r="X842" s="15">
        <f>IF(ISERROR(VLOOKUP($A842,'13. Updated Demand'!A:Z,15,FALSE)),0,VLOOKUP($A842,'13. Updated Demand'!A:Z,15,FALSE))</f>
        <v>0</v>
      </c>
      <c r="Y842" s="16">
        <f>IF(ISERROR(VLOOKUP($A842,'13. Updated Demand'!A:Z,16,FALSE)),0,VLOOKUP($A842,'13. Updated Demand'!A:Z,16,FALSE))</f>
        <v>0</v>
      </c>
      <c r="Z842" s="16">
        <f>IF(ISERROR(VLOOKUP($A842,'13. Updated Demand'!A:Z,17,FALSE)),0,VLOOKUP($A842,'13. Updated Demand'!A:Z,17,FALSE))</f>
        <v>0</v>
      </c>
      <c r="AA842" s="16">
        <f>IF(ISERROR(VLOOKUP($A842,'13. Updated Demand'!A:Z,18,FALSE)),0,VLOOKUP($A842,'13. Updated Demand'!A:Z,18,FALSE))</f>
        <v>0</v>
      </c>
      <c r="AB842" s="16">
        <f>IF(ISERROR(VLOOKUP($A842,'13. Updated Demand'!A:Z,19,FALSE)),0,VLOOKUP($A842,'13. Updated Demand'!A:Z,19,FALSE))</f>
        <v>5.2</v>
      </c>
      <c r="AC842" s="16">
        <f>IF(ISERROR(VLOOKUP($A842,'13. Updated Demand'!A:Z,20,FALSE)),0,VLOOKUP($A842,'13. Updated Demand'!A:Z,20,FALSE))</f>
        <v>15.03</v>
      </c>
      <c r="AD842" s="16">
        <f>IF(ISERROR(VLOOKUP($A842,'13. Updated Demand'!A:Z,21,FALSE)),0,VLOOKUP($A842,'13. Updated Demand'!A:Z,21,FALSE))</f>
        <v>17.18</v>
      </c>
      <c r="AE842" s="16">
        <f>IF(ISERROR(VLOOKUP($A842,'13. Updated Demand'!A:Z,22,FALSE)),0,VLOOKUP($A842,'13. Updated Demand'!A:Z,22,FALSE))</f>
        <v>14.07</v>
      </c>
      <c r="AF842" s="16">
        <f>IF(ISERROR(VLOOKUP($A842,'13. Updated Demand'!A:Z,23,FALSE)),0,VLOOKUP($A842,'13. Updated Demand'!A:Z,23,FALSE))</f>
        <v>9.15</v>
      </c>
      <c r="AG842" s="16">
        <f>IF(ISERROR(VLOOKUP($A842,'13. Updated Demand'!A:Z,24,FALSE)),0,VLOOKUP($A842,'13. Updated Demand'!A:Z,24,FALSE))</f>
        <v>4.8899999999999997</v>
      </c>
      <c r="AH842" s="16">
        <f>IF(ISERROR(VLOOKUP($A842,'13. Updated Demand'!A:Z,25,FALSE)),0,VLOOKUP($A842,'13. Updated Demand'!A:Z,25,FALSE))</f>
        <v>0</v>
      </c>
      <c r="AI842" s="16">
        <f>IF(ISERROR(VLOOKUP($A842,'13. Updated Demand'!A:Z,26,FALSE)),0,VLOOKUP($A842,'13. Updated Demand'!A:Z,26,FALSE))</f>
        <v>0</v>
      </c>
      <c r="AJ842" s="16">
        <f t="shared" si="156"/>
        <v>65.52</v>
      </c>
      <c r="AK842" s="19">
        <v>60.64333333333326</v>
      </c>
      <c r="AL842" s="16">
        <f t="shared" si="166"/>
        <v>0.20114702874184376</v>
      </c>
      <c r="AM842" s="17">
        <v>0.76205426356589057</v>
      </c>
      <c r="AN842" s="19"/>
      <c r="AO842" s="19"/>
      <c r="AP842" s="19">
        <v>86</v>
      </c>
      <c r="AQ842" s="19" t="s">
        <v>307</v>
      </c>
      <c r="AR842" s="9" t="s">
        <v>331</v>
      </c>
      <c r="AS842" s="12">
        <v>0</v>
      </c>
      <c r="AT842" s="19">
        <v>39.139482530000002</v>
      </c>
      <c r="AU842" s="19">
        <v>-123.18490668</v>
      </c>
      <c r="AV842" s="19" t="s">
        <v>548</v>
      </c>
    </row>
    <row r="843" spans="1:48" x14ac:dyDescent="0.25">
      <c r="A843" s="18" t="s">
        <v>155</v>
      </c>
      <c r="B843" s="10">
        <v>19680502</v>
      </c>
      <c r="C843" s="9">
        <v>4</v>
      </c>
      <c r="D843" s="8" t="str">
        <f t="shared" si="157"/>
        <v>Y</v>
      </c>
      <c r="E843" s="8" t="str">
        <f t="shared" si="158"/>
        <v>N</v>
      </c>
      <c r="F843" s="8" t="str">
        <f t="shared" si="159"/>
        <v>Y</v>
      </c>
      <c r="G843" s="8" t="str">
        <f t="shared" si="160"/>
        <v>Y</v>
      </c>
      <c r="H843" s="8" t="str">
        <f t="shared" si="161"/>
        <v>Upper</v>
      </c>
      <c r="I843" s="8" t="str">
        <f t="shared" si="162"/>
        <v>West Fork and Below Lake</v>
      </c>
      <c r="J843" s="8" t="str">
        <f t="shared" si="163"/>
        <v>Mendocino (d/s of lake)</v>
      </c>
      <c r="K843" s="8" t="str">
        <f t="shared" si="164"/>
        <v>Post-1949</v>
      </c>
      <c r="L843" s="8">
        <f t="shared" si="165"/>
        <v>1968</v>
      </c>
      <c r="M843" s="8" t="str">
        <f t="shared" si="167"/>
        <v>1960-1970</v>
      </c>
      <c r="N843" s="10" t="s">
        <v>241</v>
      </c>
      <c r="O843" s="10" t="s">
        <v>241</v>
      </c>
      <c r="P843" s="10" t="s">
        <v>242</v>
      </c>
      <c r="Q843" s="10" t="s">
        <v>242</v>
      </c>
      <c r="R843" s="10" t="s">
        <v>241</v>
      </c>
      <c r="S843" s="10" t="s">
        <v>242</v>
      </c>
      <c r="T843" s="10" t="s">
        <v>242</v>
      </c>
      <c r="U843" s="10" t="s">
        <v>242</v>
      </c>
      <c r="V843" s="10" t="s">
        <v>242</v>
      </c>
      <c r="W843" s="10" t="s">
        <v>242</v>
      </c>
      <c r="X843" s="15">
        <f>IF(ISERROR(VLOOKUP($A843,'13. Updated Demand'!A:Z,15,FALSE)),0,VLOOKUP($A843,'13. Updated Demand'!A:Z,15,FALSE))</f>
        <v>0</v>
      </c>
      <c r="Y843" s="16">
        <f>IF(ISERROR(VLOOKUP($A843,'13. Updated Demand'!A:Z,16,FALSE)),0,VLOOKUP($A843,'13. Updated Demand'!A:Z,16,FALSE))</f>
        <v>0</v>
      </c>
      <c r="Z843" s="16">
        <f>IF(ISERROR(VLOOKUP($A843,'13. Updated Demand'!A:Z,17,FALSE)),0,VLOOKUP($A843,'13. Updated Demand'!A:Z,17,FALSE))</f>
        <v>0</v>
      </c>
      <c r="AA843" s="16">
        <f>IF(ISERROR(VLOOKUP($A843,'13. Updated Demand'!A:Z,18,FALSE)),0,VLOOKUP($A843,'13. Updated Demand'!A:Z,18,FALSE))</f>
        <v>0</v>
      </c>
      <c r="AB843" s="16">
        <f>IF(ISERROR(VLOOKUP($A843,'13. Updated Demand'!A:Z,19,FALSE)),0,VLOOKUP($A843,'13. Updated Demand'!A:Z,19,FALSE))</f>
        <v>2.39</v>
      </c>
      <c r="AC843" s="16">
        <f>IF(ISERROR(VLOOKUP($A843,'13. Updated Demand'!A:Z,20,FALSE)),0,VLOOKUP($A843,'13. Updated Demand'!A:Z,20,FALSE))</f>
        <v>12.21</v>
      </c>
      <c r="AD843" s="16">
        <f>IF(ISERROR(VLOOKUP($A843,'13. Updated Demand'!A:Z,21,FALSE)),0,VLOOKUP($A843,'13. Updated Demand'!A:Z,21,FALSE))</f>
        <v>15.36</v>
      </c>
      <c r="AE843" s="16">
        <f>IF(ISERROR(VLOOKUP($A843,'13. Updated Demand'!A:Z,22,FALSE)),0,VLOOKUP($A843,'13. Updated Demand'!A:Z,22,FALSE))</f>
        <v>14.25</v>
      </c>
      <c r="AF843" s="16">
        <f>IF(ISERROR(VLOOKUP($A843,'13. Updated Demand'!A:Z,23,FALSE)),0,VLOOKUP($A843,'13. Updated Demand'!A:Z,23,FALSE))</f>
        <v>8.9</v>
      </c>
      <c r="AG843" s="16">
        <f>IF(ISERROR(VLOOKUP($A843,'13. Updated Demand'!A:Z,24,FALSE)),0,VLOOKUP($A843,'13. Updated Demand'!A:Z,24,FALSE))</f>
        <v>3.96</v>
      </c>
      <c r="AH843" s="16">
        <f>IF(ISERROR(VLOOKUP($A843,'13. Updated Demand'!A:Z,25,FALSE)),0,VLOOKUP($A843,'13. Updated Demand'!A:Z,25,FALSE))</f>
        <v>0</v>
      </c>
      <c r="AI843" s="16">
        <f>IF(ISERROR(VLOOKUP($A843,'13. Updated Demand'!A:Z,26,FALSE)),0,VLOOKUP($A843,'13. Updated Demand'!A:Z,26,FALSE))</f>
        <v>0</v>
      </c>
      <c r="AJ843" s="16">
        <f t="shared" si="156"/>
        <v>57.07</v>
      </c>
      <c r="AK843" s="19">
        <v>53.12333333333337</v>
      </c>
      <c r="AL843" s="16">
        <f t="shared" si="166"/>
        <v>0.17620404535034187</v>
      </c>
      <c r="AM843" s="17">
        <v>0.30043859649122828</v>
      </c>
      <c r="AN843" s="19"/>
      <c r="AO843" s="19"/>
      <c r="AP843" s="19">
        <v>190</v>
      </c>
      <c r="AQ843" s="19" t="s">
        <v>307</v>
      </c>
      <c r="AR843" s="9" t="s">
        <v>331</v>
      </c>
      <c r="AS843" s="12">
        <v>0</v>
      </c>
      <c r="AT843" s="19">
        <v>39.123804710000002</v>
      </c>
      <c r="AU843" s="19">
        <v>-123.18746478</v>
      </c>
      <c r="AV843" s="19" t="s">
        <v>548</v>
      </c>
    </row>
    <row r="844" spans="1:48" x14ac:dyDescent="0.25">
      <c r="A844" s="18" t="s">
        <v>1226</v>
      </c>
      <c r="B844" s="10">
        <v>19680603</v>
      </c>
      <c r="C844" s="9">
        <v>23</v>
      </c>
      <c r="D844" s="8" t="str">
        <f t="shared" si="157"/>
        <v>N</v>
      </c>
      <c r="E844" s="8" t="str">
        <f t="shared" si="158"/>
        <v>N</v>
      </c>
      <c r="F844" s="8" t="str">
        <f t="shared" si="159"/>
        <v>N</v>
      </c>
      <c r="G844" s="8" t="str">
        <f t="shared" si="160"/>
        <v>N</v>
      </c>
      <c r="H844" s="8" t="str">
        <f t="shared" si="161"/>
        <v>Lower</v>
      </c>
      <c r="I844" s="8" t="str">
        <f t="shared" si="162"/>
        <v>Outside</v>
      </c>
      <c r="J844" s="8" t="str">
        <f t="shared" si="163"/>
        <v>Outside</v>
      </c>
      <c r="K844" s="8" t="str">
        <f t="shared" si="164"/>
        <v>Post-1949</v>
      </c>
      <c r="L844" s="8">
        <f t="shared" si="165"/>
        <v>1968</v>
      </c>
      <c r="M844" s="8" t="str">
        <f t="shared" si="167"/>
        <v>1960-1970</v>
      </c>
      <c r="N844" s="10" t="s">
        <v>242</v>
      </c>
      <c r="O844" s="10" t="s">
        <v>242</v>
      </c>
      <c r="P844" s="10" t="s">
        <v>242</v>
      </c>
      <c r="Q844" s="10" t="s">
        <v>242</v>
      </c>
      <c r="R844" s="10" t="s">
        <v>241</v>
      </c>
      <c r="S844" s="10" t="s">
        <v>242</v>
      </c>
      <c r="T844" s="10" t="s">
        <v>242</v>
      </c>
      <c r="U844" s="10" t="s">
        <v>242</v>
      </c>
      <c r="V844" s="10" t="s">
        <v>242</v>
      </c>
      <c r="W844" s="10" t="s">
        <v>242</v>
      </c>
      <c r="X844" s="15">
        <f>IF(ISERROR(VLOOKUP($A844,'13. Updated Demand'!A:Z,15,FALSE)),0,VLOOKUP($A844,'13. Updated Demand'!A:Z,15,FALSE))</f>
        <v>0.53333333299999997</v>
      </c>
      <c r="Y844" s="16">
        <f>IF(ISERROR(VLOOKUP($A844,'13. Updated Demand'!A:Z,16,FALSE)),0,VLOOKUP($A844,'13. Updated Demand'!A:Z,16,FALSE))</f>
        <v>0.133333333</v>
      </c>
      <c r="Z844" s="16">
        <f>IF(ISERROR(VLOOKUP($A844,'13. Updated Demand'!A:Z,17,FALSE)),0,VLOOKUP($A844,'13. Updated Demand'!A:Z,17,FALSE))</f>
        <v>0</v>
      </c>
      <c r="AA844" s="16">
        <f>IF(ISERROR(VLOOKUP($A844,'13. Updated Demand'!A:Z,18,FALSE)),0,VLOOKUP($A844,'13. Updated Demand'!A:Z,18,FALSE))</f>
        <v>0</v>
      </c>
      <c r="AB844" s="16">
        <f>IF(ISERROR(VLOOKUP($A844,'13. Updated Demand'!A:Z,19,FALSE)),0,VLOOKUP($A844,'13. Updated Demand'!A:Z,19,FALSE))</f>
        <v>6.6666666999999999E-2</v>
      </c>
      <c r="AC844" s="16">
        <f>IF(ISERROR(VLOOKUP($A844,'13. Updated Demand'!A:Z,20,FALSE)),0,VLOOKUP($A844,'13. Updated Demand'!A:Z,20,FALSE))</f>
        <v>0</v>
      </c>
      <c r="AD844" s="16">
        <f>IF(ISERROR(VLOOKUP($A844,'13. Updated Demand'!A:Z,21,FALSE)),0,VLOOKUP($A844,'13. Updated Demand'!A:Z,21,FALSE))</f>
        <v>0</v>
      </c>
      <c r="AE844" s="16">
        <f>IF(ISERROR(VLOOKUP($A844,'13. Updated Demand'!A:Z,22,FALSE)),0,VLOOKUP($A844,'13. Updated Demand'!A:Z,22,FALSE))</f>
        <v>0</v>
      </c>
      <c r="AF844" s="16">
        <f>IF(ISERROR(VLOOKUP($A844,'13. Updated Demand'!A:Z,23,FALSE)),0,VLOOKUP($A844,'13. Updated Demand'!A:Z,23,FALSE))</f>
        <v>0</v>
      </c>
      <c r="AG844" s="16">
        <f>IF(ISERROR(VLOOKUP($A844,'13. Updated Demand'!A:Z,24,FALSE)),0,VLOOKUP($A844,'13. Updated Demand'!A:Z,24,FALSE))</f>
        <v>0</v>
      </c>
      <c r="AH844" s="16">
        <f>IF(ISERROR(VLOOKUP($A844,'13. Updated Demand'!A:Z,25,FALSE)),0,VLOOKUP($A844,'13. Updated Demand'!A:Z,25,FALSE))</f>
        <v>0.83333333300000001</v>
      </c>
      <c r="AI844" s="16">
        <f>IF(ISERROR(VLOOKUP($A844,'13. Updated Demand'!A:Z,26,FALSE)),0,VLOOKUP($A844,'13. Updated Demand'!A:Z,26,FALSE))</f>
        <v>0.7</v>
      </c>
      <c r="AJ844" s="16">
        <f t="shared" si="156"/>
        <v>2.2666666659999999</v>
      </c>
      <c r="AK844" s="19">
        <v>6.6666666999999999E-2</v>
      </c>
      <c r="AL844" s="16">
        <f t="shared" si="166"/>
        <v>2.2112574039199597E-4</v>
      </c>
      <c r="AM844" s="17">
        <v>0.13333333329411765</v>
      </c>
      <c r="AN844" s="19"/>
      <c r="AO844" s="19"/>
      <c r="AP844" s="19">
        <v>17</v>
      </c>
      <c r="AQ844" s="19" t="s">
        <v>307</v>
      </c>
      <c r="AR844" s="9" t="s">
        <v>378</v>
      </c>
      <c r="AS844" s="12">
        <v>0</v>
      </c>
      <c r="AT844" s="19">
        <v>38.504418180000002</v>
      </c>
      <c r="AU844" s="19">
        <v>-122.54743901000001</v>
      </c>
      <c r="AV844" s="19" t="s">
        <v>417</v>
      </c>
    </row>
    <row r="845" spans="1:48" x14ac:dyDescent="0.25">
      <c r="A845" s="18" t="s">
        <v>1227</v>
      </c>
      <c r="B845" s="10">
        <v>19680614</v>
      </c>
      <c r="C845" s="9">
        <v>14</v>
      </c>
      <c r="D845" s="8" t="str">
        <f t="shared" si="157"/>
        <v>N</v>
      </c>
      <c r="E845" s="8" t="str">
        <f t="shared" si="158"/>
        <v>N</v>
      </c>
      <c r="F845" s="8" t="str">
        <f t="shared" si="159"/>
        <v>N</v>
      </c>
      <c r="G845" s="8" t="str">
        <f t="shared" si="160"/>
        <v>N</v>
      </c>
      <c r="H845" s="8" t="str">
        <f t="shared" si="161"/>
        <v>Lower</v>
      </c>
      <c r="I845" s="8" t="str">
        <f t="shared" si="162"/>
        <v>Outside</v>
      </c>
      <c r="J845" s="8" t="str">
        <f t="shared" si="163"/>
        <v>Outside</v>
      </c>
      <c r="K845" s="8" t="str">
        <f t="shared" si="164"/>
        <v>Post-1949</v>
      </c>
      <c r="L845" s="8">
        <f t="shared" si="165"/>
        <v>1968</v>
      </c>
      <c r="M845" s="8" t="str">
        <f t="shared" si="167"/>
        <v>1960-1970</v>
      </c>
      <c r="N845" s="10" t="s">
        <v>242</v>
      </c>
      <c r="O845" s="10" t="s">
        <v>242</v>
      </c>
      <c r="P845" s="10" t="s">
        <v>242</v>
      </c>
      <c r="Q845" s="10" t="s">
        <v>242</v>
      </c>
      <c r="R845" s="10" t="s">
        <v>241</v>
      </c>
      <c r="S845" s="10" t="s">
        <v>242</v>
      </c>
      <c r="T845" s="10" t="s">
        <v>242</v>
      </c>
      <c r="U845" s="10" t="s">
        <v>242</v>
      </c>
      <c r="V845" s="10" t="s">
        <v>242</v>
      </c>
      <c r="W845" s="10" t="s">
        <v>242</v>
      </c>
      <c r="X845" s="15">
        <f>IF(ISERROR(VLOOKUP($A845,'13. Updated Demand'!A:Z,15,FALSE)),0,VLOOKUP($A845,'13. Updated Demand'!A:Z,15,FALSE))</f>
        <v>0</v>
      </c>
      <c r="Y845" s="16">
        <f>IF(ISERROR(VLOOKUP($A845,'13. Updated Demand'!A:Z,16,FALSE)),0,VLOOKUP($A845,'13. Updated Demand'!A:Z,16,FALSE))</f>
        <v>0</v>
      </c>
      <c r="Z845" s="16">
        <f>IF(ISERROR(VLOOKUP($A845,'13. Updated Demand'!A:Z,17,FALSE)),0,VLOOKUP($A845,'13. Updated Demand'!A:Z,17,FALSE))</f>
        <v>0</v>
      </c>
      <c r="AA845" s="16">
        <f>IF(ISERROR(VLOOKUP($A845,'13. Updated Demand'!A:Z,18,FALSE)),0,VLOOKUP($A845,'13. Updated Demand'!A:Z,18,FALSE))</f>
        <v>0</v>
      </c>
      <c r="AB845" s="16">
        <f>IF(ISERROR(VLOOKUP($A845,'13. Updated Demand'!A:Z,19,FALSE)),0,VLOOKUP($A845,'13. Updated Demand'!A:Z,19,FALSE))</f>
        <v>3.5</v>
      </c>
      <c r="AC845" s="16">
        <f>IF(ISERROR(VLOOKUP($A845,'13. Updated Demand'!A:Z,20,FALSE)),0,VLOOKUP($A845,'13. Updated Demand'!A:Z,20,FALSE))</f>
        <v>7.25</v>
      </c>
      <c r="AD845" s="16">
        <f>IF(ISERROR(VLOOKUP($A845,'13. Updated Demand'!A:Z,21,FALSE)),0,VLOOKUP($A845,'13. Updated Demand'!A:Z,21,FALSE))</f>
        <v>7.25</v>
      </c>
      <c r="AE845" s="16">
        <f>IF(ISERROR(VLOOKUP($A845,'13. Updated Demand'!A:Z,22,FALSE)),0,VLOOKUP($A845,'13. Updated Demand'!A:Z,22,FALSE))</f>
        <v>7.25</v>
      </c>
      <c r="AF845" s="16">
        <f>IF(ISERROR(VLOOKUP($A845,'13. Updated Demand'!A:Z,23,FALSE)),0,VLOOKUP($A845,'13. Updated Demand'!A:Z,23,FALSE))</f>
        <v>3.5</v>
      </c>
      <c r="AG845" s="16">
        <f>IF(ISERROR(VLOOKUP($A845,'13. Updated Demand'!A:Z,24,FALSE)),0,VLOOKUP($A845,'13. Updated Demand'!A:Z,24,FALSE))</f>
        <v>1.7</v>
      </c>
      <c r="AH845" s="16">
        <f>IF(ISERROR(VLOOKUP($A845,'13. Updated Demand'!A:Z,25,FALSE)),0,VLOOKUP($A845,'13. Updated Demand'!A:Z,25,FALSE))</f>
        <v>0</v>
      </c>
      <c r="AI845" s="16">
        <f>IF(ISERROR(VLOOKUP($A845,'13. Updated Demand'!A:Z,26,FALSE)),0,VLOOKUP($A845,'13. Updated Demand'!A:Z,26,FALSE))</f>
        <v>0</v>
      </c>
      <c r="AJ845" s="16">
        <f t="shared" si="156"/>
        <v>30.45</v>
      </c>
      <c r="AK845" s="19">
        <v>28.75</v>
      </c>
      <c r="AL845" s="16">
        <f t="shared" si="166"/>
        <v>9.5360475067245876E-2</v>
      </c>
      <c r="AM845" s="17">
        <v>0.84583333333333333</v>
      </c>
      <c r="AN845" s="19"/>
      <c r="AO845" s="19"/>
      <c r="AP845" s="19">
        <v>36</v>
      </c>
      <c r="AQ845" s="19" t="s">
        <v>307</v>
      </c>
      <c r="AR845" s="9" t="s">
        <v>493</v>
      </c>
      <c r="AS845" s="12">
        <v>0</v>
      </c>
      <c r="AT845" s="19">
        <v>38.70733912</v>
      </c>
      <c r="AU845" s="19">
        <v>-122.96937020999999</v>
      </c>
      <c r="AV845" s="19" t="s">
        <v>932</v>
      </c>
    </row>
    <row r="846" spans="1:48" x14ac:dyDescent="0.25">
      <c r="A846" s="18" t="s">
        <v>1228</v>
      </c>
      <c r="B846" s="10">
        <v>19680716</v>
      </c>
      <c r="C846" s="9">
        <v>12</v>
      </c>
      <c r="D846" s="8" t="str">
        <f t="shared" si="157"/>
        <v>N</v>
      </c>
      <c r="E846" s="8" t="str">
        <f t="shared" si="158"/>
        <v>Y</v>
      </c>
      <c r="F846" s="8" t="str">
        <f t="shared" si="159"/>
        <v>Y</v>
      </c>
      <c r="G846" s="8" t="str">
        <f t="shared" si="160"/>
        <v>Y</v>
      </c>
      <c r="H846" s="8" t="str">
        <f t="shared" si="161"/>
        <v>Upper</v>
      </c>
      <c r="I846" s="8" t="str">
        <f t="shared" si="162"/>
        <v>West Fork and Below Lake</v>
      </c>
      <c r="J846" s="8" t="str">
        <f t="shared" si="163"/>
        <v>Sonoma (d/s of Clov. Gage)</v>
      </c>
      <c r="K846" s="8" t="str">
        <f t="shared" si="164"/>
        <v>Post-1949</v>
      </c>
      <c r="L846" s="8">
        <f t="shared" si="165"/>
        <v>1968</v>
      </c>
      <c r="M846" s="8" t="str">
        <f t="shared" si="167"/>
        <v>1960-1970</v>
      </c>
      <c r="N846" s="10" t="s">
        <v>242</v>
      </c>
      <c r="O846" s="10" t="s">
        <v>241</v>
      </c>
      <c r="P846" s="10" t="s">
        <v>242</v>
      </c>
      <c r="Q846" s="10" t="s">
        <v>242</v>
      </c>
      <c r="R846" s="10" t="s">
        <v>241</v>
      </c>
      <c r="S846" s="10" t="s">
        <v>242</v>
      </c>
      <c r="T846" s="10" t="s">
        <v>242</v>
      </c>
      <c r="U846" s="10" t="s">
        <v>242</v>
      </c>
      <c r="V846" s="10" t="s">
        <v>242</v>
      </c>
      <c r="W846" s="10" t="s">
        <v>242</v>
      </c>
      <c r="X846" s="15">
        <f>IF(ISERROR(VLOOKUP($A846,'13. Updated Demand'!A:Z,15,FALSE)),0,VLOOKUP($A846,'13. Updated Demand'!A:Z,15,FALSE))</f>
        <v>0</v>
      </c>
      <c r="Y846" s="16">
        <f>IF(ISERROR(VLOOKUP($A846,'13. Updated Demand'!A:Z,16,FALSE)),0,VLOOKUP($A846,'13. Updated Demand'!A:Z,16,FALSE))</f>
        <v>0</v>
      </c>
      <c r="Z846" s="16">
        <f>IF(ISERROR(VLOOKUP($A846,'13. Updated Demand'!A:Z,17,FALSE)),0,VLOOKUP($A846,'13. Updated Demand'!A:Z,17,FALSE))</f>
        <v>0</v>
      </c>
      <c r="AA846" s="16">
        <f>IF(ISERROR(VLOOKUP($A846,'13. Updated Demand'!A:Z,18,FALSE)),0,VLOOKUP($A846,'13. Updated Demand'!A:Z,18,FALSE))</f>
        <v>0</v>
      </c>
      <c r="AB846" s="16">
        <f>IF(ISERROR(VLOOKUP($A846,'13. Updated Demand'!A:Z,19,FALSE)),0,VLOOKUP($A846,'13. Updated Demand'!A:Z,19,FALSE))</f>
        <v>0</v>
      </c>
      <c r="AC846" s="16">
        <f>IF(ISERROR(VLOOKUP($A846,'13. Updated Demand'!A:Z,20,FALSE)),0,VLOOKUP($A846,'13. Updated Demand'!A:Z,20,FALSE))</f>
        <v>0</v>
      </c>
      <c r="AD846" s="16">
        <f>IF(ISERROR(VLOOKUP($A846,'13. Updated Demand'!A:Z,21,FALSE)),0,VLOOKUP($A846,'13. Updated Demand'!A:Z,21,FALSE))</f>
        <v>0</v>
      </c>
      <c r="AE846" s="16">
        <f>IF(ISERROR(VLOOKUP($A846,'13. Updated Demand'!A:Z,22,FALSE)),0,VLOOKUP($A846,'13. Updated Demand'!A:Z,22,FALSE))</f>
        <v>0</v>
      </c>
      <c r="AF846" s="16">
        <f>IF(ISERROR(VLOOKUP($A846,'13. Updated Demand'!A:Z,23,FALSE)),0,VLOOKUP($A846,'13. Updated Demand'!A:Z,23,FALSE))</f>
        <v>0.2</v>
      </c>
      <c r="AG846" s="16">
        <f>IF(ISERROR(VLOOKUP($A846,'13. Updated Demand'!A:Z,24,FALSE)),0,VLOOKUP($A846,'13. Updated Demand'!A:Z,24,FALSE))</f>
        <v>0</v>
      </c>
      <c r="AH846" s="16">
        <f>IF(ISERROR(VLOOKUP($A846,'13. Updated Demand'!A:Z,25,FALSE)),0,VLOOKUP($A846,'13. Updated Demand'!A:Z,25,FALSE))</f>
        <v>0.18</v>
      </c>
      <c r="AI846" s="16">
        <f>IF(ISERROR(VLOOKUP($A846,'13. Updated Demand'!A:Z,26,FALSE)),0,VLOOKUP($A846,'13. Updated Demand'!A:Z,26,FALSE))</f>
        <v>0</v>
      </c>
      <c r="AJ846" s="16">
        <f t="shared" si="156"/>
        <v>0.38</v>
      </c>
      <c r="AK846" s="19">
        <v>0.2</v>
      </c>
      <c r="AL846" s="16">
        <f t="shared" si="166"/>
        <v>6.6337721785910179E-4</v>
      </c>
      <c r="AM846" s="17">
        <v>2.5777777800000002E-2</v>
      </c>
      <c r="AN846" s="19"/>
      <c r="AO846" s="19"/>
      <c r="AP846" s="19">
        <v>15</v>
      </c>
      <c r="AQ846" s="19" t="s">
        <v>307</v>
      </c>
      <c r="AR846" s="9" t="s">
        <v>311</v>
      </c>
      <c r="AS846" s="12">
        <v>0</v>
      </c>
      <c r="AT846" s="19">
        <v>38.585651140000003</v>
      </c>
      <c r="AU846" s="19">
        <v>-122.75220136999999</v>
      </c>
      <c r="AV846" s="19" t="s">
        <v>1229</v>
      </c>
    </row>
    <row r="847" spans="1:48" x14ac:dyDescent="0.25">
      <c r="A847" s="18" t="s">
        <v>1230</v>
      </c>
      <c r="B847" s="10">
        <v>19680722</v>
      </c>
      <c r="C847" s="9">
        <v>12</v>
      </c>
      <c r="D847" s="8" t="str">
        <f t="shared" si="157"/>
        <v>N</v>
      </c>
      <c r="E847" s="8" t="str">
        <f t="shared" si="158"/>
        <v>Y</v>
      </c>
      <c r="F847" s="8" t="str">
        <f t="shared" si="159"/>
        <v>Y</v>
      </c>
      <c r="G847" s="8" t="str">
        <f t="shared" si="160"/>
        <v>Y</v>
      </c>
      <c r="H847" s="8" t="str">
        <f t="shared" si="161"/>
        <v>Upper</v>
      </c>
      <c r="I847" s="8" t="str">
        <f t="shared" si="162"/>
        <v>West Fork and Below Lake</v>
      </c>
      <c r="J847" s="8" t="str">
        <f t="shared" si="163"/>
        <v>Sonoma (d/s of Clov. Gage)</v>
      </c>
      <c r="K847" s="8" t="str">
        <f t="shared" si="164"/>
        <v>Post-1949</v>
      </c>
      <c r="L847" s="8">
        <f t="shared" si="165"/>
        <v>1968</v>
      </c>
      <c r="M847" s="8" t="str">
        <f t="shared" si="167"/>
        <v>1960-1970</v>
      </c>
      <c r="N847" s="10" t="s">
        <v>242</v>
      </c>
      <c r="O847" s="10" t="s">
        <v>241</v>
      </c>
      <c r="P847" s="10" t="s">
        <v>242</v>
      </c>
      <c r="Q847" s="10" t="s">
        <v>242</v>
      </c>
      <c r="R847" s="10" t="s">
        <v>241</v>
      </c>
      <c r="S847" s="10" t="s">
        <v>242</v>
      </c>
      <c r="T847" s="10" t="s">
        <v>242</v>
      </c>
      <c r="U847" s="10" t="s">
        <v>242</v>
      </c>
      <c r="V847" s="10" t="s">
        <v>241</v>
      </c>
      <c r="W847" s="10" t="s">
        <v>242</v>
      </c>
      <c r="X847" s="15">
        <f>IF(ISERROR(VLOOKUP($A847,'13. Updated Demand'!A:Z,15,FALSE)),0,VLOOKUP($A847,'13. Updated Demand'!A:Z,15,FALSE))</f>
        <v>7.1699999999999995E-5</v>
      </c>
      <c r="Y847" s="16">
        <f>IF(ISERROR(VLOOKUP($A847,'13. Updated Demand'!A:Z,16,FALSE)),0,VLOOKUP($A847,'13. Updated Demand'!A:Z,16,FALSE))</f>
        <v>7.1699999999999995E-5</v>
      </c>
      <c r="Z847" s="16">
        <f>IF(ISERROR(VLOOKUP($A847,'13. Updated Demand'!A:Z,17,FALSE)),0,VLOOKUP($A847,'13. Updated Demand'!A:Z,17,FALSE))</f>
        <v>7.1699999999999995E-5</v>
      </c>
      <c r="AA847" s="16">
        <f>IF(ISERROR(VLOOKUP($A847,'13. Updated Demand'!A:Z,18,FALSE)),0,VLOOKUP($A847,'13. Updated Demand'!A:Z,18,FALSE))</f>
        <v>0</v>
      </c>
      <c r="AB847" s="16">
        <f>IF(ISERROR(VLOOKUP($A847,'13. Updated Demand'!A:Z,19,FALSE)),0,VLOOKUP($A847,'13. Updated Demand'!A:Z,19,FALSE))</f>
        <v>0</v>
      </c>
      <c r="AC847" s="16">
        <f>IF(ISERROR(VLOOKUP($A847,'13. Updated Demand'!A:Z,20,FALSE)),0,VLOOKUP($A847,'13. Updated Demand'!A:Z,20,FALSE))</f>
        <v>0</v>
      </c>
      <c r="AD847" s="16">
        <f>IF(ISERROR(VLOOKUP($A847,'13. Updated Demand'!A:Z,21,FALSE)),0,VLOOKUP($A847,'13. Updated Demand'!A:Z,21,FALSE))</f>
        <v>0</v>
      </c>
      <c r="AE847" s="16">
        <f>IF(ISERROR(VLOOKUP($A847,'13. Updated Demand'!A:Z,22,FALSE)),0,VLOOKUP($A847,'13. Updated Demand'!A:Z,22,FALSE))</f>
        <v>0</v>
      </c>
      <c r="AF847" s="16">
        <f>IF(ISERROR(VLOOKUP($A847,'13. Updated Demand'!A:Z,23,FALSE)),0,VLOOKUP($A847,'13. Updated Demand'!A:Z,23,FALSE))</f>
        <v>0</v>
      </c>
      <c r="AG847" s="16">
        <f>IF(ISERROR(VLOOKUP($A847,'13. Updated Demand'!A:Z,24,FALSE)),0,VLOOKUP($A847,'13. Updated Demand'!A:Z,24,FALSE))</f>
        <v>7.1699999999999995E-5</v>
      </c>
      <c r="AH847" s="16">
        <f>IF(ISERROR(VLOOKUP($A847,'13. Updated Demand'!A:Z,25,FALSE)),0,VLOOKUP($A847,'13. Updated Demand'!A:Z,25,FALSE))</f>
        <v>9.2E-5</v>
      </c>
      <c r="AI847" s="16">
        <f>IF(ISERROR(VLOOKUP($A847,'13. Updated Demand'!A:Z,26,FALSE)),0,VLOOKUP($A847,'13. Updated Demand'!A:Z,26,FALSE))</f>
        <v>9.2E-5</v>
      </c>
      <c r="AJ847" s="16">
        <f t="shared" si="156"/>
        <v>4.7080000000000001E-4</v>
      </c>
      <c r="AK847" s="19">
        <v>0</v>
      </c>
      <c r="AL847" s="16">
        <f t="shared" si="166"/>
        <v>0</v>
      </c>
      <c r="AM847" s="17">
        <v>3.6215384615384614E-4</v>
      </c>
      <c r="AN847" s="19"/>
      <c r="AO847" s="19"/>
      <c r="AP847" s="19">
        <v>1.3</v>
      </c>
      <c r="AQ847" s="19" t="s">
        <v>307</v>
      </c>
      <c r="AR847" s="9" t="s">
        <v>311</v>
      </c>
      <c r="AS847" s="12">
        <v>3.4039024194010059E-4</v>
      </c>
      <c r="AT847" s="19">
        <v>38.586731309999998</v>
      </c>
      <c r="AU847" s="19">
        <v>-122.75501169</v>
      </c>
      <c r="AV847" s="19" t="s">
        <v>1229</v>
      </c>
    </row>
    <row r="848" spans="1:48" x14ac:dyDescent="0.25">
      <c r="A848" s="18" t="s">
        <v>1231</v>
      </c>
      <c r="B848" s="10">
        <v>19680726</v>
      </c>
      <c r="C848" s="9">
        <v>11</v>
      </c>
      <c r="D848" s="8" t="str">
        <f t="shared" si="157"/>
        <v>N</v>
      </c>
      <c r="E848" s="8" t="str">
        <f t="shared" si="158"/>
        <v>Y</v>
      </c>
      <c r="F848" s="8" t="str">
        <f t="shared" si="159"/>
        <v>Y</v>
      </c>
      <c r="G848" s="8" t="str">
        <f t="shared" si="160"/>
        <v>Y</v>
      </c>
      <c r="H848" s="8" t="str">
        <f t="shared" si="161"/>
        <v>Upper</v>
      </c>
      <c r="I848" s="8" t="str">
        <f t="shared" si="162"/>
        <v>West Fork and Below Lake</v>
      </c>
      <c r="J848" s="8" t="str">
        <f t="shared" si="163"/>
        <v>Sonoma (d/s of Clov. Gage)</v>
      </c>
      <c r="K848" s="8" t="str">
        <f t="shared" si="164"/>
        <v>Post-1949</v>
      </c>
      <c r="L848" s="8">
        <f t="shared" si="165"/>
        <v>1968</v>
      </c>
      <c r="M848" s="8" t="str">
        <f t="shared" si="167"/>
        <v>1960-1970</v>
      </c>
      <c r="N848" s="10" t="s">
        <v>242</v>
      </c>
      <c r="O848" s="10" t="s">
        <v>241</v>
      </c>
      <c r="P848" s="10" t="s">
        <v>242</v>
      </c>
      <c r="Q848" s="10" t="s">
        <v>242</v>
      </c>
      <c r="R848" s="10" t="s">
        <v>241</v>
      </c>
      <c r="S848" s="10" t="s">
        <v>242</v>
      </c>
      <c r="T848" s="10" t="s">
        <v>242</v>
      </c>
      <c r="U848" s="10" t="s">
        <v>242</v>
      </c>
      <c r="V848" s="10" t="s">
        <v>242</v>
      </c>
      <c r="W848" s="10" t="s">
        <v>242</v>
      </c>
      <c r="X848" s="15">
        <f>IF(ISERROR(VLOOKUP($A848,'13. Updated Demand'!A:Z,15,FALSE)),0,VLOOKUP($A848,'13. Updated Demand'!A:Z,15,FALSE))</f>
        <v>3.0699999999999998E-4</v>
      </c>
      <c r="Y848" s="16">
        <f>IF(ISERROR(VLOOKUP($A848,'13. Updated Demand'!A:Z,16,FALSE)),0,VLOOKUP($A848,'13. Updated Demand'!A:Z,16,FALSE))</f>
        <v>3.0699999999999998E-4</v>
      </c>
      <c r="Z848" s="16">
        <f>IF(ISERROR(VLOOKUP($A848,'13. Updated Demand'!A:Z,17,FALSE)),0,VLOOKUP($A848,'13. Updated Demand'!A:Z,17,FALSE))</f>
        <v>3.0699999999999998E-4</v>
      </c>
      <c r="AA848" s="16">
        <f>IF(ISERROR(VLOOKUP($A848,'13. Updated Demand'!A:Z,18,FALSE)),0,VLOOKUP($A848,'13. Updated Demand'!A:Z,18,FALSE))</f>
        <v>3.0699999999999998E-4</v>
      </c>
      <c r="AB848" s="16">
        <f>IF(ISERROR(VLOOKUP($A848,'13. Updated Demand'!A:Z,19,FALSE)),0,VLOOKUP($A848,'13. Updated Demand'!A:Z,19,FALSE))</f>
        <v>3.0699999999999998E-4</v>
      </c>
      <c r="AC848" s="16">
        <f>IF(ISERROR(VLOOKUP($A848,'13. Updated Demand'!A:Z,20,FALSE)),0,VLOOKUP($A848,'13. Updated Demand'!A:Z,20,FALSE))</f>
        <v>3.0699999999999998E-4</v>
      </c>
      <c r="AD848" s="16">
        <f>IF(ISERROR(VLOOKUP($A848,'13. Updated Demand'!A:Z,21,FALSE)),0,VLOOKUP($A848,'13. Updated Demand'!A:Z,21,FALSE))</f>
        <v>3.0699999999999998E-4</v>
      </c>
      <c r="AE848" s="16">
        <f>IF(ISERROR(VLOOKUP($A848,'13. Updated Demand'!A:Z,22,FALSE)),0,VLOOKUP($A848,'13. Updated Demand'!A:Z,22,FALSE))</f>
        <v>3.0699999999999998E-4</v>
      </c>
      <c r="AF848" s="16">
        <f>IF(ISERROR(VLOOKUP($A848,'13. Updated Demand'!A:Z,23,FALSE)),0,VLOOKUP($A848,'13. Updated Demand'!A:Z,23,FALSE))</f>
        <v>3.0699999999999998E-4</v>
      </c>
      <c r="AG848" s="16">
        <f>IF(ISERROR(VLOOKUP($A848,'13. Updated Demand'!A:Z,24,FALSE)),0,VLOOKUP($A848,'13. Updated Demand'!A:Z,24,FALSE))</f>
        <v>3.0699999999999998E-4</v>
      </c>
      <c r="AH848" s="16">
        <f>IF(ISERROR(VLOOKUP($A848,'13. Updated Demand'!A:Z,25,FALSE)),0,VLOOKUP($A848,'13. Updated Demand'!A:Z,25,FALSE))</f>
        <v>3.0699999999999998E-4</v>
      </c>
      <c r="AI848" s="16">
        <f>IF(ISERROR(VLOOKUP($A848,'13. Updated Demand'!A:Z,26,FALSE)),0,VLOOKUP($A848,'13. Updated Demand'!A:Z,26,FALSE))</f>
        <v>3.0699999999999998E-4</v>
      </c>
      <c r="AJ848" s="16">
        <f t="shared" ref="AJ848:AJ911" si="168">SUM(X848:AI848)</f>
        <v>3.6839999999999998E-3</v>
      </c>
      <c r="AK848" s="19">
        <v>1.5349999999999999E-3</v>
      </c>
      <c r="AL848" s="16">
        <f t="shared" si="166"/>
        <v>5.0914201470686059E-6</v>
      </c>
      <c r="AM848" s="17">
        <v>2.3615384615384616E-5</v>
      </c>
      <c r="AN848" s="19"/>
      <c r="AO848" s="19"/>
      <c r="AP848" s="19">
        <v>156</v>
      </c>
      <c r="AQ848" s="19" t="s">
        <v>307</v>
      </c>
      <c r="AR848" s="9" t="s">
        <v>308</v>
      </c>
      <c r="AS848" s="12">
        <v>3.4039024194010059E-4</v>
      </c>
      <c r="AT848" s="19">
        <v>38.691918749999999</v>
      </c>
      <c r="AU848" s="19">
        <v>-122.66222476999999</v>
      </c>
      <c r="AV848" s="19" t="s">
        <v>417</v>
      </c>
    </row>
    <row r="849" spans="1:48" x14ac:dyDescent="0.25">
      <c r="A849" s="18" t="s">
        <v>1232</v>
      </c>
      <c r="B849" s="10">
        <v>19681002</v>
      </c>
      <c r="C849" s="9">
        <v>23</v>
      </c>
      <c r="D849" s="8" t="str">
        <f t="shared" si="157"/>
        <v>N</v>
      </c>
      <c r="E849" s="8" t="str">
        <f t="shared" si="158"/>
        <v>N</v>
      </c>
      <c r="F849" s="8" t="str">
        <f t="shared" si="159"/>
        <v>N</v>
      </c>
      <c r="G849" s="8" t="str">
        <f t="shared" si="160"/>
        <v>N</v>
      </c>
      <c r="H849" s="8" t="str">
        <f t="shared" si="161"/>
        <v>Lower</v>
      </c>
      <c r="I849" s="8" t="str">
        <f t="shared" si="162"/>
        <v>Outside</v>
      </c>
      <c r="J849" s="8" t="str">
        <f t="shared" si="163"/>
        <v>Outside</v>
      </c>
      <c r="K849" s="8" t="str">
        <f t="shared" si="164"/>
        <v>Post-1949</v>
      </c>
      <c r="L849" s="8">
        <f t="shared" si="165"/>
        <v>1968</v>
      </c>
      <c r="M849" s="8" t="str">
        <f t="shared" si="167"/>
        <v>1960-1970</v>
      </c>
      <c r="N849" s="10" t="s">
        <v>242</v>
      </c>
      <c r="O849" s="10" t="s">
        <v>242</v>
      </c>
      <c r="P849" s="10" t="s">
        <v>242</v>
      </c>
      <c r="Q849" s="10" t="s">
        <v>242</v>
      </c>
      <c r="R849" s="10" t="s">
        <v>241</v>
      </c>
      <c r="S849" s="10" t="s">
        <v>242</v>
      </c>
      <c r="T849" s="10" t="s">
        <v>242</v>
      </c>
      <c r="U849" s="10" t="s">
        <v>242</v>
      </c>
      <c r="V849" s="10" t="s">
        <v>242</v>
      </c>
      <c r="W849" s="10" t="s">
        <v>242</v>
      </c>
      <c r="X849" s="15">
        <f>IF(ISERROR(VLOOKUP($A849,'13. Updated Demand'!A:Z,15,FALSE)),0,VLOOKUP($A849,'13. Updated Demand'!A:Z,15,FALSE))</f>
        <v>1.4366666669999999</v>
      </c>
      <c r="Y849" s="16">
        <f>IF(ISERROR(VLOOKUP($A849,'13. Updated Demand'!A:Z,16,FALSE)),0,VLOOKUP($A849,'13. Updated Demand'!A:Z,16,FALSE))</f>
        <v>1.506666667</v>
      </c>
      <c r="Z849" s="16">
        <f>IF(ISERROR(VLOOKUP($A849,'13. Updated Demand'!A:Z,17,FALSE)),0,VLOOKUP($A849,'13. Updated Demand'!A:Z,17,FALSE))</f>
        <v>0.96666666700000003</v>
      </c>
      <c r="AA849" s="16">
        <f>IF(ISERROR(VLOOKUP($A849,'13. Updated Demand'!A:Z,18,FALSE)),0,VLOOKUP($A849,'13. Updated Demand'!A:Z,18,FALSE))</f>
        <v>0.46666666699999998</v>
      </c>
      <c r="AB849" s="16">
        <f>IF(ISERROR(VLOOKUP($A849,'13. Updated Demand'!A:Z,19,FALSE)),0,VLOOKUP($A849,'13. Updated Demand'!A:Z,19,FALSE))</f>
        <v>0.25666666700000001</v>
      </c>
      <c r="AC849" s="16">
        <f>IF(ISERROR(VLOOKUP($A849,'13. Updated Demand'!A:Z,20,FALSE)),0,VLOOKUP($A849,'13. Updated Demand'!A:Z,20,FALSE))</f>
        <v>8.6666667000000003E-2</v>
      </c>
      <c r="AD849" s="16">
        <f>IF(ISERROR(VLOOKUP($A849,'13. Updated Demand'!A:Z,21,FALSE)),0,VLOOKUP($A849,'13. Updated Demand'!A:Z,21,FALSE))</f>
        <v>7.3333333000000001E-2</v>
      </c>
      <c r="AE849" s="16">
        <f>IF(ISERROR(VLOOKUP($A849,'13. Updated Demand'!A:Z,22,FALSE)),0,VLOOKUP($A849,'13. Updated Demand'!A:Z,22,FALSE))</f>
        <v>0.09</v>
      </c>
      <c r="AF849" s="16">
        <f>IF(ISERROR(VLOOKUP($A849,'13. Updated Demand'!A:Z,23,FALSE)),0,VLOOKUP($A849,'13. Updated Demand'!A:Z,23,FALSE))</f>
        <v>8.6666667000000003E-2</v>
      </c>
      <c r="AG849" s="16">
        <f>IF(ISERROR(VLOOKUP($A849,'13. Updated Demand'!A:Z,24,FALSE)),0,VLOOKUP($A849,'13. Updated Demand'!A:Z,24,FALSE))</f>
        <v>4.6666667000000002E-2</v>
      </c>
      <c r="AH849" s="16">
        <f>IF(ISERROR(VLOOKUP($A849,'13. Updated Demand'!A:Z,25,FALSE)),0,VLOOKUP($A849,'13. Updated Demand'!A:Z,25,FALSE))</f>
        <v>0.52666666699999998</v>
      </c>
      <c r="AI849" s="16">
        <f>IF(ISERROR(VLOOKUP($A849,'13. Updated Demand'!A:Z,26,FALSE)),0,VLOOKUP($A849,'13. Updated Demand'!A:Z,26,FALSE))</f>
        <v>0.443333333</v>
      </c>
      <c r="AJ849" s="16">
        <f t="shared" si="168"/>
        <v>5.9866666690000008</v>
      </c>
      <c r="AK849" s="19">
        <v>0.59333333399999999</v>
      </c>
      <c r="AL849" s="16">
        <f t="shared" si="166"/>
        <v>1.9680190818599261E-3</v>
      </c>
      <c r="AM849" s="17">
        <v>0.46051282069230776</v>
      </c>
      <c r="AN849" s="19"/>
      <c r="AO849" s="19"/>
      <c r="AP849" s="19">
        <v>13</v>
      </c>
      <c r="AQ849" s="19" t="s">
        <v>307</v>
      </c>
      <c r="AR849" s="9" t="s">
        <v>378</v>
      </c>
      <c r="AS849" s="12">
        <v>0</v>
      </c>
      <c r="AT849" s="19">
        <v>38.377416859999997</v>
      </c>
      <c r="AU849" s="19">
        <v>-122.62896864</v>
      </c>
      <c r="AV849" s="19" t="s">
        <v>417</v>
      </c>
    </row>
    <row r="850" spans="1:48" x14ac:dyDescent="0.25">
      <c r="A850" s="18" t="s">
        <v>128</v>
      </c>
      <c r="B850" s="10">
        <v>19681118</v>
      </c>
      <c r="C850" s="9">
        <v>4</v>
      </c>
      <c r="D850" s="8" t="str">
        <f t="shared" si="157"/>
        <v>Y</v>
      </c>
      <c r="E850" s="8" t="str">
        <f t="shared" si="158"/>
        <v>N</v>
      </c>
      <c r="F850" s="8" t="str">
        <f t="shared" si="159"/>
        <v>Y</v>
      </c>
      <c r="G850" s="8" t="str">
        <f t="shared" si="160"/>
        <v>Y</v>
      </c>
      <c r="H850" s="8" t="str">
        <f t="shared" si="161"/>
        <v>Upper</v>
      </c>
      <c r="I850" s="8" t="str">
        <f t="shared" si="162"/>
        <v>West Fork and Below Lake</v>
      </c>
      <c r="J850" s="8" t="str">
        <f t="shared" si="163"/>
        <v>Mendocino (d/s of lake)</v>
      </c>
      <c r="K850" s="8" t="str">
        <f t="shared" si="164"/>
        <v>Post-1949</v>
      </c>
      <c r="L850" s="8">
        <f t="shared" si="165"/>
        <v>1968</v>
      </c>
      <c r="M850" s="8" t="str">
        <f t="shared" si="167"/>
        <v>1960-1970</v>
      </c>
      <c r="N850" s="10" t="s">
        <v>241</v>
      </c>
      <c r="O850" s="10" t="s">
        <v>241</v>
      </c>
      <c r="P850" s="10" t="s">
        <v>242</v>
      </c>
      <c r="Q850" s="10" t="s">
        <v>242</v>
      </c>
      <c r="R850" s="10" t="s">
        <v>241</v>
      </c>
      <c r="S850" s="10" t="s">
        <v>242</v>
      </c>
      <c r="T850" s="10" t="s">
        <v>242</v>
      </c>
      <c r="U850" s="10" t="s">
        <v>242</v>
      </c>
      <c r="V850" s="10" t="s">
        <v>242</v>
      </c>
      <c r="W850" s="10" t="s">
        <v>242</v>
      </c>
      <c r="X850" s="15">
        <f>IF(ISERROR(VLOOKUP($A850,'13. Updated Demand'!A:Z,15,FALSE)),0,VLOOKUP($A850,'13. Updated Demand'!A:Z,15,FALSE))</f>
        <v>0</v>
      </c>
      <c r="Y850" s="16">
        <f>IF(ISERROR(VLOOKUP($A850,'13. Updated Demand'!A:Z,16,FALSE)),0,VLOOKUP($A850,'13. Updated Demand'!A:Z,16,FALSE))</f>
        <v>0</v>
      </c>
      <c r="Z850" s="16">
        <f>IF(ISERROR(VLOOKUP($A850,'13. Updated Demand'!A:Z,17,FALSE)),0,VLOOKUP($A850,'13. Updated Demand'!A:Z,17,FALSE))</f>
        <v>0</v>
      </c>
      <c r="AA850" s="16">
        <f>IF(ISERROR(VLOOKUP($A850,'13. Updated Demand'!A:Z,18,FALSE)),0,VLOOKUP($A850,'13. Updated Demand'!A:Z,18,FALSE))</f>
        <v>1.2</v>
      </c>
      <c r="AB850" s="16">
        <f>IF(ISERROR(VLOOKUP($A850,'13. Updated Demand'!A:Z,19,FALSE)),0,VLOOKUP($A850,'13. Updated Demand'!A:Z,19,FALSE))</f>
        <v>1.17</v>
      </c>
      <c r="AC850" s="16">
        <f>IF(ISERROR(VLOOKUP($A850,'13. Updated Demand'!A:Z,20,FALSE)),0,VLOOKUP($A850,'13. Updated Demand'!A:Z,20,FALSE))</f>
        <v>4.75</v>
      </c>
      <c r="AD850" s="16">
        <f>IF(ISERROR(VLOOKUP($A850,'13. Updated Demand'!A:Z,21,FALSE)),0,VLOOKUP($A850,'13. Updated Demand'!A:Z,21,FALSE))</f>
        <v>6.68</v>
      </c>
      <c r="AE850" s="16">
        <f>IF(ISERROR(VLOOKUP($A850,'13. Updated Demand'!A:Z,22,FALSE)),0,VLOOKUP($A850,'13. Updated Demand'!A:Z,22,FALSE))</f>
        <v>6.57</v>
      </c>
      <c r="AF850" s="16">
        <f>IF(ISERROR(VLOOKUP($A850,'13. Updated Demand'!A:Z,23,FALSE)),0,VLOOKUP($A850,'13. Updated Demand'!A:Z,23,FALSE))</f>
        <v>3.47</v>
      </c>
      <c r="AG850" s="16">
        <f>IF(ISERROR(VLOOKUP($A850,'13. Updated Demand'!A:Z,24,FALSE)),0,VLOOKUP($A850,'13. Updated Demand'!A:Z,24,FALSE))</f>
        <v>0.72</v>
      </c>
      <c r="AH850" s="16">
        <f>IF(ISERROR(VLOOKUP($A850,'13. Updated Demand'!A:Z,25,FALSE)),0,VLOOKUP($A850,'13. Updated Demand'!A:Z,25,FALSE))</f>
        <v>0</v>
      </c>
      <c r="AI850" s="16">
        <f>IF(ISERROR(VLOOKUP($A850,'13. Updated Demand'!A:Z,26,FALSE)),0,VLOOKUP($A850,'13. Updated Demand'!A:Z,26,FALSE))</f>
        <v>0</v>
      </c>
      <c r="AJ850" s="16">
        <f t="shared" si="168"/>
        <v>24.56</v>
      </c>
      <c r="AK850" s="19">
        <v>22.670000000000012</v>
      </c>
      <c r="AL850" s="16">
        <f t="shared" si="166"/>
        <v>7.5193807644329244E-2</v>
      </c>
      <c r="AM850" s="17">
        <v>0.1182371794871795</v>
      </c>
      <c r="AN850" s="19"/>
      <c r="AO850" s="19"/>
      <c r="AP850" s="19">
        <v>208</v>
      </c>
      <c r="AQ850" s="19" t="s">
        <v>307</v>
      </c>
      <c r="AR850" s="9" t="s">
        <v>331</v>
      </c>
      <c r="AS850" s="12">
        <v>0</v>
      </c>
      <c r="AT850" s="19">
        <v>39.12053161</v>
      </c>
      <c r="AU850" s="19">
        <v>-123.18529483</v>
      </c>
      <c r="AV850" s="19" t="s">
        <v>548</v>
      </c>
    </row>
    <row r="851" spans="1:48" x14ac:dyDescent="0.25">
      <c r="A851" s="18" t="s">
        <v>1233</v>
      </c>
      <c r="B851" s="10">
        <v>19681204</v>
      </c>
      <c r="C851" s="9">
        <v>15</v>
      </c>
      <c r="D851" s="8" t="str">
        <f t="shared" si="157"/>
        <v>N</v>
      </c>
      <c r="E851" s="8" t="str">
        <f t="shared" si="158"/>
        <v>N</v>
      </c>
      <c r="F851" s="8" t="str">
        <f t="shared" si="159"/>
        <v>N</v>
      </c>
      <c r="G851" s="8" t="str">
        <f t="shared" si="160"/>
        <v>N</v>
      </c>
      <c r="H851" s="8" t="str">
        <f t="shared" si="161"/>
        <v>Lower</v>
      </c>
      <c r="I851" s="8" t="str">
        <f t="shared" si="162"/>
        <v>Outside</v>
      </c>
      <c r="J851" s="8" t="str">
        <f t="shared" si="163"/>
        <v>Outside</v>
      </c>
      <c r="K851" s="8" t="str">
        <f t="shared" si="164"/>
        <v>Post-1949</v>
      </c>
      <c r="L851" s="8">
        <f t="shared" si="165"/>
        <v>1968</v>
      </c>
      <c r="M851" s="8" t="str">
        <f t="shared" si="167"/>
        <v>1960-1970</v>
      </c>
      <c r="N851" s="10" t="s">
        <v>242</v>
      </c>
      <c r="O851" s="10" t="s">
        <v>242</v>
      </c>
      <c r="P851" s="10" t="s">
        <v>242</v>
      </c>
      <c r="Q851" s="10" t="s">
        <v>242</v>
      </c>
      <c r="R851" s="10" t="s">
        <v>241</v>
      </c>
      <c r="S851" s="10" t="s">
        <v>242</v>
      </c>
      <c r="T851" s="10" t="s">
        <v>242</v>
      </c>
      <c r="U851" s="10" t="s">
        <v>242</v>
      </c>
      <c r="V851" s="10" t="s">
        <v>242</v>
      </c>
      <c r="W851" s="10" t="s">
        <v>242</v>
      </c>
      <c r="X851" s="15">
        <f>IF(ISERROR(VLOOKUP($A851,'13. Updated Demand'!A:Z,15,FALSE)),0,VLOOKUP($A851,'13. Updated Demand'!A:Z,15,FALSE))</f>
        <v>0</v>
      </c>
      <c r="Y851" s="16">
        <f>IF(ISERROR(VLOOKUP($A851,'13. Updated Demand'!A:Z,16,FALSE)),0,VLOOKUP($A851,'13. Updated Demand'!A:Z,16,FALSE))</f>
        <v>0</v>
      </c>
      <c r="Z851" s="16">
        <f>IF(ISERROR(VLOOKUP($A851,'13. Updated Demand'!A:Z,17,FALSE)),0,VLOOKUP($A851,'13. Updated Demand'!A:Z,17,FALSE))</f>
        <v>0</v>
      </c>
      <c r="AA851" s="16">
        <f>IF(ISERROR(VLOOKUP($A851,'13. Updated Demand'!A:Z,18,FALSE)),0,VLOOKUP($A851,'13. Updated Demand'!A:Z,18,FALSE))</f>
        <v>0</v>
      </c>
      <c r="AB851" s="16">
        <f>IF(ISERROR(VLOOKUP($A851,'13. Updated Demand'!A:Z,19,FALSE)),0,VLOOKUP($A851,'13. Updated Demand'!A:Z,19,FALSE))</f>
        <v>0</v>
      </c>
      <c r="AC851" s="16">
        <f>IF(ISERROR(VLOOKUP($A851,'13. Updated Demand'!A:Z,20,FALSE)),0,VLOOKUP($A851,'13. Updated Demand'!A:Z,20,FALSE))</f>
        <v>0.16666666699999999</v>
      </c>
      <c r="AD851" s="16">
        <f>IF(ISERROR(VLOOKUP($A851,'13. Updated Demand'!A:Z,21,FALSE)),0,VLOOKUP($A851,'13. Updated Demand'!A:Z,21,FALSE))</f>
        <v>0.16666666699999999</v>
      </c>
      <c r="AE851" s="16">
        <f>IF(ISERROR(VLOOKUP($A851,'13. Updated Demand'!A:Z,22,FALSE)),0,VLOOKUP($A851,'13. Updated Demand'!A:Z,22,FALSE))</f>
        <v>0</v>
      </c>
      <c r="AF851" s="16">
        <f>IF(ISERROR(VLOOKUP($A851,'13. Updated Demand'!A:Z,23,FALSE)),0,VLOOKUP($A851,'13. Updated Demand'!A:Z,23,FALSE))</f>
        <v>0</v>
      </c>
      <c r="AG851" s="16">
        <f>IF(ISERROR(VLOOKUP($A851,'13. Updated Demand'!A:Z,24,FALSE)),0,VLOOKUP($A851,'13. Updated Demand'!A:Z,24,FALSE))</f>
        <v>0</v>
      </c>
      <c r="AH851" s="16">
        <f>IF(ISERROR(VLOOKUP($A851,'13. Updated Demand'!A:Z,25,FALSE)),0,VLOOKUP($A851,'13. Updated Demand'!A:Z,25,FALSE))</f>
        <v>0</v>
      </c>
      <c r="AI851" s="16">
        <f>IF(ISERROR(VLOOKUP($A851,'13. Updated Demand'!A:Z,26,FALSE)),0,VLOOKUP($A851,'13. Updated Demand'!A:Z,26,FALSE))</f>
        <v>0</v>
      </c>
      <c r="AJ851" s="16">
        <f t="shared" si="168"/>
        <v>0.33333333399999998</v>
      </c>
      <c r="AK851" s="19">
        <v>0.33333333399999998</v>
      </c>
      <c r="AL851" s="16">
        <f t="shared" si="166"/>
        <v>1.1056286986430939E-3</v>
      </c>
      <c r="AM851" s="17">
        <v>1.4492753652173913E-2</v>
      </c>
      <c r="AN851" s="19"/>
      <c r="AO851" s="19"/>
      <c r="AP851" s="19">
        <v>23</v>
      </c>
      <c r="AQ851" s="19" t="s">
        <v>307</v>
      </c>
      <c r="AR851" s="9" t="s">
        <v>489</v>
      </c>
      <c r="AS851" s="12">
        <v>0</v>
      </c>
      <c r="AT851" s="19">
        <v>38.715600000000002</v>
      </c>
      <c r="AU851" s="19">
        <v>-122.95569999999999</v>
      </c>
      <c r="AV851" s="19" t="s">
        <v>417</v>
      </c>
    </row>
    <row r="852" spans="1:48" x14ac:dyDescent="0.25">
      <c r="A852" s="18" t="s">
        <v>1234</v>
      </c>
      <c r="B852" s="10">
        <v>19680701</v>
      </c>
      <c r="C852" s="9">
        <v>16</v>
      </c>
      <c r="D852" s="8" t="str">
        <f t="shared" si="157"/>
        <v>N</v>
      </c>
      <c r="E852" s="8" t="str">
        <f t="shared" si="158"/>
        <v>N</v>
      </c>
      <c r="F852" s="8" t="str">
        <f t="shared" si="159"/>
        <v>N</v>
      </c>
      <c r="G852" s="8" t="str">
        <f t="shared" si="160"/>
        <v>N</v>
      </c>
      <c r="H852" s="8" t="str">
        <f t="shared" si="161"/>
        <v>Lower</v>
      </c>
      <c r="I852" s="8" t="str">
        <f t="shared" si="162"/>
        <v>Outside</v>
      </c>
      <c r="J852" s="8" t="str">
        <f t="shared" si="163"/>
        <v>Outside</v>
      </c>
      <c r="K852" s="8" t="str">
        <f t="shared" si="164"/>
        <v>Post-1949</v>
      </c>
      <c r="L852" s="8">
        <f t="shared" si="165"/>
        <v>1968</v>
      </c>
      <c r="M852" s="8" t="str">
        <f t="shared" si="167"/>
        <v>1960-1970</v>
      </c>
      <c r="N852" s="10" t="s">
        <v>242</v>
      </c>
      <c r="O852" s="10" t="s">
        <v>242</v>
      </c>
      <c r="P852" s="10" t="s">
        <v>242</v>
      </c>
      <c r="Q852" s="10" t="s">
        <v>242</v>
      </c>
      <c r="R852" s="10" t="s">
        <v>241</v>
      </c>
      <c r="S852" s="10" t="s">
        <v>242</v>
      </c>
      <c r="T852" s="10" t="s">
        <v>242</v>
      </c>
      <c r="U852" s="10" t="s">
        <v>241</v>
      </c>
      <c r="V852" s="10" t="s">
        <v>241</v>
      </c>
      <c r="W852" s="10" t="s">
        <v>242</v>
      </c>
      <c r="X852" s="15">
        <f>IF(ISERROR(VLOOKUP($A852,'13. Updated Demand'!A:Z,15,FALSE)),0,VLOOKUP($A852,'13. Updated Demand'!A:Z,15,FALSE))</f>
        <v>0</v>
      </c>
      <c r="Y852" s="16">
        <f>IF(ISERROR(VLOOKUP($A852,'13. Updated Demand'!A:Z,16,FALSE)),0,VLOOKUP($A852,'13. Updated Demand'!A:Z,16,FALSE))</f>
        <v>0</v>
      </c>
      <c r="Z852" s="16">
        <f>IF(ISERROR(VLOOKUP($A852,'13. Updated Demand'!A:Z,17,FALSE)),0,VLOOKUP($A852,'13. Updated Demand'!A:Z,17,FALSE))</f>
        <v>0</v>
      </c>
      <c r="AA852" s="16">
        <f>IF(ISERROR(VLOOKUP($A852,'13. Updated Demand'!A:Z,18,FALSE)),0,VLOOKUP($A852,'13. Updated Demand'!A:Z,18,FALSE))</f>
        <v>0</v>
      </c>
      <c r="AB852" s="16">
        <f>IF(ISERROR(VLOOKUP($A852,'13. Updated Demand'!A:Z,19,FALSE)),0,VLOOKUP($A852,'13. Updated Demand'!A:Z,19,FALSE))</f>
        <v>0</v>
      </c>
      <c r="AC852" s="16">
        <f>IF(ISERROR(VLOOKUP($A852,'13. Updated Demand'!A:Z,20,FALSE)),0,VLOOKUP($A852,'13. Updated Demand'!A:Z,20,FALSE))</f>
        <v>0</v>
      </c>
      <c r="AD852" s="16">
        <f>IF(ISERROR(VLOOKUP($A852,'13. Updated Demand'!A:Z,21,FALSE)),0,VLOOKUP($A852,'13. Updated Demand'!A:Z,21,FALSE))</f>
        <v>0</v>
      </c>
      <c r="AE852" s="16">
        <f>IF(ISERROR(VLOOKUP($A852,'13. Updated Demand'!A:Z,22,FALSE)),0,VLOOKUP($A852,'13. Updated Demand'!A:Z,22,FALSE))</f>
        <v>0</v>
      </c>
      <c r="AF852" s="16">
        <f>IF(ISERROR(VLOOKUP($A852,'13. Updated Demand'!A:Z,23,FALSE)),0,VLOOKUP($A852,'13. Updated Demand'!A:Z,23,FALSE))</f>
        <v>0</v>
      </c>
      <c r="AG852" s="16">
        <f>IF(ISERROR(VLOOKUP($A852,'13. Updated Demand'!A:Z,24,FALSE)),0,VLOOKUP($A852,'13. Updated Demand'!A:Z,24,FALSE))</f>
        <v>0</v>
      </c>
      <c r="AH852" s="16">
        <f>IF(ISERROR(VLOOKUP($A852,'13. Updated Demand'!A:Z,25,FALSE)),0,VLOOKUP($A852,'13. Updated Demand'!A:Z,25,FALSE))</f>
        <v>0</v>
      </c>
      <c r="AI852" s="16">
        <f>IF(ISERROR(VLOOKUP($A852,'13. Updated Demand'!A:Z,26,FALSE)),0,VLOOKUP($A852,'13. Updated Demand'!A:Z,26,FALSE))</f>
        <v>0</v>
      </c>
      <c r="AJ852" s="16">
        <f t="shared" si="168"/>
        <v>0</v>
      </c>
      <c r="AK852" s="19">
        <v>0</v>
      </c>
      <c r="AL852" s="16">
        <f t="shared" si="166"/>
        <v>0</v>
      </c>
      <c r="AM852" s="17">
        <v>0</v>
      </c>
      <c r="AN852" s="19"/>
      <c r="AO852" s="19"/>
      <c r="AP852" s="19">
        <v>16</v>
      </c>
      <c r="AQ852" s="19" t="s">
        <v>307</v>
      </c>
      <c r="AR852" s="9" t="s">
        <v>394</v>
      </c>
      <c r="AS852" s="12">
        <v>0</v>
      </c>
      <c r="AT852" s="19">
        <v>38.599266200000002</v>
      </c>
      <c r="AU852" s="19">
        <v>-122.92066121000001</v>
      </c>
      <c r="AV852" s="19" t="s">
        <v>419</v>
      </c>
    </row>
    <row r="853" spans="1:48" x14ac:dyDescent="0.25">
      <c r="A853" s="18" t="s">
        <v>1235</v>
      </c>
      <c r="B853" s="10">
        <v>19680723</v>
      </c>
      <c r="C853" s="9">
        <v>16</v>
      </c>
      <c r="D853" s="8" t="str">
        <f t="shared" si="157"/>
        <v>N</v>
      </c>
      <c r="E853" s="8" t="str">
        <f t="shared" si="158"/>
        <v>N</v>
      </c>
      <c r="F853" s="8" t="str">
        <f t="shared" si="159"/>
        <v>N</v>
      </c>
      <c r="G853" s="8" t="str">
        <f t="shared" si="160"/>
        <v>N</v>
      </c>
      <c r="H853" s="8" t="str">
        <f t="shared" si="161"/>
        <v>Lower</v>
      </c>
      <c r="I853" s="8" t="str">
        <f t="shared" si="162"/>
        <v>Outside</v>
      </c>
      <c r="J853" s="8" t="str">
        <f t="shared" si="163"/>
        <v>Outside</v>
      </c>
      <c r="K853" s="8" t="str">
        <f t="shared" si="164"/>
        <v>Post-1949</v>
      </c>
      <c r="L853" s="8">
        <f t="shared" si="165"/>
        <v>1968</v>
      </c>
      <c r="M853" s="8" t="str">
        <f t="shared" si="167"/>
        <v>1960-1970</v>
      </c>
      <c r="N853" s="10" t="s">
        <v>242</v>
      </c>
      <c r="O853" s="10" t="s">
        <v>242</v>
      </c>
      <c r="P853" s="10" t="s">
        <v>242</v>
      </c>
      <c r="Q853" s="10" t="s">
        <v>242</v>
      </c>
      <c r="R853" s="10" t="s">
        <v>241</v>
      </c>
      <c r="S853" s="10" t="s">
        <v>242</v>
      </c>
      <c r="T853" s="10" t="s">
        <v>242</v>
      </c>
      <c r="U853" s="10" t="s">
        <v>242</v>
      </c>
      <c r="V853" s="10" t="s">
        <v>241</v>
      </c>
      <c r="W853" s="10" t="s">
        <v>242</v>
      </c>
      <c r="X853" s="15">
        <f>IF(ISERROR(VLOOKUP($A853,'13. Updated Demand'!A:Z,15,FALSE)),0,VLOOKUP($A853,'13. Updated Demand'!A:Z,15,FALSE))</f>
        <v>2</v>
      </c>
      <c r="Y853" s="16">
        <f>IF(ISERROR(VLOOKUP($A853,'13. Updated Demand'!A:Z,16,FALSE)),0,VLOOKUP($A853,'13. Updated Demand'!A:Z,16,FALSE))</f>
        <v>2</v>
      </c>
      <c r="Z853" s="16">
        <f>IF(ISERROR(VLOOKUP($A853,'13. Updated Demand'!A:Z,17,FALSE)),0,VLOOKUP($A853,'13. Updated Demand'!A:Z,17,FALSE))</f>
        <v>2</v>
      </c>
      <c r="AA853" s="16">
        <f>IF(ISERROR(VLOOKUP($A853,'13. Updated Demand'!A:Z,18,FALSE)),0,VLOOKUP($A853,'13. Updated Demand'!A:Z,18,FALSE))</f>
        <v>1.3333333329999999</v>
      </c>
      <c r="AB853" s="16">
        <f>IF(ISERROR(VLOOKUP($A853,'13. Updated Demand'!A:Z,19,FALSE)),0,VLOOKUP($A853,'13. Updated Demand'!A:Z,19,FALSE))</f>
        <v>0</v>
      </c>
      <c r="AC853" s="16">
        <f>IF(ISERROR(VLOOKUP($A853,'13. Updated Demand'!A:Z,20,FALSE)),0,VLOOKUP($A853,'13. Updated Demand'!A:Z,20,FALSE))</f>
        <v>0</v>
      </c>
      <c r="AD853" s="16">
        <f>IF(ISERROR(VLOOKUP($A853,'13. Updated Demand'!A:Z,21,FALSE)),0,VLOOKUP($A853,'13. Updated Demand'!A:Z,21,FALSE))</f>
        <v>0</v>
      </c>
      <c r="AE853" s="16">
        <f>IF(ISERROR(VLOOKUP($A853,'13. Updated Demand'!A:Z,22,FALSE)),0,VLOOKUP($A853,'13. Updated Demand'!A:Z,22,FALSE))</f>
        <v>0</v>
      </c>
      <c r="AF853" s="16">
        <f>IF(ISERROR(VLOOKUP($A853,'13. Updated Demand'!A:Z,23,FALSE)),0,VLOOKUP($A853,'13. Updated Demand'!A:Z,23,FALSE))</f>
        <v>0</v>
      </c>
      <c r="AG853" s="16">
        <f>IF(ISERROR(VLOOKUP($A853,'13. Updated Demand'!A:Z,24,FALSE)),0,VLOOKUP($A853,'13. Updated Demand'!A:Z,24,FALSE))</f>
        <v>0</v>
      </c>
      <c r="AH853" s="16">
        <f>IF(ISERROR(VLOOKUP($A853,'13. Updated Demand'!A:Z,25,FALSE)),0,VLOOKUP($A853,'13. Updated Demand'!A:Z,25,FALSE))</f>
        <v>0</v>
      </c>
      <c r="AI853" s="16">
        <f>IF(ISERROR(VLOOKUP($A853,'13. Updated Demand'!A:Z,26,FALSE)),0,VLOOKUP($A853,'13. Updated Demand'!A:Z,26,FALSE))</f>
        <v>1</v>
      </c>
      <c r="AJ853" s="16">
        <f t="shared" si="168"/>
        <v>8.3333333329999988</v>
      </c>
      <c r="AK853" s="19">
        <v>0</v>
      </c>
      <c r="AL853" s="16">
        <f t="shared" si="166"/>
        <v>0</v>
      </c>
      <c r="AM853" s="17">
        <v>0.92592592588888878</v>
      </c>
      <c r="AN853" s="19"/>
      <c r="AO853" s="19"/>
      <c r="AP853" s="19">
        <v>9</v>
      </c>
      <c r="AQ853" s="19" t="s">
        <v>307</v>
      </c>
      <c r="AR853" s="9" t="s">
        <v>394</v>
      </c>
      <c r="AS853" s="12">
        <v>3.4039024194010059E-4</v>
      </c>
      <c r="AT853" s="19">
        <v>38.629712249999997</v>
      </c>
      <c r="AU853" s="19">
        <v>-122.92508014000001</v>
      </c>
      <c r="AV853" s="19" t="s">
        <v>417</v>
      </c>
    </row>
    <row r="854" spans="1:48" x14ac:dyDescent="0.25">
      <c r="A854" s="18" t="s">
        <v>1236</v>
      </c>
      <c r="B854" s="10">
        <v>19681122</v>
      </c>
      <c r="C854" s="9">
        <v>16</v>
      </c>
      <c r="D854" s="8" t="str">
        <f t="shared" si="157"/>
        <v>N</v>
      </c>
      <c r="E854" s="8" t="str">
        <f t="shared" si="158"/>
        <v>N</v>
      </c>
      <c r="F854" s="8" t="str">
        <f t="shared" si="159"/>
        <v>N</v>
      </c>
      <c r="G854" s="8" t="str">
        <f t="shared" si="160"/>
        <v>N</v>
      </c>
      <c r="H854" s="8" t="str">
        <f t="shared" si="161"/>
        <v>Lower</v>
      </c>
      <c r="I854" s="8" t="str">
        <f t="shared" si="162"/>
        <v>Outside</v>
      </c>
      <c r="J854" s="8" t="str">
        <f t="shared" si="163"/>
        <v>Outside</v>
      </c>
      <c r="K854" s="8" t="str">
        <f t="shared" si="164"/>
        <v>Post-1949</v>
      </c>
      <c r="L854" s="8">
        <f t="shared" si="165"/>
        <v>1968</v>
      </c>
      <c r="M854" s="8" t="str">
        <f t="shared" si="167"/>
        <v>1960-1970</v>
      </c>
      <c r="N854" s="10" t="s">
        <v>242</v>
      </c>
      <c r="O854" s="10" t="s">
        <v>242</v>
      </c>
      <c r="P854" s="10" t="s">
        <v>242</v>
      </c>
      <c r="Q854" s="10" t="s">
        <v>242</v>
      </c>
      <c r="R854" s="10" t="s">
        <v>241</v>
      </c>
      <c r="S854" s="10" t="s">
        <v>242</v>
      </c>
      <c r="T854" s="10" t="s">
        <v>242</v>
      </c>
      <c r="U854" s="10" t="s">
        <v>241</v>
      </c>
      <c r="V854" s="10" t="s">
        <v>241</v>
      </c>
      <c r="W854" s="10" t="s">
        <v>242</v>
      </c>
      <c r="X854" s="15">
        <f>IF(ISERROR(VLOOKUP($A854,'13. Updated Demand'!A:Z,15,FALSE)),0,VLOOKUP($A854,'13. Updated Demand'!A:Z,15,FALSE))</f>
        <v>0</v>
      </c>
      <c r="Y854" s="16">
        <f>IF(ISERROR(VLOOKUP($A854,'13. Updated Demand'!A:Z,16,FALSE)),0,VLOOKUP($A854,'13. Updated Demand'!A:Z,16,FALSE))</f>
        <v>0</v>
      </c>
      <c r="Z854" s="16">
        <f>IF(ISERROR(VLOOKUP($A854,'13. Updated Demand'!A:Z,17,FALSE)),0,VLOOKUP($A854,'13. Updated Demand'!A:Z,17,FALSE))</f>
        <v>0</v>
      </c>
      <c r="AA854" s="16">
        <f>IF(ISERROR(VLOOKUP($A854,'13. Updated Demand'!A:Z,18,FALSE)),0,VLOOKUP($A854,'13. Updated Demand'!A:Z,18,FALSE))</f>
        <v>0</v>
      </c>
      <c r="AB854" s="16">
        <f>IF(ISERROR(VLOOKUP($A854,'13. Updated Demand'!A:Z,19,FALSE)),0,VLOOKUP($A854,'13. Updated Demand'!A:Z,19,FALSE))</f>
        <v>0</v>
      </c>
      <c r="AC854" s="16">
        <f>IF(ISERROR(VLOOKUP($A854,'13. Updated Demand'!A:Z,20,FALSE)),0,VLOOKUP($A854,'13. Updated Demand'!A:Z,20,FALSE))</f>
        <v>0</v>
      </c>
      <c r="AD854" s="16">
        <f>IF(ISERROR(VLOOKUP($A854,'13. Updated Demand'!A:Z,21,FALSE)),0,VLOOKUP($A854,'13. Updated Demand'!A:Z,21,FALSE))</f>
        <v>0</v>
      </c>
      <c r="AE854" s="16">
        <f>IF(ISERROR(VLOOKUP($A854,'13. Updated Demand'!A:Z,22,FALSE)),0,VLOOKUP($A854,'13. Updated Demand'!A:Z,22,FALSE))</f>
        <v>0</v>
      </c>
      <c r="AF854" s="16">
        <f>IF(ISERROR(VLOOKUP($A854,'13. Updated Demand'!A:Z,23,FALSE)),0,VLOOKUP($A854,'13. Updated Demand'!A:Z,23,FALSE))</f>
        <v>0</v>
      </c>
      <c r="AG854" s="16">
        <f>IF(ISERROR(VLOOKUP($A854,'13. Updated Demand'!A:Z,24,FALSE)),0,VLOOKUP($A854,'13. Updated Demand'!A:Z,24,FALSE))</f>
        <v>0</v>
      </c>
      <c r="AH854" s="16">
        <f>IF(ISERROR(VLOOKUP($A854,'13. Updated Demand'!A:Z,25,FALSE)),0,VLOOKUP($A854,'13. Updated Demand'!A:Z,25,FALSE))</f>
        <v>0</v>
      </c>
      <c r="AI854" s="16">
        <f>IF(ISERROR(VLOOKUP($A854,'13. Updated Demand'!A:Z,26,FALSE)),0,VLOOKUP($A854,'13. Updated Demand'!A:Z,26,FALSE))</f>
        <v>0</v>
      </c>
      <c r="AJ854" s="16">
        <f t="shared" si="168"/>
        <v>0</v>
      </c>
      <c r="AK854" s="19">
        <v>0</v>
      </c>
      <c r="AL854" s="16">
        <f t="shared" si="166"/>
        <v>0</v>
      </c>
      <c r="AM854" s="17">
        <v>0</v>
      </c>
      <c r="AN854" s="19"/>
      <c r="AO854" s="19"/>
      <c r="AP854" s="19">
        <v>25</v>
      </c>
      <c r="AQ854" s="19" t="s">
        <v>307</v>
      </c>
      <c r="AR854" s="9" t="s">
        <v>394</v>
      </c>
      <c r="AS854" s="12">
        <v>0</v>
      </c>
      <c r="AT854" s="19">
        <v>38.589735789999999</v>
      </c>
      <c r="AU854" s="19">
        <v>-122.87470328000001</v>
      </c>
      <c r="AV854" s="19" t="s">
        <v>701</v>
      </c>
    </row>
    <row r="855" spans="1:48" x14ac:dyDescent="0.25">
      <c r="A855" s="18" t="s">
        <v>1237</v>
      </c>
      <c r="B855" s="10">
        <v>19671127</v>
      </c>
      <c r="C855" s="9">
        <v>23</v>
      </c>
      <c r="D855" s="8" t="str">
        <f t="shared" si="157"/>
        <v>N</v>
      </c>
      <c r="E855" s="8" t="str">
        <f t="shared" si="158"/>
        <v>N</v>
      </c>
      <c r="F855" s="8" t="str">
        <f t="shared" si="159"/>
        <v>N</v>
      </c>
      <c r="G855" s="8" t="str">
        <f t="shared" si="160"/>
        <v>N</v>
      </c>
      <c r="H855" s="8" t="str">
        <f t="shared" si="161"/>
        <v>Lower</v>
      </c>
      <c r="I855" s="8" t="str">
        <f t="shared" si="162"/>
        <v>Outside</v>
      </c>
      <c r="J855" s="8" t="str">
        <f t="shared" si="163"/>
        <v>Outside</v>
      </c>
      <c r="K855" s="8" t="str">
        <f t="shared" si="164"/>
        <v>Post-1949</v>
      </c>
      <c r="L855" s="8">
        <f t="shared" si="165"/>
        <v>1967</v>
      </c>
      <c r="M855" s="8" t="str">
        <f t="shared" si="167"/>
        <v>1960-1970</v>
      </c>
      <c r="N855" s="10" t="s">
        <v>242</v>
      </c>
      <c r="O855" s="10" t="s">
        <v>242</v>
      </c>
      <c r="P855" s="10" t="s">
        <v>242</v>
      </c>
      <c r="Q855" s="10" t="s">
        <v>242</v>
      </c>
      <c r="R855" s="10" t="s">
        <v>241</v>
      </c>
      <c r="S855" s="10" t="s">
        <v>242</v>
      </c>
      <c r="T855" s="10" t="s">
        <v>242</v>
      </c>
      <c r="U855" s="10" t="s">
        <v>242</v>
      </c>
      <c r="V855" s="10" t="s">
        <v>241</v>
      </c>
      <c r="W855" s="10" t="s">
        <v>242</v>
      </c>
      <c r="X855" s="15">
        <f>IF(ISERROR(VLOOKUP($A855,'13. Updated Demand'!A:Z,15,FALSE)),0,VLOOKUP($A855,'13. Updated Demand'!A:Z,15,FALSE))</f>
        <v>8</v>
      </c>
      <c r="Y855" s="16">
        <f>IF(ISERROR(VLOOKUP($A855,'13. Updated Demand'!A:Z,16,FALSE)),0,VLOOKUP($A855,'13. Updated Demand'!A:Z,16,FALSE))</f>
        <v>5</v>
      </c>
      <c r="Z855" s="16">
        <f>IF(ISERROR(VLOOKUP($A855,'13. Updated Demand'!A:Z,17,FALSE)),0,VLOOKUP($A855,'13. Updated Demand'!A:Z,17,FALSE))</f>
        <v>3</v>
      </c>
      <c r="AA855" s="16">
        <f>IF(ISERROR(VLOOKUP($A855,'13. Updated Demand'!A:Z,18,FALSE)),0,VLOOKUP($A855,'13. Updated Demand'!A:Z,18,FALSE))</f>
        <v>2</v>
      </c>
      <c r="AB855" s="16">
        <f>IF(ISERROR(VLOOKUP($A855,'13. Updated Demand'!A:Z,19,FALSE)),0,VLOOKUP($A855,'13. Updated Demand'!A:Z,19,FALSE))</f>
        <v>0</v>
      </c>
      <c r="AC855" s="16">
        <f>IF(ISERROR(VLOOKUP($A855,'13. Updated Demand'!A:Z,20,FALSE)),0,VLOOKUP($A855,'13. Updated Demand'!A:Z,20,FALSE))</f>
        <v>0</v>
      </c>
      <c r="AD855" s="16">
        <f>IF(ISERROR(VLOOKUP($A855,'13. Updated Demand'!A:Z,21,FALSE)),0,VLOOKUP($A855,'13. Updated Demand'!A:Z,21,FALSE))</f>
        <v>0</v>
      </c>
      <c r="AE855" s="16">
        <f>IF(ISERROR(VLOOKUP($A855,'13. Updated Demand'!A:Z,22,FALSE)),0,VLOOKUP($A855,'13. Updated Demand'!A:Z,22,FALSE))</f>
        <v>0</v>
      </c>
      <c r="AF855" s="16">
        <f>IF(ISERROR(VLOOKUP($A855,'13. Updated Demand'!A:Z,23,FALSE)),0,VLOOKUP($A855,'13. Updated Demand'!A:Z,23,FALSE))</f>
        <v>0</v>
      </c>
      <c r="AG855" s="16">
        <f>IF(ISERROR(VLOOKUP($A855,'13. Updated Demand'!A:Z,24,FALSE)),0,VLOOKUP($A855,'13. Updated Demand'!A:Z,24,FALSE))</f>
        <v>5</v>
      </c>
      <c r="AH855" s="16">
        <f>IF(ISERROR(VLOOKUP($A855,'13. Updated Demand'!A:Z,25,FALSE)),0,VLOOKUP($A855,'13. Updated Demand'!A:Z,25,FALSE))</f>
        <v>10</v>
      </c>
      <c r="AI855" s="16">
        <f>IF(ISERROR(VLOOKUP($A855,'13. Updated Demand'!A:Z,26,FALSE)),0,VLOOKUP($A855,'13. Updated Demand'!A:Z,26,FALSE))</f>
        <v>15</v>
      </c>
      <c r="AJ855" s="16">
        <f t="shared" si="168"/>
        <v>48</v>
      </c>
      <c r="AK855" s="19">
        <v>0</v>
      </c>
      <c r="AL855" s="16">
        <f t="shared" si="166"/>
        <v>0</v>
      </c>
      <c r="AM855" s="17">
        <v>0.44036697247706424</v>
      </c>
      <c r="AN855" s="19"/>
      <c r="AO855" s="19"/>
      <c r="AP855" s="19">
        <v>109</v>
      </c>
      <c r="AQ855" s="19" t="s">
        <v>307</v>
      </c>
      <c r="AR855" s="9" t="s">
        <v>391</v>
      </c>
      <c r="AS855" s="12">
        <v>0</v>
      </c>
      <c r="AT855" s="19">
        <v>38.562731839999998</v>
      </c>
      <c r="AU855" s="19">
        <v>-122.79200602</v>
      </c>
      <c r="AV855" s="19" t="s">
        <v>573</v>
      </c>
    </row>
    <row r="856" spans="1:48" x14ac:dyDescent="0.25">
      <c r="A856" s="18" t="s">
        <v>1238</v>
      </c>
      <c r="B856" s="10">
        <v>19670130</v>
      </c>
      <c r="C856" s="9">
        <v>5</v>
      </c>
      <c r="D856" s="8" t="str">
        <f t="shared" si="157"/>
        <v>Y</v>
      </c>
      <c r="E856" s="8" t="str">
        <f t="shared" si="158"/>
        <v>N</v>
      </c>
      <c r="F856" s="8" t="str">
        <f t="shared" si="159"/>
        <v>Y</v>
      </c>
      <c r="G856" s="8" t="str">
        <f t="shared" si="160"/>
        <v>Y</v>
      </c>
      <c r="H856" s="8" t="str">
        <f t="shared" si="161"/>
        <v>Upper</v>
      </c>
      <c r="I856" s="8" t="str">
        <f t="shared" si="162"/>
        <v>West Fork and Below Lake</v>
      </c>
      <c r="J856" s="8" t="str">
        <f t="shared" si="163"/>
        <v>Mendocino (d/s of lake)</v>
      </c>
      <c r="K856" s="8" t="str">
        <f t="shared" si="164"/>
        <v>Post-1949</v>
      </c>
      <c r="L856" s="8">
        <f t="shared" si="165"/>
        <v>1967</v>
      </c>
      <c r="M856" s="8" t="str">
        <f t="shared" si="167"/>
        <v>1960-1970</v>
      </c>
      <c r="N856" s="10" t="s">
        <v>241</v>
      </c>
      <c r="O856" s="10" t="s">
        <v>241</v>
      </c>
      <c r="P856" s="10" t="s">
        <v>242</v>
      </c>
      <c r="Q856" s="10" t="s">
        <v>242</v>
      </c>
      <c r="R856" s="10" t="s">
        <v>241</v>
      </c>
      <c r="S856" s="10" t="s">
        <v>242</v>
      </c>
      <c r="T856" s="10" t="s">
        <v>242</v>
      </c>
      <c r="U856" s="10" t="s">
        <v>242</v>
      </c>
      <c r="V856" s="10" t="s">
        <v>242</v>
      </c>
      <c r="W856" s="10" t="s">
        <v>242</v>
      </c>
      <c r="X856" s="15">
        <f>IF(ISERROR(VLOOKUP($A856,'13. Updated Demand'!A:Z,15,FALSE)),0,VLOOKUP($A856,'13. Updated Demand'!A:Z,15,FALSE))</f>
        <v>0</v>
      </c>
      <c r="Y856" s="16">
        <f>IF(ISERROR(VLOOKUP($A856,'13. Updated Demand'!A:Z,16,FALSE)),0,VLOOKUP($A856,'13. Updated Demand'!A:Z,16,FALSE))</f>
        <v>0</v>
      </c>
      <c r="Z856" s="16">
        <f>IF(ISERROR(VLOOKUP($A856,'13. Updated Demand'!A:Z,17,FALSE)),0,VLOOKUP($A856,'13. Updated Demand'!A:Z,17,FALSE))</f>
        <v>0</v>
      </c>
      <c r="AA856" s="16">
        <f>IF(ISERROR(VLOOKUP($A856,'13. Updated Demand'!A:Z,18,FALSE)),0,VLOOKUP($A856,'13. Updated Demand'!A:Z,18,FALSE))</f>
        <v>0.15</v>
      </c>
      <c r="AB856" s="16">
        <f>IF(ISERROR(VLOOKUP($A856,'13. Updated Demand'!A:Z,19,FALSE)),0,VLOOKUP($A856,'13. Updated Demand'!A:Z,19,FALSE))</f>
        <v>0.2</v>
      </c>
      <c r="AC856" s="16">
        <f>IF(ISERROR(VLOOKUP($A856,'13. Updated Demand'!A:Z,20,FALSE)),0,VLOOKUP($A856,'13. Updated Demand'!A:Z,20,FALSE))</f>
        <v>0.3</v>
      </c>
      <c r="AD856" s="16">
        <f>IF(ISERROR(VLOOKUP($A856,'13. Updated Demand'!A:Z,21,FALSE)),0,VLOOKUP($A856,'13. Updated Demand'!A:Z,21,FALSE))</f>
        <v>0.35</v>
      </c>
      <c r="AE856" s="16">
        <f>IF(ISERROR(VLOOKUP($A856,'13. Updated Demand'!A:Z,22,FALSE)),0,VLOOKUP($A856,'13. Updated Demand'!A:Z,22,FALSE))</f>
        <v>0.45</v>
      </c>
      <c r="AF856" s="16">
        <f>IF(ISERROR(VLOOKUP($A856,'13. Updated Demand'!A:Z,23,FALSE)),0,VLOOKUP($A856,'13. Updated Demand'!A:Z,23,FALSE))</f>
        <v>0.35</v>
      </c>
      <c r="AG856" s="16">
        <f>IF(ISERROR(VLOOKUP($A856,'13. Updated Demand'!A:Z,24,FALSE)),0,VLOOKUP($A856,'13. Updated Demand'!A:Z,24,FALSE))</f>
        <v>0.2</v>
      </c>
      <c r="AH856" s="16">
        <f>IF(ISERROR(VLOOKUP($A856,'13. Updated Demand'!A:Z,25,FALSE)),0,VLOOKUP($A856,'13. Updated Demand'!A:Z,25,FALSE))</f>
        <v>0</v>
      </c>
      <c r="AI856" s="16">
        <f>IF(ISERROR(VLOOKUP($A856,'13. Updated Demand'!A:Z,26,FALSE)),0,VLOOKUP($A856,'13. Updated Demand'!A:Z,26,FALSE))</f>
        <v>0</v>
      </c>
      <c r="AJ856" s="16">
        <f t="shared" si="168"/>
        <v>1.9999999999999998</v>
      </c>
      <c r="AK856" s="19">
        <v>1.65</v>
      </c>
      <c r="AL856" s="16">
        <f t="shared" si="166"/>
        <v>5.4728620473375898E-3</v>
      </c>
      <c r="AM856" s="17">
        <v>0.27777777777777773</v>
      </c>
      <c r="AN856" s="19"/>
      <c r="AO856" s="19"/>
      <c r="AP856" s="19">
        <v>7.2</v>
      </c>
      <c r="AQ856" s="19" t="s">
        <v>307</v>
      </c>
      <c r="AR856" s="9" t="s">
        <v>333</v>
      </c>
      <c r="AS856" s="12">
        <v>3.4039024194010059E-4</v>
      </c>
      <c r="AT856" s="19">
        <v>39.031275710000003</v>
      </c>
      <c r="AU856" s="19">
        <v>-123.13116896</v>
      </c>
      <c r="AV856" s="19" t="s">
        <v>548</v>
      </c>
    </row>
    <row r="857" spans="1:48" x14ac:dyDescent="0.25">
      <c r="A857" s="18" t="s">
        <v>1239</v>
      </c>
      <c r="B857" s="10">
        <v>19670214</v>
      </c>
      <c r="C857" s="9">
        <v>6</v>
      </c>
      <c r="D857" s="8" t="str">
        <f t="shared" si="157"/>
        <v>Y</v>
      </c>
      <c r="E857" s="8" t="str">
        <f t="shared" si="158"/>
        <v>N</v>
      </c>
      <c r="F857" s="8" t="str">
        <f t="shared" si="159"/>
        <v>Y</v>
      </c>
      <c r="G857" s="8" t="str">
        <f t="shared" si="160"/>
        <v>Y</v>
      </c>
      <c r="H857" s="8" t="str">
        <f t="shared" si="161"/>
        <v>Upper</v>
      </c>
      <c r="I857" s="8" t="str">
        <f t="shared" si="162"/>
        <v>West Fork and Below Lake</v>
      </c>
      <c r="J857" s="8" t="str">
        <f t="shared" si="163"/>
        <v>Mendocino (d/s of lake)</v>
      </c>
      <c r="K857" s="8" t="str">
        <f t="shared" si="164"/>
        <v>Post-1949</v>
      </c>
      <c r="L857" s="8">
        <f t="shared" si="165"/>
        <v>1967</v>
      </c>
      <c r="M857" s="8" t="str">
        <f t="shared" si="167"/>
        <v>1960-1970</v>
      </c>
      <c r="N857" s="10" t="s">
        <v>241</v>
      </c>
      <c r="O857" s="10" t="s">
        <v>241</v>
      </c>
      <c r="P857" s="10" t="s">
        <v>242</v>
      </c>
      <c r="Q857" s="10" t="s">
        <v>242</v>
      </c>
      <c r="R857" s="10" t="s">
        <v>241</v>
      </c>
      <c r="S857" s="10" t="s">
        <v>242</v>
      </c>
      <c r="T857" s="10" t="s">
        <v>242</v>
      </c>
      <c r="U857" s="10" t="s">
        <v>241</v>
      </c>
      <c r="V857" s="10" t="s">
        <v>241</v>
      </c>
      <c r="W857" s="10" t="s">
        <v>242</v>
      </c>
      <c r="X857" s="15">
        <f>IF(ISERROR(VLOOKUP($A857,'13. Updated Demand'!A:Z,15,FALSE)),0,VLOOKUP($A857,'13. Updated Demand'!A:Z,15,FALSE))</f>
        <v>0</v>
      </c>
      <c r="Y857" s="16">
        <f>IF(ISERROR(VLOOKUP($A857,'13. Updated Demand'!A:Z,16,FALSE)),0,VLOOKUP($A857,'13. Updated Demand'!A:Z,16,FALSE))</f>
        <v>0</v>
      </c>
      <c r="Z857" s="16">
        <f>IF(ISERROR(VLOOKUP($A857,'13. Updated Demand'!A:Z,17,FALSE)),0,VLOOKUP($A857,'13. Updated Demand'!A:Z,17,FALSE))</f>
        <v>0</v>
      </c>
      <c r="AA857" s="16">
        <f>IF(ISERROR(VLOOKUP($A857,'13. Updated Demand'!A:Z,18,FALSE)),0,VLOOKUP($A857,'13. Updated Demand'!A:Z,18,FALSE))</f>
        <v>0</v>
      </c>
      <c r="AB857" s="16">
        <f>IF(ISERROR(VLOOKUP($A857,'13. Updated Demand'!A:Z,19,FALSE)),0,VLOOKUP($A857,'13. Updated Demand'!A:Z,19,FALSE))</f>
        <v>0</v>
      </c>
      <c r="AC857" s="16">
        <f>IF(ISERROR(VLOOKUP($A857,'13. Updated Demand'!A:Z,20,FALSE)),0,VLOOKUP($A857,'13. Updated Demand'!A:Z,20,FALSE))</f>
        <v>0</v>
      </c>
      <c r="AD857" s="16">
        <f>IF(ISERROR(VLOOKUP($A857,'13. Updated Demand'!A:Z,21,FALSE)),0,VLOOKUP($A857,'13. Updated Demand'!A:Z,21,FALSE))</f>
        <v>0</v>
      </c>
      <c r="AE857" s="16">
        <f>IF(ISERROR(VLOOKUP($A857,'13. Updated Demand'!A:Z,22,FALSE)),0,VLOOKUP($A857,'13. Updated Demand'!A:Z,22,FALSE))</f>
        <v>0</v>
      </c>
      <c r="AF857" s="16">
        <f>IF(ISERROR(VLOOKUP($A857,'13. Updated Demand'!A:Z,23,FALSE)),0,VLOOKUP($A857,'13. Updated Demand'!A:Z,23,FALSE))</f>
        <v>0</v>
      </c>
      <c r="AG857" s="16">
        <f>IF(ISERROR(VLOOKUP($A857,'13. Updated Demand'!A:Z,24,FALSE)),0,VLOOKUP($A857,'13. Updated Demand'!A:Z,24,FALSE))</f>
        <v>0</v>
      </c>
      <c r="AH857" s="16">
        <f>IF(ISERROR(VLOOKUP($A857,'13. Updated Demand'!A:Z,25,FALSE)),0,VLOOKUP($A857,'13. Updated Demand'!A:Z,25,FALSE))</f>
        <v>0</v>
      </c>
      <c r="AI857" s="16">
        <f>IF(ISERROR(VLOOKUP($A857,'13. Updated Demand'!A:Z,26,FALSE)),0,VLOOKUP($A857,'13. Updated Demand'!A:Z,26,FALSE))</f>
        <v>0</v>
      </c>
      <c r="AJ857" s="16">
        <f t="shared" si="168"/>
        <v>0</v>
      </c>
      <c r="AK857" s="19">
        <v>0</v>
      </c>
      <c r="AL857" s="16">
        <f t="shared" si="166"/>
        <v>0</v>
      </c>
      <c r="AM857" s="17">
        <v>0</v>
      </c>
      <c r="AN857" s="19"/>
      <c r="AO857" s="19"/>
      <c r="AP857" s="19">
        <v>4</v>
      </c>
      <c r="AQ857" s="19" t="s">
        <v>307</v>
      </c>
      <c r="AR857" s="9" t="s">
        <v>319</v>
      </c>
      <c r="AS857" s="12">
        <v>0</v>
      </c>
      <c r="AT857" s="19">
        <v>38.979631240000003</v>
      </c>
      <c r="AU857" s="19">
        <v>-123.10466384999999</v>
      </c>
      <c r="AV857" s="19" t="s">
        <v>387</v>
      </c>
    </row>
    <row r="858" spans="1:48" x14ac:dyDescent="0.25">
      <c r="A858" s="18" t="s">
        <v>1240</v>
      </c>
      <c r="B858" s="10">
        <v>19670330</v>
      </c>
      <c r="C858" s="9">
        <v>23</v>
      </c>
      <c r="D858" s="8" t="str">
        <f t="shared" si="157"/>
        <v>N</v>
      </c>
      <c r="E858" s="8" t="str">
        <f t="shared" si="158"/>
        <v>N</v>
      </c>
      <c r="F858" s="8" t="str">
        <f t="shared" si="159"/>
        <v>N</v>
      </c>
      <c r="G858" s="8" t="str">
        <f t="shared" si="160"/>
        <v>N</v>
      </c>
      <c r="H858" s="8" t="str">
        <f t="shared" si="161"/>
        <v>Lower</v>
      </c>
      <c r="I858" s="8" t="str">
        <f t="shared" si="162"/>
        <v>Outside</v>
      </c>
      <c r="J858" s="8" t="str">
        <f t="shared" si="163"/>
        <v>Outside</v>
      </c>
      <c r="K858" s="8" t="str">
        <f t="shared" si="164"/>
        <v>Post-1949</v>
      </c>
      <c r="L858" s="8">
        <f t="shared" si="165"/>
        <v>1967</v>
      </c>
      <c r="M858" s="8" t="str">
        <f t="shared" si="167"/>
        <v>1960-1970</v>
      </c>
      <c r="N858" s="10" t="s">
        <v>242</v>
      </c>
      <c r="O858" s="10" t="s">
        <v>242</v>
      </c>
      <c r="P858" s="10" t="s">
        <v>242</v>
      </c>
      <c r="Q858" s="10" t="s">
        <v>242</v>
      </c>
      <c r="R858" s="10" t="s">
        <v>241</v>
      </c>
      <c r="S858" s="10" t="s">
        <v>242</v>
      </c>
      <c r="T858" s="10" t="s">
        <v>242</v>
      </c>
      <c r="U858" s="10" t="s">
        <v>242</v>
      </c>
      <c r="V858" s="10" t="s">
        <v>241</v>
      </c>
      <c r="W858" s="10" t="s">
        <v>242</v>
      </c>
      <c r="X858" s="15">
        <f>IF(ISERROR(VLOOKUP($A858,'13. Updated Demand'!A:Z,15,FALSE)),0,VLOOKUP($A858,'13. Updated Demand'!A:Z,15,FALSE))</f>
        <v>2.5</v>
      </c>
      <c r="Y858" s="16">
        <f>IF(ISERROR(VLOOKUP($A858,'13. Updated Demand'!A:Z,16,FALSE)),0,VLOOKUP($A858,'13. Updated Demand'!A:Z,16,FALSE))</f>
        <v>2.5</v>
      </c>
      <c r="Z858" s="16">
        <f>IF(ISERROR(VLOOKUP($A858,'13. Updated Demand'!A:Z,17,FALSE)),0,VLOOKUP($A858,'13. Updated Demand'!A:Z,17,FALSE))</f>
        <v>2.5</v>
      </c>
      <c r="AA858" s="16">
        <f>IF(ISERROR(VLOOKUP($A858,'13. Updated Demand'!A:Z,18,FALSE)),0,VLOOKUP($A858,'13. Updated Demand'!A:Z,18,FALSE))</f>
        <v>0</v>
      </c>
      <c r="AB858" s="16">
        <f>IF(ISERROR(VLOOKUP($A858,'13. Updated Demand'!A:Z,19,FALSE)),0,VLOOKUP($A858,'13. Updated Demand'!A:Z,19,FALSE))</f>
        <v>0</v>
      </c>
      <c r="AC858" s="16">
        <f>IF(ISERROR(VLOOKUP($A858,'13. Updated Demand'!A:Z,20,FALSE)),0,VLOOKUP($A858,'13. Updated Demand'!A:Z,20,FALSE))</f>
        <v>0</v>
      </c>
      <c r="AD858" s="16">
        <f>IF(ISERROR(VLOOKUP($A858,'13. Updated Demand'!A:Z,21,FALSE)),0,VLOOKUP($A858,'13. Updated Demand'!A:Z,21,FALSE))</f>
        <v>0</v>
      </c>
      <c r="AE858" s="16">
        <f>IF(ISERROR(VLOOKUP($A858,'13. Updated Demand'!A:Z,22,FALSE)),0,VLOOKUP($A858,'13. Updated Demand'!A:Z,22,FALSE))</f>
        <v>0</v>
      </c>
      <c r="AF858" s="16">
        <f>IF(ISERROR(VLOOKUP($A858,'13. Updated Demand'!A:Z,23,FALSE)),0,VLOOKUP($A858,'13. Updated Demand'!A:Z,23,FALSE))</f>
        <v>0</v>
      </c>
      <c r="AG858" s="16">
        <f>IF(ISERROR(VLOOKUP($A858,'13. Updated Demand'!A:Z,24,FALSE)),0,VLOOKUP($A858,'13. Updated Demand'!A:Z,24,FALSE))</f>
        <v>0</v>
      </c>
      <c r="AH858" s="16">
        <f>IF(ISERROR(VLOOKUP($A858,'13. Updated Demand'!A:Z,25,FALSE)),0,VLOOKUP($A858,'13. Updated Demand'!A:Z,25,FALSE))</f>
        <v>0</v>
      </c>
      <c r="AI858" s="16">
        <f>IF(ISERROR(VLOOKUP($A858,'13. Updated Demand'!A:Z,26,FALSE)),0,VLOOKUP($A858,'13. Updated Demand'!A:Z,26,FALSE))</f>
        <v>2.5</v>
      </c>
      <c r="AJ858" s="16">
        <f t="shared" si="168"/>
        <v>10</v>
      </c>
      <c r="AK858" s="19">
        <v>0</v>
      </c>
      <c r="AL858" s="16">
        <f t="shared" si="166"/>
        <v>0</v>
      </c>
      <c r="AM858" s="17">
        <v>0.5</v>
      </c>
      <c r="AN858" s="19"/>
      <c r="AO858" s="19"/>
      <c r="AP858" s="19">
        <v>20</v>
      </c>
      <c r="AQ858" s="19" t="s">
        <v>307</v>
      </c>
      <c r="AR858" s="9" t="s">
        <v>391</v>
      </c>
      <c r="AS858" s="12">
        <v>0</v>
      </c>
      <c r="AT858" s="19">
        <v>38.553952680000002</v>
      </c>
      <c r="AU858" s="19">
        <v>-122.77040166</v>
      </c>
      <c r="AV858" s="19" t="s">
        <v>417</v>
      </c>
    </row>
    <row r="859" spans="1:48" x14ac:dyDescent="0.25">
      <c r="A859" s="18" t="s">
        <v>1241</v>
      </c>
      <c r="B859" s="10">
        <v>19670407</v>
      </c>
      <c r="C859" s="9">
        <v>23</v>
      </c>
      <c r="D859" s="8" t="str">
        <f t="shared" si="157"/>
        <v>N</v>
      </c>
      <c r="E859" s="8" t="str">
        <f t="shared" si="158"/>
        <v>N</v>
      </c>
      <c r="F859" s="8" t="str">
        <f t="shared" si="159"/>
        <v>N</v>
      </c>
      <c r="G859" s="8" t="str">
        <f t="shared" si="160"/>
        <v>N</v>
      </c>
      <c r="H859" s="8" t="str">
        <f t="shared" si="161"/>
        <v>Lower</v>
      </c>
      <c r="I859" s="8" t="str">
        <f t="shared" si="162"/>
        <v>Outside</v>
      </c>
      <c r="J859" s="8" t="str">
        <f t="shared" si="163"/>
        <v>Outside</v>
      </c>
      <c r="K859" s="8" t="str">
        <f t="shared" si="164"/>
        <v>Post-1949</v>
      </c>
      <c r="L859" s="8">
        <f t="shared" si="165"/>
        <v>1967</v>
      </c>
      <c r="M859" s="8" t="str">
        <f t="shared" si="167"/>
        <v>1960-1970</v>
      </c>
      <c r="N859" s="10" t="s">
        <v>242</v>
      </c>
      <c r="O859" s="10" t="s">
        <v>242</v>
      </c>
      <c r="P859" s="10" t="s">
        <v>242</v>
      </c>
      <c r="Q859" s="10" t="s">
        <v>242</v>
      </c>
      <c r="R859" s="10" t="s">
        <v>241</v>
      </c>
      <c r="S859" s="10" t="s">
        <v>242</v>
      </c>
      <c r="T859" s="10" t="s">
        <v>242</v>
      </c>
      <c r="U859" s="10" t="s">
        <v>242</v>
      </c>
      <c r="V859" s="10" t="s">
        <v>241</v>
      </c>
      <c r="W859" s="10" t="s">
        <v>242</v>
      </c>
      <c r="X859" s="15">
        <f>IF(ISERROR(VLOOKUP($A859,'13. Updated Demand'!A:Z,15,FALSE)),0,VLOOKUP($A859,'13. Updated Demand'!A:Z,15,FALSE))</f>
        <v>0</v>
      </c>
      <c r="Y859" s="16">
        <f>IF(ISERROR(VLOOKUP($A859,'13. Updated Demand'!A:Z,16,FALSE)),0,VLOOKUP($A859,'13. Updated Demand'!A:Z,16,FALSE))</f>
        <v>0</v>
      </c>
      <c r="Z859" s="16">
        <f>IF(ISERROR(VLOOKUP($A859,'13. Updated Demand'!A:Z,17,FALSE)),0,VLOOKUP($A859,'13. Updated Demand'!A:Z,17,FALSE))</f>
        <v>0</v>
      </c>
      <c r="AA859" s="16">
        <f>IF(ISERROR(VLOOKUP($A859,'13. Updated Demand'!A:Z,18,FALSE)),0,VLOOKUP($A859,'13. Updated Demand'!A:Z,18,FALSE))</f>
        <v>0.677666667</v>
      </c>
      <c r="AB859" s="16">
        <f>IF(ISERROR(VLOOKUP($A859,'13. Updated Demand'!A:Z,19,FALSE)),0,VLOOKUP($A859,'13. Updated Demand'!A:Z,19,FALSE))</f>
        <v>0</v>
      </c>
      <c r="AC859" s="16">
        <f>IF(ISERROR(VLOOKUP($A859,'13. Updated Demand'!A:Z,20,FALSE)),0,VLOOKUP($A859,'13. Updated Demand'!A:Z,20,FALSE))</f>
        <v>0</v>
      </c>
      <c r="AD859" s="16">
        <f>IF(ISERROR(VLOOKUP($A859,'13. Updated Demand'!A:Z,21,FALSE)),0,VLOOKUP($A859,'13. Updated Demand'!A:Z,21,FALSE))</f>
        <v>0</v>
      </c>
      <c r="AE859" s="16">
        <f>IF(ISERROR(VLOOKUP($A859,'13. Updated Demand'!A:Z,22,FALSE)),0,VLOOKUP($A859,'13. Updated Demand'!A:Z,22,FALSE))</f>
        <v>0</v>
      </c>
      <c r="AF859" s="16">
        <f>IF(ISERROR(VLOOKUP($A859,'13. Updated Demand'!A:Z,23,FALSE)),0,VLOOKUP($A859,'13. Updated Demand'!A:Z,23,FALSE))</f>
        <v>0</v>
      </c>
      <c r="AG859" s="16">
        <f>IF(ISERROR(VLOOKUP($A859,'13. Updated Demand'!A:Z,24,FALSE)),0,VLOOKUP($A859,'13. Updated Demand'!A:Z,24,FALSE))</f>
        <v>0</v>
      </c>
      <c r="AH859" s="16">
        <f>IF(ISERROR(VLOOKUP($A859,'13. Updated Demand'!A:Z,25,FALSE)),0,VLOOKUP($A859,'13. Updated Demand'!A:Z,25,FALSE))</f>
        <v>0</v>
      </c>
      <c r="AI859" s="16">
        <f>IF(ISERROR(VLOOKUP($A859,'13. Updated Demand'!A:Z,26,FALSE)),0,VLOOKUP($A859,'13. Updated Demand'!A:Z,26,FALSE))</f>
        <v>0</v>
      </c>
      <c r="AJ859" s="16">
        <f t="shared" si="168"/>
        <v>0.677666667</v>
      </c>
      <c r="AK859" s="19">
        <v>0</v>
      </c>
      <c r="AL859" s="16">
        <f t="shared" si="166"/>
        <v>0</v>
      </c>
      <c r="AM859" s="17">
        <v>4.5177777800000001E-3</v>
      </c>
      <c r="AN859" s="19"/>
      <c r="AO859" s="19"/>
      <c r="AP859" s="19">
        <v>150</v>
      </c>
      <c r="AQ859" s="19" t="s">
        <v>307</v>
      </c>
      <c r="AR859" s="9" t="s">
        <v>323</v>
      </c>
      <c r="AS859" s="12">
        <v>0</v>
      </c>
      <c r="AT859" s="19">
        <v>38.498169679999997</v>
      </c>
      <c r="AU859" s="19">
        <v>-122.8543633</v>
      </c>
      <c r="AV859" s="19" t="s">
        <v>735</v>
      </c>
    </row>
    <row r="860" spans="1:48" x14ac:dyDescent="0.25">
      <c r="A860" s="18" t="s">
        <v>1242</v>
      </c>
      <c r="B860" s="10">
        <v>19670605</v>
      </c>
      <c r="C860" s="9">
        <v>5</v>
      </c>
      <c r="D860" s="8" t="str">
        <f t="shared" si="157"/>
        <v>Y</v>
      </c>
      <c r="E860" s="8" t="str">
        <f t="shared" si="158"/>
        <v>N</v>
      </c>
      <c r="F860" s="8" t="str">
        <f t="shared" si="159"/>
        <v>Y</v>
      </c>
      <c r="G860" s="8" t="str">
        <f t="shared" si="160"/>
        <v>Y</v>
      </c>
      <c r="H860" s="8" t="str">
        <f t="shared" si="161"/>
        <v>Upper</v>
      </c>
      <c r="I860" s="8" t="str">
        <f t="shared" si="162"/>
        <v>West Fork and Below Lake</v>
      </c>
      <c r="J860" s="8" t="str">
        <f t="shared" si="163"/>
        <v>Mendocino (d/s of lake)</v>
      </c>
      <c r="K860" s="8" t="str">
        <f t="shared" si="164"/>
        <v>Post-1949</v>
      </c>
      <c r="L860" s="8">
        <f t="shared" si="165"/>
        <v>1967</v>
      </c>
      <c r="M860" s="8" t="str">
        <f t="shared" si="167"/>
        <v>1960-1970</v>
      </c>
      <c r="N860" s="10" t="s">
        <v>241</v>
      </c>
      <c r="O860" s="10" t="s">
        <v>241</v>
      </c>
      <c r="P860" s="10" t="s">
        <v>242</v>
      </c>
      <c r="Q860" s="10" t="s">
        <v>242</v>
      </c>
      <c r="R860" s="10" t="s">
        <v>241</v>
      </c>
      <c r="S860" s="10" t="s">
        <v>242</v>
      </c>
      <c r="T860" s="10" t="s">
        <v>242</v>
      </c>
      <c r="U860" s="10" t="s">
        <v>242</v>
      </c>
      <c r="V860" s="10" t="s">
        <v>242</v>
      </c>
      <c r="W860" s="10" t="s">
        <v>242</v>
      </c>
      <c r="X860" s="15">
        <f>IF(ISERROR(VLOOKUP($A860,'13. Updated Demand'!A:Z,15,FALSE)),0,VLOOKUP($A860,'13. Updated Demand'!A:Z,15,FALSE))</f>
        <v>0</v>
      </c>
      <c r="Y860" s="16">
        <f>IF(ISERROR(VLOOKUP($A860,'13. Updated Demand'!A:Z,16,FALSE)),0,VLOOKUP($A860,'13. Updated Demand'!A:Z,16,FALSE))</f>
        <v>0</v>
      </c>
      <c r="Z860" s="16">
        <f>IF(ISERROR(VLOOKUP($A860,'13. Updated Demand'!A:Z,17,FALSE)),0,VLOOKUP($A860,'13. Updated Demand'!A:Z,17,FALSE))</f>
        <v>0</v>
      </c>
      <c r="AA860" s="16">
        <f>IF(ISERROR(VLOOKUP($A860,'13. Updated Demand'!A:Z,18,FALSE)),0,VLOOKUP($A860,'13. Updated Demand'!A:Z,18,FALSE))</f>
        <v>0</v>
      </c>
      <c r="AB860" s="16">
        <f>IF(ISERROR(VLOOKUP($A860,'13. Updated Demand'!A:Z,19,FALSE)),0,VLOOKUP($A860,'13. Updated Demand'!A:Z,19,FALSE))</f>
        <v>11.8</v>
      </c>
      <c r="AC860" s="16">
        <f>IF(ISERROR(VLOOKUP($A860,'13. Updated Demand'!A:Z,20,FALSE)),0,VLOOKUP($A860,'13. Updated Demand'!A:Z,20,FALSE))</f>
        <v>23.53</v>
      </c>
      <c r="AD860" s="16">
        <f>IF(ISERROR(VLOOKUP($A860,'13. Updated Demand'!A:Z,21,FALSE)),0,VLOOKUP($A860,'13. Updated Demand'!A:Z,21,FALSE))</f>
        <v>43.43</v>
      </c>
      <c r="AE860" s="16">
        <f>IF(ISERROR(VLOOKUP($A860,'13. Updated Demand'!A:Z,22,FALSE)),0,VLOOKUP($A860,'13. Updated Demand'!A:Z,22,FALSE))</f>
        <v>53.73</v>
      </c>
      <c r="AF860" s="16">
        <f>IF(ISERROR(VLOOKUP($A860,'13. Updated Demand'!A:Z,23,FALSE)),0,VLOOKUP($A860,'13. Updated Demand'!A:Z,23,FALSE))</f>
        <v>45.33</v>
      </c>
      <c r="AG860" s="16">
        <f>IF(ISERROR(VLOOKUP($A860,'13. Updated Demand'!A:Z,24,FALSE)),0,VLOOKUP($A860,'13. Updated Demand'!A:Z,24,FALSE))</f>
        <v>19.03</v>
      </c>
      <c r="AH860" s="16">
        <f>IF(ISERROR(VLOOKUP($A860,'13. Updated Demand'!A:Z,25,FALSE)),0,VLOOKUP($A860,'13. Updated Demand'!A:Z,25,FALSE))</f>
        <v>0</v>
      </c>
      <c r="AI860" s="16">
        <f>IF(ISERROR(VLOOKUP($A860,'13. Updated Demand'!A:Z,26,FALSE)),0,VLOOKUP($A860,'13. Updated Demand'!A:Z,26,FALSE))</f>
        <v>0</v>
      </c>
      <c r="AJ860" s="16">
        <f t="shared" si="168"/>
        <v>196.85</v>
      </c>
      <c r="AK860" s="19">
        <v>177.8333333333332</v>
      </c>
      <c r="AL860" s="16">
        <f t="shared" si="166"/>
        <v>0.58985290954638425</v>
      </c>
      <c r="AM860" s="17">
        <v>0.60203873598368962</v>
      </c>
      <c r="AN860" s="19"/>
      <c r="AO860" s="19"/>
      <c r="AP860" s="19">
        <v>327</v>
      </c>
      <c r="AQ860" s="19" t="s">
        <v>307</v>
      </c>
      <c r="AR860" s="9" t="s">
        <v>333</v>
      </c>
      <c r="AS860" s="12">
        <v>0</v>
      </c>
      <c r="AT860" s="19">
        <v>39.102828219999999</v>
      </c>
      <c r="AU860" s="19">
        <v>-123.17853524</v>
      </c>
      <c r="AV860" s="19" t="s">
        <v>548</v>
      </c>
    </row>
    <row r="861" spans="1:48" x14ac:dyDescent="0.25">
      <c r="A861" s="18" t="s">
        <v>1243</v>
      </c>
      <c r="B861" s="10">
        <v>19670606</v>
      </c>
      <c r="C861" s="9">
        <v>14</v>
      </c>
      <c r="D861" s="8" t="str">
        <f t="shared" si="157"/>
        <v>N</v>
      </c>
      <c r="E861" s="8" t="str">
        <f t="shared" si="158"/>
        <v>N</v>
      </c>
      <c r="F861" s="8" t="str">
        <f t="shared" si="159"/>
        <v>N</v>
      </c>
      <c r="G861" s="8" t="str">
        <f t="shared" si="160"/>
        <v>N</v>
      </c>
      <c r="H861" s="8" t="str">
        <f t="shared" si="161"/>
        <v>Lower</v>
      </c>
      <c r="I861" s="8" t="str">
        <f t="shared" si="162"/>
        <v>Outside</v>
      </c>
      <c r="J861" s="8" t="str">
        <f t="shared" si="163"/>
        <v>Outside</v>
      </c>
      <c r="K861" s="8" t="str">
        <f t="shared" si="164"/>
        <v>Post-1949</v>
      </c>
      <c r="L861" s="8">
        <f t="shared" si="165"/>
        <v>1967</v>
      </c>
      <c r="M861" s="8" t="str">
        <f t="shared" si="167"/>
        <v>1960-1970</v>
      </c>
      <c r="N861" s="10" t="s">
        <v>242</v>
      </c>
      <c r="O861" s="10" t="s">
        <v>242</v>
      </c>
      <c r="P861" s="10" t="s">
        <v>242</v>
      </c>
      <c r="Q861" s="10" t="s">
        <v>242</v>
      </c>
      <c r="R861" s="10" t="s">
        <v>241</v>
      </c>
      <c r="S861" s="10" t="s">
        <v>242</v>
      </c>
      <c r="T861" s="10" t="s">
        <v>242</v>
      </c>
      <c r="U861" s="10" t="s">
        <v>241</v>
      </c>
      <c r="V861" s="10" t="s">
        <v>241</v>
      </c>
      <c r="W861" s="10" t="s">
        <v>242</v>
      </c>
      <c r="X861" s="15">
        <f>IF(ISERROR(VLOOKUP($A861,'13. Updated Demand'!A:Z,15,FALSE)),0,VLOOKUP($A861,'13. Updated Demand'!A:Z,15,FALSE))</f>
        <v>0</v>
      </c>
      <c r="Y861" s="16">
        <f>IF(ISERROR(VLOOKUP($A861,'13. Updated Demand'!A:Z,16,FALSE)),0,VLOOKUP($A861,'13. Updated Demand'!A:Z,16,FALSE))</f>
        <v>0</v>
      </c>
      <c r="Z861" s="16">
        <f>IF(ISERROR(VLOOKUP($A861,'13. Updated Demand'!A:Z,17,FALSE)),0,VLOOKUP($A861,'13. Updated Demand'!A:Z,17,FALSE))</f>
        <v>0</v>
      </c>
      <c r="AA861" s="16">
        <f>IF(ISERROR(VLOOKUP($A861,'13. Updated Demand'!A:Z,18,FALSE)),0,VLOOKUP($A861,'13. Updated Demand'!A:Z,18,FALSE))</f>
        <v>0</v>
      </c>
      <c r="AB861" s="16">
        <f>IF(ISERROR(VLOOKUP($A861,'13. Updated Demand'!A:Z,19,FALSE)),0,VLOOKUP($A861,'13. Updated Demand'!A:Z,19,FALSE))</f>
        <v>0</v>
      </c>
      <c r="AC861" s="16">
        <f>IF(ISERROR(VLOOKUP($A861,'13. Updated Demand'!A:Z,20,FALSE)),0,VLOOKUP($A861,'13. Updated Demand'!A:Z,20,FALSE))</f>
        <v>0</v>
      </c>
      <c r="AD861" s="16">
        <f>IF(ISERROR(VLOOKUP($A861,'13. Updated Demand'!A:Z,21,FALSE)),0,VLOOKUP($A861,'13. Updated Demand'!A:Z,21,FALSE))</f>
        <v>0</v>
      </c>
      <c r="AE861" s="16">
        <f>IF(ISERROR(VLOOKUP($A861,'13. Updated Demand'!A:Z,22,FALSE)),0,VLOOKUP($A861,'13. Updated Demand'!A:Z,22,FALSE))</f>
        <v>0</v>
      </c>
      <c r="AF861" s="16">
        <f>IF(ISERROR(VLOOKUP($A861,'13. Updated Demand'!A:Z,23,FALSE)),0,VLOOKUP($A861,'13. Updated Demand'!A:Z,23,FALSE))</f>
        <v>0</v>
      </c>
      <c r="AG861" s="16">
        <f>IF(ISERROR(VLOOKUP($A861,'13. Updated Demand'!A:Z,24,FALSE)),0,VLOOKUP($A861,'13. Updated Demand'!A:Z,24,FALSE))</f>
        <v>0</v>
      </c>
      <c r="AH861" s="16">
        <f>IF(ISERROR(VLOOKUP($A861,'13. Updated Demand'!A:Z,25,FALSE)),0,VLOOKUP($A861,'13. Updated Demand'!A:Z,25,FALSE))</f>
        <v>0</v>
      </c>
      <c r="AI861" s="16">
        <f>IF(ISERROR(VLOOKUP($A861,'13. Updated Demand'!A:Z,26,FALSE)),0,VLOOKUP($A861,'13. Updated Demand'!A:Z,26,FALSE))</f>
        <v>0</v>
      </c>
      <c r="AJ861" s="16">
        <f t="shared" si="168"/>
        <v>0</v>
      </c>
      <c r="AK861" s="19">
        <v>0</v>
      </c>
      <c r="AL861" s="16">
        <f t="shared" si="166"/>
        <v>0</v>
      </c>
      <c r="AM861" s="17">
        <v>0</v>
      </c>
      <c r="AN861" s="19"/>
      <c r="AO861" s="19"/>
      <c r="AP861" s="19">
        <v>12</v>
      </c>
      <c r="AQ861" s="19" t="s">
        <v>307</v>
      </c>
      <c r="AR861" s="9" t="s">
        <v>493</v>
      </c>
      <c r="AS861" s="12">
        <v>0</v>
      </c>
      <c r="AT861" s="19">
        <v>38.706731320000003</v>
      </c>
      <c r="AU861" s="19">
        <v>-122.97637116</v>
      </c>
      <c r="AV861" s="19" t="s">
        <v>932</v>
      </c>
    </row>
    <row r="862" spans="1:48" x14ac:dyDescent="0.25">
      <c r="A862" s="18" t="s">
        <v>103</v>
      </c>
      <c r="B862" s="10">
        <v>19670609</v>
      </c>
      <c r="C862" s="9">
        <v>4</v>
      </c>
      <c r="D862" s="8" t="str">
        <f t="shared" si="157"/>
        <v>Y</v>
      </c>
      <c r="E862" s="8" t="str">
        <f t="shared" si="158"/>
        <v>N</v>
      </c>
      <c r="F862" s="8" t="str">
        <f t="shared" si="159"/>
        <v>Y</v>
      </c>
      <c r="G862" s="8" t="str">
        <f t="shared" si="160"/>
        <v>Y</v>
      </c>
      <c r="H862" s="8" t="str">
        <f t="shared" si="161"/>
        <v>Upper</v>
      </c>
      <c r="I862" s="8" t="str">
        <f t="shared" si="162"/>
        <v>West Fork and Below Lake</v>
      </c>
      <c r="J862" s="8" t="str">
        <f t="shared" si="163"/>
        <v>Mendocino (d/s of lake)</v>
      </c>
      <c r="K862" s="8" t="str">
        <f t="shared" si="164"/>
        <v>Post-1949</v>
      </c>
      <c r="L862" s="8">
        <f t="shared" si="165"/>
        <v>1967</v>
      </c>
      <c r="M862" s="8" t="str">
        <f t="shared" si="167"/>
        <v>1960-1970</v>
      </c>
      <c r="N862" s="10" t="s">
        <v>241</v>
      </c>
      <c r="O862" s="10" t="s">
        <v>241</v>
      </c>
      <c r="P862" s="10" t="s">
        <v>242</v>
      </c>
      <c r="Q862" s="10" t="s">
        <v>242</v>
      </c>
      <c r="R862" s="10" t="s">
        <v>241</v>
      </c>
      <c r="S862" s="10" t="s">
        <v>242</v>
      </c>
      <c r="T862" s="10" t="s">
        <v>242</v>
      </c>
      <c r="U862" s="10" t="s">
        <v>242</v>
      </c>
      <c r="V862" s="10" t="s">
        <v>242</v>
      </c>
      <c r="W862" s="10" t="s">
        <v>242</v>
      </c>
      <c r="X862" s="15">
        <f>IF(ISERROR(VLOOKUP($A862,'13. Updated Demand'!A:Z,15,FALSE)),0,VLOOKUP($A862,'13. Updated Demand'!A:Z,15,FALSE))</f>
        <v>0</v>
      </c>
      <c r="Y862" s="16">
        <f>IF(ISERROR(VLOOKUP($A862,'13. Updated Demand'!A:Z,16,FALSE)),0,VLOOKUP($A862,'13. Updated Demand'!A:Z,16,FALSE))</f>
        <v>0</v>
      </c>
      <c r="Z862" s="16">
        <f>IF(ISERROR(VLOOKUP($A862,'13. Updated Demand'!A:Z,17,FALSE)),0,VLOOKUP($A862,'13. Updated Demand'!A:Z,17,FALSE))</f>
        <v>0</v>
      </c>
      <c r="AA862" s="16">
        <f>IF(ISERROR(VLOOKUP($A862,'13. Updated Demand'!A:Z,18,FALSE)),0,VLOOKUP($A862,'13. Updated Demand'!A:Z,18,FALSE))</f>
        <v>0</v>
      </c>
      <c r="AB862" s="16">
        <f>IF(ISERROR(VLOOKUP($A862,'13. Updated Demand'!A:Z,19,FALSE)),0,VLOOKUP($A862,'13. Updated Demand'!A:Z,19,FALSE))</f>
        <v>2.66</v>
      </c>
      <c r="AC862" s="16">
        <f>IF(ISERROR(VLOOKUP($A862,'13. Updated Demand'!A:Z,20,FALSE)),0,VLOOKUP($A862,'13. Updated Demand'!A:Z,20,FALSE))</f>
        <v>3.6</v>
      </c>
      <c r="AD862" s="16">
        <f>IF(ISERROR(VLOOKUP($A862,'13. Updated Demand'!A:Z,21,FALSE)),0,VLOOKUP($A862,'13. Updated Demand'!A:Z,21,FALSE))</f>
        <v>7.03</v>
      </c>
      <c r="AE862" s="16">
        <f>IF(ISERROR(VLOOKUP($A862,'13. Updated Demand'!A:Z,22,FALSE)),0,VLOOKUP($A862,'13. Updated Demand'!A:Z,22,FALSE))</f>
        <v>7.5</v>
      </c>
      <c r="AF862" s="16">
        <f>IF(ISERROR(VLOOKUP($A862,'13. Updated Demand'!A:Z,23,FALSE)),0,VLOOKUP($A862,'13. Updated Demand'!A:Z,23,FALSE))</f>
        <v>4.2300000000000004</v>
      </c>
      <c r="AG862" s="16">
        <f>IF(ISERROR(VLOOKUP($A862,'13. Updated Demand'!A:Z,24,FALSE)),0,VLOOKUP($A862,'13. Updated Demand'!A:Z,24,FALSE))</f>
        <v>0</v>
      </c>
      <c r="AH862" s="16">
        <f>IF(ISERROR(VLOOKUP($A862,'13. Updated Demand'!A:Z,25,FALSE)),0,VLOOKUP($A862,'13. Updated Demand'!A:Z,25,FALSE))</f>
        <v>0</v>
      </c>
      <c r="AI862" s="16">
        <f>IF(ISERROR(VLOOKUP($A862,'13. Updated Demand'!A:Z,26,FALSE)),0,VLOOKUP($A862,'13. Updated Demand'!A:Z,26,FALSE))</f>
        <v>0</v>
      </c>
      <c r="AJ862" s="16">
        <f t="shared" si="168"/>
        <v>25.02</v>
      </c>
      <c r="AK862" s="19">
        <v>25.033333333333331</v>
      </c>
      <c r="AL862" s="16">
        <f t="shared" si="166"/>
        <v>8.3032715102030905E-2</v>
      </c>
      <c r="AM862" s="17">
        <v>0.24785478547854783</v>
      </c>
      <c r="AN862" s="19"/>
      <c r="AO862" s="19"/>
      <c r="AP862" s="19">
        <v>101</v>
      </c>
      <c r="AQ862" s="19" t="s">
        <v>307</v>
      </c>
      <c r="AR862" s="9" t="s">
        <v>331</v>
      </c>
      <c r="AS862" s="12">
        <v>0</v>
      </c>
      <c r="AT862" s="19">
        <v>39.164802739999999</v>
      </c>
      <c r="AU862" s="19">
        <v>-123.19273783</v>
      </c>
      <c r="AV862" s="19" t="s">
        <v>548</v>
      </c>
    </row>
    <row r="863" spans="1:48" x14ac:dyDescent="0.25">
      <c r="A863" s="18" t="s">
        <v>1244</v>
      </c>
      <c r="B863" s="10">
        <v>19670810</v>
      </c>
      <c r="C863" s="9">
        <v>4</v>
      </c>
      <c r="D863" s="8" t="str">
        <f t="shared" si="157"/>
        <v>Y</v>
      </c>
      <c r="E863" s="8" t="str">
        <f t="shared" si="158"/>
        <v>N</v>
      </c>
      <c r="F863" s="8" t="str">
        <f t="shared" si="159"/>
        <v>Y</v>
      </c>
      <c r="G863" s="8" t="str">
        <f t="shared" si="160"/>
        <v>Y</v>
      </c>
      <c r="H863" s="8" t="str">
        <f t="shared" si="161"/>
        <v>Upper</v>
      </c>
      <c r="I863" s="8" t="str">
        <f t="shared" si="162"/>
        <v>West Fork and Below Lake</v>
      </c>
      <c r="J863" s="8" t="str">
        <f t="shared" si="163"/>
        <v>Mendocino (d/s of lake)</v>
      </c>
      <c r="K863" s="8" t="str">
        <f t="shared" si="164"/>
        <v>Post-1949</v>
      </c>
      <c r="L863" s="8">
        <f t="shared" si="165"/>
        <v>1967</v>
      </c>
      <c r="M863" s="8" t="str">
        <f t="shared" si="167"/>
        <v>1960-1970</v>
      </c>
      <c r="N863" s="10" t="s">
        <v>241</v>
      </c>
      <c r="O863" s="10" t="s">
        <v>241</v>
      </c>
      <c r="P863" s="10" t="s">
        <v>242</v>
      </c>
      <c r="Q863" s="10" t="s">
        <v>242</v>
      </c>
      <c r="R863" s="10" t="s">
        <v>241</v>
      </c>
      <c r="S863" s="10" t="s">
        <v>242</v>
      </c>
      <c r="T863" s="10" t="s">
        <v>242</v>
      </c>
      <c r="U863" s="10" t="s">
        <v>241</v>
      </c>
      <c r="V863" s="10" t="s">
        <v>241</v>
      </c>
      <c r="W863" s="10" t="s">
        <v>242</v>
      </c>
      <c r="X863" s="15">
        <f>IF(ISERROR(VLOOKUP($A863,'13. Updated Demand'!A:Z,15,FALSE)),0,VLOOKUP($A863,'13. Updated Demand'!A:Z,15,FALSE))</f>
        <v>0</v>
      </c>
      <c r="Y863" s="16">
        <f>IF(ISERROR(VLOOKUP($A863,'13. Updated Demand'!A:Z,16,FALSE)),0,VLOOKUP($A863,'13. Updated Demand'!A:Z,16,FALSE))</f>
        <v>0</v>
      </c>
      <c r="Z863" s="16">
        <f>IF(ISERROR(VLOOKUP($A863,'13. Updated Demand'!A:Z,17,FALSE)),0,VLOOKUP($A863,'13. Updated Demand'!A:Z,17,FALSE))</f>
        <v>0</v>
      </c>
      <c r="AA863" s="16">
        <f>IF(ISERROR(VLOOKUP($A863,'13. Updated Demand'!A:Z,18,FALSE)),0,VLOOKUP($A863,'13. Updated Demand'!A:Z,18,FALSE))</f>
        <v>0</v>
      </c>
      <c r="AB863" s="16">
        <f>IF(ISERROR(VLOOKUP($A863,'13. Updated Demand'!A:Z,19,FALSE)),0,VLOOKUP($A863,'13. Updated Demand'!A:Z,19,FALSE))</f>
        <v>0</v>
      </c>
      <c r="AC863" s="16">
        <f>IF(ISERROR(VLOOKUP($A863,'13. Updated Demand'!A:Z,20,FALSE)),0,VLOOKUP($A863,'13. Updated Demand'!A:Z,20,FALSE))</f>
        <v>0</v>
      </c>
      <c r="AD863" s="16">
        <f>IF(ISERROR(VLOOKUP($A863,'13. Updated Demand'!A:Z,21,FALSE)),0,VLOOKUP($A863,'13. Updated Demand'!A:Z,21,FALSE))</f>
        <v>0</v>
      </c>
      <c r="AE863" s="16">
        <f>IF(ISERROR(VLOOKUP($A863,'13. Updated Demand'!A:Z,22,FALSE)),0,VLOOKUP($A863,'13. Updated Demand'!A:Z,22,FALSE))</f>
        <v>0</v>
      </c>
      <c r="AF863" s="16">
        <f>IF(ISERROR(VLOOKUP($A863,'13. Updated Demand'!A:Z,23,FALSE)),0,VLOOKUP($A863,'13. Updated Demand'!A:Z,23,FALSE))</f>
        <v>0</v>
      </c>
      <c r="AG863" s="16">
        <f>IF(ISERROR(VLOOKUP($A863,'13. Updated Demand'!A:Z,24,FALSE)),0,VLOOKUP($A863,'13. Updated Demand'!A:Z,24,FALSE))</f>
        <v>0</v>
      </c>
      <c r="AH863" s="16">
        <f>IF(ISERROR(VLOOKUP($A863,'13. Updated Demand'!A:Z,25,FALSE)),0,VLOOKUP($A863,'13. Updated Demand'!A:Z,25,FALSE))</f>
        <v>0</v>
      </c>
      <c r="AI863" s="16">
        <f>IF(ISERROR(VLOOKUP($A863,'13. Updated Demand'!A:Z,26,FALSE)),0,VLOOKUP($A863,'13. Updated Demand'!A:Z,26,FALSE))</f>
        <v>0</v>
      </c>
      <c r="AJ863" s="16">
        <f t="shared" si="168"/>
        <v>0</v>
      </c>
      <c r="AK863" s="19">
        <v>0</v>
      </c>
      <c r="AL863" s="16">
        <f t="shared" si="166"/>
        <v>0</v>
      </c>
      <c r="AM863" s="17">
        <v>0</v>
      </c>
      <c r="AN863" s="19"/>
      <c r="AO863" s="19"/>
      <c r="AP863" s="19">
        <v>63</v>
      </c>
      <c r="AQ863" s="19" t="s">
        <v>307</v>
      </c>
      <c r="AR863" s="9" t="s">
        <v>331</v>
      </c>
      <c r="AS863" s="12">
        <v>0</v>
      </c>
      <c r="AT863" s="19">
        <v>39.170360559999999</v>
      </c>
      <c r="AU863" s="19">
        <v>-123.19971038</v>
      </c>
      <c r="AV863" s="19" t="s">
        <v>548</v>
      </c>
    </row>
    <row r="864" spans="1:48" x14ac:dyDescent="0.25">
      <c r="A864" s="18" t="s">
        <v>1245</v>
      </c>
      <c r="B864" s="10">
        <v>19671005</v>
      </c>
      <c r="C864" s="9">
        <v>23</v>
      </c>
      <c r="D864" s="8" t="str">
        <f t="shared" si="157"/>
        <v>N</v>
      </c>
      <c r="E864" s="8" t="str">
        <f t="shared" si="158"/>
        <v>N</v>
      </c>
      <c r="F864" s="8" t="str">
        <f t="shared" si="159"/>
        <v>N</v>
      </c>
      <c r="G864" s="8" t="str">
        <f t="shared" si="160"/>
        <v>N</v>
      </c>
      <c r="H864" s="8" t="str">
        <f t="shared" si="161"/>
        <v>Lower</v>
      </c>
      <c r="I864" s="8" t="str">
        <f t="shared" si="162"/>
        <v>Outside</v>
      </c>
      <c r="J864" s="8" t="str">
        <f t="shared" si="163"/>
        <v>Outside</v>
      </c>
      <c r="K864" s="8" t="str">
        <f t="shared" si="164"/>
        <v>Post-1949</v>
      </c>
      <c r="L864" s="8">
        <f t="shared" si="165"/>
        <v>1967</v>
      </c>
      <c r="M864" s="8" t="str">
        <f t="shared" si="167"/>
        <v>1960-1970</v>
      </c>
      <c r="N864" s="10" t="s">
        <v>242</v>
      </c>
      <c r="O864" s="10" t="s">
        <v>242</v>
      </c>
      <c r="P864" s="10" t="s">
        <v>242</v>
      </c>
      <c r="Q864" s="10" t="s">
        <v>242</v>
      </c>
      <c r="R864" s="10" t="s">
        <v>241</v>
      </c>
      <c r="S864" s="10" t="s">
        <v>242</v>
      </c>
      <c r="T864" s="10" t="s">
        <v>242</v>
      </c>
      <c r="U864" s="10" t="s">
        <v>242</v>
      </c>
      <c r="V864" s="10" t="s">
        <v>241</v>
      </c>
      <c r="W864" s="10" t="s">
        <v>242</v>
      </c>
      <c r="X864" s="15">
        <f>IF(ISERROR(VLOOKUP($A864,'13. Updated Demand'!A:Z,15,FALSE)),0,VLOOKUP($A864,'13. Updated Demand'!A:Z,15,FALSE))</f>
        <v>0.66500000000000004</v>
      </c>
      <c r="Y864" s="16">
        <f>IF(ISERROR(VLOOKUP($A864,'13. Updated Demand'!A:Z,16,FALSE)),0,VLOOKUP($A864,'13. Updated Demand'!A:Z,16,FALSE))</f>
        <v>0.66500000000000004</v>
      </c>
      <c r="Z864" s="16">
        <f>IF(ISERROR(VLOOKUP($A864,'13. Updated Demand'!A:Z,17,FALSE)),0,VLOOKUP($A864,'13. Updated Demand'!A:Z,17,FALSE))</f>
        <v>0.66500000000000004</v>
      </c>
      <c r="AA864" s="16">
        <f>IF(ISERROR(VLOOKUP($A864,'13. Updated Demand'!A:Z,18,FALSE)),0,VLOOKUP($A864,'13. Updated Demand'!A:Z,18,FALSE))</f>
        <v>0</v>
      </c>
      <c r="AB864" s="16">
        <f>IF(ISERROR(VLOOKUP($A864,'13. Updated Demand'!A:Z,19,FALSE)),0,VLOOKUP($A864,'13. Updated Demand'!A:Z,19,FALSE))</f>
        <v>0</v>
      </c>
      <c r="AC864" s="16">
        <f>IF(ISERROR(VLOOKUP($A864,'13. Updated Demand'!A:Z,20,FALSE)),0,VLOOKUP($A864,'13. Updated Demand'!A:Z,20,FALSE))</f>
        <v>0</v>
      </c>
      <c r="AD864" s="16">
        <f>IF(ISERROR(VLOOKUP($A864,'13. Updated Demand'!A:Z,21,FALSE)),0,VLOOKUP($A864,'13. Updated Demand'!A:Z,21,FALSE))</f>
        <v>0</v>
      </c>
      <c r="AE864" s="16">
        <f>IF(ISERROR(VLOOKUP($A864,'13. Updated Demand'!A:Z,22,FALSE)),0,VLOOKUP($A864,'13. Updated Demand'!A:Z,22,FALSE))</f>
        <v>0</v>
      </c>
      <c r="AF864" s="16">
        <f>IF(ISERROR(VLOOKUP($A864,'13. Updated Demand'!A:Z,23,FALSE)),0,VLOOKUP($A864,'13. Updated Demand'!A:Z,23,FALSE))</f>
        <v>0</v>
      </c>
      <c r="AG864" s="16">
        <f>IF(ISERROR(VLOOKUP($A864,'13. Updated Demand'!A:Z,24,FALSE)),0,VLOOKUP($A864,'13. Updated Demand'!A:Z,24,FALSE))</f>
        <v>0</v>
      </c>
      <c r="AH864" s="16">
        <f>IF(ISERROR(VLOOKUP($A864,'13. Updated Demand'!A:Z,25,FALSE)),0,VLOOKUP($A864,'13. Updated Demand'!A:Z,25,FALSE))</f>
        <v>0.66</v>
      </c>
      <c r="AI864" s="16">
        <f>IF(ISERROR(VLOOKUP($A864,'13. Updated Demand'!A:Z,26,FALSE)),0,VLOOKUP($A864,'13. Updated Demand'!A:Z,26,FALSE))</f>
        <v>0.66</v>
      </c>
      <c r="AJ864" s="16">
        <f t="shared" si="168"/>
        <v>3.3150000000000004</v>
      </c>
      <c r="AK864" s="19">
        <v>0</v>
      </c>
      <c r="AL864" s="16">
        <f t="shared" si="166"/>
        <v>0</v>
      </c>
      <c r="AM864" s="17">
        <v>0.69062500000000016</v>
      </c>
      <c r="AN864" s="19"/>
      <c r="AO864" s="19"/>
      <c r="AP864" s="19">
        <v>4.8</v>
      </c>
      <c r="AQ864" s="19" t="s">
        <v>307</v>
      </c>
      <c r="AR864" s="9" t="s">
        <v>323</v>
      </c>
      <c r="AS864" s="12">
        <v>0</v>
      </c>
      <c r="AT864" s="19">
        <v>38.552100000000003</v>
      </c>
      <c r="AU864" s="19">
        <v>-122.7272</v>
      </c>
      <c r="AV864" s="19" t="s">
        <v>417</v>
      </c>
    </row>
    <row r="865" spans="1:48" x14ac:dyDescent="0.25">
      <c r="A865" s="18" t="s">
        <v>1246</v>
      </c>
      <c r="B865" s="10">
        <v>19671013</v>
      </c>
      <c r="C865" s="9">
        <v>14</v>
      </c>
      <c r="D865" s="8" t="str">
        <f t="shared" si="157"/>
        <v>N</v>
      </c>
      <c r="E865" s="8" t="str">
        <f t="shared" si="158"/>
        <v>N</v>
      </c>
      <c r="F865" s="8" t="str">
        <f t="shared" si="159"/>
        <v>N</v>
      </c>
      <c r="G865" s="8" t="str">
        <f t="shared" si="160"/>
        <v>N</v>
      </c>
      <c r="H865" s="8" t="str">
        <f t="shared" si="161"/>
        <v>Lower</v>
      </c>
      <c r="I865" s="8" t="str">
        <f t="shared" si="162"/>
        <v>Outside</v>
      </c>
      <c r="J865" s="8" t="str">
        <f t="shared" si="163"/>
        <v>Outside</v>
      </c>
      <c r="K865" s="8" t="str">
        <f t="shared" si="164"/>
        <v>Post-1949</v>
      </c>
      <c r="L865" s="8">
        <f t="shared" si="165"/>
        <v>1967</v>
      </c>
      <c r="M865" s="8" t="str">
        <f t="shared" si="167"/>
        <v>1960-1970</v>
      </c>
      <c r="N865" s="10" t="s">
        <v>242</v>
      </c>
      <c r="O865" s="10" t="s">
        <v>242</v>
      </c>
      <c r="P865" s="10" t="s">
        <v>242</v>
      </c>
      <c r="Q865" s="10" t="s">
        <v>242</v>
      </c>
      <c r="R865" s="10" t="s">
        <v>241</v>
      </c>
      <c r="S865" s="10" t="s">
        <v>242</v>
      </c>
      <c r="T865" s="10" t="s">
        <v>242</v>
      </c>
      <c r="U865" s="10" t="s">
        <v>242</v>
      </c>
      <c r="V865" s="10" t="s">
        <v>242</v>
      </c>
      <c r="W865" s="10" t="s">
        <v>242</v>
      </c>
      <c r="X865" s="15">
        <f>IF(ISERROR(VLOOKUP($A865,'13. Updated Demand'!A:Z,15,FALSE)),0,VLOOKUP($A865,'13. Updated Demand'!A:Z,15,FALSE))</f>
        <v>0</v>
      </c>
      <c r="Y865" s="16">
        <f>IF(ISERROR(VLOOKUP($A865,'13. Updated Demand'!A:Z,16,FALSE)),0,VLOOKUP($A865,'13. Updated Demand'!A:Z,16,FALSE))</f>
        <v>0</v>
      </c>
      <c r="Z865" s="16">
        <f>IF(ISERROR(VLOOKUP($A865,'13. Updated Demand'!A:Z,17,FALSE)),0,VLOOKUP($A865,'13. Updated Demand'!A:Z,17,FALSE))</f>
        <v>0</v>
      </c>
      <c r="AA865" s="16">
        <f>IF(ISERROR(VLOOKUP($A865,'13. Updated Demand'!A:Z,18,FALSE)),0,VLOOKUP($A865,'13. Updated Demand'!A:Z,18,FALSE))</f>
        <v>0</v>
      </c>
      <c r="AB865" s="16">
        <f>IF(ISERROR(VLOOKUP($A865,'13. Updated Demand'!A:Z,19,FALSE)),0,VLOOKUP($A865,'13. Updated Demand'!A:Z,19,FALSE))</f>
        <v>0</v>
      </c>
      <c r="AC865" s="16">
        <f>IF(ISERROR(VLOOKUP($A865,'13. Updated Demand'!A:Z,20,FALSE)),0,VLOOKUP($A865,'13. Updated Demand'!A:Z,20,FALSE))</f>
        <v>3.6876669999999999E-3</v>
      </c>
      <c r="AD865" s="16">
        <f>IF(ISERROR(VLOOKUP($A865,'13. Updated Demand'!A:Z,21,FALSE)),0,VLOOKUP($A865,'13. Updated Demand'!A:Z,21,FALSE))</f>
        <v>1.5299999999999999E-5</v>
      </c>
      <c r="AE865" s="16">
        <f>IF(ISERROR(VLOOKUP($A865,'13. Updated Demand'!A:Z,22,FALSE)),0,VLOOKUP($A865,'13. Updated Demand'!A:Z,22,FALSE))</f>
        <v>0</v>
      </c>
      <c r="AF865" s="16">
        <f>IF(ISERROR(VLOOKUP($A865,'13. Updated Demand'!A:Z,23,FALSE)),0,VLOOKUP($A865,'13. Updated Demand'!A:Z,23,FALSE))</f>
        <v>0</v>
      </c>
      <c r="AG865" s="16">
        <f>IF(ISERROR(VLOOKUP($A865,'13. Updated Demand'!A:Z,24,FALSE)),0,VLOOKUP($A865,'13. Updated Demand'!A:Z,24,FALSE))</f>
        <v>0</v>
      </c>
      <c r="AH865" s="16">
        <f>IF(ISERROR(VLOOKUP($A865,'13. Updated Demand'!A:Z,25,FALSE)),0,VLOOKUP($A865,'13. Updated Demand'!A:Z,25,FALSE))</f>
        <v>0</v>
      </c>
      <c r="AI865" s="16">
        <f>IF(ISERROR(VLOOKUP($A865,'13. Updated Demand'!A:Z,26,FALSE)),0,VLOOKUP($A865,'13. Updated Demand'!A:Z,26,FALSE))</f>
        <v>0</v>
      </c>
      <c r="AJ865" s="16">
        <f t="shared" si="168"/>
        <v>3.7029670000000002E-3</v>
      </c>
      <c r="AK865" s="19">
        <v>3.7029670000000002E-3</v>
      </c>
      <c r="AL865" s="16">
        <f t="shared" si="166"/>
        <v>1.2282319731420324E-5</v>
      </c>
      <c r="AM865" s="17">
        <v>9.4947871794871805E-5</v>
      </c>
      <c r="AN865" s="19"/>
      <c r="AO865" s="19"/>
      <c r="AP865" s="19">
        <v>39</v>
      </c>
      <c r="AQ865" s="19" t="s">
        <v>307</v>
      </c>
      <c r="AR865" s="9" t="s">
        <v>493</v>
      </c>
      <c r="AS865" s="12">
        <v>0</v>
      </c>
      <c r="AT865" s="19">
        <v>38.706499999999998</v>
      </c>
      <c r="AU865" s="19">
        <v>-122.9667</v>
      </c>
      <c r="AV865" s="19" t="s">
        <v>932</v>
      </c>
    </row>
    <row r="866" spans="1:48" x14ac:dyDescent="0.25">
      <c r="A866" s="18" t="s">
        <v>1247</v>
      </c>
      <c r="B866" s="10">
        <v>19671226</v>
      </c>
      <c r="C866" s="9">
        <v>22</v>
      </c>
      <c r="D866" s="8" t="str">
        <f t="shared" si="157"/>
        <v>N</v>
      </c>
      <c r="E866" s="8" t="str">
        <f t="shared" si="158"/>
        <v>N</v>
      </c>
      <c r="F866" s="8" t="str">
        <f t="shared" si="159"/>
        <v>N</v>
      </c>
      <c r="G866" s="8" t="str">
        <f t="shared" si="160"/>
        <v>N</v>
      </c>
      <c r="H866" s="8" t="str">
        <f t="shared" si="161"/>
        <v>Lower</v>
      </c>
      <c r="I866" s="8" t="str">
        <f t="shared" si="162"/>
        <v>Outside</v>
      </c>
      <c r="J866" s="8" t="str">
        <f t="shared" si="163"/>
        <v>Outside</v>
      </c>
      <c r="K866" s="8" t="str">
        <f t="shared" si="164"/>
        <v>Post-1949</v>
      </c>
      <c r="L866" s="8">
        <f t="shared" si="165"/>
        <v>1967</v>
      </c>
      <c r="M866" s="8" t="str">
        <f t="shared" si="167"/>
        <v>1960-1970</v>
      </c>
      <c r="N866" s="10" t="s">
        <v>242</v>
      </c>
      <c r="O866" s="10" t="s">
        <v>242</v>
      </c>
      <c r="P866" s="10" t="s">
        <v>242</v>
      </c>
      <c r="Q866" s="10" t="s">
        <v>242</v>
      </c>
      <c r="R866" s="10" t="s">
        <v>241</v>
      </c>
      <c r="S866" s="10" t="s">
        <v>242</v>
      </c>
      <c r="T866" s="10" t="s">
        <v>242</v>
      </c>
      <c r="U866" s="10" t="s">
        <v>242</v>
      </c>
      <c r="V866" s="10" t="s">
        <v>242</v>
      </c>
      <c r="W866" s="10" t="s">
        <v>242</v>
      </c>
      <c r="X866" s="15">
        <f>IF(ISERROR(VLOOKUP($A866,'13. Updated Demand'!A:Z,15,FALSE)),0,VLOOKUP($A866,'13. Updated Demand'!A:Z,15,FALSE))</f>
        <v>0</v>
      </c>
      <c r="Y866" s="16">
        <f>IF(ISERROR(VLOOKUP($A866,'13. Updated Demand'!A:Z,16,FALSE)),0,VLOOKUP($A866,'13. Updated Demand'!A:Z,16,FALSE))</f>
        <v>0</v>
      </c>
      <c r="Z866" s="16">
        <f>IF(ISERROR(VLOOKUP($A866,'13. Updated Demand'!A:Z,17,FALSE)),0,VLOOKUP($A866,'13. Updated Demand'!A:Z,17,FALSE))</f>
        <v>0</v>
      </c>
      <c r="AA866" s="16">
        <f>IF(ISERROR(VLOOKUP($A866,'13. Updated Demand'!A:Z,18,FALSE)),0,VLOOKUP($A866,'13. Updated Demand'!A:Z,18,FALSE))</f>
        <v>6.6666666999999999E-2</v>
      </c>
      <c r="AB866" s="16">
        <f>IF(ISERROR(VLOOKUP($A866,'13. Updated Demand'!A:Z,19,FALSE)),0,VLOOKUP($A866,'13. Updated Demand'!A:Z,19,FALSE))</f>
        <v>6.6666666999999999E-2</v>
      </c>
      <c r="AC866" s="16">
        <f>IF(ISERROR(VLOOKUP($A866,'13. Updated Demand'!A:Z,20,FALSE)),0,VLOOKUP($A866,'13. Updated Demand'!A:Z,20,FALSE))</f>
        <v>0.13666666699999999</v>
      </c>
      <c r="AD866" s="16">
        <f>IF(ISERROR(VLOOKUP($A866,'13. Updated Demand'!A:Z,21,FALSE)),0,VLOOKUP($A866,'13. Updated Demand'!A:Z,21,FALSE))</f>
        <v>0.48499999999999999</v>
      </c>
      <c r="AE866" s="16">
        <f>IF(ISERROR(VLOOKUP($A866,'13. Updated Demand'!A:Z,22,FALSE)),0,VLOOKUP($A866,'13. Updated Demand'!A:Z,22,FALSE))</f>
        <v>0.41466666699999999</v>
      </c>
      <c r="AF866" s="16">
        <f>IF(ISERROR(VLOOKUP($A866,'13. Updated Demand'!A:Z,23,FALSE)),0,VLOOKUP($A866,'13. Updated Demand'!A:Z,23,FALSE))</f>
        <v>0.2</v>
      </c>
      <c r="AG866" s="16">
        <f>IF(ISERROR(VLOOKUP($A866,'13. Updated Demand'!A:Z,24,FALSE)),0,VLOOKUP($A866,'13. Updated Demand'!A:Z,24,FALSE))</f>
        <v>0.133333333</v>
      </c>
      <c r="AH866" s="16">
        <f>IF(ISERROR(VLOOKUP($A866,'13. Updated Demand'!A:Z,25,FALSE)),0,VLOOKUP($A866,'13. Updated Demand'!A:Z,25,FALSE))</f>
        <v>6.6666666999999999E-2</v>
      </c>
      <c r="AI866" s="16">
        <f>IF(ISERROR(VLOOKUP($A866,'13. Updated Demand'!A:Z,26,FALSE)),0,VLOOKUP($A866,'13. Updated Demand'!A:Z,26,FALSE))</f>
        <v>0</v>
      </c>
      <c r="AJ866" s="16">
        <f t="shared" si="168"/>
        <v>1.569666668</v>
      </c>
      <c r="AK866" s="19">
        <v>1.3030000009999998</v>
      </c>
      <c r="AL866" s="16">
        <f t="shared" si="166"/>
        <v>4.3219025776689343E-3</v>
      </c>
      <c r="AM866" s="17">
        <v>3.5674242454545452E-2</v>
      </c>
      <c r="AN866" s="19"/>
      <c r="AO866" s="19"/>
      <c r="AP866" s="19">
        <v>44</v>
      </c>
      <c r="AQ866" s="19" t="s">
        <v>307</v>
      </c>
      <c r="AR866" s="9" t="s">
        <v>314</v>
      </c>
      <c r="AS866" s="12">
        <v>0</v>
      </c>
      <c r="AT866" s="19">
        <v>38.895706730000001</v>
      </c>
      <c r="AU866" s="19">
        <v>-123.17838371000001</v>
      </c>
      <c r="AV866" s="19" t="s">
        <v>573</v>
      </c>
    </row>
    <row r="867" spans="1:48" x14ac:dyDescent="0.25">
      <c r="A867" s="18" t="s">
        <v>1248</v>
      </c>
      <c r="B867" s="10">
        <v>19660103</v>
      </c>
      <c r="C867" s="9">
        <v>15</v>
      </c>
      <c r="D867" s="8" t="str">
        <f t="shared" si="157"/>
        <v>N</v>
      </c>
      <c r="E867" s="8" t="str">
        <f t="shared" si="158"/>
        <v>N</v>
      </c>
      <c r="F867" s="8" t="str">
        <f t="shared" si="159"/>
        <v>N</v>
      </c>
      <c r="G867" s="8" t="str">
        <f t="shared" si="160"/>
        <v>N</v>
      </c>
      <c r="H867" s="8" t="str">
        <f t="shared" si="161"/>
        <v>Lower</v>
      </c>
      <c r="I867" s="8" t="str">
        <f t="shared" si="162"/>
        <v>Outside</v>
      </c>
      <c r="J867" s="8" t="str">
        <f t="shared" si="163"/>
        <v>Outside</v>
      </c>
      <c r="K867" s="8" t="str">
        <f t="shared" si="164"/>
        <v>Post-1949</v>
      </c>
      <c r="L867" s="8">
        <f t="shared" si="165"/>
        <v>1966</v>
      </c>
      <c r="M867" s="8" t="str">
        <f t="shared" si="167"/>
        <v>1960-1970</v>
      </c>
      <c r="N867" s="10" t="s">
        <v>242</v>
      </c>
      <c r="O867" s="10" t="s">
        <v>242</v>
      </c>
      <c r="P867" s="10" t="s">
        <v>242</v>
      </c>
      <c r="Q867" s="10" t="s">
        <v>242</v>
      </c>
      <c r="R867" s="10" t="s">
        <v>241</v>
      </c>
      <c r="S867" s="10" t="s">
        <v>242</v>
      </c>
      <c r="T867" s="10" t="s">
        <v>242</v>
      </c>
      <c r="U867" s="10" t="s">
        <v>242</v>
      </c>
      <c r="V867" s="10" t="s">
        <v>242</v>
      </c>
      <c r="W867" s="10" t="s">
        <v>242</v>
      </c>
      <c r="X867" s="15">
        <f>IF(ISERROR(VLOOKUP($A867,'13. Updated Demand'!A:Z,15,FALSE)),0,VLOOKUP($A867,'13. Updated Demand'!A:Z,15,FALSE))</f>
        <v>0</v>
      </c>
      <c r="Y867" s="16">
        <f>IF(ISERROR(VLOOKUP($A867,'13. Updated Demand'!A:Z,16,FALSE)),0,VLOOKUP($A867,'13. Updated Demand'!A:Z,16,FALSE))</f>
        <v>0</v>
      </c>
      <c r="Z867" s="16">
        <f>IF(ISERROR(VLOOKUP($A867,'13. Updated Demand'!A:Z,17,FALSE)),0,VLOOKUP($A867,'13. Updated Demand'!A:Z,17,FALSE))</f>
        <v>0</v>
      </c>
      <c r="AA867" s="16">
        <f>IF(ISERROR(VLOOKUP($A867,'13. Updated Demand'!A:Z,18,FALSE)),0,VLOOKUP($A867,'13. Updated Demand'!A:Z,18,FALSE))</f>
        <v>0</v>
      </c>
      <c r="AB867" s="16">
        <f>IF(ISERROR(VLOOKUP($A867,'13. Updated Demand'!A:Z,19,FALSE)),0,VLOOKUP($A867,'13. Updated Demand'!A:Z,19,FALSE))</f>
        <v>0</v>
      </c>
      <c r="AC867" s="16">
        <f>IF(ISERROR(VLOOKUP($A867,'13. Updated Demand'!A:Z,20,FALSE)),0,VLOOKUP($A867,'13. Updated Demand'!A:Z,20,FALSE))</f>
        <v>3.6666666669999999</v>
      </c>
      <c r="AD867" s="16">
        <f>IF(ISERROR(VLOOKUP($A867,'13. Updated Demand'!A:Z,21,FALSE)),0,VLOOKUP($A867,'13. Updated Demand'!A:Z,21,FALSE))</f>
        <v>3.6666666669999999</v>
      </c>
      <c r="AE867" s="16">
        <f>IF(ISERROR(VLOOKUP($A867,'13. Updated Demand'!A:Z,22,FALSE)),0,VLOOKUP($A867,'13. Updated Demand'!A:Z,22,FALSE))</f>
        <v>3.6666666669999999</v>
      </c>
      <c r="AF867" s="16">
        <f>IF(ISERROR(VLOOKUP($A867,'13. Updated Demand'!A:Z,23,FALSE)),0,VLOOKUP($A867,'13. Updated Demand'!A:Z,23,FALSE))</f>
        <v>3</v>
      </c>
      <c r="AG867" s="16">
        <f>IF(ISERROR(VLOOKUP($A867,'13. Updated Demand'!A:Z,24,FALSE)),0,VLOOKUP($A867,'13. Updated Demand'!A:Z,24,FALSE))</f>
        <v>1.6666666670000001</v>
      </c>
      <c r="AH867" s="16">
        <f>IF(ISERROR(VLOOKUP($A867,'13. Updated Demand'!A:Z,25,FALSE)),0,VLOOKUP($A867,'13. Updated Demand'!A:Z,25,FALSE))</f>
        <v>0</v>
      </c>
      <c r="AI867" s="16">
        <f>IF(ISERROR(VLOOKUP($A867,'13. Updated Demand'!A:Z,26,FALSE)),0,VLOOKUP($A867,'13. Updated Demand'!A:Z,26,FALSE))</f>
        <v>0</v>
      </c>
      <c r="AJ867" s="16">
        <f t="shared" si="168"/>
        <v>15.666666668</v>
      </c>
      <c r="AK867" s="19">
        <v>14.000000001</v>
      </c>
      <c r="AL867" s="16">
        <f t="shared" si="166"/>
        <v>4.6436405253454015E-2</v>
      </c>
      <c r="AM867" s="17">
        <v>0.97916666674999997</v>
      </c>
      <c r="AN867" s="19"/>
      <c r="AO867" s="19"/>
      <c r="AP867" s="19">
        <v>16</v>
      </c>
      <c r="AQ867" s="19" t="s">
        <v>307</v>
      </c>
      <c r="AR867" s="9" t="s">
        <v>489</v>
      </c>
      <c r="AS867" s="12">
        <v>0</v>
      </c>
      <c r="AT867" s="19">
        <v>38.697827740000001</v>
      </c>
      <c r="AU867" s="19">
        <v>-122.95732665</v>
      </c>
      <c r="AV867" s="19" t="s">
        <v>701</v>
      </c>
    </row>
    <row r="868" spans="1:48" x14ac:dyDescent="0.25">
      <c r="A868" s="18" t="s">
        <v>1249</v>
      </c>
      <c r="B868" s="10">
        <v>19660317</v>
      </c>
      <c r="C868" s="9">
        <v>4</v>
      </c>
      <c r="D868" s="8" t="str">
        <f t="shared" si="157"/>
        <v>Y</v>
      </c>
      <c r="E868" s="8" t="str">
        <f t="shared" si="158"/>
        <v>N</v>
      </c>
      <c r="F868" s="8" t="str">
        <f t="shared" si="159"/>
        <v>Y</v>
      </c>
      <c r="G868" s="8" t="str">
        <f t="shared" si="160"/>
        <v>Y</v>
      </c>
      <c r="H868" s="8" t="str">
        <f t="shared" si="161"/>
        <v>Upper</v>
      </c>
      <c r="I868" s="8" t="str">
        <f t="shared" si="162"/>
        <v>West Fork and Below Lake</v>
      </c>
      <c r="J868" s="8" t="str">
        <f t="shared" si="163"/>
        <v>Mendocino (d/s of lake)</v>
      </c>
      <c r="K868" s="8" t="str">
        <f t="shared" si="164"/>
        <v>Post-1949</v>
      </c>
      <c r="L868" s="8">
        <f t="shared" si="165"/>
        <v>1966</v>
      </c>
      <c r="M868" s="8" t="str">
        <f t="shared" si="167"/>
        <v>1960-1970</v>
      </c>
      <c r="N868" s="10" t="s">
        <v>242</v>
      </c>
      <c r="O868" s="10" t="s">
        <v>241</v>
      </c>
      <c r="P868" s="10" t="s">
        <v>242</v>
      </c>
      <c r="Q868" s="10" t="s">
        <v>242</v>
      </c>
      <c r="R868" s="10" t="s">
        <v>241</v>
      </c>
      <c r="S868" s="10" t="s">
        <v>242</v>
      </c>
      <c r="T868" s="10" t="s">
        <v>242</v>
      </c>
      <c r="U868" s="10" t="s">
        <v>241</v>
      </c>
      <c r="V868" s="10" t="s">
        <v>241</v>
      </c>
      <c r="W868" s="10" t="s">
        <v>242</v>
      </c>
      <c r="X868" s="15">
        <f>IF(ISERROR(VLOOKUP($A868,'13. Updated Demand'!A:Z,15,FALSE)),0,VLOOKUP($A868,'13. Updated Demand'!A:Z,15,FALSE))</f>
        <v>0</v>
      </c>
      <c r="Y868" s="16">
        <f>IF(ISERROR(VLOOKUP($A868,'13. Updated Demand'!A:Z,16,FALSE)),0,VLOOKUP($A868,'13. Updated Demand'!A:Z,16,FALSE))</f>
        <v>0</v>
      </c>
      <c r="Z868" s="16">
        <f>IF(ISERROR(VLOOKUP($A868,'13. Updated Demand'!A:Z,17,FALSE)),0,VLOOKUP($A868,'13. Updated Demand'!A:Z,17,FALSE))</f>
        <v>0</v>
      </c>
      <c r="AA868" s="16">
        <f>IF(ISERROR(VLOOKUP($A868,'13. Updated Demand'!A:Z,18,FALSE)),0,VLOOKUP($A868,'13. Updated Demand'!A:Z,18,FALSE))</f>
        <v>0</v>
      </c>
      <c r="AB868" s="16">
        <f>IF(ISERROR(VLOOKUP($A868,'13. Updated Demand'!A:Z,19,FALSE)),0,VLOOKUP($A868,'13. Updated Demand'!A:Z,19,FALSE))</f>
        <v>0</v>
      </c>
      <c r="AC868" s="16">
        <f>IF(ISERROR(VLOOKUP($A868,'13. Updated Demand'!A:Z,20,FALSE)),0,VLOOKUP($A868,'13. Updated Demand'!A:Z,20,FALSE))</f>
        <v>0</v>
      </c>
      <c r="AD868" s="16">
        <f>IF(ISERROR(VLOOKUP($A868,'13. Updated Demand'!A:Z,21,FALSE)),0,VLOOKUP($A868,'13. Updated Demand'!A:Z,21,FALSE))</f>
        <v>0</v>
      </c>
      <c r="AE868" s="16">
        <f>IF(ISERROR(VLOOKUP($A868,'13. Updated Demand'!A:Z,22,FALSE)),0,VLOOKUP($A868,'13. Updated Demand'!A:Z,22,FALSE))</f>
        <v>0</v>
      </c>
      <c r="AF868" s="16">
        <f>IF(ISERROR(VLOOKUP($A868,'13. Updated Demand'!A:Z,23,FALSE)),0,VLOOKUP($A868,'13. Updated Demand'!A:Z,23,FALSE))</f>
        <v>0</v>
      </c>
      <c r="AG868" s="16">
        <f>IF(ISERROR(VLOOKUP($A868,'13. Updated Demand'!A:Z,24,FALSE)),0,VLOOKUP($A868,'13. Updated Demand'!A:Z,24,FALSE))</f>
        <v>0</v>
      </c>
      <c r="AH868" s="16">
        <f>IF(ISERROR(VLOOKUP($A868,'13. Updated Demand'!A:Z,25,FALSE)),0,VLOOKUP($A868,'13. Updated Demand'!A:Z,25,FALSE))</f>
        <v>0</v>
      </c>
      <c r="AI868" s="16">
        <f>IF(ISERROR(VLOOKUP($A868,'13. Updated Demand'!A:Z,26,FALSE)),0,VLOOKUP($A868,'13. Updated Demand'!A:Z,26,FALSE))</f>
        <v>0</v>
      </c>
      <c r="AJ868" s="16">
        <f t="shared" si="168"/>
        <v>0</v>
      </c>
      <c r="AK868" s="19">
        <v>0</v>
      </c>
      <c r="AL868" s="16">
        <f t="shared" si="166"/>
        <v>0</v>
      </c>
      <c r="AM868" s="17">
        <v>0</v>
      </c>
      <c r="AN868" s="19"/>
      <c r="AO868" s="19"/>
      <c r="AP868" s="19">
        <v>1.1000000000000001</v>
      </c>
      <c r="AQ868" s="19" t="s">
        <v>307</v>
      </c>
      <c r="AR868" s="9" t="s">
        <v>331</v>
      </c>
      <c r="AS868" s="12">
        <v>0</v>
      </c>
      <c r="AT868" s="19">
        <v>39.168057320000003</v>
      </c>
      <c r="AU868" s="19">
        <v>-123.06915332</v>
      </c>
      <c r="AV868" s="19" t="s">
        <v>417</v>
      </c>
    </row>
    <row r="869" spans="1:48" x14ac:dyDescent="0.25">
      <c r="A869" s="18" t="s">
        <v>1250</v>
      </c>
      <c r="B869" s="10">
        <v>19660328</v>
      </c>
      <c r="C869" s="9">
        <v>23</v>
      </c>
      <c r="D869" s="8" t="str">
        <f t="shared" si="157"/>
        <v>N</v>
      </c>
      <c r="E869" s="8" t="str">
        <f t="shared" si="158"/>
        <v>N</v>
      </c>
      <c r="F869" s="8" t="str">
        <f t="shared" si="159"/>
        <v>N</v>
      </c>
      <c r="G869" s="8" t="str">
        <f t="shared" si="160"/>
        <v>N</v>
      </c>
      <c r="H869" s="8" t="str">
        <f t="shared" si="161"/>
        <v>Lower</v>
      </c>
      <c r="I869" s="8" t="str">
        <f t="shared" si="162"/>
        <v>Outside</v>
      </c>
      <c r="J869" s="8" t="str">
        <f t="shared" si="163"/>
        <v>Outside</v>
      </c>
      <c r="K869" s="8" t="str">
        <f t="shared" si="164"/>
        <v>Post-1949</v>
      </c>
      <c r="L869" s="8">
        <f t="shared" si="165"/>
        <v>1966</v>
      </c>
      <c r="M869" s="8" t="str">
        <f t="shared" si="167"/>
        <v>1960-1970</v>
      </c>
      <c r="N869" s="10" t="s">
        <v>242</v>
      </c>
      <c r="O869" s="10" t="s">
        <v>242</v>
      </c>
      <c r="P869" s="10" t="s">
        <v>242</v>
      </c>
      <c r="Q869" s="10" t="s">
        <v>242</v>
      </c>
      <c r="R869" s="10" t="s">
        <v>241</v>
      </c>
      <c r="S869" s="10" t="s">
        <v>242</v>
      </c>
      <c r="T869" s="10" t="s">
        <v>242</v>
      </c>
      <c r="U869" s="10" t="s">
        <v>242</v>
      </c>
      <c r="V869" s="10" t="s">
        <v>241</v>
      </c>
      <c r="W869" s="10" t="s">
        <v>242</v>
      </c>
      <c r="X869" s="15">
        <f>IF(ISERROR(VLOOKUP($A869,'13. Updated Demand'!A:Z,15,FALSE)),0,VLOOKUP($A869,'13. Updated Demand'!A:Z,15,FALSE))</f>
        <v>56.9</v>
      </c>
      <c r="Y869" s="16">
        <f>IF(ISERROR(VLOOKUP($A869,'13. Updated Demand'!A:Z,16,FALSE)),0,VLOOKUP($A869,'13. Updated Demand'!A:Z,16,FALSE))</f>
        <v>20.333333329999999</v>
      </c>
      <c r="Z869" s="16">
        <f>IF(ISERROR(VLOOKUP($A869,'13. Updated Demand'!A:Z,17,FALSE)),0,VLOOKUP($A869,'13. Updated Demand'!A:Z,17,FALSE))</f>
        <v>20</v>
      </c>
      <c r="AA869" s="16">
        <f>IF(ISERROR(VLOOKUP($A869,'13. Updated Demand'!A:Z,18,FALSE)),0,VLOOKUP($A869,'13. Updated Demand'!A:Z,18,FALSE))</f>
        <v>0</v>
      </c>
      <c r="AB869" s="16">
        <f>IF(ISERROR(VLOOKUP($A869,'13. Updated Demand'!A:Z,19,FALSE)),0,VLOOKUP($A869,'13. Updated Demand'!A:Z,19,FALSE))</f>
        <v>0</v>
      </c>
      <c r="AC869" s="16">
        <f>IF(ISERROR(VLOOKUP($A869,'13. Updated Demand'!A:Z,20,FALSE)),0,VLOOKUP($A869,'13. Updated Demand'!A:Z,20,FALSE))</f>
        <v>0</v>
      </c>
      <c r="AD869" s="16">
        <f>IF(ISERROR(VLOOKUP($A869,'13. Updated Demand'!A:Z,21,FALSE)),0,VLOOKUP($A869,'13. Updated Demand'!A:Z,21,FALSE))</f>
        <v>0</v>
      </c>
      <c r="AE869" s="16">
        <f>IF(ISERROR(VLOOKUP($A869,'13. Updated Demand'!A:Z,22,FALSE)),0,VLOOKUP($A869,'13. Updated Demand'!A:Z,22,FALSE))</f>
        <v>0</v>
      </c>
      <c r="AF869" s="16">
        <f>IF(ISERROR(VLOOKUP($A869,'13. Updated Demand'!A:Z,23,FALSE)),0,VLOOKUP($A869,'13. Updated Demand'!A:Z,23,FALSE))</f>
        <v>0</v>
      </c>
      <c r="AG869" s="16">
        <f>IF(ISERROR(VLOOKUP($A869,'13. Updated Demand'!A:Z,24,FALSE)),0,VLOOKUP($A869,'13. Updated Demand'!A:Z,24,FALSE))</f>
        <v>3.266666667</v>
      </c>
      <c r="AH869" s="16">
        <f>IF(ISERROR(VLOOKUP($A869,'13. Updated Demand'!A:Z,25,FALSE)),0,VLOOKUP($A869,'13. Updated Demand'!A:Z,25,FALSE))</f>
        <v>33.866666670000001</v>
      </c>
      <c r="AI869" s="16">
        <f>IF(ISERROR(VLOOKUP($A869,'13. Updated Demand'!A:Z,26,FALSE)),0,VLOOKUP($A869,'13. Updated Demand'!A:Z,26,FALSE))</f>
        <v>38.066666669999996</v>
      </c>
      <c r="AJ869" s="16">
        <f t="shared" si="168"/>
        <v>172.43333333699999</v>
      </c>
      <c r="AK869" s="19">
        <v>0</v>
      </c>
      <c r="AL869" s="16">
        <f t="shared" si="166"/>
        <v>0</v>
      </c>
      <c r="AM869" s="17">
        <v>0.28738888889499997</v>
      </c>
      <c r="AN869" s="19"/>
      <c r="AO869" s="19"/>
      <c r="AP869" s="19">
        <v>600</v>
      </c>
      <c r="AQ869" s="19" t="s">
        <v>307</v>
      </c>
      <c r="AR869" s="9" t="s">
        <v>378</v>
      </c>
      <c r="AS869" s="12">
        <v>0</v>
      </c>
      <c r="AT869" s="19">
        <v>38.4572</v>
      </c>
      <c r="AU869" s="19">
        <v>-122.6397</v>
      </c>
      <c r="AV869" s="19" t="s">
        <v>1251</v>
      </c>
    </row>
    <row r="870" spans="1:48" x14ac:dyDescent="0.25">
      <c r="A870" s="18" t="s">
        <v>1252</v>
      </c>
      <c r="B870" s="10">
        <v>19660329</v>
      </c>
      <c r="C870" s="9">
        <v>12</v>
      </c>
      <c r="D870" s="8" t="str">
        <f t="shared" si="157"/>
        <v>N</v>
      </c>
      <c r="E870" s="8" t="str">
        <f t="shared" si="158"/>
        <v>Y</v>
      </c>
      <c r="F870" s="8" t="str">
        <f t="shared" si="159"/>
        <v>Y</v>
      </c>
      <c r="G870" s="8" t="str">
        <f t="shared" si="160"/>
        <v>Y</v>
      </c>
      <c r="H870" s="8" t="str">
        <f t="shared" si="161"/>
        <v>Upper</v>
      </c>
      <c r="I870" s="8" t="str">
        <f t="shared" si="162"/>
        <v>West Fork and Below Lake</v>
      </c>
      <c r="J870" s="8" t="str">
        <f t="shared" si="163"/>
        <v>Sonoma (d/s of Clov. Gage)</v>
      </c>
      <c r="K870" s="8" t="str">
        <f t="shared" si="164"/>
        <v>Post-1949</v>
      </c>
      <c r="L870" s="8">
        <f t="shared" si="165"/>
        <v>1966</v>
      </c>
      <c r="M870" s="8" t="str">
        <f t="shared" si="167"/>
        <v>1960-1970</v>
      </c>
      <c r="N870" s="10" t="s">
        <v>242</v>
      </c>
      <c r="O870" s="10" t="s">
        <v>241</v>
      </c>
      <c r="P870" s="10" t="s">
        <v>242</v>
      </c>
      <c r="Q870" s="10" t="s">
        <v>242</v>
      </c>
      <c r="R870" s="10" t="s">
        <v>241</v>
      </c>
      <c r="S870" s="10" t="s">
        <v>242</v>
      </c>
      <c r="T870" s="10" t="s">
        <v>242</v>
      </c>
      <c r="U870" s="10" t="s">
        <v>242</v>
      </c>
      <c r="V870" s="10" t="s">
        <v>241</v>
      </c>
      <c r="W870" s="10" t="s">
        <v>242</v>
      </c>
      <c r="X870" s="15">
        <f>IF(ISERROR(VLOOKUP($A870,'13. Updated Demand'!A:Z,15,FALSE)),0,VLOOKUP($A870,'13. Updated Demand'!A:Z,15,FALSE))</f>
        <v>0.13</v>
      </c>
      <c r="Y870" s="16">
        <f>IF(ISERROR(VLOOKUP($A870,'13. Updated Demand'!A:Z,16,FALSE)),0,VLOOKUP($A870,'13. Updated Demand'!A:Z,16,FALSE))</f>
        <v>0</v>
      </c>
      <c r="Z870" s="16">
        <f>IF(ISERROR(VLOOKUP($A870,'13. Updated Demand'!A:Z,17,FALSE)),0,VLOOKUP($A870,'13. Updated Demand'!A:Z,17,FALSE))</f>
        <v>0</v>
      </c>
      <c r="AA870" s="16">
        <f>IF(ISERROR(VLOOKUP($A870,'13. Updated Demand'!A:Z,18,FALSE)),0,VLOOKUP($A870,'13. Updated Demand'!A:Z,18,FALSE))</f>
        <v>0</v>
      </c>
      <c r="AB870" s="16">
        <f>IF(ISERROR(VLOOKUP($A870,'13. Updated Demand'!A:Z,19,FALSE)),0,VLOOKUP($A870,'13. Updated Demand'!A:Z,19,FALSE))</f>
        <v>0</v>
      </c>
      <c r="AC870" s="16">
        <f>IF(ISERROR(VLOOKUP($A870,'13. Updated Demand'!A:Z,20,FALSE)),0,VLOOKUP($A870,'13. Updated Demand'!A:Z,20,FALSE))</f>
        <v>0</v>
      </c>
      <c r="AD870" s="16">
        <f>IF(ISERROR(VLOOKUP($A870,'13. Updated Demand'!A:Z,21,FALSE)),0,VLOOKUP($A870,'13. Updated Demand'!A:Z,21,FALSE))</f>
        <v>0</v>
      </c>
      <c r="AE870" s="16">
        <f>IF(ISERROR(VLOOKUP($A870,'13. Updated Demand'!A:Z,22,FALSE)),0,VLOOKUP($A870,'13. Updated Demand'!A:Z,22,FALSE))</f>
        <v>0</v>
      </c>
      <c r="AF870" s="16">
        <f>IF(ISERROR(VLOOKUP($A870,'13. Updated Demand'!A:Z,23,FALSE)),0,VLOOKUP($A870,'13. Updated Demand'!A:Z,23,FALSE))</f>
        <v>0</v>
      </c>
      <c r="AG870" s="16">
        <f>IF(ISERROR(VLOOKUP($A870,'13. Updated Demand'!A:Z,24,FALSE)),0,VLOOKUP($A870,'13. Updated Demand'!A:Z,24,FALSE))</f>
        <v>0.06</v>
      </c>
      <c r="AH870" s="16">
        <f>IF(ISERROR(VLOOKUP($A870,'13. Updated Demand'!A:Z,25,FALSE)),0,VLOOKUP($A870,'13. Updated Demand'!A:Z,25,FALSE))</f>
        <v>0.33</v>
      </c>
      <c r="AI870" s="16">
        <f>IF(ISERROR(VLOOKUP($A870,'13. Updated Demand'!A:Z,26,FALSE)),0,VLOOKUP($A870,'13. Updated Demand'!A:Z,26,FALSE))</f>
        <v>0</v>
      </c>
      <c r="AJ870" s="16">
        <f t="shared" si="168"/>
        <v>0.52</v>
      </c>
      <c r="AK870" s="19">
        <v>0</v>
      </c>
      <c r="AL870" s="16">
        <f t="shared" si="166"/>
        <v>0</v>
      </c>
      <c r="AM870" s="17">
        <v>4.2666666640000003E-2</v>
      </c>
      <c r="AN870" s="19"/>
      <c r="AO870" s="19"/>
      <c r="AP870" s="19">
        <v>12.5</v>
      </c>
      <c r="AQ870" s="19" t="s">
        <v>307</v>
      </c>
      <c r="AR870" s="9" t="s">
        <v>311</v>
      </c>
      <c r="AS870" s="12">
        <v>3.4039024194010059E-4</v>
      </c>
      <c r="AT870" s="19">
        <v>38.581135099999997</v>
      </c>
      <c r="AU870" s="19">
        <v>-122.77087012</v>
      </c>
      <c r="AV870" s="19" t="s">
        <v>417</v>
      </c>
    </row>
    <row r="871" spans="1:48" x14ac:dyDescent="0.25">
      <c r="A871" s="18" t="s">
        <v>1253</v>
      </c>
      <c r="B871" s="10">
        <v>19660411</v>
      </c>
      <c r="C871" s="9">
        <v>12</v>
      </c>
      <c r="D871" s="8" t="str">
        <f t="shared" si="157"/>
        <v>N</v>
      </c>
      <c r="E871" s="8" t="str">
        <f t="shared" si="158"/>
        <v>Y</v>
      </c>
      <c r="F871" s="8" t="str">
        <f t="shared" si="159"/>
        <v>Y</v>
      </c>
      <c r="G871" s="8" t="str">
        <f t="shared" si="160"/>
        <v>Y</v>
      </c>
      <c r="H871" s="8" t="str">
        <f t="shared" si="161"/>
        <v>Upper</v>
      </c>
      <c r="I871" s="8" t="str">
        <f t="shared" si="162"/>
        <v>West Fork and Below Lake</v>
      </c>
      <c r="J871" s="8" t="str">
        <f t="shared" si="163"/>
        <v>Sonoma (d/s of Clov. Gage)</v>
      </c>
      <c r="K871" s="8" t="str">
        <f t="shared" si="164"/>
        <v>Post-1949</v>
      </c>
      <c r="L871" s="8">
        <f t="shared" si="165"/>
        <v>1966</v>
      </c>
      <c r="M871" s="8" t="str">
        <f t="shared" si="167"/>
        <v>1960-1970</v>
      </c>
      <c r="N871" s="10" t="s">
        <v>242</v>
      </c>
      <c r="O871" s="10" t="s">
        <v>241</v>
      </c>
      <c r="P871" s="10" t="s">
        <v>242</v>
      </c>
      <c r="Q871" s="10" t="s">
        <v>242</v>
      </c>
      <c r="R871" s="10" t="s">
        <v>241</v>
      </c>
      <c r="S871" s="10" t="s">
        <v>242</v>
      </c>
      <c r="T871" s="10" t="s">
        <v>242</v>
      </c>
      <c r="U871" s="10" t="s">
        <v>241</v>
      </c>
      <c r="V871" s="10" t="s">
        <v>241</v>
      </c>
      <c r="W871" s="10" t="s">
        <v>242</v>
      </c>
      <c r="X871" s="15">
        <f>IF(ISERROR(VLOOKUP($A871,'13. Updated Demand'!A:Z,15,FALSE)),0,VLOOKUP($A871,'13. Updated Demand'!A:Z,15,FALSE))</f>
        <v>0</v>
      </c>
      <c r="Y871" s="16">
        <f>IF(ISERROR(VLOOKUP($A871,'13. Updated Demand'!A:Z,16,FALSE)),0,VLOOKUP($A871,'13. Updated Demand'!A:Z,16,FALSE))</f>
        <v>0</v>
      </c>
      <c r="Z871" s="16">
        <f>IF(ISERROR(VLOOKUP($A871,'13. Updated Demand'!A:Z,17,FALSE)),0,VLOOKUP($A871,'13. Updated Demand'!A:Z,17,FALSE))</f>
        <v>0</v>
      </c>
      <c r="AA871" s="16">
        <f>IF(ISERROR(VLOOKUP($A871,'13. Updated Demand'!A:Z,18,FALSE)),0,VLOOKUP($A871,'13. Updated Demand'!A:Z,18,FALSE))</f>
        <v>0</v>
      </c>
      <c r="AB871" s="16">
        <f>IF(ISERROR(VLOOKUP($A871,'13. Updated Demand'!A:Z,19,FALSE)),0,VLOOKUP($A871,'13. Updated Demand'!A:Z,19,FALSE))</f>
        <v>0</v>
      </c>
      <c r="AC871" s="16">
        <f>IF(ISERROR(VLOOKUP($A871,'13. Updated Demand'!A:Z,20,FALSE)),0,VLOOKUP($A871,'13. Updated Demand'!A:Z,20,FALSE))</f>
        <v>0</v>
      </c>
      <c r="AD871" s="16">
        <f>IF(ISERROR(VLOOKUP($A871,'13. Updated Demand'!A:Z,21,FALSE)),0,VLOOKUP($A871,'13. Updated Demand'!A:Z,21,FALSE))</f>
        <v>0</v>
      </c>
      <c r="AE871" s="16">
        <f>IF(ISERROR(VLOOKUP($A871,'13. Updated Demand'!A:Z,22,FALSE)),0,VLOOKUP($A871,'13. Updated Demand'!A:Z,22,FALSE))</f>
        <v>0</v>
      </c>
      <c r="AF871" s="16">
        <f>IF(ISERROR(VLOOKUP($A871,'13. Updated Demand'!A:Z,23,FALSE)),0,VLOOKUP($A871,'13. Updated Demand'!A:Z,23,FALSE))</f>
        <v>0</v>
      </c>
      <c r="AG871" s="16">
        <f>IF(ISERROR(VLOOKUP($A871,'13. Updated Demand'!A:Z,24,FALSE)),0,VLOOKUP($A871,'13. Updated Demand'!A:Z,24,FALSE))</f>
        <v>0</v>
      </c>
      <c r="AH871" s="16">
        <f>IF(ISERROR(VLOOKUP($A871,'13. Updated Demand'!A:Z,25,FALSE)),0,VLOOKUP($A871,'13. Updated Demand'!A:Z,25,FALSE))</f>
        <v>0</v>
      </c>
      <c r="AI871" s="16">
        <f>IF(ISERROR(VLOOKUP($A871,'13. Updated Demand'!A:Z,26,FALSE)),0,VLOOKUP($A871,'13. Updated Demand'!A:Z,26,FALSE))</f>
        <v>0</v>
      </c>
      <c r="AJ871" s="16">
        <f t="shared" si="168"/>
        <v>0</v>
      </c>
      <c r="AK871" s="19">
        <v>0</v>
      </c>
      <c r="AL871" s="16">
        <f t="shared" si="166"/>
        <v>0</v>
      </c>
      <c r="AM871" s="17">
        <v>0</v>
      </c>
      <c r="AN871" s="19"/>
      <c r="AO871" s="19"/>
      <c r="AP871" s="19">
        <v>18</v>
      </c>
      <c r="AQ871" s="19" t="s">
        <v>307</v>
      </c>
      <c r="AR871" s="9" t="s">
        <v>311</v>
      </c>
      <c r="AS871" s="12">
        <v>0</v>
      </c>
      <c r="AT871" s="19">
        <v>38.610546579999998</v>
      </c>
      <c r="AU871" s="19">
        <v>-122.76646329</v>
      </c>
      <c r="AV871" s="19" t="s">
        <v>1254</v>
      </c>
    </row>
    <row r="872" spans="1:48" x14ac:dyDescent="0.25">
      <c r="A872" s="18" t="s">
        <v>1255</v>
      </c>
      <c r="B872" s="10">
        <v>19660614</v>
      </c>
      <c r="C872" s="9">
        <v>14</v>
      </c>
      <c r="D872" s="8" t="str">
        <f t="shared" si="157"/>
        <v>N</v>
      </c>
      <c r="E872" s="8" t="str">
        <f t="shared" si="158"/>
        <v>N</v>
      </c>
      <c r="F872" s="8" t="str">
        <f t="shared" si="159"/>
        <v>N</v>
      </c>
      <c r="G872" s="8" t="str">
        <f t="shared" si="160"/>
        <v>N</v>
      </c>
      <c r="H872" s="8" t="str">
        <f t="shared" si="161"/>
        <v>Lower</v>
      </c>
      <c r="I872" s="8" t="str">
        <f t="shared" si="162"/>
        <v>Outside</v>
      </c>
      <c r="J872" s="8" t="str">
        <f t="shared" si="163"/>
        <v>Outside</v>
      </c>
      <c r="K872" s="8" t="str">
        <f t="shared" si="164"/>
        <v>Post-1949</v>
      </c>
      <c r="L872" s="8">
        <f t="shared" si="165"/>
        <v>1966</v>
      </c>
      <c r="M872" s="8" t="str">
        <f t="shared" si="167"/>
        <v>1960-1970</v>
      </c>
      <c r="N872" s="10" t="s">
        <v>242</v>
      </c>
      <c r="O872" s="10" t="s">
        <v>242</v>
      </c>
      <c r="P872" s="10" t="s">
        <v>242</v>
      </c>
      <c r="Q872" s="10" t="s">
        <v>242</v>
      </c>
      <c r="R872" s="10" t="s">
        <v>241</v>
      </c>
      <c r="S872" s="10" t="s">
        <v>242</v>
      </c>
      <c r="T872" s="10" t="s">
        <v>241</v>
      </c>
      <c r="U872" s="10" t="s">
        <v>241</v>
      </c>
      <c r="V872" s="10" t="s">
        <v>241</v>
      </c>
      <c r="W872" s="10" t="s">
        <v>242</v>
      </c>
      <c r="X872" s="15">
        <f>IF(ISERROR(VLOOKUP($A872,'13. Updated Demand'!A:Z,15,FALSE)),0,VLOOKUP($A872,'13. Updated Demand'!A:Z,15,FALSE))</f>
        <v>0</v>
      </c>
      <c r="Y872" s="16">
        <f>IF(ISERROR(VLOOKUP($A872,'13. Updated Demand'!A:Z,16,FALSE)),0,VLOOKUP($A872,'13. Updated Demand'!A:Z,16,FALSE))</f>
        <v>0</v>
      </c>
      <c r="Z872" s="16">
        <f>IF(ISERROR(VLOOKUP($A872,'13. Updated Demand'!A:Z,17,FALSE)),0,VLOOKUP($A872,'13. Updated Demand'!A:Z,17,FALSE))</f>
        <v>0</v>
      </c>
      <c r="AA872" s="16">
        <f>IF(ISERROR(VLOOKUP($A872,'13. Updated Demand'!A:Z,18,FALSE)),0,VLOOKUP($A872,'13. Updated Demand'!A:Z,18,FALSE))</f>
        <v>0</v>
      </c>
      <c r="AB872" s="16">
        <f>IF(ISERROR(VLOOKUP($A872,'13. Updated Demand'!A:Z,19,FALSE)),0,VLOOKUP($A872,'13. Updated Demand'!A:Z,19,FALSE))</f>
        <v>0</v>
      </c>
      <c r="AC872" s="16">
        <f>IF(ISERROR(VLOOKUP($A872,'13. Updated Demand'!A:Z,20,FALSE)),0,VLOOKUP($A872,'13. Updated Demand'!A:Z,20,FALSE))</f>
        <v>0</v>
      </c>
      <c r="AD872" s="16">
        <f>IF(ISERROR(VLOOKUP($A872,'13. Updated Demand'!A:Z,21,FALSE)),0,VLOOKUP($A872,'13. Updated Demand'!A:Z,21,FALSE))</f>
        <v>0</v>
      </c>
      <c r="AE872" s="16">
        <f>IF(ISERROR(VLOOKUP($A872,'13. Updated Demand'!A:Z,22,FALSE)),0,VLOOKUP($A872,'13. Updated Demand'!A:Z,22,FALSE))</f>
        <v>0</v>
      </c>
      <c r="AF872" s="16">
        <f>IF(ISERROR(VLOOKUP($A872,'13. Updated Demand'!A:Z,23,FALSE)),0,VLOOKUP($A872,'13. Updated Demand'!A:Z,23,FALSE))</f>
        <v>0</v>
      </c>
      <c r="AG872" s="16">
        <f>IF(ISERROR(VLOOKUP($A872,'13. Updated Demand'!A:Z,24,FALSE)),0,VLOOKUP($A872,'13. Updated Demand'!A:Z,24,FALSE))</f>
        <v>0</v>
      </c>
      <c r="AH872" s="16">
        <f>IF(ISERROR(VLOOKUP($A872,'13. Updated Demand'!A:Z,25,FALSE)),0,VLOOKUP($A872,'13. Updated Demand'!A:Z,25,FALSE))</f>
        <v>0</v>
      </c>
      <c r="AI872" s="16">
        <f>IF(ISERROR(VLOOKUP($A872,'13. Updated Demand'!A:Z,26,FALSE)),0,VLOOKUP($A872,'13. Updated Demand'!A:Z,26,FALSE))</f>
        <v>0</v>
      </c>
      <c r="AJ872" s="16">
        <f t="shared" si="168"/>
        <v>0</v>
      </c>
      <c r="AK872" s="19">
        <v>0</v>
      </c>
      <c r="AL872" s="16">
        <f t="shared" si="166"/>
        <v>0</v>
      </c>
      <c r="AM872" s="17">
        <v>0</v>
      </c>
      <c r="AN872" s="19"/>
      <c r="AO872" s="19"/>
      <c r="AP872" s="19">
        <v>1.4</v>
      </c>
      <c r="AQ872" s="19" t="s">
        <v>307</v>
      </c>
      <c r="AR872" s="9" t="s">
        <v>493</v>
      </c>
      <c r="AS872" s="12">
        <v>0</v>
      </c>
      <c r="AT872" s="19">
        <v>38.651428080000002</v>
      </c>
      <c r="AU872" s="19">
        <v>-123.02078856999999</v>
      </c>
      <c r="AV872" s="19" t="s">
        <v>417</v>
      </c>
    </row>
    <row r="873" spans="1:48" x14ac:dyDescent="0.25">
      <c r="A873" s="18" t="s">
        <v>1256</v>
      </c>
      <c r="B873" s="10">
        <v>19660615</v>
      </c>
      <c r="C873" s="9">
        <v>23</v>
      </c>
      <c r="D873" s="8" t="str">
        <f t="shared" si="157"/>
        <v>N</v>
      </c>
      <c r="E873" s="8" t="str">
        <f t="shared" si="158"/>
        <v>N</v>
      </c>
      <c r="F873" s="8" t="str">
        <f t="shared" si="159"/>
        <v>N</v>
      </c>
      <c r="G873" s="8" t="str">
        <f t="shared" si="160"/>
        <v>N</v>
      </c>
      <c r="H873" s="8" t="str">
        <f t="shared" si="161"/>
        <v>Lower</v>
      </c>
      <c r="I873" s="8" t="str">
        <f t="shared" si="162"/>
        <v>Outside</v>
      </c>
      <c r="J873" s="8" t="str">
        <f t="shared" si="163"/>
        <v>Outside</v>
      </c>
      <c r="K873" s="8" t="str">
        <f t="shared" si="164"/>
        <v>Post-1949</v>
      </c>
      <c r="L873" s="8">
        <f t="shared" si="165"/>
        <v>1966</v>
      </c>
      <c r="M873" s="8" t="str">
        <f t="shared" si="167"/>
        <v>1960-1970</v>
      </c>
      <c r="N873" s="10" t="s">
        <v>242</v>
      </c>
      <c r="O873" s="10" t="s">
        <v>242</v>
      </c>
      <c r="P873" s="10" t="s">
        <v>242</v>
      </c>
      <c r="Q873" s="10" t="s">
        <v>242</v>
      </c>
      <c r="R873" s="10" t="s">
        <v>241</v>
      </c>
      <c r="S873" s="10" t="s">
        <v>242</v>
      </c>
      <c r="T873" s="10" t="s">
        <v>242</v>
      </c>
      <c r="U873" s="10" t="s">
        <v>241</v>
      </c>
      <c r="V873" s="10" t="s">
        <v>241</v>
      </c>
      <c r="W873" s="10" t="s">
        <v>242</v>
      </c>
      <c r="X873" s="15">
        <f>IF(ISERROR(VLOOKUP($A873,'13. Updated Demand'!A:Z,15,FALSE)),0,VLOOKUP($A873,'13. Updated Demand'!A:Z,15,FALSE))</f>
        <v>0</v>
      </c>
      <c r="Y873" s="16">
        <f>IF(ISERROR(VLOOKUP($A873,'13. Updated Demand'!A:Z,16,FALSE)),0,VLOOKUP($A873,'13. Updated Demand'!A:Z,16,FALSE))</f>
        <v>0</v>
      </c>
      <c r="Z873" s="16">
        <f>IF(ISERROR(VLOOKUP($A873,'13. Updated Demand'!A:Z,17,FALSE)),0,VLOOKUP($A873,'13. Updated Demand'!A:Z,17,FALSE))</f>
        <v>0</v>
      </c>
      <c r="AA873" s="16">
        <f>IF(ISERROR(VLOOKUP($A873,'13. Updated Demand'!A:Z,18,FALSE)),0,VLOOKUP($A873,'13. Updated Demand'!A:Z,18,FALSE))</f>
        <v>0</v>
      </c>
      <c r="AB873" s="16">
        <f>IF(ISERROR(VLOOKUP($A873,'13. Updated Demand'!A:Z,19,FALSE)),0,VLOOKUP($A873,'13. Updated Demand'!A:Z,19,FALSE))</f>
        <v>0</v>
      </c>
      <c r="AC873" s="16">
        <f>IF(ISERROR(VLOOKUP($A873,'13. Updated Demand'!A:Z,20,FALSE)),0,VLOOKUP($A873,'13. Updated Demand'!A:Z,20,FALSE))</f>
        <v>0</v>
      </c>
      <c r="AD873" s="16">
        <f>IF(ISERROR(VLOOKUP($A873,'13. Updated Demand'!A:Z,21,FALSE)),0,VLOOKUP($A873,'13. Updated Demand'!A:Z,21,FALSE))</f>
        <v>0</v>
      </c>
      <c r="AE873" s="16">
        <f>IF(ISERROR(VLOOKUP($A873,'13. Updated Demand'!A:Z,22,FALSE)),0,VLOOKUP($A873,'13. Updated Demand'!A:Z,22,FALSE))</f>
        <v>0</v>
      </c>
      <c r="AF873" s="16">
        <f>IF(ISERROR(VLOOKUP($A873,'13. Updated Demand'!A:Z,23,FALSE)),0,VLOOKUP($A873,'13. Updated Demand'!A:Z,23,FALSE))</f>
        <v>0</v>
      </c>
      <c r="AG873" s="16">
        <f>IF(ISERROR(VLOOKUP($A873,'13. Updated Demand'!A:Z,24,FALSE)),0,VLOOKUP($A873,'13. Updated Demand'!A:Z,24,FALSE))</f>
        <v>0</v>
      </c>
      <c r="AH873" s="16">
        <f>IF(ISERROR(VLOOKUP($A873,'13. Updated Demand'!A:Z,25,FALSE)),0,VLOOKUP($A873,'13. Updated Demand'!A:Z,25,FALSE))</f>
        <v>0</v>
      </c>
      <c r="AI873" s="16">
        <f>IF(ISERROR(VLOOKUP($A873,'13. Updated Demand'!A:Z,26,FALSE)),0,VLOOKUP($A873,'13. Updated Demand'!A:Z,26,FALSE))</f>
        <v>0</v>
      </c>
      <c r="AJ873" s="16">
        <f t="shared" si="168"/>
        <v>0</v>
      </c>
      <c r="AK873" s="19">
        <v>0</v>
      </c>
      <c r="AL873" s="16">
        <f t="shared" si="166"/>
        <v>0</v>
      </c>
      <c r="AM873" s="17">
        <v>0</v>
      </c>
      <c r="AN873" s="19"/>
      <c r="AO873" s="19"/>
      <c r="AP873" s="19">
        <v>5</v>
      </c>
      <c r="AQ873" s="19" t="s">
        <v>307</v>
      </c>
      <c r="AR873" s="9" t="s">
        <v>391</v>
      </c>
      <c r="AS873" s="12">
        <v>0</v>
      </c>
      <c r="AT873" s="19">
        <v>38.519893170000003</v>
      </c>
      <c r="AU873" s="19">
        <v>-122.81197902</v>
      </c>
      <c r="AV873" s="19" t="s">
        <v>1257</v>
      </c>
    </row>
    <row r="874" spans="1:48" x14ac:dyDescent="0.25">
      <c r="A874" s="18" t="s">
        <v>1258</v>
      </c>
      <c r="B874" s="10">
        <v>19660713</v>
      </c>
      <c r="C874" s="9">
        <v>21</v>
      </c>
      <c r="D874" s="8" t="str">
        <f t="shared" si="157"/>
        <v>N</v>
      </c>
      <c r="E874" s="8" t="str">
        <f t="shared" si="158"/>
        <v>N</v>
      </c>
      <c r="F874" s="8" t="str">
        <f t="shared" si="159"/>
        <v>N</v>
      </c>
      <c r="G874" s="8" t="str">
        <f t="shared" si="160"/>
        <v>N</v>
      </c>
      <c r="H874" s="8" t="str">
        <f t="shared" si="161"/>
        <v>Lower</v>
      </c>
      <c r="I874" s="8" t="str">
        <f t="shared" si="162"/>
        <v>Outside</v>
      </c>
      <c r="J874" s="8" t="str">
        <f t="shared" si="163"/>
        <v>Outside</v>
      </c>
      <c r="K874" s="8" t="str">
        <f t="shared" si="164"/>
        <v>Post-1949</v>
      </c>
      <c r="L874" s="8">
        <f t="shared" si="165"/>
        <v>1966</v>
      </c>
      <c r="M874" s="8" t="str">
        <f t="shared" si="167"/>
        <v>1960-1970</v>
      </c>
      <c r="N874" s="10" t="s">
        <v>242</v>
      </c>
      <c r="O874" s="10" t="s">
        <v>242</v>
      </c>
      <c r="P874" s="10" t="s">
        <v>242</v>
      </c>
      <c r="Q874" s="10" t="s">
        <v>242</v>
      </c>
      <c r="R874" s="10" t="s">
        <v>241</v>
      </c>
      <c r="S874" s="10" t="s">
        <v>242</v>
      </c>
      <c r="T874" s="10" t="s">
        <v>242</v>
      </c>
      <c r="U874" s="10" t="s">
        <v>242</v>
      </c>
      <c r="V874" s="10" t="s">
        <v>242</v>
      </c>
      <c r="W874" s="10" t="s">
        <v>242</v>
      </c>
      <c r="X874" s="15">
        <f>IF(ISERROR(VLOOKUP($A874,'13. Updated Demand'!A:Z,15,FALSE)),0,VLOOKUP($A874,'13. Updated Demand'!A:Z,15,FALSE))</f>
        <v>5.2400000000000002E-2</v>
      </c>
      <c r="Y874" s="16">
        <f>IF(ISERROR(VLOOKUP($A874,'13. Updated Demand'!A:Z,16,FALSE)),0,VLOOKUP($A874,'13. Updated Demand'!A:Z,16,FALSE))</f>
        <v>4.6866667000000001E-2</v>
      </c>
      <c r="Z874" s="16">
        <f>IF(ISERROR(VLOOKUP($A874,'13. Updated Demand'!A:Z,17,FALSE)),0,VLOOKUP($A874,'13. Updated Demand'!A:Z,17,FALSE))</f>
        <v>4.2766667000000001E-2</v>
      </c>
      <c r="AA874" s="16">
        <f>IF(ISERROR(VLOOKUP($A874,'13. Updated Demand'!A:Z,18,FALSE)),0,VLOOKUP($A874,'13. Updated Demand'!A:Z,18,FALSE))</f>
        <v>5.3499999999999999E-2</v>
      </c>
      <c r="AB874" s="16">
        <f>IF(ISERROR(VLOOKUP($A874,'13. Updated Demand'!A:Z,19,FALSE)),0,VLOOKUP($A874,'13. Updated Demand'!A:Z,19,FALSE))</f>
        <v>0.19066666700000001</v>
      </c>
      <c r="AC874" s="16">
        <f>IF(ISERROR(VLOOKUP($A874,'13. Updated Demand'!A:Z,20,FALSE)),0,VLOOKUP($A874,'13. Updated Demand'!A:Z,20,FALSE))</f>
        <v>0.27253333299999999</v>
      </c>
      <c r="AD874" s="16">
        <f>IF(ISERROR(VLOOKUP($A874,'13. Updated Demand'!A:Z,21,FALSE)),0,VLOOKUP($A874,'13. Updated Demand'!A:Z,21,FALSE))</f>
        <v>0.31263333300000001</v>
      </c>
      <c r="AE874" s="16">
        <f>IF(ISERROR(VLOOKUP($A874,'13. Updated Demand'!A:Z,22,FALSE)),0,VLOOKUP($A874,'13. Updated Demand'!A:Z,22,FALSE))</f>
        <v>0.30270000000000002</v>
      </c>
      <c r="AF874" s="16">
        <f>IF(ISERROR(VLOOKUP($A874,'13. Updated Demand'!A:Z,23,FALSE)),0,VLOOKUP($A874,'13. Updated Demand'!A:Z,23,FALSE))</f>
        <v>0.35373333299999998</v>
      </c>
      <c r="AG874" s="16">
        <f>IF(ISERROR(VLOOKUP($A874,'13. Updated Demand'!A:Z,24,FALSE)),0,VLOOKUP($A874,'13. Updated Demand'!A:Z,24,FALSE))</f>
        <v>0.19723333300000001</v>
      </c>
      <c r="AH874" s="16">
        <f>IF(ISERROR(VLOOKUP($A874,'13. Updated Demand'!A:Z,25,FALSE)),0,VLOOKUP($A874,'13. Updated Demand'!A:Z,25,FALSE))</f>
        <v>0.143633333</v>
      </c>
      <c r="AI874" s="16">
        <f>IF(ISERROR(VLOOKUP($A874,'13. Updated Demand'!A:Z,26,FALSE)),0,VLOOKUP($A874,'13. Updated Demand'!A:Z,26,FALSE))</f>
        <v>6.7400000000000002E-2</v>
      </c>
      <c r="AJ874" s="16">
        <f t="shared" si="168"/>
        <v>2.036066666</v>
      </c>
      <c r="AK874" s="19">
        <v>1.4322666659999999</v>
      </c>
      <c r="AL874" s="16">
        <f t="shared" si="166"/>
        <v>4.7506653806170564E-3</v>
      </c>
      <c r="AM874" s="17">
        <v>0.20360666659999999</v>
      </c>
      <c r="AN874" s="19"/>
      <c r="AO874" s="19"/>
      <c r="AP874" s="19">
        <v>10</v>
      </c>
      <c r="AQ874" s="19" t="s">
        <v>307</v>
      </c>
      <c r="AR874" s="9" t="s">
        <v>403</v>
      </c>
      <c r="AS874" s="12">
        <v>3.4039024194010059E-4</v>
      </c>
      <c r="AT874" s="19">
        <v>38.431615059999999</v>
      </c>
      <c r="AU874" s="19">
        <v>-122.9750746</v>
      </c>
      <c r="AV874" s="19" t="s">
        <v>417</v>
      </c>
    </row>
    <row r="875" spans="1:48" x14ac:dyDescent="0.25">
      <c r="A875" s="18" t="s">
        <v>1259</v>
      </c>
      <c r="B875" s="10">
        <v>19660921</v>
      </c>
      <c r="C875" s="9">
        <v>23</v>
      </c>
      <c r="D875" s="8" t="str">
        <f t="shared" si="157"/>
        <v>N</v>
      </c>
      <c r="E875" s="8" t="str">
        <f t="shared" si="158"/>
        <v>N</v>
      </c>
      <c r="F875" s="8" t="str">
        <f t="shared" si="159"/>
        <v>N</v>
      </c>
      <c r="G875" s="8" t="str">
        <f t="shared" si="160"/>
        <v>N</v>
      </c>
      <c r="H875" s="8" t="str">
        <f t="shared" si="161"/>
        <v>Lower</v>
      </c>
      <c r="I875" s="8" t="str">
        <f t="shared" si="162"/>
        <v>Outside</v>
      </c>
      <c r="J875" s="8" t="str">
        <f t="shared" si="163"/>
        <v>Outside</v>
      </c>
      <c r="K875" s="8" t="str">
        <f t="shared" si="164"/>
        <v>Post-1949</v>
      </c>
      <c r="L875" s="8">
        <f t="shared" si="165"/>
        <v>1966</v>
      </c>
      <c r="M875" s="8" t="str">
        <f t="shared" si="167"/>
        <v>1960-1970</v>
      </c>
      <c r="N875" s="10" t="s">
        <v>242</v>
      </c>
      <c r="O875" s="10" t="s">
        <v>242</v>
      </c>
      <c r="P875" s="10" t="s">
        <v>242</v>
      </c>
      <c r="Q875" s="10" t="s">
        <v>242</v>
      </c>
      <c r="R875" s="10" t="s">
        <v>241</v>
      </c>
      <c r="S875" s="10" t="s">
        <v>242</v>
      </c>
      <c r="T875" s="10" t="s">
        <v>242</v>
      </c>
      <c r="U875" s="10" t="s">
        <v>241</v>
      </c>
      <c r="V875" s="10" t="s">
        <v>241</v>
      </c>
      <c r="W875" s="10" t="s">
        <v>242</v>
      </c>
      <c r="X875" s="15">
        <f>IF(ISERROR(VLOOKUP($A875,'13. Updated Demand'!A:Z,15,FALSE)),0,VLOOKUP($A875,'13. Updated Demand'!A:Z,15,FALSE))</f>
        <v>0</v>
      </c>
      <c r="Y875" s="16">
        <f>IF(ISERROR(VLOOKUP($A875,'13. Updated Demand'!A:Z,16,FALSE)),0,VLOOKUP($A875,'13. Updated Demand'!A:Z,16,FALSE))</f>
        <v>0</v>
      </c>
      <c r="Z875" s="16">
        <f>IF(ISERROR(VLOOKUP($A875,'13. Updated Demand'!A:Z,17,FALSE)),0,VLOOKUP($A875,'13. Updated Demand'!A:Z,17,FALSE))</f>
        <v>0</v>
      </c>
      <c r="AA875" s="16">
        <f>IF(ISERROR(VLOOKUP($A875,'13. Updated Demand'!A:Z,18,FALSE)),0,VLOOKUP($A875,'13. Updated Demand'!A:Z,18,FALSE))</f>
        <v>0</v>
      </c>
      <c r="AB875" s="16">
        <f>IF(ISERROR(VLOOKUP($A875,'13. Updated Demand'!A:Z,19,FALSE)),0,VLOOKUP($A875,'13. Updated Demand'!A:Z,19,FALSE))</f>
        <v>0</v>
      </c>
      <c r="AC875" s="16">
        <f>IF(ISERROR(VLOOKUP($A875,'13. Updated Demand'!A:Z,20,FALSE)),0,VLOOKUP($A875,'13. Updated Demand'!A:Z,20,FALSE))</f>
        <v>0</v>
      </c>
      <c r="AD875" s="16">
        <f>IF(ISERROR(VLOOKUP($A875,'13. Updated Demand'!A:Z,21,FALSE)),0,VLOOKUP($A875,'13. Updated Demand'!A:Z,21,FALSE))</f>
        <v>0</v>
      </c>
      <c r="AE875" s="16">
        <f>IF(ISERROR(VLOOKUP($A875,'13. Updated Demand'!A:Z,22,FALSE)),0,VLOOKUP($A875,'13. Updated Demand'!A:Z,22,FALSE))</f>
        <v>0</v>
      </c>
      <c r="AF875" s="16">
        <f>IF(ISERROR(VLOOKUP($A875,'13. Updated Demand'!A:Z,23,FALSE)),0,VLOOKUP($A875,'13. Updated Demand'!A:Z,23,FALSE))</f>
        <v>0</v>
      </c>
      <c r="AG875" s="16">
        <f>IF(ISERROR(VLOOKUP($A875,'13. Updated Demand'!A:Z,24,FALSE)),0,VLOOKUP($A875,'13. Updated Demand'!A:Z,24,FALSE))</f>
        <v>0</v>
      </c>
      <c r="AH875" s="16">
        <f>IF(ISERROR(VLOOKUP($A875,'13. Updated Demand'!A:Z,25,FALSE)),0,VLOOKUP($A875,'13. Updated Demand'!A:Z,25,FALSE))</f>
        <v>0</v>
      </c>
      <c r="AI875" s="16">
        <f>IF(ISERROR(VLOOKUP($A875,'13. Updated Demand'!A:Z,26,FALSE)),0,VLOOKUP($A875,'13. Updated Demand'!A:Z,26,FALSE))</f>
        <v>0</v>
      </c>
      <c r="AJ875" s="16">
        <f t="shared" si="168"/>
        <v>0</v>
      </c>
      <c r="AK875" s="19">
        <v>0</v>
      </c>
      <c r="AL875" s="16">
        <f t="shared" si="166"/>
        <v>0</v>
      </c>
      <c r="AM875" s="17">
        <v>0</v>
      </c>
      <c r="AN875" s="19"/>
      <c r="AO875" s="19"/>
      <c r="AP875" s="19">
        <v>12</v>
      </c>
      <c r="AQ875" s="19" t="s">
        <v>307</v>
      </c>
      <c r="AR875" s="9" t="s">
        <v>1118</v>
      </c>
      <c r="AS875" s="12">
        <v>0</v>
      </c>
      <c r="AT875" s="19">
        <v>38.464096410000003</v>
      </c>
      <c r="AU875" s="19">
        <v>-122.8574493</v>
      </c>
      <c r="AV875" s="19" t="s">
        <v>417</v>
      </c>
    </row>
    <row r="876" spans="1:48" x14ac:dyDescent="0.25">
      <c r="A876" s="18" t="s">
        <v>1260</v>
      </c>
      <c r="B876" s="10">
        <v>19661018</v>
      </c>
      <c r="C876" s="9">
        <v>8</v>
      </c>
      <c r="D876" s="8" t="str">
        <f t="shared" si="157"/>
        <v>N</v>
      </c>
      <c r="E876" s="8" t="str">
        <f t="shared" si="158"/>
        <v>Y</v>
      </c>
      <c r="F876" s="8" t="str">
        <f t="shared" si="159"/>
        <v>Y</v>
      </c>
      <c r="G876" s="8" t="str">
        <f t="shared" si="160"/>
        <v>Y</v>
      </c>
      <c r="H876" s="8" t="str">
        <f t="shared" si="161"/>
        <v>Upper</v>
      </c>
      <c r="I876" s="8" t="str">
        <f t="shared" si="162"/>
        <v>West Fork and Below Lake</v>
      </c>
      <c r="J876" s="8" t="str">
        <f t="shared" si="163"/>
        <v>Sonoma (d/s of Clov. Gage)</v>
      </c>
      <c r="K876" s="8" t="str">
        <f t="shared" si="164"/>
        <v>Post-1949</v>
      </c>
      <c r="L876" s="8">
        <f t="shared" si="165"/>
        <v>1966</v>
      </c>
      <c r="M876" s="8" t="str">
        <f t="shared" si="167"/>
        <v>1960-1970</v>
      </c>
      <c r="N876" s="10" t="s">
        <v>242</v>
      </c>
      <c r="O876" s="10" t="s">
        <v>241</v>
      </c>
      <c r="P876" s="10" t="s">
        <v>242</v>
      </c>
      <c r="Q876" s="10" t="s">
        <v>242</v>
      </c>
      <c r="R876" s="10" t="s">
        <v>241</v>
      </c>
      <c r="S876" s="10" t="s">
        <v>242</v>
      </c>
      <c r="T876" s="10" t="s">
        <v>242</v>
      </c>
      <c r="U876" s="10" t="s">
        <v>242</v>
      </c>
      <c r="V876" s="10" t="s">
        <v>242</v>
      </c>
      <c r="W876" s="10" t="s">
        <v>242</v>
      </c>
      <c r="X876" s="15">
        <f>IF(ISERROR(VLOOKUP($A876,'13. Updated Demand'!A:Z,15,FALSE)),0,VLOOKUP($A876,'13. Updated Demand'!A:Z,15,FALSE))</f>
        <v>0.09</v>
      </c>
      <c r="Y876" s="16">
        <f>IF(ISERROR(VLOOKUP($A876,'13. Updated Demand'!A:Z,16,FALSE)),0,VLOOKUP($A876,'13. Updated Demand'!A:Z,16,FALSE))</f>
        <v>0.09</v>
      </c>
      <c r="Z876" s="16">
        <f>IF(ISERROR(VLOOKUP($A876,'13. Updated Demand'!A:Z,17,FALSE)),0,VLOOKUP($A876,'13. Updated Demand'!A:Z,17,FALSE))</f>
        <v>0.09</v>
      </c>
      <c r="AA876" s="16">
        <f>IF(ISERROR(VLOOKUP($A876,'13. Updated Demand'!A:Z,18,FALSE)),0,VLOOKUP($A876,'13. Updated Demand'!A:Z,18,FALSE))</f>
        <v>0.09</v>
      </c>
      <c r="AB876" s="16">
        <f>IF(ISERROR(VLOOKUP($A876,'13. Updated Demand'!A:Z,19,FALSE)),0,VLOOKUP($A876,'13. Updated Demand'!A:Z,19,FALSE))</f>
        <v>0.09</v>
      </c>
      <c r="AC876" s="16">
        <f>IF(ISERROR(VLOOKUP($A876,'13. Updated Demand'!A:Z,20,FALSE)),0,VLOOKUP($A876,'13. Updated Demand'!A:Z,20,FALSE))</f>
        <v>0.09</v>
      </c>
      <c r="AD876" s="16">
        <f>IF(ISERROR(VLOOKUP($A876,'13. Updated Demand'!A:Z,21,FALSE)),0,VLOOKUP($A876,'13. Updated Demand'!A:Z,21,FALSE))</f>
        <v>0.09</v>
      </c>
      <c r="AE876" s="16">
        <f>IF(ISERROR(VLOOKUP($A876,'13. Updated Demand'!A:Z,22,FALSE)),0,VLOOKUP($A876,'13. Updated Demand'!A:Z,22,FALSE))</f>
        <v>0.09</v>
      </c>
      <c r="AF876" s="16">
        <f>IF(ISERROR(VLOOKUP($A876,'13. Updated Demand'!A:Z,23,FALSE)),0,VLOOKUP($A876,'13. Updated Demand'!A:Z,23,FALSE))</f>
        <v>0.09</v>
      </c>
      <c r="AG876" s="16">
        <f>IF(ISERROR(VLOOKUP($A876,'13. Updated Demand'!A:Z,24,FALSE)),0,VLOOKUP($A876,'13. Updated Demand'!A:Z,24,FALSE))</f>
        <v>0.09</v>
      </c>
      <c r="AH876" s="16">
        <f>IF(ISERROR(VLOOKUP($A876,'13. Updated Demand'!A:Z,25,FALSE)),0,VLOOKUP($A876,'13. Updated Demand'!A:Z,25,FALSE))</f>
        <v>0.09</v>
      </c>
      <c r="AI876" s="16">
        <f>IF(ISERROR(VLOOKUP($A876,'13. Updated Demand'!A:Z,26,FALSE)),0,VLOOKUP($A876,'13. Updated Demand'!A:Z,26,FALSE))</f>
        <v>0.09</v>
      </c>
      <c r="AJ876" s="16">
        <f t="shared" si="168"/>
        <v>1.0799999999999998</v>
      </c>
      <c r="AK876" s="19">
        <v>0.46033499999999999</v>
      </c>
      <c r="AL876" s="16">
        <f t="shared" si="166"/>
        <v>1.5268787579158481E-3</v>
      </c>
      <c r="AM876" s="17">
        <v>2.5456313364055298E-2</v>
      </c>
      <c r="AN876" s="19"/>
      <c r="AO876" s="19"/>
      <c r="AP876" s="19">
        <v>43.4</v>
      </c>
      <c r="AQ876" s="19" t="s">
        <v>307</v>
      </c>
      <c r="AR876" s="9" t="s">
        <v>409</v>
      </c>
      <c r="AS876" s="12">
        <v>3.4039024194010059E-4</v>
      </c>
      <c r="AT876" s="19">
        <v>38.862779230000001</v>
      </c>
      <c r="AU876" s="19">
        <v>-122.86225619</v>
      </c>
      <c r="AV876" s="19" t="s">
        <v>430</v>
      </c>
    </row>
    <row r="877" spans="1:48" x14ac:dyDescent="0.25">
      <c r="A877" s="18" t="s">
        <v>1261</v>
      </c>
      <c r="B877" s="10">
        <v>19661018</v>
      </c>
      <c r="C877" s="9">
        <v>6</v>
      </c>
      <c r="D877" s="8" t="str">
        <f t="shared" si="157"/>
        <v>Y</v>
      </c>
      <c r="E877" s="8" t="str">
        <f t="shared" si="158"/>
        <v>N</v>
      </c>
      <c r="F877" s="8" t="str">
        <f t="shared" si="159"/>
        <v>Y</v>
      </c>
      <c r="G877" s="8" t="str">
        <f t="shared" si="160"/>
        <v>Y</v>
      </c>
      <c r="H877" s="8" t="str">
        <f t="shared" si="161"/>
        <v>Upper</v>
      </c>
      <c r="I877" s="8" t="str">
        <f t="shared" si="162"/>
        <v>West Fork and Below Lake</v>
      </c>
      <c r="J877" s="8" t="str">
        <f t="shared" si="163"/>
        <v>Mendocino (d/s of lake)</v>
      </c>
      <c r="K877" s="8" t="str">
        <f t="shared" si="164"/>
        <v>Post-1949</v>
      </c>
      <c r="L877" s="8">
        <f t="shared" si="165"/>
        <v>1966</v>
      </c>
      <c r="M877" s="8" t="str">
        <f t="shared" si="167"/>
        <v>1960-1970</v>
      </c>
      <c r="N877" s="10" t="s">
        <v>242</v>
      </c>
      <c r="O877" s="10" t="s">
        <v>241</v>
      </c>
      <c r="P877" s="10" t="s">
        <v>242</v>
      </c>
      <c r="Q877" s="10" t="s">
        <v>242</v>
      </c>
      <c r="R877" s="10" t="s">
        <v>241</v>
      </c>
      <c r="S877" s="10" t="s">
        <v>242</v>
      </c>
      <c r="T877" s="10" t="s">
        <v>242</v>
      </c>
      <c r="U877" s="10" t="s">
        <v>242</v>
      </c>
      <c r="V877" s="10" t="s">
        <v>242</v>
      </c>
      <c r="W877" s="10" t="s">
        <v>242</v>
      </c>
      <c r="X877" s="15">
        <f>IF(ISERROR(VLOOKUP($A877,'13. Updated Demand'!A:Z,15,FALSE)),0,VLOOKUP($A877,'13. Updated Demand'!A:Z,15,FALSE))</f>
        <v>0.21</v>
      </c>
      <c r="Y877" s="16">
        <f>IF(ISERROR(VLOOKUP($A877,'13. Updated Demand'!A:Z,16,FALSE)),0,VLOOKUP($A877,'13. Updated Demand'!A:Z,16,FALSE))</f>
        <v>0.21</v>
      </c>
      <c r="Z877" s="16">
        <f>IF(ISERROR(VLOOKUP($A877,'13. Updated Demand'!A:Z,17,FALSE)),0,VLOOKUP($A877,'13. Updated Demand'!A:Z,17,FALSE))</f>
        <v>0.21</v>
      </c>
      <c r="AA877" s="16">
        <f>IF(ISERROR(VLOOKUP($A877,'13. Updated Demand'!A:Z,18,FALSE)),0,VLOOKUP($A877,'13. Updated Demand'!A:Z,18,FALSE))</f>
        <v>0.21</v>
      </c>
      <c r="AB877" s="16">
        <f>IF(ISERROR(VLOOKUP($A877,'13. Updated Demand'!A:Z,19,FALSE)),0,VLOOKUP($A877,'13. Updated Demand'!A:Z,19,FALSE))</f>
        <v>0.21</v>
      </c>
      <c r="AC877" s="16">
        <f>IF(ISERROR(VLOOKUP($A877,'13. Updated Demand'!A:Z,20,FALSE)),0,VLOOKUP($A877,'13. Updated Demand'!A:Z,20,FALSE))</f>
        <v>0.22</v>
      </c>
      <c r="AD877" s="16">
        <f>IF(ISERROR(VLOOKUP($A877,'13. Updated Demand'!A:Z,21,FALSE)),0,VLOOKUP($A877,'13. Updated Demand'!A:Z,21,FALSE))</f>
        <v>0.21</v>
      </c>
      <c r="AE877" s="16">
        <f>IF(ISERROR(VLOOKUP($A877,'13. Updated Demand'!A:Z,22,FALSE)),0,VLOOKUP($A877,'13. Updated Demand'!A:Z,22,FALSE))</f>
        <v>0.21</v>
      </c>
      <c r="AF877" s="16">
        <f>IF(ISERROR(VLOOKUP($A877,'13. Updated Demand'!A:Z,23,FALSE)),0,VLOOKUP($A877,'13. Updated Demand'!A:Z,23,FALSE))</f>
        <v>0.21</v>
      </c>
      <c r="AG877" s="16">
        <f>IF(ISERROR(VLOOKUP($A877,'13. Updated Demand'!A:Z,24,FALSE)),0,VLOOKUP($A877,'13. Updated Demand'!A:Z,24,FALSE))</f>
        <v>0.21</v>
      </c>
      <c r="AH877" s="16">
        <f>IF(ISERROR(VLOOKUP($A877,'13. Updated Demand'!A:Z,25,FALSE)),0,VLOOKUP($A877,'13. Updated Demand'!A:Z,25,FALSE))</f>
        <v>0.21</v>
      </c>
      <c r="AI877" s="16">
        <f>IF(ISERROR(VLOOKUP($A877,'13. Updated Demand'!A:Z,26,FALSE)),0,VLOOKUP($A877,'13. Updated Demand'!A:Z,26,FALSE))</f>
        <v>0.21</v>
      </c>
      <c r="AJ877" s="16">
        <f t="shared" si="168"/>
        <v>2.5299999999999998</v>
      </c>
      <c r="AK877" s="19">
        <v>1.0873189990000001</v>
      </c>
      <c r="AL877" s="16">
        <f t="shared" si="166"/>
        <v>3.6065132624098178E-3</v>
      </c>
      <c r="AM877" s="17">
        <v>0.18507680928571427</v>
      </c>
      <c r="AN877" s="19"/>
      <c r="AO877" s="19"/>
      <c r="AP877" s="19">
        <v>14</v>
      </c>
      <c r="AQ877" s="19" t="s">
        <v>307</v>
      </c>
      <c r="AR877" s="9" t="s">
        <v>319</v>
      </c>
      <c r="AS877" s="12">
        <v>3.4039024194010059E-4</v>
      </c>
      <c r="AT877" s="19">
        <v>38.871444570000001</v>
      </c>
      <c r="AU877" s="19">
        <v>-122.8785196</v>
      </c>
      <c r="AV877" s="19" t="s">
        <v>1262</v>
      </c>
    </row>
    <row r="878" spans="1:48" x14ac:dyDescent="0.25">
      <c r="A878" s="18" t="s">
        <v>1263</v>
      </c>
      <c r="B878" s="10">
        <v>19661027</v>
      </c>
      <c r="C878" s="9">
        <v>8</v>
      </c>
      <c r="D878" s="8" t="str">
        <f t="shared" si="157"/>
        <v>N</v>
      </c>
      <c r="E878" s="8" t="str">
        <f t="shared" si="158"/>
        <v>Y</v>
      </c>
      <c r="F878" s="8" t="str">
        <f t="shared" si="159"/>
        <v>Y</v>
      </c>
      <c r="G878" s="8" t="str">
        <f t="shared" si="160"/>
        <v>Y</v>
      </c>
      <c r="H878" s="8" t="str">
        <f t="shared" si="161"/>
        <v>Upper</v>
      </c>
      <c r="I878" s="8" t="str">
        <f t="shared" si="162"/>
        <v>West Fork and Below Lake</v>
      </c>
      <c r="J878" s="8" t="str">
        <f t="shared" si="163"/>
        <v>Sonoma (d/s of Clov. Gage)</v>
      </c>
      <c r="K878" s="8" t="str">
        <f t="shared" si="164"/>
        <v>Post-1949</v>
      </c>
      <c r="L878" s="8">
        <f t="shared" si="165"/>
        <v>1966</v>
      </c>
      <c r="M878" s="8" t="str">
        <f t="shared" si="167"/>
        <v>1960-1970</v>
      </c>
      <c r="N878" s="10" t="s">
        <v>242</v>
      </c>
      <c r="O878" s="10" t="s">
        <v>241</v>
      </c>
      <c r="P878" s="10" t="s">
        <v>242</v>
      </c>
      <c r="Q878" s="10" t="s">
        <v>242</v>
      </c>
      <c r="R878" s="10" t="s">
        <v>241</v>
      </c>
      <c r="S878" s="10" t="s">
        <v>242</v>
      </c>
      <c r="T878" s="10" t="s">
        <v>242</v>
      </c>
      <c r="U878" s="10" t="s">
        <v>242</v>
      </c>
      <c r="V878" s="10" t="s">
        <v>242</v>
      </c>
      <c r="W878" s="10" t="s">
        <v>242</v>
      </c>
      <c r="X878" s="15">
        <f>IF(ISERROR(VLOOKUP($A878,'13. Updated Demand'!A:Z,15,FALSE)),0,VLOOKUP($A878,'13. Updated Demand'!A:Z,15,FALSE))</f>
        <v>0</v>
      </c>
      <c r="Y878" s="16">
        <f>IF(ISERROR(VLOOKUP($A878,'13. Updated Demand'!A:Z,16,FALSE)),0,VLOOKUP($A878,'13. Updated Demand'!A:Z,16,FALSE))</f>
        <v>0</v>
      </c>
      <c r="Z878" s="16">
        <f>IF(ISERROR(VLOOKUP($A878,'13. Updated Demand'!A:Z,17,FALSE)),0,VLOOKUP($A878,'13. Updated Demand'!A:Z,17,FALSE))</f>
        <v>0</v>
      </c>
      <c r="AA878" s="16">
        <f>IF(ISERROR(VLOOKUP($A878,'13. Updated Demand'!A:Z,18,FALSE)),0,VLOOKUP($A878,'13. Updated Demand'!A:Z,18,FALSE))</f>
        <v>0</v>
      </c>
      <c r="AB878" s="16">
        <f>IF(ISERROR(VLOOKUP($A878,'13. Updated Demand'!A:Z,19,FALSE)),0,VLOOKUP($A878,'13. Updated Demand'!A:Z,19,FALSE))</f>
        <v>0</v>
      </c>
      <c r="AC878" s="16">
        <f>IF(ISERROR(VLOOKUP($A878,'13. Updated Demand'!A:Z,20,FALSE)),0,VLOOKUP($A878,'13. Updated Demand'!A:Z,20,FALSE))</f>
        <v>2.0466700000000001E-4</v>
      </c>
      <c r="AD878" s="16">
        <f>IF(ISERROR(VLOOKUP($A878,'13. Updated Demand'!A:Z,21,FALSE)),0,VLOOKUP($A878,'13. Updated Demand'!A:Z,21,FALSE))</f>
        <v>6.1399999999999996E-4</v>
      </c>
      <c r="AE878" s="16">
        <f>IF(ISERROR(VLOOKUP($A878,'13. Updated Demand'!A:Z,22,FALSE)),0,VLOOKUP($A878,'13. Updated Demand'!A:Z,22,FALSE))</f>
        <v>2.0466700000000001E-4</v>
      </c>
      <c r="AF878" s="16">
        <f>IF(ISERROR(VLOOKUP($A878,'13. Updated Demand'!A:Z,23,FALSE)),0,VLOOKUP($A878,'13. Updated Demand'!A:Z,23,FALSE))</f>
        <v>2.0466700000000001E-4</v>
      </c>
      <c r="AG878" s="16">
        <f>IF(ISERROR(VLOOKUP($A878,'13. Updated Demand'!A:Z,24,FALSE)),0,VLOOKUP($A878,'13. Updated Demand'!A:Z,24,FALSE))</f>
        <v>2.0466700000000001E-4</v>
      </c>
      <c r="AH878" s="16">
        <f>IF(ISERROR(VLOOKUP($A878,'13. Updated Demand'!A:Z,25,FALSE)),0,VLOOKUP($A878,'13. Updated Demand'!A:Z,25,FALSE))</f>
        <v>0</v>
      </c>
      <c r="AI878" s="16">
        <f>IF(ISERROR(VLOOKUP($A878,'13. Updated Demand'!A:Z,26,FALSE)),0,VLOOKUP($A878,'13. Updated Demand'!A:Z,26,FALSE))</f>
        <v>0</v>
      </c>
      <c r="AJ878" s="16">
        <f t="shared" si="168"/>
        <v>1.4326679999999998E-3</v>
      </c>
      <c r="AK878" s="19">
        <v>1.2280009999999998E-3</v>
      </c>
      <c r="AL878" s="16">
        <f t="shared" si="166"/>
        <v>4.0731394345409734E-6</v>
      </c>
      <c r="AM878" s="17">
        <v>2.0466685714285712E-4</v>
      </c>
      <c r="AN878" s="19"/>
      <c r="AO878" s="19"/>
      <c r="AP878" s="19">
        <v>7</v>
      </c>
      <c r="AQ878" s="19" t="s">
        <v>307</v>
      </c>
      <c r="AR878" s="9" t="s">
        <v>409</v>
      </c>
      <c r="AS878" s="12">
        <v>0</v>
      </c>
      <c r="AT878" s="19">
        <v>38.847853180000001</v>
      </c>
      <c r="AU878" s="19">
        <v>-122.87541922</v>
      </c>
      <c r="AV878" s="19" t="s">
        <v>417</v>
      </c>
    </row>
    <row r="879" spans="1:48" x14ac:dyDescent="0.25">
      <c r="A879" s="18" t="s">
        <v>1264</v>
      </c>
      <c r="B879" s="10">
        <v>19661202</v>
      </c>
      <c r="C879" s="9">
        <v>6</v>
      </c>
      <c r="D879" s="8" t="str">
        <f t="shared" si="157"/>
        <v>Y</v>
      </c>
      <c r="E879" s="8" t="str">
        <f t="shared" si="158"/>
        <v>N</v>
      </c>
      <c r="F879" s="8" t="str">
        <f t="shared" si="159"/>
        <v>Y</v>
      </c>
      <c r="G879" s="8" t="str">
        <f t="shared" si="160"/>
        <v>Y</v>
      </c>
      <c r="H879" s="8" t="str">
        <f t="shared" si="161"/>
        <v>Upper</v>
      </c>
      <c r="I879" s="8" t="str">
        <f t="shared" si="162"/>
        <v>West Fork and Below Lake</v>
      </c>
      <c r="J879" s="8" t="str">
        <f t="shared" si="163"/>
        <v>Mendocino (d/s of lake)</v>
      </c>
      <c r="K879" s="8" t="str">
        <f t="shared" si="164"/>
        <v>Post-1949</v>
      </c>
      <c r="L879" s="8">
        <f t="shared" si="165"/>
        <v>1966</v>
      </c>
      <c r="M879" s="8" t="str">
        <f t="shared" si="167"/>
        <v>1960-1970</v>
      </c>
      <c r="N879" s="10" t="s">
        <v>242</v>
      </c>
      <c r="O879" s="10" t="s">
        <v>241</v>
      </c>
      <c r="P879" s="10" t="s">
        <v>242</v>
      </c>
      <c r="Q879" s="10" t="s">
        <v>242</v>
      </c>
      <c r="R879" s="10" t="s">
        <v>241</v>
      </c>
      <c r="S879" s="10" t="s">
        <v>242</v>
      </c>
      <c r="T879" s="10" t="s">
        <v>242</v>
      </c>
      <c r="U879" s="10" t="s">
        <v>242</v>
      </c>
      <c r="V879" s="10" t="s">
        <v>241</v>
      </c>
      <c r="W879" s="10" t="s">
        <v>242</v>
      </c>
      <c r="X879" s="15">
        <f>IF(ISERROR(VLOOKUP($A879,'13. Updated Demand'!A:Z,15,FALSE)),0,VLOOKUP($A879,'13. Updated Demand'!A:Z,15,FALSE))</f>
        <v>0</v>
      </c>
      <c r="Y879" s="16">
        <f>IF(ISERROR(VLOOKUP($A879,'13. Updated Demand'!A:Z,16,FALSE)),0,VLOOKUP($A879,'13. Updated Demand'!A:Z,16,FALSE))</f>
        <v>0.35</v>
      </c>
      <c r="Z879" s="16">
        <f>IF(ISERROR(VLOOKUP($A879,'13. Updated Demand'!A:Z,17,FALSE)),0,VLOOKUP($A879,'13. Updated Demand'!A:Z,17,FALSE))</f>
        <v>3.33</v>
      </c>
      <c r="AA879" s="16">
        <f>IF(ISERROR(VLOOKUP($A879,'13. Updated Demand'!A:Z,18,FALSE)),0,VLOOKUP($A879,'13. Updated Demand'!A:Z,18,FALSE))</f>
        <v>0</v>
      </c>
      <c r="AB879" s="16">
        <f>IF(ISERROR(VLOOKUP($A879,'13. Updated Demand'!A:Z,19,FALSE)),0,VLOOKUP($A879,'13. Updated Demand'!A:Z,19,FALSE))</f>
        <v>0</v>
      </c>
      <c r="AC879" s="16">
        <f>IF(ISERROR(VLOOKUP($A879,'13. Updated Demand'!A:Z,20,FALSE)),0,VLOOKUP($A879,'13. Updated Demand'!A:Z,20,FALSE))</f>
        <v>0</v>
      </c>
      <c r="AD879" s="16">
        <f>IF(ISERROR(VLOOKUP($A879,'13. Updated Demand'!A:Z,21,FALSE)),0,VLOOKUP($A879,'13. Updated Demand'!A:Z,21,FALSE))</f>
        <v>0</v>
      </c>
      <c r="AE879" s="16">
        <f>IF(ISERROR(VLOOKUP($A879,'13. Updated Demand'!A:Z,22,FALSE)),0,VLOOKUP($A879,'13. Updated Demand'!A:Z,22,FALSE))</f>
        <v>0</v>
      </c>
      <c r="AF879" s="16">
        <f>IF(ISERROR(VLOOKUP($A879,'13. Updated Demand'!A:Z,23,FALSE)),0,VLOOKUP($A879,'13. Updated Demand'!A:Z,23,FALSE))</f>
        <v>0</v>
      </c>
      <c r="AG879" s="16">
        <f>IF(ISERROR(VLOOKUP($A879,'13. Updated Demand'!A:Z,24,FALSE)),0,VLOOKUP($A879,'13. Updated Demand'!A:Z,24,FALSE))</f>
        <v>0</v>
      </c>
      <c r="AH879" s="16">
        <f>IF(ISERROR(VLOOKUP($A879,'13. Updated Demand'!A:Z,25,FALSE)),0,VLOOKUP($A879,'13. Updated Demand'!A:Z,25,FALSE))</f>
        <v>0</v>
      </c>
      <c r="AI879" s="16">
        <f>IF(ISERROR(VLOOKUP($A879,'13. Updated Demand'!A:Z,26,FALSE)),0,VLOOKUP($A879,'13. Updated Demand'!A:Z,26,FALSE))</f>
        <v>0</v>
      </c>
      <c r="AJ879" s="16">
        <f t="shared" si="168"/>
        <v>3.68</v>
      </c>
      <c r="AK879" s="19">
        <v>0</v>
      </c>
      <c r="AL879" s="16">
        <f t="shared" si="166"/>
        <v>0</v>
      </c>
      <c r="AM879" s="17">
        <v>0.12277777776666668</v>
      </c>
      <c r="AN879" s="19"/>
      <c r="AO879" s="19"/>
      <c r="AP879" s="19">
        <v>30</v>
      </c>
      <c r="AQ879" s="19" t="s">
        <v>307</v>
      </c>
      <c r="AR879" s="9" t="s">
        <v>319</v>
      </c>
      <c r="AS879" s="12">
        <v>0</v>
      </c>
      <c r="AT879" s="19">
        <v>38.965500079999998</v>
      </c>
      <c r="AU879" s="19">
        <v>-123.08896738</v>
      </c>
      <c r="AV879" s="19" t="s">
        <v>417</v>
      </c>
    </row>
    <row r="880" spans="1:48" x14ac:dyDescent="0.25">
      <c r="A880" s="18" t="s">
        <v>1265</v>
      </c>
      <c r="B880" s="10">
        <v>19661215</v>
      </c>
      <c r="C880" s="9">
        <v>14</v>
      </c>
      <c r="D880" s="8" t="str">
        <f t="shared" si="157"/>
        <v>N</v>
      </c>
      <c r="E880" s="8" t="str">
        <f t="shared" si="158"/>
        <v>N</v>
      </c>
      <c r="F880" s="8" t="str">
        <f t="shared" si="159"/>
        <v>N</v>
      </c>
      <c r="G880" s="8" t="str">
        <f t="shared" si="160"/>
        <v>N</v>
      </c>
      <c r="H880" s="8" t="str">
        <f t="shared" si="161"/>
        <v>Lower</v>
      </c>
      <c r="I880" s="8" t="str">
        <f t="shared" si="162"/>
        <v>Outside</v>
      </c>
      <c r="J880" s="8" t="str">
        <f t="shared" si="163"/>
        <v>Outside</v>
      </c>
      <c r="K880" s="8" t="str">
        <f t="shared" si="164"/>
        <v>Post-1949</v>
      </c>
      <c r="L880" s="8">
        <f t="shared" si="165"/>
        <v>1966</v>
      </c>
      <c r="M880" s="8" t="str">
        <f t="shared" si="167"/>
        <v>1960-1970</v>
      </c>
      <c r="N880" s="10" t="s">
        <v>242</v>
      </c>
      <c r="O880" s="10" t="s">
        <v>242</v>
      </c>
      <c r="P880" s="10" t="s">
        <v>242</v>
      </c>
      <c r="Q880" s="10" t="s">
        <v>242</v>
      </c>
      <c r="R880" s="10" t="s">
        <v>241</v>
      </c>
      <c r="S880" s="10" t="s">
        <v>242</v>
      </c>
      <c r="T880" s="10" t="s">
        <v>242</v>
      </c>
      <c r="U880" s="10" t="s">
        <v>241</v>
      </c>
      <c r="V880" s="10" t="s">
        <v>241</v>
      </c>
      <c r="W880" s="10" t="s">
        <v>242</v>
      </c>
      <c r="X880" s="15">
        <f>IF(ISERROR(VLOOKUP($A880,'13. Updated Demand'!A:Z,15,FALSE)),0,VLOOKUP($A880,'13. Updated Demand'!A:Z,15,FALSE))</f>
        <v>0</v>
      </c>
      <c r="Y880" s="16">
        <f>IF(ISERROR(VLOOKUP($A880,'13. Updated Demand'!A:Z,16,FALSE)),0,VLOOKUP($A880,'13. Updated Demand'!A:Z,16,FALSE))</f>
        <v>0</v>
      </c>
      <c r="Z880" s="16">
        <f>IF(ISERROR(VLOOKUP($A880,'13. Updated Demand'!A:Z,17,FALSE)),0,VLOOKUP($A880,'13. Updated Demand'!A:Z,17,FALSE))</f>
        <v>0</v>
      </c>
      <c r="AA880" s="16">
        <f>IF(ISERROR(VLOOKUP($A880,'13. Updated Demand'!A:Z,18,FALSE)),0,VLOOKUP($A880,'13. Updated Demand'!A:Z,18,FALSE))</f>
        <v>0</v>
      </c>
      <c r="AB880" s="16">
        <f>IF(ISERROR(VLOOKUP($A880,'13. Updated Demand'!A:Z,19,FALSE)),0,VLOOKUP($A880,'13. Updated Demand'!A:Z,19,FALSE))</f>
        <v>0</v>
      </c>
      <c r="AC880" s="16">
        <f>IF(ISERROR(VLOOKUP($A880,'13. Updated Demand'!A:Z,20,FALSE)),0,VLOOKUP($A880,'13. Updated Demand'!A:Z,20,FALSE))</f>
        <v>0</v>
      </c>
      <c r="AD880" s="16">
        <f>IF(ISERROR(VLOOKUP($A880,'13. Updated Demand'!A:Z,21,FALSE)),0,VLOOKUP($A880,'13. Updated Demand'!A:Z,21,FALSE))</f>
        <v>0</v>
      </c>
      <c r="AE880" s="16">
        <f>IF(ISERROR(VLOOKUP($A880,'13. Updated Demand'!A:Z,22,FALSE)),0,VLOOKUP($A880,'13. Updated Demand'!A:Z,22,FALSE))</f>
        <v>0</v>
      </c>
      <c r="AF880" s="16">
        <f>IF(ISERROR(VLOOKUP($A880,'13. Updated Demand'!A:Z,23,FALSE)),0,VLOOKUP($A880,'13. Updated Demand'!A:Z,23,FALSE))</f>
        <v>0</v>
      </c>
      <c r="AG880" s="16">
        <f>IF(ISERROR(VLOOKUP($A880,'13. Updated Demand'!A:Z,24,FALSE)),0,VLOOKUP($A880,'13. Updated Demand'!A:Z,24,FALSE))</f>
        <v>0</v>
      </c>
      <c r="AH880" s="16">
        <f>IF(ISERROR(VLOOKUP($A880,'13. Updated Demand'!A:Z,25,FALSE)),0,VLOOKUP($A880,'13. Updated Demand'!A:Z,25,FALSE))</f>
        <v>0</v>
      </c>
      <c r="AI880" s="16">
        <f>IF(ISERROR(VLOOKUP($A880,'13. Updated Demand'!A:Z,26,FALSE)),0,VLOOKUP($A880,'13. Updated Demand'!A:Z,26,FALSE))</f>
        <v>0</v>
      </c>
      <c r="AJ880" s="16">
        <f t="shared" si="168"/>
        <v>0</v>
      </c>
      <c r="AK880" s="19">
        <v>0</v>
      </c>
      <c r="AL880" s="16">
        <f t="shared" si="166"/>
        <v>0</v>
      </c>
      <c r="AM880" s="17">
        <v>0</v>
      </c>
      <c r="AN880" s="19"/>
      <c r="AO880" s="19"/>
      <c r="AP880" s="19">
        <v>14.2</v>
      </c>
      <c r="AQ880" s="19" t="s">
        <v>307</v>
      </c>
      <c r="AR880" s="9" t="s">
        <v>493</v>
      </c>
      <c r="AS880" s="12">
        <v>0</v>
      </c>
      <c r="AT880" s="19">
        <v>38.698076299999997</v>
      </c>
      <c r="AU880" s="19">
        <v>-122.96048374999999</v>
      </c>
      <c r="AV880" s="19" t="s">
        <v>701</v>
      </c>
    </row>
    <row r="881" spans="1:48" x14ac:dyDescent="0.25">
      <c r="A881" s="18" t="s">
        <v>1266</v>
      </c>
      <c r="B881" s="10">
        <v>19661220</v>
      </c>
      <c r="C881" s="9">
        <v>23</v>
      </c>
      <c r="D881" s="8" t="str">
        <f t="shared" si="157"/>
        <v>N</v>
      </c>
      <c r="E881" s="8" t="str">
        <f t="shared" si="158"/>
        <v>N</v>
      </c>
      <c r="F881" s="8" t="str">
        <f t="shared" si="159"/>
        <v>N</v>
      </c>
      <c r="G881" s="8" t="str">
        <f t="shared" si="160"/>
        <v>N</v>
      </c>
      <c r="H881" s="8" t="str">
        <f t="shared" si="161"/>
        <v>Lower</v>
      </c>
      <c r="I881" s="8" t="str">
        <f t="shared" si="162"/>
        <v>Outside</v>
      </c>
      <c r="J881" s="8" t="str">
        <f t="shared" si="163"/>
        <v>Outside</v>
      </c>
      <c r="K881" s="8" t="str">
        <f t="shared" si="164"/>
        <v>Post-1949</v>
      </c>
      <c r="L881" s="8">
        <f t="shared" si="165"/>
        <v>1966</v>
      </c>
      <c r="M881" s="8" t="str">
        <f t="shared" si="167"/>
        <v>1960-1970</v>
      </c>
      <c r="N881" s="10" t="s">
        <v>242</v>
      </c>
      <c r="O881" s="10" t="s">
        <v>242</v>
      </c>
      <c r="P881" s="10" t="s">
        <v>242</v>
      </c>
      <c r="Q881" s="10" t="s">
        <v>242</v>
      </c>
      <c r="R881" s="10" t="s">
        <v>241</v>
      </c>
      <c r="S881" s="10" t="s">
        <v>242</v>
      </c>
      <c r="T881" s="10" t="s">
        <v>242</v>
      </c>
      <c r="U881" s="10" t="s">
        <v>241</v>
      </c>
      <c r="V881" s="10" t="s">
        <v>241</v>
      </c>
      <c r="W881" s="10" t="s">
        <v>242</v>
      </c>
      <c r="X881" s="15">
        <f>IF(ISERROR(VLOOKUP($A881,'13. Updated Demand'!A:Z,15,FALSE)),0,VLOOKUP($A881,'13. Updated Demand'!A:Z,15,FALSE))</f>
        <v>0</v>
      </c>
      <c r="Y881" s="16">
        <f>IF(ISERROR(VLOOKUP($A881,'13. Updated Demand'!A:Z,16,FALSE)),0,VLOOKUP($A881,'13. Updated Demand'!A:Z,16,FALSE))</f>
        <v>0</v>
      </c>
      <c r="Z881" s="16">
        <f>IF(ISERROR(VLOOKUP($A881,'13. Updated Demand'!A:Z,17,FALSE)),0,VLOOKUP($A881,'13. Updated Demand'!A:Z,17,FALSE))</f>
        <v>0</v>
      </c>
      <c r="AA881" s="16">
        <f>IF(ISERROR(VLOOKUP($A881,'13. Updated Demand'!A:Z,18,FALSE)),0,VLOOKUP($A881,'13. Updated Demand'!A:Z,18,FALSE))</f>
        <v>0</v>
      </c>
      <c r="AB881" s="16">
        <f>IF(ISERROR(VLOOKUP($A881,'13. Updated Demand'!A:Z,19,FALSE)),0,VLOOKUP($A881,'13. Updated Demand'!A:Z,19,FALSE))</f>
        <v>0</v>
      </c>
      <c r="AC881" s="16">
        <f>IF(ISERROR(VLOOKUP($A881,'13. Updated Demand'!A:Z,20,FALSE)),0,VLOOKUP($A881,'13. Updated Demand'!A:Z,20,FALSE))</f>
        <v>0</v>
      </c>
      <c r="AD881" s="16">
        <f>IF(ISERROR(VLOOKUP($A881,'13. Updated Demand'!A:Z,21,FALSE)),0,VLOOKUP($A881,'13. Updated Demand'!A:Z,21,FALSE))</f>
        <v>0</v>
      </c>
      <c r="AE881" s="16">
        <f>IF(ISERROR(VLOOKUP($A881,'13. Updated Demand'!A:Z,22,FALSE)),0,VLOOKUP($A881,'13. Updated Demand'!A:Z,22,FALSE))</f>
        <v>0</v>
      </c>
      <c r="AF881" s="16">
        <f>IF(ISERROR(VLOOKUP($A881,'13. Updated Demand'!A:Z,23,FALSE)),0,VLOOKUP($A881,'13. Updated Demand'!A:Z,23,FALSE))</f>
        <v>0</v>
      </c>
      <c r="AG881" s="16">
        <f>IF(ISERROR(VLOOKUP($A881,'13. Updated Demand'!A:Z,24,FALSE)),0,VLOOKUP($A881,'13. Updated Demand'!A:Z,24,FALSE))</f>
        <v>0</v>
      </c>
      <c r="AH881" s="16">
        <f>IF(ISERROR(VLOOKUP($A881,'13. Updated Demand'!A:Z,25,FALSE)),0,VLOOKUP($A881,'13. Updated Demand'!A:Z,25,FALSE))</f>
        <v>0</v>
      </c>
      <c r="AI881" s="16">
        <f>IF(ISERROR(VLOOKUP($A881,'13. Updated Demand'!A:Z,26,FALSE)),0,VLOOKUP($A881,'13. Updated Demand'!A:Z,26,FALSE))</f>
        <v>0</v>
      </c>
      <c r="AJ881" s="16">
        <f t="shared" si="168"/>
        <v>0</v>
      </c>
      <c r="AK881" s="19">
        <v>0</v>
      </c>
      <c r="AL881" s="16">
        <f t="shared" si="166"/>
        <v>0</v>
      </c>
      <c r="AM881" s="17">
        <v>0</v>
      </c>
      <c r="AN881" s="19"/>
      <c r="AO881" s="19"/>
      <c r="AP881" s="19">
        <v>303</v>
      </c>
      <c r="AQ881" s="19" t="s">
        <v>307</v>
      </c>
      <c r="AR881" s="9" t="s">
        <v>1118</v>
      </c>
      <c r="AS881" s="12">
        <v>0</v>
      </c>
      <c r="AT881" s="19">
        <v>38.465330190000003</v>
      </c>
      <c r="AU881" s="19">
        <v>-122.83895246</v>
      </c>
      <c r="AV881" s="19" t="s">
        <v>735</v>
      </c>
    </row>
    <row r="882" spans="1:48" x14ac:dyDescent="0.25">
      <c r="A882" s="18" t="s">
        <v>1267</v>
      </c>
      <c r="B882" s="10">
        <v>19660201</v>
      </c>
      <c r="C882" s="9">
        <v>2</v>
      </c>
      <c r="D882" s="8" t="str">
        <f t="shared" si="157"/>
        <v>N</v>
      </c>
      <c r="E882" s="8" t="str">
        <f t="shared" si="158"/>
        <v>N</v>
      </c>
      <c r="F882" s="8" t="str">
        <f t="shared" si="159"/>
        <v>Y</v>
      </c>
      <c r="G882" s="8" t="str">
        <f t="shared" si="160"/>
        <v>N</v>
      </c>
      <c r="H882" s="8" t="str">
        <f t="shared" si="161"/>
        <v>Upper</v>
      </c>
      <c r="I882" s="8" t="str">
        <f t="shared" si="162"/>
        <v>Outside</v>
      </c>
      <c r="J882" s="8" t="str">
        <f t="shared" si="163"/>
        <v>Outside</v>
      </c>
      <c r="K882" s="8" t="str">
        <f t="shared" si="164"/>
        <v>Post-1949</v>
      </c>
      <c r="L882" s="8">
        <f t="shared" si="165"/>
        <v>1966</v>
      </c>
      <c r="M882" s="8" t="str">
        <f t="shared" si="167"/>
        <v>1960-1970</v>
      </c>
      <c r="N882" s="10" t="s">
        <v>242</v>
      </c>
      <c r="O882" s="10" t="s">
        <v>241</v>
      </c>
      <c r="P882" s="10" t="s">
        <v>242</v>
      </c>
      <c r="Q882" s="10" t="s">
        <v>242</v>
      </c>
      <c r="R882" s="10" t="s">
        <v>241</v>
      </c>
      <c r="S882" s="10" t="s">
        <v>242</v>
      </c>
      <c r="T882" s="10" t="s">
        <v>242</v>
      </c>
      <c r="U882" s="10" t="s">
        <v>242</v>
      </c>
      <c r="V882" s="10" t="s">
        <v>242</v>
      </c>
      <c r="W882" s="10" t="s">
        <v>242</v>
      </c>
      <c r="X882" s="15">
        <f>IF(ISERROR(VLOOKUP($A882,'13. Updated Demand'!A:Z,15,FALSE)),0,VLOOKUP($A882,'13. Updated Demand'!A:Z,15,FALSE))</f>
        <v>0</v>
      </c>
      <c r="Y882" s="16">
        <f>IF(ISERROR(VLOOKUP($A882,'13. Updated Demand'!A:Z,16,FALSE)),0,VLOOKUP($A882,'13. Updated Demand'!A:Z,16,FALSE))</f>
        <v>0</v>
      </c>
      <c r="Z882" s="16">
        <f>IF(ISERROR(VLOOKUP($A882,'13. Updated Demand'!A:Z,17,FALSE)),0,VLOOKUP($A882,'13. Updated Demand'!A:Z,17,FALSE))</f>
        <v>0</v>
      </c>
      <c r="AA882" s="16">
        <f>IF(ISERROR(VLOOKUP($A882,'13. Updated Demand'!A:Z,18,FALSE)),0,VLOOKUP($A882,'13. Updated Demand'!A:Z,18,FALSE))</f>
        <v>0</v>
      </c>
      <c r="AB882" s="16">
        <f>IF(ISERROR(VLOOKUP($A882,'13. Updated Demand'!A:Z,19,FALSE)),0,VLOOKUP($A882,'13. Updated Demand'!A:Z,19,FALSE))</f>
        <v>0.55000000000000004</v>
      </c>
      <c r="AC882" s="16">
        <f>IF(ISERROR(VLOOKUP($A882,'13. Updated Demand'!A:Z,20,FALSE)),0,VLOOKUP($A882,'13. Updated Demand'!A:Z,20,FALSE))</f>
        <v>6.9</v>
      </c>
      <c r="AD882" s="16">
        <f>IF(ISERROR(VLOOKUP($A882,'13. Updated Demand'!A:Z,21,FALSE)),0,VLOOKUP($A882,'13. Updated Demand'!A:Z,21,FALSE))</f>
        <v>9.1</v>
      </c>
      <c r="AE882" s="16">
        <f>IF(ISERROR(VLOOKUP($A882,'13. Updated Demand'!A:Z,22,FALSE)),0,VLOOKUP($A882,'13. Updated Demand'!A:Z,22,FALSE))</f>
        <v>3.58</v>
      </c>
      <c r="AF882" s="16">
        <f>IF(ISERROR(VLOOKUP($A882,'13. Updated Demand'!A:Z,23,FALSE)),0,VLOOKUP($A882,'13. Updated Demand'!A:Z,23,FALSE))</f>
        <v>3.81</v>
      </c>
      <c r="AG882" s="16">
        <f>IF(ISERROR(VLOOKUP($A882,'13. Updated Demand'!A:Z,24,FALSE)),0,VLOOKUP($A882,'13. Updated Demand'!A:Z,24,FALSE))</f>
        <v>7.26</v>
      </c>
      <c r="AH882" s="16">
        <f>IF(ISERROR(VLOOKUP($A882,'13. Updated Demand'!A:Z,25,FALSE)),0,VLOOKUP($A882,'13. Updated Demand'!A:Z,25,FALSE))</f>
        <v>0</v>
      </c>
      <c r="AI882" s="16">
        <f>IF(ISERROR(VLOOKUP($A882,'13. Updated Demand'!A:Z,26,FALSE)),0,VLOOKUP($A882,'13. Updated Demand'!A:Z,26,FALSE))</f>
        <v>0</v>
      </c>
      <c r="AJ882" s="16">
        <f t="shared" si="168"/>
        <v>31.200000000000003</v>
      </c>
      <c r="AK882" s="19">
        <v>23.966333333999998</v>
      </c>
      <c r="AL882" s="16">
        <f t="shared" si="166"/>
        <v>7.9493597646963843E-2</v>
      </c>
      <c r="AM882" s="17">
        <v>0.21687037037499998</v>
      </c>
      <c r="AN882" s="19"/>
      <c r="AO882" s="19"/>
      <c r="AP882" s="19">
        <v>144</v>
      </c>
      <c r="AQ882" s="19" t="s">
        <v>307</v>
      </c>
      <c r="AR882" s="9" t="s">
        <v>348</v>
      </c>
      <c r="AS882" s="12">
        <v>0</v>
      </c>
      <c r="AT882" s="19">
        <v>39.342800779999997</v>
      </c>
      <c r="AU882" s="19">
        <v>-123.11635611</v>
      </c>
      <c r="AV882" s="19" t="s">
        <v>542</v>
      </c>
    </row>
    <row r="883" spans="1:48" x14ac:dyDescent="0.25">
      <c r="A883" s="18" t="s">
        <v>1268</v>
      </c>
      <c r="B883" s="10">
        <v>19660329</v>
      </c>
      <c r="C883" s="9">
        <v>2</v>
      </c>
      <c r="D883" s="8" t="str">
        <f t="shared" si="157"/>
        <v>N</v>
      </c>
      <c r="E883" s="8" t="str">
        <f t="shared" si="158"/>
        <v>N</v>
      </c>
      <c r="F883" s="8" t="str">
        <f t="shared" si="159"/>
        <v>Y</v>
      </c>
      <c r="G883" s="8" t="str">
        <f t="shared" si="160"/>
        <v>N</v>
      </c>
      <c r="H883" s="8" t="str">
        <f t="shared" si="161"/>
        <v>Upper</v>
      </c>
      <c r="I883" s="8" t="str">
        <f t="shared" si="162"/>
        <v>Outside</v>
      </c>
      <c r="J883" s="8" t="str">
        <f t="shared" si="163"/>
        <v>Outside</v>
      </c>
      <c r="K883" s="8" t="str">
        <f t="shared" si="164"/>
        <v>Post-1949</v>
      </c>
      <c r="L883" s="8">
        <f t="shared" si="165"/>
        <v>1966</v>
      </c>
      <c r="M883" s="8" t="str">
        <f t="shared" si="167"/>
        <v>1960-1970</v>
      </c>
      <c r="N883" s="10" t="s">
        <v>242</v>
      </c>
      <c r="O883" s="10" t="s">
        <v>241</v>
      </c>
      <c r="P883" s="10" t="s">
        <v>242</v>
      </c>
      <c r="Q883" s="10" t="s">
        <v>242</v>
      </c>
      <c r="R883" s="10" t="s">
        <v>241</v>
      </c>
      <c r="S883" s="10" t="s">
        <v>242</v>
      </c>
      <c r="T883" s="10" t="s">
        <v>242</v>
      </c>
      <c r="U883" s="10" t="s">
        <v>241</v>
      </c>
      <c r="V883" s="10" t="s">
        <v>241</v>
      </c>
      <c r="W883" s="10" t="s">
        <v>242</v>
      </c>
      <c r="X883" s="15">
        <f>IF(ISERROR(VLOOKUP($A883,'13. Updated Demand'!A:Z,15,FALSE)),0,VLOOKUP($A883,'13. Updated Demand'!A:Z,15,FALSE))</f>
        <v>0</v>
      </c>
      <c r="Y883" s="16">
        <f>IF(ISERROR(VLOOKUP($A883,'13. Updated Demand'!A:Z,16,FALSE)),0,VLOOKUP($A883,'13. Updated Demand'!A:Z,16,FALSE))</f>
        <v>0</v>
      </c>
      <c r="Z883" s="16">
        <f>IF(ISERROR(VLOOKUP($A883,'13. Updated Demand'!A:Z,17,FALSE)),0,VLOOKUP($A883,'13. Updated Demand'!A:Z,17,FALSE))</f>
        <v>0</v>
      </c>
      <c r="AA883" s="16">
        <f>IF(ISERROR(VLOOKUP($A883,'13. Updated Demand'!A:Z,18,FALSE)),0,VLOOKUP($A883,'13. Updated Demand'!A:Z,18,FALSE))</f>
        <v>0</v>
      </c>
      <c r="AB883" s="16">
        <f>IF(ISERROR(VLOOKUP($A883,'13. Updated Demand'!A:Z,19,FALSE)),0,VLOOKUP($A883,'13. Updated Demand'!A:Z,19,FALSE))</f>
        <v>0</v>
      </c>
      <c r="AC883" s="16">
        <f>IF(ISERROR(VLOOKUP($A883,'13. Updated Demand'!A:Z,20,FALSE)),0,VLOOKUP($A883,'13. Updated Demand'!A:Z,20,FALSE))</f>
        <v>0</v>
      </c>
      <c r="AD883" s="16">
        <f>IF(ISERROR(VLOOKUP($A883,'13. Updated Demand'!A:Z,21,FALSE)),0,VLOOKUP($A883,'13. Updated Demand'!A:Z,21,FALSE))</f>
        <v>0</v>
      </c>
      <c r="AE883" s="16">
        <f>IF(ISERROR(VLOOKUP($A883,'13. Updated Demand'!A:Z,22,FALSE)),0,VLOOKUP($A883,'13. Updated Demand'!A:Z,22,FALSE))</f>
        <v>0</v>
      </c>
      <c r="AF883" s="16">
        <f>IF(ISERROR(VLOOKUP($A883,'13. Updated Demand'!A:Z,23,FALSE)),0,VLOOKUP($A883,'13. Updated Demand'!A:Z,23,FALSE))</f>
        <v>0</v>
      </c>
      <c r="AG883" s="16">
        <f>IF(ISERROR(VLOOKUP($A883,'13. Updated Demand'!A:Z,24,FALSE)),0,VLOOKUP($A883,'13. Updated Demand'!A:Z,24,FALSE))</f>
        <v>0</v>
      </c>
      <c r="AH883" s="16">
        <f>IF(ISERROR(VLOOKUP($A883,'13. Updated Demand'!A:Z,25,FALSE)),0,VLOOKUP($A883,'13. Updated Demand'!A:Z,25,FALSE))</f>
        <v>0</v>
      </c>
      <c r="AI883" s="16">
        <f>IF(ISERROR(VLOOKUP($A883,'13. Updated Demand'!A:Z,26,FALSE)),0,VLOOKUP($A883,'13. Updated Demand'!A:Z,26,FALSE))</f>
        <v>0</v>
      </c>
      <c r="AJ883" s="16">
        <f t="shared" si="168"/>
        <v>0</v>
      </c>
      <c r="AK883" s="19">
        <v>0</v>
      </c>
      <c r="AL883" s="16">
        <f t="shared" si="166"/>
        <v>0</v>
      </c>
      <c r="AM883" s="17">
        <v>0</v>
      </c>
      <c r="AN883" s="19"/>
      <c r="AO883" s="19"/>
      <c r="AP883" s="19">
        <v>11.9</v>
      </c>
      <c r="AQ883" s="19" t="s">
        <v>307</v>
      </c>
      <c r="AR883" s="9" t="s">
        <v>348</v>
      </c>
      <c r="AS883" s="12">
        <v>0</v>
      </c>
      <c r="AT883" s="19">
        <v>39.272913690000003</v>
      </c>
      <c r="AU883" s="19">
        <v>-123.10253365</v>
      </c>
      <c r="AV883" s="19" t="s">
        <v>417</v>
      </c>
    </row>
    <row r="884" spans="1:48" x14ac:dyDescent="0.25">
      <c r="A884" s="18" t="s">
        <v>1269</v>
      </c>
      <c r="B884" s="10">
        <v>19650205</v>
      </c>
      <c r="C884" s="9">
        <v>23</v>
      </c>
      <c r="D884" s="8" t="str">
        <f t="shared" si="157"/>
        <v>N</v>
      </c>
      <c r="E884" s="8" t="str">
        <f t="shared" si="158"/>
        <v>N</v>
      </c>
      <c r="F884" s="8" t="str">
        <f t="shared" si="159"/>
        <v>N</v>
      </c>
      <c r="G884" s="8" t="str">
        <f t="shared" si="160"/>
        <v>N</v>
      </c>
      <c r="H884" s="8" t="str">
        <f t="shared" si="161"/>
        <v>Lower</v>
      </c>
      <c r="I884" s="8" t="str">
        <f t="shared" si="162"/>
        <v>Outside</v>
      </c>
      <c r="J884" s="8" t="str">
        <f t="shared" si="163"/>
        <v>Outside</v>
      </c>
      <c r="K884" s="8" t="str">
        <f t="shared" si="164"/>
        <v>Post-1949</v>
      </c>
      <c r="L884" s="8">
        <f t="shared" si="165"/>
        <v>1965</v>
      </c>
      <c r="M884" s="8" t="str">
        <f t="shared" si="167"/>
        <v>1960-1970</v>
      </c>
      <c r="N884" s="10" t="s">
        <v>242</v>
      </c>
      <c r="O884" s="10" t="s">
        <v>242</v>
      </c>
      <c r="P884" s="10" t="s">
        <v>242</v>
      </c>
      <c r="Q884" s="10" t="s">
        <v>242</v>
      </c>
      <c r="R884" s="10" t="s">
        <v>241</v>
      </c>
      <c r="S884" s="10" t="s">
        <v>242</v>
      </c>
      <c r="T884" s="10" t="s">
        <v>242</v>
      </c>
      <c r="U884" s="10" t="s">
        <v>241</v>
      </c>
      <c r="V884" s="10" t="s">
        <v>241</v>
      </c>
      <c r="W884" s="10" t="s">
        <v>242</v>
      </c>
      <c r="X884" s="15">
        <f>IF(ISERROR(VLOOKUP($A884,'13. Updated Demand'!A:Z,15,FALSE)),0,VLOOKUP($A884,'13. Updated Demand'!A:Z,15,FALSE))</f>
        <v>0</v>
      </c>
      <c r="Y884" s="16">
        <f>IF(ISERROR(VLOOKUP($A884,'13. Updated Demand'!A:Z,16,FALSE)),0,VLOOKUP($A884,'13. Updated Demand'!A:Z,16,FALSE))</f>
        <v>0</v>
      </c>
      <c r="Z884" s="16">
        <f>IF(ISERROR(VLOOKUP($A884,'13. Updated Demand'!A:Z,17,FALSE)),0,VLOOKUP($A884,'13. Updated Demand'!A:Z,17,FALSE))</f>
        <v>0</v>
      </c>
      <c r="AA884" s="16">
        <f>IF(ISERROR(VLOOKUP($A884,'13. Updated Demand'!A:Z,18,FALSE)),0,VLOOKUP($A884,'13. Updated Demand'!A:Z,18,FALSE))</f>
        <v>0</v>
      </c>
      <c r="AB884" s="16">
        <f>IF(ISERROR(VLOOKUP($A884,'13. Updated Demand'!A:Z,19,FALSE)),0,VLOOKUP($A884,'13. Updated Demand'!A:Z,19,FALSE))</f>
        <v>0</v>
      </c>
      <c r="AC884" s="16">
        <f>IF(ISERROR(VLOOKUP($A884,'13. Updated Demand'!A:Z,20,FALSE)),0,VLOOKUP($A884,'13. Updated Demand'!A:Z,20,FALSE))</f>
        <v>0</v>
      </c>
      <c r="AD884" s="16">
        <f>IF(ISERROR(VLOOKUP($A884,'13. Updated Demand'!A:Z,21,FALSE)),0,VLOOKUP($A884,'13. Updated Demand'!A:Z,21,FALSE))</f>
        <v>0</v>
      </c>
      <c r="AE884" s="16">
        <f>IF(ISERROR(VLOOKUP($A884,'13. Updated Demand'!A:Z,22,FALSE)),0,VLOOKUP($A884,'13. Updated Demand'!A:Z,22,FALSE))</f>
        <v>0</v>
      </c>
      <c r="AF884" s="16">
        <f>IF(ISERROR(VLOOKUP($A884,'13. Updated Demand'!A:Z,23,FALSE)),0,VLOOKUP($A884,'13. Updated Demand'!A:Z,23,FALSE))</f>
        <v>0</v>
      </c>
      <c r="AG884" s="16">
        <f>IF(ISERROR(VLOOKUP($A884,'13. Updated Demand'!A:Z,24,FALSE)),0,VLOOKUP($A884,'13. Updated Demand'!A:Z,24,FALSE))</f>
        <v>0</v>
      </c>
      <c r="AH884" s="16">
        <f>IF(ISERROR(VLOOKUP($A884,'13. Updated Demand'!A:Z,25,FALSE)),0,VLOOKUP($A884,'13. Updated Demand'!A:Z,25,FALSE))</f>
        <v>0</v>
      </c>
      <c r="AI884" s="16">
        <f>IF(ISERROR(VLOOKUP($A884,'13. Updated Demand'!A:Z,26,FALSE)),0,VLOOKUP($A884,'13. Updated Demand'!A:Z,26,FALSE))</f>
        <v>0</v>
      </c>
      <c r="AJ884" s="16">
        <f t="shared" si="168"/>
        <v>0</v>
      </c>
      <c r="AK884" s="19">
        <v>0</v>
      </c>
      <c r="AL884" s="16">
        <f t="shared" si="166"/>
        <v>0</v>
      </c>
      <c r="AM884" s="17">
        <v>0</v>
      </c>
      <c r="AN884" s="19"/>
      <c r="AO884" s="19"/>
      <c r="AP884" s="19">
        <v>5.6</v>
      </c>
      <c r="AQ884" s="19" t="s">
        <v>307</v>
      </c>
      <c r="AR884" s="9" t="s">
        <v>323</v>
      </c>
      <c r="AS884" s="12">
        <v>0</v>
      </c>
      <c r="AT884" s="19">
        <v>38.511362800000001</v>
      </c>
      <c r="AU884" s="19">
        <v>-122.63923253</v>
      </c>
      <c r="AV884" s="19" t="s">
        <v>735</v>
      </c>
    </row>
    <row r="885" spans="1:48" x14ac:dyDescent="0.25">
      <c r="A885" s="18" t="s">
        <v>1270</v>
      </c>
      <c r="B885" s="10">
        <v>19650310</v>
      </c>
      <c r="C885" s="9">
        <v>9</v>
      </c>
      <c r="D885" s="8" t="str">
        <f t="shared" si="157"/>
        <v>N</v>
      </c>
      <c r="E885" s="8" t="str">
        <f t="shared" si="158"/>
        <v>Y</v>
      </c>
      <c r="F885" s="8" t="str">
        <f t="shared" si="159"/>
        <v>Y</v>
      </c>
      <c r="G885" s="8" t="str">
        <f t="shared" si="160"/>
        <v>Y</v>
      </c>
      <c r="H885" s="8" t="str">
        <f t="shared" si="161"/>
        <v>Upper</v>
      </c>
      <c r="I885" s="8" t="str">
        <f t="shared" si="162"/>
        <v>West Fork and Below Lake</v>
      </c>
      <c r="J885" s="8" t="str">
        <f t="shared" si="163"/>
        <v>Sonoma (d/s of Clov. Gage)</v>
      </c>
      <c r="K885" s="8" t="str">
        <f t="shared" si="164"/>
        <v>Post-1949</v>
      </c>
      <c r="L885" s="8">
        <f t="shared" si="165"/>
        <v>1965</v>
      </c>
      <c r="M885" s="8" t="str">
        <f t="shared" si="167"/>
        <v>1960-1970</v>
      </c>
      <c r="N885" s="10" t="s">
        <v>242</v>
      </c>
      <c r="O885" s="10" t="s">
        <v>241</v>
      </c>
      <c r="P885" s="10" t="s">
        <v>242</v>
      </c>
      <c r="Q885" s="10" t="s">
        <v>242</v>
      </c>
      <c r="R885" s="10" t="s">
        <v>241</v>
      </c>
      <c r="S885" s="10" t="s">
        <v>242</v>
      </c>
      <c r="T885" s="10" t="s">
        <v>242</v>
      </c>
      <c r="U885" s="10" t="s">
        <v>242</v>
      </c>
      <c r="V885" s="10" t="s">
        <v>242</v>
      </c>
      <c r="W885" s="10" t="s">
        <v>242</v>
      </c>
      <c r="X885" s="15">
        <f>IF(ISERROR(VLOOKUP($A885,'13. Updated Demand'!A:Z,15,FALSE)),0,VLOOKUP($A885,'13. Updated Demand'!A:Z,15,FALSE))</f>
        <v>0.56000000000000005</v>
      </c>
      <c r="Y885" s="16">
        <f>IF(ISERROR(VLOOKUP($A885,'13. Updated Demand'!A:Z,16,FALSE)),0,VLOOKUP($A885,'13. Updated Demand'!A:Z,16,FALSE))</f>
        <v>0.56000000000000005</v>
      </c>
      <c r="Z885" s="16">
        <f>IF(ISERROR(VLOOKUP($A885,'13. Updated Demand'!A:Z,17,FALSE)),0,VLOOKUP($A885,'13. Updated Demand'!A:Z,17,FALSE))</f>
        <v>0.5</v>
      </c>
      <c r="AA885" s="16">
        <f>IF(ISERROR(VLOOKUP($A885,'13. Updated Demand'!A:Z,18,FALSE)),0,VLOOKUP($A885,'13. Updated Demand'!A:Z,18,FALSE))</f>
        <v>0.5</v>
      </c>
      <c r="AB885" s="16">
        <f>IF(ISERROR(VLOOKUP($A885,'13. Updated Demand'!A:Z,19,FALSE)),0,VLOOKUP($A885,'13. Updated Demand'!A:Z,19,FALSE))</f>
        <v>0.83</v>
      </c>
      <c r="AC885" s="16">
        <f>IF(ISERROR(VLOOKUP($A885,'13. Updated Demand'!A:Z,20,FALSE)),0,VLOOKUP($A885,'13. Updated Demand'!A:Z,20,FALSE))</f>
        <v>0.33</v>
      </c>
      <c r="AD885" s="16">
        <f>IF(ISERROR(VLOOKUP($A885,'13. Updated Demand'!A:Z,21,FALSE)),0,VLOOKUP($A885,'13. Updated Demand'!A:Z,21,FALSE))</f>
        <v>0.33</v>
      </c>
      <c r="AE885" s="16">
        <f>IF(ISERROR(VLOOKUP($A885,'13. Updated Demand'!A:Z,22,FALSE)),0,VLOOKUP($A885,'13. Updated Demand'!A:Z,22,FALSE))</f>
        <v>0.33</v>
      </c>
      <c r="AF885" s="16">
        <f>IF(ISERROR(VLOOKUP($A885,'13. Updated Demand'!A:Z,23,FALSE)),0,VLOOKUP($A885,'13. Updated Demand'!A:Z,23,FALSE))</f>
        <v>0.33</v>
      </c>
      <c r="AG885" s="16">
        <f>IF(ISERROR(VLOOKUP($A885,'13. Updated Demand'!A:Z,24,FALSE)),0,VLOOKUP($A885,'13. Updated Demand'!A:Z,24,FALSE))</f>
        <v>0.83</v>
      </c>
      <c r="AH885" s="16">
        <f>IF(ISERROR(VLOOKUP($A885,'13. Updated Demand'!A:Z,25,FALSE)),0,VLOOKUP($A885,'13. Updated Demand'!A:Z,25,FALSE))</f>
        <v>0.5</v>
      </c>
      <c r="AI885" s="16">
        <f>IF(ISERROR(VLOOKUP($A885,'13. Updated Demand'!A:Z,26,FALSE)),0,VLOOKUP($A885,'13. Updated Demand'!A:Z,26,FALSE))</f>
        <v>0.5</v>
      </c>
      <c r="AJ885" s="16">
        <f t="shared" si="168"/>
        <v>6.1000000000000005</v>
      </c>
      <c r="AK885" s="19">
        <v>2.1666666650000002</v>
      </c>
      <c r="AL885" s="16">
        <f t="shared" si="166"/>
        <v>7.1865865212787927E-3</v>
      </c>
      <c r="AM885" s="17">
        <v>0.49066666656000002</v>
      </c>
      <c r="AN885" s="19"/>
      <c r="AO885" s="19"/>
      <c r="AP885" s="19">
        <v>12.5</v>
      </c>
      <c r="AQ885" s="19" t="s">
        <v>307</v>
      </c>
      <c r="AR885" s="9" t="s">
        <v>354</v>
      </c>
      <c r="AS885" s="12">
        <v>0</v>
      </c>
      <c r="AT885" s="19">
        <v>38.785362839999998</v>
      </c>
      <c r="AU885" s="19">
        <v>-122.99744779</v>
      </c>
      <c r="AV885" s="19" t="s">
        <v>1271</v>
      </c>
    </row>
    <row r="886" spans="1:48" x14ac:dyDescent="0.25">
      <c r="A886" s="18" t="s">
        <v>1272</v>
      </c>
      <c r="B886" s="10">
        <v>19650322</v>
      </c>
      <c r="C886" s="9">
        <v>10</v>
      </c>
      <c r="D886" s="8" t="str">
        <f t="shared" si="157"/>
        <v>N</v>
      </c>
      <c r="E886" s="8" t="str">
        <f t="shared" si="158"/>
        <v>Y</v>
      </c>
      <c r="F886" s="8" t="str">
        <f t="shared" si="159"/>
        <v>Y</v>
      </c>
      <c r="G886" s="8" t="str">
        <f t="shared" si="160"/>
        <v>Y</v>
      </c>
      <c r="H886" s="8" t="str">
        <f t="shared" si="161"/>
        <v>Upper</v>
      </c>
      <c r="I886" s="8" t="str">
        <f t="shared" si="162"/>
        <v>West Fork and Below Lake</v>
      </c>
      <c r="J886" s="8" t="str">
        <f t="shared" si="163"/>
        <v>Sonoma (d/s of Clov. Gage)</v>
      </c>
      <c r="K886" s="8" t="str">
        <f t="shared" si="164"/>
        <v>Post-1949</v>
      </c>
      <c r="L886" s="8">
        <f t="shared" si="165"/>
        <v>1965</v>
      </c>
      <c r="M886" s="8" t="str">
        <f t="shared" si="167"/>
        <v>1960-1970</v>
      </c>
      <c r="N886" s="10" t="s">
        <v>242</v>
      </c>
      <c r="O886" s="10" t="s">
        <v>241</v>
      </c>
      <c r="P886" s="10" t="s">
        <v>242</v>
      </c>
      <c r="Q886" s="10" t="s">
        <v>242</v>
      </c>
      <c r="R886" s="10" t="s">
        <v>241</v>
      </c>
      <c r="S886" s="10" t="s">
        <v>242</v>
      </c>
      <c r="T886" s="10" t="s">
        <v>242</v>
      </c>
      <c r="U886" s="10" t="s">
        <v>241</v>
      </c>
      <c r="V886" s="10" t="s">
        <v>241</v>
      </c>
      <c r="W886" s="10" t="s">
        <v>242</v>
      </c>
      <c r="X886" s="15">
        <f>IF(ISERROR(VLOOKUP($A886,'13. Updated Demand'!A:Z,15,FALSE)),0,VLOOKUP($A886,'13. Updated Demand'!A:Z,15,FALSE))</f>
        <v>0</v>
      </c>
      <c r="Y886" s="16">
        <f>IF(ISERROR(VLOOKUP($A886,'13. Updated Demand'!A:Z,16,FALSE)),0,VLOOKUP($A886,'13. Updated Demand'!A:Z,16,FALSE))</f>
        <v>0</v>
      </c>
      <c r="Z886" s="16">
        <f>IF(ISERROR(VLOOKUP($A886,'13. Updated Demand'!A:Z,17,FALSE)),0,VLOOKUP($A886,'13. Updated Demand'!A:Z,17,FALSE))</f>
        <v>0</v>
      </c>
      <c r="AA886" s="16">
        <f>IF(ISERROR(VLOOKUP($A886,'13. Updated Demand'!A:Z,18,FALSE)),0,VLOOKUP($A886,'13. Updated Demand'!A:Z,18,FALSE))</f>
        <v>0</v>
      </c>
      <c r="AB886" s="16">
        <f>IF(ISERROR(VLOOKUP($A886,'13. Updated Demand'!A:Z,19,FALSE)),0,VLOOKUP($A886,'13. Updated Demand'!A:Z,19,FALSE))</f>
        <v>0</v>
      </c>
      <c r="AC886" s="16">
        <f>IF(ISERROR(VLOOKUP($A886,'13. Updated Demand'!A:Z,20,FALSE)),0,VLOOKUP($A886,'13. Updated Demand'!A:Z,20,FALSE))</f>
        <v>0</v>
      </c>
      <c r="AD886" s="16">
        <f>IF(ISERROR(VLOOKUP($A886,'13. Updated Demand'!A:Z,21,FALSE)),0,VLOOKUP($A886,'13. Updated Demand'!A:Z,21,FALSE))</f>
        <v>0</v>
      </c>
      <c r="AE886" s="16">
        <f>IF(ISERROR(VLOOKUP($A886,'13. Updated Demand'!A:Z,22,FALSE)),0,VLOOKUP($A886,'13. Updated Demand'!A:Z,22,FALSE))</f>
        <v>0</v>
      </c>
      <c r="AF886" s="16">
        <f>IF(ISERROR(VLOOKUP($A886,'13. Updated Demand'!A:Z,23,FALSE)),0,VLOOKUP($A886,'13. Updated Demand'!A:Z,23,FALSE))</f>
        <v>0</v>
      </c>
      <c r="AG886" s="16">
        <f>IF(ISERROR(VLOOKUP($A886,'13. Updated Demand'!A:Z,24,FALSE)),0,VLOOKUP($A886,'13. Updated Demand'!A:Z,24,FALSE))</f>
        <v>0</v>
      </c>
      <c r="AH886" s="16">
        <f>IF(ISERROR(VLOOKUP($A886,'13. Updated Demand'!A:Z,25,FALSE)),0,VLOOKUP($A886,'13. Updated Demand'!A:Z,25,FALSE))</f>
        <v>0</v>
      </c>
      <c r="AI886" s="16">
        <f>IF(ISERROR(VLOOKUP($A886,'13. Updated Demand'!A:Z,26,FALSE)),0,VLOOKUP($A886,'13. Updated Demand'!A:Z,26,FALSE))</f>
        <v>0</v>
      </c>
      <c r="AJ886" s="16">
        <f t="shared" si="168"/>
        <v>0</v>
      </c>
      <c r="AK886" s="19">
        <v>0</v>
      </c>
      <c r="AL886" s="16">
        <f t="shared" si="166"/>
        <v>0</v>
      </c>
      <c r="AM886" s="17">
        <v>0</v>
      </c>
      <c r="AN886" s="19"/>
      <c r="AO886" s="19"/>
      <c r="AP886" s="19">
        <v>49</v>
      </c>
      <c r="AQ886" s="19" t="s">
        <v>307</v>
      </c>
      <c r="AR886" s="9" t="s">
        <v>436</v>
      </c>
      <c r="AS886" s="12">
        <v>0</v>
      </c>
      <c r="AT886" s="19">
        <v>38.739278140000003</v>
      </c>
      <c r="AU886" s="19">
        <v>-122.85339947999999</v>
      </c>
      <c r="AV886" s="19" t="s">
        <v>417</v>
      </c>
    </row>
    <row r="887" spans="1:48" x14ac:dyDescent="0.25">
      <c r="A887" s="18" t="s">
        <v>1273</v>
      </c>
      <c r="B887" s="10">
        <v>19650510</v>
      </c>
      <c r="C887" s="9">
        <v>12</v>
      </c>
      <c r="D887" s="8" t="str">
        <f t="shared" si="157"/>
        <v>N</v>
      </c>
      <c r="E887" s="8" t="str">
        <f t="shared" si="158"/>
        <v>Y</v>
      </c>
      <c r="F887" s="8" t="str">
        <f t="shared" si="159"/>
        <v>Y</v>
      </c>
      <c r="G887" s="8" t="str">
        <f t="shared" si="160"/>
        <v>Y</v>
      </c>
      <c r="H887" s="8" t="str">
        <f t="shared" si="161"/>
        <v>Upper</v>
      </c>
      <c r="I887" s="8" t="str">
        <f t="shared" si="162"/>
        <v>West Fork and Below Lake</v>
      </c>
      <c r="J887" s="8" t="str">
        <f t="shared" si="163"/>
        <v>Sonoma (d/s of Clov. Gage)</v>
      </c>
      <c r="K887" s="8" t="str">
        <f t="shared" si="164"/>
        <v>Post-1949</v>
      </c>
      <c r="L887" s="8">
        <f t="shared" si="165"/>
        <v>1965</v>
      </c>
      <c r="M887" s="8" t="str">
        <f t="shared" si="167"/>
        <v>1960-1970</v>
      </c>
      <c r="N887" s="10" t="s">
        <v>242</v>
      </c>
      <c r="O887" s="10" t="s">
        <v>241</v>
      </c>
      <c r="P887" s="10" t="s">
        <v>242</v>
      </c>
      <c r="Q887" s="10" t="s">
        <v>242</v>
      </c>
      <c r="R887" s="10" t="s">
        <v>241</v>
      </c>
      <c r="S887" s="10" t="s">
        <v>242</v>
      </c>
      <c r="T887" s="10" t="s">
        <v>242</v>
      </c>
      <c r="U887" s="10" t="s">
        <v>241</v>
      </c>
      <c r="V887" s="10" t="s">
        <v>241</v>
      </c>
      <c r="W887" s="10" t="s">
        <v>242</v>
      </c>
      <c r="X887" s="15">
        <f>IF(ISERROR(VLOOKUP($A887,'13. Updated Demand'!A:Z,15,FALSE)),0,VLOOKUP($A887,'13. Updated Demand'!A:Z,15,FALSE))</f>
        <v>0</v>
      </c>
      <c r="Y887" s="16">
        <f>IF(ISERROR(VLOOKUP($A887,'13. Updated Demand'!A:Z,16,FALSE)),0,VLOOKUP($A887,'13. Updated Demand'!A:Z,16,FALSE))</f>
        <v>0</v>
      </c>
      <c r="Z887" s="16">
        <f>IF(ISERROR(VLOOKUP($A887,'13. Updated Demand'!A:Z,17,FALSE)),0,VLOOKUP($A887,'13. Updated Demand'!A:Z,17,FALSE))</f>
        <v>0</v>
      </c>
      <c r="AA887" s="16">
        <f>IF(ISERROR(VLOOKUP($A887,'13. Updated Demand'!A:Z,18,FALSE)),0,VLOOKUP($A887,'13. Updated Demand'!A:Z,18,FALSE))</f>
        <v>0</v>
      </c>
      <c r="AB887" s="16">
        <f>IF(ISERROR(VLOOKUP($A887,'13. Updated Demand'!A:Z,19,FALSE)),0,VLOOKUP($A887,'13. Updated Demand'!A:Z,19,FALSE))</f>
        <v>0</v>
      </c>
      <c r="AC887" s="16">
        <f>IF(ISERROR(VLOOKUP($A887,'13. Updated Demand'!A:Z,20,FALSE)),0,VLOOKUP($A887,'13. Updated Demand'!A:Z,20,FALSE))</f>
        <v>0</v>
      </c>
      <c r="AD887" s="16">
        <f>IF(ISERROR(VLOOKUP($A887,'13. Updated Demand'!A:Z,21,FALSE)),0,VLOOKUP($A887,'13. Updated Demand'!A:Z,21,FALSE))</f>
        <v>0</v>
      </c>
      <c r="AE887" s="16">
        <f>IF(ISERROR(VLOOKUP($A887,'13. Updated Demand'!A:Z,22,FALSE)),0,VLOOKUP($A887,'13. Updated Demand'!A:Z,22,FALSE))</f>
        <v>0</v>
      </c>
      <c r="AF887" s="16">
        <f>IF(ISERROR(VLOOKUP($A887,'13. Updated Demand'!A:Z,23,FALSE)),0,VLOOKUP($A887,'13. Updated Demand'!A:Z,23,FALSE))</f>
        <v>0</v>
      </c>
      <c r="AG887" s="16">
        <f>IF(ISERROR(VLOOKUP($A887,'13. Updated Demand'!A:Z,24,FALSE)),0,VLOOKUP($A887,'13. Updated Demand'!A:Z,24,FALSE))</f>
        <v>0</v>
      </c>
      <c r="AH887" s="16">
        <f>IF(ISERROR(VLOOKUP($A887,'13. Updated Demand'!A:Z,25,FALSE)),0,VLOOKUP($A887,'13. Updated Demand'!A:Z,25,FALSE))</f>
        <v>0</v>
      </c>
      <c r="AI887" s="16">
        <f>IF(ISERROR(VLOOKUP($A887,'13. Updated Demand'!A:Z,26,FALSE)),0,VLOOKUP($A887,'13. Updated Demand'!A:Z,26,FALSE))</f>
        <v>0</v>
      </c>
      <c r="AJ887" s="16">
        <f t="shared" si="168"/>
        <v>0</v>
      </c>
      <c r="AK887" s="19">
        <v>0</v>
      </c>
      <c r="AL887" s="16">
        <f t="shared" si="166"/>
        <v>0</v>
      </c>
      <c r="AM887" s="17">
        <v>0</v>
      </c>
      <c r="AN887" s="19"/>
      <c r="AO887" s="19"/>
      <c r="AP887" s="19">
        <v>4</v>
      </c>
      <c r="AQ887" s="19" t="s">
        <v>307</v>
      </c>
      <c r="AR887" s="9" t="s">
        <v>311</v>
      </c>
      <c r="AS887" s="12">
        <v>0</v>
      </c>
      <c r="AT887" s="19">
        <v>38.668523829999998</v>
      </c>
      <c r="AU887" s="19">
        <v>-122.80176339</v>
      </c>
      <c r="AV887" s="19" t="s">
        <v>417</v>
      </c>
    </row>
    <row r="888" spans="1:48" x14ac:dyDescent="0.25">
      <c r="A888" s="18" t="s">
        <v>1274</v>
      </c>
      <c r="B888" s="10">
        <v>19650614</v>
      </c>
      <c r="C888" s="9">
        <v>9</v>
      </c>
      <c r="D888" s="8" t="str">
        <f t="shared" si="157"/>
        <v>N</v>
      </c>
      <c r="E888" s="8" t="str">
        <f t="shared" si="158"/>
        <v>Y</v>
      </c>
      <c r="F888" s="8" t="str">
        <f t="shared" si="159"/>
        <v>Y</v>
      </c>
      <c r="G888" s="8" t="str">
        <f t="shared" si="160"/>
        <v>Y</v>
      </c>
      <c r="H888" s="8" t="str">
        <f t="shared" si="161"/>
        <v>Upper</v>
      </c>
      <c r="I888" s="8" t="str">
        <f t="shared" si="162"/>
        <v>West Fork and Below Lake</v>
      </c>
      <c r="J888" s="8" t="str">
        <f t="shared" si="163"/>
        <v>Sonoma (d/s of Clov. Gage)</v>
      </c>
      <c r="K888" s="8" t="str">
        <f t="shared" si="164"/>
        <v>Post-1949</v>
      </c>
      <c r="L888" s="8">
        <f t="shared" si="165"/>
        <v>1965</v>
      </c>
      <c r="M888" s="8" t="str">
        <f t="shared" si="167"/>
        <v>1960-1970</v>
      </c>
      <c r="N888" s="10" t="s">
        <v>242</v>
      </c>
      <c r="O888" s="10" t="s">
        <v>241</v>
      </c>
      <c r="P888" s="10" t="s">
        <v>242</v>
      </c>
      <c r="Q888" s="10" t="s">
        <v>242</v>
      </c>
      <c r="R888" s="10" t="s">
        <v>241</v>
      </c>
      <c r="S888" s="10" t="s">
        <v>242</v>
      </c>
      <c r="T888" s="10" t="s">
        <v>242</v>
      </c>
      <c r="U888" s="10" t="s">
        <v>241</v>
      </c>
      <c r="V888" s="10" t="s">
        <v>241</v>
      </c>
      <c r="W888" s="10" t="s">
        <v>242</v>
      </c>
      <c r="X888" s="15">
        <f>IF(ISERROR(VLOOKUP($A888,'13. Updated Demand'!A:Z,15,FALSE)),0,VLOOKUP($A888,'13. Updated Demand'!A:Z,15,FALSE))</f>
        <v>0</v>
      </c>
      <c r="Y888" s="16">
        <f>IF(ISERROR(VLOOKUP($A888,'13. Updated Demand'!A:Z,16,FALSE)),0,VLOOKUP($A888,'13. Updated Demand'!A:Z,16,FALSE))</f>
        <v>0</v>
      </c>
      <c r="Z888" s="16">
        <f>IF(ISERROR(VLOOKUP($A888,'13. Updated Demand'!A:Z,17,FALSE)),0,VLOOKUP($A888,'13. Updated Demand'!A:Z,17,FALSE))</f>
        <v>0</v>
      </c>
      <c r="AA888" s="16">
        <f>IF(ISERROR(VLOOKUP($A888,'13. Updated Demand'!A:Z,18,FALSE)),0,VLOOKUP($A888,'13. Updated Demand'!A:Z,18,FALSE))</f>
        <v>0</v>
      </c>
      <c r="AB888" s="16">
        <f>IF(ISERROR(VLOOKUP($A888,'13. Updated Demand'!A:Z,19,FALSE)),0,VLOOKUP($A888,'13. Updated Demand'!A:Z,19,FALSE))</f>
        <v>0</v>
      </c>
      <c r="AC888" s="16">
        <f>IF(ISERROR(VLOOKUP($A888,'13. Updated Demand'!A:Z,20,FALSE)),0,VLOOKUP($A888,'13. Updated Demand'!A:Z,20,FALSE))</f>
        <v>0</v>
      </c>
      <c r="AD888" s="16">
        <f>IF(ISERROR(VLOOKUP($A888,'13. Updated Demand'!A:Z,21,FALSE)),0,VLOOKUP($A888,'13. Updated Demand'!A:Z,21,FALSE))</f>
        <v>0</v>
      </c>
      <c r="AE888" s="16">
        <f>IF(ISERROR(VLOOKUP($A888,'13. Updated Demand'!A:Z,22,FALSE)),0,VLOOKUP($A888,'13. Updated Demand'!A:Z,22,FALSE))</f>
        <v>0</v>
      </c>
      <c r="AF888" s="16">
        <f>IF(ISERROR(VLOOKUP($A888,'13. Updated Demand'!A:Z,23,FALSE)),0,VLOOKUP($A888,'13. Updated Demand'!A:Z,23,FALSE))</f>
        <v>0</v>
      </c>
      <c r="AG888" s="16">
        <f>IF(ISERROR(VLOOKUP($A888,'13. Updated Demand'!A:Z,24,FALSE)),0,VLOOKUP($A888,'13. Updated Demand'!A:Z,24,FALSE))</f>
        <v>0</v>
      </c>
      <c r="AH888" s="16">
        <f>IF(ISERROR(VLOOKUP($A888,'13. Updated Demand'!A:Z,25,FALSE)),0,VLOOKUP($A888,'13. Updated Demand'!A:Z,25,FALSE))</f>
        <v>0</v>
      </c>
      <c r="AI888" s="16">
        <f>IF(ISERROR(VLOOKUP($A888,'13. Updated Demand'!A:Z,26,FALSE)),0,VLOOKUP($A888,'13. Updated Demand'!A:Z,26,FALSE))</f>
        <v>0</v>
      </c>
      <c r="AJ888" s="16">
        <f t="shared" si="168"/>
        <v>0</v>
      </c>
      <c r="AK888" s="19">
        <v>0</v>
      </c>
      <c r="AL888" s="16">
        <f t="shared" si="166"/>
        <v>0</v>
      </c>
      <c r="AM888" s="17">
        <v>0</v>
      </c>
      <c r="AN888" s="19"/>
      <c r="AO888" s="19"/>
      <c r="AP888" s="19">
        <v>46.7</v>
      </c>
      <c r="AQ888" s="19" t="s">
        <v>307</v>
      </c>
      <c r="AR888" s="9" t="s">
        <v>354</v>
      </c>
      <c r="AS888" s="12">
        <v>0</v>
      </c>
      <c r="AT888" s="19">
        <v>38.769301849999998</v>
      </c>
      <c r="AU888" s="19">
        <v>-123.01300753</v>
      </c>
      <c r="AV888" s="19" t="s">
        <v>417</v>
      </c>
    </row>
    <row r="889" spans="1:48" x14ac:dyDescent="0.25">
      <c r="A889" s="18" t="s">
        <v>46</v>
      </c>
      <c r="B889" s="10">
        <v>19650701</v>
      </c>
      <c r="C889" s="9">
        <v>4</v>
      </c>
      <c r="D889" s="8" t="str">
        <f t="shared" si="157"/>
        <v>Y</v>
      </c>
      <c r="E889" s="8" t="str">
        <f t="shared" si="158"/>
        <v>N</v>
      </c>
      <c r="F889" s="8" t="str">
        <f t="shared" si="159"/>
        <v>Y</v>
      </c>
      <c r="G889" s="8" t="str">
        <f t="shared" si="160"/>
        <v>Y</v>
      </c>
      <c r="H889" s="8" t="str">
        <f t="shared" si="161"/>
        <v>Upper</v>
      </c>
      <c r="I889" s="8" t="str">
        <f t="shared" si="162"/>
        <v>West Fork and Below Lake</v>
      </c>
      <c r="J889" s="8" t="str">
        <f t="shared" si="163"/>
        <v>Mendocino (d/s of lake)</v>
      </c>
      <c r="K889" s="8" t="str">
        <f t="shared" si="164"/>
        <v>Post-1949</v>
      </c>
      <c r="L889" s="8">
        <f t="shared" si="165"/>
        <v>1965</v>
      </c>
      <c r="M889" s="8" t="str">
        <f t="shared" si="167"/>
        <v>1960-1970</v>
      </c>
      <c r="N889" s="10" t="s">
        <v>241</v>
      </c>
      <c r="O889" s="10" t="s">
        <v>241</v>
      </c>
      <c r="P889" s="10" t="s">
        <v>242</v>
      </c>
      <c r="Q889" s="10" t="s">
        <v>242</v>
      </c>
      <c r="R889" s="10" t="s">
        <v>241</v>
      </c>
      <c r="S889" s="10" t="s">
        <v>242</v>
      </c>
      <c r="T889" s="10" t="s">
        <v>242</v>
      </c>
      <c r="U889" s="10" t="s">
        <v>242</v>
      </c>
      <c r="V889" s="10" t="s">
        <v>242</v>
      </c>
      <c r="W889" s="10" t="s">
        <v>242</v>
      </c>
      <c r="X889" s="15">
        <f>IF(ISERROR(VLOOKUP($A889,'13. Updated Demand'!A:Z,15,FALSE)),0,VLOOKUP($A889,'13. Updated Demand'!A:Z,15,FALSE))</f>
        <v>0</v>
      </c>
      <c r="Y889" s="16">
        <f>IF(ISERROR(VLOOKUP($A889,'13. Updated Demand'!A:Z,16,FALSE)),0,VLOOKUP($A889,'13. Updated Demand'!A:Z,16,FALSE))</f>
        <v>0</v>
      </c>
      <c r="Z889" s="16">
        <f>IF(ISERROR(VLOOKUP($A889,'13. Updated Demand'!A:Z,17,FALSE)),0,VLOOKUP($A889,'13. Updated Demand'!A:Z,17,FALSE))</f>
        <v>0</v>
      </c>
      <c r="AA889" s="16">
        <f>IF(ISERROR(VLOOKUP($A889,'13. Updated Demand'!A:Z,18,FALSE)),0,VLOOKUP($A889,'13. Updated Demand'!A:Z,18,FALSE))</f>
        <v>0</v>
      </c>
      <c r="AB889" s="16">
        <f>IF(ISERROR(VLOOKUP($A889,'13. Updated Demand'!A:Z,19,FALSE)),0,VLOOKUP($A889,'13. Updated Demand'!A:Z,19,FALSE))</f>
        <v>0</v>
      </c>
      <c r="AC889" s="16">
        <f>IF(ISERROR(VLOOKUP($A889,'13. Updated Demand'!A:Z,20,FALSE)),0,VLOOKUP($A889,'13. Updated Demand'!A:Z,20,FALSE))</f>
        <v>5.58</v>
      </c>
      <c r="AD889" s="16">
        <f>IF(ISERROR(VLOOKUP($A889,'13. Updated Demand'!A:Z,21,FALSE)),0,VLOOKUP($A889,'13. Updated Demand'!A:Z,21,FALSE))</f>
        <v>5</v>
      </c>
      <c r="AE889" s="16">
        <f>IF(ISERROR(VLOOKUP($A889,'13. Updated Demand'!A:Z,22,FALSE)),0,VLOOKUP($A889,'13. Updated Demand'!A:Z,22,FALSE))</f>
        <v>2.2400000000000002</v>
      </c>
      <c r="AF889" s="16">
        <f>IF(ISERROR(VLOOKUP($A889,'13. Updated Demand'!A:Z,23,FALSE)),0,VLOOKUP($A889,'13. Updated Demand'!A:Z,23,FALSE))</f>
        <v>4.74</v>
      </c>
      <c r="AG889" s="16">
        <f>IF(ISERROR(VLOOKUP($A889,'13. Updated Demand'!A:Z,24,FALSE)),0,VLOOKUP($A889,'13. Updated Demand'!A:Z,24,FALSE))</f>
        <v>0.1</v>
      </c>
      <c r="AH889" s="16">
        <f>IF(ISERROR(VLOOKUP($A889,'13. Updated Demand'!A:Z,25,FALSE)),0,VLOOKUP($A889,'13. Updated Demand'!A:Z,25,FALSE))</f>
        <v>0</v>
      </c>
      <c r="AI889" s="16">
        <f>IF(ISERROR(VLOOKUP($A889,'13. Updated Demand'!A:Z,26,FALSE)),0,VLOOKUP($A889,'13. Updated Demand'!A:Z,26,FALSE))</f>
        <v>0</v>
      </c>
      <c r="AJ889" s="16">
        <f t="shared" si="168"/>
        <v>17.660000000000004</v>
      </c>
      <c r="AK889" s="19">
        <v>17.576666666666661</v>
      </c>
      <c r="AL889" s="16">
        <f t="shared" si="166"/>
        <v>5.829980116285071E-2</v>
      </c>
      <c r="AM889" s="17">
        <v>0.31571428571428556</v>
      </c>
      <c r="AN889" s="19"/>
      <c r="AO889" s="19"/>
      <c r="AP889" s="19">
        <v>56</v>
      </c>
      <c r="AQ889" s="19" t="s">
        <v>307</v>
      </c>
      <c r="AR889" s="9" t="s">
        <v>331</v>
      </c>
      <c r="AS889" s="12">
        <v>0</v>
      </c>
      <c r="AT889" s="19">
        <v>39.149005520000003</v>
      </c>
      <c r="AU889" s="19">
        <v>-123.18164166</v>
      </c>
      <c r="AV889" s="19" t="s">
        <v>387</v>
      </c>
    </row>
    <row r="890" spans="1:48" x14ac:dyDescent="0.25">
      <c r="A890" s="18" t="s">
        <v>1275</v>
      </c>
      <c r="B890" s="10">
        <v>19650831</v>
      </c>
      <c r="C890" s="9">
        <v>1</v>
      </c>
      <c r="D890" s="8" t="str">
        <f t="shared" si="157"/>
        <v>N</v>
      </c>
      <c r="E890" s="8" t="str">
        <f t="shared" si="158"/>
        <v>N</v>
      </c>
      <c r="F890" s="8" t="str">
        <f t="shared" si="159"/>
        <v>Y</v>
      </c>
      <c r="G890" s="8" t="str">
        <f t="shared" si="160"/>
        <v>Y</v>
      </c>
      <c r="H890" s="8" t="str">
        <f t="shared" si="161"/>
        <v>Upper</v>
      </c>
      <c r="I890" s="8" t="str">
        <f t="shared" si="162"/>
        <v>West Fork and Below Lake</v>
      </c>
      <c r="J890" s="8" t="str">
        <f t="shared" si="163"/>
        <v>Outside</v>
      </c>
      <c r="K890" s="8" t="str">
        <f t="shared" si="164"/>
        <v>Post-1949</v>
      </c>
      <c r="L890" s="8">
        <f t="shared" si="165"/>
        <v>1965</v>
      </c>
      <c r="M890" s="8" t="str">
        <f t="shared" si="167"/>
        <v>1960-1970</v>
      </c>
      <c r="N890" s="10" t="s">
        <v>242</v>
      </c>
      <c r="O890" s="10" t="s">
        <v>241</v>
      </c>
      <c r="P890" s="10" t="s">
        <v>242</v>
      </c>
      <c r="Q890" s="10" t="s">
        <v>242</v>
      </c>
      <c r="R890" s="10" t="s">
        <v>241</v>
      </c>
      <c r="S890" s="10" t="s">
        <v>242</v>
      </c>
      <c r="T890" s="10" t="s">
        <v>242</v>
      </c>
      <c r="U890" s="10" t="s">
        <v>242</v>
      </c>
      <c r="V890" s="10" t="s">
        <v>241</v>
      </c>
      <c r="W890" s="10" t="s">
        <v>242</v>
      </c>
      <c r="X890" s="15">
        <f>IF(ISERROR(VLOOKUP($A890,'13. Updated Demand'!A:Z,15,FALSE)),0,VLOOKUP($A890,'13. Updated Demand'!A:Z,15,FALSE))</f>
        <v>0</v>
      </c>
      <c r="Y890" s="16">
        <f>IF(ISERROR(VLOOKUP($A890,'13. Updated Demand'!A:Z,16,FALSE)),0,VLOOKUP($A890,'13. Updated Demand'!A:Z,16,FALSE))</f>
        <v>0</v>
      </c>
      <c r="Z890" s="16">
        <f>IF(ISERROR(VLOOKUP($A890,'13. Updated Demand'!A:Z,17,FALSE)),0,VLOOKUP($A890,'13. Updated Demand'!A:Z,17,FALSE))</f>
        <v>0</v>
      </c>
      <c r="AA890" s="16">
        <f>IF(ISERROR(VLOOKUP($A890,'13. Updated Demand'!A:Z,18,FALSE)),0,VLOOKUP($A890,'13. Updated Demand'!A:Z,18,FALSE))</f>
        <v>0.16</v>
      </c>
      <c r="AB890" s="16">
        <f>IF(ISERROR(VLOOKUP($A890,'13. Updated Demand'!A:Z,19,FALSE)),0,VLOOKUP($A890,'13. Updated Demand'!A:Z,19,FALSE))</f>
        <v>0</v>
      </c>
      <c r="AC890" s="16">
        <f>IF(ISERROR(VLOOKUP($A890,'13. Updated Demand'!A:Z,20,FALSE)),0,VLOOKUP($A890,'13. Updated Demand'!A:Z,20,FALSE))</f>
        <v>0</v>
      </c>
      <c r="AD890" s="16">
        <f>IF(ISERROR(VLOOKUP($A890,'13. Updated Demand'!A:Z,21,FALSE)),0,VLOOKUP($A890,'13. Updated Demand'!A:Z,21,FALSE))</f>
        <v>0</v>
      </c>
      <c r="AE890" s="16">
        <f>IF(ISERROR(VLOOKUP($A890,'13. Updated Demand'!A:Z,22,FALSE)),0,VLOOKUP($A890,'13. Updated Demand'!A:Z,22,FALSE))</f>
        <v>0</v>
      </c>
      <c r="AF890" s="16">
        <f>IF(ISERROR(VLOOKUP($A890,'13. Updated Demand'!A:Z,23,FALSE)),0,VLOOKUP($A890,'13. Updated Demand'!A:Z,23,FALSE))</f>
        <v>0</v>
      </c>
      <c r="AG890" s="16">
        <f>IF(ISERROR(VLOOKUP($A890,'13. Updated Demand'!A:Z,24,FALSE)),0,VLOOKUP($A890,'13. Updated Demand'!A:Z,24,FALSE))</f>
        <v>0</v>
      </c>
      <c r="AH890" s="16">
        <f>IF(ISERROR(VLOOKUP($A890,'13. Updated Demand'!A:Z,25,FALSE)),0,VLOOKUP($A890,'13. Updated Demand'!A:Z,25,FALSE))</f>
        <v>0</v>
      </c>
      <c r="AI890" s="16">
        <f>IF(ISERROR(VLOOKUP($A890,'13. Updated Demand'!A:Z,26,FALSE)),0,VLOOKUP($A890,'13. Updated Demand'!A:Z,26,FALSE))</f>
        <v>0</v>
      </c>
      <c r="AJ890" s="16">
        <f t="shared" si="168"/>
        <v>0.16</v>
      </c>
      <c r="AK890" s="19">
        <v>0</v>
      </c>
      <c r="AL890" s="16">
        <f t="shared" si="166"/>
        <v>0</v>
      </c>
      <c r="AM890" s="17">
        <v>5.2083333437499997E-3</v>
      </c>
      <c r="AN890" s="19"/>
      <c r="AO890" s="19"/>
      <c r="AP890" s="19">
        <v>32</v>
      </c>
      <c r="AQ890" s="19" t="s">
        <v>307</v>
      </c>
      <c r="AR890" s="9" t="s">
        <v>317</v>
      </c>
      <c r="AS890" s="12">
        <v>0</v>
      </c>
      <c r="AT890" s="19">
        <v>39.247745260000002</v>
      </c>
      <c r="AU890" s="19">
        <v>-123.20455443</v>
      </c>
      <c r="AV890" s="19" t="s">
        <v>456</v>
      </c>
    </row>
    <row r="891" spans="1:48" x14ac:dyDescent="0.25">
      <c r="A891" s="18" t="s">
        <v>35</v>
      </c>
      <c r="B891" s="10">
        <v>19651006</v>
      </c>
      <c r="C891" s="9">
        <v>4</v>
      </c>
      <c r="D891" s="8" t="str">
        <f t="shared" si="157"/>
        <v>Y</v>
      </c>
      <c r="E891" s="8" t="str">
        <f t="shared" si="158"/>
        <v>N</v>
      </c>
      <c r="F891" s="8" t="str">
        <f t="shared" si="159"/>
        <v>Y</v>
      </c>
      <c r="G891" s="8" t="str">
        <f t="shared" si="160"/>
        <v>Y</v>
      </c>
      <c r="H891" s="8" t="str">
        <f t="shared" si="161"/>
        <v>Upper</v>
      </c>
      <c r="I891" s="8" t="str">
        <f t="shared" si="162"/>
        <v>West Fork and Below Lake</v>
      </c>
      <c r="J891" s="8" t="str">
        <f t="shared" si="163"/>
        <v>Mendocino (d/s of lake)</v>
      </c>
      <c r="K891" s="8" t="str">
        <f t="shared" si="164"/>
        <v>Post-1949</v>
      </c>
      <c r="L891" s="8">
        <f t="shared" si="165"/>
        <v>1965</v>
      </c>
      <c r="M891" s="8" t="str">
        <f t="shared" si="167"/>
        <v>1960-1970</v>
      </c>
      <c r="N891" s="10" t="s">
        <v>241</v>
      </c>
      <c r="O891" s="10" t="s">
        <v>241</v>
      </c>
      <c r="P891" s="10" t="s">
        <v>242</v>
      </c>
      <c r="Q891" s="10" t="s">
        <v>242</v>
      </c>
      <c r="R891" s="10" t="s">
        <v>241</v>
      </c>
      <c r="S891" s="10" t="s">
        <v>242</v>
      </c>
      <c r="T891" s="10" t="s">
        <v>242</v>
      </c>
      <c r="U891" s="10" t="s">
        <v>242</v>
      </c>
      <c r="V891" s="10" t="s">
        <v>242</v>
      </c>
      <c r="W891" s="10" t="s">
        <v>242</v>
      </c>
      <c r="X891" s="15">
        <f>IF(ISERROR(VLOOKUP($A891,'13. Updated Demand'!A:Z,15,FALSE)),0,VLOOKUP($A891,'13. Updated Demand'!A:Z,15,FALSE))</f>
        <v>0</v>
      </c>
      <c r="Y891" s="16">
        <f>IF(ISERROR(VLOOKUP($A891,'13. Updated Demand'!A:Z,16,FALSE)),0,VLOOKUP($A891,'13. Updated Demand'!A:Z,16,FALSE))</f>
        <v>0</v>
      </c>
      <c r="Z891" s="16">
        <f>IF(ISERROR(VLOOKUP($A891,'13. Updated Demand'!A:Z,17,FALSE)),0,VLOOKUP($A891,'13. Updated Demand'!A:Z,17,FALSE))</f>
        <v>0</v>
      </c>
      <c r="AA891" s="16">
        <f>IF(ISERROR(VLOOKUP($A891,'13. Updated Demand'!A:Z,18,FALSE)),0,VLOOKUP($A891,'13. Updated Demand'!A:Z,18,FALSE))</f>
        <v>0</v>
      </c>
      <c r="AB891" s="16">
        <f>IF(ISERROR(VLOOKUP($A891,'13. Updated Demand'!A:Z,19,FALSE)),0,VLOOKUP($A891,'13. Updated Demand'!A:Z,19,FALSE))</f>
        <v>0.89</v>
      </c>
      <c r="AC891" s="16">
        <f>IF(ISERROR(VLOOKUP($A891,'13. Updated Demand'!A:Z,20,FALSE)),0,VLOOKUP($A891,'13. Updated Demand'!A:Z,20,FALSE))</f>
        <v>1.96</v>
      </c>
      <c r="AD891" s="16">
        <f>IF(ISERROR(VLOOKUP($A891,'13. Updated Demand'!A:Z,21,FALSE)),0,VLOOKUP($A891,'13. Updated Demand'!A:Z,21,FALSE))</f>
        <v>2.1</v>
      </c>
      <c r="AE891" s="16">
        <f>IF(ISERROR(VLOOKUP($A891,'13. Updated Demand'!A:Z,22,FALSE)),0,VLOOKUP($A891,'13. Updated Demand'!A:Z,22,FALSE))</f>
        <v>1.6</v>
      </c>
      <c r="AF891" s="16">
        <f>IF(ISERROR(VLOOKUP($A891,'13. Updated Demand'!A:Z,23,FALSE)),0,VLOOKUP($A891,'13. Updated Demand'!A:Z,23,FALSE))</f>
        <v>1.23</v>
      </c>
      <c r="AG891" s="16">
        <f>IF(ISERROR(VLOOKUP($A891,'13. Updated Demand'!A:Z,24,FALSE)),0,VLOOKUP($A891,'13. Updated Demand'!A:Z,24,FALSE))</f>
        <v>1.1499999999999999</v>
      </c>
      <c r="AH891" s="16">
        <f>IF(ISERROR(VLOOKUP($A891,'13. Updated Demand'!A:Z,25,FALSE)),0,VLOOKUP($A891,'13. Updated Demand'!A:Z,25,FALSE))</f>
        <v>0</v>
      </c>
      <c r="AI891" s="16">
        <f>IF(ISERROR(VLOOKUP($A891,'13. Updated Demand'!A:Z,26,FALSE)),0,VLOOKUP($A891,'13. Updated Demand'!A:Z,26,FALSE))</f>
        <v>0</v>
      </c>
      <c r="AJ891" s="16">
        <f t="shared" si="168"/>
        <v>8.9300000000000015</v>
      </c>
      <c r="AK891" s="19">
        <v>7.79</v>
      </c>
      <c r="AL891" s="16">
        <f t="shared" si="166"/>
        <v>2.5838542635612013E-2</v>
      </c>
      <c r="AM891" s="17">
        <v>0.20790697674418604</v>
      </c>
      <c r="AN891" s="19"/>
      <c r="AO891" s="19"/>
      <c r="AP891" s="19">
        <v>43</v>
      </c>
      <c r="AQ891" s="19" t="s">
        <v>307</v>
      </c>
      <c r="AR891" s="9" t="s">
        <v>331</v>
      </c>
      <c r="AS891" s="12">
        <v>0</v>
      </c>
      <c r="AT891" s="19">
        <v>39.17180544</v>
      </c>
      <c r="AU891" s="19">
        <v>-123.1926794</v>
      </c>
      <c r="AV891" s="19" t="s">
        <v>387</v>
      </c>
    </row>
    <row r="892" spans="1:48" x14ac:dyDescent="0.25">
      <c r="A892" s="18" t="s">
        <v>1276</v>
      </c>
      <c r="B892" s="10">
        <v>19651123</v>
      </c>
      <c r="C892" s="9">
        <v>23</v>
      </c>
      <c r="D892" s="8" t="str">
        <f t="shared" si="157"/>
        <v>N</v>
      </c>
      <c r="E892" s="8" t="str">
        <f t="shared" si="158"/>
        <v>N</v>
      </c>
      <c r="F892" s="8" t="str">
        <f t="shared" si="159"/>
        <v>N</v>
      </c>
      <c r="G892" s="8" t="str">
        <f t="shared" si="160"/>
        <v>N</v>
      </c>
      <c r="H892" s="8" t="str">
        <f t="shared" si="161"/>
        <v>Lower</v>
      </c>
      <c r="I892" s="8" t="str">
        <f t="shared" si="162"/>
        <v>Outside</v>
      </c>
      <c r="J892" s="8" t="str">
        <f t="shared" si="163"/>
        <v>Outside</v>
      </c>
      <c r="K892" s="8" t="str">
        <f t="shared" si="164"/>
        <v>Post-1949</v>
      </c>
      <c r="L892" s="8">
        <f t="shared" si="165"/>
        <v>1965</v>
      </c>
      <c r="M892" s="8" t="str">
        <f t="shared" si="167"/>
        <v>1960-1970</v>
      </c>
      <c r="N892" s="10" t="s">
        <v>242</v>
      </c>
      <c r="O892" s="10" t="s">
        <v>242</v>
      </c>
      <c r="P892" s="10" t="s">
        <v>242</v>
      </c>
      <c r="Q892" s="10" t="s">
        <v>242</v>
      </c>
      <c r="R892" s="10" t="s">
        <v>241</v>
      </c>
      <c r="S892" s="10" t="s">
        <v>242</v>
      </c>
      <c r="T892" s="10" t="s">
        <v>242</v>
      </c>
      <c r="U892" s="10" t="s">
        <v>241</v>
      </c>
      <c r="V892" s="10" t="s">
        <v>241</v>
      </c>
      <c r="W892" s="10" t="s">
        <v>242</v>
      </c>
      <c r="X892" s="15">
        <f>IF(ISERROR(VLOOKUP($A892,'13. Updated Demand'!A:Z,15,FALSE)),0,VLOOKUP($A892,'13. Updated Demand'!A:Z,15,FALSE))</f>
        <v>0</v>
      </c>
      <c r="Y892" s="16">
        <f>IF(ISERROR(VLOOKUP($A892,'13. Updated Demand'!A:Z,16,FALSE)),0,VLOOKUP($A892,'13. Updated Demand'!A:Z,16,FALSE))</f>
        <v>0</v>
      </c>
      <c r="Z892" s="16">
        <f>IF(ISERROR(VLOOKUP($A892,'13. Updated Demand'!A:Z,17,FALSE)),0,VLOOKUP($A892,'13. Updated Demand'!A:Z,17,FALSE))</f>
        <v>0</v>
      </c>
      <c r="AA892" s="16">
        <f>IF(ISERROR(VLOOKUP($A892,'13. Updated Demand'!A:Z,18,FALSE)),0,VLOOKUP($A892,'13. Updated Demand'!A:Z,18,FALSE))</f>
        <v>0</v>
      </c>
      <c r="AB892" s="16">
        <f>IF(ISERROR(VLOOKUP($A892,'13. Updated Demand'!A:Z,19,FALSE)),0,VLOOKUP($A892,'13. Updated Demand'!A:Z,19,FALSE))</f>
        <v>0</v>
      </c>
      <c r="AC892" s="16">
        <f>IF(ISERROR(VLOOKUP($A892,'13. Updated Demand'!A:Z,20,FALSE)),0,VLOOKUP($A892,'13. Updated Demand'!A:Z,20,FALSE))</f>
        <v>0</v>
      </c>
      <c r="AD892" s="16">
        <f>IF(ISERROR(VLOOKUP($A892,'13. Updated Demand'!A:Z,21,FALSE)),0,VLOOKUP($A892,'13. Updated Demand'!A:Z,21,FALSE))</f>
        <v>0</v>
      </c>
      <c r="AE892" s="16">
        <f>IF(ISERROR(VLOOKUP($A892,'13. Updated Demand'!A:Z,22,FALSE)),0,VLOOKUP($A892,'13. Updated Demand'!A:Z,22,FALSE))</f>
        <v>0</v>
      </c>
      <c r="AF892" s="16">
        <f>IF(ISERROR(VLOOKUP($A892,'13. Updated Demand'!A:Z,23,FALSE)),0,VLOOKUP($A892,'13. Updated Demand'!A:Z,23,FALSE))</f>
        <v>0</v>
      </c>
      <c r="AG892" s="16">
        <f>IF(ISERROR(VLOOKUP($A892,'13. Updated Demand'!A:Z,24,FALSE)),0,VLOOKUP($A892,'13. Updated Demand'!A:Z,24,FALSE))</f>
        <v>0</v>
      </c>
      <c r="AH892" s="16">
        <f>IF(ISERROR(VLOOKUP($A892,'13. Updated Demand'!A:Z,25,FALSE)),0,VLOOKUP($A892,'13. Updated Demand'!A:Z,25,FALSE))</f>
        <v>0</v>
      </c>
      <c r="AI892" s="16">
        <f>IF(ISERROR(VLOOKUP($A892,'13. Updated Demand'!A:Z,26,FALSE)),0,VLOOKUP($A892,'13. Updated Demand'!A:Z,26,FALSE))</f>
        <v>0</v>
      </c>
      <c r="AJ892" s="16">
        <f t="shared" si="168"/>
        <v>0</v>
      </c>
      <c r="AK892" s="19">
        <v>0</v>
      </c>
      <c r="AL892" s="16">
        <f t="shared" si="166"/>
        <v>0</v>
      </c>
      <c r="AM892" s="17">
        <v>0</v>
      </c>
      <c r="AN892" s="19"/>
      <c r="AO892" s="19"/>
      <c r="AP892" s="19">
        <v>2</v>
      </c>
      <c r="AQ892" s="19" t="s">
        <v>307</v>
      </c>
      <c r="AR892" s="9" t="s">
        <v>323</v>
      </c>
      <c r="AS892" s="12">
        <v>0</v>
      </c>
      <c r="AT892" s="19">
        <v>38.552</v>
      </c>
      <c r="AU892" s="19">
        <v>-122.5972</v>
      </c>
      <c r="AV892" s="19" t="s">
        <v>417</v>
      </c>
    </row>
    <row r="893" spans="1:48" x14ac:dyDescent="0.25">
      <c r="A893" s="18" t="s">
        <v>1277</v>
      </c>
      <c r="B893" s="10">
        <v>19651210</v>
      </c>
      <c r="C893" s="9">
        <v>21</v>
      </c>
      <c r="D893" s="8" t="str">
        <f t="shared" si="157"/>
        <v>N</v>
      </c>
      <c r="E893" s="8" t="str">
        <f t="shared" si="158"/>
        <v>N</v>
      </c>
      <c r="F893" s="8" t="str">
        <f t="shared" si="159"/>
        <v>N</v>
      </c>
      <c r="G893" s="8" t="str">
        <f t="shared" si="160"/>
        <v>N</v>
      </c>
      <c r="H893" s="8" t="str">
        <f t="shared" si="161"/>
        <v>Lower</v>
      </c>
      <c r="I893" s="8" t="str">
        <f t="shared" si="162"/>
        <v>Outside</v>
      </c>
      <c r="J893" s="8" t="str">
        <f t="shared" si="163"/>
        <v>Outside</v>
      </c>
      <c r="K893" s="8" t="str">
        <f t="shared" si="164"/>
        <v>Post-1949</v>
      </c>
      <c r="L893" s="8">
        <f t="shared" si="165"/>
        <v>1965</v>
      </c>
      <c r="M893" s="8" t="str">
        <f t="shared" si="167"/>
        <v>1960-1970</v>
      </c>
      <c r="N893" s="10" t="s">
        <v>241</v>
      </c>
      <c r="O893" s="10" t="s">
        <v>242</v>
      </c>
      <c r="P893" s="10" t="s">
        <v>242</v>
      </c>
      <c r="Q893" s="10" t="s">
        <v>242</v>
      </c>
      <c r="R893" s="10" t="s">
        <v>241</v>
      </c>
      <c r="S893" s="10" t="s">
        <v>242</v>
      </c>
      <c r="T893" s="10" t="s">
        <v>242</v>
      </c>
      <c r="U893" s="10" t="s">
        <v>241</v>
      </c>
      <c r="V893" s="10" t="s">
        <v>241</v>
      </c>
      <c r="W893" s="10" t="s">
        <v>242</v>
      </c>
      <c r="X893" s="15">
        <f>IF(ISERROR(VLOOKUP($A893,'13. Updated Demand'!A:Z,15,FALSE)),0,VLOOKUP($A893,'13. Updated Demand'!A:Z,15,FALSE))</f>
        <v>0</v>
      </c>
      <c r="Y893" s="16">
        <f>IF(ISERROR(VLOOKUP($A893,'13. Updated Demand'!A:Z,16,FALSE)),0,VLOOKUP($A893,'13. Updated Demand'!A:Z,16,FALSE))</f>
        <v>0</v>
      </c>
      <c r="Z893" s="16">
        <f>IF(ISERROR(VLOOKUP($A893,'13. Updated Demand'!A:Z,17,FALSE)),0,VLOOKUP($A893,'13. Updated Demand'!A:Z,17,FALSE))</f>
        <v>0</v>
      </c>
      <c r="AA893" s="16">
        <f>IF(ISERROR(VLOOKUP($A893,'13. Updated Demand'!A:Z,18,FALSE)),0,VLOOKUP($A893,'13. Updated Demand'!A:Z,18,FALSE))</f>
        <v>0</v>
      </c>
      <c r="AB893" s="16">
        <f>IF(ISERROR(VLOOKUP($A893,'13. Updated Demand'!A:Z,19,FALSE)),0,VLOOKUP($A893,'13. Updated Demand'!A:Z,19,FALSE))</f>
        <v>0</v>
      </c>
      <c r="AC893" s="16">
        <f>IF(ISERROR(VLOOKUP($A893,'13. Updated Demand'!A:Z,20,FALSE)),0,VLOOKUP($A893,'13. Updated Demand'!A:Z,20,FALSE))</f>
        <v>0</v>
      </c>
      <c r="AD893" s="16">
        <f>IF(ISERROR(VLOOKUP($A893,'13. Updated Demand'!A:Z,21,FALSE)),0,VLOOKUP($A893,'13. Updated Demand'!A:Z,21,FALSE))</f>
        <v>0</v>
      </c>
      <c r="AE893" s="16">
        <f>IF(ISERROR(VLOOKUP($A893,'13. Updated Demand'!A:Z,22,FALSE)),0,VLOOKUP($A893,'13. Updated Demand'!A:Z,22,FALSE))</f>
        <v>0</v>
      </c>
      <c r="AF893" s="16">
        <f>IF(ISERROR(VLOOKUP($A893,'13. Updated Demand'!A:Z,23,FALSE)),0,VLOOKUP($A893,'13. Updated Demand'!A:Z,23,FALSE))</f>
        <v>0</v>
      </c>
      <c r="AG893" s="16">
        <f>IF(ISERROR(VLOOKUP($A893,'13. Updated Demand'!A:Z,24,FALSE)),0,VLOOKUP($A893,'13. Updated Demand'!A:Z,24,FALSE))</f>
        <v>0</v>
      </c>
      <c r="AH893" s="16">
        <f>IF(ISERROR(VLOOKUP($A893,'13. Updated Demand'!A:Z,25,FALSE)),0,VLOOKUP($A893,'13. Updated Demand'!A:Z,25,FALSE))</f>
        <v>0</v>
      </c>
      <c r="AI893" s="16">
        <f>IF(ISERROR(VLOOKUP($A893,'13. Updated Demand'!A:Z,26,FALSE)),0,VLOOKUP($A893,'13. Updated Demand'!A:Z,26,FALSE))</f>
        <v>0</v>
      </c>
      <c r="AJ893" s="16">
        <f t="shared" si="168"/>
        <v>0</v>
      </c>
      <c r="AK893" s="19">
        <v>0</v>
      </c>
      <c r="AL893" s="16">
        <f t="shared" si="166"/>
        <v>0</v>
      </c>
      <c r="AM893" s="17">
        <v>0</v>
      </c>
      <c r="AN893" s="19"/>
      <c r="AO893" s="19"/>
      <c r="AP893" s="19">
        <v>10.7</v>
      </c>
      <c r="AQ893" s="19" t="s">
        <v>307</v>
      </c>
      <c r="AR893" s="9" t="s">
        <v>403</v>
      </c>
      <c r="AS893" s="12">
        <v>0</v>
      </c>
      <c r="AT893" s="19">
        <v>38.476187920000001</v>
      </c>
      <c r="AU893" s="19">
        <v>-122.99383357000001</v>
      </c>
      <c r="AV893" s="19" t="s">
        <v>387</v>
      </c>
    </row>
    <row r="894" spans="1:48" x14ac:dyDescent="0.25">
      <c r="A894" s="18" t="s">
        <v>1278</v>
      </c>
      <c r="B894" s="10">
        <v>19650723</v>
      </c>
      <c r="C894" s="9">
        <v>15</v>
      </c>
      <c r="D894" s="8" t="str">
        <f t="shared" si="157"/>
        <v>N</v>
      </c>
      <c r="E894" s="8" t="str">
        <f t="shared" si="158"/>
        <v>N</v>
      </c>
      <c r="F894" s="8" t="str">
        <f t="shared" si="159"/>
        <v>N</v>
      </c>
      <c r="G894" s="8" t="str">
        <f t="shared" si="160"/>
        <v>N</v>
      </c>
      <c r="H894" s="8" t="str">
        <f t="shared" si="161"/>
        <v>Lower</v>
      </c>
      <c r="I894" s="8" t="str">
        <f t="shared" si="162"/>
        <v>Outside</v>
      </c>
      <c r="J894" s="8" t="str">
        <f t="shared" si="163"/>
        <v>Outside</v>
      </c>
      <c r="K894" s="8" t="str">
        <f t="shared" si="164"/>
        <v>Post-1949</v>
      </c>
      <c r="L894" s="8">
        <f t="shared" si="165"/>
        <v>1965</v>
      </c>
      <c r="M894" s="8" t="str">
        <f t="shared" si="167"/>
        <v>1960-1970</v>
      </c>
      <c r="N894" s="10" t="s">
        <v>242</v>
      </c>
      <c r="O894" s="10" t="s">
        <v>242</v>
      </c>
      <c r="P894" s="10" t="s">
        <v>242</v>
      </c>
      <c r="Q894" s="10" t="s">
        <v>242</v>
      </c>
      <c r="R894" s="10" t="s">
        <v>241</v>
      </c>
      <c r="S894" s="10" t="s">
        <v>242</v>
      </c>
      <c r="T894" s="10" t="s">
        <v>242</v>
      </c>
      <c r="U894" s="10" t="s">
        <v>242</v>
      </c>
      <c r="V894" s="10" t="s">
        <v>242</v>
      </c>
      <c r="W894" s="10" t="s">
        <v>242</v>
      </c>
      <c r="X894" s="15">
        <f>IF(ISERROR(VLOOKUP($A894,'13. Updated Demand'!A:Z,15,FALSE)),0,VLOOKUP($A894,'13. Updated Demand'!A:Z,15,FALSE))</f>
        <v>1.0229667E-2</v>
      </c>
      <c r="Y894" s="16">
        <f>IF(ISERROR(VLOOKUP($A894,'13. Updated Demand'!A:Z,16,FALSE)),0,VLOOKUP($A894,'13. Updated Demand'!A:Z,16,FALSE))</f>
        <v>9.7179999999999992E-3</v>
      </c>
      <c r="Z894" s="16">
        <f>IF(ISERROR(VLOOKUP($A894,'13. Updated Demand'!A:Z,17,FALSE)),0,VLOOKUP($A894,'13. Updated Demand'!A:Z,17,FALSE))</f>
        <v>7.1606669999999999E-3</v>
      </c>
      <c r="AA894" s="16">
        <f>IF(ISERROR(VLOOKUP($A894,'13. Updated Demand'!A:Z,18,FALSE)),0,VLOOKUP($A894,'13. Updated Demand'!A:Z,18,FALSE))</f>
        <v>3.0690000000000001E-3</v>
      </c>
      <c r="AB894" s="16">
        <f>IF(ISERROR(VLOOKUP($A894,'13. Updated Demand'!A:Z,19,FALSE)),0,VLOOKUP($A894,'13. Updated Demand'!A:Z,19,FALSE))</f>
        <v>1.5343329999999999E-3</v>
      </c>
      <c r="AC894" s="16">
        <f>IF(ISERROR(VLOOKUP($A894,'13. Updated Demand'!A:Z,20,FALSE)),0,VLOOKUP($A894,'13. Updated Demand'!A:Z,20,FALSE))</f>
        <v>1.02333E-4</v>
      </c>
      <c r="AD894" s="16">
        <f>IF(ISERROR(VLOOKUP($A894,'13. Updated Demand'!A:Z,21,FALSE)),0,VLOOKUP($A894,'13. Updated Demand'!A:Z,21,FALSE))</f>
        <v>5.1E-5</v>
      </c>
      <c r="AE894" s="16">
        <f>IF(ISERROR(VLOOKUP($A894,'13. Updated Demand'!A:Z,22,FALSE)),0,VLOOKUP($A894,'13. Updated Demand'!A:Z,22,FALSE))</f>
        <v>0</v>
      </c>
      <c r="AF894" s="16">
        <f>IF(ISERROR(VLOOKUP($A894,'13. Updated Demand'!A:Z,23,FALSE)),0,VLOOKUP($A894,'13. Updated Demand'!A:Z,23,FALSE))</f>
        <v>0</v>
      </c>
      <c r="AG894" s="16">
        <f>IF(ISERROR(VLOOKUP($A894,'13. Updated Demand'!A:Z,24,FALSE)),0,VLOOKUP($A894,'13. Updated Demand'!A:Z,24,FALSE))</f>
        <v>0</v>
      </c>
      <c r="AH894" s="16">
        <f>IF(ISERROR(VLOOKUP($A894,'13. Updated Demand'!A:Z,25,FALSE)),0,VLOOKUP($A894,'13. Updated Demand'!A:Z,25,FALSE))</f>
        <v>3.0690000000000001E-3</v>
      </c>
      <c r="AI894" s="16">
        <f>IF(ISERROR(VLOOKUP($A894,'13. Updated Demand'!A:Z,26,FALSE)),0,VLOOKUP($A894,'13. Updated Demand'!A:Z,26,FALSE))</f>
        <v>5.1146700000000004E-4</v>
      </c>
      <c r="AJ894" s="16">
        <f t="shared" si="168"/>
        <v>3.5445467000000008E-2</v>
      </c>
      <c r="AK894" s="19">
        <v>1.687666E-3</v>
      </c>
      <c r="AL894" s="16">
        <f t="shared" si="166"/>
        <v>5.597795878776994E-6</v>
      </c>
      <c r="AM894" s="17">
        <v>5.7170108064516145E-3</v>
      </c>
      <c r="AN894" s="19"/>
      <c r="AO894" s="19"/>
      <c r="AP894" s="19">
        <v>6.2</v>
      </c>
      <c r="AQ894" s="19" t="s">
        <v>307</v>
      </c>
      <c r="AR894" s="9" t="s">
        <v>489</v>
      </c>
      <c r="AS894" s="12">
        <v>0</v>
      </c>
      <c r="AT894" s="19">
        <v>38.684822160000003</v>
      </c>
      <c r="AU894" s="19">
        <v>-122.93578045</v>
      </c>
      <c r="AV894" s="19" t="s">
        <v>417</v>
      </c>
    </row>
    <row r="895" spans="1:48" x14ac:dyDescent="0.25">
      <c r="A895" s="18" t="s">
        <v>1279</v>
      </c>
      <c r="B895" s="10">
        <v>19650517</v>
      </c>
      <c r="C895" s="9">
        <v>16</v>
      </c>
      <c r="D895" s="8" t="str">
        <f t="shared" si="157"/>
        <v>N</v>
      </c>
      <c r="E895" s="8" t="str">
        <f t="shared" si="158"/>
        <v>N</v>
      </c>
      <c r="F895" s="8" t="str">
        <f t="shared" si="159"/>
        <v>N</v>
      </c>
      <c r="G895" s="8" t="str">
        <f t="shared" si="160"/>
        <v>N</v>
      </c>
      <c r="H895" s="8" t="str">
        <f t="shared" si="161"/>
        <v>Lower</v>
      </c>
      <c r="I895" s="8" t="str">
        <f t="shared" si="162"/>
        <v>Outside</v>
      </c>
      <c r="J895" s="8" t="str">
        <f t="shared" si="163"/>
        <v>Outside</v>
      </c>
      <c r="K895" s="8" t="str">
        <f t="shared" si="164"/>
        <v>Post-1949</v>
      </c>
      <c r="L895" s="8">
        <f t="shared" si="165"/>
        <v>1965</v>
      </c>
      <c r="M895" s="8" t="str">
        <f t="shared" si="167"/>
        <v>1960-1970</v>
      </c>
      <c r="N895" s="10" t="s">
        <v>242</v>
      </c>
      <c r="O895" s="10" t="s">
        <v>242</v>
      </c>
      <c r="P895" s="10" t="s">
        <v>242</v>
      </c>
      <c r="Q895" s="10" t="s">
        <v>242</v>
      </c>
      <c r="R895" s="10" t="s">
        <v>241</v>
      </c>
      <c r="S895" s="10" t="s">
        <v>242</v>
      </c>
      <c r="T895" s="10" t="s">
        <v>242</v>
      </c>
      <c r="U895" s="10" t="s">
        <v>242</v>
      </c>
      <c r="V895" s="10" t="s">
        <v>241</v>
      </c>
      <c r="W895" s="10" t="s">
        <v>242</v>
      </c>
      <c r="X895" s="15">
        <f>IF(ISERROR(VLOOKUP($A895,'13. Updated Demand'!A:Z,15,FALSE)),0,VLOOKUP($A895,'13. Updated Demand'!A:Z,15,FALSE))</f>
        <v>5.9666666670000001</v>
      </c>
      <c r="Y895" s="16">
        <f>IF(ISERROR(VLOOKUP($A895,'13. Updated Demand'!A:Z,16,FALSE)),0,VLOOKUP($A895,'13. Updated Demand'!A:Z,16,FALSE))</f>
        <v>0.233333333</v>
      </c>
      <c r="Z895" s="16">
        <f>IF(ISERROR(VLOOKUP($A895,'13. Updated Demand'!A:Z,17,FALSE)),0,VLOOKUP($A895,'13. Updated Demand'!A:Z,17,FALSE))</f>
        <v>3.1666666669999999</v>
      </c>
      <c r="AA895" s="16">
        <f>IF(ISERROR(VLOOKUP($A895,'13. Updated Demand'!A:Z,18,FALSE)),0,VLOOKUP($A895,'13. Updated Demand'!A:Z,18,FALSE))</f>
        <v>0</v>
      </c>
      <c r="AB895" s="16">
        <f>IF(ISERROR(VLOOKUP($A895,'13. Updated Demand'!A:Z,19,FALSE)),0,VLOOKUP($A895,'13. Updated Demand'!A:Z,19,FALSE))</f>
        <v>0</v>
      </c>
      <c r="AC895" s="16">
        <f>IF(ISERROR(VLOOKUP($A895,'13. Updated Demand'!A:Z,20,FALSE)),0,VLOOKUP($A895,'13. Updated Demand'!A:Z,20,FALSE))</f>
        <v>0</v>
      </c>
      <c r="AD895" s="16">
        <f>IF(ISERROR(VLOOKUP($A895,'13. Updated Demand'!A:Z,21,FALSE)),0,VLOOKUP($A895,'13. Updated Demand'!A:Z,21,FALSE))</f>
        <v>0</v>
      </c>
      <c r="AE895" s="16">
        <f>IF(ISERROR(VLOOKUP($A895,'13. Updated Demand'!A:Z,22,FALSE)),0,VLOOKUP($A895,'13. Updated Demand'!A:Z,22,FALSE))</f>
        <v>0</v>
      </c>
      <c r="AF895" s="16">
        <f>IF(ISERROR(VLOOKUP($A895,'13. Updated Demand'!A:Z,23,FALSE)),0,VLOOKUP($A895,'13. Updated Demand'!A:Z,23,FALSE))</f>
        <v>0</v>
      </c>
      <c r="AG895" s="16">
        <f>IF(ISERROR(VLOOKUP($A895,'13. Updated Demand'!A:Z,24,FALSE)),0,VLOOKUP($A895,'13. Updated Demand'!A:Z,24,FALSE))</f>
        <v>0</v>
      </c>
      <c r="AH895" s="16">
        <f>IF(ISERROR(VLOOKUP($A895,'13. Updated Demand'!A:Z,25,FALSE)),0,VLOOKUP($A895,'13. Updated Demand'!A:Z,25,FALSE))</f>
        <v>2.0666666669999998</v>
      </c>
      <c r="AI895" s="16">
        <f>IF(ISERROR(VLOOKUP($A895,'13. Updated Demand'!A:Z,26,FALSE)),0,VLOOKUP($A895,'13. Updated Demand'!A:Z,26,FALSE))</f>
        <v>8.5333333329999999</v>
      </c>
      <c r="AJ895" s="16">
        <f t="shared" si="168"/>
        <v>19.966666666999998</v>
      </c>
      <c r="AK895" s="19">
        <v>0</v>
      </c>
      <c r="AL895" s="16">
        <f t="shared" si="166"/>
        <v>0</v>
      </c>
      <c r="AM895" s="17">
        <v>0.39150326798039214</v>
      </c>
      <c r="AN895" s="19"/>
      <c r="AO895" s="19"/>
      <c r="AP895" s="19">
        <v>51</v>
      </c>
      <c r="AQ895" s="19" t="s">
        <v>307</v>
      </c>
      <c r="AR895" s="9" t="s">
        <v>394</v>
      </c>
      <c r="AS895" s="12">
        <v>0</v>
      </c>
      <c r="AT895" s="19">
        <v>38.660971330000002</v>
      </c>
      <c r="AU895" s="19">
        <v>-122.8958909</v>
      </c>
      <c r="AV895" s="19" t="s">
        <v>417</v>
      </c>
    </row>
    <row r="896" spans="1:48" x14ac:dyDescent="0.25">
      <c r="A896" s="18" t="s">
        <v>1280</v>
      </c>
      <c r="B896" s="10">
        <v>19650824</v>
      </c>
      <c r="C896" s="9">
        <v>16</v>
      </c>
      <c r="D896" s="8" t="str">
        <f t="shared" si="157"/>
        <v>N</v>
      </c>
      <c r="E896" s="8" t="str">
        <f t="shared" si="158"/>
        <v>N</v>
      </c>
      <c r="F896" s="8" t="str">
        <f t="shared" si="159"/>
        <v>N</v>
      </c>
      <c r="G896" s="8" t="str">
        <f t="shared" si="160"/>
        <v>N</v>
      </c>
      <c r="H896" s="8" t="str">
        <f t="shared" si="161"/>
        <v>Lower</v>
      </c>
      <c r="I896" s="8" t="str">
        <f t="shared" si="162"/>
        <v>Outside</v>
      </c>
      <c r="J896" s="8" t="str">
        <f t="shared" si="163"/>
        <v>Outside</v>
      </c>
      <c r="K896" s="8" t="str">
        <f t="shared" si="164"/>
        <v>Post-1949</v>
      </c>
      <c r="L896" s="8">
        <f t="shared" si="165"/>
        <v>1965</v>
      </c>
      <c r="M896" s="8" t="str">
        <f t="shared" si="167"/>
        <v>1960-1970</v>
      </c>
      <c r="N896" s="10" t="s">
        <v>242</v>
      </c>
      <c r="O896" s="10" t="s">
        <v>242</v>
      </c>
      <c r="P896" s="10" t="s">
        <v>242</v>
      </c>
      <c r="Q896" s="10" t="s">
        <v>242</v>
      </c>
      <c r="R896" s="10" t="s">
        <v>241</v>
      </c>
      <c r="S896" s="10" t="s">
        <v>242</v>
      </c>
      <c r="T896" s="10" t="s">
        <v>242</v>
      </c>
      <c r="U896" s="10" t="s">
        <v>242</v>
      </c>
      <c r="V896" s="10" t="s">
        <v>241</v>
      </c>
      <c r="W896" s="10" t="s">
        <v>242</v>
      </c>
      <c r="X896" s="15">
        <f>IF(ISERROR(VLOOKUP($A896,'13. Updated Demand'!A:Z,15,FALSE)),0,VLOOKUP($A896,'13. Updated Demand'!A:Z,15,FALSE))</f>
        <v>3.1666666669999999</v>
      </c>
      <c r="Y896" s="16">
        <f>IF(ISERROR(VLOOKUP($A896,'13. Updated Demand'!A:Z,16,FALSE)),0,VLOOKUP($A896,'13. Updated Demand'!A:Z,16,FALSE))</f>
        <v>2.6666666669999999</v>
      </c>
      <c r="Z896" s="16">
        <f>IF(ISERROR(VLOOKUP($A896,'13. Updated Demand'!A:Z,17,FALSE)),0,VLOOKUP($A896,'13. Updated Demand'!A:Z,17,FALSE))</f>
        <v>0</v>
      </c>
      <c r="AA896" s="16">
        <f>IF(ISERROR(VLOOKUP($A896,'13. Updated Demand'!A:Z,18,FALSE)),0,VLOOKUP($A896,'13. Updated Demand'!A:Z,18,FALSE))</f>
        <v>0</v>
      </c>
      <c r="AB896" s="16">
        <f>IF(ISERROR(VLOOKUP($A896,'13. Updated Demand'!A:Z,19,FALSE)),0,VLOOKUP($A896,'13. Updated Demand'!A:Z,19,FALSE))</f>
        <v>0</v>
      </c>
      <c r="AC896" s="16">
        <f>IF(ISERROR(VLOOKUP($A896,'13. Updated Demand'!A:Z,20,FALSE)),0,VLOOKUP($A896,'13. Updated Demand'!A:Z,20,FALSE))</f>
        <v>0</v>
      </c>
      <c r="AD896" s="16">
        <f>IF(ISERROR(VLOOKUP($A896,'13. Updated Demand'!A:Z,21,FALSE)),0,VLOOKUP($A896,'13. Updated Demand'!A:Z,21,FALSE))</f>
        <v>0</v>
      </c>
      <c r="AE896" s="16">
        <f>IF(ISERROR(VLOOKUP($A896,'13. Updated Demand'!A:Z,22,FALSE)),0,VLOOKUP($A896,'13. Updated Demand'!A:Z,22,FALSE))</f>
        <v>0</v>
      </c>
      <c r="AF896" s="16">
        <f>IF(ISERROR(VLOOKUP($A896,'13. Updated Demand'!A:Z,23,FALSE)),0,VLOOKUP($A896,'13. Updated Demand'!A:Z,23,FALSE))</f>
        <v>0</v>
      </c>
      <c r="AG896" s="16">
        <f>IF(ISERROR(VLOOKUP($A896,'13. Updated Demand'!A:Z,24,FALSE)),0,VLOOKUP($A896,'13. Updated Demand'!A:Z,24,FALSE))</f>
        <v>0</v>
      </c>
      <c r="AH896" s="16">
        <f>IF(ISERROR(VLOOKUP($A896,'13. Updated Demand'!A:Z,25,FALSE)),0,VLOOKUP($A896,'13. Updated Demand'!A:Z,25,FALSE))</f>
        <v>2</v>
      </c>
      <c r="AI896" s="16">
        <f>IF(ISERROR(VLOOKUP($A896,'13. Updated Demand'!A:Z,26,FALSE)),0,VLOOKUP($A896,'13. Updated Demand'!A:Z,26,FALSE))</f>
        <v>2.3333333330000001</v>
      </c>
      <c r="AJ896" s="16">
        <f t="shared" si="168"/>
        <v>10.166666666999999</v>
      </c>
      <c r="AK896" s="19">
        <v>0</v>
      </c>
      <c r="AL896" s="16">
        <f t="shared" si="166"/>
        <v>0</v>
      </c>
      <c r="AM896" s="17">
        <v>0.56481481481481499</v>
      </c>
      <c r="AN896" s="19"/>
      <c r="AO896" s="19"/>
      <c r="AP896" s="19">
        <v>18</v>
      </c>
      <c r="AQ896" s="19" t="s">
        <v>307</v>
      </c>
      <c r="AR896" s="9" t="s">
        <v>394</v>
      </c>
      <c r="AS896" s="12">
        <v>0</v>
      </c>
      <c r="AT896" s="19">
        <v>38.646468400000003</v>
      </c>
      <c r="AU896" s="19">
        <v>-122.92442208999999</v>
      </c>
      <c r="AV896" s="19" t="s">
        <v>417</v>
      </c>
    </row>
    <row r="897" spans="1:48" x14ac:dyDescent="0.25">
      <c r="A897" s="18" t="s">
        <v>1281</v>
      </c>
      <c r="B897" s="10">
        <v>19650326</v>
      </c>
      <c r="C897" s="9">
        <v>15</v>
      </c>
      <c r="D897" s="8" t="str">
        <f t="shared" si="157"/>
        <v>N</v>
      </c>
      <c r="E897" s="8" t="str">
        <f t="shared" si="158"/>
        <v>N</v>
      </c>
      <c r="F897" s="8" t="str">
        <f t="shared" si="159"/>
        <v>N</v>
      </c>
      <c r="G897" s="8" t="str">
        <f t="shared" si="160"/>
        <v>N</v>
      </c>
      <c r="H897" s="8" t="str">
        <f t="shared" si="161"/>
        <v>Lower</v>
      </c>
      <c r="I897" s="8" t="str">
        <f t="shared" si="162"/>
        <v>Outside</v>
      </c>
      <c r="J897" s="8" t="str">
        <f t="shared" si="163"/>
        <v>Outside</v>
      </c>
      <c r="K897" s="8" t="str">
        <f t="shared" si="164"/>
        <v>Post-1949</v>
      </c>
      <c r="L897" s="8">
        <f t="shared" si="165"/>
        <v>1965</v>
      </c>
      <c r="M897" s="8" t="str">
        <f t="shared" si="167"/>
        <v>1960-1970</v>
      </c>
      <c r="N897" s="10" t="s">
        <v>242</v>
      </c>
      <c r="O897" s="10" t="s">
        <v>242</v>
      </c>
      <c r="P897" s="10" t="s">
        <v>242</v>
      </c>
      <c r="Q897" s="10" t="s">
        <v>242</v>
      </c>
      <c r="R897" s="10" t="s">
        <v>241</v>
      </c>
      <c r="S897" s="10" t="s">
        <v>242</v>
      </c>
      <c r="T897" s="10" t="s">
        <v>241</v>
      </c>
      <c r="U897" s="10" t="s">
        <v>241</v>
      </c>
      <c r="V897" s="10" t="s">
        <v>241</v>
      </c>
      <c r="W897" s="10" t="s">
        <v>242</v>
      </c>
      <c r="X897" s="15">
        <f>IF(ISERROR(VLOOKUP($A897,'13. Updated Demand'!A:Z,15,FALSE)),0,VLOOKUP($A897,'13. Updated Demand'!A:Z,15,FALSE))</f>
        <v>0</v>
      </c>
      <c r="Y897" s="16">
        <f>IF(ISERROR(VLOOKUP($A897,'13. Updated Demand'!A:Z,16,FALSE)),0,VLOOKUP($A897,'13. Updated Demand'!A:Z,16,FALSE))</f>
        <v>0</v>
      </c>
      <c r="Z897" s="16">
        <f>IF(ISERROR(VLOOKUP($A897,'13. Updated Demand'!A:Z,17,FALSE)),0,VLOOKUP($A897,'13. Updated Demand'!A:Z,17,FALSE))</f>
        <v>0</v>
      </c>
      <c r="AA897" s="16">
        <f>IF(ISERROR(VLOOKUP($A897,'13. Updated Demand'!A:Z,18,FALSE)),0,VLOOKUP($A897,'13. Updated Demand'!A:Z,18,FALSE))</f>
        <v>0</v>
      </c>
      <c r="AB897" s="16">
        <f>IF(ISERROR(VLOOKUP($A897,'13. Updated Demand'!A:Z,19,FALSE)),0,VLOOKUP($A897,'13. Updated Demand'!A:Z,19,FALSE))</f>
        <v>0</v>
      </c>
      <c r="AC897" s="16">
        <f>IF(ISERROR(VLOOKUP($A897,'13. Updated Demand'!A:Z,20,FALSE)),0,VLOOKUP($A897,'13. Updated Demand'!A:Z,20,FALSE))</f>
        <v>0</v>
      </c>
      <c r="AD897" s="16">
        <f>IF(ISERROR(VLOOKUP($A897,'13. Updated Demand'!A:Z,21,FALSE)),0,VLOOKUP($A897,'13. Updated Demand'!A:Z,21,FALSE))</f>
        <v>0</v>
      </c>
      <c r="AE897" s="16">
        <f>IF(ISERROR(VLOOKUP($A897,'13. Updated Demand'!A:Z,22,FALSE)),0,VLOOKUP($A897,'13. Updated Demand'!A:Z,22,FALSE))</f>
        <v>0</v>
      </c>
      <c r="AF897" s="16">
        <f>IF(ISERROR(VLOOKUP($A897,'13. Updated Demand'!A:Z,23,FALSE)),0,VLOOKUP($A897,'13. Updated Demand'!A:Z,23,FALSE))</f>
        <v>0</v>
      </c>
      <c r="AG897" s="16">
        <f>IF(ISERROR(VLOOKUP($A897,'13. Updated Demand'!A:Z,24,FALSE)),0,VLOOKUP($A897,'13. Updated Demand'!A:Z,24,FALSE))</f>
        <v>0</v>
      </c>
      <c r="AH897" s="16">
        <f>IF(ISERROR(VLOOKUP($A897,'13. Updated Demand'!A:Z,25,FALSE)),0,VLOOKUP($A897,'13. Updated Demand'!A:Z,25,FALSE))</f>
        <v>0</v>
      </c>
      <c r="AI897" s="16">
        <f>IF(ISERROR(VLOOKUP($A897,'13. Updated Demand'!A:Z,26,FALSE)),0,VLOOKUP($A897,'13. Updated Demand'!A:Z,26,FALSE))</f>
        <v>0</v>
      </c>
      <c r="AJ897" s="16">
        <f t="shared" si="168"/>
        <v>0</v>
      </c>
      <c r="AK897" s="19">
        <v>0</v>
      </c>
      <c r="AL897" s="16">
        <f t="shared" si="166"/>
        <v>0</v>
      </c>
      <c r="AM897" s="17">
        <v>0</v>
      </c>
      <c r="AN897" s="19"/>
      <c r="AO897" s="19"/>
      <c r="AP897" s="19">
        <v>3</v>
      </c>
      <c r="AQ897" s="19" t="s">
        <v>307</v>
      </c>
      <c r="AR897" s="9" t="s">
        <v>489</v>
      </c>
      <c r="AS897" s="12">
        <v>0</v>
      </c>
      <c r="AT897" s="19">
        <v>38.64798657</v>
      </c>
      <c r="AU897" s="19">
        <v>-122.94054967</v>
      </c>
      <c r="AV897" s="19" t="s">
        <v>417</v>
      </c>
    </row>
    <row r="898" spans="1:48" x14ac:dyDescent="0.25">
      <c r="A898" s="18" t="s">
        <v>1282</v>
      </c>
      <c r="B898" s="10">
        <v>19650507</v>
      </c>
      <c r="C898" s="9">
        <v>15</v>
      </c>
      <c r="D898" s="8" t="str">
        <f t="shared" ref="D898:D961" si="169">IF(OR(C898=4,C898=5,C898=6),"Y","N")</f>
        <v>N</v>
      </c>
      <c r="E898" s="8" t="str">
        <f t="shared" ref="E898:E961" si="170">IF(AND(C898&gt;6,C898&lt;14),"Y","N")</f>
        <v>N</v>
      </c>
      <c r="F898" s="8" t="str">
        <f t="shared" ref="F898:F961" si="171">IF(C898&lt;14,"Y","N")</f>
        <v>N</v>
      </c>
      <c r="G898" s="8" t="str">
        <f t="shared" ref="G898:G961" si="172">IF(OR(C898=1,AND(C898&gt;3,C898&lt;14)),"Y","N")</f>
        <v>N</v>
      </c>
      <c r="H898" s="8" t="str">
        <f t="shared" ref="H898:H961" si="173">IF(C898&lt;14,"Upper","Lower")</f>
        <v>Lower</v>
      </c>
      <c r="I898" s="8" t="str">
        <f t="shared" ref="I898:I961" si="174">IF(G898="Y","West Fork and Below Lake","Outside")</f>
        <v>Outside</v>
      </c>
      <c r="J898" s="8" t="str">
        <f t="shared" ref="J898:J961" si="175">IF(D898="Y", "Mendocino (d/s of lake)", IF(E898="Y", "Sonoma (d/s of Clov. Gage)","Outside"))</f>
        <v>Outside</v>
      </c>
      <c r="K898" s="8" t="str">
        <f t="shared" ref="K898:K961" si="176">IF(P898="Y","pre-1914",IF(Q898="Y","Pre-1949",IF(R898="Y","Post-1949",IF(S898="Y","Riparian","Unknown"))))</f>
        <v>Post-1949</v>
      </c>
      <c r="L898" s="8">
        <f t="shared" ref="L898:L961" si="177">_xlfn.NUMBERVALUE(LEFT(B898,4))</f>
        <v>1965</v>
      </c>
      <c r="M898" s="8" t="str">
        <f t="shared" si="167"/>
        <v>1960-1970</v>
      </c>
      <c r="N898" s="10" t="s">
        <v>242</v>
      </c>
      <c r="O898" s="10" t="s">
        <v>242</v>
      </c>
      <c r="P898" s="10" t="s">
        <v>242</v>
      </c>
      <c r="Q898" s="10" t="s">
        <v>242</v>
      </c>
      <c r="R898" s="10" t="s">
        <v>241</v>
      </c>
      <c r="S898" s="10" t="s">
        <v>242</v>
      </c>
      <c r="T898" s="10" t="s">
        <v>241</v>
      </c>
      <c r="U898" s="10" t="s">
        <v>241</v>
      </c>
      <c r="V898" s="10" t="s">
        <v>241</v>
      </c>
      <c r="W898" s="10" t="s">
        <v>242</v>
      </c>
      <c r="X898" s="15">
        <f>IF(ISERROR(VLOOKUP($A898,'13. Updated Demand'!A:Z,15,FALSE)),0,VLOOKUP($A898,'13. Updated Demand'!A:Z,15,FALSE))</f>
        <v>0</v>
      </c>
      <c r="Y898" s="16">
        <f>IF(ISERROR(VLOOKUP($A898,'13. Updated Demand'!A:Z,16,FALSE)),0,VLOOKUP($A898,'13. Updated Demand'!A:Z,16,FALSE))</f>
        <v>0</v>
      </c>
      <c r="Z898" s="16">
        <f>IF(ISERROR(VLOOKUP($A898,'13. Updated Demand'!A:Z,17,FALSE)),0,VLOOKUP($A898,'13. Updated Demand'!A:Z,17,FALSE))</f>
        <v>0</v>
      </c>
      <c r="AA898" s="16">
        <f>IF(ISERROR(VLOOKUP($A898,'13. Updated Demand'!A:Z,18,FALSE)),0,VLOOKUP($A898,'13. Updated Demand'!A:Z,18,FALSE))</f>
        <v>0</v>
      </c>
      <c r="AB898" s="16">
        <f>IF(ISERROR(VLOOKUP($A898,'13. Updated Demand'!A:Z,19,FALSE)),0,VLOOKUP($A898,'13. Updated Demand'!A:Z,19,FALSE))</f>
        <v>0</v>
      </c>
      <c r="AC898" s="16">
        <f>IF(ISERROR(VLOOKUP($A898,'13. Updated Demand'!A:Z,20,FALSE)),0,VLOOKUP($A898,'13. Updated Demand'!A:Z,20,FALSE))</f>
        <v>0</v>
      </c>
      <c r="AD898" s="16">
        <f>IF(ISERROR(VLOOKUP($A898,'13. Updated Demand'!A:Z,21,FALSE)),0,VLOOKUP($A898,'13. Updated Demand'!A:Z,21,FALSE))</f>
        <v>0</v>
      </c>
      <c r="AE898" s="16">
        <f>IF(ISERROR(VLOOKUP($A898,'13. Updated Demand'!A:Z,22,FALSE)),0,VLOOKUP($A898,'13. Updated Demand'!A:Z,22,FALSE))</f>
        <v>0</v>
      </c>
      <c r="AF898" s="16">
        <f>IF(ISERROR(VLOOKUP($A898,'13. Updated Demand'!A:Z,23,FALSE)),0,VLOOKUP($A898,'13. Updated Demand'!A:Z,23,FALSE))</f>
        <v>0</v>
      </c>
      <c r="AG898" s="16">
        <f>IF(ISERROR(VLOOKUP($A898,'13. Updated Demand'!A:Z,24,FALSE)),0,VLOOKUP($A898,'13. Updated Demand'!A:Z,24,FALSE))</f>
        <v>0</v>
      </c>
      <c r="AH898" s="16">
        <f>IF(ISERROR(VLOOKUP($A898,'13. Updated Demand'!A:Z,25,FALSE)),0,VLOOKUP($A898,'13. Updated Demand'!A:Z,25,FALSE))</f>
        <v>0</v>
      </c>
      <c r="AI898" s="16">
        <f>IF(ISERROR(VLOOKUP($A898,'13. Updated Demand'!A:Z,26,FALSE)),0,VLOOKUP($A898,'13. Updated Demand'!A:Z,26,FALSE))</f>
        <v>0</v>
      </c>
      <c r="AJ898" s="16">
        <f t="shared" si="168"/>
        <v>0</v>
      </c>
      <c r="AK898" s="19">
        <v>0</v>
      </c>
      <c r="AL898" s="16">
        <f t="shared" ref="AL898:AL961" si="178">AK898/152/1.983471</f>
        <v>0</v>
      </c>
      <c r="AM898" s="17">
        <v>0</v>
      </c>
      <c r="AN898" s="19"/>
      <c r="AO898" s="19"/>
      <c r="AP898" s="19">
        <v>0.2</v>
      </c>
      <c r="AQ898" s="19" t="s">
        <v>307</v>
      </c>
      <c r="AR898" s="9" t="s">
        <v>489</v>
      </c>
      <c r="AS898" s="12">
        <v>0</v>
      </c>
      <c r="AT898" s="19">
        <v>38.647991589999997</v>
      </c>
      <c r="AU898" s="19">
        <v>-122.94056302</v>
      </c>
      <c r="AV898" s="19" t="s">
        <v>417</v>
      </c>
    </row>
    <row r="899" spans="1:48" x14ac:dyDescent="0.25">
      <c r="A899" s="18" t="s">
        <v>1283</v>
      </c>
      <c r="B899" s="10">
        <v>19640114</v>
      </c>
      <c r="C899" s="9">
        <v>1</v>
      </c>
      <c r="D899" s="8" t="str">
        <f t="shared" si="169"/>
        <v>N</v>
      </c>
      <c r="E899" s="8" t="str">
        <f t="shared" si="170"/>
        <v>N</v>
      </c>
      <c r="F899" s="8" t="str">
        <f t="shared" si="171"/>
        <v>Y</v>
      </c>
      <c r="G899" s="8" t="str">
        <f t="shared" si="172"/>
        <v>Y</v>
      </c>
      <c r="H899" s="8" t="str">
        <f t="shared" si="173"/>
        <v>Upper</v>
      </c>
      <c r="I899" s="8" t="str">
        <f t="shared" si="174"/>
        <v>West Fork and Below Lake</v>
      </c>
      <c r="J899" s="8" t="str">
        <f t="shared" si="175"/>
        <v>Outside</v>
      </c>
      <c r="K899" s="8" t="str">
        <f t="shared" si="176"/>
        <v>Post-1949</v>
      </c>
      <c r="L899" s="8">
        <f t="shared" si="177"/>
        <v>1964</v>
      </c>
      <c r="M899" s="8" t="str">
        <f t="shared" ref="M899:M962" si="179">IF(L899=1949,"1949",IF(AND(L899&gt;1949,L899&lt;1953),"1950-1952",IF(AND(L899&gt;1952,L899&lt;1955),"1953-1954",IF(AND(L899&gt;1954,L899&lt;1957),"1955-1956",IF(AND(L899&gt;1956,L899&lt;1960),"1957-1959",IF(AND(L899&gt;1959,L899&lt;1971),"1960-1970",IF(AND(L899&gt;1970,L899&lt;1991),"1971-1990",IF(L899&gt;1990,"1991-present","-"))))))))</f>
        <v>1960-1970</v>
      </c>
      <c r="N899" s="10" t="s">
        <v>242</v>
      </c>
      <c r="O899" s="10" t="s">
        <v>241</v>
      </c>
      <c r="P899" s="10" t="s">
        <v>242</v>
      </c>
      <c r="Q899" s="10" t="s">
        <v>242</v>
      </c>
      <c r="R899" s="10" t="s">
        <v>241</v>
      </c>
      <c r="S899" s="10" t="s">
        <v>242</v>
      </c>
      <c r="T899" s="10" t="s">
        <v>242</v>
      </c>
      <c r="U899" s="10" t="s">
        <v>242</v>
      </c>
      <c r="V899" s="10" t="s">
        <v>242</v>
      </c>
      <c r="W899" s="10" t="s">
        <v>242</v>
      </c>
      <c r="X899" s="15">
        <f>IF(ISERROR(VLOOKUP($A899,'13. Updated Demand'!A:Z,15,FALSE)),0,VLOOKUP($A899,'13. Updated Demand'!A:Z,15,FALSE))</f>
        <v>0</v>
      </c>
      <c r="Y899" s="16">
        <f>IF(ISERROR(VLOOKUP($A899,'13. Updated Demand'!A:Z,16,FALSE)),0,VLOOKUP($A899,'13. Updated Demand'!A:Z,16,FALSE))</f>
        <v>0</v>
      </c>
      <c r="Z899" s="16">
        <f>IF(ISERROR(VLOOKUP($A899,'13. Updated Demand'!A:Z,17,FALSE)),0,VLOOKUP($A899,'13. Updated Demand'!A:Z,17,FALSE))</f>
        <v>4.6E-5</v>
      </c>
      <c r="AA899" s="16">
        <f>IF(ISERROR(VLOOKUP($A899,'13. Updated Demand'!A:Z,18,FALSE)),0,VLOOKUP($A899,'13. Updated Demand'!A:Z,18,FALSE))</f>
        <v>4.6E-5</v>
      </c>
      <c r="AB899" s="16">
        <f>IF(ISERROR(VLOOKUP($A899,'13. Updated Demand'!A:Z,19,FALSE)),0,VLOOKUP($A899,'13. Updated Demand'!A:Z,19,FALSE))</f>
        <v>4.6E-5</v>
      </c>
      <c r="AC899" s="16">
        <f>IF(ISERROR(VLOOKUP($A899,'13. Updated Demand'!A:Z,20,FALSE)),0,VLOOKUP($A899,'13. Updated Demand'!A:Z,20,FALSE))</f>
        <v>9.2E-5</v>
      </c>
      <c r="AD899" s="16">
        <f>IF(ISERROR(VLOOKUP($A899,'13. Updated Demand'!A:Z,21,FALSE)),0,VLOOKUP($A899,'13. Updated Demand'!A:Z,21,FALSE))</f>
        <v>9.2E-5</v>
      </c>
      <c r="AE899" s="16">
        <f>IF(ISERROR(VLOOKUP($A899,'13. Updated Demand'!A:Z,22,FALSE)),0,VLOOKUP($A899,'13. Updated Demand'!A:Z,22,FALSE))</f>
        <v>9.2E-5</v>
      </c>
      <c r="AF899" s="16">
        <f>IF(ISERROR(VLOOKUP($A899,'13. Updated Demand'!A:Z,23,FALSE)),0,VLOOKUP($A899,'13. Updated Demand'!A:Z,23,FALSE))</f>
        <v>9.2E-5</v>
      </c>
      <c r="AG899" s="16">
        <f>IF(ISERROR(VLOOKUP($A899,'13. Updated Demand'!A:Z,24,FALSE)),0,VLOOKUP($A899,'13. Updated Demand'!A:Z,24,FALSE))</f>
        <v>0</v>
      </c>
      <c r="AH899" s="16">
        <f>IF(ISERROR(VLOOKUP($A899,'13. Updated Demand'!A:Z,25,FALSE)),0,VLOOKUP($A899,'13. Updated Demand'!A:Z,25,FALSE))</f>
        <v>0</v>
      </c>
      <c r="AI899" s="16">
        <f>IF(ISERROR(VLOOKUP($A899,'13. Updated Demand'!A:Z,26,FALSE)),0,VLOOKUP($A899,'13. Updated Demand'!A:Z,26,FALSE))</f>
        <v>0</v>
      </c>
      <c r="AJ899" s="16">
        <f t="shared" si="168"/>
        <v>5.0600000000000005E-4</v>
      </c>
      <c r="AK899" s="19">
        <v>4.1400000000000003E-4</v>
      </c>
      <c r="AL899" s="16">
        <f t="shared" si="178"/>
        <v>1.373190840968341E-6</v>
      </c>
      <c r="AM899" s="17">
        <v>1.2650000000000001E-3</v>
      </c>
      <c r="AN899" s="19"/>
      <c r="AO899" s="19"/>
      <c r="AP899" s="19">
        <v>0.4</v>
      </c>
      <c r="AQ899" s="19" t="s">
        <v>307</v>
      </c>
      <c r="AR899" s="9" t="s">
        <v>317</v>
      </c>
      <c r="AS899" s="12">
        <v>0</v>
      </c>
      <c r="AT899" s="19">
        <v>39.259827710000003</v>
      </c>
      <c r="AU899" s="19">
        <v>-123.23089821000001</v>
      </c>
      <c r="AV899" s="19" t="s">
        <v>713</v>
      </c>
    </row>
    <row r="900" spans="1:48" x14ac:dyDescent="0.25">
      <c r="A900" s="18" t="s">
        <v>1284</v>
      </c>
      <c r="B900" s="10">
        <v>19640228</v>
      </c>
      <c r="C900" s="9">
        <v>18</v>
      </c>
      <c r="D900" s="8" t="str">
        <f t="shared" si="169"/>
        <v>N</v>
      </c>
      <c r="E900" s="8" t="str">
        <f t="shared" si="170"/>
        <v>N</v>
      </c>
      <c r="F900" s="8" t="str">
        <f t="shared" si="171"/>
        <v>N</v>
      </c>
      <c r="G900" s="8" t="str">
        <f t="shared" si="172"/>
        <v>N</v>
      </c>
      <c r="H900" s="8" t="str">
        <f t="shared" si="173"/>
        <v>Lower</v>
      </c>
      <c r="I900" s="8" t="str">
        <f t="shared" si="174"/>
        <v>Outside</v>
      </c>
      <c r="J900" s="8" t="str">
        <f t="shared" si="175"/>
        <v>Outside</v>
      </c>
      <c r="K900" s="8" t="str">
        <f t="shared" si="176"/>
        <v>Post-1949</v>
      </c>
      <c r="L900" s="8">
        <f t="shared" si="177"/>
        <v>1964</v>
      </c>
      <c r="M900" s="8" t="str">
        <f t="shared" si="179"/>
        <v>1960-1970</v>
      </c>
      <c r="N900" s="10" t="s">
        <v>242</v>
      </c>
      <c r="O900" s="10" t="s">
        <v>242</v>
      </c>
      <c r="P900" s="10" t="s">
        <v>242</v>
      </c>
      <c r="Q900" s="10" t="s">
        <v>242</v>
      </c>
      <c r="R900" s="10" t="s">
        <v>241</v>
      </c>
      <c r="S900" s="10" t="s">
        <v>242</v>
      </c>
      <c r="T900" s="10" t="s">
        <v>242</v>
      </c>
      <c r="U900" s="10" t="s">
        <v>241</v>
      </c>
      <c r="V900" s="10" t="s">
        <v>241</v>
      </c>
      <c r="W900" s="10" t="s">
        <v>242</v>
      </c>
      <c r="X900" s="15">
        <f>IF(ISERROR(VLOOKUP($A900,'13. Updated Demand'!A:Z,15,FALSE)),0,VLOOKUP($A900,'13. Updated Demand'!A:Z,15,FALSE))</f>
        <v>0</v>
      </c>
      <c r="Y900" s="16">
        <f>IF(ISERROR(VLOOKUP($A900,'13. Updated Demand'!A:Z,16,FALSE)),0,VLOOKUP($A900,'13. Updated Demand'!A:Z,16,FALSE))</f>
        <v>0</v>
      </c>
      <c r="Z900" s="16">
        <f>IF(ISERROR(VLOOKUP($A900,'13. Updated Demand'!A:Z,17,FALSE)),0,VLOOKUP($A900,'13. Updated Demand'!A:Z,17,FALSE))</f>
        <v>0</v>
      </c>
      <c r="AA900" s="16">
        <f>IF(ISERROR(VLOOKUP($A900,'13. Updated Demand'!A:Z,18,FALSE)),0,VLOOKUP($A900,'13. Updated Demand'!A:Z,18,FALSE))</f>
        <v>0</v>
      </c>
      <c r="AB900" s="16">
        <f>IF(ISERROR(VLOOKUP($A900,'13. Updated Demand'!A:Z,19,FALSE)),0,VLOOKUP($A900,'13. Updated Demand'!A:Z,19,FALSE))</f>
        <v>0</v>
      </c>
      <c r="AC900" s="16">
        <f>IF(ISERROR(VLOOKUP($A900,'13. Updated Demand'!A:Z,20,FALSE)),0,VLOOKUP($A900,'13. Updated Demand'!A:Z,20,FALSE))</f>
        <v>0</v>
      </c>
      <c r="AD900" s="16">
        <f>IF(ISERROR(VLOOKUP($A900,'13. Updated Demand'!A:Z,21,FALSE)),0,VLOOKUP($A900,'13. Updated Demand'!A:Z,21,FALSE))</f>
        <v>0</v>
      </c>
      <c r="AE900" s="16">
        <f>IF(ISERROR(VLOOKUP($A900,'13. Updated Demand'!A:Z,22,FALSE)),0,VLOOKUP($A900,'13. Updated Demand'!A:Z,22,FALSE))</f>
        <v>0</v>
      </c>
      <c r="AF900" s="16">
        <f>IF(ISERROR(VLOOKUP($A900,'13. Updated Demand'!A:Z,23,FALSE)),0,VLOOKUP($A900,'13. Updated Demand'!A:Z,23,FALSE))</f>
        <v>0</v>
      </c>
      <c r="AG900" s="16">
        <f>IF(ISERROR(VLOOKUP($A900,'13. Updated Demand'!A:Z,24,FALSE)),0,VLOOKUP($A900,'13. Updated Demand'!A:Z,24,FALSE))</f>
        <v>0</v>
      </c>
      <c r="AH900" s="16">
        <f>IF(ISERROR(VLOOKUP($A900,'13. Updated Demand'!A:Z,25,FALSE)),0,VLOOKUP($A900,'13. Updated Demand'!A:Z,25,FALSE))</f>
        <v>0</v>
      </c>
      <c r="AI900" s="16">
        <f>IF(ISERROR(VLOOKUP($A900,'13. Updated Demand'!A:Z,26,FALSE)),0,VLOOKUP($A900,'13. Updated Demand'!A:Z,26,FALSE))</f>
        <v>0</v>
      </c>
      <c r="AJ900" s="16">
        <f t="shared" si="168"/>
        <v>0</v>
      </c>
      <c r="AK900" s="19">
        <v>0</v>
      </c>
      <c r="AL900" s="16">
        <f t="shared" si="178"/>
        <v>0</v>
      </c>
      <c r="AM900" s="17">
        <v>0</v>
      </c>
      <c r="AN900" s="19"/>
      <c r="AO900" s="19"/>
      <c r="AP900" s="19">
        <v>180</v>
      </c>
      <c r="AQ900" s="19" t="s">
        <v>307</v>
      </c>
      <c r="AR900" s="9" t="s">
        <v>352</v>
      </c>
      <c r="AS900" s="12">
        <v>0</v>
      </c>
      <c r="AT900" s="19">
        <v>38.448021439999998</v>
      </c>
      <c r="AU900" s="19">
        <v>-122.91277838000001</v>
      </c>
      <c r="AV900" s="19" t="s">
        <v>417</v>
      </c>
    </row>
    <row r="901" spans="1:48" x14ac:dyDescent="0.25">
      <c r="A901" s="18" t="s">
        <v>1285</v>
      </c>
      <c r="B901" s="10">
        <v>19640228</v>
      </c>
      <c r="C901" s="9">
        <v>17</v>
      </c>
      <c r="D901" s="8" t="str">
        <f t="shared" si="169"/>
        <v>N</v>
      </c>
      <c r="E901" s="8" t="str">
        <f t="shared" si="170"/>
        <v>N</v>
      </c>
      <c r="F901" s="8" t="str">
        <f t="shared" si="171"/>
        <v>N</v>
      </c>
      <c r="G901" s="8" t="str">
        <f t="shared" si="172"/>
        <v>N</v>
      </c>
      <c r="H901" s="8" t="str">
        <f t="shared" si="173"/>
        <v>Lower</v>
      </c>
      <c r="I901" s="8" t="str">
        <f t="shared" si="174"/>
        <v>Outside</v>
      </c>
      <c r="J901" s="8" t="str">
        <f t="shared" si="175"/>
        <v>Outside</v>
      </c>
      <c r="K901" s="8" t="str">
        <f t="shared" si="176"/>
        <v>Post-1949</v>
      </c>
      <c r="L901" s="8">
        <f t="shared" si="177"/>
        <v>1964</v>
      </c>
      <c r="M901" s="8" t="str">
        <f t="shared" si="179"/>
        <v>1960-1970</v>
      </c>
      <c r="N901" s="10" t="s">
        <v>241</v>
      </c>
      <c r="O901" s="10" t="s">
        <v>242</v>
      </c>
      <c r="P901" s="10" t="s">
        <v>242</v>
      </c>
      <c r="Q901" s="10" t="s">
        <v>242</v>
      </c>
      <c r="R901" s="10" t="s">
        <v>241</v>
      </c>
      <c r="S901" s="10" t="s">
        <v>242</v>
      </c>
      <c r="T901" s="10" t="s">
        <v>242</v>
      </c>
      <c r="U901" s="10" t="s">
        <v>242</v>
      </c>
      <c r="V901" s="10" t="s">
        <v>242</v>
      </c>
      <c r="W901" s="10" t="s">
        <v>242</v>
      </c>
      <c r="X901" s="15">
        <f>IF(ISERROR(VLOOKUP($A901,'13. Updated Demand'!A:Z,15,FALSE)),0,VLOOKUP($A901,'13. Updated Demand'!A:Z,15,FALSE))</f>
        <v>0</v>
      </c>
      <c r="Y901" s="16">
        <f>IF(ISERROR(VLOOKUP($A901,'13. Updated Demand'!A:Z,16,FALSE)),0,VLOOKUP($A901,'13. Updated Demand'!A:Z,16,FALSE))</f>
        <v>0</v>
      </c>
      <c r="Z901" s="16">
        <f>IF(ISERROR(VLOOKUP($A901,'13. Updated Demand'!A:Z,17,FALSE)),0,VLOOKUP($A901,'13. Updated Demand'!A:Z,17,FALSE))</f>
        <v>6.6666670000000003E-3</v>
      </c>
      <c r="AA901" s="16">
        <f>IF(ISERROR(VLOOKUP($A901,'13. Updated Demand'!A:Z,18,FALSE)),0,VLOOKUP($A901,'13. Updated Demand'!A:Z,18,FALSE))</f>
        <v>3.333333E-3</v>
      </c>
      <c r="AB901" s="16">
        <f>IF(ISERROR(VLOOKUP($A901,'13. Updated Demand'!A:Z,19,FALSE)),0,VLOOKUP($A901,'13. Updated Demand'!A:Z,19,FALSE))</f>
        <v>0.141323</v>
      </c>
      <c r="AC901" s="16">
        <f>IF(ISERROR(VLOOKUP($A901,'13. Updated Demand'!A:Z,20,FALSE)),0,VLOOKUP($A901,'13. Updated Demand'!A:Z,20,FALSE))</f>
        <v>1.3359376670000001</v>
      </c>
      <c r="AD901" s="16">
        <f>IF(ISERROR(VLOOKUP($A901,'13. Updated Demand'!A:Z,21,FALSE)),0,VLOOKUP($A901,'13. Updated Demand'!A:Z,21,FALSE))</f>
        <v>3.4807586669999999</v>
      </c>
      <c r="AE901" s="16">
        <f>IF(ISERROR(VLOOKUP($A901,'13. Updated Demand'!A:Z,22,FALSE)),0,VLOOKUP($A901,'13. Updated Demand'!A:Z,22,FALSE))</f>
        <v>2.3811640000000001</v>
      </c>
      <c r="AF901" s="16">
        <f>IF(ISERROR(VLOOKUP($A901,'13. Updated Demand'!A:Z,23,FALSE)),0,VLOOKUP($A901,'13. Updated Demand'!A:Z,23,FALSE))</f>
        <v>1.3863603330000001</v>
      </c>
      <c r="AG901" s="16">
        <f>IF(ISERROR(VLOOKUP($A901,'13. Updated Demand'!A:Z,24,FALSE)),0,VLOOKUP($A901,'13. Updated Demand'!A:Z,24,FALSE))</f>
        <v>1.4730369999999999</v>
      </c>
      <c r="AH901" s="16">
        <f>IF(ISERROR(VLOOKUP($A901,'13. Updated Demand'!A:Z,25,FALSE)),0,VLOOKUP($A901,'13. Updated Demand'!A:Z,25,FALSE))</f>
        <v>0.27666666699999998</v>
      </c>
      <c r="AI901" s="16">
        <f>IF(ISERROR(VLOOKUP($A901,'13. Updated Demand'!A:Z,26,FALSE)),0,VLOOKUP($A901,'13. Updated Demand'!A:Z,26,FALSE))</f>
        <v>0</v>
      </c>
      <c r="AJ901" s="16">
        <f t="shared" si="168"/>
        <v>10.485247334</v>
      </c>
      <c r="AK901" s="19">
        <v>8.7255436670000002</v>
      </c>
      <c r="AL901" s="16">
        <f t="shared" si="178"/>
        <v>2.8941634410612826E-2</v>
      </c>
      <c r="AM901" s="17">
        <v>0.12944749795061727</v>
      </c>
      <c r="AN901" s="19"/>
      <c r="AO901" s="19"/>
      <c r="AP901" s="19">
        <v>81</v>
      </c>
      <c r="AQ901" s="19" t="s">
        <v>307</v>
      </c>
      <c r="AR901" s="9" t="s">
        <v>486</v>
      </c>
      <c r="AS901" s="12">
        <v>0</v>
      </c>
      <c r="AT901" s="19">
        <v>38.564296749999997</v>
      </c>
      <c r="AU901" s="19">
        <v>-122.86145045000001</v>
      </c>
      <c r="AV901" s="19" t="s">
        <v>548</v>
      </c>
    </row>
    <row r="902" spans="1:48" x14ac:dyDescent="0.25">
      <c r="A902" s="18" t="s">
        <v>1286</v>
      </c>
      <c r="B902" s="10">
        <v>19640302</v>
      </c>
      <c r="C902" s="9">
        <v>11</v>
      </c>
      <c r="D902" s="8" t="str">
        <f t="shared" si="169"/>
        <v>N</v>
      </c>
      <c r="E902" s="8" t="str">
        <f t="shared" si="170"/>
        <v>Y</v>
      </c>
      <c r="F902" s="8" t="str">
        <f t="shared" si="171"/>
        <v>Y</v>
      </c>
      <c r="G902" s="8" t="str">
        <f t="shared" si="172"/>
        <v>Y</v>
      </c>
      <c r="H902" s="8" t="str">
        <f t="shared" si="173"/>
        <v>Upper</v>
      </c>
      <c r="I902" s="8" t="str">
        <f t="shared" si="174"/>
        <v>West Fork and Below Lake</v>
      </c>
      <c r="J902" s="8" t="str">
        <f t="shared" si="175"/>
        <v>Sonoma (d/s of Clov. Gage)</v>
      </c>
      <c r="K902" s="8" t="str">
        <f t="shared" si="176"/>
        <v>Post-1949</v>
      </c>
      <c r="L902" s="8">
        <f t="shared" si="177"/>
        <v>1964</v>
      </c>
      <c r="M902" s="8" t="str">
        <f t="shared" si="179"/>
        <v>1960-1970</v>
      </c>
      <c r="N902" s="10" t="s">
        <v>242</v>
      </c>
      <c r="O902" s="10" t="s">
        <v>241</v>
      </c>
      <c r="P902" s="10" t="s">
        <v>242</v>
      </c>
      <c r="Q902" s="10" t="s">
        <v>242</v>
      </c>
      <c r="R902" s="10" t="s">
        <v>241</v>
      </c>
      <c r="S902" s="10" t="s">
        <v>242</v>
      </c>
      <c r="T902" s="10" t="s">
        <v>242</v>
      </c>
      <c r="U902" s="10" t="s">
        <v>242</v>
      </c>
      <c r="V902" s="10" t="s">
        <v>241</v>
      </c>
      <c r="W902" s="10" t="s">
        <v>242</v>
      </c>
      <c r="X902" s="15">
        <f>IF(ISERROR(VLOOKUP($A902,'13. Updated Demand'!A:Z,15,FALSE)),0,VLOOKUP($A902,'13. Updated Demand'!A:Z,15,FALSE))</f>
        <v>4.13</v>
      </c>
      <c r="Y902" s="16">
        <f>IF(ISERROR(VLOOKUP($A902,'13. Updated Demand'!A:Z,16,FALSE)),0,VLOOKUP($A902,'13. Updated Demand'!A:Z,16,FALSE))</f>
        <v>0</v>
      </c>
      <c r="Z902" s="16">
        <f>IF(ISERROR(VLOOKUP($A902,'13. Updated Demand'!A:Z,17,FALSE)),0,VLOOKUP($A902,'13. Updated Demand'!A:Z,17,FALSE))</f>
        <v>0</v>
      </c>
      <c r="AA902" s="16">
        <f>IF(ISERROR(VLOOKUP($A902,'13. Updated Demand'!A:Z,18,FALSE)),0,VLOOKUP($A902,'13. Updated Demand'!A:Z,18,FALSE))</f>
        <v>0</v>
      </c>
      <c r="AB902" s="16">
        <f>IF(ISERROR(VLOOKUP($A902,'13. Updated Demand'!A:Z,19,FALSE)),0,VLOOKUP($A902,'13. Updated Demand'!A:Z,19,FALSE))</f>
        <v>0</v>
      </c>
      <c r="AC902" s="16">
        <f>IF(ISERROR(VLOOKUP($A902,'13. Updated Demand'!A:Z,20,FALSE)),0,VLOOKUP($A902,'13. Updated Demand'!A:Z,20,FALSE))</f>
        <v>0</v>
      </c>
      <c r="AD902" s="16">
        <f>IF(ISERROR(VLOOKUP($A902,'13. Updated Demand'!A:Z,21,FALSE)),0,VLOOKUP($A902,'13. Updated Demand'!A:Z,21,FALSE))</f>
        <v>0</v>
      </c>
      <c r="AE902" s="16">
        <f>IF(ISERROR(VLOOKUP($A902,'13. Updated Demand'!A:Z,22,FALSE)),0,VLOOKUP($A902,'13. Updated Demand'!A:Z,22,FALSE))</f>
        <v>0</v>
      </c>
      <c r="AF902" s="16">
        <f>IF(ISERROR(VLOOKUP($A902,'13. Updated Demand'!A:Z,23,FALSE)),0,VLOOKUP($A902,'13. Updated Demand'!A:Z,23,FALSE))</f>
        <v>0</v>
      </c>
      <c r="AG902" s="16">
        <f>IF(ISERROR(VLOOKUP($A902,'13. Updated Demand'!A:Z,24,FALSE)),0,VLOOKUP($A902,'13. Updated Demand'!A:Z,24,FALSE))</f>
        <v>0</v>
      </c>
      <c r="AH902" s="16">
        <f>IF(ISERROR(VLOOKUP($A902,'13. Updated Demand'!A:Z,25,FALSE)),0,VLOOKUP($A902,'13. Updated Demand'!A:Z,25,FALSE))</f>
        <v>5.3</v>
      </c>
      <c r="AI902" s="16">
        <f>IF(ISERROR(VLOOKUP($A902,'13. Updated Demand'!A:Z,26,FALSE)),0,VLOOKUP($A902,'13. Updated Demand'!A:Z,26,FALSE))</f>
        <v>8.6300000000000008</v>
      </c>
      <c r="AJ902" s="16">
        <f t="shared" si="168"/>
        <v>18.060000000000002</v>
      </c>
      <c r="AK902" s="19">
        <v>0</v>
      </c>
      <c r="AL902" s="16">
        <f t="shared" si="178"/>
        <v>0</v>
      </c>
      <c r="AM902" s="17">
        <v>0.44065040648780485</v>
      </c>
      <c r="AN902" s="19"/>
      <c r="AO902" s="19"/>
      <c r="AP902" s="19">
        <v>41</v>
      </c>
      <c r="AQ902" s="19" t="s">
        <v>307</v>
      </c>
      <c r="AR902" s="9" t="s">
        <v>308</v>
      </c>
      <c r="AS902" s="12">
        <v>0</v>
      </c>
      <c r="AT902" s="19">
        <v>38.657547000000001</v>
      </c>
      <c r="AU902" s="19">
        <v>-122.71653831</v>
      </c>
      <c r="AV902" s="19" t="s">
        <v>417</v>
      </c>
    </row>
    <row r="903" spans="1:48" x14ac:dyDescent="0.25">
      <c r="A903" s="18" t="s">
        <v>1287</v>
      </c>
      <c r="B903" s="10">
        <v>19640305</v>
      </c>
      <c r="C903" s="9">
        <v>12</v>
      </c>
      <c r="D903" s="8" t="str">
        <f t="shared" si="169"/>
        <v>N</v>
      </c>
      <c r="E903" s="8" t="str">
        <f t="shared" si="170"/>
        <v>Y</v>
      </c>
      <c r="F903" s="8" t="str">
        <f t="shared" si="171"/>
        <v>Y</v>
      </c>
      <c r="G903" s="8" t="str">
        <f t="shared" si="172"/>
        <v>Y</v>
      </c>
      <c r="H903" s="8" t="str">
        <f t="shared" si="173"/>
        <v>Upper</v>
      </c>
      <c r="I903" s="8" t="str">
        <f t="shared" si="174"/>
        <v>West Fork and Below Lake</v>
      </c>
      <c r="J903" s="8" t="str">
        <f t="shared" si="175"/>
        <v>Sonoma (d/s of Clov. Gage)</v>
      </c>
      <c r="K903" s="8" t="str">
        <f t="shared" si="176"/>
        <v>Post-1949</v>
      </c>
      <c r="L903" s="8">
        <f t="shared" si="177"/>
        <v>1964</v>
      </c>
      <c r="M903" s="8" t="str">
        <f t="shared" si="179"/>
        <v>1960-1970</v>
      </c>
      <c r="N903" s="10" t="s">
        <v>242</v>
      </c>
      <c r="O903" s="10" t="s">
        <v>241</v>
      </c>
      <c r="P903" s="10" t="s">
        <v>242</v>
      </c>
      <c r="Q903" s="10" t="s">
        <v>242</v>
      </c>
      <c r="R903" s="10" t="s">
        <v>241</v>
      </c>
      <c r="S903" s="10" t="s">
        <v>242</v>
      </c>
      <c r="T903" s="10" t="s">
        <v>242</v>
      </c>
      <c r="U903" s="10" t="s">
        <v>242</v>
      </c>
      <c r="V903" s="10" t="s">
        <v>242</v>
      </c>
      <c r="W903" s="10" t="s">
        <v>242</v>
      </c>
      <c r="X903" s="15">
        <f>IF(ISERROR(VLOOKUP($A903,'13. Updated Demand'!A:Z,15,FALSE)),0,VLOOKUP($A903,'13. Updated Demand'!A:Z,15,FALSE))</f>
        <v>0</v>
      </c>
      <c r="Y903" s="16">
        <f>IF(ISERROR(VLOOKUP($A903,'13. Updated Demand'!A:Z,16,FALSE)),0,VLOOKUP($A903,'13. Updated Demand'!A:Z,16,FALSE))</f>
        <v>0</v>
      </c>
      <c r="Z903" s="16">
        <f>IF(ISERROR(VLOOKUP($A903,'13. Updated Demand'!A:Z,17,FALSE)),0,VLOOKUP($A903,'13. Updated Demand'!A:Z,17,FALSE))</f>
        <v>0</v>
      </c>
      <c r="AA903" s="16">
        <f>IF(ISERROR(VLOOKUP($A903,'13. Updated Demand'!A:Z,18,FALSE)),0,VLOOKUP($A903,'13. Updated Demand'!A:Z,18,FALSE))</f>
        <v>0</v>
      </c>
      <c r="AB903" s="16">
        <f>IF(ISERROR(VLOOKUP($A903,'13. Updated Demand'!A:Z,19,FALSE)),0,VLOOKUP($A903,'13. Updated Demand'!A:Z,19,FALSE))</f>
        <v>0.43</v>
      </c>
      <c r="AC903" s="16">
        <f>IF(ISERROR(VLOOKUP($A903,'13. Updated Demand'!A:Z,20,FALSE)),0,VLOOKUP($A903,'13. Updated Demand'!A:Z,20,FALSE))</f>
        <v>0.63</v>
      </c>
      <c r="AD903" s="16">
        <f>IF(ISERROR(VLOOKUP($A903,'13. Updated Demand'!A:Z,21,FALSE)),0,VLOOKUP($A903,'13. Updated Demand'!A:Z,21,FALSE))</f>
        <v>0.83</v>
      </c>
      <c r="AE903" s="16">
        <f>IF(ISERROR(VLOOKUP($A903,'13. Updated Demand'!A:Z,22,FALSE)),0,VLOOKUP($A903,'13. Updated Demand'!A:Z,22,FALSE))</f>
        <v>0</v>
      </c>
      <c r="AF903" s="16">
        <f>IF(ISERROR(VLOOKUP($A903,'13. Updated Demand'!A:Z,23,FALSE)),0,VLOOKUP($A903,'13. Updated Demand'!A:Z,23,FALSE))</f>
        <v>0</v>
      </c>
      <c r="AG903" s="16">
        <f>IF(ISERROR(VLOOKUP($A903,'13. Updated Demand'!A:Z,24,FALSE)),0,VLOOKUP($A903,'13. Updated Demand'!A:Z,24,FALSE))</f>
        <v>0</v>
      </c>
      <c r="AH903" s="16">
        <f>IF(ISERROR(VLOOKUP($A903,'13. Updated Demand'!A:Z,25,FALSE)),0,VLOOKUP($A903,'13. Updated Demand'!A:Z,25,FALSE))</f>
        <v>0</v>
      </c>
      <c r="AI903" s="16">
        <f>IF(ISERROR(VLOOKUP($A903,'13. Updated Demand'!A:Z,26,FALSE)),0,VLOOKUP($A903,'13. Updated Demand'!A:Z,26,FALSE))</f>
        <v>0</v>
      </c>
      <c r="AJ903" s="16">
        <f t="shared" si="168"/>
        <v>1.8900000000000001</v>
      </c>
      <c r="AK903" s="19">
        <v>1.8999999990000003</v>
      </c>
      <c r="AL903" s="16">
        <f t="shared" si="178"/>
        <v>6.3020835663445823E-3</v>
      </c>
      <c r="AM903" s="17">
        <v>6.3973063939393948E-2</v>
      </c>
      <c r="AN903" s="19"/>
      <c r="AO903" s="19"/>
      <c r="AP903" s="19">
        <v>29.7</v>
      </c>
      <c r="AQ903" s="19" t="s">
        <v>307</v>
      </c>
      <c r="AR903" s="9" t="s">
        <v>311</v>
      </c>
      <c r="AS903" s="12">
        <v>0</v>
      </c>
      <c r="AT903" s="19">
        <v>38.626169930000003</v>
      </c>
      <c r="AU903" s="19">
        <v>-122.77083196</v>
      </c>
      <c r="AV903" s="19" t="s">
        <v>609</v>
      </c>
    </row>
    <row r="904" spans="1:48" x14ac:dyDescent="0.25">
      <c r="A904" s="18" t="s">
        <v>1288</v>
      </c>
      <c r="B904" s="10">
        <v>19640316</v>
      </c>
      <c r="C904" s="9">
        <v>23</v>
      </c>
      <c r="D904" s="8" t="str">
        <f t="shared" si="169"/>
        <v>N</v>
      </c>
      <c r="E904" s="8" t="str">
        <f t="shared" si="170"/>
        <v>N</v>
      </c>
      <c r="F904" s="8" t="str">
        <f t="shared" si="171"/>
        <v>N</v>
      </c>
      <c r="G904" s="8" t="str">
        <f t="shared" si="172"/>
        <v>N</v>
      </c>
      <c r="H904" s="8" t="str">
        <f t="shared" si="173"/>
        <v>Lower</v>
      </c>
      <c r="I904" s="8" t="str">
        <f t="shared" si="174"/>
        <v>Outside</v>
      </c>
      <c r="J904" s="8" t="str">
        <f t="shared" si="175"/>
        <v>Outside</v>
      </c>
      <c r="K904" s="8" t="str">
        <f t="shared" si="176"/>
        <v>Post-1949</v>
      </c>
      <c r="L904" s="8">
        <f t="shared" si="177"/>
        <v>1964</v>
      </c>
      <c r="M904" s="8" t="str">
        <f t="shared" si="179"/>
        <v>1960-1970</v>
      </c>
      <c r="N904" s="10" t="s">
        <v>242</v>
      </c>
      <c r="O904" s="10" t="s">
        <v>242</v>
      </c>
      <c r="P904" s="10" t="s">
        <v>242</v>
      </c>
      <c r="Q904" s="10" t="s">
        <v>242</v>
      </c>
      <c r="R904" s="10" t="s">
        <v>241</v>
      </c>
      <c r="S904" s="10" t="s">
        <v>242</v>
      </c>
      <c r="T904" s="10" t="s">
        <v>242</v>
      </c>
      <c r="U904" s="10" t="s">
        <v>242</v>
      </c>
      <c r="V904" s="10" t="s">
        <v>241</v>
      </c>
      <c r="W904" s="10" t="s">
        <v>242</v>
      </c>
      <c r="X904" s="15">
        <f>IF(ISERROR(VLOOKUP($A904,'13. Updated Demand'!A:Z,15,FALSE)),0,VLOOKUP($A904,'13. Updated Demand'!A:Z,15,FALSE))</f>
        <v>2</v>
      </c>
      <c r="Y904" s="16">
        <f>IF(ISERROR(VLOOKUP($A904,'13. Updated Demand'!A:Z,16,FALSE)),0,VLOOKUP($A904,'13. Updated Demand'!A:Z,16,FALSE))</f>
        <v>1</v>
      </c>
      <c r="Z904" s="16">
        <f>IF(ISERROR(VLOOKUP($A904,'13. Updated Demand'!A:Z,17,FALSE)),0,VLOOKUP($A904,'13. Updated Demand'!A:Z,17,FALSE))</f>
        <v>0</v>
      </c>
      <c r="AA904" s="16">
        <f>IF(ISERROR(VLOOKUP($A904,'13. Updated Demand'!A:Z,18,FALSE)),0,VLOOKUP($A904,'13. Updated Demand'!A:Z,18,FALSE))</f>
        <v>0</v>
      </c>
      <c r="AB904" s="16">
        <f>IF(ISERROR(VLOOKUP($A904,'13. Updated Demand'!A:Z,19,FALSE)),0,VLOOKUP($A904,'13. Updated Demand'!A:Z,19,FALSE))</f>
        <v>0</v>
      </c>
      <c r="AC904" s="16">
        <f>IF(ISERROR(VLOOKUP($A904,'13. Updated Demand'!A:Z,20,FALSE)),0,VLOOKUP($A904,'13. Updated Demand'!A:Z,20,FALSE))</f>
        <v>0</v>
      </c>
      <c r="AD904" s="16">
        <f>IF(ISERROR(VLOOKUP($A904,'13. Updated Demand'!A:Z,21,FALSE)),0,VLOOKUP($A904,'13. Updated Demand'!A:Z,21,FALSE))</f>
        <v>0</v>
      </c>
      <c r="AE904" s="16">
        <f>IF(ISERROR(VLOOKUP($A904,'13. Updated Demand'!A:Z,22,FALSE)),0,VLOOKUP($A904,'13. Updated Demand'!A:Z,22,FALSE))</f>
        <v>0</v>
      </c>
      <c r="AF904" s="16">
        <f>IF(ISERROR(VLOOKUP($A904,'13. Updated Demand'!A:Z,23,FALSE)),0,VLOOKUP($A904,'13. Updated Demand'!A:Z,23,FALSE))</f>
        <v>0</v>
      </c>
      <c r="AG904" s="16">
        <f>IF(ISERROR(VLOOKUP($A904,'13. Updated Demand'!A:Z,24,FALSE)),0,VLOOKUP($A904,'13. Updated Demand'!A:Z,24,FALSE))</f>
        <v>2</v>
      </c>
      <c r="AH904" s="16">
        <f>IF(ISERROR(VLOOKUP($A904,'13. Updated Demand'!A:Z,25,FALSE)),0,VLOOKUP($A904,'13. Updated Demand'!A:Z,25,FALSE))</f>
        <v>3</v>
      </c>
      <c r="AI904" s="16">
        <f>IF(ISERROR(VLOOKUP($A904,'13. Updated Demand'!A:Z,26,FALSE)),0,VLOOKUP($A904,'13. Updated Demand'!A:Z,26,FALSE))</f>
        <v>5.5</v>
      </c>
      <c r="AJ904" s="16">
        <f t="shared" si="168"/>
        <v>13.5</v>
      </c>
      <c r="AK904" s="19">
        <v>0</v>
      </c>
      <c r="AL904" s="16">
        <f t="shared" si="178"/>
        <v>0</v>
      </c>
      <c r="AM904" s="17">
        <v>1</v>
      </c>
      <c r="AN904" s="19"/>
      <c r="AO904" s="19"/>
      <c r="AP904" s="19">
        <v>13.5</v>
      </c>
      <c r="AQ904" s="19" t="s">
        <v>307</v>
      </c>
      <c r="AR904" s="9" t="s">
        <v>391</v>
      </c>
      <c r="AS904" s="12">
        <v>0</v>
      </c>
      <c r="AT904" s="19">
        <v>38.562292460000002</v>
      </c>
      <c r="AU904" s="19">
        <v>-122.79602324</v>
      </c>
      <c r="AV904" s="19" t="s">
        <v>417</v>
      </c>
    </row>
    <row r="905" spans="1:48" x14ac:dyDescent="0.25">
      <c r="A905" s="18" t="s">
        <v>1289</v>
      </c>
      <c r="B905" s="10">
        <v>19640320</v>
      </c>
      <c r="C905" s="9">
        <v>8</v>
      </c>
      <c r="D905" s="8" t="str">
        <f t="shared" si="169"/>
        <v>N</v>
      </c>
      <c r="E905" s="8" t="str">
        <f t="shared" si="170"/>
        <v>Y</v>
      </c>
      <c r="F905" s="8" t="str">
        <f t="shared" si="171"/>
        <v>Y</v>
      </c>
      <c r="G905" s="8" t="str">
        <f t="shared" si="172"/>
        <v>Y</v>
      </c>
      <c r="H905" s="8" t="str">
        <f t="shared" si="173"/>
        <v>Upper</v>
      </c>
      <c r="I905" s="8" t="str">
        <f t="shared" si="174"/>
        <v>West Fork and Below Lake</v>
      </c>
      <c r="J905" s="8" t="str">
        <f t="shared" si="175"/>
        <v>Sonoma (d/s of Clov. Gage)</v>
      </c>
      <c r="K905" s="8" t="str">
        <f t="shared" si="176"/>
        <v>Post-1949</v>
      </c>
      <c r="L905" s="8">
        <f t="shared" si="177"/>
        <v>1964</v>
      </c>
      <c r="M905" s="8" t="str">
        <f t="shared" si="179"/>
        <v>1960-1970</v>
      </c>
      <c r="N905" s="10" t="s">
        <v>242</v>
      </c>
      <c r="O905" s="10" t="s">
        <v>241</v>
      </c>
      <c r="P905" s="10" t="s">
        <v>242</v>
      </c>
      <c r="Q905" s="10" t="s">
        <v>242</v>
      </c>
      <c r="R905" s="10" t="s">
        <v>241</v>
      </c>
      <c r="S905" s="10" t="s">
        <v>242</v>
      </c>
      <c r="T905" s="10" t="s">
        <v>242</v>
      </c>
      <c r="U905" s="10" t="s">
        <v>242</v>
      </c>
      <c r="V905" s="10" t="s">
        <v>241</v>
      </c>
      <c r="W905" s="10" t="s">
        <v>242</v>
      </c>
      <c r="X905" s="15">
        <f>IF(ISERROR(VLOOKUP($A905,'13. Updated Demand'!A:Z,15,FALSE)),0,VLOOKUP($A905,'13. Updated Demand'!A:Z,15,FALSE))</f>
        <v>6</v>
      </c>
      <c r="Y905" s="16">
        <f>IF(ISERROR(VLOOKUP($A905,'13. Updated Demand'!A:Z,16,FALSE)),0,VLOOKUP($A905,'13. Updated Demand'!A:Z,16,FALSE))</f>
        <v>6.66</v>
      </c>
      <c r="Z905" s="16">
        <f>IF(ISERROR(VLOOKUP($A905,'13. Updated Demand'!A:Z,17,FALSE)),0,VLOOKUP($A905,'13. Updated Demand'!A:Z,17,FALSE))</f>
        <v>4.66</v>
      </c>
      <c r="AA905" s="16">
        <f>IF(ISERROR(VLOOKUP($A905,'13. Updated Demand'!A:Z,18,FALSE)),0,VLOOKUP($A905,'13. Updated Demand'!A:Z,18,FALSE))</f>
        <v>3</v>
      </c>
      <c r="AB905" s="16">
        <f>IF(ISERROR(VLOOKUP($A905,'13. Updated Demand'!A:Z,19,FALSE)),0,VLOOKUP($A905,'13. Updated Demand'!A:Z,19,FALSE))</f>
        <v>0</v>
      </c>
      <c r="AC905" s="16">
        <f>IF(ISERROR(VLOOKUP($A905,'13. Updated Demand'!A:Z,20,FALSE)),0,VLOOKUP($A905,'13. Updated Demand'!A:Z,20,FALSE))</f>
        <v>0</v>
      </c>
      <c r="AD905" s="16">
        <f>IF(ISERROR(VLOOKUP($A905,'13. Updated Demand'!A:Z,21,FALSE)),0,VLOOKUP($A905,'13. Updated Demand'!A:Z,21,FALSE))</f>
        <v>0</v>
      </c>
      <c r="AE905" s="16">
        <f>IF(ISERROR(VLOOKUP($A905,'13. Updated Demand'!A:Z,22,FALSE)),0,VLOOKUP($A905,'13. Updated Demand'!A:Z,22,FALSE))</f>
        <v>0</v>
      </c>
      <c r="AF905" s="16">
        <f>IF(ISERROR(VLOOKUP($A905,'13. Updated Demand'!A:Z,23,FALSE)),0,VLOOKUP($A905,'13. Updated Demand'!A:Z,23,FALSE))</f>
        <v>0</v>
      </c>
      <c r="AG905" s="16">
        <f>IF(ISERROR(VLOOKUP($A905,'13. Updated Demand'!A:Z,24,FALSE)),0,VLOOKUP($A905,'13. Updated Demand'!A:Z,24,FALSE))</f>
        <v>1.66</v>
      </c>
      <c r="AH905" s="16">
        <f>IF(ISERROR(VLOOKUP($A905,'13. Updated Demand'!A:Z,25,FALSE)),0,VLOOKUP($A905,'13. Updated Demand'!A:Z,25,FALSE))</f>
        <v>5</v>
      </c>
      <c r="AI905" s="16">
        <f>IF(ISERROR(VLOOKUP($A905,'13. Updated Demand'!A:Z,26,FALSE)),0,VLOOKUP($A905,'13. Updated Demand'!A:Z,26,FALSE))</f>
        <v>16</v>
      </c>
      <c r="AJ905" s="16">
        <f t="shared" si="168"/>
        <v>42.980000000000004</v>
      </c>
      <c r="AK905" s="19">
        <v>0</v>
      </c>
      <c r="AL905" s="16">
        <f t="shared" si="178"/>
        <v>0</v>
      </c>
      <c r="AM905" s="17">
        <v>1.0000000000232558</v>
      </c>
      <c r="AN905" s="19"/>
      <c r="AO905" s="19"/>
      <c r="AP905" s="19">
        <v>43</v>
      </c>
      <c r="AQ905" s="19" t="s">
        <v>307</v>
      </c>
      <c r="AR905" s="9" t="s">
        <v>409</v>
      </c>
      <c r="AS905" s="12">
        <v>0</v>
      </c>
      <c r="AT905" s="19">
        <v>38.775565319999998</v>
      </c>
      <c r="AU905" s="19">
        <v>-122.92013473999999</v>
      </c>
      <c r="AV905" s="19" t="s">
        <v>417</v>
      </c>
    </row>
    <row r="906" spans="1:48" x14ac:dyDescent="0.25">
      <c r="A906" s="18" t="s">
        <v>1290</v>
      </c>
      <c r="B906" s="10">
        <v>19640320</v>
      </c>
      <c r="C906" s="9">
        <v>8</v>
      </c>
      <c r="D906" s="8" t="str">
        <f t="shared" si="169"/>
        <v>N</v>
      </c>
      <c r="E906" s="8" t="str">
        <f t="shared" si="170"/>
        <v>Y</v>
      </c>
      <c r="F906" s="8" t="str">
        <f t="shared" si="171"/>
        <v>Y</v>
      </c>
      <c r="G906" s="8" t="str">
        <f t="shared" si="172"/>
        <v>Y</v>
      </c>
      <c r="H906" s="8" t="str">
        <f t="shared" si="173"/>
        <v>Upper</v>
      </c>
      <c r="I906" s="8" t="str">
        <f t="shared" si="174"/>
        <v>West Fork and Below Lake</v>
      </c>
      <c r="J906" s="8" t="str">
        <f t="shared" si="175"/>
        <v>Sonoma (d/s of Clov. Gage)</v>
      </c>
      <c r="K906" s="8" t="str">
        <f t="shared" si="176"/>
        <v>Post-1949</v>
      </c>
      <c r="L906" s="8">
        <f t="shared" si="177"/>
        <v>1964</v>
      </c>
      <c r="M906" s="8" t="str">
        <f t="shared" si="179"/>
        <v>1960-1970</v>
      </c>
      <c r="N906" s="10" t="s">
        <v>242</v>
      </c>
      <c r="O906" s="10" t="s">
        <v>241</v>
      </c>
      <c r="P906" s="10" t="s">
        <v>242</v>
      </c>
      <c r="Q906" s="10" t="s">
        <v>242</v>
      </c>
      <c r="R906" s="10" t="s">
        <v>241</v>
      </c>
      <c r="S906" s="10" t="s">
        <v>242</v>
      </c>
      <c r="T906" s="10" t="s">
        <v>242</v>
      </c>
      <c r="U906" s="10" t="s">
        <v>242</v>
      </c>
      <c r="V906" s="10" t="s">
        <v>242</v>
      </c>
      <c r="W906" s="10" t="s">
        <v>242</v>
      </c>
      <c r="X906" s="15">
        <f>IF(ISERROR(VLOOKUP($A906,'13. Updated Demand'!A:Z,15,FALSE)),0,VLOOKUP($A906,'13. Updated Demand'!A:Z,15,FALSE))</f>
        <v>0</v>
      </c>
      <c r="Y906" s="16">
        <f>IF(ISERROR(VLOOKUP($A906,'13. Updated Demand'!A:Z,16,FALSE)),0,VLOOKUP($A906,'13. Updated Demand'!A:Z,16,FALSE))</f>
        <v>0</v>
      </c>
      <c r="Z906" s="16">
        <f>IF(ISERROR(VLOOKUP($A906,'13. Updated Demand'!A:Z,17,FALSE)),0,VLOOKUP($A906,'13. Updated Demand'!A:Z,17,FALSE))</f>
        <v>0</v>
      </c>
      <c r="AA906" s="16">
        <f>IF(ISERROR(VLOOKUP($A906,'13. Updated Demand'!A:Z,18,FALSE)),0,VLOOKUP($A906,'13. Updated Demand'!A:Z,18,FALSE))</f>
        <v>0</v>
      </c>
      <c r="AB906" s="16">
        <f>IF(ISERROR(VLOOKUP($A906,'13. Updated Demand'!A:Z,19,FALSE)),0,VLOOKUP($A906,'13. Updated Demand'!A:Z,19,FALSE))</f>
        <v>0</v>
      </c>
      <c r="AC906" s="16">
        <f>IF(ISERROR(VLOOKUP($A906,'13. Updated Demand'!A:Z,20,FALSE)),0,VLOOKUP($A906,'13. Updated Demand'!A:Z,20,FALSE))</f>
        <v>0</v>
      </c>
      <c r="AD906" s="16">
        <f>IF(ISERROR(VLOOKUP($A906,'13. Updated Demand'!A:Z,21,FALSE)),0,VLOOKUP($A906,'13. Updated Demand'!A:Z,21,FALSE))</f>
        <v>1.66</v>
      </c>
      <c r="AE906" s="16">
        <f>IF(ISERROR(VLOOKUP($A906,'13. Updated Demand'!A:Z,22,FALSE)),0,VLOOKUP($A906,'13. Updated Demand'!A:Z,22,FALSE))</f>
        <v>3.33</v>
      </c>
      <c r="AF906" s="16">
        <f>IF(ISERROR(VLOOKUP($A906,'13. Updated Demand'!A:Z,23,FALSE)),0,VLOOKUP($A906,'13. Updated Demand'!A:Z,23,FALSE))</f>
        <v>3.33</v>
      </c>
      <c r="AG906" s="16">
        <f>IF(ISERROR(VLOOKUP($A906,'13. Updated Demand'!A:Z,24,FALSE)),0,VLOOKUP($A906,'13. Updated Demand'!A:Z,24,FALSE))</f>
        <v>0</v>
      </c>
      <c r="AH906" s="16">
        <f>IF(ISERROR(VLOOKUP($A906,'13. Updated Demand'!A:Z,25,FALSE)),0,VLOOKUP($A906,'13. Updated Demand'!A:Z,25,FALSE))</f>
        <v>0</v>
      </c>
      <c r="AI906" s="16">
        <f>IF(ISERROR(VLOOKUP($A906,'13. Updated Demand'!A:Z,26,FALSE)),0,VLOOKUP($A906,'13. Updated Demand'!A:Z,26,FALSE))</f>
        <v>0</v>
      </c>
      <c r="AJ906" s="16">
        <f t="shared" si="168"/>
        <v>8.32</v>
      </c>
      <c r="AK906" s="19">
        <v>8.3333333330000006</v>
      </c>
      <c r="AL906" s="16">
        <f t="shared" si="178"/>
        <v>2.7640717409690284E-2</v>
      </c>
      <c r="AM906" s="17">
        <v>0.31446540879245283</v>
      </c>
      <c r="AN906" s="19"/>
      <c r="AO906" s="19"/>
      <c r="AP906" s="19">
        <v>26.5</v>
      </c>
      <c r="AQ906" s="19" t="s">
        <v>307</v>
      </c>
      <c r="AR906" s="9" t="s">
        <v>409</v>
      </c>
      <c r="AS906" s="12">
        <v>3.4039024194010059E-4</v>
      </c>
      <c r="AT906" s="19">
        <v>38.775148100000003</v>
      </c>
      <c r="AU906" s="19">
        <v>-122.90329118</v>
      </c>
      <c r="AV906" s="19" t="s">
        <v>1291</v>
      </c>
    </row>
    <row r="907" spans="1:48" x14ac:dyDescent="0.25">
      <c r="A907" s="18" t="s">
        <v>1292</v>
      </c>
      <c r="B907" s="10">
        <v>19640427</v>
      </c>
      <c r="C907" s="9">
        <v>9</v>
      </c>
      <c r="D907" s="8" t="str">
        <f t="shared" si="169"/>
        <v>N</v>
      </c>
      <c r="E907" s="8" t="str">
        <f t="shared" si="170"/>
        <v>Y</v>
      </c>
      <c r="F907" s="8" t="str">
        <f t="shared" si="171"/>
        <v>Y</v>
      </c>
      <c r="G907" s="8" t="str">
        <f t="shared" si="172"/>
        <v>Y</v>
      </c>
      <c r="H907" s="8" t="str">
        <f t="shared" si="173"/>
        <v>Upper</v>
      </c>
      <c r="I907" s="8" t="str">
        <f t="shared" si="174"/>
        <v>West Fork and Below Lake</v>
      </c>
      <c r="J907" s="8" t="str">
        <f t="shared" si="175"/>
        <v>Sonoma (d/s of Clov. Gage)</v>
      </c>
      <c r="K907" s="8" t="str">
        <f t="shared" si="176"/>
        <v>Post-1949</v>
      </c>
      <c r="L907" s="8">
        <f t="shared" si="177"/>
        <v>1964</v>
      </c>
      <c r="M907" s="8" t="str">
        <f t="shared" si="179"/>
        <v>1960-1970</v>
      </c>
      <c r="N907" s="10" t="s">
        <v>241</v>
      </c>
      <c r="O907" s="10" t="s">
        <v>241</v>
      </c>
      <c r="P907" s="10" t="s">
        <v>242</v>
      </c>
      <c r="Q907" s="10" t="s">
        <v>242</v>
      </c>
      <c r="R907" s="10" t="s">
        <v>241</v>
      </c>
      <c r="S907" s="10" t="s">
        <v>242</v>
      </c>
      <c r="T907" s="10" t="s">
        <v>242</v>
      </c>
      <c r="U907" s="10" t="s">
        <v>242</v>
      </c>
      <c r="V907" s="10" t="s">
        <v>242</v>
      </c>
      <c r="W907" s="10" t="s">
        <v>242</v>
      </c>
      <c r="X907" s="15">
        <f>IF(ISERROR(VLOOKUP($A907,'13. Updated Demand'!A:Z,15,FALSE)),0,VLOOKUP($A907,'13. Updated Demand'!A:Z,15,FALSE))</f>
        <v>0</v>
      </c>
      <c r="Y907" s="16">
        <f>IF(ISERROR(VLOOKUP($A907,'13. Updated Demand'!A:Z,16,FALSE)),0,VLOOKUP($A907,'13. Updated Demand'!A:Z,16,FALSE))</f>
        <v>0</v>
      </c>
      <c r="Z907" s="16">
        <f>IF(ISERROR(VLOOKUP($A907,'13. Updated Demand'!A:Z,17,FALSE)),0,VLOOKUP($A907,'13. Updated Demand'!A:Z,17,FALSE))</f>
        <v>0</v>
      </c>
      <c r="AA907" s="16">
        <f>IF(ISERROR(VLOOKUP($A907,'13. Updated Demand'!A:Z,18,FALSE)),0,VLOOKUP($A907,'13. Updated Demand'!A:Z,18,FALSE))</f>
        <v>0.23</v>
      </c>
      <c r="AB907" s="16">
        <f>IF(ISERROR(VLOOKUP($A907,'13. Updated Demand'!A:Z,19,FALSE)),0,VLOOKUP($A907,'13. Updated Demand'!A:Z,19,FALSE))</f>
        <v>2.4</v>
      </c>
      <c r="AC907" s="16">
        <f>IF(ISERROR(VLOOKUP($A907,'13. Updated Demand'!A:Z,20,FALSE)),0,VLOOKUP($A907,'13. Updated Demand'!A:Z,20,FALSE))</f>
        <v>3.43</v>
      </c>
      <c r="AD907" s="16">
        <f>IF(ISERROR(VLOOKUP($A907,'13. Updated Demand'!A:Z,21,FALSE)),0,VLOOKUP($A907,'13. Updated Demand'!A:Z,21,FALSE))</f>
        <v>4.66</v>
      </c>
      <c r="AE907" s="16">
        <f>IF(ISERROR(VLOOKUP($A907,'13. Updated Demand'!A:Z,22,FALSE)),0,VLOOKUP($A907,'13. Updated Demand'!A:Z,22,FALSE))</f>
        <v>4.43</v>
      </c>
      <c r="AF907" s="16">
        <f>IF(ISERROR(VLOOKUP($A907,'13. Updated Demand'!A:Z,23,FALSE)),0,VLOOKUP($A907,'13. Updated Demand'!A:Z,23,FALSE))</f>
        <v>4.9000000000000004</v>
      </c>
      <c r="AG907" s="16">
        <f>IF(ISERROR(VLOOKUP($A907,'13. Updated Demand'!A:Z,24,FALSE)),0,VLOOKUP($A907,'13. Updated Demand'!A:Z,24,FALSE))</f>
        <v>1.03</v>
      </c>
      <c r="AH907" s="16">
        <f>IF(ISERROR(VLOOKUP($A907,'13. Updated Demand'!A:Z,25,FALSE)),0,VLOOKUP($A907,'13. Updated Demand'!A:Z,25,FALSE))</f>
        <v>0</v>
      </c>
      <c r="AI907" s="16">
        <f>IF(ISERROR(VLOOKUP($A907,'13. Updated Demand'!A:Z,26,FALSE)),0,VLOOKUP($A907,'13. Updated Demand'!A:Z,26,FALSE))</f>
        <v>0</v>
      </c>
      <c r="AJ907" s="16">
        <f t="shared" si="168"/>
        <v>21.080000000000002</v>
      </c>
      <c r="AK907" s="19">
        <v>19.833333333333329</v>
      </c>
      <c r="AL907" s="16">
        <f t="shared" si="178"/>
        <v>6.5784907437694246E-2</v>
      </c>
      <c r="AM907" s="17">
        <v>0.30142857142857132</v>
      </c>
      <c r="AN907" s="19"/>
      <c r="AO907" s="19"/>
      <c r="AP907" s="19">
        <v>70</v>
      </c>
      <c r="AQ907" s="19" t="s">
        <v>307</v>
      </c>
      <c r="AR907" s="9" t="s">
        <v>354</v>
      </c>
      <c r="AS907" s="12">
        <v>3.4039024194010059E-4</v>
      </c>
      <c r="AT907" s="19">
        <v>38.714199999999998</v>
      </c>
      <c r="AU907" s="19">
        <v>-122.90940000000001</v>
      </c>
      <c r="AV907" s="19" t="s">
        <v>548</v>
      </c>
    </row>
    <row r="908" spans="1:48" x14ac:dyDescent="0.25">
      <c r="A908" s="18" t="s">
        <v>95</v>
      </c>
      <c r="B908" s="10">
        <v>19640522</v>
      </c>
      <c r="C908" s="9">
        <v>12</v>
      </c>
      <c r="D908" s="8" t="str">
        <f t="shared" si="169"/>
        <v>N</v>
      </c>
      <c r="E908" s="8" t="str">
        <f t="shared" si="170"/>
        <v>Y</v>
      </c>
      <c r="F908" s="8" t="str">
        <f t="shared" si="171"/>
        <v>Y</v>
      </c>
      <c r="G908" s="8" t="str">
        <f t="shared" si="172"/>
        <v>Y</v>
      </c>
      <c r="H908" s="8" t="str">
        <f t="shared" si="173"/>
        <v>Upper</v>
      </c>
      <c r="I908" s="8" t="str">
        <f t="shared" si="174"/>
        <v>West Fork and Below Lake</v>
      </c>
      <c r="J908" s="8" t="str">
        <f t="shared" si="175"/>
        <v>Sonoma (d/s of Clov. Gage)</v>
      </c>
      <c r="K908" s="8" t="str">
        <f t="shared" si="176"/>
        <v>Post-1949</v>
      </c>
      <c r="L908" s="8">
        <f t="shared" si="177"/>
        <v>1964</v>
      </c>
      <c r="M908" s="8" t="str">
        <f t="shared" si="179"/>
        <v>1960-1970</v>
      </c>
      <c r="N908" s="10" t="s">
        <v>242</v>
      </c>
      <c r="O908" s="10" t="s">
        <v>241</v>
      </c>
      <c r="P908" s="10" t="s">
        <v>242</v>
      </c>
      <c r="Q908" s="10" t="s">
        <v>242</v>
      </c>
      <c r="R908" s="10" t="s">
        <v>241</v>
      </c>
      <c r="S908" s="10" t="s">
        <v>242</v>
      </c>
      <c r="T908" s="10" t="s">
        <v>242</v>
      </c>
      <c r="U908" s="10" t="s">
        <v>241</v>
      </c>
      <c r="V908" s="10" t="s">
        <v>241</v>
      </c>
      <c r="W908" s="10" t="s">
        <v>242</v>
      </c>
      <c r="X908" s="15">
        <f>IF(ISERROR(VLOOKUP($A908,'13. Updated Demand'!A:Z,15,FALSE)),0,VLOOKUP($A908,'13. Updated Demand'!A:Z,15,FALSE))</f>
        <v>0</v>
      </c>
      <c r="Y908" s="16">
        <f>IF(ISERROR(VLOOKUP($A908,'13. Updated Demand'!A:Z,16,FALSE)),0,VLOOKUP($A908,'13. Updated Demand'!A:Z,16,FALSE))</f>
        <v>0</v>
      </c>
      <c r="Z908" s="16">
        <f>IF(ISERROR(VLOOKUP($A908,'13. Updated Demand'!A:Z,17,FALSE)),0,VLOOKUP($A908,'13. Updated Demand'!A:Z,17,FALSE))</f>
        <v>0</v>
      </c>
      <c r="AA908" s="16">
        <f>IF(ISERROR(VLOOKUP($A908,'13. Updated Demand'!A:Z,18,FALSE)),0,VLOOKUP($A908,'13. Updated Demand'!A:Z,18,FALSE))</f>
        <v>0</v>
      </c>
      <c r="AB908" s="16">
        <f>IF(ISERROR(VLOOKUP($A908,'13. Updated Demand'!A:Z,19,FALSE)),0,VLOOKUP($A908,'13. Updated Demand'!A:Z,19,FALSE))</f>
        <v>0</v>
      </c>
      <c r="AC908" s="16">
        <f>IF(ISERROR(VLOOKUP($A908,'13. Updated Demand'!A:Z,20,FALSE)),0,VLOOKUP($A908,'13. Updated Demand'!A:Z,20,FALSE))</f>
        <v>0</v>
      </c>
      <c r="AD908" s="16">
        <f>IF(ISERROR(VLOOKUP($A908,'13. Updated Demand'!A:Z,21,FALSE)),0,VLOOKUP($A908,'13. Updated Demand'!A:Z,21,FALSE))</f>
        <v>0</v>
      </c>
      <c r="AE908" s="16">
        <f>IF(ISERROR(VLOOKUP($A908,'13. Updated Demand'!A:Z,22,FALSE)),0,VLOOKUP($A908,'13. Updated Demand'!A:Z,22,FALSE))</f>
        <v>0</v>
      </c>
      <c r="AF908" s="16">
        <f>IF(ISERROR(VLOOKUP($A908,'13. Updated Demand'!A:Z,23,FALSE)),0,VLOOKUP($A908,'13. Updated Demand'!A:Z,23,FALSE))</f>
        <v>0</v>
      </c>
      <c r="AG908" s="16">
        <f>IF(ISERROR(VLOOKUP($A908,'13. Updated Demand'!A:Z,24,FALSE)),0,VLOOKUP($A908,'13. Updated Demand'!A:Z,24,FALSE))</f>
        <v>0</v>
      </c>
      <c r="AH908" s="16">
        <f>IF(ISERROR(VLOOKUP($A908,'13. Updated Demand'!A:Z,25,FALSE)),0,VLOOKUP($A908,'13. Updated Demand'!A:Z,25,FALSE))</f>
        <v>0</v>
      </c>
      <c r="AI908" s="16">
        <f>IF(ISERROR(VLOOKUP($A908,'13. Updated Demand'!A:Z,26,FALSE)),0,VLOOKUP($A908,'13. Updated Demand'!A:Z,26,FALSE))</f>
        <v>0</v>
      </c>
      <c r="AJ908" s="16">
        <f t="shared" si="168"/>
        <v>0</v>
      </c>
      <c r="AK908" s="19">
        <v>0</v>
      </c>
      <c r="AL908" s="16">
        <f t="shared" si="178"/>
        <v>0</v>
      </c>
      <c r="AM908" s="17">
        <v>0</v>
      </c>
      <c r="AN908" s="19"/>
      <c r="AO908" s="19"/>
      <c r="AP908" s="19">
        <v>26</v>
      </c>
      <c r="AQ908" s="19" t="s">
        <v>307</v>
      </c>
      <c r="AR908" s="9" t="s">
        <v>311</v>
      </c>
      <c r="AS908" s="12">
        <v>0</v>
      </c>
      <c r="AT908" s="19">
        <v>38.609974280000003</v>
      </c>
      <c r="AU908" s="19">
        <v>-122.76995693000001</v>
      </c>
      <c r="AV908" s="19" t="s">
        <v>1254</v>
      </c>
    </row>
    <row r="909" spans="1:48" x14ac:dyDescent="0.25">
      <c r="A909" s="18" t="s">
        <v>1293</v>
      </c>
      <c r="B909" s="10">
        <v>19640522</v>
      </c>
      <c r="C909" s="9">
        <v>12</v>
      </c>
      <c r="D909" s="8" t="str">
        <f t="shared" si="169"/>
        <v>N</v>
      </c>
      <c r="E909" s="8" t="str">
        <f t="shared" si="170"/>
        <v>Y</v>
      </c>
      <c r="F909" s="8" t="str">
        <f t="shared" si="171"/>
        <v>Y</v>
      </c>
      <c r="G909" s="8" t="str">
        <f t="shared" si="172"/>
        <v>Y</v>
      </c>
      <c r="H909" s="8" t="str">
        <f t="shared" si="173"/>
        <v>Upper</v>
      </c>
      <c r="I909" s="8" t="str">
        <f t="shared" si="174"/>
        <v>West Fork and Below Lake</v>
      </c>
      <c r="J909" s="8" t="str">
        <f t="shared" si="175"/>
        <v>Sonoma (d/s of Clov. Gage)</v>
      </c>
      <c r="K909" s="8" t="str">
        <f t="shared" si="176"/>
        <v>Post-1949</v>
      </c>
      <c r="L909" s="8">
        <f t="shared" si="177"/>
        <v>1964</v>
      </c>
      <c r="M909" s="8" t="str">
        <f t="shared" si="179"/>
        <v>1960-1970</v>
      </c>
      <c r="N909" s="10" t="s">
        <v>242</v>
      </c>
      <c r="O909" s="10" t="s">
        <v>241</v>
      </c>
      <c r="P909" s="10" t="s">
        <v>242</v>
      </c>
      <c r="Q909" s="10" t="s">
        <v>242</v>
      </c>
      <c r="R909" s="10" t="s">
        <v>241</v>
      </c>
      <c r="S909" s="10" t="s">
        <v>242</v>
      </c>
      <c r="T909" s="10" t="s">
        <v>242</v>
      </c>
      <c r="U909" s="10" t="s">
        <v>242</v>
      </c>
      <c r="V909" s="10" t="s">
        <v>242</v>
      </c>
      <c r="W909" s="10" t="s">
        <v>242</v>
      </c>
      <c r="X909" s="15">
        <f>IF(ISERROR(VLOOKUP($A909,'13. Updated Demand'!A:Z,15,FALSE)),0,VLOOKUP($A909,'13. Updated Demand'!A:Z,15,FALSE))</f>
        <v>0</v>
      </c>
      <c r="Y909" s="16">
        <f>IF(ISERROR(VLOOKUP($A909,'13. Updated Demand'!A:Z,16,FALSE)),0,VLOOKUP($A909,'13. Updated Demand'!A:Z,16,FALSE))</f>
        <v>0</v>
      </c>
      <c r="Z909" s="16">
        <f>IF(ISERROR(VLOOKUP($A909,'13. Updated Demand'!A:Z,17,FALSE)),0,VLOOKUP($A909,'13. Updated Demand'!A:Z,17,FALSE))</f>
        <v>0</v>
      </c>
      <c r="AA909" s="16">
        <f>IF(ISERROR(VLOOKUP($A909,'13. Updated Demand'!A:Z,18,FALSE)),0,VLOOKUP($A909,'13. Updated Demand'!A:Z,18,FALSE))</f>
        <v>0</v>
      </c>
      <c r="AB909" s="16">
        <f>IF(ISERROR(VLOOKUP($A909,'13. Updated Demand'!A:Z,19,FALSE)),0,VLOOKUP($A909,'13. Updated Demand'!A:Z,19,FALSE))</f>
        <v>0.16</v>
      </c>
      <c r="AC909" s="16">
        <f>IF(ISERROR(VLOOKUP($A909,'13. Updated Demand'!A:Z,20,FALSE)),0,VLOOKUP($A909,'13. Updated Demand'!A:Z,20,FALSE))</f>
        <v>0.33</v>
      </c>
      <c r="AD909" s="16">
        <f>IF(ISERROR(VLOOKUP($A909,'13. Updated Demand'!A:Z,21,FALSE)),0,VLOOKUP($A909,'13. Updated Demand'!A:Z,21,FALSE))</f>
        <v>0.73</v>
      </c>
      <c r="AE909" s="16">
        <f>IF(ISERROR(VLOOKUP($A909,'13. Updated Demand'!A:Z,22,FALSE)),0,VLOOKUP($A909,'13. Updated Demand'!A:Z,22,FALSE))</f>
        <v>0.5</v>
      </c>
      <c r="AF909" s="16">
        <f>IF(ISERROR(VLOOKUP($A909,'13. Updated Demand'!A:Z,23,FALSE)),0,VLOOKUP($A909,'13. Updated Demand'!A:Z,23,FALSE))</f>
        <v>0.23</v>
      </c>
      <c r="AG909" s="16">
        <f>IF(ISERROR(VLOOKUP($A909,'13. Updated Demand'!A:Z,24,FALSE)),0,VLOOKUP($A909,'13. Updated Demand'!A:Z,24,FALSE))</f>
        <v>1.1599999999999999</v>
      </c>
      <c r="AH909" s="16">
        <f>IF(ISERROR(VLOOKUP($A909,'13. Updated Demand'!A:Z,25,FALSE)),0,VLOOKUP($A909,'13. Updated Demand'!A:Z,25,FALSE))</f>
        <v>0</v>
      </c>
      <c r="AI909" s="16">
        <f>IF(ISERROR(VLOOKUP($A909,'13. Updated Demand'!A:Z,26,FALSE)),0,VLOOKUP($A909,'13. Updated Demand'!A:Z,26,FALSE))</f>
        <v>0</v>
      </c>
      <c r="AJ909" s="16">
        <f t="shared" si="168"/>
        <v>3.11</v>
      </c>
      <c r="AK909" s="19">
        <v>1.9666666660000001</v>
      </c>
      <c r="AL909" s="16">
        <f t="shared" si="178"/>
        <v>6.5232093067365765E-3</v>
      </c>
      <c r="AM909" s="17">
        <v>7.4603174595238103E-2</v>
      </c>
      <c r="AN909" s="19"/>
      <c r="AO909" s="19"/>
      <c r="AP909" s="19">
        <v>42</v>
      </c>
      <c r="AQ909" s="19" t="s">
        <v>307</v>
      </c>
      <c r="AR909" s="9" t="s">
        <v>311</v>
      </c>
      <c r="AS909" s="12">
        <v>0</v>
      </c>
      <c r="AT909" s="19">
        <v>38.611114180000001</v>
      </c>
      <c r="AU909" s="19">
        <v>-122.76366951</v>
      </c>
      <c r="AV909" s="19" t="s">
        <v>1254</v>
      </c>
    </row>
    <row r="910" spans="1:48" x14ac:dyDescent="0.25">
      <c r="A910" s="18" t="s">
        <v>1294</v>
      </c>
      <c r="B910" s="10">
        <v>19640610</v>
      </c>
      <c r="C910" s="9">
        <v>1</v>
      </c>
      <c r="D910" s="8" t="str">
        <f t="shared" si="169"/>
        <v>N</v>
      </c>
      <c r="E910" s="8" t="str">
        <f t="shared" si="170"/>
        <v>N</v>
      </c>
      <c r="F910" s="8" t="str">
        <f t="shared" si="171"/>
        <v>Y</v>
      </c>
      <c r="G910" s="8" t="str">
        <f t="shared" si="172"/>
        <v>Y</v>
      </c>
      <c r="H910" s="8" t="str">
        <f t="shared" si="173"/>
        <v>Upper</v>
      </c>
      <c r="I910" s="8" t="str">
        <f t="shared" si="174"/>
        <v>West Fork and Below Lake</v>
      </c>
      <c r="J910" s="8" t="str">
        <f t="shared" si="175"/>
        <v>Outside</v>
      </c>
      <c r="K910" s="8" t="str">
        <f t="shared" si="176"/>
        <v>Post-1949</v>
      </c>
      <c r="L910" s="8">
        <f t="shared" si="177"/>
        <v>1964</v>
      </c>
      <c r="M910" s="8" t="str">
        <f t="shared" si="179"/>
        <v>1960-1970</v>
      </c>
      <c r="N910" s="10" t="s">
        <v>242</v>
      </c>
      <c r="O910" s="10" t="s">
        <v>241</v>
      </c>
      <c r="P910" s="10" t="s">
        <v>242</v>
      </c>
      <c r="Q910" s="10" t="s">
        <v>242</v>
      </c>
      <c r="R910" s="10" t="s">
        <v>241</v>
      </c>
      <c r="S910" s="10" t="s">
        <v>242</v>
      </c>
      <c r="T910" s="10" t="s">
        <v>242</v>
      </c>
      <c r="U910" s="10" t="s">
        <v>242</v>
      </c>
      <c r="V910" s="10" t="s">
        <v>242</v>
      </c>
      <c r="W910" s="10" t="s">
        <v>242</v>
      </c>
      <c r="X910" s="15">
        <f>IF(ISERROR(VLOOKUP($A910,'13. Updated Demand'!A:Z,15,FALSE)),0,VLOOKUP($A910,'13. Updated Demand'!A:Z,15,FALSE))</f>
        <v>0</v>
      </c>
      <c r="Y910" s="16">
        <f>IF(ISERROR(VLOOKUP($A910,'13. Updated Demand'!A:Z,16,FALSE)),0,VLOOKUP($A910,'13. Updated Demand'!A:Z,16,FALSE))</f>
        <v>1</v>
      </c>
      <c r="Z910" s="16">
        <f>IF(ISERROR(VLOOKUP($A910,'13. Updated Demand'!A:Z,17,FALSE)),0,VLOOKUP($A910,'13. Updated Demand'!A:Z,17,FALSE))</f>
        <v>5.48</v>
      </c>
      <c r="AA910" s="16">
        <f>IF(ISERROR(VLOOKUP($A910,'13. Updated Demand'!A:Z,18,FALSE)),0,VLOOKUP($A910,'13. Updated Demand'!A:Z,18,FALSE))</f>
        <v>6.53</v>
      </c>
      <c r="AB910" s="16">
        <f>IF(ISERROR(VLOOKUP($A910,'13. Updated Demand'!A:Z,19,FALSE)),0,VLOOKUP($A910,'13. Updated Demand'!A:Z,19,FALSE))</f>
        <v>2.66</v>
      </c>
      <c r="AC910" s="16">
        <f>IF(ISERROR(VLOOKUP($A910,'13. Updated Demand'!A:Z,20,FALSE)),0,VLOOKUP($A910,'13. Updated Demand'!A:Z,20,FALSE))</f>
        <v>1.83</v>
      </c>
      <c r="AD910" s="16">
        <f>IF(ISERROR(VLOOKUP($A910,'13. Updated Demand'!A:Z,21,FALSE)),0,VLOOKUP($A910,'13. Updated Demand'!A:Z,21,FALSE))</f>
        <v>2.33</v>
      </c>
      <c r="AE910" s="16">
        <f>IF(ISERROR(VLOOKUP($A910,'13. Updated Demand'!A:Z,22,FALSE)),0,VLOOKUP($A910,'13. Updated Demand'!A:Z,22,FALSE))</f>
        <v>1</v>
      </c>
      <c r="AF910" s="16">
        <f>IF(ISERROR(VLOOKUP($A910,'13. Updated Demand'!A:Z,23,FALSE)),0,VLOOKUP($A910,'13. Updated Demand'!A:Z,23,FALSE))</f>
        <v>1</v>
      </c>
      <c r="AG910" s="16">
        <f>IF(ISERROR(VLOOKUP($A910,'13. Updated Demand'!A:Z,24,FALSE)),0,VLOOKUP($A910,'13. Updated Demand'!A:Z,24,FALSE))</f>
        <v>0</v>
      </c>
      <c r="AH910" s="16">
        <f>IF(ISERROR(VLOOKUP($A910,'13. Updated Demand'!A:Z,25,FALSE)),0,VLOOKUP($A910,'13. Updated Demand'!A:Z,25,FALSE))</f>
        <v>0</v>
      </c>
      <c r="AI910" s="16">
        <f>IF(ISERROR(VLOOKUP($A910,'13. Updated Demand'!A:Z,26,FALSE)),0,VLOOKUP($A910,'13. Updated Demand'!A:Z,26,FALSE))</f>
        <v>0</v>
      </c>
      <c r="AJ910" s="16">
        <f t="shared" si="168"/>
        <v>21.83</v>
      </c>
      <c r="AK910" s="19">
        <v>8.8333333330000006</v>
      </c>
      <c r="AL910" s="16">
        <f t="shared" si="178"/>
        <v>2.9299160454338034E-2</v>
      </c>
      <c r="AM910" s="17">
        <v>0.94617604619047613</v>
      </c>
      <c r="AN910" s="19"/>
      <c r="AO910" s="19"/>
      <c r="AP910" s="19">
        <v>23.1</v>
      </c>
      <c r="AQ910" s="19" t="s">
        <v>307</v>
      </c>
      <c r="AR910" s="9" t="s">
        <v>317</v>
      </c>
      <c r="AS910" s="12">
        <v>0</v>
      </c>
      <c r="AT910" s="19">
        <v>39.265250160000001</v>
      </c>
      <c r="AU910" s="19">
        <v>-123.184365</v>
      </c>
      <c r="AV910" s="19" t="s">
        <v>573</v>
      </c>
    </row>
    <row r="911" spans="1:48" x14ac:dyDescent="0.25">
      <c r="A911" s="18" t="s">
        <v>1295</v>
      </c>
      <c r="B911" s="10">
        <v>19640616</v>
      </c>
      <c r="C911" s="9">
        <v>23</v>
      </c>
      <c r="D911" s="8" t="str">
        <f t="shared" si="169"/>
        <v>N</v>
      </c>
      <c r="E911" s="8" t="str">
        <f t="shared" si="170"/>
        <v>N</v>
      </c>
      <c r="F911" s="8" t="str">
        <f t="shared" si="171"/>
        <v>N</v>
      </c>
      <c r="G911" s="8" t="str">
        <f t="shared" si="172"/>
        <v>N</v>
      </c>
      <c r="H911" s="8" t="str">
        <f t="shared" si="173"/>
        <v>Lower</v>
      </c>
      <c r="I911" s="8" t="str">
        <f t="shared" si="174"/>
        <v>Outside</v>
      </c>
      <c r="J911" s="8" t="str">
        <f t="shared" si="175"/>
        <v>Outside</v>
      </c>
      <c r="K911" s="8" t="str">
        <f t="shared" si="176"/>
        <v>Post-1949</v>
      </c>
      <c r="L911" s="8">
        <f t="shared" si="177"/>
        <v>1964</v>
      </c>
      <c r="M911" s="8" t="str">
        <f t="shared" si="179"/>
        <v>1960-1970</v>
      </c>
      <c r="N911" s="10" t="s">
        <v>242</v>
      </c>
      <c r="O911" s="10" t="s">
        <v>242</v>
      </c>
      <c r="P911" s="10" t="s">
        <v>242</v>
      </c>
      <c r="Q911" s="10" t="s">
        <v>242</v>
      </c>
      <c r="R911" s="10" t="s">
        <v>241</v>
      </c>
      <c r="S911" s="10" t="s">
        <v>242</v>
      </c>
      <c r="T911" s="10" t="s">
        <v>242</v>
      </c>
      <c r="U911" s="10" t="s">
        <v>242</v>
      </c>
      <c r="V911" s="10" t="s">
        <v>241</v>
      </c>
      <c r="W911" s="10" t="s">
        <v>242</v>
      </c>
      <c r="X911" s="15">
        <f>IF(ISERROR(VLOOKUP($A911,'13. Updated Demand'!A:Z,15,FALSE)),0,VLOOKUP($A911,'13. Updated Demand'!A:Z,15,FALSE))</f>
        <v>1.5333333330000001</v>
      </c>
      <c r="Y911" s="16">
        <f>IF(ISERROR(VLOOKUP($A911,'13. Updated Demand'!A:Z,16,FALSE)),0,VLOOKUP($A911,'13. Updated Demand'!A:Z,16,FALSE))</f>
        <v>0</v>
      </c>
      <c r="Z911" s="16">
        <f>IF(ISERROR(VLOOKUP($A911,'13. Updated Demand'!A:Z,17,FALSE)),0,VLOOKUP($A911,'13. Updated Demand'!A:Z,17,FALSE))</f>
        <v>0</v>
      </c>
      <c r="AA911" s="16">
        <f>IF(ISERROR(VLOOKUP($A911,'13. Updated Demand'!A:Z,18,FALSE)),0,VLOOKUP($A911,'13. Updated Demand'!A:Z,18,FALSE))</f>
        <v>0</v>
      </c>
      <c r="AB911" s="16">
        <f>IF(ISERROR(VLOOKUP($A911,'13. Updated Demand'!A:Z,19,FALSE)),0,VLOOKUP($A911,'13. Updated Demand'!A:Z,19,FALSE))</f>
        <v>0</v>
      </c>
      <c r="AC911" s="16">
        <f>IF(ISERROR(VLOOKUP($A911,'13. Updated Demand'!A:Z,20,FALSE)),0,VLOOKUP($A911,'13. Updated Demand'!A:Z,20,FALSE))</f>
        <v>0</v>
      </c>
      <c r="AD911" s="16">
        <f>IF(ISERROR(VLOOKUP($A911,'13. Updated Demand'!A:Z,21,FALSE)),0,VLOOKUP($A911,'13. Updated Demand'!A:Z,21,FALSE))</f>
        <v>0</v>
      </c>
      <c r="AE911" s="16">
        <f>IF(ISERROR(VLOOKUP($A911,'13. Updated Demand'!A:Z,22,FALSE)),0,VLOOKUP($A911,'13. Updated Demand'!A:Z,22,FALSE))</f>
        <v>0</v>
      </c>
      <c r="AF911" s="16">
        <f>IF(ISERROR(VLOOKUP($A911,'13. Updated Demand'!A:Z,23,FALSE)),0,VLOOKUP($A911,'13. Updated Demand'!A:Z,23,FALSE))</f>
        <v>0</v>
      </c>
      <c r="AG911" s="16">
        <f>IF(ISERROR(VLOOKUP($A911,'13. Updated Demand'!A:Z,24,FALSE)),0,VLOOKUP($A911,'13. Updated Demand'!A:Z,24,FALSE))</f>
        <v>0</v>
      </c>
      <c r="AH911" s="16">
        <f>IF(ISERROR(VLOOKUP($A911,'13. Updated Demand'!A:Z,25,FALSE)),0,VLOOKUP($A911,'13. Updated Demand'!A:Z,25,FALSE))</f>
        <v>0</v>
      </c>
      <c r="AI911" s="16">
        <f>IF(ISERROR(VLOOKUP($A911,'13. Updated Demand'!A:Z,26,FALSE)),0,VLOOKUP($A911,'13. Updated Demand'!A:Z,26,FALSE))</f>
        <v>0</v>
      </c>
      <c r="AJ911" s="16">
        <f t="shared" si="168"/>
        <v>1.5333333330000001</v>
      </c>
      <c r="AK911" s="19">
        <v>0</v>
      </c>
      <c r="AL911" s="16">
        <f t="shared" si="178"/>
        <v>0</v>
      </c>
      <c r="AM911" s="17">
        <v>0.16487455193548387</v>
      </c>
      <c r="AN911" s="19"/>
      <c r="AO911" s="19"/>
      <c r="AP911" s="19">
        <v>9.3000000000000007</v>
      </c>
      <c r="AQ911" s="19" t="s">
        <v>307</v>
      </c>
      <c r="AR911" s="9" t="s">
        <v>378</v>
      </c>
      <c r="AS911" s="12">
        <v>0</v>
      </c>
      <c r="AT911" s="19">
        <v>38.380400000000002</v>
      </c>
      <c r="AU911" s="19">
        <v>-122.6455</v>
      </c>
      <c r="AV911" s="19" t="s">
        <v>417</v>
      </c>
    </row>
    <row r="912" spans="1:48" x14ac:dyDescent="0.25">
      <c r="A912" s="18" t="s">
        <v>145</v>
      </c>
      <c r="B912" s="10">
        <v>19640708</v>
      </c>
      <c r="C912" s="9">
        <v>4</v>
      </c>
      <c r="D912" s="8" t="str">
        <f t="shared" si="169"/>
        <v>Y</v>
      </c>
      <c r="E912" s="8" t="str">
        <f t="shared" si="170"/>
        <v>N</v>
      </c>
      <c r="F912" s="8" t="str">
        <f t="shared" si="171"/>
        <v>Y</v>
      </c>
      <c r="G912" s="8" t="str">
        <f t="shared" si="172"/>
        <v>Y</v>
      </c>
      <c r="H912" s="8" t="str">
        <f t="shared" si="173"/>
        <v>Upper</v>
      </c>
      <c r="I912" s="8" t="str">
        <f t="shared" si="174"/>
        <v>West Fork and Below Lake</v>
      </c>
      <c r="J912" s="8" t="str">
        <f t="shared" si="175"/>
        <v>Mendocino (d/s of lake)</v>
      </c>
      <c r="K912" s="8" t="str">
        <f t="shared" si="176"/>
        <v>Post-1949</v>
      </c>
      <c r="L912" s="8">
        <f t="shared" si="177"/>
        <v>1964</v>
      </c>
      <c r="M912" s="8" t="str">
        <f t="shared" si="179"/>
        <v>1960-1970</v>
      </c>
      <c r="N912" s="10" t="s">
        <v>241</v>
      </c>
      <c r="O912" s="10" t="s">
        <v>241</v>
      </c>
      <c r="P912" s="10" t="s">
        <v>242</v>
      </c>
      <c r="Q912" s="10" t="s">
        <v>242</v>
      </c>
      <c r="R912" s="10" t="s">
        <v>241</v>
      </c>
      <c r="S912" s="10" t="s">
        <v>242</v>
      </c>
      <c r="T912" s="10" t="s">
        <v>242</v>
      </c>
      <c r="U912" s="10" t="s">
        <v>242</v>
      </c>
      <c r="V912" s="10" t="s">
        <v>242</v>
      </c>
      <c r="W912" s="10" t="s">
        <v>242</v>
      </c>
      <c r="X912" s="15">
        <f>IF(ISERROR(VLOOKUP($A912,'13. Updated Demand'!A:Z,15,FALSE)),0,VLOOKUP($A912,'13. Updated Demand'!A:Z,15,FALSE))</f>
        <v>0</v>
      </c>
      <c r="Y912" s="16">
        <f>IF(ISERROR(VLOOKUP($A912,'13. Updated Demand'!A:Z,16,FALSE)),0,VLOOKUP($A912,'13. Updated Demand'!A:Z,16,FALSE))</f>
        <v>0</v>
      </c>
      <c r="Z912" s="16">
        <f>IF(ISERROR(VLOOKUP($A912,'13. Updated Demand'!A:Z,17,FALSE)),0,VLOOKUP($A912,'13. Updated Demand'!A:Z,17,FALSE))</f>
        <v>0</v>
      </c>
      <c r="AA912" s="16">
        <f>IF(ISERROR(VLOOKUP($A912,'13. Updated Demand'!A:Z,18,FALSE)),0,VLOOKUP($A912,'13. Updated Demand'!A:Z,18,FALSE))</f>
        <v>0</v>
      </c>
      <c r="AB912" s="16">
        <f>IF(ISERROR(VLOOKUP($A912,'13. Updated Demand'!A:Z,19,FALSE)),0,VLOOKUP($A912,'13. Updated Demand'!A:Z,19,FALSE))</f>
        <v>0.83</v>
      </c>
      <c r="AC912" s="16">
        <f>IF(ISERROR(VLOOKUP($A912,'13. Updated Demand'!A:Z,20,FALSE)),0,VLOOKUP($A912,'13. Updated Demand'!A:Z,20,FALSE))</f>
        <v>3.6</v>
      </c>
      <c r="AD912" s="16">
        <f>IF(ISERROR(VLOOKUP($A912,'13. Updated Demand'!A:Z,21,FALSE)),0,VLOOKUP($A912,'13. Updated Demand'!A:Z,21,FALSE))</f>
        <v>4.5599999999999996</v>
      </c>
      <c r="AE912" s="16">
        <f>IF(ISERROR(VLOOKUP($A912,'13. Updated Demand'!A:Z,22,FALSE)),0,VLOOKUP($A912,'13. Updated Demand'!A:Z,22,FALSE))</f>
        <v>3.5</v>
      </c>
      <c r="AF912" s="16">
        <f>IF(ISERROR(VLOOKUP($A912,'13. Updated Demand'!A:Z,23,FALSE)),0,VLOOKUP($A912,'13. Updated Demand'!A:Z,23,FALSE))</f>
        <v>2.46</v>
      </c>
      <c r="AG912" s="16">
        <f>IF(ISERROR(VLOOKUP($A912,'13. Updated Demand'!A:Z,24,FALSE)),0,VLOOKUP($A912,'13. Updated Demand'!A:Z,24,FALSE))</f>
        <v>0</v>
      </c>
      <c r="AH912" s="16">
        <f>IF(ISERROR(VLOOKUP($A912,'13. Updated Demand'!A:Z,25,FALSE)),0,VLOOKUP($A912,'13. Updated Demand'!A:Z,25,FALSE))</f>
        <v>0</v>
      </c>
      <c r="AI912" s="16">
        <f>IF(ISERROR(VLOOKUP($A912,'13. Updated Demand'!A:Z,26,FALSE)),0,VLOOKUP($A912,'13. Updated Demand'!A:Z,26,FALSE))</f>
        <v>0</v>
      </c>
      <c r="AJ912" s="16">
        <f t="shared" ref="AJ912:AJ975" si="180">SUM(X912:AI912)</f>
        <v>14.95</v>
      </c>
      <c r="AK912" s="19">
        <v>14.966666666666674</v>
      </c>
      <c r="AL912" s="16">
        <f t="shared" si="178"/>
        <v>4.9642728469789475E-2</v>
      </c>
      <c r="AM912" s="17">
        <v>0.43507751937984518</v>
      </c>
      <c r="AN912" s="19"/>
      <c r="AO912" s="19"/>
      <c r="AP912" s="19">
        <v>34.4</v>
      </c>
      <c r="AQ912" s="19" t="s">
        <v>307</v>
      </c>
      <c r="AR912" s="9" t="s">
        <v>331</v>
      </c>
      <c r="AS912" s="12">
        <v>0</v>
      </c>
      <c r="AT912" s="19">
        <v>39.132292380000003</v>
      </c>
      <c r="AU912" s="19">
        <v>-123.18989877999999</v>
      </c>
      <c r="AV912" s="19" t="s">
        <v>387</v>
      </c>
    </row>
    <row r="913" spans="1:48" x14ac:dyDescent="0.25">
      <c r="A913" s="18" t="s">
        <v>1296</v>
      </c>
      <c r="B913" s="10">
        <v>19640817</v>
      </c>
      <c r="C913" s="9">
        <v>4</v>
      </c>
      <c r="D913" s="8" t="str">
        <f t="shared" si="169"/>
        <v>Y</v>
      </c>
      <c r="E913" s="8" t="str">
        <f t="shared" si="170"/>
        <v>N</v>
      </c>
      <c r="F913" s="8" t="str">
        <f t="shared" si="171"/>
        <v>Y</v>
      </c>
      <c r="G913" s="8" t="str">
        <f t="shared" si="172"/>
        <v>Y</v>
      </c>
      <c r="H913" s="8" t="str">
        <f t="shared" si="173"/>
        <v>Upper</v>
      </c>
      <c r="I913" s="8" t="str">
        <f t="shared" si="174"/>
        <v>West Fork and Below Lake</v>
      </c>
      <c r="J913" s="8" t="str">
        <f t="shared" si="175"/>
        <v>Mendocino (d/s of lake)</v>
      </c>
      <c r="K913" s="8" t="str">
        <f t="shared" si="176"/>
        <v>Post-1949</v>
      </c>
      <c r="L913" s="8">
        <f t="shared" si="177"/>
        <v>1964</v>
      </c>
      <c r="M913" s="8" t="str">
        <f t="shared" si="179"/>
        <v>1960-1970</v>
      </c>
      <c r="N913" s="10" t="s">
        <v>241</v>
      </c>
      <c r="O913" s="10" t="s">
        <v>241</v>
      </c>
      <c r="P913" s="10" t="s">
        <v>242</v>
      </c>
      <c r="Q913" s="10" t="s">
        <v>242</v>
      </c>
      <c r="R913" s="10" t="s">
        <v>241</v>
      </c>
      <c r="S913" s="10" t="s">
        <v>242</v>
      </c>
      <c r="T913" s="10" t="s">
        <v>242</v>
      </c>
      <c r="U913" s="10" t="s">
        <v>241</v>
      </c>
      <c r="V913" s="10" t="s">
        <v>241</v>
      </c>
      <c r="W913" s="10" t="s">
        <v>242</v>
      </c>
      <c r="X913" s="15">
        <f>IF(ISERROR(VLOOKUP($A913,'13. Updated Demand'!A:Z,15,FALSE)),0,VLOOKUP($A913,'13. Updated Demand'!A:Z,15,FALSE))</f>
        <v>0</v>
      </c>
      <c r="Y913" s="16">
        <f>IF(ISERROR(VLOOKUP($A913,'13. Updated Demand'!A:Z,16,FALSE)),0,VLOOKUP($A913,'13. Updated Demand'!A:Z,16,FALSE))</f>
        <v>0</v>
      </c>
      <c r="Z913" s="16">
        <f>IF(ISERROR(VLOOKUP($A913,'13. Updated Demand'!A:Z,17,FALSE)),0,VLOOKUP($A913,'13. Updated Demand'!A:Z,17,FALSE))</f>
        <v>0</v>
      </c>
      <c r="AA913" s="16">
        <f>IF(ISERROR(VLOOKUP($A913,'13. Updated Demand'!A:Z,18,FALSE)),0,VLOOKUP($A913,'13. Updated Demand'!A:Z,18,FALSE))</f>
        <v>0</v>
      </c>
      <c r="AB913" s="16">
        <f>IF(ISERROR(VLOOKUP($A913,'13. Updated Demand'!A:Z,19,FALSE)),0,VLOOKUP($A913,'13. Updated Demand'!A:Z,19,FALSE))</f>
        <v>0</v>
      </c>
      <c r="AC913" s="16">
        <f>IF(ISERROR(VLOOKUP($A913,'13. Updated Demand'!A:Z,20,FALSE)),0,VLOOKUP($A913,'13. Updated Demand'!A:Z,20,FALSE))</f>
        <v>0</v>
      </c>
      <c r="AD913" s="16">
        <f>IF(ISERROR(VLOOKUP($A913,'13. Updated Demand'!A:Z,21,FALSE)),0,VLOOKUP($A913,'13. Updated Demand'!A:Z,21,FALSE))</f>
        <v>0</v>
      </c>
      <c r="AE913" s="16">
        <f>IF(ISERROR(VLOOKUP($A913,'13. Updated Demand'!A:Z,22,FALSE)),0,VLOOKUP($A913,'13. Updated Demand'!A:Z,22,FALSE))</f>
        <v>0</v>
      </c>
      <c r="AF913" s="16">
        <f>IF(ISERROR(VLOOKUP($A913,'13. Updated Demand'!A:Z,23,FALSE)),0,VLOOKUP($A913,'13. Updated Demand'!A:Z,23,FALSE))</f>
        <v>0</v>
      </c>
      <c r="AG913" s="16">
        <f>IF(ISERROR(VLOOKUP($A913,'13. Updated Demand'!A:Z,24,FALSE)),0,VLOOKUP($A913,'13. Updated Demand'!A:Z,24,FALSE))</f>
        <v>0</v>
      </c>
      <c r="AH913" s="16">
        <f>IF(ISERROR(VLOOKUP($A913,'13. Updated Demand'!A:Z,25,FALSE)),0,VLOOKUP($A913,'13. Updated Demand'!A:Z,25,FALSE))</f>
        <v>0</v>
      </c>
      <c r="AI913" s="16">
        <f>IF(ISERROR(VLOOKUP($A913,'13. Updated Demand'!A:Z,26,FALSE)),0,VLOOKUP($A913,'13. Updated Demand'!A:Z,26,FALSE))</f>
        <v>0</v>
      </c>
      <c r="AJ913" s="16">
        <f t="shared" si="180"/>
        <v>0</v>
      </c>
      <c r="AK913" s="19">
        <v>0</v>
      </c>
      <c r="AL913" s="16">
        <f t="shared" si="178"/>
        <v>0</v>
      </c>
      <c r="AM913" s="17">
        <v>0</v>
      </c>
      <c r="AN913" s="19"/>
      <c r="AO913" s="19"/>
      <c r="AP913" s="19">
        <v>89</v>
      </c>
      <c r="AQ913" s="19" t="s">
        <v>307</v>
      </c>
      <c r="AR913" s="9" t="s">
        <v>331</v>
      </c>
      <c r="AS913" s="12">
        <v>0</v>
      </c>
      <c r="AT913" s="19">
        <v>39.18957503</v>
      </c>
      <c r="AU913" s="19">
        <v>-123.20038887</v>
      </c>
      <c r="AV913" s="19" t="s">
        <v>387</v>
      </c>
    </row>
    <row r="914" spans="1:48" x14ac:dyDescent="0.25">
      <c r="A914" s="18" t="s">
        <v>1297</v>
      </c>
      <c r="B914" s="10">
        <v>19640831</v>
      </c>
      <c r="C914" s="9">
        <v>10</v>
      </c>
      <c r="D914" s="8" t="str">
        <f t="shared" si="169"/>
        <v>N</v>
      </c>
      <c r="E914" s="8" t="str">
        <f t="shared" si="170"/>
        <v>Y</v>
      </c>
      <c r="F914" s="8" t="str">
        <f t="shared" si="171"/>
        <v>Y</v>
      </c>
      <c r="G914" s="8" t="str">
        <f t="shared" si="172"/>
        <v>Y</v>
      </c>
      <c r="H914" s="8" t="str">
        <f t="shared" si="173"/>
        <v>Upper</v>
      </c>
      <c r="I914" s="8" t="str">
        <f t="shared" si="174"/>
        <v>West Fork and Below Lake</v>
      </c>
      <c r="J914" s="8" t="str">
        <f t="shared" si="175"/>
        <v>Sonoma (d/s of Clov. Gage)</v>
      </c>
      <c r="K914" s="8" t="str">
        <f t="shared" si="176"/>
        <v>Post-1949</v>
      </c>
      <c r="L914" s="8">
        <f t="shared" si="177"/>
        <v>1964</v>
      </c>
      <c r="M914" s="8" t="str">
        <f t="shared" si="179"/>
        <v>1960-1970</v>
      </c>
      <c r="N914" s="10" t="s">
        <v>242</v>
      </c>
      <c r="O914" s="10" t="s">
        <v>241</v>
      </c>
      <c r="P914" s="10" t="s">
        <v>242</v>
      </c>
      <c r="Q914" s="10" t="s">
        <v>242</v>
      </c>
      <c r="R914" s="10" t="s">
        <v>241</v>
      </c>
      <c r="S914" s="10" t="s">
        <v>242</v>
      </c>
      <c r="T914" s="10" t="s">
        <v>242</v>
      </c>
      <c r="U914" s="10" t="s">
        <v>242</v>
      </c>
      <c r="V914" s="10" t="s">
        <v>242</v>
      </c>
      <c r="W914" s="10" t="s">
        <v>242</v>
      </c>
      <c r="X914" s="15">
        <f>IF(ISERROR(VLOOKUP($A914,'13. Updated Demand'!A:Z,15,FALSE)),0,VLOOKUP($A914,'13. Updated Demand'!A:Z,15,FALSE))</f>
        <v>0</v>
      </c>
      <c r="Y914" s="16">
        <f>IF(ISERROR(VLOOKUP($A914,'13. Updated Demand'!A:Z,16,FALSE)),0,VLOOKUP($A914,'13. Updated Demand'!A:Z,16,FALSE))</f>
        <v>0</v>
      </c>
      <c r="Z914" s="16">
        <f>IF(ISERROR(VLOOKUP($A914,'13. Updated Demand'!A:Z,17,FALSE)),0,VLOOKUP($A914,'13. Updated Demand'!A:Z,17,FALSE))</f>
        <v>0</v>
      </c>
      <c r="AA914" s="16">
        <f>IF(ISERROR(VLOOKUP($A914,'13. Updated Demand'!A:Z,18,FALSE)),0,VLOOKUP($A914,'13. Updated Demand'!A:Z,18,FALSE))</f>
        <v>0</v>
      </c>
      <c r="AB914" s="16">
        <f>IF(ISERROR(VLOOKUP($A914,'13. Updated Demand'!A:Z,19,FALSE)),0,VLOOKUP($A914,'13. Updated Demand'!A:Z,19,FALSE))</f>
        <v>2</v>
      </c>
      <c r="AC914" s="16">
        <f>IF(ISERROR(VLOOKUP($A914,'13. Updated Demand'!A:Z,20,FALSE)),0,VLOOKUP($A914,'13. Updated Demand'!A:Z,20,FALSE))</f>
        <v>2</v>
      </c>
      <c r="AD914" s="16">
        <f>IF(ISERROR(VLOOKUP($A914,'13. Updated Demand'!A:Z,21,FALSE)),0,VLOOKUP($A914,'13. Updated Demand'!A:Z,21,FALSE))</f>
        <v>2</v>
      </c>
      <c r="AE914" s="16">
        <f>IF(ISERROR(VLOOKUP($A914,'13. Updated Demand'!A:Z,22,FALSE)),0,VLOOKUP($A914,'13. Updated Demand'!A:Z,22,FALSE))</f>
        <v>2</v>
      </c>
      <c r="AF914" s="16">
        <f>IF(ISERROR(VLOOKUP($A914,'13. Updated Demand'!A:Z,23,FALSE)),0,VLOOKUP($A914,'13. Updated Demand'!A:Z,23,FALSE))</f>
        <v>2</v>
      </c>
      <c r="AG914" s="16">
        <f>IF(ISERROR(VLOOKUP($A914,'13. Updated Demand'!A:Z,24,FALSE)),0,VLOOKUP($A914,'13. Updated Demand'!A:Z,24,FALSE))</f>
        <v>2</v>
      </c>
      <c r="AH914" s="16">
        <f>IF(ISERROR(VLOOKUP($A914,'13. Updated Demand'!A:Z,25,FALSE)),0,VLOOKUP($A914,'13. Updated Demand'!A:Z,25,FALSE))</f>
        <v>0</v>
      </c>
      <c r="AI914" s="16">
        <f>IF(ISERROR(VLOOKUP($A914,'13. Updated Demand'!A:Z,26,FALSE)),0,VLOOKUP($A914,'13. Updated Demand'!A:Z,26,FALSE))</f>
        <v>0</v>
      </c>
      <c r="AJ914" s="16">
        <f t="shared" si="180"/>
        <v>12</v>
      </c>
      <c r="AK914" s="19">
        <v>10</v>
      </c>
      <c r="AL914" s="16">
        <f t="shared" si="178"/>
        <v>3.3168860892955086E-2</v>
      </c>
      <c r="AM914" s="17">
        <v>1</v>
      </c>
      <c r="AN914" s="19"/>
      <c r="AO914" s="19"/>
      <c r="AP914" s="19">
        <v>12</v>
      </c>
      <c r="AQ914" s="19" t="s">
        <v>307</v>
      </c>
      <c r="AR914" s="9" t="s">
        <v>436</v>
      </c>
      <c r="AS914" s="12">
        <v>0</v>
      </c>
      <c r="AT914" s="19">
        <v>38.699933719999997</v>
      </c>
      <c r="AU914" s="19">
        <v>-122.82594563000001</v>
      </c>
      <c r="AV914" s="19" t="s">
        <v>417</v>
      </c>
    </row>
    <row r="915" spans="1:48" x14ac:dyDescent="0.25">
      <c r="A915" s="18" t="s">
        <v>1298</v>
      </c>
      <c r="B915" s="10">
        <v>19640930</v>
      </c>
      <c r="C915" s="9">
        <v>18</v>
      </c>
      <c r="D915" s="8" t="str">
        <f t="shared" si="169"/>
        <v>N</v>
      </c>
      <c r="E915" s="8" t="str">
        <f t="shared" si="170"/>
        <v>N</v>
      </c>
      <c r="F915" s="8" t="str">
        <f t="shared" si="171"/>
        <v>N</v>
      </c>
      <c r="G915" s="8" t="str">
        <f t="shared" si="172"/>
        <v>N</v>
      </c>
      <c r="H915" s="8" t="str">
        <f t="shared" si="173"/>
        <v>Lower</v>
      </c>
      <c r="I915" s="8" t="str">
        <f t="shared" si="174"/>
        <v>Outside</v>
      </c>
      <c r="J915" s="8" t="str">
        <f t="shared" si="175"/>
        <v>Outside</v>
      </c>
      <c r="K915" s="8" t="str">
        <f t="shared" si="176"/>
        <v>Post-1949</v>
      </c>
      <c r="L915" s="8">
        <f t="shared" si="177"/>
        <v>1964</v>
      </c>
      <c r="M915" s="8" t="str">
        <f t="shared" si="179"/>
        <v>1960-1970</v>
      </c>
      <c r="N915" s="10" t="s">
        <v>242</v>
      </c>
      <c r="O915" s="10" t="s">
        <v>242</v>
      </c>
      <c r="P915" s="10" t="s">
        <v>242</v>
      </c>
      <c r="Q915" s="10" t="s">
        <v>242</v>
      </c>
      <c r="R915" s="10" t="s">
        <v>241</v>
      </c>
      <c r="S915" s="10" t="s">
        <v>242</v>
      </c>
      <c r="T915" s="10" t="s">
        <v>242</v>
      </c>
      <c r="U915" s="10" t="s">
        <v>242</v>
      </c>
      <c r="V915" s="10" t="s">
        <v>241</v>
      </c>
      <c r="W915" s="10" t="s">
        <v>242</v>
      </c>
      <c r="X915" s="15">
        <f>IF(ISERROR(VLOOKUP($A915,'13. Updated Demand'!A:Z,15,FALSE)),0,VLOOKUP($A915,'13. Updated Demand'!A:Z,15,FALSE))</f>
        <v>0</v>
      </c>
      <c r="Y915" s="16">
        <f>IF(ISERROR(VLOOKUP($A915,'13. Updated Demand'!A:Z,16,FALSE)),0,VLOOKUP($A915,'13. Updated Demand'!A:Z,16,FALSE))</f>
        <v>0</v>
      </c>
      <c r="Z915" s="16">
        <f>IF(ISERROR(VLOOKUP($A915,'13. Updated Demand'!A:Z,17,FALSE)),0,VLOOKUP($A915,'13. Updated Demand'!A:Z,17,FALSE))</f>
        <v>2</v>
      </c>
      <c r="AA915" s="16">
        <f>IF(ISERROR(VLOOKUP($A915,'13. Updated Demand'!A:Z,18,FALSE)),0,VLOOKUP($A915,'13. Updated Demand'!A:Z,18,FALSE))</f>
        <v>4</v>
      </c>
      <c r="AB915" s="16">
        <f>IF(ISERROR(VLOOKUP($A915,'13. Updated Demand'!A:Z,19,FALSE)),0,VLOOKUP($A915,'13. Updated Demand'!A:Z,19,FALSE))</f>
        <v>0</v>
      </c>
      <c r="AC915" s="16">
        <f>IF(ISERROR(VLOOKUP($A915,'13. Updated Demand'!A:Z,20,FALSE)),0,VLOOKUP($A915,'13. Updated Demand'!A:Z,20,FALSE))</f>
        <v>0</v>
      </c>
      <c r="AD915" s="16">
        <f>IF(ISERROR(VLOOKUP($A915,'13. Updated Demand'!A:Z,21,FALSE)),0,VLOOKUP($A915,'13. Updated Demand'!A:Z,21,FALSE))</f>
        <v>0</v>
      </c>
      <c r="AE915" s="16">
        <f>IF(ISERROR(VLOOKUP($A915,'13. Updated Demand'!A:Z,22,FALSE)),0,VLOOKUP($A915,'13. Updated Demand'!A:Z,22,FALSE))</f>
        <v>0</v>
      </c>
      <c r="AF915" s="16">
        <f>IF(ISERROR(VLOOKUP($A915,'13. Updated Demand'!A:Z,23,FALSE)),0,VLOOKUP($A915,'13. Updated Demand'!A:Z,23,FALSE))</f>
        <v>0</v>
      </c>
      <c r="AG915" s="16">
        <f>IF(ISERROR(VLOOKUP($A915,'13. Updated Demand'!A:Z,24,FALSE)),0,VLOOKUP($A915,'13. Updated Demand'!A:Z,24,FALSE))</f>
        <v>0</v>
      </c>
      <c r="AH915" s="16">
        <f>IF(ISERROR(VLOOKUP($A915,'13. Updated Demand'!A:Z,25,FALSE)),0,VLOOKUP($A915,'13. Updated Demand'!A:Z,25,FALSE))</f>
        <v>0</v>
      </c>
      <c r="AI915" s="16">
        <f>IF(ISERROR(VLOOKUP($A915,'13. Updated Demand'!A:Z,26,FALSE)),0,VLOOKUP($A915,'13. Updated Demand'!A:Z,26,FALSE))</f>
        <v>0</v>
      </c>
      <c r="AJ915" s="16">
        <f t="shared" si="180"/>
        <v>6</v>
      </c>
      <c r="AK915" s="19">
        <v>0</v>
      </c>
      <c r="AL915" s="16">
        <f t="shared" si="178"/>
        <v>0</v>
      </c>
      <c r="AM915" s="17">
        <v>0.13333333333333333</v>
      </c>
      <c r="AN915" s="19"/>
      <c r="AO915" s="19"/>
      <c r="AP915" s="19">
        <v>45</v>
      </c>
      <c r="AQ915" s="19" t="s">
        <v>307</v>
      </c>
      <c r="AR915" s="9" t="s">
        <v>352</v>
      </c>
      <c r="AS915" s="12">
        <v>0</v>
      </c>
      <c r="AT915" s="19">
        <v>38.436947089999997</v>
      </c>
      <c r="AU915" s="19">
        <v>-122.92415879000001</v>
      </c>
      <c r="AV915" s="19" t="s">
        <v>417</v>
      </c>
    </row>
    <row r="916" spans="1:48" x14ac:dyDescent="0.25">
      <c r="A916" s="18" t="s">
        <v>1299</v>
      </c>
      <c r="B916" s="10">
        <v>19641008</v>
      </c>
      <c r="C916" s="9">
        <v>12</v>
      </c>
      <c r="D916" s="8" t="str">
        <f t="shared" si="169"/>
        <v>N</v>
      </c>
      <c r="E916" s="8" t="str">
        <f t="shared" si="170"/>
        <v>Y</v>
      </c>
      <c r="F916" s="8" t="str">
        <f t="shared" si="171"/>
        <v>Y</v>
      </c>
      <c r="G916" s="8" t="str">
        <f t="shared" si="172"/>
        <v>Y</v>
      </c>
      <c r="H916" s="8" t="str">
        <f t="shared" si="173"/>
        <v>Upper</v>
      </c>
      <c r="I916" s="8" t="str">
        <f t="shared" si="174"/>
        <v>West Fork and Below Lake</v>
      </c>
      <c r="J916" s="8" t="str">
        <f t="shared" si="175"/>
        <v>Sonoma (d/s of Clov. Gage)</v>
      </c>
      <c r="K916" s="8" t="str">
        <f t="shared" si="176"/>
        <v>Post-1949</v>
      </c>
      <c r="L916" s="8">
        <f t="shared" si="177"/>
        <v>1964</v>
      </c>
      <c r="M916" s="8" t="str">
        <f t="shared" si="179"/>
        <v>1960-1970</v>
      </c>
      <c r="N916" s="10" t="s">
        <v>242</v>
      </c>
      <c r="O916" s="10" t="s">
        <v>241</v>
      </c>
      <c r="P916" s="10" t="s">
        <v>242</v>
      </c>
      <c r="Q916" s="10" t="s">
        <v>242</v>
      </c>
      <c r="R916" s="10" t="s">
        <v>241</v>
      </c>
      <c r="S916" s="10" t="s">
        <v>242</v>
      </c>
      <c r="T916" s="10" t="s">
        <v>242</v>
      </c>
      <c r="U916" s="10" t="s">
        <v>241</v>
      </c>
      <c r="V916" s="10" t="s">
        <v>241</v>
      </c>
      <c r="W916" s="10" t="s">
        <v>242</v>
      </c>
      <c r="X916" s="15">
        <f>IF(ISERROR(VLOOKUP($A916,'13. Updated Demand'!A:Z,15,FALSE)),0,VLOOKUP($A916,'13. Updated Demand'!A:Z,15,FALSE))</f>
        <v>0</v>
      </c>
      <c r="Y916" s="16">
        <f>IF(ISERROR(VLOOKUP($A916,'13. Updated Demand'!A:Z,16,FALSE)),0,VLOOKUP($A916,'13. Updated Demand'!A:Z,16,FALSE))</f>
        <v>0</v>
      </c>
      <c r="Z916" s="16">
        <f>IF(ISERROR(VLOOKUP($A916,'13. Updated Demand'!A:Z,17,FALSE)),0,VLOOKUP($A916,'13. Updated Demand'!A:Z,17,FALSE))</f>
        <v>0</v>
      </c>
      <c r="AA916" s="16">
        <f>IF(ISERROR(VLOOKUP($A916,'13. Updated Demand'!A:Z,18,FALSE)),0,VLOOKUP($A916,'13. Updated Demand'!A:Z,18,FALSE))</f>
        <v>0</v>
      </c>
      <c r="AB916" s="16">
        <f>IF(ISERROR(VLOOKUP($A916,'13. Updated Demand'!A:Z,19,FALSE)),0,VLOOKUP($A916,'13. Updated Demand'!A:Z,19,FALSE))</f>
        <v>0</v>
      </c>
      <c r="AC916" s="16">
        <f>IF(ISERROR(VLOOKUP($A916,'13. Updated Demand'!A:Z,20,FALSE)),0,VLOOKUP($A916,'13. Updated Demand'!A:Z,20,FALSE))</f>
        <v>0</v>
      </c>
      <c r="AD916" s="16">
        <f>IF(ISERROR(VLOOKUP($A916,'13. Updated Demand'!A:Z,21,FALSE)),0,VLOOKUP($A916,'13. Updated Demand'!A:Z,21,FALSE))</f>
        <v>0</v>
      </c>
      <c r="AE916" s="16">
        <f>IF(ISERROR(VLOOKUP($A916,'13. Updated Demand'!A:Z,22,FALSE)),0,VLOOKUP($A916,'13. Updated Demand'!A:Z,22,FALSE))</f>
        <v>0</v>
      </c>
      <c r="AF916" s="16">
        <f>IF(ISERROR(VLOOKUP($A916,'13. Updated Demand'!A:Z,23,FALSE)),0,VLOOKUP($A916,'13. Updated Demand'!A:Z,23,FALSE))</f>
        <v>0</v>
      </c>
      <c r="AG916" s="16">
        <f>IF(ISERROR(VLOOKUP($A916,'13. Updated Demand'!A:Z,24,FALSE)),0,VLOOKUP($A916,'13. Updated Demand'!A:Z,24,FALSE))</f>
        <v>0</v>
      </c>
      <c r="AH916" s="16">
        <f>IF(ISERROR(VLOOKUP($A916,'13. Updated Demand'!A:Z,25,FALSE)),0,VLOOKUP($A916,'13. Updated Demand'!A:Z,25,FALSE))</f>
        <v>0</v>
      </c>
      <c r="AI916" s="16">
        <f>IF(ISERROR(VLOOKUP($A916,'13. Updated Demand'!A:Z,26,FALSE)),0,VLOOKUP($A916,'13. Updated Demand'!A:Z,26,FALSE))</f>
        <v>0</v>
      </c>
      <c r="AJ916" s="16">
        <f t="shared" si="180"/>
        <v>0</v>
      </c>
      <c r="AK916" s="19">
        <v>0</v>
      </c>
      <c r="AL916" s="16">
        <f t="shared" si="178"/>
        <v>0</v>
      </c>
      <c r="AM916" s="17">
        <v>0</v>
      </c>
      <c r="AN916" s="19"/>
      <c r="AO916" s="19"/>
      <c r="AP916" s="19">
        <v>12</v>
      </c>
      <c r="AQ916" s="19" t="s">
        <v>307</v>
      </c>
      <c r="AR916" s="9" t="s">
        <v>311</v>
      </c>
      <c r="AS916" s="12">
        <v>3.4039024194010059E-4</v>
      </c>
      <c r="AT916" s="19">
        <v>38.596426180000002</v>
      </c>
      <c r="AU916" s="19">
        <v>-122.78380724</v>
      </c>
      <c r="AV916" s="19" t="s">
        <v>573</v>
      </c>
    </row>
    <row r="917" spans="1:48" x14ac:dyDescent="0.25">
      <c r="A917" s="18" t="s">
        <v>1300</v>
      </c>
      <c r="B917" s="10">
        <v>19641008</v>
      </c>
      <c r="C917" s="9">
        <v>6</v>
      </c>
      <c r="D917" s="8" t="str">
        <f t="shared" si="169"/>
        <v>Y</v>
      </c>
      <c r="E917" s="8" t="str">
        <f t="shared" si="170"/>
        <v>N</v>
      </c>
      <c r="F917" s="8" t="str">
        <f t="shared" si="171"/>
        <v>Y</v>
      </c>
      <c r="G917" s="8" t="str">
        <f t="shared" si="172"/>
        <v>Y</v>
      </c>
      <c r="H917" s="8" t="str">
        <f t="shared" si="173"/>
        <v>Upper</v>
      </c>
      <c r="I917" s="8" t="str">
        <f t="shared" si="174"/>
        <v>West Fork and Below Lake</v>
      </c>
      <c r="J917" s="8" t="str">
        <f t="shared" si="175"/>
        <v>Mendocino (d/s of lake)</v>
      </c>
      <c r="K917" s="8" t="str">
        <f t="shared" si="176"/>
        <v>Post-1949</v>
      </c>
      <c r="L917" s="8">
        <f t="shared" si="177"/>
        <v>1964</v>
      </c>
      <c r="M917" s="8" t="str">
        <f t="shared" si="179"/>
        <v>1960-1970</v>
      </c>
      <c r="N917" s="10" t="s">
        <v>241</v>
      </c>
      <c r="O917" s="10" t="s">
        <v>241</v>
      </c>
      <c r="P917" s="10" t="s">
        <v>242</v>
      </c>
      <c r="Q917" s="10" t="s">
        <v>242</v>
      </c>
      <c r="R917" s="10" t="s">
        <v>241</v>
      </c>
      <c r="S917" s="10" t="s">
        <v>242</v>
      </c>
      <c r="T917" s="10" t="s">
        <v>242</v>
      </c>
      <c r="U917" s="10" t="s">
        <v>242</v>
      </c>
      <c r="V917" s="10" t="s">
        <v>242</v>
      </c>
      <c r="W917" s="10" t="s">
        <v>242</v>
      </c>
      <c r="X917" s="15">
        <f>IF(ISERROR(VLOOKUP($A917,'13. Updated Demand'!A:Z,15,FALSE)),0,VLOOKUP($A917,'13. Updated Demand'!A:Z,15,FALSE))</f>
        <v>0</v>
      </c>
      <c r="Y917" s="16">
        <f>IF(ISERROR(VLOOKUP($A917,'13. Updated Demand'!A:Z,16,FALSE)),0,VLOOKUP($A917,'13. Updated Demand'!A:Z,16,FALSE))</f>
        <v>0</v>
      </c>
      <c r="Z917" s="16">
        <f>IF(ISERROR(VLOOKUP($A917,'13. Updated Demand'!A:Z,17,FALSE)),0,VLOOKUP($A917,'13. Updated Demand'!A:Z,17,FALSE))</f>
        <v>0</v>
      </c>
      <c r="AA917" s="16">
        <f>IF(ISERROR(VLOOKUP($A917,'13. Updated Demand'!A:Z,18,FALSE)),0,VLOOKUP($A917,'13. Updated Demand'!A:Z,18,FALSE))</f>
        <v>0</v>
      </c>
      <c r="AB917" s="16">
        <f>IF(ISERROR(VLOOKUP($A917,'13. Updated Demand'!A:Z,19,FALSE)),0,VLOOKUP($A917,'13. Updated Demand'!A:Z,19,FALSE))</f>
        <v>0</v>
      </c>
      <c r="AC917" s="16">
        <f>IF(ISERROR(VLOOKUP($A917,'13. Updated Demand'!A:Z,20,FALSE)),0,VLOOKUP($A917,'13. Updated Demand'!A:Z,20,FALSE))</f>
        <v>0</v>
      </c>
      <c r="AD917" s="16">
        <f>IF(ISERROR(VLOOKUP($A917,'13. Updated Demand'!A:Z,21,FALSE)),0,VLOOKUP($A917,'13. Updated Demand'!A:Z,21,FALSE))</f>
        <v>4.93</v>
      </c>
      <c r="AE917" s="16">
        <f>IF(ISERROR(VLOOKUP($A917,'13. Updated Demand'!A:Z,22,FALSE)),0,VLOOKUP($A917,'13. Updated Demand'!A:Z,22,FALSE))</f>
        <v>6.83</v>
      </c>
      <c r="AF917" s="16">
        <f>IF(ISERROR(VLOOKUP($A917,'13. Updated Demand'!A:Z,23,FALSE)),0,VLOOKUP($A917,'13. Updated Demand'!A:Z,23,FALSE))</f>
        <v>0</v>
      </c>
      <c r="AG917" s="16">
        <f>IF(ISERROR(VLOOKUP($A917,'13. Updated Demand'!A:Z,24,FALSE)),0,VLOOKUP($A917,'13. Updated Demand'!A:Z,24,FALSE))</f>
        <v>0</v>
      </c>
      <c r="AH917" s="16">
        <f>IF(ISERROR(VLOOKUP($A917,'13. Updated Demand'!A:Z,25,FALSE)),0,VLOOKUP($A917,'13. Updated Demand'!A:Z,25,FALSE))</f>
        <v>0</v>
      </c>
      <c r="AI917" s="16">
        <f>IF(ISERROR(VLOOKUP($A917,'13. Updated Demand'!A:Z,26,FALSE)),0,VLOOKUP($A917,'13. Updated Demand'!A:Z,26,FALSE))</f>
        <v>0</v>
      </c>
      <c r="AJ917" s="16">
        <f t="shared" si="180"/>
        <v>11.76</v>
      </c>
      <c r="AK917" s="19">
        <v>11.76666666666666</v>
      </c>
      <c r="AL917" s="16">
        <f t="shared" si="178"/>
        <v>3.9028692984043802E-2</v>
      </c>
      <c r="AM917" s="17">
        <v>0.28015873015873</v>
      </c>
      <c r="AN917" s="19"/>
      <c r="AO917" s="19"/>
      <c r="AP917" s="19">
        <v>42</v>
      </c>
      <c r="AQ917" s="19" t="s">
        <v>307</v>
      </c>
      <c r="AR917" s="9" t="s">
        <v>319</v>
      </c>
      <c r="AS917" s="12">
        <v>0</v>
      </c>
      <c r="AT917" s="19">
        <v>38.999699999999997</v>
      </c>
      <c r="AU917" s="19">
        <v>-123.1092</v>
      </c>
      <c r="AV917" s="19" t="s">
        <v>387</v>
      </c>
    </row>
    <row r="918" spans="1:48" x14ac:dyDescent="0.25">
      <c r="A918" s="18" t="s">
        <v>1301</v>
      </c>
      <c r="B918" s="10">
        <v>19641008</v>
      </c>
      <c r="C918" s="9">
        <v>6</v>
      </c>
      <c r="D918" s="8" t="str">
        <f t="shared" si="169"/>
        <v>Y</v>
      </c>
      <c r="E918" s="8" t="str">
        <f t="shared" si="170"/>
        <v>N</v>
      </c>
      <c r="F918" s="8" t="str">
        <f t="shared" si="171"/>
        <v>Y</v>
      </c>
      <c r="G918" s="8" t="str">
        <f t="shared" si="172"/>
        <v>Y</v>
      </c>
      <c r="H918" s="8" t="str">
        <f t="shared" si="173"/>
        <v>Upper</v>
      </c>
      <c r="I918" s="8" t="str">
        <f t="shared" si="174"/>
        <v>West Fork and Below Lake</v>
      </c>
      <c r="J918" s="8" t="str">
        <f t="shared" si="175"/>
        <v>Mendocino (d/s of lake)</v>
      </c>
      <c r="K918" s="8" t="str">
        <f t="shared" si="176"/>
        <v>Post-1949</v>
      </c>
      <c r="L918" s="8">
        <f t="shared" si="177"/>
        <v>1964</v>
      </c>
      <c r="M918" s="8" t="str">
        <f t="shared" si="179"/>
        <v>1960-1970</v>
      </c>
      <c r="N918" s="10" t="s">
        <v>241</v>
      </c>
      <c r="O918" s="10" t="s">
        <v>241</v>
      </c>
      <c r="P918" s="10" t="s">
        <v>242</v>
      </c>
      <c r="Q918" s="10" t="s">
        <v>242</v>
      </c>
      <c r="R918" s="10" t="s">
        <v>241</v>
      </c>
      <c r="S918" s="10" t="s">
        <v>242</v>
      </c>
      <c r="T918" s="10" t="s">
        <v>242</v>
      </c>
      <c r="U918" s="10" t="s">
        <v>242</v>
      </c>
      <c r="V918" s="10" t="s">
        <v>242</v>
      </c>
      <c r="W918" s="10" t="s">
        <v>242</v>
      </c>
      <c r="X918" s="15">
        <f>IF(ISERROR(VLOOKUP($A918,'13. Updated Demand'!A:Z,15,FALSE)),0,VLOOKUP($A918,'13. Updated Demand'!A:Z,15,FALSE))</f>
        <v>0</v>
      </c>
      <c r="Y918" s="16">
        <f>IF(ISERROR(VLOOKUP($A918,'13. Updated Demand'!A:Z,16,FALSE)),0,VLOOKUP($A918,'13. Updated Demand'!A:Z,16,FALSE))</f>
        <v>0</v>
      </c>
      <c r="Z918" s="16">
        <f>IF(ISERROR(VLOOKUP($A918,'13. Updated Demand'!A:Z,17,FALSE)),0,VLOOKUP($A918,'13. Updated Demand'!A:Z,17,FALSE))</f>
        <v>0</v>
      </c>
      <c r="AA918" s="16">
        <f>IF(ISERROR(VLOOKUP($A918,'13. Updated Demand'!A:Z,18,FALSE)),0,VLOOKUP($A918,'13. Updated Demand'!A:Z,18,FALSE))</f>
        <v>0</v>
      </c>
      <c r="AB918" s="16">
        <f>IF(ISERROR(VLOOKUP($A918,'13. Updated Demand'!A:Z,19,FALSE)),0,VLOOKUP($A918,'13. Updated Demand'!A:Z,19,FALSE))</f>
        <v>0</v>
      </c>
      <c r="AC918" s="16">
        <f>IF(ISERROR(VLOOKUP($A918,'13. Updated Demand'!A:Z,20,FALSE)),0,VLOOKUP($A918,'13. Updated Demand'!A:Z,20,FALSE))</f>
        <v>0.23</v>
      </c>
      <c r="AD918" s="16">
        <f>IF(ISERROR(VLOOKUP($A918,'13. Updated Demand'!A:Z,21,FALSE)),0,VLOOKUP($A918,'13. Updated Demand'!A:Z,21,FALSE))</f>
        <v>1.3</v>
      </c>
      <c r="AE918" s="16">
        <f>IF(ISERROR(VLOOKUP($A918,'13. Updated Demand'!A:Z,22,FALSE)),0,VLOOKUP($A918,'13. Updated Demand'!A:Z,22,FALSE))</f>
        <v>1.36</v>
      </c>
      <c r="AF918" s="16">
        <f>IF(ISERROR(VLOOKUP($A918,'13. Updated Demand'!A:Z,23,FALSE)),0,VLOOKUP($A918,'13. Updated Demand'!A:Z,23,FALSE))</f>
        <v>0</v>
      </c>
      <c r="AG918" s="16">
        <f>IF(ISERROR(VLOOKUP($A918,'13. Updated Demand'!A:Z,24,FALSE)),0,VLOOKUP($A918,'13. Updated Demand'!A:Z,24,FALSE))</f>
        <v>0</v>
      </c>
      <c r="AH918" s="16">
        <f>IF(ISERROR(VLOOKUP($A918,'13. Updated Demand'!A:Z,25,FALSE)),0,VLOOKUP($A918,'13. Updated Demand'!A:Z,25,FALSE))</f>
        <v>0</v>
      </c>
      <c r="AI918" s="16">
        <f>IF(ISERROR(VLOOKUP($A918,'13. Updated Demand'!A:Z,26,FALSE)),0,VLOOKUP($A918,'13. Updated Demand'!A:Z,26,FALSE))</f>
        <v>0</v>
      </c>
      <c r="AJ918" s="16">
        <f t="shared" si="180"/>
        <v>2.89</v>
      </c>
      <c r="AK918" s="19">
        <v>2.900000000000003</v>
      </c>
      <c r="AL918" s="16">
        <f t="shared" si="178"/>
        <v>9.6189696589569877E-3</v>
      </c>
      <c r="AM918" s="17">
        <v>1.8471337579617855E-2</v>
      </c>
      <c r="AN918" s="19"/>
      <c r="AO918" s="19"/>
      <c r="AP918" s="19">
        <v>157</v>
      </c>
      <c r="AQ918" s="19" t="s">
        <v>307</v>
      </c>
      <c r="AR918" s="9" t="s">
        <v>319</v>
      </c>
      <c r="AS918" s="12">
        <v>0</v>
      </c>
      <c r="AT918" s="19">
        <v>38.990596629999999</v>
      </c>
      <c r="AU918" s="19">
        <v>-123.10659378</v>
      </c>
      <c r="AV918" s="19" t="s">
        <v>387</v>
      </c>
    </row>
    <row r="919" spans="1:48" x14ac:dyDescent="0.25">
      <c r="A919" s="18" t="s">
        <v>1302</v>
      </c>
      <c r="B919" s="10">
        <v>19641008</v>
      </c>
      <c r="C919" s="9">
        <v>6</v>
      </c>
      <c r="D919" s="8" t="str">
        <f t="shared" si="169"/>
        <v>Y</v>
      </c>
      <c r="E919" s="8" t="str">
        <f t="shared" si="170"/>
        <v>N</v>
      </c>
      <c r="F919" s="8" t="str">
        <f t="shared" si="171"/>
        <v>Y</v>
      </c>
      <c r="G919" s="8" t="str">
        <f t="shared" si="172"/>
        <v>Y</v>
      </c>
      <c r="H919" s="8" t="str">
        <f t="shared" si="173"/>
        <v>Upper</v>
      </c>
      <c r="I919" s="8" t="str">
        <f t="shared" si="174"/>
        <v>West Fork and Below Lake</v>
      </c>
      <c r="J919" s="8" t="str">
        <f t="shared" si="175"/>
        <v>Mendocino (d/s of lake)</v>
      </c>
      <c r="K919" s="8" t="str">
        <f t="shared" si="176"/>
        <v>Post-1949</v>
      </c>
      <c r="L919" s="8">
        <f t="shared" si="177"/>
        <v>1964</v>
      </c>
      <c r="M919" s="8" t="str">
        <f t="shared" si="179"/>
        <v>1960-1970</v>
      </c>
      <c r="N919" s="10" t="s">
        <v>241</v>
      </c>
      <c r="O919" s="10" t="s">
        <v>241</v>
      </c>
      <c r="P919" s="10" t="s">
        <v>242</v>
      </c>
      <c r="Q919" s="10" t="s">
        <v>242</v>
      </c>
      <c r="R919" s="10" t="s">
        <v>241</v>
      </c>
      <c r="S919" s="10" t="s">
        <v>242</v>
      </c>
      <c r="T919" s="10" t="s">
        <v>242</v>
      </c>
      <c r="U919" s="10" t="s">
        <v>241</v>
      </c>
      <c r="V919" s="10" t="s">
        <v>241</v>
      </c>
      <c r="W919" s="10" t="s">
        <v>242</v>
      </c>
      <c r="X919" s="15">
        <f>IF(ISERROR(VLOOKUP($A919,'13. Updated Demand'!A:Z,15,FALSE)),0,VLOOKUP($A919,'13. Updated Demand'!A:Z,15,FALSE))</f>
        <v>0</v>
      </c>
      <c r="Y919" s="16">
        <f>IF(ISERROR(VLOOKUP($A919,'13. Updated Demand'!A:Z,16,FALSE)),0,VLOOKUP($A919,'13. Updated Demand'!A:Z,16,FALSE))</f>
        <v>0</v>
      </c>
      <c r="Z919" s="16">
        <f>IF(ISERROR(VLOOKUP($A919,'13. Updated Demand'!A:Z,17,FALSE)),0,VLOOKUP($A919,'13. Updated Demand'!A:Z,17,FALSE))</f>
        <v>0</v>
      </c>
      <c r="AA919" s="16">
        <f>IF(ISERROR(VLOOKUP($A919,'13. Updated Demand'!A:Z,18,FALSE)),0,VLOOKUP($A919,'13. Updated Demand'!A:Z,18,FALSE))</f>
        <v>0</v>
      </c>
      <c r="AB919" s="16">
        <f>IF(ISERROR(VLOOKUP($A919,'13. Updated Demand'!A:Z,19,FALSE)),0,VLOOKUP($A919,'13. Updated Demand'!A:Z,19,FALSE))</f>
        <v>0</v>
      </c>
      <c r="AC919" s="16">
        <f>IF(ISERROR(VLOOKUP($A919,'13. Updated Demand'!A:Z,20,FALSE)),0,VLOOKUP($A919,'13. Updated Demand'!A:Z,20,FALSE))</f>
        <v>0</v>
      </c>
      <c r="AD919" s="16">
        <f>IF(ISERROR(VLOOKUP($A919,'13. Updated Demand'!A:Z,21,FALSE)),0,VLOOKUP($A919,'13. Updated Demand'!A:Z,21,FALSE))</f>
        <v>0</v>
      </c>
      <c r="AE919" s="16">
        <f>IF(ISERROR(VLOOKUP($A919,'13. Updated Demand'!A:Z,22,FALSE)),0,VLOOKUP($A919,'13. Updated Demand'!A:Z,22,FALSE))</f>
        <v>0</v>
      </c>
      <c r="AF919" s="16">
        <f>IF(ISERROR(VLOOKUP($A919,'13. Updated Demand'!A:Z,23,FALSE)),0,VLOOKUP($A919,'13. Updated Demand'!A:Z,23,FALSE))</f>
        <v>0</v>
      </c>
      <c r="AG919" s="16">
        <f>IF(ISERROR(VLOOKUP($A919,'13. Updated Demand'!A:Z,24,FALSE)),0,VLOOKUP($A919,'13. Updated Demand'!A:Z,24,FALSE))</f>
        <v>0</v>
      </c>
      <c r="AH919" s="16">
        <f>IF(ISERROR(VLOOKUP($A919,'13. Updated Demand'!A:Z,25,FALSE)),0,VLOOKUP($A919,'13. Updated Demand'!A:Z,25,FALSE))</f>
        <v>0</v>
      </c>
      <c r="AI919" s="16">
        <f>IF(ISERROR(VLOOKUP($A919,'13. Updated Demand'!A:Z,26,FALSE)),0,VLOOKUP($A919,'13. Updated Demand'!A:Z,26,FALSE))</f>
        <v>0</v>
      </c>
      <c r="AJ919" s="16">
        <f t="shared" si="180"/>
        <v>0</v>
      </c>
      <c r="AK919" s="19">
        <v>0</v>
      </c>
      <c r="AL919" s="16">
        <f t="shared" si="178"/>
        <v>0</v>
      </c>
      <c r="AM919" s="17">
        <v>0</v>
      </c>
      <c r="AN919" s="19"/>
      <c r="AO919" s="19"/>
      <c r="AP919" s="19">
        <v>61</v>
      </c>
      <c r="AQ919" s="19" t="s">
        <v>307</v>
      </c>
      <c r="AR919" s="9" t="s">
        <v>319</v>
      </c>
      <c r="AS919" s="12">
        <v>0</v>
      </c>
      <c r="AT919" s="19">
        <v>38.979631240000003</v>
      </c>
      <c r="AU919" s="19">
        <v>-123.10466384999999</v>
      </c>
      <c r="AV919" s="19" t="s">
        <v>387</v>
      </c>
    </row>
    <row r="920" spans="1:48" x14ac:dyDescent="0.25">
      <c r="A920" s="18" t="s">
        <v>1303</v>
      </c>
      <c r="B920" s="10">
        <v>19641008</v>
      </c>
      <c r="C920" s="9">
        <v>6</v>
      </c>
      <c r="D920" s="8" t="str">
        <f t="shared" si="169"/>
        <v>Y</v>
      </c>
      <c r="E920" s="8" t="str">
        <f t="shared" si="170"/>
        <v>N</v>
      </c>
      <c r="F920" s="8" t="str">
        <f t="shared" si="171"/>
        <v>Y</v>
      </c>
      <c r="G920" s="8" t="str">
        <f t="shared" si="172"/>
        <v>Y</v>
      </c>
      <c r="H920" s="8" t="str">
        <f t="shared" si="173"/>
        <v>Upper</v>
      </c>
      <c r="I920" s="8" t="str">
        <f t="shared" si="174"/>
        <v>West Fork and Below Lake</v>
      </c>
      <c r="J920" s="8" t="str">
        <f t="shared" si="175"/>
        <v>Mendocino (d/s of lake)</v>
      </c>
      <c r="K920" s="8" t="str">
        <f t="shared" si="176"/>
        <v>Post-1949</v>
      </c>
      <c r="L920" s="8">
        <f t="shared" si="177"/>
        <v>1964</v>
      </c>
      <c r="M920" s="8" t="str">
        <f t="shared" si="179"/>
        <v>1960-1970</v>
      </c>
      <c r="N920" s="10" t="s">
        <v>241</v>
      </c>
      <c r="O920" s="10" t="s">
        <v>241</v>
      </c>
      <c r="P920" s="10" t="s">
        <v>242</v>
      </c>
      <c r="Q920" s="10" t="s">
        <v>242</v>
      </c>
      <c r="R920" s="10" t="s">
        <v>241</v>
      </c>
      <c r="S920" s="10" t="s">
        <v>242</v>
      </c>
      <c r="T920" s="10" t="s">
        <v>242</v>
      </c>
      <c r="U920" s="10" t="s">
        <v>242</v>
      </c>
      <c r="V920" s="10" t="s">
        <v>242</v>
      </c>
      <c r="W920" s="10" t="s">
        <v>242</v>
      </c>
      <c r="X920" s="15">
        <f>IF(ISERROR(VLOOKUP($A920,'13. Updated Demand'!A:Z,15,FALSE)),0,VLOOKUP($A920,'13. Updated Demand'!A:Z,15,FALSE))</f>
        <v>0</v>
      </c>
      <c r="Y920" s="16">
        <f>IF(ISERROR(VLOOKUP($A920,'13. Updated Demand'!A:Z,16,FALSE)),0,VLOOKUP($A920,'13. Updated Demand'!A:Z,16,FALSE))</f>
        <v>0</v>
      </c>
      <c r="Z920" s="16">
        <f>IF(ISERROR(VLOOKUP($A920,'13. Updated Demand'!A:Z,17,FALSE)),0,VLOOKUP($A920,'13. Updated Demand'!A:Z,17,FALSE))</f>
        <v>0</v>
      </c>
      <c r="AA920" s="16">
        <f>IF(ISERROR(VLOOKUP($A920,'13. Updated Demand'!A:Z,18,FALSE)),0,VLOOKUP($A920,'13. Updated Demand'!A:Z,18,FALSE))</f>
        <v>0</v>
      </c>
      <c r="AB920" s="16">
        <f>IF(ISERROR(VLOOKUP($A920,'13. Updated Demand'!A:Z,19,FALSE)),0,VLOOKUP($A920,'13. Updated Demand'!A:Z,19,FALSE))</f>
        <v>0</v>
      </c>
      <c r="AC920" s="16">
        <f>IF(ISERROR(VLOOKUP($A920,'13. Updated Demand'!A:Z,20,FALSE)),0,VLOOKUP($A920,'13. Updated Demand'!A:Z,20,FALSE))</f>
        <v>0</v>
      </c>
      <c r="AD920" s="16">
        <f>IF(ISERROR(VLOOKUP($A920,'13. Updated Demand'!A:Z,21,FALSE)),0,VLOOKUP($A920,'13. Updated Demand'!A:Z,21,FALSE))</f>
        <v>6.13</v>
      </c>
      <c r="AE920" s="16">
        <f>IF(ISERROR(VLOOKUP($A920,'13. Updated Demand'!A:Z,22,FALSE)),0,VLOOKUP($A920,'13. Updated Demand'!A:Z,22,FALSE))</f>
        <v>0</v>
      </c>
      <c r="AF920" s="16">
        <f>IF(ISERROR(VLOOKUP($A920,'13. Updated Demand'!A:Z,23,FALSE)),0,VLOOKUP($A920,'13. Updated Demand'!A:Z,23,FALSE))</f>
        <v>0</v>
      </c>
      <c r="AG920" s="16">
        <f>IF(ISERROR(VLOOKUP($A920,'13. Updated Demand'!A:Z,24,FALSE)),0,VLOOKUP($A920,'13. Updated Demand'!A:Z,24,FALSE))</f>
        <v>0</v>
      </c>
      <c r="AH920" s="16">
        <f>IF(ISERROR(VLOOKUP($A920,'13. Updated Demand'!A:Z,25,FALSE)),0,VLOOKUP($A920,'13. Updated Demand'!A:Z,25,FALSE))</f>
        <v>0</v>
      </c>
      <c r="AI920" s="16">
        <f>IF(ISERROR(VLOOKUP($A920,'13. Updated Demand'!A:Z,26,FALSE)),0,VLOOKUP($A920,'13. Updated Demand'!A:Z,26,FALSE))</f>
        <v>0</v>
      </c>
      <c r="AJ920" s="16">
        <f t="shared" si="180"/>
        <v>6.13</v>
      </c>
      <c r="AK920" s="19">
        <v>6.1333333333333302</v>
      </c>
      <c r="AL920" s="16">
        <f t="shared" si="178"/>
        <v>2.0343568014345777E-2</v>
      </c>
      <c r="AM920" s="17">
        <v>0.18039215686274501</v>
      </c>
      <c r="AN920" s="19"/>
      <c r="AO920" s="19"/>
      <c r="AP920" s="19">
        <v>34</v>
      </c>
      <c r="AQ920" s="19" t="s">
        <v>307</v>
      </c>
      <c r="AR920" s="9" t="s">
        <v>319</v>
      </c>
      <c r="AS920" s="12">
        <v>0</v>
      </c>
      <c r="AT920" s="19">
        <v>38.976095100000002</v>
      </c>
      <c r="AU920" s="19">
        <v>-123.10573033</v>
      </c>
      <c r="AV920" s="19" t="s">
        <v>387</v>
      </c>
    </row>
    <row r="921" spans="1:48" x14ac:dyDescent="0.25">
      <c r="A921" s="18" t="s">
        <v>1304</v>
      </c>
      <c r="B921" s="10">
        <v>19641008</v>
      </c>
      <c r="C921" s="9">
        <v>6</v>
      </c>
      <c r="D921" s="8" t="str">
        <f t="shared" si="169"/>
        <v>Y</v>
      </c>
      <c r="E921" s="8" t="str">
        <f t="shared" si="170"/>
        <v>N</v>
      </c>
      <c r="F921" s="8" t="str">
        <f t="shared" si="171"/>
        <v>Y</v>
      </c>
      <c r="G921" s="8" t="str">
        <f t="shared" si="172"/>
        <v>Y</v>
      </c>
      <c r="H921" s="8" t="str">
        <f t="shared" si="173"/>
        <v>Upper</v>
      </c>
      <c r="I921" s="8" t="str">
        <f t="shared" si="174"/>
        <v>West Fork and Below Lake</v>
      </c>
      <c r="J921" s="8" t="str">
        <f t="shared" si="175"/>
        <v>Mendocino (d/s of lake)</v>
      </c>
      <c r="K921" s="8" t="str">
        <f t="shared" si="176"/>
        <v>Post-1949</v>
      </c>
      <c r="L921" s="8">
        <f t="shared" si="177"/>
        <v>1964</v>
      </c>
      <c r="M921" s="8" t="str">
        <f t="shared" si="179"/>
        <v>1960-1970</v>
      </c>
      <c r="N921" s="10" t="s">
        <v>241</v>
      </c>
      <c r="O921" s="10" t="s">
        <v>241</v>
      </c>
      <c r="P921" s="10" t="s">
        <v>242</v>
      </c>
      <c r="Q921" s="10" t="s">
        <v>242</v>
      </c>
      <c r="R921" s="10" t="s">
        <v>241</v>
      </c>
      <c r="S921" s="10" t="s">
        <v>242</v>
      </c>
      <c r="T921" s="10" t="s">
        <v>242</v>
      </c>
      <c r="U921" s="10" t="s">
        <v>242</v>
      </c>
      <c r="V921" s="10" t="s">
        <v>242</v>
      </c>
      <c r="W921" s="10" t="s">
        <v>242</v>
      </c>
      <c r="X921" s="15">
        <f>IF(ISERROR(VLOOKUP($A921,'13. Updated Demand'!A:Z,15,FALSE)),0,VLOOKUP($A921,'13. Updated Demand'!A:Z,15,FALSE))</f>
        <v>0</v>
      </c>
      <c r="Y921" s="16">
        <f>IF(ISERROR(VLOOKUP($A921,'13. Updated Demand'!A:Z,16,FALSE)),0,VLOOKUP($A921,'13. Updated Demand'!A:Z,16,FALSE))</f>
        <v>0</v>
      </c>
      <c r="Z921" s="16">
        <f>IF(ISERROR(VLOOKUP($A921,'13. Updated Demand'!A:Z,17,FALSE)),0,VLOOKUP($A921,'13. Updated Demand'!A:Z,17,FALSE))</f>
        <v>0</v>
      </c>
      <c r="AA921" s="16">
        <f>IF(ISERROR(VLOOKUP($A921,'13. Updated Demand'!A:Z,18,FALSE)),0,VLOOKUP($A921,'13. Updated Demand'!A:Z,18,FALSE))</f>
        <v>0</v>
      </c>
      <c r="AB921" s="16">
        <f>IF(ISERROR(VLOOKUP($A921,'13. Updated Demand'!A:Z,19,FALSE)),0,VLOOKUP($A921,'13. Updated Demand'!A:Z,19,FALSE))</f>
        <v>0</v>
      </c>
      <c r="AC921" s="16">
        <f>IF(ISERROR(VLOOKUP($A921,'13. Updated Demand'!A:Z,20,FALSE)),0,VLOOKUP($A921,'13. Updated Demand'!A:Z,20,FALSE))</f>
        <v>0.43</v>
      </c>
      <c r="AD921" s="16">
        <f>IF(ISERROR(VLOOKUP($A921,'13. Updated Demand'!A:Z,21,FALSE)),0,VLOOKUP($A921,'13. Updated Demand'!A:Z,21,FALSE))</f>
        <v>5.76</v>
      </c>
      <c r="AE921" s="16">
        <f>IF(ISERROR(VLOOKUP($A921,'13. Updated Demand'!A:Z,22,FALSE)),0,VLOOKUP($A921,'13. Updated Demand'!A:Z,22,FALSE))</f>
        <v>9.56</v>
      </c>
      <c r="AF921" s="16">
        <f>IF(ISERROR(VLOOKUP($A921,'13. Updated Demand'!A:Z,23,FALSE)),0,VLOOKUP($A921,'13. Updated Demand'!A:Z,23,FALSE))</f>
        <v>1.26</v>
      </c>
      <c r="AG921" s="16">
        <f>IF(ISERROR(VLOOKUP($A921,'13. Updated Demand'!A:Z,24,FALSE)),0,VLOOKUP($A921,'13. Updated Demand'!A:Z,24,FALSE))</f>
        <v>1.2</v>
      </c>
      <c r="AH921" s="16">
        <f>IF(ISERROR(VLOOKUP($A921,'13. Updated Demand'!A:Z,25,FALSE)),0,VLOOKUP($A921,'13. Updated Demand'!A:Z,25,FALSE))</f>
        <v>0</v>
      </c>
      <c r="AI921" s="16">
        <f>IF(ISERROR(VLOOKUP($A921,'13. Updated Demand'!A:Z,26,FALSE)),0,VLOOKUP($A921,'13. Updated Demand'!A:Z,26,FALSE))</f>
        <v>0</v>
      </c>
      <c r="AJ921" s="16">
        <f t="shared" si="180"/>
        <v>18.21</v>
      </c>
      <c r="AK921" s="19">
        <v>17.033333333333342</v>
      </c>
      <c r="AL921" s="16">
        <f t="shared" si="178"/>
        <v>5.6497626387666866E-2</v>
      </c>
      <c r="AM921" s="17">
        <v>0.37210884353741513</v>
      </c>
      <c r="AN921" s="19"/>
      <c r="AO921" s="19"/>
      <c r="AP921" s="19">
        <v>49</v>
      </c>
      <c r="AQ921" s="19" t="s">
        <v>307</v>
      </c>
      <c r="AR921" s="9" t="s">
        <v>319</v>
      </c>
      <c r="AS921" s="12">
        <v>0</v>
      </c>
      <c r="AT921" s="19">
        <v>38.972477069999997</v>
      </c>
      <c r="AU921" s="19">
        <v>-123.10717158999999</v>
      </c>
      <c r="AV921" s="19" t="s">
        <v>387</v>
      </c>
    </row>
    <row r="922" spans="1:48" x14ac:dyDescent="0.25">
      <c r="A922" s="18" t="s">
        <v>101</v>
      </c>
      <c r="B922" s="10">
        <v>19641008</v>
      </c>
      <c r="C922" s="9">
        <v>6</v>
      </c>
      <c r="D922" s="8" t="str">
        <f t="shared" si="169"/>
        <v>Y</v>
      </c>
      <c r="E922" s="8" t="str">
        <f t="shared" si="170"/>
        <v>N</v>
      </c>
      <c r="F922" s="8" t="str">
        <f t="shared" si="171"/>
        <v>Y</v>
      </c>
      <c r="G922" s="8" t="str">
        <f t="shared" si="172"/>
        <v>Y</v>
      </c>
      <c r="H922" s="8" t="str">
        <f t="shared" si="173"/>
        <v>Upper</v>
      </c>
      <c r="I922" s="8" t="str">
        <f t="shared" si="174"/>
        <v>West Fork and Below Lake</v>
      </c>
      <c r="J922" s="8" t="str">
        <f t="shared" si="175"/>
        <v>Mendocino (d/s of lake)</v>
      </c>
      <c r="K922" s="8" t="str">
        <f t="shared" si="176"/>
        <v>Post-1949</v>
      </c>
      <c r="L922" s="8">
        <f t="shared" si="177"/>
        <v>1964</v>
      </c>
      <c r="M922" s="8" t="str">
        <f t="shared" si="179"/>
        <v>1960-1970</v>
      </c>
      <c r="N922" s="10" t="s">
        <v>241</v>
      </c>
      <c r="O922" s="10" t="s">
        <v>241</v>
      </c>
      <c r="P922" s="10" t="s">
        <v>242</v>
      </c>
      <c r="Q922" s="10" t="s">
        <v>242</v>
      </c>
      <c r="R922" s="10" t="s">
        <v>241</v>
      </c>
      <c r="S922" s="10" t="s">
        <v>242</v>
      </c>
      <c r="T922" s="10" t="s">
        <v>242</v>
      </c>
      <c r="U922" s="10" t="s">
        <v>242</v>
      </c>
      <c r="V922" s="10" t="s">
        <v>242</v>
      </c>
      <c r="W922" s="10" t="s">
        <v>242</v>
      </c>
      <c r="X922" s="15">
        <f>IF(ISERROR(VLOOKUP($A922,'13. Updated Demand'!A:Z,15,FALSE)),0,VLOOKUP($A922,'13. Updated Demand'!A:Z,15,FALSE))</f>
        <v>0</v>
      </c>
      <c r="Y922" s="16">
        <f>IF(ISERROR(VLOOKUP($A922,'13. Updated Demand'!A:Z,16,FALSE)),0,VLOOKUP($A922,'13. Updated Demand'!A:Z,16,FALSE))</f>
        <v>0</v>
      </c>
      <c r="Z922" s="16">
        <f>IF(ISERROR(VLOOKUP($A922,'13. Updated Demand'!A:Z,17,FALSE)),0,VLOOKUP($A922,'13. Updated Demand'!A:Z,17,FALSE))</f>
        <v>0</v>
      </c>
      <c r="AA922" s="16">
        <f>IF(ISERROR(VLOOKUP($A922,'13. Updated Demand'!A:Z,18,FALSE)),0,VLOOKUP($A922,'13. Updated Demand'!A:Z,18,FALSE))</f>
        <v>1</v>
      </c>
      <c r="AB922" s="16">
        <f>IF(ISERROR(VLOOKUP($A922,'13. Updated Demand'!A:Z,19,FALSE)),0,VLOOKUP($A922,'13. Updated Demand'!A:Z,19,FALSE))</f>
        <v>2</v>
      </c>
      <c r="AC922" s="16">
        <f>IF(ISERROR(VLOOKUP($A922,'13. Updated Demand'!A:Z,20,FALSE)),0,VLOOKUP($A922,'13. Updated Demand'!A:Z,20,FALSE))</f>
        <v>2</v>
      </c>
      <c r="AD922" s="16">
        <f>IF(ISERROR(VLOOKUP($A922,'13. Updated Demand'!A:Z,21,FALSE)),0,VLOOKUP($A922,'13. Updated Demand'!A:Z,21,FALSE))</f>
        <v>2</v>
      </c>
      <c r="AE922" s="16">
        <f>IF(ISERROR(VLOOKUP($A922,'13. Updated Demand'!A:Z,22,FALSE)),0,VLOOKUP($A922,'13. Updated Demand'!A:Z,22,FALSE))</f>
        <v>2</v>
      </c>
      <c r="AF922" s="16">
        <f>IF(ISERROR(VLOOKUP($A922,'13. Updated Demand'!A:Z,23,FALSE)),0,VLOOKUP($A922,'13. Updated Demand'!A:Z,23,FALSE))</f>
        <v>2</v>
      </c>
      <c r="AG922" s="16">
        <f>IF(ISERROR(VLOOKUP($A922,'13. Updated Demand'!A:Z,24,FALSE)),0,VLOOKUP($A922,'13. Updated Demand'!A:Z,24,FALSE))</f>
        <v>1</v>
      </c>
      <c r="AH922" s="16">
        <f>IF(ISERROR(VLOOKUP($A922,'13. Updated Demand'!A:Z,25,FALSE)),0,VLOOKUP($A922,'13. Updated Demand'!A:Z,25,FALSE))</f>
        <v>0</v>
      </c>
      <c r="AI922" s="16">
        <f>IF(ISERROR(VLOOKUP($A922,'13. Updated Demand'!A:Z,26,FALSE)),0,VLOOKUP($A922,'13. Updated Demand'!A:Z,26,FALSE))</f>
        <v>0</v>
      </c>
      <c r="AJ922" s="16">
        <f t="shared" si="180"/>
        <v>12</v>
      </c>
      <c r="AK922" s="19">
        <v>10</v>
      </c>
      <c r="AL922" s="16">
        <f t="shared" si="178"/>
        <v>3.3168860892955086E-2</v>
      </c>
      <c r="AM922" s="17">
        <v>1</v>
      </c>
      <c r="AN922" s="19"/>
      <c r="AO922" s="19"/>
      <c r="AP922" s="19">
        <v>12</v>
      </c>
      <c r="AQ922" s="19" t="s">
        <v>307</v>
      </c>
      <c r="AR922" s="9" t="s">
        <v>319</v>
      </c>
      <c r="AS922" s="12">
        <v>3.4039024194010059E-4</v>
      </c>
      <c r="AT922" s="19">
        <v>38.972488749999997</v>
      </c>
      <c r="AU922" s="19">
        <v>-123.10719363</v>
      </c>
      <c r="AV922" s="19" t="s">
        <v>387</v>
      </c>
    </row>
    <row r="923" spans="1:48" x14ac:dyDescent="0.25">
      <c r="A923" s="18" t="s">
        <v>1305</v>
      </c>
      <c r="B923" s="10">
        <v>19641015</v>
      </c>
      <c r="C923" s="9">
        <v>4</v>
      </c>
      <c r="D923" s="8" t="str">
        <f t="shared" si="169"/>
        <v>Y</v>
      </c>
      <c r="E923" s="8" t="str">
        <f t="shared" si="170"/>
        <v>N</v>
      </c>
      <c r="F923" s="8" t="str">
        <f t="shared" si="171"/>
        <v>Y</v>
      </c>
      <c r="G923" s="8" t="str">
        <f t="shared" si="172"/>
        <v>Y</v>
      </c>
      <c r="H923" s="8" t="str">
        <f t="shared" si="173"/>
        <v>Upper</v>
      </c>
      <c r="I923" s="8" t="str">
        <f t="shared" si="174"/>
        <v>West Fork and Below Lake</v>
      </c>
      <c r="J923" s="8" t="str">
        <f t="shared" si="175"/>
        <v>Mendocino (d/s of lake)</v>
      </c>
      <c r="K923" s="8" t="str">
        <f t="shared" si="176"/>
        <v>Post-1949</v>
      </c>
      <c r="L923" s="8">
        <f t="shared" si="177"/>
        <v>1964</v>
      </c>
      <c r="M923" s="8" t="str">
        <f t="shared" si="179"/>
        <v>1960-1970</v>
      </c>
      <c r="N923" s="10" t="s">
        <v>242</v>
      </c>
      <c r="O923" s="10" t="s">
        <v>241</v>
      </c>
      <c r="P923" s="10" t="s">
        <v>242</v>
      </c>
      <c r="Q923" s="10" t="s">
        <v>242</v>
      </c>
      <c r="R923" s="10" t="s">
        <v>241</v>
      </c>
      <c r="S923" s="10" t="s">
        <v>242</v>
      </c>
      <c r="T923" s="10" t="s">
        <v>242</v>
      </c>
      <c r="U923" s="10" t="s">
        <v>241</v>
      </c>
      <c r="V923" s="10" t="s">
        <v>241</v>
      </c>
      <c r="W923" s="10" t="s">
        <v>242</v>
      </c>
      <c r="X923" s="15">
        <f>IF(ISERROR(VLOOKUP($A923,'13. Updated Demand'!A:Z,15,FALSE)),0,VLOOKUP($A923,'13. Updated Demand'!A:Z,15,FALSE))</f>
        <v>0</v>
      </c>
      <c r="Y923" s="16">
        <f>IF(ISERROR(VLOOKUP($A923,'13. Updated Demand'!A:Z,16,FALSE)),0,VLOOKUP($A923,'13. Updated Demand'!A:Z,16,FALSE))</f>
        <v>0</v>
      </c>
      <c r="Z923" s="16">
        <f>IF(ISERROR(VLOOKUP($A923,'13. Updated Demand'!A:Z,17,FALSE)),0,VLOOKUP($A923,'13. Updated Demand'!A:Z,17,FALSE))</f>
        <v>0</v>
      </c>
      <c r="AA923" s="16">
        <f>IF(ISERROR(VLOOKUP($A923,'13. Updated Demand'!A:Z,18,FALSE)),0,VLOOKUP($A923,'13. Updated Demand'!A:Z,18,FALSE))</f>
        <v>0</v>
      </c>
      <c r="AB923" s="16">
        <f>IF(ISERROR(VLOOKUP($A923,'13. Updated Demand'!A:Z,19,FALSE)),0,VLOOKUP($A923,'13. Updated Demand'!A:Z,19,FALSE))</f>
        <v>0</v>
      </c>
      <c r="AC923" s="16">
        <f>IF(ISERROR(VLOOKUP($A923,'13. Updated Demand'!A:Z,20,FALSE)),0,VLOOKUP($A923,'13. Updated Demand'!A:Z,20,FALSE))</f>
        <v>0</v>
      </c>
      <c r="AD923" s="16">
        <f>IF(ISERROR(VLOOKUP($A923,'13. Updated Demand'!A:Z,21,FALSE)),0,VLOOKUP($A923,'13. Updated Demand'!A:Z,21,FALSE))</f>
        <v>0</v>
      </c>
      <c r="AE923" s="16">
        <f>IF(ISERROR(VLOOKUP($A923,'13. Updated Demand'!A:Z,22,FALSE)),0,VLOOKUP($A923,'13. Updated Demand'!A:Z,22,FALSE))</f>
        <v>0</v>
      </c>
      <c r="AF923" s="16">
        <f>IF(ISERROR(VLOOKUP($A923,'13. Updated Demand'!A:Z,23,FALSE)),0,VLOOKUP($A923,'13. Updated Demand'!A:Z,23,FALSE))</f>
        <v>0</v>
      </c>
      <c r="AG923" s="16">
        <f>IF(ISERROR(VLOOKUP($A923,'13. Updated Demand'!A:Z,24,FALSE)),0,VLOOKUP($A923,'13. Updated Demand'!A:Z,24,FALSE))</f>
        <v>0</v>
      </c>
      <c r="AH923" s="16">
        <f>IF(ISERROR(VLOOKUP($A923,'13. Updated Demand'!A:Z,25,FALSE)),0,VLOOKUP($A923,'13. Updated Demand'!A:Z,25,FALSE))</f>
        <v>0</v>
      </c>
      <c r="AI923" s="16">
        <f>IF(ISERROR(VLOOKUP($A923,'13. Updated Demand'!A:Z,26,FALSE)),0,VLOOKUP($A923,'13. Updated Demand'!A:Z,26,FALSE))</f>
        <v>0</v>
      </c>
      <c r="AJ923" s="16">
        <f t="shared" si="180"/>
        <v>0</v>
      </c>
      <c r="AK923" s="19">
        <v>0</v>
      </c>
      <c r="AL923" s="16">
        <f t="shared" si="178"/>
        <v>0</v>
      </c>
      <c r="AM923" s="17">
        <v>0</v>
      </c>
      <c r="AN923" s="19"/>
      <c r="AO923" s="19"/>
      <c r="AP923" s="19">
        <v>0.3</v>
      </c>
      <c r="AQ923" s="19" t="s">
        <v>307</v>
      </c>
      <c r="AR923" s="9" t="s">
        <v>331</v>
      </c>
      <c r="AS923" s="12">
        <v>3.4039024194010059E-4</v>
      </c>
      <c r="AT923" s="19">
        <v>39.160452419999999</v>
      </c>
      <c r="AU923" s="19">
        <v>-123.08984847000001</v>
      </c>
      <c r="AV923" s="19" t="s">
        <v>1306</v>
      </c>
    </row>
    <row r="924" spans="1:48" x14ac:dyDescent="0.25">
      <c r="A924" s="18" t="s">
        <v>1307</v>
      </c>
      <c r="B924" s="10">
        <v>19641015</v>
      </c>
      <c r="C924" s="9">
        <v>6</v>
      </c>
      <c r="D924" s="8" t="str">
        <f t="shared" si="169"/>
        <v>Y</v>
      </c>
      <c r="E924" s="8" t="str">
        <f t="shared" si="170"/>
        <v>N</v>
      </c>
      <c r="F924" s="8" t="str">
        <f t="shared" si="171"/>
        <v>Y</v>
      </c>
      <c r="G924" s="8" t="str">
        <f t="shared" si="172"/>
        <v>Y</v>
      </c>
      <c r="H924" s="8" t="str">
        <f t="shared" si="173"/>
        <v>Upper</v>
      </c>
      <c r="I924" s="8" t="str">
        <f t="shared" si="174"/>
        <v>West Fork and Below Lake</v>
      </c>
      <c r="J924" s="8" t="str">
        <f t="shared" si="175"/>
        <v>Mendocino (d/s of lake)</v>
      </c>
      <c r="K924" s="8" t="str">
        <f t="shared" si="176"/>
        <v>Post-1949</v>
      </c>
      <c r="L924" s="8">
        <f t="shared" si="177"/>
        <v>1964</v>
      </c>
      <c r="M924" s="8" t="str">
        <f t="shared" si="179"/>
        <v>1960-1970</v>
      </c>
      <c r="N924" s="10" t="s">
        <v>242</v>
      </c>
      <c r="O924" s="10" t="s">
        <v>241</v>
      </c>
      <c r="P924" s="10" t="s">
        <v>242</v>
      </c>
      <c r="Q924" s="10" t="s">
        <v>242</v>
      </c>
      <c r="R924" s="10" t="s">
        <v>241</v>
      </c>
      <c r="S924" s="10" t="s">
        <v>242</v>
      </c>
      <c r="T924" s="10" t="s">
        <v>242</v>
      </c>
      <c r="U924" s="10" t="s">
        <v>241</v>
      </c>
      <c r="V924" s="10" t="s">
        <v>241</v>
      </c>
      <c r="W924" s="10" t="s">
        <v>242</v>
      </c>
      <c r="X924" s="15">
        <f>IF(ISERROR(VLOOKUP($A924,'13. Updated Demand'!A:Z,15,FALSE)),0,VLOOKUP($A924,'13. Updated Demand'!A:Z,15,FALSE))</f>
        <v>0</v>
      </c>
      <c r="Y924" s="16">
        <f>IF(ISERROR(VLOOKUP($A924,'13. Updated Demand'!A:Z,16,FALSE)),0,VLOOKUP($A924,'13. Updated Demand'!A:Z,16,FALSE))</f>
        <v>0</v>
      </c>
      <c r="Z924" s="16">
        <f>IF(ISERROR(VLOOKUP($A924,'13. Updated Demand'!A:Z,17,FALSE)),0,VLOOKUP($A924,'13. Updated Demand'!A:Z,17,FALSE))</f>
        <v>0</v>
      </c>
      <c r="AA924" s="16">
        <f>IF(ISERROR(VLOOKUP($A924,'13. Updated Demand'!A:Z,18,FALSE)),0,VLOOKUP($A924,'13. Updated Demand'!A:Z,18,FALSE))</f>
        <v>0</v>
      </c>
      <c r="AB924" s="16">
        <f>IF(ISERROR(VLOOKUP($A924,'13. Updated Demand'!A:Z,19,FALSE)),0,VLOOKUP($A924,'13. Updated Demand'!A:Z,19,FALSE))</f>
        <v>0</v>
      </c>
      <c r="AC924" s="16">
        <f>IF(ISERROR(VLOOKUP($A924,'13. Updated Demand'!A:Z,20,FALSE)),0,VLOOKUP($A924,'13. Updated Demand'!A:Z,20,FALSE))</f>
        <v>0</v>
      </c>
      <c r="AD924" s="16">
        <f>IF(ISERROR(VLOOKUP($A924,'13. Updated Demand'!A:Z,21,FALSE)),0,VLOOKUP($A924,'13. Updated Demand'!A:Z,21,FALSE))</f>
        <v>0</v>
      </c>
      <c r="AE924" s="16">
        <f>IF(ISERROR(VLOOKUP($A924,'13. Updated Demand'!A:Z,22,FALSE)),0,VLOOKUP($A924,'13. Updated Demand'!A:Z,22,FALSE))</f>
        <v>0</v>
      </c>
      <c r="AF924" s="16">
        <f>IF(ISERROR(VLOOKUP($A924,'13. Updated Demand'!A:Z,23,FALSE)),0,VLOOKUP($A924,'13. Updated Demand'!A:Z,23,FALSE))</f>
        <v>0</v>
      </c>
      <c r="AG924" s="16">
        <f>IF(ISERROR(VLOOKUP($A924,'13. Updated Demand'!A:Z,24,FALSE)),0,VLOOKUP($A924,'13. Updated Demand'!A:Z,24,FALSE))</f>
        <v>0</v>
      </c>
      <c r="AH924" s="16">
        <f>IF(ISERROR(VLOOKUP($A924,'13. Updated Demand'!A:Z,25,FALSE)),0,VLOOKUP($A924,'13. Updated Demand'!A:Z,25,FALSE))</f>
        <v>0</v>
      </c>
      <c r="AI924" s="16">
        <f>IF(ISERROR(VLOOKUP($A924,'13. Updated Demand'!A:Z,26,FALSE)),0,VLOOKUP($A924,'13. Updated Demand'!A:Z,26,FALSE))</f>
        <v>0</v>
      </c>
      <c r="AJ924" s="16">
        <f t="shared" si="180"/>
        <v>0</v>
      </c>
      <c r="AK924" s="19">
        <v>0</v>
      </c>
      <c r="AL924" s="16">
        <f t="shared" si="178"/>
        <v>0</v>
      </c>
      <c r="AM924" s="17">
        <v>0</v>
      </c>
      <c r="AN924" s="19"/>
      <c r="AO924" s="19"/>
      <c r="AP924" s="19">
        <v>0.4</v>
      </c>
      <c r="AQ924" s="19" t="s">
        <v>307</v>
      </c>
      <c r="AR924" s="9" t="s">
        <v>319</v>
      </c>
      <c r="AS924" s="12">
        <v>3.4039024194010059E-4</v>
      </c>
      <c r="AT924" s="19">
        <v>38.9463832</v>
      </c>
      <c r="AU924" s="19">
        <v>-122.98458719</v>
      </c>
      <c r="AV924" s="19" t="s">
        <v>1308</v>
      </c>
    </row>
    <row r="925" spans="1:48" x14ac:dyDescent="0.25">
      <c r="A925" s="18" t="s">
        <v>1309</v>
      </c>
      <c r="B925" s="10">
        <v>19641029</v>
      </c>
      <c r="C925" s="9">
        <v>1</v>
      </c>
      <c r="D925" s="8" t="str">
        <f t="shared" si="169"/>
        <v>N</v>
      </c>
      <c r="E925" s="8" t="str">
        <f t="shared" si="170"/>
        <v>N</v>
      </c>
      <c r="F925" s="8" t="str">
        <f t="shared" si="171"/>
        <v>Y</v>
      </c>
      <c r="G925" s="8" t="str">
        <f t="shared" si="172"/>
        <v>Y</v>
      </c>
      <c r="H925" s="8" t="str">
        <f t="shared" si="173"/>
        <v>Upper</v>
      </c>
      <c r="I925" s="8" t="str">
        <f t="shared" si="174"/>
        <v>West Fork and Below Lake</v>
      </c>
      <c r="J925" s="8" t="str">
        <f t="shared" si="175"/>
        <v>Outside</v>
      </c>
      <c r="K925" s="8" t="str">
        <f t="shared" si="176"/>
        <v>Post-1949</v>
      </c>
      <c r="L925" s="8">
        <f t="shared" si="177"/>
        <v>1964</v>
      </c>
      <c r="M925" s="8" t="str">
        <f t="shared" si="179"/>
        <v>1960-1970</v>
      </c>
      <c r="N925" s="10" t="s">
        <v>242</v>
      </c>
      <c r="O925" s="10" t="s">
        <v>241</v>
      </c>
      <c r="P925" s="10" t="s">
        <v>242</v>
      </c>
      <c r="Q925" s="10" t="s">
        <v>242</v>
      </c>
      <c r="R925" s="10" t="s">
        <v>241</v>
      </c>
      <c r="S925" s="10" t="s">
        <v>242</v>
      </c>
      <c r="T925" s="10" t="s">
        <v>242</v>
      </c>
      <c r="U925" s="10" t="s">
        <v>242</v>
      </c>
      <c r="V925" s="10" t="s">
        <v>242</v>
      </c>
      <c r="W925" s="10" t="s">
        <v>242</v>
      </c>
      <c r="X925" s="15">
        <f>IF(ISERROR(VLOOKUP($A925,'13. Updated Demand'!A:Z,15,FALSE)),0,VLOOKUP($A925,'13. Updated Demand'!A:Z,15,FALSE))</f>
        <v>7.33</v>
      </c>
      <c r="Y925" s="16">
        <f>IF(ISERROR(VLOOKUP($A925,'13. Updated Demand'!A:Z,16,FALSE)),0,VLOOKUP($A925,'13. Updated Demand'!A:Z,16,FALSE))</f>
        <v>6</v>
      </c>
      <c r="Z925" s="16">
        <f>IF(ISERROR(VLOOKUP($A925,'13. Updated Demand'!A:Z,17,FALSE)),0,VLOOKUP($A925,'13. Updated Demand'!A:Z,17,FALSE))</f>
        <v>5.66</v>
      </c>
      <c r="AA925" s="16">
        <f>IF(ISERROR(VLOOKUP($A925,'13. Updated Demand'!A:Z,18,FALSE)),0,VLOOKUP($A925,'13. Updated Demand'!A:Z,18,FALSE))</f>
        <v>3.66</v>
      </c>
      <c r="AB925" s="16">
        <f>IF(ISERROR(VLOOKUP($A925,'13. Updated Demand'!A:Z,19,FALSE)),0,VLOOKUP($A925,'13. Updated Demand'!A:Z,19,FALSE))</f>
        <v>3.33</v>
      </c>
      <c r="AC925" s="16">
        <f>IF(ISERROR(VLOOKUP($A925,'13. Updated Demand'!A:Z,20,FALSE)),0,VLOOKUP($A925,'13. Updated Demand'!A:Z,20,FALSE))</f>
        <v>0</v>
      </c>
      <c r="AD925" s="16">
        <f>IF(ISERROR(VLOOKUP($A925,'13. Updated Demand'!A:Z,21,FALSE)),0,VLOOKUP($A925,'13. Updated Demand'!A:Z,21,FALSE))</f>
        <v>0</v>
      </c>
      <c r="AE925" s="16">
        <f>IF(ISERROR(VLOOKUP($A925,'13. Updated Demand'!A:Z,22,FALSE)),0,VLOOKUP($A925,'13. Updated Demand'!A:Z,22,FALSE))</f>
        <v>0</v>
      </c>
      <c r="AF925" s="16">
        <f>IF(ISERROR(VLOOKUP($A925,'13. Updated Demand'!A:Z,23,FALSE)),0,VLOOKUP($A925,'13. Updated Demand'!A:Z,23,FALSE))</f>
        <v>0</v>
      </c>
      <c r="AG925" s="16">
        <f>IF(ISERROR(VLOOKUP($A925,'13. Updated Demand'!A:Z,24,FALSE)),0,VLOOKUP($A925,'13. Updated Demand'!A:Z,24,FALSE))</f>
        <v>0</v>
      </c>
      <c r="AH925" s="16">
        <f>IF(ISERROR(VLOOKUP($A925,'13. Updated Demand'!A:Z,25,FALSE)),0,VLOOKUP($A925,'13. Updated Demand'!A:Z,25,FALSE))</f>
        <v>0</v>
      </c>
      <c r="AI925" s="16">
        <f>IF(ISERROR(VLOOKUP($A925,'13. Updated Demand'!A:Z,26,FALSE)),0,VLOOKUP($A925,'13. Updated Demand'!A:Z,26,FALSE))</f>
        <v>1.33</v>
      </c>
      <c r="AJ925" s="16">
        <f t="shared" si="180"/>
        <v>27.310000000000002</v>
      </c>
      <c r="AK925" s="19">
        <v>3.3333333330000001</v>
      </c>
      <c r="AL925" s="16">
        <f t="shared" si="178"/>
        <v>1.1056286963212734E-2</v>
      </c>
      <c r="AM925" s="17">
        <v>0.94252873562068962</v>
      </c>
      <c r="AN925" s="19"/>
      <c r="AO925" s="19"/>
      <c r="AP925" s="19">
        <v>29</v>
      </c>
      <c r="AQ925" s="19" t="s">
        <v>307</v>
      </c>
      <c r="AR925" s="9" t="s">
        <v>317</v>
      </c>
      <c r="AS925" s="12">
        <v>0</v>
      </c>
      <c r="AT925" s="19">
        <v>39.287367799999998</v>
      </c>
      <c r="AU925" s="19">
        <v>-123.18979945</v>
      </c>
      <c r="AV925" s="19" t="s">
        <v>417</v>
      </c>
    </row>
    <row r="926" spans="1:48" x14ac:dyDescent="0.25">
      <c r="A926" s="18" t="s">
        <v>1310</v>
      </c>
      <c r="B926" s="10">
        <v>19641119</v>
      </c>
      <c r="C926" s="9">
        <v>1</v>
      </c>
      <c r="D926" s="8" t="str">
        <f t="shared" si="169"/>
        <v>N</v>
      </c>
      <c r="E926" s="8" t="str">
        <f t="shared" si="170"/>
        <v>N</v>
      </c>
      <c r="F926" s="8" t="str">
        <f t="shared" si="171"/>
        <v>Y</v>
      </c>
      <c r="G926" s="8" t="str">
        <f t="shared" si="172"/>
        <v>Y</v>
      </c>
      <c r="H926" s="8" t="str">
        <f t="shared" si="173"/>
        <v>Upper</v>
      </c>
      <c r="I926" s="8" t="str">
        <f t="shared" si="174"/>
        <v>West Fork and Below Lake</v>
      </c>
      <c r="J926" s="8" t="str">
        <f t="shared" si="175"/>
        <v>Outside</v>
      </c>
      <c r="K926" s="8" t="str">
        <f t="shared" si="176"/>
        <v>Post-1949</v>
      </c>
      <c r="L926" s="8">
        <f t="shared" si="177"/>
        <v>1964</v>
      </c>
      <c r="M926" s="8" t="str">
        <f t="shared" si="179"/>
        <v>1960-1970</v>
      </c>
      <c r="N926" s="10" t="s">
        <v>242</v>
      </c>
      <c r="O926" s="10" t="s">
        <v>241</v>
      </c>
      <c r="P926" s="10" t="s">
        <v>242</v>
      </c>
      <c r="Q926" s="10" t="s">
        <v>242</v>
      </c>
      <c r="R926" s="10" t="s">
        <v>241</v>
      </c>
      <c r="S926" s="10" t="s">
        <v>242</v>
      </c>
      <c r="T926" s="10" t="s">
        <v>242</v>
      </c>
      <c r="U926" s="10" t="s">
        <v>242</v>
      </c>
      <c r="V926" s="10" t="s">
        <v>241</v>
      </c>
      <c r="W926" s="10" t="s">
        <v>242</v>
      </c>
      <c r="X926" s="15">
        <f>IF(ISERROR(VLOOKUP($A926,'13. Updated Demand'!A:Z,15,FALSE)),0,VLOOKUP($A926,'13. Updated Demand'!A:Z,15,FALSE))</f>
        <v>1.2</v>
      </c>
      <c r="Y926" s="16">
        <f>IF(ISERROR(VLOOKUP($A926,'13. Updated Demand'!A:Z,16,FALSE)),0,VLOOKUP($A926,'13. Updated Demand'!A:Z,16,FALSE))</f>
        <v>0</v>
      </c>
      <c r="Z926" s="16">
        <f>IF(ISERROR(VLOOKUP($A926,'13. Updated Demand'!A:Z,17,FALSE)),0,VLOOKUP($A926,'13. Updated Demand'!A:Z,17,FALSE))</f>
        <v>0</v>
      </c>
      <c r="AA926" s="16">
        <f>IF(ISERROR(VLOOKUP($A926,'13. Updated Demand'!A:Z,18,FALSE)),0,VLOOKUP($A926,'13. Updated Demand'!A:Z,18,FALSE))</f>
        <v>0</v>
      </c>
      <c r="AB926" s="16">
        <f>IF(ISERROR(VLOOKUP($A926,'13. Updated Demand'!A:Z,19,FALSE)),0,VLOOKUP($A926,'13. Updated Demand'!A:Z,19,FALSE))</f>
        <v>0</v>
      </c>
      <c r="AC926" s="16">
        <f>IF(ISERROR(VLOOKUP($A926,'13. Updated Demand'!A:Z,20,FALSE)),0,VLOOKUP($A926,'13. Updated Demand'!A:Z,20,FALSE))</f>
        <v>0</v>
      </c>
      <c r="AD926" s="16">
        <f>IF(ISERROR(VLOOKUP($A926,'13. Updated Demand'!A:Z,21,FALSE)),0,VLOOKUP($A926,'13. Updated Demand'!A:Z,21,FALSE))</f>
        <v>0</v>
      </c>
      <c r="AE926" s="16">
        <f>IF(ISERROR(VLOOKUP($A926,'13. Updated Demand'!A:Z,22,FALSE)),0,VLOOKUP($A926,'13. Updated Demand'!A:Z,22,FALSE))</f>
        <v>0</v>
      </c>
      <c r="AF926" s="16">
        <f>IF(ISERROR(VLOOKUP($A926,'13. Updated Demand'!A:Z,23,FALSE)),0,VLOOKUP($A926,'13. Updated Demand'!A:Z,23,FALSE))</f>
        <v>0</v>
      </c>
      <c r="AG926" s="16">
        <f>IF(ISERROR(VLOOKUP($A926,'13. Updated Demand'!A:Z,24,FALSE)),0,VLOOKUP($A926,'13. Updated Demand'!A:Z,24,FALSE))</f>
        <v>0</v>
      </c>
      <c r="AH926" s="16">
        <f>IF(ISERROR(VLOOKUP($A926,'13. Updated Demand'!A:Z,25,FALSE)),0,VLOOKUP($A926,'13. Updated Demand'!A:Z,25,FALSE))</f>
        <v>0.48</v>
      </c>
      <c r="AI926" s="16">
        <f>IF(ISERROR(VLOOKUP($A926,'13. Updated Demand'!A:Z,26,FALSE)),0,VLOOKUP($A926,'13. Updated Demand'!A:Z,26,FALSE))</f>
        <v>0.61</v>
      </c>
      <c r="AJ926" s="16">
        <f t="shared" si="180"/>
        <v>2.29</v>
      </c>
      <c r="AK926" s="19">
        <v>0</v>
      </c>
      <c r="AL926" s="16">
        <f t="shared" si="178"/>
        <v>0</v>
      </c>
      <c r="AM926" s="17">
        <v>0.26744186046511625</v>
      </c>
      <c r="AN926" s="19"/>
      <c r="AO926" s="19"/>
      <c r="AP926" s="19">
        <v>8.6</v>
      </c>
      <c r="AQ926" s="19" t="s">
        <v>307</v>
      </c>
      <c r="AR926" s="9" t="s">
        <v>317</v>
      </c>
      <c r="AS926" s="12">
        <v>0</v>
      </c>
      <c r="AT926" s="19">
        <v>39.237395390000003</v>
      </c>
      <c r="AU926" s="19">
        <v>-123.20967472</v>
      </c>
      <c r="AV926" s="19" t="s">
        <v>417</v>
      </c>
    </row>
    <row r="927" spans="1:48" x14ac:dyDescent="0.25">
      <c r="A927" s="18" t="s">
        <v>1311</v>
      </c>
      <c r="B927" s="10">
        <v>19641125</v>
      </c>
      <c r="C927" s="9">
        <v>21</v>
      </c>
      <c r="D927" s="8" t="str">
        <f t="shared" si="169"/>
        <v>N</v>
      </c>
      <c r="E927" s="8" t="str">
        <f t="shared" si="170"/>
        <v>N</v>
      </c>
      <c r="F927" s="8" t="str">
        <f t="shared" si="171"/>
        <v>N</v>
      </c>
      <c r="G927" s="8" t="str">
        <f t="shared" si="172"/>
        <v>N</v>
      </c>
      <c r="H927" s="8" t="str">
        <f t="shared" si="173"/>
        <v>Lower</v>
      </c>
      <c r="I927" s="8" t="str">
        <f t="shared" si="174"/>
        <v>Outside</v>
      </c>
      <c r="J927" s="8" t="str">
        <f t="shared" si="175"/>
        <v>Outside</v>
      </c>
      <c r="K927" s="8" t="str">
        <f t="shared" si="176"/>
        <v>Post-1949</v>
      </c>
      <c r="L927" s="8">
        <f t="shared" si="177"/>
        <v>1964</v>
      </c>
      <c r="M927" s="8" t="str">
        <f t="shared" si="179"/>
        <v>1960-1970</v>
      </c>
      <c r="N927" s="10" t="s">
        <v>242</v>
      </c>
      <c r="O927" s="10" t="s">
        <v>242</v>
      </c>
      <c r="P927" s="10" t="s">
        <v>242</v>
      </c>
      <c r="Q927" s="10" t="s">
        <v>242</v>
      </c>
      <c r="R927" s="10" t="s">
        <v>241</v>
      </c>
      <c r="S927" s="10" t="s">
        <v>242</v>
      </c>
      <c r="T927" s="10" t="s">
        <v>241</v>
      </c>
      <c r="U927" s="10" t="s">
        <v>241</v>
      </c>
      <c r="V927" s="10" t="s">
        <v>241</v>
      </c>
      <c r="W927" s="10" t="s">
        <v>242</v>
      </c>
      <c r="X927" s="15">
        <f>IF(ISERROR(VLOOKUP($A927,'13. Updated Demand'!A:Z,15,FALSE)),0,VLOOKUP($A927,'13. Updated Demand'!A:Z,15,FALSE))</f>
        <v>0</v>
      </c>
      <c r="Y927" s="16">
        <f>IF(ISERROR(VLOOKUP($A927,'13. Updated Demand'!A:Z,16,FALSE)),0,VLOOKUP($A927,'13. Updated Demand'!A:Z,16,FALSE))</f>
        <v>0</v>
      </c>
      <c r="Z927" s="16">
        <f>IF(ISERROR(VLOOKUP($A927,'13. Updated Demand'!A:Z,17,FALSE)),0,VLOOKUP($A927,'13. Updated Demand'!A:Z,17,FALSE))</f>
        <v>0</v>
      </c>
      <c r="AA927" s="16">
        <f>IF(ISERROR(VLOOKUP($A927,'13. Updated Demand'!A:Z,18,FALSE)),0,VLOOKUP($A927,'13. Updated Demand'!A:Z,18,FALSE))</f>
        <v>0</v>
      </c>
      <c r="AB927" s="16">
        <f>IF(ISERROR(VLOOKUP($A927,'13. Updated Demand'!A:Z,19,FALSE)),0,VLOOKUP($A927,'13. Updated Demand'!A:Z,19,FALSE))</f>
        <v>0</v>
      </c>
      <c r="AC927" s="16">
        <f>IF(ISERROR(VLOOKUP($A927,'13. Updated Demand'!A:Z,20,FALSE)),0,VLOOKUP($A927,'13. Updated Demand'!A:Z,20,FALSE))</f>
        <v>0</v>
      </c>
      <c r="AD927" s="16">
        <f>IF(ISERROR(VLOOKUP($A927,'13. Updated Demand'!A:Z,21,FALSE)),0,VLOOKUP($A927,'13. Updated Demand'!A:Z,21,FALSE))</f>
        <v>0</v>
      </c>
      <c r="AE927" s="16">
        <f>IF(ISERROR(VLOOKUP($A927,'13. Updated Demand'!A:Z,22,FALSE)),0,VLOOKUP($A927,'13. Updated Demand'!A:Z,22,FALSE))</f>
        <v>0</v>
      </c>
      <c r="AF927" s="16">
        <f>IF(ISERROR(VLOOKUP($A927,'13. Updated Demand'!A:Z,23,FALSE)),0,VLOOKUP($A927,'13. Updated Demand'!A:Z,23,FALSE))</f>
        <v>0</v>
      </c>
      <c r="AG927" s="16">
        <f>IF(ISERROR(VLOOKUP($A927,'13. Updated Demand'!A:Z,24,FALSE)),0,VLOOKUP($A927,'13. Updated Demand'!A:Z,24,FALSE))</f>
        <v>0</v>
      </c>
      <c r="AH927" s="16">
        <f>IF(ISERROR(VLOOKUP($A927,'13. Updated Demand'!A:Z,25,FALSE)),0,VLOOKUP($A927,'13. Updated Demand'!A:Z,25,FALSE))</f>
        <v>0</v>
      </c>
      <c r="AI927" s="16">
        <f>IF(ISERROR(VLOOKUP($A927,'13. Updated Demand'!A:Z,26,FALSE)),0,VLOOKUP($A927,'13. Updated Demand'!A:Z,26,FALSE))</f>
        <v>0</v>
      </c>
      <c r="AJ927" s="16">
        <f t="shared" si="180"/>
        <v>0</v>
      </c>
      <c r="AK927" s="19">
        <v>0</v>
      </c>
      <c r="AL927" s="16">
        <f t="shared" si="178"/>
        <v>0</v>
      </c>
      <c r="AM927" s="17">
        <v>0</v>
      </c>
      <c r="AN927" s="19"/>
      <c r="AO927" s="19"/>
      <c r="AP927" s="19">
        <v>2.5</v>
      </c>
      <c r="AQ927" s="19" t="s">
        <v>307</v>
      </c>
      <c r="AR927" s="9" t="s">
        <v>403</v>
      </c>
      <c r="AS927" s="12">
        <v>0</v>
      </c>
      <c r="AT927" s="19">
        <v>38.451071980000002</v>
      </c>
      <c r="AU927" s="19">
        <v>-123.09894615</v>
      </c>
      <c r="AV927" s="19" t="s">
        <v>1312</v>
      </c>
    </row>
    <row r="928" spans="1:48" x14ac:dyDescent="0.25">
      <c r="A928" s="21" t="s">
        <v>133</v>
      </c>
      <c r="B928" s="22">
        <v>19641217</v>
      </c>
      <c r="C928" s="9">
        <v>4</v>
      </c>
      <c r="D928" s="8" t="str">
        <f t="shared" si="169"/>
        <v>Y</v>
      </c>
      <c r="E928" s="8" t="str">
        <f t="shared" si="170"/>
        <v>N</v>
      </c>
      <c r="F928" s="8" t="str">
        <f t="shared" si="171"/>
        <v>Y</v>
      </c>
      <c r="G928" s="8" t="str">
        <f t="shared" si="172"/>
        <v>Y</v>
      </c>
      <c r="H928" s="8" t="str">
        <f t="shared" si="173"/>
        <v>Upper</v>
      </c>
      <c r="I928" s="8" t="str">
        <f t="shared" si="174"/>
        <v>West Fork and Below Lake</v>
      </c>
      <c r="J928" s="8" t="str">
        <f t="shared" si="175"/>
        <v>Mendocino (d/s of lake)</v>
      </c>
      <c r="K928" s="8" t="str">
        <f t="shared" si="176"/>
        <v>Post-1949</v>
      </c>
      <c r="L928" s="8">
        <f t="shared" si="177"/>
        <v>1964</v>
      </c>
      <c r="M928" s="8" t="str">
        <f t="shared" si="179"/>
        <v>1960-1970</v>
      </c>
      <c r="N928" s="10" t="s">
        <v>241</v>
      </c>
      <c r="O928" s="10" t="s">
        <v>241</v>
      </c>
      <c r="P928" s="10" t="s">
        <v>242</v>
      </c>
      <c r="Q928" s="10" t="s">
        <v>242</v>
      </c>
      <c r="R928" s="10" t="s">
        <v>241</v>
      </c>
      <c r="S928" s="10" t="s">
        <v>242</v>
      </c>
      <c r="T928" s="10" t="s">
        <v>242</v>
      </c>
      <c r="U928" s="10" t="s">
        <v>241</v>
      </c>
      <c r="V928" s="10" t="s">
        <v>241</v>
      </c>
      <c r="W928" s="10" t="s">
        <v>242</v>
      </c>
      <c r="X928" s="15">
        <f>IF(ISERROR(VLOOKUP($A928,'13. Updated Demand'!A:Z,15,FALSE)),0,VLOOKUP($A928,'13. Updated Demand'!A:Z,15,FALSE))</f>
        <v>0</v>
      </c>
      <c r="Y928" s="16">
        <f>IF(ISERROR(VLOOKUP($A928,'13. Updated Demand'!A:Z,16,FALSE)),0,VLOOKUP($A928,'13. Updated Demand'!A:Z,16,FALSE))</f>
        <v>0</v>
      </c>
      <c r="Z928" s="16">
        <f>IF(ISERROR(VLOOKUP($A928,'13. Updated Demand'!A:Z,17,FALSE)),0,VLOOKUP($A928,'13. Updated Demand'!A:Z,17,FALSE))</f>
        <v>0</v>
      </c>
      <c r="AA928" s="16">
        <f>IF(ISERROR(VLOOKUP($A928,'13. Updated Demand'!A:Z,18,FALSE)),0,VLOOKUP($A928,'13. Updated Demand'!A:Z,18,FALSE))</f>
        <v>0</v>
      </c>
      <c r="AB928" s="16">
        <f>IF(ISERROR(VLOOKUP($A928,'13. Updated Demand'!A:Z,19,FALSE)),0,VLOOKUP($A928,'13. Updated Demand'!A:Z,19,FALSE))</f>
        <v>0</v>
      </c>
      <c r="AC928" s="16">
        <f>IF(ISERROR(VLOOKUP($A928,'13. Updated Demand'!A:Z,20,FALSE)),0,VLOOKUP($A928,'13. Updated Demand'!A:Z,20,FALSE))</f>
        <v>0</v>
      </c>
      <c r="AD928" s="16">
        <f>IF(ISERROR(VLOOKUP($A928,'13. Updated Demand'!A:Z,21,FALSE)),0,VLOOKUP($A928,'13. Updated Demand'!A:Z,21,FALSE))</f>
        <v>0</v>
      </c>
      <c r="AE928" s="16">
        <f>IF(ISERROR(VLOOKUP($A928,'13. Updated Demand'!A:Z,22,FALSE)),0,VLOOKUP($A928,'13. Updated Demand'!A:Z,22,FALSE))</f>
        <v>0</v>
      </c>
      <c r="AF928" s="16">
        <f>IF(ISERROR(VLOOKUP($A928,'13. Updated Demand'!A:Z,23,FALSE)),0,VLOOKUP($A928,'13. Updated Demand'!A:Z,23,FALSE))</f>
        <v>0</v>
      </c>
      <c r="AG928" s="16">
        <f>IF(ISERROR(VLOOKUP($A928,'13. Updated Demand'!A:Z,24,FALSE)),0,VLOOKUP($A928,'13. Updated Demand'!A:Z,24,FALSE))</f>
        <v>0</v>
      </c>
      <c r="AH928" s="16">
        <f>IF(ISERROR(VLOOKUP($A928,'13. Updated Demand'!A:Z,25,FALSE)),0,VLOOKUP($A928,'13. Updated Demand'!A:Z,25,FALSE))</f>
        <v>0</v>
      </c>
      <c r="AI928" s="16">
        <f>IF(ISERROR(VLOOKUP($A928,'13. Updated Demand'!A:Z,26,FALSE)),0,VLOOKUP($A928,'13. Updated Demand'!A:Z,26,FALSE))</f>
        <v>0</v>
      </c>
      <c r="AJ928" s="16">
        <f t="shared" si="180"/>
        <v>0</v>
      </c>
      <c r="AK928" s="19">
        <v>0</v>
      </c>
      <c r="AL928" s="16">
        <f t="shared" si="178"/>
        <v>0</v>
      </c>
      <c r="AM928" s="17">
        <v>0</v>
      </c>
      <c r="AN928" s="23"/>
      <c r="AO928" s="23"/>
      <c r="AP928" s="23">
        <v>7.1</v>
      </c>
      <c r="AQ928" s="23" t="s">
        <v>307</v>
      </c>
      <c r="AR928" s="9" t="s">
        <v>331</v>
      </c>
      <c r="AS928" s="12">
        <v>0</v>
      </c>
      <c r="AT928" s="23">
        <v>39.187255880000002</v>
      </c>
      <c r="AU928" s="23">
        <v>-123.19893815</v>
      </c>
      <c r="AV928" s="23" t="s">
        <v>387</v>
      </c>
    </row>
    <row r="929" spans="1:48" x14ac:dyDescent="0.25">
      <c r="A929" s="18" t="s">
        <v>1313</v>
      </c>
      <c r="B929" s="10">
        <v>19640828</v>
      </c>
      <c r="C929" s="9">
        <v>15</v>
      </c>
      <c r="D929" s="8" t="str">
        <f t="shared" si="169"/>
        <v>N</v>
      </c>
      <c r="E929" s="8" t="str">
        <f t="shared" si="170"/>
        <v>N</v>
      </c>
      <c r="F929" s="8" t="str">
        <f t="shared" si="171"/>
        <v>N</v>
      </c>
      <c r="G929" s="8" t="str">
        <f t="shared" si="172"/>
        <v>N</v>
      </c>
      <c r="H929" s="8" t="str">
        <f t="shared" si="173"/>
        <v>Lower</v>
      </c>
      <c r="I929" s="8" t="str">
        <f t="shared" si="174"/>
        <v>Outside</v>
      </c>
      <c r="J929" s="8" t="str">
        <f t="shared" si="175"/>
        <v>Outside</v>
      </c>
      <c r="K929" s="8" t="str">
        <f t="shared" si="176"/>
        <v>Post-1949</v>
      </c>
      <c r="L929" s="8">
        <f t="shared" si="177"/>
        <v>1964</v>
      </c>
      <c r="M929" s="8" t="str">
        <f t="shared" si="179"/>
        <v>1960-1970</v>
      </c>
      <c r="N929" s="10" t="s">
        <v>242</v>
      </c>
      <c r="O929" s="10" t="s">
        <v>242</v>
      </c>
      <c r="P929" s="10" t="s">
        <v>242</v>
      </c>
      <c r="Q929" s="10" t="s">
        <v>242</v>
      </c>
      <c r="R929" s="10" t="s">
        <v>241</v>
      </c>
      <c r="S929" s="10" t="s">
        <v>242</v>
      </c>
      <c r="T929" s="10" t="s">
        <v>242</v>
      </c>
      <c r="U929" s="10" t="s">
        <v>242</v>
      </c>
      <c r="V929" s="10" t="s">
        <v>242</v>
      </c>
      <c r="W929" s="10" t="s">
        <v>242</v>
      </c>
      <c r="X929" s="15">
        <f>IF(ISERROR(VLOOKUP($A929,'13. Updated Demand'!A:Z,15,FALSE)),0,VLOOKUP($A929,'13. Updated Demand'!A:Z,15,FALSE))</f>
        <v>0.28333333300000002</v>
      </c>
      <c r="Y929" s="16">
        <f>IF(ISERROR(VLOOKUP($A929,'13. Updated Demand'!A:Z,16,FALSE)),0,VLOOKUP($A929,'13. Updated Demand'!A:Z,16,FALSE))</f>
        <v>0.33333333300000001</v>
      </c>
      <c r="Z929" s="16">
        <f>IF(ISERROR(VLOOKUP($A929,'13. Updated Demand'!A:Z,17,FALSE)),0,VLOOKUP($A929,'13. Updated Demand'!A:Z,17,FALSE))</f>
        <v>0.21666666700000001</v>
      </c>
      <c r="AA929" s="16">
        <f>IF(ISERROR(VLOOKUP($A929,'13. Updated Demand'!A:Z,18,FALSE)),0,VLOOKUP($A929,'13. Updated Demand'!A:Z,18,FALSE))</f>
        <v>7.3333333000000001E-2</v>
      </c>
      <c r="AB929" s="16">
        <f>IF(ISERROR(VLOOKUP($A929,'13. Updated Demand'!A:Z,19,FALSE)),0,VLOOKUP($A929,'13. Updated Demand'!A:Z,19,FALSE))</f>
        <v>8.3333332999999996E-2</v>
      </c>
      <c r="AC929" s="16">
        <f>IF(ISERROR(VLOOKUP($A929,'13. Updated Demand'!A:Z,20,FALSE)),0,VLOOKUP($A929,'13. Updated Demand'!A:Z,20,FALSE))</f>
        <v>0</v>
      </c>
      <c r="AD929" s="16">
        <f>IF(ISERROR(VLOOKUP($A929,'13. Updated Demand'!A:Z,21,FALSE)),0,VLOOKUP($A929,'13. Updated Demand'!A:Z,21,FALSE))</f>
        <v>0</v>
      </c>
      <c r="AE929" s="16">
        <f>IF(ISERROR(VLOOKUP($A929,'13. Updated Demand'!A:Z,22,FALSE)),0,VLOOKUP($A929,'13. Updated Demand'!A:Z,22,FALSE))</f>
        <v>0</v>
      </c>
      <c r="AF929" s="16">
        <f>IF(ISERROR(VLOOKUP($A929,'13. Updated Demand'!A:Z,23,FALSE)),0,VLOOKUP($A929,'13. Updated Demand'!A:Z,23,FALSE))</f>
        <v>0</v>
      </c>
      <c r="AG929" s="16">
        <f>IF(ISERROR(VLOOKUP($A929,'13. Updated Demand'!A:Z,24,FALSE)),0,VLOOKUP($A929,'13. Updated Demand'!A:Z,24,FALSE))</f>
        <v>0</v>
      </c>
      <c r="AH929" s="16">
        <f>IF(ISERROR(VLOOKUP($A929,'13. Updated Demand'!A:Z,25,FALSE)),0,VLOOKUP($A929,'13. Updated Demand'!A:Z,25,FALSE))</f>
        <v>0.15</v>
      </c>
      <c r="AI929" s="16">
        <f>IF(ISERROR(VLOOKUP($A929,'13. Updated Demand'!A:Z,26,FALSE)),0,VLOOKUP($A929,'13. Updated Demand'!A:Z,26,FALSE))</f>
        <v>0.25</v>
      </c>
      <c r="AJ929" s="16">
        <f t="shared" si="180"/>
        <v>1.389999999</v>
      </c>
      <c r="AK929" s="19">
        <v>8.3333332999999996E-2</v>
      </c>
      <c r="AL929" s="16">
        <f t="shared" si="178"/>
        <v>2.764071730023304E-4</v>
      </c>
      <c r="AM929" s="17">
        <v>0.18533333320000001</v>
      </c>
      <c r="AN929" s="19"/>
      <c r="AO929" s="19"/>
      <c r="AP929" s="19">
        <v>7.5</v>
      </c>
      <c r="AQ929" s="19" t="s">
        <v>307</v>
      </c>
      <c r="AR929" s="9" t="s">
        <v>489</v>
      </c>
      <c r="AS929" s="12">
        <v>0</v>
      </c>
      <c r="AT929" s="19">
        <v>38.662393829999999</v>
      </c>
      <c r="AU929" s="19">
        <v>-122.92462858</v>
      </c>
      <c r="AV929" s="19" t="s">
        <v>417</v>
      </c>
    </row>
    <row r="930" spans="1:48" x14ac:dyDescent="0.25">
      <c r="A930" s="18" t="s">
        <v>1314</v>
      </c>
      <c r="B930" s="10">
        <v>19630625</v>
      </c>
      <c r="C930" s="9">
        <v>16</v>
      </c>
      <c r="D930" s="8" t="str">
        <f t="shared" si="169"/>
        <v>N</v>
      </c>
      <c r="E930" s="8" t="str">
        <f t="shared" si="170"/>
        <v>N</v>
      </c>
      <c r="F930" s="8" t="str">
        <f t="shared" si="171"/>
        <v>N</v>
      </c>
      <c r="G930" s="8" t="str">
        <f t="shared" si="172"/>
        <v>N</v>
      </c>
      <c r="H930" s="8" t="str">
        <f t="shared" si="173"/>
        <v>Lower</v>
      </c>
      <c r="I930" s="8" t="str">
        <f t="shared" si="174"/>
        <v>Outside</v>
      </c>
      <c r="J930" s="8" t="str">
        <f t="shared" si="175"/>
        <v>Outside</v>
      </c>
      <c r="K930" s="8" t="str">
        <f t="shared" si="176"/>
        <v>Post-1949</v>
      </c>
      <c r="L930" s="8">
        <f t="shared" si="177"/>
        <v>1963</v>
      </c>
      <c r="M930" s="8" t="str">
        <f t="shared" si="179"/>
        <v>1960-1970</v>
      </c>
      <c r="N930" s="10" t="s">
        <v>242</v>
      </c>
      <c r="O930" s="10" t="s">
        <v>242</v>
      </c>
      <c r="P930" s="10" t="s">
        <v>242</v>
      </c>
      <c r="Q930" s="10" t="s">
        <v>242</v>
      </c>
      <c r="R930" s="10" t="s">
        <v>241</v>
      </c>
      <c r="S930" s="10" t="s">
        <v>242</v>
      </c>
      <c r="T930" s="10" t="s">
        <v>242</v>
      </c>
      <c r="U930" s="10" t="s">
        <v>242</v>
      </c>
      <c r="V930" s="10" t="s">
        <v>242</v>
      </c>
      <c r="W930" s="10" t="s">
        <v>242</v>
      </c>
      <c r="X930" s="15">
        <f>IF(ISERROR(VLOOKUP($A930,'13. Updated Demand'!A:Z,15,FALSE)),0,VLOOKUP($A930,'13. Updated Demand'!A:Z,15,FALSE))</f>
        <v>0</v>
      </c>
      <c r="Y930" s="16">
        <f>IF(ISERROR(VLOOKUP($A930,'13. Updated Demand'!A:Z,16,FALSE)),0,VLOOKUP($A930,'13. Updated Demand'!A:Z,16,FALSE))</f>
        <v>0</v>
      </c>
      <c r="Z930" s="16">
        <f>IF(ISERROR(VLOOKUP($A930,'13. Updated Demand'!A:Z,17,FALSE)),0,VLOOKUP($A930,'13. Updated Demand'!A:Z,17,FALSE))</f>
        <v>0</v>
      </c>
      <c r="AA930" s="16">
        <f>IF(ISERROR(VLOOKUP($A930,'13. Updated Demand'!A:Z,18,FALSE)),0,VLOOKUP($A930,'13. Updated Demand'!A:Z,18,FALSE))</f>
        <v>0</v>
      </c>
      <c r="AB930" s="16">
        <f>IF(ISERROR(VLOOKUP($A930,'13. Updated Demand'!A:Z,19,FALSE)),0,VLOOKUP($A930,'13. Updated Demand'!A:Z,19,FALSE))</f>
        <v>0.28666666699999999</v>
      </c>
      <c r="AC930" s="16">
        <f>IF(ISERROR(VLOOKUP($A930,'13. Updated Demand'!A:Z,20,FALSE)),0,VLOOKUP($A930,'13. Updated Demand'!A:Z,20,FALSE))</f>
        <v>0.67333333299999998</v>
      </c>
      <c r="AD930" s="16">
        <f>IF(ISERROR(VLOOKUP($A930,'13. Updated Demand'!A:Z,21,FALSE)),0,VLOOKUP($A930,'13. Updated Demand'!A:Z,21,FALSE))</f>
        <v>0.81666666700000001</v>
      </c>
      <c r="AE930" s="16">
        <f>IF(ISERROR(VLOOKUP($A930,'13. Updated Demand'!A:Z,22,FALSE)),0,VLOOKUP($A930,'13. Updated Demand'!A:Z,22,FALSE))</f>
        <v>0.55000000000000004</v>
      </c>
      <c r="AF930" s="16">
        <f>IF(ISERROR(VLOOKUP($A930,'13. Updated Demand'!A:Z,23,FALSE)),0,VLOOKUP($A930,'13. Updated Demand'!A:Z,23,FALSE))</f>
        <v>0.29933333299999998</v>
      </c>
      <c r="AG930" s="16">
        <f>IF(ISERROR(VLOOKUP($A930,'13. Updated Demand'!A:Z,24,FALSE)),0,VLOOKUP($A930,'13. Updated Demand'!A:Z,24,FALSE))</f>
        <v>0</v>
      </c>
      <c r="AH930" s="16">
        <f>IF(ISERROR(VLOOKUP($A930,'13. Updated Demand'!A:Z,25,FALSE)),0,VLOOKUP($A930,'13. Updated Demand'!A:Z,25,FALSE))</f>
        <v>0</v>
      </c>
      <c r="AI930" s="16">
        <f>IF(ISERROR(VLOOKUP($A930,'13. Updated Demand'!A:Z,26,FALSE)),0,VLOOKUP($A930,'13. Updated Demand'!A:Z,26,FALSE))</f>
        <v>0</v>
      </c>
      <c r="AJ930" s="16">
        <f t="shared" si="180"/>
        <v>2.6259999999999999</v>
      </c>
      <c r="AK930" s="19">
        <v>2.6259999999999999</v>
      </c>
      <c r="AL930" s="16">
        <f t="shared" si="178"/>
        <v>8.710142870490007E-3</v>
      </c>
      <c r="AM930" s="17">
        <v>0.10099999999999999</v>
      </c>
      <c r="AN930" s="19"/>
      <c r="AO930" s="19"/>
      <c r="AP930" s="19">
        <v>26</v>
      </c>
      <c r="AQ930" s="19" t="s">
        <v>307</v>
      </c>
      <c r="AR930" s="9" t="s">
        <v>394</v>
      </c>
      <c r="AS930" s="12">
        <v>0</v>
      </c>
      <c r="AT930" s="19">
        <v>38.643550410000003</v>
      </c>
      <c r="AU930" s="19">
        <v>-122.91142873</v>
      </c>
      <c r="AV930" s="19" t="s">
        <v>932</v>
      </c>
    </row>
    <row r="931" spans="1:48" x14ac:dyDescent="0.25">
      <c r="A931" s="18" t="s">
        <v>1315</v>
      </c>
      <c r="B931" s="10">
        <v>19630313</v>
      </c>
      <c r="C931" s="9">
        <v>16</v>
      </c>
      <c r="D931" s="8" t="str">
        <f t="shared" si="169"/>
        <v>N</v>
      </c>
      <c r="E931" s="8" t="str">
        <f t="shared" si="170"/>
        <v>N</v>
      </c>
      <c r="F931" s="8" t="str">
        <f t="shared" si="171"/>
        <v>N</v>
      </c>
      <c r="G931" s="8" t="str">
        <f t="shared" si="172"/>
        <v>N</v>
      </c>
      <c r="H931" s="8" t="str">
        <f t="shared" si="173"/>
        <v>Lower</v>
      </c>
      <c r="I931" s="8" t="str">
        <f t="shared" si="174"/>
        <v>Outside</v>
      </c>
      <c r="J931" s="8" t="str">
        <f t="shared" si="175"/>
        <v>Outside</v>
      </c>
      <c r="K931" s="8" t="str">
        <f t="shared" si="176"/>
        <v>Post-1949</v>
      </c>
      <c r="L931" s="8">
        <f t="shared" si="177"/>
        <v>1963</v>
      </c>
      <c r="M931" s="8" t="str">
        <f t="shared" si="179"/>
        <v>1960-1970</v>
      </c>
      <c r="N931" s="10" t="s">
        <v>242</v>
      </c>
      <c r="O931" s="10" t="s">
        <v>242</v>
      </c>
      <c r="P931" s="10" t="s">
        <v>242</v>
      </c>
      <c r="Q931" s="10" t="s">
        <v>242</v>
      </c>
      <c r="R931" s="10" t="s">
        <v>241</v>
      </c>
      <c r="S931" s="10" t="s">
        <v>242</v>
      </c>
      <c r="T931" s="10" t="s">
        <v>242</v>
      </c>
      <c r="U931" s="10" t="s">
        <v>242</v>
      </c>
      <c r="V931" s="10" t="s">
        <v>242</v>
      </c>
      <c r="W931" s="10" t="s">
        <v>242</v>
      </c>
      <c r="X931" s="15">
        <f>IF(ISERROR(VLOOKUP($A931,'13. Updated Demand'!A:Z,15,FALSE)),0,VLOOKUP($A931,'13. Updated Demand'!A:Z,15,FALSE))</f>
        <v>0.41599999999999998</v>
      </c>
      <c r="Y931" s="16">
        <f>IF(ISERROR(VLOOKUP($A931,'13. Updated Demand'!A:Z,16,FALSE)),0,VLOOKUP($A931,'13. Updated Demand'!A:Z,16,FALSE))</f>
        <v>0.41599999999999998</v>
      </c>
      <c r="Z931" s="16">
        <f>IF(ISERROR(VLOOKUP($A931,'13. Updated Demand'!A:Z,17,FALSE)),0,VLOOKUP($A931,'13. Updated Demand'!A:Z,17,FALSE))</f>
        <v>0.41599999999999998</v>
      </c>
      <c r="AA931" s="16">
        <f>IF(ISERROR(VLOOKUP($A931,'13. Updated Demand'!A:Z,18,FALSE)),0,VLOOKUP($A931,'13. Updated Demand'!A:Z,18,FALSE))</f>
        <v>0.41599999999999998</v>
      </c>
      <c r="AB931" s="16">
        <f>IF(ISERROR(VLOOKUP($A931,'13. Updated Demand'!A:Z,19,FALSE)),0,VLOOKUP($A931,'13. Updated Demand'!A:Z,19,FALSE))</f>
        <v>0.41699999999999998</v>
      </c>
      <c r="AC931" s="16">
        <f>IF(ISERROR(VLOOKUP($A931,'13. Updated Demand'!A:Z,20,FALSE)),0,VLOOKUP($A931,'13. Updated Demand'!A:Z,20,FALSE))</f>
        <v>0.41699999999999998</v>
      </c>
      <c r="AD931" s="16">
        <f>IF(ISERROR(VLOOKUP($A931,'13. Updated Demand'!A:Z,21,FALSE)),0,VLOOKUP($A931,'13. Updated Demand'!A:Z,21,FALSE))</f>
        <v>0.41699999999999998</v>
      </c>
      <c r="AE931" s="16">
        <f>IF(ISERROR(VLOOKUP($A931,'13. Updated Demand'!A:Z,22,FALSE)),0,VLOOKUP($A931,'13. Updated Demand'!A:Z,22,FALSE))</f>
        <v>0.41699999999999998</v>
      </c>
      <c r="AF931" s="16">
        <f>IF(ISERROR(VLOOKUP($A931,'13. Updated Demand'!A:Z,23,FALSE)),0,VLOOKUP($A931,'13. Updated Demand'!A:Z,23,FALSE))</f>
        <v>0.41699999999999998</v>
      </c>
      <c r="AG931" s="16">
        <f>IF(ISERROR(VLOOKUP($A931,'13. Updated Demand'!A:Z,24,FALSE)),0,VLOOKUP($A931,'13. Updated Demand'!A:Z,24,FALSE))</f>
        <v>0.41699999999999998</v>
      </c>
      <c r="AH931" s="16">
        <f>IF(ISERROR(VLOOKUP($A931,'13. Updated Demand'!A:Z,25,FALSE)),0,VLOOKUP($A931,'13. Updated Demand'!A:Z,25,FALSE))</f>
        <v>0.41699999999999998</v>
      </c>
      <c r="AI931" s="16">
        <f>IF(ISERROR(VLOOKUP($A931,'13. Updated Demand'!A:Z,26,FALSE)),0,VLOOKUP($A931,'13. Updated Demand'!A:Z,26,FALSE))</f>
        <v>0.41699999999999998</v>
      </c>
      <c r="AJ931" s="16">
        <f t="shared" si="180"/>
        <v>4.9999999999999991</v>
      </c>
      <c r="AK931" s="19">
        <v>2.085</v>
      </c>
      <c r="AL931" s="16">
        <f t="shared" si="178"/>
        <v>6.9157074961811362E-3</v>
      </c>
      <c r="AM931" s="17">
        <v>0.99999999999999978</v>
      </c>
      <c r="AN931" s="19"/>
      <c r="AO931" s="19"/>
      <c r="AP931" s="19">
        <v>5</v>
      </c>
      <c r="AQ931" s="19" t="s">
        <v>307</v>
      </c>
      <c r="AR931" s="9" t="s">
        <v>394</v>
      </c>
      <c r="AS931" s="12">
        <v>0</v>
      </c>
      <c r="AT931" s="19">
        <v>38.593651549999997</v>
      </c>
      <c r="AU931" s="19">
        <v>-122.93598462999999</v>
      </c>
      <c r="AV931" s="19" t="s">
        <v>417</v>
      </c>
    </row>
    <row r="932" spans="1:48" x14ac:dyDescent="0.25">
      <c r="A932" s="18" t="s">
        <v>1316</v>
      </c>
      <c r="B932" s="10">
        <v>19630329</v>
      </c>
      <c r="C932" s="9">
        <v>16</v>
      </c>
      <c r="D932" s="8" t="str">
        <f t="shared" si="169"/>
        <v>N</v>
      </c>
      <c r="E932" s="8" t="str">
        <f t="shared" si="170"/>
        <v>N</v>
      </c>
      <c r="F932" s="8" t="str">
        <f t="shared" si="171"/>
        <v>N</v>
      </c>
      <c r="G932" s="8" t="str">
        <f t="shared" si="172"/>
        <v>N</v>
      </c>
      <c r="H932" s="8" t="str">
        <f t="shared" si="173"/>
        <v>Lower</v>
      </c>
      <c r="I932" s="8" t="str">
        <f t="shared" si="174"/>
        <v>Outside</v>
      </c>
      <c r="J932" s="8" t="str">
        <f t="shared" si="175"/>
        <v>Outside</v>
      </c>
      <c r="K932" s="8" t="str">
        <f t="shared" si="176"/>
        <v>Post-1949</v>
      </c>
      <c r="L932" s="8">
        <f t="shared" si="177"/>
        <v>1963</v>
      </c>
      <c r="M932" s="8" t="str">
        <f t="shared" si="179"/>
        <v>1960-1970</v>
      </c>
      <c r="N932" s="10" t="s">
        <v>242</v>
      </c>
      <c r="O932" s="10" t="s">
        <v>242</v>
      </c>
      <c r="P932" s="10" t="s">
        <v>242</v>
      </c>
      <c r="Q932" s="10" t="s">
        <v>242</v>
      </c>
      <c r="R932" s="10" t="s">
        <v>241</v>
      </c>
      <c r="S932" s="10" t="s">
        <v>242</v>
      </c>
      <c r="T932" s="10" t="s">
        <v>242</v>
      </c>
      <c r="U932" s="10" t="s">
        <v>242</v>
      </c>
      <c r="V932" s="10" t="s">
        <v>242</v>
      </c>
      <c r="W932" s="10" t="s">
        <v>242</v>
      </c>
      <c r="X932" s="15">
        <f>IF(ISERROR(VLOOKUP($A932,'13. Updated Demand'!A:Z,15,FALSE)),0,VLOOKUP($A932,'13. Updated Demand'!A:Z,15,FALSE))</f>
        <v>4.6030000000000003E-3</v>
      </c>
      <c r="Y932" s="16">
        <f>IF(ISERROR(VLOOKUP($A932,'13. Updated Demand'!A:Z,16,FALSE)),0,VLOOKUP($A932,'13. Updated Demand'!A:Z,16,FALSE))</f>
        <v>1.5343329999999999E-3</v>
      </c>
      <c r="Z932" s="16">
        <f>IF(ISERROR(VLOOKUP($A932,'13. Updated Demand'!A:Z,17,FALSE)),0,VLOOKUP($A932,'13. Updated Demand'!A:Z,17,FALSE))</f>
        <v>1.5343329999999999E-3</v>
      </c>
      <c r="AA932" s="16">
        <f>IF(ISERROR(VLOOKUP($A932,'13. Updated Demand'!A:Z,18,FALSE)),0,VLOOKUP($A932,'13. Updated Demand'!A:Z,18,FALSE))</f>
        <v>4.6033330000000003E-3</v>
      </c>
      <c r="AB932" s="16">
        <f>IF(ISERROR(VLOOKUP($A932,'13. Updated Demand'!A:Z,19,FALSE)),0,VLOOKUP($A932,'13. Updated Demand'!A:Z,19,FALSE))</f>
        <v>4.6033330000000003E-3</v>
      </c>
      <c r="AC932" s="16">
        <f>IF(ISERROR(VLOOKUP($A932,'13. Updated Demand'!A:Z,20,FALSE)),0,VLOOKUP($A932,'13. Updated Demand'!A:Z,20,FALSE))</f>
        <v>4.6033330000000003E-3</v>
      </c>
      <c r="AD932" s="16">
        <f>IF(ISERROR(VLOOKUP($A932,'13. Updated Demand'!A:Z,21,FALSE)),0,VLOOKUP($A932,'13. Updated Demand'!A:Z,21,FALSE))</f>
        <v>4.6033330000000003E-3</v>
      </c>
      <c r="AE932" s="16">
        <f>IF(ISERROR(VLOOKUP($A932,'13. Updated Demand'!A:Z,22,FALSE)),0,VLOOKUP($A932,'13. Updated Demand'!A:Z,22,FALSE))</f>
        <v>4.6033330000000003E-3</v>
      </c>
      <c r="AF932" s="16">
        <f>IF(ISERROR(VLOOKUP($A932,'13. Updated Demand'!A:Z,23,FALSE)),0,VLOOKUP($A932,'13. Updated Demand'!A:Z,23,FALSE))</f>
        <v>4.6033330000000003E-3</v>
      </c>
      <c r="AG932" s="16">
        <f>IF(ISERROR(VLOOKUP($A932,'13. Updated Demand'!A:Z,24,FALSE)),0,VLOOKUP($A932,'13. Updated Demand'!A:Z,24,FALSE))</f>
        <v>4.6033330000000003E-3</v>
      </c>
      <c r="AH932" s="16">
        <f>IF(ISERROR(VLOOKUP($A932,'13. Updated Demand'!A:Z,25,FALSE)),0,VLOOKUP($A932,'13. Updated Demand'!A:Z,25,FALSE))</f>
        <v>4.6033330000000003E-3</v>
      </c>
      <c r="AI932" s="16">
        <f>IF(ISERROR(VLOOKUP($A932,'13. Updated Demand'!A:Z,26,FALSE)),0,VLOOKUP($A932,'13. Updated Demand'!A:Z,26,FALSE))</f>
        <v>1.5343329999999999E-3</v>
      </c>
      <c r="AJ932" s="16">
        <f t="shared" si="180"/>
        <v>4.6032663000000001E-2</v>
      </c>
      <c r="AK932" s="19">
        <v>2.3016665000000002E-2</v>
      </c>
      <c r="AL932" s="16">
        <f t="shared" si="178"/>
        <v>7.6343655960474832E-5</v>
      </c>
      <c r="AM932" s="17">
        <v>3.0688441999999999E-3</v>
      </c>
      <c r="AN932" s="19"/>
      <c r="AO932" s="19"/>
      <c r="AP932" s="19">
        <v>15</v>
      </c>
      <c r="AQ932" s="19" t="s">
        <v>307</v>
      </c>
      <c r="AR932" s="9" t="s">
        <v>394</v>
      </c>
      <c r="AS932" s="12">
        <v>0</v>
      </c>
      <c r="AT932" s="19">
        <v>38.648565509999997</v>
      </c>
      <c r="AU932" s="19">
        <v>-122.97032222999999</v>
      </c>
      <c r="AV932" s="19" t="s">
        <v>417</v>
      </c>
    </row>
    <row r="933" spans="1:48" x14ac:dyDescent="0.25">
      <c r="A933" s="18" t="s">
        <v>1317</v>
      </c>
      <c r="B933" s="10">
        <v>19630102</v>
      </c>
      <c r="C933" s="9">
        <v>5</v>
      </c>
      <c r="D933" s="8" t="str">
        <f t="shared" si="169"/>
        <v>Y</v>
      </c>
      <c r="E933" s="8" t="str">
        <f t="shared" si="170"/>
        <v>N</v>
      </c>
      <c r="F933" s="8" t="str">
        <f t="shared" si="171"/>
        <v>Y</v>
      </c>
      <c r="G933" s="8" t="str">
        <f t="shared" si="172"/>
        <v>Y</v>
      </c>
      <c r="H933" s="8" t="str">
        <f t="shared" si="173"/>
        <v>Upper</v>
      </c>
      <c r="I933" s="8" t="str">
        <f t="shared" si="174"/>
        <v>West Fork and Below Lake</v>
      </c>
      <c r="J933" s="8" t="str">
        <f t="shared" si="175"/>
        <v>Mendocino (d/s of lake)</v>
      </c>
      <c r="K933" s="8" t="str">
        <f t="shared" si="176"/>
        <v>Post-1949</v>
      </c>
      <c r="L933" s="8">
        <f t="shared" si="177"/>
        <v>1963</v>
      </c>
      <c r="M933" s="8" t="str">
        <f t="shared" si="179"/>
        <v>1960-1970</v>
      </c>
      <c r="N933" s="10" t="s">
        <v>242</v>
      </c>
      <c r="O933" s="10" t="s">
        <v>241</v>
      </c>
      <c r="P933" s="10" t="s">
        <v>242</v>
      </c>
      <c r="Q933" s="10" t="s">
        <v>242</v>
      </c>
      <c r="R933" s="10" t="s">
        <v>241</v>
      </c>
      <c r="S933" s="10" t="s">
        <v>242</v>
      </c>
      <c r="T933" s="10" t="s">
        <v>242</v>
      </c>
      <c r="U933" s="10" t="s">
        <v>242</v>
      </c>
      <c r="V933" s="10" t="s">
        <v>242</v>
      </c>
      <c r="W933" s="10" t="s">
        <v>242</v>
      </c>
      <c r="X933" s="15">
        <f>IF(ISERROR(VLOOKUP($A933,'13. Updated Demand'!A:Z,15,FALSE)),0,VLOOKUP($A933,'13. Updated Demand'!A:Z,15,FALSE))</f>
        <v>0</v>
      </c>
      <c r="Y933" s="16">
        <f>IF(ISERROR(VLOOKUP($A933,'13. Updated Demand'!A:Z,16,FALSE)),0,VLOOKUP($A933,'13. Updated Demand'!A:Z,16,FALSE))</f>
        <v>0</v>
      </c>
      <c r="Z933" s="16">
        <f>IF(ISERROR(VLOOKUP($A933,'13. Updated Demand'!A:Z,17,FALSE)),0,VLOOKUP($A933,'13. Updated Demand'!A:Z,17,FALSE))</f>
        <v>0</v>
      </c>
      <c r="AA933" s="16">
        <f>IF(ISERROR(VLOOKUP($A933,'13. Updated Demand'!A:Z,18,FALSE)),0,VLOOKUP($A933,'13. Updated Demand'!A:Z,18,FALSE))</f>
        <v>0</v>
      </c>
      <c r="AB933" s="16">
        <f>IF(ISERROR(VLOOKUP($A933,'13. Updated Demand'!A:Z,19,FALSE)),0,VLOOKUP($A933,'13. Updated Demand'!A:Z,19,FALSE))</f>
        <v>0</v>
      </c>
      <c r="AC933" s="16">
        <f>IF(ISERROR(VLOOKUP($A933,'13. Updated Demand'!A:Z,20,FALSE)),0,VLOOKUP($A933,'13. Updated Demand'!A:Z,20,FALSE))</f>
        <v>4.2</v>
      </c>
      <c r="AD933" s="16">
        <f>IF(ISERROR(VLOOKUP($A933,'13. Updated Demand'!A:Z,21,FALSE)),0,VLOOKUP($A933,'13. Updated Demand'!A:Z,21,FALSE))</f>
        <v>3.31</v>
      </c>
      <c r="AE933" s="16">
        <f>IF(ISERROR(VLOOKUP($A933,'13. Updated Demand'!A:Z,22,FALSE)),0,VLOOKUP($A933,'13. Updated Demand'!A:Z,22,FALSE))</f>
        <v>2.2000000000000002</v>
      </c>
      <c r="AF933" s="16">
        <f>IF(ISERROR(VLOOKUP($A933,'13. Updated Demand'!A:Z,23,FALSE)),0,VLOOKUP($A933,'13. Updated Demand'!A:Z,23,FALSE))</f>
        <v>0</v>
      </c>
      <c r="AG933" s="16">
        <f>IF(ISERROR(VLOOKUP($A933,'13. Updated Demand'!A:Z,24,FALSE)),0,VLOOKUP($A933,'13. Updated Demand'!A:Z,24,FALSE))</f>
        <v>0</v>
      </c>
      <c r="AH933" s="16">
        <f>IF(ISERROR(VLOOKUP($A933,'13. Updated Demand'!A:Z,25,FALSE)),0,VLOOKUP($A933,'13. Updated Demand'!A:Z,25,FALSE))</f>
        <v>0</v>
      </c>
      <c r="AI933" s="16">
        <f>IF(ISERROR(VLOOKUP($A933,'13. Updated Demand'!A:Z,26,FALSE)),0,VLOOKUP($A933,'13. Updated Demand'!A:Z,26,FALSE))</f>
        <v>0</v>
      </c>
      <c r="AJ933" s="16">
        <f t="shared" si="180"/>
        <v>9.7100000000000009</v>
      </c>
      <c r="AK933" s="19">
        <v>9.7233333340000012</v>
      </c>
      <c r="AL933" s="16">
        <f t="shared" si="178"/>
        <v>3.2251189077127929E-2</v>
      </c>
      <c r="AM933" s="17">
        <v>7.5726895124610602E-2</v>
      </c>
      <c r="AN933" s="19"/>
      <c r="AO933" s="19"/>
      <c r="AP933" s="19">
        <v>128.4</v>
      </c>
      <c r="AQ933" s="19" t="s">
        <v>307</v>
      </c>
      <c r="AR933" s="9" t="s">
        <v>333</v>
      </c>
      <c r="AS933" s="12">
        <v>0</v>
      </c>
      <c r="AT933" s="19">
        <v>39.082105800000001</v>
      </c>
      <c r="AU933" s="19">
        <v>-123.14219728</v>
      </c>
      <c r="AV933" s="19" t="s">
        <v>1318</v>
      </c>
    </row>
    <row r="934" spans="1:48" x14ac:dyDescent="0.25">
      <c r="A934" s="18" t="s">
        <v>1319</v>
      </c>
      <c r="B934" s="10">
        <v>19630116</v>
      </c>
      <c r="C934" s="9">
        <v>1</v>
      </c>
      <c r="D934" s="8" t="str">
        <f t="shared" si="169"/>
        <v>N</v>
      </c>
      <c r="E934" s="8" t="str">
        <f t="shared" si="170"/>
        <v>N</v>
      </c>
      <c r="F934" s="8" t="str">
        <f t="shared" si="171"/>
        <v>Y</v>
      </c>
      <c r="G934" s="8" t="str">
        <f t="shared" si="172"/>
        <v>Y</v>
      </c>
      <c r="H934" s="8" t="str">
        <f t="shared" si="173"/>
        <v>Upper</v>
      </c>
      <c r="I934" s="8" t="str">
        <f t="shared" si="174"/>
        <v>West Fork and Below Lake</v>
      </c>
      <c r="J934" s="8" t="str">
        <f t="shared" si="175"/>
        <v>Outside</v>
      </c>
      <c r="K934" s="8" t="str">
        <f t="shared" si="176"/>
        <v>Post-1949</v>
      </c>
      <c r="L934" s="8">
        <f t="shared" si="177"/>
        <v>1963</v>
      </c>
      <c r="M934" s="8" t="str">
        <f t="shared" si="179"/>
        <v>1960-1970</v>
      </c>
      <c r="N934" s="10" t="s">
        <v>242</v>
      </c>
      <c r="O934" s="10" t="s">
        <v>241</v>
      </c>
      <c r="P934" s="10" t="s">
        <v>242</v>
      </c>
      <c r="Q934" s="10" t="s">
        <v>242</v>
      </c>
      <c r="R934" s="10" t="s">
        <v>241</v>
      </c>
      <c r="S934" s="10" t="s">
        <v>242</v>
      </c>
      <c r="T934" s="10" t="s">
        <v>241</v>
      </c>
      <c r="U934" s="10" t="s">
        <v>241</v>
      </c>
      <c r="V934" s="10" t="s">
        <v>241</v>
      </c>
      <c r="W934" s="10" t="s">
        <v>242</v>
      </c>
      <c r="X934" s="15">
        <f>IF(ISERROR(VLOOKUP($A934,'13. Updated Demand'!A:Z,15,FALSE)),0,VLOOKUP($A934,'13. Updated Demand'!A:Z,15,FALSE))</f>
        <v>0</v>
      </c>
      <c r="Y934" s="16">
        <f>IF(ISERROR(VLOOKUP($A934,'13. Updated Demand'!A:Z,16,FALSE)),0,VLOOKUP($A934,'13. Updated Demand'!A:Z,16,FALSE))</f>
        <v>0</v>
      </c>
      <c r="Z934" s="16">
        <f>IF(ISERROR(VLOOKUP($A934,'13. Updated Demand'!A:Z,17,FALSE)),0,VLOOKUP($A934,'13. Updated Demand'!A:Z,17,FALSE))</f>
        <v>0</v>
      </c>
      <c r="AA934" s="16">
        <f>IF(ISERROR(VLOOKUP($A934,'13. Updated Demand'!A:Z,18,FALSE)),0,VLOOKUP($A934,'13. Updated Demand'!A:Z,18,FALSE))</f>
        <v>0</v>
      </c>
      <c r="AB934" s="16">
        <f>IF(ISERROR(VLOOKUP($A934,'13. Updated Demand'!A:Z,19,FALSE)),0,VLOOKUP($A934,'13. Updated Demand'!A:Z,19,FALSE))</f>
        <v>0</v>
      </c>
      <c r="AC934" s="16">
        <f>IF(ISERROR(VLOOKUP($A934,'13. Updated Demand'!A:Z,20,FALSE)),0,VLOOKUP($A934,'13. Updated Demand'!A:Z,20,FALSE))</f>
        <v>0</v>
      </c>
      <c r="AD934" s="16">
        <f>IF(ISERROR(VLOOKUP($A934,'13. Updated Demand'!A:Z,21,FALSE)),0,VLOOKUP($A934,'13. Updated Demand'!A:Z,21,FALSE))</f>
        <v>0</v>
      </c>
      <c r="AE934" s="16">
        <f>IF(ISERROR(VLOOKUP($A934,'13. Updated Demand'!A:Z,22,FALSE)),0,VLOOKUP($A934,'13. Updated Demand'!A:Z,22,FALSE))</f>
        <v>0</v>
      </c>
      <c r="AF934" s="16">
        <f>IF(ISERROR(VLOOKUP($A934,'13. Updated Demand'!A:Z,23,FALSE)),0,VLOOKUP($A934,'13. Updated Demand'!A:Z,23,FALSE))</f>
        <v>0</v>
      </c>
      <c r="AG934" s="16">
        <f>IF(ISERROR(VLOOKUP($A934,'13. Updated Demand'!A:Z,24,FALSE)),0,VLOOKUP($A934,'13. Updated Demand'!A:Z,24,FALSE))</f>
        <v>0</v>
      </c>
      <c r="AH934" s="16">
        <f>IF(ISERROR(VLOOKUP($A934,'13. Updated Demand'!A:Z,25,FALSE)),0,VLOOKUP($A934,'13. Updated Demand'!A:Z,25,FALSE))</f>
        <v>0</v>
      </c>
      <c r="AI934" s="16">
        <f>IF(ISERROR(VLOOKUP($A934,'13. Updated Demand'!A:Z,26,FALSE)),0,VLOOKUP($A934,'13. Updated Demand'!A:Z,26,FALSE))</f>
        <v>0</v>
      </c>
      <c r="AJ934" s="16">
        <f t="shared" si="180"/>
        <v>0</v>
      </c>
      <c r="AK934" s="19">
        <v>0</v>
      </c>
      <c r="AL934" s="16">
        <f t="shared" si="178"/>
        <v>0</v>
      </c>
      <c r="AM934" s="17">
        <v>0</v>
      </c>
      <c r="AN934" s="19"/>
      <c r="AO934" s="19"/>
      <c r="AP934" s="19">
        <v>10.9</v>
      </c>
      <c r="AQ934" s="19" t="s">
        <v>307</v>
      </c>
      <c r="AR934" s="9" t="s">
        <v>317</v>
      </c>
      <c r="AS934" s="12">
        <v>0</v>
      </c>
      <c r="AT934" s="19">
        <v>39.253990440000003</v>
      </c>
      <c r="AU934" s="19">
        <v>-123.21137136</v>
      </c>
      <c r="AV934" s="19" t="s">
        <v>713</v>
      </c>
    </row>
    <row r="935" spans="1:48" x14ac:dyDescent="0.25">
      <c r="A935" s="18" t="s">
        <v>153</v>
      </c>
      <c r="B935" s="10">
        <v>19630121</v>
      </c>
      <c r="C935" s="9">
        <v>4</v>
      </c>
      <c r="D935" s="8" t="str">
        <f t="shared" si="169"/>
        <v>Y</v>
      </c>
      <c r="E935" s="8" t="str">
        <f t="shared" si="170"/>
        <v>N</v>
      </c>
      <c r="F935" s="8" t="str">
        <f t="shared" si="171"/>
        <v>Y</v>
      </c>
      <c r="G935" s="8" t="str">
        <f t="shared" si="172"/>
        <v>Y</v>
      </c>
      <c r="H935" s="8" t="str">
        <f t="shared" si="173"/>
        <v>Upper</v>
      </c>
      <c r="I935" s="8" t="str">
        <f t="shared" si="174"/>
        <v>West Fork and Below Lake</v>
      </c>
      <c r="J935" s="8" t="str">
        <f t="shared" si="175"/>
        <v>Mendocino (d/s of lake)</v>
      </c>
      <c r="K935" s="8" t="str">
        <f t="shared" si="176"/>
        <v>Post-1949</v>
      </c>
      <c r="L935" s="8">
        <f t="shared" si="177"/>
        <v>1963</v>
      </c>
      <c r="M935" s="8" t="str">
        <f t="shared" si="179"/>
        <v>1960-1970</v>
      </c>
      <c r="N935" s="10" t="s">
        <v>241</v>
      </c>
      <c r="O935" s="10" t="s">
        <v>241</v>
      </c>
      <c r="P935" s="10" t="s">
        <v>242</v>
      </c>
      <c r="Q935" s="10" t="s">
        <v>242</v>
      </c>
      <c r="R935" s="10" t="s">
        <v>241</v>
      </c>
      <c r="S935" s="10" t="s">
        <v>242</v>
      </c>
      <c r="T935" s="10" t="s">
        <v>242</v>
      </c>
      <c r="U935" s="10" t="s">
        <v>242</v>
      </c>
      <c r="V935" s="10" t="s">
        <v>242</v>
      </c>
      <c r="W935" s="10" t="s">
        <v>242</v>
      </c>
      <c r="X935" s="15">
        <f>IF(ISERROR(VLOOKUP($A935,'13. Updated Demand'!A:Z,15,FALSE)),0,VLOOKUP($A935,'13. Updated Demand'!A:Z,15,FALSE))</f>
        <v>0</v>
      </c>
      <c r="Y935" s="16">
        <f>IF(ISERROR(VLOOKUP($A935,'13. Updated Demand'!A:Z,16,FALSE)),0,VLOOKUP($A935,'13. Updated Demand'!A:Z,16,FALSE))</f>
        <v>0</v>
      </c>
      <c r="Z935" s="16">
        <f>IF(ISERROR(VLOOKUP($A935,'13. Updated Demand'!A:Z,17,FALSE)),0,VLOOKUP($A935,'13. Updated Demand'!A:Z,17,FALSE))</f>
        <v>0</v>
      </c>
      <c r="AA935" s="16">
        <f>IF(ISERROR(VLOOKUP($A935,'13. Updated Demand'!A:Z,18,FALSE)),0,VLOOKUP($A935,'13. Updated Demand'!A:Z,18,FALSE))</f>
        <v>0</v>
      </c>
      <c r="AB935" s="16">
        <f>IF(ISERROR(VLOOKUP($A935,'13. Updated Demand'!A:Z,19,FALSE)),0,VLOOKUP($A935,'13. Updated Demand'!A:Z,19,FALSE))</f>
        <v>18.88</v>
      </c>
      <c r="AC935" s="16">
        <f>IF(ISERROR(VLOOKUP($A935,'13. Updated Demand'!A:Z,20,FALSE)),0,VLOOKUP($A935,'13. Updated Demand'!A:Z,20,FALSE))</f>
        <v>27.24</v>
      </c>
      <c r="AD935" s="16">
        <f>IF(ISERROR(VLOOKUP($A935,'13. Updated Demand'!A:Z,21,FALSE)),0,VLOOKUP($A935,'13. Updated Demand'!A:Z,21,FALSE))</f>
        <v>28.12</v>
      </c>
      <c r="AE935" s="16">
        <f>IF(ISERROR(VLOOKUP($A935,'13. Updated Demand'!A:Z,22,FALSE)),0,VLOOKUP($A935,'13. Updated Demand'!A:Z,22,FALSE))</f>
        <v>22.45</v>
      </c>
      <c r="AF935" s="16">
        <f>IF(ISERROR(VLOOKUP($A935,'13. Updated Demand'!A:Z,23,FALSE)),0,VLOOKUP($A935,'13. Updated Demand'!A:Z,23,FALSE))</f>
        <v>0</v>
      </c>
      <c r="AG935" s="16">
        <f>IF(ISERROR(VLOOKUP($A935,'13. Updated Demand'!A:Z,24,FALSE)),0,VLOOKUP($A935,'13. Updated Demand'!A:Z,24,FALSE))</f>
        <v>0</v>
      </c>
      <c r="AH935" s="16">
        <f>IF(ISERROR(VLOOKUP($A935,'13. Updated Demand'!A:Z,25,FALSE)),0,VLOOKUP($A935,'13. Updated Demand'!A:Z,25,FALSE))</f>
        <v>0</v>
      </c>
      <c r="AI935" s="16">
        <f>IF(ISERROR(VLOOKUP($A935,'13. Updated Demand'!A:Z,26,FALSE)),0,VLOOKUP($A935,'13. Updated Demand'!A:Z,26,FALSE))</f>
        <v>0</v>
      </c>
      <c r="AJ935" s="16">
        <f t="shared" si="180"/>
        <v>96.69</v>
      </c>
      <c r="AK935" s="19">
        <v>96.696666666666601</v>
      </c>
      <c r="AL935" s="16">
        <f t="shared" si="178"/>
        <v>0.32073182854791121</v>
      </c>
      <c r="AM935" s="17">
        <v>0.44975193798449581</v>
      </c>
      <c r="AN935" s="19"/>
      <c r="AO935" s="19"/>
      <c r="AP935" s="19">
        <v>215</v>
      </c>
      <c r="AQ935" s="19" t="s">
        <v>307</v>
      </c>
      <c r="AR935" s="9" t="s">
        <v>331</v>
      </c>
      <c r="AS935" s="12">
        <v>0</v>
      </c>
      <c r="AT935" s="19">
        <v>39.152342609999998</v>
      </c>
      <c r="AU935" s="19">
        <v>-123.18292112</v>
      </c>
      <c r="AV935" s="19" t="s">
        <v>1320</v>
      </c>
    </row>
    <row r="936" spans="1:48" x14ac:dyDescent="0.25">
      <c r="A936" s="18" t="s">
        <v>1321</v>
      </c>
      <c r="B936" s="10">
        <v>19630121</v>
      </c>
      <c r="C936" s="9">
        <v>5</v>
      </c>
      <c r="D936" s="8" t="str">
        <f t="shared" si="169"/>
        <v>Y</v>
      </c>
      <c r="E936" s="8" t="str">
        <f t="shared" si="170"/>
        <v>N</v>
      </c>
      <c r="F936" s="8" t="str">
        <f t="shared" si="171"/>
        <v>Y</v>
      </c>
      <c r="G936" s="8" t="str">
        <f t="shared" si="172"/>
        <v>Y</v>
      </c>
      <c r="H936" s="8" t="str">
        <f t="shared" si="173"/>
        <v>Upper</v>
      </c>
      <c r="I936" s="8" t="str">
        <f t="shared" si="174"/>
        <v>West Fork and Below Lake</v>
      </c>
      <c r="J936" s="8" t="str">
        <f t="shared" si="175"/>
        <v>Mendocino (d/s of lake)</v>
      </c>
      <c r="K936" s="8" t="str">
        <f>IF(P936="Y","pre-1914",IF(Q936="Y","Pre-1949",IF(R936="Y","Post-1949",IF(S936="Y","Riparian","Unknown"))))</f>
        <v>Post-1949</v>
      </c>
      <c r="L936" s="8">
        <f t="shared" si="177"/>
        <v>1963</v>
      </c>
      <c r="M936" s="8" t="str">
        <f t="shared" si="179"/>
        <v>1960-1970</v>
      </c>
      <c r="N936" s="10" t="s">
        <v>241</v>
      </c>
      <c r="O936" s="10" t="s">
        <v>241</v>
      </c>
      <c r="P936" s="10" t="s">
        <v>242</v>
      </c>
      <c r="Q936" s="10" t="s">
        <v>242</v>
      </c>
      <c r="R936" s="10" t="s">
        <v>241</v>
      </c>
      <c r="S936" s="10" t="s">
        <v>242</v>
      </c>
      <c r="T936" s="10" t="s">
        <v>242</v>
      </c>
      <c r="U936" s="10" t="s">
        <v>241</v>
      </c>
      <c r="V936" s="10" t="s">
        <v>241</v>
      </c>
      <c r="W936" s="10" t="s">
        <v>242</v>
      </c>
      <c r="X936" s="15">
        <f>IF(ISERROR(VLOOKUP($A936,'13. Updated Demand'!A:Z,15,FALSE)),0,VLOOKUP($A936,'13. Updated Demand'!A:Z,15,FALSE))</f>
        <v>0</v>
      </c>
      <c r="Y936" s="16">
        <f>IF(ISERROR(VLOOKUP($A936,'13. Updated Demand'!A:Z,16,FALSE)),0,VLOOKUP($A936,'13. Updated Demand'!A:Z,16,FALSE))</f>
        <v>0</v>
      </c>
      <c r="Z936" s="16">
        <f>IF(ISERROR(VLOOKUP($A936,'13. Updated Demand'!A:Z,17,FALSE)),0,VLOOKUP($A936,'13. Updated Demand'!A:Z,17,FALSE))</f>
        <v>0</v>
      </c>
      <c r="AA936" s="16">
        <f>IF(ISERROR(VLOOKUP($A936,'13. Updated Demand'!A:Z,18,FALSE)),0,VLOOKUP($A936,'13. Updated Demand'!A:Z,18,FALSE))</f>
        <v>0</v>
      </c>
      <c r="AB936" s="16">
        <f>IF(ISERROR(VLOOKUP($A936,'13. Updated Demand'!A:Z,19,FALSE)),0,VLOOKUP($A936,'13. Updated Demand'!A:Z,19,FALSE))</f>
        <v>0</v>
      </c>
      <c r="AC936" s="16">
        <f>IF(ISERROR(VLOOKUP($A936,'13. Updated Demand'!A:Z,20,FALSE)),0,VLOOKUP($A936,'13. Updated Demand'!A:Z,20,FALSE))</f>
        <v>0</v>
      </c>
      <c r="AD936" s="16">
        <f>IF(ISERROR(VLOOKUP($A936,'13. Updated Demand'!A:Z,21,FALSE)),0,VLOOKUP($A936,'13. Updated Demand'!A:Z,21,FALSE))</f>
        <v>0</v>
      </c>
      <c r="AE936" s="16">
        <f>IF(ISERROR(VLOOKUP($A936,'13. Updated Demand'!A:Z,22,FALSE)),0,VLOOKUP($A936,'13. Updated Demand'!A:Z,22,FALSE))</f>
        <v>0</v>
      </c>
      <c r="AF936" s="16">
        <f>IF(ISERROR(VLOOKUP($A936,'13. Updated Demand'!A:Z,23,FALSE)),0,VLOOKUP($A936,'13. Updated Demand'!A:Z,23,FALSE))</f>
        <v>0</v>
      </c>
      <c r="AG936" s="16">
        <f>IF(ISERROR(VLOOKUP($A936,'13. Updated Demand'!A:Z,24,FALSE)),0,VLOOKUP($A936,'13. Updated Demand'!A:Z,24,FALSE))</f>
        <v>0</v>
      </c>
      <c r="AH936" s="16">
        <f>IF(ISERROR(VLOOKUP($A936,'13. Updated Demand'!A:Z,25,FALSE)),0,VLOOKUP($A936,'13. Updated Demand'!A:Z,25,FALSE))</f>
        <v>0</v>
      </c>
      <c r="AI936" s="16">
        <f>IF(ISERROR(VLOOKUP($A936,'13. Updated Demand'!A:Z,26,FALSE)),0,VLOOKUP($A936,'13. Updated Demand'!A:Z,26,FALSE))</f>
        <v>0</v>
      </c>
      <c r="AJ936" s="16">
        <f t="shared" si="180"/>
        <v>0</v>
      </c>
      <c r="AK936" s="19">
        <v>0</v>
      </c>
      <c r="AL936" s="16">
        <f t="shared" si="178"/>
        <v>0</v>
      </c>
      <c r="AM936" s="17">
        <v>0</v>
      </c>
      <c r="AN936" s="19"/>
      <c r="AO936" s="19"/>
      <c r="AP936" s="19">
        <v>199.9</v>
      </c>
      <c r="AQ936" s="19" t="s">
        <v>307</v>
      </c>
      <c r="AR936" s="9" t="s">
        <v>333</v>
      </c>
      <c r="AS936" s="12">
        <v>0</v>
      </c>
      <c r="AT936" s="19">
        <v>39.110371540000003</v>
      </c>
      <c r="AU936" s="19">
        <v>-123.18530115</v>
      </c>
      <c r="AV936" s="19" t="s">
        <v>387</v>
      </c>
    </row>
    <row r="937" spans="1:48" x14ac:dyDescent="0.25">
      <c r="A937" s="18" t="s">
        <v>1322</v>
      </c>
      <c r="B937" s="10">
        <v>19630204</v>
      </c>
      <c r="C937" s="9">
        <v>23</v>
      </c>
      <c r="D937" s="8" t="str">
        <f t="shared" si="169"/>
        <v>N</v>
      </c>
      <c r="E937" s="8" t="str">
        <f t="shared" si="170"/>
        <v>N</v>
      </c>
      <c r="F937" s="8" t="str">
        <f t="shared" si="171"/>
        <v>N</v>
      </c>
      <c r="G937" s="8" t="str">
        <f t="shared" si="172"/>
        <v>N</v>
      </c>
      <c r="H937" s="8" t="str">
        <f t="shared" si="173"/>
        <v>Lower</v>
      </c>
      <c r="I937" s="8" t="str">
        <f t="shared" si="174"/>
        <v>Outside</v>
      </c>
      <c r="J937" s="8" t="str">
        <f t="shared" si="175"/>
        <v>Outside</v>
      </c>
      <c r="K937" s="8" t="str">
        <f t="shared" si="176"/>
        <v>Post-1949</v>
      </c>
      <c r="L937" s="8">
        <f t="shared" si="177"/>
        <v>1963</v>
      </c>
      <c r="M937" s="8" t="str">
        <f t="shared" si="179"/>
        <v>1960-1970</v>
      </c>
      <c r="N937" s="10" t="s">
        <v>242</v>
      </c>
      <c r="O937" s="10" t="s">
        <v>242</v>
      </c>
      <c r="P937" s="10" t="s">
        <v>242</v>
      </c>
      <c r="Q937" s="10" t="s">
        <v>242</v>
      </c>
      <c r="R937" s="10" t="s">
        <v>241</v>
      </c>
      <c r="S937" s="10" t="s">
        <v>242</v>
      </c>
      <c r="T937" s="10" t="s">
        <v>242</v>
      </c>
      <c r="U937" s="10" t="s">
        <v>241</v>
      </c>
      <c r="V937" s="10" t="s">
        <v>241</v>
      </c>
      <c r="W937" s="10" t="s">
        <v>242</v>
      </c>
      <c r="X937" s="15">
        <f>IF(ISERROR(VLOOKUP($A937,'13. Updated Demand'!A:Z,15,FALSE)),0,VLOOKUP($A937,'13. Updated Demand'!A:Z,15,FALSE))</f>
        <v>0</v>
      </c>
      <c r="Y937" s="16">
        <f>IF(ISERROR(VLOOKUP($A937,'13. Updated Demand'!A:Z,16,FALSE)),0,VLOOKUP($A937,'13. Updated Demand'!A:Z,16,FALSE))</f>
        <v>0</v>
      </c>
      <c r="Z937" s="16">
        <f>IF(ISERROR(VLOOKUP($A937,'13. Updated Demand'!A:Z,17,FALSE)),0,VLOOKUP($A937,'13. Updated Demand'!A:Z,17,FALSE))</f>
        <v>0</v>
      </c>
      <c r="AA937" s="16">
        <f>IF(ISERROR(VLOOKUP($A937,'13. Updated Demand'!A:Z,18,FALSE)),0,VLOOKUP($A937,'13. Updated Demand'!A:Z,18,FALSE))</f>
        <v>0</v>
      </c>
      <c r="AB937" s="16">
        <f>IF(ISERROR(VLOOKUP($A937,'13. Updated Demand'!A:Z,19,FALSE)),0,VLOOKUP($A937,'13. Updated Demand'!A:Z,19,FALSE))</f>
        <v>0</v>
      </c>
      <c r="AC937" s="16">
        <f>IF(ISERROR(VLOOKUP($A937,'13. Updated Demand'!A:Z,20,FALSE)),0,VLOOKUP($A937,'13. Updated Demand'!A:Z,20,FALSE))</f>
        <v>0</v>
      </c>
      <c r="AD937" s="16">
        <f>IF(ISERROR(VLOOKUP($A937,'13. Updated Demand'!A:Z,21,FALSE)),0,VLOOKUP($A937,'13. Updated Demand'!A:Z,21,FALSE))</f>
        <v>0</v>
      </c>
      <c r="AE937" s="16">
        <f>IF(ISERROR(VLOOKUP($A937,'13. Updated Demand'!A:Z,22,FALSE)),0,VLOOKUP($A937,'13. Updated Demand'!A:Z,22,FALSE))</f>
        <v>0</v>
      </c>
      <c r="AF937" s="16">
        <f>IF(ISERROR(VLOOKUP($A937,'13. Updated Demand'!A:Z,23,FALSE)),0,VLOOKUP($A937,'13. Updated Demand'!A:Z,23,FALSE))</f>
        <v>0</v>
      </c>
      <c r="AG937" s="16">
        <f>IF(ISERROR(VLOOKUP($A937,'13. Updated Demand'!A:Z,24,FALSE)),0,VLOOKUP($A937,'13. Updated Demand'!A:Z,24,FALSE))</f>
        <v>0</v>
      </c>
      <c r="AH937" s="16">
        <f>IF(ISERROR(VLOOKUP($A937,'13. Updated Demand'!A:Z,25,FALSE)),0,VLOOKUP($A937,'13. Updated Demand'!A:Z,25,FALSE))</f>
        <v>0</v>
      </c>
      <c r="AI937" s="16">
        <f>IF(ISERROR(VLOOKUP($A937,'13. Updated Demand'!A:Z,26,FALSE)),0,VLOOKUP($A937,'13. Updated Demand'!A:Z,26,FALSE))</f>
        <v>0</v>
      </c>
      <c r="AJ937" s="16">
        <f t="shared" si="180"/>
        <v>0</v>
      </c>
      <c r="AK937" s="19">
        <v>0</v>
      </c>
      <c r="AL937" s="16">
        <f t="shared" si="178"/>
        <v>0</v>
      </c>
      <c r="AM937" s="17">
        <v>0</v>
      </c>
      <c r="AN937" s="19"/>
      <c r="AO937" s="19"/>
      <c r="AP937" s="19">
        <v>87</v>
      </c>
      <c r="AQ937" s="19" t="s">
        <v>307</v>
      </c>
      <c r="AR937" s="9" t="s">
        <v>725</v>
      </c>
      <c r="AS937" s="12">
        <v>0</v>
      </c>
      <c r="AT937" s="19">
        <v>38.445906569999998</v>
      </c>
      <c r="AU937" s="19">
        <v>-122.78949054</v>
      </c>
      <c r="AV937" s="19" t="s">
        <v>1251</v>
      </c>
    </row>
    <row r="938" spans="1:48" x14ac:dyDescent="0.25">
      <c r="A938" s="18" t="s">
        <v>1323</v>
      </c>
      <c r="B938" s="10">
        <v>19630211</v>
      </c>
      <c r="C938" s="9">
        <v>23</v>
      </c>
      <c r="D938" s="8" t="str">
        <f t="shared" si="169"/>
        <v>N</v>
      </c>
      <c r="E938" s="8" t="str">
        <f t="shared" si="170"/>
        <v>N</v>
      </c>
      <c r="F938" s="8" t="str">
        <f t="shared" si="171"/>
        <v>N</v>
      </c>
      <c r="G938" s="8" t="str">
        <f t="shared" si="172"/>
        <v>N</v>
      </c>
      <c r="H938" s="8" t="str">
        <f t="shared" si="173"/>
        <v>Lower</v>
      </c>
      <c r="I938" s="8" t="str">
        <f t="shared" si="174"/>
        <v>Outside</v>
      </c>
      <c r="J938" s="8" t="str">
        <f t="shared" si="175"/>
        <v>Outside</v>
      </c>
      <c r="K938" s="8" t="str">
        <f t="shared" si="176"/>
        <v>Post-1949</v>
      </c>
      <c r="L938" s="8">
        <f t="shared" si="177"/>
        <v>1963</v>
      </c>
      <c r="M938" s="8" t="str">
        <f t="shared" si="179"/>
        <v>1960-1970</v>
      </c>
      <c r="N938" s="10" t="s">
        <v>242</v>
      </c>
      <c r="O938" s="10" t="s">
        <v>242</v>
      </c>
      <c r="P938" s="10" t="s">
        <v>242</v>
      </c>
      <c r="Q938" s="10" t="s">
        <v>242</v>
      </c>
      <c r="R938" s="10" t="s">
        <v>241</v>
      </c>
      <c r="S938" s="10" t="s">
        <v>242</v>
      </c>
      <c r="T938" s="10" t="s">
        <v>242</v>
      </c>
      <c r="U938" s="10" t="s">
        <v>241</v>
      </c>
      <c r="V938" s="10" t="s">
        <v>241</v>
      </c>
      <c r="W938" s="10" t="s">
        <v>242</v>
      </c>
      <c r="X938" s="15">
        <f>IF(ISERROR(VLOOKUP($A938,'13. Updated Demand'!A:Z,15,FALSE)),0,VLOOKUP($A938,'13. Updated Demand'!A:Z,15,FALSE))</f>
        <v>0</v>
      </c>
      <c r="Y938" s="16">
        <f>IF(ISERROR(VLOOKUP($A938,'13. Updated Demand'!A:Z,16,FALSE)),0,VLOOKUP($A938,'13. Updated Demand'!A:Z,16,FALSE))</f>
        <v>0</v>
      </c>
      <c r="Z938" s="16">
        <f>IF(ISERROR(VLOOKUP($A938,'13. Updated Demand'!A:Z,17,FALSE)),0,VLOOKUP($A938,'13. Updated Demand'!A:Z,17,FALSE))</f>
        <v>0</v>
      </c>
      <c r="AA938" s="16">
        <f>IF(ISERROR(VLOOKUP($A938,'13. Updated Demand'!A:Z,18,FALSE)),0,VLOOKUP($A938,'13. Updated Demand'!A:Z,18,FALSE))</f>
        <v>0</v>
      </c>
      <c r="AB938" s="16">
        <f>IF(ISERROR(VLOOKUP($A938,'13. Updated Demand'!A:Z,19,FALSE)),0,VLOOKUP($A938,'13. Updated Demand'!A:Z,19,FALSE))</f>
        <v>0</v>
      </c>
      <c r="AC938" s="16">
        <f>IF(ISERROR(VLOOKUP($A938,'13. Updated Demand'!A:Z,20,FALSE)),0,VLOOKUP($A938,'13. Updated Demand'!A:Z,20,FALSE))</f>
        <v>0</v>
      </c>
      <c r="AD938" s="16">
        <f>IF(ISERROR(VLOOKUP($A938,'13. Updated Demand'!A:Z,21,FALSE)),0,VLOOKUP($A938,'13. Updated Demand'!A:Z,21,FALSE))</f>
        <v>0</v>
      </c>
      <c r="AE938" s="16">
        <f>IF(ISERROR(VLOOKUP($A938,'13. Updated Demand'!A:Z,22,FALSE)),0,VLOOKUP($A938,'13. Updated Demand'!A:Z,22,FALSE))</f>
        <v>0</v>
      </c>
      <c r="AF938" s="16">
        <f>IF(ISERROR(VLOOKUP($A938,'13. Updated Demand'!A:Z,23,FALSE)),0,VLOOKUP($A938,'13. Updated Demand'!A:Z,23,FALSE))</f>
        <v>0</v>
      </c>
      <c r="AG938" s="16">
        <f>IF(ISERROR(VLOOKUP($A938,'13. Updated Demand'!A:Z,24,FALSE)),0,VLOOKUP($A938,'13. Updated Demand'!A:Z,24,FALSE))</f>
        <v>0</v>
      </c>
      <c r="AH938" s="16">
        <f>IF(ISERROR(VLOOKUP($A938,'13. Updated Demand'!A:Z,25,FALSE)),0,VLOOKUP($A938,'13. Updated Demand'!A:Z,25,FALSE))</f>
        <v>0</v>
      </c>
      <c r="AI938" s="16">
        <f>IF(ISERROR(VLOOKUP($A938,'13. Updated Demand'!A:Z,26,FALSE)),0,VLOOKUP($A938,'13. Updated Demand'!A:Z,26,FALSE))</f>
        <v>0</v>
      </c>
      <c r="AJ938" s="16">
        <f t="shared" si="180"/>
        <v>0</v>
      </c>
      <c r="AK938" s="19">
        <v>0</v>
      </c>
      <c r="AL938" s="16">
        <f t="shared" si="178"/>
        <v>0</v>
      </c>
      <c r="AM938" s="17">
        <v>0</v>
      </c>
      <c r="AN938" s="19"/>
      <c r="AO938" s="19"/>
      <c r="AP938" s="19">
        <v>139</v>
      </c>
      <c r="AQ938" s="19" t="s">
        <v>307</v>
      </c>
      <c r="AR938" s="9" t="s">
        <v>725</v>
      </c>
      <c r="AS938" s="12">
        <v>0</v>
      </c>
      <c r="AT938" s="19">
        <v>38.443541349999997</v>
      </c>
      <c r="AU938" s="19">
        <v>-122.77375195</v>
      </c>
      <c r="AV938" s="19" t="s">
        <v>1251</v>
      </c>
    </row>
    <row r="939" spans="1:48" x14ac:dyDescent="0.25">
      <c r="A939" s="18" t="s">
        <v>1324</v>
      </c>
      <c r="B939" s="10">
        <v>19630311</v>
      </c>
      <c r="C939" s="9">
        <v>12</v>
      </c>
      <c r="D939" s="8" t="str">
        <f t="shared" si="169"/>
        <v>N</v>
      </c>
      <c r="E939" s="8" t="str">
        <f t="shared" si="170"/>
        <v>Y</v>
      </c>
      <c r="F939" s="8" t="str">
        <f t="shared" si="171"/>
        <v>Y</v>
      </c>
      <c r="G939" s="8" t="str">
        <f t="shared" si="172"/>
        <v>Y</v>
      </c>
      <c r="H939" s="8" t="str">
        <f t="shared" si="173"/>
        <v>Upper</v>
      </c>
      <c r="I939" s="8" t="str">
        <f t="shared" si="174"/>
        <v>West Fork and Below Lake</v>
      </c>
      <c r="J939" s="8" t="str">
        <f t="shared" si="175"/>
        <v>Sonoma (d/s of Clov. Gage)</v>
      </c>
      <c r="K939" s="8" t="str">
        <f t="shared" si="176"/>
        <v>Post-1949</v>
      </c>
      <c r="L939" s="8">
        <f t="shared" si="177"/>
        <v>1963</v>
      </c>
      <c r="M939" s="8" t="str">
        <f t="shared" si="179"/>
        <v>1960-1970</v>
      </c>
      <c r="N939" s="10" t="s">
        <v>242</v>
      </c>
      <c r="O939" s="10" t="s">
        <v>241</v>
      </c>
      <c r="P939" s="10" t="s">
        <v>242</v>
      </c>
      <c r="Q939" s="10" t="s">
        <v>242</v>
      </c>
      <c r="R939" s="10" t="s">
        <v>241</v>
      </c>
      <c r="S939" s="10" t="s">
        <v>242</v>
      </c>
      <c r="T939" s="10" t="s">
        <v>242</v>
      </c>
      <c r="U939" s="10" t="s">
        <v>242</v>
      </c>
      <c r="V939" s="10" t="s">
        <v>241</v>
      </c>
      <c r="W939" s="10" t="s">
        <v>242</v>
      </c>
      <c r="X939" s="15">
        <f>IF(ISERROR(VLOOKUP($A939,'13. Updated Demand'!A:Z,15,FALSE)),0,VLOOKUP($A939,'13. Updated Demand'!A:Z,15,FALSE))</f>
        <v>0.66</v>
      </c>
      <c r="Y939" s="16">
        <f>IF(ISERROR(VLOOKUP($A939,'13. Updated Demand'!A:Z,16,FALSE)),0,VLOOKUP($A939,'13. Updated Demand'!A:Z,16,FALSE))</f>
        <v>0.66</v>
      </c>
      <c r="Z939" s="16">
        <f>IF(ISERROR(VLOOKUP($A939,'13. Updated Demand'!A:Z,17,FALSE)),0,VLOOKUP($A939,'13. Updated Demand'!A:Z,17,FALSE))</f>
        <v>0.66</v>
      </c>
      <c r="AA939" s="16">
        <f>IF(ISERROR(VLOOKUP($A939,'13. Updated Demand'!A:Z,18,FALSE)),0,VLOOKUP($A939,'13. Updated Demand'!A:Z,18,FALSE))</f>
        <v>0</v>
      </c>
      <c r="AB939" s="16">
        <f>IF(ISERROR(VLOOKUP($A939,'13. Updated Demand'!A:Z,19,FALSE)),0,VLOOKUP($A939,'13. Updated Demand'!A:Z,19,FALSE))</f>
        <v>0</v>
      </c>
      <c r="AC939" s="16">
        <f>IF(ISERROR(VLOOKUP($A939,'13. Updated Demand'!A:Z,20,FALSE)),0,VLOOKUP($A939,'13. Updated Demand'!A:Z,20,FALSE))</f>
        <v>0</v>
      </c>
      <c r="AD939" s="16">
        <f>IF(ISERROR(VLOOKUP($A939,'13. Updated Demand'!A:Z,21,FALSE)),0,VLOOKUP($A939,'13. Updated Demand'!A:Z,21,FALSE))</f>
        <v>0</v>
      </c>
      <c r="AE939" s="16">
        <f>IF(ISERROR(VLOOKUP($A939,'13. Updated Demand'!A:Z,22,FALSE)),0,VLOOKUP($A939,'13. Updated Demand'!A:Z,22,FALSE))</f>
        <v>0</v>
      </c>
      <c r="AF939" s="16">
        <f>IF(ISERROR(VLOOKUP($A939,'13. Updated Demand'!A:Z,23,FALSE)),0,VLOOKUP($A939,'13. Updated Demand'!A:Z,23,FALSE))</f>
        <v>0</v>
      </c>
      <c r="AG939" s="16">
        <f>IF(ISERROR(VLOOKUP($A939,'13. Updated Demand'!A:Z,24,FALSE)),0,VLOOKUP($A939,'13. Updated Demand'!A:Z,24,FALSE))</f>
        <v>0</v>
      </c>
      <c r="AH939" s="16">
        <f>IF(ISERROR(VLOOKUP($A939,'13. Updated Demand'!A:Z,25,FALSE)),0,VLOOKUP($A939,'13. Updated Demand'!A:Z,25,FALSE))</f>
        <v>0.33</v>
      </c>
      <c r="AI939" s="16">
        <f>IF(ISERROR(VLOOKUP($A939,'13. Updated Demand'!A:Z,26,FALSE)),0,VLOOKUP($A939,'13. Updated Demand'!A:Z,26,FALSE))</f>
        <v>0.33</v>
      </c>
      <c r="AJ939" s="16">
        <f t="shared" si="180"/>
        <v>2.64</v>
      </c>
      <c r="AK939" s="19">
        <v>0</v>
      </c>
      <c r="AL939" s="16">
        <f t="shared" si="178"/>
        <v>0</v>
      </c>
      <c r="AM939" s="17">
        <v>0.29629629633333338</v>
      </c>
      <c r="AN939" s="19"/>
      <c r="AO939" s="19"/>
      <c r="AP939" s="19">
        <v>9</v>
      </c>
      <c r="AQ939" s="19" t="s">
        <v>307</v>
      </c>
      <c r="AR939" s="9" t="s">
        <v>311</v>
      </c>
      <c r="AS939" s="12">
        <v>3.4039024194010059E-4</v>
      </c>
      <c r="AT939" s="19">
        <v>38.597497099999998</v>
      </c>
      <c r="AU939" s="19">
        <v>-122.65522511</v>
      </c>
      <c r="AV939" s="19" t="s">
        <v>417</v>
      </c>
    </row>
    <row r="940" spans="1:48" x14ac:dyDescent="0.25">
      <c r="A940" s="18" t="s">
        <v>1325</v>
      </c>
      <c r="B940" s="10">
        <v>19630411</v>
      </c>
      <c r="C940" s="9">
        <v>12</v>
      </c>
      <c r="D940" s="8" t="str">
        <f t="shared" si="169"/>
        <v>N</v>
      </c>
      <c r="E940" s="8" t="str">
        <f t="shared" si="170"/>
        <v>Y</v>
      </c>
      <c r="F940" s="8" t="str">
        <f t="shared" si="171"/>
        <v>Y</v>
      </c>
      <c r="G940" s="8" t="str">
        <f t="shared" si="172"/>
        <v>Y</v>
      </c>
      <c r="H940" s="8" t="str">
        <f t="shared" si="173"/>
        <v>Upper</v>
      </c>
      <c r="I940" s="8" t="str">
        <f t="shared" si="174"/>
        <v>West Fork and Below Lake</v>
      </c>
      <c r="J940" s="8" t="str">
        <f t="shared" si="175"/>
        <v>Sonoma (d/s of Clov. Gage)</v>
      </c>
      <c r="K940" s="8" t="str">
        <f t="shared" si="176"/>
        <v>Post-1949</v>
      </c>
      <c r="L940" s="8">
        <f t="shared" si="177"/>
        <v>1963</v>
      </c>
      <c r="M940" s="8" t="str">
        <f t="shared" si="179"/>
        <v>1960-1970</v>
      </c>
      <c r="N940" s="10" t="s">
        <v>242</v>
      </c>
      <c r="O940" s="10" t="s">
        <v>241</v>
      </c>
      <c r="P940" s="10" t="s">
        <v>242</v>
      </c>
      <c r="Q940" s="10" t="s">
        <v>242</v>
      </c>
      <c r="R940" s="10" t="s">
        <v>241</v>
      </c>
      <c r="S940" s="10" t="s">
        <v>242</v>
      </c>
      <c r="T940" s="10" t="s">
        <v>242</v>
      </c>
      <c r="U940" s="10" t="s">
        <v>242</v>
      </c>
      <c r="V940" s="10" t="s">
        <v>241</v>
      </c>
      <c r="W940" s="10" t="s">
        <v>242</v>
      </c>
      <c r="X940" s="15">
        <f>IF(ISERROR(VLOOKUP($A940,'13. Updated Demand'!A:Z,15,FALSE)),0,VLOOKUP($A940,'13. Updated Demand'!A:Z,15,FALSE))</f>
        <v>3.33</v>
      </c>
      <c r="Y940" s="16">
        <f>IF(ISERROR(VLOOKUP($A940,'13. Updated Demand'!A:Z,16,FALSE)),0,VLOOKUP($A940,'13. Updated Demand'!A:Z,16,FALSE))</f>
        <v>2</v>
      </c>
      <c r="Z940" s="16">
        <f>IF(ISERROR(VLOOKUP($A940,'13. Updated Demand'!A:Z,17,FALSE)),0,VLOOKUP($A940,'13. Updated Demand'!A:Z,17,FALSE))</f>
        <v>1</v>
      </c>
      <c r="AA940" s="16">
        <f>IF(ISERROR(VLOOKUP($A940,'13. Updated Demand'!A:Z,18,FALSE)),0,VLOOKUP($A940,'13. Updated Demand'!A:Z,18,FALSE))</f>
        <v>0.33</v>
      </c>
      <c r="AB940" s="16">
        <f>IF(ISERROR(VLOOKUP($A940,'13. Updated Demand'!A:Z,19,FALSE)),0,VLOOKUP($A940,'13. Updated Demand'!A:Z,19,FALSE))</f>
        <v>0</v>
      </c>
      <c r="AC940" s="16">
        <f>IF(ISERROR(VLOOKUP($A940,'13. Updated Demand'!A:Z,20,FALSE)),0,VLOOKUP($A940,'13. Updated Demand'!A:Z,20,FALSE))</f>
        <v>0</v>
      </c>
      <c r="AD940" s="16">
        <f>IF(ISERROR(VLOOKUP($A940,'13. Updated Demand'!A:Z,21,FALSE)),0,VLOOKUP($A940,'13. Updated Demand'!A:Z,21,FALSE))</f>
        <v>0</v>
      </c>
      <c r="AE940" s="16">
        <f>IF(ISERROR(VLOOKUP($A940,'13. Updated Demand'!A:Z,22,FALSE)),0,VLOOKUP($A940,'13. Updated Demand'!A:Z,22,FALSE))</f>
        <v>0</v>
      </c>
      <c r="AF940" s="16">
        <f>IF(ISERROR(VLOOKUP($A940,'13. Updated Demand'!A:Z,23,FALSE)),0,VLOOKUP($A940,'13. Updated Demand'!A:Z,23,FALSE))</f>
        <v>0</v>
      </c>
      <c r="AG940" s="16">
        <f>IF(ISERROR(VLOOKUP($A940,'13. Updated Demand'!A:Z,24,FALSE)),0,VLOOKUP($A940,'13. Updated Demand'!A:Z,24,FALSE))</f>
        <v>0.66</v>
      </c>
      <c r="AH940" s="16">
        <f>IF(ISERROR(VLOOKUP($A940,'13. Updated Demand'!A:Z,25,FALSE)),0,VLOOKUP($A940,'13. Updated Demand'!A:Z,25,FALSE))</f>
        <v>1</v>
      </c>
      <c r="AI940" s="16">
        <f>IF(ISERROR(VLOOKUP($A940,'13. Updated Demand'!A:Z,26,FALSE)),0,VLOOKUP($A940,'13. Updated Demand'!A:Z,26,FALSE))</f>
        <v>2</v>
      </c>
      <c r="AJ940" s="16">
        <f t="shared" si="180"/>
        <v>10.32</v>
      </c>
      <c r="AK940" s="19">
        <v>0</v>
      </c>
      <c r="AL940" s="16">
        <f t="shared" si="178"/>
        <v>0</v>
      </c>
      <c r="AM940" s="17">
        <v>0.44927536230434784</v>
      </c>
      <c r="AN940" s="19"/>
      <c r="AO940" s="19"/>
      <c r="AP940" s="19">
        <v>23</v>
      </c>
      <c r="AQ940" s="19" t="s">
        <v>307</v>
      </c>
      <c r="AR940" s="9" t="s">
        <v>311</v>
      </c>
      <c r="AS940" s="12">
        <v>0</v>
      </c>
      <c r="AT940" s="19">
        <v>38.649248659999998</v>
      </c>
      <c r="AU940" s="19">
        <v>-122.76898052999999</v>
      </c>
      <c r="AV940" s="19" t="s">
        <v>417</v>
      </c>
    </row>
    <row r="941" spans="1:48" x14ac:dyDescent="0.25">
      <c r="A941" s="18" t="s">
        <v>1326</v>
      </c>
      <c r="B941" s="10">
        <v>19630418</v>
      </c>
      <c r="C941" s="9">
        <v>9</v>
      </c>
      <c r="D941" s="8" t="str">
        <f t="shared" si="169"/>
        <v>N</v>
      </c>
      <c r="E941" s="8" t="str">
        <f t="shared" si="170"/>
        <v>Y</v>
      </c>
      <c r="F941" s="8" t="str">
        <f t="shared" si="171"/>
        <v>Y</v>
      </c>
      <c r="G941" s="8" t="str">
        <f t="shared" si="172"/>
        <v>Y</v>
      </c>
      <c r="H941" s="8" t="str">
        <f t="shared" si="173"/>
        <v>Upper</v>
      </c>
      <c r="I941" s="8" t="str">
        <f t="shared" si="174"/>
        <v>West Fork and Below Lake</v>
      </c>
      <c r="J941" s="8" t="str">
        <f t="shared" si="175"/>
        <v>Sonoma (d/s of Clov. Gage)</v>
      </c>
      <c r="K941" s="8" t="str">
        <f t="shared" si="176"/>
        <v>Post-1949</v>
      </c>
      <c r="L941" s="8">
        <f t="shared" si="177"/>
        <v>1963</v>
      </c>
      <c r="M941" s="8" t="str">
        <f t="shared" si="179"/>
        <v>1960-1970</v>
      </c>
      <c r="N941" s="10" t="s">
        <v>241</v>
      </c>
      <c r="O941" s="10" t="s">
        <v>241</v>
      </c>
      <c r="P941" s="10" t="s">
        <v>242</v>
      </c>
      <c r="Q941" s="10" t="s">
        <v>242</v>
      </c>
      <c r="R941" s="10" t="s">
        <v>241</v>
      </c>
      <c r="S941" s="10" t="s">
        <v>242</v>
      </c>
      <c r="T941" s="10" t="s">
        <v>242</v>
      </c>
      <c r="U941" s="10" t="s">
        <v>242</v>
      </c>
      <c r="V941" s="10" t="s">
        <v>242</v>
      </c>
      <c r="W941" s="10" t="s">
        <v>242</v>
      </c>
      <c r="X941" s="15">
        <f>IF(ISERROR(VLOOKUP($A941,'13. Updated Demand'!A:Z,15,FALSE)),0,VLOOKUP($A941,'13. Updated Demand'!A:Z,15,FALSE))</f>
        <v>0</v>
      </c>
      <c r="Y941" s="16">
        <f>IF(ISERROR(VLOOKUP($A941,'13. Updated Demand'!A:Z,16,FALSE)),0,VLOOKUP($A941,'13. Updated Demand'!A:Z,16,FALSE))</f>
        <v>0</v>
      </c>
      <c r="Z941" s="16">
        <f>IF(ISERROR(VLOOKUP($A941,'13. Updated Demand'!A:Z,17,FALSE)),0,VLOOKUP($A941,'13. Updated Demand'!A:Z,17,FALSE))</f>
        <v>0</v>
      </c>
      <c r="AA941" s="16">
        <f>IF(ISERROR(VLOOKUP($A941,'13. Updated Demand'!A:Z,18,FALSE)),0,VLOOKUP($A941,'13. Updated Demand'!A:Z,18,FALSE))</f>
        <v>0.06</v>
      </c>
      <c r="AB941" s="16">
        <f>IF(ISERROR(VLOOKUP($A941,'13. Updated Demand'!A:Z,19,FALSE)),0,VLOOKUP($A941,'13. Updated Demand'!A:Z,19,FALSE))</f>
        <v>1.6</v>
      </c>
      <c r="AC941" s="16">
        <f>IF(ISERROR(VLOOKUP($A941,'13. Updated Demand'!A:Z,20,FALSE)),0,VLOOKUP($A941,'13. Updated Demand'!A:Z,20,FALSE))</f>
        <v>5.13</v>
      </c>
      <c r="AD941" s="16">
        <f>IF(ISERROR(VLOOKUP($A941,'13. Updated Demand'!A:Z,21,FALSE)),0,VLOOKUP($A941,'13. Updated Demand'!A:Z,21,FALSE))</f>
        <v>4.5599999999999996</v>
      </c>
      <c r="AE941" s="16">
        <f>IF(ISERROR(VLOOKUP($A941,'13. Updated Demand'!A:Z,22,FALSE)),0,VLOOKUP($A941,'13. Updated Demand'!A:Z,22,FALSE))</f>
        <v>8.8000000000000007</v>
      </c>
      <c r="AF941" s="16">
        <f>IF(ISERROR(VLOOKUP($A941,'13. Updated Demand'!A:Z,23,FALSE)),0,VLOOKUP($A941,'13. Updated Demand'!A:Z,23,FALSE))</f>
        <v>5.26</v>
      </c>
      <c r="AG941" s="16">
        <f>IF(ISERROR(VLOOKUP($A941,'13. Updated Demand'!A:Z,24,FALSE)),0,VLOOKUP($A941,'13. Updated Demand'!A:Z,24,FALSE))</f>
        <v>0</v>
      </c>
      <c r="AH941" s="16">
        <f>IF(ISERROR(VLOOKUP($A941,'13. Updated Demand'!A:Z,25,FALSE)),0,VLOOKUP($A941,'13. Updated Demand'!A:Z,25,FALSE))</f>
        <v>0</v>
      </c>
      <c r="AI941" s="16">
        <f>IF(ISERROR(VLOOKUP($A941,'13. Updated Demand'!A:Z,26,FALSE)),0,VLOOKUP($A941,'13. Updated Demand'!A:Z,26,FALSE))</f>
        <v>0</v>
      </c>
      <c r="AJ941" s="16">
        <f t="shared" si="180"/>
        <v>25.409999999999997</v>
      </c>
      <c r="AK941" s="19">
        <v>25.366666666666671</v>
      </c>
      <c r="AL941" s="16">
        <f t="shared" si="178"/>
        <v>8.4138343798462759E-2</v>
      </c>
      <c r="AM941" s="17">
        <v>0.50866666666666671</v>
      </c>
      <c r="AN941" s="19"/>
      <c r="AO941" s="19"/>
      <c r="AP941" s="19">
        <v>50</v>
      </c>
      <c r="AQ941" s="19" t="s">
        <v>307</v>
      </c>
      <c r="AR941" s="9" t="s">
        <v>354</v>
      </c>
      <c r="AS941" s="12">
        <v>0</v>
      </c>
      <c r="AT941" s="19">
        <v>38.810025060000001</v>
      </c>
      <c r="AU941" s="19">
        <v>-123.00340883</v>
      </c>
      <c r="AV941" s="19" t="s">
        <v>548</v>
      </c>
    </row>
    <row r="942" spans="1:48" x14ac:dyDescent="0.25">
      <c r="A942" s="18" t="s">
        <v>1327</v>
      </c>
      <c r="B942" s="10">
        <v>19630502</v>
      </c>
      <c r="C942" s="9">
        <v>21</v>
      </c>
      <c r="D942" s="8" t="str">
        <f t="shared" si="169"/>
        <v>N</v>
      </c>
      <c r="E942" s="8" t="str">
        <f t="shared" si="170"/>
        <v>N</v>
      </c>
      <c r="F942" s="8" t="str">
        <f t="shared" si="171"/>
        <v>N</v>
      </c>
      <c r="G942" s="8" t="str">
        <f t="shared" si="172"/>
        <v>N</v>
      </c>
      <c r="H942" s="8" t="str">
        <f t="shared" si="173"/>
        <v>Lower</v>
      </c>
      <c r="I942" s="8" t="str">
        <f t="shared" si="174"/>
        <v>Outside</v>
      </c>
      <c r="J942" s="8" t="str">
        <f t="shared" si="175"/>
        <v>Outside</v>
      </c>
      <c r="K942" s="8" t="str">
        <f t="shared" si="176"/>
        <v>Post-1949</v>
      </c>
      <c r="L942" s="8">
        <f t="shared" si="177"/>
        <v>1963</v>
      </c>
      <c r="M942" s="8" t="str">
        <f t="shared" si="179"/>
        <v>1960-1970</v>
      </c>
      <c r="N942" s="10" t="s">
        <v>242</v>
      </c>
      <c r="O942" s="10" t="s">
        <v>242</v>
      </c>
      <c r="P942" s="10" t="s">
        <v>242</v>
      </c>
      <c r="Q942" s="10" t="s">
        <v>242</v>
      </c>
      <c r="R942" s="10" t="s">
        <v>241</v>
      </c>
      <c r="S942" s="10" t="s">
        <v>242</v>
      </c>
      <c r="T942" s="10" t="s">
        <v>242</v>
      </c>
      <c r="U942" s="10" t="s">
        <v>242</v>
      </c>
      <c r="V942" s="10" t="s">
        <v>242</v>
      </c>
      <c r="W942" s="10" t="s">
        <v>242</v>
      </c>
      <c r="X942" s="15">
        <f>IF(ISERROR(VLOOKUP($A942,'13. Updated Demand'!A:Z,15,FALSE)),0,VLOOKUP($A942,'13. Updated Demand'!A:Z,15,FALSE))</f>
        <v>1.162E-2</v>
      </c>
      <c r="Y942" s="16">
        <f>IF(ISERROR(VLOOKUP($A942,'13. Updated Demand'!A:Z,16,FALSE)),0,VLOOKUP($A942,'13. Updated Demand'!A:Z,16,FALSE))</f>
        <v>1.162E-2</v>
      </c>
      <c r="Z942" s="16">
        <f>IF(ISERROR(VLOOKUP($A942,'13. Updated Demand'!A:Z,17,FALSE)),0,VLOOKUP($A942,'13. Updated Demand'!A:Z,17,FALSE))</f>
        <v>1.162E-2</v>
      </c>
      <c r="AA942" s="16">
        <f>IF(ISERROR(VLOOKUP($A942,'13. Updated Demand'!A:Z,18,FALSE)),0,VLOOKUP($A942,'13. Updated Demand'!A:Z,18,FALSE))</f>
        <v>1.162E-2</v>
      </c>
      <c r="AB942" s="16">
        <f>IF(ISERROR(VLOOKUP($A942,'13. Updated Demand'!A:Z,19,FALSE)),0,VLOOKUP($A942,'13. Updated Demand'!A:Z,19,FALSE))</f>
        <v>1.162E-2</v>
      </c>
      <c r="AC942" s="16">
        <f>IF(ISERROR(VLOOKUP($A942,'13. Updated Demand'!A:Z,20,FALSE)),0,VLOOKUP($A942,'13. Updated Demand'!A:Z,20,FALSE))</f>
        <v>1.162E-2</v>
      </c>
      <c r="AD942" s="16">
        <f>IF(ISERROR(VLOOKUP($A942,'13. Updated Demand'!A:Z,21,FALSE)),0,VLOOKUP($A942,'13. Updated Demand'!A:Z,21,FALSE))</f>
        <v>3.066E-2</v>
      </c>
      <c r="AE942" s="16">
        <f>IF(ISERROR(VLOOKUP($A942,'13. Updated Demand'!A:Z,22,FALSE)),0,VLOOKUP($A942,'13. Updated Demand'!A:Z,22,FALSE))</f>
        <v>3.066E-2</v>
      </c>
      <c r="AF942" s="16">
        <f>IF(ISERROR(VLOOKUP($A942,'13. Updated Demand'!A:Z,23,FALSE)),0,VLOOKUP($A942,'13. Updated Demand'!A:Z,23,FALSE))</f>
        <v>3.066E-2</v>
      </c>
      <c r="AG942" s="16">
        <f>IF(ISERROR(VLOOKUP($A942,'13. Updated Demand'!A:Z,24,FALSE)),0,VLOOKUP($A942,'13. Updated Demand'!A:Z,24,FALSE))</f>
        <v>3.066E-2</v>
      </c>
      <c r="AH942" s="16">
        <f>IF(ISERROR(VLOOKUP($A942,'13. Updated Demand'!A:Z,25,FALSE)),0,VLOOKUP($A942,'13. Updated Demand'!A:Z,25,FALSE))</f>
        <v>3.066E-2</v>
      </c>
      <c r="AI942" s="16">
        <f>IF(ISERROR(VLOOKUP($A942,'13. Updated Demand'!A:Z,26,FALSE)),0,VLOOKUP($A942,'13. Updated Demand'!A:Z,26,FALSE))</f>
        <v>3.066E-2</v>
      </c>
      <c r="AJ942" s="16">
        <f t="shared" si="180"/>
        <v>0.25367999999999996</v>
      </c>
      <c r="AK942" s="19">
        <v>0.11521999999999999</v>
      </c>
      <c r="AL942" s="16">
        <f t="shared" si="178"/>
        <v>3.8217161520862856E-4</v>
      </c>
      <c r="AM942" s="17">
        <v>0.84559999999999991</v>
      </c>
      <c r="AN942" s="19"/>
      <c r="AO942" s="19"/>
      <c r="AP942" s="19">
        <v>0.3</v>
      </c>
      <c r="AQ942" s="19" t="s">
        <v>307</v>
      </c>
      <c r="AR942" s="9" t="s">
        <v>403</v>
      </c>
      <c r="AS942" s="12">
        <v>3.4039024194010059E-4</v>
      </c>
      <c r="AT942" s="19">
        <v>38.449410520000001</v>
      </c>
      <c r="AU942" s="19">
        <v>-122.97809679</v>
      </c>
      <c r="AV942" s="19" t="s">
        <v>430</v>
      </c>
    </row>
    <row r="943" spans="1:48" x14ac:dyDescent="0.25">
      <c r="A943" s="18" t="s">
        <v>1328</v>
      </c>
      <c r="B943" s="10">
        <v>19630617</v>
      </c>
      <c r="C943" s="9">
        <v>4</v>
      </c>
      <c r="D943" s="8" t="str">
        <f t="shared" si="169"/>
        <v>Y</v>
      </c>
      <c r="E943" s="8" t="str">
        <f t="shared" si="170"/>
        <v>N</v>
      </c>
      <c r="F943" s="8" t="str">
        <f t="shared" si="171"/>
        <v>Y</v>
      </c>
      <c r="G943" s="8" t="str">
        <f t="shared" si="172"/>
        <v>Y</v>
      </c>
      <c r="H943" s="8" t="str">
        <f t="shared" si="173"/>
        <v>Upper</v>
      </c>
      <c r="I943" s="8" t="str">
        <f t="shared" si="174"/>
        <v>West Fork and Below Lake</v>
      </c>
      <c r="J943" s="8" t="str">
        <f t="shared" si="175"/>
        <v>Mendocino (d/s of lake)</v>
      </c>
      <c r="K943" s="8" t="str">
        <f t="shared" si="176"/>
        <v>Post-1949</v>
      </c>
      <c r="L943" s="8">
        <f t="shared" si="177"/>
        <v>1963</v>
      </c>
      <c r="M943" s="8" t="str">
        <f t="shared" si="179"/>
        <v>1960-1970</v>
      </c>
      <c r="N943" s="10" t="s">
        <v>242</v>
      </c>
      <c r="O943" s="10" t="s">
        <v>241</v>
      </c>
      <c r="P943" s="10" t="s">
        <v>242</v>
      </c>
      <c r="Q943" s="10" t="s">
        <v>242</v>
      </c>
      <c r="R943" s="10" t="s">
        <v>241</v>
      </c>
      <c r="S943" s="10" t="s">
        <v>242</v>
      </c>
      <c r="T943" s="10" t="s">
        <v>242</v>
      </c>
      <c r="U943" s="10" t="s">
        <v>241</v>
      </c>
      <c r="V943" s="10" t="s">
        <v>241</v>
      </c>
      <c r="W943" s="10" t="s">
        <v>242</v>
      </c>
      <c r="X943" s="15">
        <f>IF(ISERROR(VLOOKUP($A943,'13. Updated Demand'!A:Z,15,FALSE)),0,VLOOKUP($A943,'13. Updated Demand'!A:Z,15,FALSE))</f>
        <v>0</v>
      </c>
      <c r="Y943" s="16">
        <f>IF(ISERROR(VLOOKUP($A943,'13. Updated Demand'!A:Z,16,FALSE)),0,VLOOKUP($A943,'13. Updated Demand'!A:Z,16,FALSE))</f>
        <v>0</v>
      </c>
      <c r="Z943" s="16">
        <f>IF(ISERROR(VLOOKUP($A943,'13. Updated Demand'!A:Z,17,FALSE)),0,VLOOKUP($A943,'13. Updated Demand'!A:Z,17,FALSE))</f>
        <v>0</v>
      </c>
      <c r="AA943" s="16">
        <f>IF(ISERROR(VLOOKUP($A943,'13. Updated Demand'!A:Z,18,FALSE)),0,VLOOKUP($A943,'13. Updated Demand'!A:Z,18,FALSE))</f>
        <v>0</v>
      </c>
      <c r="AB943" s="16">
        <f>IF(ISERROR(VLOOKUP($A943,'13. Updated Demand'!A:Z,19,FALSE)),0,VLOOKUP($A943,'13. Updated Demand'!A:Z,19,FALSE))</f>
        <v>0</v>
      </c>
      <c r="AC943" s="16">
        <f>IF(ISERROR(VLOOKUP($A943,'13. Updated Demand'!A:Z,20,FALSE)),0,VLOOKUP($A943,'13. Updated Demand'!A:Z,20,FALSE))</f>
        <v>0</v>
      </c>
      <c r="AD943" s="16">
        <f>IF(ISERROR(VLOOKUP($A943,'13. Updated Demand'!A:Z,21,FALSE)),0,VLOOKUP($A943,'13. Updated Demand'!A:Z,21,FALSE))</f>
        <v>0</v>
      </c>
      <c r="AE943" s="16">
        <f>IF(ISERROR(VLOOKUP($A943,'13. Updated Demand'!A:Z,22,FALSE)),0,VLOOKUP($A943,'13. Updated Demand'!A:Z,22,FALSE))</f>
        <v>0</v>
      </c>
      <c r="AF943" s="16">
        <f>IF(ISERROR(VLOOKUP($A943,'13. Updated Demand'!A:Z,23,FALSE)),0,VLOOKUP($A943,'13. Updated Demand'!A:Z,23,FALSE))</f>
        <v>0</v>
      </c>
      <c r="AG943" s="16">
        <f>IF(ISERROR(VLOOKUP($A943,'13. Updated Demand'!A:Z,24,FALSE)),0,VLOOKUP($A943,'13. Updated Demand'!A:Z,24,FALSE))</f>
        <v>0</v>
      </c>
      <c r="AH943" s="16">
        <f>IF(ISERROR(VLOOKUP($A943,'13. Updated Demand'!A:Z,25,FALSE)),0,VLOOKUP($A943,'13. Updated Demand'!A:Z,25,FALSE))</f>
        <v>0</v>
      </c>
      <c r="AI943" s="16">
        <f>IF(ISERROR(VLOOKUP($A943,'13. Updated Demand'!A:Z,26,FALSE)),0,VLOOKUP($A943,'13. Updated Demand'!A:Z,26,FALSE))</f>
        <v>0</v>
      </c>
      <c r="AJ943" s="16">
        <f t="shared" si="180"/>
        <v>0</v>
      </c>
      <c r="AK943" s="19">
        <v>0</v>
      </c>
      <c r="AL943" s="16">
        <f t="shared" si="178"/>
        <v>0</v>
      </c>
      <c r="AM943" s="17">
        <v>0</v>
      </c>
      <c r="AN943" s="19"/>
      <c r="AO943" s="19"/>
      <c r="AP943" s="19">
        <v>1.1000000000000001</v>
      </c>
      <c r="AQ943" s="19" t="s">
        <v>307</v>
      </c>
      <c r="AR943" s="9" t="s">
        <v>331</v>
      </c>
      <c r="AS943" s="12">
        <v>3.4039024194010059E-4</v>
      </c>
      <c r="AT943" s="19">
        <v>39.12902811</v>
      </c>
      <c r="AU943" s="19">
        <v>-123.10276223</v>
      </c>
      <c r="AV943" s="19" t="s">
        <v>430</v>
      </c>
    </row>
    <row r="944" spans="1:48" x14ac:dyDescent="0.25">
      <c r="A944" s="18" t="s">
        <v>1329</v>
      </c>
      <c r="B944" s="10">
        <v>19630624</v>
      </c>
      <c r="C944" s="9">
        <v>23</v>
      </c>
      <c r="D944" s="8" t="str">
        <f t="shared" si="169"/>
        <v>N</v>
      </c>
      <c r="E944" s="8" t="str">
        <f t="shared" si="170"/>
        <v>N</v>
      </c>
      <c r="F944" s="8" t="str">
        <f t="shared" si="171"/>
        <v>N</v>
      </c>
      <c r="G944" s="8" t="str">
        <f t="shared" si="172"/>
        <v>N</v>
      </c>
      <c r="H944" s="8" t="str">
        <f t="shared" si="173"/>
        <v>Lower</v>
      </c>
      <c r="I944" s="8" t="str">
        <f t="shared" si="174"/>
        <v>Outside</v>
      </c>
      <c r="J944" s="8" t="str">
        <f t="shared" si="175"/>
        <v>Outside</v>
      </c>
      <c r="K944" s="8" t="str">
        <f t="shared" si="176"/>
        <v>Post-1949</v>
      </c>
      <c r="L944" s="8">
        <f t="shared" si="177"/>
        <v>1963</v>
      </c>
      <c r="M944" s="8" t="str">
        <f t="shared" si="179"/>
        <v>1960-1970</v>
      </c>
      <c r="N944" s="10" t="s">
        <v>242</v>
      </c>
      <c r="O944" s="10" t="s">
        <v>242</v>
      </c>
      <c r="P944" s="10" t="s">
        <v>242</v>
      </c>
      <c r="Q944" s="10" t="s">
        <v>242</v>
      </c>
      <c r="R944" s="10" t="s">
        <v>241</v>
      </c>
      <c r="S944" s="10" t="s">
        <v>242</v>
      </c>
      <c r="T944" s="10" t="s">
        <v>242</v>
      </c>
      <c r="U944" s="10" t="s">
        <v>242</v>
      </c>
      <c r="V944" s="10" t="s">
        <v>241</v>
      </c>
      <c r="W944" s="10" t="s">
        <v>242</v>
      </c>
      <c r="X944" s="15">
        <f>IF(ISERROR(VLOOKUP($A944,'13. Updated Demand'!A:Z,15,FALSE)),0,VLOOKUP($A944,'13. Updated Demand'!A:Z,15,FALSE))</f>
        <v>11.66666667</v>
      </c>
      <c r="Y944" s="16">
        <f>IF(ISERROR(VLOOKUP($A944,'13. Updated Demand'!A:Z,16,FALSE)),0,VLOOKUP($A944,'13. Updated Demand'!A:Z,16,FALSE))</f>
        <v>3.3333333330000001</v>
      </c>
      <c r="Z944" s="16">
        <f>IF(ISERROR(VLOOKUP($A944,'13. Updated Demand'!A:Z,17,FALSE)),0,VLOOKUP($A944,'13. Updated Demand'!A:Z,17,FALSE))</f>
        <v>2.6666666669999999</v>
      </c>
      <c r="AA944" s="16">
        <f>IF(ISERROR(VLOOKUP($A944,'13. Updated Demand'!A:Z,18,FALSE)),0,VLOOKUP($A944,'13. Updated Demand'!A:Z,18,FALSE))</f>
        <v>0.5</v>
      </c>
      <c r="AB944" s="16">
        <f>IF(ISERROR(VLOOKUP($A944,'13. Updated Demand'!A:Z,19,FALSE)),0,VLOOKUP($A944,'13. Updated Demand'!A:Z,19,FALSE))</f>
        <v>0</v>
      </c>
      <c r="AC944" s="16">
        <f>IF(ISERROR(VLOOKUP($A944,'13. Updated Demand'!A:Z,20,FALSE)),0,VLOOKUP($A944,'13. Updated Demand'!A:Z,20,FALSE))</f>
        <v>0</v>
      </c>
      <c r="AD944" s="16">
        <f>IF(ISERROR(VLOOKUP($A944,'13. Updated Demand'!A:Z,21,FALSE)),0,VLOOKUP($A944,'13. Updated Demand'!A:Z,21,FALSE))</f>
        <v>0</v>
      </c>
      <c r="AE944" s="16">
        <f>IF(ISERROR(VLOOKUP($A944,'13. Updated Demand'!A:Z,22,FALSE)),0,VLOOKUP($A944,'13. Updated Demand'!A:Z,22,FALSE))</f>
        <v>0</v>
      </c>
      <c r="AF944" s="16">
        <f>IF(ISERROR(VLOOKUP($A944,'13. Updated Demand'!A:Z,23,FALSE)),0,VLOOKUP($A944,'13. Updated Demand'!A:Z,23,FALSE))</f>
        <v>0</v>
      </c>
      <c r="AG944" s="16">
        <f>IF(ISERROR(VLOOKUP($A944,'13. Updated Demand'!A:Z,24,FALSE)),0,VLOOKUP($A944,'13. Updated Demand'!A:Z,24,FALSE))</f>
        <v>0</v>
      </c>
      <c r="AH944" s="16">
        <f>IF(ISERROR(VLOOKUP($A944,'13. Updated Demand'!A:Z,25,FALSE)),0,VLOOKUP($A944,'13. Updated Demand'!A:Z,25,FALSE))</f>
        <v>0.16666666699999999</v>
      </c>
      <c r="AI944" s="16">
        <f>IF(ISERROR(VLOOKUP($A944,'13. Updated Demand'!A:Z,26,FALSE)),0,VLOOKUP($A944,'13. Updated Demand'!A:Z,26,FALSE))</f>
        <v>3.3333333330000001</v>
      </c>
      <c r="AJ944" s="16">
        <f t="shared" si="180"/>
        <v>21.666666670000001</v>
      </c>
      <c r="AK944" s="19">
        <v>0</v>
      </c>
      <c r="AL944" s="16">
        <f t="shared" si="178"/>
        <v>0</v>
      </c>
      <c r="AM944" s="17">
        <v>0.45138888895833335</v>
      </c>
      <c r="AN944" s="19"/>
      <c r="AO944" s="19"/>
      <c r="AP944" s="19">
        <v>48</v>
      </c>
      <c r="AQ944" s="19" t="s">
        <v>307</v>
      </c>
      <c r="AR944" s="9" t="s">
        <v>391</v>
      </c>
      <c r="AS944" s="12">
        <v>0</v>
      </c>
      <c r="AT944" s="19">
        <v>38.526820489999999</v>
      </c>
      <c r="AU944" s="19">
        <v>-122.84177171</v>
      </c>
      <c r="AV944" s="19" t="s">
        <v>417</v>
      </c>
    </row>
    <row r="945" spans="1:48" x14ac:dyDescent="0.25">
      <c r="A945" s="18" t="s">
        <v>94</v>
      </c>
      <c r="B945" s="10">
        <v>19630805</v>
      </c>
      <c r="C945" s="9">
        <v>12</v>
      </c>
      <c r="D945" s="8" t="str">
        <f t="shared" si="169"/>
        <v>N</v>
      </c>
      <c r="E945" s="8" t="str">
        <f t="shared" si="170"/>
        <v>Y</v>
      </c>
      <c r="F945" s="8" t="str">
        <f t="shared" si="171"/>
        <v>Y</v>
      </c>
      <c r="G945" s="8" t="str">
        <f t="shared" si="172"/>
        <v>Y</v>
      </c>
      <c r="H945" s="8" t="str">
        <f t="shared" si="173"/>
        <v>Upper</v>
      </c>
      <c r="I945" s="8" t="str">
        <f t="shared" si="174"/>
        <v>West Fork and Below Lake</v>
      </c>
      <c r="J945" s="8" t="str">
        <f t="shared" si="175"/>
        <v>Sonoma (d/s of Clov. Gage)</v>
      </c>
      <c r="K945" s="8" t="str">
        <f t="shared" si="176"/>
        <v>Post-1949</v>
      </c>
      <c r="L945" s="8">
        <f t="shared" si="177"/>
        <v>1963</v>
      </c>
      <c r="M945" s="8" t="str">
        <f t="shared" si="179"/>
        <v>1960-1970</v>
      </c>
      <c r="N945" s="10" t="s">
        <v>242</v>
      </c>
      <c r="O945" s="10" t="s">
        <v>241</v>
      </c>
      <c r="P945" s="10" t="s">
        <v>242</v>
      </c>
      <c r="Q945" s="10" t="s">
        <v>242</v>
      </c>
      <c r="R945" s="10" t="s">
        <v>241</v>
      </c>
      <c r="S945" s="10" t="s">
        <v>242</v>
      </c>
      <c r="T945" s="10" t="s">
        <v>242</v>
      </c>
      <c r="U945" s="10" t="s">
        <v>242</v>
      </c>
      <c r="V945" s="10" t="s">
        <v>241</v>
      </c>
      <c r="W945" s="10" t="s">
        <v>242</v>
      </c>
      <c r="X945" s="15">
        <f>IF(ISERROR(VLOOKUP($A945,'13. Updated Demand'!A:Z,15,FALSE)),0,VLOOKUP($A945,'13. Updated Demand'!A:Z,15,FALSE))</f>
        <v>16.329999999999998</v>
      </c>
      <c r="Y945" s="16">
        <f>IF(ISERROR(VLOOKUP($A945,'13. Updated Demand'!A:Z,16,FALSE)),0,VLOOKUP($A945,'13. Updated Demand'!A:Z,16,FALSE))</f>
        <v>15.86</v>
      </c>
      <c r="Z945" s="16">
        <f>IF(ISERROR(VLOOKUP($A945,'13. Updated Demand'!A:Z,17,FALSE)),0,VLOOKUP($A945,'13. Updated Demand'!A:Z,17,FALSE))</f>
        <v>11.73</v>
      </c>
      <c r="AA945" s="16">
        <f>IF(ISERROR(VLOOKUP($A945,'13. Updated Demand'!A:Z,18,FALSE)),0,VLOOKUP($A945,'13. Updated Demand'!A:Z,18,FALSE))</f>
        <v>1.6</v>
      </c>
      <c r="AB945" s="16">
        <f>IF(ISERROR(VLOOKUP($A945,'13. Updated Demand'!A:Z,19,FALSE)),0,VLOOKUP($A945,'13. Updated Demand'!A:Z,19,FALSE))</f>
        <v>0</v>
      </c>
      <c r="AC945" s="16">
        <f>IF(ISERROR(VLOOKUP($A945,'13. Updated Demand'!A:Z,20,FALSE)),0,VLOOKUP($A945,'13. Updated Demand'!A:Z,20,FALSE))</f>
        <v>0</v>
      </c>
      <c r="AD945" s="16">
        <f>IF(ISERROR(VLOOKUP($A945,'13. Updated Demand'!A:Z,21,FALSE)),0,VLOOKUP($A945,'13. Updated Demand'!A:Z,21,FALSE))</f>
        <v>0</v>
      </c>
      <c r="AE945" s="16">
        <f>IF(ISERROR(VLOOKUP($A945,'13. Updated Demand'!A:Z,22,FALSE)),0,VLOOKUP($A945,'13. Updated Demand'!A:Z,22,FALSE))</f>
        <v>0</v>
      </c>
      <c r="AF945" s="16">
        <f>IF(ISERROR(VLOOKUP($A945,'13. Updated Demand'!A:Z,23,FALSE)),0,VLOOKUP($A945,'13. Updated Demand'!A:Z,23,FALSE))</f>
        <v>0</v>
      </c>
      <c r="AG945" s="16">
        <f>IF(ISERROR(VLOOKUP($A945,'13. Updated Demand'!A:Z,24,FALSE)),0,VLOOKUP($A945,'13. Updated Demand'!A:Z,24,FALSE))</f>
        <v>0</v>
      </c>
      <c r="AH945" s="16">
        <f>IF(ISERROR(VLOOKUP($A945,'13. Updated Demand'!A:Z,25,FALSE)),0,VLOOKUP($A945,'13. Updated Demand'!A:Z,25,FALSE))</f>
        <v>0</v>
      </c>
      <c r="AI945" s="16">
        <f>IF(ISERROR(VLOOKUP($A945,'13. Updated Demand'!A:Z,26,FALSE)),0,VLOOKUP($A945,'13. Updated Demand'!A:Z,26,FALSE))</f>
        <v>8.5</v>
      </c>
      <c r="AJ945" s="16">
        <f t="shared" si="180"/>
        <v>54.02</v>
      </c>
      <c r="AK945" s="19">
        <v>0</v>
      </c>
      <c r="AL945" s="16">
        <f t="shared" si="178"/>
        <v>0</v>
      </c>
      <c r="AM945" s="17">
        <v>0.50498442364485985</v>
      </c>
      <c r="AN945" s="19"/>
      <c r="AO945" s="19"/>
      <c r="AP945" s="19">
        <v>107</v>
      </c>
      <c r="AQ945" s="19" t="s">
        <v>307</v>
      </c>
      <c r="AR945" s="9" t="s">
        <v>311</v>
      </c>
      <c r="AS945" s="12">
        <v>0</v>
      </c>
      <c r="AT945" s="19">
        <v>38.612044879999999</v>
      </c>
      <c r="AU945" s="19">
        <v>-122.74722998999999</v>
      </c>
      <c r="AV945" s="19" t="s">
        <v>417</v>
      </c>
    </row>
    <row r="946" spans="1:48" x14ac:dyDescent="0.25">
      <c r="A946" s="18" t="s">
        <v>1330</v>
      </c>
      <c r="B946" s="10">
        <v>19630815</v>
      </c>
      <c r="C946" s="9">
        <v>1</v>
      </c>
      <c r="D946" s="8" t="str">
        <f t="shared" si="169"/>
        <v>N</v>
      </c>
      <c r="E946" s="8" t="str">
        <f t="shared" si="170"/>
        <v>N</v>
      </c>
      <c r="F946" s="8" t="str">
        <f t="shared" si="171"/>
        <v>Y</v>
      </c>
      <c r="G946" s="8" t="str">
        <f t="shared" si="172"/>
        <v>Y</v>
      </c>
      <c r="H946" s="8" t="str">
        <f t="shared" si="173"/>
        <v>Upper</v>
      </c>
      <c r="I946" s="8" t="str">
        <f t="shared" si="174"/>
        <v>West Fork and Below Lake</v>
      </c>
      <c r="J946" s="8" t="str">
        <f t="shared" si="175"/>
        <v>Outside</v>
      </c>
      <c r="K946" s="8" t="str">
        <f t="shared" si="176"/>
        <v>Post-1949</v>
      </c>
      <c r="L946" s="8">
        <f t="shared" si="177"/>
        <v>1963</v>
      </c>
      <c r="M946" s="8" t="str">
        <f t="shared" si="179"/>
        <v>1960-1970</v>
      </c>
      <c r="N946" s="10" t="s">
        <v>242</v>
      </c>
      <c r="O946" s="10" t="s">
        <v>241</v>
      </c>
      <c r="P946" s="10" t="s">
        <v>242</v>
      </c>
      <c r="Q946" s="10" t="s">
        <v>242</v>
      </c>
      <c r="R946" s="10" t="s">
        <v>241</v>
      </c>
      <c r="S946" s="10" t="s">
        <v>242</v>
      </c>
      <c r="T946" s="10" t="s">
        <v>242</v>
      </c>
      <c r="U946" s="10" t="s">
        <v>242</v>
      </c>
      <c r="V946" s="10" t="s">
        <v>241</v>
      </c>
      <c r="W946" s="10" t="s">
        <v>242</v>
      </c>
      <c r="X946" s="15">
        <f>IF(ISERROR(VLOOKUP($A946,'13. Updated Demand'!A:Z,15,FALSE)),0,VLOOKUP($A946,'13. Updated Demand'!A:Z,15,FALSE))</f>
        <v>68.33</v>
      </c>
      <c r="Y946" s="16">
        <f>IF(ISERROR(VLOOKUP($A946,'13. Updated Demand'!A:Z,16,FALSE)),0,VLOOKUP($A946,'13. Updated Demand'!A:Z,16,FALSE))</f>
        <v>0</v>
      </c>
      <c r="Z946" s="16">
        <f>IF(ISERROR(VLOOKUP($A946,'13. Updated Demand'!A:Z,17,FALSE)),0,VLOOKUP($A946,'13. Updated Demand'!A:Z,17,FALSE))</f>
        <v>0</v>
      </c>
      <c r="AA946" s="16">
        <f>IF(ISERROR(VLOOKUP($A946,'13. Updated Demand'!A:Z,18,FALSE)),0,VLOOKUP($A946,'13. Updated Demand'!A:Z,18,FALSE))</f>
        <v>0</v>
      </c>
      <c r="AB946" s="16">
        <f>IF(ISERROR(VLOOKUP($A946,'13. Updated Demand'!A:Z,19,FALSE)),0,VLOOKUP($A946,'13. Updated Demand'!A:Z,19,FALSE))</f>
        <v>0</v>
      </c>
      <c r="AC946" s="16">
        <f>IF(ISERROR(VLOOKUP($A946,'13. Updated Demand'!A:Z,20,FALSE)),0,VLOOKUP($A946,'13. Updated Demand'!A:Z,20,FALSE))</f>
        <v>0</v>
      </c>
      <c r="AD946" s="16">
        <f>IF(ISERROR(VLOOKUP($A946,'13. Updated Demand'!A:Z,21,FALSE)),0,VLOOKUP($A946,'13. Updated Demand'!A:Z,21,FALSE))</f>
        <v>0</v>
      </c>
      <c r="AE946" s="16">
        <f>IF(ISERROR(VLOOKUP($A946,'13. Updated Demand'!A:Z,22,FALSE)),0,VLOOKUP($A946,'13. Updated Demand'!A:Z,22,FALSE))</f>
        <v>0</v>
      </c>
      <c r="AF946" s="16">
        <f>IF(ISERROR(VLOOKUP($A946,'13. Updated Demand'!A:Z,23,FALSE)),0,VLOOKUP($A946,'13. Updated Demand'!A:Z,23,FALSE))</f>
        <v>0</v>
      </c>
      <c r="AG946" s="16">
        <f>IF(ISERROR(VLOOKUP($A946,'13. Updated Demand'!A:Z,24,FALSE)),0,VLOOKUP($A946,'13. Updated Demand'!A:Z,24,FALSE))</f>
        <v>0</v>
      </c>
      <c r="AH946" s="16">
        <f>IF(ISERROR(VLOOKUP($A946,'13. Updated Demand'!A:Z,25,FALSE)),0,VLOOKUP($A946,'13. Updated Demand'!A:Z,25,FALSE))</f>
        <v>0</v>
      </c>
      <c r="AI946" s="16">
        <f>IF(ISERROR(VLOOKUP($A946,'13. Updated Demand'!A:Z,26,FALSE)),0,VLOOKUP($A946,'13. Updated Demand'!A:Z,26,FALSE))</f>
        <v>27.33</v>
      </c>
      <c r="AJ946" s="16">
        <f t="shared" si="180"/>
        <v>95.66</v>
      </c>
      <c r="AK946" s="19">
        <v>0</v>
      </c>
      <c r="AL946" s="16">
        <f t="shared" si="178"/>
        <v>0</v>
      </c>
      <c r="AM946" s="17">
        <v>0.3298850574482759</v>
      </c>
      <c r="AN946" s="19"/>
      <c r="AO946" s="19"/>
      <c r="AP946" s="19">
        <v>290</v>
      </c>
      <c r="AQ946" s="19" t="s">
        <v>307</v>
      </c>
      <c r="AR946" s="9" t="s">
        <v>317</v>
      </c>
      <c r="AS946" s="12">
        <v>3.4039024194010059E-4</v>
      </c>
      <c r="AT946" s="19">
        <v>39.214599999999997</v>
      </c>
      <c r="AU946" s="19">
        <v>-123.2239</v>
      </c>
      <c r="AV946" s="19"/>
    </row>
    <row r="947" spans="1:48" x14ac:dyDescent="0.25">
      <c r="A947" s="18" t="s">
        <v>1331</v>
      </c>
      <c r="B947" s="10">
        <v>19630815</v>
      </c>
      <c r="C947" s="9">
        <v>1</v>
      </c>
      <c r="D947" s="8" t="str">
        <f t="shared" si="169"/>
        <v>N</v>
      </c>
      <c r="E947" s="8" t="str">
        <f t="shared" si="170"/>
        <v>N</v>
      </c>
      <c r="F947" s="8" t="str">
        <f t="shared" si="171"/>
        <v>Y</v>
      </c>
      <c r="G947" s="8" t="str">
        <f t="shared" si="172"/>
        <v>Y</v>
      </c>
      <c r="H947" s="8" t="str">
        <f t="shared" si="173"/>
        <v>Upper</v>
      </c>
      <c r="I947" s="8" t="str">
        <f t="shared" si="174"/>
        <v>West Fork and Below Lake</v>
      </c>
      <c r="J947" s="8" t="str">
        <f t="shared" si="175"/>
        <v>Outside</v>
      </c>
      <c r="K947" s="8" t="str">
        <f t="shared" si="176"/>
        <v>Post-1949</v>
      </c>
      <c r="L947" s="8">
        <f t="shared" si="177"/>
        <v>1963</v>
      </c>
      <c r="M947" s="8" t="str">
        <f t="shared" si="179"/>
        <v>1960-1970</v>
      </c>
      <c r="N947" s="10" t="s">
        <v>242</v>
      </c>
      <c r="O947" s="10" t="s">
        <v>241</v>
      </c>
      <c r="P947" s="10" t="s">
        <v>242</v>
      </c>
      <c r="Q947" s="10" t="s">
        <v>242</v>
      </c>
      <c r="R947" s="10" t="s">
        <v>241</v>
      </c>
      <c r="S947" s="10" t="s">
        <v>242</v>
      </c>
      <c r="T947" s="10" t="s">
        <v>242</v>
      </c>
      <c r="U947" s="10" t="s">
        <v>241</v>
      </c>
      <c r="V947" s="10" t="s">
        <v>241</v>
      </c>
      <c r="W947" s="10" t="s">
        <v>242</v>
      </c>
      <c r="X947" s="15">
        <f>IF(ISERROR(VLOOKUP($A947,'13. Updated Demand'!A:Z,15,FALSE)),0,VLOOKUP($A947,'13. Updated Demand'!A:Z,15,FALSE))</f>
        <v>0</v>
      </c>
      <c r="Y947" s="16">
        <f>IF(ISERROR(VLOOKUP($A947,'13. Updated Demand'!A:Z,16,FALSE)),0,VLOOKUP($A947,'13. Updated Demand'!A:Z,16,FALSE))</f>
        <v>0</v>
      </c>
      <c r="Z947" s="16">
        <f>IF(ISERROR(VLOOKUP($A947,'13. Updated Demand'!A:Z,17,FALSE)),0,VLOOKUP($A947,'13. Updated Demand'!A:Z,17,FALSE))</f>
        <v>0</v>
      </c>
      <c r="AA947" s="16">
        <f>IF(ISERROR(VLOOKUP($A947,'13. Updated Demand'!A:Z,18,FALSE)),0,VLOOKUP($A947,'13. Updated Demand'!A:Z,18,FALSE))</f>
        <v>0</v>
      </c>
      <c r="AB947" s="16">
        <f>IF(ISERROR(VLOOKUP($A947,'13. Updated Demand'!A:Z,19,FALSE)),0,VLOOKUP($A947,'13. Updated Demand'!A:Z,19,FALSE))</f>
        <v>0</v>
      </c>
      <c r="AC947" s="16">
        <f>IF(ISERROR(VLOOKUP($A947,'13. Updated Demand'!A:Z,20,FALSE)),0,VLOOKUP($A947,'13. Updated Demand'!A:Z,20,FALSE))</f>
        <v>0</v>
      </c>
      <c r="AD947" s="16">
        <f>IF(ISERROR(VLOOKUP($A947,'13. Updated Demand'!A:Z,21,FALSE)),0,VLOOKUP($A947,'13. Updated Demand'!A:Z,21,FALSE))</f>
        <v>0</v>
      </c>
      <c r="AE947" s="16">
        <f>IF(ISERROR(VLOOKUP($A947,'13. Updated Demand'!A:Z,22,FALSE)),0,VLOOKUP($A947,'13. Updated Demand'!A:Z,22,FALSE))</f>
        <v>0</v>
      </c>
      <c r="AF947" s="16">
        <f>IF(ISERROR(VLOOKUP($A947,'13. Updated Demand'!A:Z,23,FALSE)),0,VLOOKUP($A947,'13. Updated Demand'!A:Z,23,FALSE))</f>
        <v>0</v>
      </c>
      <c r="AG947" s="16">
        <f>IF(ISERROR(VLOOKUP($A947,'13. Updated Demand'!A:Z,24,FALSE)),0,VLOOKUP($A947,'13. Updated Demand'!A:Z,24,FALSE))</f>
        <v>0</v>
      </c>
      <c r="AH947" s="16">
        <f>IF(ISERROR(VLOOKUP($A947,'13. Updated Demand'!A:Z,25,FALSE)),0,VLOOKUP($A947,'13. Updated Demand'!A:Z,25,FALSE))</f>
        <v>0</v>
      </c>
      <c r="AI947" s="16">
        <f>IF(ISERROR(VLOOKUP($A947,'13. Updated Demand'!A:Z,26,FALSE)),0,VLOOKUP($A947,'13. Updated Demand'!A:Z,26,FALSE))</f>
        <v>0</v>
      </c>
      <c r="AJ947" s="16">
        <f t="shared" si="180"/>
        <v>0</v>
      </c>
      <c r="AK947" s="19">
        <v>0</v>
      </c>
      <c r="AL947" s="16">
        <f t="shared" si="178"/>
        <v>0</v>
      </c>
      <c r="AM947" s="17">
        <v>0</v>
      </c>
      <c r="AN947" s="19"/>
      <c r="AO947" s="19"/>
      <c r="AP947" s="19">
        <v>290</v>
      </c>
      <c r="AQ947" s="19" t="s">
        <v>307</v>
      </c>
      <c r="AR947" s="9" t="s">
        <v>317</v>
      </c>
      <c r="AS947" s="12">
        <v>3.4039024194010059E-4</v>
      </c>
      <c r="AT947" s="19">
        <v>39.214700000000001</v>
      </c>
      <c r="AU947" s="19">
        <v>-123.22369999999999</v>
      </c>
      <c r="AV947" s="19"/>
    </row>
    <row r="948" spans="1:48" x14ac:dyDescent="0.25">
      <c r="A948" s="18" t="s">
        <v>1332</v>
      </c>
      <c r="B948" s="10">
        <v>19630815</v>
      </c>
      <c r="C948" s="9">
        <v>1</v>
      </c>
      <c r="D948" s="8" t="str">
        <f t="shared" si="169"/>
        <v>N</v>
      </c>
      <c r="E948" s="8" t="str">
        <f t="shared" si="170"/>
        <v>N</v>
      </c>
      <c r="F948" s="8" t="str">
        <f t="shared" si="171"/>
        <v>Y</v>
      </c>
      <c r="G948" s="8" t="str">
        <f t="shared" si="172"/>
        <v>Y</v>
      </c>
      <c r="H948" s="8" t="str">
        <f t="shared" si="173"/>
        <v>Upper</v>
      </c>
      <c r="I948" s="8" t="str">
        <f t="shared" si="174"/>
        <v>West Fork and Below Lake</v>
      </c>
      <c r="J948" s="8" t="str">
        <f t="shared" si="175"/>
        <v>Outside</v>
      </c>
      <c r="K948" s="8" t="str">
        <f t="shared" si="176"/>
        <v>Post-1949</v>
      </c>
      <c r="L948" s="8">
        <f t="shared" si="177"/>
        <v>1963</v>
      </c>
      <c r="M948" s="8" t="str">
        <f t="shared" si="179"/>
        <v>1960-1970</v>
      </c>
      <c r="N948" s="10" t="s">
        <v>242</v>
      </c>
      <c r="O948" s="10" t="s">
        <v>241</v>
      </c>
      <c r="P948" s="10" t="s">
        <v>242</v>
      </c>
      <c r="Q948" s="10" t="s">
        <v>242</v>
      </c>
      <c r="R948" s="10" t="s">
        <v>241</v>
      </c>
      <c r="S948" s="10" t="s">
        <v>242</v>
      </c>
      <c r="T948" s="10" t="s">
        <v>242</v>
      </c>
      <c r="U948" s="10" t="s">
        <v>242</v>
      </c>
      <c r="V948" s="10" t="s">
        <v>242</v>
      </c>
      <c r="W948" s="10" t="s">
        <v>242</v>
      </c>
      <c r="X948" s="15">
        <f>IF(ISERROR(VLOOKUP($A948,'13. Updated Demand'!A:Z,15,FALSE)),0,VLOOKUP($A948,'13. Updated Demand'!A:Z,15,FALSE))</f>
        <v>1.1200000000000001</v>
      </c>
      <c r="Y948" s="16">
        <f>IF(ISERROR(VLOOKUP($A948,'13. Updated Demand'!A:Z,16,FALSE)),0,VLOOKUP($A948,'13. Updated Demand'!A:Z,16,FALSE))</f>
        <v>1.1200000000000001</v>
      </c>
      <c r="Z948" s="16">
        <f>IF(ISERROR(VLOOKUP($A948,'13. Updated Demand'!A:Z,17,FALSE)),0,VLOOKUP($A948,'13. Updated Demand'!A:Z,17,FALSE))</f>
        <v>0.02</v>
      </c>
      <c r="AA948" s="16">
        <f>IF(ISERROR(VLOOKUP($A948,'13. Updated Demand'!A:Z,18,FALSE)),0,VLOOKUP($A948,'13. Updated Demand'!A:Z,18,FALSE))</f>
        <v>0.02</v>
      </c>
      <c r="AB948" s="16">
        <f>IF(ISERROR(VLOOKUP($A948,'13. Updated Demand'!A:Z,19,FALSE)),0,VLOOKUP($A948,'13. Updated Demand'!A:Z,19,FALSE))</f>
        <v>0.45</v>
      </c>
      <c r="AC948" s="16">
        <f>IF(ISERROR(VLOOKUP($A948,'13. Updated Demand'!A:Z,20,FALSE)),0,VLOOKUP($A948,'13. Updated Demand'!A:Z,20,FALSE))</f>
        <v>0.45</v>
      </c>
      <c r="AD948" s="16">
        <f>IF(ISERROR(VLOOKUP($A948,'13. Updated Demand'!A:Z,21,FALSE)),0,VLOOKUP($A948,'13. Updated Demand'!A:Z,21,FALSE))</f>
        <v>0.45</v>
      </c>
      <c r="AE948" s="16">
        <f>IF(ISERROR(VLOOKUP($A948,'13. Updated Demand'!A:Z,22,FALSE)),0,VLOOKUP($A948,'13. Updated Demand'!A:Z,22,FALSE))</f>
        <v>0.45</v>
      </c>
      <c r="AF948" s="16">
        <f>IF(ISERROR(VLOOKUP($A948,'13. Updated Demand'!A:Z,23,FALSE)),0,VLOOKUP($A948,'13. Updated Demand'!A:Z,23,FALSE))</f>
        <v>0.45</v>
      </c>
      <c r="AG948" s="16">
        <f>IF(ISERROR(VLOOKUP($A948,'13. Updated Demand'!A:Z,24,FALSE)),0,VLOOKUP($A948,'13. Updated Demand'!A:Z,24,FALSE))</f>
        <v>1.55</v>
      </c>
      <c r="AH948" s="16">
        <f>IF(ISERROR(VLOOKUP($A948,'13. Updated Demand'!A:Z,25,FALSE)),0,VLOOKUP($A948,'13. Updated Demand'!A:Z,25,FALSE))</f>
        <v>1.55</v>
      </c>
      <c r="AI948" s="16">
        <f>IF(ISERROR(VLOOKUP($A948,'13. Updated Demand'!A:Z,26,FALSE)),0,VLOOKUP($A948,'13. Updated Demand'!A:Z,26,FALSE))</f>
        <v>2.2200000000000002</v>
      </c>
      <c r="AJ948" s="16">
        <f t="shared" si="180"/>
        <v>9.8500000000000014</v>
      </c>
      <c r="AK948" s="19">
        <v>2.2666666649999998</v>
      </c>
      <c r="AL948" s="16">
        <f t="shared" si="178"/>
        <v>7.5182751302083429E-3</v>
      </c>
      <c r="AM948" s="17">
        <v>3.4104597696551719E-2</v>
      </c>
      <c r="AN948" s="19"/>
      <c r="AO948" s="19"/>
      <c r="AP948" s="19">
        <v>290</v>
      </c>
      <c r="AQ948" s="19" t="s">
        <v>307</v>
      </c>
      <c r="AR948" s="9" t="s">
        <v>317</v>
      </c>
      <c r="AS948" s="12">
        <v>3.4039024194010059E-4</v>
      </c>
      <c r="AT948" s="19">
        <v>39.21215763</v>
      </c>
      <c r="AU948" s="19">
        <v>-123.22945470000001</v>
      </c>
      <c r="AV948" s="19" t="s">
        <v>417</v>
      </c>
    </row>
    <row r="949" spans="1:48" x14ac:dyDescent="0.25">
      <c r="A949" s="18" t="s">
        <v>1333</v>
      </c>
      <c r="B949" s="10">
        <v>19630918</v>
      </c>
      <c r="C949" s="9">
        <v>10</v>
      </c>
      <c r="D949" s="8" t="str">
        <f t="shared" si="169"/>
        <v>N</v>
      </c>
      <c r="E949" s="8" t="str">
        <f t="shared" si="170"/>
        <v>Y</v>
      </c>
      <c r="F949" s="8" t="str">
        <f t="shared" si="171"/>
        <v>Y</v>
      </c>
      <c r="G949" s="8" t="str">
        <f t="shared" si="172"/>
        <v>Y</v>
      </c>
      <c r="H949" s="8" t="str">
        <f t="shared" si="173"/>
        <v>Upper</v>
      </c>
      <c r="I949" s="8" t="str">
        <f t="shared" si="174"/>
        <v>West Fork and Below Lake</v>
      </c>
      <c r="J949" s="8" t="str">
        <f t="shared" si="175"/>
        <v>Sonoma (d/s of Clov. Gage)</v>
      </c>
      <c r="K949" s="8" t="str">
        <f t="shared" si="176"/>
        <v>Post-1949</v>
      </c>
      <c r="L949" s="8">
        <f t="shared" si="177"/>
        <v>1963</v>
      </c>
      <c r="M949" s="8" t="str">
        <f t="shared" si="179"/>
        <v>1960-1970</v>
      </c>
      <c r="N949" s="10" t="s">
        <v>241</v>
      </c>
      <c r="O949" s="10" t="s">
        <v>241</v>
      </c>
      <c r="P949" s="10" t="s">
        <v>242</v>
      </c>
      <c r="Q949" s="10" t="s">
        <v>242</v>
      </c>
      <c r="R949" s="10" t="s">
        <v>241</v>
      </c>
      <c r="S949" s="10" t="s">
        <v>242</v>
      </c>
      <c r="T949" s="10" t="s">
        <v>242</v>
      </c>
      <c r="U949" s="10" t="s">
        <v>242</v>
      </c>
      <c r="V949" s="10" t="s">
        <v>242</v>
      </c>
      <c r="W949" s="10" t="s">
        <v>242</v>
      </c>
      <c r="X949" s="15">
        <f>IF(ISERROR(VLOOKUP($A949,'13. Updated Demand'!A:Z,15,FALSE)),0,VLOOKUP($A949,'13. Updated Demand'!A:Z,15,FALSE))</f>
        <v>2.68</v>
      </c>
      <c r="Y949" s="16">
        <f>IF(ISERROR(VLOOKUP($A949,'13. Updated Demand'!A:Z,16,FALSE)),0,VLOOKUP($A949,'13. Updated Demand'!A:Z,16,FALSE))</f>
        <v>2.56</v>
      </c>
      <c r="Z949" s="16">
        <f>IF(ISERROR(VLOOKUP($A949,'13. Updated Demand'!A:Z,17,FALSE)),0,VLOOKUP($A949,'13. Updated Demand'!A:Z,17,FALSE))</f>
        <v>0.57999999999999996</v>
      </c>
      <c r="AA949" s="16">
        <f>IF(ISERROR(VLOOKUP($A949,'13. Updated Demand'!A:Z,18,FALSE)),0,VLOOKUP($A949,'13. Updated Demand'!A:Z,18,FALSE))</f>
        <v>0.63</v>
      </c>
      <c r="AB949" s="16">
        <f>IF(ISERROR(VLOOKUP($A949,'13. Updated Demand'!A:Z,19,FALSE)),0,VLOOKUP($A949,'13. Updated Demand'!A:Z,19,FALSE))</f>
        <v>0</v>
      </c>
      <c r="AC949" s="16">
        <f>IF(ISERROR(VLOOKUP($A949,'13. Updated Demand'!A:Z,20,FALSE)),0,VLOOKUP($A949,'13. Updated Demand'!A:Z,20,FALSE))</f>
        <v>0</v>
      </c>
      <c r="AD949" s="16">
        <f>IF(ISERROR(VLOOKUP($A949,'13. Updated Demand'!A:Z,21,FALSE)),0,VLOOKUP($A949,'13. Updated Demand'!A:Z,21,FALSE))</f>
        <v>0</v>
      </c>
      <c r="AE949" s="16">
        <f>IF(ISERROR(VLOOKUP($A949,'13. Updated Demand'!A:Z,22,FALSE)),0,VLOOKUP($A949,'13. Updated Demand'!A:Z,22,FALSE))</f>
        <v>0</v>
      </c>
      <c r="AF949" s="16">
        <f>IF(ISERROR(VLOOKUP($A949,'13. Updated Demand'!A:Z,23,FALSE)),0,VLOOKUP($A949,'13. Updated Demand'!A:Z,23,FALSE))</f>
        <v>0.08</v>
      </c>
      <c r="AG949" s="16">
        <f>IF(ISERROR(VLOOKUP($A949,'13. Updated Demand'!A:Z,24,FALSE)),0,VLOOKUP($A949,'13. Updated Demand'!A:Z,24,FALSE))</f>
        <v>0</v>
      </c>
      <c r="AH949" s="16">
        <f>IF(ISERROR(VLOOKUP($A949,'13. Updated Demand'!A:Z,25,FALSE)),0,VLOOKUP($A949,'13. Updated Demand'!A:Z,25,FALSE))</f>
        <v>0</v>
      </c>
      <c r="AI949" s="16">
        <f>IF(ISERROR(VLOOKUP($A949,'13. Updated Demand'!A:Z,26,FALSE)),0,VLOOKUP($A949,'13. Updated Demand'!A:Z,26,FALSE))</f>
        <v>0</v>
      </c>
      <c r="AJ949" s="16">
        <f t="shared" si="180"/>
        <v>6.53</v>
      </c>
      <c r="AK949" s="19">
        <v>8.8333333333333305E-2</v>
      </c>
      <c r="AL949" s="16">
        <f t="shared" si="178"/>
        <v>2.9299160455443656E-4</v>
      </c>
      <c r="AM949" s="17">
        <v>0.15077394636015323</v>
      </c>
      <c r="AN949" s="19"/>
      <c r="AO949" s="19"/>
      <c r="AP949" s="19">
        <v>43.5</v>
      </c>
      <c r="AQ949" s="19" t="s">
        <v>307</v>
      </c>
      <c r="AR949" s="9" t="s">
        <v>436</v>
      </c>
      <c r="AS949" s="12">
        <v>0</v>
      </c>
      <c r="AT949" s="19">
        <v>38.66075653</v>
      </c>
      <c r="AU949" s="19">
        <v>-122.85140871999999</v>
      </c>
      <c r="AV949" s="19" t="s">
        <v>417</v>
      </c>
    </row>
    <row r="950" spans="1:48" x14ac:dyDescent="0.25">
      <c r="A950" s="18" t="s">
        <v>1334</v>
      </c>
      <c r="B950" s="10">
        <v>19631017</v>
      </c>
      <c r="C950" s="9">
        <v>12</v>
      </c>
      <c r="D950" s="8" t="str">
        <f t="shared" si="169"/>
        <v>N</v>
      </c>
      <c r="E950" s="8" t="str">
        <f t="shared" si="170"/>
        <v>Y</v>
      </c>
      <c r="F950" s="8" t="str">
        <f t="shared" si="171"/>
        <v>Y</v>
      </c>
      <c r="G950" s="8" t="str">
        <f t="shared" si="172"/>
        <v>Y</v>
      </c>
      <c r="H950" s="8" t="str">
        <f t="shared" si="173"/>
        <v>Upper</v>
      </c>
      <c r="I950" s="8" t="str">
        <f t="shared" si="174"/>
        <v>West Fork and Below Lake</v>
      </c>
      <c r="J950" s="8" t="str">
        <f t="shared" si="175"/>
        <v>Sonoma (d/s of Clov. Gage)</v>
      </c>
      <c r="K950" s="8" t="str">
        <f t="shared" si="176"/>
        <v>Post-1949</v>
      </c>
      <c r="L950" s="8">
        <f t="shared" si="177"/>
        <v>1963</v>
      </c>
      <c r="M950" s="8" t="str">
        <f t="shared" si="179"/>
        <v>1960-1970</v>
      </c>
      <c r="N950" s="10" t="s">
        <v>242</v>
      </c>
      <c r="O950" s="10" t="s">
        <v>241</v>
      </c>
      <c r="P950" s="10" t="s">
        <v>242</v>
      </c>
      <c r="Q950" s="10" t="s">
        <v>242</v>
      </c>
      <c r="R950" s="10" t="s">
        <v>241</v>
      </c>
      <c r="S950" s="10" t="s">
        <v>242</v>
      </c>
      <c r="T950" s="10" t="s">
        <v>242</v>
      </c>
      <c r="U950" s="10" t="s">
        <v>241</v>
      </c>
      <c r="V950" s="10" t="s">
        <v>241</v>
      </c>
      <c r="W950" s="10" t="s">
        <v>242</v>
      </c>
      <c r="X950" s="15">
        <f>IF(ISERROR(VLOOKUP($A950,'13. Updated Demand'!A:Z,15,FALSE)),0,VLOOKUP($A950,'13. Updated Demand'!A:Z,15,FALSE))</f>
        <v>0</v>
      </c>
      <c r="Y950" s="16">
        <f>IF(ISERROR(VLOOKUP($A950,'13. Updated Demand'!A:Z,16,FALSE)),0,VLOOKUP($A950,'13. Updated Demand'!A:Z,16,FALSE))</f>
        <v>0</v>
      </c>
      <c r="Z950" s="16">
        <f>IF(ISERROR(VLOOKUP($A950,'13. Updated Demand'!A:Z,17,FALSE)),0,VLOOKUP($A950,'13. Updated Demand'!A:Z,17,FALSE))</f>
        <v>0</v>
      </c>
      <c r="AA950" s="16">
        <f>IF(ISERROR(VLOOKUP($A950,'13. Updated Demand'!A:Z,18,FALSE)),0,VLOOKUP($A950,'13. Updated Demand'!A:Z,18,FALSE))</f>
        <v>0</v>
      </c>
      <c r="AB950" s="16">
        <f>IF(ISERROR(VLOOKUP($A950,'13. Updated Demand'!A:Z,19,FALSE)),0,VLOOKUP($A950,'13. Updated Demand'!A:Z,19,FALSE))</f>
        <v>0</v>
      </c>
      <c r="AC950" s="16">
        <f>IF(ISERROR(VLOOKUP($A950,'13. Updated Demand'!A:Z,20,FALSE)),0,VLOOKUP($A950,'13. Updated Demand'!A:Z,20,FALSE))</f>
        <v>0</v>
      </c>
      <c r="AD950" s="16">
        <f>IF(ISERROR(VLOOKUP($A950,'13. Updated Demand'!A:Z,21,FALSE)),0,VLOOKUP($A950,'13. Updated Demand'!A:Z,21,FALSE))</f>
        <v>0</v>
      </c>
      <c r="AE950" s="16">
        <f>IF(ISERROR(VLOOKUP($A950,'13. Updated Demand'!A:Z,22,FALSE)),0,VLOOKUP($A950,'13. Updated Demand'!A:Z,22,FALSE))</f>
        <v>0</v>
      </c>
      <c r="AF950" s="16">
        <f>IF(ISERROR(VLOOKUP($A950,'13. Updated Demand'!A:Z,23,FALSE)),0,VLOOKUP($A950,'13. Updated Demand'!A:Z,23,FALSE))</f>
        <v>0</v>
      </c>
      <c r="AG950" s="16">
        <f>IF(ISERROR(VLOOKUP($A950,'13. Updated Demand'!A:Z,24,FALSE)),0,VLOOKUP($A950,'13. Updated Demand'!A:Z,24,FALSE))</f>
        <v>0</v>
      </c>
      <c r="AH950" s="16">
        <f>IF(ISERROR(VLOOKUP($A950,'13. Updated Demand'!A:Z,25,FALSE)),0,VLOOKUP($A950,'13. Updated Demand'!A:Z,25,FALSE))</f>
        <v>0</v>
      </c>
      <c r="AI950" s="16">
        <f>IF(ISERROR(VLOOKUP($A950,'13. Updated Demand'!A:Z,26,FALSE)),0,VLOOKUP($A950,'13. Updated Demand'!A:Z,26,FALSE))</f>
        <v>0</v>
      </c>
      <c r="AJ950" s="16">
        <f t="shared" si="180"/>
        <v>0</v>
      </c>
      <c r="AK950" s="19">
        <v>0</v>
      </c>
      <c r="AL950" s="16">
        <f t="shared" si="178"/>
        <v>0</v>
      </c>
      <c r="AM950" s="17">
        <v>0</v>
      </c>
      <c r="AN950" s="19"/>
      <c r="AO950" s="19"/>
      <c r="AP950" s="19">
        <v>18</v>
      </c>
      <c r="AQ950" s="19" t="s">
        <v>307</v>
      </c>
      <c r="AR950" s="9" t="s">
        <v>311</v>
      </c>
      <c r="AS950" s="12">
        <v>0</v>
      </c>
      <c r="AT950" s="19">
        <v>38.605762800000001</v>
      </c>
      <c r="AU950" s="19">
        <v>-122.67437348999999</v>
      </c>
      <c r="AV950" s="19" t="s">
        <v>417</v>
      </c>
    </row>
    <row r="951" spans="1:48" x14ac:dyDescent="0.25">
      <c r="A951" s="18" t="s">
        <v>62</v>
      </c>
      <c r="B951" s="10">
        <v>19631030</v>
      </c>
      <c r="C951" s="9">
        <v>6</v>
      </c>
      <c r="D951" s="8" t="str">
        <f t="shared" si="169"/>
        <v>Y</v>
      </c>
      <c r="E951" s="8" t="str">
        <f t="shared" si="170"/>
        <v>N</v>
      </c>
      <c r="F951" s="8" t="str">
        <f t="shared" si="171"/>
        <v>Y</v>
      </c>
      <c r="G951" s="8" t="str">
        <f t="shared" si="172"/>
        <v>Y</v>
      </c>
      <c r="H951" s="8" t="str">
        <f t="shared" si="173"/>
        <v>Upper</v>
      </c>
      <c r="I951" s="8" t="str">
        <f t="shared" si="174"/>
        <v>West Fork and Below Lake</v>
      </c>
      <c r="J951" s="8" t="str">
        <f t="shared" si="175"/>
        <v>Mendocino (d/s of lake)</v>
      </c>
      <c r="K951" s="8" t="str">
        <f t="shared" si="176"/>
        <v>Post-1949</v>
      </c>
      <c r="L951" s="8">
        <f t="shared" si="177"/>
        <v>1963</v>
      </c>
      <c r="M951" s="8" t="str">
        <f t="shared" si="179"/>
        <v>1960-1970</v>
      </c>
      <c r="N951" s="10" t="s">
        <v>241</v>
      </c>
      <c r="O951" s="10" t="s">
        <v>241</v>
      </c>
      <c r="P951" s="10" t="s">
        <v>242</v>
      </c>
      <c r="Q951" s="10" t="s">
        <v>242</v>
      </c>
      <c r="R951" s="10" t="s">
        <v>241</v>
      </c>
      <c r="S951" s="10" t="s">
        <v>242</v>
      </c>
      <c r="T951" s="10" t="s">
        <v>242</v>
      </c>
      <c r="U951" s="10" t="s">
        <v>242</v>
      </c>
      <c r="V951" s="10" t="s">
        <v>242</v>
      </c>
      <c r="W951" s="10" t="s">
        <v>242</v>
      </c>
      <c r="X951" s="15">
        <f>IF(ISERROR(VLOOKUP($A951,'13. Updated Demand'!A:Z,15,FALSE)),0,VLOOKUP($A951,'13. Updated Demand'!A:Z,15,FALSE))</f>
        <v>0</v>
      </c>
      <c r="Y951" s="16">
        <f>IF(ISERROR(VLOOKUP($A951,'13. Updated Demand'!A:Z,16,FALSE)),0,VLOOKUP($A951,'13. Updated Demand'!A:Z,16,FALSE))</f>
        <v>0</v>
      </c>
      <c r="Z951" s="16">
        <f>IF(ISERROR(VLOOKUP($A951,'13. Updated Demand'!A:Z,17,FALSE)),0,VLOOKUP($A951,'13. Updated Demand'!A:Z,17,FALSE))</f>
        <v>0</v>
      </c>
      <c r="AA951" s="16">
        <f>IF(ISERROR(VLOOKUP($A951,'13. Updated Demand'!A:Z,18,FALSE)),0,VLOOKUP($A951,'13. Updated Demand'!A:Z,18,FALSE))</f>
        <v>0</v>
      </c>
      <c r="AB951" s="16">
        <f>IF(ISERROR(VLOOKUP($A951,'13. Updated Demand'!A:Z,19,FALSE)),0,VLOOKUP($A951,'13. Updated Demand'!A:Z,19,FALSE))</f>
        <v>0.5</v>
      </c>
      <c r="AC951" s="16">
        <f>IF(ISERROR(VLOOKUP($A951,'13. Updated Demand'!A:Z,20,FALSE)),0,VLOOKUP($A951,'13. Updated Demand'!A:Z,20,FALSE))</f>
        <v>1.26</v>
      </c>
      <c r="AD951" s="16">
        <f>IF(ISERROR(VLOOKUP($A951,'13. Updated Demand'!A:Z,21,FALSE)),0,VLOOKUP($A951,'13. Updated Demand'!A:Z,21,FALSE))</f>
        <v>2.04</v>
      </c>
      <c r="AE951" s="16">
        <f>IF(ISERROR(VLOOKUP($A951,'13. Updated Demand'!A:Z,22,FALSE)),0,VLOOKUP($A951,'13. Updated Demand'!A:Z,22,FALSE))</f>
        <v>2.2999999999999998</v>
      </c>
      <c r="AF951" s="16">
        <f>IF(ISERROR(VLOOKUP($A951,'13. Updated Demand'!A:Z,23,FALSE)),0,VLOOKUP($A951,'13. Updated Demand'!A:Z,23,FALSE))</f>
        <v>1.23</v>
      </c>
      <c r="AG951" s="16">
        <f>IF(ISERROR(VLOOKUP($A951,'13. Updated Demand'!A:Z,24,FALSE)),0,VLOOKUP($A951,'13. Updated Demand'!A:Z,24,FALSE))</f>
        <v>0.33</v>
      </c>
      <c r="AH951" s="16">
        <f>IF(ISERROR(VLOOKUP($A951,'13. Updated Demand'!A:Z,25,FALSE)),0,VLOOKUP($A951,'13. Updated Demand'!A:Z,25,FALSE))</f>
        <v>0</v>
      </c>
      <c r="AI951" s="16">
        <f>IF(ISERROR(VLOOKUP($A951,'13. Updated Demand'!A:Z,26,FALSE)),0,VLOOKUP($A951,'13. Updated Demand'!A:Z,26,FALSE))</f>
        <v>0</v>
      </c>
      <c r="AJ951" s="16">
        <f t="shared" si="180"/>
        <v>7.66</v>
      </c>
      <c r="AK951" s="19">
        <v>7.3466666666666693</v>
      </c>
      <c r="AL951" s="16">
        <f t="shared" si="178"/>
        <v>2.4368056469357684E-2</v>
      </c>
      <c r="AM951" s="17">
        <v>7.3142857142857162E-2</v>
      </c>
      <c r="AN951" s="19"/>
      <c r="AO951" s="19"/>
      <c r="AP951" s="19">
        <v>105</v>
      </c>
      <c r="AQ951" s="19" t="s">
        <v>307</v>
      </c>
      <c r="AR951" s="9" t="s">
        <v>319</v>
      </c>
      <c r="AS951" s="12">
        <v>0</v>
      </c>
      <c r="AT951" s="19">
        <v>38.955758500000002</v>
      </c>
      <c r="AU951" s="19">
        <v>-123.10288585000001</v>
      </c>
      <c r="AV951" s="19" t="s">
        <v>387</v>
      </c>
    </row>
    <row r="952" spans="1:48" x14ac:dyDescent="0.25">
      <c r="A952" s="18" t="s">
        <v>1335</v>
      </c>
      <c r="B952" s="10">
        <v>19631205</v>
      </c>
      <c r="C952" s="9">
        <v>2</v>
      </c>
      <c r="D952" s="8" t="str">
        <f t="shared" si="169"/>
        <v>N</v>
      </c>
      <c r="E952" s="8" t="str">
        <f t="shared" si="170"/>
        <v>N</v>
      </c>
      <c r="F952" s="8" t="str">
        <f t="shared" si="171"/>
        <v>Y</v>
      </c>
      <c r="G952" s="8" t="str">
        <f t="shared" si="172"/>
        <v>N</v>
      </c>
      <c r="H952" s="8" t="str">
        <f t="shared" si="173"/>
        <v>Upper</v>
      </c>
      <c r="I952" s="8" t="str">
        <f t="shared" si="174"/>
        <v>Outside</v>
      </c>
      <c r="J952" s="8" t="str">
        <f t="shared" si="175"/>
        <v>Outside</v>
      </c>
      <c r="K952" s="8" t="str">
        <f t="shared" si="176"/>
        <v>Post-1949</v>
      </c>
      <c r="L952" s="8">
        <f t="shared" si="177"/>
        <v>1963</v>
      </c>
      <c r="M952" s="8" t="str">
        <f t="shared" si="179"/>
        <v>1960-1970</v>
      </c>
      <c r="N952" s="10" t="s">
        <v>242</v>
      </c>
      <c r="O952" s="10" t="s">
        <v>241</v>
      </c>
      <c r="P952" s="10" t="s">
        <v>242</v>
      </c>
      <c r="Q952" s="10" t="s">
        <v>242</v>
      </c>
      <c r="R952" s="10" t="s">
        <v>241</v>
      </c>
      <c r="S952" s="10" t="s">
        <v>242</v>
      </c>
      <c r="T952" s="10" t="s">
        <v>242</v>
      </c>
      <c r="U952" s="10" t="s">
        <v>242</v>
      </c>
      <c r="V952" s="10" t="s">
        <v>242</v>
      </c>
      <c r="W952" s="10" t="s">
        <v>242</v>
      </c>
      <c r="X952" s="15">
        <f>IF(ISERROR(VLOOKUP($A952,'13. Updated Demand'!A:Z,15,FALSE)),0,VLOOKUP($A952,'13. Updated Demand'!A:Z,15,FALSE))</f>
        <v>0.01</v>
      </c>
      <c r="Y952" s="16">
        <f>IF(ISERROR(VLOOKUP($A952,'13. Updated Demand'!A:Z,16,FALSE)),0,VLOOKUP($A952,'13. Updated Demand'!A:Z,16,FALSE))</f>
        <v>0.01</v>
      </c>
      <c r="Z952" s="16">
        <f>IF(ISERROR(VLOOKUP($A952,'13. Updated Demand'!A:Z,17,FALSE)),0,VLOOKUP($A952,'13. Updated Demand'!A:Z,17,FALSE))</f>
        <v>0.01</v>
      </c>
      <c r="AA952" s="16">
        <f>IF(ISERROR(VLOOKUP($A952,'13. Updated Demand'!A:Z,18,FALSE)),0,VLOOKUP($A952,'13. Updated Demand'!A:Z,18,FALSE))</f>
        <v>0.01</v>
      </c>
      <c r="AB952" s="16">
        <f>IF(ISERROR(VLOOKUP($A952,'13. Updated Demand'!A:Z,19,FALSE)),0,VLOOKUP($A952,'13. Updated Demand'!A:Z,19,FALSE))</f>
        <v>0.01</v>
      </c>
      <c r="AC952" s="16">
        <f>IF(ISERROR(VLOOKUP($A952,'13. Updated Demand'!A:Z,20,FALSE)),0,VLOOKUP($A952,'13. Updated Demand'!A:Z,20,FALSE))</f>
        <v>0.01</v>
      </c>
      <c r="AD952" s="16">
        <f>IF(ISERROR(VLOOKUP($A952,'13. Updated Demand'!A:Z,21,FALSE)),0,VLOOKUP($A952,'13. Updated Demand'!A:Z,21,FALSE))</f>
        <v>0.01</v>
      </c>
      <c r="AE952" s="16">
        <f>IF(ISERROR(VLOOKUP($A952,'13. Updated Demand'!A:Z,22,FALSE)),0,VLOOKUP($A952,'13. Updated Demand'!A:Z,22,FALSE))</f>
        <v>0.01</v>
      </c>
      <c r="AF952" s="16">
        <f>IF(ISERROR(VLOOKUP($A952,'13. Updated Demand'!A:Z,23,FALSE)),0,VLOOKUP($A952,'13. Updated Demand'!A:Z,23,FALSE))</f>
        <v>0.01</v>
      </c>
      <c r="AG952" s="16">
        <f>IF(ISERROR(VLOOKUP($A952,'13. Updated Demand'!A:Z,24,FALSE)),0,VLOOKUP($A952,'13. Updated Demand'!A:Z,24,FALSE))</f>
        <v>0.01</v>
      </c>
      <c r="AH952" s="16">
        <f>IF(ISERROR(VLOOKUP($A952,'13. Updated Demand'!A:Z,25,FALSE)),0,VLOOKUP($A952,'13. Updated Demand'!A:Z,25,FALSE))</f>
        <v>0.01</v>
      </c>
      <c r="AI952" s="16">
        <f>IF(ISERROR(VLOOKUP($A952,'13. Updated Demand'!A:Z,26,FALSE)),0,VLOOKUP($A952,'13. Updated Demand'!A:Z,26,FALSE))</f>
        <v>0.01</v>
      </c>
      <c r="AJ952" s="16">
        <f t="shared" si="180"/>
        <v>0.11999999999999998</v>
      </c>
      <c r="AK952" s="19">
        <v>9.1376666666666495E-2</v>
      </c>
      <c r="AL952" s="16">
        <f t="shared" si="178"/>
        <v>3.0308599455285872E-4</v>
      </c>
      <c r="AM952" s="17">
        <v>8.5665624999999856E-3</v>
      </c>
      <c r="AN952" s="19"/>
      <c r="AO952" s="19"/>
      <c r="AP952" s="19">
        <v>25.6</v>
      </c>
      <c r="AQ952" s="19" t="s">
        <v>307</v>
      </c>
      <c r="AR952" s="9" t="s">
        <v>348</v>
      </c>
      <c r="AS952" s="12">
        <v>3.4039024194010059E-4</v>
      </c>
      <c r="AT952" s="19">
        <v>39.191623409999998</v>
      </c>
      <c r="AU952" s="19">
        <v>-123.04410292</v>
      </c>
      <c r="AV952" s="19" t="s">
        <v>417</v>
      </c>
    </row>
    <row r="953" spans="1:48" x14ac:dyDescent="0.25">
      <c r="A953" s="18" t="s">
        <v>1336</v>
      </c>
      <c r="B953" s="10">
        <v>19631205</v>
      </c>
      <c r="C953" s="9">
        <v>2</v>
      </c>
      <c r="D953" s="8" t="str">
        <f t="shared" si="169"/>
        <v>N</v>
      </c>
      <c r="E953" s="8" t="str">
        <f t="shared" si="170"/>
        <v>N</v>
      </c>
      <c r="F953" s="8" t="str">
        <f t="shared" si="171"/>
        <v>Y</v>
      </c>
      <c r="G953" s="8" t="str">
        <f t="shared" si="172"/>
        <v>N</v>
      </c>
      <c r="H953" s="8" t="str">
        <f t="shared" si="173"/>
        <v>Upper</v>
      </c>
      <c r="I953" s="8" t="str">
        <f t="shared" si="174"/>
        <v>Outside</v>
      </c>
      <c r="J953" s="8" t="str">
        <f t="shared" si="175"/>
        <v>Outside</v>
      </c>
      <c r="K953" s="8" t="str">
        <f t="shared" si="176"/>
        <v>Post-1949</v>
      </c>
      <c r="L953" s="8">
        <f t="shared" si="177"/>
        <v>1963</v>
      </c>
      <c r="M953" s="8" t="str">
        <f t="shared" si="179"/>
        <v>1960-1970</v>
      </c>
      <c r="N953" s="10" t="s">
        <v>242</v>
      </c>
      <c r="O953" s="10" t="s">
        <v>241</v>
      </c>
      <c r="P953" s="10" t="s">
        <v>242</v>
      </c>
      <c r="Q953" s="10" t="s">
        <v>242</v>
      </c>
      <c r="R953" s="10" t="s">
        <v>241</v>
      </c>
      <c r="S953" s="10" t="s">
        <v>242</v>
      </c>
      <c r="T953" s="10" t="s">
        <v>242</v>
      </c>
      <c r="U953" s="10" t="s">
        <v>242</v>
      </c>
      <c r="V953" s="10" t="s">
        <v>242</v>
      </c>
      <c r="W953" s="10" t="s">
        <v>242</v>
      </c>
      <c r="X953" s="15">
        <f>IF(ISERROR(VLOOKUP($A953,'13. Updated Demand'!A:Z,15,FALSE)),0,VLOOKUP($A953,'13. Updated Demand'!A:Z,15,FALSE))</f>
        <v>0</v>
      </c>
      <c r="Y953" s="16">
        <f>IF(ISERROR(VLOOKUP($A953,'13. Updated Demand'!A:Z,16,FALSE)),0,VLOOKUP($A953,'13. Updated Demand'!A:Z,16,FALSE))</f>
        <v>0</v>
      </c>
      <c r="Z953" s="16">
        <f>IF(ISERROR(VLOOKUP($A953,'13. Updated Demand'!A:Z,17,FALSE)),0,VLOOKUP($A953,'13. Updated Demand'!A:Z,17,FALSE))</f>
        <v>0</v>
      </c>
      <c r="AA953" s="16">
        <f>IF(ISERROR(VLOOKUP($A953,'13. Updated Demand'!A:Z,18,FALSE)),0,VLOOKUP($A953,'13. Updated Demand'!A:Z,18,FALSE))</f>
        <v>0.02</v>
      </c>
      <c r="AB953" s="16">
        <f>IF(ISERROR(VLOOKUP($A953,'13. Updated Demand'!A:Z,19,FALSE)),0,VLOOKUP($A953,'13. Updated Demand'!A:Z,19,FALSE))</f>
        <v>0.02</v>
      </c>
      <c r="AC953" s="16">
        <f>IF(ISERROR(VLOOKUP($A953,'13. Updated Demand'!A:Z,20,FALSE)),0,VLOOKUP($A953,'13. Updated Demand'!A:Z,20,FALSE))</f>
        <v>0.02</v>
      </c>
      <c r="AD953" s="16">
        <f>IF(ISERROR(VLOOKUP($A953,'13. Updated Demand'!A:Z,21,FALSE)),0,VLOOKUP($A953,'13. Updated Demand'!A:Z,21,FALSE))</f>
        <v>0.02</v>
      </c>
      <c r="AE953" s="16">
        <f>IF(ISERROR(VLOOKUP($A953,'13. Updated Demand'!A:Z,22,FALSE)),0,VLOOKUP($A953,'13. Updated Demand'!A:Z,22,FALSE))</f>
        <v>0.02</v>
      </c>
      <c r="AF953" s="16">
        <f>IF(ISERROR(VLOOKUP($A953,'13. Updated Demand'!A:Z,23,FALSE)),0,VLOOKUP($A953,'13. Updated Demand'!A:Z,23,FALSE))</f>
        <v>0.02</v>
      </c>
      <c r="AG953" s="16">
        <f>IF(ISERROR(VLOOKUP($A953,'13. Updated Demand'!A:Z,24,FALSE)),0,VLOOKUP($A953,'13. Updated Demand'!A:Z,24,FALSE))</f>
        <v>0.02</v>
      </c>
      <c r="AH953" s="16">
        <f>IF(ISERROR(VLOOKUP($A953,'13. Updated Demand'!A:Z,25,FALSE)),0,VLOOKUP($A953,'13. Updated Demand'!A:Z,25,FALSE))</f>
        <v>0</v>
      </c>
      <c r="AI953" s="16">
        <f>IF(ISERROR(VLOOKUP($A953,'13. Updated Demand'!A:Z,26,FALSE)),0,VLOOKUP($A953,'13. Updated Demand'!A:Z,26,FALSE))</f>
        <v>0</v>
      </c>
      <c r="AJ953" s="16">
        <f t="shared" si="180"/>
        <v>0.14000000000000001</v>
      </c>
      <c r="AK953" s="19">
        <v>0.133333335</v>
      </c>
      <c r="AL953" s="16">
        <f t="shared" si="178"/>
        <v>4.4225148410087804E-4</v>
      </c>
      <c r="AM953" s="17">
        <v>3.9800995522388059E-3</v>
      </c>
      <c r="AN953" s="19"/>
      <c r="AO953" s="19"/>
      <c r="AP953" s="19">
        <v>46.9</v>
      </c>
      <c r="AQ953" s="19" t="s">
        <v>307</v>
      </c>
      <c r="AR953" s="9" t="s">
        <v>348</v>
      </c>
      <c r="AS953" s="12">
        <v>3.4039024194010059E-4</v>
      </c>
      <c r="AT953" s="19">
        <v>39.188079430000002</v>
      </c>
      <c r="AU953" s="19">
        <v>-123.04122787999999</v>
      </c>
      <c r="AV953" s="19" t="s">
        <v>417</v>
      </c>
    </row>
    <row r="954" spans="1:48" x14ac:dyDescent="0.25">
      <c r="A954" s="18" t="s">
        <v>1337</v>
      </c>
      <c r="B954" s="10">
        <v>19621128</v>
      </c>
      <c r="C954" s="9">
        <v>16</v>
      </c>
      <c r="D954" s="8" t="str">
        <f t="shared" si="169"/>
        <v>N</v>
      </c>
      <c r="E954" s="8" t="str">
        <f t="shared" si="170"/>
        <v>N</v>
      </c>
      <c r="F954" s="8" t="str">
        <f t="shared" si="171"/>
        <v>N</v>
      </c>
      <c r="G954" s="8" t="str">
        <f t="shared" si="172"/>
        <v>N</v>
      </c>
      <c r="H954" s="8" t="str">
        <f t="shared" si="173"/>
        <v>Lower</v>
      </c>
      <c r="I954" s="8" t="str">
        <f t="shared" si="174"/>
        <v>Outside</v>
      </c>
      <c r="J954" s="8" t="str">
        <f t="shared" si="175"/>
        <v>Outside</v>
      </c>
      <c r="K954" s="8" t="str">
        <f t="shared" si="176"/>
        <v>Post-1949</v>
      </c>
      <c r="L954" s="8">
        <f t="shared" si="177"/>
        <v>1962</v>
      </c>
      <c r="M954" s="8" t="str">
        <f t="shared" si="179"/>
        <v>1960-1970</v>
      </c>
      <c r="N954" s="10" t="s">
        <v>242</v>
      </c>
      <c r="O954" s="10" t="s">
        <v>242</v>
      </c>
      <c r="P954" s="10" t="s">
        <v>242</v>
      </c>
      <c r="Q954" s="10" t="s">
        <v>242</v>
      </c>
      <c r="R954" s="10" t="s">
        <v>241</v>
      </c>
      <c r="S954" s="10" t="s">
        <v>242</v>
      </c>
      <c r="T954" s="10" t="s">
        <v>242</v>
      </c>
      <c r="U954" s="10" t="s">
        <v>242</v>
      </c>
      <c r="V954" s="10" t="s">
        <v>242</v>
      </c>
      <c r="W954" s="10" t="s">
        <v>242</v>
      </c>
      <c r="X954" s="15">
        <f>IF(ISERROR(VLOOKUP($A954,'13. Updated Demand'!A:Z,15,FALSE)),0,VLOOKUP($A954,'13. Updated Demand'!A:Z,15,FALSE))</f>
        <v>0</v>
      </c>
      <c r="Y954" s="16">
        <f>IF(ISERROR(VLOOKUP($A954,'13. Updated Demand'!A:Z,16,FALSE)),0,VLOOKUP($A954,'13. Updated Demand'!A:Z,16,FALSE))</f>
        <v>0</v>
      </c>
      <c r="Z954" s="16">
        <f>IF(ISERROR(VLOOKUP($A954,'13. Updated Demand'!A:Z,17,FALSE)),0,VLOOKUP($A954,'13. Updated Demand'!A:Z,17,FALSE))</f>
        <v>0</v>
      </c>
      <c r="AA954" s="16">
        <f>IF(ISERROR(VLOOKUP($A954,'13. Updated Demand'!A:Z,18,FALSE)),0,VLOOKUP($A954,'13. Updated Demand'!A:Z,18,FALSE))</f>
        <v>0</v>
      </c>
      <c r="AB954" s="16">
        <f>IF(ISERROR(VLOOKUP($A954,'13. Updated Demand'!A:Z,19,FALSE)),0,VLOOKUP($A954,'13. Updated Demand'!A:Z,19,FALSE))</f>
        <v>0.16666666699999999</v>
      </c>
      <c r="AC954" s="16">
        <f>IF(ISERROR(VLOOKUP($A954,'13. Updated Demand'!A:Z,20,FALSE)),0,VLOOKUP($A954,'13. Updated Demand'!A:Z,20,FALSE))</f>
        <v>0.366853333</v>
      </c>
      <c r="AD954" s="16">
        <f>IF(ISERROR(VLOOKUP($A954,'13. Updated Demand'!A:Z,21,FALSE)),0,VLOOKUP($A954,'13. Updated Demand'!A:Z,21,FALSE))</f>
        <v>0.33351999999999998</v>
      </c>
      <c r="AE954" s="16">
        <f>IF(ISERROR(VLOOKUP($A954,'13. Updated Demand'!A:Z,22,FALSE)),0,VLOOKUP($A954,'13. Updated Demand'!A:Z,22,FALSE))</f>
        <v>6.6953666999999994E-2</v>
      </c>
      <c r="AF954" s="16">
        <f>IF(ISERROR(VLOOKUP($A954,'13. Updated Demand'!A:Z,23,FALSE)),0,VLOOKUP($A954,'13. Updated Demand'!A:Z,23,FALSE))</f>
        <v>0</v>
      </c>
      <c r="AG954" s="16">
        <f>IF(ISERROR(VLOOKUP($A954,'13. Updated Demand'!A:Z,24,FALSE)),0,VLOOKUP($A954,'13. Updated Demand'!A:Z,24,FALSE))</f>
        <v>0</v>
      </c>
      <c r="AH954" s="16">
        <f>IF(ISERROR(VLOOKUP($A954,'13. Updated Demand'!A:Z,25,FALSE)),0,VLOOKUP($A954,'13. Updated Demand'!A:Z,25,FALSE))</f>
        <v>0</v>
      </c>
      <c r="AI954" s="16">
        <f>IF(ISERROR(VLOOKUP($A954,'13. Updated Demand'!A:Z,26,FALSE)),0,VLOOKUP($A954,'13. Updated Demand'!A:Z,26,FALSE))</f>
        <v>0</v>
      </c>
      <c r="AJ954" s="16">
        <f t="shared" si="180"/>
        <v>0.93399366699999997</v>
      </c>
      <c r="AK954" s="19">
        <v>0.93399366699999997</v>
      </c>
      <c r="AL954" s="16">
        <f t="shared" si="178"/>
        <v>3.0979506015624022E-3</v>
      </c>
      <c r="AM954" s="17">
        <v>4.9157561421052633E-2</v>
      </c>
      <c r="AN954" s="19"/>
      <c r="AO954" s="19"/>
      <c r="AP954" s="19">
        <v>19</v>
      </c>
      <c r="AQ954" s="19" t="s">
        <v>307</v>
      </c>
      <c r="AR954" s="9" t="s">
        <v>394</v>
      </c>
      <c r="AS954" s="12">
        <v>0</v>
      </c>
      <c r="AT954" s="19">
        <v>38.604500000000002</v>
      </c>
      <c r="AU954" s="19">
        <v>-122.99630000000001</v>
      </c>
      <c r="AV954" s="19" t="s">
        <v>406</v>
      </c>
    </row>
    <row r="955" spans="1:48" x14ac:dyDescent="0.25">
      <c r="A955" s="18" t="s">
        <v>1338</v>
      </c>
      <c r="B955" s="10">
        <v>19620115</v>
      </c>
      <c r="C955" s="9">
        <v>17</v>
      </c>
      <c r="D955" s="8" t="str">
        <f t="shared" si="169"/>
        <v>N</v>
      </c>
      <c r="E955" s="8" t="str">
        <f t="shared" si="170"/>
        <v>N</v>
      </c>
      <c r="F955" s="8" t="str">
        <f t="shared" si="171"/>
        <v>N</v>
      </c>
      <c r="G955" s="8" t="str">
        <f t="shared" si="172"/>
        <v>N</v>
      </c>
      <c r="H955" s="8" t="str">
        <f t="shared" si="173"/>
        <v>Lower</v>
      </c>
      <c r="I955" s="8" t="str">
        <f t="shared" si="174"/>
        <v>Outside</v>
      </c>
      <c r="J955" s="8" t="str">
        <f t="shared" si="175"/>
        <v>Outside</v>
      </c>
      <c r="K955" s="8" t="str">
        <f t="shared" si="176"/>
        <v>Post-1949</v>
      </c>
      <c r="L955" s="8">
        <f t="shared" si="177"/>
        <v>1962</v>
      </c>
      <c r="M955" s="8" t="str">
        <f t="shared" si="179"/>
        <v>1960-1970</v>
      </c>
      <c r="N955" s="10" t="s">
        <v>242</v>
      </c>
      <c r="O955" s="10" t="s">
        <v>242</v>
      </c>
      <c r="P955" s="10" t="s">
        <v>242</v>
      </c>
      <c r="Q955" s="10" t="s">
        <v>242</v>
      </c>
      <c r="R955" s="10" t="s">
        <v>241</v>
      </c>
      <c r="S955" s="10" t="s">
        <v>242</v>
      </c>
      <c r="T955" s="10" t="s">
        <v>242</v>
      </c>
      <c r="U955" s="10" t="s">
        <v>242</v>
      </c>
      <c r="V955" s="10" t="s">
        <v>241</v>
      </c>
      <c r="W955" s="10" t="s">
        <v>242</v>
      </c>
      <c r="X955" s="15">
        <f>IF(ISERROR(VLOOKUP($A955,'13. Updated Demand'!A:Z,15,FALSE)),0,VLOOKUP($A955,'13. Updated Demand'!A:Z,15,FALSE))</f>
        <v>12.9</v>
      </c>
      <c r="Y955" s="16">
        <f>IF(ISERROR(VLOOKUP($A955,'13. Updated Demand'!A:Z,16,FALSE)),0,VLOOKUP($A955,'13. Updated Demand'!A:Z,16,FALSE))</f>
        <v>2.6333333329999999</v>
      </c>
      <c r="Z955" s="16">
        <f>IF(ISERROR(VLOOKUP($A955,'13. Updated Demand'!A:Z,17,FALSE)),0,VLOOKUP($A955,'13. Updated Demand'!A:Z,17,FALSE))</f>
        <v>1.6666666670000001</v>
      </c>
      <c r="AA955" s="16">
        <f>IF(ISERROR(VLOOKUP($A955,'13. Updated Demand'!A:Z,18,FALSE)),0,VLOOKUP($A955,'13. Updated Demand'!A:Z,18,FALSE))</f>
        <v>0.4</v>
      </c>
      <c r="AB955" s="16">
        <f>IF(ISERROR(VLOOKUP($A955,'13. Updated Demand'!A:Z,19,FALSE)),0,VLOOKUP($A955,'13. Updated Demand'!A:Z,19,FALSE))</f>
        <v>0</v>
      </c>
      <c r="AC955" s="16">
        <f>IF(ISERROR(VLOOKUP($A955,'13. Updated Demand'!A:Z,20,FALSE)),0,VLOOKUP($A955,'13. Updated Demand'!A:Z,20,FALSE))</f>
        <v>0</v>
      </c>
      <c r="AD955" s="16">
        <f>IF(ISERROR(VLOOKUP($A955,'13. Updated Demand'!A:Z,21,FALSE)),0,VLOOKUP($A955,'13. Updated Demand'!A:Z,21,FALSE))</f>
        <v>0</v>
      </c>
      <c r="AE955" s="16">
        <f>IF(ISERROR(VLOOKUP($A955,'13. Updated Demand'!A:Z,22,FALSE)),0,VLOOKUP($A955,'13. Updated Demand'!A:Z,22,FALSE))</f>
        <v>0</v>
      </c>
      <c r="AF955" s="16">
        <f>IF(ISERROR(VLOOKUP($A955,'13. Updated Demand'!A:Z,23,FALSE)),0,VLOOKUP($A955,'13. Updated Demand'!A:Z,23,FALSE))</f>
        <v>0</v>
      </c>
      <c r="AG955" s="16">
        <f>IF(ISERROR(VLOOKUP($A955,'13. Updated Demand'!A:Z,24,FALSE)),0,VLOOKUP($A955,'13. Updated Demand'!A:Z,24,FALSE))</f>
        <v>0</v>
      </c>
      <c r="AH955" s="16">
        <f>IF(ISERROR(VLOOKUP($A955,'13. Updated Demand'!A:Z,25,FALSE)),0,VLOOKUP($A955,'13. Updated Demand'!A:Z,25,FALSE))</f>
        <v>1.0333333330000001</v>
      </c>
      <c r="AI955" s="16">
        <f>IF(ISERROR(VLOOKUP($A955,'13. Updated Demand'!A:Z,26,FALSE)),0,VLOOKUP($A955,'13. Updated Demand'!A:Z,26,FALSE))</f>
        <v>4.733333333</v>
      </c>
      <c r="AJ955" s="16">
        <f t="shared" si="180"/>
        <v>23.366666666</v>
      </c>
      <c r="AK955" s="19">
        <v>0</v>
      </c>
      <c r="AL955" s="16">
        <f t="shared" si="178"/>
        <v>0</v>
      </c>
      <c r="AM955" s="17">
        <v>0.4768707482857143</v>
      </c>
      <c r="AN955" s="19"/>
      <c r="AO955" s="19"/>
      <c r="AP955" s="19">
        <v>49</v>
      </c>
      <c r="AQ955" s="19" t="s">
        <v>307</v>
      </c>
      <c r="AR955" s="9" t="s">
        <v>486</v>
      </c>
      <c r="AS955" s="12">
        <v>0</v>
      </c>
      <c r="AT955" s="19">
        <v>38.573099999999997</v>
      </c>
      <c r="AU955" s="19">
        <v>-122.8193</v>
      </c>
      <c r="AV955" s="19" t="s">
        <v>417</v>
      </c>
    </row>
    <row r="956" spans="1:48" x14ac:dyDescent="0.25">
      <c r="A956" s="18" t="s">
        <v>1339</v>
      </c>
      <c r="B956" s="10">
        <v>19620201</v>
      </c>
      <c r="C956" s="9">
        <v>9</v>
      </c>
      <c r="D956" s="8" t="str">
        <f t="shared" si="169"/>
        <v>N</v>
      </c>
      <c r="E956" s="8" t="str">
        <f t="shared" si="170"/>
        <v>Y</v>
      </c>
      <c r="F956" s="8" t="str">
        <f t="shared" si="171"/>
        <v>Y</v>
      </c>
      <c r="G956" s="8" t="str">
        <f t="shared" si="172"/>
        <v>Y</v>
      </c>
      <c r="H956" s="8" t="str">
        <f t="shared" si="173"/>
        <v>Upper</v>
      </c>
      <c r="I956" s="8" t="str">
        <f t="shared" si="174"/>
        <v>West Fork and Below Lake</v>
      </c>
      <c r="J956" s="8" t="str">
        <f t="shared" si="175"/>
        <v>Sonoma (d/s of Clov. Gage)</v>
      </c>
      <c r="K956" s="8" t="str">
        <f t="shared" si="176"/>
        <v>Post-1949</v>
      </c>
      <c r="L956" s="8">
        <f t="shared" si="177"/>
        <v>1962</v>
      </c>
      <c r="M956" s="8" t="str">
        <f t="shared" si="179"/>
        <v>1960-1970</v>
      </c>
      <c r="N956" s="10" t="s">
        <v>241</v>
      </c>
      <c r="O956" s="10" t="s">
        <v>241</v>
      </c>
      <c r="P956" s="10" t="s">
        <v>242</v>
      </c>
      <c r="Q956" s="10" t="s">
        <v>242</v>
      </c>
      <c r="R956" s="10" t="s">
        <v>241</v>
      </c>
      <c r="S956" s="10" t="s">
        <v>242</v>
      </c>
      <c r="T956" s="10" t="s">
        <v>242</v>
      </c>
      <c r="U956" s="10" t="s">
        <v>242</v>
      </c>
      <c r="V956" s="10" t="s">
        <v>241</v>
      </c>
      <c r="W956" s="10" t="s">
        <v>242</v>
      </c>
      <c r="X956" s="15">
        <f>IF(ISERROR(VLOOKUP($A956,'13. Updated Demand'!A:Z,15,FALSE)),0,VLOOKUP($A956,'13. Updated Demand'!A:Z,15,FALSE))</f>
        <v>0.23</v>
      </c>
      <c r="Y956" s="16">
        <f>IF(ISERROR(VLOOKUP($A956,'13. Updated Demand'!A:Z,16,FALSE)),0,VLOOKUP($A956,'13. Updated Demand'!A:Z,16,FALSE))</f>
        <v>0</v>
      </c>
      <c r="Z956" s="16">
        <f>IF(ISERROR(VLOOKUP($A956,'13. Updated Demand'!A:Z,17,FALSE)),0,VLOOKUP($A956,'13. Updated Demand'!A:Z,17,FALSE))</f>
        <v>0.06</v>
      </c>
      <c r="AA956" s="16">
        <f>IF(ISERROR(VLOOKUP($A956,'13. Updated Demand'!A:Z,18,FALSE)),0,VLOOKUP($A956,'13. Updated Demand'!A:Z,18,FALSE))</f>
        <v>0</v>
      </c>
      <c r="AB956" s="16">
        <f>IF(ISERROR(VLOOKUP($A956,'13. Updated Demand'!A:Z,19,FALSE)),0,VLOOKUP($A956,'13. Updated Demand'!A:Z,19,FALSE))</f>
        <v>0</v>
      </c>
      <c r="AC956" s="16">
        <f>IF(ISERROR(VLOOKUP($A956,'13. Updated Demand'!A:Z,20,FALSE)),0,VLOOKUP($A956,'13. Updated Demand'!A:Z,20,FALSE))</f>
        <v>0</v>
      </c>
      <c r="AD956" s="16">
        <f>IF(ISERROR(VLOOKUP($A956,'13. Updated Demand'!A:Z,21,FALSE)),0,VLOOKUP($A956,'13. Updated Demand'!A:Z,21,FALSE))</f>
        <v>0</v>
      </c>
      <c r="AE956" s="16">
        <f>IF(ISERROR(VLOOKUP($A956,'13. Updated Demand'!A:Z,22,FALSE)),0,VLOOKUP($A956,'13. Updated Demand'!A:Z,22,FALSE))</f>
        <v>0</v>
      </c>
      <c r="AF956" s="16">
        <f>IF(ISERROR(VLOOKUP($A956,'13. Updated Demand'!A:Z,23,FALSE)),0,VLOOKUP($A956,'13. Updated Demand'!A:Z,23,FALSE))</f>
        <v>0</v>
      </c>
      <c r="AG956" s="16">
        <f>IF(ISERROR(VLOOKUP($A956,'13. Updated Demand'!A:Z,24,FALSE)),0,VLOOKUP($A956,'13. Updated Demand'!A:Z,24,FALSE))</f>
        <v>0.13</v>
      </c>
      <c r="AH956" s="16">
        <f>IF(ISERROR(VLOOKUP($A956,'13. Updated Demand'!A:Z,25,FALSE)),0,VLOOKUP($A956,'13. Updated Demand'!A:Z,25,FALSE))</f>
        <v>0.06</v>
      </c>
      <c r="AI956" s="16">
        <f>IF(ISERROR(VLOOKUP($A956,'13. Updated Demand'!A:Z,26,FALSE)),0,VLOOKUP($A956,'13. Updated Demand'!A:Z,26,FALSE))</f>
        <v>0.26</v>
      </c>
      <c r="AJ956" s="16">
        <f t="shared" si="180"/>
        <v>0.74</v>
      </c>
      <c r="AK956" s="19">
        <v>0</v>
      </c>
      <c r="AL956" s="16">
        <f t="shared" si="178"/>
        <v>0</v>
      </c>
      <c r="AM956" s="17">
        <v>7.6666666666666633E-2</v>
      </c>
      <c r="AN956" s="19"/>
      <c r="AO956" s="19"/>
      <c r="AP956" s="19">
        <v>10</v>
      </c>
      <c r="AQ956" s="19" t="s">
        <v>307</v>
      </c>
      <c r="AR956" s="9" t="s">
        <v>354</v>
      </c>
      <c r="AS956" s="12">
        <v>0</v>
      </c>
      <c r="AT956" s="19">
        <v>38.78685213</v>
      </c>
      <c r="AU956" s="19">
        <v>-122.98378525</v>
      </c>
      <c r="AV956" s="19" t="s">
        <v>417</v>
      </c>
    </row>
    <row r="957" spans="1:48" x14ac:dyDescent="0.25">
      <c r="A957" s="18" t="s">
        <v>1340</v>
      </c>
      <c r="B957" s="10">
        <v>19620201</v>
      </c>
      <c r="C957" s="9">
        <v>20</v>
      </c>
      <c r="D957" s="8" t="str">
        <f t="shared" si="169"/>
        <v>N</v>
      </c>
      <c r="E957" s="8" t="str">
        <f t="shared" si="170"/>
        <v>N</v>
      </c>
      <c r="F957" s="8" t="str">
        <f t="shared" si="171"/>
        <v>N</v>
      </c>
      <c r="G957" s="8" t="str">
        <f t="shared" si="172"/>
        <v>N</v>
      </c>
      <c r="H957" s="8" t="str">
        <f t="shared" si="173"/>
        <v>Lower</v>
      </c>
      <c r="I957" s="8" t="str">
        <f t="shared" si="174"/>
        <v>Outside</v>
      </c>
      <c r="J957" s="8" t="str">
        <f t="shared" si="175"/>
        <v>Outside</v>
      </c>
      <c r="K957" s="8" t="str">
        <f t="shared" si="176"/>
        <v>Post-1949</v>
      </c>
      <c r="L957" s="8">
        <f t="shared" si="177"/>
        <v>1962</v>
      </c>
      <c r="M957" s="8" t="str">
        <f t="shared" si="179"/>
        <v>1960-1970</v>
      </c>
      <c r="N957" s="10" t="s">
        <v>242</v>
      </c>
      <c r="O957" s="10" t="s">
        <v>242</v>
      </c>
      <c r="P957" s="10" t="s">
        <v>242</v>
      </c>
      <c r="Q957" s="10" t="s">
        <v>242</v>
      </c>
      <c r="R957" s="10" t="s">
        <v>241</v>
      </c>
      <c r="S957" s="10" t="s">
        <v>242</v>
      </c>
      <c r="T957" s="10" t="s">
        <v>242</v>
      </c>
      <c r="U957" s="10" t="s">
        <v>241</v>
      </c>
      <c r="V957" s="10" t="s">
        <v>241</v>
      </c>
      <c r="W957" s="10" t="s">
        <v>242</v>
      </c>
      <c r="X957" s="15">
        <f>IF(ISERROR(VLOOKUP($A957,'13. Updated Demand'!A:Z,15,FALSE)),0,VLOOKUP($A957,'13. Updated Demand'!A:Z,15,FALSE))</f>
        <v>0</v>
      </c>
      <c r="Y957" s="16">
        <f>IF(ISERROR(VLOOKUP($A957,'13. Updated Demand'!A:Z,16,FALSE)),0,VLOOKUP($A957,'13. Updated Demand'!A:Z,16,FALSE))</f>
        <v>0</v>
      </c>
      <c r="Z957" s="16">
        <f>IF(ISERROR(VLOOKUP($A957,'13. Updated Demand'!A:Z,17,FALSE)),0,VLOOKUP($A957,'13. Updated Demand'!A:Z,17,FALSE))</f>
        <v>0</v>
      </c>
      <c r="AA957" s="16">
        <f>IF(ISERROR(VLOOKUP($A957,'13. Updated Demand'!A:Z,18,FALSE)),0,VLOOKUP($A957,'13. Updated Demand'!A:Z,18,FALSE))</f>
        <v>0</v>
      </c>
      <c r="AB957" s="16">
        <f>IF(ISERROR(VLOOKUP($A957,'13. Updated Demand'!A:Z,19,FALSE)),0,VLOOKUP($A957,'13. Updated Demand'!A:Z,19,FALSE))</f>
        <v>0</v>
      </c>
      <c r="AC957" s="16">
        <f>IF(ISERROR(VLOOKUP($A957,'13. Updated Demand'!A:Z,20,FALSE)),0,VLOOKUP($A957,'13. Updated Demand'!A:Z,20,FALSE))</f>
        <v>0</v>
      </c>
      <c r="AD957" s="16">
        <f>IF(ISERROR(VLOOKUP($A957,'13. Updated Demand'!A:Z,21,FALSE)),0,VLOOKUP($A957,'13. Updated Demand'!A:Z,21,FALSE))</f>
        <v>0</v>
      </c>
      <c r="AE957" s="16">
        <f>IF(ISERROR(VLOOKUP($A957,'13. Updated Demand'!A:Z,22,FALSE)),0,VLOOKUP($A957,'13. Updated Demand'!A:Z,22,FALSE))</f>
        <v>0</v>
      </c>
      <c r="AF957" s="16">
        <f>IF(ISERROR(VLOOKUP($A957,'13. Updated Demand'!A:Z,23,FALSE)),0,VLOOKUP($A957,'13. Updated Demand'!A:Z,23,FALSE))</f>
        <v>0</v>
      </c>
      <c r="AG957" s="16">
        <f>IF(ISERROR(VLOOKUP($A957,'13. Updated Demand'!A:Z,24,FALSE)),0,VLOOKUP($A957,'13. Updated Demand'!A:Z,24,FALSE))</f>
        <v>0</v>
      </c>
      <c r="AH957" s="16">
        <f>IF(ISERROR(VLOOKUP($A957,'13. Updated Demand'!A:Z,25,FALSE)),0,VLOOKUP($A957,'13. Updated Demand'!A:Z,25,FALSE))</f>
        <v>0</v>
      </c>
      <c r="AI957" s="16">
        <f>IF(ISERROR(VLOOKUP($A957,'13. Updated Demand'!A:Z,26,FALSE)),0,VLOOKUP($A957,'13. Updated Demand'!A:Z,26,FALSE))</f>
        <v>0</v>
      </c>
      <c r="AJ957" s="16">
        <f t="shared" si="180"/>
        <v>0</v>
      </c>
      <c r="AK957" s="19">
        <v>0</v>
      </c>
      <c r="AL957" s="16">
        <f t="shared" si="178"/>
        <v>0</v>
      </c>
      <c r="AM957" s="17">
        <v>0</v>
      </c>
      <c r="AN957" s="19"/>
      <c r="AO957" s="19"/>
      <c r="AP957" s="19">
        <v>7</v>
      </c>
      <c r="AQ957" s="19" t="s">
        <v>307</v>
      </c>
      <c r="AR957" s="9" t="s">
        <v>329</v>
      </c>
      <c r="AS957" s="12">
        <v>0</v>
      </c>
      <c r="AT957" s="19">
        <v>38.549314889999998</v>
      </c>
      <c r="AU957" s="19">
        <v>-123.10605253999999</v>
      </c>
      <c r="AV957" s="19" t="s">
        <v>417</v>
      </c>
    </row>
    <row r="958" spans="1:48" x14ac:dyDescent="0.25">
      <c r="A958" s="18" t="s">
        <v>1341</v>
      </c>
      <c r="B958" s="10">
        <v>19620221</v>
      </c>
      <c r="C958" s="9">
        <v>9</v>
      </c>
      <c r="D958" s="8" t="str">
        <f t="shared" si="169"/>
        <v>N</v>
      </c>
      <c r="E958" s="8" t="str">
        <f t="shared" si="170"/>
        <v>Y</v>
      </c>
      <c r="F958" s="8" t="str">
        <f t="shared" si="171"/>
        <v>Y</v>
      </c>
      <c r="G958" s="8" t="str">
        <f t="shared" si="172"/>
        <v>Y</v>
      </c>
      <c r="H958" s="8" t="str">
        <f t="shared" si="173"/>
        <v>Upper</v>
      </c>
      <c r="I958" s="8" t="str">
        <f t="shared" si="174"/>
        <v>West Fork and Below Lake</v>
      </c>
      <c r="J958" s="8" t="str">
        <f t="shared" si="175"/>
        <v>Sonoma (d/s of Clov. Gage)</v>
      </c>
      <c r="K958" s="8" t="str">
        <f t="shared" si="176"/>
        <v>Post-1949</v>
      </c>
      <c r="L958" s="8">
        <f t="shared" si="177"/>
        <v>1962</v>
      </c>
      <c r="M958" s="8" t="str">
        <f t="shared" si="179"/>
        <v>1960-1970</v>
      </c>
      <c r="N958" s="10" t="s">
        <v>241</v>
      </c>
      <c r="O958" s="10" t="s">
        <v>241</v>
      </c>
      <c r="P958" s="10" t="s">
        <v>242</v>
      </c>
      <c r="Q958" s="10" t="s">
        <v>242</v>
      </c>
      <c r="R958" s="10" t="s">
        <v>241</v>
      </c>
      <c r="S958" s="10" t="s">
        <v>242</v>
      </c>
      <c r="T958" s="10" t="s">
        <v>242</v>
      </c>
      <c r="U958" s="10" t="s">
        <v>241</v>
      </c>
      <c r="V958" s="10" t="s">
        <v>241</v>
      </c>
      <c r="W958" s="10" t="s">
        <v>242</v>
      </c>
      <c r="X958" s="15">
        <f>IF(ISERROR(VLOOKUP($A958,'13. Updated Demand'!A:Z,15,FALSE)),0,VLOOKUP($A958,'13. Updated Demand'!A:Z,15,FALSE))</f>
        <v>0</v>
      </c>
      <c r="Y958" s="16">
        <f>IF(ISERROR(VLOOKUP($A958,'13. Updated Demand'!A:Z,16,FALSE)),0,VLOOKUP($A958,'13. Updated Demand'!A:Z,16,FALSE))</f>
        <v>0</v>
      </c>
      <c r="Z958" s="16">
        <f>IF(ISERROR(VLOOKUP($A958,'13. Updated Demand'!A:Z,17,FALSE)),0,VLOOKUP($A958,'13. Updated Demand'!A:Z,17,FALSE))</f>
        <v>0</v>
      </c>
      <c r="AA958" s="16">
        <f>IF(ISERROR(VLOOKUP($A958,'13. Updated Demand'!A:Z,18,FALSE)),0,VLOOKUP($A958,'13. Updated Demand'!A:Z,18,FALSE))</f>
        <v>0</v>
      </c>
      <c r="AB958" s="16">
        <f>IF(ISERROR(VLOOKUP($A958,'13. Updated Demand'!A:Z,19,FALSE)),0,VLOOKUP($A958,'13. Updated Demand'!A:Z,19,FALSE))</f>
        <v>0</v>
      </c>
      <c r="AC958" s="16">
        <f>IF(ISERROR(VLOOKUP($A958,'13. Updated Demand'!A:Z,20,FALSE)),0,VLOOKUP($A958,'13. Updated Demand'!A:Z,20,FALSE))</f>
        <v>0</v>
      </c>
      <c r="AD958" s="16">
        <f>IF(ISERROR(VLOOKUP($A958,'13. Updated Demand'!A:Z,21,FALSE)),0,VLOOKUP($A958,'13. Updated Demand'!A:Z,21,FALSE))</f>
        <v>0</v>
      </c>
      <c r="AE958" s="16">
        <f>IF(ISERROR(VLOOKUP($A958,'13. Updated Demand'!A:Z,22,FALSE)),0,VLOOKUP($A958,'13. Updated Demand'!A:Z,22,FALSE))</f>
        <v>0</v>
      </c>
      <c r="AF958" s="16">
        <f>IF(ISERROR(VLOOKUP($A958,'13. Updated Demand'!A:Z,23,FALSE)),0,VLOOKUP($A958,'13. Updated Demand'!A:Z,23,FALSE))</f>
        <v>0</v>
      </c>
      <c r="AG958" s="16">
        <f>IF(ISERROR(VLOOKUP($A958,'13. Updated Demand'!A:Z,24,FALSE)),0,VLOOKUP($A958,'13. Updated Demand'!A:Z,24,FALSE))</f>
        <v>0</v>
      </c>
      <c r="AH958" s="16">
        <f>IF(ISERROR(VLOOKUP($A958,'13. Updated Demand'!A:Z,25,FALSE)),0,VLOOKUP($A958,'13. Updated Demand'!A:Z,25,FALSE))</f>
        <v>0</v>
      </c>
      <c r="AI958" s="16">
        <f>IF(ISERROR(VLOOKUP($A958,'13. Updated Demand'!A:Z,26,FALSE)),0,VLOOKUP($A958,'13. Updated Demand'!A:Z,26,FALSE))</f>
        <v>0</v>
      </c>
      <c r="AJ958" s="16">
        <f t="shared" si="180"/>
        <v>0</v>
      </c>
      <c r="AK958" s="19">
        <v>0</v>
      </c>
      <c r="AL958" s="16">
        <f t="shared" si="178"/>
        <v>0</v>
      </c>
      <c r="AM958" s="17">
        <v>0</v>
      </c>
      <c r="AN958" s="19"/>
      <c r="AO958" s="19"/>
      <c r="AP958" s="19">
        <v>23</v>
      </c>
      <c r="AQ958" s="19" t="s">
        <v>307</v>
      </c>
      <c r="AR958" s="9" t="s">
        <v>354</v>
      </c>
      <c r="AS958" s="12">
        <v>0</v>
      </c>
      <c r="AT958" s="19">
        <v>38.733710670000001</v>
      </c>
      <c r="AU958" s="19">
        <v>-122.93466979</v>
      </c>
      <c r="AV958" s="19" t="s">
        <v>387</v>
      </c>
    </row>
    <row r="959" spans="1:48" x14ac:dyDescent="0.25">
      <c r="A959" s="18" t="s">
        <v>1342</v>
      </c>
      <c r="B959" s="10">
        <v>19620302</v>
      </c>
      <c r="C959" s="9">
        <v>23</v>
      </c>
      <c r="D959" s="8" t="str">
        <f t="shared" si="169"/>
        <v>N</v>
      </c>
      <c r="E959" s="8" t="str">
        <f t="shared" si="170"/>
        <v>N</v>
      </c>
      <c r="F959" s="8" t="str">
        <f t="shared" si="171"/>
        <v>N</v>
      </c>
      <c r="G959" s="8" t="str">
        <f t="shared" si="172"/>
        <v>N</v>
      </c>
      <c r="H959" s="8" t="str">
        <f t="shared" si="173"/>
        <v>Lower</v>
      </c>
      <c r="I959" s="8" t="str">
        <f t="shared" si="174"/>
        <v>Outside</v>
      </c>
      <c r="J959" s="8" t="str">
        <f t="shared" si="175"/>
        <v>Outside</v>
      </c>
      <c r="K959" s="8" t="str">
        <f t="shared" si="176"/>
        <v>Post-1949</v>
      </c>
      <c r="L959" s="8">
        <f t="shared" si="177"/>
        <v>1962</v>
      </c>
      <c r="M959" s="8" t="str">
        <f t="shared" si="179"/>
        <v>1960-1970</v>
      </c>
      <c r="N959" s="10" t="s">
        <v>242</v>
      </c>
      <c r="O959" s="10" t="s">
        <v>242</v>
      </c>
      <c r="P959" s="10" t="s">
        <v>242</v>
      </c>
      <c r="Q959" s="10" t="s">
        <v>242</v>
      </c>
      <c r="R959" s="10" t="s">
        <v>241</v>
      </c>
      <c r="S959" s="10" t="s">
        <v>242</v>
      </c>
      <c r="T959" s="10" t="s">
        <v>242</v>
      </c>
      <c r="U959" s="10" t="s">
        <v>242</v>
      </c>
      <c r="V959" s="10" t="s">
        <v>242</v>
      </c>
      <c r="W959" s="10" t="s">
        <v>242</v>
      </c>
      <c r="X959" s="15">
        <f>IF(ISERROR(VLOOKUP($A959,'13. Updated Demand'!A:Z,15,FALSE)),0,VLOOKUP($A959,'13. Updated Demand'!A:Z,15,FALSE))</f>
        <v>0.1</v>
      </c>
      <c r="Y959" s="16">
        <f>IF(ISERROR(VLOOKUP($A959,'13. Updated Demand'!A:Z,16,FALSE)),0,VLOOKUP($A959,'13. Updated Demand'!A:Z,16,FALSE))</f>
        <v>0.133333333</v>
      </c>
      <c r="Z959" s="16">
        <f>IF(ISERROR(VLOOKUP($A959,'13. Updated Demand'!A:Z,17,FALSE)),0,VLOOKUP($A959,'13. Updated Demand'!A:Z,17,FALSE))</f>
        <v>0.116666667</v>
      </c>
      <c r="AA959" s="16">
        <f>IF(ISERROR(VLOOKUP($A959,'13. Updated Demand'!A:Z,18,FALSE)),0,VLOOKUP($A959,'13. Updated Demand'!A:Z,18,FALSE))</f>
        <v>0.133333333</v>
      </c>
      <c r="AB959" s="16">
        <f>IF(ISERROR(VLOOKUP($A959,'13. Updated Demand'!A:Z,19,FALSE)),0,VLOOKUP($A959,'13. Updated Demand'!A:Z,19,FALSE))</f>
        <v>0.233333333</v>
      </c>
      <c r="AC959" s="16">
        <f>IF(ISERROR(VLOOKUP($A959,'13. Updated Demand'!A:Z,20,FALSE)),0,VLOOKUP($A959,'13. Updated Demand'!A:Z,20,FALSE))</f>
        <v>0.25</v>
      </c>
      <c r="AD959" s="16">
        <f>IF(ISERROR(VLOOKUP($A959,'13. Updated Demand'!A:Z,21,FALSE)),0,VLOOKUP($A959,'13. Updated Demand'!A:Z,21,FALSE))</f>
        <v>0.25</v>
      </c>
      <c r="AE959" s="16">
        <f>IF(ISERROR(VLOOKUP($A959,'13. Updated Demand'!A:Z,22,FALSE)),0,VLOOKUP($A959,'13. Updated Demand'!A:Z,22,FALSE))</f>
        <v>0.28333333300000002</v>
      </c>
      <c r="AF959" s="16">
        <f>IF(ISERROR(VLOOKUP($A959,'13. Updated Demand'!A:Z,23,FALSE)),0,VLOOKUP($A959,'13. Updated Demand'!A:Z,23,FALSE))</f>
        <v>0.33333333300000001</v>
      </c>
      <c r="AG959" s="16">
        <f>IF(ISERROR(VLOOKUP($A959,'13. Updated Demand'!A:Z,24,FALSE)),0,VLOOKUP($A959,'13. Updated Demand'!A:Z,24,FALSE))</f>
        <v>0.2</v>
      </c>
      <c r="AH959" s="16">
        <f>IF(ISERROR(VLOOKUP($A959,'13. Updated Demand'!A:Z,25,FALSE)),0,VLOOKUP($A959,'13. Updated Demand'!A:Z,25,FALSE))</f>
        <v>0</v>
      </c>
      <c r="AI959" s="16">
        <f>IF(ISERROR(VLOOKUP($A959,'13. Updated Demand'!A:Z,26,FALSE)),0,VLOOKUP($A959,'13. Updated Demand'!A:Z,26,FALSE))</f>
        <v>0</v>
      </c>
      <c r="AJ959" s="16">
        <f t="shared" si="180"/>
        <v>2.0333333320000002</v>
      </c>
      <c r="AK959" s="19">
        <v>1.349999999</v>
      </c>
      <c r="AL959" s="16">
        <f t="shared" si="178"/>
        <v>4.477796217232051E-3</v>
      </c>
      <c r="AM959" s="17">
        <v>0.13555555546666667</v>
      </c>
      <c r="AN959" s="19"/>
      <c r="AO959" s="19"/>
      <c r="AP959" s="19">
        <v>15</v>
      </c>
      <c r="AQ959" s="19" t="s">
        <v>307</v>
      </c>
      <c r="AR959" s="9" t="s">
        <v>391</v>
      </c>
      <c r="AS959" s="12">
        <v>0</v>
      </c>
      <c r="AT959" s="19">
        <v>38.579712020000002</v>
      </c>
      <c r="AU959" s="19">
        <v>-122.77837613</v>
      </c>
      <c r="AV959" s="19" t="s">
        <v>573</v>
      </c>
    </row>
    <row r="960" spans="1:48" x14ac:dyDescent="0.25">
      <c r="A960" s="18" t="s">
        <v>1343</v>
      </c>
      <c r="B960" s="10">
        <v>19620316</v>
      </c>
      <c r="C960" s="9">
        <v>1</v>
      </c>
      <c r="D960" s="8" t="str">
        <f t="shared" si="169"/>
        <v>N</v>
      </c>
      <c r="E960" s="8" t="str">
        <f t="shared" si="170"/>
        <v>N</v>
      </c>
      <c r="F960" s="8" t="str">
        <f t="shared" si="171"/>
        <v>Y</v>
      </c>
      <c r="G960" s="8" t="str">
        <f t="shared" si="172"/>
        <v>Y</v>
      </c>
      <c r="H960" s="8" t="str">
        <f t="shared" si="173"/>
        <v>Upper</v>
      </c>
      <c r="I960" s="8" t="str">
        <f t="shared" si="174"/>
        <v>West Fork and Below Lake</v>
      </c>
      <c r="J960" s="8" t="str">
        <f t="shared" si="175"/>
        <v>Outside</v>
      </c>
      <c r="K960" s="8" t="str">
        <f t="shared" si="176"/>
        <v>Post-1949</v>
      </c>
      <c r="L960" s="8">
        <f t="shared" si="177"/>
        <v>1962</v>
      </c>
      <c r="M960" s="8" t="str">
        <f t="shared" si="179"/>
        <v>1960-1970</v>
      </c>
      <c r="N960" s="10" t="s">
        <v>242</v>
      </c>
      <c r="O960" s="10" t="s">
        <v>241</v>
      </c>
      <c r="P960" s="10" t="s">
        <v>242</v>
      </c>
      <c r="Q960" s="10" t="s">
        <v>242</v>
      </c>
      <c r="R960" s="10" t="s">
        <v>241</v>
      </c>
      <c r="S960" s="10" t="s">
        <v>242</v>
      </c>
      <c r="T960" s="10" t="s">
        <v>242</v>
      </c>
      <c r="U960" s="10" t="s">
        <v>242</v>
      </c>
      <c r="V960" s="10" t="s">
        <v>242</v>
      </c>
      <c r="W960" s="10" t="s">
        <v>242</v>
      </c>
      <c r="X960" s="15">
        <f>IF(ISERROR(VLOOKUP($A960,'13. Updated Demand'!A:Z,15,FALSE)),0,VLOOKUP($A960,'13. Updated Demand'!A:Z,15,FALSE))</f>
        <v>8.73</v>
      </c>
      <c r="Y960" s="16">
        <f>IF(ISERROR(VLOOKUP($A960,'13. Updated Demand'!A:Z,16,FALSE)),0,VLOOKUP($A960,'13. Updated Demand'!A:Z,16,FALSE))</f>
        <v>7.48</v>
      </c>
      <c r="Z960" s="16">
        <f>IF(ISERROR(VLOOKUP($A960,'13. Updated Demand'!A:Z,17,FALSE)),0,VLOOKUP($A960,'13. Updated Demand'!A:Z,17,FALSE))</f>
        <v>4.13</v>
      </c>
      <c r="AA960" s="16">
        <f>IF(ISERROR(VLOOKUP($A960,'13. Updated Demand'!A:Z,18,FALSE)),0,VLOOKUP($A960,'13. Updated Demand'!A:Z,18,FALSE))</f>
        <v>2.4</v>
      </c>
      <c r="AB960" s="16">
        <f>IF(ISERROR(VLOOKUP($A960,'13. Updated Demand'!A:Z,19,FALSE)),0,VLOOKUP($A960,'13. Updated Demand'!A:Z,19,FALSE))</f>
        <v>1.42</v>
      </c>
      <c r="AC960" s="16">
        <f>IF(ISERROR(VLOOKUP($A960,'13. Updated Demand'!A:Z,20,FALSE)),0,VLOOKUP($A960,'13. Updated Demand'!A:Z,20,FALSE))</f>
        <v>0.4</v>
      </c>
      <c r="AD960" s="16">
        <f>IF(ISERROR(VLOOKUP($A960,'13. Updated Demand'!A:Z,21,FALSE)),0,VLOOKUP($A960,'13. Updated Demand'!A:Z,21,FALSE))</f>
        <v>0</v>
      </c>
      <c r="AE960" s="16">
        <f>IF(ISERROR(VLOOKUP($A960,'13. Updated Demand'!A:Z,22,FALSE)),0,VLOOKUP($A960,'13. Updated Demand'!A:Z,22,FALSE))</f>
        <v>0.01</v>
      </c>
      <c r="AF960" s="16">
        <f>IF(ISERROR(VLOOKUP($A960,'13. Updated Demand'!A:Z,23,FALSE)),0,VLOOKUP($A960,'13. Updated Demand'!A:Z,23,FALSE))</f>
        <v>0.24</v>
      </c>
      <c r="AG960" s="16">
        <f>IF(ISERROR(VLOOKUP($A960,'13. Updated Demand'!A:Z,24,FALSE)),0,VLOOKUP($A960,'13. Updated Demand'!A:Z,24,FALSE))</f>
        <v>0</v>
      </c>
      <c r="AH960" s="16">
        <f>IF(ISERROR(VLOOKUP($A960,'13. Updated Demand'!A:Z,25,FALSE)),0,VLOOKUP($A960,'13. Updated Demand'!A:Z,25,FALSE))</f>
        <v>1.73</v>
      </c>
      <c r="AI960" s="16">
        <f>IF(ISERROR(VLOOKUP($A960,'13. Updated Demand'!A:Z,26,FALSE)),0,VLOOKUP($A960,'13. Updated Demand'!A:Z,26,FALSE))</f>
        <v>3.14</v>
      </c>
      <c r="AJ960" s="16">
        <f t="shared" si="180"/>
        <v>29.679999999999996</v>
      </c>
      <c r="AK960" s="19">
        <v>2.08</v>
      </c>
      <c r="AL960" s="16">
        <f t="shared" si="178"/>
        <v>6.8991230657346591E-3</v>
      </c>
      <c r="AM960" s="17">
        <v>0.84866666662857126</v>
      </c>
      <c r="AN960" s="19"/>
      <c r="AO960" s="19"/>
      <c r="AP960" s="19">
        <v>35</v>
      </c>
      <c r="AQ960" s="19" t="s">
        <v>307</v>
      </c>
      <c r="AR960" s="9" t="s">
        <v>317</v>
      </c>
      <c r="AS960" s="12">
        <v>0</v>
      </c>
      <c r="AT960" s="19">
        <v>39.298556490000003</v>
      </c>
      <c r="AU960" s="19">
        <v>-123.20330079999999</v>
      </c>
      <c r="AV960" s="19" t="s">
        <v>417</v>
      </c>
    </row>
    <row r="961" spans="1:48" x14ac:dyDescent="0.25">
      <c r="A961" s="18" t="s">
        <v>1344</v>
      </c>
      <c r="B961" s="10">
        <v>19620320</v>
      </c>
      <c r="C961" s="9">
        <v>5</v>
      </c>
      <c r="D961" s="8" t="str">
        <f t="shared" si="169"/>
        <v>Y</v>
      </c>
      <c r="E961" s="8" t="str">
        <f t="shared" si="170"/>
        <v>N</v>
      </c>
      <c r="F961" s="8" t="str">
        <f t="shared" si="171"/>
        <v>Y</v>
      </c>
      <c r="G961" s="8" t="str">
        <f t="shared" si="172"/>
        <v>Y</v>
      </c>
      <c r="H961" s="8" t="str">
        <f t="shared" si="173"/>
        <v>Upper</v>
      </c>
      <c r="I961" s="8" t="str">
        <f t="shared" si="174"/>
        <v>West Fork and Below Lake</v>
      </c>
      <c r="J961" s="8" t="str">
        <f t="shared" si="175"/>
        <v>Mendocino (d/s of lake)</v>
      </c>
      <c r="K961" s="8" t="str">
        <f t="shared" si="176"/>
        <v>Post-1949</v>
      </c>
      <c r="L961" s="8">
        <f t="shared" si="177"/>
        <v>1962</v>
      </c>
      <c r="M961" s="8" t="str">
        <f t="shared" si="179"/>
        <v>1960-1970</v>
      </c>
      <c r="N961" s="10" t="s">
        <v>241</v>
      </c>
      <c r="O961" s="10" t="s">
        <v>241</v>
      </c>
      <c r="P961" s="10" t="s">
        <v>242</v>
      </c>
      <c r="Q961" s="10" t="s">
        <v>242</v>
      </c>
      <c r="R961" s="10" t="s">
        <v>241</v>
      </c>
      <c r="S961" s="10" t="s">
        <v>242</v>
      </c>
      <c r="T961" s="10" t="s">
        <v>242</v>
      </c>
      <c r="U961" s="10" t="s">
        <v>242</v>
      </c>
      <c r="V961" s="10" t="s">
        <v>242</v>
      </c>
      <c r="W961" s="10" t="s">
        <v>242</v>
      </c>
      <c r="X961" s="15">
        <f>IF(ISERROR(VLOOKUP($A961,'13. Updated Demand'!A:Z,15,FALSE)),0,VLOOKUP($A961,'13. Updated Demand'!A:Z,15,FALSE))</f>
        <v>0</v>
      </c>
      <c r="Y961" s="16">
        <f>IF(ISERROR(VLOOKUP($A961,'13. Updated Demand'!A:Z,16,FALSE)),0,VLOOKUP($A961,'13. Updated Demand'!A:Z,16,FALSE))</f>
        <v>0</v>
      </c>
      <c r="Z961" s="16">
        <f>IF(ISERROR(VLOOKUP($A961,'13. Updated Demand'!A:Z,17,FALSE)),0,VLOOKUP($A961,'13. Updated Demand'!A:Z,17,FALSE))</f>
        <v>0</v>
      </c>
      <c r="AA961" s="16">
        <f>IF(ISERROR(VLOOKUP($A961,'13. Updated Demand'!A:Z,18,FALSE)),0,VLOOKUP($A961,'13. Updated Demand'!A:Z,18,FALSE))</f>
        <v>0</v>
      </c>
      <c r="AB961" s="16">
        <f>IF(ISERROR(VLOOKUP($A961,'13. Updated Demand'!A:Z,19,FALSE)),0,VLOOKUP($A961,'13. Updated Demand'!A:Z,19,FALSE))</f>
        <v>2.84</v>
      </c>
      <c r="AC961" s="16">
        <f>IF(ISERROR(VLOOKUP($A961,'13. Updated Demand'!A:Z,20,FALSE)),0,VLOOKUP($A961,'13. Updated Demand'!A:Z,20,FALSE))</f>
        <v>9.35</v>
      </c>
      <c r="AD961" s="16">
        <f>IF(ISERROR(VLOOKUP($A961,'13. Updated Demand'!A:Z,21,FALSE)),0,VLOOKUP($A961,'13. Updated Demand'!A:Z,21,FALSE))</f>
        <v>9.48</v>
      </c>
      <c r="AE961" s="16">
        <f>IF(ISERROR(VLOOKUP($A961,'13. Updated Demand'!A:Z,22,FALSE)),0,VLOOKUP($A961,'13. Updated Demand'!A:Z,22,FALSE))</f>
        <v>9.91</v>
      </c>
      <c r="AF961" s="16">
        <f>IF(ISERROR(VLOOKUP($A961,'13. Updated Demand'!A:Z,23,FALSE)),0,VLOOKUP($A961,'13. Updated Demand'!A:Z,23,FALSE))</f>
        <v>4.2300000000000004</v>
      </c>
      <c r="AG961" s="16">
        <f>IF(ISERROR(VLOOKUP($A961,'13. Updated Demand'!A:Z,24,FALSE)),0,VLOOKUP($A961,'13. Updated Demand'!A:Z,24,FALSE))</f>
        <v>0</v>
      </c>
      <c r="AH961" s="16">
        <f>IF(ISERROR(VLOOKUP($A961,'13. Updated Demand'!A:Z,25,FALSE)),0,VLOOKUP($A961,'13. Updated Demand'!A:Z,25,FALSE))</f>
        <v>0</v>
      </c>
      <c r="AI961" s="16">
        <f>IF(ISERROR(VLOOKUP($A961,'13. Updated Demand'!A:Z,26,FALSE)),0,VLOOKUP($A961,'13. Updated Demand'!A:Z,26,FALSE))</f>
        <v>0</v>
      </c>
      <c r="AJ961" s="16">
        <f t="shared" si="180"/>
        <v>35.81</v>
      </c>
      <c r="AK961" s="19">
        <v>35.832333333333331</v>
      </c>
      <c r="AL961" s="16">
        <f t="shared" si="178"/>
        <v>0.1188517679803331</v>
      </c>
      <c r="AM961" s="17">
        <v>0.40261048689138573</v>
      </c>
      <c r="AN961" s="19"/>
      <c r="AO961" s="19"/>
      <c r="AP961" s="19">
        <v>89</v>
      </c>
      <c r="AQ961" s="19" t="s">
        <v>307</v>
      </c>
      <c r="AR961" s="9" t="s">
        <v>333</v>
      </c>
      <c r="AS961" s="12">
        <v>0</v>
      </c>
      <c r="AT961" s="19">
        <v>39.091277570000003</v>
      </c>
      <c r="AU961" s="19">
        <v>-123.1726489</v>
      </c>
      <c r="AV961" s="19" t="s">
        <v>387</v>
      </c>
    </row>
    <row r="962" spans="1:48" x14ac:dyDescent="0.25">
      <c r="A962" s="18" t="s">
        <v>1345</v>
      </c>
      <c r="B962" s="10">
        <v>19620412</v>
      </c>
      <c r="C962" s="9">
        <v>8</v>
      </c>
      <c r="D962" s="8" t="str">
        <f t="shared" ref="D962:D1025" si="181">IF(OR(C962=4,C962=5,C962=6),"Y","N")</f>
        <v>N</v>
      </c>
      <c r="E962" s="8" t="str">
        <f t="shared" ref="E962:E1025" si="182">IF(AND(C962&gt;6,C962&lt;14),"Y","N")</f>
        <v>Y</v>
      </c>
      <c r="F962" s="8" t="str">
        <f t="shared" ref="F962:F1025" si="183">IF(C962&lt;14,"Y","N")</f>
        <v>Y</v>
      </c>
      <c r="G962" s="8" t="str">
        <f t="shared" ref="G962:G1025" si="184">IF(OR(C962=1,AND(C962&gt;3,C962&lt;14)),"Y","N")</f>
        <v>Y</v>
      </c>
      <c r="H962" s="8" t="str">
        <f t="shared" ref="H962:H1025" si="185">IF(C962&lt;14,"Upper","Lower")</f>
        <v>Upper</v>
      </c>
      <c r="I962" s="8" t="str">
        <f t="shared" ref="I962:I1025" si="186">IF(G962="Y","West Fork and Below Lake","Outside")</f>
        <v>West Fork and Below Lake</v>
      </c>
      <c r="J962" s="8" t="str">
        <f t="shared" ref="J962:J1025" si="187">IF(D962="Y", "Mendocino (d/s of lake)", IF(E962="Y", "Sonoma (d/s of Clov. Gage)","Outside"))</f>
        <v>Sonoma (d/s of Clov. Gage)</v>
      </c>
      <c r="K962" s="8" t="str">
        <f t="shared" ref="K962:K1025" si="188">IF(P962="Y","pre-1914",IF(Q962="Y","Pre-1949",IF(R962="Y","Post-1949",IF(S962="Y","Riparian","Unknown"))))</f>
        <v>Post-1949</v>
      </c>
      <c r="L962" s="8">
        <f t="shared" ref="L962:L1025" si="189">_xlfn.NUMBERVALUE(LEFT(B962,4))</f>
        <v>1962</v>
      </c>
      <c r="M962" s="8" t="str">
        <f t="shared" si="179"/>
        <v>1960-1970</v>
      </c>
      <c r="N962" s="10" t="s">
        <v>242</v>
      </c>
      <c r="O962" s="10" t="s">
        <v>241</v>
      </c>
      <c r="P962" s="10" t="s">
        <v>242</v>
      </c>
      <c r="Q962" s="10" t="s">
        <v>242</v>
      </c>
      <c r="R962" s="10" t="s">
        <v>241</v>
      </c>
      <c r="S962" s="10" t="s">
        <v>242</v>
      </c>
      <c r="T962" s="10" t="s">
        <v>242</v>
      </c>
      <c r="U962" s="10" t="s">
        <v>242</v>
      </c>
      <c r="V962" s="10" t="s">
        <v>241</v>
      </c>
      <c r="W962" s="10" t="s">
        <v>242</v>
      </c>
      <c r="X962" s="15">
        <f>IF(ISERROR(VLOOKUP($A962,'13. Updated Demand'!A:Z,15,FALSE)),0,VLOOKUP($A962,'13. Updated Demand'!A:Z,15,FALSE))</f>
        <v>0.66</v>
      </c>
      <c r="Y962" s="16">
        <f>IF(ISERROR(VLOOKUP($A962,'13. Updated Demand'!A:Z,16,FALSE)),0,VLOOKUP($A962,'13. Updated Demand'!A:Z,16,FALSE))</f>
        <v>1</v>
      </c>
      <c r="Z962" s="16">
        <f>IF(ISERROR(VLOOKUP($A962,'13. Updated Demand'!A:Z,17,FALSE)),0,VLOOKUP($A962,'13. Updated Demand'!A:Z,17,FALSE))</f>
        <v>1.33</v>
      </c>
      <c r="AA962" s="16">
        <f>IF(ISERROR(VLOOKUP($A962,'13. Updated Demand'!A:Z,18,FALSE)),0,VLOOKUP($A962,'13. Updated Demand'!A:Z,18,FALSE))</f>
        <v>1.33</v>
      </c>
      <c r="AB962" s="16">
        <f>IF(ISERROR(VLOOKUP($A962,'13. Updated Demand'!A:Z,19,FALSE)),0,VLOOKUP($A962,'13. Updated Demand'!A:Z,19,FALSE))</f>
        <v>0</v>
      </c>
      <c r="AC962" s="16">
        <f>IF(ISERROR(VLOOKUP($A962,'13. Updated Demand'!A:Z,20,FALSE)),0,VLOOKUP($A962,'13. Updated Demand'!A:Z,20,FALSE))</f>
        <v>0</v>
      </c>
      <c r="AD962" s="16">
        <f>IF(ISERROR(VLOOKUP($A962,'13. Updated Demand'!A:Z,21,FALSE)),0,VLOOKUP($A962,'13. Updated Demand'!A:Z,21,FALSE))</f>
        <v>0</v>
      </c>
      <c r="AE962" s="16">
        <f>IF(ISERROR(VLOOKUP($A962,'13. Updated Demand'!A:Z,22,FALSE)),0,VLOOKUP($A962,'13. Updated Demand'!A:Z,22,FALSE))</f>
        <v>0</v>
      </c>
      <c r="AF962" s="16">
        <f>IF(ISERROR(VLOOKUP($A962,'13. Updated Demand'!A:Z,23,FALSE)),0,VLOOKUP($A962,'13. Updated Demand'!A:Z,23,FALSE))</f>
        <v>0</v>
      </c>
      <c r="AG962" s="16">
        <f>IF(ISERROR(VLOOKUP($A962,'13. Updated Demand'!A:Z,24,FALSE)),0,VLOOKUP($A962,'13. Updated Demand'!A:Z,24,FALSE))</f>
        <v>0.66</v>
      </c>
      <c r="AH962" s="16">
        <f>IF(ISERROR(VLOOKUP($A962,'13. Updated Demand'!A:Z,25,FALSE)),0,VLOOKUP($A962,'13. Updated Demand'!A:Z,25,FALSE))</f>
        <v>1</v>
      </c>
      <c r="AI962" s="16">
        <f>IF(ISERROR(VLOOKUP($A962,'13. Updated Demand'!A:Z,26,FALSE)),0,VLOOKUP($A962,'13. Updated Demand'!A:Z,26,FALSE))</f>
        <v>1</v>
      </c>
      <c r="AJ962" s="16">
        <f t="shared" si="180"/>
        <v>6.98</v>
      </c>
      <c r="AK962" s="19">
        <v>0</v>
      </c>
      <c r="AL962" s="16">
        <f t="shared" ref="AL962:AL1025" si="190">AK962/152/1.983471</f>
        <v>0</v>
      </c>
      <c r="AM962" s="17">
        <v>0.4375</v>
      </c>
      <c r="AN962" s="19"/>
      <c r="AO962" s="19"/>
      <c r="AP962" s="19">
        <v>16</v>
      </c>
      <c r="AQ962" s="19" t="s">
        <v>307</v>
      </c>
      <c r="AR962" s="9" t="s">
        <v>409</v>
      </c>
      <c r="AS962" s="12">
        <v>0</v>
      </c>
      <c r="AT962" s="19">
        <v>38.775054240000003</v>
      </c>
      <c r="AU962" s="19">
        <v>-122.89767727</v>
      </c>
      <c r="AV962" s="19" t="s">
        <v>573</v>
      </c>
    </row>
    <row r="963" spans="1:48" x14ac:dyDescent="0.25">
      <c r="A963" s="18" t="s">
        <v>1346</v>
      </c>
      <c r="B963" s="10">
        <v>19620504</v>
      </c>
      <c r="C963" s="9">
        <v>17</v>
      </c>
      <c r="D963" s="8" t="str">
        <f t="shared" si="181"/>
        <v>N</v>
      </c>
      <c r="E963" s="8" t="str">
        <f t="shared" si="182"/>
        <v>N</v>
      </c>
      <c r="F963" s="8" t="str">
        <f t="shared" si="183"/>
        <v>N</v>
      </c>
      <c r="G963" s="8" t="str">
        <f t="shared" si="184"/>
        <v>N</v>
      </c>
      <c r="H963" s="8" t="str">
        <f t="shared" si="185"/>
        <v>Lower</v>
      </c>
      <c r="I963" s="8" t="str">
        <f t="shared" si="186"/>
        <v>Outside</v>
      </c>
      <c r="J963" s="8" t="str">
        <f t="shared" si="187"/>
        <v>Outside</v>
      </c>
      <c r="K963" s="8" t="str">
        <f t="shared" si="188"/>
        <v>Post-1949</v>
      </c>
      <c r="L963" s="8">
        <f t="shared" si="189"/>
        <v>1962</v>
      </c>
      <c r="M963" s="8" t="str">
        <f t="shared" ref="M963:M1026" si="191">IF(L963=1949,"1949",IF(AND(L963&gt;1949,L963&lt;1953),"1950-1952",IF(AND(L963&gt;1952,L963&lt;1955),"1953-1954",IF(AND(L963&gt;1954,L963&lt;1957),"1955-1956",IF(AND(L963&gt;1956,L963&lt;1960),"1957-1959",IF(AND(L963&gt;1959,L963&lt;1971),"1960-1970",IF(AND(L963&gt;1970,L963&lt;1991),"1971-1990",IF(L963&gt;1990,"1991-present","-"))))))))</f>
        <v>1960-1970</v>
      </c>
      <c r="N963" s="10" t="s">
        <v>242</v>
      </c>
      <c r="O963" s="10" t="s">
        <v>242</v>
      </c>
      <c r="P963" s="10" t="s">
        <v>242</v>
      </c>
      <c r="Q963" s="10" t="s">
        <v>242</v>
      </c>
      <c r="R963" s="10" t="s">
        <v>241</v>
      </c>
      <c r="S963" s="10" t="s">
        <v>242</v>
      </c>
      <c r="T963" s="10" t="s">
        <v>242</v>
      </c>
      <c r="U963" s="10" t="s">
        <v>241</v>
      </c>
      <c r="V963" s="10" t="s">
        <v>241</v>
      </c>
      <c r="W963" s="10" t="s">
        <v>242</v>
      </c>
      <c r="X963" s="15">
        <f>IF(ISERROR(VLOOKUP($A963,'13. Updated Demand'!A:Z,15,FALSE)),0,VLOOKUP($A963,'13. Updated Demand'!A:Z,15,FALSE))</f>
        <v>0</v>
      </c>
      <c r="Y963" s="16">
        <f>IF(ISERROR(VLOOKUP($A963,'13. Updated Demand'!A:Z,16,FALSE)),0,VLOOKUP($A963,'13. Updated Demand'!A:Z,16,FALSE))</f>
        <v>0</v>
      </c>
      <c r="Z963" s="16">
        <f>IF(ISERROR(VLOOKUP($A963,'13. Updated Demand'!A:Z,17,FALSE)),0,VLOOKUP($A963,'13. Updated Demand'!A:Z,17,FALSE))</f>
        <v>0</v>
      </c>
      <c r="AA963" s="16">
        <f>IF(ISERROR(VLOOKUP($A963,'13. Updated Demand'!A:Z,18,FALSE)),0,VLOOKUP($A963,'13. Updated Demand'!A:Z,18,FALSE))</f>
        <v>0</v>
      </c>
      <c r="AB963" s="16">
        <f>IF(ISERROR(VLOOKUP($A963,'13. Updated Demand'!A:Z,19,FALSE)),0,VLOOKUP($A963,'13. Updated Demand'!A:Z,19,FALSE))</f>
        <v>0</v>
      </c>
      <c r="AC963" s="16">
        <f>IF(ISERROR(VLOOKUP($A963,'13. Updated Demand'!A:Z,20,FALSE)),0,VLOOKUP($A963,'13. Updated Demand'!A:Z,20,FALSE))</f>
        <v>0</v>
      </c>
      <c r="AD963" s="16">
        <f>IF(ISERROR(VLOOKUP($A963,'13. Updated Demand'!A:Z,21,FALSE)),0,VLOOKUP($A963,'13. Updated Demand'!A:Z,21,FALSE))</f>
        <v>0</v>
      </c>
      <c r="AE963" s="16">
        <f>IF(ISERROR(VLOOKUP($A963,'13. Updated Demand'!A:Z,22,FALSE)),0,VLOOKUP($A963,'13. Updated Demand'!A:Z,22,FALSE))</f>
        <v>0</v>
      </c>
      <c r="AF963" s="16">
        <f>IF(ISERROR(VLOOKUP($A963,'13. Updated Demand'!A:Z,23,FALSE)),0,VLOOKUP($A963,'13. Updated Demand'!A:Z,23,FALSE))</f>
        <v>0</v>
      </c>
      <c r="AG963" s="16">
        <f>IF(ISERROR(VLOOKUP($A963,'13. Updated Demand'!A:Z,24,FALSE)),0,VLOOKUP($A963,'13. Updated Demand'!A:Z,24,FALSE))</f>
        <v>0</v>
      </c>
      <c r="AH963" s="16">
        <f>IF(ISERROR(VLOOKUP($A963,'13. Updated Demand'!A:Z,25,FALSE)),0,VLOOKUP($A963,'13. Updated Demand'!A:Z,25,FALSE))</f>
        <v>0</v>
      </c>
      <c r="AI963" s="16">
        <f>IF(ISERROR(VLOOKUP($A963,'13. Updated Demand'!A:Z,26,FALSE)),0,VLOOKUP($A963,'13. Updated Demand'!A:Z,26,FALSE))</f>
        <v>0</v>
      </c>
      <c r="AJ963" s="16">
        <f t="shared" si="180"/>
        <v>0</v>
      </c>
      <c r="AK963" s="19">
        <v>0</v>
      </c>
      <c r="AL963" s="16">
        <f t="shared" si="190"/>
        <v>0</v>
      </c>
      <c r="AM963" s="17">
        <v>0</v>
      </c>
      <c r="AN963" s="19"/>
      <c r="AO963" s="19"/>
      <c r="AP963" s="19">
        <v>28</v>
      </c>
      <c r="AQ963" s="19" t="s">
        <v>307</v>
      </c>
      <c r="AR963" s="9" t="s">
        <v>486</v>
      </c>
      <c r="AS963" s="12">
        <v>0</v>
      </c>
      <c r="AT963" s="19">
        <v>38.560294990000003</v>
      </c>
      <c r="AU963" s="19">
        <v>-122.88238659</v>
      </c>
      <c r="AV963" s="19" t="s">
        <v>417</v>
      </c>
    </row>
    <row r="964" spans="1:48" x14ac:dyDescent="0.25">
      <c r="A964" s="18" t="s">
        <v>1347</v>
      </c>
      <c r="B964" s="10">
        <v>19620523</v>
      </c>
      <c r="C964" s="9">
        <v>17</v>
      </c>
      <c r="D964" s="8" t="str">
        <f t="shared" si="181"/>
        <v>N</v>
      </c>
      <c r="E964" s="8" t="str">
        <f t="shared" si="182"/>
        <v>N</v>
      </c>
      <c r="F964" s="8" t="str">
        <f t="shared" si="183"/>
        <v>N</v>
      </c>
      <c r="G964" s="8" t="str">
        <f t="shared" si="184"/>
        <v>N</v>
      </c>
      <c r="H964" s="8" t="str">
        <f t="shared" si="185"/>
        <v>Lower</v>
      </c>
      <c r="I964" s="8" t="str">
        <f t="shared" si="186"/>
        <v>Outside</v>
      </c>
      <c r="J964" s="8" t="str">
        <f t="shared" si="187"/>
        <v>Outside</v>
      </c>
      <c r="K964" s="8" t="str">
        <f t="shared" si="188"/>
        <v>Post-1949</v>
      </c>
      <c r="L964" s="8">
        <f t="shared" si="189"/>
        <v>1962</v>
      </c>
      <c r="M964" s="8" t="str">
        <f t="shared" si="191"/>
        <v>1960-1970</v>
      </c>
      <c r="N964" s="10" t="s">
        <v>242</v>
      </c>
      <c r="O964" s="10" t="s">
        <v>242</v>
      </c>
      <c r="P964" s="10" t="s">
        <v>242</v>
      </c>
      <c r="Q964" s="10" t="s">
        <v>242</v>
      </c>
      <c r="R964" s="10" t="s">
        <v>241</v>
      </c>
      <c r="S964" s="10" t="s">
        <v>242</v>
      </c>
      <c r="T964" s="10" t="s">
        <v>242</v>
      </c>
      <c r="U964" s="10" t="s">
        <v>242</v>
      </c>
      <c r="V964" s="10" t="s">
        <v>241</v>
      </c>
      <c r="W964" s="10" t="s">
        <v>242</v>
      </c>
      <c r="X964" s="15">
        <f>IF(ISERROR(VLOOKUP($A964,'13. Updated Demand'!A:Z,15,FALSE)),0,VLOOKUP($A964,'13. Updated Demand'!A:Z,15,FALSE))</f>
        <v>5.5</v>
      </c>
      <c r="Y964" s="16">
        <f>IF(ISERROR(VLOOKUP($A964,'13. Updated Demand'!A:Z,16,FALSE)),0,VLOOKUP($A964,'13. Updated Demand'!A:Z,16,FALSE))</f>
        <v>0</v>
      </c>
      <c r="Z964" s="16">
        <f>IF(ISERROR(VLOOKUP($A964,'13. Updated Demand'!A:Z,17,FALSE)),0,VLOOKUP($A964,'13. Updated Demand'!A:Z,17,FALSE))</f>
        <v>1.7</v>
      </c>
      <c r="AA964" s="16">
        <f>IF(ISERROR(VLOOKUP($A964,'13. Updated Demand'!A:Z,18,FALSE)),0,VLOOKUP($A964,'13. Updated Demand'!A:Z,18,FALSE))</f>
        <v>0</v>
      </c>
      <c r="AB964" s="16">
        <f>IF(ISERROR(VLOOKUP($A964,'13. Updated Demand'!A:Z,19,FALSE)),0,VLOOKUP($A964,'13. Updated Demand'!A:Z,19,FALSE))</f>
        <v>0</v>
      </c>
      <c r="AC964" s="16">
        <f>IF(ISERROR(VLOOKUP($A964,'13. Updated Demand'!A:Z,20,FALSE)),0,VLOOKUP($A964,'13. Updated Demand'!A:Z,20,FALSE))</f>
        <v>0</v>
      </c>
      <c r="AD964" s="16">
        <f>IF(ISERROR(VLOOKUP($A964,'13. Updated Demand'!A:Z,21,FALSE)),0,VLOOKUP($A964,'13. Updated Demand'!A:Z,21,FALSE))</f>
        <v>0</v>
      </c>
      <c r="AE964" s="16">
        <f>IF(ISERROR(VLOOKUP($A964,'13. Updated Demand'!A:Z,22,FALSE)),0,VLOOKUP($A964,'13. Updated Demand'!A:Z,22,FALSE))</f>
        <v>0</v>
      </c>
      <c r="AF964" s="16">
        <f>IF(ISERROR(VLOOKUP($A964,'13. Updated Demand'!A:Z,23,FALSE)),0,VLOOKUP($A964,'13. Updated Demand'!A:Z,23,FALSE))</f>
        <v>0</v>
      </c>
      <c r="AG964" s="16">
        <f>IF(ISERROR(VLOOKUP($A964,'13. Updated Demand'!A:Z,24,FALSE)),0,VLOOKUP($A964,'13. Updated Demand'!A:Z,24,FALSE))</f>
        <v>0</v>
      </c>
      <c r="AH964" s="16">
        <f>IF(ISERROR(VLOOKUP($A964,'13. Updated Demand'!A:Z,25,FALSE)),0,VLOOKUP($A964,'13. Updated Demand'!A:Z,25,FALSE))</f>
        <v>0.66666666699999999</v>
      </c>
      <c r="AI964" s="16">
        <f>IF(ISERROR(VLOOKUP($A964,'13. Updated Demand'!A:Z,26,FALSE)),0,VLOOKUP($A964,'13. Updated Demand'!A:Z,26,FALSE))</f>
        <v>3.7</v>
      </c>
      <c r="AJ964" s="16">
        <f t="shared" si="180"/>
        <v>11.566666667</v>
      </c>
      <c r="AK964" s="19">
        <v>0</v>
      </c>
      <c r="AL964" s="16">
        <f t="shared" si="190"/>
        <v>0</v>
      </c>
      <c r="AM964" s="17">
        <v>0.23750855579055441</v>
      </c>
      <c r="AN964" s="19"/>
      <c r="AO964" s="19"/>
      <c r="AP964" s="19">
        <v>48.7</v>
      </c>
      <c r="AQ964" s="19" t="s">
        <v>307</v>
      </c>
      <c r="AR964" s="9" t="s">
        <v>486</v>
      </c>
      <c r="AS964" s="12">
        <v>3.4039024194010059E-4</v>
      </c>
      <c r="AT964" s="19">
        <v>38.573500000000003</v>
      </c>
      <c r="AU964" s="19">
        <v>-122.8768</v>
      </c>
      <c r="AV964" s="19" t="s">
        <v>417</v>
      </c>
    </row>
    <row r="965" spans="1:48" x14ac:dyDescent="0.25">
      <c r="A965" s="18" t="s">
        <v>1348</v>
      </c>
      <c r="B965" s="10">
        <v>19620524</v>
      </c>
      <c r="C965" s="9">
        <v>1</v>
      </c>
      <c r="D965" s="8" t="str">
        <f t="shared" si="181"/>
        <v>N</v>
      </c>
      <c r="E965" s="8" t="str">
        <f t="shared" si="182"/>
        <v>N</v>
      </c>
      <c r="F965" s="8" t="str">
        <f t="shared" si="183"/>
        <v>Y</v>
      </c>
      <c r="G965" s="8" t="str">
        <f t="shared" si="184"/>
        <v>Y</v>
      </c>
      <c r="H965" s="8" t="str">
        <f t="shared" si="185"/>
        <v>Upper</v>
      </c>
      <c r="I965" s="8" t="str">
        <f t="shared" si="186"/>
        <v>West Fork and Below Lake</v>
      </c>
      <c r="J965" s="8" t="str">
        <f t="shared" si="187"/>
        <v>Outside</v>
      </c>
      <c r="K965" s="8" t="str">
        <f t="shared" si="188"/>
        <v>Post-1949</v>
      </c>
      <c r="L965" s="8">
        <f t="shared" si="189"/>
        <v>1962</v>
      </c>
      <c r="M965" s="8" t="str">
        <f t="shared" si="191"/>
        <v>1960-1970</v>
      </c>
      <c r="N965" s="10" t="s">
        <v>242</v>
      </c>
      <c r="O965" s="10" t="s">
        <v>241</v>
      </c>
      <c r="P965" s="10" t="s">
        <v>242</v>
      </c>
      <c r="Q965" s="10" t="s">
        <v>242</v>
      </c>
      <c r="R965" s="10" t="s">
        <v>241</v>
      </c>
      <c r="S965" s="10" t="s">
        <v>242</v>
      </c>
      <c r="T965" s="10" t="s">
        <v>242</v>
      </c>
      <c r="U965" s="10" t="s">
        <v>242</v>
      </c>
      <c r="V965" s="10" t="s">
        <v>241</v>
      </c>
      <c r="W965" s="10" t="s">
        <v>242</v>
      </c>
      <c r="X965" s="15">
        <f>IF(ISERROR(VLOOKUP($A965,'13. Updated Demand'!A:Z,15,FALSE)),0,VLOOKUP($A965,'13. Updated Demand'!A:Z,15,FALSE))</f>
        <v>0</v>
      </c>
      <c r="Y965" s="16">
        <f>IF(ISERROR(VLOOKUP($A965,'13. Updated Demand'!A:Z,16,FALSE)),0,VLOOKUP($A965,'13. Updated Demand'!A:Z,16,FALSE))</f>
        <v>0</v>
      </c>
      <c r="Z965" s="16">
        <f>IF(ISERROR(VLOOKUP($A965,'13. Updated Demand'!A:Z,17,FALSE)),0,VLOOKUP($A965,'13. Updated Demand'!A:Z,17,FALSE))</f>
        <v>0</v>
      </c>
      <c r="AA965" s="16">
        <f>IF(ISERROR(VLOOKUP($A965,'13. Updated Demand'!A:Z,18,FALSE)),0,VLOOKUP($A965,'13. Updated Demand'!A:Z,18,FALSE))</f>
        <v>0</v>
      </c>
      <c r="AB965" s="16">
        <f>IF(ISERROR(VLOOKUP($A965,'13. Updated Demand'!A:Z,19,FALSE)),0,VLOOKUP($A965,'13. Updated Demand'!A:Z,19,FALSE))</f>
        <v>0</v>
      </c>
      <c r="AC965" s="16">
        <f>IF(ISERROR(VLOOKUP($A965,'13. Updated Demand'!A:Z,20,FALSE)),0,VLOOKUP($A965,'13. Updated Demand'!A:Z,20,FALSE))</f>
        <v>0</v>
      </c>
      <c r="AD965" s="16">
        <f>IF(ISERROR(VLOOKUP($A965,'13. Updated Demand'!A:Z,21,FALSE)),0,VLOOKUP($A965,'13. Updated Demand'!A:Z,21,FALSE))</f>
        <v>0</v>
      </c>
      <c r="AE965" s="16">
        <f>IF(ISERROR(VLOOKUP($A965,'13. Updated Demand'!A:Z,22,FALSE)),0,VLOOKUP($A965,'13. Updated Demand'!A:Z,22,FALSE))</f>
        <v>0</v>
      </c>
      <c r="AF965" s="16">
        <f>IF(ISERROR(VLOOKUP($A965,'13. Updated Demand'!A:Z,23,FALSE)),0,VLOOKUP($A965,'13. Updated Demand'!A:Z,23,FALSE))</f>
        <v>0</v>
      </c>
      <c r="AG965" s="16">
        <f>IF(ISERROR(VLOOKUP($A965,'13. Updated Demand'!A:Z,24,FALSE)),0,VLOOKUP($A965,'13. Updated Demand'!A:Z,24,FALSE))</f>
        <v>0.1</v>
      </c>
      <c r="AH965" s="16">
        <f>IF(ISERROR(VLOOKUP($A965,'13. Updated Demand'!A:Z,25,FALSE)),0,VLOOKUP($A965,'13. Updated Demand'!A:Z,25,FALSE))</f>
        <v>0</v>
      </c>
      <c r="AI965" s="16">
        <f>IF(ISERROR(VLOOKUP($A965,'13. Updated Demand'!A:Z,26,FALSE)),0,VLOOKUP($A965,'13. Updated Demand'!A:Z,26,FALSE))</f>
        <v>0.2</v>
      </c>
      <c r="AJ965" s="16">
        <f t="shared" si="180"/>
        <v>0.30000000000000004</v>
      </c>
      <c r="AK965" s="19">
        <v>0</v>
      </c>
      <c r="AL965" s="16">
        <f t="shared" si="190"/>
        <v>0</v>
      </c>
      <c r="AM965" s="17">
        <v>3.333333333333334E-2</v>
      </c>
      <c r="AN965" s="19"/>
      <c r="AO965" s="19"/>
      <c r="AP965" s="19">
        <v>9</v>
      </c>
      <c r="AQ965" s="19" t="s">
        <v>307</v>
      </c>
      <c r="AR965" s="9" t="s">
        <v>317</v>
      </c>
      <c r="AS965" s="12">
        <v>3.4039024194010059E-4</v>
      </c>
      <c r="AT965" s="19">
        <v>39.27153594</v>
      </c>
      <c r="AU965" s="19">
        <v>-123.18729655999999</v>
      </c>
      <c r="AV965" s="19" t="s">
        <v>417</v>
      </c>
    </row>
    <row r="966" spans="1:48" x14ac:dyDescent="0.25">
      <c r="A966" s="18" t="s">
        <v>1349</v>
      </c>
      <c r="B966" s="10">
        <v>19620531</v>
      </c>
      <c r="C966" s="9">
        <v>18</v>
      </c>
      <c r="D966" s="8" t="str">
        <f t="shared" si="181"/>
        <v>N</v>
      </c>
      <c r="E966" s="8" t="str">
        <f t="shared" si="182"/>
        <v>N</v>
      </c>
      <c r="F966" s="8" t="str">
        <f t="shared" si="183"/>
        <v>N</v>
      </c>
      <c r="G966" s="8" t="str">
        <f t="shared" si="184"/>
        <v>N</v>
      </c>
      <c r="H966" s="8" t="str">
        <f t="shared" si="185"/>
        <v>Lower</v>
      </c>
      <c r="I966" s="8" t="str">
        <f t="shared" si="186"/>
        <v>Outside</v>
      </c>
      <c r="J966" s="8" t="str">
        <f t="shared" si="187"/>
        <v>Outside</v>
      </c>
      <c r="K966" s="8" t="str">
        <f t="shared" si="188"/>
        <v>Post-1949</v>
      </c>
      <c r="L966" s="8">
        <f t="shared" si="189"/>
        <v>1962</v>
      </c>
      <c r="M966" s="8" t="str">
        <f t="shared" si="191"/>
        <v>1960-1970</v>
      </c>
      <c r="N966" s="10" t="s">
        <v>242</v>
      </c>
      <c r="O966" s="10" t="s">
        <v>242</v>
      </c>
      <c r="P966" s="10" t="s">
        <v>242</v>
      </c>
      <c r="Q966" s="10" t="s">
        <v>242</v>
      </c>
      <c r="R966" s="10" t="s">
        <v>241</v>
      </c>
      <c r="S966" s="10" t="s">
        <v>242</v>
      </c>
      <c r="T966" s="10" t="s">
        <v>242</v>
      </c>
      <c r="U966" s="10" t="s">
        <v>242</v>
      </c>
      <c r="V966" s="10" t="s">
        <v>242</v>
      </c>
      <c r="W966" s="10" t="s">
        <v>242</v>
      </c>
      <c r="X966" s="15">
        <f>IF(ISERROR(VLOOKUP($A966,'13. Updated Demand'!A:Z,15,FALSE)),0,VLOOKUP($A966,'13. Updated Demand'!A:Z,15,FALSE))</f>
        <v>1.6666666670000001</v>
      </c>
      <c r="Y966" s="16">
        <f>IF(ISERROR(VLOOKUP($A966,'13. Updated Demand'!A:Z,16,FALSE)),0,VLOOKUP($A966,'13. Updated Demand'!A:Z,16,FALSE))</f>
        <v>1.6666666670000001</v>
      </c>
      <c r="Z966" s="16">
        <f>IF(ISERROR(VLOOKUP($A966,'13. Updated Demand'!A:Z,17,FALSE)),0,VLOOKUP($A966,'13. Updated Demand'!A:Z,17,FALSE))</f>
        <v>1</v>
      </c>
      <c r="AA966" s="16">
        <f>IF(ISERROR(VLOOKUP($A966,'13. Updated Demand'!A:Z,18,FALSE)),0,VLOOKUP($A966,'13. Updated Demand'!A:Z,18,FALSE))</f>
        <v>0.33333333300000001</v>
      </c>
      <c r="AB966" s="16">
        <f>IF(ISERROR(VLOOKUP($A966,'13. Updated Demand'!A:Z,19,FALSE)),0,VLOOKUP($A966,'13. Updated Demand'!A:Z,19,FALSE))</f>
        <v>0.33333333300000001</v>
      </c>
      <c r="AC966" s="16">
        <f>IF(ISERROR(VLOOKUP($A966,'13. Updated Demand'!A:Z,20,FALSE)),0,VLOOKUP($A966,'13. Updated Demand'!A:Z,20,FALSE))</f>
        <v>0</v>
      </c>
      <c r="AD966" s="16">
        <f>IF(ISERROR(VLOOKUP($A966,'13. Updated Demand'!A:Z,21,FALSE)),0,VLOOKUP($A966,'13. Updated Demand'!A:Z,21,FALSE))</f>
        <v>0</v>
      </c>
      <c r="AE966" s="16">
        <f>IF(ISERROR(VLOOKUP($A966,'13. Updated Demand'!A:Z,22,FALSE)),0,VLOOKUP($A966,'13. Updated Demand'!A:Z,22,FALSE))</f>
        <v>0</v>
      </c>
      <c r="AF966" s="16">
        <f>IF(ISERROR(VLOOKUP($A966,'13. Updated Demand'!A:Z,23,FALSE)),0,VLOOKUP($A966,'13. Updated Demand'!A:Z,23,FALSE))</f>
        <v>0</v>
      </c>
      <c r="AG966" s="16">
        <f>IF(ISERROR(VLOOKUP($A966,'13. Updated Demand'!A:Z,24,FALSE)),0,VLOOKUP($A966,'13. Updated Demand'!A:Z,24,FALSE))</f>
        <v>0.33333333300000001</v>
      </c>
      <c r="AH966" s="16">
        <f>IF(ISERROR(VLOOKUP($A966,'13. Updated Demand'!A:Z,25,FALSE)),0,VLOOKUP($A966,'13. Updated Demand'!A:Z,25,FALSE))</f>
        <v>1</v>
      </c>
      <c r="AI966" s="16">
        <f>IF(ISERROR(VLOOKUP($A966,'13. Updated Demand'!A:Z,26,FALSE)),0,VLOOKUP($A966,'13. Updated Demand'!A:Z,26,FALSE))</f>
        <v>1.3333333329999999</v>
      </c>
      <c r="AJ966" s="16">
        <f t="shared" si="180"/>
        <v>7.6666666659999994</v>
      </c>
      <c r="AK966" s="19">
        <v>0.33333333300000001</v>
      </c>
      <c r="AL966" s="16">
        <f t="shared" si="190"/>
        <v>1.1056286953262076E-3</v>
      </c>
      <c r="AM966" s="17">
        <v>0.25555555553333331</v>
      </c>
      <c r="AN966" s="19"/>
      <c r="AO966" s="19"/>
      <c r="AP966" s="19">
        <v>30</v>
      </c>
      <c r="AQ966" s="19" t="s">
        <v>307</v>
      </c>
      <c r="AR966" s="9" t="s">
        <v>352</v>
      </c>
      <c r="AS966" s="12">
        <v>0</v>
      </c>
      <c r="AT966" s="19">
        <v>38.458599380000003</v>
      </c>
      <c r="AU966" s="19">
        <v>-122.92932782</v>
      </c>
      <c r="AV966" s="19" t="s">
        <v>417</v>
      </c>
    </row>
    <row r="967" spans="1:48" x14ac:dyDescent="0.25">
      <c r="A967" s="18" t="s">
        <v>1350</v>
      </c>
      <c r="B967" s="10">
        <v>19620611</v>
      </c>
      <c r="C967" s="9">
        <v>9</v>
      </c>
      <c r="D967" s="8" t="str">
        <f t="shared" si="181"/>
        <v>N</v>
      </c>
      <c r="E967" s="8" t="str">
        <f t="shared" si="182"/>
        <v>Y</v>
      </c>
      <c r="F967" s="8" t="str">
        <f t="shared" si="183"/>
        <v>Y</v>
      </c>
      <c r="G967" s="8" t="str">
        <f t="shared" si="184"/>
        <v>Y</v>
      </c>
      <c r="H967" s="8" t="str">
        <f t="shared" si="185"/>
        <v>Upper</v>
      </c>
      <c r="I967" s="8" t="str">
        <f t="shared" si="186"/>
        <v>West Fork and Below Lake</v>
      </c>
      <c r="J967" s="8" t="str">
        <f t="shared" si="187"/>
        <v>Sonoma (d/s of Clov. Gage)</v>
      </c>
      <c r="K967" s="8" t="str">
        <f t="shared" si="188"/>
        <v>Post-1949</v>
      </c>
      <c r="L967" s="8">
        <f t="shared" si="189"/>
        <v>1962</v>
      </c>
      <c r="M967" s="8" t="str">
        <f t="shared" si="191"/>
        <v>1960-1970</v>
      </c>
      <c r="N967" s="10" t="s">
        <v>242</v>
      </c>
      <c r="O967" s="10" t="s">
        <v>241</v>
      </c>
      <c r="P967" s="10" t="s">
        <v>242</v>
      </c>
      <c r="Q967" s="10" t="s">
        <v>242</v>
      </c>
      <c r="R967" s="10" t="s">
        <v>241</v>
      </c>
      <c r="S967" s="10" t="s">
        <v>242</v>
      </c>
      <c r="T967" s="10" t="s">
        <v>242</v>
      </c>
      <c r="U967" s="10" t="s">
        <v>242</v>
      </c>
      <c r="V967" s="10" t="s">
        <v>241</v>
      </c>
      <c r="W967" s="10" t="s">
        <v>242</v>
      </c>
      <c r="X967" s="15">
        <f>IF(ISERROR(VLOOKUP($A967,'13. Updated Demand'!A:Z,15,FALSE)),0,VLOOKUP($A967,'13. Updated Demand'!A:Z,15,FALSE))</f>
        <v>0.16</v>
      </c>
      <c r="Y967" s="16">
        <f>IF(ISERROR(VLOOKUP($A967,'13. Updated Demand'!A:Z,16,FALSE)),0,VLOOKUP($A967,'13. Updated Demand'!A:Z,16,FALSE))</f>
        <v>0.66</v>
      </c>
      <c r="Z967" s="16">
        <f>IF(ISERROR(VLOOKUP($A967,'13. Updated Demand'!A:Z,17,FALSE)),0,VLOOKUP($A967,'13. Updated Demand'!A:Z,17,FALSE))</f>
        <v>2</v>
      </c>
      <c r="AA967" s="16">
        <f>IF(ISERROR(VLOOKUP($A967,'13. Updated Demand'!A:Z,18,FALSE)),0,VLOOKUP($A967,'13. Updated Demand'!A:Z,18,FALSE))</f>
        <v>0</v>
      </c>
      <c r="AB967" s="16">
        <f>IF(ISERROR(VLOOKUP($A967,'13. Updated Demand'!A:Z,19,FALSE)),0,VLOOKUP($A967,'13. Updated Demand'!A:Z,19,FALSE))</f>
        <v>0</v>
      </c>
      <c r="AC967" s="16">
        <f>IF(ISERROR(VLOOKUP($A967,'13. Updated Demand'!A:Z,20,FALSE)),0,VLOOKUP($A967,'13. Updated Demand'!A:Z,20,FALSE))</f>
        <v>0</v>
      </c>
      <c r="AD967" s="16">
        <f>IF(ISERROR(VLOOKUP($A967,'13. Updated Demand'!A:Z,21,FALSE)),0,VLOOKUP($A967,'13. Updated Demand'!A:Z,21,FALSE))</f>
        <v>0</v>
      </c>
      <c r="AE967" s="16">
        <f>IF(ISERROR(VLOOKUP($A967,'13. Updated Demand'!A:Z,22,FALSE)),0,VLOOKUP($A967,'13. Updated Demand'!A:Z,22,FALSE))</f>
        <v>0</v>
      </c>
      <c r="AF967" s="16">
        <f>IF(ISERROR(VLOOKUP($A967,'13. Updated Demand'!A:Z,23,FALSE)),0,VLOOKUP($A967,'13. Updated Demand'!A:Z,23,FALSE))</f>
        <v>0</v>
      </c>
      <c r="AG967" s="16">
        <f>IF(ISERROR(VLOOKUP($A967,'13. Updated Demand'!A:Z,24,FALSE)),0,VLOOKUP($A967,'13. Updated Demand'!A:Z,24,FALSE))</f>
        <v>0</v>
      </c>
      <c r="AH967" s="16">
        <f>IF(ISERROR(VLOOKUP($A967,'13. Updated Demand'!A:Z,25,FALSE)),0,VLOOKUP($A967,'13. Updated Demand'!A:Z,25,FALSE))</f>
        <v>0</v>
      </c>
      <c r="AI967" s="16">
        <f>IF(ISERROR(VLOOKUP($A967,'13. Updated Demand'!A:Z,26,FALSE)),0,VLOOKUP($A967,'13. Updated Demand'!A:Z,26,FALSE))</f>
        <v>0</v>
      </c>
      <c r="AJ967" s="16">
        <f t="shared" si="180"/>
        <v>2.8200000000000003</v>
      </c>
      <c r="AK967" s="19">
        <v>0</v>
      </c>
      <c r="AL967" s="16">
        <f t="shared" si="190"/>
        <v>0</v>
      </c>
      <c r="AM967" s="17">
        <v>0.1011904762142857</v>
      </c>
      <c r="AN967" s="19"/>
      <c r="AO967" s="19"/>
      <c r="AP967" s="19">
        <v>28</v>
      </c>
      <c r="AQ967" s="19" t="s">
        <v>307</v>
      </c>
      <c r="AR967" s="9" t="s">
        <v>354</v>
      </c>
      <c r="AS967" s="12">
        <v>0</v>
      </c>
      <c r="AT967" s="19">
        <v>38.856959680000003</v>
      </c>
      <c r="AU967" s="19">
        <v>-122.9735161</v>
      </c>
      <c r="AV967" s="19" t="s">
        <v>1223</v>
      </c>
    </row>
    <row r="968" spans="1:48" x14ac:dyDescent="0.25">
      <c r="A968" s="18" t="s">
        <v>1351</v>
      </c>
      <c r="B968" s="10">
        <v>19620621</v>
      </c>
      <c r="C968" s="9">
        <v>23</v>
      </c>
      <c r="D968" s="8" t="str">
        <f t="shared" si="181"/>
        <v>N</v>
      </c>
      <c r="E968" s="8" t="str">
        <f t="shared" si="182"/>
        <v>N</v>
      </c>
      <c r="F968" s="8" t="str">
        <f t="shared" si="183"/>
        <v>N</v>
      </c>
      <c r="G968" s="8" t="str">
        <f t="shared" si="184"/>
        <v>N</v>
      </c>
      <c r="H968" s="8" t="str">
        <f t="shared" si="185"/>
        <v>Lower</v>
      </c>
      <c r="I968" s="8" t="str">
        <f t="shared" si="186"/>
        <v>Outside</v>
      </c>
      <c r="J968" s="8" t="str">
        <f t="shared" si="187"/>
        <v>Outside</v>
      </c>
      <c r="K968" s="8" t="str">
        <f t="shared" si="188"/>
        <v>Post-1949</v>
      </c>
      <c r="L968" s="8">
        <f t="shared" si="189"/>
        <v>1962</v>
      </c>
      <c r="M968" s="8" t="str">
        <f t="shared" si="191"/>
        <v>1960-1970</v>
      </c>
      <c r="N968" s="10" t="s">
        <v>242</v>
      </c>
      <c r="O968" s="10" t="s">
        <v>242</v>
      </c>
      <c r="P968" s="10" t="s">
        <v>242</v>
      </c>
      <c r="Q968" s="10" t="s">
        <v>242</v>
      </c>
      <c r="R968" s="10" t="s">
        <v>241</v>
      </c>
      <c r="S968" s="10" t="s">
        <v>242</v>
      </c>
      <c r="T968" s="10" t="s">
        <v>242</v>
      </c>
      <c r="U968" s="10" t="s">
        <v>242</v>
      </c>
      <c r="V968" s="10" t="s">
        <v>241</v>
      </c>
      <c r="W968" s="10" t="s">
        <v>242</v>
      </c>
      <c r="X968" s="15">
        <f>IF(ISERROR(VLOOKUP($A968,'13. Updated Demand'!A:Z,15,FALSE)),0,VLOOKUP($A968,'13. Updated Demand'!A:Z,15,FALSE))</f>
        <v>0</v>
      </c>
      <c r="Y968" s="16">
        <f>IF(ISERROR(VLOOKUP($A968,'13. Updated Demand'!A:Z,16,FALSE)),0,VLOOKUP($A968,'13. Updated Demand'!A:Z,16,FALSE))</f>
        <v>0</v>
      </c>
      <c r="Z968" s="16">
        <f>IF(ISERROR(VLOOKUP($A968,'13. Updated Demand'!A:Z,17,FALSE)),0,VLOOKUP($A968,'13. Updated Demand'!A:Z,17,FALSE))</f>
        <v>0</v>
      </c>
      <c r="AA968" s="16">
        <f>IF(ISERROR(VLOOKUP($A968,'13. Updated Demand'!A:Z,18,FALSE)),0,VLOOKUP($A968,'13. Updated Demand'!A:Z,18,FALSE))</f>
        <v>0</v>
      </c>
      <c r="AB968" s="16">
        <f>IF(ISERROR(VLOOKUP($A968,'13. Updated Demand'!A:Z,19,FALSE)),0,VLOOKUP($A968,'13. Updated Demand'!A:Z,19,FALSE))</f>
        <v>0</v>
      </c>
      <c r="AC968" s="16">
        <f>IF(ISERROR(VLOOKUP($A968,'13. Updated Demand'!A:Z,20,FALSE)),0,VLOOKUP($A968,'13. Updated Demand'!A:Z,20,FALSE))</f>
        <v>0</v>
      </c>
      <c r="AD968" s="16">
        <f>IF(ISERROR(VLOOKUP($A968,'13. Updated Demand'!A:Z,21,FALSE)),0,VLOOKUP($A968,'13. Updated Demand'!A:Z,21,FALSE))</f>
        <v>0</v>
      </c>
      <c r="AE968" s="16">
        <f>IF(ISERROR(VLOOKUP($A968,'13. Updated Demand'!A:Z,22,FALSE)),0,VLOOKUP($A968,'13. Updated Demand'!A:Z,22,FALSE))</f>
        <v>0</v>
      </c>
      <c r="AF968" s="16">
        <f>IF(ISERROR(VLOOKUP($A968,'13. Updated Demand'!A:Z,23,FALSE)),0,VLOOKUP($A968,'13. Updated Demand'!A:Z,23,FALSE))</f>
        <v>0</v>
      </c>
      <c r="AG968" s="16">
        <f>IF(ISERROR(VLOOKUP($A968,'13. Updated Demand'!A:Z,24,FALSE)),0,VLOOKUP($A968,'13. Updated Demand'!A:Z,24,FALSE))</f>
        <v>0</v>
      </c>
      <c r="AH968" s="16">
        <f>IF(ISERROR(VLOOKUP($A968,'13. Updated Demand'!A:Z,25,FALSE)),0,VLOOKUP($A968,'13. Updated Demand'!A:Z,25,FALSE))</f>
        <v>0</v>
      </c>
      <c r="AI968" s="16">
        <f>IF(ISERROR(VLOOKUP($A968,'13. Updated Demand'!A:Z,26,FALSE)),0,VLOOKUP($A968,'13. Updated Demand'!A:Z,26,FALSE))</f>
        <v>0</v>
      </c>
      <c r="AJ968" s="16">
        <f t="shared" si="180"/>
        <v>0</v>
      </c>
      <c r="AK968" s="19">
        <v>0</v>
      </c>
      <c r="AL968" s="16">
        <f t="shared" si="190"/>
        <v>0</v>
      </c>
      <c r="AM968" s="17">
        <v>8.9583333343750002E-2</v>
      </c>
      <c r="AN968" s="19"/>
      <c r="AO968" s="19"/>
      <c r="AP968" s="19">
        <v>32</v>
      </c>
      <c r="AQ968" s="19" t="s">
        <v>307</v>
      </c>
      <c r="AR968" s="9" t="s">
        <v>585</v>
      </c>
      <c r="AS968" s="12">
        <v>0</v>
      </c>
      <c r="AT968" s="19">
        <v>38.354052809999999</v>
      </c>
      <c r="AU968" s="19">
        <v>-122.63329713</v>
      </c>
      <c r="AV968" s="19" t="s">
        <v>417</v>
      </c>
    </row>
    <row r="969" spans="1:48" x14ac:dyDescent="0.25">
      <c r="A969" s="18" t="s">
        <v>1352</v>
      </c>
      <c r="B969" s="10">
        <v>19620706</v>
      </c>
      <c r="C969" s="9">
        <v>6</v>
      </c>
      <c r="D969" s="8" t="str">
        <f t="shared" si="181"/>
        <v>Y</v>
      </c>
      <c r="E969" s="8" t="str">
        <f t="shared" si="182"/>
        <v>N</v>
      </c>
      <c r="F969" s="8" t="str">
        <f t="shared" si="183"/>
        <v>Y</v>
      </c>
      <c r="G969" s="8" t="str">
        <f t="shared" si="184"/>
        <v>Y</v>
      </c>
      <c r="H969" s="8" t="str">
        <f t="shared" si="185"/>
        <v>Upper</v>
      </c>
      <c r="I969" s="8" t="str">
        <f t="shared" si="186"/>
        <v>West Fork and Below Lake</v>
      </c>
      <c r="J969" s="8" t="str">
        <f t="shared" si="187"/>
        <v>Mendocino (d/s of lake)</v>
      </c>
      <c r="K969" s="8" t="str">
        <f t="shared" si="188"/>
        <v>Post-1949</v>
      </c>
      <c r="L969" s="8">
        <f t="shared" si="189"/>
        <v>1962</v>
      </c>
      <c r="M969" s="8" t="str">
        <f t="shared" si="191"/>
        <v>1960-1970</v>
      </c>
      <c r="N969" s="10" t="s">
        <v>242</v>
      </c>
      <c r="O969" s="10" t="s">
        <v>241</v>
      </c>
      <c r="P969" s="10" t="s">
        <v>242</v>
      </c>
      <c r="Q969" s="10" t="s">
        <v>242</v>
      </c>
      <c r="R969" s="10" t="s">
        <v>241</v>
      </c>
      <c r="S969" s="10" t="s">
        <v>242</v>
      </c>
      <c r="T969" s="10" t="s">
        <v>242</v>
      </c>
      <c r="U969" s="10" t="s">
        <v>242</v>
      </c>
      <c r="V969" s="10" t="s">
        <v>242</v>
      </c>
      <c r="W969" s="10" t="s">
        <v>242</v>
      </c>
      <c r="X969" s="15">
        <f>IF(ISERROR(VLOOKUP($A969,'13. Updated Demand'!A:Z,15,FALSE)),0,VLOOKUP($A969,'13. Updated Demand'!A:Z,15,FALSE))</f>
        <v>1.33</v>
      </c>
      <c r="Y969" s="16">
        <f>IF(ISERROR(VLOOKUP($A969,'13. Updated Demand'!A:Z,16,FALSE)),0,VLOOKUP($A969,'13. Updated Demand'!A:Z,16,FALSE))</f>
        <v>1.66</v>
      </c>
      <c r="Z969" s="16">
        <f>IF(ISERROR(VLOOKUP($A969,'13. Updated Demand'!A:Z,17,FALSE)),0,VLOOKUP($A969,'13. Updated Demand'!A:Z,17,FALSE))</f>
        <v>0.66</v>
      </c>
      <c r="AA969" s="16">
        <f>IF(ISERROR(VLOOKUP($A969,'13. Updated Demand'!A:Z,18,FALSE)),0,VLOOKUP($A969,'13. Updated Demand'!A:Z,18,FALSE))</f>
        <v>0.33</v>
      </c>
      <c r="AB969" s="16">
        <f>IF(ISERROR(VLOOKUP($A969,'13. Updated Demand'!A:Z,19,FALSE)),0,VLOOKUP($A969,'13. Updated Demand'!A:Z,19,FALSE))</f>
        <v>0.66</v>
      </c>
      <c r="AC969" s="16">
        <f>IF(ISERROR(VLOOKUP($A969,'13. Updated Demand'!A:Z,20,FALSE)),0,VLOOKUP($A969,'13. Updated Demand'!A:Z,20,FALSE))</f>
        <v>0</v>
      </c>
      <c r="AD969" s="16">
        <f>IF(ISERROR(VLOOKUP($A969,'13. Updated Demand'!A:Z,21,FALSE)),0,VLOOKUP($A969,'13. Updated Demand'!A:Z,21,FALSE))</f>
        <v>0</v>
      </c>
      <c r="AE969" s="16">
        <f>IF(ISERROR(VLOOKUP($A969,'13. Updated Demand'!A:Z,22,FALSE)),0,VLOOKUP($A969,'13. Updated Demand'!A:Z,22,FALSE))</f>
        <v>0</v>
      </c>
      <c r="AF969" s="16">
        <f>IF(ISERROR(VLOOKUP($A969,'13. Updated Demand'!A:Z,23,FALSE)),0,VLOOKUP($A969,'13. Updated Demand'!A:Z,23,FALSE))</f>
        <v>0</v>
      </c>
      <c r="AG969" s="16">
        <f>IF(ISERROR(VLOOKUP($A969,'13. Updated Demand'!A:Z,24,FALSE)),0,VLOOKUP($A969,'13. Updated Demand'!A:Z,24,FALSE))</f>
        <v>0</v>
      </c>
      <c r="AH969" s="16">
        <f>IF(ISERROR(VLOOKUP($A969,'13. Updated Demand'!A:Z,25,FALSE)),0,VLOOKUP($A969,'13. Updated Demand'!A:Z,25,FALSE))</f>
        <v>0.66</v>
      </c>
      <c r="AI969" s="16">
        <f>IF(ISERROR(VLOOKUP($A969,'13. Updated Demand'!A:Z,26,FALSE)),0,VLOOKUP($A969,'13. Updated Demand'!A:Z,26,FALSE))</f>
        <v>1.33</v>
      </c>
      <c r="AJ969" s="16">
        <f t="shared" si="180"/>
        <v>6.6300000000000008</v>
      </c>
      <c r="AK969" s="19">
        <v>0.66666666699999999</v>
      </c>
      <c r="AL969" s="16">
        <f t="shared" si="190"/>
        <v>2.2112573939693015E-3</v>
      </c>
      <c r="AM969" s="17">
        <v>0.21505376345161292</v>
      </c>
      <c r="AN969" s="19"/>
      <c r="AO969" s="19"/>
      <c r="AP969" s="19">
        <v>31</v>
      </c>
      <c r="AQ969" s="19" t="s">
        <v>307</v>
      </c>
      <c r="AR969" s="9" t="s">
        <v>319</v>
      </c>
      <c r="AS969" s="12">
        <v>0</v>
      </c>
      <c r="AT969" s="19">
        <v>38.945867929999999</v>
      </c>
      <c r="AU969" s="19">
        <v>-123.10343561000001</v>
      </c>
      <c r="AV969" s="19" t="s">
        <v>417</v>
      </c>
    </row>
    <row r="970" spans="1:48" x14ac:dyDescent="0.25">
      <c r="A970" s="18" t="s">
        <v>1353</v>
      </c>
      <c r="B970" s="10">
        <v>19620725</v>
      </c>
      <c r="C970" s="9">
        <v>12</v>
      </c>
      <c r="D970" s="8" t="str">
        <f t="shared" si="181"/>
        <v>N</v>
      </c>
      <c r="E970" s="8" t="str">
        <f t="shared" si="182"/>
        <v>Y</v>
      </c>
      <c r="F970" s="8" t="str">
        <f t="shared" si="183"/>
        <v>Y</v>
      </c>
      <c r="G970" s="8" t="str">
        <f t="shared" si="184"/>
        <v>Y</v>
      </c>
      <c r="H970" s="8" t="str">
        <f t="shared" si="185"/>
        <v>Upper</v>
      </c>
      <c r="I970" s="8" t="str">
        <f t="shared" si="186"/>
        <v>West Fork and Below Lake</v>
      </c>
      <c r="J970" s="8" t="str">
        <f t="shared" si="187"/>
        <v>Sonoma (d/s of Clov. Gage)</v>
      </c>
      <c r="K970" s="8" t="str">
        <f t="shared" si="188"/>
        <v>Post-1949</v>
      </c>
      <c r="L970" s="8">
        <f t="shared" si="189"/>
        <v>1962</v>
      </c>
      <c r="M970" s="8" t="str">
        <f t="shared" si="191"/>
        <v>1960-1970</v>
      </c>
      <c r="N970" s="10" t="s">
        <v>242</v>
      </c>
      <c r="O970" s="10" t="s">
        <v>241</v>
      </c>
      <c r="P970" s="10" t="s">
        <v>242</v>
      </c>
      <c r="Q970" s="10" t="s">
        <v>242</v>
      </c>
      <c r="R970" s="10" t="s">
        <v>241</v>
      </c>
      <c r="S970" s="10" t="s">
        <v>242</v>
      </c>
      <c r="T970" s="10" t="s">
        <v>242</v>
      </c>
      <c r="U970" s="10" t="s">
        <v>242</v>
      </c>
      <c r="V970" s="10" t="s">
        <v>242</v>
      </c>
      <c r="W970" s="10" t="s">
        <v>242</v>
      </c>
      <c r="X970" s="15">
        <f>IF(ISERROR(VLOOKUP($A970,'13. Updated Demand'!A:Z,15,FALSE)),0,VLOOKUP($A970,'13. Updated Demand'!A:Z,15,FALSE))</f>
        <v>2.16</v>
      </c>
      <c r="Y970" s="16">
        <f>IF(ISERROR(VLOOKUP($A970,'13. Updated Demand'!A:Z,16,FALSE)),0,VLOOKUP($A970,'13. Updated Demand'!A:Z,16,FALSE))</f>
        <v>2</v>
      </c>
      <c r="Z970" s="16">
        <f>IF(ISERROR(VLOOKUP($A970,'13. Updated Demand'!A:Z,17,FALSE)),0,VLOOKUP($A970,'13. Updated Demand'!A:Z,17,FALSE))</f>
        <v>1.83</v>
      </c>
      <c r="AA970" s="16">
        <f>IF(ISERROR(VLOOKUP($A970,'13. Updated Demand'!A:Z,18,FALSE)),0,VLOOKUP($A970,'13. Updated Demand'!A:Z,18,FALSE))</f>
        <v>1.66</v>
      </c>
      <c r="AB970" s="16">
        <f>IF(ISERROR(VLOOKUP($A970,'13. Updated Demand'!A:Z,19,FALSE)),0,VLOOKUP($A970,'13. Updated Demand'!A:Z,19,FALSE))</f>
        <v>0.83</v>
      </c>
      <c r="AC970" s="16">
        <f>IF(ISERROR(VLOOKUP($A970,'13. Updated Demand'!A:Z,20,FALSE)),0,VLOOKUP($A970,'13. Updated Demand'!A:Z,20,FALSE))</f>
        <v>0.5</v>
      </c>
      <c r="AD970" s="16">
        <f>IF(ISERROR(VLOOKUP($A970,'13. Updated Demand'!A:Z,21,FALSE)),0,VLOOKUP($A970,'13. Updated Demand'!A:Z,21,FALSE))</f>
        <v>0</v>
      </c>
      <c r="AE970" s="16">
        <f>IF(ISERROR(VLOOKUP($A970,'13. Updated Demand'!A:Z,22,FALSE)),0,VLOOKUP($A970,'13. Updated Demand'!A:Z,22,FALSE))</f>
        <v>0</v>
      </c>
      <c r="AF970" s="16">
        <f>IF(ISERROR(VLOOKUP($A970,'13. Updated Demand'!A:Z,23,FALSE)),0,VLOOKUP($A970,'13. Updated Demand'!A:Z,23,FALSE))</f>
        <v>0</v>
      </c>
      <c r="AG970" s="16">
        <f>IF(ISERROR(VLOOKUP($A970,'13. Updated Demand'!A:Z,24,FALSE)),0,VLOOKUP($A970,'13. Updated Demand'!A:Z,24,FALSE))</f>
        <v>0</v>
      </c>
      <c r="AH970" s="16">
        <f>IF(ISERROR(VLOOKUP($A970,'13. Updated Demand'!A:Z,25,FALSE)),0,VLOOKUP($A970,'13. Updated Demand'!A:Z,25,FALSE))</f>
        <v>1.1599999999999999</v>
      </c>
      <c r="AI970" s="16">
        <f>IF(ISERROR(VLOOKUP($A970,'13. Updated Demand'!A:Z,26,FALSE)),0,VLOOKUP($A970,'13. Updated Demand'!A:Z,26,FALSE))</f>
        <v>1.83</v>
      </c>
      <c r="AJ970" s="16">
        <f t="shared" si="180"/>
        <v>11.97</v>
      </c>
      <c r="AK970" s="19">
        <v>1.3333333330000001</v>
      </c>
      <c r="AL970" s="16">
        <f t="shared" si="190"/>
        <v>4.4225147846217163E-3</v>
      </c>
      <c r="AM970" s="17">
        <v>1</v>
      </c>
      <c r="AN970" s="19"/>
      <c r="AO970" s="19"/>
      <c r="AP970" s="19">
        <v>12</v>
      </c>
      <c r="AQ970" s="19" t="s">
        <v>307</v>
      </c>
      <c r="AR970" s="9" t="s">
        <v>311</v>
      </c>
      <c r="AS970" s="12">
        <v>0</v>
      </c>
      <c r="AT970" s="19">
        <v>38.597100820000001</v>
      </c>
      <c r="AU970" s="19">
        <v>-122.78556424</v>
      </c>
      <c r="AV970" s="19" t="s">
        <v>417</v>
      </c>
    </row>
    <row r="971" spans="1:48" x14ac:dyDescent="0.25">
      <c r="A971" s="18" t="s">
        <v>1354</v>
      </c>
      <c r="B971" s="10">
        <v>19620726</v>
      </c>
      <c r="C971" s="9">
        <v>1</v>
      </c>
      <c r="D971" s="8" t="str">
        <f t="shared" si="181"/>
        <v>N</v>
      </c>
      <c r="E971" s="8" t="str">
        <f t="shared" si="182"/>
        <v>N</v>
      </c>
      <c r="F971" s="8" t="str">
        <f t="shared" si="183"/>
        <v>Y</v>
      </c>
      <c r="G971" s="8" t="str">
        <f t="shared" si="184"/>
        <v>Y</v>
      </c>
      <c r="H971" s="8" t="str">
        <f t="shared" si="185"/>
        <v>Upper</v>
      </c>
      <c r="I971" s="8" t="str">
        <f t="shared" si="186"/>
        <v>West Fork and Below Lake</v>
      </c>
      <c r="J971" s="8" t="str">
        <f t="shared" si="187"/>
        <v>Outside</v>
      </c>
      <c r="K971" s="8" t="str">
        <f t="shared" si="188"/>
        <v>Post-1949</v>
      </c>
      <c r="L971" s="8">
        <f t="shared" si="189"/>
        <v>1962</v>
      </c>
      <c r="M971" s="8" t="str">
        <f t="shared" si="191"/>
        <v>1960-1970</v>
      </c>
      <c r="N971" s="10" t="s">
        <v>242</v>
      </c>
      <c r="O971" s="10" t="s">
        <v>241</v>
      </c>
      <c r="P971" s="10" t="s">
        <v>242</v>
      </c>
      <c r="Q971" s="10" t="s">
        <v>242</v>
      </c>
      <c r="R971" s="10" t="s">
        <v>241</v>
      </c>
      <c r="S971" s="10" t="s">
        <v>242</v>
      </c>
      <c r="T971" s="10" t="s">
        <v>242</v>
      </c>
      <c r="U971" s="10" t="s">
        <v>242</v>
      </c>
      <c r="V971" s="10" t="s">
        <v>242</v>
      </c>
      <c r="W971" s="10" t="s">
        <v>242</v>
      </c>
      <c r="X971" s="15">
        <f>IF(ISERROR(VLOOKUP($A971,'13. Updated Demand'!A:Z,15,FALSE)),0,VLOOKUP($A971,'13. Updated Demand'!A:Z,15,FALSE))</f>
        <v>3.8</v>
      </c>
      <c r="Y971" s="16">
        <f>IF(ISERROR(VLOOKUP($A971,'13. Updated Demand'!A:Z,16,FALSE)),0,VLOOKUP($A971,'13. Updated Demand'!A:Z,16,FALSE))</f>
        <v>1.86</v>
      </c>
      <c r="Z971" s="16">
        <f>IF(ISERROR(VLOOKUP($A971,'13. Updated Demand'!A:Z,17,FALSE)),0,VLOOKUP($A971,'13. Updated Demand'!A:Z,17,FALSE))</f>
        <v>1.53</v>
      </c>
      <c r="AA971" s="16">
        <f>IF(ISERROR(VLOOKUP($A971,'13. Updated Demand'!A:Z,18,FALSE)),0,VLOOKUP($A971,'13. Updated Demand'!A:Z,18,FALSE))</f>
        <v>1.4</v>
      </c>
      <c r="AB971" s="16">
        <f>IF(ISERROR(VLOOKUP($A971,'13. Updated Demand'!A:Z,19,FALSE)),0,VLOOKUP($A971,'13. Updated Demand'!A:Z,19,FALSE))</f>
        <v>0.33</v>
      </c>
      <c r="AC971" s="16">
        <f>IF(ISERROR(VLOOKUP($A971,'13. Updated Demand'!A:Z,20,FALSE)),0,VLOOKUP($A971,'13. Updated Demand'!A:Z,20,FALSE))</f>
        <v>0</v>
      </c>
      <c r="AD971" s="16">
        <f>IF(ISERROR(VLOOKUP($A971,'13. Updated Demand'!A:Z,21,FALSE)),0,VLOOKUP($A971,'13. Updated Demand'!A:Z,21,FALSE))</f>
        <v>0</v>
      </c>
      <c r="AE971" s="16">
        <f>IF(ISERROR(VLOOKUP($A971,'13. Updated Demand'!A:Z,22,FALSE)),0,VLOOKUP($A971,'13. Updated Demand'!A:Z,22,FALSE))</f>
        <v>0</v>
      </c>
      <c r="AF971" s="16">
        <f>IF(ISERROR(VLOOKUP($A971,'13. Updated Demand'!A:Z,23,FALSE)),0,VLOOKUP($A971,'13. Updated Demand'!A:Z,23,FALSE))</f>
        <v>0</v>
      </c>
      <c r="AG971" s="16">
        <f>IF(ISERROR(VLOOKUP($A971,'13. Updated Demand'!A:Z,24,FALSE)),0,VLOOKUP($A971,'13. Updated Demand'!A:Z,24,FALSE))</f>
        <v>0</v>
      </c>
      <c r="AH971" s="16">
        <f>IF(ISERROR(VLOOKUP($A971,'13. Updated Demand'!A:Z,25,FALSE)),0,VLOOKUP($A971,'13. Updated Demand'!A:Z,25,FALSE))</f>
        <v>0.36</v>
      </c>
      <c r="AI971" s="16">
        <f>IF(ISERROR(VLOOKUP($A971,'13. Updated Demand'!A:Z,26,FALSE)),0,VLOOKUP($A971,'13. Updated Demand'!A:Z,26,FALSE))</f>
        <v>1</v>
      </c>
      <c r="AJ971" s="16">
        <f t="shared" si="180"/>
        <v>10.28</v>
      </c>
      <c r="AK971" s="19">
        <v>0.33333333300000001</v>
      </c>
      <c r="AL971" s="16">
        <f t="shared" si="190"/>
        <v>1.1056286953262076E-3</v>
      </c>
      <c r="AM971" s="17">
        <v>0.85833333333333339</v>
      </c>
      <c r="AN971" s="19"/>
      <c r="AO971" s="19"/>
      <c r="AP971" s="19">
        <v>12</v>
      </c>
      <c r="AQ971" s="19" t="s">
        <v>307</v>
      </c>
      <c r="AR971" s="9" t="s">
        <v>317</v>
      </c>
      <c r="AS971" s="12">
        <v>0</v>
      </c>
      <c r="AT971" s="19">
        <v>39.271297150000002</v>
      </c>
      <c r="AU971" s="19">
        <v>-123.18375985</v>
      </c>
      <c r="AV971" s="19" t="s">
        <v>573</v>
      </c>
    </row>
    <row r="972" spans="1:48" x14ac:dyDescent="0.25">
      <c r="A972" s="18" t="s">
        <v>1355</v>
      </c>
      <c r="B972" s="10">
        <v>19620815</v>
      </c>
      <c r="C972" s="9">
        <v>11</v>
      </c>
      <c r="D972" s="8" t="str">
        <f t="shared" si="181"/>
        <v>N</v>
      </c>
      <c r="E972" s="8" t="str">
        <f t="shared" si="182"/>
        <v>Y</v>
      </c>
      <c r="F972" s="8" t="str">
        <f t="shared" si="183"/>
        <v>Y</v>
      </c>
      <c r="G972" s="8" t="str">
        <f t="shared" si="184"/>
        <v>Y</v>
      </c>
      <c r="H972" s="8" t="str">
        <f t="shared" si="185"/>
        <v>Upper</v>
      </c>
      <c r="I972" s="8" t="str">
        <f t="shared" si="186"/>
        <v>West Fork and Below Lake</v>
      </c>
      <c r="J972" s="8" t="str">
        <f t="shared" si="187"/>
        <v>Sonoma (d/s of Clov. Gage)</v>
      </c>
      <c r="K972" s="8" t="str">
        <f t="shared" si="188"/>
        <v>Post-1949</v>
      </c>
      <c r="L972" s="8">
        <f t="shared" si="189"/>
        <v>1962</v>
      </c>
      <c r="M972" s="8" t="str">
        <f t="shared" si="191"/>
        <v>1960-1970</v>
      </c>
      <c r="N972" s="10" t="s">
        <v>242</v>
      </c>
      <c r="O972" s="10" t="s">
        <v>241</v>
      </c>
      <c r="P972" s="10" t="s">
        <v>242</v>
      </c>
      <c r="Q972" s="10" t="s">
        <v>242</v>
      </c>
      <c r="R972" s="10" t="s">
        <v>241</v>
      </c>
      <c r="S972" s="10" t="s">
        <v>242</v>
      </c>
      <c r="T972" s="10" t="s">
        <v>241</v>
      </c>
      <c r="U972" s="10" t="s">
        <v>241</v>
      </c>
      <c r="V972" s="10" t="s">
        <v>241</v>
      </c>
      <c r="W972" s="10" t="s">
        <v>242</v>
      </c>
      <c r="X972" s="15">
        <f>IF(ISERROR(VLOOKUP($A972,'13. Updated Demand'!A:Z,15,FALSE)),0,VLOOKUP($A972,'13. Updated Demand'!A:Z,15,FALSE))</f>
        <v>0</v>
      </c>
      <c r="Y972" s="16">
        <f>IF(ISERROR(VLOOKUP($A972,'13. Updated Demand'!A:Z,16,FALSE)),0,VLOOKUP($A972,'13. Updated Demand'!A:Z,16,FALSE))</f>
        <v>0</v>
      </c>
      <c r="Z972" s="16">
        <f>IF(ISERROR(VLOOKUP($A972,'13. Updated Demand'!A:Z,17,FALSE)),0,VLOOKUP($A972,'13. Updated Demand'!A:Z,17,FALSE))</f>
        <v>0</v>
      </c>
      <c r="AA972" s="16">
        <f>IF(ISERROR(VLOOKUP($A972,'13. Updated Demand'!A:Z,18,FALSE)),0,VLOOKUP($A972,'13. Updated Demand'!A:Z,18,FALSE))</f>
        <v>0</v>
      </c>
      <c r="AB972" s="16">
        <f>IF(ISERROR(VLOOKUP($A972,'13. Updated Demand'!A:Z,19,FALSE)),0,VLOOKUP($A972,'13. Updated Demand'!A:Z,19,FALSE))</f>
        <v>0</v>
      </c>
      <c r="AC972" s="16">
        <f>IF(ISERROR(VLOOKUP($A972,'13. Updated Demand'!A:Z,20,FALSE)),0,VLOOKUP($A972,'13. Updated Demand'!A:Z,20,FALSE))</f>
        <v>0</v>
      </c>
      <c r="AD972" s="16">
        <f>IF(ISERROR(VLOOKUP($A972,'13. Updated Demand'!A:Z,21,FALSE)),0,VLOOKUP($A972,'13. Updated Demand'!A:Z,21,FALSE))</f>
        <v>0</v>
      </c>
      <c r="AE972" s="16">
        <f>IF(ISERROR(VLOOKUP($A972,'13. Updated Demand'!A:Z,22,FALSE)),0,VLOOKUP($A972,'13. Updated Demand'!A:Z,22,FALSE))</f>
        <v>0</v>
      </c>
      <c r="AF972" s="16">
        <f>IF(ISERROR(VLOOKUP($A972,'13. Updated Demand'!A:Z,23,FALSE)),0,VLOOKUP($A972,'13. Updated Demand'!A:Z,23,FALSE))</f>
        <v>0</v>
      </c>
      <c r="AG972" s="16">
        <f>IF(ISERROR(VLOOKUP($A972,'13. Updated Demand'!A:Z,24,FALSE)),0,VLOOKUP($A972,'13. Updated Demand'!A:Z,24,FALSE))</f>
        <v>0</v>
      </c>
      <c r="AH972" s="16">
        <f>IF(ISERROR(VLOOKUP($A972,'13. Updated Demand'!A:Z,25,FALSE)),0,VLOOKUP($A972,'13. Updated Demand'!A:Z,25,FALSE))</f>
        <v>0</v>
      </c>
      <c r="AI972" s="16">
        <f>IF(ISERROR(VLOOKUP($A972,'13. Updated Demand'!A:Z,26,FALSE)),0,VLOOKUP($A972,'13. Updated Demand'!A:Z,26,FALSE))</f>
        <v>0</v>
      </c>
      <c r="AJ972" s="16">
        <f t="shared" si="180"/>
        <v>0</v>
      </c>
      <c r="AK972" s="19">
        <v>0</v>
      </c>
      <c r="AL972" s="16">
        <f t="shared" si="190"/>
        <v>0</v>
      </c>
      <c r="AM972" s="17">
        <v>0</v>
      </c>
      <c r="AN972" s="19"/>
      <c r="AO972" s="19"/>
      <c r="AP972" s="19">
        <v>0.3</v>
      </c>
      <c r="AQ972" s="19" t="s">
        <v>307</v>
      </c>
      <c r="AR972" s="9" t="s">
        <v>308</v>
      </c>
      <c r="AS972" s="12">
        <v>3.4039024194010059E-4</v>
      </c>
      <c r="AT972" s="19">
        <v>38.737615490000003</v>
      </c>
      <c r="AU972" s="19">
        <v>-122.7348745</v>
      </c>
      <c r="AV972" s="19" t="s">
        <v>430</v>
      </c>
    </row>
    <row r="973" spans="1:48" x14ac:dyDescent="0.25">
      <c r="A973" s="18" t="s">
        <v>1356</v>
      </c>
      <c r="B973" s="10">
        <v>19620824</v>
      </c>
      <c r="C973" s="9">
        <v>12</v>
      </c>
      <c r="D973" s="8" t="str">
        <f t="shared" si="181"/>
        <v>N</v>
      </c>
      <c r="E973" s="8" t="str">
        <f t="shared" si="182"/>
        <v>Y</v>
      </c>
      <c r="F973" s="8" t="str">
        <f t="shared" si="183"/>
        <v>Y</v>
      </c>
      <c r="G973" s="8" t="str">
        <f t="shared" si="184"/>
        <v>Y</v>
      </c>
      <c r="H973" s="8" t="str">
        <f t="shared" si="185"/>
        <v>Upper</v>
      </c>
      <c r="I973" s="8" t="str">
        <f t="shared" si="186"/>
        <v>West Fork and Below Lake</v>
      </c>
      <c r="J973" s="8" t="str">
        <f t="shared" si="187"/>
        <v>Sonoma (d/s of Clov. Gage)</v>
      </c>
      <c r="K973" s="8" t="str">
        <f t="shared" si="188"/>
        <v>Post-1949</v>
      </c>
      <c r="L973" s="8">
        <f t="shared" si="189"/>
        <v>1962</v>
      </c>
      <c r="M973" s="8" t="str">
        <f t="shared" si="191"/>
        <v>1960-1970</v>
      </c>
      <c r="N973" s="10" t="s">
        <v>242</v>
      </c>
      <c r="O973" s="10" t="s">
        <v>241</v>
      </c>
      <c r="P973" s="10" t="s">
        <v>242</v>
      </c>
      <c r="Q973" s="10" t="s">
        <v>242</v>
      </c>
      <c r="R973" s="10" t="s">
        <v>241</v>
      </c>
      <c r="S973" s="10" t="s">
        <v>242</v>
      </c>
      <c r="T973" s="10" t="s">
        <v>242</v>
      </c>
      <c r="U973" s="10" t="s">
        <v>241</v>
      </c>
      <c r="V973" s="10" t="s">
        <v>241</v>
      </c>
      <c r="W973" s="10" t="s">
        <v>242</v>
      </c>
      <c r="X973" s="15">
        <f>IF(ISERROR(VLOOKUP($A973,'13. Updated Demand'!A:Z,15,FALSE)),0,VLOOKUP($A973,'13. Updated Demand'!A:Z,15,FALSE))</f>
        <v>0</v>
      </c>
      <c r="Y973" s="16">
        <f>IF(ISERROR(VLOOKUP($A973,'13. Updated Demand'!A:Z,16,FALSE)),0,VLOOKUP($A973,'13. Updated Demand'!A:Z,16,FALSE))</f>
        <v>0</v>
      </c>
      <c r="Z973" s="16">
        <f>IF(ISERROR(VLOOKUP($A973,'13. Updated Demand'!A:Z,17,FALSE)),0,VLOOKUP($A973,'13. Updated Demand'!A:Z,17,FALSE))</f>
        <v>0</v>
      </c>
      <c r="AA973" s="16">
        <f>IF(ISERROR(VLOOKUP($A973,'13. Updated Demand'!A:Z,18,FALSE)),0,VLOOKUP($A973,'13. Updated Demand'!A:Z,18,FALSE))</f>
        <v>0</v>
      </c>
      <c r="AB973" s="16">
        <f>IF(ISERROR(VLOOKUP($A973,'13. Updated Demand'!A:Z,19,FALSE)),0,VLOOKUP($A973,'13. Updated Demand'!A:Z,19,FALSE))</f>
        <v>0</v>
      </c>
      <c r="AC973" s="16">
        <f>IF(ISERROR(VLOOKUP($A973,'13. Updated Demand'!A:Z,20,FALSE)),0,VLOOKUP($A973,'13. Updated Demand'!A:Z,20,FALSE))</f>
        <v>0</v>
      </c>
      <c r="AD973" s="16">
        <f>IF(ISERROR(VLOOKUP($A973,'13. Updated Demand'!A:Z,21,FALSE)),0,VLOOKUP($A973,'13. Updated Demand'!A:Z,21,FALSE))</f>
        <v>0</v>
      </c>
      <c r="AE973" s="16">
        <f>IF(ISERROR(VLOOKUP($A973,'13. Updated Demand'!A:Z,22,FALSE)),0,VLOOKUP($A973,'13. Updated Demand'!A:Z,22,FALSE))</f>
        <v>0</v>
      </c>
      <c r="AF973" s="16">
        <f>IF(ISERROR(VLOOKUP($A973,'13. Updated Demand'!A:Z,23,FALSE)),0,VLOOKUP($A973,'13. Updated Demand'!A:Z,23,FALSE))</f>
        <v>0</v>
      </c>
      <c r="AG973" s="16">
        <f>IF(ISERROR(VLOOKUP($A973,'13. Updated Demand'!A:Z,24,FALSE)),0,VLOOKUP($A973,'13. Updated Demand'!A:Z,24,FALSE))</f>
        <v>0</v>
      </c>
      <c r="AH973" s="16">
        <f>IF(ISERROR(VLOOKUP($A973,'13. Updated Demand'!A:Z,25,FALSE)),0,VLOOKUP($A973,'13. Updated Demand'!A:Z,25,FALSE))</f>
        <v>0</v>
      </c>
      <c r="AI973" s="16">
        <f>IF(ISERROR(VLOOKUP($A973,'13. Updated Demand'!A:Z,26,FALSE)),0,VLOOKUP($A973,'13. Updated Demand'!A:Z,26,FALSE))</f>
        <v>0</v>
      </c>
      <c r="AJ973" s="16">
        <f t="shared" si="180"/>
        <v>0</v>
      </c>
      <c r="AK973" s="19">
        <v>0</v>
      </c>
      <c r="AL973" s="16">
        <f t="shared" si="190"/>
        <v>0</v>
      </c>
      <c r="AM973" s="17">
        <v>0</v>
      </c>
      <c r="AN973" s="19"/>
      <c r="AO973" s="19"/>
      <c r="AP973" s="19">
        <v>11</v>
      </c>
      <c r="AQ973" s="19" t="s">
        <v>307</v>
      </c>
      <c r="AR973" s="9" t="s">
        <v>311</v>
      </c>
      <c r="AS973" s="12">
        <v>0</v>
      </c>
      <c r="AT973" s="19">
        <v>38.589541099999998</v>
      </c>
      <c r="AU973" s="19">
        <v>-122.65392752</v>
      </c>
      <c r="AV973" s="19" t="s">
        <v>417</v>
      </c>
    </row>
    <row r="974" spans="1:48" x14ac:dyDescent="0.25">
      <c r="A974" s="18" t="s">
        <v>1357</v>
      </c>
      <c r="B974" s="10">
        <v>19620830</v>
      </c>
      <c r="C974" s="9">
        <v>23</v>
      </c>
      <c r="D974" s="8" t="str">
        <f t="shared" si="181"/>
        <v>N</v>
      </c>
      <c r="E974" s="8" t="str">
        <f t="shared" si="182"/>
        <v>N</v>
      </c>
      <c r="F974" s="8" t="str">
        <f t="shared" si="183"/>
        <v>N</v>
      </c>
      <c r="G974" s="8" t="str">
        <f t="shared" si="184"/>
        <v>N</v>
      </c>
      <c r="H974" s="8" t="str">
        <f t="shared" si="185"/>
        <v>Lower</v>
      </c>
      <c r="I974" s="8" t="str">
        <f t="shared" si="186"/>
        <v>Outside</v>
      </c>
      <c r="J974" s="8" t="str">
        <f t="shared" si="187"/>
        <v>Outside</v>
      </c>
      <c r="K974" s="8" t="str">
        <f t="shared" si="188"/>
        <v>Post-1949</v>
      </c>
      <c r="L974" s="8">
        <f t="shared" si="189"/>
        <v>1962</v>
      </c>
      <c r="M974" s="8" t="str">
        <f t="shared" si="191"/>
        <v>1960-1970</v>
      </c>
      <c r="N974" s="10" t="s">
        <v>242</v>
      </c>
      <c r="O974" s="10" t="s">
        <v>242</v>
      </c>
      <c r="P974" s="10" t="s">
        <v>242</v>
      </c>
      <c r="Q974" s="10" t="s">
        <v>242</v>
      </c>
      <c r="R974" s="10" t="s">
        <v>241</v>
      </c>
      <c r="S974" s="10" t="s">
        <v>242</v>
      </c>
      <c r="T974" s="10" t="s">
        <v>242</v>
      </c>
      <c r="U974" s="10" t="s">
        <v>241</v>
      </c>
      <c r="V974" s="10" t="s">
        <v>241</v>
      </c>
      <c r="W974" s="10" t="s">
        <v>242</v>
      </c>
      <c r="X974" s="15">
        <f>IF(ISERROR(VLOOKUP($A974,'13. Updated Demand'!A:Z,15,FALSE)),0,VLOOKUP($A974,'13. Updated Demand'!A:Z,15,FALSE))</f>
        <v>0</v>
      </c>
      <c r="Y974" s="16">
        <f>IF(ISERROR(VLOOKUP($A974,'13. Updated Demand'!A:Z,16,FALSE)),0,VLOOKUP($A974,'13. Updated Demand'!A:Z,16,FALSE))</f>
        <v>0</v>
      </c>
      <c r="Z974" s="16">
        <f>IF(ISERROR(VLOOKUP($A974,'13. Updated Demand'!A:Z,17,FALSE)),0,VLOOKUP($A974,'13. Updated Demand'!A:Z,17,FALSE))</f>
        <v>0</v>
      </c>
      <c r="AA974" s="16">
        <f>IF(ISERROR(VLOOKUP($A974,'13. Updated Demand'!A:Z,18,FALSE)),0,VLOOKUP($A974,'13. Updated Demand'!A:Z,18,FALSE))</f>
        <v>0</v>
      </c>
      <c r="AB974" s="16">
        <f>IF(ISERROR(VLOOKUP($A974,'13. Updated Demand'!A:Z,19,FALSE)),0,VLOOKUP($A974,'13. Updated Demand'!A:Z,19,FALSE))</f>
        <v>0</v>
      </c>
      <c r="AC974" s="16">
        <f>IF(ISERROR(VLOOKUP($A974,'13. Updated Demand'!A:Z,20,FALSE)),0,VLOOKUP($A974,'13. Updated Demand'!A:Z,20,FALSE))</f>
        <v>0</v>
      </c>
      <c r="AD974" s="16">
        <f>IF(ISERROR(VLOOKUP($A974,'13. Updated Demand'!A:Z,21,FALSE)),0,VLOOKUP($A974,'13. Updated Demand'!A:Z,21,FALSE))</f>
        <v>0</v>
      </c>
      <c r="AE974" s="16">
        <f>IF(ISERROR(VLOOKUP($A974,'13. Updated Demand'!A:Z,22,FALSE)),0,VLOOKUP($A974,'13. Updated Demand'!A:Z,22,FALSE))</f>
        <v>0</v>
      </c>
      <c r="AF974" s="16">
        <f>IF(ISERROR(VLOOKUP($A974,'13. Updated Demand'!A:Z,23,FALSE)),0,VLOOKUP($A974,'13. Updated Demand'!A:Z,23,FALSE))</f>
        <v>0</v>
      </c>
      <c r="AG974" s="16">
        <f>IF(ISERROR(VLOOKUP($A974,'13. Updated Demand'!A:Z,24,FALSE)),0,VLOOKUP($A974,'13. Updated Demand'!A:Z,24,FALSE))</f>
        <v>0</v>
      </c>
      <c r="AH974" s="16">
        <f>IF(ISERROR(VLOOKUP($A974,'13. Updated Demand'!A:Z,25,FALSE)),0,VLOOKUP($A974,'13. Updated Demand'!A:Z,25,FALSE))</f>
        <v>0</v>
      </c>
      <c r="AI974" s="16">
        <f>IF(ISERROR(VLOOKUP($A974,'13. Updated Demand'!A:Z,26,FALSE)),0,VLOOKUP($A974,'13. Updated Demand'!A:Z,26,FALSE))</f>
        <v>0</v>
      </c>
      <c r="AJ974" s="16">
        <f t="shared" si="180"/>
        <v>0</v>
      </c>
      <c r="AK974" s="19">
        <v>0</v>
      </c>
      <c r="AL974" s="16">
        <f t="shared" si="190"/>
        <v>0</v>
      </c>
      <c r="AM974" s="17">
        <v>0</v>
      </c>
      <c r="AN974" s="19"/>
      <c r="AO974" s="19"/>
      <c r="AP974" s="19">
        <v>384</v>
      </c>
      <c r="AQ974" s="19" t="s">
        <v>307</v>
      </c>
      <c r="AR974" s="9" t="s">
        <v>725</v>
      </c>
      <c r="AS974" s="12">
        <v>0</v>
      </c>
      <c r="AT974" s="19">
        <v>38.445732560000003</v>
      </c>
      <c r="AU974" s="19">
        <v>-122.81462946000001</v>
      </c>
      <c r="AV974" s="19" t="s">
        <v>1251</v>
      </c>
    </row>
    <row r="975" spans="1:48" x14ac:dyDescent="0.25">
      <c r="A975" s="18" t="s">
        <v>1358</v>
      </c>
      <c r="B975" s="10">
        <v>19620921</v>
      </c>
      <c r="C975" s="9">
        <v>12</v>
      </c>
      <c r="D975" s="8" t="str">
        <f t="shared" si="181"/>
        <v>N</v>
      </c>
      <c r="E975" s="8" t="str">
        <f t="shared" si="182"/>
        <v>Y</v>
      </c>
      <c r="F975" s="8" t="str">
        <f t="shared" si="183"/>
        <v>Y</v>
      </c>
      <c r="G975" s="8" t="str">
        <f t="shared" si="184"/>
        <v>Y</v>
      </c>
      <c r="H975" s="8" t="str">
        <f t="shared" si="185"/>
        <v>Upper</v>
      </c>
      <c r="I975" s="8" t="str">
        <f t="shared" si="186"/>
        <v>West Fork and Below Lake</v>
      </c>
      <c r="J975" s="8" t="str">
        <f t="shared" si="187"/>
        <v>Sonoma (d/s of Clov. Gage)</v>
      </c>
      <c r="K975" s="8" t="str">
        <f t="shared" si="188"/>
        <v>Post-1949</v>
      </c>
      <c r="L975" s="8">
        <f t="shared" si="189"/>
        <v>1962</v>
      </c>
      <c r="M975" s="8" t="str">
        <f t="shared" si="191"/>
        <v>1960-1970</v>
      </c>
      <c r="N975" s="10" t="s">
        <v>242</v>
      </c>
      <c r="O975" s="10" t="s">
        <v>241</v>
      </c>
      <c r="P975" s="10" t="s">
        <v>242</v>
      </c>
      <c r="Q975" s="10" t="s">
        <v>242</v>
      </c>
      <c r="R975" s="10" t="s">
        <v>241</v>
      </c>
      <c r="S975" s="10" t="s">
        <v>242</v>
      </c>
      <c r="T975" s="10" t="s">
        <v>242</v>
      </c>
      <c r="U975" s="10" t="s">
        <v>242</v>
      </c>
      <c r="V975" s="10" t="s">
        <v>242</v>
      </c>
      <c r="W975" s="10" t="s">
        <v>242</v>
      </c>
      <c r="X975" s="15">
        <f>IF(ISERROR(VLOOKUP($A975,'13. Updated Demand'!A:Z,15,FALSE)),0,VLOOKUP($A975,'13. Updated Demand'!A:Z,15,FALSE))</f>
        <v>0</v>
      </c>
      <c r="Y975" s="16">
        <f>IF(ISERROR(VLOOKUP($A975,'13. Updated Demand'!A:Z,16,FALSE)),0,VLOOKUP($A975,'13. Updated Demand'!A:Z,16,FALSE))</f>
        <v>0</v>
      </c>
      <c r="Z975" s="16">
        <f>IF(ISERROR(VLOOKUP($A975,'13. Updated Demand'!A:Z,17,FALSE)),0,VLOOKUP($A975,'13. Updated Demand'!A:Z,17,FALSE))</f>
        <v>0</v>
      </c>
      <c r="AA975" s="16">
        <f>IF(ISERROR(VLOOKUP($A975,'13. Updated Demand'!A:Z,18,FALSE)),0,VLOOKUP($A975,'13. Updated Demand'!A:Z,18,FALSE))</f>
        <v>0</v>
      </c>
      <c r="AB975" s="16">
        <f>IF(ISERROR(VLOOKUP($A975,'13. Updated Demand'!A:Z,19,FALSE)),0,VLOOKUP($A975,'13. Updated Demand'!A:Z,19,FALSE))</f>
        <v>0.66</v>
      </c>
      <c r="AC975" s="16">
        <f>IF(ISERROR(VLOOKUP($A975,'13. Updated Demand'!A:Z,20,FALSE)),0,VLOOKUP($A975,'13. Updated Demand'!A:Z,20,FALSE))</f>
        <v>0.66</v>
      </c>
      <c r="AD975" s="16">
        <f>IF(ISERROR(VLOOKUP($A975,'13. Updated Demand'!A:Z,21,FALSE)),0,VLOOKUP($A975,'13. Updated Demand'!A:Z,21,FALSE))</f>
        <v>0.66</v>
      </c>
      <c r="AE975" s="16">
        <f>IF(ISERROR(VLOOKUP($A975,'13. Updated Demand'!A:Z,22,FALSE)),0,VLOOKUP($A975,'13. Updated Demand'!A:Z,22,FALSE))</f>
        <v>0.66</v>
      </c>
      <c r="AF975" s="16">
        <f>IF(ISERROR(VLOOKUP($A975,'13. Updated Demand'!A:Z,23,FALSE)),0,VLOOKUP($A975,'13. Updated Demand'!A:Z,23,FALSE))</f>
        <v>0</v>
      </c>
      <c r="AG975" s="16">
        <f>IF(ISERROR(VLOOKUP($A975,'13. Updated Demand'!A:Z,24,FALSE)),0,VLOOKUP($A975,'13. Updated Demand'!A:Z,24,FALSE))</f>
        <v>0</v>
      </c>
      <c r="AH975" s="16">
        <f>IF(ISERROR(VLOOKUP($A975,'13. Updated Demand'!A:Z,25,FALSE)),0,VLOOKUP($A975,'13. Updated Demand'!A:Z,25,FALSE))</f>
        <v>0</v>
      </c>
      <c r="AI975" s="16">
        <f>IF(ISERROR(VLOOKUP($A975,'13. Updated Demand'!A:Z,26,FALSE)),0,VLOOKUP($A975,'13. Updated Demand'!A:Z,26,FALSE))</f>
        <v>0</v>
      </c>
      <c r="AJ975" s="16">
        <f t="shared" si="180"/>
        <v>2.64</v>
      </c>
      <c r="AK975" s="19">
        <v>2.666666668</v>
      </c>
      <c r="AL975" s="16">
        <f t="shared" si="190"/>
        <v>8.8450295758772061E-3</v>
      </c>
      <c r="AM975" s="17">
        <v>0.1333333334</v>
      </c>
      <c r="AN975" s="19"/>
      <c r="AO975" s="19"/>
      <c r="AP975" s="19">
        <v>20</v>
      </c>
      <c r="AQ975" s="19" t="s">
        <v>307</v>
      </c>
      <c r="AR975" s="9" t="s">
        <v>311</v>
      </c>
      <c r="AS975" s="12">
        <v>0</v>
      </c>
      <c r="AT975" s="19">
        <v>38.57574803</v>
      </c>
      <c r="AU975" s="19">
        <v>-122.75489545000001</v>
      </c>
      <c r="AV975" s="19" t="s">
        <v>1359</v>
      </c>
    </row>
    <row r="976" spans="1:48" x14ac:dyDescent="0.25">
      <c r="A976" s="18" t="s">
        <v>1360</v>
      </c>
      <c r="B976" s="10">
        <v>19621002</v>
      </c>
      <c r="C976" s="9">
        <v>1</v>
      </c>
      <c r="D976" s="8" t="str">
        <f t="shared" si="181"/>
        <v>N</v>
      </c>
      <c r="E976" s="8" t="str">
        <f t="shared" si="182"/>
        <v>N</v>
      </c>
      <c r="F976" s="8" t="str">
        <f t="shared" si="183"/>
        <v>Y</v>
      </c>
      <c r="G976" s="8" t="str">
        <f t="shared" si="184"/>
        <v>Y</v>
      </c>
      <c r="H976" s="8" t="str">
        <f t="shared" si="185"/>
        <v>Upper</v>
      </c>
      <c r="I976" s="8" t="str">
        <f t="shared" si="186"/>
        <v>West Fork and Below Lake</v>
      </c>
      <c r="J976" s="8" t="str">
        <f t="shared" si="187"/>
        <v>Outside</v>
      </c>
      <c r="K976" s="8" t="str">
        <f t="shared" si="188"/>
        <v>Post-1949</v>
      </c>
      <c r="L976" s="8">
        <f t="shared" si="189"/>
        <v>1962</v>
      </c>
      <c r="M976" s="8" t="str">
        <f t="shared" si="191"/>
        <v>1960-1970</v>
      </c>
      <c r="N976" s="10" t="s">
        <v>242</v>
      </c>
      <c r="O976" s="10" t="s">
        <v>241</v>
      </c>
      <c r="P976" s="10" t="s">
        <v>242</v>
      </c>
      <c r="Q976" s="10" t="s">
        <v>242</v>
      </c>
      <c r="R976" s="10" t="s">
        <v>241</v>
      </c>
      <c r="S976" s="10" t="s">
        <v>242</v>
      </c>
      <c r="T976" s="10" t="s">
        <v>242</v>
      </c>
      <c r="U976" s="10" t="s">
        <v>242</v>
      </c>
      <c r="V976" s="10" t="s">
        <v>242</v>
      </c>
      <c r="W976" s="10" t="s">
        <v>242</v>
      </c>
      <c r="X976" s="15">
        <f>IF(ISERROR(VLOOKUP($A976,'13. Updated Demand'!A:Z,15,FALSE)),0,VLOOKUP($A976,'13. Updated Demand'!A:Z,15,FALSE))</f>
        <v>0</v>
      </c>
      <c r="Y976" s="16">
        <f>IF(ISERROR(VLOOKUP($A976,'13. Updated Demand'!A:Z,16,FALSE)),0,VLOOKUP($A976,'13. Updated Demand'!A:Z,16,FALSE))</f>
        <v>1.5</v>
      </c>
      <c r="Z976" s="16">
        <f>IF(ISERROR(VLOOKUP($A976,'13. Updated Demand'!A:Z,17,FALSE)),0,VLOOKUP($A976,'13. Updated Demand'!A:Z,17,FALSE))</f>
        <v>3.33</v>
      </c>
      <c r="AA976" s="16">
        <f>IF(ISERROR(VLOOKUP($A976,'13. Updated Demand'!A:Z,18,FALSE)),0,VLOOKUP($A976,'13. Updated Demand'!A:Z,18,FALSE))</f>
        <v>6.5</v>
      </c>
      <c r="AB976" s="16">
        <f>IF(ISERROR(VLOOKUP($A976,'13. Updated Demand'!A:Z,19,FALSE)),0,VLOOKUP($A976,'13. Updated Demand'!A:Z,19,FALSE))</f>
        <v>5.66</v>
      </c>
      <c r="AC976" s="16">
        <f>IF(ISERROR(VLOOKUP($A976,'13. Updated Demand'!A:Z,20,FALSE)),0,VLOOKUP($A976,'13. Updated Demand'!A:Z,20,FALSE))</f>
        <v>4.33</v>
      </c>
      <c r="AD976" s="16">
        <f>IF(ISERROR(VLOOKUP($A976,'13. Updated Demand'!A:Z,21,FALSE)),0,VLOOKUP($A976,'13. Updated Demand'!A:Z,21,FALSE))</f>
        <v>4.66</v>
      </c>
      <c r="AE976" s="16">
        <f>IF(ISERROR(VLOOKUP($A976,'13. Updated Demand'!A:Z,22,FALSE)),0,VLOOKUP($A976,'13. Updated Demand'!A:Z,22,FALSE))</f>
        <v>4</v>
      </c>
      <c r="AF976" s="16">
        <f>IF(ISERROR(VLOOKUP($A976,'13. Updated Demand'!A:Z,23,FALSE)),0,VLOOKUP($A976,'13. Updated Demand'!A:Z,23,FALSE))</f>
        <v>2.66</v>
      </c>
      <c r="AG976" s="16">
        <f>IF(ISERROR(VLOOKUP($A976,'13. Updated Demand'!A:Z,24,FALSE)),0,VLOOKUP($A976,'13. Updated Demand'!A:Z,24,FALSE))</f>
        <v>2.33</v>
      </c>
      <c r="AH976" s="16">
        <f>IF(ISERROR(VLOOKUP($A976,'13. Updated Demand'!A:Z,25,FALSE)),0,VLOOKUP($A976,'13. Updated Demand'!A:Z,25,FALSE))</f>
        <v>1.66</v>
      </c>
      <c r="AI976" s="16">
        <f>IF(ISERROR(VLOOKUP($A976,'13. Updated Demand'!A:Z,26,FALSE)),0,VLOOKUP($A976,'13. Updated Demand'!A:Z,26,FALSE))</f>
        <v>0</v>
      </c>
      <c r="AJ976" s="16">
        <f t="shared" ref="AJ976:AJ1039" si="192">SUM(X976:AI976)</f>
        <v>36.629999999999995</v>
      </c>
      <c r="AK976" s="19">
        <v>21.333333334000002</v>
      </c>
      <c r="AL976" s="16">
        <f t="shared" si="190"/>
        <v>7.0760236573848792E-2</v>
      </c>
      <c r="AM976" s="17">
        <v>0.76708507671548121</v>
      </c>
      <c r="AN976" s="19"/>
      <c r="AO976" s="19"/>
      <c r="AP976" s="19">
        <v>47.8</v>
      </c>
      <c r="AQ976" s="19" t="s">
        <v>307</v>
      </c>
      <c r="AR976" s="9" t="s">
        <v>317</v>
      </c>
      <c r="AS976" s="12">
        <v>0</v>
      </c>
      <c r="AT976" s="19">
        <v>39.32742262</v>
      </c>
      <c r="AU976" s="19">
        <v>-123.22642024</v>
      </c>
      <c r="AV976" s="19" t="s">
        <v>1361</v>
      </c>
    </row>
    <row r="977" spans="1:48" x14ac:dyDescent="0.25">
      <c r="A977" s="18" t="s">
        <v>1362</v>
      </c>
      <c r="B977" s="10">
        <v>19621015</v>
      </c>
      <c r="C977" s="9">
        <v>17</v>
      </c>
      <c r="D977" s="8" t="str">
        <f t="shared" si="181"/>
        <v>N</v>
      </c>
      <c r="E977" s="8" t="str">
        <f t="shared" si="182"/>
        <v>N</v>
      </c>
      <c r="F977" s="8" t="str">
        <f t="shared" si="183"/>
        <v>N</v>
      </c>
      <c r="G977" s="8" t="str">
        <f t="shared" si="184"/>
        <v>N</v>
      </c>
      <c r="H977" s="8" t="str">
        <f t="shared" si="185"/>
        <v>Lower</v>
      </c>
      <c r="I977" s="8" t="str">
        <f t="shared" si="186"/>
        <v>Outside</v>
      </c>
      <c r="J977" s="8" t="str">
        <f t="shared" si="187"/>
        <v>Outside</v>
      </c>
      <c r="K977" s="8" t="str">
        <f t="shared" si="188"/>
        <v>Post-1949</v>
      </c>
      <c r="L977" s="8">
        <f t="shared" si="189"/>
        <v>1962</v>
      </c>
      <c r="M977" s="8" t="str">
        <f t="shared" si="191"/>
        <v>1960-1970</v>
      </c>
      <c r="N977" s="10" t="s">
        <v>242</v>
      </c>
      <c r="O977" s="10" t="s">
        <v>242</v>
      </c>
      <c r="P977" s="10" t="s">
        <v>242</v>
      </c>
      <c r="Q977" s="10" t="s">
        <v>242</v>
      </c>
      <c r="R977" s="10" t="s">
        <v>241</v>
      </c>
      <c r="S977" s="10" t="s">
        <v>242</v>
      </c>
      <c r="T977" s="10" t="s">
        <v>242</v>
      </c>
      <c r="U977" s="10" t="s">
        <v>242</v>
      </c>
      <c r="V977" s="10" t="s">
        <v>241</v>
      </c>
      <c r="W977" s="10" t="s">
        <v>242</v>
      </c>
      <c r="X977" s="15">
        <f>IF(ISERROR(VLOOKUP($A977,'13. Updated Demand'!A:Z,15,FALSE)),0,VLOOKUP($A977,'13. Updated Demand'!A:Z,15,FALSE))</f>
        <v>0.22</v>
      </c>
      <c r="Y977" s="16">
        <f>IF(ISERROR(VLOOKUP($A977,'13. Updated Demand'!A:Z,16,FALSE)),0,VLOOKUP($A977,'13. Updated Demand'!A:Z,16,FALSE))</f>
        <v>0.08</v>
      </c>
      <c r="Z977" s="16">
        <f>IF(ISERROR(VLOOKUP($A977,'13. Updated Demand'!A:Z,17,FALSE)),0,VLOOKUP($A977,'13. Updated Demand'!A:Z,17,FALSE))</f>
        <v>0.05</v>
      </c>
      <c r="AA977" s="16">
        <f>IF(ISERROR(VLOOKUP($A977,'13. Updated Demand'!A:Z,18,FALSE)),0,VLOOKUP($A977,'13. Updated Demand'!A:Z,18,FALSE))</f>
        <v>0</v>
      </c>
      <c r="AB977" s="16">
        <f>IF(ISERROR(VLOOKUP($A977,'13. Updated Demand'!A:Z,19,FALSE)),0,VLOOKUP($A977,'13. Updated Demand'!A:Z,19,FALSE))</f>
        <v>0</v>
      </c>
      <c r="AC977" s="16">
        <f>IF(ISERROR(VLOOKUP($A977,'13. Updated Demand'!A:Z,20,FALSE)),0,VLOOKUP($A977,'13. Updated Demand'!A:Z,20,FALSE))</f>
        <v>0</v>
      </c>
      <c r="AD977" s="16">
        <f>IF(ISERROR(VLOOKUP($A977,'13. Updated Demand'!A:Z,21,FALSE)),0,VLOOKUP($A977,'13. Updated Demand'!A:Z,21,FALSE))</f>
        <v>0</v>
      </c>
      <c r="AE977" s="16">
        <f>IF(ISERROR(VLOOKUP($A977,'13. Updated Demand'!A:Z,22,FALSE)),0,VLOOKUP($A977,'13. Updated Demand'!A:Z,22,FALSE))</f>
        <v>0</v>
      </c>
      <c r="AF977" s="16">
        <f>IF(ISERROR(VLOOKUP($A977,'13. Updated Demand'!A:Z,23,FALSE)),0,VLOOKUP($A977,'13. Updated Demand'!A:Z,23,FALSE))</f>
        <v>0</v>
      </c>
      <c r="AG977" s="16">
        <f>IF(ISERROR(VLOOKUP($A977,'13. Updated Demand'!A:Z,24,FALSE)),0,VLOOKUP($A977,'13. Updated Demand'!A:Z,24,FALSE))</f>
        <v>0</v>
      </c>
      <c r="AH977" s="16">
        <f>IF(ISERROR(VLOOKUP($A977,'13. Updated Demand'!A:Z,25,FALSE)),0,VLOOKUP($A977,'13. Updated Demand'!A:Z,25,FALSE))</f>
        <v>0.236666667</v>
      </c>
      <c r="AI977" s="16">
        <f>IF(ISERROR(VLOOKUP($A977,'13. Updated Demand'!A:Z,26,FALSE)),0,VLOOKUP($A977,'13. Updated Demand'!A:Z,26,FALSE))</f>
        <v>0.51666666699999997</v>
      </c>
      <c r="AJ977" s="16">
        <f t="shared" si="192"/>
        <v>1.103333334</v>
      </c>
      <c r="AK977" s="19">
        <v>0</v>
      </c>
      <c r="AL977" s="16">
        <f t="shared" si="190"/>
        <v>0</v>
      </c>
      <c r="AM977" s="17">
        <v>0.367777778</v>
      </c>
      <c r="AN977" s="19"/>
      <c r="AO977" s="19"/>
      <c r="AP977" s="19">
        <v>3</v>
      </c>
      <c r="AQ977" s="19" t="s">
        <v>307</v>
      </c>
      <c r="AR977" s="9" t="s">
        <v>486</v>
      </c>
      <c r="AS977" s="12">
        <v>0</v>
      </c>
      <c r="AT977" s="19">
        <v>38.560294990000003</v>
      </c>
      <c r="AU977" s="19">
        <v>-122.88238659</v>
      </c>
      <c r="AV977" s="19" t="s">
        <v>417</v>
      </c>
    </row>
    <row r="978" spans="1:48" x14ac:dyDescent="0.25">
      <c r="A978" s="18" t="s">
        <v>1363</v>
      </c>
      <c r="B978" s="10">
        <v>19621213</v>
      </c>
      <c r="C978" s="9">
        <v>23</v>
      </c>
      <c r="D978" s="8" t="str">
        <f t="shared" si="181"/>
        <v>N</v>
      </c>
      <c r="E978" s="8" t="str">
        <f t="shared" si="182"/>
        <v>N</v>
      </c>
      <c r="F978" s="8" t="str">
        <f t="shared" si="183"/>
        <v>N</v>
      </c>
      <c r="G978" s="8" t="str">
        <f t="shared" si="184"/>
        <v>N</v>
      </c>
      <c r="H978" s="8" t="str">
        <f t="shared" si="185"/>
        <v>Lower</v>
      </c>
      <c r="I978" s="8" t="str">
        <f t="shared" si="186"/>
        <v>Outside</v>
      </c>
      <c r="J978" s="8" t="str">
        <f t="shared" si="187"/>
        <v>Outside</v>
      </c>
      <c r="K978" s="8" t="str">
        <f t="shared" si="188"/>
        <v>Post-1949</v>
      </c>
      <c r="L978" s="8">
        <f t="shared" si="189"/>
        <v>1962</v>
      </c>
      <c r="M978" s="8" t="str">
        <f t="shared" si="191"/>
        <v>1960-1970</v>
      </c>
      <c r="N978" s="10" t="s">
        <v>242</v>
      </c>
      <c r="O978" s="10" t="s">
        <v>242</v>
      </c>
      <c r="P978" s="10" t="s">
        <v>242</v>
      </c>
      <c r="Q978" s="10" t="s">
        <v>242</v>
      </c>
      <c r="R978" s="10" t="s">
        <v>241</v>
      </c>
      <c r="S978" s="10" t="s">
        <v>242</v>
      </c>
      <c r="T978" s="10" t="s">
        <v>242</v>
      </c>
      <c r="U978" s="10" t="s">
        <v>242</v>
      </c>
      <c r="V978" s="10" t="s">
        <v>242</v>
      </c>
      <c r="W978" s="10" t="s">
        <v>242</v>
      </c>
      <c r="X978" s="15">
        <f>IF(ISERROR(VLOOKUP($A978,'13. Updated Demand'!A:Z,15,FALSE)),0,VLOOKUP($A978,'13. Updated Demand'!A:Z,15,FALSE))</f>
        <v>5.0000000000000001E-3</v>
      </c>
      <c r="Y978" s="16">
        <f>IF(ISERROR(VLOOKUP($A978,'13. Updated Demand'!A:Z,16,FALSE)),0,VLOOKUP($A978,'13. Updated Demand'!A:Z,16,FALSE))</f>
        <v>5.0000000000000001E-3</v>
      </c>
      <c r="Z978" s="16">
        <f>IF(ISERROR(VLOOKUP($A978,'13. Updated Demand'!A:Z,17,FALSE)),0,VLOOKUP($A978,'13. Updated Demand'!A:Z,17,FALSE))</f>
        <v>5.0000000000000001E-3</v>
      </c>
      <c r="AA978" s="16">
        <f>IF(ISERROR(VLOOKUP($A978,'13. Updated Demand'!A:Z,18,FALSE)),0,VLOOKUP($A978,'13. Updated Demand'!A:Z,18,FALSE))</f>
        <v>5.0000000000000001E-3</v>
      </c>
      <c r="AB978" s="16">
        <f>IF(ISERROR(VLOOKUP($A978,'13. Updated Demand'!A:Z,19,FALSE)),0,VLOOKUP($A978,'13. Updated Demand'!A:Z,19,FALSE))</f>
        <v>3.0000000000000001E-3</v>
      </c>
      <c r="AC978" s="16">
        <f>IF(ISERROR(VLOOKUP($A978,'13. Updated Demand'!A:Z,20,FALSE)),0,VLOOKUP($A978,'13. Updated Demand'!A:Z,20,FALSE))</f>
        <v>0</v>
      </c>
      <c r="AD978" s="16">
        <f>IF(ISERROR(VLOOKUP($A978,'13. Updated Demand'!A:Z,21,FALSE)),0,VLOOKUP($A978,'13. Updated Demand'!A:Z,21,FALSE))</f>
        <v>0</v>
      </c>
      <c r="AE978" s="16">
        <f>IF(ISERROR(VLOOKUP($A978,'13. Updated Demand'!A:Z,22,FALSE)),0,VLOOKUP($A978,'13. Updated Demand'!A:Z,22,FALSE))</f>
        <v>0</v>
      </c>
      <c r="AF978" s="16">
        <f>IF(ISERROR(VLOOKUP($A978,'13. Updated Demand'!A:Z,23,FALSE)),0,VLOOKUP($A978,'13. Updated Demand'!A:Z,23,FALSE))</f>
        <v>0</v>
      </c>
      <c r="AG978" s="16">
        <f>IF(ISERROR(VLOOKUP($A978,'13. Updated Demand'!A:Z,24,FALSE)),0,VLOOKUP($A978,'13. Updated Demand'!A:Z,24,FALSE))</f>
        <v>0</v>
      </c>
      <c r="AH978" s="16">
        <f>IF(ISERROR(VLOOKUP($A978,'13. Updated Demand'!A:Z,25,FALSE)),0,VLOOKUP($A978,'13. Updated Demand'!A:Z,25,FALSE))</f>
        <v>0</v>
      </c>
      <c r="AI978" s="16">
        <f>IF(ISERROR(VLOOKUP($A978,'13. Updated Demand'!A:Z,26,FALSE)),0,VLOOKUP($A978,'13. Updated Demand'!A:Z,26,FALSE))</f>
        <v>0</v>
      </c>
      <c r="AJ978" s="16">
        <f t="shared" si="192"/>
        <v>2.3E-2</v>
      </c>
      <c r="AK978" s="19">
        <v>3.0000000000000001E-3</v>
      </c>
      <c r="AL978" s="16">
        <f t="shared" si="190"/>
        <v>9.9506582678865273E-6</v>
      </c>
      <c r="AM978" s="17">
        <v>7.1874999999999994E-3</v>
      </c>
      <c r="AN978" s="19"/>
      <c r="AO978" s="19"/>
      <c r="AP978" s="19">
        <v>3.2</v>
      </c>
      <c r="AQ978" s="19" t="s">
        <v>307</v>
      </c>
      <c r="AR978" s="9" t="s">
        <v>323</v>
      </c>
      <c r="AS978" s="12">
        <v>0</v>
      </c>
      <c r="AT978" s="19">
        <v>38.563400000000001</v>
      </c>
      <c r="AU978" s="19">
        <v>-122.62309999999999</v>
      </c>
      <c r="AV978" s="19" t="s">
        <v>417</v>
      </c>
    </row>
    <row r="979" spans="1:48" x14ac:dyDescent="0.25">
      <c r="A979" s="18" t="s">
        <v>1364</v>
      </c>
      <c r="B979" s="10">
        <v>19620201</v>
      </c>
      <c r="C979" s="9">
        <v>16</v>
      </c>
      <c r="D979" s="8" t="str">
        <f t="shared" si="181"/>
        <v>N</v>
      </c>
      <c r="E979" s="8" t="str">
        <f t="shared" si="182"/>
        <v>N</v>
      </c>
      <c r="F979" s="8" t="str">
        <f t="shared" si="183"/>
        <v>N</v>
      </c>
      <c r="G979" s="8" t="str">
        <f t="shared" si="184"/>
        <v>N</v>
      </c>
      <c r="H979" s="8" t="str">
        <f t="shared" si="185"/>
        <v>Lower</v>
      </c>
      <c r="I979" s="8" t="str">
        <f t="shared" si="186"/>
        <v>Outside</v>
      </c>
      <c r="J979" s="8" t="str">
        <f t="shared" si="187"/>
        <v>Outside</v>
      </c>
      <c r="K979" s="8" t="str">
        <f t="shared" si="188"/>
        <v>Post-1949</v>
      </c>
      <c r="L979" s="8">
        <f t="shared" si="189"/>
        <v>1962</v>
      </c>
      <c r="M979" s="8" t="str">
        <f t="shared" si="191"/>
        <v>1960-1970</v>
      </c>
      <c r="N979" s="10" t="s">
        <v>242</v>
      </c>
      <c r="O979" s="10" t="s">
        <v>242</v>
      </c>
      <c r="P979" s="10" t="s">
        <v>242</v>
      </c>
      <c r="Q979" s="10" t="s">
        <v>242</v>
      </c>
      <c r="R979" s="10" t="s">
        <v>241</v>
      </c>
      <c r="S979" s="10" t="s">
        <v>242</v>
      </c>
      <c r="T979" s="10" t="s">
        <v>242</v>
      </c>
      <c r="U979" s="10" t="s">
        <v>242</v>
      </c>
      <c r="V979" s="10" t="s">
        <v>241</v>
      </c>
      <c r="W979" s="10" t="s">
        <v>242</v>
      </c>
      <c r="X979" s="15">
        <f>IF(ISERROR(VLOOKUP($A979,'13. Updated Demand'!A:Z,15,FALSE)),0,VLOOKUP($A979,'13. Updated Demand'!A:Z,15,FALSE))</f>
        <v>0</v>
      </c>
      <c r="Y979" s="16">
        <f>IF(ISERROR(VLOOKUP($A979,'13. Updated Demand'!A:Z,16,FALSE)),0,VLOOKUP($A979,'13. Updated Demand'!A:Z,16,FALSE))</f>
        <v>0</v>
      </c>
      <c r="Z979" s="16">
        <f>IF(ISERROR(VLOOKUP($A979,'13. Updated Demand'!A:Z,17,FALSE)),0,VLOOKUP($A979,'13. Updated Demand'!A:Z,17,FALSE))</f>
        <v>0</v>
      </c>
      <c r="AA979" s="16">
        <f>IF(ISERROR(VLOOKUP($A979,'13. Updated Demand'!A:Z,18,FALSE)),0,VLOOKUP($A979,'13. Updated Demand'!A:Z,18,FALSE))</f>
        <v>0</v>
      </c>
      <c r="AB979" s="16">
        <f>IF(ISERROR(VLOOKUP($A979,'13. Updated Demand'!A:Z,19,FALSE)),0,VLOOKUP($A979,'13. Updated Demand'!A:Z,19,FALSE))</f>
        <v>0</v>
      </c>
      <c r="AC979" s="16">
        <f>IF(ISERROR(VLOOKUP($A979,'13. Updated Demand'!A:Z,20,FALSE)),0,VLOOKUP($A979,'13. Updated Demand'!A:Z,20,FALSE))</f>
        <v>0</v>
      </c>
      <c r="AD979" s="16">
        <f>IF(ISERROR(VLOOKUP($A979,'13. Updated Demand'!A:Z,21,FALSE)),0,VLOOKUP($A979,'13. Updated Demand'!A:Z,21,FALSE))</f>
        <v>0</v>
      </c>
      <c r="AE979" s="16">
        <f>IF(ISERROR(VLOOKUP($A979,'13. Updated Demand'!A:Z,22,FALSE)),0,VLOOKUP($A979,'13. Updated Demand'!A:Z,22,FALSE))</f>
        <v>0</v>
      </c>
      <c r="AF979" s="16">
        <f>IF(ISERROR(VLOOKUP($A979,'13. Updated Demand'!A:Z,23,FALSE)),0,VLOOKUP($A979,'13. Updated Demand'!A:Z,23,FALSE))</f>
        <v>0</v>
      </c>
      <c r="AG979" s="16">
        <f>IF(ISERROR(VLOOKUP($A979,'13. Updated Demand'!A:Z,24,FALSE)),0,VLOOKUP($A979,'13. Updated Demand'!A:Z,24,FALSE))</f>
        <v>0</v>
      </c>
      <c r="AH979" s="16">
        <f>IF(ISERROR(VLOOKUP($A979,'13. Updated Demand'!A:Z,25,FALSE)),0,VLOOKUP($A979,'13. Updated Demand'!A:Z,25,FALSE))</f>
        <v>2</v>
      </c>
      <c r="AI979" s="16">
        <f>IF(ISERROR(VLOOKUP($A979,'13. Updated Demand'!A:Z,26,FALSE)),0,VLOOKUP($A979,'13. Updated Demand'!A:Z,26,FALSE))</f>
        <v>1.3333333329999999</v>
      </c>
      <c r="AJ979" s="16">
        <f t="shared" si="192"/>
        <v>3.3333333329999997</v>
      </c>
      <c r="AK979" s="19">
        <v>0</v>
      </c>
      <c r="AL979" s="16">
        <f t="shared" si="190"/>
        <v>0</v>
      </c>
      <c r="AM979" s="17">
        <v>0.52910052904761906</v>
      </c>
      <c r="AN979" s="19"/>
      <c r="AO979" s="19"/>
      <c r="AP979" s="19">
        <v>6.3</v>
      </c>
      <c r="AQ979" s="19" t="s">
        <v>307</v>
      </c>
      <c r="AR979" s="9" t="s">
        <v>394</v>
      </c>
      <c r="AS979" s="12">
        <v>3.4039024194010059E-4</v>
      </c>
      <c r="AT979" s="19">
        <v>38.593260350000001</v>
      </c>
      <c r="AU979" s="19">
        <v>-122.88069482</v>
      </c>
      <c r="AV979" s="19" t="s">
        <v>417</v>
      </c>
    </row>
    <row r="980" spans="1:48" x14ac:dyDescent="0.25">
      <c r="A980" s="18" t="s">
        <v>1365</v>
      </c>
      <c r="B980" s="10">
        <v>19620126</v>
      </c>
      <c r="C980" s="9">
        <v>15</v>
      </c>
      <c r="D980" s="8" t="str">
        <f t="shared" si="181"/>
        <v>N</v>
      </c>
      <c r="E980" s="8" t="str">
        <f t="shared" si="182"/>
        <v>N</v>
      </c>
      <c r="F980" s="8" t="str">
        <f t="shared" si="183"/>
        <v>N</v>
      </c>
      <c r="G980" s="8" t="str">
        <f t="shared" si="184"/>
        <v>N</v>
      </c>
      <c r="H980" s="8" t="str">
        <f t="shared" si="185"/>
        <v>Lower</v>
      </c>
      <c r="I980" s="8" t="str">
        <f t="shared" si="186"/>
        <v>Outside</v>
      </c>
      <c r="J980" s="8" t="str">
        <f t="shared" si="187"/>
        <v>Outside</v>
      </c>
      <c r="K980" s="8" t="str">
        <f t="shared" si="188"/>
        <v>Post-1949</v>
      </c>
      <c r="L980" s="8">
        <f t="shared" si="189"/>
        <v>1962</v>
      </c>
      <c r="M980" s="8" t="str">
        <f t="shared" si="191"/>
        <v>1960-1970</v>
      </c>
      <c r="N980" s="10" t="s">
        <v>242</v>
      </c>
      <c r="O980" s="10" t="s">
        <v>242</v>
      </c>
      <c r="P980" s="10" t="s">
        <v>242</v>
      </c>
      <c r="Q980" s="10" t="s">
        <v>242</v>
      </c>
      <c r="R980" s="10" t="s">
        <v>241</v>
      </c>
      <c r="S980" s="10" t="s">
        <v>242</v>
      </c>
      <c r="T980" s="10" t="s">
        <v>242</v>
      </c>
      <c r="U980" s="10" t="s">
        <v>242</v>
      </c>
      <c r="V980" s="10" t="s">
        <v>241</v>
      </c>
      <c r="W980" s="10" t="s">
        <v>242</v>
      </c>
      <c r="X980" s="15">
        <f>IF(ISERROR(VLOOKUP($A980,'13. Updated Demand'!A:Z,15,FALSE)),0,VLOOKUP($A980,'13. Updated Demand'!A:Z,15,FALSE))</f>
        <v>0</v>
      </c>
      <c r="Y980" s="16">
        <f>IF(ISERROR(VLOOKUP($A980,'13. Updated Demand'!A:Z,16,FALSE)),0,VLOOKUP($A980,'13. Updated Demand'!A:Z,16,FALSE))</f>
        <v>0</v>
      </c>
      <c r="Z980" s="16">
        <f>IF(ISERROR(VLOOKUP($A980,'13. Updated Demand'!A:Z,17,FALSE)),0,VLOOKUP($A980,'13. Updated Demand'!A:Z,17,FALSE))</f>
        <v>0</v>
      </c>
      <c r="AA980" s="16">
        <f>IF(ISERROR(VLOOKUP($A980,'13. Updated Demand'!A:Z,18,FALSE)),0,VLOOKUP($A980,'13. Updated Demand'!A:Z,18,FALSE))</f>
        <v>0</v>
      </c>
      <c r="AB980" s="16">
        <f>IF(ISERROR(VLOOKUP($A980,'13. Updated Demand'!A:Z,19,FALSE)),0,VLOOKUP($A980,'13. Updated Demand'!A:Z,19,FALSE))</f>
        <v>0</v>
      </c>
      <c r="AC980" s="16">
        <f>IF(ISERROR(VLOOKUP($A980,'13. Updated Demand'!A:Z,20,FALSE)),0,VLOOKUP($A980,'13. Updated Demand'!A:Z,20,FALSE))</f>
        <v>0</v>
      </c>
      <c r="AD980" s="16">
        <f>IF(ISERROR(VLOOKUP($A980,'13. Updated Demand'!A:Z,21,FALSE)),0,VLOOKUP($A980,'13. Updated Demand'!A:Z,21,FALSE))</f>
        <v>0</v>
      </c>
      <c r="AE980" s="16">
        <f>IF(ISERROR(VLOOKUP($A980,'13. Updated Demand'!A:Z,22,FALSE)),0,VLOOKUP($A980,'13. Updated Demand'!A:Z,22,FALSE))</f>
        <v>0</v>
      </c>
      <c r="AF980" s="16">
        <f>IF(ISERROR(VLOOKUP($A980,'13. Updated Demand'!A:Z,23,FALSE)),0,VLOOKUP($A980,'13. Updated Demand'!A:Z,23,FALSE))</f>
        <v>0</v>
      </c>
      <c r="AG980" s="16">
        <f>IF(ISERROR(VLOOKUP($A980,'13. Updated Demand'!A:Z,24,FALSE)),0,VLOOKUP($A980,'13. Updated Demand'!A:Z,24,FALSE))</f>
        <v>0.66666666699999999</v>
      </c>
      <c r="AH980" s="16">
        <f>IF(ISERROR(VLOOKUP($A980,'13. Updated Demand'!A:Z,25,FALSE)),0,VLOOKUP($A980,'13. Updated Demand'!A:Z,25,FALSE))</f>
        <v>5</v>
      </c>
      <c r="AI980" s="16">
        <f>IF(ISERROR(VLOOKUP($A980,'13. Updated Demand'!A:Z,26,FALSE)),0,VLOOKUP($A980,'13. Updated Demand'!A:Z,26,FALSE))</f>
        <v>5</v>
      </c>
      <c r="AJ980" s="16">
        <f t="shared" si="192"/>
        <v>10.666666667000001</v>
      </c>
      <c r="AK980" s="19">
        <v>0</v>
      </c>
      <c r="AL980" s="16">
        <f t="shared" si="190"/>
        <v>0</v>
      </c>
      <c r="AM980" s="17">
        <v>0.46376811595652179</v>
      </c>
      <c r="AN980" s="19"/>
      <c r="AO980" s="19"/>
      <c r="AP980" s="19">
        <v>23</v>
      </c>
      <c r="AQ980" s="19" t="s">
        <v>307</v>
      </c>
      <c r="AR980" s="9" t="s">
        <v>489</v>
      </c>
      <c r="AS980" s="12">
        <v>0</v>
      </c>
      <c r="AT980" s="19">
        <v>38.663699999999999</v>
      </c>
      <c r="AU980" s="19">
        <v>-122.94459999999999</v>
      </c>
      <c r="AV980" s="19" t="s">
        <v>417</v>
      </c>
    </row>
    <row r="981" spans="1:48" x14ac:dyDescent="0.25">
      <c r="A981" s="18" t="s">
        <v>1366</v>
      </c>
      <c r="B981" s="10">
        <v>19620419</v>
      </c>
      <c r="C981" s="9">
        <v>16</v>
      </c>
      <c r="D981" s="8" t="str">
        <f t="shared" si="181"/>
        <v>N</v>
      </c>
      <c r="E981" s="8" t="str">
        <f t="shared" si="182"/>
        <v>N</v>
      </c>
      <c r="F981" s="8" t="str">
        <f t="shared" si="183"/>
        <v>N</v>
      </c>
      <c r="G981" s="8" t="str">
        <f t="shared" si="184"/>
        <v>N</v>
      </c>
      <c r="H981" s="8" t="str">
        <f t="shared" si="185"/>
        <v>Lower</v>
      </c>
      <c r="I981" s="8" t="str">
        <f t="shared" si="186"/>
        <v>Outside</v>
      </c>
      <c r="J981" s="8" t="str">
        <f t="shared" si="187"/>
        <v>Outside</v>
      </c>
      <c r="K981" s="8" t="str">
        <f t="shared" si="188"/>
        <v>Post-1949</v>
      </c>
      <c r="L981" s="8">
        <f t="shared" si="189"/>
        <v>1962</v>
      </c>
      <c r="M981" s="8" t="str">
        <f t="shared" si="191"/>
        <v>1960-1970</v>
      </c>
      <c r="N981" s="10" t="s">
        <v>242</v>
      </c>
      <c r="O981" s="10" t="s">
        <v>242</v>
      </c>
      <c r="P981" s="10" t="s">
        <v>242</v>
      </c>
      <c r="Q981" s="10" t="s">
        <v>242</v>
      </c>
      <c r="R981" s="10" t="s">
        <v>241</v>
      </c>
      <c r="S981" s="10" t="s">
        <v>242</v>
      </c>
      <c r="T981" s="10" t="s">
        <v>242</v>
      </c>
      <c r="U981" s="10" t="s">
        <v>242</v>
      </c>
      <c r="V981" s="10" t="s">
        <v>241</v>
      </c>
      <c r="W981" s="10" t="s">
        <v>242</v>
      </c>
      <c r="X981" s="15">
        <f>IF(ISERROR(VLOOKUP($A981,'13. Updated Demand'!A:Z,15,FALSE)),0,VLOOKUP($A981,'13. Updated Demand'!A:Z,15,FALSE))</f>
        <v>3.3333333330000001</v>
      </c>
      <c r="Y981" s="16">
        <f>IF(ISERROR(VLOOKUP($A981,'13. Updated Demand'!A:Z,16,FALSE)),0,VLOOKUP($A981,'13. Updated Demand'!A:Z,16,FALSE))</f>
        <v>3</v>
      </c>
      <c r="Z981" s="16">
        <f>IF(ISERROR(VLOOKUP($A981,'13. Updated Demand'!A:Z,17,FALSE)),0,VLOOKUP($A981,'13. Updated Demand'!A:Z,17,FALSE))</f>
        <v>1.3333333329999999</v>
      </c>
      <c r="AA981" s="16">
        <f>IF(ISERROR(VLOOKUP($A981,'13. Updated Demand'!A:Z,18,FALSE)),0,VLOOKUP($A981,'13. Updated Demand'!A:Z,18,FALSE))</f>
        <v>0.66666666699999999</v>
      </c>
      <c r="AB981" s="16">
        <f>IF(ISERROR(VLOOKUP($A981,'13. Updated Demand'!A:Z,19,FALSE)),0,VLOOKUP($A981,'13. Updated Demand'!A:Z,19,FALSE))</f>
        <v>0</v>
      </c>
      <c r="AC981" s="16">
        <f>IF(ISERROR(VLOOKUP($A981,'13. Updated Demand'!A:Z,20,FALSE)),0,VLOOKUP($A981,'13. Updated Demand'!A:Z,20,FALSE))</f>
        <v>0</v>
      </c>
      <c r="AD981" s="16">
        <f>IF(ISERROR(VLOOKUP($A981,'13. Updated Demand'!A:Z,21,FALSE)),0,VLOOKUP($A981,'13. Updated Demand'!A:Z,21,FALSE))</f>
        <v>0</v>
      </c>
      <c r="AE981" s="16">
        <f>IF(ISERROR(VLOOKUP($A981,'13. Updated Demand'!A:Z,22,FALSE)),0,VLOOKUP($A981,'13. Updated Demand'!A:Z,22,FALSE))</f>
        <v>0</v>
      </c>
      <c r="AF981" s="16">
        <f>IF(ISERROR(VLOOKUP($A981,'13. Updated Demand'!A:Z,23,FALSE)),0,VLOOKUP($A981,'13. Updated Demand'!A:Z,23,FALSE))</f>
        <v>0</v>
      </c>
      <c r="AG981" s="16">
        <f>IF(ISERROR(VLOOKUP($A981,'13. Updated Demand'!A:Z,24,FALSE)),0,VLOOKUP($A981,'13. Updated Demand'!A:Z,24,FALSE))</f>
        <v>0</v>
      </c>
      <c r="AH981" s="16">
        <f>IF(ISERROR(VLOOKUP($A981,'13. Updated Demand'!A:Z,25,FALSE)),0,VLOOKUP($A981,'13. Updated Demand'!A:Z,25,FALSE))</f>
        <v>0</v>
      </c>
      <c r="AI981" s="16">
        <f>IF(ISERROR(VLOOKUP($A981,'13. Updated Demand'!A:Z,26,FALSE)),0,VLOOKUP($A981,'13. Updated Demand'!A:Z,26,FALSE))</f>
        <v>2</v>
      </c>
      <c r="AJ981" s="16">
        <f t="shared" si="192"/>
        <v>10.333333333000001</v>
      </c>
      <c r="AK981" s="19">
        <v>0</v>
      </c>
      <c r="AL981" s="16">
        <f t="shared" si="190"/>
        <v>0</v>
      </c>
      <c r="AM981" s="17">
        <v>0.57407407407407385</v>
      </c>
      <c r="AN981" s="19"/>
      <c r="AO981" s="19"/>
      <c r="AP981" s="19">
        <v>18</v>
      </c>
      <c r="AQ981" s="19" t="s">
        <v>307</v>
      </c>
      <c r="AR981" s="9" t="s">
        <v>394</v>
      </c>
      <c r="AS981" s="12">
        <v>0</v>
      </c>
      <c r="AT981" s="19">
        <v>38.581989219999997</v>
      </c>
      <c r="AU981" s="19">
        <v>-122.90568381</v>
      </c>
      <c r="AV981" s="19" t="s">
        <v>417</v>
      </c>
    </row>
    <row r="982" spans="1:48" x14ac:dyDescent="0.25">
      <c r="A982" s="18" t="s">
        <v>1367</v>
      </c>
      <c r="B982" s="10">
        <v>19620423</v>
      </c>
      <c r="C982" s="9">
        <v>16</v>
      </c>
      <c r="D982" s="8" t="str">
        <f t="shared" si="181"/>
        <v>N</v>
      </c>
      <c r="E982" s="8" t="str">
        <f t="shared" si="182"/>
        <v>N</v>
      </c>
      <c r="F982" s="8" t="str">
        <f t="shared" si="183"/>
        <v>N</v>
      </c>
      <c r="G982" s="8" t="str">
        <f t="shared" si="184"/>
        <v>N</v>
      </c>
      <c r="H982" s="8" t="str">
        <f t="shared" si="185"/>
        <v>Lower</v>
      </c>
      <c r="I982" s="8" t="str">
        <f t="shared" si="186"/>
        <v>Outside</v>
      </c>
      <c r="J982" s="8" t="str">
        <f t="shared" si="187"/>
        <v>Outside</v>
      </c>
      <c r="K982" s="8" t="str">
        <f t="shared" si="188"/>
        <v>Post-1949</v>
      </c>
      <c r="L982" s="8">
        <f t="shared" si="189"/>
        <v>1962</v>
      </c>
      <c r="M982" s="8" t="str">
        <f t="shared" si="191"/>
        <v>1960-1970</v>
      </c>
      <c r="N982" s="10" t="s">
        <v>242</v>
      </c>
      <c r="O982" s="10" t="s">
        <v>242</v>
      </c>
      <c r="P982" s="10" t="s">
        <v>242</v>
      </c>
      <c r="Q982" s="10" t="s">
        <v>242</v>
      </c>
      <c r="R982" s="10" t="s">
        <v>241</v>
      </c>
      <c r="S982" s="10" t="s">
        <v>242</v>
      </c>
      <c r="T982" s="10" t="s">
        <v>242</v>
      </c>
      <c r="U982" s="10" t="s">
        <v>242</v>
      </c>
      <c r="V982" s="10" t="s">
        <v>241</v>
      </c>
      <c r="W982" s="10" t="s">
        <v>242</v>
      </c>
      <c r="X982" s="15">
        <f>IF(ISERROR(VLOOKUP($A982,'13. Updated Demand'!A:Z,15,FALSE)),0,VLOOKUP($A982,'13. Updated Demand'!A:Z,15,FALSE))</f>
        <v>5.3333333329999997</v>
      </c>
      <c r="Y982" s="16">
        <f>IF(ISERROR(VLOOKUP($A982,'13. Updated Demand'!A:Z,16,FALSE)),0,VLOOKUP($A982,'13. Updated Demand'!A:Z,16,FALSE))</f>
        <v>2.6666666669999999</v>
      </c>
      <c r="Z982" s="16">
        <f>IF(ISERROR(VLOOKUP($A982,'13. Updated Demand'!A:Z,17,FALSE)),0,VLOOKUP($A982,'13. Updated Demand'!A:Z,17,FALSE))</f>
        <v>0</v>
      </c>
      <c r="AA982" s="16">
        <f>IF(ISERROR(VLOOKUP($A982,'13. Updated Demand'!A:Z,18,FALSE)),0,VLOOKUP($A982,'13. Updated Demand'!A:Z,18,FALSE))</f>
        <v>0</v>
      </c>
      <c r="AB982" s="16">
        <f>IF(ISERROR(VLOOKUP($A982,'13. Updated Demand'!A:Z,19,FALSE)),0,VLOOKUP($A982,'13. Updated Demand'!A:Z,19,FALSE))</f>
        <v>0</v>
      </c>
      <c r="AC982" s="16">
        <f>IF(ISERROR(VLOOKUP($A982,'13. Updated Demand'!A:Z,20,FALSE)),0,VLOOKUP($A982,'13. Updated Demand'!A:Z,20,FALSE))</f>
        <v>0</v>
      </c>
      <c r="AD982" s="16">
        <f>IF(ISERROR(VLOOKUP($A982,'13. Updated Demand'!A:Z,21,FALSE)),0,VLOOKUP($A982,'13. Updated Demand'!A:Z,21,FALSE))</f>
        <v>0</v>
      </c>
      <c r="AE982" s="16">
        <f>IF(ISERROR(VLOOKUP($A982,'13. Updated Demand'!A:Z,22,FALSE)),0,VLOOKUP($A982,'13. Updated Demand'!A:Z,22,FALSE))</f>
        <v>0</v>
      </c>
      <c r="AF982" s="16">
        <f>IF(ISERROR(VLOOKUP($A982,'13. Updated Demand'!A:Z,23,FALSE)),0,VLOOKUP($A982,'13. Updated Demand'!A:Z,23,FALSE))</f>
        <v>0</v>
      </c>
      <c r="AG982" s="16">
        <f>IF(ISERROR(VLOOKUP($A982,'13. Updated Demand'!A:Z,24,FALSE)),0,VLOOKUP($A982,'13. Updated Demand'!A:Z,24,FALSE))</f>
        <v>0</v>
      </c>
      <c r="AH982" s="16">
        <f>IF(ISERROR(VLOOKUP($A982,'13. Updated Demand'!A:Z,25,FALSE)),0,VLOOKUP($A982,'13. Updated Demand'!A:Z,25,FALSE))</f>
        <v>2.3333333330000001</v>
      </c>
      <c r="AI982" s="16">
        <f>IF(ISERROR(VLOOKUP($A982,'13. Updated Demand'!A:Z,26,FALSE)),0,VLOOKUP($A982,'13. Updated Demand'!A:Z,26,FALSE))</f>
        <v>4.3333333329999997</v>
      </c>
      <c r="AJ982" s="16">
        <f t="shared" si="192"/>
        <v>14.666666666000001</v>
      </c>
      <c r="AK982" s="19">
        <v>0</v>
      </c>
      <c r="AL982" s="16">
        <f t="shared" si="190"/>
        <v>0</v>
      </c>
      <c r="AM982" s="17">
        <v>0.91666666662500007</v>
      </c>
      <c r="AN982" s="19"/>
      <c r="AO982" s="19"/>
      <c r="AP982" s="19">
        <v>16</v>
      </c>
      <c r="AQ982" s="19" t="s">
        <v>307</v>
      </c>
      <c r="AR982" s="9" t="s">
        <v>394</v>
      </c>
      <c r="AS982" s="12">
        <v>0</v>
      </c>
      <c r="AT982" s="19">
        <v>38.599419930000003</v>
      </c>
      <c r="AU982" s="19">
        <v>-122.90106694000001</v>
      </c>
      <c r="AV982" s="19" t="s">
        <v>417</v>
      </c>
    </row>
    <row r="983" spans="1:48" x14ac:dyDescent="0.25">
      <c r="A983" s="18" t="s">
        <v>1368</v>
      </c>
      <c r="B983" s="10">
        <v>19620920</v>
      </c>
      <c r="C983" s="9">
        <v>16</v>
      </c>
      <c r="D983" s="8" t="str">
        <f t="shared" si="181"/>
        <v>N</v>
      </c>
      <c r="E983" s="8" t="str">
        <f t="shared" si="182"/>
        <v>N</v>
      </c>
      <c r="F983" s="8" t="str">
        <f t="shared" si="183"/>
        <v>N</v>
      </c>
      <c r="G983" s="8" t="str">
        <f t="shared" si="184"/>
        <v>N</v>
      </c>
      <c r="H983" s="8" t="str">
        <f t="shared" si="185"/>
        <v>Lower</v>
      </c>
      <c r="I983" s="8" t="str">
        <f t="shared" si="186"/>
        <v>Outside</v>
      </c>
      <c r="J983" s="8" t="str">
        <f t="shared" si="187"/>
        <v>Outside</v>
      </c>
      <c r="K983" s="8" t="str">
        <f t="shared" si="188"/>
        <v>Post-1949</v>
      </c>
      <c r="L983" s="8">
        <f t="shared" si="189"/>
        <v>1962</v>
      </c>
      <c r="M983" s="8" t="str">
        <f t="shared" si="191"/>
        <v>1960-1970</v>
      </c>
      <c r="N983" s="10" t="s">
        <v>242</v>
      </c>
      <c r="O983" s="10" t="s">
        <v>242</v>
      </c>
      <c r="P983" s="10" t="s">
        <v>242</v>
      </c>
      <c r="Q983" s="10" t="s">
        <v>242</v>
      </c>
      <c r="R983" s="10" t="s">
        <v>241</v>
      </c>
      <c r="S983" s="10" t="s">
        <v>242</v>
      </c>
      <c r="T983" s="10" t="s">
        <v>242</v>
      </c>
      <c r="U983" s="10" t="s">
        <v>241</v>
      </c>
      <c r="V983" s="10" t="s">
        <v>241</v>
      </c>
      <c r="W983" s="10" t="s">
        <v>242</v>
      </c>
      <c r="X983" s="15">
        <f>IF(ISERROR(VLOOKUP($A983,'13. Updated Demand'!A:Z,15,FALSE)),0,VLOOKUP($A983,'13. Updated Demand'!A:Z,15,FALSE))</f>
        <v>0</v>
      </c>
      <c r="Y983" s="16">
        <f>IF(ISERROR(VLOOKUP($A983,'13. Updated Demand'!A:Z,16,FALSE)),0,VLOOKUP($A983,'13. Updated Demand'!A:Z,16,FALSE))</f>
        <v>0</v>
      </c>
      <c r="Z983" s="16">
        <f>IF(ISERROR(VLOOKUP($A983,'13. Updated Demand'!A:Z,17,FALSE)),0,VLOOKUP($A983,'13. Updated Demand'!A:Z,17,FALSE))</f>
        <v>0</v>
      </c>
      <c r="AA983" s="16">
        <f>IF(ISERROR(VLOOKUP($A983,'13. Updated Demand'!A:Z,18,FALSE)),0,VLOOKUP($A983,'13. Updated Demand'!A:Z,18,FALSE))</f>
        <v>0</v>
      </c>
      <c r="AB983" s="16">
        <f>IF(ISERROR(VLOOKUP($A983,'13. Updated Demand'!A:Z,19,FALSE)),0,VLOOKUP($A983,'13. Updated Demand'!A:Z,19,FALSE))</f>
        <v>0</v>
      </c>
      <c r="AC983" s="16">
        <f>IF(ISERROR(VLOOKUP($A983,'13. Updated Demand'!A:Z,20,FALSE)),0,VLOOKUP($A983,'13. Updated Demand'!A:Z,20,FALSE))</f>
        <v>0</v>
      </c>
      <c r="AD983" s="16">
        <f>IF(ISERROR(VLOOKUP($A983,'13. Updated Demand'!A:Z,21,FALSE)),0,VLOOKUP($A983,'13. Updated Demand'!A:Z,21,FALSE))</f>
        <v>0</v>
      </c>
      <c r="AE983" s="16">
        <f>IF(ISERROR(VLOOKUP($A983,'13. Updated Demand'!A:Z,22,FALSE)),0,VLOOKUP($A983,'13. Updated Demand'!A:Z,22,FALSE))</f>
        <v>0</v>
      </c>
      <c r="AF983" s="16">
        <f>IF(ISERROR(VLOOKUP($A983,'13. Updated Demand'!A:Z,23,FALSE)),0,VLOOKUP($A983,'13. Updated Demand'!A:Z,23,FALSE))</f>
        <v>0</v>
      </c>
      <c r="AG983" s="16">
        <f>IF(ISERROR(VLOOKUP($A983,'13. Updated Demand'!A:Z,24,FALSE)),0,VLOOKUP($A983,'13. Updated Demand'!A:Z,24,FALSE))</f>
        <v>0</v>
      </c>
      <c r="AH983" s="16">
        <f>IF(ISERROR(VLOOKUP($A983,'13. Updated Demand'!A:Z,25,FALSE)),0,VLOOKUP($A983,'13. Updated Demand'!A:Z,25,FALSE))</f>
        <v>0</v>
      </c>
      <c r="AI983" s="16">
        <f>IF(ISERROR(VLOOKUP($A983,'13. Updated Demand'!A:Z,26,FALSE)),0,VLOOKUP($A983,'13. Updated Demand'!A:Z,26,FALSE))</f>
        <v>0</v>
      </c>
      <c r="AJ983" s="16">
        <f t="shared" si="192"/>
        <v>0</v>
      </c>
      <c r="AK983" s="19">
        <v>0</v>
      </c>
      <c r="AL983" s="16">
        <f t="shared" si="190"/>
        <v>0</v>
      </c>
      <c r="AM983" s="17">
        <v>0</v>
      </c>
      <c r="AN983" s="19"/>
      <c r="AO983" s="19"/>
      <c r="AP983" s="19">
        <v>19</v>
      </c>
      <c r="AQ983" s="19" t="s">
        <v>307</v>
      </c>
      <c r="AR983" s="9" t="s">
        <v>394</v>
      </c>
      <c r="AS983" s="12">
        <v>0</v>
      </c>
      <c r="AT983" s="19">
        <v>38.603626060000003</v>
      </c>
      <c r="AU983" s="19">
        <v>-122.92491692</v>
      </c>
      <c r="AV983" s="19" t="s">
        <v>417</v>
      </c>
    </row>
    <row r="984" spans="1:48" x14ac:dyDescent="0.25">
      <c r="A984" s="18" t="s">
        <v>1369</v>
      </c>
      <c r="B984" s="10">
        <v>19621113</v>
      </c>
      <c r="C984" s="9">
        <v>19</v>
      </c>
      <c r="D984" s="8" t="str">
        <f t="shared" si="181"/>
        <v>N</v>
      </c>
      <c r="E984" s="8" t="str">
        <f t="shared" si="182"/>
        <v>N</v>
      </c>
      <c r="F984" s="8" t="str">
        <f t="shared" si="183"/>
        <v>N</v>
      </c>
      <c r="G984" s="8" t="str">
        <f t="shared" si="184"/>
        <v>N</v>
      </c>
      <c r="H984" s="8" t="str">
        <f t="shared" si="185"/>
        <v>Lower</v>
      </c>
      <c r="I984" s="8" t="str">
        <f t="shared" si="186"/>
        <v>Outside</v>
      </c>
      <c r="J984" s="8" t="str">
        <f t="shared" si="187"/>
        <v>Outside</v>
      </c>
      <c r="K984" s="8" t="str">
        <f t="shared" si="188"/>
        <v>Post-1949</v>
      </c>
      <c r="L984" s="8">
        <f t="shared" si="189"/>
        <v>1962</v>
      </c>
      <c r="M984" s="8" t="str">
        <f t="shared" si="191"/>
        <v>1960-1970</v>
      </c>
      <c r="N984" s="10" t="s">
        <v>242</v>
      </c>
      <c r="O984" s="10" t="s">
        <v>242</v>
      </c>
      <c r="P984" s="10" t="s">
        <v>242</v>
      </c>
      <c r="Q984" s="10" t="s">
        <v>242</v>
      </c>
      <c r="R984" s="10" t="s">
        <v>241</v>
      </c>
      <c r="S984" s="10" t="s">
        <v>242</v>
      </c>
      <c r="T984" s="10" t="s">
        <v>242</v>
      </c>
      <c r="U984" s="10" t="s">
        <v>241</v>
      </c>
      <c r="V984" s="10" t="s">
        <v>241</v>
      </c>
      <c r="W984" s="10" t="s">
        <v>242</v>
      </c>
      <c r="X984" s="15">
        <f>IF(ISERROR(VLOOKUP($A984,'13. Updated Demand'!A:Z,15,FALSE)),0,VLOOKUP($A984,'13. Updated Demand'!A:Z,15,FALSE))</f>
        <v>0</v>
      </c>
      <c r="Y984" s="16">
        <f>IF(ISERROR(VLOOKUP($A984,'13. Updated Demand'!A:Z,16,FALSE)),0,VLOOKUP($A984,'13. Updated Demand'!A:Z,16,FALSE))</f>
        <v>0</v>
      </c>
      <c r="Z984" s="16">
        <f>IF(ISERROR(VLOOKUP($A984,'13. Updated Demand'!A:Z,17,FALSE)),0,VLOOKUP($A984,'13. Updated Demand'!A:Z,17,FALSE))</f>
        <v>0</v>
      </c>
      <c r="AA984" s="16">
        <f>IF(ISERROR(VLOOKUP($A984,'13. Updated Demand'!A:Z,18,FALSE)),0,VLOOKUP($A984,'13. Updated Demand'!A:Z,18,FALSE))</f>
        <v>0</v>
      </c>
      <c r="AB984" s="16">
        <f>IF(ISERROR(VLOOKUP($A984,'13. Updated Demand'!A:Z,19,FALSE)),0,VLOOKUP($A984,'13. Updated Demand'!A:Z,19,FALSE))</f>
        <v>0</v>
      </c>
      <c r="AC984" s="16">
        <f>IF(ISERROR(VLOOKUP($A984,'13. Updated Demand'!A:Z,20,FALSE)),0,VLOOKUP($A984,'13. Updated Demand'!A:Z,20,FALSE))</f>
        <v>0</v>
      </c>
      <c r="AD984" s="16">
        <f>IF(ISERROR(VLOOKUP($A984,'13. Updated Demand'!A:Z,21,FALSE)),0,VLOOKUP($A984,'13. Updated Demand'!A:Z,21,FALSE))</f>
        <v>0</v>
      </c>
      <c r="AE984" s="16">
        <f>IF(ISERROR(VLOOKUP($A984,'13. Updated Demand'!A:Z,22,FALSE)),0,VLOOKUP($A984,'13. Updated Demand'!A:Z,22,FALSE))</f>
        <v>0</v>
      </c>
      <c r="AF984" s="16">
        <f>IF(ISERROR(VLOOKUP($A984,'13. Updated Demand'!A:Z,23,FALSE)),0,VLOOKUP($A984,'13. Updated Demand'!A:Z,23,FALSE))</f>
        <v>0</v>
      </c>
      <c r="AG984" s="16">
        <f>IF(ISERROR(VLOOKUP($A984,'13. Updated Demand'!A:Z,24,FALSE)),0,VLOOKUP($A984,'13. Updated Demand'!A:Z,24,FALSE))</f>
        <v>0</v>
      </c>
      <c r="AH984" s="16">
        <f>IF(ISERROR(VLOOKUP($A984,'13. Updated Demand'!A:Z,25,FALSE)),0,VLOOKUP($A984,'13. Updated Demand'!A:Z,25,FALSE))</f>
        <v>0</v>
      </c>
      <c r="AI984" s="16">
        <f>IF(ISERROR(VLOOKUP($A984,'13. Updated Demand'!A:Z,26,FALSE)),0,VLOOKUP($A984,'13. Updated Demand'!A:Z,26,FALSE))</f>
        <v>0</v>
      </c>
      <c r="AJ984" s="16">
        <f t="shared" si="192"/>
        <v>0</v>
      </c>
      <c r="AK984" s="19">
        <v>0</v>
      </c>
      <c r="AL984" s="16">
        <f t="shared" si="190"/>
        <v>0</v>
      </c>
      <c r="AM984" s="17">
        <v>0</v>
      </c>
      <c r="AN984" s="19"/>
      <c r="AO984" s="19"/>
      <c r="AP984" s="19">
        <v>5</v>
      </c>
      <c r="AQ984" s="19" t="s">
        <v>307</v>
      </c>
      <c r="AR984" s="9" t="s">
        <v>684</v>
      </c>
      <c r="AS984" s="12">
        <v>0</v>
      </c>
      <c r="AT984" s="19">
        <v>38.481502229999997</v>
      </c>
      <c r="AU984" s="19">
        <v>-122.94953873</v>
      </c>
      <c r="AV984" s="19" t="s">
        <v>417</v>
      </c>
    </row>
    <row r="985" spans="1:48" x14ac:dyDescent="0.25">
      <c r="A985" s="18" t="s">
        <v>1370</v>
      </c>
      <c r="B985" s="10">
        <v>19610117</v>
      </c>
      <c r="C985" s="9">
        <v>12</v>
      </c>
      <c r="D985" s="8" t="str">
        <f t="shared" si="181"/>
        <v>N</v>
      </c>
      <c r="E985" s="8" t="str">
        <f t="shared" si="182"/>
        <v>Y</v>
      </c>
      <c r="F985" s="8" t="str">
        <f t="shared" si="183"/>
        <v>Y</v>
      </c>
      <c r="G985" s="8" t="str">
        <f t="shared" si="184"/>
        <v>Y</v>
      </c>
      <c r="H985" s="8" t="str">
        <f t="shared" si="185"/>
        <v>Upper</v>
      </c>
      <c r="I985" s="8" t="str">
        <f t="shared" si="186"/>
        <v>West Fork and Below Lake</v>
      </c>
      <c r="J985" s="8" t="str">
        <f t="shared" si="187"/>
        <v>Sonoma (d/s of Clov. Gage)</v>
      </c>
      <c r="K985" s="8" t="str">
        <f t="shared" si="188"/>
        <v>Post-1949</v>
      </c>
      <c r="L985" s="8">
        <f t="shared" si="189"/>
        <v>1961</v>
      </c>
      <c r="M985" s="8" t="str">
        <f t="shared" si="191"/>
        <v>1960-1970</v>
      </c>
      <c r="N985" s="10" t="s">
        <v>242</v>
      </c>
      <c r="O985" s="10" t="s">
        <v>241</v>
      </c>
      <c r="P985" s="10" t="s">
        <v>242</v>
      </c>
      <c r="Q985" s="10" t="s">
        <v>242</v>
      </c>
      <c r="R985" s="10" t="s">
        <v>241</v>
      </c>
      <c r="S985" s="10" t="s">
        <v>242</v>
      </c>
      <c r="T985" s="10" t="s">
        <v>242</v>
      </c>
      <c r="U985" s="10" t="s">
        <v>242</v>
      </c>
      <c r="V985" s="10" t="s">
        <v>241</v>
      </c>
      <c r="W985" s="10" t="s">
        <v>242</v>
      </c>
      <c r="X985" s="15">
        <f>IF(ISERROR(VLOOKUP($A985,'13. Updated Demand'!A:Z,15,FALSE)),0,VLOOKUP($A985,'13. Updated Demand'!A:Z,15,FALSE))</f>
        <v>1.33</v>
      </c>
      <c r="Y985" s="16">
        <f>IF(ISERROR(VLOOKUP($A985,'13. Updated Demand'!A:Z,16,FALSE)),0,VLOOKUP($A985,'13. Updated Demand'!A:Z,16,FALSE))</f>
        <v>0.66</v>
      </c>
      <c r="Z985" s="16">
        <f>IF(ISERROR(VLOOKUP($A985,'13. Updated Demand'!A:Z,17,FALSE)),0,VLOOKUP($A985,'13. Updated Demand'!A:Z,17,FALSE))</f>
        <v>0</v>
      </c>
      <c r="AA985" s="16">
        <f>IF(ISERROR(VLOOKUP($A985,'13. Updated Demand'!A:Z,18,FALSE)),0,VLOOKUP($A985,'13. Updated Demand'!A:Z,18,FALSE))</f>
        <v>0</v>
      </c>
      <c r="AB985" s="16">
        <f>IF(ISERROR(VLOOKUP($A985,'13. Updated Demand'!A:Z,19,FALSE)),0,VLOOKUP($A985,'13. Updated Demand'!A:Z,19,FALSE))</f>
        <v>0</v>
      </c>
      <c r="AC985" s="16">
        <f>IF(ISERROR(VLOOKUP($A985,'13. Updated Demand'!A:Z,20,FALSE)),0,VLOOKUP($A985,'13. Updated Demand'!A:Z,20,FALSE))</f>
        <v>0</v>
      </c>
      <c r="AD985" s="16">
        <f>IF(ISERROR(VLOOKUP($A985,'13. Updated Demand'!A:Z,21,FALSE)),0,VLOOKUP($A985,'13. Updated Demand'!A:Z,21,FALSE))</f>
        <v>0</v>
      </c>
      <c r="AE985" s="16">
        <f>IF(ISERROR(VLOOKUP($A985,'13. Updated Demand'!A:Z,22,FALSE)),0,VLOOKUP($A985,'13. Updated Demand'!A:Z,22,FALSE))</f>
        <v>0</v>
      </c>
      <c r="AF985" s="16">
        <f>IF(ISERROR(VLOOKUP($A985,'13. Updated Demand'!A:Z,23,FALSE)),0,VLOOKUP($A985,'13. Updated Demand'!A:Z,23,FALSE))</f>
        <v>0</v>
      </c>
      <c r="AG985" s="16">
        <f>IF(ISERROR(VLOOKUP($A985,'13. Updated Demand'!A:Z,24,FALSE)),0,VLOOKUP($A985,'13. Updated Demand'!A:Z,24,FALSE))</f>
        <v>0</v>
      </c>
      <c r="AH985" s="16">
        <f>IF(ISERROR(VLOOKUP($A985,'13. Updated Demand'!A:Z,25,FALSE)),0,VLOOKUP($A985,'13. Updated Demand'!A:Z,25,FALSE))</f>
        <v>0.33</v>
      </c>
      <c r="AI985" s="16">
        <f>IF(ISERROR(VLOOKUP($A985,'13. Updated Demand'!A:Z,26,FALSE)),0,VLOOKUP($A985,'13. Updated Demand'!A:Z,26,FALSE))</f>
        <v>0.66</v>
      </c>
      <c r="AJ985" s="16">
        <f t="shared" si="192"/>
        <v>2.9800000000000004</v>
      </c>
      <c r="AK985" s="19">
        <v>0</v>
      </c>
      <c r="AL985" s="16">
        <f t="shared" si="190"/>
        <v>0</v>
      </c>
      <c r="AM985" s="17">
        <v>0.42857142857142855</v>
      </c>
      <c r="AN985" s="19"/>
      <c r="AO985" s="19"/>
      <c r="AP985" s="19">
        <v>7</v>
      </c>
      <c r="AQ985" s="19" t="s">
        <v>307</v>
      </c>
      <c r="AR985" s="9" t="s">
        <v>311</v>
      </c>
      <c r="AS985" s="12">
        <v>0</v>
      </c>
      <c r="AT985" s="19">
        <v>38.589025249999999</v>
      </c>
      <c r="AU985" s="19">
        <v>-122.64797498999999</v>
      </c>
      <c r="AV985" s="19" t="s">
        <v>417</v>
      </c>
    </row>
    <row r="986" spans="1:48" x14ac:dyDescent="0.25">
      <c r="A986" s="18" t="s">
        <v>1371</v>
      </c>
      <c r="B986" s="10">
        <v>19610406</v>
      </c>
      <c r="C986" s="9">
        <v>23</v>
      </c>
      <c r="D986" s="8" t="str">
        <f t="shared" si="181"/>
        <v>N</v>
      </c>
      <c r="E986" s="8" t="str">
        <f t="shared" si="182"/>
        <v>N</v>
      </c>
      <c r="F986" s="8" t="str">
        <f t="shared" si="183"/>
        <v>N</v>
      </c>
      <c r="G986" s="8" t="str">
        <f t="shared" si="184"/>
        <v>N</v>
      </c>
      <c r="H986" s="8" t="str">
        <f t="shared" si="185"/>
        <v>Lower</v>
      </c>
      <c r="I986" s="8" t="str">
        <f t="shared" si="186"/>
        <v>Outside</v>
      </c>
      <c r="J986" s="8" t="str">
        <f t="shared" si="187"/>
        <v>Outside</v>
      </c>
      <c r="K986" s="8" t="str">
        <f t="shared" si="188"/>
        <v>Post-1949</v>
      </c>
      <c r="L986" s="8">
        <f t="shared" si="189"/>
        <v>1961</v>
      </c>
      <c r="M986" s="8" t="str">
        <f t="shared" si="191"/>
        <v>1960-1970</v>
      </c>
      <c r="N986" s="10" t="s">
        <v>242</v>
      </c>
      <c r="O986" s="10" t="s">
        <v>242</v>
      </c>
      <c r="P986" s="10" t="s">
        <v>242</v>
      </c>
      <c r="Q986" s="10" t="s">
        <v>242</v>
      </c>
      <c r="R986" s="10" t="s">
        <v>241</v>
      </c>
      <c r="S986" s="10" t="s">
        <v>242</v>
      </c>
      <c r="T986" s="10" t="s">
        <v>242</v>
      </c>
      <c r="U986" s="10" t="s">
        <v>242</v>
      </c>
      <c r="V986" s="10" t="s">
        <v>242</v>
      </c>
      <c r="W986" s="10" t="s">
        <v>242</v>
      </c>
      <c r="X986" s="15">
        <f>IF(ISERROR(VLOOKUP($A986,'13. Updated Demand'!A:Z,15,FALSE)),0,VLOOKUP($A986,'13. Updated Demand'!A:Z,15,FALSE))</f>
        <v>0.8</v>
      </c>
      <c r="Y986" s="16">
        <f>IF(ISERROR(VLOOKUP($A986,'13. Updated Demand'!A:Z,16,FALSE)),0,VLOOKUP($A986,'13. Updated Demand'!A:Z,16,FALSE))</f>
        <v>0.3</v>
      </c>
      <c r="Z986" s="16">
        <f>IF(ISERROR(VLOOKUP($A986,'13. Updated Demand'!A:Z,17,FALSE)),0,VLOOKUP($A986,'13. Updated Demand'!A:Z,17,FALSE))</f>
        <v>0.8</v>
      </c>
      <c r="AA986" s="16">
        <f>IF(ISERROR(VLOOKUP($A986,'13. Updated Demand'!A:Z,18,FALSE)),0,VLOOKUP($A986,'13. Updated Demand'!A:Z,18,FALSE))</f>
        <v>0.2</v>
      </c>
      <c r="AB986" s="16">
        <f>IF(ISERROR(VLOOKUP($A986,'13. Updated Demand'!A:Z,19,FALSE)),0,VLOOKUP($A986,'13. Updated Demand'!A:Z,19,FALSE))</f>
        <v>0.05</v>
      </c>
      <c r="AC986" s="16">
        <f>IF(ISERROR(VLOOKUP($A986,'13. Updated Demand'!A:Z,20,FALSE)),0,VLOOKUP($A986,'13. Updated Demand'!A:Z,20,FALSE))</f>
        <v>2.5000000000000001E-2</v>
      </c>
      <c r="AD986" s="16">
        <f>IF(ISERROR(VLOOKUP($A986,'13. Updated Demand'!A:Z,21,FALSE)),0,VLOOKUP($A986,'13. Updated Demand'!A:Z,21,FALSE))</f>
        <v>0</v>
      </c>
      <c r="AE986" s="16">
        <f>IF(ISERROR(VLOOKUP($A986,'13. Updated Demand'!A:Z,22,FALSE)),0,VLOOKUP($A986,'13. Updated Demand'!A:Z,22,FALSE))</f>
        <v>0</v>
      </c>
      <c r="AF986" s="16">
        <f>IF(ISERROR(VLOOKUP($A986,'13. Updated Demand'!A:Z,23,FALSE)),0,VLOOKUP($A986,'13. Updated Demand'!A:Z,23,FALSE))</f>
        <v>0</v>
      </c>
      <c r="AG986" s="16">
        <f>IF(ISERROR(VLOOKUP($A986,'13. Updated Demand'!A:Z,24,FALSE)),0,VLOOKUP($A986,'13. Updated Demand'!A:Z,24,FALSE))</f>
        <v>0.3</v>
      </c>
      <c r="AH986" s="16">
        <f>IF(ISERROR(VLOOKUP($A986,'13. Updated Demand'!A:Z,25,FALSE)),0,VLOOKUP($A986,'13. Updated Demand'!A:Z,25,FALSE))</f>
        <v>0.75</v>
      </c>
      <c r="AI986" s="16">
        <f>IF(ISERROR(VLOOKUP($A986,'13. Updated Demand'!A:Z,26,FALSE)),0,VLOOKUP($A986,'13. Updated Demand'!A:Z,26,FALSE))</f>
        <v>0.65</v>
      </c>
      <c r="AJ986" s="16">
        <f t="shared" si="192"/>
        <v>3.8749999999999996</v>
      </c>
      <c r="AK986" s="19">
        <v>7.5000000000000011E-2</v>
      </c>
      <c r="AL986" s="16">
        <f t="shared" si="190"/>
        <v>2.4876645669716325E-4</v>
      </c>
      <c r="AM986" s="17">
        <v>0.77499999999999991</v>
      </c>
      <c r="AN986" s="19"/>
      <c r="AO986" s="19"/>
      <c r="AP986" s="19">
        <v>5</v>
      </c>
      <c r="AQ986" s="19" t="s">
        <v>307</v>
      </c>
      <c r="AR986" s="9" t="s">
        <v>391</v>
      </c>
      <c r="AS986" s="12">
        <v>0</v>
      </c>
      <c r="AT986" s="19">
        <v>38.561033449999996</v>
      </c>
      <c r="AU986" s="19">
        <v>-122.77922162</v>
      </c>
      <c r="AV986" s="19" t="s">
        <v>417</v>
      </c>
    </row>
    <row r="987" spans="1:48" x14ac:dyDescent="0.25">
      <c r="A987" s="18" t="s">
        <v>1372</v>
      </c>
      <c r="B987" s="10">
        <v>19610410</v>
      </c>
      <c r="C987" s="9">
        <v>23</v>
      </c>
      <c r="D987" s="8" t="str">
        <f t="shared" si="181"/>
        <v>N</v>
      </c>
      <c r="E987" s="8" t="str">
        <f t="shared" si="182"/>
        <v>N</v>
      </c>
      <c r="F987" s="8" t="str">
        <f t="shared" si="183"/>
        <v>N</v>
      </c>
      <c r="G987" s="8" t="str">
        <f t="shared" si="184"/>
        <v>N</v>
      </c>
      <c r="H987" s="8" t="str">
        <f t="shared" si="185"/>
        <v>Lower</v>
      </c>
      <c r="I987" s="8" t="str">
        <f t="shared" si="186"/>
        <v>Outside</v>
      </c>
      <c r="J987" s="8" t="str">
        <f t="shared" si="187"/>
        <v>Outside</v>
      </c>
      <c r="K987" s="8" t="str">
        <f t="shared" si="188"/>
        <v>Post-1949</v>
      </c>
      <c r="L987" s="8">
        <f t="shared" si="189"/>
        <v>1961</v>
      </c>
      <c r="M987" s="8" t="str">
        <f t="shared" si="191"/>
        <v>1960-1970</v>
      </c>
      <c r="N987" s="10" t="s">
        <v>242</v>
      </c>
      <c r="O987" s="10" t="s">
        <v>242</v>
      </c>
      <c r="P987" s="10" t="s">
        <v>242</v>
      </c>
      <c r="Q987" s="10" t="s">
        <v>242</v>
      </c>
      <c r="R987" s="10" t="s">
        <v>241</v>
      </c>
      <c r="S987" s="10" t="s">
        <v>242</v>
      </c>
      <c r="T987" s="10" t="s">
        <v>242</v>
      </c>
      <c r="U987" s="10" t="s">
        <v>242</v>
      </c>
      <c r="V987" s="10" t="s">
        <v>242</v>
      </c>
      <c r="W987" s="10" t="s">
        <v>242</v>
      </c>
      <c r="X987" s="15">
        <f>IF(ISERROR(VLOOKUP($A987,'13. Updated Demand'!A:Z,15,FALSE)),0,VLOOKUP($A987,'13. Updated Demand'!A:Z,15,FALSE))</f>
        <v>5.7355333000000001E-2</v>
      </c>
      <c r="Y987" s="16">
        <f>IF(ISERROR(VLOOKUP($A987,'13. Updated Demand'!A:Z,16,FALSE)),0,VLOOKUP($A987,'13. Updated Demand'!A:Z,16,FALSE))</f>
        <v>5.7355333000000001E-2</v>
      </c>
      <c r="Z987" s="16">
        <f>IF(ISERROR(VLOOKUP($A987,'13. Updated Demand'!A:Z,17,FALSE)),0,VLOOKUP($A987,'13. Updated Demand'!A:Z,17,FALSE))</f>
        <v>5.7355333000000001E-2</v>
      </c>
      <c r="AA987" s="16">
        <f>IF(ISERROR(VLOOKUP($A987,'13. Updated Demand'!A:Z,18,FALSE)),0,VLOOKUP($A987,'13. Updated Demand'!A:Z,18,FALSE))</f>
        <v>5.0688667E-2</v>
      </c>
      <c r="AB987" s="16">
        <f>IF(ISERROR(VLOOKUP($A987,'13. Updated Demand'!A:Z,19,FALSE)),0,VLOOKUP($A987,'13. Updated Demand'!A:Z,19,FALSE))</f>
        <v>0.02</v>
      </c>
      <c r="AC987" s="16">
        <f>IF(ISERROR(VLOOKUP($A987,'13. Updated Demand'!A:Z,20,FALSE)),0,VLOOKUP($A987,'13. Updated Demand'!A:Z,20,FALSE))</f>
        <v>0</v>
      </c>
      <c r="AD987" s="16">
        <f>IF(ISERROR(VLOOKUP($A987,'13. Updated Demand'!A:Z,21,FALSE)),0,VLOOKUP($A987,'13. Updated Demand'!A:Z,21,FALSE))</f>
        <v>0</v>
      </c>
      <c r="AE987" s="16">
        <f>IF(ISERROR(VLOOKUP($A987,'13. Updated Demand'!A:Z,22,FALSE)),0,VLOOKUP($A987,'13. Updated Demand'!A:Z,22,FALSE))</f>
        <v>0</v>
      </c>
      <c r="AF987" s="16">
        <f>IF(ISERROR(VLOOKUP($A987,'13. Updated Demand'!A:Z,23,FALSE)),0,VLOOKUP($A987,'13. Updated Demand'!A:Z,23,FALSE))</f>
        <v>0</v>
      </c>
      <c r="AG987" s="16">
        <f>IF(ISERROR(VLOOKUP($A987,'13. Updated Demand'!A:Z,24,FALSE)),0,VLOOKUP($A987,'13. Updated Demand'!A:Z,24,FALSE))</f>
        <v>6.1380000000000002E-3</v>
      </c>
      <c r="AH987" s="16">
        <f>IF(ISERROR(VLOOKUP($A987,'13. Updated Demand'!A:Z,25,FALSE)),0,VLOOKUP($A987,'13. Updated Demand'!A:Z,25,FALSE))</f>
        <v>1.5608667E-2</v>
      </c>
      <c r="AI987" s="16">
        <f>IF(ISERROR(VLOOKUP($A987,'13. Updated Demand'!A:Z,26,FALSE)),0,VLOOKUP($A987,'13. Updated Demand'!A:Z,26,FALSE))</f>
        <v>4.5608666999999999E-2</v>
      </c>
      <c r="AJ987" s="16">
        <f t="shared" si="192"/>
        <v>0.31011</v>
      </c>
      <c r="AK987" s="19">
        <v>0.02</v>
      </c>
      <c r="AL987" s="16">
        <f t="shared" si="190"/>
        <v>6.6337721785910187E-5</v>
      </c>
      <c r="AM987" s="17">
        <v>2.3854615384615384E-2</v>
      </c>
      <c r="AN987" s="19"/>
      <c r="AO987" s="19"/>
      <c r="AP987" s="19">
        <v>13</v>
      </c>
      <c r="AQ987" s="19" t="s">
        <v>307</v>
      </c>
      <c r="AR987" s="9" t="s">
        <v>391</v>
      </c>
      <c r="AS987" s="12">
        <v>0</v>
      </c>
      <c r="AT987" s="19">
        <v>38.562401659999999</v>
      </c>
      <c r="AU987" s="19">
        <v>-122.77993606</v>
      </c>
      <c r="AV987" s="19" t="s">
        <v>417</v>
      </c>
    </row>
    <row r="988" spans="1:48" x14ac:dyDescent="0.25">
      <c r="A988" s="18" t="s">
        <v>1373</v>
      </c>
      <c r="B988" s="10">
        <v>19610424</v>
      </c>
      <c r="C988" s="9">
        <v>10</v>
      </c>
      <c r="D988" s="8" t="str">
        <f t="shared" si="181"/>
        <v>N</v>
      </c>
      <c r="E988" s="8" t="str">
        <f t="shared" si="182"/>
        <v>Y</v>
      </c>
      <c r="F988" s="8" t="str">
        <f t="shared" si="183"/>
        <v>Y</v>
      </c>
      <c r="G988" s="8" t="str">
        <f t="shared" si="184"/>
        <v>Y</v>
      </c>
      <c r="H988" s="8" t="str">
        <f t="shared" si="185"/>
        <v>Upper</v>
      </c>
      <c r="I988" s="8" t="str">
        <f t="shared" si="186"/>
        <v>West Fork and Below Lake</v>
      </c>
      <c r="J988" s="8" t="str">
        <f t="shared" si="187"/>
        <v>Sonoma (d/s of Clov. Gage)</v>
      </c>
      <c r="K988" s="8" t="str">
        <f t="shared" si="188"/>
        <v>Post-1949</v>
      </c>
      <c r="L988" s="8">
        <f t="shared" si="189"/>
        <v>1961</v>
      </c>
      <c r="M988" s="8" t="str">
        <f t="shared" si="191"/>
        <v>1960-1970</v>
      </c>
      <c r="N988" s="10" t="s">
        <v>242</v>
      </c>
      <c r="O988" s="10" t="s">
        <v>241</v>
      </c>
      <c r="P988" s="10" t="s">
        <v>242</v>
      </c>
      <c r="Q988" s="10" t="s">
        <v>242</v>
      </c>
      <c r="R988" s="10" t="s">
        <v>241</v>
      </c>
      <c r="S988" s="10" t="s">
        <v>242</v>
      </c>
      <c r="T988" s="10" t="s">
        <v>242</v>
      </c>
      <c r="U988" s="10" t="s">
        <v>242</v>
      </c>
      <c r="V988" s="10" t="s">
        <v>241</v>
      </c>
      <c r="W988" s="10" t="s">
        <v>242</v>
      </c>
      <c r="X988" s="15">
        <f>IF(ISERROR(VLOOKUP($A988,'13. Updated Demand'!A:Z,15,FALSE)),0,VLOOKUP($A988,'13. Updated Demand'!A:Z,15,FALSE))</f>
        <v>6.73</v>
      </c>
      <c r="Y988" s="16">
        <f>IF(ISERROR(VLOOKUP($A988,'13. Updated Demand'!A:Z,16,FALSE)),0,VLOOKUP($A988,'13. Updated Demand'!A:Z,16,FALSE))</f>
        <v>1.26</v>
      </c>
      <c r="Z988" s="16">
        <f>IF(ISERROR(VLOOKUP($A988,'13. Updated Demand'!A:Z,17,FALSE)),0,VLOOKUP($A988,'13. Updated Demand'!A:Z,17,FALSE))</f>
        <v>0</v>
      </c>
      <c r="AA988" s="16">
        <f>IF(ISERROR(VLOOKUP($A988,'13. Updated Demand'!A:Z,18,FALSE)),0,VLOOKUP($A988,'13. Updated Demand'!A:Z,18,FALSE))</f>
        <v>0</v>
      </c>
      <c r="AB988" s="16">
        <f>IF(ISERROR(VLOOKUP($A988,'13. Updated Demand'!A:Z,19,FALSE)),0,VLOOKUP($A988,'13. Updated Demand'!A:Z,19,FALSE))</f>
        <v>0</v>
      </c>
      <c r="AC988" s="16">
        <f>IF(ISERROR(VLOOKUP($A988,'13. Updated Demand'!A:Z,20,FALSE)),0,VLOOKUP($A988,'13. Updated Demand'!A:Z,20,FALSE))</f>
        <v>0</v>
      </c>
      <c r="AD988" s="16">
        <f>IF(ISERROR(VLOOKUP($A988,'13. Updated Demand'!A:Z,21,FALSE)),0,VLOOKUP($A988,'13. Updated Demand'!A:Z,21,FALSE))</f>
        <v>0</v>
      </c>
      <c r="AE988" s="16">
        <f>IF(ISERROR(VLOOKUP($A988,'13. Updated Demand'!A:Z,22,FALSE)),0,VLOOKUP($A988,'13. Updated Demand'!A:Z,22,FALSE))</f>
        <v>0</v>
      </c>
      <c r="AF988" s="16">
        <f>IF(ISERROR(VLOOKUP($A988,'13. Updated Demand'!A:Z,23,FALSE)),0,VLOOKUP($A988,'13. Updated Demand'!A:Z,23,FALSE))</f>
        <v>0</v>
      </c>
      <c r="AG988" s="16">
        <f>IF(ISERROR(VLOOKUP($A988,'13. Updated Demand'!A:Z,24,FALSE)),0,VLOOKUP($A988,'13. Updated Demand'!A:Z,24,FALSE))</f>
        <v>1.9</v>
      </c>
      <c r="AH988" s="16">
        <f>IF(ISERROR(VLOOKUP($A988,'13. Updated Demand'!A:Z,25,FALSE)),0,VLOOKUP($A988,'13. Updated Demand'!A:Z,25,FALSE))</f>
        <v>2.36</v>
      </c>
      <c r="AI988" s="16">
        <f>IF(ISERROR(VLOOKUP($A988,'13. Updated Demand'!A:Z,26,FALSE)),0,VLOOKUP($A988,'13. Updated Demand'!A:Z,26,FALSE))</f>
        <v>35.630000000000003</v>
      </c>
      <c r="AJ988" s="16">
        <f t="shared" si="192"/>
        <v>47.88</v>
      </c>
      <c r="AK988" s="19">
        <v>0</v>
      </c>
      <c r="AL988" s="16">
        <f t="shared" si="190"/>
        <v>0</v>
      </c>
      <c r="AM988" s="17">
        <v>0.47899999997000003</v>
      </c>
      <c r="AN988" s="19"/>
      <c r="AO988" s="19"/>
      <c r="AP988" s="19">
        <v>100</v>
      </c>
      <c r="AQ988" s="19" t="s">
        <v>307</v>
      </c>
      <c r="AR988" s="9" t="s">
        <v>436</v>
      </c>
      <c r="AS988" s="12">
        <v>0</v>
      </c>
      <c r="AT988" s="19">
        <v>38.650078669999999</v>
      </c>
      <c r="AU988" s="19">
        <v>-122.84707906</v>
      </c>
      <c r="AV988" s="19" t="s">
        <v>417</v>
      </c>
    </row>
    <row r="989" spans="1:48" x14ac:dyDescent="0.25">
      <c r="A989" s="18" t="s">
        <v>1374</v>
      </c>
      <c r="B989" s="10">
        <v>19610512</v>
      </c>
      <c r="C989" s="9">
        <v>23</v>
      </c>
      <c r="D989" s="8" t="str">
        <f t="shared" si="181"/>
        <v>N</v>
      </c>
      <c r="E989" s="8" t="str">
        <f t="shared" si="182"/>
        <v>N</v>
      </c>
      <c r="F989" s="8" t="str">
        <f t="shared" si="183"/>
        <v>N</v>
      </c>
      <c r="G989" s="8" t="str">
        <f t="shared" si="184"/>
        <v>N</v>
      </c>
      <c r="H989" s="8" t="str">
        <f t="shared" si="185"/>
        <v>Lower</v>
      </c>
      <c r="I989" s="8" t="str">
        <f t="shared" si="186"/>
        <v>Outside</v>
      </c>
      <c r="J989" s="8" t="str">
        <f t="shared" si="187"/>
        <v>Outside</v>
      </c>
      <c r="K989" s="8" t="str">
        <f t="shared" si="188"/>
        <v>Post-1949</v>
      </c>
      <c r="L989" s="8">
        <f t="shared" si="189"/>
        <v>1961</v>
      </c>
      <c r="M989" s="8" t="str">
        <f t="shared" si="191"/>
        <v>1960-1970</v>
      </c>
      <c r="N989" s="10" t="s">
        <v>242</v>
      </c>
      <c r="O989" s="10" t="s">
        <v>242</v>
      </c>
      <c r="P989" s="10" t="s">
        <v>242</v>
      </c>
      <c r="Q989" s="10" t="s">
        <v>242</v>
      </c>
      <c r="R989" s="10" t="s">
        <v>241</v>
      </c>
      <c r="S989" s="10" t="s">
        <v>242</v>
      </c>
      <c r="T989" s="10" t="s">
        <v>242</v>
      </c>
      <c r="U989" s="10" t="s">
        <v>241</v>
      </c>
      <c r="V989" s="10" t="s">
        <v>241</v>
      </c>
      <c r="W989" s="10" t="s">
        <v>242</v>
      </c>
      <c r="X989" s="15">
        <f>IF(ISERROR(VLOOKUP($A989,'13. Updated Demand'!A:Z,15,FALSE)),0,VLOOKUP($A989,'13. Updated Demand'!A:Z,15,FALSE))</f>
        <v>0</v>
      </c>
      <c r="Y989" s="16">
        <f>IF(ISERROR(VLOOKUP($A989,'13. Updated Demand'!A:Z,16,FALSE)),0,VLOOKUP($A989,'13. Updated Demand'!A:Z,16,FALSE))</f>
        <v>0</v>
      </c>
      <c r="Z989" s="16">
        <f>IF(ISERROR(VLOOKUP($A989,'13. Updated Demand'!A:Z,17,FALSE)),0,VLOOKUP($A989,'13. Updated Demand'!A:Z,17,FALSE))</f>
        <v>0</v>
      </c>
      <c r="AA989" s="16">
        <f>IF(ISERROR(VLOOKUP($A989,'13. Updated Demand'!A:Z,18,FALSE)),0,VLOOKUP($A989,'13. Updated Demand'!A:Z,18,FALSE))</f>
        <v>0</v>
      </c>
      <c r="AB989" s="16">
        <f>IF(ISERROR(VLOOKUP($A989,'13. Updated Demand'!A:Z,19,FALSE)),0,VLOOKUP($A989,'13. Updated Demand'!A:Z,19,FALSE))</f>
        <v>0</v>
      </c>
      <c r="AC989" s="16">
        <f>IF(ISERROR(VLOOKUP($A989,'13. Updated Demand'!A:Z,20,FALSE)),0,VLOOKUP($A989,'13. Updated Demand'!A:Z,20,FALSE))</f>
        <v>0</v>
      </c>
      <c r="AD989" s="16">
        <f>IF(ISERROR(VLOOKUP($A989,'13. Updated Demand'!A:Z,21,FALSE)),0,VLOOKUP($A989,'13. Updated Demand'!A:Z,21,FALSE))</f>
        <v>0</v>
      </c>
      <c r="AE989" s="16">
        <f>IF(ISERROR(VLOOKUP($A989,'13. Updated Demand'!A:Z,22,FALSE)),0,VLOOKUP($A989,'13. Updated Demand'!A:Z,22,FALSE))</f>
        <v>0</v>
      </c>
      <c r="AF989" s="16">
        <f>IF(ISERROR(VLOOKUP($A989,'13. Updated Demand'!A:Z,23,FALSE)),0,VLOOKUP($A989,'13. Updated Demand'!A:Z,23,FALSE))</f>
        <v>0</v>
      </c>
      <c r="AG989" s="16">
        <f>IF(ISERROR(VLOOKUP($A989,'13. Updated Demand'!A:Z,24,FALSE)),0,VLOOKUP($A989,'13. Updated Demand'!A:Z,24,FALSE))</f>
        <v>0</v>
      </c>
      <c r="AH989" s="16">
        <f>IF(ISERROR(VLOOKUP($A989,'13. Updated Demand'!A:Z,25,FALSE)),0,VLOOKUP($A989,'13. Updated Demand'!A:Z,25,FALSE))</f>
        <v>0</v>
      </c>
      <c r="AI989" s="16">
        <f>IF(ISERROR(VLOOKUP($A989,'13. Updated Demand'!A:Z,26,FALSE)),0,VLOOKUP($A989,'13. Updated Demand'!A:Z,26,FALSE))</f>
        <v>0</v>
      </c>
      <c r="AJ989" s="16">
        <f t="shared" si="192"/>
        <v>0</v>
      </c>
      <c r="AK989" s="19">
        <v>0</v>
      </c>
      <c r="AL989" s="16">
        <f t="shared" si="190"/>
        <v>0</v>
      </c>
      <c r="AM989" s="17">
        <v>0</v>
      </c>
      <c r="AN989" s="19"/>
      <c r="AO989" s="19"/>
      <c r="AP989" s="19">
        <v>11</v>
      </c>
      <c r="AQ989" s="19" t="s">
        <v>307</v>
      </c>
      <c r="AR989" s="9" t="s">
        <v>378</v>
      </c>
      <c r="AS989" s="12">
        <v>0</v>
      </c>
      <c r="AT989" s="19">
        <v>38.506394139999998</v>
      </c>
      <c r="AU989" s="19">
        <v>-122.69160778</v>
      </c>
      <c r="AV989" s="19" t="s">
        <v>1375</v>
      </c>
    </row>
    <row r="990" spans="1:48" x14ac:dyDescent="0.25">
      <c r="A990" s="18" t="s">
        <v>1376</v>
      </c>
      <c r="B990" s="10">
        <v>19610515</v>
      </c>
      <c r="C990" s="9">
        <v>14</v>
      </c>
      <c r="D990" s="8" t="str">
        <f t="shared" si="181"/>
        <v>N</v>
      </c>
      <c r="E990" s="8" t="str">
        <f t="shared" si="182"/>
        <v>N</v>
      </c>
      <c r="F990" s="8" t="str">
        <f t="shared" si="183"/>
        <v>N</v>
      </c>
      <c r="G990" s="8" t="str">
        <f t="shared" si="184"/>
        <v>N</v>
      </c>
      <c r="H990" s="8" t="str">
        <f t="shared" si="185"/>
        <v>Lower</v>
      </c>
      <c r="I990" s="8" t="str">
        <f t="shared" si="186"/>
        <v>Outside</v>
      </c>
      <c r="J990" s="8" t="str">
        <f t="shared" si="187"/>
        <v>Outside</v>
      </c>
      <c r="K990" s="8" t="str">
        <f t="shared" si="188"/>
        <v>Post-1949</v>
      </c>
      <c r="L990" s="8">
        <f t="shared" si="189"/>
        <v>1961</v>
      </c>
      <c r="M990" s="8" t="str">
        <f t="shared" si="191"/>
        <v>1960-1970</v>
      </c>
      <c r="N990" s="10" t="s">
        <v>242</v>
      </c>
      <c r="O990" s="10" t="s">
        <v>242</v>
      </c>
      <c r="P990" s="10" t="s">
        <v>242</v>
      </c>
      <c r="Q990" s="10" t="s">
        <v>242</v>
      </c>
      <c r="R990" s="10" t="s">
        <v>241</v>
      </c>
      <c r="S990" s="10" t="s">
        <v>242</v>
      </c>
      <c r="T990" s="10" t="s">
        <v>242</v>
      </c>
      <c r="U990" s="10" t="s">
        <v>242</v>
      </c>
      <c r="V990" s="10" t="s">
        <v>241</v>
      </c>
      <c r="W990" s="10" t="s">
        <v>242</v>
      </c>
      <c r="X990" s="15">
        <f>IF(ISERROR(VLOOKUP($A990,'13. Updated Demand'!A:Z,15,FALSE)),0,VLOOKUP($A990,'13. Updated Demand'!A:Z,15,FALSE))</f>
        <v>1.1499999999999999</v>
      </c>
      <c r="Y990" s="16">
        <f>IF(ISERROR(VLOOKUP($A990,'13. Updated Demand'!A:Z,16,FALSE)),0,VLOOKUP($A990,'13. Updated Demand'!A:Z,16,FALSE))</f>
        <v>1.766666667</v>
      </c>
      <c r="Z990" s="16">
        <f>IF(ISERROR(VLOOKUP($A990,'13. Updated Demand'!A:Z,17,FALSE)),0,VLOOKUP($A990,'13. Updated Demand'!A:Z,17,FALSE))</f>
        <v>0.6</v>
      </c>
      <c r="AA990" s="16">
        <f>IF(ISERROR(VLOOKUP($A990,'13. Updated Demand'!A:Z,18,FALSE)),0,VLOOKUP($A990,'13. Updated Demand'!A:Z,18,FALSE))</f>
        <v>0.3</v>
      </c>
      <c r="AB990" s="16">
        <f>IF(ISERROR(VLOOKUP($A990,'13. Updated Demand'!A:Z,19,FALSE)),0,VLOOKUP($A990,'13. Updated Demand'!A:Z,19,FALSE))</f>
        <v>0</v>
      </c>
      <c r="AC990" s="16">
        <f>IF(ISERROR(VLOOKUP($A990,'13. Updated Demand'!A:Z,20,FALSE)),0,VLOOKUP($A990,'13. Updated Demand'!A:Z,20,FALSE))</f>
        <v>0</v>
      </c>
      <c r="AD990" s="16">
        <f>IF(ISERROR(VLOOKUP($A990,'13. Updated Demand'!A:Z,21,FALSE)),0,VLOOKUP($A990,'13. Updated Demand'!A:Z,21,FALSE))</f>
        <v>0</v>
      </c>
      <c r="AE990" s="16">
        <f>IF(ISERROR(VLOOKUP($A990,'13. Updated Demand'!A:Z,22,FALSE)),0,VLOOKUP($A990,'13. Updated Demand'!A:Z,22,FALSE))</f>
        <v>0</v>
      </c>
      <c r="AF990" s="16">
        <f>IF(ISERROR(VLOOKUP($A990,'13. Updated Demand'!A:Z,23,FALSE)),0,VLOOKUP($A990,'13. Updated Demand'!A:Z,23,FALSE))</f>
        <v>0</v>
      </c>
      <c r="AG990" s="16">
        <f>IF(ISERROR(VLOOKUP($A990,'13. Updated Demand'!A:Z,24,FALSE)),0,VLOOKUP($A990,'13. Updated Demand'!A:Z,24,FALSE))</f>
        <v>0</v>
      </c>
      <c r="AH990" s="16">
        <f>IF(ISERROR(VLOOKUP($A990,'13. Updated Demand'!A:Z,25,FALSE)),0,VLOOKUP($A990,'13. Updated Demand'!A:Z,25,FALSE))</f>
        <v>0.6</v>
      </c>
      <c r="AI990" s="16">
        <f>IF(ISERROR(VLOOKUP($A990,'13. Updated Demand'!A:Z,26,FALSE)),0,VLOOKUP($A990,'13. Updated Demand'!A:Z,26,FALSE))</f>
        <v>0.58333333300000001</v>
      </c>
      <c r="AJ990" s="16">
        <f t="shared" si="192"/>
        <v>4.9999999999999991</v>
      </c>
      <c r="AK990" s="19">
        <v>0</v>
      </c>
      <c r="AL990" s="16">
        <f t="shared" si="190"/>
        <v>0</v>
      </c>
      <c r="AM990" s="17">
        <v>0.49999999999999989</v>
      </c>
      <c r="AN990" s="19"/>
      <c r="AO990" s="19"/>
      <c r="AP990" s="19">
        <v>10</v>
      </c>
      <c r="AQ990" s="19" t="s">
        <v>307</v>
      </c>
      <c r="AR990" s="9" t="s">
        <v>493</v>
      </c>
      <c r="AS990" s="12">
        <v>0</v>
      </c>
      <c r="AT990" s="19">
        <v>38.720999999999997</v>
      </c>
      <c r="AU990" s="19">
        <v>-122.9598</v>
      </c>
      <c r="AV990" s="19" t="s">
        <v>417</v>
      </c>
    </row>
    <row r="991" spans="1:48" x14ac:dyDescent="0.25">
      <c r="A991" s="18" t="s">
        <v>1377</v>
      </c>
      <c r="B991" s="10">
        <v>19610517</v>
      </c>
      <c r="C991" s="9">
        <v>21</v>
      </c>
      <c r="D991" s="8" t="str">
        <f t="shared" si="181"/>
        <v>N</v>
      </c>
      <c r="E991" s="8" t="str">
        <f t="shared" si="182"/>
        <v>N</v>
      </c>
      <c r="F991" s="8" t="str">
        <f t="shared" si="183"/>
        <v>N</v>
      </c>
      <c r="G991" s="8" t="str">
        <f t="shared" si="184"/>
        <v>N</v>
      </c>
      <c r="H991" s="8" t="str">
        <f t="shared" si="185"/>
        <v>Lower</v>
      </c>
      <c r="I991" s="8" t="str">
        <f t="shared" si="186"/>
        <v>Outside</v>
      </c>
      <c r="J991" s="8" t="str">
        <f t="shared" si="187"/>
        <v>Outside</v>
      </c>
      <c r="K991" s="8" t="str">
        <f t="shared" si="188"/>
        <v>Post-1949</v>
      </c>
      <c r="L991" s="8">
        <f t="shared" si="189"/>
        <v>1961</v>
      </c>
      <c r="M991" s="8" t="str">
        <f t="shared" si="191"/>
        <v>1960-1970</v>
      </c>
      <c r="N991" s="10" t="s">
        <v>242</v>
      </c>
      <c r="O991" s="10" t="s">
        <v>242</v>
      </c>
      <c r="P991" s="10" t="s">
        <v>242</v>
      </c>
      <c r="Q991" s="10" t="s">
        <v>242</v>
      </c>
      <c r="R991" s="10" t="s">
        <v>241</v>
      </c>
      <c r="S991" s="10" t="s">
        <v>242</v>
      </c>
      <c r="T991" s="10" t="s">
        <v>242</v>
      </c>
      <c r="U991" s="10" t="s">
        <v>242</v>
      </c>
      <c r="V991" s="10" t="s">
        <v>242</v>
      </c>
      <c r="W991" s="10" t="s">
        <v>242</v>
      </c>
      <c r="X991" s="15">
        <f>IF(ISERROR(VLOOKUP($A991,'13. Updated Demand'!A:Z,15,FALSE)),0,VLOOKUP($A991,'13. Updated Demand'!A:Z,15,FALSE))</f>
        <v>0.11749999999999999</v>
      </c>
      <c r="Y991" s="16">
        <f>IF(ISERROR(VLOOKUP($A991,'13. Updated Demand'!A:Z,16,FALSE)),0,VLOOKUP($A991,'13. Updated Demand'!A:Z,16,FALSE))</f>
        <v>8.8400000000000006E-2</v>
      </c>
      <c r="Z991" s="16">
        <f>IF(ISERROR(VLOOKUP($A991,'13. Updated Demand'!A:Z,17,FALSE)),0,VLOOKUP($A991,'13. Updated Demand'!A:Z,17,FALSE))</f>
        <v>0.42926666699999999</v>
      </c>
      <c r="AA991" s="16">
        <f>IF(ISERROR(VLOOKUP($A991,'13. Updated Demand'!A:Z,18,FALSE)),0,VLOOKUP($A991,'13. Updated Demand'!A:Z,18,FALSE))</f>
        <v>0.20080000000000001</v>
      </c>
      <c r="AB991" s="16">
        <f>IF(ISERROR(VLOOKUP($A991,'13. Updated Demand'!A:Z,19,FALSE)),0,VLOOKUP($A991,'13. Updated Demand'!A:Z,19,FALSE))</f>
        <v>3.2899999999999999E-2</v>
      </c>
      <c r="AC991" s="16">
        <f>IF(ISERROR(VLOOKUP($A991,'13. Updated Demand'!A:Z,20,FALSE)),0,VLOOKUP($A991,'13. Updated Demand'!A:Z,20,FALSE))</f>
        <v>2.1100000000000001E-2</v>
      </c>
      <c r="AD991" s="16">
        <f>IF(ISERROR(VLOOKUP($A991,'13. Updated Demand'!A:Z,21,FALSE)),0,VLOOKUP($A991,'13. Updated Demand'!A:Z,21,FALSE))</f>
        <v>1.3599999999999999E-2</v>
      </c>
      <c r="AE991" s="16">
        <f>IF(ISERROR(VLOOKUP($A991,'13. Updated Demand'!A:Z,22,FALSE)),0,VLOOKUP($A991,'13. Updated Demand'!A:Z,22,FALSE))</f>
        <v>4.6899999999999997E-2</v>
      </c>
      <c r="AF991" s="16">
        <f>IF(ISERROR(VLOOKUP($A991,'13. Updated Demand'!A:Z,23,FALSE)),0,VLOOKUP($A991,'13. Updated Demand'!A:Z,23,FALSE))</f>
        <v>2.41E-2</v>
      </c>
      <c r="AG991" s="16">
        <f>IF(ISERROR(VLOOKUP($A991,'13. Updated Demand'!A:Z,24,FALSE)),0,VLOOKUP($A991,'13. Updated Demand'!A:Z,24,FALSE))</f>
        <v>1.47E-2</v>
      </c>
      <c r="AH991" s="16">
        <f>IF(ISERROR(VLOOKUP($A991,'13. Updated Demand'!A:Z,25,FALSE)),0,VLOOKUP($A991,'13. Updated Demand'!A:Z,25,FALSE))</f>
        <v>0.111033333</v>
      </c>
      <c r="AI991" s="16">
        <f>IF(ISERROR(VLOOKUP($A991,'13. Updated Demand'!A:Z,26,FALSE)),0,VLOOKUP($A991,'13. Updated Demand'!A:Z,26,FALSE))</f>
        <v>0.20396666699999999</v>
      </c>
      <c r="AJ991" s="16">
        <f t="shared" si="192"/>
        <v>1.304266667</v>
      </c>
      <c r="AK991" s="19">
        <v>0.1386</v>
      </c>
      <c r="AL991" s="16">
        <f t="shared" si="190"/>
        <v>4.5972041197635759E-4</v>
      </c>
      <c r="AM991" s="17">
        <v>5.1552042173913043E-2</v>
      </c>
      <c r="AN991" s="19"/>
      <c r="AO991" s="19"/>
      <c r="AP991" s="19">
        <v>25.3</v>
      </c>
      <c r="AQ991" s="19" t="s">
        <v>307</v>
      </c>
      <c r="AR991" s="9" t="s">
        <v>403</v>
      </c>
      <c r="AS991" s="12">
        <v>3.4039024194010059E-4</v>
      </c>
      <c r="AT991" s="19">
        <v>38.431881920000002</v>
      </c>
      <c r="AU991" s="19">
        <v>-122.97262053999999</v>
      </c>
      <c r="AV991" s="19" t="s">
        <v>417</v>
      </c>
    </row>
    <row r="992" spans="1:48" x14ac:dyDescent="0.25">
      <c r="A992" s="18" t="s">
        <v>1378</v>
      </c>
      <c r="B992" s="10">
        <v>19610525</v>
      </c>
      <c r="C992" s="9">
        <v>23</v>
      </c>
      <c r="D992" s="8" t="str">
        <f t="shared" si="181"/>
        <v>N</v>
      </c>
      <c r="E992" s="8" t="str">
        <f t="shared" si="182"/>
        <v>N</v>
      </c>
      <c r="F992" s="8" t="str">
        <f t="shared" si="183"/>
        <v>N</v>
      </c>
      <c r="G992" s="8" t="str">
        <f t="shared" si="184"/>
        <v>N</v>
      </c>
      <c r="H992" s="8" t="str">
        <f t="shared" si="185"/>
        <v>Lower</v>
      </c>
      <c r="I992" s="8" t="str">
        <f t="shared" si="186"/>
        <v>Outside</v>
      </c>
      <c r="J992" s="8" t="str">
        <f t="shared" si="187"/>
        <v>Outside</v>
      </c>
      <c r="K992" s="8" t="str">
        <f t="shared" si="188"/>
        <v>Post-1949</v>
      </c>
      <c r="L992" s="8">
        <f t="shared" si="189"/>
        <v>1961</v>
      </c>
      <c r="M992" s="8" t="str">
        <f t="shared" si="191"/>
        <v>1960-1970</v>
      </c>
      <c r="N992" s="10" t="s">
        <v>242</v>
      </c>
      <c r="O992" s="10" t="s">
        <v>242</v>
      </c>
      <c r="P992" s="10" t="s">
        <v>242</v>
      </c>
      <c r="Q992" s="10" t="s">
        <v>242</v>
      </c>
      <c r="R992" s="10" t="s">
        <v>241</v>
      </c>
      <c r="S992" s="10" t="s">
        <v>242</v>
      </c>
      <c r="T992" s="10" t="s">
        <v>242</v>
      </c>
      <c r="U992" s="10" t="s">
        <v>242</v>
      </c>
      <c r="V992" s="10" t="s">
        <v>241</v>
      </c>
      <c r="W992" s="10" t="s">
        <v>242</v>
      </c>
      <c r="X992" s="15">
        <f>IF(ISERROR(VLOOKUP($A992,'13. Updated Demand'!A:Z,15,FALSE)),0,VLOOKUP($A992,'13. Updated Demand'!A:Z,15,FALSE))</f>
        <v>0.1</v>
      </c>
      <c r="Y992" s="16">
        <f>IF(ISERROR(VLOOKUP($A992,'13. Updated Demand'!A:Z,16,FALSE)),0,VLOOKUP($A992,'13. Updated Demand'!A:Z,16,FALSE))</f>
        <v>0</v>
      </c>
      <c r="Z992" s="16">
        <f>IF(ISERROR(VLOOKUP($A992,'13. Updated Demand'!A:Z,17,FALSE)),0,VLOOKUP($A992,'13. Updated Demand'!A:Z,17,FALSE))</f>
        <v>0</v>
      </c>
      <c r="AA992" s="16">
        <f>IF(ISERROR(VLOOKUP($A992,'13. Updated Demand'!A:Z,18,FALSE)),0,VLOOKUP($A992,'13. Updated Demand'!A:Z,18,FALSE))</f>
        <v>0</v>
      </c>
      <c r="AB992" s="16">
        <f>IF(ISERROR(VLOOKUP($A992,'13. Updated Demand'!A:Z,19,FALSE)),0,VLOOKUP($A992,'13. Updated Demand'!A:Z,19,FALSE))</f>
        <v>0</v>
      </c>
      <c r="AC992" s="16">
        <f>IF(ISERROR(VLOOKUP($A992,'13. Updated Demand'!A:Z,20,FALSE)),0,VLOOKUP($A992,'13. Updated Demand'!A:Z,20,FALSE))</f>
        <v>0</v>
      </c>
      <c r="AD992" s="16">
        <f>IF(ISERROR(VLOOKUP($A992,'13. Updated Demand'!A:Z,21,FALSE)),0,VLOOKUP($A992,'13. Updated Demand'!A:Z,21,FALSE))</f>
        <v>0</v>
      </c>
      <c r="AE992" s="16">
        <f>IF(ISERROR(VLOOKUP($A992,'13. Updated Demand'!A:Z,22,FALSE)),0,VLOOKUP($A992,'13. Updated Demand'!A:Z,22,FALSE))</f>
        <v>0</v>
      </c>
      <c r="AF992" s="16">
        <f>IF(ISERROR(VLOOKUP($A992,'13. Updated Demand'!A:Z,23,FALSE)),0,VLOOKUP($A992,'13. Updated Demand'!A:Z,23,FALSE))</f>
        <v>0</v>
      </c>
      <c r="AG992" s="16">
        <f>IF(ISERROR(VLOOKUP($A992,'13. Updated Demand'!A:Z,24,FALSE)),0,VLOOKUP($A992,'13. Updated Demand'!A:Z,24,FALSE))</f>
        <v>0</v>
      </c>
      <c r="AH992" s="16">
        <f>IF(ISERROR(VLOOKUP($A992,'13. Updated Demand'!A:Z,25,FALSE)),0,VLOOKUP($A992,'13. Updated Demand'!A:Z,25,FALSE))</f>
        <v>0.66666666699999999</v>
      </c>
      <c r="AI992" s="16">
        <f>IF(ISERROR(VLOOKUP($A992,'13. Updated Demand'!A:Z,26,FALSE)),0,VLOOKUP($A992,'13. Updated Demand'!A:Z,26,FALSE))</f>
        <v>0</v>
      </c>
      <c r="AJ992" s="16">
        <f t="shared" si="192"/>
        <v>0.76666666699999997</v>
      </c>
      <c r="AK992" s="19">
        <v>0</v>
      </c>
      <c r="AL992" s="16">
        <f t="shared" si="190"/>
        <v>0</v>
      </c>
      <c r="AM992" s="17">
        <v>0.12777777783333333</v>
      </c>
      <c r="AN992" s="19"/>
      <c r="AO992" s="19"/>
      <c r="AP992" s="19">
        <v>6</v>
      </c>
      <c r="AQ992" s="19" t="s">
        <v>307</v>
      </c>
      <c r="AR992" s="9" t="s">
        <v>1118</v>
      </c>
      <c r="AS992" s="12">
        <v>0</v>
      </c>
      <c r="AT992" s="19">
        <v>38.464096410000003</v>
      </c>
      <c r="AU992" s="19">
        <v>-122.8574493</v>
      </c>
      <c r="AV992" s="19" t="s">
        <v>417</v>
      </c>
    </row>
    <row r="993" spans="1:48" x14ac:dyDescent="0.25">
      <c r="A993" s="18" t="s">
        <v>1379</v>
      </c>
      <c r="B993" s="10">
        <v>19610613</v>
      </c>
      <c r="C993" s="9">
        <v>20</v>
      </c>
      <c r="D993" s="8" t="str">
        <f t="shared" si="181"/>
        <v>N</v>
      </c>
      <c r="E993" s="8" t="str">
        <f t="shared" si="182"/>
        <v>N</v>
      </c>
      <c r="F993" s="8" t="str">
        <f t="shared" si="183"/>
        <v>N</v>
      </c>
      <c r="G993" s="8" t="str">
        <f t="shared" si="184"/>
        <v>N</v>
      </c>
      <c r="H993" s="8" t="str">
        <f t="shared" si="185"/>
        <v>Lower</v>
      </c>
      <c r="I993" s="8" t="str">
        <f t="shared" si="186"/>
        <v>Outside</v>
      </c>
      <c r="J993" s="8" t="str">
        <f t="shared" si="187"/>
        <v>Outside</v>
      </c>
      <c r="K993" s="8" t="str">
        <f t="shared" si="188"/>
        <v>Post-1949</v>
      </c>
      <c r="L993" s="8">
        <f t="shared" si="189"/>
        <v>1961</v>
      </c>
      <c r="M993" s="8" t="str">
        <f t="shared" si="191"/>
        <v>1960-1970</v>
      </c>
      <c r="N993" s="10" t="s">
        <v>242</v>
      </c>
      <c r="O993" s="10" t="s">
        <v>242</v>
      </c>
      <c r="P993" s="10" t="s">
        <v>242</v>
      </c>
      <c r="Q993" s="10" t="s">
        <v>242</v>
      </c>
      <c r="R993" s="10" t="s">
        <v>241</v>
      </c>
      <c r="S993" s="10" t="s">
        <v>242</v>
      </c>
      <c r="T993" s="10" t="s">
        <v>242</v>
      </c>
      <c r="U993" s="10" t="s">
        <v>241</v>
      </c>
      <c r="V993" s="10" t="s">
        <v>241</v>
      </c>
      <c r="W993" s="10" t="s">
        <v>242</v>
      </c>
      <c r="X993" s="15">
        <f>IF(ISERROR(VLOOKUP($A993,'13. Updated Demand'!A:Z,15,FALSE)),0,VLOOKUP($A993,'13. Updated Demand'!A:Z,15,FALSE))</f>
        <v>0</v>
      </c>
      <c r="Y993" s="16">
        <f>IF(ISERROR(VLOOKUP($A993,'13. Updated Demand'!A:Z,16,FALSE)),0,VLOOKUP($A993,'13. Updated Demand'!A:Z,16,FALSE))</f>
        <v>0</v>
      </c>
      <c r="Z993" s="16">
        <f>IF(ISERROR(VLOOKUP($A993,'13. Updated Demand'!A:Z,17,FALSE)),0,VLOOKUP($A993,'13. Updated Demand'!A:Z,17,FALSE))</f>
        <v>0</v>
      </c>
      <c r="AA993" s="16">
        <f>IF(ISERROR(VLOOKUP($A993,'13. Updated Demand'!A:Z,18,FALSE)),0,VLOOKUP($A993,'13. Updated Demand'!A:Z,18,FALSE))</f>
        <v>0</v>
      </c>
      <c r="AB993" s="16">
        <f>IF(ISERROR(VLOOKUP($A993,'13. Updated Demand'!A:Z,19,FALSE)),0,VLOOKUP($A993,'13. Updated Demand'!A:Z,19,FALSE))</f>
        <v>0</v>
      </c>
      <c r="AC993" s="16">
        <f>IF(ISERROR(VLOOKUP($A993,'13. Updated Demand'!A:Z,20,FALSE)),0,VLOOKUP($A993,'13. Updated Demand'!A:Z,20,FALSE))</f>
        <v>0</v>
      </c>
      <c r="AD993" s="16">
        <f>IF(ISERROR(VLOOKUP($A993,'13. Updated Demand'!A:Z,21,FALSE)),0,VLOOKUP($A993,'13. Updated Demand'!A:Z,21,FALSE))</f>
        <v>0</v>
      </c>
      <c r="AE993" s="16">
        <f>IF(ISERROR(VLOOKUP($A993,'13. Updated Demand'!A:Z,22,FALSE)),0,VLOOKUP($A993,'13. Updated Demand'!A:Z,22,FALSE))</f>
        <v>0</v>
      </c>
      <c r="AF993" s="16">
        <f>IF(ISERROR(VLOOKUP($A993,'13. Updated Demand'!A:Z,23,FALSE)),0,VLOOKUP($A993,'13. Updated Demand'!A:Z,23,FALSE))</f>
        <v>0</v>
      </c>
      <c r="AG993" s="16">
        <f>IF(ISERROR(VLOOKUP($A993,'13. Updated Demand'!A:Z,24,FALSE)),0,VLOOKUP($A993,'13. Updated Demand'!A:Z,24,FALSE))</f>
        <v>0</v>
      </c>
      <c r="AH993" s="16">
        <f>IF(ISERROR(VLOOKUP($A993,'13. Updated Demand'!A:Z,25,FALSE)),0,VLOOKUP($A993,'13. Updated Demand'!A:Z,25,FALSE))</f>
        <v>0</v>
      </c>
      <c r="AI993" s="16">
        <f>IF(ISERROR(VLOOKUP($A993,'13. Updated Demand'!A:Z,26,FALSE)),0,VLOOKUP($A993,'13. Updated Demand'!A:Z,26,FALSE))</f>
        <v>0</v>
      </c>
      <c r="AJ993" s="16">
        <f t="shared" si="192"/>
        <v>0</v>
      </c>
      <c r="AK993" s="19">
        <v>0</v>
      </c>
      <c r="AL993" s="16">
        <f t="shared" si="190"/>
        <v>0</v>
      </c>
      <c r="AM993" s="17">
        <v>0</v>
      </c>
      <c r="AN993" s="19"/>
      <c r="AO993" s="19"/>
      <c r="AP993" s="19">
        <v>7.5</v>
      </c>
      <c r="AQ993" s="19" t="s">
        <v>307</v>
      </c>
      <c r="AR993" s="9" t="s">
        <v>329</v>
      </c>
      <c r="AS993" s="12">
        <v>0</v>
      </c>
      <c r="AT993" s="19">
        <v>38.556115550000001</v>
      </c>
      <c r="AU993" s="19">
        <v>-123.11280266999999</v>
      </c>
      <c r="AV993" s="19" t="s">
        <v>417</v>
      </c>
    </row>
    <row r="994" spans="1:48" x14ac:dyDescent="0.25">
      <c r="A994" s="18" t="s">
        <v>1380</v>
      </c>
      <c r="B994" s="10">
        <v>19610614</v>
      </c>
      <c r="C994" s="9">
        <v>17</v>
      </c>
      <c r="D994" s="8" t="str">
        <f t="shared" si="181"/>
        <v>N</v>
      </c>
      <c r="E994" s="8" t="str">
        <f t="shared" si="182"/>
        <v>N</v>
      </c>
      <c r="F994" s="8" t="str">
        <f t="shared" si="183"/>
        <v>N</v>
      </c>
      <c r="G994" s="8" t="str">
        <f t="shared" si="184"/>
        <v>N</v>
      </c>
      <c r="H994" s="8" t="str">
        <f t="shared" si="185"/>
        <v>Lower</v>
      </c>
      <c r="I994" s="8" t="str">
        <f t="shared" si="186"/>
        <v>Outside</v>
      </c>
      <c r="J994" s="8" t="str">
        <f t="shared" si="187"/>
        <v>Outside</v>
      </c>
      <c r="K994" s="8" t="str">
        <f t="shared" si="188"/>
        <v>Post-1949</v>
      </c>
      <c r="L994" s="8">
        <f t="shared" si="189"/>
        <v>1961</v>
      </c>
      <c r="M994" s="8" t="str">
        <f t="shared" si="191"/>
        <v>1960-1970</v>
      </c>
      <c r="N994" s="10" t="s">
        <v>242</v>
      </c>
      <c r="O994" s="10" t="s">
        <v>242</v>
      </c>
      <c r="P994" s="10" t="s">
        <v>242</v>
      </c>
      <c r="Q994" s="10" t="s">
        <v>242</v>
      </c>
      <c r="R994" s="10" t="s">
        <v>241</v>
      </c>
      <c r="S994" s="10" t="s">
        <v>242</v>
      </c>
      <c r="T994" s="10" t="s">
        <v>242</v>
      </c>
      <c r="U994" s="10" t="s">
        <v>242</v>
      </c>
      <c r="V994" s="10" t="s">
        <v>241</v>
      </c>
      <c r="W994" s="10" t="s">
        <v>242</v>
      </c>
      <c r="X994" s="15">
        <f>IF(ISERROR(VLOOKUP($A994,'13. Updated Demand'!A:Z,15,FALSE)),0,VLOOKUP($A994,'13. Updated Demand'!A:Z,15,FALSE))</f>
        <v>3.8333333330000001</v>
      </c>
      <c r="Y994" s="16">
        <f>IF(ISERROR(VLOOKUP($A994,'13. Updated Demand'!A:Z,16,FALSE)),0,VLOOKUP($A994,'13. Updated Demand'!A:Z,16,FALSE))</f>
        <v>1</v>
      </c>
      <c r="Z994" s="16">
        <f>IF(ISERROR(VLOOKUP($A994,'13. Updated Demand'!A:Z,17,FALSE)),0,VLOOKUP($A994,'13. Updated Demand'!A:Z,17,FALSE))</f>
        <v>1</v>
      </c>
      <c r="AA994" s="16">
        <f>IF(ISERROR(VLOOKUP($A994,'13. Updated Demand'!A:Z,18,FALSE)),0,VLOOKUP($A994,'13. Updated Demand'!A:Z,18,FALSE))</f>
        <v>0.33333333300000001</v>
      </c>
      <c r="AB994" s="16">
        <f>IF(ISERROR(VLOOKUP($A994,'13. Updated Demand'!A:Z,19,FALSE)),0,VLOOKUP($A994,'13. Updated Demand'!A:Z,19,FALSE))</f>
        <v>0</v>
      </c>
      <c r="AC994" s="16">
        <f>IF(ISERROR(VLOOKUP($A994,'13. Updated Demand'!A:Z,20,FALSE)),0,VLOOKUP($A994,'13. Updated Demand'!A:Z,20,FALSE))</f>
        <v>0</v>
      </c>
      <c r="AD994" s="16">
        <f>IF(ISERROR(VLOOKUP($A994,'13. Updated Demand'!A:Z,21,FALSE)),0,VLOOKUP($A994,'13. Updated Demand'!A:Z,21,FALSE))</f>
        <v>0</v>
      </c>
      <c r="AE994" s="16">
        <f>IF(ISERROR(VLOOKUP($A994,'13. Updated Demand'!A:Z,22,FALSE)),0,VLOOKUP($A994,'13. Updated Demand'!A:Z,22,FALSE))</f>
        <v>0</v>
      </c>
      <c r="AF994" s="16">
        <f>IF(ISERROR(VLOOKUP($A994,'13. Updated Demand'!A:Z,23,FALSE)),0,VLOOKUP($A994,'13. Updated Demand'!A:Z,23,FALSE))</f>
        <v>0</v>
      </c>
      <c r="AG994" s="16">
        <f>IF(ISERROR(VLOOKUP($A994,'13. Updated Demand'!A:Z,24,FALSE)),0,VLOOKUP($A994,'13. Updated Demand'!A:Z,24,FALSE))</f>
        <v>0</v>
      </c>
      <c r="AH994" s="16">
        <f>IF(ISERROR(VLOOKUP($A994,'13. Updated Demand'!A:Z,25,FALSE)),0,VLOOKUP($A994,'13. Updated Demand'!A:Z,25,FALSE))</f>
        <v>1.066666667</v>
      </c>
      <c r="AI994" s="16">
        <f>IF(ISERROR(VLOOKUP($A994,'13. Updated Demand'!A:Z,26,FALSE)),0,VLOOKUP($A994,'13. Updated Demand'!A:Z,26,FALSE))</f>
        <v>3.6</v>
      </c>
      <c r="AJ994" s="16">
        <f t="shared" si="192"/>
        <v>10.833333333000001</v>
      </c>
      <c r="AK994" s="19">
        <v>0</v>
      </c>
      <c r="AL994" s="16">
        <f t="shared" si="190"/>
        <v>0</v>
      </c>
      <c r="AM994" s="17">
        <v>1.0833333333333335</v>
      </c>
      <c r="AN994" s="19"/>
      <c r="AO994" s="19"/>
      <c r="AP994" s="19">
        <v>10</v>
      </c>
      <c r="AQ994" s="19" t="s">
        <v>307</v>
      </c>
      <c r="AR994" s="9" t="s">
        <v>486</v>
      </c>
      <c r="AS994" s="12">
        <v>0</v>
      </c>
      <c r="AT994" s="19">
        <v>38.564999999999998</v>
      </c>
      <c r="AU994" s="19">
        <v>-122.87820000000001</v>
      </c>
      <c r="AV994" s="19" t="s">
        <v>417</v>
      </c>
    </row>
    <row r="995" spans="1:48" x14ac:dyDescent="0.25">
      <c r="A995" s="18" t="s">
        <v>1381</v>
      </c>
      <c r="B995" s="10">
        <v>19610731</v>
      </c>
      <c r="C995" s="9">
        <v>12</v>
      </c>
      <c r="D995" s="8" t="str">
        <f t="shared" si="181"/>
        <v>N</v>
      </c>
      <c r="E995" s="8" t="str">
        <f t="shared" si="182"/>
        <v>Y</v>
      </c>
      <c r="F995" s="8" t="str">
        <f t="shared" si="183"/>
        <v>Y</v>
      </c>
      <c r="G995" s="8" t="str">
        <f t="shared" si="184"/>
        <v>Y</v>
      </c>
      <c r="H995" s="8" t="str">
        <f t="shared" si="185"/>
        <v>Upper</v>
      </c>
      <c r="I995" s="8" t="str">
        <f t="shared" si="186"/>
        <v>West Fork and Below Lake</v>
      </c>
      <c r="J995" s="8" t="str">
        <f t="shared" si="187"/>
        <v>Sonoma (d/s of Clov. Gage)</v>
      </c>
      <c r="K995" s="8" t="str">
        <f t="shared" si="188"/>
        <v>Post-1949</v>
      </c>
      <c r="L995" s="8">
        <f t="shared" si="189"/>
        <v>1961</v>
      </c>
      <c r="M995" s="8" t="str">
        <f t="shared" si="191"/>
        <v>1960-1970</v>
      </c>
      <c r="N995" s="10" t="s">
        <v>242</v>
      </c>
      <c r="O995" s="10" t="s">
        <v>241</v>
      </c>
      <c r="P995" s="10" t="s">
        <v>242</v>
      </c>
      <c r="Q995" s="10" t="s">
        <v>242</v>
      </c>
      <c r="R995" s="10" t="s">
        <v>241</v>
      </c>
      <c r="S995" s="10" t="s">
        <v>242</v>
      </c>
      <c r="T995" s="10" t="s">
        <v>242</v>
      </c>
      <c r="U995" s="10" t="s">
        <v>241</v>
      </c>
      <c r="V995" s="10" t="s">
        <v>241</v>
      </c>
      <c r="W995" s="10" t="s">
        <v>242</v>
      </c>
      <c r="X995" s="15">
        <f>IF(ISERROR(VLOOKUP($A995,'13. Updated Demand'!A:Z,15,FALSE)),0,VLOOKUP($A995,'13. Updated Demand'!A:Z,15,FALSE))</f>
        <v>0</v>
      </c>
      <c r="Y995" s="16">
        <f>IF(ISERROR(VLOOKUP($A995,'13. Updated Demand'!A:Z,16,FALSE)),0,VLOOKUP($A995,'13. Updated Demand'!A:Z,16,FALSE))</f>
        <v>0</v>
      </c>
      <c r="Z995" s="16">
        <f>IF(ISERROR(VLOOKUP($A995,'13. Updated Demand'!A:Z,17,FALSE)),0,VLOOKUP($A995,'13. Updated Demand'!A:Z,17,FALSE))</f>
        <v>0</v>
      </c>
      <c r="AA995" s="16">
        <f>IF(ISERROR(VLOOKUP($A995,'13. Updated Demand'!A:Z,18,FALSE)),0,VLOOKUP($A995,'13. Updated Demand'!A:Z,18,FALSE))</f>
        <v>0</v>
      </c>
      <c r="AB995" s="16">
        <f>IF(ISERROR(VLOOKUP($A995,'13. Updated Demand'!A:Z,19,FALSE)),0,VLOOKUP($A995,'13. Updated Demand'!A:Z,19,FALSE))</f>
        <v>0</v>
      </c>
      <c r="AC995" s="16">
        <f>IF(ISERROR(VLOOKUP($A995,'13. Updated Demand'!A:Z,20,FALSE)),0,VLOOKUP($A995,'13. Updated Demand'!A:Z,20,FALSE))</f>
        <v>0</v>
      </c>
      <c r="AD995" s="16">
        <f>IF(ISERROR(VLOOKUP($A995,'13. Updated Demand'!A:Z,21,FALSE)),0,VLOOKUP($A995,'13. Updated Demand'!A:Z,21,FALSE))</f>
        <v>0</v>
      </c>
      <c r="AE995" s="16">
        <f>IF(ISERROR(VLOOKUP($A995,'13. Updated Demand'!A:Z,22,FALSE)),0,VLOOKUP($A995,'13. Updated Demand'!A:Z,22,FALSE))</f>
        <v>0</v>
      </c>
      <c r="AF995" s="16">
        <f>IF(ISERROR(VLOOKUP($A995,'13. Updated Demand'!A:Z,23,FALSE)),0,VLOOKUP($A995,'13. Updated Demand'!A:Z,23,FALSE))</f>
        <v>0</v>
      </c>
      <c r="AG995" s="16">
        <f>IF(ISERROR(VLOOKUP($A995,'13. Updated Demand'!A:Z,24,FALSE)),0,VLOOKUP($A995,'13. Updated Demand'!A:Z,24,FALSE))</f>
        <v>0</v>
      </c>
      <c r="AH995" s="16">
        <f>IF(ISERROR(VLOOKUP($A995,'13. Updated Demand'!A:Z,25,FALSE)),0,VLOOKUP($A995,'13. Updated Demand'!A:Z,25,FALSE))</f>
        <v>0</v>
      </c>
      <c r="AI995" s="16">
        <f>IF(ISERROR(VLOOKUP($A995,'13. Updated Demand'!A:Z,26,FALSE)),0,VLOOKUP($A995,'13. Updated Demand'!A:Z,26,FALSE))</f>
        <v>0</v>
      </c>
      <c r="AJ995" s="16">
        <f t="shared" si="192"/>
        <v>0</v>
      </c>
      <c r="AK995" s="19">
        <v>0</v>
      </c>
      <c r="AL995" s="16">
        <f t="shared" si="190"/>
        <v>0</v>
      </c>
      <c r="AM995" s="17">
        <v>0</v>
      </c>
      <c r="AN995" s="19"/>
      <c r="AO995" s="19"/>
      <c r="AP995" s="19">
        <v>16</v>
      </c>
      <c r="AQ995" s="19" t="s">
        <v>307</v>
      </c>
      <c r="AR995" s="9" t="s">
        <v>311</v>
      </c>
      <c r="AS995" s="12">
        <v>0</v>
      </c>
      <c r="AT995" s="19">
        <v>38.615977579999999</v>
      </c>
      <c r="AU995" s="19">
        <v>-122.68847024</v>
      </c>
      <c r="AV995" s="19" t="s">
        <v>417</v>
      </c>
    </row>
    <row r="996" spans="1:48" x14ac:dyDescent="0.25">
      <c r="A996" s="18" t="s">
        <v>1382</v>
      </c>
      <c r="B996" s="10">
        <v>19610907</v>
      </c>
      <c r="C996" s="9">
        <v>21</v>
      </c>
      <c r="D996" s="8" t="str">
        <f t="shared" si="181"/>
        <v>N</v>
      </c>
      <c r="E996" s="8" t="str">
        <f t="shared" si="182"/>
        <v>N</v>
      </c>
      <c r="F996" s="8" t="str">
        <f t="shared" si="183"/>
        <v>N</v>
      </c>
      <c r="G996" s="8" t="str">
        <f t="shared" si="184"/>
        <v>N</v>
      </c>
      <c r="H996" s="8" t="str">
        <f t="shared" si="185"/>
        <v>Lower</v>
      </c>
      <c r="I996" s="8" t="str">
        <f t="shared" si="186"/>
        <v>Outside</v>
      </c>
      <c r="J996" s="8" t="str">
        <f t="shared" si="187"/>
        <v>Outside</v>
      </c>
      <c r="K996" s="8" t="str">
        <f t="shared" si="188"/>
        <v>Post-1949</v>
      </c>
      <c r="L996" s="8">
        <f t="shared" si="189"/>
        <v>1961</v>
      </c>
      <c r="M996" s="8" t="str">
        <f t="shared" si="191"/>
        <v>1960-1970</v>
      </c>
      <c r="N996" s="10" t="s">
        <v>242</v>
      </c>
      <c r="O996" s="10" t="s">
        <v>242</v>
      </c>
      <c r="P996" s="10" t="s">
        <v>242</v>
      </c>
      <c r="Q996" s="10" t="s">
        <v>242</v>
      </c>
      <c r="R996" s="10" t="s">
        <v>241</v>
      </c>
      <c r="S996" s="10" t="s">
        <v>242</v>
      </c>
      <c r="T996" s="10" t="s">
        <v>242</v>
      </c>
      <c r="U996" s="10" t="s">
        <v>241</v>
      </c>
      <c r="V996" s="10" t="s">
        <v>241</v>
      </c>
      <c r="W996" s="10" t="s">
        <v>242</v>
      </c>
      <c r="X996" s="15">
        <f>IF(ISERROR(VLOOKUP($A996,'13. Updated Demand'!A:Z,15,FALSE)),0,VLOOKUP($A996,'13. Updated Demand'!A:Z,15,FALSE))</f>
        <v>0</v>
      </c>
      <c r="Y996" s="16">
        <f>IF(ISERROR(VLOOKUP($A996,'13. Updated Demand'!A:Z,16,FALSE)),0,VLOOKUP($A996,'13. Updated Demand'!A:Z,16,FALSE))</f>
        <v>0</v>
      </c>
      <c r="Z996" s="16">
        <f>IF(ISERROR(VLOOKUP($A996,'13. Updated Demand'!A:Z,17,FALSE)),0,VLOOKUP($A996,'13. Updated Demand'!A:Z,17,FALSE))</f>
        <v>0</v>
      </c>
      <c r="AA996" s="16">
        <f>IF(ISERROR(VLOOKUP($A996,'13. Updated Demand'!A:Z,18,FALSE)),0,VLOOKUP($A996,'13. Updated Demand'!A:Z,18,FALSE))</f>
        <v>0</v>
      </c>
      <c r="AB996" s="16">
        <f>IF(ISERROR(VLOOKUP($A996,'13. Updated Demand'!A:Z,19,FALSE)),0,VLOOKUP($A996,'13. Updated Demand'!A:Z,19,FALSE))</f>
        <v>0</v>
      </c>
      <c r="AC996" s="16">
        <f>IF(ISERROR(VLOOKUP($A996,'13. Updated Demand'!A:Z,20,FALSE)),0,VLOOKUP($A996,'13. Updated Demand'!A:Z,20,FALSE))</f>
        <v>0</v>
      </c>
      <c r="AD996" s="16">
        <f>IF(ISERROR(VLOOKUP($A996,'13. Updated Demand'!A:Z,21,FALSE)),0,VLOOKUP($A996,'13. Updated Demand'!A:Z,21,FALSE))</f>
        <v>0</v>
      </c>
      <c r="AE996" s="16">
        <f>IF(ISERROR(VLOOKUP($A996,'13. Updated Demand'!A:Z,22,FALSE)),0,VLOOKUP($A996,'13. Updated Demand'!A:Z,22,FALSE))</f>
        <v>0</v>
      </c>
      <c r="AF996" s="16">
        <f>IF(ISERROR(VLOOKUP($A996,'13. Updated Demand'!A:Z,23,FALSE)),0,VLOOKUP($A996,'13. Updated Demand'!A:Z,23,FALSE))</f>
        <v>0</v>
      </c>
      <c r="AG996" s="16">
        <f>IF(ISERROR(VLOOKUP($A996,'13. Updated Demand'!A:Z,24,FALSE)),0,VLOOKUP($A996,'13. Updated Demand'!A:Z,24,FALSE))</f>
        <v>0</v>
      </c>
      <c r="AH996" s="16">
        <f>IF(ISERROR(VLOOKUP($A996,'13. Updated Demand'!A:Z,25,FALSE)),0,VLOOKUP($A996,'13. Updated Demand'!A:Z,25,FALSE))</f>
        <v>0</v>
      </c>
      <c r="AI996" s="16">
        <f>IF(ISERROR(VLOOKUP($A996,'13. Updated Demand'!A:Z,26,FALSE)),0,VLOOKUP($A996,'13. Updated Demand'!A:Z,26,FALSE))</f>
        <v>0</v>
      </c>
      <c r="AJ996" s="16">
        <f t="shared" si="192"/>
        <v>0</v>
      </c>
      <c r="AK996" s="19">
        <v>0</v>
      </c>
      <c r="AL996" s="16">
        <f t="shared" si="190"/>
        <v>0</v>
      </c>
      <c r="AM996" s="17">
        <v>0</v>
      </c>
      <c r="AN996" s="19"/>
      <c r="AO996" s="19"/>
      <c r="AP996" s="19">
        <v>12</v>
      </c>
      <c r="AQ996" s="19" t="s">
        <v>307</v>
      </c>
      <c r="AR996" s="9" t="s">
        <v>403</v>
      </c>
      <c r="AS996" s="12">
        <v>0</v>
      </c>
      <c r="AT996" s="19">
        <v>38.551211700000003</v>
      </c>
      <c r="AU996" s="19">
        <v>-123.01900654000001</v>
      </c>
      <c r="AV996" s="19" t="s">
        <v>417</v>
      </c>
    </row>
    <row r="997" spans="1:48" x14ac:dyDescent="0.25">
      <c r="A997" s="18" t="s">
        <v>1383</v>
      </c>
      <c r="B997" s="10">
        <v>19610919</v>
      </c>
      <c r="C997" s="9">
        <v>23</v>
      </c>
      <c r="D997" s="8" t="str">
        <f t="shared" si="181"/>
        <v>N</v>
      </c>
      <c r="E997" s="8" t="str">
        <f t="shared" si="182"/>
        <v>N</v>
      </c>
      <c r="F997" s="8" t="str">
        <f t="shared" si="183"/>
        <v>N</v>
      </c>
      <c r="G997" s="8" t="str">
        <f t="shared" si="184"/>
        <v>N</v>
      </c>
      <c r="H997" s="8" t="str">
        <f t="shared" si="185"/>
        <v>Lower</v>
      </c>
      <c r="I997" s="8" t="str">
        <f t="shared" si="186"/>
        <v>Outside</v>
      </c>
      <c r="J997" s="8" t="str">
        <f t="shared" si="187"/>
        <v>Outside</v>
      </c>
      <c r="K997" s="8" t="str">
        <f t="shared" si="188"/>
        <v>Post-1949</v>
      </c>
      <c r="L997" s="8">
        <f t="shared" si="189"/>
        <v>1961</v>
      </c>
      <c r="M997" s="8" t="str">
        <f t="shared" si="191"/>
        <v>1960-1970</v>
      </c>
      <c r="N997" s="10" t="s">
        <v>242</v>
      </c>
      <c r="O997" s="10" t="s">
        <v>242</v>
      </c>
      <c r="P997" s="10" t="s">
        <v>242</v>
      </c>
      <c r="Q997" s="10" t="s">
        <v>242</v>
      </c>
      <c r="R997" s="10" t="s">
        <v>241</v>
      </c>
      <c r="S997" s="10" t="s">
        <v>242</v>
      </c>
      <c r="T997" s="10" t="s">
        <v>242</v>
      </c>
      <c r="U997" s="10" t="s">
        <v>242</v>
      </c>
      <c r="V997" s="10" t="s">
        <v>241</v>
      </c>
      <c r="W997" s="10" t="s">
        <v>242</v>
      </c>
      <c r="X997" s="15">
        <f>IF(ISERROR(VLOOKUP($A997,'13. Updated Demand'!A:Z,15,FALSE)),0,VLOOKUP($A997,'13. Updated Demand'!A:Z,15,FALSE))</f>
        <v>1.53</v>
      </c>
      <c r="Y997" s="16">
        <f>IF(ISERROR(VLOOKUP($A997,'13. Updated Demand'!A:Z,16,FALSE)),0,VLOOKUP($A997,'13. Updated Demand'!A:Z,16,FALSE))</f>
        <v>1.276666667</v>
      </c>
      <c r="Z997" s="16">
        <f>IF(ISERROR(VLOOKUP($A997,'13. Updated Demand'!A:Z,17,FALSE)),0,VLOOKUP($A997,'13. Updated Demand'!A:Z,17,FALSE))</f>
        <v>1.153333333</v>
      </c>
      <c r="AA997" s="16">
        <f>IF(ISERROR(VLOOKUP($A997,'13. Updated Demand'!A:Z,18,FALSE)),0,VLOOKUP($A997,'13. Updated Demand'!A:Z,18,FALSE))</f>
        <v>0.37666666700000001</v>
      </c>
      <c r="AB997" s="16">
        <f>IF(ISERROR(VLOOKUP($A997,'13. Updated Demand'!A:Z,19,FALSE)),0,VLOOKUP($A997,'13. Updated Demand'!A:Z,19,FALSE))</f>
        <v>0</v>
      </c>
      <c r="AC997" s="16">
        <f>IF(ISERROR(VLOOKUP($A997,'13. Updated Demand'!A:Z,20,FALSE)),0,VLOOKUP($A997,'13. Updated Demand'!A:Z,20,FALSE))</f>
        <v>0</v>
      </c>
      <c r="AD997" s="16">
        <f>IF(ISERROR(VLOOKUP($A997,'13. Updated Demand'!A:Z,21,FALSE)),0,VLOOKUP($A997,'13. Updated Demand'!A:Z,21,FALSE))</f>
        <v>0</v>
      </c>
      <c r="AE997" s="16">
        <f>IF(ISERROR(VLOOKUP($A997,'13. Updated Demand'!A:Z,22,FALSE)),0,VLOOKUP($A997,'13. Updated Demand'!A:Z,22,FALSE))</f>
        <v>0</v>
      </c>
      <c r="AF997" s="16">
        <f>IF(ISERROR(VLOOKUP($A997,'13. Updated Demand'!A:Z,23,FALSE)),0,VLOOKUP($A997,'13. Updated Demand'!A:Z,23,FALSE))</f>
        <v>0</v>
      </c>
      <c r="AG997" s="16">
        <f>IF(ISERROR(VLOOKUP($A997,'13. Updated Demand'!A:Z,24,FALSE)),0,VLOOKUP($A997,'13. Updated Demand'!A:Z,24,FALSE))</f>
        <v>0</v>
      </c>
      <c r="AH997" s="16">
        <f>IF(ISERROR(VLOOKUP($A997,'13. Updated Demand'!A:Z,25,FALSE)),0,VLOOKUP($A997,'13. Updated Demand'!A:Z,25,FALSE))</f>
        <v>0.87666666699999996</v>
      </c>
      <c r="AI997" s="16">
        <f>IF(ISERROR(VLOOKUP($A997,'13. Updated Demand'!A:Z,26,FALSE)),0,VLOOKUP($A997,'13. Updated Demand'!A:Z,26,FALSE))</f>
        <v>1.413333333</v>
      </c>
      <c r="AJ997" s="16">
        <f t="shared" si="192"/>
        <v>6.6266666670000003</v>
      </c>
      <c r="AK997" s="19">
        <v>0</v>
      </c>
      <c r="AL997" s="16">
        <f t="shared" si="190"/>
        <v>0</v>
      </c>
      <c r="AM997" s="17">
        <v>0.97450980397058828</v>
      </c>
      <c r="AN997" s="19"/>
      <c r="AO997" s="19"/>
      <c r="AP997" s="19">
        <v>6.8</v>
      </c>
      <c r="AQ997" s="19" t="s">
        <v>307</v>
      </c>
      <c r="AR997" s="9" t="s">
        <v>391</v>
      </c>
      <c r="AS997" s="12">
        <v>0</v>
      </c>
      <c r="AT997" s="19">
        <v>38.587733020000002</v>
      </c>
      <c r="AU997" s="19">
        <v>-122.79018435</v>
      </c>
      <c r="AV997" s="19" t="s">
        <v>417</v>
      </c>
    </row>
    <row r="998" spans="1:48" x14ac:dyDescent="0.25">
      <c r="A998" s="18" t="s">
        <v>1384</v>
      </c>
      <c r="B998" s="10">
        <v>19611013</v>
      </c>
      <c r="C998" s="9">
        <v>23</v>
      </c>
      <c r="D998" s="8" t="str">
        <f t="shared" si="181"/>
        <v>N</v>
      </c>
      <c r="E998" s="8" t="str">
        <f t="shared" si="182"/>
        <v>N</v>
      </c>
      <c r="F998" s="8" t="str">
        <f t="shared" si="183"/>
        <v>N</v>
      </c>
      <c r="G998" s="8" t="str">
        <f t="shared" si="184"/>
        <v>N</v>
      </c>
      <c r="H998" s="8" t="str">
        <f t="shared" si="185"/>
        <v>Lower</v>
      </c>
      <c r="I998" s="8" t="str">
        <f t="shared" si="186"/>
        <v>Outside</v>
      </c>
      <c r="J998" s="8" t="str">
        <f t="shared" si="187"/>
        <v>Outside</v>
      </c>
      <c r="K998" s="8" t="str">
        <f t="shared" si="188"/>
        <v>Post-1949</v>
      </c>
      <c r="L998" s="8">
        <f t="shared" si="189"/>
        <v>1961</v>
      </c>
      <c r="M998" s="8" t="str">
        <f t="shared" si="191"/>
        <v>1960-1970</v>
      </c>
      <c r="N998" s="10" t="s">
        <v>242</v>
      </c>
      <c r="O998" s="10" t="s">
        <v>242</v>
      </c>
      <c r="P998" s="10" t="s">
        <v>242</v>
      </c>
      <c r="Q998" s="10" t="s">
        <v>242</v>
      </c>
      <c r="R998" s="10" t="s">
        <v>241</v>
      </c>
      <c r="S998" s="10" t="s">
        <v>242</v>
      </c>
      <c r="T998" s="10" t="s">
        <v>242</v>
      </c>
      <c r="U998" s="10" t="s">
        <v>241</v>
      </c>
      <c r="V998" s="10" t="s">
        <v>241</v>
      </c>
      <c r="W998" s="10" t="s">
        <v>242</v>
      </c>
      <c r="X998" s="15">
        <f>IF(ISERROR(VLOOKUP($A998,'13. Updated Demand'!A:Z,15,FALSE)),0,VLOOKUP($A998,'13. Updated Demand'!A:Z,15,FALSE))</f>
        <v>0</v>
      </c>
      <c r="Y998" s="16">
        <f>IF(ISERROR(VLOOKUP($A998,'13. Updated Demand'!A:Z,16,FALSE)),0,VLOOKUP($A998,'13. Updated Demand'!A:Z,16,FALSE))</f>
        <v>0</v>
      </c>
      <c r="Z998" s="16">
        <f>IF(ISERROR(VLOOKUP($A998,'13. Updated Demand'!A:Z,17,FALSE)),0,VLOOKUP($A998,'13. Updated Demand'!A:Z,17,FALSE))</f>
        <v>0</v>
      </c>
      <c r="AA998" s="16">
        <f>IF(ISERROR(VLOOKUP($A998,'13. Updated Demand'!A:Z,18,FALSE)),0,VLOOKUP($A998,'13. Updated Demand'!A:Z,18,FALSE))</f>
        <v>0</v>
      </c>
      <c r="AB998" s="16">
        <f>IF(ISERROR(VLOOKUP($A998,'13. Updated Demand'!A:Z,19,FALSE)),0,VLOOKUP($A998,'13. Updated Demand'!A:Z,19,FALSE))</f>
        <v>0</v>
      </c>
      <c r="AC998" s="16">
        <f>IF(ISERROR(VLOOKUP($A998,'13. Updated Demand'!A:Z,20,FALSE)),0,VLOOKUP($A998,'13. Updated Demand'!A:Z,20,FALSE))</f>
        <v>0</v>
      </c>
      <c r="AD998" s="16">
        <f>IF(ISERROR(VLOOKUP($A998,'13. Updated Demand'!A:Z,21,FALSE)),0,VLOOKUP($A998,'13. Updated Demand'!A:Z,21,FALSE))</f>
        <v>0</v>
      </c>
      <c r="AE998" s="16">
        <f>IF(ISERROR(VLOOKUP($A998,'13. Updated Demand'!A:Z,22,FALSE)),0,VLOOKUP($A998,'13. Updated Demand'!A:Z,22,FALSE))</f>
        <v>0</v>
      </c>
      <c r="AF998" s="16">
        <f>IF(ISERROR(VLOOKUP($A998,'13. Updated Demand'!A:Z,23,FALSE)),0,VLOOKUP($A998,'13. Updated Demand'!A:Z,23,FALSE))</f>
        <v>0</v>
      </c>
      <c r="AG998" s="16">
        <f>IF(ISERROR(VLOOKUP($A998,'13. Updated Demand'!A:Z,24,FALSE)),0,VLOOKUP($A998,'13. Updated Demand'!A:Z,24,FALSE))</f>
        <v>0</v>
      </c>
      <c r="AH998" s="16">
        <f>IF(ISERROR(VLOOKUP($A998,'13. Updated Demand'!A:Z,25,FALSE)),0,VLOOKUP($A998,'13. Updated Demand'!A:Z,25,FALSE))</f>
        <v>0</v>
      </c>
      <c r="AI998" s="16">
        <f>IF(ISERROR(VLOOKUP($A998,'13. Updated Demand'!A:Z,26,FALSE)),0,VLOOKUP($A998,'13. Updated Demand'!A:Z,26,FALSE))</f>
        <v>0</v>
      </c>
      <c r="AJ998" s="16">
        <f t="shared" si="192"/>
        <v>0</v>
      </c>
      <c r="AK998" s="19">
        <v>0</v>
      </c>
      <c r="AL998" s="16">
        <f t="shared" si="190"/>
        <v>0</v>
      </c>
      <c r="AM998" s="17">
        <v>0</v>
      </c>
      <c r="AN998" s="19"/>
      <c r="AO998" s="19"/>
      <c r="AP998" s="19">
        <v>5</v>
      </c>
      <c r="AQ998" s="19" t="s">
        <v>307</v>
      </c>
      <c r="AR998" s="9" t="s">
        <v>323</v>
      </c>
      <c r="AS998" s="12">
        <v>0</v>
      </c>
      <c r="AT998" s="19">
        <v>38.516518120000001</v>
      </c>
      <c r="AU998" s="19">
        <v>-122.69764755999999</v>
      </c>
      <c r="AV998" s="19" t="s">
        <v>417</v>
      </c>
    </row>
    <row r="999" spans="1:48" x14ac:dyDescent="0.25">
      <c r="A999" s="18" t="s">
        <v>1385</v>
      </c>
      <c r="B999" s="10">
        <v>19611016</v>
      </c>
      <c r="C999" s="9">
        <v>9</v>
      </c>
      <c r="D999" s="8" t="str">
        <f t="shared" si="181"/>
        <v>N</v>
      </c>
      <c r="E999" s="8" t="str">
        <f t="shared" si="182"/>
        <v>Y</v>
      </c>
      <c r="F999" s="8" t="str">
        <f t="shared" si="183"/>
        <v>Y</v>
      </c>
      <c r="G999" s="8" t="str">
        <f t="shared" si="184"/>
        <v>Y</v>
      </c>
      <c r="H999" s="8" t="str">
        <f t="shared" si="185"/>
        <v>Upper</v>
      </c>
      <c r="I999" s="8" t="str">
        <f t="shared" si="186"/>
        <v>West Fork and Below Lake</v>
      </c>
      <c r="J999" s="8" t="str">
        <f t="shared" si="187"/>
        <v>Sonoma (d/s of Clov. Gage)</v>
      </c>
      <c r="K999" s="8" t="str">
        <f t="shared" si="188"/>
        <v>Post-1949</v>
      </c>
      <c r="L999" s="8">
        <f t="shared" si="189"/>
        <v>1961</v>
      </c>
      <c r="M999" s="8" t="str">
        <f t="shared" si="191"/>
        <v>1960-1970</v>
      </c>
      <c r="N999" s="10" t="s">
        <v>242</v>
      </c>
      <c r="O999" s="10" t="s">
        <v>241</v>
      </c>
      <c r="P999" s="10" t="s">
        <v>242</v>
      </c>
      <c r="Q999" s="10" t="s">
        <v>242</v>
      </c>
      <c r="R999" s="10" t="s">
        <v>241</v>
      </c>
      <c r="S999" s="10" t="s">
        <v>242</v>
      </c>
      <c r="T999" s="10" t="s">
        <v>242</v>
      </c>
      <c r="U999" s="10" t="s">
        <v>242</v>
      </c>
      <c r="V999" s="10" t="s">
        <v>241</v>
      </c>
      <c r="W999" s="10" t="s">
        <v>242</v>
      </c>
      <c r="X999" s="15">
        <f>IF(ISERROR(VLOOKUP($A999,'13. Updated Demand'!A:Z,15,FALSE)),0,VLOOKUP($A999,'13. Updated Demand'!A:Z,15,FALSE))</f>
        <v>1.33</v>
      </c>
      <c r="Y999" s="16">
        <f>IF(ISERROR(VLOOKUP($A999,'13. Updated Demand'!A:Z,16,FALSE)),0,VLOOKUP($A999,'13. Updated Demand'!A:Z,16,FALSE))</f>
        <v>0</v>
      </c>
      <c r="Z999" s="16">
        <f>IF(ISERROR(VLOOKUP($A999,'13. Updated Demand'!A:Z,17,FALSE)),0,VLOOKUP($A999,'13. Updated Demand'!A:Z,17,FALSE))</f>
        <v>0</v>
      </c>
      <c r="AA999" s="16">
        <f>IF(ISERROR(VLOOKUP($A999,'13. Updated Demand'!A:Z,18,FALSE)),0,VLOOKUP($A999,'13. Updated Demand'!A:Z,18,FALSE))</f>
        <v>0</v>
      </c>
      <c r="AB999" s="16">
        <f>IF(ISERROR(VLOOKUP($A999,'13. Updated Demand'!A:Z,19,FALSE)),0,VLOOKUP($A999,'13. Updated Demand'!A:Z,19,FALSE))</f>
        <v>0</v>
      </c>
      <c r="AC999" s="16">
        <f>IF(ISERROR(VLOOKUP($A999,'13. Updated Demand'!A:Z,20,FALSE)),0,VLOOKUP($A999,'13. Updated Demand'!A:Z,20,FALSE))</f>
        <v>0</v>
      </c>
      <c r="AD999" s="16">
        <f>IF(ISERROR(VLOOKUP($A999,'13. Updated Demand'!A:Z,21,FALSE)),0,VLOOKUP($A999,'13. Updated Demand'!A:Z,21,FALSE))</f>
        <v>0</v>
      </c>
      <c r="AE999" s="16">
        <f>IF(ISERROR(VLOOKUP($A999,'13. Updated Demand'!A:Z,22,FALSE)),0,VLOOKUP($A999,'13. Updated Demand'!A:Z,22,FALSE))</f>
        <v>0</v>
      </c>
      <c r="AF999" s="16">
        <f>IF(ISERROR(VLOOKUP($A999,'13. Updated Demand'!A:Z,23,FALSE)),0,VLOOKUP($A999,'13. Updated Demand'!A:Z,23,FALSE))</f>
        <v>0</v>
      </c>
      <c r="AG999" s="16">
        <f>IF(ISERROR(VLOOKUP($A999,'13. Updated Demand'!A:Z,24,FALSE)),0,VLOOKUP($A999,'13. Updated Demand'!A:Z,24,FALSE))</f>
        <v>3.66</v>
      </c>
      <c r="AH999" s="16">
        <f>IF(ISERROR(VLOOKUP($A999,'13. Updated Demand'!A:Z,25,FALSE)),0,VLOOKUP($A999,'13. Updated Demand'!A:Z,25,FALSE))</f>
        <v>4.33</v>
      </c>
      <c r="AI999" s="16">
        <f>IF(ISERROR(VLOOKUP($A999,'13. Updated Demand'!A:Z,26,FALSE)),0,VLOOKUP($A999,'13. Updated Demand'!A:Z,26,FALSE))</f>
        <v>4</v>
      </c>
      <c r="AJ999" s="16">
        <f t="shared" si="192"/>
        <v>13.32</v>
      </c>
      <c r="AK999" s="19">
        <v>0</v>
      </c>
      <c r="AL999" s="16">
        <f t="shared" si="190"/>
        <v>0</v>
      </c>
      <c r="AM999" s="17">
        <v>0.4301075268709677</v>
      </c>
      <c r="AN999" s="19"/>
      <c r="AO999" s="19"/>
      <c r="AP999" s="19">
        <v>31</v>
      </c>
      <c r="AQ999" s="19" t="s">
        <v>307</v>
      </c>
      <c r="AR999" s="9" t="s">
        <v>354</v>
      </c>
      <c r="AS999" s="12">
        <v>0</v>
      </c>
      <c r="AT999" s="19">
        <v>38.74448082</v>
      </c>
      <c r="AU999" s="19">
        <v>-122.92709695000001</v>
      </c>
      <c r="AV999" s="19" t="s">
        <v>417</v>
      </c>
    </row>
    <row r="1000" spans="1:48" x14ac:dyDescent="0.25">
      <c r="A1000" s="18" t="s">
        <v>1386</v>
      </c>
      <c r="B1000" s="10">
        <v>19611110</v>
      </c>
      <c r="C1000" s="9">
        <v>23</v>
      </c>
      <c r="D1000" s="8" t="str">
        <f t="shared" si="181"/>
        <v>N</v>
      </c>
      <c r="E1000" s="8" t="str">
        <f t="shared" si="182"/>
        <v>N</v>
      </c>
      <c r="F1000" s="8" t="str">
        <f t="shared" si="183"/>
        <v>N</v>
      </c>
      <c r="G1000" s="8" t="str">
        <f t="shared" si="184"/>
        <v>N</v>
      </c>
      <c r="H1000" s="8" t="str">
        <f t="shared" si="185"/>
        <v>Lower</v>
      </c>
      <c r="I1000" s="8" t="str">
        <f t="shared" si="186"/>
        <v>Outside</v>
      </c>
      <c r="J1000" s="8" t="str">
        <f t="shared" si="187"/>
        <v>Outside</v>
      </c>
      <c r="K1000" s="8" t="str">
        <f t="shared" si="188"/>
        <v>Post-1949</v>
      </c>
      <c r="L1000" s="8">
        <f t="shared" si="189"/>
        <v>1961</v>
      </c>
      <c r="M1000" s="8" t="str">
        <f t="shared" si="191"/>
        <v>1960-1970</v>
      </c>
      <c r="N1000" s="10" t="s">
        <v>242</v>
      </c>
      <c r="O1000" s="10" t="s">
        <v>242</v>
      </c>
      <c r="P1000" s="10" t="s">
        <v>242</v>
      </c>
      <c r="Q1000" s="10" t="s">
        <v>242</v>
      </c>
      <c r="R1000" s="10" t="s">
        <v>241</v>
      </c>
      <c r="S1000" s="10" t="s">
        <v>242</v>
      </c>
      <c r="T1000" s="10" t="s">
        <v>242</v>
      </c>
      <c r="U1000" s="10" t="s">
        <v>241</v>
      </c>
      <c r="V1000" s="10" t="s">
        <v>241</v>
      </c>
      <c r="W1000" s="10" t="s">
        <v>242</v>
      </c>
      <c r="X1000" s="15">
        <f>IF(ISERROR(VLOOKUP($A1000,'13. Updated Demand'!A:Z,15,FALSE)),0,VLOOKUP($A1000,'13. Updated Demand'!A:Z,15,FALSE))</f>
        <v>0</v>
      </c>
      <c r="Y1000" s="16">
        <f>IF(ISERROR(VLOOKUP($A1000,'13. Updated Demand'!A:Z,16,FALSE)),0,VLOOKUP($A1000,'13. Updated Demand'!A:Z,16,FALSE))</f>
        <v>0</v>
      </c>
      <c r="Z1000" s="16">
        <f>IF(ISERROR(VLOOKUP($A1000,'13. Updated Demand'!A:Z,17,FALSE)),0,VLOOKUP($A1000,'13. Updated Demand'!A:Z,17,FALSE))</f>
        <v>0</v>
      </c>
      <c r="AA1000" s="16">
        <f>IF(ISERROR(VLOOKUP($A1000,'13. Updated Demand'!A:Z,18,FALSE)),0,VLOOKUP($A1000,'13. Updated Demand'!A:Z,18,FALSE))</f>
        <v>0</v>
      </c>
      <c r="AB1000" s="16">
        <f>IF(ISERROR(VLOOKUP($A1000,'13. Updated Demand'!A:Z,19,FALSE)),0,VLOOKUP($A1000,'13. Updated Demand'!A:Z,19,FALSE))</f>
        <v>0</v>
      </c>
      <c r="AC1000" s="16">
        <f>IF(ISERROR(VLOOKUP($A1000,'13. Updated Demand'!A:Z,20,FALSE)),0,VLOOKUP($A1000,'13. Updated Demand'!A:Z,20,FALSE))</f>
        <v>0</v>
      </c>
      <c r="AD1000" s="16">
        <f>IF(ISERROR(VLOOKUP($A1000,'13. Updated Demand'!A:Z,21,FALSE)),0,VLOOKUP($A1000,'13. Updated Demand'!A:Z,21,FALSE))</f>
        <v>0</v>
      </c>
      <c r="AE1000" s="16">
        <f>IF(ISERROR(VLOOKUP($A1000,'13. Updated Demand'!A:Z,22,FALSE)),0,VLOOKUP($A1000,'13. Updated Demand'!A:Z,22,FALSE))</f>
        <v>0</v>
      </c>
      <c r="AF1000" s="16">
        <f>IF(ISERROR(VLOOKUP($A1000,'13. Updated Demand'!A:Z,23,FALSE)),0,VLOOKUP($A1000,'13. Updated Demand'!A:Z,23,FALSE))</f>
        <v>0</v>
      </c>
      <c r="AG1000" s="16">
        <f>IF(ISERROR(VLOOKUP($A1000,'13. Updated Demand'!A:Z,24,FALSE)),0,VLOOKUP($A1000,'13. Updated Demand'!A:Z,24,FALSE))</f>
        <v>0</v>
      </c>
      <c r="AH1000" s="16">
        <f>IF(ISERROR(VLOOKUP($A1000,'13. Updated Demand'!A:Z,25,FALSE)),0,VLOOKUP($A1000,'13. Updated Demand'!A:Z,25,FALSE))</f>
        <v>0</v>
      </c>
      <c r="AI1000" s="16">
        <f>IF(ISERROR(VLOOKUP($A1000,'13. Updated Demand'!A:Z,26,FALSE)),0,VLOOKUP($A1000,'13. Updated Demand'!A:Z,26,FALSE))</f>
        <v>0</v>
      </c>
      <c r="AJ1000" s="16">
        <f t="shared" si="192"/>
        <v>0</v>
      </c>
      <c r="AK1000" s="19">
        <v>0</v>
      </c>
      <c r="AL1000" s="16">
        <f t="shared" si="190"/>
        <v>0</v>
      </c>
      <c r="AM1000" s="17">
        <v>0</v>
      </c>
      <c r="AN1000" s="19"/>
      <c r="AO1000" s="19"/>
      <c r="AP1000" s="19">
        <v>225</v>
      </c>
      <c r="AQ1000" s="19" t="s">
        <v>307</v>
      </c>
      <c r="AR1000" s="9" t="s">
        <v>1118</v>
      </c>
      <c r="AS1000" s="12">
        <v>0</v>
      </c>
      <c r="AT1000" s="19">
        <v>38.465330190000003</v>
      </c>
      <c r="AU1000" s="19">
        <v>-122.83895246</v>
      </c>
      <c r="AV1000" s="19" t="s">
        <v>735</v>
      </c>
    </row>
    <row r="1001" spans="1:48" x14ac:dyDescent="0.25">
      <c r="A1001" s="18" t="s">
        <v>43</v>
      </c>
      <c r="B1001" s="10">
        <v>19611227</v>
      </c>
      <c r="C1001" s="9">
        <v>5</v>
      </c>
      <c r="D1001" s="8" t="str">
        <f t="shared" si="181"/>
        <v>Y</v>
      </c>
      <c r="E1001" s="8" t="str">
        <f t="shared" si="182"/>
        <v>N</v>
      </c>
      <c r="F1001" s="8" t="str">
        <f t="shared" si="183"/>
        <v>Y</v>
      </c>
      <c r="G1001" s="8" t="str">
        <f t="shared" si="184"/>
        <v>Y</v>
      </c>
      <c r="H1001" s="8" t="str">
        <f t="shared" si="185"/>
        <v>Upper</v>
      </c>
      <c r="I1001" s="8" t="str">
        <f t="shared" si="186"/>
        <v>West Fork and Below Lake</v>
      </c>
      <c r="J1001" s="8" t="str">
        <f t="shared" si="187"/>
        <v>Mendocino (d/s of lake)</v>
      </c>
      <c r="K1001" s="8" t="str">
        <f t="shared" si="188"/>
        <v>Post-1949</v>
      </c>
      <c r="L1001" s="8">
        <f t="shared" si="189"/>
        <v>1961</v>
      </c>
      <c r="M1001" s="8" t="str">
        <f t="shared" si="191"/>
        <v>1960-1970</v>
      </c>
      <c r="N1001" s="10" t="s">
        <v>241</v>
      </c>
      <c r="O1001" s="10" t="s">
        <v>241</v>
      </c>
      <c r="P1001" s="10" t="s">
        <v>242</v>
      </c>
      <c r="Q1001" s="10" t="s">
        <v>242</v>
      </c>
      <c r="R1001" s="10" t="s">
        <v>241</v>
      </c>
      <c r="S1001" s="10" t="s">
        <v>242</v>
      </c>
      <c r="T1001" s="10" t="s">
        <v>242</v>
      </c>
      <c r="U1001" s="10" t="s">
        <v>242</v>
      </c>
      <c r="V1001" s="10" t="s">
        <v>242</v>
      </c>
      <c r="W1001" s="10" t="s">
        <v>242</v>
      </c>
      <c r="X1001" s="15">
        <f>IF(ISERROR(VLOOKUP($A1001,'13. Updated Demand'!A:Z,15,FALSE)),0,VLOOKUP($A1001,'13. Updated Demand'!A:Z,15,FALSE))</f>
        <v>0</v>
      </c>
      <c r="Y1001" s="16">
        <f>IF(ISERROR(VLOOKUP($A1001,'13. Updated Demand'!A:Z,16,FALSE)),0,VLOOKUP($A1001,'13. Updated Demand'!A:Z,16,FALSE))</f>
        <v>0</v>
      </c>
      <c r="Z1001" s="16">
        <f>IF(ISERROR(VLOOKUP($A1001,'13. Updated Demand'!A:Z,17,FALSE)),0,VLOOKUP($A1001,'13. Updated Demand'!A:Z,17,FALSE))</f>
        <v>0</v>
      </c>
      <c r="AA1001" s="16">
        <f>IF(ISERROR(VLOOKUP($A1001,'13. Updated Demand'!A:Z,18,FALSE)),0,VLOOKUP($A1001,'13. Updated Demand'!A:Z,18,FALSE))</f>
        <v>0</v>
      </c>
      <c r="AB1001" s="16">
        <f>IF(ISERROR(VLOOKUP($A1001,'13. Updated Demand'!A:Z,19,FALSE)),0,VLOOKUP($A1001,'13. Updated Demand'!A:Z,19,FALSE))</f>
        <v>1.34</v>
      </c>
      <c r="AC1001" s="16">
        <f>IF(ISERROR(VLOOKUP($A1001,'13. Updated Demand'!A:Z,20,FALSE)),0,VLOOKUP($A1001,'13. Updated Demand'!A:Z,20,FALSE))</f>
        <v>21.95</v>
      </c>
      <c r="AD1001" s="16">
        <f>IF(ISERROR(VLOOKUP($A1001,'13. Updated Demand'!A:Z,21,FALSE)),0,VLOOKUP($A1001,'13. Updated Demand'!A:Z,21,FALSE))</f>
        <v>33.64</v>
      </c>
      <c r="AE1001" s="16">
        <f>IF(ISERROR(VLOOKUP($A1001,'13. Updated Demand'!A:Z,22,FALSE)),0,VLOOKUP($A1001,'13. Updated Demand'!A:Z,22,FALSE))</f>
        <v>0</v>
      </c>
      <c r="AF1001" s="16">
        <f>IF(ISERROR(VLOOKUP($A1001,'13. Updated Demand'!A:Z,23,FALSE)),0,VLOOKUP($A1001,'13. Updated Demand'!A:Z,23,FALSE))</f>
        <v>0</v>
      </c>
      <c r="AG1001" s="16">
        <f>IF(ISERROR(VLOOKUP($A1001,'13. Updated Demand'!A:Z,24,FALSE)),0,VLOOKUP($A1001,'13. Updated Demand'!A:Z,24,FALSE))</f>
        <v>0</v>
      </c>
      <c r="AH1001" s="16">
        <f>IF(ISERROR(VLOOKUP($A1001,'13. Updated Demand'!A:Z,25,FALSE)),0,VLOOKUP($A1001,'13. Updated Demand'!A:Z,25,FALSE))</f>
        <v>0</v>
      </c>
      <c r="AI1001" s="16">
        <f>IF(ISERROR(VLOOKUP($A1001,'13. Updated Demand'!A:Z,26,FALSE)),0,VLOOKUP($A1001,'13. Updated Demand'!A:Z,26,FALSE))</f>
        <v>0</v>
      </c>
      <c r="AJ1001" s="16">
        <f t="shared" si="192"/>
        <v>56.93</v>
      </c>
      <c r="AK1001" s="19">
        <v>56.940000000000026</v>
      </c>
      <c r="AL1001" s="16">
        <f t="shared" si="190"/>
        <v>0.18886349392448637</v>
      </c>
      <c r="AM1001" s="17">
        <v>0.16315186246418345</v>
      </c>
      <c r="AN1001" s="19"/>
      <c r="AO1001" s="19"/>
      <c r="AP1001" s="19">
        <v>349</v>
      </c>
      <c r="AQ1001" s="19" t="s">
        <v>307</v>
      </c>
      <c r="AR1001" s="9" t="s">
        <v>333</v>
      </c>
      <c r="AS1001" s="12">
        <v>0</v>
      </c>
      <c r="AT1001" s="19">
        <v>39.076924320000003</v>
      </c>
      <c r="AU1001" s="19">
        <v>-123.16277613</v>
      </c>
      <c r="AV1001" s="19" t="s">
        <v>387</v>
      </c>
    </row>
    <row r="1002" spans="1:48" x14ac:dyDescent="0.25">
      <c r="A1002" s="18" t="s">
        <v>1387</v>
      </c>
      <c r="B1002" s="10">
        <v>19610223</v>
      </c>
      <c r="C1002" s="9">
        <v>16</v>
      </c>
      <c r="D1002" s="8" t="str">
        <f t="shared" si="181"/>
        <v>N</v>
      </c>
      <c r="E1002" s="8" t="str">
        <f t="shared" si="182"/>
        <v>N</v>
      </c>
      <c r="F1002" s="8" t="str">
        <f t="shared" si="183"/>
        <v>N</v>
      </c>
      <c r="G1002" s="8" t="str">
        <f t="shared" si="184"/>
        <v>N</v>
      </c>
      <c r="H1002" s="8" t="str">
        <f t="shared" si="185"/>
        <v>Lower</v>
      </c>
      <c r="I1002" s="8" t="str">
        <f t="shared" si="186"/>
        <v>Outside</v>
      </c>
      <c r="J1002" s="8" t="str">
        <f t="shared" si="187"/>
        <v>Outside</v>
      </c>
      <c r="K1002" s="8" t="str">
        <f t="shared" si="188"/>
        <v>Post-1949</v>
      </c>
      <c r="L1002" s="8">
        <f t="shared" si="189"/>
        <v>1961</v>
      </c>
      <c r="M1002" s="8" t="str">
        <f t="shared" si="191"/>
        <v>1960-1970</v>
      </c>
      <c r="N1002" s="10" t="s">
        <v>242</v>
      </c>
      <c r="O1002" s="10" t="s">
        <v>242</v>
      </c>
      <c r="P1002" s="10" t="s">
        <v>242</v>
      </c>
      <c r="Q1002" s="10" t="s">
        <v>242</v>
      </c>
      <c r="R1002" s="10" t="s">
        <v>241</v>
      </c>
      <c r="S1002" s="10" t="s">
        <v>242</v>
      </c>
      <c r="T1002" s="10" t="s">
        <v>242</v>
      </c>
      <c r="U1002" s="10" t="s">
        <v>241</v>
      </c>
      <c r="V1002" s="10" t="s">
        <v>241</v>
      </c>
      <c r="W1002" s="10" t="s">
        <v>242</v>
      </c>
      <c r="X1002" s="15">
        <f>IF(ISERROR(VLOOKUP($A1002,'13. Updated Demand'!A:Z,15,FALSE)),0,VLOOKUP($A1002,'13. Updated Demand'!A:Z,15,FALSE))</f>
        <v>0</v>
      </c>
      <c r="Y1002" s="16">
        <f>IF(ISERROR(VLOOKUP($A1002,'13. Updated Demand'!A:Z,16,FALSE)),0,VLOOKUP($A1002,'13. Updated Demand'!A:Z,16,FALSE))</f>
        <v>0</v>
      </c>
      <c r="Z1002" s="16">
        <f>IF(ISERROR(VLOOKUP($A1002,'13. Updated Demand'!A:Z,17,FALSE)),0,VLOOKUP($A1002,'13. Updated Demand'!A:Z,17,FALSE))</f>
        <v>0</v>
      </c>
      <c r="AA1002" s="16">
        <f>IF(ISERROR(VLOOKUP($A1002,'13. Updated Demand'!A:Z,18,FALSE)),0,VLOOKUP($A1002,'13. Updated Demand'!A:Z,18,FALSE))</f>
        <v>0</v>
      </c>
      <c r="AB1002" s="16">
        <f>IF(ISERROR(VLOOKUP($A1002,'13. Updated Demand'!A:Z,19,FALSE)),0,VLOOKUP($A1002,'13. Updated Demand'!A:Z,19,FALSE))</f>
        <v>0</v>
      </c>
      <c r="AC1002" s="16">
        <f>IF(ISERROR(VLOOKUP($A1002,'13. Updated Demand'!A:Z,20,FALSE)),0,VLOOKUP($A1002,'13. Updated Demand'!A:Z,20,FALSE))</f>
        <v>0</v>
      </c>
      <c r="AD1002" s="16">
        <f>IF(ISERROR(VLOOKUP($A1002,'13. Updated Demand'!A:Z,21,FALSE)),0,VLOOKUP($A1002,'13. Updated Demand'!A:Z,21,FALSE))</f>
        <v>0</v>
      </c>
      <c r="AE1002" s="16">
        <f>IF(ISERROR(VLOOKUP($A1002,'13. Updated Demand'!A:Z,22,FALSE)),0,VLOOKUP($A1002,'13. Updated Demand'!A:Z,22,FALSE))</f>
        <v>0</v>
      </c>
      <c r="AF1002" s="16">
        <f>IF(ISERROR(VLOOKUP($A1002,'13. Updated Demand'!A:Z,23,FALSE)),0,VLOOKUP($A1002,'13. Updated Demand'!A:Z,23,FALSE))</f>
        <v>0</v>
      </c>
      <c r="AG1002" s="16">
        <f>IF(ISERROR(VLOOKUP($A1002,'13. Updated Demand'!A:Z,24,FALSE)),0,VLOOKUP($A1002,'13. Updated Demand'!A:Z,24,FALSE))</f>
        <v>0</v>
      </c>
      <c r="AH1002" s="16">
        <f>IF(ISERROR(VLOOKUP($A1002,'13. Updated Demand'!A:Z,25,FALSE)),0,VLOOKUP($A1002,'13. Updated Demand'!A:Z,25,FALSE))</f>
        <v>0</v>
      </c>
      <c r="AI1002" s="16">
        <f>IF(ISERROR(VLOOKUP($A1002,'13. Updated Demand'!A:Z,26,FALSE)),0,VLOOKUP($A1002,'13. Updated Demand'!A:Z,26,FALSE))</f>
        <v>0</v>
      </c>
      <c r="AJ1002" s="16">
        <f t="shared" si="192"/>
        <v>0</v>
      </c>
      <c r="AK1002" s="19">
        <v>0</v>
      </c>
      <c r="AL1002" s="16">
        <f t="shared" si="190"/>
        <v>0</v>
      </c>
      <c r="AM1002" s="17">
        <v>0</v>
      </c>
      <c r="AN1002" s="19"/>
      <c r="AO1002" s="19"/>
      <c r="AP1002" s="19">
        <v>5.3</v>
      </c>
      <c r="AQ1002" s="19" t="s">
        <v>307</v>
      </c>
      <c r="AR1002" s="9" t="s">
        <v>394</v>
      </c>
      <c r="AS1002" s="12">
        <v>3.4039024194010059E-4</v>
      </c>
      <c r="AT1002" s="19">
        <v>38.575313850000001</v>
      </c>
      <c r="AU1002" s="19">
        <v>-122.89341650999999</v>
      </c>
      <c r="AV1002" s="19" t="s">
        <v>701</v>
      </c>
    </row>
    <row r="1003" spans="1:48" x14ac:dyDescent="0.25">
      <c r="A1003" s="18" t="s">
        <v>1388</v>
      </c>
      <c r="B1003" s="10">
        <v>19610302</v>
      </c>
      <c r="C1003" s="9">
        <v>16</v>
      </c>
      <c r="D1003" s="8" t="str">
        <f t="shared" si="181"/>
        <v>N</v>
      </c>
      <c r="E1003" s="8" t="str">
        <f t="shared" si="182"/>
        <v>N</v>
      </c>
      <c r="F1003" s="8" t="str">
        <f t="shared" si="183"/>
        <v>N</v>
      </c>
      <c r="G1003" s="8" t="str">
        <f t="shared" si="184"/>
        <v>N</v>
      </c>
      <c r="H1003" s="8" t="str">
        <f t="shared" si="185"/>
        <v>Lower</v>
      </c>
      <c r="I1003" s="8" t="str">
        <f t="shared" si="186"/>
        <v>Outside</v>
      </c>
      <c r="J1003" s="8" t="str">
        <f t="shared" si="187"/>
        <v>Outside</v>
      </c>
      <c r="K1003" s="8" t="str">
        <f t="shared" si="188"/>
        <v>Post-1949</v>
      </c>
      <c r="L1003" s="8">
        <f t="shared" si="189"/>
        <v>1961</v>
      </c>
      <c r="M1003" s="8" t="str">
        <f t="shared" si="191"/>
        <v>1960-1970</v>
      </c>
      <c r="N1003" s="10" t="s">
        <v>242</v>
      </c>
      <c r="O1003" s="10" t="s">
        <v>242</v>
      </c>
      <c r="P1003" s="10" t="s">
        <v>242</v>
      </c>
      <c r="Q1003" s="10" t="s">
        <v>242</v>
      </c>
      <c r="R1003" s="10" t="s">
        <v>241</v>
      </c>
      <c r="S1003" s="10" t="s">
        <v>242</v>
      </c>
      <c r="T1003" s="10" t="s">
        <v>242</v>
      </c>
      <c r="U1003" s="10" t="s">
        <v>242</v>
      </c>
      <c r="V1003" s="10" t="s">
        <v>241</v>
      </c>
      <c r="W1003" s="10" t="s">
        <v>242</v>
      </c>
      <c r="X1003" s="15">
        <f>IF(ISERROR(VLOOKUP($A1003,'13. Updated Demand'!A:Z,15,FALSE)),0,VLOOKUP($A1003,'13. Updated Demand'!A:Z,15,FALSE))</f>
        <v>0.33333333300000001</v>
      </c>
      <c r="Y1003" s="16">
        <f>IF(ISERROR(VLOOKUP($A1003,'13. Updated Demand'!A:Z,16,FALSE)),0,VLOOKUP($A1003,'13. Updated Demand'!A:Z,16,FALSE))</f>
        <v>0.46666666699999998</v>
      </c>
      <c r="Z1003" s="16">
        <f>IF(ISERROR(VLOOKUP($A1003,'13. Updated Demand'!A:Z,17,FALSE)),0,VLOOKUP($A1003,'13. Updated Demand'!A:Z,17,FALSE))</f>
        <v>0.233333333</v>
      </c>
      <c r="AA1003" s="16">
        <f>IF(ISERROR(VLOOKUP($A1003,'13. Updated Demand'!A:Z,18,FALSE)),0,VLOOKUP($A1003,'13. Updated Demand'!A:Z,18,FALSE))</f>
        <v>0.26666666700000002</v>
      </c>
      <c r="AB1003" s="16">
        <f>IF(ISERROR(VLOOKUP($A1003,'13. Updated Demand'!A:Z,19,FALSE)),0,VLOOKUP($A1003,'13. Updated Demand'!A:Z,19,FALSE))</f>
        <v>0</v>
      </c>
      <c r="AC1003" s="16">
        <f>IF(ISERROR(VLOOKUP($A1003,'13. Updated Demand'!A:Z,20,FALSE)),0,VLOOKUP($A1003,'13. Updated Demand'!A:Z,20,FALSE))</f>
        <v>0</v>
      </c>
      <c r="AD1003" s="16">
        <f>IF(ISERROR(VLOOKUP($A1003,'13. Updated Demand'!A:Z,21,FALSE)),0,VLOOKUP($A1003,'13. Updated Demand'!A:Z,21,FALSE))</f>
        <v>0</v>
      </c>
      <c r="AE1003" s="16">
        <f>IF(ISERROR(VLOOKUP($A1003,'13. Updated Demand'!A:Z,22,FALSE)),0,VLOOKUP($A1003,'13. Updated Demand'!A:Z,22,FALSE))</f>
        <v>0</v>
      </c>
      <c r="AF1003" s="16">
        <f>IF(ISERROR(VLOOKUP($A1003,'13. Updated Demand'!A:Z,23,FALSE)),0,VLOOKUP($A1003,'13. Updated Demand'!A:Z,23,FALSE))</f>
        <v>0</v>
      </c>
      <c r="AG1003" s="16">
        <f>IF(ISERROR(VLOOKUP($A1003,'13. Updated Demand'!A:Z,24,FALSE)),0,VLOOKUP($A1003,'13. Updated Demand'!A:Z,24,FALSE))</f>
        <v>0.83333333300000001</v>
      </c>
      <c r="AH1003" s="16">
        <f>IF(ISERROR(VLOOKUP($A1003,'13. Updated Demand'!A:Z,25,FALSE)),0,VLOOKUP($A1003,'13. Updated Demand'!A:Z,25,FALSE))</f>
        <v>2.4</v>
      </c>
      <c r="AI1003" s="16">
        <f>IF(ISERROR(VLOOKUP($A1003,'13. Updated Demand'!A:Z,26,FALSE)),0,VLOOKUP($A1003,'13. Updated Demand'!A:Z,26,FALSE))</f>
        <v>0.9</v>
      </c>
      <c r="AJ1003" s="16">
        <f t="shared" si="192"/>
        <v>5.4333333330000002</v>
      </c>
      <c r="AK1003" s="19">
        <v>0</v>
      </c>
      <c r="AL1003" s="16">
        <f t="shared" si="190"/>
        <v>0</v>
      </c>
      <c r="AM1003" s="17">
        <v>0.97023809517857151</v>
      </c>
      <c r="AN1003" s="19"/>
      <c r="AO1003" s="19"/>
      <c r="AP1003" s="19">
        <v>5.6</v>
      </c>
      <c r="AQ1003" s="19" t="s">
        <v>307</v>
      </c>
      <c r="AR1003" s="9" t="s">
        <v>394</v>
      </c>
      <c r="AS1003" s="12">
        <v>0</v>
      </c>
      <c r="AT1003" s="19">
        <v>38.659700000000001</v>
      </c>
      <c r="AU1003" s="19">
        <v>-122.8938</v>
      </c>
      <c r="AV1003" s="19" t="s">
        <v>417</v>
      </c>
    </row>
    <row r="1004" spans="1:48" x14ac:dyDescent="0.25">
      <c r="A1004" s="18" t="s">
        <v>1389</v>
      </c>
      <c r="B1004" s="10">
        <v>19610508</v>
      </c>
      <c r="C1004" s="9">
        <v>16</v>
      </c>
      <c r="D1004" s="8" t="str">
        <f t="shared" si="181"/>
        <v>N</v>
      </c>
      <c r="E1004" s="8" t="str">
        <f t="shared" si="182"/>
        <v>N</v>
      </c>
      <c r="F1004" s="8" t="str">
        <f t="shared" si="183"/>
        <v>N</v>
      </c>
      <c r="G1004" s="8" t="str">
        <f t="shared" si="184"/>
        <v>N</v>
      </c>
      <c r="H1004" s="8" t="str">
        <f t="shared" si="185"/>
        <v>Lower</v>
      </c>
      <c r="I1004" s="8" t="str">
        <f t="shared" si="186"/>
        <v>Outside</v>
      </c>
      <c r="J1004" s="8" t="str">
        <f t="shared" si="187"/>
        <v>Outside</v>
      </c>
      <c r="K1004" s="8" t="str">
        <f t="shared" si="188"/>
        <v>Post-1949</v>
      </c>
      <c r="L1004" s="8">
        <f t="shared" si="189"/>
        <v>1961</v>
      </c>
      <c r="M1004" s="8" t="str">
        <f t="shared" si="191"/>
        <v>1960-1970</v>
      </c>
      <c r="N1004" s="10" t="s">
        <v>242</v>
      </c>
      <c r="O1004" s="10" t="s">
        <v>242</v>
      </c>
      <c r="P1004" s="10" t="s">
        <v>242</v>
      </c>
      <c r="Q1004" s="10" t="s">
        <v>242</v>
      </c>
      <c r="R1004" s="10" t="s">
        <v>241</v>
      </c>
      <c r="S1004" s="10" t="s">
        <v>242</v>
      </c>
      <c r="T1004" s="10" t="s">
        <v>242</v>
      </c>
      <c r="U1004" s="10" t="s">
        <v>241</v>
      </c>
      <c r="V1004" s="10" t="s">
        <v>241</v>
      </c>
      <c r="W1004" s="10" t="s">
        <v>242</v>
      </c>
      <c r="X1004" s="15">
        <f>IF(ISERROR(VLOOKUP($A1004,'13. Updated Demand'!A:Z,15,FALSE)),0,VLOOKUP($A1004,'13. Updated Demand'!A:Z,15,FALSE))</f>
        <v>0</v>
      </c>
      <c r="Y1004" s="16">
        <f>IF(ISERROR(VLOOKUP($A1004,'13. Updated Demand'!A:Z,16,FALSE)),0,VLOOKUP($A1004,'13. Updated Demand'!A:Z,16,FALSE))</f>
        <v>0</v>
      </c>
      <c r="Z1004" s="16">
        <f>IF(ISERROR(VLOOKUP($A1004,'13. Updated Demand'!A:Z,17,FALSE)),0,VLOOKUP($A1004,'13. Updated Demand'!A:Z,17,FALSE))</f>
        <v>0</v>
      </c>
      <c r="AA1004" s="16">
        <f>IF(ISERROR(VLOOKUP($A1004,'13. Updated Demand'!A:Z,18,FALSE)),0,VLOOKUP($A1004,'13. Updated Demand'!A:Z,18,FALSE))</f>
        <v>0</v>
      </c>
      <c r="AB1004" s="16">
        <f>IF(ISERROR(VLOOKUP($A1004,'13. Updated Demand'!A:Z,19,FALSE)),0,VLOOKUP($A1004,'13. Updated Demand'!A:Z,19,FALSE))</f>
        <v>0</v>
      </c>
      <c r="AC1004" s="16">
        <f>IF(ISERROR(VLOOKUP($A1004,'13. Updated Demand'!A:Z,20,FALSE)),0,VLOOKUP($A1004,'13. Updated Demand'!A:Z,20,FALSE))</f>
        <v>0</v>
      </c>
      <c r="AD1004" s="16">
        <f>IF(ISERROR(VLOOKUP($A1004,'13. Updated Demand'!A:Z,21,FALSE)),0,VLOOKUP($A1004,'13. Updated Demand'!A:Z,21,FALSE))</f>
        <v>0</v>
      </c>
      <c r="AE1004" s="16">
        <f>IF(ISERROR(VLOOKUP($A1004,'13. Updated Demand'!A:Z,22,FALSE)),0,VLOOKUP($A1004,'13. Updated Demand'!A:Z,22,FALSE))</f>
        <v>0</v>
      </c>
      <c r="AF1004" s="16">
        <f>IF(ISERROR(VLOOKUP($A1004,'13. Updated Demand'!A:Z,23,FALSE)),0,VLOOKUP($A1004,'13. Updated Demand'!A:Z,23,FALSE))</f>
        <v>0</v>
      </c>
      <c r="AG1004" s="16">
        <f>IF(ISERROR(VLOOKUP($A1004,'13. Updated Demand'!A:Z,24,FALSE)),0,VLOOKUP($A1004,'13. Updated Demand'!A:Z,24,FALSE))</f>
        <v>0</v>
      </c>
      <c r="AH1004" s="16">
        <f>IF(ISERROR(VLOOKUP($A1004,'13. Updated Demand'!A:Z,25,FALSE)),0,VLOOKUP($A1004,'13. Updated Demand'!A:Z,25,FALSE))</f>
        <v>0</v>
      </c>
      <c r="AI1004" s="16">
        <f>IF(ISERROR(VLOOKUP($A1004,'13. Updated Demand'!A:Z,26,FALSE)),0,VLOOKUP($A1004,'13. Updated Demand'!A:Z,26,FALSE))</f>
        <v>0</v>
      </c>
      <c r="AJ1004" s="16">
        <f t="shared" si="192"/>
        <v>0</v>
      </c>
      <c r="AK1004" s="19">
        <v>0</v>
      </c>
      <c r="AL1004" s="16">
        <f t="shared" si="190"/>
        <v>0</v>
      </c>
      <c r="AM1004" s="17">
        <v>0</v>
      </c>
      <c r="AN1004" s="19"/>
      <c r="AO1004" s="19"/>
      <c r="AP1004" s="19">
        <v>7</v>
      </c>
      <c r="AQ1004" s="19" t="s">
        <v>307</v>
      </c>
      <c r="AR1004" s="9" t="s">
        <v>394</v>
      </c>
      <c r="AS1004" s="12">
        <v>0</v>
      </c>
      <c r="AT1004" s="19">
        <v>38.634322679999997</v>
      </c>
      <c r="AU1004" s="19">
        <v>-122.93231708</v>
      </c>
      <c r="AV1004" s="19" t="s">
        <v>862</v>
      </c>
    </row>
    <row r="1005" spans="1:48" x14ac:dyDescent="0.25">
      <c r="A1005" s="18" t="s">
        <v>1390</v>
      </c>
      <c r="B1005" s="10">
        <v>19611114</v>
      </c>
      <c r="C1005" s="9">
        <v>16</v>
      </c>
      <c r="D1005" s="8" t="str">
        <f t="shared" si="181"/>
        <v>N</v>
      </c>
      <c r="E1005" s="8" t="str">
        <f t="shared" si="182"/>
        <v>N</v>
      </c>
      <c r="F1005" s="8" t="str">
        <f t="shared" si="183"/>
        <v>N</v>
      </c>
      <c r="G1005" s="8" t="str">
        <f t="shared" si="184"/>
        <v>N</v>
      </c>
      <c r="H1005" s="8" t="str">
        <f t="shared" si="185"/>
        <v>Lower</v>
      </c>
      <c r="I1005" s="8" t="str">
        <f t="shared" si="186"/>
        <v>Outside</v>
      </c>
      <c r="J1005" s="8" t="str">
        <f t="shared" si="187"/>
        <v>Outside</v>
      </c>
      <c r="K1005" s="8" t="str">
        <f t="shared" si="188"/>
        <v>Post-1949</v>
      </c>
      <c r="L1005" s="8">
        <f t="shared" si="189"/>
        <v>1961</v>
      </c>
      <c r="M1005" s="8" t="str">
        <f t="shared" si="191"/>
        <v>1960-1970</v>
      </c>
      <c r="N1005" s="10" t="s">
        <v>242</v>
      </c>
      <c r="O1005" s="10" t="s">
        <v>242</v>
      </c>
      <c r="P1005" s="10" t="s">
        <v>242</v>
      </c>
      <c r="Q1005" s="10" t="s">
        <v>242</v>
      </c>
      <c r="R1005" s="10" t="s">
        <v>241</v>
      </c>
      <c r="S1005" s="10" t="s">
        <v>242</v>
      </c>
      <c r="T1005" s="10" t="s">
        <v>242</v>
      </c>
      <c r="U1005" s="10" t="s">
        <v>241</v>
      </c>
      <c r="V1005" s="10" t="s">
        <v>241</v>
      </c>
      <c r="W1005" s="10" t="s">
        <v>242</v>
      </c>
      <c r="X1005" s="15">
        <f>IF(ISERROR(VLOOKUP($A1005,'13. Updated Demand'!A:Z,15,FALSE)),0,VLOOKUP($A1005,'13. Updated Demand'!A:Z,15,FALSE))</f>
        <v>0</v>
      </c>
      <c r="Y1005" s="16">
        <f>IF(ISERROR(VLOOKUP($A1005,'13. Updated Demand'!A:Z,16,FALSE)),0,VLOOKUP($A1005,'13. Updated Demand'!A:Z,16,FALSE))</f>
        <v>0</v>
      </c>
      <c r="Z1005" s="16">
        <f>IF(ISERROR(VLOOKUP($A1005,'13. Updated Demand'!A:Z,17,FALSE)),0,VLOOKUP($A1005,'13. Updated Demand'!A:Z,17,FALSE))</f>
        <v>0</v>
      </c>
      <c r="AA1005" s="16">
        <f>IF(ISERROR(VLOOKUP($A1005,'13. Updated Demand'!A:Z,18,FALSE)),0,VLOOKUP($A1005,'13. Updated Demand'!A:Z,18,FALSE))</f>
        <v>0</v>
      </c>
      <c r="AB1005" s="16">
        <f>IF(ISERROR(VLOOKUP($A1005,'13. Updated Demand'!A:Z,19,FALSE)),0,VLOOKUP($A1005,'13. Updated Demand'!A:Z,19,FALSE))</f>
        <v>0</v>
      </c>
      <c r="AC1005" s="16">
        <f>IF(ISERROR(VLOOKUP($A1005,'13. Updated Demand'!A:Z,20,FALSE)),0,VLOOKUP($A1005,'13. Updated Demand'!A:Z,20,FALSE))</f>
        <v>0</v>
      </c>
      <c r="AD1005" s="16">
        <f>IF(ISERROR(VLOOKUP($A1005,'13. Updated Demand'!A:Z,21,FALSE)),0,VLOOKUP($A1005,'13. Updated Demand'!A:Z,21,FALSE))</f>
        <v>0</v>
      </c>
      <c r="AE1005" s="16">
        <f>IF(ISERROR(VLOOKUP($A1005,'13. Updated Demand'!A:Z,22,FALSE)),0,VLOOKUP($A1005,'13. Updated Demand'!A:Z,22,FALSE))</f>
        <v>0</v>
      </c>
      <c r="AF1005" s="16">
        <f>IF(ISERROR(VLOOKUP($A1005,'13. Updated Demand'!A:Z,23,FALSE)),0,VLOOKUP($A1005,'13. Updated Demand'!A:Z,23,FALSE))</f>
        <v>0</v>
      </c>
      <c r="AG1005" s="16">
        <f>IF(ISERROR(VLOOKUP($A1005,'13. Updated Demand'!A:Z,24,FALSE)),0,VLOOKUP($A1005,'13. Updated Demand'!A:Z,24,FALSE))</f>
        <v>0</v>
      </c>
      <c r="AH1005" s="16">
        <f>IF(ISERROR(VLOOKUP($A1005,'13. Updated Demand'!A:Z,25,FALSE)),0,VLOOKUP($A1005,'13. Updated Demand'!A:Z,25,FALSE))</f>
        <v>0</v>
      </c>
      <c r="AI1005" s="16">
        <f>IF(ISERROR(VLOOKUP($A1005,'13. Updated Demand'!A:Z,26,FALSE)),0,VLOOKUP($A1005,'13. Updated Demand'!A:Z,26,FALSE))</f>
        <v>0</v>
      </c>
      <c r="AJ1005" s="16">
        <f t="shared" si="192"/>
        <v>0</v>
      </c>
      <c r="AK1005" s="19">
        <v>0</v>
      </c>
      <c r="AL1005" s="16">
        <f t="shared" si="190"/>
        <v>0</v>
      </c>
      <c r="AM1005" s="17">
        <v>0</v>
      </c>
      <c r="AN1005" s="19"/>
      <c r="AO1005" s="19"/>
      <c r="AP1005" s="19">
        <v>19.7</v>
      </c>
      <c r="AQ1005" s="19" t="s">
        <v>307</v>
      </c>
      <c r="AR1005" s="9" t="s">
        <v>394</v>
      </c>
      <c r="AS1005" s="12">
        <v>0</v>
      </c>
      <c r="AT1005" s="19">
        <v>38.628931610000002</v>
      </c>
      <c r="AU1005" s="19">
        <v>-122.9196438</v>
      </c>
      <c r="AV1005" s="19" t="s">
        <v>417</v>
      </c>
    </row>
    <row r="1006" spans="1:48" x14ac:dyDescent="0.25">
      <c r="A1006" s="18" t="s">
        <v>1391</v>
      </c>
      <c r="B1006" s="10">
        <v>19600401</v>
      </c>
      <c r="C1006" s="9">
        <v>1</v>
      </c>
      <c r="D1006" s="8" t="str">
        <f t="shared" si="181"/>
        <v>N</v>
      </c>
      <c r="E1006" s="8" t="str">
        <f t="shared" si="182"/>
        <v>N</v>
      </c>
      <c r="F1006" s="8" t="str">
        <f t="shared" si="183"/>
        <v>Y</v>
      </c>
      <c r="G1006" s="8" t="str">
        <f t="shared" si="184"/>
        <v>Y</v>
      </c>
      <c r="H1006" s="8" t="str">
        <f t="shared" si="185"/>
        <v>Upper</v>
      </c>
      <c r="I1006" s="8" t="str">
        <f t="shared" si="186"/>
        <v>West Fork and Below Lake</v>
      </c>
      <c r="J1006" s="8" t="str">
        <f t="shared" si="187"/>
        <v>Outside</v>
      </c>
      <c r="K1006" s="8" t="str">
        <f t="shared" si="188"/>
        <v>Post-1949</v>
      </c>
      <c r="L1006" s="8">
        <f t="shared" si="189"/>
        <v>1960</v>
      </c>
      <c r="M1006" s="8" t="str">
        <f t="shared" si="191"/>
        <v>1960-1970</v>
      </c>
      <c r="N1006" s="10" t="s">
        <v>242</v>
      </c>
      <c r="O1006" s="10" t="s">
        <v>241</v>
      </c>
      <c r="P1006" s="10" t="s">
        <v>242</v>
      </c>
      <c r="Q1006" s="10" t="s">
        <v>242</v>
      </c>
      <c r="R1006" s="10" t="s">
        <v>241</v>
      </c>
      <c r="S1006" s="10" t="s">
        <v>242</v>
      </c>
      <c r="T1006" s="10" t="s">
        <v>242</v>
      </c>
      <c r="U1006" s="10" t="s">
        <v>241</v>
      </c>
      <c r="V1006" s="10" t="s">
        <v>241</v>
      </c>
      <c r="W1006" s="10" t="s">
        <v>242</v>
      </c>
      <c r="X1006" s="15">
        <f>IF(ISERROR(VLOOKUP($A1006,'13. Updated Demand'!A:Z,15,FALSE)),0,VLOOKUP($A1006,'13. Updated Demand'!A:Z,15,FALSE))</f>
        <v>0</v>
      </c>
      <c r="Y1006" s="16">
        <f>IF(ISERROR(VLOOKUP($A1006,'13. Updated Demand'!A:Z,16,FALSE)),0,VLOOKUP($A1006,'13. Updated Demand'!A:Z,16,FALSE))</f>
        <v>0</v>
      </c>
      <c r="Z1006" s="16">
        <f>IF(ISERROR(VLOOKUP($A1006,'13. Updated Demand'!A:Z,17,FALSE)),0,VLOOKUP($A1006,'13. Updated Demand'!A:Z,17,FALSE))</f>
        <v>0</v>
      </c>
      <c r="AA1006" s="16">
        <f>IF(ISERROR(VLOOKUP($A1006,'13. Updated Demand'!A:Z,18,FALSE)),0,VLOOKUP($A1006,'13. Updated Demand'!A:Z,18,FALSE))</f>
        <v>0</v>
      </c>
      <c r="AB1006" s="16">
        <f>IF(ISERROR(VLOOKUP($A1006,'13. Updated Demand'!A:Z,19,FALSE)),0,VLOOKUP($A1006,'13. Updated Demand'!A:Z,19,FALSE))</f>
        <v>0</v>
      </c>
      <c r="AC1006" s="16">
        <f>IF(ISERROR(VLOOKUP($A1006,'13. Updated Demand'!A:Z,20,FALSE)),0,VLOOKUP($A1006,'13. Updated Demand'!A:Z,20,FALSE))</f>
        <v>0</v>
      </c>
      <c r="AD1006" s="16">
        <f>IF(ISERROR(VLOOKUP($A1006,'13. Updated Demand'!A:Z,21,FALSE)),0,VLOOKUP($A1006,'13. Updated Demand'!A:Z,21,FALSE))</f>
        <v>0</v>
      </c>
      <c r="AE1006" s="16">
        <f>IF(ISERROR(VLOOKUP($A1006,'13. Updated Demand'!A:Z,22,FALSE)),0,VLOOKUP($A1006,'13. Updated Demand'!A:Z,22,FALSE))</f>
        <v>0</v>
      </c>
      <c r="AF1006" s="16">
        <f>IF(ISERROR(VLOOKUP($A1006,'13. Updated Demand'!A:Z,23,FALSE)),0,VLOOKUP($A1006,'13. Updated Demand'!A:Z,23,FALSE))</f>
        <v>0</v>
      </c>
      <c r="AG1006" s="16">
        <f>IF(ISERROR(VLOOKUP($A1006,'13. Updated Demand'!A:Z,24,FALSE)),0,VLOOKUP($A1006,'13. Updated Demand'!A:Z,24,FALSE))</f>
        <v>0</v>
      </c>
      <c r="AH1006" s="16">
        <f>IF(ISERROR(VLOOKUP($A1006,'13. Updated Demand'!A:Z,25,FALSE)),0,VLOOKUP($A1006,'13. Updated Demand'!A:Z,25,FALSE))</f>
        <v>0</v>
      </c>
      <c r="AI1006" s="16">
        <f>IF(ISERROR(VLOOKUP($A1006,'13. Updated Demand'!A:Z,26,FALSE)),0,VLOOKUP($A1006,'13. Updated Demand'!A:Z,26,FALSE))</f>
        <v>0</v>
      </c>
      <c r="AJ1006" s="16">
        <f t="shared" si="192"/>
        <v>0</v>
      </c>
      <c r="AK1006" s="19">
        <v>0</v>
      </c>
      <c r="AL1006" s="16">
        <f t="shared" si="190"/>
        <v>0</v>
      </c>
      <c r="AM1006" s="17">
        <v>0</v>
      </c>
      <c r="AN1006" s="19"/>
      <c r="AO1006" s="19"/>
      <c r="AP1006" s="19">
        <v>6.7</v>
      </c>
      <c r="AQ1006" s="19" t="s">
        <v>307</v>
      </c>
      <c r="AR1006" s="9" t="s">
        <v>317</v>
      </c>
      <c r="AS1006" s="12">
        <v>0</v>
      </c>
      <c r="AT1006" s="19">
        <v>39.291773790000001</v>
      </c>
      <c r="AU1006" s="19">
        <v>-123.22191398</v>
      </c>
      <c r="AV1006" s="19" t="s">
        <v>417</v>
      </c>
    </row>
    <row r="1007" spans="1:48" x14ac:dyDescent="0.25">
      <c r="A1007" s="18" t="s">
        <v>1392</v>
      </c>
      <c r="B1007" s="10">
        <v>19600404</v>
      </c>
      <c r="C1007" s="9">
        <v>12</v>
      </c>
      <c r="D1007" s="8" t="str">
        <f t="shared" si="181"/>
        <v>N</v>
      </c>
      <c r="E1007" s="8" t="str">
        <f t="shared" si="182"/>
        <v>Y</v>
      </c>
      <c r="F1007" s="8" t="str">
        <f t="shared" si="183"/>
        <v>Y</v>
      </c>
      <c r="G1007" s="8" t="str">
        <f t="shared" si="184"/>
        <v>Y</v>
      </c>
      <c r="H1007" s="8" t="str">
        <f t="shared" si="185"/>
        <v>Upper</v>
      </c>
      <c r="I1007" s="8" t="str">
        <f t="shared" si="186"/>
        <v>West Fork and Below Lake</v>
      </c>
      <c r="J1007" s="8" t="str">
        <f t="shared" si="187"/>
        <v>Sonoma (d/s of Clov. Gage)</v>
      </c>
      <c r="K1007" s="8" t="str">
        <f t="shared" si="188"/>
        <v>Post-1949</v>
      </c>
      <c r="L1007" s="8">
        <f t="shared" si="189"/>
        <v>1960</v>
      </c>
      <c r="M1007" s="8" t="str">
        <f t="shared" si="191"/>
        <v>1960-1970</v>
      </c>
      <c r="N1007" s="10" t="s">
        <v>241</v>
      </c>
      <c r="O1007" s="10" t="s">
        <v>241</v>
      </c>
      <c r="P1007" s="10" t="s">
        <v>242</v>
      </c>
      <c r="Q1007" s="10" t="s">
        <v>242</v>
      </c>
      <c r="R1007" s="10" t="s">
        <v>241</v>
      </c>
      <c r="S1007" s="10" t="s">
        <v>242</v>
      </c>
      <c r="T1007" s="10" t="s">
        <v>242</v>
      </c>
      <c r="U1007" s="10" t="s">
        <v>242</v>
      </c>
      <c r="V1007" s="10" t="s">
        <v>242</v>
      </c>
      <c r="W1007" s="10" t="s">
        <v>242</v>
      </c>
      <c r="X1007" s="15">
        <f>IF(ISERROR(VLOOKUP($A1007,'13. Updated Demand'!A:Z,15,FALSE)),0,VLOOKUP($A1007,'13. Updated Demand'!A:Z,15,FALSE))</f>
        <v>0</v>
      </c>
      <c r="Y1007" s="16">
        <f>IF(ISERROR(VLOOKUP($A1007,'13. Updated Demand'!A:Z,16,FALSE)),0,VLOOKUP($A1007,'13. Updated Demand'!A:Z,16,FALSE))</f>
        <v>0</v>
      </c>
      <c r="Z1007" s="16">
        <f>IF(ISERROR(VLOOKUP($A1007,'13. Updated Demand'!A:Z,17,FALSE)),0,VLOOKUP($A1007,'13. Updated Demand'!A:Z,17,FALSE))</f>
        <v>0</v>
      </c>
      <c r="AA1007" s="16">
        <f>IF(ISERROR(VLOOKUP($A1007,'13. Updated Demand'!A:Z,18,FALSE)),0,VLOOKUP($A1007,'13. Updated Demand'!A:Z,18,FALSE))</f>
        <v>0</v>
      </c>
      <c r="AB1007" s="16">
        <f>IF(ISERROR(VLOOKUP($A1007,'13. Updated Demand'!A:Z,19,FALSE)),0,VLOOKUP($A1007,'13. Updated Demand'!A:Z,19,FALSE))</f>
        <v>0.19</v>
      </c>
      <c r="AC1007" s="16">
        <f>IF(ISERROR(VLOOKUP($A1007,'13. Updated Demand'!A:Z,20,FALSE)),0,VLOOKUP($A1007,'13. Updated Demand'!A:Z,20,FALSE))</f>
        <v>0.39</v>
      </c>
      <c r="AD1007" s="16">
        <f>IF(ISERROR(VLOOKUP($A1007,'13. Updated Demand'!A:Z,21,FALSE)),0,VLOOKUP($A1007,'13. Updated Demand'!A:Z,21,FALSE))</f>
        <v>0.57999999999999996</v>
      </c>
      <c r="AE1007" s="16">
        <f>IF(ISERROR(VLOOKUP($A1007,'13. Updated Demand'!A:Z,22,FALSE)),0,VLOOKUP($A1007,'13. Updated Demand'!A:Z,22,FALSE))</f>
        <v>0.57999999999999996</v>
      </c>
      <c r="AF1007" s="16">
        <f>IF(ISERROR(VLOOKUP($A1007,'13. Updated Demand'!A:Z,23,FALSE)),0,VLOOKUP($A1007,'13. Updated Demand'!A:Z,23,FALSE))</f>
        <v>0.49</v>
      </c>
      <c r="AG1007" s="16">
        <f>IF(ISERROR(VLOOKUP($A1007,'13. Updated Demand'!A:Z,24,FALSE)),0,VLOOKUP($A1007,'13. Updated Demand'!A:Z,24,FALSE))</f>
        <v>0.24</v>
      </c>
      <c r="AH1007" s="16">
        <f>IF(ISERROR(VLOOKUP($A1007,'13. Updated Demand'!A:Z,25,FALSE)),0,VLOOKUP($A1007,'13. Updated Demand'!A:Z,25,FALSE))</f>
        <v>0</v>
      </c>
      <c r="AI1007" s="16">
        <f>IF(ISERROR(VLOOKUP($A1007,'13. Updated Demand'!A:Z,26,FALSE)),0,VLOOKUP($A1007,'13. Updated Demand'!A:Z,26,FALSE))</f>
        <v>0</v>
      </c>
      <c r="AJ1007" s="16">
        <f t="shared" si="192"/>
        <v>2.4700000000000006</v>
      </c>
      <c r="AK1007" s="19">
        <v>2.2587009999999998</v>
      </c>
      <c r="AL1007" s="16">
        <f t="shared" si="190"/>
        <v>7.4918539267778556E-3</v>
      </c>
      <c r="AM1007" s="17">
        <v>3.3840702702702702E-2</v>
      </c>
      <c r="AN1007" s="19"/>
      <c r="AO1007" s="19"/>
      <c r="AP1007" s="19">
        <v>74</v>
      </c>
      <c r="AQ1007" s="19" t="s">
        <v>307</v>
      </c>
      <c r="AR1007" s="9" t="s">
        <v>311</v>
      </c>
      <c r="AS1007" s="12">
        <v>0</v>
      </c>
      <c r="AT1007" s="19">
        <v>38.630324280000004</v>
      </c>
      <c r="AU1007" s="19">
        <v>-122.84474391000001</v>
      </c>
      <c r="AV1007" s="19" t="s">
        <v>387</v>
      </c>
    </row>
    <row r="1008" spans="1:48" x14ac:dyDescent="0.25">
      <c r="A1008" s="18" t="s">
        <v>1393</v>
      </c>
      <c r="B1008" s="10">
        <v>19600412</v>
      </c>
      <c r="C1008" s="9">
        <v>17</v>
      </c>
      <c r="D1008" s="8" t="str">
        <f t="shared" si="181"/>
        <v>N</v>
      </c>
      <c r="E1008" s="8" t="str">
        <f t="shared" si="182"/>
        <v>N</v>
      </c>
      <c r="F1008" s="8" t="str">
        <f t="shared" si="183"/>
        <v>N</v>
      </c>
      <c r="G1008" s="8" t="str">
        <f t="shared" si="184"/>
        <v>N</v>
      </c>
      <c r="H1008" s="8" t="str">
        <f t="shared" si="185"/>
        <v>Lower</v>
      </c>
      <c r="I1008" s="8" t="str">
        <f t="shared" si="186"/>
        <v>Outside</v>
      </c>
      <c r="J1008" s="8" t="str">
        <f t="shared" si="187"/>
        <v>Outside</v>
      </c>
      <c r="K1008" s="8" t="str">
        <f t="shared" si="188"/>
        <v>Post-1949</v>
      </c>
      <c r="L1008" s="8">
        <f t="shared" si="189"/>
        <v>1960</v>
      </c>
      <c r="M1008" s="8" t="s">
        <v>1394</v>
      </c>
      <c r="N1008" s="10" t="s">
        <v>241</v>
      </c>
      <c r="O1008" s="10" t="s">
        <v>242</v>
      </c>
      <c r="P1008" s="10" t="s">
        <v>242</v>
      </c>
      <c r="Q1008" s="10" t="s">
        <v>242</v>
      </c>
      <c r="R1008" s="10" t="s">
        <v>241</v>
      </c>
      <c r="S1008" s="10" t="s">
        <v>242</v>
      </c>
      <c r="T1008" s="10" t="s">
        <v>242</v>
      </c>
      <c r="U1008" s="10" t="s">
        <v>242</v>
      </c>
      <c r="V1008" s="10" t="s">
        <v>242</v>
      </c>
      <c r="W1008" s="10" t="s">
        <v>242</v>
      </c>
      <c r="X1008" s="15">
        <f>IF(ISERROR(VLOOKUP($A1008,'13. Updated Demand'!A:Z,15,FALSE)),0,VLOOKUP($A1008,'13. Updated Demand'!A:Z,15,FALSE))</f>
        <v>20872.66</v>
      </c>
      <c r="Y1008" s="16">
        <f>IF(ISERROR(VLOOKUP($A1008,'13. Updated Demand'!A:Z,16,FALSE)),0,VLOOKUP($A1008,'13. Updated Demand'!A:Z,16,FALSE))</f>
        <v>3561</v>
      </c>
      <c r="Z1008" s="16">
        <f>IF(ISERROR(VLOOKUP($A1008,'13. Updated Demand'!A:Z,17,FALSE)),0,VLOOKUP($A1008,'13. Updated Demand'!A:Z,17,FALSE))</f>
        <v>5227.66</v>
      </c>
      <c r="AA1008" s="16">
        <f>IF(ISERROR(VLOOKUP($A1008,'13. Updated Demand'!A:Z,18,FALSE)),0,VLOOKUP($A1008,'13. Updated Demand'!A:Z,18,FALSE))</f>
        <v>4149</v>
      </c>
      <c r="AB1008" s="16">
        <f>IF(ISERROR(VLOOKUP($A1008,'13. Updated Demand'!A:Z,19,FALSE)),0,VLOOKUP($A1008,'13. Updated Demand'!A:Z,19,FALSE))</f>
        <v>105.33</v>
      </c>
      <c r="AC1008" s="16">
        <f>IF(ISERROR(VLOOKUP($A1008,'13. Updated Demand'!A:Z,20,FALSE)),0,VLOOKUP($A1008,'13. Updated Demand'!A:Z,20,FALSE))</f>
        <v>0</v>
      </c>
      <c r="AD1008" s="16">
        <f>IF(ISERROR(VLOOKUP($A1008,'13. Updated Demand'!A:Z,21,FALSE)),0,VLOOKUP($A1008,'13. Updated Demand'!A:Z,21,FALSE))</f>
        <v>85</v>
      </c>
      <c r="AE1008" s="16">
        <f>IF(ISERROR(VLOOKUP($A1008,'13. Updated Demand'!A:Z,22,FALSE)),0,VLOOKUP($A1008,'13. Updated Demand'!A:Z,22,FALSE))</f>
        <v>0</v>
      </c>
      <c r="AF1008" s="16">
        <f>IF(ISERROR(VLOOKUP($A1008,'13. Updated Demand'!A:Z,23,FALSE)),0,VLOOKUP($A1008,'13. Updated Demand'!A:Z,23,FALSE))</f>
        <v>0</v>
      </c>
      <c r="AG1008" s="16">
        <f>IF(ISERROR(VLOOKUP($A1008,'13. Updated Demand'!A:Z,24,FALSE)),0,VLOOKUP($A1008,'13. Updated Demand'!A:Z,24,FALSE))</f>
        <v>0</v>
      </c>
      <c r="AH1008" s="16">
        <f>IF(ISERROR(VLOOKUP($A1008,'13. Updated Demand'!A:Z,25,FALSE)),0,VLOOKUP($A1008,'13. Updated Demand'!A:Z,25,FALSE))</f>
        <v>8</v>
      </c>
      <c r="AI1008" s="16">
        <f>IF(ISERROR(VLOOKUP($A1008,'13. Updated Demand'!A:Z,26,FALSE)),0,VLOOKUP($A1008,'13. Updated Demand'!A:Z,26,FALSE))</f>
        <v>5651</v>
      </c>
      <c r="AJ1008" s="16">
        <f t="shared" si="192"/>
        <v>39659.65</v>
      </c>
      <c r="AK1008" s="19">
        <v>190.32999999999998</v>
      </c>
      <c r="AL1008" s="16">
        <f t="shared" si="190"/>
        <v>0.63130292937561416</v>
      </c>
      <c r="AM1008" s="17">
        <v>0.10567002206140959</v>
      </c>
      <c r="AN1008" s="19"/>
      <c r="AO1008" s="19"/>
      <c r="AP1008" s="19">
        <v>375316</v>
      </c>
      <c r="AQ1008" s="19" t="s">
        <v>307</v>
      </c>
      <c r="AR1008" s="9" t="s">
        <v>486</v>
      </c>
      <c r="AS1008" s="12">
        <v>0</v>
      </c>
      <c r="AT1008" s="19">
        <v>38.555357600000001</v>
      </c>
      <c r="AU1008" s="19">
        <v>-122.85524703</v>
      </c>
      <c r="AV1008" s="19" t="s">
        <v>387</v>
      </c>
    </row>
    <row r="1009" spans="1:48" x14ac:dyDescent="0.25">
      <c r="A1009" s="18" t="s">
        <v>1395</v>
      </c>
      <c r="B1009" s="10">
        <v>19600506</v>
      </c>
      <c r="C1009" s="9">
        <v>23</v>
      </c>
      <c r="D1009" s="8" t="str">
        <f t="shared" si="181"/>
        <v>N</v>
      </c>
      <c r="E1009" s="8" t="str">
        <f t="shared" si="182"/>
        <v>N</v>
      </c>
      <c r="F1009" s="8" t="str">
        <f t="shared" si="183"/>
        <v>N</v>
      </c>
      <c r="G1009" s="8" t="str">
        <f t="shared" si="184"/>
        <v>N</v>
      </c>
      <c r="H1009" s="8" t="str">
        <f t="shared" si="185"/>
        <v>Lower</v>
      </c>
      <c r="I1009" s="8" t="str">
        <f t="shared" si="186"/>
        <v>Outside</v>
      </c>
      <c r="J1009" s="8" t="str">
        <f t="shared" si="187"/>
        <v>Outside</v>
      </c>
      <c r="K1009" s="8" t="str">
        <f t="shared" si="188"/>
        <v>Post-1949</v>
      </c>
      <c r="L1009" s="8">
        <f t="shared" si="189"/>
        <v>1960</v>
      </c>
      <c r="M1009" s="8" t="str">
        <f t="shared" si="191"/>
        <v>1960-1970</v>
      </c>
      <c r="N1009" s="10" t="s">
        <v>242</v>
      </c>
      <c r="O1009" s="10" t="s">
        <v>242</v>
      </c>
      <c r="P1009" s="10" t="s">
        <v>242</v>
      </c>
      <c r="Q1009" s="10" t="s">
        <v>242</v>
      </c>
      <c r="R1009" s="10" t="s">
        <v>241</v>
      </c>
      <c r="S1009" s="10" t="s">
        <v>242</v>
      </c>
      <c r="T1009" s="10" t="s">
        <v>242</v>
      </c>
      <c r="U1009" s="10" t="s">
        <v>242</v>
      </c>
      <c r="V1009" s="10" t="s">
        <v>241</v>
      </c>
      <c r="W1009" s="10" t="s">
        <v>242</v>
      </c>
      <c r="X1009" s="15">
        <f>IF(ISERROR(VLOOKUP($A1009,'13. Updated Demand'!A:Z,15,FALSE)),0,VLOOKUP($A1009,'13. Updated Demand'!A:Z,15,FALSE))</f>
        <v>3.6666666669999999</v>
      </c>
      <c r="Y1009" s="16">
        <f>IF(ISERROR(VLOOKUP($A1009,'13. Updated Demand'!A:Z,16,FALSE)),0,VLOOKUP($A1009,'13. Updated Demand'!A:Z,16,FALSE))</f>
        <v>1.5</v>
      </c>
      <c r="Z1009" s="16">
        <f>IF(ISERROR(VLOOKUP($A1009,'13. Updated Demand'!A:Z,17,FALSE)),0,VLOOKUP($A1009,'13. Updated Demand'!A:Z,17,FALSE))</f>
        <v>3.5</v>
      </c>
      <c r="AA1009" s="16">
        <f>IF(ISERROR(VLOOKUP($A1009,'13. Updated Demand'!A:Z,18,FALSE)),0,VLOOKUP($A1009,'13. Updated Demand'!A:Z,18,FALSE))</f>
        <v>0</v>
      </c>
      <c r="AB1009" s="16">
        <f>IF(ISERROR(VLOOKUP($A1009,'13. Updated Demand'!A:Z,19,FALSE)),0,VLOOKUP($A1009,'13. Updated Demand'!A:Z,19,FALSE))</f>
        <v>0</v>
      </c>
      <c r="AC1009" s="16">
        <f>IF(ISERROR(VLOOKUP($A1009,'13. Updated Demand'!A:Z,20,FALSE)),0,VLOOKUP($A1009,'13. Updated Demand'!A:Z,20,FALSE))</f>
        <v>0</v>
      </c>
      <c r="AD1009" s="16">
        <f>IF(ISERROR(VLOOKUP($A1009,'13. Updated Demand'!A:Z,21,FALSE)),0,VLOOKUP($A1009,'13. Updated Demand'!A:Z,21,FALSE))</f>
        <v>0</v>
      </c>
      <c r="AE1009" s="16">
        <f>IF(ISERROR(VLOOKUP($A1009,'13. Updated Demand'!A:Z,22,FALSE)),0,VLOOKUP($A1009,'13. Updated Demand'!A:Z,22,FALSE))</f>
        <v>0</v>
      </c>
      <c r="AF1009" s="16">
        <f>IF(ISERROR(VLOOKUP($A1009,'13. Updated Demand'!A:Z,23,FALSE)),0,VLOOKUP($A1009,'13. Updated Demand'!A:Z,23,FALSE))</f>
        <v>0</v>
      </c>
      <c r="AG1009" s="16">
        <f>IF(ISERROR(VLOOKUP($A1009,'13. Updated Demand'!A:Z,24,FALSE)),0,VLOOKUP($A1009,'13. Updated Demand'!A:Z,24,FALSE))</f>
        <v>0</v>
      </c>
      <c r="AH1009" s="16">
        <f>IF(ISERROR(VLOOKUP($A1009,'13. Updated Demand'!A:Z,25,FALSE)),0,VLOOKUP($A1009,'13. Updated Demand'!A:Z,25,FALSE))</f>
        <v>0.133333333</v>
      </c>
      <c r="AI1009" s="16">
        <f>IF(ISERROR(VLOOKUP($A1009,'13. Updated Demand'!A:Z,26,FALSE)),0,VLOOKUP($A1009,'13. Updated Demand'!A:Z,26,FALSE))</f>
        <v>1.5</v>
      </c>
      <c r="AJ1009" s="16">
        <f t="shared" si="192"/>
        <v>10.299999999999999</v>
      </c>
      <c r="AK1009" s="19">
        <v>0</v>
      </c>
      <c r="AL1009" s="16">
        <f t="shared" si="190"/>
        <v>0</v>
      </c>
      <c r="AM1009" s="17">
        <v>0.2452380952380952</v>
      </c>
      <c r="AN1009" s="19"/>
      <c r="AO1009" s="19"/>
      <c r="AP1009" s="19">
        <v>42</v>
      </c>
      <c r="AQ1009" s="19" t="s">
        <v>307</v>
      </c>
      <c r="AR1009" s="9" t="s">
        <v>378</v>
      </c>
      <c r="AS1009" s="12">
        <v>0</v>
      </c>
      <c r="AT1009" s="19">
        <v>38.445408380000003</v>
      </c>
      <c r="AU1009" s="19">
        <v>-122.59744238</v>
      </c>
      <c r="AV1009" s="19" t="s">
        <v>417</v>
      </c>
    </row>
    <row r="1010" spans="1:48" x14ac:dyDescent="0.25">
      <c r="A1010" s="18" t="s">
        <v>1396</v>
      </c>
      <c r="B1010" s="10">
        <v>19600509</v>
      </c>
      <c r="C1010" s="9">
        <v>10</v>
      </c>
      <c r="D1010" s="8" t="str">
        <f t="shared" si="181"/>
        <v>N</v>
      </c>
      <c r="E1010" s="8" t="str">
        <f t="shared" si="182"/>
        <v>Y</v>
      </c>
      <c r="F1010" s="8" t="str">
        <f t="shared" si="183"/>
        <v>Y</v>
      </c>
      <c r="G1010" s="8" t="str">
        <f t="shared" si="184"/>
        <v>Y</v>
      </c>
      <c r="H1010" s="8" t="str">
        <f t="shared" si="185"/>
        <v>Upper</v>
      </c>
      <c r="I1010" s="8" t="str">
        <f t="shared" si="186"/>
        <v>West Fork and Below Lake</v>
      </c>
      <c r="J1010" s="8" t="str">
        <f t="shared" si="187"/>
        <v>Sonoma (d/s of Clov. Gage)</v>
      </c>
      <c r="K1010" s="8" t="str">
        <f t="shared" si="188"/>
        <v>Post-1949</v>
      </c>
      <c r="L1010" s="8">
        <f t="shared" si="189"/>
        <v>1960</v>
      </c>
      <c r="M1010" s="8" t="str">
        <f t="shared" si="191"/>
        <v>1960-1970</v>
      </c>
      <c r="N1010" s="10" t="s">
        <v>242</v>
      </c>
      <c r="O1010" s="10" t="s">
        <v>241</v>
      </c>
      <c r="P1010" s="10" t="s">
        <v>242</v>
      </c>
      <c r="Q1010" s="10" t="s">
        <v>242</v>
      </c>
      <c r="R1010" s="10" t="s">
        <v>241</v>
      </c>
      <c r="S1010" s="10" t="s">
        <v>242</v>
      </c>
      <c r="T1010" s="10" t="s">
        <v>242</v>
      </c>
      <c r="U1010" s="10" t="s">
        <v>242</v>
      </c>
      <c r="V1010" s="10" t="s">
        <v>241</v>
      </c>
      <c r="W1010" s="10" t="s">
        <v>242</v>
      </c>
      <c r="X1010" s="15">
        <f>IF(ISERROR(VLOOKUP($A1010,'13. Updated Demand'!A:Z,15,FALSE)),0,VLOOKUP($A1010,'13. Updated Demand'!A:Z,15,FALSE))</f>
        <v>0</v>
      </c>
      <c r="Y1010" s="16">
        <f>IF(ISERROR(VLOOKUP($A1010,'13. Updated Demand'!A:Z,16,FALSE)),0,VLOOKUP($A1010,'13. Updated Demand'!A:Z,16,FALSE))</f>
        <v>0</v>
      </c>
      <c r="Z1010" s="16">
        <f>IF(ISERROR(VLOOKUP($A1010,'13. Updated Demand'!A:Z,17,FALSE)),0,VLOOKUP($A1010,'13. Updated Demand'!A:Z,17,FALSE))</f>
        <v>14.97</v>
      </c>
      <c r="AA1010" s="16">
        <f>IF(ISERROR(VLOOKUP($A1010,'13. Updated Demand'!A:Z,18,FALSE)),0,VLOOKUP($A1010,'13. Updated Demand'!A:Z,18,FALSE))</f>
        <v>0</v>
      </c>
      <c r="AB1010" s="16">
        <f>IF(ISERROR(VLOOKUP($A1010,'13. Updated Demand'!A:Z,19,FALSE)),0,VLOOKUP($A1010,'13. Updated Demand'!A:Z,19,FALSE))</f>
        <v>0</v>
      </c>
      <c r="AC1010" s="16">
        <f>IF(ISERROR(VLOOKUP($A1010,'13. Updated Demand'!A:Z,20,FALSE)),0,VLOOKUP($A1010,'13. Updated Demand'!A:Z,20,FALSE))</f>
        <v>0</v>
      </c>
      <c r="AD1010" s="16">
        <f>IF(ISERROR(VLOOKUP($A1010,'13. Updated Demand'!A:Z,21,FALSE)),0,VLOOKUP($A1010,'13. Updated Demand'!A:Z,21,FALSE))</f>
        <v>0</v>
      </c>
      <c r="AE1010" s="16">
        <f>IF(ISERROR(VLOOKUP($A1010,'13. Updated Demand'!A:Z,22,FALSE)),0,VLOOKUP($A1010,'13. Updated Demand'!A:Z,22,FALSE))</f>
        <v>0</v>
      </c>
      <c r="AF1010" s="16">
        <f>IF(ISERROR(VLOOKUP($A1010,'13. Updated Demand'!A:Z,23,FALSE)),0,VLOOKUP($A1010,'13. Updated Demand'!A:Z,23,FALSE))</f>
        <v>0</v>
      </c>
      <c r="AG1010" s="16">
        <f>IF(ISERROR(VLOOKUP($A1010,'13. Updated Demand'!A:Z,24,FALSE)),0,VLOOKUP($A1010,'13. Updated Demand'!A:Z,24,FALSE))</f>
        <v>0</v>
      </c>
      <c r="AH1010" s="16">
        <f>IF(ISERROR(VLOOKUP($A1010,'13. Updated Demand'!A:Z,25,FALSE)),0,VLOOKUP($A1010,'13. Updated Demand'!A:Z,25,FALSE))</f>
        <v>0</v>
      </c>
      <c r="AI1010" s="16">
        <f>IF(ISERROR(VLOOKUP($A1010,'13. Updated Demand'!A:Z,26,FALSE)),0,VLOOKUP($A1010,'13. Updated Demand'!A:Z,26,FALSE))</f>
        <v>0</v>
      </c>
      <c r="AJ1010" s="16">
        <f t="shared" si="192"/>
        <v>14.97</v>
      </c>
      <c r="AK1010" s="19">
        <v>0</v>
      </c>
      <c r="AL1010" s="16">
        <f t="shared" si="190"/>
        <v>0</v>
      </c>
      <c r="AM1010" s="17">
        <v>0.998</v>
      </c>
      <c r="AN1010" s="19"/>
      <c r="AO1010" s="19"/>
      <c r="AP1010" s="19">
        <v>15</v>
      </c>
      <c r="AQ1010" s="19" t="s">
        <v>307</v>
      </c>
      <c r="AR1010" s="9" t="s">
        <v>436</v>
      </c>
      <c r="AS1010" s="12">
        <v>0</v>
      </c>
      <c r="AT1010" s="19">
        <v>38.69175577</v>
      </c>
      <c r="AU1010" s="19">
        <v>-122.81744165000001</v>
      </c>
      <c r="AV1010" s="19" t="s">
        <v>417</v>
      </c>
    </row>
    <row r="1011" spans="1:48" x14ac:dyDescent="0.25">
      <c r="A1011" s="18" t="s">
        <v>1397</v>
      </c>
      <c r="B1011" s="10">
        <v>19600523</v>
      </c>
      <c r="C1011" s="9">
        <v>23</v>
      </c>
      <c r="D1011" s="8" t="str">
        <f t="shared" si="181"/>
        <v>N</v>
      </c>
      <c r="E1011" s="8" t="str">
        <f t="shared" si="182"/>
        <v>N</v>
      </c>
      <c r="F1011" s="8" t="str">
        <f t="shared" si="183"/>
        <v>N</v>
      </c>
      <c r="G1011" s="8" t="str">
        <f t="shared" si="184"/>
        <v>N</v>
      </c>
      <c r="H1011" s="8" t="str">
        <f t="shared" si="185"/>
        <v>Lower</v>
      </c>
      <c r="I1011" s="8" t="str">
        <f t="shared" si="186"/>
        <v>Outside</v>
      </c>
      <c r="J1011" s="8" t="str">
        <f t="shared" si="187"/>
        <v>Outside</v>
      </c>
      <c r="K1011" s="8" t="str">
        <f t="shared" si="188"/>
        <v>Post-1949</v>
      </c>
      <c r="L1011" s="8">
        <f t="shared" si="189"/>
        <v>1960</v>
      </c>
      <c r="M1011" s="8" t="str">
        <f t="shared" si="191"/>
        <v>1960-1970</v>
      </c>
      <c r="N1011" s="10" t="s">
        <v>242</v>
      </c>
      <c r="O1011" s="10" t="s">
        <v>242</v>
      </c>
      <c r="P1011" s="10" t="s">
        <v>242</v>
      </c>
      <c r="Q1011" s="10" t="s">
        <v>242</v>
      </c>
      <c r="R1011" s="10" t="s">
        <v>241</v>
      </c>
      <c r="S1011" s="10" t="s">
        <v>242</v>
      </c>
      <c r="T1011" s="10" t="s">
        <v>242</v>
      </c>
      <c r="U1011" s="10" t="s">
        <v>241</v>
      </c>
      <c r="V1011" s="10" t="s">
        <v>241</v>
      </c>
      <c r="W1011" s="10" t="s">
        <v>242</v>
      </c>
      <c r="X1011" s="15">
        <f>IF(ISERROR(VLOOKUP($A1011,'13. Updated Demand'!A:Z,15,FALSE)),0,VLOOKUP($A1011,'13. Updated Demand'!A:Z,15,FALSE))</f>
        <v>0</v>
      </c>
      <c r="Y1011" s="16">
        <f>IF(ISERROR(VLOOKUP($A1011,'13. Updated Demand'!A:Z,16,FALSE)),0,VLOOKUP($A1011,'13. Updated Demand'!A:Z,16,FALSE))</f>
        <v>0</v>
      </c>
      <c r="Z1011" s="16">
        <f>IF(ISERROR(VLOOKUP($A1011,'13. Updated Demand'!A:Z,17,FALSE)),0,VLOOKUP($A1011,'13. Updated Demand'!A:Z,17,FALSE))</f>
        <v>0</v>
      </c>
      <c r="AA1011" s="16">
        <f>IF(ISERROR(VLOOKUP($A1011,'13. Updated Demand'!A:Z,18,FALSE)),0,VLOOKUP($A1011,'13. Updated Demand'!A:Z,18,FALSE))</f>
        <v>0</v>
      </c>
      <c r="AB1011" s="16">
        <f>IF(ISERROR(VLOOKUP($A1011,'13. Updated Demand'!A:Z,19,FALSE)),0,VLOOKUP($A1011,'13. Updated Demand'!A:Z,19,FALSE))</f>
        <v>0</v>
      </c>
      <c r="AC1011" s="16">
        <f>IF(ISERROR(VLOOKUP($A1011,'13. Updated Demand'!A:Z,20,FALSE)),0,VLOOKUP($A1011,'13. Updated Demand'!A:Z,20,FALSE))</f>
        <v>0</v>
      </c>
      <c r="AD1011" s="16">
        <f>IF(ISERROR(VLOOKUP($A1011,'13. Updated Demand'!A:Z,21,FALSE)),0,VLOOKUP($A1011,'13. Updated Demand'!A:Z,21,FALSE))</f>
        <v>0</v>
      </c>
      <c r="AE1011" s="16">
        <f>IF(ISERROR(VLOOKUP($A1011,'13. Updated Demand'!A:Z,22,FALSE)),0,VLOOKUP($A1011,'13. Updated Demand'!A:Z,22,FALSE))</f>
        <v>0</v>
      </c>
      <c r="AF1011" s="16">
        <f>IF(ISERROR(VLOOKUP($A1011,'13. Updated Demand'!A:Z,23,FALSE)),0,VLOOKUP($A1011,'13. Updated Demand'!A:Z,23,FALSE))</f>
        <v>0</v>
      </c>
      <c r="AG1011" s="16">
        <f>IF(ISERROR(VLOOKUP($A1011,'13. Updated Demand'!A:Z,24,FALSE)),0,VLOOKUP($A1011,'13. Updated Demand'!A:Z,24,FALSE))</f>
        <v>0</v>
      </c>
      <c r="AH1011" s="16">
        <f>IF(ISERROR(VLOOKUP($A1011,'13. Updated Demand'!A:Z,25,FALSE)),0,VLOOKUP($A1011,'13. Updated Demand'!A:Z,25,FALSE))</f>
        <v>0</v>
      </c>
      <c r="AI1011" s="16">
        <f>IF(ISERROR(VLOOKUP($A1011,'13. Updated Demand'!A:Z,26,FALSE)),0,VLOOKUP($A1011,'13. Updated Demand'!A:Z,26,FALSE))</f>
        <v>0</v>
      </c>
      <c r="AJ1011" s="16">
        <f t="shared" si="192"/>
        <v>0</v>
      </c>
      <c r="AK1011" s="19">
        <v>0</v>
      </c>
      <c r="AL1011" s="16">
        <f t="shared" si="190"/>
        <v>0</v>
      </c>
      <c r="AM1011" s="17">
        <v>0</v>
      </c>
      <c r="AN1011" s="19"/>
      <c r="AO1011" s="19"/>
      <c r="AP1011" s="19">
        <v>37</v>
      </c>
      <c r="AQ1011" s="19" t="s">
        <v>307</v>
      </c>
      <c r="AR1011" s="9" t="s">
        <v>391</v>
      </c>
      <c r="AS1011" s="12">
        <v>0</v>
      </c>
      <c r="AT1011" s="19">
        <v>38.556275380000002</v>
      </c>
      <c r="AU1011" s="19">
        <v>-122.75119229000001</v>
      </c>
      <c r="AV1011" s="19" t="s">
        <v>1398</v>
      </c>
    </row>
    <row r="1012" spans="1:48" x14ac:dyDescent="0.25">
      <c r="A1012" s="18" t="s">
        <v>1399</v>
      </c>
      <c r="B1012" s="10">
        <v>19600602</v>
      </c>
      <c r="C1012" s="9">
        <v>21</v>
      </c>
      <c r="D1012" s="8" t="str">
        <f t="shared" si="181"/>
        <v>N</v>
      </c>
      <c r="E1012" s="8" t="str">
        <f t="shared" si="182"/>
        <v>N</v>
      </c>
      <c r="F1012" s="8" t="str">
        <f t="shared" si="183"/>
        <v>N</v>
      </c>
      <c r="G1012" s="8" t="str">
        <f t="shared" si="184"/>
        <v>N</v>
      </c>
      <c r="H1012" s="8" t="str">
        <f t="shared" si="185"/>
        <v>Lower</v>
      </c>
      <c r="I1012" s="8" t="str">
        <f t="shared" si="186"/>
        <v>Outside</v>
      </c>
      <c r="J1012" s="8" t="str">
        <f t="shared" si="187"/>
        <v>Outside</v>
      </c>
      <c r="K1012" s="8" t="str">
        <f t="shared" si="188"/>
        <v>Post-1949</v>
      </c>
      <c r="L1012" s="8">
        <f t="shared" si="189"/>
        <v>1960</v>
      </c>
      <c r="M1012" s="8" t="str">
        <f t="shared" si="191"/>
        <v>1960-1970</v>
      </c>
      <c r="N1012" s="10" t="s">
        <v>241</v>
      </c>
      <c r="O1012" s="10" t="s">
        <v>242</v>
      </c>
      <c r="P1012" s="10" t="s">
        <v>242</v>
      </c>
      <c r="Q1012" s="10" t="s">
        <v>242</v>
      </c>
      <c r="R1012" s="10" t="s">
        <v>241</v>
      </c>
      <c r="S1012" s="10" t="s">
        <v>242</v>
      </c>
      <c r="T1012" s="10" t="s">
        <v>242</v>
      </c>
      <c r="U1012" s="10" t="s">
        <v>242</v>
      </c>
      <c r="V1012" s="10" t="s">
        <v>242</v>
      </c>
      <c r="W1012" s="10" t="s">
        <v>242</v>
      </c>
      <c r="X1012" s="15">
        <f>IF(ISERROR(VLOOKUP($A1012,'13. Updated Demand'!A:Z,15,FALSE)),0,VLOOKUP($A1012,'13. Updated Demand'!A:Z,15,FALSE))</f>
        <v>0.20031654700000001</v>
      </c>
      <c r="Y1012" s="16">
        <f>IF(ISERROR(VLOOKUP($A1012,'13. Updated Demand'!A:Z,16,FALSE)),0,VLOOKUP($A1012,'13. Updated Demand'!A:Z,16,FALSE))</f>
        <v>0.23140461100000001</v>
      </c>
      <c r="Z1012" s="16">
        <f>IF(ISERROR(VLOOKUP($A1012,'13. Updated Demand'!A:Z,17,FALSE)),0,VLOOKUP($A1012,'13. Updated Demand'!A:Z,17,FALSE))</f>
        <v>0.20422431299999999</v>
      </c>
      <c r="AA1012" s="16">
        <f>IF(ISERROR(VLOOKUP($A1012,'13. Updated Demand'!A:Z,18,FALSE)),0,VLOOKUP($A1012,'13. Updated Demand'!A:Z,18,FALSE))</f>
        <v>0.185688197</v>
      </c>
      <c r="AB1012" s="16">
        <f>IF(ISERROR(VLOOKUP($A1012,'13. Updated Demand'!A:Z,19,FALSE)),0,VLOOKUP($A1012,'13. Updated Demand'!A:Z,19,FALSE))</f>
        <v>0.22783405300000001</v>
      </c>
      <c r="AC1012" s="16">
        <f>IF(ISERROR(VLOOKUP($A1012,'13. Updated Demand'!A:Z,20,FALSE)),0,VLOOKUP($A1012,'13. Updated Demand'!A:Z,20,FALSE))</f>
        <v>0.237869673</v>
      </c>
      <c r="AD1012" s="16">
        <f>IF(ISERROR(VLOOKUP($A1012,'13. Updated Demand'!A:Z,21,FALSE)),0,VLOOKUP($A1012,'13. Updated Demand'!A:Z,21,FALSE))</f>
        <v>0.32306163100000002</v>
      </c>
      <c r="AE1012" s="16">
        <f>IF(ISERROR(VLOOKUP($A1012,'13. Updated Demand'!A:Z,22,FALSE)),0,VLOOKUP($A1012,'13. Updated Demand'!A:Z,22,FALSE))</f>
        <v>0.357750489</v>
      </c>
      <c r="AF1012" s="16">
        <f>IF(ISERROR(VLOOKUP($A1012,'13. Updated Demand'!A:Z,23,FALSE)),0,VLOOKUP($A1012,'13. Updated Demand'!A:Z,23,FALSE))</f>
        <v>0.18288519</v>
      </c>
      <c r="AG1012" s="16">
        <f>IF(ISERROR(VLOOKUP($A1012,'13. Updated Demand'!A:Z,24,FALSE)),0,VLOOKUP($A1012,'13. Updated Demand'!A:Z,24,FALSE))</f>
        <v>0.18445050299999999</v>
      </c>
      <c r="AH1012" s="16">
        <f>IF(ISERROR(VLOOKUP($A1012,'13. Updated Demand'!A:Z,25,FALSE)),0,VLOOKUP($A1012,'13. Updated Demand'!A:Z,25,FALSE))</f>
        <v>0.16226226299999999</v>
      </c>
      <c r="AI1012" s="16">
        <f>IF(ISERROR(VLOOKUP($A1012,'13. Updated Demand'!A:Z,26,FALSE)),0,VLOOKUP($A1012,'13. Updated Demand'!A:Z,26,FALSE))</f>
        <v>0.198587603</v>
      </c>
      <c r="AJ1012" s="16">
        <f t="shared" si="192"/>
        <v>2.6963350730000002</v>
      </c>
      <c r="AK1012" s="19">
        <v>1.3294010359999999</v>
      </c>
      <c r="AL1012" s="16">
        <f t="shared" si="190"/>
        <v>4.4094718034034383E-3</v>
      </c>
      <c r="AM1012" s="17">
        <v>0.21921423357723577</v>
      </c>
      <c r="AN1012" s="19"/>
      <c r="AO1012" s="19"/>
      <c r="AP1012" s="19">
        <v>12.3</v>
      </c>
      <c r="AQ1012" s="19" t="s">
        <v>307</v>
      </c>
      <c r="AR1012" s="9" t="s">
        <v>403</v>
      </c>
      <c r="AS1012" s="12">
        <v>3.4039024194010059E-4</v>
      </c>
      <c r="AT1012" s="19">
        <v>38.43265263</v>
      </c>
      <c r="AU1012" s="19">
        <v>-123.10110716</v>
      </c>
      <c r="AV1012" s="19" t="s">
        <v>417</v>
      </c>
    </row>
    <row r="1013" spans="1:48" x14ac:dyDescent="0.25">
      <c r="A1013" s="18" t="s">
        <v>1400</v>
      </c>
      <c r="B1013" s="10">
        <v>19600705</v>
      </c>
      <c r="C1013" s="9">
        <v>21</v>
      </c>
      <c r="D1013" s="8" t="str">
        <f t="shared" si="181"/>
        <v>N</v>
      </c>
      <c r="E1013" s="8" t="str">
        <f t="shared" si="182"/>
        <v>N</v>
      </c>
      <c r="F1013" s="8" t="str">
        <f t="shared" si="183"/>
        <v>N</v>
      </c>
      <c r="G1013" s="8" t="str">
        <f t="shared" si="184"/>
        <v>N</v>
      </c>
      <c r="H1013" s="8" t="str">
        <f t="shared" si="185"/>
        <v>Lower</v>
      </c>
      <c r="I1013" s="8" t="str">
        <f t="shared" si="186"/>
        <v>Outside</v>
      </c>
      <c r="J1013" s="8" t="str">
        <f t="shared" si="187"/>
        <v>Outside</v>
      </c>
      <c r="K1013" s="8" t="str">
        <f t="shared" si="188"/>
        <v>Post-1949</v>
      </c>
      <c r="L1013" s="8">
        <f t="shared" si="189"/>
        <v>1960</v>
      </c>
      <c r="M1013" s="8" t="str">
        <f t="shared" si="191"/>
        <v>1960-1970</v>
      </c>
      <c r="N1013" s="10" t="s">
        <v>242</v>
      </c>
      <c r="O1013" s="10" t="s">
        <v>242</v>
      </c>
      <c r="P1013" s="10" t="s">
        <v>242</v>
      </c>
      <c r="Q1013" s="10" t="s">
        <v>242</v>
      </c>
      <c r="R1013" s="10" t="s">
        <v>241</v>
      </c>
      <c r="S1013" s="10" t="s">
        <v>242</v>
      </c>
      <c r="T1013" s="10" t="s">
        <v>242</v>
      </c>
      <c r="U1013" s="10" t="s">
        <v>242</v>
      </c>
      <c r="V1013" s="10" t="s">
        <v>242</v>
      </c>
      <c r="W1013" s="10" t="s">
        <v>242</v>
      </c>
      <c r="X1013" s="15">
        <f>IF(ISERROR(VLOOKUP($A1013,'13. Updated Demand'!A:Z,15,FALSE)),0,VLOOKUP($A1013,'13. Updated Demand'!A:Z,15,FALSE))</f>
        <v>1.790666667</v>
      </c>
      <c r="Y1013" s="16">
        <f>IF(ISERROR(VLOOKUP($A1013,'13. Updated Demand'!A:Z,16,FALSE)),0,VLOOKUP($A1013,'13. Updated Demand'!A:Z,16,FALSE))</f>
        <v>0.39400000000000002</v>
      </c>
      <c r="Z1013" s="16">
        <f>IF(ISERROR(VLOOKUP($A1013,'13. Updated Demand'!A:Z,17,FALSE)),0,VLOOKUP($A1013,'13. Updated Demand'!A:Z,17,FALSE))</f>
        <v>0.165333333</v>
      </c>
      <c r="AA1013" s="16">
        <f>IF(ISERROR(VLOOKUP($A1013,'13. Updated Demand'!A:Z,18,FALSE)),0,VLOOKUP($A1013,'13. Updated Demand'!A:Z,18,FALSE))</f>
        <v>0.23400000000000001</v>
      </c>
      <c r="AB1013" s="16">
        <f>IF(ISERROR(VLOOKUP($A1013,'13. Updated Demand'!A:Z,19,FALSE)),0,VLOOKUP($A1013,'13. Updated Demand'!A:Z,19,FALSE))</f>
        <v>0.02</v>
      </c>
      <c r="AC1013" s="16">
        <f>IF(ISERROR(VLOOKUP($A1013,'13. Updated Demand'!A:Z,20,FALSE)),0,VLOOKUP($A1013,'13. Updated Demand'!A:Z,20,FALSE))</f>
        <v>0</v>
      </c>
      <c r="AD1013" s="16">
        <f>IF(ISERROR(VLOOKUP($A1013,'13. Updated Demand'!A:Z,21,FALSE)),0,VLOOKUP($A1013,'13. Updated Demand'!A:Z,21,FALSE))</f>
        <v>0</v>
      </c>
      <c r="AE1013" s="16">
        <f>IF(ISERROR(VLOOKUP($A1013,'13. Updated Demand'!A:Z,22,FALSE)),0,VLOOKUP($A1013,'13. Updated Demand'!A:Z,22,FALSE))</f>
        <v>0</v>
      </c>
      <c r="AF1013" s="16">
        <f>IF(ISERROR(VLOOKUP($A1013,'13. Updated Demand'!A:Z,23,FALSE)),0,VLOOKUP($A1013,'13. Updated Demand'!A:Z,23,FALSE))</f>
        <v>0</v>
      </c>
      <c r="AG1013" s="16">
        <f>IF(ISERROR(VLOOKUP($A1013,'13. Updated Demand'!A:Z,24,FALSE)),0,VLOOKUP($A1013,'13. Updated Demand'!A:Z,24,FALSE))</f>
        <v>0</v>
      </c>
      <c r="AH1013" s="16">
        <f>IF(ISERROR(VLOOKUP($A1013,'13. Updated Demand'!A:Z,25,FALSE)),0,VLOOKUP($A1013,'13. Updated Demand'!A:Z,25,FALSE))</f>
        <v>1</v>
      </c>
      <c r="AI1013" s="16">
        <f>IF(ISERROR(VLOOKUP($A1013,'13. Updated Demand'!A:Z,26,FALSE)),0,VLOOKUP($A1013,'13. Updated Demand'!A:Z,26,FALSE))</f>
        <v>1.3833333329999999</v>
      </c>
      <c r="AJ1013" s="16">
        <f t="shared" si="192"/>
        <v>4.9873333330000005</v>
      </c>
      <c r="AK1013" s="19">
        <v>0.02</v>
      </c>
      <c r="AL1013" s="16">
        <f t="shared" si="190"/>
        <v>6.6337721785910187E-5</v>
      </c>
      <c r="AM1013" s="17">
        <v>0.29337254900000004</v>
      </c>
      <c r="AN1013" s="19"/>
      <c r="AO1013" s="19"/>
      <c r="AP1013" s="19">
        <v>17</v>
      </c>
      <c r="AQ1013" s="19" t="s">
        <v>307</v>
      </c>
      <c r="AR1013" s="9" t="s">
        <v>403</v>
      </c>
      <c r="AS1013" s="12">
        <v>0</v>
      </c>
      <c r="AT1013" s="19">
        <v>38.412091959999998</v>
      </c>
      <c r="AU1013" s="19">
        <v>-122.94163801000001</v>
      </c>
      <c r="AV1013" s="19" t="s">
        <v>417</v>
      </c>
    </row>
    <row r="1014" spans="1:48" x14ac:dyDescent="0.25">
      <c r="A1014" s="18" t="s">
        <v>1401</v>
      </c>
      <c r="B1014" s="10">
        <v>19600718</v>
      </c>
      <c r="C1014" s="9">
        <v>23</v>
      </c>
      <c r="D1014" s="8" t="str">
        <f t="shared" si="181"/>
        <v>N</v>
      </c>
      <c r="E1014" s="8" t="str">
        <f t="shared" si="182"/>
        <v>N</v>
      </c>
      <c r="F1014" s="8" t="str">
        <f t="shared" si="183"/>
        <v>N</v>
      </c>
      <c r="G1014" s="8" t="str">
        <f t="shared" si="184"/>
        <v>N</v>
      </c>
      <c r="H1014" s="8" t="str">
        <f t="shared" si="185"/>
        <v>Lower</v>
      </c>
      <c r="I1014" s="8" t="str">
        <f t="shared" si="186"/>
        <v>Outside</v>
      </c>
      <c r="J1014" s="8" t="str">
        <f t="shared" si="187"/>
        <v>Outside</v>
      </c>
      <c r="K1014" s="8" t="str">
        <f t="shared" si="188"/>
        <v>Post-1949</v>
      </c>
      <c r="L1014" s="8">
        <f t="shared" si="189"/>
        <v>1960</v>
      </c>
      <c r="M1014" s="8" t="str">
        <f t="shared" si="191"/>
        <v>1960-1970</v>
      </c>
      <c r="N1014" s="10" t="s">
        <v>242</v>
      </c>
      <c r="O1014" s="10" t="s">
        <v>242</v>
      </c>
      <c r="P1014" s="10" t="s">
        <v>242</v>
      </c>
      <c r="Q1014" s="10" t="s">
        <v>242</v>
      </c>
      <c r="R1014" s="10" t="s">
        <v>241</v>
      </c>
      <c r="S1014" s="10" t="s">
        <v>242</v>
      </c>
      <c r="T1014" s="10" t="s">
        <v>242</v>
      </c>
      <c r="U1014" s="10" t="s">
        <v>242</v>
      </c>
      <c r="V1014" s="10" t="s">
        <v>242</v>
      </c>
      <c r="W1014" s="10" t="s">
        <v>242</v>
      </c>
      <c r="X1014" s="15">
        <f>IF(ISERROR(VLOOKUP($A1014,'13. Updated Demand'!A:Z,15,FALSE)),0,VLOOKUP($A1014,'13. Updated Demand'!A:Z,15,FALSE))</f>
        <v>0.38866666700000002</v>
      </c>
      <c r="Y1014" s="16">
        <f>IF(ISERROR(VLOOKUP($A1014,'13. Updated Demand'!A:Z,16,FALSE)),0,VLOOKUP($A1014,'13. Updated Demand'!A:Z,16,FALSE))</f>
        <v>0.83299999999999996</v>
      </c>
      <c r="Z1014" s="16">
        <f>IF(ISERROR(VLOOKUP($A1014,'13. Updated Demand'!A:Z,17,FALSE)),0,VLOOKUP($A1014,'13. Updated Demand'!A:Z,17,FALSE))</f>
        <v>1.594433333</v>
      </c>
      <c r="AA1014" s="16">
        <f>IF(ISERROR(VLOOKUP($A1014,'13. Updated Demand'!A:Z,18,FALSE)),0,VLOOKUP($A1014,'13. Updated Demand'!A:Z,18,FALSE))</f>
        <v>0.45553333299999998</v>
      </c>
      <c r="AB1014" s="16">
        <f>IF(ISERROR(VLOOKUP($A1014,'13. Updated Demand'!A:Z,19,FALSE)),0,VLOOKUP($A1014,'13. Updated Demand'!A:Z,19,FALSE))</f>
        <v>0.22093333300000001</v>
      </c>
      <c r="AC1014" s="16">
        <f>IF(ISERROR(VLOOKUP($A1014,'13. Updated Demand'!A:Z,20,FALSE)),0,VLOOKUP($A1014,'13. Updated Demand'!A:Z,20,FALSE))</f>
        <v>0</v>
      </c>
      <c r="AD1014" s="16">
        <f>IF(ISERROR(VLOOKUP($A1014,'13. Updated Demand'!A:Z,21,FALSE)),0,VLOOKUP($A1014,'13. Updated Demand'!A:Z,21,FALSE))</f>
        <v>0</v>
      </c>
      <c r="AE1014" s="16">
        <f>IF(ISERROR(VLOOKUP($A1014,'13. Updated Demand'!A:Z,22,FALSE)),0,VLOOKUP($A1014,'13. Updated Demand'!A:Z,22,FALSE))</f>
        <v>0</v>
      </c>
      <c r="AF1014" s="16">
        <f>IF(ISERROR(VLOOKUP($A1014,'13. Updated Demand'!A:Z,23,FALSE)),0,VLOOKUP($A1014,'13. Updated Demand'!A:Z,23,FALSE))</f>
        <v>0</v>
      </c>
      <c r="AG1014" s="16">
        <f>IF(ISERROR(VLOOKUP($A1014,'13. Updated Demand'!A:Z,24,FALSE)),0,VLOOKUP($A1014,'13. Updated Demand'!A:Z,24,FALSE))</f>
        <v>0</v>
      </c>
      <c r="AH1014" s="16">
        <f>IF(ISERROR(VLOOKUP($A1014,'13. Updated Demand'!A:Z,25,FALSE)),0,VLOOKUP($A1014,'13. Updated Demand'!A:Z,25,FALSE))</f>
        <v>0.1111</v>
      </c>
      <c r="AI1014" s="16">
        <f>IF(ISERROR(VLOOKUP($A1014,'13. Updated Demand'!A:Z,26,FALSE)),0,VLOOKUP($A1014,'13. Updated Demand'!A:Z,26,FALSE))</f>
        <v>1.356333333</v>
      </c>
      <c r="AJ1014" s="16">
        <f t="shared" si="192"/>
        <v>4.9599999989999999</v>
      </c>
      <c r="AK1014" s="19">
        <v>0.22093333300000001</v>
      </c>
      <c r="AL1014" s="16">
        <f t="shared" si="190"/>
        <v>7.3281069888939251E-4</v>
      </c>
      <c r="AM1014" s="17">
        <v>0.12097560973170732</v>
      </c>
      <c r="AN1014" s="19"/>
      <c r="AO1014" s="19"/>
      <c r="AP1014" s="19">
        <v>41</v>
      </c>
      <c r="AQ1014" s="19" t="s">
        <v>307</v>
      </c>
      <c r="AR1014" s="9" t="s">
        <v>391</v>
      </c>
      <c r="AS1014" s="12">
        <v>0</v>
      </c>
      <c r="AT1014" s="19">
        <v>38.566394359999997</v>
      </c>
      <c r="AU1014" s="19">
        <v>-122.79851737</v>
      </c>
      <c r="AV1014" s="19" t="s">
        <v>417</v>
      </c>
    </row>
    <row r="1015" spans="1:48" x14ac:dyDescent="0.25">
      <c r="A1015" s="18" t="s">
        <v>1402</v>
      </c>
      <c r="B1015" s="10">
        <v>19600804</v>
      </c>
      <c r="C1015" s="9">
        <v>14</v>
      </c>
      <c r="D1015" s="8" t="str">
        <f t="shared" si="181"/>
        <v>N</v>
      </c>
      <c r="E1015" s="8" t="str">
        <f t="shared" si="182"/>
        <v>N</v>
      </c>
      <c r="F1015" s="8" t="str">
        <f t="shared" si="183"/>
        <v>N</v>
      </c>
      <c r="G1015" s="8" t="str">
        <f t="shared" si="184"/>
        <v>N</v>
      </c>
      <c r="H1015" s="8" t="str">
        <f t="shared" si="185"/>
        <v>Lower</v>
      </c>
      <c r="I1015" s="8" t="str">
        <f t="shared" si="186"/>
        <v>Outside</v>
      </c>
      <c r="J1015" s="8" t="str">
        <f t="shared" si="187"/>
        <v>Outside</v>
      </c>
      <c r="K1015" s="8" t="str">
        <f t="shared" si="188"/>
        <v>Post-1949</v>
      </c>
      <c r="L1015" s="8">
        <f t="shared" si="189"/>
        <v>1960</v>
      </c>
      <c r="M1015" s="8" t="str">
        <f t="shared" si="191"/>
        <v>1960-1970</v>
      </c>
      <c r="N1015" s="10" t="s">
        <v>242</v>
      </c>
      <c r="O1015" s="10" t="s">
        <v>242</v>
      </c>
      <c r="P1015" s="10" t="s">
        <v>242</v>
      </c>
      <c r="Q1015" s="10" t="s">
        <v>242</v>
      </c>
      <c r="R1015" s="10" t="s">
        <v>241</v>
      </c>
      <c r="S1015" s="10" t="s">
        <v>242</v>
      </c>
      <c r="T1015" s="10" t="s">
        <v>242</v>
      </c>
      <c r="U1015" s="10" t="s">
        <v>242</v>
      </c>
      <c r="V1015" s="10" t="s">
        <v>242</v>
      </c>
      <c r="W1015" s="10" t="s">
        <v>242</v>
      </c>
      <c r="X1015" s="15">
        <f>IF(ISERROR(VLOOKUP($A1015,'13. Updated Demand'!A:Z,15,FALSE)),0,VLOOKUP($A1015,'13. Updated Demand'!A:Z,15,FALSE))</f>
        <v>2</v>
      </c>
      <c r="Y1015" s="16">
        <f>IF(ISERROR(VLOOKUP($A1015,'13. Updated Demand'!A:Z,16,FALSE)),0,VLOOKUP($A1015,'13. Updated Demand'!A:Z,16,FALSE))</f>
        <v>0</v>
      </c>
      <c r="Z1015" s="16">
        <f>IF(ISERROR(VLOOKUP($A1015,'13. Updated Demand'!A:Z,17,FALSE)),0,VLOOKUP($A1015,'13. Updated Demand'!A:Z,17,FALSE))</f>
        <v>1</v>
      </c>
      <c r="AA1015" s="16">
        <f>IF(ISERROR(VLOOKUP($A1015,'13. Updated Demand'!A:Z,18,FALSE)),0,VLOOKUP($A1015,'13. Updated Demand'!A:Z,18,FALSE))</f>
        <v>1</v>
      </c>
      <c r="AB1015" s="16">
        <f>IF(ISERROR(VLOOKUP($A1015,'13. Updated Demand'!A:Z,19,FALSE)),0,VLOOKUP($A1015,'13. Updated Demand'!A:Z,19,FALSE))</f>
        <v>1</v>
      </c>
      <c r="AC1015" s="16">
        <f>IF(ISERROR(VLOOKUP($A1015,'13. Updated Demand'!A:Z,20,FALSE)),0,VLOOKUP($A1015,'13. Updated Demand'!A:Z,20,FALSE))</f>
        <v>0.5</v>
      </c>
      <c r="AD1015" s="16">
        <f>IF(ISERROR(VLOOKUP($A1015,'13. Updated Demand'!A:Z,21,FALSE)),0,VLOOKUP($A1015,'13. Updated Demand'!A:Z,21,FALSE))</f>
        <v>0</v>
      </c>
      <c r="AE1015" s="16">
        <f>IF(ISERROR(VLOOKUP($A1015,'13. Updated Demand'!A:Z,22,FALSE)),0,VLOOKUP($A1015,'13. Updated Demand'!A:Z,22,FALSE))</f>
        <v>0</v>
      </c>
      <c r="AF1015" s="16">
        <f>IF(ISERROR(VLOOKUP($A1015,'13. Updated Demand'!A:Z,23,FALSE)),0,VLOOKUP($A1015,'13. Updated Demand'!A:Z,23,FALSE))</f>
        <v>0</v>
      </c>
      <c r="AG1015" s="16">
        <f>IF(ISERROR(VLOOKUP($A1015,'13. Updated Demand'!A:Z,24,FALSE)),0,VLOOKUP($A1015,'13. Updated Demand'!A:Z,24,FALSE))</f>
        <v>0</v>
      </c>
      <c r="AH1015" s="16">
        <f>IF(ISERROR(VLOOKUP($A1015,'13. Updated Demand'!A:Z,25,FALSE)),0,VLOOKUP($A1015,'13. Updated Demand'!A:Z,25,FALSE))</f>
        <v>0</v>
      </c>
      <c r="AI1015" s="16">
        <f>IF(ISERROR(VLOOKUP($A1015,'13. Updated Demand'!A:Z,26,FALSE)),0,VLOOKUP($A1015,'13. Updated Demand'!A:Z,26,FALSE))</f>
        <v>0.5</v>
      </c>
      <c r="AJ1015" s="16">
        <f t="shared" si="192"/>
        <v>6</v>
      </c>
      <c r="AK1015" s="19">
        <v>1.5</v>
      </c>
      <c r="AL1015" s="16">
        <f t="shared" si="190"/>
        <v>4.9753291339432633E-3</v>
      </c>
      <c r="AM1015" s="17">
        <v>0.4</v>
      </c>
      <c r="AN1015" s="19"/>
      <c r="AO1015" s="19"/>
      <c r="AP1015" s="19">
        <v>15</v>
      </c>
      <c r="AQ1015" s="19" t="s">
        <v>307</v>
      </c>
      <c r="AR1015" s="9" t="s">
        <v>493</v>
      </c>
      <c r="AS1015" s="12">
        <v>0</v>
      </c>
      <c r="AT1015" s="19">
        <v>38.718699999999998</v>
      </c>
      <c r="AU1015" s="19">
        <v>-122.95569999999999</v>
      </c>
      <c r="AV1015" s="19" t="s">
        <v>417</v>
      </c>
    </row>
    <row r="1016" spans="1:48" x14ac:dyDescent="0.25">
      <c r="A1016" s="18" t="s">
        <v>1403</v>
      </c>
      <c r="B1016" s="10">
        <v>19600809</v>
      </c>
      <c r="C1016" s="9">
        <v>23</v>
      </c>
      <c r="D1016" s="8" t="str">
        <f t="shared" si="181"/>
        <v>N</v>
      </c>
      <c r="E1016" s="8" t="str">
        <f t="shared" si="182"/>
        <v>N</v>
      </c>
      <c r="F1016" s="8" t="str">
        <f t="shared" si="183"/>
        <v>N</v>
      </c>
      <c r="G1016" s="8" t="str">
        <f t="shared" si="184"/>
        <v>N</v>
      </c>
      <c r="H1016" s="8" t="str">
        <f t="shared" si="185"/>
        <v>Lower</v>
      </c>
      <c r="I1016" s="8" t="str">
        <f t="shared" si="186"/>
        <v>Outside</v>
      </c>
      <c r="J1016" s="8" t="str">
        <f t="shared" si="187"/>
        <v>Outside</v>
      </c>
      <c r="K1016" s="8" t="str">
        <f t="shared" si="188"/>
        <v>Post-1949</v>
      </c>
      <c r="L1016" s="8">
        <f t="shared" si="189"/>
        <v>1960</v>
      </c>
      <c r="M1016" s="8" t="str">
        <f t="shared" si="191"/>
        <v>1960-1970</v>
      </c>
      <c r="N1016" s="10" t="s">
        <v>242</v>
      </c>
      <c r="O1016" s="10" t="s">
        <v>242</v>
      </c>
      <c r="P1016" s="10" t="s">
        <v>242</v>
      </c>
      <c r="Q1016" s="10" t="s">
        <v>242</v>
      </c>
      <c r="R1016" s="10" t="s">
        <v>241</v>
      </c>
      <c r="S1016" s="10" t="s">
        <v>242</v>
      </c>
      <c r="T1016" s="10" t="s">
        <v>242</v>
      </c>
      <c r="U1016" s="10" t="s">
        <v>242</v>
      </c>
      <c r="V1016" s="10" t="s">
        <v>242</v>
      </c>
      <c r="W1016" s="10" t="s">
        <v>242</v>
      </c>
      <c r="X1016" s="15">
        <f>IF(ISERROR(VLOOKUP($A1016,'13. Updated Demand'!A:Z,15,FALSE)),0,VLOOKUP($A1016,'13. Updated Demand'!A:Z,15,FALSE))</f>
        <v>0</v>
      </c>
      <c r="Y1016" s="16">
        <f>IF(ISERROR(VLOOKUP($A1016,'13. Updated Demand'!A:Z,16,FALSE)),0,VLOOKUP($A1016,'13. Updated Demand'!A:Z,16,FALSE))</f>
        <v>0</v>
      </c>
      <c r="Z1016" s="16">
        <f>IF(ISERROR(VLOOKUP($A1016,'13. Updated Demand'!A:Z,17,FALSE)),0,VLOOKUP($A1016,'13. Updated Demand'!A:Z,17,FALSE))</f>
        <v>0.16666666699999999</v>
      </c>
      <c r="AA1016" s="16">
        <f>IF(ISERROR(VLOOKUP($A1016,'13. Updated Demand'!A:Z,18,FALSE)),0,VLOOKUP($A1016,'13. Updated Demand'!A:Z,18,FALSE))</f>
        <v>0.33333333300000001</v>
      </c>
      <c r="AB1016" s="16">
        <f>IF(ISERROR(VLOOKUP($A1016,'13. Updated Demand'!A:Z,19,FALSE)),0,VLOOKUP($A1016,'13. Updated Demand'!A:Z,19,FALSE))</f>
        <v>0.5</v>
      </c>
      <c r="AC1016" s="16">
        <f>IF(ISERROR(VLOOKUP($A1016,'13. Updated Demand'!A:Z,20,FALSE)),0,VLOOKUP($A1016,'13. Updated Demand'!A:Z,20,FALSE))</f>
        <v>0.5</v>
      </c>
      <c r="AD1016" s="16">
        <f>IF(ISERROR(VLOOKUP($A1016,'13. Updated Demand'!A:Z,21,FALSE)),0,VLOOKUP($A1016,'13. Updated Demand'!A:Z,21,FALSE))</f>
        <v>0.66666666699999999</v>
      </c>
      <c r="AE1016" s="16">
        <f>IF(ISERROR(VLOOKUP($A1016,'13. Updated Demand'!A:Z,22,FALSE)),0,VLOOKUP($A1016,'13. Updated Demand'!A:Z,22,FALSE))</f>
        <v>0.66666666699999999</v>
      </c>
      <c r="AF1016" s="16">
        <f>IF(ISERROR(VLOOKUP($A1016,'13. Updated Demand'!A:Z,23,FALSE)),0,VLOOKUP($A1016,'13. Updated Demand'!A:Z,23,FALSE))</f>
        <v>0.66666666699999999</v>
      </c>
      <c r="AG1016" s="16">
        <f>IF(ISERROR(VLOOKUP($A1016,'13. Updated Demand'!A:Z,24,FALSE)),0,VLOOKUP($A1016,'13. Updated Demand'!A:Z,24,FALSE))</f>
        <v>0.66666666699999999</v>
      </c>
      <c r="AH1016" s="16">
        <f>IF(ISERROR(VLOOKUP($A1016,'13. Updated Demand'!A:Z,25,FALSE)),0,VLOOKUP($A1016,'13. Updated Demand'!A:Z,25,FALSE))</f>
        <v>0.5</v>
      </c>
      <c r="AI1016" s="16">
        <f>IF(ISERROR(VLOOKUP($A1016,'13. Updated Demand'!A:Z,26,FALSE)),0,VLOOKUP($A1016,'13. Updated Demand'!A:Z,26,FALSE))</f>
        <v>0</v>
      </c>
      <c r="AJ1016" s="16">
        <f t="shared" si="192"/>
        <v>4.6666666679999995</v>
      </c>
      <c r="AK1016" s="19">
        <v>3.0000000009999996</v>
      </c>
      <c r="AL1016" s="16">
        <f t="shared" si="190"/>
        <v>9.9506582712034115E-3</v>
      </c>
      <c r="AM1016" s="17">
        <v>0.23333333339999998</v>
      </c>
      <c r="AN1016" s="19"/>
      <c r="AO1016" s="19"/>
      <c r="AP1016" s="19">
        <v>20</v>
      </c>
      <c r="AQ1016" s="19" t="s">
        <v>307</v>
      </c>
      <c r="AR1016" s="9" t="s">
        <v>585</v>
      </c>
      <c r="AS1016" s="12">
        <v>0</v>
      </c>
      <c r="AT1016" s="19">
        <v>38.318829409999999</v>
      </c>
      <c r="AU1016" s="19">
        <v>-122.78042369000001</v>
      </c>
      <c r="AV1016" s="19" t="s">
        <v>1404</v>
      </c>
    </row>
    <row r="1017" spans="1:48" x14ac:dyDescent="0.25">
      <c r="A1017" s="18" t="s">
        <v>1405</v>
      </c>
      <c r="B1017" s="10">
        <v>19601004</v>
      </c>
      <c r="C1017" s="9">
        <v>23</v>
      </c>
      <c r="D1017" s="8" t="str">
        <f t="shared" si="181"/>
        <v>N</v>
      </c>
      <c r="E1017" s="8" t="str">
        <f t="shared" si="182"/>
        <v>N</v>
      </c>
      <c r="F1017" s="8" t="str">
        <f t="shared" si="183"/>
        <v>N</v>
      </c>
      <c r="G1017" s="8" t="str">
        <f t="shared" si="184"/>
        <v>N</v>
      </c>
      <c r="H1017" s="8" t="str">
        <f t="shared" si="185"/>
        <v>Lower</v>
      </c>
      <c r="I1017" s="8" t="str">
        <f t="shared" si="186"/>
        <v>Outside</v>
      </c>
      <c r="J1017" s="8" t="str">
        <f t="shared" si="187"/>
        <v>Outside</v>
      </c>
      <c r="K1017" s="8" t="str">
        <f t="shared" si="188"/>
        <v>Post-1949</v>
      </c>
      <c r="L1017" s="8">
        <f t="shared" si="189"/>
        <v>1960</v>
      </c>
      <c r="M1017" s="8" t="str">
        <f t="shared" si="191"/>
        <v>1960-1970</v>
      </c>
      <c r="N1017" s="10" t="s">
        <v>242</v>
      </c>
      <c r="O1017" s="10" t="s">
        <v>242</v>
      </c>
      <c r="P1017" s="10" t="s">
        <v>242</v>
      </c>
      <c r="Q1017" s="10" t="s">
        <v>242</v>
      </c>
      <c r="R1017" s="10" t="s">
        <v>241</v>
      </c>
      <c r="S1017" s="10" t="s">
        <v>242</v>
      </c>
      <c r="T1017" s="10" t="s">
        <v>242</v>
      </c>
      <c r="U1017" s="10" t="s">
        <v>241</v>
      </c>
      <c r="V1017" s="10" t="s">
        <v>241</v>
      </c>
      <c r="W1017" s="10" t="s">
        <v>242</v>
      </c>
      <c r="X1017" s="15">
        <f>IF(ISERROR(VLOOKUP($A1017,'13. Updated Demand'!A:Z,15,FALSE)),0,VLOOKUP($A1017,'13. Updated Demand'!A:Z,15,FALSE))</f>
        <v>0</v>
      </c>
      <c r="Y1017" s="16">
        <f>IF(ISERROR(VLOOKUP($A1017,'13. Updated Demand'!A:Z,16,FALSE)),0,VLOOKUP($A1017,'13. Updated Demand'!A:Z,16,FALSE))</f>
        <v>0</v>
      </c>
      <c r="Z1017" s="16">
        <f>IF(ISERROR(VLOOKUP($A1017,'13. Updated Demand'!A:Z,17,FALSE)),0,VLOOKUP($A1017,'13. Updated Demand'!A:Z,17,FALSE))</f>
        <v>0</v>
      </c>
      <c r="AA1017" s="16">
        <f>IF(ISERROR(VLOOKUP($A1017,'13. Updated Demand'!A:Z,18,FALSE)),0,VLOOKUP($A1017,'13. Updated Demand'!A:Z,18,FALSE))</f>
        <v>0</v>
      </c>
      <c r="AB1017" s="16">
        <f>IF(ISERROR(VLOOKUP($A1017,'13. Updated Demand'!A:Z,19,FALSE)),0,VLOOKUP($A1017,'13. Updated Demand'!A:Z,19,FALSE))</f>
        <v>0</v>
      </c>
      <c r="AC1017" s="16">
        <f>IF(ISERROR(VLOOKUP($A1017,'13. Updated Demand'!A:Z,20,FALSE)),0,VLOOKUP($A1017,'13. Updated Demand'!A:Z,20,FALSE))</f>
        <v>0</v>
      </c>
      <c r="AD1017" s="16">
        <f>IF(ISERROR(VLOOKUP($A1017,'13. Updated Demand'!A:Z,21,FALSE)),0,VLOOKUP($A1017,'13. Updated Demand'!A:Z,21,FALSE))</f>
        <v>0</v>
      </c>
      <c r="AE1017" s="16">
        <f>IF(ISERROR(VLOOKUP($A1017,'13. Updated Demand'!A:Z,22,FALSE)),0,VLOOKUP($A1017,'13. Updated Demand'!A:Z,22,FALSE))</f>
        <v>0</v>
      </c>
      <c r="AF1017" s="16">
        <f>IF(ISERROR(VLOOKUP($A1017,'13. Updated Demand'!A:Z,23,FALSE)),0,VLOOKUP($A1017,'13. Updated Demand'!A:Z,23,FALSE))</f>
        <v>0</v>
      </c>
      <c r="AG1017" s="16">
        <f>IF(ISERROR(VLOOKUP($A1017,'13. Updated Demand'!A:Z,24,FALSE)),0,VLOOKUP($A1017,'13. Updated Demand'!A:Z,24,FALSE))</f>
        <v>0</v>
      </c>
      <c r="AH1017" s="16">
        <f>IF(ISERROR(VLOOKUP($A1017,'13. Updated Demand'!A:Z,25,FALSE)),0,VLOOKUP($A1017,'13. Updated Demand'!A:Z,25,FALSE))</f>
        <v>0</v>
      </c>
      <c r="AI1017" s="16">
        <f>IF(ISERROR(VLOOKUP($A1017,'13. Updated Demand'!A:Z,26,FALSE)),0,VLOOKUP($A1017,'13. Updated Demand'!A:Z,26,FALSE))</f>
        <v>0</v>
      </c>
      <c r="AJ1017" s="16">
        <f t="shared" si="192"/>
        <v>0</v>
      </c>
      <c r="AK1017" s="19">
        <v>0</v>
      </c>
      <c r="AL1017" s="16">
        <f t="shared" si="190"/>
        <v>0</v>
      </c>
      <c r="AM1017" s="17">
        <v>0</v>
      </c>
      <c r="AN1017" s="19"/>
      <c r="AO1017" s="19"/>
      <c r="AP1017" s="19">
        <v>16</v>
      </c>
      <c r="AQ1017" s="19" t="s">
        <v>307</v>
      </c>
      <c r="AR1017" s="9" t="s">
        <v>391</v>
      </c>
      <c r="AS1017" s="12">
        <v>0</v>
      </c>
      <c r="AT1017" s="19">
        <v>38.521266079999997</v>
      </c>
      <c r="AU1017" s="19">
        <v>-122.81199463</v>
      </c>
      <c r="AV1017" s="19" t="s">
        <v>417</v>
      </c>
    </row>
    <row r="1018" spans="1:48" x14ac:dyDescent="0.25">
      <c r="A1018" s="18" t="s">
        <v>1406</v>
      </c>
      <c r="B1018" s="10">
        <v>19601007</v>
      </c>
      <c r="C1018" s="9">
        <v>23</v>
      </c>
      <c r="D1018" s="8" t="str">
        <f t="shared" si="181"/>
        <v>N</v>
      </c>
      <c r="E1018" s="8" t="str">
        <f t="shared" si="182"/>
        <v>N</v>
      </c>
      <c r="F1018" s="8" t="str">
        <f t="shared" si="183"/>
        <v>N</v>
      </c>
      <c r="G1018" s="8" t="str">
        <f t="shared" si="184"/>
        <v>N</v>
      </c>
      <c r="H1018" s="8" t="str">
        <f t="shared" si="185"/>
        <v>Lower</v>
      </c>
      <c r="I1018" s="8" t="str">
        <f t="shared" si="186"/>
        <v>Outside</v>
      </c>
      <c r="J1018" s="8" t="str">
        <f t="shared" si="187"/>
        <v>Outside</v>
      </c>
      <c r="K1018" s="8" t="str">
        <f t="shared" si="188"/>
        <v>Post-1949</v>
      </c>
      <c r="L1018" s="8">
        <f t="shared" si="189"/>
        <v>1960</v>
      </c>
      <c r="M1018" s="8" t="str">
        <f t="shared" si="191"/>
        <v>1960-1970</v>
      </c>
      <c r="N1018" s="10" t="s">
        <v>242</v>
      </c>
      <c r="O1018" s="10" t="s">
        <v>242</v>
      </c>
      <c r="P1018" s="10" t="s">
        <v>242</v>
      </c>
      <c r="Q1018" s="10" t="s">
        <v>242</v>
      </c>
      <c r="R1018" s="10" t="s">
        <v>241</v>
      </c>
      <c r="S1018" s="10" t="s">
        <v>242</v>
      </c>
      <c r="T1018" s="10" t="s">
        <v>242</v>
      </c>
      <c r="U1018" s="10" t="s">
        <v>241</v>
      </c>
      <c r="V1018" s="10" t="s">
        <v>241</v>
      </c>
      <c r="W1018" s="10" t="s">
        <v>242</v>
      </c>
      <c r="X1018" s="15">
        <f>IF(ISERROR(VLOOKUP($A1018,'13. Updated Demand'!A:Z,15,FALSE)),0,VLOOKUP($A1018,'13. Updated Demand'!A:Z,15,FALSE))</f>
        <v>0</v>
      </c>
      <c r="Y1018" s="16">
        <f>IF(ISERROR(VLOOKUP($A1018,'13. Updated Demand'!A:Z,16,FALSE)),0,VLOOKUP($A1018,'13. Updated Demand'!A:Z,16,FALSE))</f>
        <v>0</v>
      </c>
      <c r="Z1018" s="16">
        <f>IF(ISERROR(VLOOKUP($A1018,'13. Updated Demand'!A:Z,17,FALSE)),0,VLOOKUP($A1018,'13. Updated Demand'!A:Z,17,FALSE))</f>
        <v>0</v>
      </c>
      <c r="AA1018" s="16">
        <f>IF(ISERROR(VLOOKUP($A1018,'13. Updated Demand'!A:Z,18,FALSE)),0,VLOOKUP($A1018,'13. Updated Demand'!A:Z,18,FALSE))</f>
        <v>0</v>
      </c>
      <c r="AB1018" s="16">
        <f>IF(ISERROR(VLOOKUP($A1018,'13. Updated Demand'!A:Z,19,FALSE)),0,VLOOKUP($A1018,'13. Updated Demand'!A:Z,19,FALSE))</f>
        <v>0</v>
      </c>
      <c r="AC1018" s="16">
        <f>IF(ISERROR(VLOOKUP($A1018,'13. Updated Demand'!A:Z,20,FALSE)),0,VLOOKUP($A1018,'13. Updated Demand'!A:Z,20,FALSE))</f>
        <v>0</v>
      </c>
      <c r="AD1018" s="16">
        <f>IF(ISERROR(VLOOKUP($A1018,'13. Updated Demand'!A:Z,21,FALSE)),0,VLOOKUP($A1018,'13. Updated Demand'!A:Z,21,FALSE))</f>
        <v>0</v>
      </c>
      <c r="AE1018" s="16">
        <f>IF(ISERROR(VLOOKUP($A1018,'13. Updated Demand'!A:Z,22,FALSE)),0,VLOOKUP($A1018,'13. Updated Demand'!A:Z,22,FALSE))</f>
        <v>0</v>
      </c>
      <c r="AF1018" s="16">
        <f>IF(ISERROR(VLOOKUP($A1018,'13. Updated Demand'!A:Z,23,FALSE)),0,VLOOKUP($A1018,'13. Updated Demand'!A:Z,23,FALSE))</f>
        <v>0</v>
      </c>
      <c r="AG1018" s="16">
        <f>IF(ISERROR(VLOOKUP($A1018,'13. Updated Demand'!A:Z,24,FALSE)),0,VLOOKUP($A1018,'13. Updated Demand'!A:Z,24,FALSE))</f>
        <v>0</v>
      </c>
      <c r="AH1018" s="16">
        <f>IF(ISERROR(VLOOKUP($A1018,'13. Updated Demand'!A:Z,25,FALSE)),0,VLOOKUP($A1018,'13. Updated Demand'!A:Z,25,FALSE))</f>
        <v>0</v>
      </c>
      <c r="AI1018" s="16">
        <f>IF(ISERROR(VLOOKUP($A1018,'13. Updated Demand'!A:Z,26,FALSE)),0,VLOOKUP($A1018,'13. Updated Demand'!A:Z,26,FALSE))</f>
        <v>0</v>
      </c>
      <c r="AJ1018" s="16">
        <f t="shared" si="192"/>
        <v>0</v>
      </c>
      <c r="AK1018" s="19">
        <v>0</v>
      </c>
      <c r="AL1018" s="16">
        <f t="shared" si="190"/>
        <v>0</v>
      </c>
      <c r="AM1018" s="17">
        <v>0</v>
      </c>
      <c r="AN1018" s="19"/>
      <c r="AO1018" s="19"/>
      <c r="AP1018" s="19">
        <v>21</v>
      </c>
      <c r="AQ1018" s="19" t="s">
        <v>307</v>
      </c>
      <c r="AR1018" s="9" t="s">
        <v>725</v>
      </c>
      <c r="AS1018" s="12">
        <v>0</v>
      </c>
      <c r="AT1018" s="19">
        <v>38.473999999999997</v>
      </c>
      <c r="AU1018" s="19">
        <v>-122.7145</v>
      </c>
      <c r="AV1018" s="19" t="s">
        <v>417</v>
      </c>
    </row>
    <row r="1019" spans="1:48" x14ac:dyDescent="0.25">
      <c r="A1019" s="18" t="s">
        <v>1407</v>
      </c>
      <c r="B1019" s="10">
        <v>19601227</v>
      </c>
      <c r="C1019" s="9">
        <v>23</v>
      </c>
      <c r="D1019" s="8" t="str">
        <f t="shared" si="181"/>
        <v>N</v>
      </c>
      <c r="E1019" s="8" t="str">
        <f t="shared" si="182"/>
        <v>N</v>
      </c>
      <c r="F1019" s="8" t="str">
        <f t="shared" si="183"/>
        <v>N</v>
      </c>
      <c r="G1019" s="8" t="str">
        <f t="shared" si="184"/>
        <v>N</v>
      </c>
      <c r="H1019" s="8" t="str">
        <f t="shared" si="185"/>
        <v>Lower</v>
      </c>
      <c r="I1019" s="8" t="str">
        <f t="shared" si="186"/>
        <v>Outside</v>
      </c>
      <c r="J1019" s="8" t="str">
        <f t="shared" si="187"/>
        <v>Outside</v>
      </c>
      <c r="K1019" s="8" t="str">
        <f t="shared" si="188"/>
        <v>Post-1949</v>
      </c>
      <c r="L1019" s="8">
        <f t="shared" si="189"/>
        <v>1960</v>
      </c>
      <c r="M1019" s="8" t="str">
        <f t="shared" si="191"/>
        <v>1960-1970</v>
      </c>
      <c r="N1019" s="10" t="s">
        <v>242</v>
      </c>
      <c r="O1019" s="10" t="s">
        <v>242</v>
      </c>
      <c r="P1019" s="10" t="s">
        <v>242</v>
      </c>
      <c r="Q1019" s="10" t="s">
        <v>242</v>
      </c>
      <c r="R1019" s="10" t="s">
        <v>241</v>
      </c>
      <c r="S1019" s="10" t="s">
        <v>242</v>
      </c>
      <c r="T1019" s="10" t="s">
        <v>242</v>
      </c>
      <c r="U1019" s="10" t="s">
        <v>242</v>
      </c>
      <c r="V1019" s="10" t="s">
        <v>242</v>
      </c>
      <c r="W1019" s="10" t="s">
        <v>242</v>
      </c>
      <c r="X1019" s="15">
        <f>IF(ISERROR(VLOOKUP($A1019,'13. Updated Demand'!A:Z,15,FALSE)),0,VLOOKUP($A1019,'13. Updated Demand'!A:Z,15,FALSE))</f>
        <v>0.34333333300000002</v>
      </c>
      <c r="Y1019" s="16">
        <f>IF(ISERROR(VLOOKUP($A1019,'13. Updated Demand'!A:Z,16,FALSE)),0,VLOOKUP($A1019,'13. Updated Demand'!A:Z,16,FALSE))</f>
        <v>0.34333333300000002</v>
      </c>
      <c r="Z1019" s="16">
        <f>IF(ISERROR(VLOOKUP($A1019,'13. Updated Demand'!A:Z,17,FALSE)),0,VLOOKUP($A1019,'13. Updated Demand'!A:Z,17,FALSE))</f>
        <v>0.01</v>
      </c>
      <c r="AA1019" s="16">
        <f>IF(ISERROR(VLOOKUP($A1019,'13. Updated Demand'!A:Z,18,FALSE)),0,VLOOKUP($A1019,'13. Updated Demand'!A:Z,18,FALSE))</f>
        <v>0.01</v>
      </c>
      <c r="AB1019" s="16">
        <f>IF(ISERROR(VLOOKUP($A1019,'13. Updated Demand'!A:Z,19,FALSE)),0,VLOOKUP($A1019,'13. Updated Demand'!A:Z,19,FALSE))</f>
        <v>0.01</v>
      </c>
      <c r="AC1019" s="16">
        <f>IF(ISERROR(VLOOKUP($A1019,'13. Updated Demand'!A:Z,20,FALSE)),0,VLOOKUP($A1019,'13. Updated Demand'!A:Z,20,FALSE))</f>
        <v>0.01</v>
      </c>
      <c r="AD1019" s="16">
        <f>IF(ISERROR(VLOOKUP($A1019,'13. Updated Demand'!A:Z,21,FALSE)),0,VLOOKUP($A1019,'13. Updated Demand'!A:Z,21,FALSE))</f>
        <v>0</v>
      </c>
      <c r="AE1019" s="16">
        <f>IF(ISERROR(VLOOKUP($A1019,'13. Updated Demand'!A:Z,22,FALSE)),0,VLOOKUP($A1019,'13. Updated Demand'!A:Z,22,FALSE))</f>
        <v>0</v>
      </c>
      <c r="AF1019" s="16">
        <f>IF(ISERROR(VLOOKUP($A1019,'13. Updated Demand'!A:Z,23,FALSE)),0,VLOOKUP($A1019,'13. Updated Demand'!A:Z,23,FALSE))</f>
        <v>0</v>
      </c>
      <c r="AG1019" s="16">
        <f>IF(ISERROR(VLOOKUP($A1019,'13. Updated Demand'!A:Z,24,FALSE)),0,VLOOKUP($A1019,'13. Updated Demand'!A:Z,24,FALSE))</f>
        <v>0</v>
      </c>
      <c r="AH1019" s="16">
        <f>IF(ISERROR(VLOOKUP($A1019,'13. Updated Demand'!A:Z,25,FALSE)),0,VLOOKUP($A1019,'13. Updated Demand'!A:Z,25,FALSE))</f>
        <v>3.333333E-3</v>
      </c>
      <c r="AI1019" s="16">
        <f>IF(ISERROR(VLOOKUP($A1019,'13. Updated Demand'!A:Z,26,FALSE)),0,VLOOKUP($A1019,'13. Updated Demand'!A:Z,26,FALSE))</f>
        <v>0.34333333300000002</v>
      </c>
      <c r="AJ1019" s="16">
        <f t="shared" si="192"/>
        <v>1.0733333320000003</v>
      </c>
      <c r="AK1019" s="19">
        <v>0.02</v>
      </c>
      <c r="AL1019" s="16">
        <f t="shared" si="190"/>
        <v>6.6337721785910187E-5</v>
      </c>
      <c r="AM1019" s="17">
        <v>9.7575757575757482E-2</v>
      </c>
      <c r="AN1019" s="19"/>
      <c r="AO1019" s="19"/>
      <c r="AP1019" s="19">
        <v>11</v>
      </c>
      <c r="AQ1019" s="19" t="s">
        <v>307</v>
      </c>
      <c r="AR1019" s="9" t="s">
        <v>391</v>
      </c>
      <c r="AS1019" s="12">
        <v>0</v>
      </c>
      <c r="AT1019" s="19">
        <v>38.554664600000002</v>
      </c>
      <c r="AU1019" s="19">
        <v>-122.76656254</v>
      </c>
      <c r="AV1019" s="19" t="s">
        <v>417</v>
      </c>
    </row>
    <row r="1020" spans="1:48" x14ac:dyDescent="0.25">
      <c r="A1020" s="18" t="s">
        <v>1408</v>
      </c>
      <c r="B1020" s="10">
        <v>19600218</v>
      </c>
      <c r="C1020" s="9">
        <v>16</v>
      </c>
      <c r="D1020" s="8" t="str">
        <f t="shared" si="181"/>
        <v>N</v>
      </c>
      <c r="E1020" s="8" t="str">
        <f t="shared" si="182"/>
        <v>N</v>
      </c>
      <c r="F1020" s="8" t="str">
        <f t="shared" si="183"/>
        <v>N</v>
      </c>
      <c r="G1020" s="8" t="str">
        <f t="shared" si="184"/>
        <v>N</v>
      </c>
      <c r="H1020" s="8" t="str">
        <f t="shared" si="185"/>
        <v>Lower</v>
      </c>
      <c r="I1020" s="8" t="str">
        <f t="shared" si="186"/>
        <v>Outside</v>
      </c>
      <c r="J1020" s="8" t="str">
        <f t="shared" si="187"/>
        <v>Outside</v>
      </c>
      <c r="K1020" s="8" t="str">
        <f t="shared" si="188"/>
        <v>Post-1949</v>
      </c>
      <c r="L1020" s="8">
        <f t="shared" si="189"/>
        <v>1960</v>
      </c>
      <c r="M1020" s="8" t="str">
        <f t="shared" si="191"/>
        <v>1960-1970</v>
      </c>
      <c r="N1020" s="10" t="s">
        <v>242</v>
      </c>
      <c r="O1020" s="10" t="s">
        <v>242</v>
      </c>
      <c r="P1020" s="10" t="s">
        <v>242</v>
      </c>
      <c r="Q1020" s="10" t="s">
        <v>242</v>
      </c>
      <c r="R1020" s="10" t="s">
        <v>241</v>
      </c>
      <c r="S1020" s="10" t="s">
        <v>242</v>
      </c>
      <c r="T1020" s="10" t="s">
        <v>242</v>
      </c>
      <c r="U1020" s="10" t="s">
        <v>242</v>
      </c>
      <c r="V1020" s="10" t="s">
        <v>241</v>
      </c>
      <c r="W1020" s="10" t="s">
        <v>242</v>
      </c>
      <c r="X1020" s="15">
        <f>IF(ISERROR(VLOOKUP($A1020,'13. Updated Demand'!A:Z,15,FALSE)),0,VLOOKUP($A1020,'13. Updated Demand'!A:Z,15,FALSE))</f>
        <v>3</v>
      </c>
      <c r="Y1020" s="16">
        <f>IF(ISERROR(VLOOKUP($A1020,'13. Updated Demand'!A:Z,16,FALSE)),0,VLOOKUP($A1020,'13. Updated Demand'!A:Z,16,FALSE))</f>
        <v>2.5</v>
      </c>
      <c r="Z1020" s="16">
        <f>IF(ISERROR(VLOOKUP($A1020,'13. Updated Demand'!A:Z,17,FALSE)),0,VLOOKUP($A1020,'13. Updated Demand'!A:Z,17,FALSE))</f>
        <v>0.5</v>
      </c>
      <c r="AA1020" s="16">
        <f>IF(ISERROR(VLOOKUP($A1020,'13. Updated Demand'!A:Z,18,FALSE)),0,VLOOKUP($A1020,'13. Updated Demand'!A:Z,18,FALSE))</f>
        <v>0</v>
      </c>
      <c r="AB1020" s="16">
        <f>IF(ISERROR(VLOOKUP($A1020,'13. Updated Demand'!A:Z,19,FALSE)),0,VLOOKUP($A1020,'13. Updated Demand'!A:Z,19,FALSE))</f>
        <v>0</v>
      </c>
      <c r="AC1020" s="16">
        <f>IF(ISERROR(VLOOKUP($A1020,'13. Updated Demand'!A:Z,20,FALSE)),0,VLOOKUP($A1020,'13. Updated Demand'!A:Z,20,FALSE))</f>
        <v>0</v>
      </c>
      <c r="AD1020" s="16">
        <f>IF(ISERROR(VLOOKUP($A1020,'13. Updated Demand'!A:Z,21,FALSE)),0,VLOOKUP($A1020,'13. Updated Demand'!A:Z,21,FALSE))</f>
        <v>0</v>
      </c>
      <c r="AE1020" s="16">
        <f>IF(ISERROR(VLOOKUP($A1020,'13. Updated Demand'!A:Z,22,FALSE)),0,VLOOKUP($A1020,'13. Updated Demand'!A:Z,22,FALSE))</f>
        <v>0</v>
      </c>
      <c r="AF1020" s="16">
        <f>IF(ISERROR(VLOOKUP($A1020,'13. Updated Demand'!A:Z,23,FALSE)),0,VLOOKUP($A1020,'13. Updated Demand'!A:Z,23,FALSE))</f>
        <v>0</v>
      </c>
      <c r="AG1020" s="16">
        <f>IF(ISERROR(VLOOKUP($A1020,'13. Updated Demand'!A:Z,24,FALSE)),0,VLOOKUP($A1020,'13. Updated Demand'!A:Z,24,FALSE))</f>
        <v>0</v>
      </c>
      <c r="AH1020" s="16">
        <f>IF(ISERROR(VLOOKUP($A1020,'13. Updated Demand'!A:Z,25,FALSE)),0,VLOOKUP($A1020,'13. Updated Demand'!A:Z,25,FALSE))</f>
        <v>0</v>
      </c>
      <c r="AI1020" s="16">
        <f>IF(ISERROR(VLOOKUP($A1020,'13. Updated Demand'!A:Z,26,FALSE)),0,VLOOKUP($A1020,'13. Updated Demand'!A:Z,26,FALSE))</f>
        <v>4.5</v>
      </c>
      <c r="AJ1020" s="16">
        <f t="shared" si="192"/>
        <v>10.5</v>
      </c>
      <c r="AK1020" s="19">
        <v>0</v>
      </c>
      <c r="AL1020" s="16">
        <f t="shared" si="190"/>
        <v>0</v>
      </c>
      <c r="AM1020" s="17">
        <v>0.29166666666666669</v>
      </c>
      <c r="AN1020" s="19"/>
      <c r="AO1020" s="19"/>
      <c r="AP1020" s="19">
        <v>36</v>
      </c>
      <c r="AQ1020" s="19" t="s">
        <v>307</v>
      </c>
      <c r="AR1020" s="9" t="s">
        <v>394</v>
      </c>
      <c r="AS1020" s="12">
        <v>0</v>
      </c>
      <c r="AT1020" s="19">
        <v>38.653915400000002</v>
      </c>
      <c r="AU1020" s="19">
        <v>-122.90280623</v>
      </c>
      <c r="AV1020" s="19" t="s">
        <v>417</v>
      </c>
    </row>
    <row r="1021" spans="1:48" x14ac:dyDescent="0.25">
      <c r="A1021" s="18" t="s">
        <v>1409</v>
      </c>
      <c r="B1021" s="10">
        <v>19600718</v>
      </c>
      <c r="C1021" s="9">
        <v>16</v>
      </c>
      <c r="D1021" s="8" t="str">
        <f t="shared" si="181"/>
        <v>N</v>
      </c>
      <c r="E1021" s="8" t="str">
        <f t="shared" si="182"/>
        <v>N</v>
      </c>
      <c r="F1021" s="8" t="str">
        <f t="shared" si="183"/>
        <v>N</v>
      </c>
      <c r="G1021" s="8" t="str">
        <f t="shared" si="184"/>
        <v>N</v>
      </c>
      <c r="H1021" s="8" t="str">
        <f t="shared" si="185"/>
        <v>Lower</v>
      </c>
      <c r="I1021" s="8" t="str">
        <f t="shared" si="186"/>
        <v>Outside</v>
      </c>
      <c r="J1021" s="8" t="str">
        <f t="shared" si="187"/>
        <v>Outside</v>
      </c>
      <c r="K1021" s="8" t="str">
        <f t="shared" si="188"/>
        <v>Post-1949</v>
      </c>
      <c r="L1021" s="8">
        <f t="shared" si="189"/>
        <v>1960</v>
      </c>
      <c r="M1021" s="8" t="str">
        <f t="shared" si="191"/>
        <v>1960-1970</v>
      </c>
      <c r="N1021" s="10" t="s">
        <v>242</v>
      </c>
      <c r="O1021" s="10" t="s">
        <v>242</v>
      </c>
      <c r="P1021" s="10" t="s">
        <v>242</v>
      </c>
      <c r="Q1021" s="10" t="s">
        <v>242</v>
      </c>
      <c r="R1021" s="10" t="s">
        <v>241</v>
      </c>
      <c r="S1021" s="10" t="s">
        <v>242</v>
      </c>
      <c r="T1021" s="10" t="s">
        <v>242</v>
      </c>
      <c r="U1021" s="10" t="s">
        <v>241</v>
      </c>
      <c r="V1021" s="10" t="s">
        <v>241</v>
      </c>
      <c r="W1021" s="10" t="s">
        <v>242</v>
      </c>
      <c r="X1021" s="15">
        <f>IF(ISERROR(VLOOKUP($A1021,'13. Updated Demand'!A:Z,15,FALSE)),0,VLOOKUP($A1021,'13. Updated Demand'!A:Z,15,FALSE))</f>
        <v>0</v>
      </c>
      <c r="Y1021" s="16">
        <f>IF(ISERROR(VLOOKUP($A1021,'13. Updated Demand'!A:Z,16,FALSE)),0,VLOOKUP($A1021,'13. Updated Demand'!A:Z,16,FALSE))</f>
        <v>0</v>
      </c>
      <c r="Z1021" s="16">
        <f>IF(ISERROR(VLOOKUP($A1021,'13. Updated Demand'!A:Z,17,FALSE)),0,VLOOKUP($A1021,'13. Updated Demand'!A:Z,17,FALSE))</f>
        <v>0</v>
      </c>
      <c r="AA1021" s="16">
        <f>IF(ISERROR(VLOOKUP($A1021,'13. Updated Demand'!A:Z,18,FALSE)),0,VLOOKUP($A1021,'13. Updated Demand'!A:Z,18,FALSE))</f>
        <v>0</v>
      </c>
      <c r="AB1021" s="16">
        <f>IF(ISERROR(VLOOKUP($A1021,'13. Updated Demand'!A:Z,19,FALSE)),0,VLOOKUP($A1021,'13. Updated Demand'!A:Z,19,FALSE))</f>
        <v>0</v>
      </c>
      <c r="AC1021" s="16">
        <f>IF(ISERROR(VLOOKUP($A1021,'13. Updated Demand'!A:Z,20,FALSE)),0,VLOOKUP($A1021,'13. Updated Demand'!A:Z,20,FALSE))</f>
        <v>0</v>
      </c>
      <c r="AD1021" s="16">
        <f>IF(ISERROR(VLOOKUP($A1021,'13. Updated Demand'!A:Z,21,FALSE)),0,VLOOKUP($A1021,'13. Updated Demand'!A:Z,21,FALSE))</f>
        <v>0</v>
      </c>
      <c r="AE1021" s="16">
        <f>IF(ISERROR(VLOOKUP($A1021,'13. Updated Demand'!A:Z,22,FALSE)),0,VLOOKUP($A1021,'13. Updated Demand'!A:Z,22,FALSE))</f>
        <v>0</v>
      </c>
      <c r="AF1021" s="16">
        <f>IF(ISERROR(VLOOKUP($A1021,'13. Updated Demand'!A:Z,23,FALSE)),0,VLOOKUP($A1021,'13. Updated Demand'!A:Z,23,FALSE))</f>
        <v>0</v>
      </c>
      <c r="AG1021" s="16">
        <f>IF(ISERROR(VLOOKUP($A1021,'13. Updated Demand'!A:Z,24,FALSE)),0,VLOOKUP($A1021,'13. Updated Demand'!A:Z,24,FALSE))</f>
        <v>0</v>
      </c>
      <c r="AH1021" s="16">
        <f>IF(ISERROR(VLOOKUP($A1021,'13. Updated Demand'!A:Z,25,FALSE)),0,VLOOKUP($A1021,'13. Updated Demand'!A:Z,25,FALSE))</f>
        <v>0</v>
      </c>
      <c r="AI1021" s="16">
        <f>IF(ISERROR(VLOOKUP($A1021,'13. Updated Demand'!A:Z,26,FALSE)),0,VLOOKUP($A1021,'13. Updated Demand'!A:Z,26,FALSE))</f>
        <v>0</v>
      </c>
      <c r="AJ1021" s="16">
        <f t="shared" si="192"/>
        <v>0</v>
      </c>
      <c r="AK1021" s="19">
        <v>0</v>
      </c>
      <c r="AL1021" s="16">
        <f t="shared" si="190"/>
        <v>0</v>
      </c>
      <c r="AM1021" s="17">
        <v>0</v>
      </c>
      <c r="AN1021" s="19"/>
      <c r="AO1021" s="19"/>
      <c r="AP1021" s="19">
        <v>48</v>
      </c>
      <c r="AQ1021" s="19" t="s">
        <v>307</v>
      </c>
      <c r="AR1021" s="9" t="s">
        <v>394</v>
      </c>
      <c r="AS1021" s="12">
        <v>3.4039024194010059E-4</v>
      </c>
      <c r="AT1021" s="19">
        <v>38.607552699999999</v>
      </c>
      <c r="AU1021" s="19">
        <v>-122.94876606</v>
      </c>
      <c r="AV1021" s="19" t="s">
        <v>417</v>
      </c>
    </row>
    <row r="1022" spans="1:48" x14ac:dyDescent="0.25">
      <c r="A1022" s="18" t="s">
        <v>1410</v>
      </c>
      <c r="B1022" s="10">
        <v>19600830</v>
      </c>
      <c r="C1022" s="9">
        <v>16</v>
      </c>
      <c r="D1022" s="8" t="str">
        <f t="shared" si="181"/>
        <v>N</v>
      </c>
      <c r="E1022" s="8" t="str">
        <f t="shared" si="182"/>
        <v>N</v>
      </c>
      <c r="F1022" s="8" t="str">
        <f t="shared" si="183"/>
        <v>N</v>
      </c>
      <c r="G1022" s="8" t="str">
        <f t="shared" si="184"/>
        <v>N</v>
      </c>
      <c r="H1022" s="8" t="str">
        <f t="shared" si="185"/>
        <v>Lower</v>
      </c>
      <c r="I1022" s="8" t="str">
        <f t="shared" si="186"/>
        <v>Outside</v>
      </c>
      <c r="J1022" s="8" t="str">
        <f t="shared" si="187"/>
        <v>Outside</v>
      </c>
      <c r="K1022" s="8" t="str">
        <f t="shared" si="188"/>
        <v>Post-1949</v>
      </c>
      <c r="L1022" s="8">
        <f t="shared" si="189"/>
        <v>1960</v>
      </c>
      <c r="M1022" s="8" t="str">
        <f t="shared" si="191"/>
        <v>1960-1970</v>
      </c>
      <c r="N1022" s="10" t="s">
        <v>242</v>
      </c>
      <c r="O1022" s="10" t="s">
        <v>242</v>
      </c>
      <c r="P1022" s="10" t="s">
        <v>242</v>
      </c>
      <c r="Q1022" s="10" t="s">
        <v>242</v>
      </c>
      <c r="R1022" s="10" t="s">
        <v>241</v>
      </c>
      <c r="S1022" s="10" t="s">
        <v>242</v>
      </c>
      <c r="T1022" s="10" t="s">
        <v>242</v>
      </c>
      <c r="U1022" s="10" t="s">
        <v>242</v>
      </c>
      <c r="V1022" s="10" t="s">
        <v>242</v>
      </c>
      <c r="W1022" s="10" t="s">
        <v>242</v>
      </c>
      <c r="X1022" s="15">
        <f>IF(ISERROR(VLOOKUP($A1022,'13. Updated Demand'!A:Z,15,FALSE)),0,VLOOKUP($A1022,'13. Updated Demand'!A:Z,15,FALSE))</f>
        <v>0.19466666699999999</v>
      </c>
      <c r="Y1022" s="16">
        <f>IF(ISERROR(VLOOKUP($A1022,'13. Updated Demand'!A:Z,16,FALSE)),0,VLOOKUP($A1022,'13. Updated Demand'!A:Z,16,FALSE))</f>
        <v>8.4333332999999996E-2</v>
      </c>
      <c r="Z1022" s="16">
        <f>IF(ISERROR(VLOOKUP($A1022,'13. Updated Demand'!A:Z,17,FALSE)),0,VLOOKUP($A1022,'13. Updated Demand'!A:Z,17,FALSE))</f>
        <v>8.5633333000000006E-2</v>
      </c>
      <c r="AA1022" s="16">
        <f>IF(ISERROR(VLOOKUP($A1022,'13. Updated Demand'!A:Z,18,FALSE)),0,VLOOKUP($A1022,'13. Updated Demand'!A:Z,18,FALSE))</f>
        <v>3.0933333E-2</v>
      </c>
      <c r="AB1022" s="16">
        <f>IF(ISERROR(VLOOKUP($A1022,'13. Updated Demand'!A:Z,19,FALSE)),0,VLOOKUP($A1022,'13. Updated Demand'!A:Z,19,FALSE))</f>
        <v>5.6666666999999997E-2</v>
      </c>
      <c r="AC1022" s="16">
        <f>IF(ISERROR(VLOOKUP($A1022,'13. Updated Demand'!A:Z,20,FALSE)),0,VLOOKUP($A1022,'13. Updated Demand'!A:Z,20,FALSE))</f>
        <v>0</v>
      </c>
      <c r="AD1022" s="16">
        <f>IF(ISERROR(VLOOKUP($A1022,'13. Updated Demand'!A:Z,21,FALSE)),0,VLOOKUP($A1022,'13. Updated Demand'!A:Z,21,FALSE))</f>
        <v>0</v>
      </c>
      <c r="AE1022" s="16">
        <f>IF(ISERROR(VLOOKUP($A1022,'13. Updated Demand'!A:Z,22,FALSE)),0,VLOOKUP($A1022,'13. Updated Demand'!A:Z,22,FALSE))</f>
        <v>0</v>
      </c>
      <c r="AF1022" s="16">
        <f>IF(ISERROR(VLOOKUP($A1022,'13. Updated Demand'!A:Z,23,FALSE)),0,VLOOKUP($A1022,'13. Updated Demand'!A:Z,23,FALSE))</f>
        <v>0</v>
      </c>
      <c r="AG1022" s="16">
        <f>IF(ISERROR(VLOOKUP($A1022,'13. Updated Demand'!A:Z,24,FALSE)),0,VLOOKUP($A1022,'13. Updated Demand'!A:Z,24,FALSE))</f>
        <v>6.8000000000000005E-2</v>
      </c>
      <c r="AH1022" s="16">
        <f>IF(ISERROR(VLOOKUP($A1022,'13. Updated Demand'!A:Z,25,FALSE)),0,VLOOKUP($A1022,'13. Updated Demand'!A:Z,25,FALSE))</f>
        <v>0.10199999999999999</v>
      </c>
      <c r="AI1022" s="16">
        <f>IF(ISERROR(VLOOKUP($A1022,'13. Updated Demand'!A:Z,26,FALSE)),0,VLOOKUP($A1022,'13. Updated Demand'!A:Z,26,FALSE))</f>
        <v>0.19719999999999999</v>
      </c>
      <c r="AJ1022" s="16">
        <f t="shared" si="192"/>
        <v>0.81943333299999987</v>
      </c>
      <c r="AK1022" s="19">
        <v>5.6666666666666698E-2</v>
      </c>
      <c r="AL1022" s="16">
        <f t="shared" si="190"/>
        <v>1.8795687839341229E-4</v>
      </c>
      <c r="AM1022" s="17">
        <v>2.2762037037037039E-2</v>
      </c>
      <c r="AN1022" s="19"/>
      <c r="AO1022" s="19"/>
      <c r="AP1022" s="19">
        <v>36</v>
      </c>
      <c r="AQ1022" s="19" t="s">
        <v>307</v>
      </c>
      <c r="AR1022" s="9" t="s">
        <v>394</v>
      </c>
      <c r="AS1022" s="12">
        <v>0</v>
      </c>
      <c r="AT1022" s="19">
        <v>38.596714759999998</v>
      </c>
      <c r="AU1022" s="19">
        <v>-122.89578398</v>
      </c>
      <c r="AV1022" s="19" t="s">
        <v>417</v>
      </c>
    </row>
    <row r="1023" spans="1:48" x14ac:dyDescent="0.25">
      <c r="A1023" s="18" t="s">
        <v>1411</v>
      </c>
      <c r="B1023" s="10">
        <v>19590205</v>
      </c>
      <c r="C1023" s="9">
        <v>18</v>
      </c>
      <c r="D1023" s="8" t="str">
        <f t="shared" si="181"/>
        <v>N</v>
      </c>
      <c r="E1023" s="8" t="str">
        <f t="shared" si="182"/>
        <v>N</v>
      </c>
      <c r="F1023" s="8" t="str">
        <f t="shared" si="183"/>
        <v>N</v>
      </c>
      <c r="G1023" s="8" t="str">
        <f t="shared" si="184"/>
        <v>N</v>
      </c>
      <c r="H1023" s="8" t="str">
        <f t="shared" si="185"/>
        <v>Lower</v>
      </c>
      <c r="I1023" s="8" t="str">
        <f t="shared" si="186"/>
        <v>Outside</v>
      </c>
      <c r="J1023" s="8" t="str">
        <f t="shared" si="187"/>
        <v>Outside</v>
      </c>
      <c r="K1023" s="8" t="str">
        <f t="shared" si="188"/>
        <v>Post-1949</v>
      </c>
      <c r="L1023" s="8">
        <f t="shared" si="189"/>
        <v>1959</v>
      </c>
      <c r="M1023" s="8" t="str">
        <f t="shared" si="191"/>
        <v>1957-1959</v>
      </c>
      <c r="N1023" s="10" t="s">
        <v>242</v>
      </c>
      <c r="O1023" s="10" t="s">
        <v>242</v>
      </c>
      <c r="P1023" s="10" t="s">
        <v>242</v>
      </c>
      <c r="Q1023" s="10" t="s">
        <v>242</v>
      </c>
      <c r="R1023" s="10" t="s">
        <v>241</v>
      </c>
      <c r="S1023" s="10" t="s">
        <v>242</v>
      </c>
      <c r="T1023" s="10" t="s">
        <v>242</v>
      </c>
      <c r="U1023" s="10" t="s">
        <v>241</v>
      </c>
      <c r="V1023" s="10" t="s">
        <v>241</v>
      </c>
      <c r="W1023" s="10" t="s">
        <v>242</v>
      </c>
      <c r="X1023" s="15">
        <f>IF(ISERROR(VLOOKUP($A1023,'13. Updated Demand'!A:Z,15,FALSE)),0,VLOOKUP($A1023,'13. Updated Demand'!A:Z,15,FALSE))</f>
        <v>0</v>
      </c>
      <c r="Y1023" s="16">
        <f>IF(ISERROR(VLOOKUP($A1023,'13. Updated Demand'!A:Z,16,FALSE)),0,VLOOKUP($A1023,'13. Updated Demand'!A:Z,16,FALSE))</f>
        <v>0</v>
      </c>
      <c r="Z1023" s="16">
        <f>IF(ISERROR(VLOOKUP($A1023,'13. Updated Demand'!A:Z,17,FALSE)),0,VLOOKUP($A1023,'13. Updated Demand'!A:Z,17,FALSE))</f>
        <v>0</v>
      </c>
      <c r="AA1023" s="16">
        <f>IF(ISERROR(VLOOKUP($A1023,'13. Updated Demand'!A:Z,18,FALSE)),0,VLOOKUP($A1023,'13. Updated Demand'!A:Z,18,FALSE))</f>
        <v>0</v>
      </c>
      <c r="AB1023" s="16">
        <f>IF(ISERROR(VLOOKUP($A1023,'13. Updated Demand'!A:Z,19,FALSE)),0,VLOOKUP($A1023,'13. Updated Demand'!A:Z,19,FALSE))</f>
        <v>0</v>
      </c>
      <c r="AC1023" s="16">
        <f>IF(ISERROR(VLOOKUP($A1023,'13. Updated Demand'!A:Z,20,FALSE)),0,VLOOKUP($A1023,'13. Updated Demand'!A:Z,20,FALSE))</f>
        <v>0</v>
      </c>
      <c r="AD1023" s="16">
        <f>IF(ISERROR(VLOOKUP($A1023,'13. Updated Demand'!A:Z,21,FALSE)),0,VLOOKUP($A1023,'13. Updated Demand'!A:Z,21,FALSE))</f>
        <v>0</v>
      </c>
      <c r="AE1023" s="16">
        <f>IF(ISERROR(VLOOKUP($A1023,'13. Updated Demand'!A:Z,22,FALSE)),0,VLOOKUP($A1023,'13. Updated Demand'!A:Z,22,FALSE))</f>
        <v>0</v>
      </c>
      <c r="AF1023" s="16">
        <f>IF(ISERROR(VLOOKUP($A1023,'13. Updated Demand'!A:Z,23,FALSE)),0,VLOOKUP($A1023,'13. Updated Demand'!A:Z,23,FALSE))</f>
        <v>0</v>
      </c>
      <c r="AG1023" s="16">
        <f>IF(ISERROR(VLOOKUP($A1023,'13. Updated Demand'!A:Z,24,FALSE)),0,VLOOKUP($A1023,'13. Updated Demand'!A:Z,24,FALSE))</f>
        <v>0</v>
      </c>
      <c r="AH1023" s="16">
        <f>IF(ISERROR(VLOOKUP($A1023,'13. Updated Demand'!A:Z,25,FALSE)),0,VLOOKUP($A1023,'13. Updated Demand'!A:Z,25,FALSE))</f>
        <v>0</v>
      </c>
      <c r="AI1023" s="16">
        <f>IF(ISERROR(VLOOKUP($A1023,'13. Updated Demand'!A:Z,26,FALSE)),0,VLOOKUP($A1023,'13. Updated Demand'!A:Z,26,FALSE))</f>
        <v>0</v>
      </c>
      <c r="AJ1023" s="16">
        <f t="shared" si="192"/>
        <v>0</v>
      </c>
      <c r="AK1023" s="19">
        <v>0</v>
      </c>
      <c r="AL1023" s="16">
        <f t="shared" si="190"/>
        <v>0</v>
      </c>
      <c r="AM1023" s="17">
        <v>0</v>
      </c>
      <c r="AN1023" s="19"/>
      <c r="AO1023" s="19"/>
      <c r="AP1023" s="19">
        <v>23</v>
      </c>
      <c r="AQ1023" s="19" t="s">
        <v>307</v>
      </c>
      <c r="AR1023" s="9" t="s">
        <v>352</v>
      </c>
      <c r="AS1023" s="12">
        <v>0</v>
      </c>
      <c r="AT1023" s="19">
        <v>38.461242200000001</v>
      </c>
      <c r="AU1023" s="19">
        <v>-122.90770812</v>
      </c>
      <c r="AV1023" s="19" t="s">
        <v>1412</v>
      </c>
    </row>
    <row r="1024" spans="1:48" x14ac:dyDescent="0.25">
      <c r="A1024" s="18" t="s">
        <v>1413</v>
      </c>
      <c r="B1024" s="10">
        <v>19590417</v>
      </c>
      <c r="C1024" s="9">
        <v>1</v>
      </c>
      <c r="D1024" s="8" t="str">
        <f t="shared" si="181"/>
        <v>N</v>
      </c>
      <c r="E1024" s="8" t="str">
        <f t="shared" si="182"/>
        <v>N</v>
      </c>
      <c r="F1024" s="8" t="str">
        <f t="shared" si="183"/>
        <v>Y</v>
      </c>
      <c r="G1024" s="8" t="str">
        <f t="shared" si="184"/>
        <v>Y</v>
      </c>
      <c r="H1024" s="8" t="str">
        <f t="shared" si="185"/>
        <v>Upper</v>
      </c>
      <c r="I1024" s="8" t="str">
        <f t="shared" si="186"/>
        <v>West Fork and Below Lake</v>
      </c>
      <c r="J1024" s="8" t="str">
        <f t="shared" si="187"/>
        <v>Outside</v>
      </c>
      <c r="K1024" s="8" t="str">
        <f t="shared" si="188"/>
        <v>Post-1949</v>
      </c>
      <c r="L1024" s="8">
        <f t="shared" si="189"/>
        <v>1959</v>
      </c>
      <c r="M1024" s="8" t="str">
        <f t="shared" si="191"/>
        <v>1957-1959</v>
      </c>
      <c r="N1024" s="10" t="s">
        <v>242</v>
      </c>
      <c r="O1024" s="10" t="s">
        <v>241</v>
      </c>
      <c r="P1024" s="10" t="s">
        <v>242</v>
      </c>
      <c r="Q1024" s="10" t="s">
        <v>242</v>
      </c>
      <c r="R1024" s="10" t="s">
        <v>241</v>
      </c>
      <c r="S1024" s="10" t="s">
        <v>242</v>
      </c>
      <c r="T1024" s="10" t="s">
        <v>242</v>
      </c>
      <c r="U1024" s="10" t="s">
        <v>242</v>
      </c>
      <c r="V1024" s="10" t="s">
        <v>242</v>
      </c>
      <c r="W1024" s="10" t="s">
        <v>242</v>
      </c>
      <c r="X1024" s="15">
        <f>IF(ISERROR(VLOOKUP($A1024,'13. Updated Demand'!A:Z,15,FALSE)),0,VLOOKUP($A1024,'13. Updated Demand'!A:Z,15,FALSE))</f>
        <v>0.25</v>
      </c>
      <c r="Y1024" s="16">
        <f>IF(ISERROR(VLOOKUP($A1024,'13. Updated Demand'!A:Z,16,FALSE)),0,VLOOKUP($A1024,'13. Updated Demand'!A:Z,16,FALSE))</f>
        <v>0.25</v>
      </c>
      <c r="Z1024" s="16">
        <f>IF(ISERROR(VLOOKUP($A1024,'13. Updated Demand'!A:Z,17,FALSE)),0,VLOOKUP($A1024,'13. Updated Demand'!A:Z,17,FALSE))</f>
        <v>0.5</v>
      </c>
      <c r="AA1024" s="16">
        <f>IF(ISERROR(VLOOKUP($A1024,'13. Updated Demand'!A:Z,18,FALSE)),0,VLOOKUP($A1024,'13. Updated Demand'!A:Z,18,FALSE))</f>
        <v>0.7</v>
      </c>
      <c r="AB1024" s="16">
        <f>IF(ISERROR(VLOOKUP($A1024,'13. Updated Demand'!A:Z,19,FALSE)),0,VLOOKUP($A1024,'13. Updated Demand'!A:Z,19,FALSE))</f>
        <v>0.73</v>
      </c>
      <c r="AC1024" s="16">
        <f>IF(ISERROR(VLOOKUP($A1024,'13. Updated Demand'!A:Z,20,FALSE)),0,VLOOKUP($A1024,'13. Updated Demand'!A:Z,20,FALSE))</f>
        <v>0.5</v>
      </c>
      <c r="AD1024" s="16">
        <f>IF(ISERROR(VLOOKUP($A1024,'13. Updated Demand'!A:Z,21,FALSE)),0,VLOOKUP($A1024,'13. Updated Demand'!A:Z,21,FALSE))</f>
        <v>0.66</v>
      </c>
      <c r="AE1024" s="16">
        <f>IF(ISERROR(VLOOKUP($A1024,'13. Updated Demand'!A:Z,22,FALSE)),0,VLOOKUP($A1024,'13. Updated Demand'!A:Z,22,FALSE))</f>
        <v>0.5</v>
      </c>
      <c r="AF1024" s="16">
        <f>IF(ISERROR(VLOOKUP($A1024,'13. Updated Demand'!A:Z,23,FALSE)),0,VLOOKUP($A1024,'13. Updated Demand'!A:Z,23,FALSE))</f>
        <v>0.4</v>
      </c>
      <c r="AG1024" s="16">
        <f>IF(ISERROR(VLOOKUP($A1024,'13. Updated Demand'!A:Z,24,FALSE)),0,VLOOKUP($A1024,'13. Updated Demand'!A:Z,24,FALSE))</f>
        <v>0.21</v>
      </c>
      <c r="AH1024" s="16">
        <f>IF(ISERROR(VLOOKUP($A1024,'13. Updated Demand'!A:Z,25,FALSE)),0,VLOOKUP($A1024,'13. Updated Demand'!A:Z,25,FALSE))</f>
        <v>0.1</v>
      </c>
      <c r="AI1024" s="16">
        <f>IF(ISERROR(VLOOKUP($A1024,'13. Updated Demand'!A:Z,26,FALSE)),0,VLOOKUP($A1024,'13. Updated Demand'!A:Z,26,FALSE))</f>
        <v>0.06</v>
      </c>
      <c r="AJ1024" s="16">
        <f t="shared" si="192"/>
        <v>4.8599999999999994</v>
      </c>
      <c r="AK1024" s="19">
        <v>2.8</v>
      </c>
      <c r="AL1024" s="16">
        <f t="shared" si="190"/>
        <v>9.2872810500274246E-3</v>
      </c>
      <c r="AM1024" s="17">
        <v>0.97666666679999992</v>
      </c>
      <c r="AN1024" s="19"/>
      <c r="AO1024" s="19"/>
      <c r="AP1024" s="19">
        <v>5</v>
      </c>
      <c r="AQ1024" s="19" t="s">
        <v>307</v>
      </c>
      <c r="AR1024" s="9" t="s">
        <v>317</v>
      </c>
      <c r="AS1024" s="12">
        <v>3.4039024194010059E-4</v>
      </c>
      <c r="AT1024" s="19">
        <v>39.335888650000001</v>
      </c>
      <c r="AU1024" s="19">
        <v>-123.23081051</v>
      </c>
      <c r="AV1024" s="19" t="s">
        <v>417</v>
      </c>
    </row>
    <row r="1025" spans="1:48" x14ac:dyDescent="0.25">
      <c r="A1025" s="18" t="s">
        <v>1414</v>
      </c>
      <c r="B1025" s="10">
        <v>19590417</v>
      </c>
      <c r="C1025" s="9">
        <v>9</v>
      </c>
      <c r="D1025" s="8" t="str">
        <f t="shared" si="181"/>
        <v>N</v>
      </c>
      <c r="E1025" s="8" t="str">
        <f t="shared" si="182"/>
        <v>Y</v>
      </c>
      <c r="F1025" s="8" t="str">
        <f t="shared" si="183"/>
        <v>Y</v>
      </c>
      <c r="G1025" s="8" t="str">
        <f t="shared" si="184"/>
        <v>Y</v>
      </c>
      <c r="H1025" s="8" t="str">
        <f t="shared" si="185"/>
        <v>Upper</v>
      </c>
      <c r="I1025" s="8" t="str">
        <f t="shared" si="186"/>
        <v>West Fork and Below Lake</v>
      </c>
      <c r="J1025" s="8" t="str">
        <f t="shared" si="187"/>
        <v>Sonoma (d/s of Clov. Gage)</v>
      </c>
      <c r="K1025" s="8" t="str">
        <f t="shared" si="188"/>
        <v>Post-1949</v>
      </c>
      <c r="L1025" s="8">
        <f t="shared" si="189"/>
        <v>1959</v>
      </c>
      <c r="M1025" s="8" t="str">
        <f t="shared" si="191"/>
        <v>1957-1959</v>
      </c>
      <c r="N1025" s="10" t="s">
        <v>241</v>
      </c>
      <c r="O1025" s="10" t="s">
        <v>241</v>
      </c>
      <c r="P1025" s="10" t="s">
        <v>242</v>
      </c>
      <c r="Q1025" s="10" t="s">
        <v>242</v>
      </c>
      <c r="R1025" s="10" t="s">
        <v>241</v>
      </c>
      <c r="S1025" s="10" t="s">
        <v>242</v>
      </c>
      <c r="T1025" s="10" t="s">
        <v>242</v>
      </c>
      <c r="U1025" s="10" t="s">
        <v>242</v>
      </c>
      <c r="V1025" s="10" t="s">
        <v>242</v>
      </c>
      <c r="W1025" s="10" t="s">
        <v>242</v>
      </c>
      <c r="X1025" s="15">
        <f>IF(ISERROR(VLOOKUP($A1025,'13. Updated Demand'!A:Z,15,FALSE)),0,VLOOKUP($A1025,'13. Updated Demand'!A:Z,15,FALSE))</f>
        <v>0</v>
      </c>
      <c r="Y1025" s="16">
        <f>IF(ISERROR(VLOOKUP($A1025,'13. Updated Demand'!A:Z,16,FALSE)),0,VLOOKUP($A1025,'13. Updated Demand'!A:Z,16,FALSE))</f>
        <v>0</v>
      </c>
      <c r="Z1025" s="16">
        <f>IF(ISERROR(VLOOKUP($A1025,'13. Updated Demand'!A:Z,17,FALSE)),0,VLOOKUP($A1025,'13. Updated Demand'!A:Z,17,FALSE))</f>
        <v>0</v>
      </c>
      <c r="AA1025" s="16">
        <f>IF(ISERROR(VLOOKUP($A1025,'13. Updated Demand'!A:Z,18,FALSE)),0,VLOOKUP($A1025,'13. Updated Demand'!A:Z,18,FALSE))</f>
        <v>0</v>
      </c>
      <c r="AB1025" s="16">
        <f>IF(ISERROR(VLOOKUP($A1025,'13. Updated Demand'!A:Z,19,FALSE)),0,VLOOKUP($A1025,'13. Updated Demand'!A:Z,19,FALSE))</f>
        <v>0</v>
      </c>
      <c r="AC1025" s="16">
        <f>IF(ISERROR(VLOOKUP($A1025,'13. Updated Demand'!A:Z,20,FALSE)),0,VLOOKUP($A1025,'13. Updated Demand'!A:Z,20,FALSE))</f>
        <v>2.5140000000000002E-3</v>
      </c>
      <c r="AD1025" s="16">
        <f>IF(ISERROR(VLOOKUP($A1025,'13. Updated Demand'!A:Z,21,FALSE)),0,VLOOKUP($A1025,'13. Updated Demand'!A:Z,21,FALSE))</f>
        <v>0</v>
      </c>
      <c r="AE1025" s="16">
        <f>IF(ISERROR(VLOOKUP($A1025,'13. Updated Demand'!A:Z,22,FALSE)),0,VLOOKUP($A1025,'13. Updated Demand'!A:Z,22,FALSE))</f>
        <v>0</v>
      </c>
      <c r="AF1025" s="16">
        <f>IF(ISERROR(VLOOKUP($A1025,'13. Updated Demand'!A:Z,23,FALSE)),0,VLOOKUP($A1025,'13. Updated Demand'!A:Z,23,FALSE))</f>
        <v>0</v>
      </c>
      <c r="AG1025" s="16">
        <f>IF(ISERROR(VLOOKUP($A1025,'13. Updated Demand'!A:Z,24,FALSE)),0,VLOOKUP($A1025,'13. Updated Demand'!A:Z,24,FALSE))</f>
        <v>0</v>
      </c>
      <c r="AH1025" s="16">
        <f>IF(ISERROR(VLOOKUP($A1025,'13. Updated Demand'!A:Z,25,FALSE)),0,VLOOKUP($A1025,'13. Updated Demand'!A:Z,25,FALSE))</f>
        <v>0</v>
      </c>
      <c r="AI1025" s="16">
        <f>IF(ISERROR(VLOOKUP($A1025,'13. Updated Demand'!A:Z,26,FALSE)),0,VLOOKUP($A1025,'13. Updated Demand'!A:Z,26,FALSE))</f>
        <v>0</v>
      </c>
      <c r="AJ1025" s="16">
        <f t="shared" si="192"/>
        <v>2.5140000000000002E-3</v>
      </c>
      <c r="AK1025" s="19">
        <v>2.5140000000000002E-3</v>
      </c>
      <c r="AL1025" s="16">
        <f t="shared" si="190"/>
        <v>8.3386516284889106E-6</v>
      </c>
      <c r="AM1025" s="17">
        <v>2.6187500000000001E-6</v>
      </c>
      <c r="AN1025" s="19"/>
      <c r="AO1025" s="19"/>
      <c r="AP1025" s="19">
        <v>960</v>
      </c>
      <c r="AQ1025" s="19" t="s">
        <v>307</v>
      </c>
      <c r="AR1025" s="9" t="s">
        <v>354</v>
      </c>
      <c r="AS1025" s="12">
        <v>0</v>
      </c>
      <c r="AT1025" s="19">
        <v>38.784819730000002</v>
      </c>
      <c r="AU1025" s="19">
        <v>-122.99673849</v>
      </c>
      <c r="AV1025" s="19" t="s">
        <v>548</v>
      </c>
    </row>
    <row r="1026" spans="1:48" x14ac:dyDescent="0.25">
      <c r="A1026" s="18" t="s">
        <v>1415</v>
      </c>
      <c r="B1026" s="10">
        <v>19590525</v>
      </c>
      <c r="C1026" s="9">
        <v>21</v>
      </c>
      <c r="D1026" s="8" t="str">
        <f t="shared" ref="D1026:D1089" si="193">IF(OR(C1026=4,C1026=5,C1026=6),"Y","N")</f>
        <v>N</v>
      </c>
      <c r="E1026" s="8" t="str">
        <f t="shared" ref="E1026:E1089" si="194">IF(AND(C1026&gt;6,C1026&lt;14),"Y","N")</f>
        <v>N</v>
      </c>
      <c r="F1026" s="8" t="str">
        <f t="shared" ref="F1026:F1089" si="195">IF(C1026&lt;14,"Y","N")</f>
        <v>N</v>
      </c>
      <c r="G1026" s="8" t="str">
        <f t="shared" ref="G1026:G1089" si="196">IF(OR(C1026=1,AND(C1026&gt;3,C1026&lt;14)),"Y","N")</f>
        <v>N</v>
      </c>
      <c r="H1026" s="8" t="str">
        <f t="shared" ref="H1026:H1089" si="197">IF(C1026&lt;14,"Upper","Lower")</f>
        <v>Lower</v>
      </c>
      <c r="I1026" s="8" t="str">
        <f t="shared" ref="I1026:I1089" si="198">IF(G1026="Y","West Fork and Below Lake","Outside")</f>
        <v>Outside</v>
      </c>
      <c r="J1026" s="8" t="str">
        <f t="shared" ref="J1026:J1089" si="199">IF(D1026="Y", "Mendocino (d/s of lake)", IF(E1026="Y", "Sonoma (d/s of Clov. Gage)","Outside"))</f>
        <v>Outside</v>
      </c>
      <c r="K1026" s="8" t="str">
        <f t="shared" ref="K1026:K1089" si="200">IF(P1026="Y","pre-1914",IF(Q1026="Y","Pre-1949",IF(R1026="Y","Post-1949",IF(S1026="Y","Riparian","Unknown"))))</f>
        <v>Post-1949</v>
      </c>
      <c r="L1026" s="8">
        <f t="shared" ref="L1026:L1089" si="201">_xlfn.NUMBERVALUE(LEFT(B1026,4))</f>
        <v>1959</v>
      </c>
      <c r="M1026" s="8" t="str">
        <f t="shared" si="191"/>
        <v>1957-1959</v>
      </c>
      <c r="N1026" s="10" t="s">
        <v>242</v>
      </c>
      <c r="O1026" s="10" t="s">
        <v>242</v>
      </c>
      <c r="P1026" s="10" t="s">
        <v>242</v>
      </c>
      <c r="Q1026" s="10" t="s">
        <v>242</v>
      </c>
      <c r="R1026" s="10" t="s">
        <v>241</v>
      </c>
      <c r="S1026" s="10" t="s">
        <v>242</v>
      </c>
      <c r="T1026" s="10" t="s">
        <v>242</v>
      </c>
      <c r="U1026" s="10" t="s">
        <v>242</v>
      </c>
      <c r="V1026" s="10" t="s">
        <v>242</v>
      </c>
      <c r="W1026" s="10" t="s">
        <v>242</v>
      </c>
      <c r="X1026" s="15">
        <f>IF(ISERROR(VLOOKUP($A1026,'13. Updated Demand'!A:Z,15,FALSE)),0,VLOOKUP($A1026,'13. Updated Demand'!A:Z,15,FALSE))</f>
        <v>1.790666667</v>
      </c>
      <c r="Y1026" s="16">
        <f>IF(ISERROR(VLOOKUP($A1026,'13. Updated Demand'!A:Z,16,FALSE)),0,VLOOKUP($A1026,'13. Updated Demand'!A:Z,16,FALSE))</f>
        <v>0.39400000000000002</v>
      </c>
      <c r="Z1026" s="16">
        <f>IF(ISERROR(VLOOKUP($A1026,'13. Updated Demand'!A:Z,17,FALSE)),0,VLOOKUP($A1026,'13. Updated Demand'!A:Z,17,FALSE))</f>
        <v>0.165333333</v>
      </c>
      <c r="AA1026" s="16">
        <f>IF(ISERROR(VLOOKUP($A1026,'13. Updated Demand'!A:Z,18,FALSE)),0,VLOOKUP($A1026,'13. Updated Demand'!A:Z,18,FALSE))</f>
        <v>0.23400000000000001</v>
      </c>
      <c r="AB1026" s="16">
        <f>IF(ISERROR(VLOOKUP($A1026,'13. Updated Demand'!A:Z,19,FALSE)),0,VLOOKUP($A1026,'13. Updated Demand'!A:Z,19,FALSE))</f>
        <v>0.02</v>
      </c>
      <c r="AC1026" s="16">
        <f>IF(ISERROR(VLOOKUP($A1026,'13. Updated Demand'!A:Z,20,FALSE)),0,VLOOKUP($A1026,'13. Updated Demand'!A:Z,20,FALSE))</f>
        <v>0</v>
      </c>
      <c r="AD1026" s="16">
        <f>IF(ISERROR(VLOOKUP($A1026,'13. Updated Demand'!A:Z,21,FALSE)),0,VLOOKUP($A1026,'13. Updated Demand'!A:Z,21,FALSE))</f>
        <v>0</v>
      </c>
      <c r="AE1026" s="16">
        <f>IF(ISERROR(VLOOKUP($A1026,'13. Updated Demand'!A:Z,22,FALSE)),0,VLOOKUP($A1026,'13. Updated Demand'!A:Z,22,FALSE))</f>
        <v>0</v>
      </c>
      <c r="AF1026" s="16">
        <f>IF(ISERROR(VLOOKUP($A1026,'13. Updated Demand'!A:Z,23,FALSE)),0,VLOOKUP($A1026,'13. Updated Demand'!A:Z,23,FALSE))</f>
        <v>0</v>
      </c>
      <c r="AG1026" s="16">
        <f>IF(ISERROR(VLOOKUP($A1026,'13. Updated Demand'!A:Z,24,FALSE)),0,VLOOKUP($A1026,'13. Updated Demand'!A:Z,24,FALSE))</f>
        <v>0</v>
      </c>
      <c r="AH1026" s="16">
        <f>IF(ISERROR(VLOOKUP($A1026,'13. Updated Demand'!A:Z,25,FALSE)),0,VLOOKUP($A1026,'13. Updated Demand'!A:Z,25,FALSE))</f>
        <v>1</v>
      </c>
      <c r="AI1026" s="16">
        <f>IF(ISERROR(VLOOKUP($A1026,'13. Updated Demand'!A:Z,26,FALSE)),0,VLOOKUP($A1026,'13. Updated Demand'!A:Z,26,FALSE))</f>
        <v>1.3833333329999999</v>
      </c>
      <c r="AJ1026" s="16">
        <f t="shared" si="192"/>
        <v>4.9873333330000005</v>
      </c>
      <c r="AK1026" s="19">
        <v>0.02</v>
      </c>
      <c r="AL1026" s="16">
        <f t="shared" ref="AL1026:AL1089" si="202">AK1026/152/1.983471</f>
        <v>6.6337721785910187E-5</v>
      </c>
      <c r="AM1026" s="17">
        <v>0.35623809521428573</v>
      </c>
      <c r="AN1026" s="19"/>
      <c r="AO1026" s="19"/>
      <c r="AP1026" s="19">
        <v>14</v>
      </c>
      <c r="AQ1026" s="19" t="s">
        <v>307</v>
      </c>
      <c r="AR1026" s="9" t="s">
        <v>403</v>
      </c>
      <c r="AS1026" s="12">
        <v>0</v>
      </c>
      <c r="AT1026" s="19">
        <v>38.412091959999998</v>
      </c>
      <c r="AU1026" s="19">
        <v>-122.94163801000001</v>
      </c>
      <c r="AV1026" s="19" t="s">
        <v>417</v>
      </c>
    </row>
    <row r="1027" spans="1:48" x14ac:dyDescent="0.25">
      <c r="A1027" s="18" t="s">
        <v>1416</v>
      </c>
      <c r="B1027" s="10">
        <v>19590629</v>
      </c>
      <c r="C1027" s="9">
        <v>10</v>
      </c>
      <c r="D1027" s="8" t="str">
        <f t="shared" si="193"/>
        <v>N</v>
      </c>
      <c r="E1027" s="8" t="str">
        <f t="shared" si="194"/>
        <v>Y</v>
      </c>
      <c r="F1027" s="8" t="str">
        <f t="shared" si="195"/>
        <v>Y</v>
      </c>
      <c r="G1027" s="8" t="str">
        <f t="shared" si="196"/>
        <v>Y</v>
      </c>
      <c r="H1027" s="8" t="str">
        <f t="shared" si="197"/>
        <v>Upper</v>
      </c>
      <c r="I1027" s="8" t="str">
        <f t="shared" si="198"/>
        <v>West Fork and Below Lake</v>
      </c>
      <c r="J1027" s="8" t="str">
        <f t="shared" si="199"/>
        <v>Sonoma (d/s of Clov. Gage)</v>
      </c>
      <c r="K1027" s="8" t="str">
        <f t="shared" si="200"/>
        <v>Post-1949</v>
      </c>
      <c r="L1027" s="8">
        <f t="shared" si="201"/>
        <v>1959</v>
      </c>
      <c r="M1027" s="8" t="str">
        <f t="shared" ref="M1027:M1090" si="203">IF(L1027=1949,"1949",IF(AND(L1027&gt;1949,L1027&lt;1953),"1950-1952",IF(AND(L1027&gt;1952,L1027&lt;1955),"1953-1954",IF(AND(L1027&gt;1954,L1027&lt;1957),"1955-1956",IF(AND(L1027&gt;1956,L1027&lt;1960),"1957-1959",IF(AND(L1027&gt;1959,L1027&lt;1971),"1960-1970",IF(AND(L1027&gt;1970,L1027&lt;1991),"1971-1990",IF(L1027&gt;1990,"1991-present","-"))))))))</f>
        <v>1957-1959</v>
      </c>
      <c r="N1027" s="10" t="s">
        <v>242</v>
      </c>
      <c r="O1027" s="10" t="s">
        <v>241</v>
      </c>
      <c r="P1027" s="10" t="s">
        <v>242</v>
      </c>
      <c r="Q1027" s="10" t="s">
        <v>242</v>
      </c>
      <c r="R1027" s="10" t="s">
        <v>241</v>
      </c>
      <c r="S1027" s="10" t="s">
        <v>242</v>
      </c>
      <c r="T1027" s="10" t="s">
        <v>242</v>
      </c>
      <c r="U1027" s="10" t="s">
        <v>242</v>
      </c>
      <c r="V1027" s="10" t="s">
        <v>241</v>
      </c>
      <c r="W1027" s="10" t="s">
        <v>242</v>
      </c>
      <c r="X1027" s="15">
        <f>IF(ISERROR(VLOOKUP($A1027,'13. Updated Demand'!A:Z,15,FALSE)),0,VLOOKUP($A1027,'13. Updated Demand'!A:Z,15,FALSE))</f>
        <v>2</v>
      </c>
      <c r="Y1027" s="16">
        <f>IF(ISERROR(VLOOKUP($A1027,'13. Updated Demand'!A:Z,16,FALSE)),0,VLOOKUP($A1027,'13. Updated Demand'!A:Z,16,FALSE))</f>
        <v>1.96</v>
      </c>
      <c r="Z1027" s="16">
        <f>IF(ISERROR(VLOOKUP($A1027,'13. Updated Demand'!A:Z,17,FALSE)),0,VLOOKUP($A1027,'13. Updated Demand'!A:Z,17,FALSE))</f>
        <v>0.66</v>
      </c>
      <c r="AA1027" s="16">
        <f>IF(ISERROR(VLOOKUP($A1027,'13. Updated Demand'!A:Z,18,FALSE)),0,VLOOKUP($A1027,'13. Updated Demand'!A:Z,18,FALSE))</f>
        <v>0.4</v>
      </c>
      <c r="AB1027" s="16">
        <f>IF(ISERROR(VLOOKUP($A1027,'13. Updated Demand'!A:Z,19,FALSE)),0,VLOOKUP($A1027,'13. Updated Demand'!A:Z,19,FALSE))</f>
        <v>0</v>
      </c>
      <c r="AC1027" s="16">
        <f>IF(ISERROR(VLOOKUP($A1027,'13. Updated Demand'!A:Z,20,FALSE)),0,VLOOKUP($A1027,'13. Updated Demand'!A:Z,20,FALSE))</f>
        <v>0</v>
      </c>
      <c r="AD1027" s="16">
        <f>IF(ISERROR(VLOOKUP($A1027,'13. Updated Demand'!A:Z,21,FALSE)),0,VLOOKUP($A1027,'13. Updated Demand'!A:Z,21,FALSE))</f>
        <v>0</v>
      </c>
      <c r="AE1027" s="16">
        <f>IF(ISERROR(VLOOKUP($A1027,'13. Updated Demand'!A:Z,22,FALSE)),0,VLOOKUP($A1027,'13. Updated Demand'!A:Z,22,FALSE))</f>
        <v>0</v>
      </c>
      <c r="AF1027" s="16">
        <f>IF(ISERROR(VLOOKUP($A1027,'13. Updated Demand'!A:Z,23,FALSE)),0,VLOOKUP($A1027,'13. Updated Demand'!A:Z,23,FALSE))</f>
        <v>0</v>
      </c>
      <c r="AG1027" s="16">
        <f>IF(ISERROR(VLOOKUP($A1027,'13. Updated Demand'!A:Z,24,FALSE)),0,VLOOKUP($A1027,'13. Updated Demand'!A:Z,24,FALSE))</f>
        <v>0</v>
      </c>
      <c r="AH1027" s="16">
        <f>IF(ISERROR(VLOOKUP($A1027,'13. Updated Demand'!A:Z,25,FALSE)),0,VLOOKUP($A1027,'13. Updated Demand'!A:Z,25,FALSE))</f>
        <v>0</v>
      </c>
      <c r="AI1027" s="16">
        <f>IF(ISERROR(VLOOKUP($A1027,'13. Updated Demand'!A:Z,26,FALSE)),0,VLOOKUP($A1027,'13. Updated Demand'!A:Z,26,FALSE))</f>
        <v>0</v>
      </c>
      <c r="AJ1027" s="16">
        <f t="shared" si="192"/>
        <v>5.0200000000000005</v>
      </c>
      <c r="AK1027" s="19">
        <v>0</v>
      </c>
      <c r="AL1027" s="16">
        <f t="shared" si="202"/>
        <v>0</v>
      </c>
      <c r="AM1027" s="17">
        <v>0.35952380957142865</v>
      </c>
      <c r="AN1027" s="19"/>
      <c r="AO1027" s="19"/>
      <c r="AP1027" s="19">
        <v>14</v>
      </c>
      <c r="AQ1027" s="19" t="s">
        <v>307</v>
      </c>
      <c r="AR1027" s="9" t="s">
        <v>436</v>
      </c>
      <c r="AS1027" s="12">
        <v>0</v>
      </c>
      <c r="AT1027" s="19">
        <v>38.674280340000003</v>
      </c>
      <c r="AU1027" s="19">
        <v>-122.80322934</v>
      </c>
      <c r="AV1027" s="19" t="s">
        <v>417</v>
      </c>
    </row>
    <row r="1028" spans="1:48" x14ac:dyDescent="0.25">
      <c r="A1028" s="18" t="s">
        <v>1417</v>
      </c>
      <c r="B1028" s="10">
        <v>19590709</v>
      </c>
      <c r="C1028" s="9">
        <v>23</v>
      </c>
      <c r="D1028" s="8" t="str">
        <f t="shared" si="193"/>
        <v>N</v>
      </c>
      <c r="E1028" s="8" t="str">
        <f t="shared" si="194"/>
        <v>N</v>
      </c>
      <c r="F1028" s="8" t="str">
        <f t="shared" si="195"/>
        <v>N</v>
      </c>
      <c r="G1028" s="8" t="str">
        <f t="shared" si="196"/>
        <v>N</v>
      </c>
      <c r="H1028" s="8" t="str">
        <f t="shared" si="197"/>
        <v>Lower</v>
      </c>
      <c r="I1028" s="8" t="str">
        <f t="shared" si="198"/>
        <v>Outside</v>
      </c>
      <c r="J1028" s="8" t="str">
        <f t="shared" si="199"/>
        <v>Outside</v>
      </c>
      <c r="K1028" s="8" t="str">
        <f t="shared" si="200"/>
        <v>Post-1949</v>
      </c>
      <c r="L1028" s="8">
        <f t="shared" si="201"/>
        <v>1959</v>
      </c>
      <c r="M1028" s="8" t="str">
        <f t="shared" si="203"/>
        <v>1957-1959</v>
      </c>
      <c r="N1028" s="10" t="s">
        <v>242</v>
      </c>
      <c r="O1028" s="10" t="s">
        <v>242</v>
      </c>
      <c r="P1028" s="10" t="s">
        <v>242</v>
      </c>
      <c r="Q1028" s="10" t="s">
        <v>242</v>
      </c>
      <c r="R1028" s="10" t="s">
        <v>241</v>
      </c>
      <c r="S1028" s="10" t="s">
        <v>242</v>
      </c>
      <c r="T1028" s="10" t="s">
        <v>242</v>
      </c>
      <c r="U1028" s="10" t="s">
        <v>242</v>
      </c>
      <c r="V1028" s="10" t="s">
        <v>242</v>
      </c>
      <c r="W1028" s="10" t="s">
        <v>242</v>
      </c>
      <c r="X1028" s="15">
        <f>IF(ISERROR(VLOOKUP($A1028,'13. Updated Demand'!A:Z,15,FALSE)),0,VLOOKUP($A1028,'13. Updated Demand'!A:Z,15,FALSE))</f>
        <v>3.3333333E-2</v>
      </c>
      <c r="Y1028" s="16">
        <f>IF(ISERROR(VLOOKUP($A1028,'13. Updated Demand'!A:Z,16,FALSE)),0,VLOOKUP($A1028,'13. Updated Demand'!A:Z,16,FALSE))</f>
        <v>3.3333333E-2</v>
      </c>
      <c r="Z1028" s="16">
        <f>IF(ISERROR(VLOOKUP($A1028,'13. Updated Demand'!A:Z,17,FALSE)),0,VLOOKUP($A1028,'13. Updated Demand'!A:Z,17,FALSE))</f>
        <v>3.3333333E-2</v>
      </c>
      <c r="AA1028" s="16">
        <f>IF(ISERROR(VLOOKUP($A1028,'13. Updated Demand'!A:Z,18,FALSE)),0,VLOOKUP($A1028,'13. Updated Demand'!A:Z,18,FALSE))</f>
        <v>0.1</v>
      </c>
      <c r="AB1028" s="16">
        <f>IF(ISERROR(VLOOKUP($A1028,'13. Updated Demand'!A:Z,19,FALSE)),0,VLOOKUP($A1028,'13. Updated Demand'!A:Z,19,FALSE))</f>
        <v>6.6666666999999999E-2</v>
      </c>
      <c r="AC1028" s="16">
        <f>IF(ISERROR(VLOOKUP($A1028,'13. Updated Demand'!A:Z,20,FALSE)),0,VLOOKUP($A1028,'13. Updated Demand'!A:Z,20,FALSE))</f>
        <v>6.6666666999999999E-2</v>
      </c>
      <c r="AD1028" s="16">
        <f>IF(ISERROR(VLOOKUP($A1028,'13. Updated Demand'!A:Z,21,FALSE)),0,VLOOKUP($A1028,'13. Updated Demand'!A:Z,21,FALSE))</f>
        <v>6.6666666999999999E-2</v>
      </c>
      <c r="AE1028" s="16">
        <f>IF(ISERROR(VLOOKUP($A1028,'13. Updated Demand'!A:Z,22,FALSE)),0,VLOOKUP($A1028,'13. Updated Demand'!A:Z,22,FALSE))</f>
        <v>6.6666666999999999E-2</v>
      </c>
      <c r="AF1028" s="16">
        <f>IF(ISERROR(VLOOKUP($A1028,'13. Updated Demand'!A:Z,23,FALSE)),0,VLOOKUP($A1028,'13. Updated Demand'!A:Z,23,FALSE))</f>
        <v>6.6666666999999999E-2</v>
      </c>
      <c r="AG1028" s="16">
        <f>IF(ISERROR(VLOOKUP($A1028,'13. Updated Demand'!A:Z,24,FALSE)),0,VLOOKUP($A1028,'13. Updated Demand'!A:Z,24,FALSE))</f>
        <v>0</v>
      </c>
      <c r="AH1028" s="16">
        <f>IF(ISERROR(VLOOKUP($A1028,'13. Updated Demand'!A:Z,25,FALSE)),0,VLOOKUP($A1028,'13. Updated Demand'!A:Z,25,FALSE))</f>
        <v>3.3333333E-2</v>
      </c>
      <c r="AI1028" s="16">
        <f>IF(ISERROR(VLOOKUP($A1028,'13. Updated Demand'!A:Z,26,FALSE)),0,VLOOKUP($A1028,'13. Updated Demand'!A:Z,26,FALSE))</f>
        <v>3.3333333E-2</v>
      </c>
      <c r="AJ1028" s="16">
        <f t="shared" si="192"/>
        <v>0.6</v>
      </c>
      <c r="AK1028" s="19">
        <v>0.33333333500000001</v>
      </c>
      <c r="AL1028" s="16">
        <f t="shared" si="202"/>
        <v>1.1056287019599799E-3</v>
      </c>
      <c r="AM1028" s="17">
        <v>2.4E-2</v>
      </c>
      <c r="AN1028" s="19"/>
      <c r="AO1028" s="19"/>
      <c r="AP1028" s="19">
        <v>25</v>
      </c>
      <c r="AQ1028" s="19" t="s">
        <v>307</v>
      </c>
      <c r="AR1028" s="9" t="s">
        <v>323</v>
      </c>
      <c r="AS1028" s="12">
        <v>0</v>
      </c>
      <c r="AT1028" s="19">
        <v>38.49626035</v>
      </c>
      <c r="AU1028" s="19">
        <v>-122.73204203</v>
      </c>
      <c r="AV1028" s="19" t="s">
        <v>417</v>
      </c>
    </row>
    <row r="1029" spans="1:48" x14ac:dyDescent="0.25">
      <c r="A1029" s="18" t="s">
        <v>1418</v>
      </c>
      <c r="B1029" s="10">
        <v>19590828</v>
      </c>
      <c r="C1029" s="9">
        <v>12</v>
      </c>
      <c r="D1029" s="8" t="str">
        <f t="shared" si="193"/>
        <v>N</v>
      </c>
      <c r="E1029" s="8" t="str">
        <f t="shared" si="194"/>
        <v>Y</v>
      </c>
      <c r="F1029" s="8" t="str">
        <f t="shared" si="195"/>
        <v>Y</v>
      </c>
      <c r="G1029" s="8" t="str">
        <f t="shared" si="196"/>
        <v>Y</v>
      </c>
      <c r="H1029" s="8" t="str">
        <f t="shared" si="197"/>
        <v>Upper</v>
      </c>
      <c r="I1029" s="8" t="str">
        <f t="shared" si="198"/>
        <v>West Fork and Below Lake</v>
      </c>
      <c r="J1029" s="8" t="str">
        <f t="shared" si="199"/>
        <v>Sonoma (d/s of Clov. Gage)</v>
      </c>
      <c r="K1029" s="8" t="str">
        <f t="shared" si="200"/>
        <v>Post-1949</v>
      </c>
      <c r="L1029" s="8">
        <f t="shared" si="201"/>
        <v>1959</v>
      </c>
      <c r="M1029" s="8" t="str">
        <f t="shared" si="203"/>
        <v>1957-1959</v>
      </c>
      <c r="N1029" s="10" t="s">
        <v>242</v>
      </c>
      <c r="O1029" s="10" t="s">
        <v>241</v>
      </c>
      <c r="P1029" s="10" t="s">
        <v>242</v>
      </c>
      <c r="Q1029" s="10" t="s">
        <v>242</v>
      </c>
      <c r="R1029" s="10" t="s">
        <v>241</v>
      </c>
      <c r="S1029" s="10" t="s">
        <v>242</v>
      </c>
      <c r="T1029" s="10" t="s">
        <v>242</v>
      </c>
      <c r="U1029" s="10" t="s">
        <v>242</v>
      </c>
      <c r="V1029" s="10" t="s">
        <v>241</v>
      </c>
      <c r="W1029" s="10" t="s">
        <v>242</v>
      </c>
      <c r="X1029" s="15">
        <f>IF(ISERROR(VLOOKUP($A1029,'13. Updated Demand'!A:Z,15,FALSE)),0,VLOOKUP($A1029,'13. Updated Demand'!A:Z,15,FALSE))</f>
        <v>0.33</v>
      </c>
      <c r="Y1029" s="16">
        <f>IF(ISERROR(VLOOKUP($A1029,'13. Updated Demand'!A:Z,16,FALSE)),0,VLOOKUP($A1029,'13. Updated Demand'!A:Z,16,FALSE))</f>
        <v>0.66</v>
      </c>
      <c r="Z1029" s="16">
        <f>IF(ISERROR(VLOOKUP($A1029,'13. Updated Demand'!A:Z,17,FALSE)),0,VLOOKUP($A1029,'13. Updated Demand'!A:Z,17,FALSE))</f>
        <v>0.33</v>
      </c>
      <c r="AA1029" s="16">
        <f>IF(ISERROR(VLOOKUP($A1029,'13. Updated Demand'!A:Z,18,FALSE)),0,VLOOKUP($A1029,'13. Updated Demand'!A:Z,18,FALSE))</f>
        <v>0</v>
      </c>
      <c r="AB1029" s="16">
        <f>IF(ISERROR(VLOOKUP($A1029,'13. Updated Demand'!A:Z,19,FALSE)),0,VLOOKUP($A1029,'13. Updated Demand'!A:Z,19,FALSE))</f>
        <v>0</v>
      </c>
      <c r="AC1029" s="16">
        <f>IF(ISERROR(VLOOKUP($A1029,'13. Updated Demand'!A:Z,20,FALSE)),0,VLOOKUP($A1029,'13. Updated Demand'!A:Z,20,FALSE))</f>
        <v>0</v>
      </c>
      <c r="AD1029" s="16">
        <f>IF(ISERROR(VLOOKUP($A1029,'13. Updated Demand'!A:Z,21,FALSE)),0,VLOOKUP($A1029,'13. Updated Demand'!A:Z,21,FALSE))</f>
        <v>0</v>
      </c>
      <c r="AE1029" s="16">
        <f>IF(ISERROR(VLOOKUP($A1029,'13. Updated Demand'!A:Z,22,FALSE)),0,VLOOKUP($A1029,'13. Updated Demand'!A:Z,22,FALSE))</f>
        <v>0</v>
      </c>
      <c r="AF1029" s="16">
        <f>IF(ISERROR(VLOOKUP($A1029,'13. Updated Demand'!A:Z,23,FALSE)),0,VLOOKUP($A1029,'13. Updated Demand'!A:Z,23,FALSE))</f>
        <v>0</v>
      </c>
      <c r="AG1029" s="16">
        <f>IF(ISERROR(VLOOKUP($A1029,'13. Updated Demand'!A:Z,24,FALSE)),0,VLOOKUP($A1029,'13. Updated Demand'!A:Z,24,FALSE))</f>
        <v>0</v>
      </c>
      <c r="AH1029" s="16">
        <f>IF(ISERROR(VLOOKUP($A1029,'13. Updated Demand'!A:Z,25,FALSE)),0,VLOOKUP($A1029,'13. Updated Demand'!A:Z,25,FALSE))</f>
        <v>0.33</v>
      </c>
      <c r="AI1029" s="16">
        <f>IF(ISERROR(VLOOKUP($A1029,'13. Updated Demand'!A:Z,26,FALSE)),0,VLOOKUP($A1029,'13. Updated Demand'!A:Z,26,FALSE))</f>
        <v>0.66</v>
      </c>
      <c r="AJ1029" s="16">
        <f t="shared" si="192"/>
        <v>2.31</v>
      </c>
      <c r="AK1029" s="19">
        <v>0</v>
      </c>
      <c r="AL1029" s="16">
        <f t="shared" si="202"/>
        <v>0</v>
      </c>
      <c r="AM1029" s="17">
        <v>5.1851851844444449E-2</v>
      </c>
      <c r="AN1029" s="19"/>
      <c r="AO1029" s="19"/>
      <c r="AP1029" s="19">
        <v>45</v>
      </c>
      <c r="AQ1029" s="19" t="s">
        <v>307</v>
      </c>
      <c r="AR1029" s="9" t="s">
        <v>311</v>
      </c>
      <c r="AS1029" s="12">
        <v>0</v>
      </c>
      <c r="AT1029" s="19">
        <v>38.601345180000003</v>
      </c>
      <c r="AU1029" s="19">
        <v>-122.74571813999999</v>
      </c>
      <c r="AV1029" s="19" t="s">
        <v>1419</v>
      </c>
    </row>
    <row r="1030" spans="1:48" x14ac:dyDescent="0.25">
      <c r="A1030" s="18" t="s">
        <v>1420</v>
      </c>
      <c r="B1030" s="10">
        <v>19590902</v>
      </c>
      <c r="C1030" s="9">
        <v>23</v>
      </c>
      <c r="D1030" s="8" t="str">
        <f t="shared" si="193"/>
        <v>N</v>
      </c>
      <c r="E1030" s="8" t="str">
        <f t="shared" si="194"/>
        <v>N</v>
      </c>
      <c r="F1030" s="8" t="str">
        <f t="shared" si="195"/>
        <v>N</v>
      </c>
      <c r="G1030" s="8" t="str">
        <f t="shared" si="196"/>
        <v>N</v>
      </c>
      <c r="H1030" s="8" t="str">
        <f t="shared" si="197"/>
        <v>Lower</v>
      </c>
      <c r="I1030" s="8" t="str">
        <f t="shared" si="198"/>
        <v>Outside</v>
      </c>
      <c r="J1030" s="8" t="str">
        <f t="shared" si="199"/>
        <v>Outside</v>
      </c>
      <c r="K1030" s="8" t="str">
        <f t="shared" si="200"/>
        <v>Post-1949</v>
      </c>
      <c r="L1030" s="8">
        <f t="shared" si="201"/>
        <v>1959</v>
      </c>
      <c r="M1030" s="8" t="str">
        <f t="shared" si="203"/>
        <v>1957-1959</v>
      </c>
      <c r="N1030" s="10" t="s">
        <v>242</v>
      </c>
      <c r="O1030" s="10" t="s">
        <v>242</v>
      </c>
      <c r="P1030" s="10" t="s">
        <v>242</v>
      </c>
      <c r="Q1030" s="10" t="s">
        <v>242</v>
      </c>
      <c r="R1030" s="10" t="s">
        <v>241</v>
      </c>
      <c r="S1030" s="10" t="s">
        <v>242</v>
      </c>
      <c r="T1030" s="10" t="s">
        <v>242</v>
      </c>
      <c r="U1030" s="10" t="s">
        <v>241</v>
      </c>
      <c r="V1030" s="10" t="s">
        <v>241</v>
      </c>
      <c r="W1030" s="10" t="s">
        <v>242</v>
      </c>
      <c r="X1030" s="15">
        <f>IF(ISERROR(VLOOKUP($A1030,'13. Updated Demand'!A:Z,15,FALSE)),0,VLOOKUP($A1030,'13. Updated Demand'!A:Z,15,FALSE))</f>
        <v>0</v>
      </c>
      <c r="Y1030" s="16">
        <f>IF(ISERROR(VLOOKUP($A1030,'13. Updated Demand'!A:Z,16,FALSE)),0,VLOOKUP($A1030,'13. Updated Demand'!A:Z,16,FALSE))</f>
        <v>0</v>
      </c>
      <c r="Z1030" s="16">
        <f>IF(ISERROR(VLOOKUP($A1030,'13. Updated Demand'!A:Z,17,FALSE)),0,VLOOKUP($A1030,'13. Updated Demand'!A:Z,17,FALSE))</f>
        <v>0</v>
      </c>
      <c r="AA1030" s="16">
        <f>IF(ISERROR(VLOOKUP($A1030,'13. Updated Demand'!A:Z,18,FALSE)),0,VLOOKUP($A1030,'13. Updated Demand'!A:Z,18,FALSE))</f>
        <v>0</v>
      </c>
      <c r="AB1030" s="16">
        <f>IF(ISERROR(VLOOKUP($A1030,'13. Updated Demand'!A:Z,19,FALSE)),0,VLOOKUP($A1030,'13. Updated Demand'!A:Z,19,FALSE))</f>
        <v>0</v>
      </c>
      <c r="AC1030" s="16">
        <f>IF(ISERROR(VLOOKUP($A1030,'13. Updated Demand'!A:Z,20,FALSE)),0,VLOOKUP($A1030,'13. Updated Demand'!A:Z,20,FALSE))</f>
        <v>0</v>
      </c>
      <c r="AD1030" s="16">
        <f>IF(ISERROR(VLOOKUP($A1030,'13. Updated Demand'!A:Z,21,FALSE)),0,VLOOKUP($A1030,'13. Updated Demand'!A:Z,21,FALSE))</f>
        <v>0</v>
      </c>
      <c r="AE1030" s="16">
        <f>IF(ISERROR(VLOOKUP($A1030,'13. Updated Demand'!A:Z,22,FALSE)),0,VLOOKUP($A1030,'13. Updated Demand'!A:Z,22,FALSE))</f>
        <v>0</v>
      </c>
      <c r="AF1030" s="16">
        <f>IF(ISERROR(VLOOKUP($A1030,'13. Updated Demand'!A:Z,23,FALSE)),0,VLOOKUP($A1030,'13. Updated Demand'!A:Z,23,FALSE))</f>
        <v>0</v>
      </c>
      <c r="AG1030" s="16">
        <f>IF(ISERROR(VLOOKUP($A1030,'13. Updated Demand'!A:Z,24,FALSE)),0,VLOOKUP($A1030,'13. Updated Demand'!A:Z,24,FALSE))</f>
        <v>0</v>
      </c>
      <c r="AH1030" s="16">
        <f>IF(ISERROR(VLOOKUP($A1030,'13. Updated Demand'!A:Z,25,FALSE)),0,VLOOKUP($A1030,'13. Updated Demand'!A:Z,25,FALSE))</f>
        <v>0</v>
      </c>
      <c r="AI1030" s="16">
        <f>IF(ISERROR(VLOOKUP($A1030,'13. Updated Demand'!A:Z,26,FALSE)),0,VLOOKUP($A1030,'13. Updated Demand'!A:Z,26,FALSE))</f>
        <v>0</v>
      </c>
      <c r="AJ1030" s="16">
        <f t="shared" si="192"/>
        <v>0</v>
      </c>
      <c r="AK1030" s="19">
        <v>0</v>
      </c>
      <c r="AL1030" s="16">
        <f t="shared" si="202"/>
        <v>0</v>
      </c>
      <c r="AM1030" s="17">
        <v>0</v>
      </c>
      <c r="AN1030" s="19"/>
      <c r="AO1030" s="19"/>
      <c r="AP1030" s="19">
        <v>15</v>
      </c>
      <c r="AQ1030" s="19" t="s">
        <v>307</v>
      </c>
      <c r="AR1030" s="9" t="s">
        <v>378</v>
      </c>
      <c r="AS1030" s="12">
        <v>0</v>
      </c>
      <c r="AT1030" s="19">
        <v>38.38497606</v>
      </c>
      <c r="AU1030" s="19">
        <v>-122.60164863</v>
      </c>
      <c r="AV1030" s="19" t="s">
        <v>417</v>
      </c>
    </row>
    <row r="1031" spans="1:48" x14ac:dyDescent="0.25">
      <c r="A1031" s="18" t="s">
        <v>1421</v>
      </c>
      <c r="B1031" s="10">
        <v>19590902</v>
      </c>
      <c r="C1031" s="9">
        <v>23</v>
      </c>
      <c r="D1031" s="8" t="str">
        <f t="shared" si="193"/>
        <v>N</v>
      </c>
      <c r="E1031" s="8" t="str">
        <f t="shared" si="194"/>
        <v>N</v>
      </c>
      <c r="F1031" s="8" t="str">
        <f t="shared" si="195"/>
        <v>N</v>
      </c>
      <c r="G1031" s="8" t="str">
        <f t="shared" si="196"/>
        <v>N</v>
      </c>
      <c r="H1031" s="8" t="str">
        <f t="shared" si="197"/>
        <v>Lower</v>
      </c>
      <c r="I1031" s="8" t="str">
        <f t="shared" si="198"/>
        <v>Outside</v>
      </c>
      <c r="J1031" s="8" t="str">
        <f t="shared" si="199"/>
        <v>Outside</v>
      </c>
      <c r="K1031" s="8" t="str">
        <f t="shared" si="200"/>
        <v>Post-1949</v>
      </c>
      <c r="L1031" s="8">
        <f t="shared" si="201"/>
        <v>1959</v>
      </c>
      <c r="M1031" s="8" t="str">
        <f t="shared" si="203"/>
        <v>1957-1959</v>
      </c>
      <c r="N1031" s="10" t="s">
        <v>242</v>
      </c>
      <c r="O1031" s="10" t="s">
        <v>242</v>
      </c>
      <c r="P1031" s="10" t="s">
        <v>242</v>
      </c>
      <c r="Q1031" s="10" t="s">
        <v>242</v>
      </c>
      <c r="R1031" s="10" t="s">
        <v>241</v>
      </c>
      <c r="S1031" s="10" t="s">
        <v>242</v>
      </c>
      <c r="T1031" s="10" t="s">
        <v>242</v>
      </c>
      <c r="U1031" s="10" t="s">
        <v>241</v>
      </c>
      <c r="V1031" s="10" t="s">
        <v>241</v>
      </c>
      <c r="W1031" s="10" t="s">
        <v>242</v>
      </c>
      <c r="X1031" s="15">
        <f>IF(ISERROR(VLOOKUP($A1031,'13. Updated Demand'!A:Z,15,FALSE)),0,VLOOKUP($A1031,'13. Updated Demand'!A:Z,15,FALSE))</f>
        <v>0</v>
      </c>
      <c r="Y1031" s="16">
        <f>IF(ISERROR(VLOOKUP($A1031,'13. Updated Demand'!A:Z,16,FALSE)),0,VLOOKUP($A1031,'13. Updated Demand'!A:Z,16,FALSE))</f>
        <v>0</v>
      </c>
      <c r="Z1031" s="16">
        <f>IF(ISERROR(VLOOKUP($A1031,'13. Updated Demand'!A:Z,17,FALSE)),0,VLOOKUP($A1031,'13. Updated Demand'!A:Z,17,FALSE))</f>
        <v>0</v>
      </c>
      <c r="AA1031" s="16">
        <f>IF(ISERROR(VLOOKUP($A1031,'13. Updated Demand'!A:Z,18,FALSE)),0,VLOOKUP($A1031,'13. Updated Demand'!A:Z,18,FALSE))</f>
        <v>0</v>
      </c>
      <c r="AB1031" s="16">
        <f>IF(ISERROR(VLOOKUP($A1031,'13. Updated Demand'!A:Z,19,FALSE)),0,VLOOKUP($A1031,'13. Updated Demand'!A:Z,19,FALSE))</f>
        <v>0</v>
      </c>
      <c r="AC1031" s="16">
        <f>IF(ISERROR(VLOOKUP($A1031,'13. Updated Demand'!A:Z,20,FALSE)),0,VLOOKUP($A1031,'13. Updated Demand'!A:Z,20,FALSE))</f>
        <v>0</v>
      </c>
      <c r="AD1031" s="16">
        <f>IF(ISERROR(VLOOKUP($A1031,'13. Updated Demand'!A:Z,21,FALSE)),0,VLOOKUP($A1031,'13. Updated Demand'!A:Z,21,FALSE))</f>
        <v>0</v>
      </c>
      <c r="AE1031" s="16">
        <f>IF(ISERROR(VLOOKUP($A1031,'13. Updated Demand'!A:Z,22,FALSE)),0,VLOOKUP($A1031,'13. Updated Demand'!A:Z,22,FALSE))</f>
        <v>0</v>
      </c>
      <c r="AF1031" s="16">
        <f>IF(ISERROR(VLOOKUP($A1031,'13. Updated Demand'!A:Z,23,FALSE)),0,VLOOKUP($A1031,'13. Updated Demand'!A:Z,23,FALSE))</f>
        <v>0</v>
      </c>
      <c r="AG1031" s="16">
        <f>IF(ISERROR(VLOOKUP($A1031,'13. Updated Demand'!A:Z,24,FALSE)),0,VLOOKUP($A1031,'13. Updated Demand'!A:Z,24,FALSE))</f>
        <v>0</v>
      </c>
      <c r="AH1031" s="16">
        <f>IF(ISERROR(VLOOKUP($A1031,'13. Updated Demand'!A:Z,25,FALSE)),0,VLOOKUP($A1031,'13. Updated Demand'!A:Z,25,FALSE))</f>
        <v>0</v>
      </c>
      <c r="AI1031" s="16">
        <f>IF(ISERROR(VLOOKUP($A1031,'13. Updated Demand'!A:Z,26,FALSE)),0,VLOOKUP($A1031,'13. Updated Demand'!A:Z,26,FALSE))</f>
        <v>0</v>
      </c>
      <c r="AJ1031" s="16">
        <f t="shared" si="192"/>
        <v>0</v>
      </c>
      <c r="AK1031" s="19">
        <v>0</v>
      </c>
      <c r="AL1031" s="16">
        <f t="shared" si="202"/>
        <v>0</v>
      </c>
      <c r="AM1031" s="17">
        <v>0</v>
      </c>
      <c r="AN1031" s="19"/>
      <c r="AO1031" s="19"/>
      <c r="AP1031" s="19">
        <v>8</v>
      </c>
      <c r="AQ1031" s="19" t="s">
        <v>307</v>
      </c>
      <c r="AR1031" s="9" t="s">
        <v>378</v>
      </c>
      <c r="AS1031" s="12">
        <v>0</v>
      </c>
      <c r="AT1031" s="19">
        <v>38.500061670000001</v>
      </c>
      <c r="AU1031" s="19">
        <v>-122.53954349</v>
      </c>
      <c r="AV1031" s="19" t="s">
        <v>417</v>
      </c>
    </row>
    <row r="1032" spans="1:48" x14ac:dyDescent="0.25">
      <c r="A1032" s="18" t="s">
        <v>1422</v>
      </c>
      <c r="B1032" s="10">
        <v>19591002</v>
      </c>
      <c r="C1032" s="9">
        <v>23</v>
      </c>
      <c r="D1032" s="8" t="str">
        <f t="shared" si="193"/>
        <v>N</v>
      </c>
      <c r="E1032" s="8" t="str">
        <f t="shared" si="194"/>
        <v>N</v>
      </c>
      <c r="F1032" s="8" t="str">
        <f t="shared" si="195"/>
        <v>N</v>
      </c>
      <c r="G1032" s="8" t="str">
        <f t="shared" si="196"/>
        <v>N</v>
      </c>
      <c r="H1032" s="8" t="str">
        <f t="shared" si="197"/>
        <v>Lower</v>
      </c>
      <c r="I1032" s="8" t="str">
        <f t="shared" si="198"/>
        <v>Outside</v>
      </c>
      <c r="J1032" s="8" t="str">
        <f t="shared" si="199"/>
        <v>Outside</v>
      </c>
      <c r="K1032" s="8" t="str">
        <f t="shared" si="200"/>
        <v>Post-1949</v>
      </c>
      <c r="L1032" s="8">
        <f t="shared" si="201"/>
        <v>1959</v>
      </c>
      <c r="M1032" s="8" t="str">
        <f t="shared" si="203"/>
        <v>1957-1959</v>
      </c>
      <c r="N1032" s="10" t="s">
        <v>242</v>
      </c>
      <c r="O1032" s="10" t="s">
        <v>242</v>
      </c>
      <c r="P1032" s="10" t="s">
        <v>242</v>
      </c>
      <c r="Q1032" s="10" t="s">
        <v>242</v>
      </c>
      <c r="R1032" s="10" t="s">
        <v>241</v>
      </c>
      <c r="S1032" s="10" t="s">
        <v>242</v>
      </c>
      <c r="T1032" s="10" t="s">
        <v>242</v>
      </c>
      <c r="U1032" s="10" t="s">
        <v>242</v>
      </c>
      <c r="V1032" s="10" t="s">
        <v>241</v>
      </c>
      <c r="W1032" s="10" t="s">
        <v>242</v>
      </c>
      <c r="X1032" s="15">
        <f>IF(ISERROR(VLOOKUP($A1032,'13. Updated Demand'!A:Z,15,FALSE)),0,VLOOKUP($A1032,'13. Updated Demand'!A:Z,15,FALSE))</f>
        <v>5</v>
      </c>
      <c r="Y1032" s="16">
        <f>IF(ISERROR(VLOOKUP($A1032,'13. Updated Demand'!A:Z,16,FALSE)),0,VLOOKUP($A1032,'13. Updated Demand'!A:Z,16,FALSE))</f>
        <v>5</v>
      </c>
      <c r="Z1032" s="16">
        <f>IF(ISERROR(VLOOKUP($A1032,'13. Updated Demand'!A:Z,17,FALSE)),0,VLOOKUP($A1032,'13. Updated Demand'!A:Z,17,FALSE))</f>
        <v>4</v>
      </c>
      <c r="AA1032" s="16">
        <f>IF(ISERROR(VLOOKUP($A1032,'13. Updated Demand'!A:Z,18,FALSE)),0,VLOOKUP($A1032,'13. Updated Demand'!A:Z,18,FALSE))</f>
        <v>1.3333333329999999</v>
      </c>
      <c r="AB1032" s="16">
        <f>IF(ISERROR(VLOOKUP($A1032,'13. Updated Demand'!A:Z,19,FALSE)),0,VLOOKUP($A1032,'13. Updated Demand'!A:Z,19,FALSE))</f>
        <v>0</v>
      </c>
      <c r="AC1032" s="16">
        <f>IF(ISERROR(VLOOKUP($A1032,'13. Updated Demand'!A:Z,20,FALSE)),0,VLOOKUP($A1032,'13. Updated Demand'!A:Z,20,FALSE))</f>
        <v>0</v>
      </c>
      <c r="AD1032" s="16">
        <f>IF(ISERROR(VLOOKUP($A1032,'13. Updated Demand'!A:Z,21,FALSE)),0,VLOOKUP($A1032,'13. Updated Demand'!A:Z,21,FALSE))</f>
        <v>0</v>
      </c>
      <c r="AE1032" s="16">
        <f>IF(ISERROR(VLOOKUP($A1032,'13. Updated Demand'!A:Z,22,FALSE)),0,VLOOKUP($A1032,'13. Updated Demand'!A:Z,22,FALSE))</f>
        <v>0</v>
      </c>
      <c r="AF1032" s="16">
        <f>IF(ISERROR(VLOOKUP($A1032,'13. Updated Demand'!A:Z,23,FALSE)),0,VLOOKUP($A1032,'13. Updated Demand'!A:Z,23,FALSE))</f>
        <v>0</v>
      </c>
      <c r="AG1032" s="16">
        <f>IF(ISERROR(VLOOKUP($A1032,'13. Updated Demand'!A:Z,24,FALSE)),0,VLOOKUP($A1032,'13. Updated Demand'!A:Z,24,FALSE))</f>
        <v>0</v>
      </c>
      <c r="AH1032" s="16">
        <f>IF(ISERROR(VLOOKUP($A1032,'13. Updated Demand'!A:Z,25,FALSE)),0,VLOOKUP($A1032,'13. Updated Demand'!A:Z,25,FALSE))</f>
        <v>0</v>
      </c>
      <c r="AI1032" s="16">
        <f>IF(ISERROR(VLOOKUP($A1032,'13. Updated Demand'!A:Z,26,FALSE)),0,VLOOKUP($A1032,'13. Updated Demand'!A:Z,26,FALSE))</f>
        <v>1.6666666670000001</v>
      </c>
      <c r="AJ1032" s="16">
        <f t="shared" si="192"/>
        <v>17</v>
      </c>
      <c r="AK1032" s="19">
        <v>0</v>
      </c>
      <c r="AL1032" s="16">
        <f t="shared" si="202"/>
        <v>0</v>
      </c>
      <c r="AM1032" s="17">
        <v>1</v>
      </c>
      <c r="AN1032" s="19"/>
      <c r="AO1032" s="19"/>
      <c r="AP1032" s="19">
        <v>17</v>
      </c>
      <c r="AQ1032" s="19" t="s">
        <v>307</v>
      </c>
      <c r="AR1032" s="9" t="s">
        <v>585</v>
      </c>
      <c r="AS1032" s="12">
        <v>3.4039024194010059E-4</v>
      </c>
      <c r="AT1032" s="19">
        <v>38.335848439999999</v>
      </c>
      <c r="AU1032" s="19">
        <v>-122.78130616999999</v>
      </c>
      <c r="AV1032" s="19" t="s">
        <v>417</v>
      </c>
    </row>
    <row r="1033" spans="1:48" x14ac:dyDescent="0.25">
      <c r="A1033" s="18" t="s">
        <v>1423</v>
      </c>
      <c r="B1033" s="10">
        <v>19591109</v>
      </c>
      <c r="C1033" s="9">
        <v>2</v>
      </c>
      <c r="D1033" s="8" t="str">
        <f t="shared" si="193"/>
        <v>N</v>
      </c>
      <c r="E1033" s="8" t="str">
        <f t="shared" si="194"/>
        <v>N</v>
      </c>
      <c r="F1033" s="8" t="str">
        <f t="shared" si="195"/>
        <v>Y</v>
      </c>
      <c r="G1033" s="8" t="str">
        <f t="shared" si="196"/>
        <v>N</v>
      </c>
      <c r="H1033" s="8" t="str">
        <f t="shared" si="197"/>
        <v>Upper</v>
      </c>
      <c r="I1033" s="8" t="str">
        <f t="shared" si="198"/>
        <v>Outside</v>
      </c>
      <c r="J1033" s="8" t="str">
        <f t="shared" si="199"/>
        <v>Outside</v>
      </c>
      <c r="K1033" s="8" t="str">
        <f t="shared" si="200"/>
        <v>Post-1949</v>
      </c>
      <c r="L1033" s="8">
        <f t="shared" si="201"/>
        <v>1959</v>
      </c>
      <c r="M1033" s="8" t="str">
        <f t="shared" si="203"/>
        <v>1957-1959</v>
      </c>
      <c r="N1033" s="10" t="s">
        <v>242</v>
      </c>
      <c r="O1033" s="10" t="s">
        <v>241</v>
      </c>
      <c r="P1033" s="10" t="s">
        <v>242</v>
      </c>
      <c r="Q1033" s="10" t="s">
        <v>242</v>
      </c>
      <c r="R1033" s="10" t="s">
        <v>241</v>
      </c>
      <c r="S1033" s="10" t="s">
        <v>242</v>
      </c>
      <c r="T1033" s="10" t="s">
        <v>242</v>
      </c>
      <c r="U1033" s="10" t="s">
        <v>242</v>
      </c>
      <c r="V1033" s="10" t="s">
        <v>242</v>
      </c>
      <c r="W1033" s="10" t="s">
        <v>242</v>
      </c>
      <c r="X1033" s="15">
        <f>IF(ISERROR(VLOOKUP($A1033,'13. Updated Demand'!A:Z,15,FALSE)),0,VLOOKUP($A1033,'13. Updated Demand'!A:Z,15,FALSE))</f>
        <v>0</v>
      </c>
      <c r="Y1033" s="16">
        <f>IF(ISERROR(VLOOKUP($A1033,'13. Updated Demand'!A:Z,16,FALSE)),0,VLOOKUP($A1033,'13. Updated Demand'!A:Z,16,FALSE))</f>
        <v>0</v>
      </c>
      <c r="Z1033" s="16">
        <f>IF(ISERROR(VLOOKUP($A1033,'13. Updated Demand'!A:Z,17,FALSE)),0,VLOOKUP($A1033,'13. Updated Demand'!A:Z,17,FALSE))</f>
        <v>0</v>
      </c>
      <c r="AA1033" s="16">
        <f>IF(ISERROR(VLOOKUP($A1033,'13. Updated Demand'!A:Z,18,FALSE)),0,VLOOKUP($A1033,'13. Updated Demand'!A:Z,18,FALSE))</f>
        <v>2</v>
      </c>
      <c r="AB1033" s="16">
        <f>IF(ISERROR(VLOOKUP($A1033,'13. Updated Demand'!A:Z,19,FALSE)),0,VLOOKUP($A1033,'13. Updated Demand'!A:Z,19,FALSE))</f>
        <v>10</v>
      </c>
      <c r="AC1033" s="16">
        <f>IF(ISERROR(VLOOKUP($A1033,'13. Updated Demand'!A:Z,20,FALSE)),0,VLOOKUP($A1033,'13. Updated Demand'!A:Z,20,FALSE))</f>
        <v>10</v>
      </c>
      <c r="AD1033" s="16">
        <f>IF(ISERROR(VLOOKUP($A1033,'13. Updated Demand'!A:Z,21,FALSE)),0,VLOOKUP($A1033,'13. Updated Demand'!A:Z,21,FALSE))</f>
        <v>10</v>
      </c>
      <c r="AE1033" s="16">
        <f>IF(ISERROR(VLOOKUP($A1033,'13. Updated Demand'!A:Z,22,FALSE)),0,VLOOKUP($A1033,'13. Updated Demand'!A:Z,22,FALSE))</f>
        <v>10</v>
      </c>
      <c r="AF1033" s="16">
        <f>IF(ISERROR(VLOOKUP($A1033,'13. Updated Demand'!A:Z,23,FALSE)),0,VLOOKUP($A1033,'13. Updated Demand'!A:Z,23,FALSE))</f>
        <v>10</v>
      </c>
      <c r="AG1033" s="16">
        <f>IF(ISERROR(VLOOKUP($A1033,'13. Updated Demand'!A:Z,24,FALSE)),0,VLOOKUP($A1033,'13. Updated Demand'!A:Z,24,FALSE))</f>
        <v>2</v>
      </c>
      <c r="AH1033" s="16">
        <f>IF(ISERROR(VLOOKUP($A1033,'13. Updated Demand'!A:Z,25,FALSE)),0,VLOOKUP($A1033,'13. Updated Demand'!A:Z,25,FALSE))</f>
        <v>0</v>
      </c>
      <c r="AI1033" s="16">
        <f>IF(ISERROR(VLOOKUP($A1033,'13. Updated Demand'!A:Z,26,FALSE)),0,VLOOKUP($A1033,'13. Updated Demand'!A:Z,26,FALSE))</f>
        <v>0</v>
      </c>
      <c r="AJ1033" s="16">
        <f t="shared" si="192"/>
        <v>54</v>
      </c>
      <c r="AK1033" s="19">
        <v>50</v>
      </c>
      <c r="AL1033" s="16">
        <f t="shared" si="202"/>
        <v>0.16584430446477547</v>
      </c>
      <c r="AM1033" s="17">
        <v>0.94736842105263153</v>
      </c>
      <c r="AN1033" s="19"/>
      <c r="AO1033" s="19"/>
      <c r="AP1033" s="19">
        <v>57</v>
      </c>
      <c r="AQ1033" s="19" t="s">
        <v>307</v>
      </c>
      <c r="AR1033" s="9" t="s">
        <v>348</v>
      </c>
      <c r="AS1033" s="12">
        <v>0</v>
      </c>
      <c r="AT1033" s="19">
        <v>39.329696800000001</v>
      </c>
      <c r="AU1033" s="19">
        <v>-123.10837055</v>
      </c>
      <c r="AV1033" s="19" t="s">
        <v>542</v>
      </c>
    </row>
    <row r="1034" spans="1:48" x14ac:dyDescent="0.25">
      <c r="A1034" s="18" t="s">
        <v>1424</v>
      </c>
      <c r="B1034" s="10">
        <v>19591120</v>
      </c>
      <c r="C1034" s="9">
        <v>16</v>
      </c>
      <c r="D1034" s="8" t="str">
        <f t="shared" si="193"/>
        <v>N</v>
      </c>
      <c r="E1034" s="8" t="str">
        <f t="shared" si="194"/>
        <v>N</v>
      </c>
      <c r="F1034" s="8" t="str">
        <f t="shared" si="195"/>
        <v>N</v>
      </c>
      <c r="G1034" s="8" t="str">
        <f t="shared" si="196"/>
        <v>N</v>
      </c>
      <c r="H1034" s="8" t="str">
        <f t="shared" si="197"/>
        <v>Lower</v>
      </c>
      <c r="I1034" s="8" t="str">
        <f t="shared" si="198"/>
        <v>Outside</v>
      </c>
      <c r="J1034" s="8" t="str">
        <f t="shared" si="199"/>
        <v>Outside</v>
      </c>
      <c r="K1034" s="8" t="str">
        <f t="shared" si="200"/>
        <v>Post-1949</v>
      </c>
      <c r="L1034" s="8">
        <f t="shared" si="201"/>
        <v>1959</v>
      </c>
      <c r="M1034" s="8" t="str">
        <f t="shared" si="203"/>
        <v>1957-1959</v>
      </c>
      <c r="N1034" s="10" t="s">
        <v>242</v>
      </c>
      <c r="O1034" s="10" t="s">
        <v>242</v>
      </c>
      <c r="P1034" s="10" t="s">
        <v>242</v>
      </c>
      <c r="Q1034" s="10" t="s">
        <v>242</v>
      </c>
      <c r="R1034" s="10" t="s">
        <v>241</v>
      </c>
      <c r="S1034" s="10" t="s">
        <v>242</v>
      </c>
      <c r="T1034" s="10" t="s">
        <v>242</v>
      </c>
      <c r="U1034" s="10" t="s">
        <v>242</v>
      </c>
      <c r="V1034" s="10" t="s">
        <v>241</v>
      </c>
      <c r="W1034" s="10" t="s">
        <v>242</v>
      </c>
      <c r="X1034" s="15">
        <f>IF(ISERROR(VLOOKUP($A1034,'13. Updated Demand'!A:Z,15,FALSE)),0,VLOOKUP($A1034,'13. Updated Demand'!A:Z,15,FALSE))</f>
        <v>5.766666667</v>
      </c>
      <c r="Y1034" s="16">
        <f>IF(ISERROR(VLOOKUP($A1034,'13. Updated Demand'!A:Z,16,FALSE)),0,VLOOKUP($A1034,'13. Updated Demand'!A:Z,16,FALSE))</f>
        <v>0.16666666699999999</v>
      </c>
      <c r="Z1034" s="16">
        <f>IF(ISERROR(VLOOKUP($A1034,'13. Updated Demand'!A:Z,17,FALSE)),0,VLOOKUP($A1034,'13. Updated Demand'!A:Z,17,FALSE))</f>
        <v>0</v>
      </c>
      <c r="AA1034" s="16">
        <f>IF(ISERROR(VLOOKUP($A1034,'13. Updated Demand'!A:Z,18,FALSE)),0,VLOOKUP($A1034,'13. Updated Demand'!A:Z,18,FALSE))</f>
        <v>6.6666666999999999E-2</v>
      </c>
      <c r="AB1034" s="16">
        <f>IF(ISERROR(VLOOKUP($A1034,'13. Updated Demand'!A:Z,19,FALSE)),0,VLOOKUP($A1034,'13. Updated Demand'!A:Z,19,FALSE))</f>
        <v>0</v>
      </c>
      <c r="AC1034" s="16">
        <f>IF(ISERROR(VLOOKUP($A1034,'13. Updated Demand'!A:Z,20,FALSE)),0,VLOOKUP($A1034,'13. Updated Demand'!A:Z,20,FALSE))</f>
        <v>0</v>
      </c>
      <c r="AD1034" s="16">
        <f>IF(ISERROR(VLOOKUP($A1034,'13. Updated Demand'!A:Z,21,FALSE)),0,VLOOKUP($A1034,'13. Updated Demand'!A:Z,21,FALSE))</f>
        <v>0</v>
      </c>
      <c r="AE1034" s="16">
        <f>IF(ISERROR(VLOOKUP($A1034,'13. Updated Demand'!A:Z,22,FALSE)),0,VLOOKUP($A1034,'13. Updated Demand'!A:Z,22,FALSE))</f>
        <v>0</v>
      </c>
      <c r="AF1034" s="16">
        <f>IF(ISERROR(VLOOKUP($A1034,'13. Updated Demand'!A:Z,23,FALSE)),0,VLOOKUP($A1034,'13. Updated Demand'!A:Z,23,FALSE))</f>
        <v>0</v>
      </c>
      <c r="AG1034" s="16">
        <f>IF(ISERROR(VLOOKUP($A1034,'13. Updated Demand'!A:Z,24,FALSE)),0,VLOOKUP($A1034,'13. Updated Demand'!A:Z,24,FALSE))</f>
        <v>0.5</v>
      </c>
      <c r="AH1034" s="16">
        <f>IF(ISERROR(VLOOKUP($A1034,'13. Updated Demand'!A:Z,25,FALSE)),0,VLOOKUP($A1034,'13. Updated Demand'!A:Z,25,FALSE))</f>
        <v>9.3000000000000007</v>
      </c>
      <c r="AI1034" s="16">
        <f>IF(ISERROR(VLOOKUP($A1034,'13. Updated Demand'!A:Z,26,FALSE)),0,VLOOKUP($A1034,'13. Updated Demand'!A:Z,26,FALSE))</f>
        <v>11.33333333</v>
      </c>
      <c r="AJ1034" s="16">
        <f t="shared" si="192"/>
        <v>27.133333331000003</v>
      </c>
      <c r="AK1034" s="19">
        <v>0</v>
      </c>
      <c r="AL1034" s="16">
        <f t="shared" si="202"/>
        <v>0</v>
      </c>
      <c r="AM1034" s="17">
        <v>0.30148148145555559</v>
      </c>
      <c r="AN1034" s="19"/>
      <c r="AO1034" s="19"/>
      <c r="AP1034" s="19">
        <v>90</v>
      </c>
      <c r="AQ1034" s="19" t="s">
        <v>307</v>
      </c>
      <c r="AR1034" s="9" t="s">
        <v>394</v>
      </c>
      <c r="AS1034" s="12">
        <v>3.4039024194010059E-4</v>
      </c>
      <c r="AT1034" s="19">
        <v>38.660971330000002</v>
      </c>
      <c r="AU1034" s="19">
        <v>-122.8958909</v>
      </c>
      <c r="AV1034" s="19" t="s">
        <v>417</v>
      </c>
    </row>
    <row r="1035" spans="1:48" x14ac:dyDescent="0.25">
      <c r="A1035" s="18" t="s">
        <v>1425</v>
      </c>
      <c r="B1035" s="10">
        <v>19591214</v>
      </c>
      <c r="C1035" s="9">
        <v>4</v>
      </c>
      <c r="D1035" s="8" t="str">
        <f t="shared" si="193"/>
        <v>Y</v>
      </c>
      <c r="E1035" s="8" t="str">
        <f t="shared" si="194"/>
        <v>N</v>
      </c>
      <c r="F1035" s="8" t="str">
        <f t="shared" si="195"/>
        <v>Y</v>
      </c>
      <c r="G1035" s="8" t="str">
        <f t="shared" si="196"/>
        <v>Y</v>
      </c>
      <c r="H1035" s="8" t="str">
        <f t="shared" si="197"/>
        <v>Upper</v>
      </c>
      <c r="I1035" s="8" t="str">
        <f t="shared" si="198"/>
        <v>West Fork and Below Lake</v>
      </c>
      <c r="J1035" s="8" t="str">
        <f t="shared" si="199"/>
        <v>Mendocino (d/s of lake)</v>
      </c>
      <c r="K1035" s="8" t="str">
        <f t="shared" si="200"/>
        <v>Post-1949</v>
      </c>
      <c r="L1035" s="8">
        <f t="shared" si="201"/>
        <v>1959</v>
      </c>
      <c r="M1035" s="8" t="str">
        <f t="shared" si="203"/>
        <v>1957-1959</v>
      </c>
      <c r="N1035" s="10" t="s">
        <v>242</v>
      </c>
      <c r="O1035" s="10" t="s">
        <v>241</v>
      </c>
      <c r="P1035" s="10" t="s">
        <v>242</v>
      </c>
      <c r="Q1035" s="10" t="s">
        <v>242</v>
      </c>
      <c r="R1035" s="10" t="s">
        <v>241</v>
      </c>
      <c r="S1035" s="10" t="s">
        <v>242</v>
      </c>
      <c r="T1035" s="10" t="s">
        <v>242</v>
      </c>
      <c r="U1035" s="10" t="s">
        <v>242</v>
      </c>
      <c r="V1035" s="10" t="s">
        <v>242</v>
      </c>
      <c r="W1035" s="10" t="s">
        <v>242</v>
      </c>
      <c r="X1035" s="15">
        <f>IF(ISERROR(VLOOKUP($A1035,'13. Updated Demand'!A:Z,15,FALSE)),0,VLOOKUP($A1035,'13. Updated Demand'!A:Z,15,FALSE))</f>
        <v>2.8533299999999997E-4</v>
      </c>
      <c r="Y1035" s="16">
        <f>IF(ISERROR(VLOOKUP($A1035,'13. Updated Demand'!A:Z,16,FALSE)),0,VLOOKUP($A1035,'13. Updated Demand'!A:Z,16,FALSE))</f>
        <v>1.7200000000000001E-4</v>
      </c>
      <c r="Z1035" s="16">
        <f>IF(ISERROR(VLOOKUP($A1035,'13. Updated Demand'!A:Z,17,FALSE)),0,VLOOKUP($A1035,'13. Updated Demand'!A:Z,17,FALSE))</f>
        <v>3.4866699999999999E-4</v>
      </c>
      <c r="AA1035" s="16">
        <f>IF(ISERROR(VLOOKUP($A1035,'13. Updated Demand'!A:Z,18,FALSE)),0,VLOOKUP($A1035,'13. Updated Demand'!A:Z,18,FALSE))</f>
        <v>5.8299999999999997E-4</v>
      </c>
      <c r="AB1035" s="16">
        <f>IF(ISERROR(VLOOKUP($A1035,'13. Updated Demand'!A:Z,19,FALSE)),0,VLOOKUP($A1035,'13. Updated Demand'!A:Z,19,FALSE))</f>
        <v>5.7066699999999996E-4</v>
      </c>
      <c r="AC1035" s="16">
        <f>IF(ISERROR(VLOOKUP($A1035,'13. Updated Demand'!A:Z,20,FALSE)),0,VLOOKUP($A1035,'13. Updated Demand'!A:Z,20,FALSE))</f>
        <v>7.9799999999999999E-4</v>
      </c>
      <c r="AD1035" s="16">
        <f>IF(ISERROR(VLOOKUP($A1035,'13. Updated Demand'!A:Z,21,FALSE)),0,VLOOKUP($A1035,'13. Updated Demand'!A:Z,21,FALSE))</f>
        <v>1.9659999999999999E-3</v>
      </c>
      <c r="AE1035" s="16">
        <f>IF(ISERROR(VLOOKUP($A1035,'13. Updated Demand'!A:Z,22,FALSE)),0,VLOOKUP($A1035,'13. Updated Demand'!A:Z,22,FALSE))</f>
        <v>1.6806670000000001E-3</v>
      </c>
      <c r="AF1035" s="16">
        <f>IF(ISERROR(VLOOKUP($A1035,'13. Updated Demand'!A:Z,23,FALSE)),0,VLOOKUP($A1035,'13. Updated Demand'!A:Z,23,FALSE))</f>
        <v>1.3196670000000001E-3</v>
      </c>
      <c r="AG1035" s="16">
        <f>IF(ISERROR(VLOOKUP($A1035,'13. Updated Demand'!A:Z,24,FALSE)),0,VLOOKUP($A1035,'13. Updated Demand'!A:Z,24,FALSE))</f>
        <v>1.2999999999999999E-3</v>
      </c>
      <c r="AH1035" s="16">
        <f>IF(ISERROR(VLOOKUP($A1035,'13. Updated Demand'!A:Z,25,FALSE)),0,VLOOKUP($A1035,'13. Updated Demand'!A:Z,25,FALSE))</f>
        <v>5.2166699999999996E-4</v>
      </c>
      <c r="AI1035" s="16">
        <f>IF(ISERROR(VLOOKUP($A1035,'13. Updated Demand'!A:Z,26,FALSE)),0,VLOOKUP($A1035,'13. Updated Demand'!A:Z,26,FALSE))</f>
        <v>7.9299999999999998E-4</v>
      </c>
      <c r="AJ1035" s="16">
        <f t="shared" si="192"/>
        <v>1.0338668000000001E-2</v>
      </c>
      <c r="AK1035" s="19">
        <v>6.3350009999999998E-3</v>
      </c>
      <c r="AL1035" s="16">
        <f t="shared" si="202"/>
        <v>2.1012476692573139E-5</v>
      </c>
      <c r="AM1035" s="17">
        <v>1.0338668000000001E-2</v>
      </c>
      <c r="AN1035" s="19"/>
      <c r="AO1035" s="19"/>
      <c r="AP1035" s="19">
        <v>1</v>
      </c>
      <c r="AQ1035" s="19" t="s">
        <v>307</v>
      </c>
      <c r="AR1035" s="9" t="s">
        <v>331</v>
      </c>
      <c r="AS1035" s="12">
        <v>3.4039024194010059E-4</v>
      </c>
      <c r="AT1035" s="19">
        <v>39.122010250000002</v>
      </c>
      <c r="AU1035" s="19">
        <v>-123.11886899</v>
      </c>
      <c r="AV1035" s="19" t="s">
        <v>417</v>
      </c>
    </row>
    <row r="1036" spans="1:48" x14ac:dyDescent="0.25">
      <c r="A1036" s="18" t="s">
        <v>1426</v>
      </c>
      <c r="B1036" s="10">
        <v>19591218</v>
      </c>
      <c r="C1036" s="9">
        <v>12</v>
      </c>
      <c r="D1036" s="8" t="str">
        <f t="shared" si="193"/>
        <v>N</v>
      </c>
      <c r="E1036" s="8" t="str">
        <f t="shared" si="194"/>
        <v>Y</v>
      </c>
      <c r="F1036" s="8" t="str">
        <f t="shared" si="195"/>
        <v>Y</v>
      </c>
      <c r="G1036" s="8" t="str">
        <f t="shared" si="196"/>
        <v>Y</v>
      </c>
      <c r="H1036" s="8" t="str">
        <f t="shared" si="197"/>
        <v>Upper</v>
      </c>
      <c r="I1036" s="8" t="str">
        <f t="shared" si="198"/>
        <v>West Fork and Below Lake</v>
      </c>
      <c r="J1036" s="8" t="str">
        <f t="shared" si="199"/>
        <v>Sonoma (d/s of Clov. Gage)</v>
      </c>
      <c r="K1036" s="8" t="str">
        <f t="shared" si="200"/>
        <v>Post-1949</v>
      </c>
      <c r="L1036" s="8">
        <f t="shared" si="201"/>
        <v>1959</v>
      </c>
      <c r="M1036" s="8" t="str">
        <f t="shared" si="203"/>
        <v>1957-1959</v>
      </c>
      <c r="N1036" s="10" t="s">
        <v>242</v>
      </c>
      <c r="O1036" s="10" t="s">
        <v>241</v>
      </c>
      <c r="P1036" s="10" t="s">
        <v>242</v>
      </c>
      <c r="Q1036" s="10" t="s">
        <v>242</v>
      </c>
      <c r="R1036" s="10" t="s">
        <v>241</v>
      </c>
      <c r="S1036" s="10" t="s">
        <v>242</v>
      </c>
      <c r="T1036" s="10" t="s">
        <v>242</v>
      </c>
      <c r="U1036" s="10" t="s">
        <v>241</v>
      </c>
      <c r="V1036" s="10" t="s">
        <v>241</v>
      </c>
      <c r="W1036" s="10" t="s">
        <v>242</v>
      </c>
      <c r="X1036" s="15">
        <f>IF(ISERROR(VLOOKUP($A1036,'13. Updated Demand'!A:Z,15,FALSE)),0,VLOOKUP($A1036,'13. Updated Demand'!A:Z,15,FALSE))</f>
        <v>0</v>
      </c>
      <c r="Y1036" s="16">
        <f>IF(ISERROR(VLOOKUP($A1036,'13. Updated Demand'!A:Z,16,FALSE)),0,VLOOKUP($A1036,'13. Updated Demand'!A:Z,16,FALSE))</f>
        <v>0</v>
      </c>
      <c r="Z1036" s="16">
        <f>IF(ISERROR(VLOOKUP($A1036,'13. Updated Demand'!A:Z,17,FALSE)),0,VLOOKUP($A1036,'13. Updated Demand'!A:Z,17,FALSE))</f>
        <v>0</v>
      </c>
      <c r="AA1036" s="16">
        <f>IF(ISERROR(VLOOKUP($A1036,'13. Updated Demand'!A:Z,18,FALSE)),0,VLOOKUP($A1036,'13. Updated Demand'!A:Z,18,FALSE))</f>
        <v>0</v>
      </c>
      <c r="AB1036" s="16">
        <f>IF(ISERROR(VLOOKUP($A1036,'13. Updated Demand'!A:Z,19,FALSE)),0,VLOOKUP($A1036,'13. Updated Demand'!A:Z,19,FALSE))</f>
        <v>0</v>
      </c>
      <c r="AC1036" s="16">
        <f>IF(ISERROR(VLOOKUP($A1036,'13. Updated Demand'!A:Z,20,FALSE)),0,VLOOKUP($A1036,'13. Updated Demand'!A:Z,20,FALSE))</f>
        <v>0</v>
      </c>
      <c r="AD1036" s="16">
        <f>IF(ISERROR(VLOOKUP($A1036,'13. Updated Demand'!A:Z,21,FALSE)),0,VLOOKUP($A1036,'13. Updated Demand'!A:Z,21,FALSE))</f>
        <v>0</v>
      </c>
      <c r="AE1036" s="16">
        <f>IF(ISERROR(VLOOKUP($A1036,'13. Updated Demand'!A:Z,22,FALSE)),0,VLOOKUP($A1036,'13. Updated Demand'!A:Z,22,FALSE))</f>
        <v>0</v>
      </c>
      <c r="AF1036" s="16">
        <f>IF(ISERROR(VLOOKUP($A1036,'13. Updated Demand'!A:Z,23,FALSE)),0,VLOOKUP($A1036,'13. Updated Demand'!A:Z,23,FALSE))</f>
        <v>0</v>
      </c>
      <c r="AG1036" s="16">
        <f>IF(ISERROR(VLOOKUP($A1036,'13. Updated Demand'!A:Z,24,FALSE)),0,VLOOKUP($A1036,'13. Updated Demand'!A:Z,24,FALSE))</f>
        <v>0</v>
      </c>
      <c r="AH1036" s="16">
        <f>IF(ISERROR(VLOOKUP($A1036,'13. Updated Demand'!A:Z,25,FALSE)),0,VLOOKUP($A1036,'13. Updated Demand'!A:Z,25,FALSE))</f>
        <v>0</v>
      </c>
      <c r="AI1036" s="16">
        <f>IF(ISERROR(VLOOKUP($A1036,'13. Updated Demand'!A:Z,26,FALSE)),0,VLOOKUP($A1036,'13. Updated Demand'!A:Z,26,FALSE))</f>
        <v>0</v>
      </c>
      <c r="AJ1036" s="16">
        <f t="shared" si="192"/>
        <v>0</v>
      </c>
      <c r="AK1036" s="19">
        <v>0</v>
      </c>
      <c r="AL1036" s="16">
        <f t="shared" si="202"/>
        <v>0</v>
      </c>
      <c r="AM1036" s="17">
        <v>0</v>
      </c>
      <c r="AN1036" s="19"/>
      <c r="AO1036" s="19"/>
      <c r="AP1036" s="19">
        <v>0.1</v>
      </c>
      <c r="AQ1036" s="19" t="s">
        <v>307</v>
      </c>
      <c r="AR1036" s="9" t="s">
        <v>311</v>
      </c>
      <c r="AS1036" s="12">
        <v>0</v>
      </c>
      <c r="AT1036" s="19">
        <v>38.614700919999997</v>
      </c>
      <c r="AU1036" s="19">
        <v>-122.67200799</v>
      </c>
      <c r="AV1036" s="19" t="s">
        <v>1427</v>
      </c>
    </row>
    <row r="1037" spans="1:48" x14ac:dyDescent="0.25">
      <c r="A1037" s="18" t="s">
        <v>1428</v>
      </c>
      <c r="B1037" s="10">
        <v>19580205</v>
      </c>
      <c r="C1037" s="9">
        <v>12</v>
      </c>
      <c r="D1037" s="8" t="str">
        <f t="shared" si="193"/>
        <v>N</v>
      </c>
      <c r="E1037" s="8" t="str">
        <f t="shared" si="194"/>
        <v>Y</v>
      </c>
      <c r="F1037" s="8" t="str">
        <f t="shared" si="195"/>
        <v>Y</v>
      </c>
      <c r="G1037" s="8" t="str">
        <f t="shared" si="196"/>
        <v>Y</v>
      </c>
      <c r="H1037" s="8" t="str">
        <f t="shared" si="197"/>
        <v>Upper</v>
      </c>
      <c r="I1037" s="8" t="str">
        <f t="shared" si="198"/>
        <v>West Fork and Below Lake</v>
      </c>
      <c r="J1037" s="8" t="str">
        <f t="shared" si="199"/>
        <v>Sonoma (d/s of Clov. Gage)</v>
      </c>
      <c r="K1037" s="8" t="str">
        <f t="shared" si="200"/>
        <v>Post-1949</v>
      </c>
      <c r="L1037" s="8">
        <f t="shared" si="201"/>
        <v>1958</v>
      </c>
      <c r="M1037" s="8" t="str">
        <f t="shared" si="203"/>
        <v>1957-1959</v>
      </c>
      <c r="N1037" s="10" t="s">
        <v>242</v>
      </c>
      <c r="O1037" s="10" t="s">
        <v>241</v>
      </c>
      <c r="P1037" s="10" t="s">
        <v>242</v>
      </c>
      <c r="Q1037" s="10" t="s">
        <v>242</v>
      </c>
      <c r="R1037" s="10" t="s">
        <v>241</v>
      </c>
      <c r="S1037" s="10" t="s">
        <v>242</v>
      </c>
      <c r="T1037" s="10" t="s">
        <v>242</v>
      </c>
      <c r="U1037" s="10" t="s">
        <v>242</v>
      </c>
      <c r="V1037" s="10" t="s">
        <v>242</v>
      </c>
      <c r="W1037" s="10" t="s">
        <v>242</v>
      </c>
      <c r="X1037" s="15">
        <f>IF(ISERROR(VLOOKUP($A1037,'13. Updated Demand'!A:Z,15,FALSE)),0,VLOOKUP($A1037,'13. Updated Demand'!A:Z,15,FALSE))</f>
        <v>0</v>
      </c>
      <c r="Y1037" s="16">
        <f>IF(ISERROR(VLOOKUP($A1037,'13. Updated Demand'!A:Z,16,FALSE)),0,VLOOKUP($A1037,'13. Updated Demand'!A:Z,16,FALSE))</f>
        <v>0</v>
      </c>
      <c r="Z1037" s="16">
        <f>IF(ISERROR(VLOOKUP($A1037,'13. Updated Demand'!A:Z,17,FALSE)),0,VLOOKUP($A1037,'13. Updated Demand'!A:Z,17,FALSE))</f>
        <v>0</v>
      </c>
      <c r="AA1037" s="16">
        <f>IF(ISERROR(VLOOKUP($A1037,'13. Updated Demand'!A:Z,18,FALSE)),0,VLOOKUP($A1037,'13. Updated Demand'!A:Z,18,FALSE))</f>
        <v>0</v>
      </c>
      <c r="AB1037" s="16">
        <f>IF(ISERROR(VLOOKUP($A1037,'13. Updated Demand'!A:Z,19,FALSE)),0,VLOOKUP($A1037,'13. Updated Demand'!A:Z,19,FALSE))</f>
        <v>0</v>
      </c>
      <c r="AC1037" s="16">
        <f>IF(ISERROR(VLOOKUP($A1037,'13. Updated Demand'!A:Z,20,FALSE)),0,VLOOKUP($A1037,'13. Updated Demand'!A:Z,20,FALSE))</f>
        <v>8.4600000000000009</v>
      </c>
      <c r="AD1037" s="16">
        <f>IF(ISERROR(VLOOKUP($A1037,'13. Updated Demand'!A:Z,21,FALSE)),0,VLOOKUP($A1037,'13. Updated Demand'!A:Z,21,FALSE))</f>
        <v>8.4600000000000009</v>
      </c>
      <c r="AE1037" s="16">
        <f>IF(ISERROR(VLOOKUP($A1037,'13. Updated Demand'!A:Z,22,FALSE)),0,VLOOKUP($A1037,'13. Updated Demand'!A:Z,22,FALSE))</f>
        <v>8.4600000000000009</v>
      </c>
      <c r="AF1037" s="16">
        <f>IF(ISERROR(VLOOKUP($A1037,'13. Updated Demand'!A:Z,23,FALSE)),0,VLOOKUP($A1037,'13. Updated Demand'!A:Z,23,FALSE))</f>
        <v>8.4600000000000009</v>
      </c>
      <c r="AG1037" s="16">
        <f>IF(ISERROR(VLOOKUP($A1037,'13. Updated Demand'!A:Z,24,FALSE)),0,VLOOKUP($A1037,'13. Updated Demand'!A:Z,24,FALSE))</f>
        <v>8.4600000000000009</v>
      </c>
      <c r="AH1037" s="16">
        <f>IF(ISERROR(VLOOKUP($A1037,'13. Updated Demand'!A:Z,25,FALSE)),0,VLOOKUP($A1037,'13. Updated Demand'!A:Z,25,FALSE))</f>
        <v>8.4600000000000009</v>
      </c>
      <c r="AI1037" s="16">
        <f>IF(ISERROR(VLOOKUP($A1037,'13. Updated Demand'!A:Z,26,FALSE)),0,VLOOKUP($A1037,'13. Updated Demand'!A:Z,26,FALSE))</f>
        <v>0</v>
      </c>
      <c r="AJ1037" s="16">
        <f t="shared" si="192"/>
        <v>50.760000000000005</v>
      </c>
      <c r="AK1037" s="19">
        <v>33.86</v>
      </c>
      <c r="AL1037" s="16">
        <f t="shared" si="202"/>
        <v>0.11230976298354593</v>
      </c>
      <c r="AM1037" s="17">
        <v>0.6929058663028651</v>
      </c>
      <c r="AN1037" s="19"/>
      <c r="AO1037" s="19"/>
      <c r="AP1037" s="19">
        <v>73.3</v>
      </c>
      <c r="AQ1037" s="19" t="s">
        <v>307</v>
      </c>
      <c r="AR1037" s="9" t="s">
        <v>311</v>
      </c>
      <c r="AS1037" s="12">
        <v>3.4039024194010059E-4</v>
      </c>
      <c r="AT1037" s="19">
        <v>38.617360060000003</v>
      </c>
      <c r="AU1037" s="19">
        <v>-122.77423688</v>
      </c>
      <c r="AV1037" s="19" t="s">
        <v>1429</v>
      </c>
    </row>
    <row r="1038" spans="1:48" x14ac:dyDescent="0.25">
      <c r="A1038" s="18" t="s">
        <v>1430</v>
      </c>
      <c r="B1038" s="10">
        <v>19580213</v>
      </c>
      <c r="C1038" s="9">
        <v>23</v>
      </c>
      <c r="D1038" s="8" t="str">
        <f t="shared" si="193"/>
        <v>N</v>
      </c>
      <c r="E1038" s="8" t="str">
        <f t="shared" si="194"/>
        <v>N</v>
      </c>
      <c r="F1038" s="8" t="str">
        <f t="shared" si="195"/>
        <v>N</v>
      </c>
      <c r="G1038" s="8" t="str">
        <f t="shared" si="196"/>
        <v>N</v>
      </c>
      <c r="H1038" s="8" t="str">
        <f t="shared" si="197"/>
        <v>Lower</v>
      </c>
      <c r="I1038" s="8" t="str">
        <f t="shared" si="198"/>
        <v>Outside</v>
      </c>
      <c r="J1038" s="8" t="str">
        <f t="shared" si="199"/>
        <v>Outside</v>
      </c>
      <c r="K1038" s="8" t="str">
        <f t="shared" si="200"/>
        <v>Post-1949</v>
      </c>
      <c r="L1038" s="8">
        <f t="shared" si="201"/>
        <v>1958</v>
      </c>
      <c r="M1038" s="8" t="str">
        <f t="shared" si="203"/>
        <v>1957-1959</v>
      </c>
      <c r="N1038" s="10" t="s">
        <v>242</v>
      </c>
      <c r="O1038" s="10" t="s">
        <v>242</v>
      </c>
      <c r="P1038" s="10" t="s">
        <v>242</v>
      </c>
      <c r="Q1038" s="10" t="s">
        <v>242</v>
      </c>
      <c r="R1038" s="10" t="s">
        <v>241</v>
      </c>
      <c r="S1038" s="10" t="s">
        <v>242</v>
      </c>
      <c r="T1038" s="10" t="s">
        <v>242</v>
      </c>
      <c r="U1038" s="10" t="s">
        <v>241</v>
      </c>
      <c r="V1038" s="10" t="s">
        <v>241</v>
      </c>
      <c r="W1038" s="10" t="s">
        <v>242</v>
      </c>
      <c r="X1038" s="15">
        <f>IF(ISERROR(VLOOKUP($A1038,'13. Updated Demand'!A:Z,15,FALSE)),0,VLOOKUP($A1038,'13. Updated Demand'!A:Z,15,FALSE))</f>
        <v>0</v>
      </c>
      <c r="Y1038" s="16">
        <f>IF(ISERROR(VLOOKUP($A1038,'13. Updated Demand'!A:Z,16,FALSE)),0,VLOOKUP($A1038,'13. Updated Demand'!A:Z,16,FALSE))</f>
        <v>0</v>
      </c>
      <c r="Z1038" s="16">
        <f>IF(ISERROR(VLOOKUP($A1038,'13. Updated Demand'!A:Z,17,FALSE)),0,VLOOKUP($A1038,'13. Updated Demand'!A:Z,17,FALSE))</f>
        <v>0</v>
      </c>
      <c r="AA1038" s="16">
        <f>IF(ISERROR(VLOOKUP($A1038,'13. Updated Demand'!A:Z,18,FALSE)),0,VLOOKUP($A1038,'13. Updated Demand'!A:Z,18,FALSE))</f>
        <v>0</v>
      </c>
      <c r="AB1038" s="16">
        <f>IF(ISERROR(VLOOKUP($A1038,'13. Updated Demand'!A:Z,19,FALSE)),0,VLOOKUP($A1038,'13. Updated Demand'!A:Z,19,FALSE))</f>
        <v>0</v>
      </c>
      <c r="AC1038" s="16">
        <f>IF(ISERROR(VLOOKUP($A1038,'13. Updated Demand'!A:Z,20,FALSE)),0,VLOOKUP($A1038,'13. Updated Demand'!A:Z,20,FALSE))</f>
        <v>0</v>
      </c>
      <c r="AD1038" s="16">
        <f>IF(ISERROR(VLOOKUP($A1038,'13. Updated Demand'!A:Z,21,FALSE)),0,VLOOKUP($A1038,'13. Updated Demand'!A:Z,21,FALSE))</f>
        <v>0</v>
      </c>
      <c r="AE1038" s="16">
        <f>IF(ISERROR(VLOOKUP($A1038,'13. Updated Demand'!A:Z,22,FALSE)),0,VLOOKUP($A1038,'13. Updated Demand'!A:Z,22,FALSE))</f>
        <v>0</v>
      </c>
      <c r="AF1038" s="16">
        <f>IF(ISERROR(VLOOKUP($A1038,'13. Updated Demand'!A:Z,23,FALSE)),0,VLOOKUP($A1038,'13. Updated Demand'!A:Z,23,FALSE))</f>
        <v>0</v>
      </c>
      <c r="AG1038" s="16">
        <f>IF(ISERROR(VLOOKUP($A1038,'13. Updated Demand'!A:Z,24,FALSE)),0,VLOOKUP($A1038,'13. Updated Demand'!A:Z,24,FALSE))</f>
        <v>0</v>
      </c>
      <c r="AH1038" s="16">
        <f>IF(ISERROR(VLOOKUP($A1038,'13. Updated Demand'!A:Z,25,FALSE)),0,VLOOKUP($A1038,'13. Updated Demand'!A:Z,25,FALSE))</f>
        <v>0</v>
      </c>
      <c r="AI1038" s="16">
        <f>IF(ISERROR(VLOOKUP($A1038,'13. Updated Demand'!A:Z,26,FALSE)),0,VLOOKUP($A1038,'13. Updated Demand'!A:Z,26,FALSE))</f>
        <v>0</v>
      </c>
      <c r="AJ1038" s="16">
        <f t="shared" si="192"/>
        <v>0</v>
      </c>
      <c r="AK1038" s="19">
        <v>0</v>
      </c>
      <c r="AL1038" s="16">
        <f t="shared" si="202"/>
        <v>0</v>
      </c>
      <c r="AM1038" s="17">
        <v>0</v>
      </c>
      <c r="AN1038" s="19"/>
      <c r="AO1038" s="19"/>
      <c r="AP1038" s="19">
        <v>10.6</v>
      </c>
      <c r="AQ1038" s="19" t="s">
        <v>307</v>
      </c>
      <c r="AR1038" s="9" t="s">
        <v>391</v>
      </c>
      <c r="AS1038" s="12">
        <v>0</v>
      </c>
      <c r="AT1038" s="19">
        <v>38.556855720000001</v>
      </c>
      <c r="AU1038" s="19">
        <v>-122.78791902</v>
      </c>
      <c r="AV1038" s="19" t="s">
        <v>417</v>
      </c>
    </row>
    <row r="1039" spans="1:48" x14ac:dyDescent="0.25">
      <c r="A1039" s="18" t="s">
        <v>92</v>
      </c>
      <c r="B1039" s="10">
        <v>19580411</v>
      </c>
      <c r="C1039" s="9">
        <v>6</v>
      </c>
      <c r="D1039" s="8" t="str">
        <f t="shared" si="193"/>
        <v>Y</v>
      </c>
      <c r="E1039" s="8" t="str">
        <f t="shared" si="194"/>
        <v>N</v>
      </c>
      <c r="F1039" s="8" t="str">
        <f t="shared" si="195"/>
        <v>Y</v>
      </c>
      <c r="G1039" s="8" t="str">
        <f t="shared" si="196"/>
        <v>Y</v>
      </c>
      <c r="H1039" s="8" t="str">
        <f t="shared" si="197"/>
        <v>Upper</v>
      </c>
      <c r="I1039" s="8" t="str">
        <f t="shared" si="198"/>
        <v>West Fork and Below Lake</v>
      </c>
      <c r="J1039" s="8" t="str">
        <f t="shared" si="199"/>
        <v>Mendocino (d/s of lake)</v>
      </c>
      <c r="K1039" s="8" t="str">
        <f t="shared" si="200"/>
        <v>Post-1949</v>
      </c>
      <c r="L1039" s="8">
        <f t="shared" si="201"/>
        <v>1958</v>
      </c>
      <c r="M1039" s="8" t="str">
        <f t="shared" si="203"/>
        <v>1957-1959</v>
      </c>
      <c r="N1039" s="10" t="s">
        <v>241</v>
      </c>
      <c r="O1039" s="10" t="s">
        <v>241</v>
      </c>
      <c r="P1039" s="10" t="s">
        <v>242</v>
      </c>
      <c r="Q1039" s="10" t="s">
        <v>242</v>
      </c>
      <c r="R1039" s="10" t="s">
        <v>241</v>
      </c>
      <c r="S1039" s="10" t="s">
        <v>242</v>
      </c>
      <c r="T1039" s="10" t="s">
        <v>242</v>
      </c>
      <c r="U1039" s="10" t="s">
        <v>242</v>
      </c>
      <c r="V1039" s="10" t="s">
        <v>242</v>
      </c>
      <c r="W1039" s="10" t="s">
        <v>242</v>
      </c>
      <c r="X1039" s="15">
        <f>IF(ISERROR(VLOOKUP($A1039,'13. Updated Demand'!A:Z,15,FALSE)),0,VLOOKUP($A1039,'13. Updated Demand'!A:Z,15,FALSE))</f>
        <v>0</v>
      </c>
      <c r="Y1039" s="16">
        <f>IF(ISERROR(VLOOKUP($A1039,'13. Updated Demand'!A:Z,16,FALSE)),0,VLOOKUP($A1039,'13. Updated Demand'!A:Z,16,FALSE))</f>
        <v>0</v>
      </c>
      <c r="Z1039" s="16">
        <f>IF(ISERROR(VLOOKUP($A1039,'13. Updated Demand'!A:Z,17,FALSE)),0,VLOOKUP($A1039,'13. Updated Demand'!A:Z,17,FALSE))</f>
        <v>0</v>
      </c>
      <c r="AA1039" s="16">
        <f>IF(ISERROR(VLOOKUP($A1039,'13. Updated Demand'!A:Z,18,FALSE)),0,VLOOKUP($A1039,'13. Updated Demand'!A:Z,18,FALSE))</f>
        <v>0</v>
      </c>
      <c r="AB1039" s="16">
        <f>IF(ISERROR(VLOOKUP($A1039,'13. Updated Demand'!A:Z,19,FALSE)),0,VLOOKUP($A1039,'13. Updated Demand'!A:Z,19,FALSE))</f>
        <v>0</v>
      </c>
      <c r="AC1039" s="16">
        <f>IF(ISERROR(VLOOKUP($A1039,'13. Updated Demand'!A:Z,20,FALSE)),0,VLOOKUP($A1039,'13. Updated Demand'!A:Z,20,FALSE))</f>
        <v>0</v>
      </c>
      <c r="AD1039" s="16">
        <f>IF(ISERROR(VLOOKUP($A1039,'13. Updated Demand'!A:Z,21,FALSE)),0,VLOOKUP($A1039,'13. Updated Demand'!A:Z,21,FALSE))</f>
        <v>0.7</v>
      </c>
      <c r="AE1039" s="16">
        <f>IF(ISERROR(VLOOKUP($A1039,'13. Updated Demand'!A:Z,22,FALSE)),0,VLOOKUP($A1039,'13. Updated Demand'!A:Z,22,FALSE))</f>
        <v>0.33</v>
      </c>
      <c r="AF1039" s="16">
        <f>IF(ISERROR(VLOOKUP($A1039,'13. Updated Demand'!A:Z,23,FALSE)),0,VLOOKUP($A1039,'13. Updated Demand'!A:Z,23,FALSE))</f>
        <v>0.3</v>
      </c>
      <c r="AG1039" s="16">
        <f>IF(ISERROR(VLOOKUP($A1039,'13. Updated Demand'!A:Z,24,FALSE)),0,VLOOKUP($A1039,'13. Updated Demand'!A:Z,24,FALSE))</f>
        <v>0</v>
      </c>
      <c r="AH1039" s="16">
        <f>IF(ISERROR(VLOOKUP($A1039,'13. Updated Demand'!A:Z,25,FALSE)),0,VLOOKUP($A1039,'13. Updated Demand'!A:Z,25,FALSE))</f>
        <v>0</v>
      </c>
      <c r="AI1039" s="16">
        <f>IF(ISERROR(VLOOKUP($A1039,'13. Updated Demand'!A:Z,26,FALSE)),0,VLOOKUP($A1039,'13. Updated Demand'!A:Z,26,FALSE))</f>
        <v>0</v>
      </c>
      <c r="AJ1039" s="16">
        <f t="shared" si="192"/>
        <v>1.33</v>
      </c>
      <c r="AK1039" s="19">
        <v>1.33</v>
      </c>
      <c r="AL1039" s="16">
        <f t="shared" si="202"/>
        <v>4.4114584987630275E-3</v>
      </c>
      <c r="AM1039" s="17">
        <v>2.6600000000000002E-2</v>
      </c>
      <c r="AN1039" s="19"/>
      <c r="AO1039" s="19"/>
      <c r="AP1039" s="19">
        <v>50</v>
      </c>
      <c r="AQ1039" s="19" t="s">
        <v>307</v>
      </c>
      <c r="AR1039" s="9" t="s">
        <v>319</v>
      </c>
      <c r="AS1039" s="12">
        <v>0</v>
      </c>
      <c r="AT1039" s="19">
        <v>38.986203809999999</v>
      </c>
      <c r="AU1039" s="19">
        <v>-123.10652532</v>
      </c>
      <c r="AV1039" s="19" t="s">
        <v>548</v>
      </c>
    </row>
    <row r="1040" spans="1:48" x14ac:dyDescent="0.25">
      <c r="A1040" s="18" t="s">
        <v>1431</v>
      </c>
      <c r="B1040" s="10">
        <v>19580411</v>
      </c>
      <c r="C1040" s="9">
        <v>6</v>
      </c>
      <c r="D1040" s="8" t="str">
        <f t="shared" si="193"/>
        <v>Y</v>
      </c>
      <c r="E1040" s="8" t="str">
        <f t="shared" si="194"/>
        <v>N</v>
      </c>
      <c r="F1040" s="8" t="str">
        <f t="shared" si="195"/>
        <v>Y</v>
      </c>
      <c r="G1040" s="8" t="str">
        <f t="shared" si="196"/>
        <v>Y</v>
      </c>
      <c r="H1040" s="8" t="str">
        <f t="shared" si="197"/>
        <v>Upper</v>
      </c>
      <c r="I1040" s="8" t="str">
        <f t="shared" si="198"/>
        <v>West Fork and Below Lake</v>
      </c>
      <c r="J1040" s="8" t="str">
        <f t="shared" si="199"/>
        <v>Mendocino (d/s of lake)</v>
      </c>
      <c r="K1040" s="8" t="str">
        <f t="shared" si="200"/>
        <v>Post-1949</v>
      </c>
      <c r="L1040" s="8">
        <f t="shared" si="201"/>
        <v>1958</v>
      </c>
      <c r="M1040" s="8" t="str">
        <f t="shared" si="203"/>
        <v>1957-1959</v>
      </c>
      <c r="N1040" s="10" t="s">
        <v>241</v>
      </c>
      <c r="O1040" s="10" t="s">
        <v>241</v>
      </c>
      <c r="P1040" s="10" t="s">
        <v>242</v>
      </c>
      <c r="Q1040" s="10" t="s">
        <v>242</v>
      </c>
      <c r="R1040" s="10" t="s">
        <v>241</v>
      </c>
      <c r="S1040" s="10" t="s">
        <v>242</v>
      </c>
      <c r="T1040" s="10" t="s">
        <v>242</v>
      </c>
      <c r="U1040" s="10" t="s">
        <v>242</v>
      </c>
      <c r="V1040" s="10" t="s">
        <v>242</v>
      </c>
      <c r="W1040" s="10" t="s">
        <v>242</v>
      </c>
      <c r="X1040" s="15">
        <f>IF(ISERROR(VLOOKUP($A1040,'13. Updated Demand'!A:Z,15,FALSE)),0,VLOOKUP($A1040,'13. Updated Demand'!A:Z,15,FALSE))</f>
        <v>0</v>
      </c>
      <c r="Y1040" s="16">
        <f>IF(ISERROR(VLOOKUP($A1040,'13. Updated Demand'!A:Z,16,FALSE)),0,VLOOKUP($A1040,'13. Updated Demand'!A:Z,16,FALSE))</f>
        <v>0</v>
      </c>
      <c r="Z1040" s="16">
        <f>IF(ISERROR(VLOOKUP($A1040,'13. Updated Demand'!A:Z,17,FALSE)),0,VLOOKUP($A1040,'13. Updated Demand'!A:Z,17,FALSE))</f>
        <v>0</v>
      </c>
      <c r="AA1040" s="16">
        <f>IF(ISERROR(VLOOKUP($A1040,'13. Updated Demand'!A:Z,18,FALSE)),0,VLOOKUP($A1040,'13. Updated Demand'!A:Z,18,FALSE))</f>
        <v>0</v>
      </c>
      <c r="AB1040" s="16">
        <f>IF(ISERROR(VLOOKUP($A1040,'13. Updated Demand'!A:Z,19,FALSE)),0,VLOOKUP($A1040,'13. Updated Demand'!A:Z,19,FALSE))</f>
        <v>0</v>
      </c>
      <c r="AC1040" s="16">
        <f>IF(ISERROR(VLOOKUP($A1040,'13. Updated Demand'!A:Z,20,FALSE)),0,VLOOKUP($A1040,'13. Updated Demand'!A:Z,20,FALSE))</f>
        <v>0.21</v>
      </c>
      <c r="AD1040" s="16">
        <f>IF(ISERROR(VLOOKUP($A1040,'13. Updated Demand'!A:Z,21,FALSE)),0,VLOOKUP($A1040,'13. Updated Demand'!A:Z,21,FALSE))</f>
        <v>0</v>
      </c>
      <c r="AE1040" s="16">
        <f>IF(ISERROR(VLOOKUP($A1040,'13. Updated Demand'!A:Z,22,FALSE)),0,VLOOKUP($A1040,'13. Updated Demand'!A:Z,22,FALSE))</f>
        <v>0</v>
      </c>
      <c r="AF1040" s="16">
        <f>IF(ISERROR(VLOOKUP($A1040,'13. Updated Demand'!A:Z,23,FALSE)),0,VLOOKUP($A1040,'13. Updated Demand'!A:Z,23,FALSE))</f>
        <v>0</v>
      </c>
      <c r="AG1040" s="16">
        <f>IF(ISERROR(VLOOKUP($A1040,'13. Updated Demand'!A:Z,24,FALSE)),0,VLOOKUP($A1040,'13. Updated Demand'!A:Z,24,FALSE))</f>
        <v>0</v>
      </c>
      <c r="AH1040" s="16">
        <f>IF(ISERROR(VLOOKUP($A1040,'13. Updated Demand'!A:Z,25,FALSE)),0,VLOOKUP($A1040,'13. Updated Demand'!A:Z,25,FALSE))</f>
        <v>0</v>
      </c>
      <c r="AI1040" s="16">
        <f>IF(ISERROR(VLOOKUP($A1040,'13. Updated Demand'!A:Z,26,FALSE)),0,VLOOKUP($A1040,'13. Updated Demand'!A:Z,26,FALSE))</f>
        <v>0</v>
      </c>
      <c r="AJ1040" s="16">
        <f t="shared" ref="AJ1040:AJ1103" si="204">SUM(X1040:AI1040)</f>
        <v>0.21</v>
      </c>
      <c r="AK1040" s="19">
        <v>0.21666666666666701</v>
      </c>
      <c r="AL1040" s="16">
        <f t="shared" si="202"/>
        <v>7.1865865268069481E-4</v>
      </c>
      <c r="AM1040" s="17">
        <v>7.7658303464755204E-4</v>
      </c>
      <c r="AN1040" s="19"/>
      <c r="AO1040" s="19"/>
      <c r="AP1040" s="19">
        <v>279</v>
      </c>
      <c r="AQ1040" s="19" t="s">
        <v>307</v>
      </c>
      <c r="AR1040" s="9" t="s">
        <v>319</v>
      </c>
      <c r="AS1040" s="12">
        <v>0</v>
      </c>
      <c r="AT1040" s="19">
        <v>38.986699999999999</v>
      </c>
      <c r="AU1040" s="19">
        <v>-123.10680000000001</v>
      </c>
      <c r="AV1040" s="19" t="s">
        <v>387</v>
      </c>
    </row>
    <row r="1041" spans="1:48" x14ac:dyDescent="0.25">
      <c r="A1041" s="18" t="s">
        <v>1432</v>
      </c>
      <c r="B1041" s="10">
        <v>19580508</v>
      </c>
      <c r="C1041" s="9">
        <v>16</v>
      </c>
      <c r="D1041" s="8" t="str">
        <f t="shared" si="193"/>
        <v>N</v>
      </c>
      <c r="E1041" s="8" t="str">
        <f t="shared" si="194"/>
        <v>N</v>
      </c>
      <c r="F1041" s="8" t="str">
        <f t="shared" si="195"/>
        <v>N</v>
      </c>
      <c r="G1041" s="8" t="str">
        <f t="shared" si="196"/>
        <v>N</v>
      </c>
      <c r="H1041" s="8" t="str">
        <f t="shared" si="197"/>
        <v>Lower</v>
      </c>
      <c r="I1041" s="8" t="str">
        <f t="shared" si="198"/>
        <v>Outside</v>
      </c>
      <c r="J1041" s="8" t="str">
        <f t="shared" si="199"/>
        <v>Outside</v>
      </c>
      <c r="K1041" s="8" t="str">
        <f t="shared" si="200"/>
        <v>Post-1949</v>
      </c>
      <c r="L1041" s="8">
        <f t="shared" si="201"/>
        <v>1958</v>
      </c>
      <c r="M1041" s="8" t="str">
        <f t="shared" si="203"/>
        <v>1957-1959</v>
      </c>
      <c r="N1041" s="10" t="s">
        <v>242</v>
      </c>
      <c r="O1041" s="10" t="s">
        <v>242</v>
      </c>
      <c r="P1041" s="10" t="s">
        <v>242</v>
      </c>
      <c r="Q1041" s="10" t="s">
        <v>242</v>
      </c>
      <c r="R1041" s="10" t="s">
        <v>241</v>
      </c>
      <c r="S1041" s="10" t="s">
        <v>242</v>
      </c>
      <c r="T1041" s="10" t="s">
        <v>241</v>
      </c>
      <c r="U1041" s="10" t="s">
        <v>241</v>
      </c>
      <c r="V1041" s="10" t="s">
        <v>241</v>
      </c>
      <c r="W1041" s="10" t="s">
        <v>242</v>
      </c>
      <c r="X1041" s="15">
        <f>IF(ISERROR(VLOOKUP($A1041,'13. Updated Demand'!A:Z,15,FALSE)),0,VLOOKUP($A1041,'13. Updated Demand'!A:Z,15,FALSE))</f>
        <v>0</v>
      </c>
      <c r="Y1041" s="16">
        <f>IF(ISERROR(VLOOKUP($A1041,'13. Updated Demand'!A:Z,16,FALSE)),0,VLOOKUP($A1041,'13. Updated Demand'!A:Z,16,FALSE))</f>
        <v>0</v>
      </c>
      <c r="Z1041" s="16">
        <f>IF(ISERROR(VLOOKUP($A1041,'13. Updated Demand'!A:Z,17,FALSE)),0,VLOOKUP($A1041,'13. Updated Demand'!A:Z,17,FALSE))</f>
        <v>0</v>
      </c>
      <c r="AA1041" s="16">
        <f>IF(ISERROR(VLOOKUP($A1041,'13. Updated Demand'!A:Z,18,FALSE)),0,VLOOKUP($A1041,'13. Updated Demand'!A:Z,18,FALSE))</f>
        <v>0</v>
      </c>
      <c r="AB1041" s="16">
        <f>IF(ISERROR(VLOOKUP($A1041,'13. Updated Demand'!A:Z,19,FALSE)),0,VLOOKUP($A1041,'13. Updated Demand'!A:Z,19,FALSE))</f>
        <v>0</v>
      </c>
      <c r="AC1041" s="16">
        <f>IF(ISERROR(VLOOKUP($A1041,'13. Updated Demand'!A:Z,20,FALSE)),0,VLOOKUP($A1041,'13. Updated Demand'!A:Z,20,FALSE))</f>
        <v>0</v>
      </c>
      <c r="AD1041" s="16">
        <f>IF(ISERROR(VLOOKUP($A1041,'13. Updated Demand'!A:Z,21,FALSE)),0,VLOOKUP($A1041,'13. Updated Demand'!A:Z,21,FALSE))</f>
        <v>0</v>
      </c>
      <c r="AE1041" s="16">
        <f>IF(ISERROR(VLOOKUP($A1041,'13. Updated Demand'!A:Z,22,FALSE)),0,VLOOKUP($A1041,'13. Updated Demand'!A:Z,22,FALSE))</f>
        <v>0</v>
      </c>
      <c r="AF1041" s="16">
        <f>IF(ISERROR(VLOOKUP($A1041,'13. Updated Demand'!A:Z,23,FALSE)),0,VLOOKUP($A1041,'13. Updated Demand'!A:Z,23,FALSE))</f>
        <v>0</v>
      </c>
      <c r="AG1041" s="16">
        <f>IF(ISERROR(VLOOKUP($A1041,'13. Updated Demand'!A:Z,24,FALSE)),0,VLOOKUP($A1041,'13. Updated Demand'!A:Z,24,FALSE))</f>
        <v>0</v>
      </c>
      <c r="AH1041" s="16">
        <f>IF(ISERROR(VLOOKUP($A1041,'13. Updated Demand'!A:Z,25,FALSE)),0,VLOOKUP($A1041,'13. Updated Demand'!A:Z,25,FALSE))</f>
        <v>0</v>
      </c>
      <c r="AI1041" s="16">
        <f>IF(ISERROR(VLOOKUP($A1041,'13. Updated Demand'!A:Z,26,FALSE)),0,VLOOKUP($A1041,'13. Updated Demand'!A:Z,26,FALSE))</f>
        <v>0</v>
      </c>
      <c r="AJ1041" s="16">
        <f t="shared" si="204"/>
        <v>0</v>
      </c>
      <c r="AK1041" s="19">
        <v>0</v>
      </c>
      <c r="AL1041" s="16">
        <f t="shared" si="202"/>
        <v>0</v>
      </c>
      <c r="AM1041" s="17">
        <v>0</v>
      </c>
      <c r="AN1041" s="19"/>
      <c r="AO1041" s="19"/>
      <c r="AP1041" s="19">
        <v>3</v>
      </c>
      <c r="AQ1041" s="19" t="s">
        <v>307</v>
      </c>
      <c r="AR1041" s="9" t="s">
        <v>394</v>
      </c>
      <c r="AS1041" s="12">
        <v>0</v>
      </c>
      <c r="AT1041" s="19">
        <v>38.579216930000001</v>
      </c>
      <c r="AU1041" s="19">
        <v>-122.88576903000001</v>
      </c>
      <c r="AV1041" s="19" t="s">
        <v>1433</v>
      </c>
    </row>
    <row r="1042" spans="1:48" x14ac:dyDescent="0.25">
      <c r="A1042" s="18" t="s">
        <v>1434</v>
      </c>
      <c r="B1042" s="10">
        <v>19580516</v>
      </c>
      <c r="C1042" s="9">
        <v>11</v>
      </c>
      <c r="D1042" s="8" t="str">
        <f t="shared" si="193"/>
        <v>N</v>
      </c>
      <c r="E1042" s="8" t="str">
        <f t="shared" si="194"/>
        <v>Y</v>
      </c>
      <c r="F1042" s="8" t="str">
        <f t="shared" si="195"/>
        <v>Y</v>
      </c>
      <c r="G1042" s="8" t="str">
        <f t="shared" si="196"/>
        <v>Y</v>
      </c>
      <c r="H1042" s="8" t="str">
        <f t="shared" si="197"/>
        <v>Upper</v>
      </c>
      <c r="I1042" s="8" t="str">
        <f t="shared" si="198"/>
        <v>West Fork and Below Lake</v>
      </c>
      <c r="J1042" s="8" t="str">
        <f t="shared" si="199"/>
        <v>Sonoma (d/s of Clov. Gage)</v>
      </c>
      <c r="K1042" s="8" t="str">
        <f t="shared" si="200"/>
        <v>Post-1949</v>
      </c>
      <c r="L1042" s="8">
        <f t="shared" si="201"/>
        <v>1958</v>
      </c>
      <c r="M1042" s="8" t="str">
        <f t="shared" si="203"/>
        <v>1957-1959</v>
      </c>
      <c r="N1042" s="10" t="s">
        <v>242</v>
      </c>
      <c r="O1042" s="10" t="s">
        <v>241</v>
      </c>
      <c r="P1042" s="10" t="s">
        <v>242</v>
      </c>
      <c r="Q1042" s="10" t="s">
        <v>242</v>
      </c>
      <c r="R1042" s="10" t="s">
        <v>241</v>
      </c>
      <c r="S1042" s="10" t="s">
        <v>242</v>
      </c>
      <c r="T1042" s="10" t="s">
        <v>242</v>
      </c>
      <c r="U1042" s="10" t="s">
        <v>242</v>
      </c>
      <c r="V1042" s="10" t="s">
        <v>241</v>
      </c>
      <c r="W1042" s="10" t="s">
        <v>242</v>
      </c>
      <c r="X1042" s="15">
        <f>IF(ISERROR(VLOOKUP($A1042,'13. Updated Demand'!A:Z,15,FALSE)),0,VLOOKUP($A1042,'13. Updated Demand'!A:Z,15,FALSE))</f>
        <v>14.53</v>
      </c>
      <c r="Y1042" s="16">
        <f>IF(ISERROR(VLOOKUP($A1042,'13. Updated Demand'!A:Z,16,FALSE)),0,VLOOKUP($A1042,'13. Updated Demand'!A:Z,16,FALSE))</f>
        <v>9.66</v>
      </c>
      <c r="Z1042" s="16">
        <f>IF(ISERROR(VLOOKUP($A1042,'13. Updated Demand'!A:Z,17,FALSE)),0,VLOOKUP($A1042,'13. Updated Demand'!A:Z,17,FALSE))</f>
        <v>10.93</v>
      </c>
      <c r="AA1042" s="16">
        <f>IF(ISERROR(VLOOKUP($A1042,'13. Updated Demand'!A:Z,18,FALSE)),0,VLOOKUP($A1042,'13. Updated Demand'!A:Z,18,FALSE))</f>
        <v>6.06</v>
      </c>
      <c r="AB1042" s="16">
        <f>IF(ISERROR(VLOOKUP($A1042,'13. Updated Demand'!A:Z,19,FALSE)),0,VLOOKUP($A1042,'13. Updated Demand'!A:Z,19,FALSE))</f>
        <v>0</v>
      </c>
      <c r="AC1042" s="16">
        <f>IF(ISERROR(VLOOKUP($A1042,'13. Updated Demand'!A:Z,20,FALSE)),0,VLOOKUP($A1042,'13. Updated Demand'!A:Z,20,FALSE))</f>
        <v>0</v>
      </c>
      <c r="AD1042" s="16">
        <f>IF(ISERROR(VLOOKUP($A1042,'13. Updated Demand'!A:Z,21,FALSE)),0,VLOOKUP($A1042,'13. Updated Demand'!A:Z,21,FALSE))</f>
        <v>0</v>
      </c>
      <c r="AE1042" s="16">
        <f>IF(ISERROR(VLOOKUP($A1042,'13. Updated Demand'!A:Z,22,FALSE)),0,VLOOKUP($A1042,'13. Updated Demand'!A:Z,22,FALSE))</f>
        <v>0</v>
      </c>
      <c r="AF1042" s="16">
        <f>IF(ISERROR(VLOOKUP($A1042,'13. Updated Demand'!A:Z,23,FALSE)),0,VLOOKUP($A1042,'13. Updated Demand'!A:Z,23,FALSE))</f>
        <v>0</v>
      </c>
      <c r="AG1042" s="16">
        <f>IF(ISERROR(VLOOKUP($A1042,'13. Updated Demand'!A:Z,24,FALSE)),0,VLOOKUP($A1042,'13. Updated Demand'!A:Z,24,FALSE))</f>
        <v>0</v>
      </c>
      <c r="AH1042" s="16">
        <f>IF(ISERROR(VLOOKUP($A1042,'13. Updated Demand'!A:Z,25,FALSE)),0,VLOOKUP($A1042,'13. Updated Demand'!A:Z,25,FALSE))</f>
        <v>4.9000000000000004</v>
      </c>
      <c r="AI1042" s="16">
        <f>IF(ISERROR(VLOOKUP($A1042,'13. Updated Demand'!A:Z,26,FALSE)),0,VLOOKUP($A1042,'13. Updated Demand'!A:Z,26,FALSE))</f>
        <v>11.43</v>
      </c>
      <c r="AJ1042" s="16">
        <f t="shared" si="204"/>
        <v>57.51</v>
      </c>
      <c r="AK1042" s="19">
        <v>0</v>
      </c>
      <c r="AL1042" s="16">
        <f t="shared" si="202"/>
        <v>0</v>
      </c>
      <c r="AM1042" s="17">
        <v>0.49173789165811965</v>
      </c>
      <c r="AN1042" s="19"/>
      <c r="AO1042" s="19"/>
      <c r="AP1042" s="19">
        <v>117</v>
      </c>
      <c r="AQ1042" s="19" t="s">
        <v>307</v>
      </c>
      <c r="AR1042" s="9" t="s">
        <v>308</v>
      </c>
      <c r="AS1042" s="12">
        <v>0</v>
      </c>
      <c r="AT1042" s="19">
        <v>38.63853185</v>
      </c>
      <c r="AU1042" s="19">
        <v>-122.67272271</v>
      </c>
      <c r="AV1042" s="19" t="s">
        <v>1435</v>
      </c>
    </row>
    <row r="1043" spans="1:48" x14ac:dyDescent="0.25">
      <c r="A1043" s="18" t="s">
        <v>1436</v>
      </c>
      <c r="B1043" s="10">
        <v>19580623</v>
      </c>
      <c r="C1043" s="9">
        <v>23</v>
      </c>
      <c r="D1043" s="8" t="str">
        <f t="shared" si="193"/>
        <v>N</v>
      </c>
      <c r="E1043" s="8" t="str">
        <f t="shared" si="194"/>
        <v>N</v>
      </c>
      <c r="F1043" s="8" t="str">
        <f t="shared" si="195"/>
        <v>N</v>
      </c>
      <c r="G1043" s="8" t="str">
        <f t="shared" si="196"/>
        <v>N</v>
      </c>
      <c r="H1043" s="8" t="str">
        <f t="shared" si="197"/>
        <v>Lower</v>
      </c>
      <c r="I1043" s="8" t="str">
        <f t="shared" si="198"/>
        <v>Outside</v>
      </c>
      <c r="J1043" s="8" t="str">
        <f t="shared" si="199"/>
        <v>Outside</v>
      </c>
      <c r="K1043" s="8" t="str">
        <f t="shared" si="200"/>
        <v>Post-1949</v>
      </c>
      <c r="L1043" s="8">
        <f t="shared" si="201"/>
        <v>1958</v>
      </c>
      <c r="M1043" s="8" t="str">
        <f t="shared" si="203"/>
        <v>1957-1959</v>
      </c>
      <c r="N1043" s="10" t="s">
        <v>242</v>
      </c>
      <c r="O1043" s="10" t="s">
        <v>242</v>
      </c>
      <c r="P1043" s="10" t="s">
        <v>242</v>
      </c>
      <c r="Q1043" s="10" t="s">
        <v>242</v>
      </c>
      <c r="R1043" s="10" t="s">
        <v>241</v>
      </c>
      <c r="S1043" s="10" t="s">
        <v>242</v>
      </c>
      <c r="T1043" s="10" t="s">
        <v>242</v>
      </c>
      <c r="U1043" s="10" t="s">
        <v>242</v>
      </c>
      <c r="V1043" s="10" t="s">
        <v>241</v>
      </c>
      <c r="W1043" s="10" t="s">
        <v>242</v>
      </c>
      <c r="X1043" s="15">
        <f>IF(ISERROR(VLOOKUP($A1043,'13. Updated Demand'!A:Z,15,FALSE)),0,VLOOKUP($A1043,'13. Updated Demand'!A:Z,15,FALSE))</f>
        <v>4.8666666669999996</v>
      </c>
      <c r="Y1043" s="16">
        <f>IF(ISERROR(VLOOKUP($A1043,'13. Updated Demand'!A:Z,16,FALSE)),0,VLOOKUP($A1043,'13. Updated Demand'!A:Z,16,FALSE))</f>
        <v>0</v>
      </c>
      <c r="Z1043" s="16">
        <f>IF(ISERROR(VLOOKUP($A1043,'13. Updated Demand'!A:Z,17,FALSE)),0,VLOOKUP($A1043,'13. Updated Demand'!A:Z,17,FALSE))</f>
        <v>0</v>
      </c>
      <c r="AA1043" s="16">
        <f>IF(ISERROR(VLOOKUP($A1043,'13. Updated Demand'!A:Z,18,FALSE)),0,VLOOKUP($A1043,'13. Updated Demand'!A:Z,18,FALSE))</f>
        <v>0</v>
      </c>
      <c r="AB1043" s="16">
        <f>IF(ISERROR(VLOOKUP($A1043,'13. Updated Demand'!A:Z,19,FALSE)),0,VLOOKUP($A1043,'13. Updated Demand'!A:Z,19,FALSE))</f>
        <v>0</v>
      </c>
      <c r="AC1043" s="16">
        <f>IF(ISERROR(VLOOKUP($A1043,'13. Updated Demand'!A:Z,20,FALSE)),0,VLOOKUP($A1043,'13. Updated Demand'!A:Z,20,FALSE))</f>
        <v>0</v>
      </c>
      <c r="AD1043" s="16">
        <f>IF(ISERROR(VLOOKUP($A1043,'13. Updated Demand'!A:Z,21,FALSE)),0,VLOOKUP($A1043,'13. Updated Demand'!A:Z,21,FALSE))</f>
        <v>0</v>
      </c>
      <c r="AE1043" s="16">
        <f>IF(ISERROR(VLOOKUP($A1043,'13. Updated Demand'!A:Z,22,FALSE)),0,VLOOKUP($A1043,'13. Updated Demand'!A:Z,22,FALSE))</f>
        <v>0</v>
      </c>
      <c r="AF1043" s="16">
        <f>IF(ISERROR(VLOOKUP($A1043,'13. Updated Demand'!A:Z,23,FALSE)),0,VLOOKUP($A1043,'13. Updated Demand'!A:Z,23,FALSE))</f>
        <v>0</v>
      </c>
      <c r="AG1043" s="16">
        <f>IF(ISERROR(VLOOKUP($A1043,'13. Updated Demand'!A:Z,24,FALSE)),0,VLOOKUP($A1043,'13. Updated Demand'!A:Z,24,FALSE))</f>
        <v>1.933333333</v>
      </c>
      <c r="AH1043" s="16">
        <f>IF(ISERROR(VLOOKUP($A1043,'13. Updated Demand'!A:Z,25,FALSE)),0,VLOOKUP($A1043,'13. Updated Demand'!A:Z,25,FALSE))</f>
        <v>0</v>
      </c>
      <c r="AI1043" s="16">
        <f>IF(ISERROR(VLOOKUP($A1043,'13. Updated Demand'!A:Z,26,FALSE)),0,VLOOKUP($A1043,'13. Updated Demand'!A:Z,26,FALSE))</f>
        <v>6.8333333329999997</v>
      </c>
      <c r="AJ1043" s="16">
        <f t="shared" si="204"/>
        <v>13.633333332999999</v>
      </c>
      <c r="AK1043" s="19">
        <v>0</v>
      </c>
      <c r="AL1043" s="16">
        <f t="shared" si="202"/>
        <v>0</v>
      </c>
      <c r="AM1043" s="17">
        <v>0.45444444443333332</v>
      </c>
      <c r="AN1043" s="19"/>
      <c r="AO1043" s="19"/>
      <c r="AP1043" s="19">
        <v>30</v>
      </c>
      <c r="AQ1043" s="19" t="s">
        <v>307</v>
      </c>
      <c r="AR1043" s="9" t="s">
        <v>323</v>
      </c>
      <c r="AS1043" s="12">
        <v>0</v>
      </c>
      <c r="AT1043" s="19">
        <v>38.561700000000002</v>
      </c>
      <c r="AU1043" s="19">
        <v>-122.7008</v>
      </c>
      <c r="AV1043" s="19" t="s">
        <v>417</v>
      </c>
    </row>
    <row r="1044" spans="1:48" x14ac:dyDescent="0.25">
      <c r="A1044" s="18" t="s">
        <v>1437</v>
      </c>
      <c r="B1044" s="10">
        <v>19580626</v>
      </c>
      <c r="C1044" s="9">
        <v>5</v>
      </c>
      <c r="D1044" s="8" t="str">
        <f t="shared" si="193"/>
        <v>Y</v>
      </c>
      <c r="E1044" s="8" t="str">
        <f t="shared" si="194"/>
        <v>N</v>
      </c>
      <c r="F1044" s="8" t="str">
        <f t="shared" si="195"/>
        <v>Y</v>
      </c>
      <c r="G1044" s="8" t="str">
        <f t="shared" si="196"/>
        <v>Y</v>
      </c>
      <c r="H1044" s="8" t="str">
        <f t="shared" si="197"/>
        <v>Upper</v>
      </c>
      <c r="I1044" s="8" t="str">
        <f t="shared" si="198"/>
        <v>West Fork and Below Lake</v>
      </c>
      <c r="J1044" s="8" t="str">
        <f t="shared" si="199"/>
        <v>Mendocino (d/s of lake)</v>
      </c>
      <c r="K1044" s="8" t="str">
        <f t="shared" si="200"/>
        <v>Post-1949</v>
      </c>
      <c r="L1044" s="8">
        <f t="shared" si="201"/>
        <v>1958</v>
      </c>
      <c r="M1044" s="8" t="str">
        <f t="shared" si="203"/>
        <v>1957-1959</v>
      </c>
      <c r="N1044" s="10" t="s">
        <v>242</v>
      </c>
      <c r="O1044" s="10" t="s">
        <v>241</v>
      </c>
      <c r="P1044" s="10" t="s">
        <v>242</v>
      </c>
      <c r="Q1044" s="10" t="s">
        <v>242</v>
      </c>
      <c r="R1044" s="10" t="s">
        <v>241</v>
      </c>
      <c r="S1044" s="10" t="s">
        <v>242</v>
      </c>
      <c r="T1044" s="10" t="s">
        <v>242</v>
      </c>
      <c r="U1044" s="10" t="s">
        <v>242</v>
      </c>
      <c r="V1044" s="10" t="s">
        <v>242</v>
      </c>
      <c r="W1044" s="10" t="s">
        <v>242</v>
      </c>
      <c r="X1044" s="15">
        <f>IF(ISERROR(VLOOKUP($A1044,'13. Updated Demand'!A:Z,15,FALSE)),0,VLOOKUP($A1044,'13. Updated Demand'!A:Z,15,FALSE))</f>
        <v>0</v>
      </c>
      <c r="Y1044" s="16">
        <f>IF(ISERROR(VLOOKUP($A1044,'13. Updated Demand'!A:Z,16,FALSE)),0,VLOOKUP($A1044,'13. Updated Demand'!A:Z,16,FALSE))</f>
        <v>0</v>
      </c>
      <c r="Z1044" s="16">
        <f>IF(ISERROR(VLOOKUP($A1044,'13. Updated Demand'!A:Z,17,FALSE)),0,VLOOKUP($A1044,'13. Updated Demand'!A:Z,17,FALSE))</f>
        <v>0</v>
      </c>
      <c r="AA1044" s="16">
        <f>IF(ISERROR(VLOOKUP($A1044,'13. Updated Demand'!A:Z,18,FALSE)),0,VLOOKUP($A1044,'13. Updated Demand'!A:Z,18,FALSE))</f>
        <v>0</v>
      </c>
      <c r="AB1044" s="16">
        <f>IF(ISERROR(VLOOKUP($A1044,'13. Updated Demand'!A:Z,19,FALSE)),0,VLOOKUP($A1044,'13. Updated Demand'!A:Z,19,FALSE))</f>
        <v>7.0000000000000007E-2</v>
      </c>
      <c r="AC1044" s="16">
        <f>IF(ISERROR(VLOOKUP($A1044,'13. Updated Demand'!A:Z,20,FALSE)),0,VLOOKUP($A1044,'13. Updated Demand'!A:Z,20,FALSE))</f>
        <v>0</v>
      </c>
      <c r="AD1044" s="16">
        <f>IF(ISERROR(VLOOKUP($A1044,'13. Updated Demand'!A:Z,21,FALSE)),0,VLOOKUP($A1044,'13. Updated Demand'!A:Z,21,FALSE))</f>
        <v>0</v>
      </c>
      <c r="AE1044" s="16">
        <f>IF(ISERROR(VLOOKUP($A1044,'13. Updated Demand'!A:Z,22,FALSE)),0,VLOOKUP($A1044,'13. Updated Demand'!A:Z,22,FALSE))</f>
        <v>0</v>
      </c>
      <c r="AF1044" s="16">
        <f>IF(ISERROR(VLOOKUP($A1044,'13. Updated Demand'!A:Z,23,FALSE)),0,VLOOKUP($A1044,'13. Updated Demand'!A:Z,23,FALSE))</f>
        <v>0</v>
      </c>
      <c r="AG1044" s="16">
        <f>IF(ISERROR(VLOOKUP($A1044,'13. Updated Demand'!A:Z,24,FALSE)),0,VLOOKUP($A1044,'13. Updated Demand'!A:Z,24,FALSE))</f>
        <v>0</v>
      </c>
      <c r="AH1044" s="16">
        <f>IF(ISERROR(VLOOKUP($A1044,'13. Updated Demand'!A:Z,25,FALSE)),0,VLOOKUP($A1044,'13. Updated Demand'!A:Z,25,FALSE))</f>
        <v>0</v>
      </c>
      <c r="AI1044" s="16">
        <f>IF(ISERROR(VLOOKUP($A1044,'13. Updated Demand'!A:Z,26,FALSE)),0,VLOOKUP($A1044,'13. Updated Demand'!A:Z,26,FALSE))</f>
        <v>0</v>
      </c>
      <c r="AJ1044" s="16">
        <f t="shared" si="204"/>
        <v>7.0000000000000007E-2</v>
      </c>
      <c r="AK1044" s="19">
        <v>7.8533332999999997E-2</v>
      </c>
      <c r="AL1044" s="16">
        <f t="shared" si="202"/>
        <v>2.6048611977371198E-4</v>
      </c>
      <c r="AM1044" s="17">
        <v>1.1721392985074627E-3</v>
      </c>
      <c r="AN1044" s="19"/>
      <c r="AO1044" s="19"/>
      <c r="AP1044" s="19">
        <v>67</v>
      </c>
      <c r="AQ1044" s="19" t="s">
        <v>307</v>
      </c>
      <c r="AR1044" s="9" t="s">
        <v>333</v>
      </c>
      <c r="AS1044" s="12">
        <v>0</v>
      </c>
      <c r="AT1044" s="19">
        <v>39.104229160000003</v>
      </c>
      <c r="AU1044" s="19">
        <v>-123.19524285999999</v>
      </c>
      <c r="AV1044" s="19" t="s">
        <v>1438</v>
      </c>
    </row>
    <row r="1045" spans="1:48" x14ac:dyDescent="0.25">
      <c r="A1045" s="18" t="s">
        <v>1439</v>
      </c>
      <c r="B1045" s="10">
        <v>19580724</v>
      </c>
      <c r="C1045" s="9">
        <v>15</v>
      </c>
      <c r="D1045" s="8" t="str">
        <f t="shared" si="193"/>
        <v>N</v>
      </c>
      <c r="E1045" s="8" t="str">
        <f t="shared" si="194"/>
        <v>N</v>
      </c>
      <c r="F1045" s="8" t="str">
        <f t="shared" si="195"/>
        <v>N</v>
      </c>
      <c r="G1045" s="8" t="str">
        <f t="shared" si="196"/>
        <v>N</v>
      </c>
      <c r="H1045" s="8" t="str">
        <f t="shared" si="197"/>
        <v>Lower</v>
      </c>
      <c r="I1045" s="8" t="str">
        <f t="shared" si="198"/>
        <v>Outside</v>
      </c>
      <c r="J1045" s="8" t="str">
        <f t="shared" si="199"/>
        <v>Outside</v>
      </c>
      <c r="K1045" s="8" t="str">
        <f t="shared" si="200"/>
        <v>Post-1949</v>
      </c>
      <c r="L1045" s="8">
        <f t="shared" si="201"/>
        <v>1958</v>
      </c>
      <c r="M1045" s="8" t="str">
        <f t="shared" si="203"/>
        <v>1957-1959</v>
      </c>
      <c r="N1045" s="10" t="s">
        <v>242</v>
      </c>
      <c r="O1045" s="10" t="s">
        <v>242</v>
      </c>
      <c r="P1045" s="10" t="s">
        <v>242</v>
      </c>
      <c r="Q1045" s="10" t="s">
        <v>242</v>
      </c>
      <c r="R1045" s="10" t="s">
        <v>241</v>
      </c>
      <c r="S1045" s="10" t="s">
        <v>242</v>
      </c>
      <c r="T1045" s="10" t="s">
        <v>242</v>
      </c>
      <c r="U1045" s="10" t="s">
        <v>241</v>
      </c>
      <c r="V1045" s="10" t="s">
        <v>241</v>
      </c>
      <c r="W1045" s="10" t="s">
        <v>242</v>
      </c>
      <c r="X1045" s="15">
        <f>IF(ISERROR(VLOOKUP($A1045,'13. Updated Demand'!A:Z,15,FALSE)),0,VLOOKUP($A1045,'13. Updated Demand'!A:Z,15,FALSE))</f>
        <v>0</v>
      </c>
      <c r="Y1045" s="16">
        <f>IF(ISERROR(VLOOKUP($A1045,'13. Updated Demand'!A:Z,16,FALSE)),0,VLOOKUP($A1045,'13. Updated Demand'!A:Z,16,FALSE))</f>
        <v>0</v>
      </c>
      <c r="Z1045" s="16">
        <f>IF(ISERROR(VLOOKUP($A1045,'13. Updated Demand'!A:Z,17,FALSE)),0,VLOOKUP($A1045,'13. Updated Demand'!A:Z,17,FALSE))</f>
        <v>0</v>
      </c>
      <c r="AA1045" s="16">
        <f>IF(ISERROR(VLOOKUP($A1045,'13. Updated Demand'!A:Z,18,FALSE)),0,VLOOKUP($A1045,'13. Updated Demand'!A:Z,18,FALSE))</f>
        <v>0</v>
      </c>
      <c r="AB1045" s="16">
        <f>IF(ISERROR(VLOOKUP($A1045,'13. Updated Demand'!A:Z,19,FALSE)),0,VLOOKUP($A1045,'13. Updated Demand'!A:Z,19,FALSE))</f>
        <v>0</v>
      </c>
      <c r="AC1045" s="16">
        <f>IF(ISERROR(VLOOKUP($A1045,'13. Updated Demand'!A:Z,20,FALSE)),0,VLOOKUP($A1045,'13. Updated Demand'!A:Z,20,FALSE))</f>
        <v>0</v>
      </c>
      <c r="AD1045" s="16">
        <f>IF(ISERROR(VLOOKUP($A1045,'13. Updated Demand'!A:Z,21,FALSE)),0,VLOOKUP($A1045,'13. Updated Demand'!A:Z,21,FALSE))</f>
        <v>0</v>
      </c>
      <c r="AE1045" s="16">
        <f>IF(ISERROR(VLOOKUP($A1045,'13. Updated Demand'!A:Z,22,FALSE)),0,VLOOKUP($A1045,'13. Updated Demand'!A:Z,22,FALSE))</f>
        <v>0</v>
      </c>
      <c r="AF1045" s="16">
        <f>IF(ISERROR(VLOOKUP($A1045,'13. Updated Demand'!A:Z,23,FALSE)),0,VLOOKUP($A1045,'13. Updated Demand'!A:Z,23,FALSE))</f>
        <v>0</v>
      </c>
      <c r="AG1045" s="16">
        <f>IF(ISERROR(VLOOKUP($A1045,'13. Updated Demand'!A:Z,24,FALSE)),0,VLOOKUP($A1045,'13. Updated Demand'!A:Z,24,FALSE))</f>
        <v>0</v>
      </c>
      <c r="AH1045" s="16">
        <f>IF(ISERROR(VLOOKUP($A1045,'13. Updated Demand'!A:Z,25,FALSE)),0,VLOOKUP($A1045,'13. Updated Demand'!A:Z,25,FALSE))</f>
        <v>0</v>
      </c>
      <c r="AI1045" s="16">
        <f>IF(ISERROR(VLOOKUP($A1045,'13. Updated Demand'!A:Z,26,FALSE)),0,VLOOKUP($A1045,'13. Updated Demand'!A:Z,26,FALSE))</f>
        <v>0</v>
      </c>
      <c r="AJ1045" s="16">
        <f t="shared" si="204"/>
        <v>0</v>
      </c>
      <c r="AK1045" s="19">
        <v>0</v>
      </c>
      <c r="AL1045" s="16">
        <f t="shared" si="202"/>
        <v>0</v>
      </c>
      <c r="AM1045" s="17">
        <v>0</v>
      </c>
      <c r="AN1045" s="19"/>
      <c r="AO1045" s="19"/>
      <c r="AP1045" s="19">
        <v>10</v>
      </c>
      <c r="AQ1045" s="19" t="s">
        <v>307</v>
      </c>
      <c r="AR1045" s="9" t="s">
        <v>489</v>
      </c>
      <c r="AS1045" s="12">
        <v>3.4039024194010059E-4</v>
      </c>
      <c r="AT1045" s="19">
        <v>38.707382359999997</v>
      </c>
      <c r="AU1045" s="19">
        <v>-122.93046932999999</v>
      </c>
      <c r="AV1045" s="19" t="s">
        <v>417</v>
      </c>
    </row>
    <row r="1046" spans="1:48" x14ac:dyDescent="0.25">
      <c r="A1046" s="18" t="s">
        <v>1440</v>
      </c>
      <c r="B1046" s="10">
        <v>19580730</v>
      </c>
      <c r="C1046" s="9">
        <v>10</v>
      </c>
      <c r="D1046" s="8" t="str">
        <f t="shared" si="193"/>
        <v>N</v>
      </c>
      <c r="E1046" s="8" t="str">
        <f t="shared" si="194"/>
        <v>Y</v>
      </c>
      <c r="F1046" s="8" t="str">
        <f t="shared" si="195"/>
        <v>Y</v>
      </c>
      <c r="G1046" s="8" t="str">
        <f t="shared" si="196"/>
        <v>Y</v>
      </c>
      <c r="H1046" s="8" t="str">
        <f t="shared" si="197"/>
        <v>Upper</v>
      </c>
      <c r="I1046" s="8" t="str">
        <f t="shared" si="198"/>
        <v>West Fork and Below Lake</v>
      </c>
      <c r="J1046" s="8" t="str">
        <f t="shared" si="199"/>
        <v>Sonoma (d/s of Clov. Gage)</v>
      </c>
      <c r="K1046" s="8" t="str">
        <f t="shared" si="200"/>
        <v>Post-1949</v>
      </c>
      <c r="L1046" s="8">
        <f t="shared" si="201"/>
        <v>1958</v>
      </c>
      <c r="M1046" s="8" t="str">
        <f t="shared" si="203"/>
        <v>1957-1959</v>
      </c>
      <c r="N1046" s="10" t="s">
        <v>241</v>
      </c>
      <c r="O1046" s="10" t="s">
        <v>241</v>
      </c>
      <c r="P1046" s="10" t="s">
        <v>242</v>
      </c>
      <c r="Q1046" s="10" t="s">
        <v>242</v>
      </c>
      <c r="R1046" s="10" t="s">
        <v>241</v>
      </c>
      <c r="S1046" s="10" t="s">
        <v>242</v>
      </c>
      <c r="T1046" s="10" t="s">
        <v>242</v>
      </c>
      <c r="U1046" s="10" t="s">
        <v>242</v>
      </c>
      <c r="V1046" s="10" t="s">
        <v>242</v>
      </c>
      <c r="W1046" s="10" t="s">
        <v>242</v>
      </c>
      <c r="X1046" s="15">
        <f>IF(ISERROR(VLOOKUP($A1046,'13. Updated Demand'!A:Z,15,FALSE)),0,VLOOKUP($A1046,'13. Updated Demand'!A:Z,15,FALSE))</f>
        <v>0</v>
      </c>
      <c r="Y1046" s="16">
        <f>IF(ISERROR(VLOOKUP($A1046,'13. Updated Demand'!A:Z,16,FALSE)),0,VLOOKUP($A1046,'13. Updated Demand'!A:Z,16,FALSE))</f>
        <v>0</v>
      </c>
      <c r="Z1046" s="16">
        <f>IF(ISERROR(VLOOKUP($A1046,'13. Updated Demand'!A:Z,17,FALSE)),0,VLOOKUP($A1046,'13. Updated Demand'!A:Z,17,FALSE))</f>
        <v>0</v>
      </c>
      <c r="AA1046" s="16">
        <f>IF(ISERROR(VLOOKUP($A1046,'13. Updated Demand'!A:Z,18,FALSE)),0,VLOOKUP($A1046,'13. Updated Demand'!A:Z,18,FALSE))</f>
        <v>0.03</v>
      </c>
      <c r="AB1046" s="16">
        <f>IF(ISERROR(VLOOKUP($A1046,'13. Updated Demand'!A:Z,19,FALSE)),0,VLOOKUP($A1046,'13. Updated Demand'!A:Z,19,FALSE))</f>
        <v>0.1</v>
      </c>
      <c r="AC1046" s="16">
        <f>IF(ISERROR(VLOOKUP($A1046,'13. Updated Demand'!A:Z,20,FALSE)),0,VLOOKUP($A1046,'13. Updated Demand'!A:Z,20,FALSE))</f>
        <v>0.56000000000000005</v>
      </c>
      <c r="AD1046" s="16">
        <f>IF(ISERROR(VLOOKUP($A1046,'13. Updated Demand'!A:Z,21,FALSE)),0,VLOOKUP($A1046,'13. Updated Demand'!A:Z,21,FALSE))</f>
        <v>0.83</v>
      </c>
      <c r="AE1046" s="16">
        <f>IF(ISERROR(VLOOKUP($A1046,'13. Updated Demand'!A:Z,22,FALSE)),0,VLOOKUP($A1046,'13. Updated Demand'!A:Z,22,FALSE))</f>
        <v>0.83</v>
      </c>
      <c r="AF1046" s="16">
        <f>IF(ISERROR(VLOOKUP($A1046,'13. Updated Demand'!A:Z,23,FALSE)),0,VLOOKUP($A1046,'13. Updated Demand'!A:Z,23,FALSE))</f>
        <v>0.46</v>
      </c>
      <c r="AG1046" s="16">
        <f>IF(ISERROR(VLOOKUP($A1046,'13. Updated Demand'!A:Z,24,FALSE)),0,VLOOKUP($A1046,'13. Updated Demand'!A:Z,24,FALSE))</f>
        <v>0.03</v>
      </c>
      <c r="AH1046" s="16">
        <f>IF(ISERROR(VLOOKUP($A1046,'13. Updated Demand'!A:Z,25,FALSE)),0,VLOOKUP($A1046,'13. Updated Demand'!A:Z,25,FALSE))</f>
        <v>0</v>
      </c>
      <c r="AI1046" s="16">
        <f>IF(ISERROR(VLOOKUP($A1046,'13. Updated Demand'!A:Z,26,FALSE)),0,VLOOKUP($A1046,'13. Updated Demand'!A:Z,26,FALSE))</f>
        <v>0</v>
      </c>
      <c r="AJ1046" s="16">
        <f t="shared" si="204"/>
        <v>2.84</v>
      </c>
      <c r="AK1046" s="19">
        <v>2.8</v>
      </c>
      <c r="AL1046" s="16">
        <f t="shared" si="202"/>
        <v>9.2872810500274246E-3</v>
      </c>
      <c r="AM1046" s="17">
        <v>6.5449010654490103E-2</v>
      </c>
      <c r="AN1046" s="19"/>
      <c r="AO1046" s="19"/>
      <c r="AP1046" s="19">
        <v>43.8</v>
      </c>
      <c r="AQ1046" s="19" t="s">
        <v>307</v>
      </c>
      <c r="AR1046" s="9" t="s">
        <v>436</v>
      </c>
      <c r="AS1046" s="12">
        <v>0</v>
      </c>
      <c r="AT1046" s="19">
        <v>38.689222209999997</v>
      </c>
      <c r="AU1046" s="19">
        <v>-122.86401184</v>
      </c>
      <c r="AV1046" s="19" t="s">
        <v>387</v>
      </c>
    </row>
    <row r="1047" spans="1:48" x14ac:dyDescent="0.25">
      <c r="A1047" s="18" t="s">
        <v>1441</v>
      </c>
      <c r="B1047" s="10">
        <v>19580819</v>
      </c>
      <c r="C1047" s="9">
        <v>1</v>
      </c>
      <c r="D1047" s="8" t="str">
        <f t="shared" si="193"/>
        <v>N</v>
      </c>
      <c r="E1047" s="8" t="str">
        <f t="shared" si="194"/>
        <v>N</v>
      </c>
      <c r="F1047" s="8" t="str">
        <f t="shared" si="195"/>
        <v>Y</v>
      </c>
      <c r="G1047" s="8" t="str">
        <f t="shared" si="196"/>
        <v>Y</v>
      </c>
      <c r="H1047" s="8" t="str">
        <f t="shared" si="197"/>
        <v>Upper</v>
      </c>
      <c r="I1047" s="8" t="str">
        <f t="shared" si="198"/>
        <v>West Fork and Below Lake</v>
      </c>
      <c r="J1047" s="8" t="str">
        <f t="shared" si="199"/>
        <v>Outside</v>
      </c>
      <c r="K1047" s="8" t="str">
        <f t="shared" si="200"/>
        <v>Post-1949</v>
      </c>
      <c r="L1047" s="8">
        <f t="shared" si="201"/>
        <v>1958</v>
      </c>
      <c r="M1047" s="8" t="str">
        <f t="shared" si="203"/>
        <v>1957-1959</v>
      </c>
      <c r="N1047" s="10" t="s">
        <v>242</v>
      </c>
      <c r="O1047" s="10" t="s">
        <v>241</v>
      </c>
      <c r="P1047" s="10" t="s">
        <v>242</v>
      </c>
      <c r="Q1047" s="10" t="s">
        <v>242</v>
      </c>
      <c r="R1047" s="10" t="s">
        <v>241</v>
      </c>
      <c r="S1047" s="10" t="s">
        <v>242</v>
      </c>
      <c r="T1047" s="10" t="s">
        <v>242</v>
      </c>
      <c r="U1047" s="10" t="s">
        <v>241</v>
      </c>
      <c r="V1047" s="10" t="s">
        <v>241</v>
      </c>
      <c r="W1047" s="10" t="s">
        <v>242</v>
      </c>
      <c r="X1047" s="15">
        <f>IF(ISERROR(VLOOKUP($A1047,'13. Updated Demand'!A:Z,15,FALSE)),0,VLOOKUP($A1047,'13. Updated Demand'!A:Z,15,FALSE))</f>
        <v>0</v>
      </c>
      <c r="Y1047" s="16">
        <f>IF(ISERROR(VLOOKUP($A1047,'13. Updated Demand'!A:Z,16,FALSE)),0,VLOOKUP($A1047,'13. Updated Demand'!A:Z,16,FALSE))</f>
        <v>0</v>
      </c>
      <c r="Z1047" s="16">
        <f>IF(ISERROR(VLOOKUP($A1047,'13. Updated Demand'!A:Z,17,FALSE)),0,VLOOKUP($A1047,'13. Updated Demand'!A:Z,17,FALSE))</f>
        <v>0</v>
      </c>
      <c r="AA1047" s="16">
        <f>IF(ISERROR(VLOOKUP($A1047,'13. Updated Demand'!A:Z,18,FALSE)),0,VLOOKUP($A1047,'13. Updated Demand'!A:Z,18,FALSE))</f>
        <v>0</v>
      </c>
      <c r="AB1047" s="16">
        <f>IF(ISERROR(VLOOKUP($A1047,'13. Updated Demand'!A:Z,19,FALSE)),0,VLOOKUP($A1047,'13. Updated Demand'!A:Z,19,FALSE))</f>
        <v>0</v>
      </c>
      <c r="AC1047" s="16">
        <f>IF(ISERROR(VLOOKUP($A1047,'13. Updated Demand'!A:Z,20,FALSE)),0,VLOOKUP($A1047,'13. Updated Demand'!A:Z,20,FALSE))</f>
        <v>0</v>
      </c>
      <c r="AD1047" s="16">
        <f>IF(ISERROR(VLOOKUP($A1047,'13. Updated Demand'!A:Z,21,FALSE)),0,VLOOKUP($A1047,'13. Updated Demand'!A:Z,21,FALSE))</f>
        <v>0</v>
      </c>
      <c r="AE1047" s="16">
        <f>IF(ISERROR(VLOOKUP($A1047,'13. Updated Demand'!A:Z,22,FALSE)),0,VLOOKUP($A1047,'13. Updated Demand'!A:Z,22,FALSE))</f>
        <v>0</v>
      </c>
      <c r="AF1047" s="16">
        <f>IF(ISERROR(VLOOKUP($A1047,'13. Updated Demand'!A:Z,23,FALSE)),0,VLOOKUP($A1047,'13. Updated Demand'!A:Z,23,FALSE))</f>
        <v>0</v>
      </c>
      <c r="AG1047" s="16">
        <f>IF(ISERROR(VLOOKUP($A1047,'13. Updated Demand'!A:Z,24,FALSE)),0,VLOOKUP($A1047,'13. Updated Demand'!A:Z,24,FALSE))</f>
        <v>0</v>
      </c>
      <c r="AH1047" s="16">
        <f>IF(ISERROR(VLOOKUP($A1047,'13. Updated Demand'!A:Z,25,FALSE)),0,VLOOKUP($A1047,'13. Updated Demand'!A:Z,25,FALSE))</f>
        <v>0</v>
      </c>
      <c r="AI1047" s="16">
        <f>IF(ISERROR(VLOOKUP($A1047,'13. Updated Demand'!A:Z,26,FALSE)),0,VLOOKUP($A1047,'13. Updated Demand'!A:Z,26,FALSE))</f>
        <v>0</v>
      </c>
      <c r="AJ1047" s="16">
        <f t="shared" si="204"/>
        <v>0</v>
      </c>
      <c r="AK1047" s="19">
        <v>0</v>
      </c>
      <c r="AL1047" s="16">
        <f t="shared" si="202"/>
        <v>0</v>
      </c>
      <c r="AM1047" s="17">
        <v>0</v>
      </c>
      <c r="AN1047" s="19"/>
      <c r="AO1047" s="19"/>
      <c r="AP1047" s="19">
        <v>8.3000000000000007</v>
      </c>
      <c r="AQ1047" s="19" t="s">
        <v>307</v>
      </c>
      <c r="AR1047" s="9" t="s">
        <v>317</v>
      </c>
      <c r="AS1047" s="12">
        <v>3.4039024194010059E-4</v>
      </c>
      <c r="AT1047" s="19">
        <v>39.24916606</v>
      </c>
      <c r="AU1047" s="19">
        <v>-123.17279434</v>
      </c>
      <c r="AV1047" s="19" t="s">
        <v>417</v>
      </c>
    </row>
    <row r="1048" spans="1:48" x14ac:dyDescent="0.25">
      <c r="A1048" s="18" t="s">
        <v>1442</v>
      </c>
      <c r="B1048" s="10">
        <v>19580819</v>
      </c>
      <c r="C1048" s="9">
        <v>1</v>
      </c>
      <c r="D1048" s="8" t="str">
        <f t="shared" si="193"/>
        <v>N</v>
      </c>
      <c r="E1048" s="8" t="str">
        <f t="shared" si="194"/>
        <v>N</v>
      </c>
      <c r="F1048" s="8" t="str">
        <f t="shared" si="195"/>
        <v>Y</v>
      </c>
      <c r="G1048" s="8" t="str">
        <f t="shared" si="196"/>
        <v>Y</v>
      </c>
      <c r="H1048" s="8" t="str">
        <f t="shared" si="197"/>
        <v>Upper</v>
      </c>
      <c r="I1048" s="8" t="str">
        <f t="shared" si="198"/>
        <v>West Fork and Below Lake</v>
      </c>
      <c r="J1048" s="8" t="str">
        <f t="shared" si="199"/>
        <v>Outside</v>
      </c>
      <c r="K1048" s="8" t="str">
        <f t="shared" si="200"/>
        <v>Post-1949</v>
      </c>
      <c r="L1048" s="8">
        <f t="shared" si="201"/>
        <v>1958</v>
      </c>
      <c r="M1048" s="8" t="str">
        <f t="shared" si="203"/>
        <v>1957-1959</v>
      </c>
      <c r="N1048" s="10" t="s">
        <v>242</v>
      </c>
      <c r="O1048" s="10" t="s">
        <v>241</v>
      </c>
      <c r="P1048" s="10" t="s">
        <v>242</v>
      </c>
      <c r="Q1048" s="10" t="s">
        <v>242</v>
      </c>
      <c r="R1048" s="10" t="s">
        <v>241</v>
      </c>
      <c r="S1048" s="10" t="s">
        <v>242</v>
      </c>
      <c r="T1048" s="10" t="s">
        <v>242</v>
      </c>
      <c r="U1048" s="10" t="s">
        <v>242</v>
      </c>
      <c r="V1048" s="10" t="s">
        <v>241</v>
      </c>
      <c r="W1048" s="10" t="s">
        <v>242</v>
      </c>
      <c r="X1048" s="15">
        <f>IF(ISERROR(VLOOKUP($A1048,'13. Updated Demand'!A:Z,15,FALSE)),0,VLOOKUP($A1048,'13. Updated Demand'!A:Z,15,FALSE))</f>
        <v>1.8</v>
      </c>
      <c r="Y1048" s="16">
        <f>IF(ISERROR(VLOOKUP($A1048,'13. Updated Demand'!A:Z,16,FALSE)),0,VLOOKUP($A1048,'13. Updated Demand'!A:Z,16,FALSE))</f>
        <v>0</v>
      </c>
      <c r="Z1048" s="16">
        <f>IF(ISERROR(VLOOKUP($A1048,'13. Updated Demand'!A:Z,17,FALSE)),0,VLOOKUP($A1048,'13. Updated Demand'!A:Z,17,FALSE))</f>
        <v>0.75</v>
      </c>
      <c r="AA1048" s="16">
        <f>IF(ISERROR(VLOOKUP($A1048,'13. Updated Demand'!A:Z,18,FALSE)),0,VLOOKUP($A1048,'13. Updated Demand'!A:Z,18,FALSE))</f>
        <v>1.25</v>
      </c>
      <c r="AB1048" s="16">
        <f>IF(ISERROR(VLOOKUP($A1048,'13. Updated Demand'!A:Z,19,FALSE)),0,VLOOKUP($A1048,'13. Updated Demand'!A:Z,19,FALSE))</f>
        <v>0</v>
      </c>
      <c r="AC1048" s="16">
        <f>IF(ISERROR(VLOOKUP($A1048,'13. Updated Demand'!A:Z,20,FALSE)),0,VLOOKUP($A1048,'13. Updated Demand'!A:Z,20,FALSE))</f>
        <v>0</v>
      </c>
      <c r="AD1048" s="16">
        <f>IF(ISERROR(VLOOKUP($A1048,'13. Updated Demand'!A:Z,21,FALSE)),0,VLOOKUP($A1048,'13. Updated Demand'!A:Z,21,FALSE))</f>
        <v>0</v>
      </c>
      <c r="AE1048" s="16">
        <f>IF(ISERROR(VLOOKUP($A1048,'13. Updated Demand'!A:Z,22,FALSE)),0,VLOOKUP($A1048,'13. Updated Demand'!A:Z,22,FALSE))</f>
        <v>0</v>
      </c>
      <c r="AF1048" s="16">
        <f>IF(ISERROR(VLOOKUP($A1048,'13. Updated Demand'!A:Z,23,FALSE)),0,VLOOKUP($A1048,'13. Updated Demand'!A:Z,23,FALSE))</f>
        <v>0</v>
      </c>
      <c r="AG1048" s="16">
        <f>IF(ISERROR(VLOOKUP($A1048,'13. Updated Demand'!A:Z,24,FALSE)),0,VLOOKUP($A1048,'13. Updated Demand'!A:Z,24,FALSE))</f>
        <v>0</v>
      </c>
      <c r="AH1048" s="16">
        <f>IF(ISERROR(VLOOKUP($A1048,'13. Updated Demand'!A:Z,25,FALSE)),0,VLOOKUP($A1048,'13. Updated Demand'!A:Z,25,FALSE))</f>
        <v>0</v>
      </c>
      <c r="AI1048" s="16">
        <f>IF(ISERROR(VLOOKUP($A1048,'13. Updated Demand'!A:Z,26,FALSE)),0,VLOOKUP($A1048,'13. Updated Demand'!A:Z,26,FALSE))</f>
        <v>1.1000000000000001</v>
      </c>
      <c r="AJ1048" s="16">
        <f t="shared" si="204"/>
        <v>4.9000000000000004</v>
      </c>
      <c r="AK1048" s="19">
        <v>0</v>
      </c>
      <c r="AL1048" s="16">
        <f t="shared" si="202"/>
        <v>0</v>
      </c>
      <c r="AM1048" s="17">
        <v>0.92452830188679258</v>
      </c>
      <c r="AN1048" s="19"/>
      <c r="AO1048" s="19"/>
      <c r="AP1048" s="19">
        <v>5.3</v>
      </c>
      <c r="AQ1048" s="19" t="s">
        <v>307</v>
      </c>
      <c r="AR1048" s="9" t="s">
        <v>317</v>
      </c>
      <c r="AS1048" s="12">
        <v>0</v>
      </c>
      <c r="AT1048" s="19">
        <v>39.248872050000003</v>
      </c>
      <c r="AU1048" s="19">
        <v>-123.17473183</v>
      </c>
      <c r="AV1048" s="19" t="s">
        <v>417</v>
      </c>
    </row>
    <row r="1049" spans="1:48" x14ac:dyDescent="0.25">
      <c r="A1049" s="18" t="s">
        <v>1443</v>
      </c>
      <c r="B1049" s="10">
        <v>19580820</v>
      </c>
      <c r="C1049" s="9">
        <v>23</v>
      </c>
      <c r="D1049" s="8" t="str">
        <f t="shared" si="193"/>
        <v>N</v>
      </c>
      <c r="E1049" s="8" t="str">
        <f t="shared" si="194"/>
        <v>N</v>
      </c>
      <c r="F1049" s="8" t="str">
        <f t="shared" si="195"/>
        <v>N</v>
      </c>
      <c r="G1049" s="8" t="str">
        <f t="shared" si="196"/>
        <v>N</v>
      </c>
      <c r="H1049" s="8" t="str">
        <f t="shared" si="197"/>
        <v>Lower</v>
      </c>
      <c r="I1049" s="8" t="str">
        <f t="shared" si="198"/>
        <v>Outside</v>
      </c>
      <c r="J1049" s="8" t="str">
        <f t="shared" si="199"/>
        <v>Outside</v>
      </c>
      <c r="K1049" s="8" t="str">
        <f t="shared" si="200"/>
        <v>Post-1949</v>
      </c>
      <c r="L1049" s="8">
        <f t="shared" si="201"/>
        <v>1958</v>
      </c>
      <c r="M1049" s="8" t="str">
        <f t="shared" si="203"/>
        <v>1957-1959</v>
      </c>
      <c r="N1049" s="10" t="s">
        <v>242</v>
      </c>
      <c r="O1049" s="10" t="s">
        <v>242</v>
      </c>
      <c r="P1049" s="10" t="s">
        <v>242</v>
      </c>
      <c r="Q1049" s="10" t="s">
        <v>242</v>
      </c>
      <c r="R1049" s="10" t="s">
        <v>241</v>
      </c>
      <c r="S1049" s="10" t="s">
        <v>242</v>
      </c>
      <c r="T1049" s="10" t="s">
        <v>242</v>
      </c>
      <c r="U1049" s="10" t="s">
        <v>242</v>
      </c>
      <c r="V1049" s="10" t="s">
        <v>241</v>
      </c>
      <c r="W1049" s="10" t="s">
        <v>242</v>
      </c>
      <c r="X1049" s="15">
        <f>IF(ISERROR(VLOOKUP($A1049,'13. Updated Demand'!A:Z,15,FALSE)),0,VLOOKUP($A1049,'13. Updated Demand'!A:Z,15,FALSE))</f>
        <v>5.6666666670000003</v>
      </c>
      <c r="Y1049" s="16">
        <f>IF(ISERROR(VLOOKUP($A1049,'13. Updated Demand'!A:Z,16,FALSE)),0,VLOOKUP($A1049,'13. Updated Demand'!A:Z,16,FALSE))</f>
        <v>1.9</v>
      </c>
      <c r="Z1049" s="16">
        <f>IF(ISERROR(VLOOKUP($A1049,'13. Updated Demand'!A:Z,17,FALSE)),0,VLOOKUP($A1049,'13. Updated Demand'!A:Z,17,FALSE))</f>
        <v>2.5333333329999999</v>
      </c>
      <c r="AA1049" s="16">
        <f>IF(ISERROR(VLOOKUP($A1049,'13. Updated Demand'!A:Z,18,FALSE)),0,VLOOKUP($A1049,'13. Updated Demand'!A:Z,18,FALSE))</f>
        <v>0</v>
      </c>
      <c r="AB1049" s="16">
        <f>IF(ISERROR(VLOOKUP($A1049,'13. Updated Demand'!A:Z,19,FALSE)),0,VLOOKUP($A1049,'13. Updated Demand'!A:Z,19,FALSE))</f>
        <v>0</v>
      </c>
      <c r="AC1049" s="16">
        <f>IF(ISERROR(VLOOKUP($A1049,'13. Updated Demand'!A:Z,20,FALSE)),0,VLOOKUP($A1049,'13. Updated Demand'!A:Z,20,FALSE))</f>
        <v>0</v>
      </c>
      <c r="AD1049" s="16">
        <f>IF(ISERROR(VLOOKUP($A1049,'13. Updated Demand'!A:Z,21,FALSE)),0,VLOOKUP($A1049,'13. Updated Demand'!A:Z,21,FALSE))</f>
        <v>0</v>
      </c>
      <c r="AE1049" s="16">
        <f>IF(ISERROR(VLOOKUP($A1049,'13. Updated Demand'!A:Z,22,FALSE)),0,VLOOKUP($A1049,'13. Updated Demand'!A:Z,22,FALSE))</f>
        <v>0</v>
      </c>
      <c r="AF1049" s="16">
        <f>IF(ISERROR(VLOOKUP($A1049,'13. Updated Demand'!A:Z,23,FALSE)),0,VLOOKUP($A1049,'13. Updated Demand'!A:Z,23,FALSE))</f>
        <v>0</v>
      </c>
      <c r="AG1049" s="16">
        <f>IF(ISERROR(VLOOKUP($A1049,'13. Updated Demand'!A:Z,24,FALSE)),0,VLOOKUP($A1049,'13. Updated Demand'!A:Z,24,FALSE))</f>
        <v>0</v>
      </c>
      <c r="AH1049" s="16">
        <f>IF(ISERROR(VLOOKUP($A1049,'13. Updated Demand'!A:Z,25,FALSE)),0,VLOOKUP($A1049,'13. Updated Demand'!A:Z,25,FALSE))</f>
        <v>0.46666666699999998</v>
      </c>
      <c r="AI1049" s="16">
        <f>IF(ISERROR(VLOOKUP($A1049,'13. Updated Demand'!A:Z,26,FALSE)),0,VLOOKUP($A1049,'13. Updated Demand'!A:Z,26,FALSE))</f>
        <v>4.233333333</v>
      </c>
      <c r="AJ1049" s="16">
        <f t="shared" si="204"/>
        <v>14.8</v>
      </c>
      <c r="AK1049" s="19">
        <v>0</v>
      </c>
      <c r="AL1049" s="16">
        <f t="shared" si="202"/>
        <v>0</v>
      </c>
      <c r="AM1049" s="17">
        <v>0.54814814814814816</v>
      </c>
      <c r="AN1049" s="19"/>
      <c r="AO1049" s="19"/>
      <c r="AP1049" s="19">
        <v>27</v>
      </c>
      <c r="AQ1049" s="19" t="s">
        <v>307</v>
      </c>
      <c r="AR1049" s="9" t="s">
        <v>378</v>
      </c>
      <c r="AS1049" s="12">
        <v>0</v>
      </c>
      <c r="AT1049" s="19">
        <v>38.509361519999999</v>
      </c>
      <c r="AU1049" s="19">
        <v>-122.5473021</v>
      </c>
      <c r="AV1049" s="19" t="s">
        <v>417</v>
      </c>
    </row>
    <row r="1050" spans="1:48" x14ac:dyDescent="0.25">
      <c r="A1050" s="18" t="s">
        <v>1444</v>
      </c>
      <c r="B1050" s="10">
        <v>19580922</v>
      </c>
      <c r="C1050" s="9">
        <v>1</v>
      </c>
      <c r="D1050" s="8" t="str">
        <f t="shared" si="193"/>
        <v>N</v>
      </c>
      <c r="E1050" s="8" t="str">
        <f t="shared" si="194"/>
        <v>N</v>
      </c>
      <c r="F1050" s="8" t="str">
        <f t="shared" si="195"/>
        <v>Y</v>
      </c>
      <c r="G1050" s="8" t="str">
        <f t="shared" si="196"/>
        <v>Y</v>
      </c>
      <c r="H1050" s="8" t="str">
        <f t="shared" si="197"/>
        <v>Upper</v>
      </c>
      <c r="I1050" s="8" t="str">
        <f t="shared" si="198"/>
        <v>West Fork and Below Lake</v>
      </c>
      <c r="J1050" s="8" t="str">
        <f t="shared" si="199"/>
        <v>Outside</v>
      </c>
      <c r="K1050" s="8" t="str">
        <f t="shared" si="200"/>
        <v>Post-1949</v>
      </c>
      <c r="L1050" s="8">
        <f t="shared" si="201"/>
        <v>1958</v>
      </c>
      <c r="M1050" s="8" t="str">
        <f t="shared" si="203"/>
        <v>1957-1959</v>
      </c>
      <c r="N1050" s="10" t="s">
        <v>242</v>
      </c>
      <c r="O1050" s="10" t="s">
        <v>241</v>
      </c>
      <c r="P1050" s="10" t="s">
        <v>242</v>
      </c>
      <c r="Q1050" s="10" t="s">
        <v>242</v>
      </c>
      <c r="R1050" s="10" t="s">
        <v>241</v>
      </c>
      <c r="S1050" s="10" t="s">
        <v>242</v>
      </c>
      <c r="T1050" s="10" t="s">
        <v>242</v>
      </c>
      <c r="U1050" s="10" t="s">
        <v>241</v>
      </c>
      <c r="V1050" s="10" t="s">
        <v>241</v>
      </c>
      <c r="W1050" s="10" t="s">
        <v>242</v>
      </c>
      <c r="X1050" s="15">
        <f>IF(ISERROR(VLOOKUP($A1050,'13. Updated Demand'!A:Z,15,FALSE)),0,VLOOKUP($A1050,'13. Updated Demand'!A:Z,15,FALSE))</f>
        <v>0</v>
      </c>
      <c r="Y1050" s="16">
        <f>IF(ISERROR(VLOOKUP($A1050,'13. Updated Demand'!A:Z,16,FALSE)),0,VLOOKUP($A1050,'13. Updated Demand'!A:Z,16,FALSE))</f>
        <v>0</v>
      </c>
      <c r="Z1050" s="16">
        <f>IF(ISERROR(VLOOKUP($A1050,'13. Updated Demand'!A:Z,17,FALSE)),0,VLOOKUP($A1050,'13. Updated Demand'!A:Z,17,FALSE))</f>
        <v>0</v>
      </c>
      <c r="AA1050" s="16">
        <f>IF(ISERROR(VLOOKUP($A1050,'13. Updated Demand'!A:Z,18,FALSE)),0,VLOOKUP($A1050,'13. Updated Demand'!A:Z,18,FALSE))</f>
        <v>0</v>
      </c>
      <c r="AB1050" s="16">
        <f>IF(ISERROR(VLOOKUP($A1050,'13. Updated Demand'!A:Z,19,FALSE)),0,VLOOKUP($A1050,'13. Updated Demand'!A:Z,19,FALSE))</f>
        <v>0</v>
      </c>
      <c r="AC1050" s="16">
        <f>IF(ISERROR(VLOOKUP($A1050,'13. Updated Demand'!A:Z,20,FALSE)),0,VLOOKUP($A1050,'13. Updated Demand'!A:Z,20,FALSE))</f>
        <v>0</v>
      </c>
      <c r="AD1050" s="16">
        <f>IF(ISERROR(VLOOKUP($A1050,'13. Updated Demand'!A:Z,21,FALSE)),0,VLOOKUP($A1050,'13. Updated Demand'!A:Z,21,FALSE))</f>
        <v>0</v>
      </c>
      <c r="AE1050" s="16">
        <f>IF(ISERROR(VLOOKUP($A1050,'13. Updated Demand'!A:Z,22,FALSE)),0,VLOOKUP($A1050,'13. Updated Demand'!A:Z,22,FALSE))</f>
        <v>0</v>
      </c>
      <c r="AF1050" s="16">
        <f>IF(ISERROR(VLOOKUP($A1050,'13. Updated Demand'!A:Z,23,FALSE)),0,VLOOKUP($A1050,'13. Updated Demand'!A:Z,23,FALSE))</f>
        <v>0</v>
      </c>
      <c r="AG1050" s="16">
        <f>IF(ISERROR(VLOOKUP($A1050,'13. Updated Demand'!A:Z,24,FALSE)),0,VLOOKUP($A1050,'13. Updated Demand'!A:Z,24,FALSE))</f>
        <v>0</v>
      </c>
      <c r="AH1050" s="16">
        <f>IF(ISERROR(VLOOKUP($A1050,'13. Updated Demand'!A:Z,25,FALSE)),0,VLOOKUP($A1050,'13. Updated Demand'!A:Z,25,FALSE))</f>
        <v>0</v>
      </c>
      <c r="AI1050" s="16">
        <f>IF(ISERROR(VLOOKUP($A1050,'13. Updated Demand'!A:Z,26,FALSE)),0,VLOOKUP($A1050,'13. Updated Demand'!A:Z,26,FALSE))</f>
        <v>0</v>
      </c>
      <c r="AJ1050" s="16">
        <f t="shared" si="204"/>
        <v>0</v>
      </c>
      <c r="AK1050" s="19">
        <v>0</v>
      </c>
      <c r="AL1050" s="16">
        <f t="shared" si="202"/>
        <v>0</v>
      </c>
      <c r="AM1050" s="17">
        <v>0</v>
      </c>
      <c r="AN1050" s="19"/>
      <c r="AO1050" s="19"/>
      <c r="AP1050" s="19">
        <v>5</v>
      </c>
      <c r="AQ1050" s="19" t="s">
        <v>307</v>
      </c>
      <c r="AR1050" s="9" t="s">
        <v>317</v>
      </c>
      <c r="AS1050" s="12">
        <v>0</v>
      </c>
      <c r="AT1050" s="19">
        <v>39.276937789999998</v>
      </c>
      <c r="AU1050" s="19">
        <v>-123.22271721</v>
      </c>
      <c r="AV1050" s="19" t="s">
        <v>430</v>
      </c>
    </row>
    <row r="1051" spans="1:48" x14ac:dyDescent="0.25">
      <c r="A1051" s="18" t="s">
        <v>1445</v>
      </c>
      <c r="B1051" s="10">
        <v>19581206</v>
      </c>
      <c r="C1051" s="9">
        <v>12</v>
      </c>
      <c r="D1051" s="8" t="str">
        <f t="shared" si="193"/>
        <v>N</v>
      </c>
      <c r="E1051" s="8" t="str">
        <f t="shared" si="194"/>
        <v>Y</v>
      </c>
      <c r="F1051" s="8" t="str">
        <f t="shared" si="195"/>
        <v>Y</v>
      </c>
      <c r="G1051" s="8" t="str">
        <f t="shared" si="196"/>
        <v>Y</v>
      </c>
      <c r="H1051" s="8" t="str">
        <f t="shared" si="197"/>
        <v>Upper</v>
      </c>
      <c r="I1051" s="8" t="str">
        <f t="shared" si="198"/>
        <v>West Fork and Below Lake</v>
      </c>
      <c r="J1051" s="8" t="str">
        <f t="shared" si="199"/>
        <v>Sonoma (d/s of Clov. Gage)</v>
      </c>
      <c r="K1051" s="8" t="str">
        <f t="shared" si="200"/>
        <v>Post-1949</v>
      </c>
      <c r="L1051" s="8">
        <f t="shared" si="201"/>
        <v>1958</v>
      </c>
      <c r="M1051" s="8" t="str">
        <f t="shared" si="203"/>
        <v>1957-1959</v>
      </c>
      <c r="N1051" s="10" t="s">
        <v>242</v>
      </c>
      <c r="O1051" s="10" t="s">
        <v>241</v>
      </c>
      <c r="P1051" s="10" t="s">
        <v>242</v>
      </c>
      <c r="Q1051" s="10" t="s">
        <v>242</v>
      </c>
      <c r="R1051" s="10" t="s">
        <v>241</v>
      </c>
      <c r="S1051" s="10" t="s">
        <v>242</v>
      </c>
      <c r="T1051" s="10" t="s">
        <v>242</v>
      </c>
      <c r="U1051" s="10" t="s">
        <v>241</v>
      </c>
      <c r="V1051" s="10" t="s">
        <v>241</v>
      </c>
      <c r="W1051" s="10" t="s">
        <v>242</v>
      </c>
      <c r="X1051" s="15">
        <f>IF(ISERROR(VLOOKUP($A1051,'13. Updated Demand'!A:Z,15,FALSE)),0,VLOOKUP($A1051,'13. Updated Demand'!A:Z,15,FALSE))</f>
        <v>0</v>
      </c>
      <c r="Y1051" s="16">
        <f>IF(ISERROR(VLOOKUP($A1051,'13. Updated Demand'!A:Z,16,FALSE)),0,VLOOKUP($A1051,'13. Updated Demand'!A:Z,16,FALSE))</f>
        <v>0</v>
      </c>
      <c r="Z1051" s="16">
        <f>IF(ISERROR(VLOOKUP($A1051,'13. Updated Demand'!A:Z,17,FALSE)),0,VLOOKUP($A1051,'13. Updated Demand'!A:Z,17,FALSE))</f>
        <v>0</v>
      </c>
      <c r="AA1051" s="16">
        <f>IF(ISERROR(VLOOKUP($A1051,'13. Updated Demand'!A:Z,18,FALSE)),0,VLOOKUP($A1051,'13. Updated Demand'!A:Z,18,FALSE))</f>
        <v>0</v>
      </c>
      <c r="AB1051" s="16">
        <f>IF(ISERROR(VLOOKUP($A1051,'13. Updated Demand'!A:Z,19,FALSE)),0,VLOOKUP($A1051,'13. Updated Demand'!A:Z,19,FALSE))</f>
        <v>0</v>
      </c>
      <c r="AC1051" s="16">
        <f>IF(ISERROR(VLOOKUP($A1051,'13. Updated Demand'!A:Z,20,FALSE)),0,VLOOKUP($A1051,'13. Updated Demand'!A:Z,20,FALSE))</f>
        <v>0</v>
      </c>
      <c r="AD1051" s="16">
        <f>IF(ISERROR(VLOOKUP($A1051,'13. Updated Demand'!A:Z,21,FALSE)),0,VLOOKUP($A1051,'13. Updated Demand'!A:Z,21,FALSE))</f>
        <v>0</v>
      </c>
      <c r="AE1051" s="16">
        <f>IF(ISERROR(VLOOKUP($A1051,'13. Updated Demand'!A:Z,22,FALSE)),0,VLOOKUP($A1051,'13. Updated Demand'!A:Z,22,FALSE))</f>
        <v>0</v>
      </c>
      <c r="AF1051" s="16">
        <f>IF(ISERROR(VLOOKUP($A1051,'13. Updated Demand'!A:Z,23,FALSE)),0,VLOOKUP($A1051,'13. Updated Demand'!A:Z,23,FALSE))</f>
        <v>0</v>
      </c>
      <c r="AG1051" s="16">
        <f>IF(ISERROR(VLOOKUP($A1051,'13. Updated Demand'!A:Z,24,FALSE)),0,VLOOKUP($A1051,'13. Updated Demand'!A:Z,24,FALSE))</f>
        <v>0</v>
      </c>
      <c r="AH1051" s="16">
        <f>IF(ISERROR(VLOOKUP($A1051,'13. Updated Demand'!A:Z,25,FALSE)),0,VLOOKUP($A1051,'13. Updated Demand'!A:Z,25,FALSE))</f>
        <v>0</v>
      </c>
      <c r="AI1051" s="16">
        <f>IF(ISERROR(VLOOKUP($A1051,'13. Updated Demand'!A:Z,26,FALSE)),0,VLOOKUP($A1051,'13. Updated Demand'!A:Z,26,FALSE))</f>
        <v>0</v>
      </c>
      <c r="AJ1051" s="16">
        <f t="shared" si="204"/>
        <v>0</v>
      </c>
      <c r="AK1051" s="19">
        <v>0</v>
      </c>
      <c r="AL1051" s="16">
        <f t="shared" si="202"/>
        <v>0</v>
      </c>
      <c r="AM1051" s="17">
        <v>0</v>
      </c>
      <c r="AN1051" s="19"/>
      <c r="AO1051" s="19"/>
      <c r="AP1051" s="19">
        <v>71.2</v>
      </c>
      <c r="AQ1051" s="19" t="s">
        <v>307</v>
      </c>
      <c r="AR1051" s="9" t="s">
        <v>311</v>
      </c>
      <c r="AS1051" s="12">
        <v>0</v>
      </c>
      <c r="AT1051" s="19">
        <v>38.6218</v>
      </c>
      <c r="AU1051" s="19">
        <v>-122.77419999999999</v>
      </c>
      <c r="AV1051" s="19" t="s">
        <v>609</v>
      </c>
    </row>
    <row r="1052" spans="1:48" x14ac:dyDescent="0.25">
      <c r="A1052" s="18" t="s">
        <v>1446</v>
      </c>
      <c r="B1052" s="10">
        <v>19570314</v>
      </c>
      <c r="C1052" s="9">
        <v>2</v>
      </c>
      <c r="D1052" s="8" t="str">
        <f t="shared" si="193"/>
        <v>N</v>
      </c>
      <c r="E1052" s="8" t="str">
        <f t="shared" si="194"/>
        <v>N</v>
      </c>
      <c r="F1052" s="8" t="str">
        <f t="shared" si="195"/>
        <v>Y</v>
      </c>
      <c r="G1052" s="8" t="str">
        <f t="shared" si="196"/>
        <v>N</v>
      </c>
      <c r="H1052" s="8" t="str">
        <f t="shared" si="197"/>
        <v>Upper</v>
      </c>
      <c r="I1052" s="8" t="str">
        <f t="shared" si="198"/>
        <v>Outside</v>
      </c>
      <c r="J1052" s="8" t="str">
        <f t="shared" si="199"/>
        <v>Outside</v>
      </c>
      <c r="K1052" s="8" t="str">
        <f t="shared" si="200"/>
        <v>Post-1949</v>
      </c>
      <c r="L1052" s="8">
        <f t="shared" si="201"/>
        <v>1957</v>
      </c>
      <c r="M1052" s="8" t="str">
        <f t="shared" si="203"/>
        <v>1957-1959</v>
      </c>
      <c r="N1052" s="10" t="s">
        <v>242</v>
      </c>
      <c r="O1052" s="10" t="s">
        <v>241</v>
      </c>
      <c r="P1052" s="10" t="s">
        <v>242</v>
      </c>
      <c r="Q1052" s="10" t="s">
        <v>242</v>
      </c>
      <c r="R1052" s="10" t="s">
        <v>241</v>
      </c>
      <c r="S1052" s="10" t="s">
        <v>242</v>
      </c>
      <c r="T1052" s="10" t="s">
        <v>242</v>
      </c>
      <c r="U1052" s="10" t="s">
        <v>242</v>
      </c>
      <c r="V1052" s="10" t="s">
        <v>242</v>
      </c>
      <c r="W1052" s="10" t="s">
        <v>242</v>
      </c>
      <c r="X1052" s="15">
        <f>IF(ISERROR(VLOOKUP($A1052,'13. Updated Demand'!A:Z,15,FALSE)),0,VLOOKUP($A1052,'13. Updated Demand'!A:Z,15,FALSE))</f>
        <v>0</v>
      </c>
      <c r="Y1052" s="16">
        <f>IF(ISERROR(VLOOKUP($A1052,'13. Updated Demand'!A:Z,16,FALSE)),0,VLOOKUP($A1052,'13. Updated Demand'!A:Z,16,FALSE))</f>
        <v>0</v>
      </c>
      <c r="Z1052" s="16">
        <f>IF(ISERROR(VLOOKUP($A1052,'13. Updated Demand'!A:Z,17,FALSE)),0,VLOOKUP($A1052,'13. Updated Demand'!A:Z,17,FALSE))</f>
        <v>0</v>
      </c>
      <c r="AA1052" s="16">
        <f>IF(ISERROR(VLOOKUP($A1052,'13. Updated Demand'!A:Z,18,FALSE)),0,VLOOKUP($A1052,'13. Updated Demand'!A:Z,18,FALSE))</f>
        <v>0</v>
      </c>
      <c r="AB1052" s="16">
        <f>IF(ISERROR(VLOOKUP($A1052,'13. Updated Demand'!A:Z,19,FALSE)),0,VLOOKUP($A1052,'13. Updated Demand'!A:Z,19,FALSE))</f>
        <v>10</v>
      </c>
      <c r="AC1052" s="16">
        <f>IF(ISERROR(VLOOKUP($A1052,'13. Updated Demand'!A:Z,20,FALSE)),0,VLOOKUP($A1052,'13. Updated Demand'!A:Z,20,FALSE))</f>
        <v>30</v>
      </c>
      <c r="AD1052" s="16">
        <f>IF(ISERROR(VLOOKUP($A1052,'13. Updated Demand'!A:Z,21,FALSE)),0,VLOOKUP($A1052,'13. Updated Demand'!A:Z,21,FALSE))</f>
        <v>30</v>
      </c>
      <c r="AE1052" s="16">
        <f>IF(ISERROR(VLOOKUP($A1052,'13. Updated Demand'!A:Z,22,FALSE)),0,VLOOKUP($A1052,'13. Updated Demand'!A:Z,22,FALSE))</f>
        <v>30</v>
      </c>
      <c r="AF1052" s="16">
        <f>IF(ISERROR(VLOOKUP($A1052,'13. Updated Demand'!A:Z,23,FALSE)),0,VLOOKUP($A1052,'13. Updated Demand'!A:Z,23,FALSE))</f>
        <v>30</v>
      </c>
      <c r="AG1052" s="16">
        <f>IF(ISERROR(VLOOKUP($A1052,'13. Updated Demand'!A:Z,24,FALSE)),0,VLOOKUP($A1052,'13. Updated Demand'!A:Z,24,FALSE))</f>
        <v>20</v>
      </c>
      <c r="AH1052" s="16">
        <f>IF(ISERROR(VLOOKUP($A1052,'13. Updated Demand'!A:Z,25,FALSE)),0,VLOOKUP($A1052,'13. Updated Demand'!A:Z,25,FALSE))</f>
        <v>0</v>
      </c>
      <c r="AI1052" s="16">
        <f>IF(ISERROR(VLOOKUP($A1052,'13. Updated Demand'!A:Z,26,FALSE)),0,VLOOKUP($A1052,'13. Updated Demand'!A:Z,26,FALSE))</f>
        <v>0</v>
      </c>
      <c r="AJ1052" s="16">
        <f t="shared" si="204"/>
        <v>150</v>
      </c>
      <c r="AK1052" s="19">
        <v>130</v>
      </c>
      <c r="AL1052" s="16">
        <f t="shared" si="202"/>
        <v>0.43119519160841618</v>
      </c>
      <c r="AM1052" s="17">
        <v>0.97402597402597402</v>
      </c>
      <c r="AN1052" s="19"/>
      <c r="AO1052" s="19"/>
      <c r="AP1052" s="19">
        <v>154</v>
      </c>
      <c r="AQ1052" s="19" t="s">
        <v>307</v>
      </c>
      <c r="AR1052" s="9" t="s">
        <v>348</v>
      </c>
      <c r="AS1052" s="12">
        <v>0</v>
      </c>
      <c r="AT1052" s="19">
        <v>39.281427809999997</v>
      </c>
      <c r="AU1052" s="19">
        <v>-123.10231326</v>
      </c>
      <c r="AV1052" s="19" t="s">
        <v>542</v>
      </c>
    </row>
    <row r="1053" spans="1:48" x14ac:dyDescent="0.25">
      <c r="A1053" s="18" t="s">
        <v>1447</v>
      </c>
      <c r="B1053" s="10">
        <v>19570226</v>
      </c>
      <c r="C1053" s="9">
        <v>23</v>
      </c>
      <c r="D1053" s="8" t="str">
        <f t="shared" si="193"/>
        <v>N</v>
      </c>
      <c r="E1053" s="8" t="str">
        <f t="shared" si="194"/>
        <v>N</v>
      </c>
      <c r="F1053" s="8" t="str">
        <f t="shared" si="195"/>
        <v>N</v>
      </c>
      <c r="G1053" s="8" t="str">
        <f t="shared" si="196"/>
        <v>N</v>
      </c>
      <c r="H1053" s="8" t="str">
        <f t="shared" si="197"/>
        <v>Lower</v>
      </c>
      <c r="I1053" s="8" t="str">
        <f t="shared" si="198"/>
        <v>Outside</v>
      </c>
      <c r="J1053" s="8" t="str">
        <f t="shared" si="199"/>
        <v>Outside</v>
      </c>
      <c r="K1053" s="8" t="str">
        <f t="shared" si="200"/>
        <v>Post-1949</v>
      </c>
      <c r="L1053" s="8">
        <f t="shared" si="201"/>
        <v>1957</v>
      </c>
      <c r="M1053" s="8" t="str">
        <f t="shared" si="203"/>
        <v>1957-1959</v>
      </c>
      <c r="N1053" s="10" t="s">
        <v>242</v>
      </c>
      <c r="O1053" s="10" t="s">
        <v>242</v>
      </c>
      <c r="P1053" s="10" t="s">
        <v>242</v>
      </c>
      <c r="Q1053" s="10" t="s">
        <v>242</v>
      </c>
      <c r="R1053" s="10" t="s">
        <v>241</v>
      </c>
      <c r="S1053" s="10" t="s">
        <v>242</v>
      </c>
      <c r="T1053" s="10" t="s">
        <v>242</v>
      </c>
      <c r="U1053" s="10" t="s">
        <v>241</v>
      </c>
      <c r="V1053" s="10" t="s">
        <v>241</v>
      </c>
      <c r="W1053" s="10" t="s">
        <v>242</v>
      </c>
      <c r="X1053" s="15">
        <f>IF(ISERROR(VLOOKUP($A1053,'13. Updated Demand'!A:Z,15,FALSE)),0,VLOOKUP($A1053,'13. Updated Demand'!A:Z,15,FALSE))</f>
        <v>0</v>
      </c>
      <c r="Y1053" s="16">
        <f>IF(ISERROR(VLOOKUP($A1053,'13. Updated Demand'!A:Z,16,FALSE)),0,VLOOKUP($A1053,'13. Updated Demand'!A:Z,16,FALSE))</f>
        <v>0</v>
      </c>
      <c r="Z1053" s="16">
        <f>IF(ISERROR(VLOOKUP($A1053,'13. Updated Demand'!A:Z,17,FALSE)),0,VLOOKUP($A1053,'13. Updated Demand'!A:Z,17,FALSE))</f>
        <v>0</v>
      </c>
      <c r="AA1053" s="16">
        <f>IF(ISERROR(VLOOKUP($A1053,'13. Updated Demand'!A:Z,18,FALSE)),0,VLOOKUP($A1053,'13. Updated Demand'!A:Z,18,FALSE))</f>
        <v>0</v>
      </c>
      <c r="AB1053" s="16">
        <f>IF(ISERROR(VLOOKUP($A1053,'13. Updated Demand'!A:Z,19,FALSE)),0,VLOOKUP($A1053,'13. Updated Demand'!A:Z,19,FALSE))</f>
        <v>0</v>
      </c>
      <c r="AC1053" s="16">
        <f>IF(ISERROR(VLOOKUP($A1053,'13. Updated Demand'!A:Z,20,FALSE)),0,VLOOKUP($A1053,'13. Updated Demand'!A:Z,20,FALSE))</f>
        <v>0</v>
      </c>
      <c r="AD1053" s="16">
        <f>IF(ISERROR(VLOOKUP($A1053,'13. Updated Demand'!A:Z,21,FALSE)),0,VLOOKUP($A1053,'13. Updated Demand'!A:Z,21,FALSE))</f>
        <v>0</v>
      </c>
      <c r="AE1053" s="16">
        <f>IF(ISERROR(VLOOKUP($A1053,'13. Updated Demand'!A:Z,22,FALSE)),0,VLOOKUP($A1053,'13. Updated Demand'!A:Z,22,FALSE))</f>
        <v>0</v>
      </c>
      <c r="AF1053" s="16">
        <f>IF(ISERROR(VLOOKUP($A1053,'13. Updated Demand'!A:Z,23,FALSE)),0,VLOOKUP($A1053,'13. Updated Demand'!A:Z,23,FALSE))</f>
        <v>0</v>
      </c>
      <c r="AG1053" s="16">
        <f>IF(ISERROR(VLOOKUP($A1053,'13. Updated Demand'!A:Z,24,FALSE)),0,VLOOKUP($A1053,'13. Updated Demand'!A:Z,24,FALSE))</f>
        <v>0</v>
      </c>
      <c r="AH1053" s="16">
        <f>IF(ISERROR(VLOOKUP($A1053,'13. Updated Demand'!A:Z,25,FALSE)),0,VLOOKUP($A1053,'13. Updated Demand'!A:Z,25,FALSE))</f>
        <v>0</v>
      </c>
      <c r="AI1053" s="16">
        <f>IF(ISERROR(VLOOKUP($A1053,'13. Updated Demand'!A:Z,26,FALSE)),0,VLOOKUP($A1053,'13. Updated Demand'!A:Z,26,FALSE))</f>
        <v>0</v>
      </c>
      <c r="AJ1053" s="16">
        <f t="shared" si="204"/>
        <v>0</v>
      </c>
      <c r="AK1053" s="19">
        <v>0</v>
      </c>
      <c r="AL1053" s="16">
        <f t="shared" si="202"/>
        <v>0</v>
      </c>
      <c r="AM1053" s="17">
        <v>0</v>
      </c>
      <c r="AN1053" s="19"/>
      <c r="AO1053" s="19"/>
      <c r="AP1053" s="19">
        <v>14</v>
      </c>
      <c r="AQ1053" s="19" t="s">
        <v>307</v>
      </c>
      <c r="AR1053" s="9" t="s">
        <v>391</v>
      </c>
      <c r="AS1053" s="12">
        <v>0</v>
      </c>
      <c r="AT1053" s="19">
        <v>38.555771270000001</v>
      </c>
      <c r="AU1053" s="19">
        <v>-122.74419278000001</v>
      </c>
      <c r="AV1053" s="19" t="s">
        <v>417</v>
      </c>
    </row>
    <row r="1054" spans="1:48" x14ac:dyDescent="0.25">
      <c r="A1054" s="18" t="s">
        <v>1448</v>
      </c>
      <c r="B1054" s="10">
        <v>19570226</v>
      </c>
      <c r="C1054" s="9">
        <v>16</v>
      </c>
      <c r="D1054" s="8" t="str">
        <f t="shared" si="193"/>
        <v>N</v>
      </c>
      <c r="E1054" s="8" t="str">
        <f t="shared" si="194"/>
        <v>N</v>
      </c>
      <c r="F1054" s="8" t="str">
        <f t="shared" si="195"/>
        <v>N</v>
      </c>
      <c r="G1054" s="8" t="str">
        <f t="shared" si="196"/>
        <v>N</v>
      </c>
      <c r="H1054" s="8" t="str">
        <f t="shared" si="197"/>
        <v>Lower</v>
      </c>
      <c r="I1054" s="8" t="str">
        <f t="shared" si="198"/>
        <v>Outside</v>
      </c>
      <c r="J1054" s="8" t="str">
        <f t="shared" si="199"/>
        <v>Outside</v>
      </c>
      <c r="K1054" s="8" t="str">
        <f t="shared" si="200"/>
        <v>Post-1949</v>
      </c>
      <c r="L1054" s="8">
        <f t="shared" si="201"/>
        <v>1957</v>
      </c>
      <c r="M1054" s="8" t="str">
        <f t="shared" si="203"/>
        <v>1957-1959</v>
      </c>
      <c r="N1054" s="10" t="s">
        <v>242</v>
      </c>
      <c r="O1054" s="10" t="s">
        <v>242</v>
      </c>
      <c r="P1054" s="10" t="s">
        <v>242</v>
      </c>
      <c r="Q1054" s="10" t="s">
        <v>242</v>
      </c>
      <c r="R1054" s="10" t="s">
        <v>241</v>
      </c>
      <c r="S1054" s="10" t="s">
        <v>242</v>
      </c>
      <c r="T1054" s="10" t="s">
        <v>242</v>
      </c>
      <c r="U1054" s="10" t="s">
        <v>241</v>
      </c>
      <c r="V1054" s="10" t="s">
        <v>241</v>
      </c>
      <c r="W1054" s="10" t="s">
        <v>242</v>
      </c>
      <c r="X1054" s="15">
        <f>IF(ISERROR(VLOOKUP($A1054,'13. Updated Demand'!A:Z,15,FALSE)),0,VLOOKUP($A1054,'13. Updated Demand'!A:Z,15,FALSE))</f>
        <v>0</v>
      </c>
      <c r="Y1054" s="16">
        <f>IF(ISERROR(VLOOKUP($A1054,'13. Updated Demand'!A:Z,16,FALSE)),0,VLOOKUP($A1054,'13. Updated Demand'!A:Z,16,FALSE))</f>
        <v>0</v>
      </c>
      <c r="Z1054" s="16">
        <f>IF(ISERROR(VLOOKUP($A1054,'13. Updated Demand'!A:Z,17,FALSE)),0,VLOOKUP($A1054,'13. Updated Demand'!A:Z,17,FALSE))</f>
        <v>0</v>
      </c>
      <c r="AA1054" s="16">
        <f>IF(ISERROR(VLOOKUP($A1054,'13. Updated Demand'!A:Z,18,FALSE)),0,VLOOKUP($A1054,'13. Updated Demand'!A:Z,18,FALSE))</f>
        <v>0</v>
      </c>
      <c r="AB1054" s="16">
        <f>IF(ISERROR(VLOOKUP($A1054,'13. Updated Demand'!A:Z,19,FALSE)),0,VLOOKUP($A1054,'13. Updated Demand'!A:Z,19,FALSE))</f>
        <v>0</v>
      </c>
      <c r="AC1054" s="16">
        <f>IF(ISERROR(VLOOKUP($A1054,'13. Updated Demand'!A:Z,20,FALSE)),0,VLOOKUP($A1054,'13. Updated Demand'!A:Z,20,FALSE))</f>
        <v>0</v>
      </c>
      <c r="AD1054" s="16">
        <f>IF(ISERROR(VLOOKUP($A1054,'13. Updated Demand'!A:Z,21,FALSE)),0,VLOOKUP($A1054,'13. Updated Demand'!A:Z,21,FALSE))</f>
        <v>0</v>
      </c>
      <c r="AE1054" s="16">
        <f>IF(ISERROR(VLOOKUP($A1054,'13. Updated Demand'!A:Z,22,FALSE)),0,VLOOKUP($A1054,'13. Updated Demand'!A:Z,22,FALSE))</f>
        <v>0</v>
      </c>
      <c r="AF1054" s="16">
        <f>IF(ISERROR(VLOOKUP($A1054,'13. Updated Demand'!A:Z,23,FALSE)),0,VLOOKUP($A1054,'13. Updated Demand'!A:Z,23,FALSE))</f>
        <v>0</v>
      </c>
      <c r="AG1054" s="16">
        <f>IF(ISERROR(VLOOKUP($A1054,'13. Updated Demand'!A:Z,24,FALSE)),0,VLOOKUP($A1054,'13. Updated Demand'!A:Z,24,FALSE))</f>
        <v>0</v>
      </c>
      <c r="AH1054" s="16">
        <f>IF(ISERROR(VLOOKUP($A1054,'13. Updated Demand'!A:Z,25,FALSE)),0,VLOOKUP($A1054,'13. Updated Demand'!A:Z,25,FALSE))</f>
        <v>0</v>
      </c>
      <c r="AI1054" s="16">
        <f>IF(ISERROR(VLOOKUP($A1054,'13. Updated Demand'!A:Z,26,FALSE)),0,VLOOKUP($A1054,'13. Updated Demand'!A:Z,26,FALSE))</f>
        <v>0</v>
      </c>
      <c r="AJ1054" s="16">
        <f t="shared" si="204"/>
        <v>0</v>
      </c>
      <c r="AK1054" s="19">
        <v>0</v>
      </c>
      <c r="AL1054" s="16">
        <f t="shared" si="202"/>
        <v>0</v>
      </c>
      <c r="AM1054" s="17">
        <v>0</v>
      </c>
      <c r="AN1054" s="19"/>
      <c r="AO1054" s="19"/>
      <c r="AP1054" s="19">
        <v>14</v>
      </c>
      <c r="AQ1054" s="19" t="s">
        <v>307</v>
      </c>
      <c r="AR1054" s="9" t="s">
        <v>394</v>
      </c>
      <c r="AS1054" s="12">
        <v>0</v>
      </c>
      <c r="AT1054" s="19">
        <v>38.594999999999999</v>
      </c>
      <c r="AU1054" s="19">
        <v>-122.96129999999999</v>
      </c>
      <c r="AV1054" s="19" t="s">
        <v>417</v>
      </c>
    </row>
    <row r="1055" spans="1:48" x14ac:dyDescent="0.25">
      <c r="A1055" s="18" t="s">
        <v>1449</v>
      </c>
      <c r="B1055" s="10">
        <v>19570416</v>
      </c>
      <c r="C1055" s="9">
        <v>16</v>
      </c>
      <c r="D1055" s="8" t="str">
        <f t="shared" si="193"/>
        <v>N</v>
      </c>
      <c r="E1055" s="8" t="str">
        <f t="shared" si="194"/>
        <v>N</v>
      </c>
      <c r="F1055" s="8" t="str">
        <f t="shared" si="195"/>
        <v>N</v>
      </c>
      <c r="G1055" s="8" t="str">
        <f t="shared" si="196"/>
        <v>N</v>
      </c>
      <c r="H1055" s="8" t="str">
        <f t="shared" si="197"/>
        <v>Lower</v>
      </c>
      <c r="I1055" s="8" t="str">
        <f t="shared" si="198"/>
        <v>Outside</v>
      </c>
      <c r="J1055" s="8" t="str">
        <f t="shared" si="199"/>
        <v>Outside</v>
      </c>
      <c r="K1055" s="8" t="str">
        <f t="shared" si="200"/>
        <v>Post-1949</v>
      </c>
      <c r="L1055" s="8">
        <f t="shared" si="201"/>
        <v>1957</v>
      </c>
      <c r="M1055" s="8" t="str">
        <f t="shared" si="203"/>
        <v>1957-1959</v>
      </c>
      <c r="N1055" s="10" t="s">
        <v>242</v>
      </c>
      <c r="O1055" s="10" t="s">
        <v>242</v>
      </c>
      <c r="P1055" s="10" t="s">
        <v>242</v>
      </c>
      <c r="Q1055" s="10" t="s">
        <v>242</v>
      </c>
      <c r="R1055" s="10" t="s">
        <v>241</v>
      </c>
      <c r="S1055" s="10" t="s">
        <v>242</v>
      </c>
      <c r="T1055" s="10" t="s">
        <v>242</v>
      </c>
      <c r="U1055" s="10" t="s">
        <v>241</v>
      </c>
      <c r="V1055" s="10" t="s">
        <v>241</v>
      </c>
      <c r="W1055" s="10" t="s">
        <v>242</v>
      </c>
      <c r="X1055" s="15">
        <f>IF(ISERROR(VLOOKUP($A1055,'13. Updated Demand'!A:Z,15,FALSE)),0,VLOOKUP($A1055,'13. Updated Demand'!A:Z,15,FALSE))</f>
        <v>0</v>
      </c>
      <c r="Y1055" s="16">
        <f>IF(ISERROR(VLOOKUP($A1055,'13. Updated Demand'!A:Z,16,FALSE)),0,VLOOKUP($A1055,'13. Updated Demand'!A:Z,16,FALSE))</f>
        <v>0</v>
      </c>
      <c r="Z1055" s="16">
        <f>IF(ISERROR(VLOOKUP($A1055,'13. Updated Demand'!A:Z,17,FALSE)),0,VLOOKUP($A1055,'13. Updated Demand'!A:Z,17,FALSE))</f>
        <v>0</v>
      </c>
      <c r="AA1055" s="16">
        <f>IF(ISERROR(VLOOKUP($A1055,'13. Updated Demand'!A:Z,18,FALSE)),0,VLOOKUP($A1055,'13. Updated Demand'!A:Z,18,FALSE))</f>
        <v>0</v>
      </c>
      <c r="AB1055" s="16">
        <f>IF(ISERROR(VLOOKUP($A1055,'13. Updated Demand'!A:Z,19,FALSE)),0,VLOOKUP($A1055,'13. Updated Demand'!A:Z,19,FALSE))</f>
        <v>0</v>
      </c>
      <c r="AC1055" s="16">
        <f>IF(ISERROR(VLOOKUP($A1055,'13. Updated Demand'!A:Z,20,FALSE)),0,VLOOKUP($A1055,'13. Updated Demand'!A:Z,20,FALSE))</f>
        <v>0</v>
      </c>
      <c r="AD1055" s="16">
        <f>IF(ISERROR(VLOOKUP($A1055,'13. Updated Demand'!A:Z,21,FALSE)),0,VLOOKUP($A1055,'13. Updated Demand'!A:Z,21,FALSE))</f>
        <v>0</v>
      </c>
      <c r="AE1055" s="16">
        <f>IF(ISERROR(VLOOKUP($A1055,'13. Updated Demand'!A:Z,22,FALSE)),0,VLOOKUP($A1055,'13. Updated Demand'!A:Z,22,FALSE))</f>
        <v>0</v>
      </c>
      <c r="AF1055" s="16">
        <f>IF(ISERROR(VLOOKUP($A1055,'13. Updated Demand'!A:Z,23,FALSE)),0,VLOOKUP($A1055,'13. Updated Demand'!A:Z,23,FALSE))</f>
        <v>0</v>
      </c>
      <c r="AG1055" s="16">
        <f>IF(ISERROR(VLOOKUP($A1055,'13. Updated Demand'!A:Z,24,FALSE)),0,VLOOKUP($A1055,'13. Updated Demand'!A:Z,24,FALSE))</f>
        <v>0</v>
      </c>
      <c r="AH1055" s="16">
        <f>IF(ISERROR(VLOOKUP($A1055,'13. Updated Demand'!A:Z,25,FALSE)),0,VLOOKUP($A1055,'13. Updated Demand'!A:Z,25,FALSE))</f>
        <v>0</v>
      </c>
      <c r="AI1055" s="16">
        <f>IF(ISERROR(VLOOKUP($A1055,'13. Updated Demand'!A:Z,26,FALSE)),0,VLOOKUP($A1055,'13. Updated Demand'!A:Z,26,FALSE))</f>
        <v>0</v>
      </c>
      <c r="AJ1055" s="16">
        <f t="shared" si="204"/>
        <v>0</v>
      </c>
      <c r="AK1055" s="19">
        <v>0</v>
      </c>
      <c r="AL1055" s="16">
        <f t="shared" si="202"/>
        <v>0</v>
      </c>
      <c r="AM1055" s="17">
        <v>0</v>
      </c>
      <c r="AN1055" s="19"/>
      <c r="AO1055" s="19"/>
      <c r="AP1055" s="19">
        <v>54.4</v>
      </c>
      <c r="AQ1055" s="19" t="s">
        <v>307</v>
      </c>
      <c r="AR1055" s="9" t="s">
        <v>394</v>
      </c>
      <c r="AS1055" s="12">
        <v>0</v>
      </c>
      <c r="AT1055" s="19">
        <v>38.652758540000001</v>
      </c>
      <c r="AU1055" s="19">
        <v>-122.92765539</v>
      </c>
      <c r="AV1055" s="19" t="s">
        <v>932</v>
      </c>
    </row>
    <row r="1056" spans="1:48" x14ac:dyDescent="0.25">
      <c r="A1056" s="21" t="s">
        <v>158</v>
      </c>
      <c r="B1056" s="22">
        <v>19570508</v>
      </c>
      <c r="C1056" s="9">
        <v>4</v>
      </c>
      <c r="D1056" s="8" t="str">
        <f t="shared" si="193"/>
        <v>Y</v>
      </c>
      <c r="E1056" s="8" t="str">
        <f t="shared" si="194"/>
        <v>N</v>
      </c>
      <c r="F1056" s="8" t="str">
        <f t="shared" si="195"/>
        <v>Y</v>
      </c>
      <c r="G1056" s="8" t="str">
        <f t="shared" si="196"/>
        <v>Y</v>
      </c>
      <c r="H1056" s="8" t="str">
        <f t="shared" si="197"/>
        <v>Upper</v>
      </c>
      <c r="I1056" s="8" t="str">
        <f t="shared" si="198"/>
        <v>West Fork and Below Lake</v>
      </c>
      <c r="J1056" s="8" t="str">
        <f t="shared" si="199"/>
        <v>Mendocino (d/s of lake)</v>
      </c>
      <c r="K1056" s="8" t="str">
        <f t="shared" si="200"/>
        <v>Post-1949</v>
      </c>
      <c r="L1056" s="8">
        <f t="shared" si="201"/>
        <v>1957</v>
      </c>
      <c r="M1056" s="8" t="str">
        <f t="shared" si="203"/>
        <v>1957-1959</v>
      </c>
      <c r="N1056" s="10" t="s">
        <v>241</v>
      </c>
      <c r="O1056" s="10" t="s">
        <v>241</v>
      </c>
      <c r="P1056" s="10" t="s">
        <v>242</v>
      </c>
      <c r="Q1056" s="10" t="s">
        <v>242</v>
      </c>
      <c r="R1056" s="10" t="s">
        <v>241</v>
      </c>
      <c r="S1056" s="10" t="s">
        <v>242</v>
      </c>
      <c r="T1056" s="10" t="s">
        <v>242</v>
      </c>
      <c r="U1056" s="10" t="s">
        <v>242</v>
      </c>
      <c r="V1056" s="10" t="s">
        <v>242</v>
      </c>
      <c r="W1056" s="10" t="s">
        <v>242</v>
      </c>
      <c r="X1056" s="15">
        <f>IF(ISERROR(VLOOKUP($A1056,'13. Updated Demand'!A:Z,15,FALSE)),0,VLOOKUP($A1056,'13. Updated Demand'!A:Z,15,FALSE))</f>
        <v>32.15</v>
      </c>
      <c r="Y1056" s="16">
        <f>IF(ISERROR(VLOOKUP($A1056,'13. Updated Demand'!A:Z,16,FALSE)),0,VLOOKUP($A1056,'13. Updated Demand'!A:Z,16,FALSE))</f>
        <v>32.07</v>
      </c>
      <c r="Z1056" s="16">
        <f>IF(ISERROR(VLOOKUP($A1056,'13. Updated Demand'!A:Z,17,FALSE)),0,VLOOKUP($A1056,'13. Updated Demand'!A:Z,17,FALSE))</f>
        <v>33.29</v>
      </c>
      <c r="AA1056" s="16">
        <f>IF(ISERROR(VLOOKUP($A1056,'13. Updated Demand'!A:Z,18,FALSE)),0,VLOOKUP($A1056,'13. Updated Demand'!A:Z,18,FALSE))</f>
        <v>44.47</v>
      </c>
      <c r="AB1056" s="16">
        <f>IF(ISERROR(VLOOKUP($A1056,'13. Updated Demand'!A:Z,19,FALSE)),0,VLOOKUP($A1056,'13. Updated Demand'!A:Z,19,FALSE))</f>
        <v>58.61</v>
      </c>
      <c r="AC1056" s="16">
        <f>IF(ISERROR(VLOOKUP($A1056,'13. Updated Demand'!A:Z,20,FALSE)),0,VLOOKUP($A1056,'13. Updated Demand'!A:Z,20,FALSE))</f>
        <v>66.22</v>
      </c>
      <c r="AD1056" s="16">
        <f>IF(ISERROR(VLOOKUP($A1056,'13. Updated Demand'!A:Z,21,FALSE)),0,VLOOKUP($A1056,'13. Updated Demand'!A:Z,21,FALSE))</f>
        <v>0</v>
      </c>
      <c r="AE1056" s="16">
        <f>IF(ISERROR(VLOOKUP($A1056,'13. Updated Demand'!A:Z,22,FALSE)),0,VLOOKUP($A1056,'13. Updated Demand'!A:Z,22,FALSE))</f>
        <v>0</v>
      </c>
      <c r="AF1056" s="16">
        <f>IF(ISERROR(VLOOKUP($A1056,'13. Updated Demand'!A:Z,23,FALSE)),0,VLOOKUP($A1056,'13. Updated Demand'!A:Z,23,FALSE))</f>
        <v>0</v>
      </c>
      <c r="AG1056" s="16">
        <f>IF(ISERROR(VLOOKUP($A1056,'13. Updated Demand'!A:Z,24,FALSE)),0,VLOOKUP($A1056,'13. Updated Demand'!A:Z,24,FALSE))</f>
        <v>0</v>
      </c>
      <c r="AH1056" s="16">
        <f>IF(ISERROR(VLOOKUP($A1056,'13. Updated Demand'!A:Z,25,FALSE)),0,VLOOKUP($A1056,'13. Updated Demand'!A:Z,25,FALSE))</f>
        <v>62.56</v>
      </c>
      <c r="AI1056" s="16">
        <f>IF(ISERROR(VLOOKUP($A1056,'13. Updated Demand'!A:Z,26,FALSE)),0,VLOOKUP($A1056,'13. Updated Demand'!A:Z,26,FALSE))</f>
        <v>31.09</v>
      </c>
      <c r="AJ1056" s="16">
        <f t="shared" si="204"/>
        <v>360.45999999999992</v>
      </c>
      <c r="AK1056" s="19">
        <v>124.83</v>
      </c>
      <c r="AL1056" s="16">
        <f t="shared" si="202"/>
        <v>0.41404689052675842</v>
      </c>
      <c r="AM1056" s="17">
        <v>0.25031944444444437</v>
      </c>
      <c r="AN1056" s="23"/>
      <c r="AO1056" s="23"/>
      <c r="AP1056" s="23">
        <v>1440</v>
      </c>
      <c r="AQ1056" s="23" t="s">
        <v>307</v>
      </c>
      <c r="AR1056" s="9" t="s">
        <v>331</v>
      </c>
      <c r="AS1056" s="12">
        <v>0.15601216585669261</v>
      </c>
      <c r="AT1056" s="23">
        <v>39.191222289999999</v>
      </c>
      <c r="AU1056" s="23">
        <v>-123.2004168</v>
      </c>
      <c r="AV1056" s="23" t="s">
        <v>548</v>
      </c>
    </row>
    <row r="1057" spans="1:48" x14ac:dyDescent="0.25">
      <c r="A1057" s="18" t="s">
        <v>1450</v>
      </c>
      <c r="B1057" s="10">
        <v>19570524</v>
      </c>
      <c r="C1057" s="9">
        <v>5</v>
      </c>
      <c r="D1057" s="8" t="str">
        <f t="shared" si="193"/>
        <v>Y</v>
      </c>
      <c r="E1057" s="8" t="str">
        <f t="shared" si="194"/>
        <v>N</v>
      </c>
      <c r="F1057" s="8" t="str">
        <f t="shared" si="195"/>
        <v>Y</v>
      </c>
      <c r="G1057" s="8" t="str">
        <f t="shared" si="196"/>
        <v>Y</v>
      </c>
      <c r="H1057" s="8" t="str">
        <f t="shared" si="197"/>
        <v>Upper</v>
      </c>
      <c r="I1057" s="8" t="str">
        <f t="shared" si="198"/>
        <v>West Fork and Below Lake</v>
      </c>
      <c r="J1057" s="8" t="str">
        <f t="shared" si="199"/>
        <v>Mendocino (d/s of lake)</v>
      </c>
      <c r="K1057" s="8" t="str">
        <f t="shared" si="200"/>
        <v>Post-1949</v>
      </c>
      <c r="L1057" s="8">
        <f t="shared" si="201"/>
        <v>1957</v>
      </c>
      <c r="M1057" s="8" t="str">
        <f t="shared" si="203"/>
        <v>1957-1959</v>
      </c>
      <c r="N1057" s="10" t="s">
        <v>241</v>
      </c>
      <c r="O1057" s="10" t="s">
        <v>241</v>
      </c>
      <c r="P1057" s="10" t="s">
        <v>242</v>
      </c>
      <c r="Q1057" s="10" t="s">
        <v>242</v>
      </c>
      <c r="R1057" s="10" t="s">
        <v>241</v>
      </c>
      <c r="S1057" s="10" t="s">
        <v>242</v>
      </c>
      <c r="T1057" s="10" t="s">
        <v>242</v>
      </c>
      <c r="U1057" s="10" t="s">
        <v>242</v>
      </c>
      <c r="V1057" s="10" t="s">
        <v>242</v>
      </c>
      <c r="W1057" s="10" t="s">
        <v>242</v>
      </c>
      <c r="X1057" s="15">
        <f>IF(ISERROR(VLOOKUP($A1057,'13. Updated Demand'!A:Z,15,FALSE)),0,VLOOKUP($A1057,'13. Updated Demand'!A:Z,15,FALSE))</f>
        <v>0</v>
      </c>
      <c r="Y1057" s="16">
        <f>IF(ISERROR(VLOOKUP($A1057,'13. Updated Demand'!A:Z,16,FALSE)),0,VLOOKUP($A1057,'13. Updated Demand'!A:Z,16,FALSE))</f>
        <v>0</v>
      </c>
      <c r="Z1057" s="16">
        <f>IF(ISERROR(VLOOKUP($A1057,'13. Updated Demand'!A:Z,17,FALSE)),0,VLOOKUP($A1057,'13. Updated Demand'!A:Z,17,FALSE))</f>
        <v>0</v>
      </c>
      <c r="AA1057" s="16">
        <f>IF(ISERROR(VLOOKUP($A1057,'13. Updated Demand'!A:Z,18,FALSE)),0,VLOOKUP($A1057,'13. Updated Demand'!A:Z,18,FALSE))</f>
        <v>0</v>
      </c>
      <c r="AB1057" s="16">
        <f>IF(ISERROR(VLOOKUP($A1057,'13. Updated Demand'!A:Z,19,FALSE)),0,VLOOKUP($A1057,'13. Updated Demand'!A:Z,19,FALSE))</f>
        <v>0.59</v>
      </c>
      <c r="AC1057" s="16">
        <f>IF(ISERROR(VLOOKUP($A1057,'13. Updated Demand'!A:Z,20,FALSE)),0,VLOOKUP($A1057,'13. Updated Demand'!A:Z,20,FALSE))</f>
        <v>1.02</v>
      </c>
      <c r="AD1057" s="16">
        <f>IF(ISERROR(VLOOKUP($A1057,'13. Updated Demand'!A:Z,21,FALSE)),0,VLOOKUP($A1057,'13. Updated Demand'!A:Z,21,FALSE))</f>
        <v>1.64</v>
      </c>
      <c r="AE1057" s="16">
        <f>IF(ISERROR(VLOOKUP($A1057,'13. Updated Demand'!A:Z,22,FALSE)),0,VLOOKUP($A1057,'13. Updated Demand'!A:Z,22,FALSE))</f>
        <v>1.23</v>
      </c>
      <c r="AF1057" s="16">
        <f>IF(ISERROR(VLOOKUP($A1057,'13. Updated Demand'!A:Z,23,FALSE)),0,VLOOKUP($A1057,'13. Updated Demand'!A:Z,23,FALSE))</f>
        <v>0.91</v>
      </c>
      <c r="AG1057" s="16">
        <f>IF(ISERROR(VLOOKUP($A1057,'13. Updated Demand'!A:Z,24,FALSE)),0,VLOOKUP($A1057,'13. Updated Demand'!A:Z,24,FALSE))</f>
        <v>0.37</v>
      </c>
      <c r="AH1057" s="16">
        <f>IF(ISERROR(VLOOKUP($A1057,'13. Updated Demand'!A:Z,25,FALSE)),0,VLOOKUP($A1057,'13. Updated Demand'!A:Z,25,FALSE))</f>
        <v>0</v>
      </c>
      <c r="AI1057" s="16">
        <f>IF(ISERROR(VLOOKUP($A1057,'13. Updated Demand'!A:Z,26,FALSE)),0,VLOOKUP($A1057,'13. Updated Demand'!A:Z,26,FALSE))</f>
        <v>0</v>
      </c>
      <c r="AJ1057" s="16">
        <f t="shared" si="204"/>
        <v>5.7600000000000007</v>
      </c>
      <c r="AK1057" s="19">
        <v>5.4066666666666636</v>
      </c>
      <c r="AL1057" s="16">
        <f t="shared" si="202"/>
        <v>1.7933297456124379E-2</v>
      </c>
      <c r="AM1057" s="17">
        <v>9.6277777777777726E-2</v>
      </c>
      <c r="AN1057" s="19"/>
      <c r="AO1057" s="19"/>
      <c r="AP1057" s="19">
        <v>60</v>
      </c>
      <c r="AQ1057" s="19" t="s">
        <v>307</v>
      </c>
      <c r="AR1057" s="9" t="s">
        <v>333</v>
      </c>
      <c r="AS1057" s="12">
        <v>0</v>
      </c>
      <c r="AT1057" s="19">
        <v>39.093684680000003</v>
      </c>
      <c r="AU1057" s="19">
        <v>-123.17903161</v>
      </c>
      <c r="AV1057" s="19" t="s">
        <v>548</v>
      </c>
    </row>
    <row r="1058" spans="1:48" x14ac:dyDescent="0.25">
      <c r="A1058" s="18" t="s">
        <v>74</v>
      </c>
      <c r="B1058" s="10">
        <v>19570524</v>
      </c>
      <c r="C1058" s="9">
        <v>5</v>
      </c>
      <c r="D1058" s="8" t="str">
        <f t="shared" si="193"/>
        <v>Y</v>
      </c>
      <c r="E1058" s="8" t="str">
        <f t="shared" si="194"/>
        <v>N</v>
      </c>
      <c r="F1058" s="8" t="str">
        <f t="shared" si="195"/>
        <v>Y</v>
      </c>
      <c r="G1058" s="8" t="str">
        <f t="shared" si="196"/>
        <v>Y</v>
      </c>
      <c r="H1058" s="8" t="str">
        <f t="shared" si="197"/>
        <v>Upper</v>
      </c>
      <c r="I1058" s="8" t="str">
        <f t="shared" si="198"/>
        <v>West Fork and Below Lake</v>
      </c>
      <c r="J1058" s="8" t="str">
        <f t="shared" si="199"/>
        <v>Mendocino (d/s of lake)</v>
      </c>
      <c r="K1058" s="8" t="str">
        <f t="shared" si="200"/>
        <v>Post-1949</v>
      </c>
      <c r="L1058" s="8">
        <f t="shared" si="201"/>
        <v>1957</v>
      </c>
      <c r="M1058" s="8" t="str">
        <f t="shared" si="203"/>
        <v>1957-1959</v>
      </c>
      <c r="N1058" s="10" t="s">
        <v>241</v>
      </c>
      <c r="O1058" s="10" t="s">
        <v>241</v>
      </c>
      <c r="P1058" s="10" t="s">
        <v>242</v>
      </c>
      <c r="Q1058" s="10" t="s">
        <v>242</v>
      </c>
      <c r="R1058" s="10" t="s">
        <v>241</v>
      </c>
      <c r="S1058" s="10" t="s">
        <v>242</v>
      </c>
      <c r="T1058" s="10" t="s">
        <v>242</v>
      </c>
      <c r="U1058" s="10" t="s">
        <v>242</v>
      </c>
      <c r="V1058" s="10" t="s">
        <v>242</v>
      </c>
      <c r="W1058" s="10" t="s">
        <v>242</v>
      </c>
      <c r="X1058" s="15">
        <f>IF(ISERROR(VLOOKUP($A1058,'13. Updated Demand'!A:Z,15,FALSE)),0,VLOOKUP($A1058,'13. Updated Demand'!A:Z,15,FALSE))</f>
        <v>0</v>
      </c>
      <c r="Y1058" s="16">
        <f>IF(ISERROR(VLOOKUP($A1058,'13. Updated Demand'!A:Z,16,FALSE)),0,VLOOKUP($A1058,'13. Updated Demand'!A:Z,16,FALSE))</f>
        <v>0</v>
      </c>
      <c r="Z1058" s="16">
        <f>IF(ISERROR(VLOOKUP($A1058,'13. Updated Demand'!A:Z,17,FALSE)),0,VLOOKUP($A1058,'13. Updated Demand'!A:Z,17,FALSE))</f>
        <v>0</v>
      </c>
      <c r="AA1058" s="16">
        <f>IF(ISERROR(VLOOKUP($A1058,'13. Updated Demand'!A:Z,18,FALSE)),0,VLOOKUP($A1058,'13. Updated Demand'!A:Z,18,FALSE))</f>
        <v>0</v>
      </c>
      <c r="AB1058" s="16">
        <f>IF(ISERROR(VLOOKUP($A1058,'13. Updated Demand'!A:Z,19,FALSE)),0,VLOOKUP($A1058,'13. Updated Demand'!A:Z,19,FALSE))</f>
        <v>1.31</v>
      </c>
      <c r="AC1058" s="16">
        <f>IF(ISERROR(VLOOKUP($A1058,'13. Updated Demand'!A:Z,20,FALSE)),0,VLOOKUP($A1058,'13. Updated Demand'!A:Z,20,FALSE))</f>
        <v>33.86</v>
      </c>
      <c r="AD1058" s="16">
        <f>IF(ISERROR(VLOOKUP($A1058,'13. Updated Demand'!A:Z,21,FALSE)),0,VLOOKUP($A1058,'13. Updated Demand'!A:Z,21,FALSE))</f>
        <v>0</v>
      </c>
      <c r="AE1058" s="16">
        <f>IF(ISERROR(VLOOKUP($A1058,'13. Updated Demand'!A:Z,22,FALSE)),0,VLOOKUP($A1058,'13. Updated Demand'!A:Z,22,FALSE))</f>
        <v>0</v>
      </c>
      <c r="AF1058" s="16">
        <f>IF(ISERROR(VLOOKUP($A1058,'13. Updated Demand'!A:Z,23,FALSE)),0,VLOOKUP($A1058,'13. Updated Demand'!A:Z,23,FALSE))</f>
        <v>0</v>
      </c>
      <c r="AG1058" s="16">
        <f>IF(ISERROR(VLOOKUP($A1058,'13. Updated Demand'!A:Z,24,FALSE)),0,VLOOKUP($A1058,'13. Updated Demand'!A:Z,24,FALSE))</f>
        <v>0</v>
      </c>
      <c r="AH1058" s="16">
        <f>IF(ISERROR(VLOOKUP($A1058,'13. Updated Demand'!A:Z,25,FALSE)),0,VLOOKUP($A1058,'13. Updated Demand'!A:Z,25,FALSE))</f>
        <v>0</v>
      </c>
      <c r="AI1058" s="16">
        <f>IF(ISERROR(VLOOKUP($A1058,'13. Updated Demand'!A:Z,26,FALSE)),0,VLOOKUP($A1058,'13. Updated Demand'!A:Z,26,FALSE))</f>
        <v>0</v>
      </c>
      <c r="AJ1058" s="16">
        <f t="shared" si="204"/>
        <v>35.17</v>
      </c>
      <c r="AK1058" s="19">
        <v>35.180000000000035</v>
      </c>
      <c r="AL1058" s="16">
        <f t="shared" si="202"/>
        <v>0.11668805262141613</v>
      </c>
      <c r="AM1058" s="17">
        <v>0.18322916666666686</v>
      </c>
      <c r="AN1058" s="19"/>
      <c r="AO1058" s="19"/>
      <c r="AP1058" s="19">
        <v>192</v>
      </c>
      <c r="AQ1058" s="19" t="s">
        <v>307</v>
      </c>
      <c r="AR1058" s="9" t="s">
        <v>333</v>
      </c>
      <c r="AS1058" s="12">
        <v>0</v>
      </c>
      <c r="AT1058" s="19">
        <v>39.059237170000003</v>
      </c>
      <c r="AU1058" s="19">
        <v>-123.14483135</v>
      </c>
      <c r="AV1058" s="19" t="s">
        <v>387</v>
      </c>
    </row>
    <row r="1059" spans="1:48" x14ac:dyDescent="0.25">
      <c r="A1059" s="18" t="s">
        <v>107</v>
      </c>
      <c r="B1059" s="10">
        <v>19570529</v>
      </c>
      <c r="C1059" s="9">
        <v>13</v>
      </c>
      <c r="D1059" s="8" t="str">
        <f t="shared" si="193"/>
        <v>N</v>
      </c>
      <c r="E1059" s="8" t="str">
        <f t="shared" si="194"/>
        <v>Y</v>
      </c>
      <c r="F1059" s="8" t="str">
        <f t="shared" si="195"/>
        <v>Y</v>
      </c>
      <c r="G1059" s="8" t="str">
        <f t="shared" si="196"/>
        <v>Y</v>
      </c>
      <c r="H1059" s="8" t="str">
        <f t="shared" si="197"/>
        <v>Upper</v>
      </c>
      <c r="I1059" s="8" t="str">
        <f t="shared" si="198"/>
        <v>West Fork and Below Lake</v>
      </c>
      <c r="J1059" s="8" t="str">
        <f t="shared" si="199"/>
        <v>Sonoma (d/s of Clov. Gage)</v>
      </c>
      <c r="K1059" s="8" t="str">
        <f t="shared" si="200"/>
        <v>Post-1949</v>
      </c>
      <c r="L1059" s="8">
        <f t="shared" si="201"/>
        <v>1957</v>
      </c>
      <c r="M1059" s="8" t="str">
        <f t="shared" si="203"/>
        <v>1957-1959</v>
      </c>
      <c r="N1059" s="10" t="s">
        <v>241</v>
      </c>
      <c r="O1059" s="10" t="s">
        <v>241</v>
      </c>
      <c r="P1059" s="10" t="s">
        <v>242</v>
      </c>
      <c r="Q1059" s="10" t="s">
        <v>242</v>
      </c>
      <c r="R1059" s="10" t="s">
        <v>241</v>
      </c>
      <c r="S1059" s="10" t="s">
        <v>242</v>
      </c>
      <c r="T1059" s="10" t="s">
        <v>242</v>
      </c>
      <c r="U1059" s="10" t="s">
        <v>242</v>
      </c>
      <c r="V1059" s="10" t="s">
        <v>242</v>
      </c>
      <c r="W1059" s="10" t="s">
        <v>242</v>
      </c>
      <c r="X1059" s="15">
        <f>IF(ISERROR(VLOOKUP($A1059,'13. Updated Demand'!A:Z,15,FALSE)),0,VLOOKUP($A1059,'13. Updated Demand'!A:Z,15,FALSE))</f>
        <v>3.06</v>
      </c>
      <c r="Y1059" s="16">
        <f>IF(ISERROR(VLOOKUP($A1059,'13. Updated Demand'!A:Z,16,FALSE)),0,VLOOKUP($A1059,'13. Updated Demand'!A:Z,16,FALSE))</f>
        <v>3.44</v>
      </c>
      <c r="Z1059" s="16">
        <f>IF(ISERROR(VLOOKUP($A1059,'13. Updated Demand'!A:Z,17,FALSE)),0,VLOOKUP($A1059,'13. Updated Demand'!A:Z,17,FALSE))</f>
        <v>3.15</v>
      </c>
      <c r="AA1059" s="16">
        <f>IF(ISERROR(VLOOKUP($A1059,'13. Updated Demand'!A:Z,18,FALSE)),0,VLOOKUP($A1059,'13. Updated Demand'!A:Z,18,FALSE))</f>
        <v>3.83</v>
      </c>
      <c r="AB1059" s="16">
        <f>IF(ISERROR(VLOOKUP($A1059,'13. Updated Demand'!A:Z,19,FALSE)),0,VLOOKUP($A1059,'13. Updated Demand'!A:Z,19,FALSE))</f>
        <v>5.71</v>
      </c>
      <c r="AC1059" s="16">
        <f>IF(ISERROR(VLOOKUP($A1059,'13. Updated Demand'!A:Z,20,FALSE)),0,VLOOKUP($A1059,'13. Updated Demand'!A:Z,20,FALSE))</f>
        <v>6.49</v>
      </c>
      <c r="AD1059" s="16">
        <f>IF(ISERROR(VLOOKUP($A1059,'13. Updated Demand'!A:Z,21,FALSE)),0,VLOOKUP($A1059,'13. Updated Demand'!A:Z,21,FALSE))</f>
        <v>7.22</v>
      </c>
      <c r="AE1059" s="16">
        <f>IF(ISERROR(VLOOKUP($A1059,'13. Updated Demand'!A:Z,22,FALSE)),0,VLOOKUP($A1059,'13. Updated Demand'!A:Z,22,FALSE))</f>
        <v>6.75</v>
      </c>
      <c r="AF1059" s="16">
        <f>IF(ISERROR(VLOOKUP($A1059,'13. Updated Demand'!A:Z,23,FALSE)),0,VLOOKUP($A1059,'13. Updated Demand'!A:Z,23,FALSE))</f>
        <v>6.9</v>
      </c>
      <c r="AG1059" s="16">
        <f>IF(ISERROR(VLOOKUP($A1059,'13. Updated Demand'!A:Z,24,FALSE)),0,VLOOKUP($A1059,'13. Updated Demand'!A:Z,24,FALSE))</f>
        <v>5.77</v>
      </c>
      <c r="AH1059" s="16">
        <f>IF(ISERROR(VLOOKUP($A1059,'13. Updated Demand'!A:Z,25,FALSE)),0,VLOOKUP($A1059,'13. Updated Demand'!A:Z,25,FALSE))</f>
        <v>4.79</v>
      </c>
      <c r="AI1059" s="16">
        <f>IF(ISERROR(VLOOKUP($A1059,'13. Updated Demand'!A:Z,26,FALSE)),0,VLOOKUP($A1059,'13. Updated Demand'!A:Z,26,FALSE))</f>
        <v>2.95</v>
      </c>
      <c r="AJ1059" s="16">
        <f t="shared" si="204"/>
        <v>60.059999999999995</v>
      </c>
      <c r="AK1059" s="19">
        <v>33.086666666666659</v>
      </c>
      <c r="AL1059" s="16">
        <f t="shared" si="202"/>
        <v>0.10974470440782405</v>
      </c>
      <c r="AM1059" s="17">
        <v>0.10399653979238753</v>
      </c>
      <c r="AN1059" s="19"/>
      <c r="AO1059" s="19"/>
      <c r="AP1059" s="19">
        <v>578</v>
      </c>
      <c r="AQ1059" s="19" t="s">
        <v>307</v>
      </c>
      <c r="AR1059" s="9" t="s">
        <v>507</v>
      </c>
      <c r="AS1059" s="12">
        <v>0</v>
      </c>
      <c r="AT1059" s="19">
        <v>38.622951229999998</v>
      </c>
      <c r="AU1059" s="19">
        <v>-122.83905584999999</v>
      </c>
      <c r="AV1059" s="19" t="s">
        <v>548</v>
      </c>
    </row>
    <row r="1060" spans="1:48" x14ac:dyDescent="0.25">
      <c r="A1060" s="18" t="s">
        <v>1451</v>
      </c>
      <c r="B1060" s="10">
        <v>19570611</v>
      </c>
      <c r="C1060" s="9">
        <v>4</v>
      </c>
      <c r="D1060" s="8" t="str">
        <f t="shared" si="193"/>
        <v>Y</v>
      </c>
      <c r="E1060" s="8" t="str">
        <f t="shared" si="194"/>
        <v>N</v>
      </c>
      <c r="F1060" s="8" t="str">
        <f t="shared" si="195"/>
        <v>Y</v>
      </c>
      <c r="G1060" s="8" t="str">
        <f t="shared" si="196"/>
        <v>Y</v>
      </c>
      <c r="H1060" s="8" t="str">
        <f t="shared" si="197"/>
        <v>Upper</v>
      </c>
      <c r="I1060" s="8" t="str">
        <f t="shared" si="198"/>
        <v>West Fork and Below Lake</v>
      </c>
      <c r="J1060" s="8" t="str">
        <f t="shared" si="199"/>
        <v>Mendocino (d/s of lake)</v>
      </c>
      <c r="K1060" s="8" t="str">
        <f t="shared" si="200"/>
        <v>Post-1949</v>
      </c>
      <c r="L1060" s="8">
        <f t="shared" si="201"/>
        <v>1957</v>
      </c>
      <c r="M1060" s="8" t="str">
        <f t="shared" si="203"/>
        <v>1957-1959</v>
      </c>
      <c r="N1060" s="10" t="s">
        <v>242</v>
      </c>
      <c r="O1060" s="10" t="s">
        <v>241</v>
      </c>
      <c r="P1060" s="10" t="s">
        <v>242</v>
      </c>
      <c r="Q1060" s="10" t="s">
        <v>242</v>
      </c>
      <c r="R1060" s="10" t="s">
        <v>241</v>
      </c>
      <c r="S1060" s="10" t="s">
        <v>242</v>
      </c>
      <c r="T1060" s="10" t="s">
        <v>242</v>
      </c>
      <c r="U1060" s="10" t="s">
        <v>242</v>
      </c>
      <c r="V1060" s="10" t="s">
        <v>242</v>
      </c>
      <c r="W1060" s="10" t="s">
        <v>242</v>
      </c>
      <c r="X1060" s="15">
        <f>IF(ISERROR(VLOOKUP($A1060,'13. Updated Demand'!A:Z,15,FALSE)),0,VLOOKUP($A1060,'13. Updated Demand'!A:Z,15,FALSE))</f>
        <v>0</v>
      </c>
      <c r="Y1060" s="16">
        <f>IF(ISERROR(VLOOKUP($A1060,'13. Updated Demand'!A:Z,16,FALSE)),0,VLOOKUP($A1060,'13. Updated Demand'!A:Z,16,FALSE))</f>
        <v>0</v>
      </c>
      <c r="Z1060" s="16">
        <f>IF(ISERROR(VLOOKUP($A1060,'13. Updated Demand'!A:Z,17,FALSE)),0,VLOOKUP($A1060,'13. Updated Demand'!A:Z,17,FALSE))</f>
        <v>0</v>
      </c>
      <c r="AA1060" s="16">
        <f>IF(ISERROR(VLOOKUP($A1060,'13. Updated Demand'!A:Z,18,FALSE)),0,VLOOKUP($A1060,'13. Updated Demand'!A:Z,18,FALSE))</f>
        <v>3</v>
      </c>
      <c r="AB1060" s="16">
        <f>IF(ISERROR(VLOOKUP($A1060,'13. Updated Demand'!A:Z,19,FALSE)),0,VLOOKUP($A1060,'13. Updated Demand'!A:Z,19,FALSE))</f>
        <v>4</v>
      </c>
      <c r="AC1060" s="16">
        <f>IF(ISERROR(VLOOKUP($A1060,'13. Updated Demand'!A:Z,20,FALSE)),0,VLOOKUP($A1060,'13. Updated Demand'!A:Z,20,FALSE))</f>
        <v>0</v>
      </c>
      <c r="AD1060" s="16">
        <f>IF(ISERROR(VLOOKUP($A1060,'13. Updated Demand'!A:Z,21,FALSE)),0,VLOOKUP($A1060,'13. Updated Demand'!A:Z,21,FALSE))</f>
        <v>0</v>
      </c>
      <c r="AE1060" s="16">
        <f>IF(ISERROR(VLOOKUP($A1060,'13. Updated Demand'!A:Z,22,FALSE)),0,VLOOKUP($A1060,'13. Updated Demand'!A:Z,22,FALSE))</f>
        <v>0</v>
      </c>
      <c r="AF1060" s="16">
        <f>IF(ISERROR(VLOOKUP($A1060,'13. Updated Demand'!A:Z,23,FALSE)),0,VLOOKUP($A1060,'13. Updated Demand'!A:Z,23,FALSE))</f>
        <v>0</v>
      </c>
      <c r="AG1060" s="16">
        <f>IF(ISERROR(VLOOKUP($A1060,'13. Updated Demand'!A:Z,24,FALSE)),0,VLOOKUP($A1060,'13. Updated Demand'!A:Z,24,FALSE))</f>
        <v>0</v>
      </c>
      <c r="AH1060" s="16">
        <f>IF(ISERROR(VLOOKUP($A1060,'13. Updated Demand'!A:Z,25,FALSE)),0,VLOOKUP($A1060,'13. Updated Demand'!A:Z,25,FALSE))</f>
        <v>0</v>
      </c>
      <c r="AI1060" s="16">
        <f>IF(ISERROR(VLOOKUP($A1060,'13. Updated Demand'!A:Z,26,FALSE)),0,VLOOKUP($A1060,'13. Updated Demand'!A:Z,26,FALSE))</f>
        <v>0</v>
      </c>
      <c r="AJ1060" s="16">
        <f t="shared" si="204"/>
        <v>7</v>
      </c>
      <c r="AK1060" s="19">
        <v>4</v>
      </c>
      <c r="AL1060" s="16">
        <f t="shared" si="202"/>
        <v>1.3267544357182035E-2</v>
      </c>
      <c r="AM1060" s="17">
        <v>1</v>
      </c>
      <c r="AN1060" s="19"/>
      <c r="AO1060" s="19"/>
      <c r="AP1060" s="19">
        <v>7</v>
      </c>
      <c r="AQ1060" s="19" t="s">
        <v>307</v>
      </c>
      <c r="AR1060" s="9" t="s">
        <v>331</v>
      </c>
      <c r="AS1060" s="12">
        <v>0</v>
      </c>
      <c r="AT1060" s="19">
        <v>39.166050480000003</v>
      </c>
      <c r="AU1060" s="19">
        <v>-123.26983362999999</v>
      </c>
      <c r="AV1060" s="19" t="s">
        <v>417</v>
      </c>
    </row>
    <row r="1061" spans="1:48" x14ac:dyDescent="0.25">
      <c r="A1061" s="18" t="s">
        <v>1452</v>
      </c>
      <c r="B1061" s="10">
        <v>19570628</v>
      </c>
      <c r="C1061" s="9">
        <v>15</v>
      </c>
      <c r="D1061" s="8" t="str">
        <f t="shared" si="193"/>
        <v>N</v>
      </c>
      <c r="E1061" s="8" t="str">
        <f t="shared" si="194"/>
        <v>N</v>
      </c>
      <c r="F1061" s="8" t="str">
        <f t="shared" si="195"/>
        <v>N</v>
      </c>
      <c r="G1061" s="8" t="str">
        <f t="shared" si="196"/>
        <v>N</v>
      </c>
      <c r="H1061" s="8" t="str">
        <f t="shared" si="197"/>
        <v>Lower</v>
      </c>
      <c r="I1061" s="8" t="str">
        <f t="shared" si="198"/>
        <v>Outside</v>
      </c>
      <c r="J1061" s="8" t="str">
        <f t="shared" si="199"/>
        <v>Outside</v>
      </c>
      <c r="K1061" s="8" t="str">
        <f t="shared" si="200"/>
        <v>Post-1949</v>
      </c>
      <c r="L1061" s="8">
        <f t="shared" si="201"/>
        <v>1957</v>
      </c>
      <c r="M1061" s="8" t="str">
        <f t="shared" si="203"/>
        <v>1957-1959</v>
      </c>
      <c r="N1061" s="10" t="s">
        <v>242</v>
      </c>
      <c r="O1061" s="10" t="s">
        <v>242</v>
      </c>
      <c r="P1061" s="10" t="s">
        <v>242</v>
      </c>
      <c r="Q1061" s="10" t="s">
        <v>242</v>
      </c>
      <c r="R1061" s="10" t="s">
        <v>241</v>
      </c>
      <c r="S1061" s="10" t="s">
        <v>242</v>
      </c>
      <c r="T1061" s="10" t="s">
        <v>242</v>
      </c>
      <c r="U1061" s="10" t="s">
        <v>242</v>
      </c>
      <c r="V1061" s="10" t="s">
        <v>242</v>
      </c>
      <c r="W1061" s="10" t="s">
        <v>242</v>
      </c>
      <c r="X1061" s="15">
        <f>IF(ISERROR(VLOOKUP($A1061,'13. Updated Demand'!A:Z,15,FALSE)),0,VLOOKUP($A1061,'13. Updated Demand'!A:Z,15,FALSE))</f>
        <v>0</v>
      </c>
      <c r="Y1061" s="16">
        <f>IF(ISERROR(VLOOKUP($A1061,'13. Updated Demand'!A:Z,16,FALSE)),0,VLOOKUP($A1061,'13. Updated Demand'!A:Z,16,FALSE))</f>
        <v>3.4195000000000003E-2</v>
      </c>
      <c r="Z1061" s="16">
        <f>IF(ISERROR(VLOOKUP($A1061,'13. Updated Demand'!A:Z,17,FALSE)),0,VLOOKUP($A1061,'13. Updated Demand'!A:Z,17,FALSE))</f>
        <v>0.118703</v>
      </c>
      <c r="AA1061" s="16">
        <f>IF(ISERROR(VLOOKUP($A1061,'13. Updated Demand'!A:Z,18,FALSE)),0,VLOOKUP($A1061,'13. Updated Demand'!A:Z,18,FALSE))</f>
        <v>0.3223085</v>
      </c>
      <c r="AB1061" s="16">
        <f>IF(ISERROR(VLOOKUP($A1061,'13. Updated Demand'!A:Z,19,FALSE)),0,VLOOKUP($A1061,'13. Updated Demand'!A:Z,19,FALSE))</f>
        <v>0.165795</v>
      </c>
      <c r="AC1061" s="16">
        <f>IF(ISERROR(VLOOKUP($A1061,'13. Updated Demand'!A:Z,20,FALSE)),0,VLOOKUP($A1061,'13. Updated Demand'!A:Z,20,FALSE))</f>
        <v>0.74444500000000002</v>
      </c>
      <c r="AD1061" s="16">
        <f>IF(ISERROR(VLOOKUP($A1061,'13. Updated Demand'!A:Z,21,FALSE)),0,VLOOKUP($A1061,'13. Updated Demand'!A:Z,21,FALSE))</f>
        <v>2.2935045000000001</v>
      </c>
      <c r="AE1061" s="16">
        <f>IF(ISERROR(VLOOKUP($A1061,'13. Updated Demand'!A:Z,22,FALSE)),0,VLOOKUP($A1061,'13. Updated Demand'!A:Z,22,FALSE))</f>
        <v>1.564479</v>
      </c>
      <c r="AF1061" s="16">
        <f>IF(ISERROR(VLOOKUP($A1061,'13. Updated Demand'!A:Z,23,FALSE)),0,VLOOKUP($A1061,'13. Updated Demand'!A:Z,23,FALSE))</f>
        <v>1.3381235</v>
      </c>
      <c r="AG1061" s="16">
        <f>IF(ISERROR(VLOOKUP($A1061,'13. Updated Demand'!A:Z,24,FALSE)),0,VLOOKUP($A1061,'13. Updated Demand'!A:Z,24,FALSE))</f>
        <v>0.20493349999999999</v>
      </c>
      <c r="AH1061" s="16">
        <f>IF(ISERROR(VLOOKUP($A1061,'13. Updated Demand'!A:Z,25,FALSE)),0,VLOOKUP($A1061,'13. Updated Demand'!A:Z,25,FALSE))</f>
        <v>2.0469999999999999E-2</v>
      </c>
      <c r="AI1061" s="16">
        <f>IF(ISERROR(VLOOKUP($A1061,'13. Updated Demand'!A:Z,26,FALSE)),0,VLOOKUP($A1061,'13. Updated Demand'!A:Z,26,FALSE))</f>
        <v>0</v>
      </c>
      <c r="AJ1061" s="16">
        <f t="shared" si="204"/>
        <v>6.8069570000000006</v>
      </c>
      <c r="AK1061" s="19">
        <v>6.1063469999999995</v>
      </c>
      <c r="AL1061" s="16">
        <f t="shared" si="202"/>
        <v>2.0254057420711364E-2</v>
      </c>
      <c r="AM1061" s="17">
        <v>0.42543481250000004</v>
      </c>
      <c r="AN1061" s="19"/>
      <c r="AO1061" s="19"/>
      <c r="AP1061" s="19">
        <v>16</v>
      </c>
      <c r="AQ1061" s="19" t="s">
        <v>307</v>
      </c>
      <c r="AR1061" s="9" t="s">
        <v>489</v>
      </c>
      <c r="AS1061" s="12">
        <v>0</v>
      </c>
      <c r="AT1061" s="19">
        <v>38.687287699999999</v>
      </c>
      <c r="AU1061" s="19">
        <v>-122.93651355</v>
      </c>
      <c r="AV1061" s="19" t="s">
        <v>417</v>
      </c>
    </row>
    <row r="1062" spans="1:48" x14ac:dyDescent="0.25">
      <c r="A1062" s="18" t="s">
        <v>1453</v>
      </c>
      <c r="B1062" s="10">
        <v>19570729</v>
      </c>
      <c r="C1062" s="9">
        <v>9</v>
      </c>
      <c r="D1062" s="8" t="str">
        <f t="shared" si="193"/>
        <v>N</v>
      </c>
      <c r="E1062" s="8" t="str">
        <f t="shared" si="194"/>
        <v>Y</v>
      </c>
      <c r="F1062" s="8" t="str">
        <f t="shared" si="195"/>
        <v>Y</v>
      </c>
      <c r="G1062" s="8" t="str">
        <f t="shared" si="196"/>
        <v>Y</v>
      </c>
      <c r="H1062" s="8" t="str">
        <f t="shared" si="197"/>
        <v>Upper</v>
      </c>
      <c r="I1062" s="8" t="str">
        <f t="shared" si="198"/>
        <v>West Fork and Below Lake</v>
      </c>
      <c r="J1062" s="8" t="str">
        <f t="shared" si="199"/>
        <v>Sonoma (d/s of Clov. Gage)</v>
      </c>
      <c r="K1062" s="8" t="str">
        <f t="shared" si="200"/>
        <v>Post-1949</v>
      </c>
      <c r="L1062" s="8">
        <f t="shared" si="201"/>
        <v>1957</v>
      </c>
      <c r="M1062" s="8" t="str">
        <f t="shared" si="203"/>
        <v>1957-1959</v>
      </c>
      <c r="N1062" s="10" t="s">
        <v>242</v>
      </c>
      <c r="O1062" s="10" t="s">
        <v>241</v>
      </c>
      <c r="P1062" s="10" t="s">
        <v>242</v>
      </c>
      <c r="Q1062" s="10" t="s">
        <v>242</v>
      </c>
      <c r="R1062" s="10" t="s">
        <v>241</v>
      </c>
      <c r="S1062" s="10" t="s">
        <v>242</v>
      </c>
      <c r="T1062" s="10" t="s">
        <v>242</v>
      </c>
      <c r="U1062" s="10" t="s">
        <v>241</v>
      </c>
      <c r="V1062" s="10" t="s">
        <v>241</v>
      </c>
      <c r="W1062" s="10" t="s">
        <v>242</v>
      </c>
      <c r="X1062" s="15">
        <f>IF(ISERROR(VLOOKUP($A1062,'13. Updated Demand'!A:Z,15,FALSE)),0,VLOOKUP($A1062,'13. Updated Demand'!A:Z,15,FALSE))</f>
        <v>0</v>
      </c>
      <c r="Y1062" s="16">
        <f>IF(ISERROR(VLOOKUP($A1062,'13. Updated Demand'!A:Z,16,FALSE)),0,VLOOKUP($A1062,'13. Updated Demand'!A:Z,16,FALSE))</f>
        <v>0</v>
      </c>
      <c r="Z1062" s="16">
        <f>IF(ISERROR(VLOOKUP($A1062,'13. Updated Demand'!A:Z,17,FALSE)),0,VLOOKUP($A1062,'13. Updated Demand'!A:Z,17,FALSE))</f>
        <v>0</v>
      </c>
      <c r="AA1062" s="16">
        <f>IF(ISERROR(VLOOKUP($A1062,'13. Updated Demand'!A:Z,18,FALSE)),0,VLOOKUP($A1062,'13. Updated Demand'!A:Z,18,FALSE))</f>
        <v>0</v>
      </c>
      <c r="AB1062" s="16">
        <f>IF(ISERROR(VLOOKUP($A1062,'13. Updated Demand'!A:Z,19,FALSE)),0,VLOOKUP($A1062,'13. Updated Demand'!A:Z,19,FALSE))</f>
        <v>0</v>
      </c>
      <c r="AC1062" s="16">
        <f>IF(ISERROR(VLOOKUP($A1062,'13. Updated Demand'!A:Z,20,FALSE)),0,VLOOKUP($A1062,'13. Updated Demand'!A:Z,20,FALSE))</f>
        <v>0</v>
      </c>
      <c r="AD1062" s="16">
        <f>IF(ISERROR(VLOOKUP($A1062,'13. Updated Demand'!A:Z,21,FALSE)),0,VLOOKUP($A1062,'13. Updated Demand'!A:Z,21,FALSE))</f>
        <v>0</v>
      </c>
      <c r="AE1062" s="16">
        <f>IF(ISERROR(VLOOKUP($A1062,'13. Updated Demand'!A:Z,22,FALSE)),0,VLOOKUP($A1062,'13. Updated Demand'!A:Z,22,FALSE))</f>
        <v>0</v>
      </c>
      <c r="AF1062" s="16">
        <f>IF(ISERROR(VLOOKUP($A1062,'13. Updated Demand'!A:Z,23,FALSE)),0,VLOOKUP($A1062,'13. Updated Demand'!A:Z,23,FALSE))</f>
        <v>0</v>
      </c>
      <c r="AG1062" s="16">
        <f>IF(ISERROR(VLOOKUP($A1062,'13. Updated Demand'!A:Z,24,FALSE)),0,VLOOKUP($A1062,'13. Updated Demand'!A:Z,24,FALSE))</f>
        <v>0</v>
      </c>
      <c r="AH1062" s="16">
        <f>IF(ISERROR(VLOOKUP($A1062,'13. Updated Demand'!A:Z,25,FALSE)),0,VLOOKUP($A1062,'13. Updated Demand'!A:Z,25,FALSE))</f>
        <v>0</v>
      </c>
      <c r="AI1062" s="16">
        <f>IF(ISERROR(VLOOKUP($A1062,'13. Updated Demand'!A:Z,26,FALSE)),0,VLOOKUP($A1062,'13. Updated Demand'!A:Z,26,FALSE))</f>
        <v>0</v>
      </c>
      <c r="AJ1062" s="16">
        <f t="shared" si="204"/>
        <v>0</v>
      </c>
      <c r="AK1062" s="19">
        <v>0</v>
      </c>
      <c r="AL1062" s="16">
        <f t="shared" si="202"/>
        <v>0</v>
      </c>
      <c r="AM1062" s="17">
        <v>0</v>
      </c>
      <c r="AN1062" s="19"/>
      <c r="AO1062" s="19"/>
      <c r="AP1062" s="19">
        <v>5.6</v>
      </c>
      <c r="AQ1062" s="19" t="s">
        <v>307</v>
      </c>
      <c r="AR1062" s="9" t="s">
        <v>354</v>
      </c>
      <c r="AS1062" s="12">
        <v>3.4039024194010059E-4</v>
      </c>
      <c r="AT1062" s="19">
        <v>38.765853929999999</v>
      </c>
      <c r="AU1062" s="19">
        <v>-122.99892841</v>
      </c>
      <c r="AV1062" s="19" t="s">
        <v>417</v>
      </c>
    </row>
    <row r="1063" spans="1:48" x14ac:dyDescent="0.25">
      <c r="A1063" s="18" t="s">
        <v>1454</v>
      </c>
      <c r="B1063" s="10">
        <v>19570822</v>
      </c>
      <c r="C1063" s="9">
        <v>22</v>
      </c>
      <c r="D1063" s="8" t="str">
        <f t="shared" si="193"/>
        <v>N</v>
      </c>
      <c r="E1063" s="8" t="str">
        <f t="shared" si="194"/>
        <v>N</v>
      </c>
      <c r="F1063" s="8" t="str">
        <f t="shared" si="195"/>
        <v>N</v>
      </c>
      <c r="G1063" s="8" t="str">
        <f t="shared" si="196"/>
        <v>N</v>
      </c>
      <c r="H1063" s="8" t="str">
        <f t="shared" si="197"/>
        <v>Lower</v>
      </c>
      <c r="I1063" s="8" t="str">
        <f t="shared" si="198"/>
        <v>Outside</v>
      </c>
      <c r="J1063" s="8" t="str">
        <f t="shared" si="199"/>
        <v>Outside</v>
      </c>
      <c r="K1063" s="8" t="str">
        <f t="shared" si="200"/>
        <v>Post-1949</v>
      </c>
      <c r="L1063" s="8">
        <f t="shared" si="201"/>
        <v>1957</v>
      </c>
      <c r="M1063" s="8" t="str">
        <f t="shared" si="203"/>
        <v>1957-1959</v>
      </c>
      <c r="N1063" s="10" t="s">
        <v>242</v>
      </c>
      <c r="O1063" s="10" t="s">
        <v>242</v>
      </c>
      <c r="P1063" s="10" t="s">
        <v>242</v>
      </c>
      <c r="Q1063" s="10" t="s">
        <v>242</v>
      </c>
      <c r="R1063" s="10" t="s">
        <v>241</v>
      </c>
      <c r="S1063" s="10" t="s">
        <v>242</v>
      </c>
      <c r="T1063" s="10" t="s">
        <v>242</v>
      </c>
      <c r="U1063" s="10" t="s">
        <v>241</v>
      </c>
      <c r="V1063" s="10" t="s">
        <v>241</v>
      </c>
      <c r="W1063" s="10" t="s">
        <v>242</v>
      </c>
      <c r="X1063" s="15">
        <f>IF(ISERROR(VLOOKUP($A1063,'13. Updated Demand'!A:Z,15,FALSE)),0,VLOOKUP($A1063,'13. Updated Demand'!A:Z,15,FALSE))</f>
        <v>0</v>
      </c>
      <c r="Y1063" s="16">
        <f>IF(ISERROR(VLOOKUP($A1063,'13. Updated Demand'!A:Z,16,FALSE)),0,VLOOKUP($A1063,'13. Updated Demand'!A:Z,16,FALSE))</f>
        <v>0</v>
      </c>
      <c r="Z1063" s="16">
        <f>IF(ISERROR(VLOOKUP($A1063,'13. Updated Demand'!A:Z,17,FALSE)),0,VLOOKUP($A1063,'13. Updated Demand'!A:Z,17,FALSE))</f>
        <v>0</v>
      </c>
      <c r="AA1063" s="16">
        <f>IF(ISERROR(VLOOKUP($A1063,'13. Updated Demand'!A:Z,18,FALSE)),0,VLOOKUP($A1063,'13. Updated Demand'!A:Z,18,FALSE))</f>
        <v>0</v>
      </c>
      <c r="AB1063" s="16">
        <f>IF(ISERROR(VLOOKUP($A1063,'13. Updated Demand'!A:Z,19,FALSE)),0,VLOOKUP($A1063,'13. Updated Demand'!A:Z,19,FALSE))</f>
        <v>0</v>
      </c>
      <c r="AC1063" s="16">
        <f>IF(ISERROR(VLOOKUP($A1063,'13. Updated Demand'!A:Z,20,FALSE)),0,VLOOKUP($A1063,'13. Updated Demand'!A:Z,20,FALSE))</f>
        <v>0</v>
      </c>
      <c r="AD1063" s="16">
        <f>IF(ISERROR(VLOOKUP($A1063,'13. Updated Demand'!A:Z,21,FALSE)),0,VLOOKUP($A1063,'13. Updated Demand'!A:Z,21,FALSE))</f>
        <v>0</v>
      </c>
      <c r="AE1063" s="16">
        <f>IF(ISERROR(VLOOKUP($A1063,'13. Updated Demand'!A:Z,22,FALSE)),0,VLOOKUP($A1063,'13. Updated Demand'!A:Z,22,FALSE))</f>
        <v>0</v>
      </c>
      <c r="AF1063" s="16">
        <f>IF(ISERROR(VLOOKUP($A1063,'13. Updated Demand'!A:Z,23,FALSE)),0,VLOOKUP($A1063,'13. Updated Demand'!A:Z,23,FALSE))</f>
        <v>0</v>
      </c>
      <c r="AG1063" s="16">
        <f>IF(ISERROR(VLOOKUP($A1063,'13. Updated Demand'!A:Z,24,FALSE)),0,VLOOKUP($A1063,'13. Updated Demand'!A:Z,24,FALSE))</f>
        <v>0</v>
      </c>
      <c r="AH1063" s="16">
        <f>IF(ISERROR(VLOOKUP($A1063,'13. Updated Demand'!A:Z,25,FALSE)),0,VLOOKUP($A1063,'13. Updated Demand'!A:Z,25,FALSE))</f>
        <v>0</v>
      </c>
      <c r="AI1063" s="16">
        <f>IF(ISERROR(VLOOKUP($A1063,'13. Updated Demand'!A:Z,26,FALSE)),0,VLOOKUP($A1063,'13. Updated Demand'!A:Z,26,FALSE))</f>
        <v>0</v>
      </c>
      <c r="AJ1063" s="16">
        <f t="shared" si="204"/>
        <v>0</v>
      </c>
      <c r="AK1063" s="19">
        <v>0</v>
      </c>
      <c r="AL1063" s="16">
        <f t="shared" si="202"/>
        <v>0</v>
      </c>
      <c r="AM1063" s="17">
        <v>0</v>
      </c>
      <c r="AN1063" s="19"/>
      <c r="AO1063" s="19"/>
      <c r="AP1063" s="19">
        <v>35</v>
      </c>
      <c r="AQ1063" s="19" t="s">
        <v>307</v>
      </c>
      <c r="AR1063" s="9" t="s">
        <v>314</v>
      </c>
      <c r="AS1063" s="12">
        <v>0</v>
      </c>
      <c r="AT1063" s="19">
        <v>38.860749060000003</v>
      </c>
      <c r="AU1063" s="19">
        <v>-123.15936511</v>
      </c>
      <c r="AV1063" s="19" t="s">
        <v>573</v>
      </c>
    </row>
    <row r="1064" spans="1:48" x14ac:dyDescent="0.25">
      <c r="A1064" s="18" t="s">
        <v>1455</v>
      </c>
      <c r="B1064" s="10">
        <v>19570926</v>
      </c>
      <c r="C1064" s="9">
        <v>16</v>
      </c>
      <c r="D1064" s="8" t="str">
        <f t="shared" si="193"/>
        <v>N</v>
      </c>
      <c r="E1064" s="8" t="str">
        <f t="shared" si="194"/>
        <v>N</v>
      </c>
      <c r="F1064" s="8" t="str">
        <f t="shared" si="195"/>
        <v>N</v>
      </c>
      <c r="G1064" s="8" t="str">
        <f t="shared" si="196"/>
        <v>N</v>
      </c>
      <c r="H1064" s="8" t="str">
        <f t="shared" si="197"/>
        <v>Lower</v>
      </c>
      <c r="I1064" s="8" t="str">
        <f t="shared" si="198"/>
        <v>Outside</v>
      </c>
      <c r="J1064" s="8" t="str">
        <f t="shared" si="199"/>
        <v>Outside</v>
      </c>
      <c r="K1064" s="8" t="str">
        <f t="shared" si="200"/>
        <v>Post-1949</v>
      </c>
      <c r="L1064" s="8">
        <f t="shared" si="201"/>
        <v>1957</v>
      </c>
      <c r="M1064" s="8" t="str">
        <f t="shared" si="203"/>
        <v>1957-1959</v>
      </c>
      <c r="N1064" s="10" t="s">
        <v>242</v>
      </c>
      <c r="O1064" s="10" t="s">
        <v>242</v>
      </c>
      <c r="P1064" s="10" t="s">
        <v>242</v>
      </c>
      <c r="Q1064" s="10" t="s">
        <v>242</v>
      </c>
      <c r="R1064" s="10" t="s">
        <v>241</v>
      </c>
      <c r="S1064" s="10" t="s">
        <v>242</v>
      </c>
      <c r="T1064" s="10" t="s">
        <v>241</v>
      </c>
      <c r="U1064" s="10" t="s">
        <v>241</v>
      </c>
      <c r="V1064" s="10" t="s">
        <v>241</v>
      </c>
      <c r="W1064" s="10" t="s">
        <v>242</v>
      </c>
      <c r="X1064" s="15">
        <f>IF(ISERROR(VLOOKUP($A1064,'13. Updated Demand'!A:Z,15,FALSE)),0,VLOOKUP($A1064,'13. Updated Demand'!A:Z,15,FALSE))</f>
        <v>0</v>
      </c>
      <c r="Y1064" s="16">
        <f>IF(ISERROR(VLOOKUP($A1064,'13. Updated Demand'!A:Z,16,FALSE)),0,VLOOKUP($A1064,'13. Updated Demand'!A:Z,16,FALSE))</f>
        <v>0</v>
      </c>
      <c r="Z1064" s="16">
        <f>IF(ISERROR(VLOOKUP($A1064,'13. Updated Demand'!A:Z,17,FALSE)),0,VLOOKUP($A1064,'13. Updated Demand'!A:Z,17,FALSE))</f>
        <v>0</v>
      </c>
      <c r="AA1064" s="16">
        <f>IF(ISERROR(VLOOKUP($A1064,'13. Updated Demand'!A:Z,18,FALSE)),0,VLOOKUP($A1064,'13. Updated Demand'!A:Z,18,FALSE))</f>
        <v>0</v>
      </c>
      <c r="AB1064" s="16">
        <f>IF(ISERROR(VLOOKUP($A1064,'13. Updated Demand'!A:Z,19,FALSE)),0,VLOOKUP($A1064,'13. Updated Demand'!A:Z,19,FALSE))</f>
        <v>0</v>
      </c>
      <c r="AC1064" s="16">
        <f>IF(ISERROR(VLOOKUP($A1064,'13. Updated Demand'!A:Z,20,FALSE)),0,VLOOKUP($A1064,'13. Updated Demand'!A:Z,20,FALSE))</f>
        <v>0</v>
      </c>
      <c r="AD1064" s="16">
        <f>IF(ISERROR(VLOOKUP($A1064,'13. Updated Demand'!A:Z,21,FALSE)),0,VLOOKUP($A1064,'13. Updated Demand'!A:Z,21,FALSE))</f>
        <v>0</v>
      </c>
      <c r="AE1064" s="16">
        <f>IF(ISERROR(VLOOKUP($A1064,'13. Updated Demand'!A:Z,22,FALSE)),0,VLOOKUP($A1064,'13. Updated Demand'!A:Z,22,FALSE))</f>
        <v>0</v>
      </c>
      <c r="AF1064" s="16">
        <f>IF(ISERROR(VLOOKUP($A1064,'13. Updated Demand'!A:Z,23,FALSE)),0,VLOOKUP($A1064,'13. Updated Demand'!A:Z,23,FALSE))</f>
        <v>0</v>
      </c>
      <c r="AG1064" s="16">
        <f>IF(ISERROR(VLOOKUP($A1064,'13. Updated Demand'!A:Z,24,FALSE)),0,VLOOKUP($A1064,'13. Updated Demand'!A:Z,24,FALSE))</f>
        <v>0</v>
      </c>
      <c r="AH1064" s="16">
        <f>IF(ISERROR(VLOOKUP($A1064,'13. Updated Demand'!A:Z,25,FALSE)),0,VLOOKUP($A1064,'13. Updated Demand'!A:Z,25,FALSE))</f>
        <v>0</v>
      </c>
      <c r="AI1064" s="16">
        <f>IF(ISERROR(VLOOKUP($A1064,'13. Updated Demand'!A:Z,26,FALSE)),0,VLOOKUP($A1064,'13. Updated Demand'!A:Z,26,FALSE))</f>
        <v>0</v>
      </c>
      <c r="AJ1064" s="16">
        <f t="shared" si="204"/>
        <v>0</v>
      </c>
      <c r="AK1064" s="19">
        <v>0</v>
      </c>
      <c r="AL1064" s="16">
        <f t="shared" si="202"/>
        <v>0</v>
      </c>
      <c r="AM1064" s="17">
        <v>0</v>
      </c>
      <c r="AN1064" s="19"/>
      <c r="AO1064" s="19"/>
      <c r="AP1064" s="19">
        <v>3</v>
      </c>
      <c r="AQ1064" s="19" t="s">
        <v>307</v>
      </c>
      <c r="AR1064" s="9" t="s">
        <v>394</v>
      </c>
      <c r="AS1064" s="12">
        <v>3.4039024194010059E-4</v>
      </c>
      <c r="AT1064" s="19">
        <v>38.577540030000002</v>
      </c>
      <c r="AU1064" s="19">
        <v>-122.88959629999999</v>
      </c>
      <c r="AV1064" s="19" t="s">
        <v>1433</v>
      </c>
    </row>
    <row r="1065" spans="1:48" x14ac:dyDescent="0.25">
      <c r="A1065" s="18" t="s">
        <v>1456</v>
      </c>
      <c r="B1065" s="10">
        <v>19571031</v>
      </c>
      <c r="C1065" s="9">
        <v>1</v>
      </c>
      <c r="D1065" s="8" t="str">
        <f t="shared" si="193"/>
        <v>N</v>
      </c>
      <c r="E1065" s="8" t="str">
        <f t="shared" si="194"/>
        <v>N</v>
      </c>
      <c r="F1065" s="8" t="str">
        <f t="shared" si="195"/>
        <v>Y</v>
      </c>
      <c r="G1065" s="8" t="str">
        <f t="shared" si="196"/>
        <v>Y</v>
      </c>
      <c r="H1065" s="8" t="str">
        <f t="shared" si="197"/>
        <v>Upper</v>
      </c>
      <c r="I1065" s="8" t="str">
        <f t="shared" si="198"/>
        <v>West Fork and Below Lake</v>
      </c>
      <c r="J1065" s="8" t="str">
        <f t="shared" si="199"/>
        <v>Outside</v>
      </c>
      <c r="K1065" s="8" t="str">
        <f t="shared" si="200"/>
        <v>Post-1949</v>
      </c>
      <c r="L1065" s="8">
        <f t="shared" si="201"/>
        <v>1957</v>
      </c>
      <c r="M1065" s="8" t="str">
        <f t="shared" si="203"/>
        <v>1957-1959</v>
      </c>
      <c r="N1065" s="10" t="s">
        <v>242</v>
      </c>
      <c r="O1065" s="10" t="s">
        <v>241</v>
      </c>
      <c r="P1065" s="10" t="s">
        <v>242</v>
      </c>
      <c r="Q1065" s="10" t="s">
        <v>242</v>
      </c>
      <c r="R1065" s="10" t="s">
        <v>241</v>
      </c>
      <c r="S1065" s="10" t="s">
        <v>242</v>
      </c>
      <c r="T1065" s="10" t="s">
        <v>242</v>
      </c>
      <c r="U1065" s="10" t="s">
        <v>242</v>
      </c>
      <c r="V1065" s="10" t="s">
        <v>241</v>
      </c>
      <c r="W1065" s="10" t="s">
        <v>242</v>
      </c>
      <c r="X1065" s="15">
        <f>IF(ISERROR(VLOOKUP($A1065,'13. Updated Demand'!A:Z,15,FALSE)),0,VLOOKUP($A1065,'13. Updated Demand'!A:Z,15,FALSE))</f>
        <v>0</v>
      </c>
      <c r="Y1065" s="16">
        <f>IF(ISERROR(VLOOKUP($A1065,'13. Updated Demand'!A:Z,16,FALSE)),0,VLOOKUP($A1065,'13. Updated Demand'!A:Z,16,FALSE))</f>
        <v>0</v>
      </c>
      <c r="Z1065" s="16">
        <f>IF(ISERROR(VLOOKUP($A1065,'13. Updated Demand'!A:Z,17,FALSE)),0,VLOOKUP($A1065,'13. Updated Demand'!A:Z,17,FALSE))</f>
        <v>1.66</v>
      </c>
      <c r="AA1065" s="16">
        <f>IF(ISERROR(VLOOKUP($A1065,'13. Updated Demand'!A:Z,18,FALSE)),0,VLOOKUP($A1065,'13. Updated Demand'!A:Z,18,FALSE))</f>
        <v>0</v>
      </c>
      <c r="AB1065" s="16">
        <f>IF(ISERROR(VLOOKUP($A1065,'13. Updated Demand'!A:Z,19,FALSE)),0,VLOOKUP($A1065,'13. Updated Demand'!A:Z,19,FALSE))</f>
        <v>0</v>
      </c>
      <c r="AC1065" s="16">
        <f>IF(ISERROR(VLOOKUP($A1065,'13. Updated Demand'!A:Z,20,FALSE)),0,VLOOKUP($A1065,'13. Updated Demand'!A:Z,20,FALSE))</f>
        <v>0</v>
      </c>
      <c r="AD1065" s="16">
        <f>IF(ISERROR(VLOOKUP($A1065,'13. Updated Demand'!A:Z,21,FALSE)),0,VLOOKUP($A1065,'13. Updated Demand'!A:Z,21,FALSE))</f>
        <v>0</v>
      </c>
      <c r="AE1065" s="16">
        <f>IF(ISERROR(VLOOKUP($A1065,'13. Updated Demand'!A:Z,22,FALSE)),0,VLOOKUP($A1065,'13. Updated Demand'!A:Z,22,FALSE))</f>
        <v>0</v>
      </c>
      <c r="AF1065" s="16">
        <f>IF(ISERROR(VLOOKUP($A1065,'13. Updated Demand'!A:Z,23,FALSE)),0,VLOOKUP($A1065,'13. Updated Demand'!A:Z,23,FALSE))</f>
        <v>0</v>
      </c>
      <c r="AG1065" s="16">
        <f>IF(ISERROR(VLOOKUP($A1065,'13. Updated Demand'!A:Z,24,FALSE)),0,VLOOKUP($A1065,'13. Updated Demand'!A:Z,24,FALSE))</f>
        <v>0</v>
      </c>
      <c r="AH1065" s="16">
        <f>IF(ISERROR(VLOOKUP($A1065,'13. Updated Demand'!A:Z,25,FALSE)),0,VLOOKUP($A1065,'13. Updated Demand'!A:Z,25,FALSE))</f>
        <v>0</v>
      </c>
      <c r="AI1065" s="16">
        <f>IF(ISERROR(VLOOKUP($A1065,'13. Updated Demand'!A:Z,26,FALSE)),0,VLOOKUP($A1065,'13. Updated Demand'!A:Z,26,FALSE))</f>
        <v>0</v>
      </c>
      <c r="AJ1065" s="16">
        <f t="shared" si="204"/>
        <v>1.66</v>
      </c>
      <c r="AK1065" s="19">
        <v>0</v>
      </c>
      <c r="AL1065" s="16">
        <f t="shared" si="202"/>
        <v>0</v>
      </c>
      <c r="AM1065" s="17">
        <v>3.1446540886792454E-2</v>
      </c>
      <c r="AN1065" s="19"/>
      <c r="AO1065" s="19"/>
      <c r="AP1065" s="19">
        <v>53</v>
      </c>
      <c r="AQ1065" s="19" t="s">
        <v>307</v>
      </c>
      <c r="AR1065" s="9" t="s">
        <v>317</v>
      </c>
      <c r="AS1065" s="12">
        <v>0</v>
      </c>
      <c r="AT1065" s="19">
        <v>39.292989319999997</v>
      </c>
      <c r="AU1065" s="19">
        <v>-123.21062688000001</v>
      </c>
      <c r="AV1065" s="19" t="s">
        <v>456</v>
      </c>
    </row>
    <row r="1066" spans="1:48" x14ac:dyDescent="0.25">
      <c r="A1066" s="18" t="s">
        <v>1457</v>
      </c>
      <c r="B1066" s="10">
        <v>19571119</v>
      </c>
      <c r="C1066" s="9">
        <v>6</v>
      </c>
      <c r="D1066" s="8" t="str">
        <f t="shared" si="193"/>
        <v>Y</v>
      </c>
      <c r="E1066" s="8" t="str">
        <f t="shared" si="194"/>
        <v>N</v>
      </c>
      <c r="F1066" s="8" t="str">
        <f t="shared" si="195"/>
        <v>Y</v>
      </c>
      <c r="G1066" s="8" t="str">
        <f t="shared" si="196"/>
        <v>Y</v>
      </c>
      <c r="H1066" s="8" t="str">
        <f t="shared" si="197"/>
        <v>Upper</v>
      </c>
      <c r="I1066" s="8" t="str">
        <f t="shared" si="198"/>
        <v>West Fork and Below Lake</v>
      </c>
      <c r="J1066" s="8" t="str">
        <f t="shared" si="199"/>
        <v>Mendocino (d/s of lake)</v>
      </c>
      <c r="K1066" s="8" t="str">
        <f t="shared" si="200"/>
        <v>Post-1949</v>
      </c>
      <c r="L1066" s="8">
        <f t="shared" si="201"/>
        <v>1957</v>
      </c>
      <c r="M1066" s="8" t="str">
        <f t="shared" si="203"/>
        <v>1957-1959</v>
      </c>
      <c r="N1066" s="10" t="s">
        <v>241</v>
      </c>
      <c r="O1066" s="10" t="s">
        <v>241</v>
      </c>
      <c r="P1066" s="10" t="s">
        <v>242</v>
      </c>
      <c r="Q1066" s="10" t="s">
        <v>242</v>
      </c>
      <c r="R1066" s="10" t="s">
        <v>241</v>
      </c>
      <c r="S1066" s="10" t="s">
        <v>242</v>
      </c>
      <c r="T1066" s="10" t="s">
        <v>242</v>
      </c>
      <c r="U1066" s="10" t="s">
        <v>242</v>
      </c>
      <c r="V1066" s="10" t="s">
        <v>242</v>
      </c>
      <c r="W1066" s="10" t="s">
        <v>242</v>
      </c>
      <c r="X1066" s="15">
        <f>IF(ISERROR(VLOOKUP($A1066,'13. Updated Demand'!A:Z,15,FALSE)),0,VLOOKUP($A1066,'13. Updated Demand'!A:Z,15,FALSE))</f>
        <v>0</v>
      </c>
      <c r="Y1066" s="16">
        <f>IF(ISERROR(VLOOKUP($A1066,'13. Updated Demand'!A:Z,16,FALSE)),0,VLOOKUP($A1066,'13. Updated Demand'!A:Z,16,FALSE))</f>
        <v>0</v>
      </c>
      <c r="Z1066" s="16">
        <f>IF(ISERROR(VLOOKUP($A1066,'13. Updated Demand'!A:Z,17,FALSE)),0,VLOOKUP($A1066,'13. Updated Demand'!A:Z,17,FALSE))</f>
        <v>0</v>
      </c>
      <c r="AA1066" s="16">
        <f>IF(ISERROR(VLOOKUP($A1066,'13. Updated Demand'!A:Z,18,FALSE)),0,VLOOKUP($A1066,'13. Updated Demand'!A:Z,18,FALSE))</f>
        <v>0</v>
      </c>
      <c r="AB1066" s="16">
        <f>IF(ISERROR(VLOOKUP($A1066,'13. Updated Demand'!A:Z,19,FALSE)),0,VLOOKUP($A1066,'13. Updated Demand'!A:Z,19,FALSE))</f>
        <v>1.66</v>
      </c>
      <c r="AC1066" s="16">
        <f>IF(ISERROR(VLOOKUP($A1066,'13. Updated Demand'!A:Z,20,FALSE)),0,VLOOKUP($A1066,'13. Updated Demand'!A:Z,20,FALSE))</f>
        <v>3.73</v>
      </c>
      <c r="AD1066" s="16">
        <f>IF(ISERROR(VLOOKUP($A1066,'13. Updated Demand'!A:Z,21,FALSE)),0,VLOOKUP($A1066,'13. Updated Demand'!A:Z,21,FALSE))</f>
        <v>5.0599999999999996</v>
      </c>
      <c r="AE1066" s="16">
        <f>IF(ISERROR(VLOOKUP($A1066,'13. Updated Demand'!A:Z,22,FALSE)),0,VLOOKUP($A1066,'13. Updated Demand'!A:Z,22,FALSE))</f>
        <v>5.23</v>
      </c>
      <c r="AF1066" s="16">
        <f>IF(ISERROR(VLOOKUP($A1066,'13. Updated Demand'!A:Z,23,FALSE)),0,VLOOKUP($A1066,'13. Updated Demand'!A:Z,23,FALSE))</f>
        <v>4.3600000000000003</v>
      </c>
      <c r="AG1066" s="16">
        <f>IF(ISERROR(VLOOKUP($A1066,'13. Updated Demand'!A:Z,24,FALSE)),0,VLOOKUP($A1066,'13. Updated Demand'!A:Z,24,FALSE))</f>
        <v>0</v>
      </c>
      <c r="AH1066" s="16">
        <f>IF(ISERROR(VLOOKUP($A1066,'13. Updated Demand'!A:Z,25,FALSE)),0,VLOOKUP($A1066,'13. Updated Demand'!A:Z,25,FALSE))</f>
        <v>0</v>
      </c>
      <c r="AI1066" s="16">
        <f>IF(ISERROR(VLOOKUP($A1066,'13. Updated Demand'!A:Z,26,FALSE)),0,VLOOKUP($A1066,'13. Updated Demand'!A:Z,26,FALSE))</f>
        <v>0</v>
      </c>
      <c r="AJ1066" s="16">
        <f t="shared" si="204"/>
        <v>20.04</v>
      </c>
      <c r="AK1066" s="19">
        <v>20.06666666666667</v>
      </c>
      <c r="AL1066" s="16">
        <f t="shared" si="202"/>
        <v>6.6558847525196557E-2</v>
      </c>
      <c r="AM1066" s="17">
        <v>0.30084957521239386</v>
      </c>
      <c r="AN1066" s="19"/>
      <c r="AO1066" s="19"/>
      <c r="AP1066" s="19">
        <v>66.7</v>
      </c>
      <c r="AQ1066" s="19" t="s">
        <v>307</v>
      </c>
      <c r="AR1066" s="9" t="s">
        <v>319</v>
      </c>
      <c r="AS1066" s="12">
        <v>0</v>
      </c>
      <c r="AT1066" s="19">
        <v>38.949023590000003</v>
      </c>
      <c r="AU1066" s="19">
        <v>-123.08906650999999</v>
      </c>
      <c r="AV1066" s="19" t="s">
        <v>387</v>
      </c>
    </row>
    <row r="1067" spans="1:48" x14ac:dyDescent="0.25">
      <c r="A1067" s="18" t="s">
        <v>56</v>
      </c>
      <c r="B1067" s="10">
        <v>19571210</v>
      </c>
      <c r="C1067" s="9">
        <v>5</v>
      </c>
      <c r="D1067" s="8" t="str">
        <f t="shared" si="193"/>
        <v>Y</v>
      </c>
      <c r="E1067" s="8" t="str">
        <f t="shared" si="194"/>
        <v>N</v>
      </c>
      <c r="F1067" s="8" t="str">
        <f t="shared" si="195"/>
        <v>Y</v>
      </c>
      <c r="G1067" s="8" t="str">
        <f t="shared" si="196"/>
        <v>Y</v>
      </c>
      <c r="H1067" s="8" t="str">
        <f t="shared" si="197"/>
        <v>Upper</v>
      </c>
      <c r="I1067" s="8" t="str">
        <f t="shared" si="198"/>
        <v>West Fork and Below Lake</v>
      </c>
      <c r="J1067" s="8" t="str">
        <f t="shared" si="199"/>
        <v>Mendocino (d/s of lake)</v>
      </c>
      <c r="K1067" s="8" t="str">
        <f t="shared" si="200"/>
        <v>Post-1949</v>
      </c>
      <c r="L1067" s="8">
        <f t="shared" si="201"/>
        <v>1957</v>
      </c>
      <c r="M1067" s="8" t="str">
        <f t="shared" si="203"/>
        <v>1957-1959</v>
      </c>
      <c r="N1067" s="10" t="s">
        <v>241</v>
      </c>
      <c r="O1067" s="10" t="s">
        <v>241</v>
      </c>
      <c r="P1067" s="10" t="s">
        <v>242</v>
      </c>
      <c r="Q1067" s="10" t="s">
        <v>242</v>
      </c>
      <c r="R1067" s="10" t="s">
        <v>241</v>
      </c>
      <c r="S1067" s="10" t="s">
        <v>242</v>
      </c>
      <c r="T1067" s="10" t="s">
        <v>242</v>
      </c>
      <c r="U1067" s="10" t="s">
        <v>242</v>
      </c>
      <c r="V1067" s="10" t="s">
        <v>242</v>
      </c>
      <c r="W1067" s="10" t="s">
        <v>242</v>
      </c>
      <c r="X1067" s="15">
        <f>IF(ISERROR(VLOOKUP($A1067,'13. Updated Demand'!A:Z,15,FALSE)),0,VLOOKUP($A1067,'13. Updated Demand'!A:Z,15,FALSE))</f>
        <v>0</v>
      </c>
      <c r="Y1067" s="16">
        <f>IF(ISERROR(VLOOKUP($A1067,'13. Updated Demand'!A:Z,16,FALSE)),0,VLOOKUP($A1067,'13. Updated Demand'!A:Z,16,FALSE))</f>
        <v>0</v>
      </c>
      <c r="Z1067" s="16">
        <f>IF(ISERROR(VLOOKUP($A1067,'13. Updated Demand'!A:Z,17,FALSE)),0,VLOOKUP($A1067,'13. Updated Demand'!A:Z,17,FALSE))</f>
        <v>0</v>
      </c>
      <c r="AA1067" s="16">
        <f>IF(ISERROR(VLOOKUP($A1067,'13. Updated Demand'!A:Z,18,FALSE)),0,VLOOKUP($A1067,'13. Updated Demand'!A:Z,18,FALSE))</f>
        <v>0</v>
      </c>
      <c r="AB1067" s="16">
        <f>IF(ISERROR(VLOOKUP($A1067,'13. Updated Demand'!A:Z,19,FALSE)),0,VLOOKUP($A1067,'13. Updated Demand'!A:Z,19,FALSE))</f>
        <v>0</v>
      </c>
      <c r="AC1067" s="16">
        <f>IF(ISERROR(VLOOKUP($A1067,'13. Updated Demand'!A:Z,20,FALSE)),0,VLOOKUP($A1067,'13. Updated Demand'!A:Z,20,FALSE))</f>
        <v>9.5</v>
      </c>
      <c r="AD1067" s="16">
        <f>IF(ISERROR(VLOOKUP($A1067,'13. Updated Demand'!A:Z,21,FALSE)),0,VLOOKUP($A1067,'13. Updated Demand'!A:Z,21,FALSE))</f>
        <v>6.26</v>
      </c>
      <c r="AE1067" s="16">
        <f>IF(ISERROR(VLOOKUP($A1067,'13. Updated Demand'!A:Z,22,FALSE)),0,VLOOKUP($A1067,'13. Updated Demand'!A:Z,22,FALSE))</f>
        <v>0</v>
      </c>
      <c r="AF1067" s="16">
        <f>IF(ISERROR(VLOOKUP($A1067,'13. Updated Demand'!A:Z,23,FALSE)),0,VLOOKUP($A1067,'13. Updated Demand'!A:Z,23,FALSE))</f>
        <v>0</v>
      </c>
      <c r="AG1067" s="16">
        <f>IF(ISERROR(VLOOKUP($A1067,'13. Updated Demand'!A:Z,24,FALSE)),0,VLOOKUP($A1067,'13. Updated Demand'!A:Z,24,FALSE))</f>
        <v>0</v>
      </c>
      <c r="AH1067" s="16">
        <f>IF(ISERROR(VLOOKUP($A1067,'13. Updated Demand'!A:Z,25,FALSE)),0,VLOOKUP($A1067,'13. Updated Demand'!A:Z,25,FALSE))</f>
        <v>0</v>
      </c>
      <c r="AI1067" s="16">
        <f>IF(ISERROR(VLOOKUP($A1067,'13. Updated Demand'!A:Z,26,FALSE)),0,VLOOKUP($A1067,'13. Updated Demand'!A:Z,26,FALSE))</f>
        <v>0</v>
      </c>
      <c r="AJ1067" s="16">
        <f t="shared" si="204"/>
        <v>15.76</v>
      </c>
      <c r="AK1067" s="19">
        <v>15.766666666666669</v>
      </c>
      <c r="AL1067" s="16">
        <f t="shared" si="202"/>
        <v>5.2296237341225869E-2</v>
      </c>
      <c r="AM1067" s="17">
        <v>5.4745370370370382E-2</v>
      </c>
      <c r="AN1067" s="19"/>
      <c r="AO1067" s="19"/>
      <c r="AP1067" s="19">
        <v>288</v>
      </c>
      <c r="AQ1067" s="19" t="s">
        <v>307</v>
      </c>
      <c r="AR1067" s="9" t="s">
        <v>333</v>
      </c>
      <c r="AS1067" s="12">
        <v>0</v>
      </c>
      <c r="AT1067" s="19">
        <v>39.08011261</v>
      </c>
      <c r="AU1067" s="19">
        <v>-123.16330404</v>
      </c>
      <c r="AV1067" s="19" t="s">
        <v>548</v>
      </c>
    </row>
    <row r="1068" spans="1:48" x14ac:dyDescent="0.25">
      <c r="A1068" s="18" t="s">
        <v>58</v>
      </c>
      <c r="B1068" s="10">
        <v>19571210</v>
      </c>
      <c r="C1068" s="9">
        <v>5</v>
      </c>
      <c r="D1068" s="8" t="str">
        <f t="shared" si="193"/>
        <v>Y</v>
      </c>
      <c r="E1068" s="8" t="str">
        <f t="shared" si="194"/>
        <v>N</v>
      </c>
      <c r="F1068" s="8" t="str">
        <f t="shared" si="195"/>
        <v>Y</v>
      </c>
      <c r="G1068" s="8" t="str">
        <f t="shared" si="196"/>
        <v>Y</v>
      </c>
      <c r="H1068" s="8" t="str">
        <f t="shared" si="197"/>
        <v>Upper</v>
      </c>
      <c r="I1068" s="8" t="str">
        <f t="shared" si="198"/>
        <v>West Fork and Below Lake</v>
      </c>
      <c r="J1068" s="8" t="str">
        <f t="shared" si="199"/>
        <v>Mendocino (d/s of lake)</v>
      </c>
      <c r="K1068" s="8" t="str">
        <f t="shared" si="200"/>
        <v>Post-1949</v>
      </c>
      <c r="L1068" s="8">
        <f t="shared" si="201"/>
        <v>1957</v>
      </c>
      <c r="M1068" s="8" t="str">
        <f t="shared" si="203"/>
        <v>1957-1959</v>
      </c>
      <c r="N1068" s="10" t="s">
        <v>241</v>
      </c>
      <c r="O1068" s="10" t="s">
        <v>241</v>
      </c>
      <c r="P1068" s="10" t="s">
        <v>242</v>
      </c>
      <c r="Q1068" s="10" t="s">
        <v>242</v>
      </c>
      <c r="R1068" s="10" t="s">
        <v>241</v>
      </c>
      <c r="S1068" s="10" t="s">
        <v>242</v>
      </c>
      <c r="T1068" s="10" t="s">
        <v>242</v>
      </c>
      <c r="U1068" s="10" t="s">
        <v>242</v>
      </c>
      <c r="V1068" s="10" t="s">
        <v>242</v>
      </c>
      <c r="W1068" s="10" t="s">
        <v>242</v>
      </c>
      <c r="X1068" s="15">
        <f>IF(ISERROR(VLOOKUP($A1068,'13. Updated Demand'!A:Z,15,FALSE)),0,VLOOKUP($A1068,'13. Updated Demand'!A:Z,15,FALSE))</f>
        <v>0</v>
      </c>
      <c r="Y1068" s="16">
        <f>IF(ISERROR(VLOOKUP($A1068,'13. Updated Demand'!A:Z,16,FALSE)),0,VLOOKUP($A1068,'13. Updated Demand'!A:Z,16,FALSE))</f>
        <v>0</v>
      </c>
      <c r="Z1068" s="16">
        <f>IF(ISERROR(VLOOKUP($A1068,'13. Updated Demand'!A:Z,17,FALSE)),0,VLOOKUP($A1068,'13. Updated Demand'!A:Z,17,FALSE))</f>
        <v>0</v>
      </c>
      <c r="AA1068" s="16">
        <f>IF(ISERROR(VLOOKUP($A1068,'13. Updated Demand'!A:Z,18,FALSE)),0,VLOOKUP($A1068,'13. Updated Demand'!A:Z,18,FALSE))</f>
        <v>0</v>
      </c>
      <c r="AB1068" s="16">
        <f>IF(ISERROR(VLOOKUP($A1068,'13. Updated Demand'!A:Z,19,FALSE)),0,VLOOKUP($A1068,'13. Updated Demand'!A:Z,19,FALSE))</f>
        <v>1</v>
      </c>
      <c r="AC1068" s="16">
        <f>IF(ISERROR(VLOOKUP($A1068,'13. Updated Demand'!A:Z,20,FALSE)),0,VLOOKUP($A1068,'13. Updated Demand'!A:Z,20,FALSE))</f>
        <v>4.8600000000000003</v>
      </c>
      <c r="AD1068" s="16">
        <f>IF(ISERROR(VLOOKUP($A1068,'13. Updated Demand'!A:Z,21,FALSE)),0,VLOOKUP($A1068,'13. Updated Demand'!A:Z,21,FALSE))</f>
        <v>7.96</v>
      </c>
      <c r="AE1068" s="16">
        <f>IF(ISERROR(VLOOKUP($A1068,'13. Updated Demand'!A:Z,22,FALSE)),0,VLOOKUP($A1068,'13. Updated Demand'!A:Z,22,FALSE))</f>
        <v>7.8</v>
      </c>
      <c r="AF1068" s="16">
        <f>IF(ISERROR(VLOOKUP($A1068,'13. Updated Demand'!A:Z,23,FALSE)),0,VLOOKUP($A1068,'13. Updated Demand'!A:Z,23,FALSE))</f>
        <v>1.03</v>
      </c>
      <c r="AG1068" s="16">
        <f>IF(ISERROR(VLOOKUP($A1068,'13. Updated Demand'!A:Z,24,FALSE)),0,VLOOKUP($A1068,'13. Updated Demand'!A:Z,24,FALSE))</f>
        <v>0</v>
      </c>
      <c r="AH1068" s="16">
        <f>IF(ISERROR(VLOOKUP($A1068,'13. Updated Demand'!A:Z,25,FALSE)),0,VLOOKUP($A1068,'13. Updated Demand'!A:Z,25,FALSE))</f>
        <v>0</v>
      </c>
      <c r="AI1068" s="16">
        <f>IF(ISERROR(VLOOKUP($A1068,'13. Updated Demand'!A:Z,26,FALSE)),0,VLOOKUP($A1068,'13. Updated Demand'!A:Z,26,FALSE))</f>
        <v>0</v>
      </c>
      <c r="AJ1068" s="16">
        <f t="shared" si="204"/>
        <v>22.650000000000002</v>
      </c>
      <c r="AK1068" s="19">
        <v>22.666666666666671</v>
      </c>
      <c r="AL1068" s="16">
        <f t="shared" si="202"/>
        <v>7.518275135736488E-2</v>
      </c>
      <c r="AM1068" s="17">
        <v>0.24113475177304969</v>
      </c>
      <c r="AN1068" s="19"/>
      <c r="AO1068" s="19"/>
      <c r="AP1068" s="19">
        <v>94</v>
      </c>
      <c r="AQ1068" s="19" t="s">
        <v>307</v>
      </c>
      <c r="AR1068" s="9" t="s">
        <v>333</v>
      </c>
      <c r="AS1068" s="12">
        <v>0</v>
      </c>
      <c r="AT1068" s="19">
        <v>39.08692714</v>
      </c>
      <c r="AU1068" s="19">
        <v>-123.16834875000001</v>
      </c>
      <c r="AV1068" s="19" t="s">
        <v>548</v>
      </c>
    </row>
    <row r="1069" spans="1:48" x14ac:dyDescent="0.25">
      <c r="A1069" s="18" t="s">
        <v>1458</v>
      </c>
      <c r="B1069" s="10">
        <v>19571218</v>
      </c>
      <c r="C1069" s="9">
        <v>23</v>
      </c>
      <c r="D1069" s="8" t="str">
        <f t="shared" si="193"/>
        <v>N</v>
      </c>
      <c r="E1069" s="8" t="str">
        <f t="shared" si="194"/>
        <v>N</v>
      </c>
      <c r="F1069" s="8" t="str">
        <f t="shared" si="195"/>
        <v>N</v>
      </c>
      <c r="G1069" s="8" t="str">
        <f t="shared" si="196"/>
        <v>N</v>
      </c>
      <c r="H1069" s="8" t="str">
        <f t="shared" si="197"/>
        <v>Lower</v>
      </c>
      <c r="I1069" s="8" t="str">
        <f t="shared" si="198"/>
        <v>Outside</v>
      </c>
      <c r="J1069" s="8" t="str">
        <f t="shared" si="199"/>
        <v>Outside</v>
      </c>
      <c r="K1069" s="8" t="str">
        <f t="shared" si="200"/>
        <v>Post-1949</v>
      </c>
      <c r="L1069" s="8">
        <f t="shared" si="201"/>
        <v>1957</v>
      </c>
      <c r="M1069" s="8" t="str">
        <f t="shared" si="203"/>
        <v>1957-1959</v>
      </c>
      <c r="N1069" s="10" t="s">
        <v>242</v>
      </c>
      <c r="O1069" s="10" t="s">
        <v>242</v>
      </c>
      <c r="P1069" s="10" t="s">
        <v>242</v>
      </c>
      <c r="Q1069" s="10" t="s">
        <v>242</v>
      </c>
      <c r="R1069" s="10" t="s">
        <v>241</v>
      </c>
      <c r="S1069" s="10" t="s">
        <v>242</v>
      </c>
      <c r="T1069" s="10" t="s">
        <v>242</v>
      </c>
      <c r="U1069" s="10" t="s">
        <v>242</v>
      </c>
      <c r="V1069" s="10" t="s">
        <v>241</v>
      </c>
      <c r="W1069" s="10" t="s">
        <v>242</v>
      </c>
      <c r="X1069" s="15">
        <f>IF(ISERROR(VLOOKUP($A1069,'13. Updated Demand'!A:Z,15,FALSE)),0,VLOOKUP($A1069,'13. Updated Demand'!A:Z,15,FALSE))</f>
        <v>1.8333333329999999</v>
      </c>
      <c r="Y1069" s="16">
        <f>IF(ISERROR(VLOOKUP($A1069,'13. Updated Demand'!A:Z,16,FALSE)),0,VLOOKUP($A1069,'13. Updated Demand'!A:Z,16,FALSE))</f>
        <v>0.33333333300000001</v>
      </c>
      <c r="Z1069" s="16">
        <f>IF(ISERROR(VLOOKUP($A1069,'13. Updated Demand'!A:Z,17,FALSE)),0,VLOOKUP($A1069,'13. Updated Demand'!A:Z,17,FALSE))</f>
        <v>0</v>
      </c>
      <c r="AA1069" s="16">
        <f>IF(ISERROR(VLOOKUP($A1069,'13. Updated Demand'!A:Z,18,FALSE)),0,VLOOKUP($A1069,'13. Updated Demand'!A:Z,18,FALSE))</f>
        <v>0</v>
      </c>
      <c r="AB1069" s="16">
        <f>IF(ISERROR(VLOOKUP($A1069,'13. Updated Demand'!A:Z,19,FALSE)),0,VLOOKUP($A1069,'13. Updated Demand'!A:Z,19,FALSE))</f>
        <v>0</v>
      </c>
      <c r="AC1069" s="16">
        <f>IF(ISERROR(VLOOKUP($A1069,'13. Updated Demand'!A:Z,20,FALSE)),0,VLOOKUP($A1069,'13. Updated Demand'!A:Z,20,FALSE))</f>
        <v>0</v>
      </c>
      <c r="AD1069" s="16">
        <f>IF(ISERROR(VLOOKUP($A1069,'13. Updated Demand'!A:Z,21,FALSE)),0,VLOOKUP($A1069,'13. Updated Demand'!A:Z,21,FALSE))</f>
        <v>0</v>
      </c>
      <c r="AE1069" s="16">
        <f>IF(ISERROR(VLOOKUP($A1069,'13. Updated Demand'!A:Z,22,FALSE)),0,VLOOKUP($A1069,'13. Updated Demand'!A:Z,22,FALSE))</f>
        <v>0</v>
      </c>
      <c r="AF1069" s="16">
        <f>IF(ISERROR(VLOOKUP($A1069,'13. Updated Demand'!A:Z,23,FALSE)),0,VLOOKUP($A1069,'13. Updated Demand'!A:Z,23,FALSE))</f>
        <v>0</v>
      </c>
      <c r="AG1069" s="16">
        <f>IF(ISERROR(VLOOKUP($A1069,'13. Updated Demand'!A:Z,24,FALSE)),0,VLOOKUP($A1069,'13. Updated Demand'!A:Z,24,FALSE))</f>
        <v>0</v>
      </c>
      <c r="AH1069" s="16">
        <f>IF(ISERROR(VLOOKUP($A1069,'13. Updated Demand'!A:Z,25,FALSE)),0,VLOOKUP($A1069,'13. Updated Demand'!A:Z,25,FALSE))</f>
        <v>0.33333333300000001</v>
      </c>
      <c r="AI1069" s="16">
        <f>IF(ISERROR(VLOOKUP($A1069,'13. Updated Demand'!A:Z,26,FALSE)),0,VLOOKUP($A1069,'13. Updated Demand'!A:Z,26,FALSE))</f>
        <v>1.6333333329999999</v>
      </c>
      <c r="AJ1069" s="16">
        <f t="shared" si="204"/>
        <v>4.1333333319999994</v>
      </c>
      <c r="AK1069" s="19">
        <v>0</v>
      </c>
      <c r="AL1069" s="16">
        <f t="shared" si="202"/>
        <v>0</v>
      </c>
      <c r="AM1069" s="17">
        <v>0.14761904757142855</v>
      </c>
      <c r="AN1069" s="19"/>
      <c r="AO1069" s="19"/>
      <c r="AP1069" s="19">
        <v>28</v>
      </c>
      <c r="AQ1069" s="19" t="s">
        <v>307</v>
      </c>
      <c r="AR1069" s="9" t="s">
        <v>585</v>
      </c>
      <c r="AS1069" s="12">
        <v>0</v>
      </c>
      <c r="AT1069" s="19">
        <v>38.354052809999999</v>
      </c>
      <c r="AU1069" s="19">
        <v>-122.63329713</v>
      </c>
      <c r="AV1069" s="19" t="s">
        <v>417</v>
      </c>
    </row>
    <row r="1070" spans="1:48" x14ac:dyDescent="0.25">
      <c r="A1070" s="18" t="s">
        <v>1459</v>
      </c>
      <c r="B1070" s="10">
        <v>19571114</v>
      </c>
      <c r="C1070" s="9">
        <v>2</v>
      </c>
      <c r="D1070" s="8" t="str">
        <f t="shared" si="193"/>
        <v>N</v>
      </c>
      <c r="E1070" s="8" t="str">
        <f t="shared" si="194"/>
        <v>N</v>
      </c>
      <c r="F1070" s="8" t="str">
        <f t="shared" si="195"/>
        <v>Y</v>
      </c>
      <c r="G1070" s="8" t="str">
        <f t="shared" si="196"/>
        <v>N</v>
      </c>
      <c r="H1070" s="8" t="str">
        <f t="shared" si="197"/>
        <v>Upper</v>
      </c>
      <c r="I1070" s="8" t="str">
        <f t="shared" si="198"/>
        <v>Outside</v>
      </c>
      <c r="J1070" s="8" t="str">
        <f t="shared" si="199"/>
        <v>Outside</v>
      </c>
      <c r="K1070" s="8" t="str">
        <f t="shared" si="200"/>
        <v>Post-1949</v>
      </c>
      <c r="L1070" s="8">
        <f t="shared" si="201"/>
        <v>1957</v>
      </c>
      <c r="M1070" s="8" t="str">
        <f t="shared" si="203"/>
        <v>1957-1959</v>
      </c>
      <c r="N1070" s="10" t="s">
        <v>242</v>
      </c>
      <c r="O1070" s="10" t="s">
        <v>241</v>
      </c>
      <c r="P1070" s="10" t="s">
        <v>242</v>
      </c>
      <c r="Q1070" s="10" t="s">
        <v>242</v>
      </c>
      <c r="R1070" s="10" t="s">
        <v>241</v>
      </c>
      <c r="S1070" s="10" t="s">
        <v>242</v>
      </c>
      <c r="T1070" s="10" t="s">
        <v>242</v>
      </c>
      <c r="U1070" s="10" t="s">
        <v>242</v>
      </c>
      <c r="V1070" s="10" t="s">
        <v>242</v>
      </c>
      <c r="W1070" s="10" t="s">
        <v>242</v>
      </c>
      <c r="X1070" s="15">
        <f>IF(ISERROR(VLOOKUP($A1070,'13. Updated Demand'!A:Z,15,FALSE)),0,VLOOKUP($A1070,'13. Updated Demand'!A:Z,15,FALSE))</f>
        <v>0</v>
      </c>
      <c r="Y1070" s="16">
        <f>IF(ISERROR(VLOOKUP($A1070,'13. Updated Demand'!A:Z,16,FALSE)),0,VLOOKUP($A1070,'13. Updated Demand'!A:Z,16,FALSE))</f>
        <v>0</v>
      </c>
      <c r="Z1070" s="16">
        <f>IF(ISERROR(VLOOKUP($A1070,'13. Updated Demand'!A:Z,17,FALSE)),0,VLOOKUP($A1070,'13. Updated Demand'!A:Z,17,FALSE))</f>
        <v>0</v>
      </c>
      <c r="AA1070" s="16">
        <f>IF(ISERROR(VLOOKUP($A1070,'13. Updated Demand'!A:Z,18,FALSE)),0,VLOOKUP($A1070,'13. Updated Demand'!A:Z,18,FALSE))</f>
        <v>0</v>
      </c>
      <c r="AB1070" s="16">
        <f>IF(ISERROR(VLOOKUP($A1070,'13. Updated Demand'!A:Z,19,FALSE)),0,VLOOKUP($A1070,'13. Updated Demand'!A:Z,19,FALSE))</f>
        <v>0</v>
      </c>
      <c r="AC1070" s="16">
        <f>IF(ISERROR(VLOOKUP($A1070,'13. Updated Demand'!A:Z,20,FALSE)),0,VLOOKUP($A1070,'13. Updated Demand'!A:Z,20,FALSE))</f>
        <v>5.94</v>
      </c>
      <c r="AD1070" s="16">
        <f>IF(ISERROR(VLOOKUP($A1070,'13. Updated Demand'!A:Z,21,FALSE)),0,VLOOKUP($A1070,'13. Updated Demand'!A:Z,21,FALSE))</f>
        <v>6.37</v>
      </c>
      <c r="AE1070" s="16">
        <f>IF(ISERROR(VLOOKUP($A1070,'13. Updated Demand'!A:Z,22,FALSE)),0,VLOOKUP($A1070,'13. Updated Demand'!A:Z,22,FALSE))</f>
        <v>7.32</v>
      </c>
      <c r="AF1070" s="16">
        <f>IF(ISERROR(VLOOKUP($A1070,'13. Updated Demand'!A:Z,23,FALSE)),0,VLOOKUP($A1070,'13. Updated Demand'!A:Z,23,FALSE))</f>
        <v>3.51</v>
      </c>
      <c r="AG1070" s="16">
        <f>IF(ISERROR(VLOOKUP($A1070,'13. Updated Demand'!A:Z,24,FALSE)),0,VLOOKUP($A1070,'13. Updated Demand'!A:Z,24,FALSE))</f>
        <v>4.82</v>
      </c>
      <c r="AH1070" s="16">
        <f>IF(ISERROR(VLOOKUP($A1070,'13. Updated Demand'!A:Z,25,FALSE)),0,VLOOKUP($A1070,'13. Updated Demand'!A:Z,25,FALSE))</f>
        <v>0</v>
      </c>
      <c r="AI1070" s="16">
        <f>IF(ISERROR(VLOOKUP($A1070,'13. Updated Demand'!A:Z,26,FALSE)),0,VLOOKUP($A1070,'13. Updated Demand'!A:Z,26,FALSE))</f>
        <v>0</v>
      </c>
      <c r="AJ1070" s="16">
        <f t="shared" si="204"/>
        <v>27.96</v>
      </c>
      <c r="AK1070" s="19">
        <v>23.15</v>
      </c>
      <c r="AL1070" s="16">
        <f t="shared" si="202"/>
        <v>7.6785912967191033E-2</v>
      </c>
      <c r="AM1070" s="17">
        <v>0.10360493827037037</v>
      </c>
      <c r="AN1070" s="19"/>
      <c r="AO1070" s="19"/>
      <c r="AP1070" s="19">
        <v>270</v>
      </c>
      <c r="AQ1070" s="19" t="s">
        <v>307</v>
      </c>
      <c r="AR1070" s="9" t="s">
        <v>348</v>
      </c>
      <c r="AS1070" s="12">
        <v>0</v>
      </c>
      <c r="AT1070" s="19">
        <v>39.286412679999998</v>
      </c>
      <c r="AU1070" s="19">
        <v>-123.09779764</v>
      </c>
      <c r="AV1070" s="19" t="s">
        <v>542</v>
      </c>
    </row>
    <row r="1071" spans="1:48" x14ac:dyDescent="0.25">
      <c r="A1071" s="18" t="s">
        <v>1460</v>
      </c>
      <c r="B1071" s="10">
        <v>19571104</v>
      </c>
      <c r="C1071" s="9">
        <v>2</v>
      </c>
      <c r="D1071" s="8" t="str">
        <f t="shared" si="193"/>
        <v>N</v>
      </c>
      <c r="E1071" s="8" t="str">
        <f t="shared" si="194"/>
        <v>N</v>
      </c>
      <c r="F1071" s="8" t="str">
        <f t="shared" si="195"/>
        <v>Y</v>
      </c>
      <c r="G1071" s="8" t="str">
        <f t="shared" si="196"/>
        <v>N</v>
      </c>
      <c r="H1071" s="8" t="str">
        <f t="shared" si="197"/>
        <v>Upper</v>
      </c>
      <c r="I1071" s="8" t="str">
        <f t="shared" si="198"/>
        <v>Outside</v>
      </c>
      <c r="J1071" s="8" t="str">
        <f t="shared" si="199"/>
        <v>Outside</v>
      </c>
      <c r="K1071" s="8" t="str">
        <f t="shared" si="200"/>
        <v>Post-1949</v>
      </c>
      <c r="L1071" s="8">
        <f t="shared" si="201"/>
        <v>1957</v>
      </c>
      <c r="M1071" s="8" t="str">
        <f t="shared" si="203"/>
        <v>1957-1959</v>
      </c>
      <c r="N1071" s="10" t="s">
        <v>242</v>
      </c>
      <c r="O1071" s="10" t="s">
        <v>241</v>
      </c>
      <c r="P1071" s="10" t="s">
        <v>242</v>
      </c>
      <c r="Q1071" s="10" t="s">
        <v>242</v>
      </c>
      <c r="R1071" s="10" t="s">
        <v>241</v>
      </c>
      <c r="S1071" s="10" t="s">
        <v>242</v>
      </c>
      <c r="T1071" s="10" t="s">
        <v>242</v>
      </c>
      <c r="U1071" s="10" t="s">
        <v>241</v>
      </c>
      <c r="V1071" s="10" t="s">
        <v>241</v>
      </c>
      <c r="W1071" s="10" t="s">
        <v>242</v>
      </c>
      <c r="X1071" s="15">
        <f>IF(ISERROR(VLOOKUP($A1071,'13. Updated Demand'!A:Z,15,FALSE)),0,VLOOKUP($A1071,'13. Updated Demand'!A:Z,15,FALSE))</f>
        <v>0</v>
      </c>
      <c r="Y1071" s="16">
        <f>IF(ISERROR(VLOOKUP($A1071,'13. Updated Demand'!A:Z,16,FALSE)),0,VLOOKUP($A1071,'13. Updated Demand'!A:Z,16,FALSE))</f>
        <v>0</v>
      </c>
      <c r="Z1071" s="16">
        <f>IF(ISERROR(VLOOKUP($A1071,'13. Updated Demand'!A:Z,17,FALSE)),0,VLOOKUP($A1071,'13. Updated Demand'!A:Z,17,FALSE))</f>
        <v>0</v>
      </c>
      <c r="AA1071" s="16">
        <f>IF(ISERROR(VLOOKUP($A1071,'13. Updated Demand'!A:Z,18,FALSE)),0,VLOOKUP($A1071,'13. Updated Demand'!A:Z,18,FALSE))</f>
        <v>0</v>
      </c>
      <c r="AB1071" s="16">
        <f>IF(ISERROR(VLOOKUP($A1071,'13. Updated Demand'!A:Z,19,FALSE)),0,VLOOKUP($A1071,'13. Updated Demand'!A:Z,19,FALSE))</f>
        <v>0</v>
      </c>
      <c r="AC1071" s="16">
        <f>IF(ISERROR(VLOOKUP($A1071,'13. Updated Demand'!A:Z,20,FALSE)),0,VLOOKUP($A1071,'13. Updated Demand'!A:Z,20,FALSE))</f>
        <v>0</v>
      </c>
      <c r="AD1071" s="16">
        <f>IF(ISERROR(VLOOKUP($A1071,'13. Updated Demand'!A:Z,21,FALSE)),0,VLOOKUP($A1071,'13. Updated Demand'!A:Z,21,FALSE))</f>
        <v>0</v>
      </c>
      <c r="AE1071" s="16">
        <f>IF(ISERROR(VLOOKUP($A1071,'13. Updated Demand'!A:Z,22,FALSE)),0,VLOOKUP($A1071,'13. Updated Demand'!A:Z,22,FALSE))</f>
        <v>0</v>
      </c>
      <c r="AF1071" s="16">
        <f>IF(ISERROR(VLOOKUP($A1071,'13. Updated Demand'!A:Z,23,FALSE)),0,VLOOKUP($A1071,'13. Updated Demand'!A:Z,23,FALSE))</f>
        <v>0</v>
      </c>
      <c r="AG1071" s="16">
        <f>IF(ISERROR(VLOOKUP($A1071,'13. Updated Demand'!A:Z,24,FALSE)),0,VLOOKUP($A1071,'13. Updated Demand'!A:Z,24,FALSE))</f>
        <v>0</v>
      </c>
      <c r="AH1071" s="16">
        <f>IF(ISERROR(VLOOKUP($A1071,'13. Updated Demand'!A:Z,25,FALSE)),0,VLOOKUP($A1071,'13. Updated Demand'!A:Z,25,FALSE))</f>
        <v>0</v>
      </c>
      <c r="AI1071" s="16">
        <f>IF(ISERROR(VLOOKUP($A1071,'13. Updated Demand'!A:Z,26,FALSE)),0,VLOOKUP($A1071,'13. Updated Demand'!A:Z,26,FALSE))</f>
        <v>0</v>
      </c>
      <c r="AJ1071" s="16">
        <f t="shared" si="204"/>
        <v>0</v>
      </c>
      <c r="AK1071" s="19">
        <v>0</v>
      </c>
      <c r="AL1071" s="16">
        <f t="shared" si="202"/>
        <v>0</v>
      </c>
      <c r="AM1071" s="17">
        <v>0</v>
      </c>
      <c r="AN1071" s="19"/>
      <c r="AO1071" s="19"/>
      <c r="AP1071" s="19">
        <v>13.5</v>
      </c>
      <c r="AQ1071" s="19" t="s">
        <v>307</v>
      </c>
      <c r="AR1071" s="9" t="s">
        <v>348</v>
      </c>
      <c r="AS1071" s="12">
        <v>0</v>
      </c>
      <c r="AT1071" s="19">
        <v>39.273496049999999</v>
      </c>
      <c r="AU1071" s="19">
        <v>-123.06933486</v>
      </c>
      <c r="AV1071" s="19" t="s">
        <v>417</v>
      </c>
    </row>
    <row r="1072" spans="1:48" x14ac:dyDescent="0.25">
      <c r="A1072" s="18" t="s">
        <v>1461</v>
      </c>
      <c r="B1072" s="10">
        <v>19560106</v>
      </c>
      <c r="C1072" s="9">
        <v>10</v>
      </c>
      <c r="D1072" s="8" t="str">
        <f t="shared" si="193"/>
        <v>N</v>
      </c>
      <c r="E1072" s="8" t="str">
        <f t="shared" si="194"/>
        <v>Y</v>
      </c>
      <c r="F1072" s="8" t="str">
        <f t="shared" si="195"/>
        <v>Y</v>
      </c>
      <c r="G1072" s="8" t="str">
        <f t="shared" si="196"/>
        <v>Y</v>
      </c>
      <c r="H1072" s="8" t="str">
        <f t="shared" si="197"/>
        <v>Upper</v>
      </c>
      <c r="I1072" s="8" t="str">
        <f t="shared" si="198"/>
        <v>West Fork and Below Lake</v>
      </c>
      <c r="J1072" s="8" t="str">
        <f t="shared" si="199"/>
        <v>Sonoma (d/s of Clov. Gage)</v>
      </c>
      <c r="K1072" s="8" t="str">
        <f t="shared" si="200"/>
        <v>Post-1949</v>
      </c>
      <c r="L1072" s="8">
        <f t="shared" si="201"/>
        <v>1956</v>
      </c>
      <c r="M1072" s="8" t="str">
        <f t="shared" si="203"/>
        <v>1955-1956</v>
      </c>
      <c r="N1072" s="10" t="s">
        <v>241</v>
      </c>
      <c r="O1072" s="10" t="s">
        <v>241</v>
      </c>
      <c r="P1072" s="10" t="s">
        <v>242</v>
      </c>
      <c r="Q1072" s="10" t="s">
        <v>242</v>
      </c>
      <c r="R1072" s="10" t="s">
        <v>241</v>
      </c>
      <c r="S1072" s="10" t="s">
        <v>242</v>
      </c>
      <c r="T1072" s="10" t="s">
        <v>242</v>
      </c>
      <c r="U1072" s="10" t="s">
        <v>242</v>
      </c>
      <c r="V1072" s="10" t="s">
        <v>242</v>
      </c>
      <c r="W1072" s="10" t="s">
        <v>242</v>
      </c>
      <c r="X1072" s="15">
        <f>IF(ISERROR(VLOOKUP($A1072,'13. Updated Demand'!A:Z,15,FALSE)),0,VLOOKUP($A1072,'13. Updated Demand'!A:Z,15,FALSE))</f>
        <v>0</v>
      </c>
      <c r="Y1072" s="16">
        <f>IF(ISERROR(VLOOKUP($A1072,'13. Updated Demand'!A:Z,16,FALSE)),0,VLOOKUP($A1072,'13. Updated Demand'!A:Z,16,FALSE))</f>
        <v>0</v>
      </c>
      <c r="Z1072" s="16">
        <f>IF(ISERROR(VLOOKUP($A1072,'13. Updated Demand'!A:Z,17,FALSE)),0,VLOOKUP($A1072,'13. Updated Demand'!A:Z,17,FALSE))</f>
        <v>0</v>
      </c>
      <c r="AA1072" s="16">
        <f>IF(ISERROR(VLOOKUP($A1072,'13. Updated Demand'!A:Z,18,FALSE)),0,VLOOKUP($A1072,'13. Updated Demand'!A:Z,18,FALSE))</f>
        <v>0</v>
      </c>
      <c r="AB1072" s="16">
        <f>IF(ISERROR(VLOOKUP($A1072,'13. Updated Demand'!A:Z,19,FALSE)),0,VLOOKUP($A1072,'13. Updated Demand'!A:Z,19,FALSE))</f>
        <v>0</v>
      </c>
      <c r="AC1072" s="16">
        <f>IF(ISERROR(VLOOKUP($A1072,'13. Updated Demand'!A:Z,20,FALSE)),0,VLOOKUP($A1072,'13. Updated Demand'!A:Z,20,FALSE))</f>
        <v>0.73</v>
      </c>
      <c r="AD1072" s="16">
        <f>IF(ISERROR(VLOOKUP($A1072,'13. Updated Demand'!A:Z,21,FALSE)),0,VLOOKUP($A1072,'13. Updated Demand'!A:Z,21,FALSE))</f>
        <v>1.17</v>
      </c>
      <c r="AE1072" s="16">
        <f>IF(ISERROR(VLOOKUP($A1072,'13. Updated Demand'!A:Z,22,FALSE)),0,VLOOKUP($A1072,'13. Updated Demand'!A:Z,22,FALSE))</f>
        <v>1.02</v>
      </c>
      <c r="AF1072" s="16">
        <f>IF(ISERROR(VLOOKUP($A1072,'13. Updated Demand'!A:Z,23,FALSE)),0,VLOOKUP($A1072,'13. Updated Demand'!A:Z,23,FALSE))</f>
        <v>1.47</v>
      </c>
      <c r="AG1072" s="16">
        <f>IF(ISERROR(VLOOKUP($A1072,'13. Updated Demand'!A:Z,24,FALSE)),0,VLOOKUP($A1072,'13. Updated Demand'!A:Z,24,FALSE))</f>
        <v>1.02</v>
      </c>
      <c r="AH1072" s="16">
        <f>IF(ISERROR(VLOOKUP($A1072,'13. Updated Demand'!A:Z,25,FALSE)),0,VLOOKUP($A1072,'13. Updated Demand'!A:Z,25,FALSE))</f>
        <v>0</v>
      </c>
      <c r="AI1072" s="16">
        <f>IF(ISERROR(VLOOKUP($A1072,'13. Updated Demand'!A:Z,26,FALSE)),0,VLOOKUP($A1072,'13. Updated Demand'!A:Z,26,FALSE))</f>
        <v>0</v>
      </c>
      <c r="AJ1072" s="16">
        <f t="shared" si="204"/>
        <v>5.41</v>
      </c>
      <c r="AK1072" s="19">
        <v>4.4066666666666627</v>
      </c>
      <c r="AL1072" s="16">
        <f t="shared" si="202"/>
        <v>1.4616411366828863E-2</v>
      </c>
      <c r="AM1072" s="17">
        <v>0.1275430359937402</v>
      </c>
      <c r="AN1072" s="19"/>
      <c r="AO1072" s="19"/>
      <c r="AP1072" s="19">
        <v>42.6</v>
      </c>
      <c r="AQ1072" s="19" t="s">
        <v>307</v>
      </c>
      <c r="AR1072" s="9" t="s">
        <v>436</v>
      </c>
      <c r="AS1072" s="12">
        <v>0</v>
      </c>
      <c r="AT1072" s="19">
        <v>38.705757030000001</v>
      </c>
      <c r="AU1072" s="19">
        <v>-122.89259905999999</v>
      </c>
      <c r="AV1072" s="19" t="s">
        <v>548</v>
      </c>
    </row>
    <row r="1073" spans="1:48" x14ac:dyDescent="0.25">
      <c r="A1073" s="18" t="s">
        <v>1462</v>
      </c>
      <c r="B1073" s="10">
        <v>19560106</v>
      </c>
      <c r="C1073" s="9">
        <v>6</v>
      </c>
      <c r="D1073" s="8" t="str">
        <f t="shared" si="193"/>
        <v>Y</v>
      </c>
      <c r="E1073" s="8" t="str">
        <f t="shared" si="194"/>
        <v>N</v>
      </c>
      <c r="F1073" s="8" t="str">
        <f t="shared" si="195"/>
        <v>Y</v>
      </c>
      <c r="G1073" s="8" t="str">
        <f t="shared" si="196"/>
        <v>Y</v>
      </c>
      <c r="H1073" s="8" t="str">
        <f t="shared" si="197"/>
        <v>Upper</v>
      </c>
      <c r="I1073" s="8" t="str">
        <f t="shared" si="198"/>
        <v>West Fork and Below Lake</v>
      </c>
      <c r="J1073" s="8" t="str">
        <f t="shared" si="199"/>
        <v>Mendocino (d/s of lake)</v>
      </c>
      <c r="K1073" s="8" t="str">
        <f t="shared" si="200"/>
        <v>Post-1949</v>
      </c>
      <c r="L1073" s="8">
        <f t="shared" si="201"/>
        <v>1956</v>
      </c>
      <c r="M1073" s="8" t="str">
        <f t="shared" si="203"/>
        <v>1955-1956</v>
      </c>
      <c r="N1073" s="10" t="s">
        <v>242</v>
      </c>
      <c r="O1073" s="10" t="s">
        <v>241</v>
      </c>
      <c r="P1073" s="10" t="s">
        <v>242</v>
      </c>
      <c r="Q1073" s="10" t="s">
        <v>242</v>
      </c>
      <c r="R1073" s="10" t="s">
        <v>241</v>
      </c>
      <c r="S1073" s="10" t="s">
        <v>242</v>
      </c>
      <c r="T1073" s="10" t="s">
        <v>242</v>
      </c>
      <c r="U1073" s="10" t="s">
        <v>242</v>
      </c>
      <c r="V1073" s="10" t="s">
        <v>242</v>
      </c>
      <c r="W1073" s="10" t="s">
        <v>242</v>
      </c>
      <c r="X1073" s="15">
        <f>IF(ISERROR(VLOOKUP($A1073,'13. Updated Demand'!A:Z,15,FALSE)),0,VLOOKUP($A1073,'13. Updated Demand'!A:Z,15,FALSE))</f>
        <v>0</v>
      </c>
      <c r="Y1073" s="16">
        <f>IF(ISERROR(VLOOKUP($A1073,'13. Updated Demand'!A:Z,16,FALSE)),0,VLOOKUP($A1073,'13. Updated Demand'!A:Z,16,FALSE))</f>
        <v>0</v>
      </c>
      <c r="Z1073" s="16">
        <f>IF(ISERROR(VLOOKUP($A1073,'13. Updated Demand'!A:Z,17,FALSE)),0,VLOOKUP($A1073,'13. Updated Demand'!A:Z,17,FALSE))</f>
        <v>0</v>
      </c>
      <c r="AA1073" s="16">
        <f>IF(ISERROR(VLOOKUP($A1073,'13. Updated Demand'!A:Z,18,FALSE)),0,VLOOKUP($A1073,'13. Updated Demand'!A:Z,18,FALSE))</f>
        <v>0</v>
      </c>
      <c r="AB1073" s="16">
        <f>IF(ISERROR(VLOOKUP($A1073,'13. Updated Demand'!A:Z,19,FALSE)),0,VLOOKUP($A1073,'13. Updated Demand'!A:Z,19,FALSE))</f>
        <v>0</v>
      </c>
      <c r="AC1073" s="16">
        <f>IF(ISERROR(VLOOKUP($A1073,'13. Updated Demand'!A:Z,20,FALSE)),0,VLOOKUP($A1073,'13. Updated Demand'!A:Z,20,FALSE))</f>
        <v>0.06</v>
      </c>
      <c r="AD1073" s="16">
        <f>IF(ISERROR(VLOOKUP($A1073,'13. Updated Demand'!A:Z,21,FALSE)),0,VLOOKUP($A1073,'13. Updated Demand'!A:Z,21,FALSE))</f>
        <v>0</v>
      </c>
      <c r="AE1073" s="16">
        <f>IF(ISERROR(VLOOKUP($A1073,'13. Updated Demand'!A:Z,22,FALSE)),0,VLOOKUP($A1073,'13. Updated Demand'!A:Z,22,FALSE))</f>
        <v>0</v>
      </c>
      <c r="AF1073" s="16">
        <f>IF(ISERROR(VLOOKUP($A1073,'13. Updated Demand'!A:Z,23,FALSE)),0,VLOOKUP($A1073,'13. Updated Demand'!A:Z,23,FALSE))</f>
        <v>0</v>
      </c>
      <c r="AG1073" s="16">
        <f>IF(ISERROR(VLOOKUP($A1073,'13. Updated Demand'!A:Z,24,FALSE)),0,VLOOKUP($A1073,'13. Updated Demand'!A:Z,24,FALSE))</f>
        <v>0</v>
      </c>
      <c r="AH1073" s="16">
        <f>IF(ISERROR(VLOOKUP($A1073,'13. Updated Demand'!A:Z,25,FALSE)),0,VLOOKUP($A1073,'13. Updated Demand'!A:Z,25,FALSE))</f>
        <v>0</v>
      </c>
      <c r="AI1073" s="16">
        <f>IF(ISERROR(VLOOKUP($A1073,'13. Updated Demand'!A:Z,26,FALSE)),0,VLOOKUP($A1073,'13. Updated Demand'!A:Z,26,FALSE))</f>
        <v>0</v>
      </c>
      <c r="AJ1073" s="16">
        <f t="shared" si="204"/>
        <v>0.06</v>
      </c>
      <c r="AK1073" s="19">
        <v>6.6666666999999999E-2</v>
      </c>
      <c r="AL1073" s="16">
        <f t="shared" si="202"/>
        <v>2.2112574039199597E-4</v>
      </c>
      <c r="AM1073" s="17">
        <v>4.7483381054131053E-4</v>
      </c>
      <c r="AN1073" s="19"/>
      <c r="AO1073" s="19"/>
      <c r="AP1073" s="19">
        <v>140.4</v>
      </c>
      <c r="AQ1073" s="19" t="s">
        <v>307</v>
      </c>
      <c r="AR1073" s="9" t="s">
        <v>319</v>
      </c>
      <c r="AS1073" s="12">
        <v>0</v>
      </c>
      <c r="AT1073" s="19">
        <v>38.968499999999999</v>
      </c>
      <c r="AU1073" s="19">
        <v>-123.0483</v>
      </c>
      <c r="AV1073" s="19" t="s">
        <v>1463</v>
      </c>
    </row>
    <row r="1074" spans="1:48" x14ac:dyDescent="0.25">
      <c r="A1074" s="18" t="s">
        <v>1464</v>
      </c>
      <c r="B1074" s="10">
        <v>19560221</v>
      </c>
      <c r="C1074" s="9">
        <v>23</v>
      </c>
      <c r="D1074" s="8" t="str">
        <f t="shared" si="193"/>
        <v>N</v>
      </c>
      <c r="E1074" s="8" t="str">
        <f t="shared" si="194"/>
        <v>N</v>
      </c>
      <c r="F1074" s="8" t="str">
        <f t="shared" si="195"/>
        <v>N</v>
      </c>
      <c r="G1074" s="8" t="str">
        <f t="shared" si="196"/>
        <v>N</v>
      </c>
      <c r="H1074" s="8" t="str">
        <f t="shared" si="197"/>
        <v>Lower</v>
      </c>
      <c r="I1074" s="8" t="str">
        <f t="shared" si="198"/>
        <v>Outside</v>
      </c>
      <c r="J1074" s="8" t="str">
        <f t="shared" si="199"/>
        <v>Outside</v>
      </c>
      <c r="K1074" s="8" t="str">
        <f t="shared" si="200"/>
        <v>Post-1949</v>
      </c>
      <c r="L1074" s="8">
        <f t="shared" si="201"/>
        <v>1956</v>
      </c>
      <c r="M1074" s="8" t="str">
        <f t="shared" si="203"/>
        <v>1955-1956</v>
      </c>
      <c r="N1074" s="10" t="s">
        <v>242</v>
      </c>
      <c r="O1074" s="10" t="s">
        <v>242</v>
      </c>
      <c r="P1074" s="10" t="s">
        <v>242</v>
      </c>
      <c r="Q1074" s="10" t="s">
        <v>242</v>
      </c>
      <c r="R1074" s="10" t="s">
        <v>241</v>
      </c>
      <c r="S1074" s="10" t="s">
        <v>242</v>
      </c>
      <c r="T1074" s="10" t="s">
        <v>242</v>
      </c>
      <c r="U1074" s="10" t="s">
        <v>242</v>
      </c>
      <c r="V1074" s="10" t="s">
        <v>241</v>
      </c>
      <c r="W1074" s="10" t="s">
        <v>242</v>
      </c>
      <c r="X1074" s="15">
        <f>IF(ISERROR(VLOOKUP($A1074,'13. Updated Demand'!A:Z,15,FALSE)),0,VLOOKUP($A1074,'13. Updated Demand'!A:Z,15,FALSE))</f>
        <v>2</v>
      </c>
      <c r="Y1074" s="16">
        <f>IF(ISERROR(VLOOKUP($A1074,'13. Updated Demand'!A:Z,16,FALSE)),0,VLOOKUP($A1074,'13. Updated Demand'!A:Z,16,FALSE))</f>
        <v>1.6666666670000001</v>
      </c>
      <c r="Z1074" s="16">
        <f>IF(ISERROR(VLOOKUP($A1074,'13. Updated Demand'!A:Z,17,FALSE)),0,VLOOKUP($A1074,'13. Updated Demand'!A:Z,17,FALSE))</f>
        <v>3.6666666669999999</v>
      </c>
      <c r="AA1074" s="16">
        <f>IF(ISERROR(VLOOKUP($A1074,'13. Updated Demand'!A:Z,18,FALSE)),0,VLOOKUP($A1074,'13. Updated Demand'!A:Z,18,FALSE))</f>
        <v>0</v>
      </c>
      <c r="AB1074" s="16">
        <f>IF(ISERROR(VLOOKUP($A1074,'13. Updated Demand'!A:Z,19,FALSE)),0,VLOOKUP($A1074,'13. Updated Demand'!A:Z,19,FALSE))</f>
        <v>0</v>
      </c>
      <c r="AC1074" s="16">
        <f>IF(ISERROR(VLOOKUP($A1074,'13. Updated Demand'!A:Z,20,FALSE)),0,VLOOKUP($A1074,'13. Updated Demand'!A:Z,20,FALSE))</f>
        <v>0</v>
      </c>
      <c r="AD1074" s="16">
        <f>IF(ISERROR(VLOOKUP($A1074,'13. Updated Demand'!A:Z,21,FALSE)),0,VLOOKUP($A1074,'13. Updated Demand'!A:Z,21,FALSE))</f>
        <v>0</v>
      </c>
      <c r="AE1074" s="16">
        <f>IF(ISERROR(VLOOKUP($A1074,'13. Updated Demand'!A:Z,22,FALSE)),0,VLOOKUP($A1074,'13. Updated Demand'!A:Z,22,FALSE))</f>
        <v>0</v>
      </c>
      <c r="AF1074" s="16">
        <f>IF(ISERROR(VLOOKUP($A1074,'13. Updated Demand'!A:Z,23,FALSE)),0,VLOOKUP($A1074,'13. Updated Demand'!A:Z,23,FALSE))</f>
        <v>0</v>
      </c>
      <c r="AG1074" s="16">
        <f>IF(ISERROR(VLOOKUP($A1074,'13. Updated Demand'!A:Z,24,FALSE)),0,VLOOKUP($A1074,'13. Updated Demand'!A:Z,24,FALSE))</f>
        <v>0</v>
      </c>
      <c r="AH1074" s="16">
        <f>IF(ISERROR(VLOOKUP($A1074,'13. Updated Demand'!A:Z,25,FALSE)),0,VLOOKUP($A1074,'13. Updated Demand'!A:Z,25,FALSE))</f>
        <v>0.66666666699999999</v>
      </c>
      <c r="AI1074" s="16">
        <f>IF(ISERROR(VLOOKUP($A1074,'13. Updated Demand'!A:Z,26,FALSE)),0,VLOOKUP($A1074,'13. Updated Demand'!A:Z,26,FALSE))</f>
        <v>1</v>
      </c>
      <c r="AJ1074" s="16">
        <f t="shared" si="204"/>
        <v>9.0000000010000001</v>
      </c>
      <c r="AK1074" s="19">
        <v>0</v>
      </c>
      <c r="AL1074" s="16">
        <f t="shared" si="202"/>
        <v>0</v>
      </c>
      <c r="AM1074" s="17">
        <v>0.13846153847692308</v>
      </c>
      <c r="AN1074" s="19"/>
      <c r="AO1074" s="19"/>
      <c r="AP1074" s="19">
        <v>65</v>
      </c>
      <c r="AQ1074" s="19" t="s">
        <v>307</v>
      </c>
      <c r="AR1074" s="9" t="s">
        <v>378</v>
      </c>
      <c r="AS1074" s="12">
        <v>0</v>
      </c>
      <c r="AT1074" s="19">
        <v>38.44462042</v>
      </c>
      <c r="AU1074" s="19">
        <v>-122.59045260000001</v>
      </c>
      <c r="AV1074" s="19" t="s">
        <v>417</v>
      </c>
    </row>
    <row r="1075" spans="1:48" x14ac:dyDescent="0.25">
      <c r="A1075" s="18" t="s">
        <v>1465</v>
      </c>
      <c r="B1075" s="10">
        <v>19560321</v>
      </c>
      <c r="C1075" s="9">
        <v>10</v>
      </c>
      <c r="D1075" s="8" t="str">
        <f t="shared" si="193"/>
        <v>N</v>
      </c>
      <c r="E1075" s="8" t="str">
        <f t="shared" si="194"/>
        <v>Y</v>
      </c>
      <c r="F1075" s="8" t="str">
        <f t="shared" si="195"/>
        <v>Y</v>
      </c>
      <c r="G1075" s="8" t="str">
        <f t="shared" si="196"/>
        <v>Y</v>
      </c>
      <c r="H1075" s="8" t="str">
        <f t="shared" si="197"/>
        <v>Upper</v>
      </c>
      <c r="I1075" s="8" t="str">
        <f t="shared" si="198"/>
        <v>West Fork and Below Lake</v>
      </c>
      <c r="J1075" s="8" t="str">
        <f t="shared" si="199"/>
        <v>Sonoma (d/s of Clov. Gage)</v>
      </c>
      <c r="K1075" s="8" t="str">
        <f t="shared" si="200"/>
        <v>Post-1949</v>
      </c>
      <c r="L1075" s="8">
        <f t="shared" si="201"/>
        <v>1956</v>
      </c>
      <c r="M1075" s="8" t="str">
        <f t="shared" si="203"/>
        <v>1955-1956</v>
      </c>
      <c r="N1075" s="10" t="s">
        <v>242</v>
      </c>
      <c r="O1075" s="10" t="s">
        <v>241</v>
      </c>
      <c r="P1075" s="10" t="s">
        <v>242</v>
      </c>
      <c r="Q1075" s="10" t="s">
        <v>242</v>
      </c>
      <c r="R1075" s="10" t="s">
        <v>241</v>
      </c>
      <c r="S1075" s="10" t="s">
        <v>242</v>
      </c>
      <c r="T1075" s="10" t="s">
        <v>242</v>
      </c>
      <c r="U1075" s="10" t="s">
        <v>242</v>
      </c>
      <c r="V1075" s="10" t="s">
        <v>242</v>
      </c>
      <c r="W1075" s="10" t="s">
        <v>242</v>
      </c>
      <c r="X1075" s="15">
        <f>IF(ISERROR(VLOOKUP($A1075,'13. Updated Demand'!A:Z,15,FALSE)),0,VLOOKUP($A1075,'13. Updated Demand'!A:Z,15,FALSE))</f>
        <v>21.6</v>
      </c>
      <c r="Y1075" s="16">
        <f>IF(ISERROR(VLOOKUP($A1075,'13. Updated Demand'!A:Z,16,FALSE)),0,VLOOKUP($A1075,'13. Updated Demand'!A:Z,16,FALSE))</f>
        <v>16.100000000000001</v>
      </c>
      <c r="Z1075" s="16">
        <f>IF(ISERROR(VLOOKUP($A1075,'13. Updated Demand'!A:Z,17,FALSE)),0,VLOOKUP($A1075,'13. Updated Demand'!A:Z,17,FALSE))</f>
        <v>4.8600000000000003</v>
      </c>
      <c r="AA1075" s="16">
        <f>IF(ISERROR(VLOOKUP($A1075,'13. Updated Demand'!A:Z,18,FALSE)),0,VLOOKUP($A1075,'13. Updated Demand'!A:Z,18,FALSE))</f>
        <v>8.9</v>
      </c>
      <c r="AB1075" s="16">
        <f>IF(ISERROR(VLOOKUP($A1075,'13. Updated Demand'!A:Z,19,FALSE)),0,VLOOKUP($A1075,'13. Updated Demand'!A:Z,19,FALSE))</f>
        <v>0.66</v>
      </c>
      <c r="AC1075" s="16">
        <f>IF(ISERROR(VLOOKUP($A1075,'13. Updated Demand'!A:Z,20,FALSE)),0,VLOOKUP($A1075,'13. Updated Demand'!A:Z,20,FALSE))</f>
        <v>0</v>
      </c>
      <c r="AD1075" s="16">
        <f>IF(ISERROR(VLOOKUP($A1075,'13. Updated Demand'!A:Z,21,FALSE)),0,VLOOKUP($A1075,'13. Updated Demand'!A:Z,21,FALSE))</f>
        <v>0</v>
      </c>
      <c r="AE1075" s="16">
        <f>IF(ISERROR(VLOOKUP($A1075,'13. Updated Demand'!A:Z,22,FALSE)),0,VLOOKUP($A1075,'13. Updated Demand'!A:Z,22,FALSE))</f>
        <v>0</v>
      </c>
      <c r="AF1075" s="16">
        <f>IF(ISERROR(VLOOKUP($A1075,'13. Updated Demand'!A:Z,23,FALSE)),0,VLOOKUP($A1075,'13. Updated Demand'!A:Z,23,FALSE))</f>
        <v>0</v>
      </c>
      <c r="AG1075" s="16">
        <f>IF(ISERROR(VLOOKUP($A1075,'13. Updated Demand'!A:Z,24,FALSE)),0,VLOOKUP($A1075,'13. Updated Demand'!A:Z,24,FALSE))</f>
        <v>0</v>
      </c>
      <c r="AH1075" s="16">
        <f>IF(ISERROR(VLOOKUP($A1075,'13. Updated Demand'!A:Z,25,FALSE)),0,VLOOKUP($A1075,'13. Updated Demand'!A:Z,25,FALSE))</f>
        <v>8.5299999999999994</v>
      </c>
      <c r="AI1075" s="16">
        <f>IF(ISERROR(VLOOKUP($A1075,'13. Updated Demand'!A:Z,26,FALSE)),0,VLOOKUP($A1075,'13. Updated Demand'!A:Z,26,FALSE))</f>
        <v>13.4</v>
      </c>
      <c r="AJ1075" s="16">
        <f t="shared" si="204"/>
        <v>74.05</v>
      </c>
      <c r="AK1075" s="19">
        <v>0.66666666699999999</v>
      </c>
      <c r="AL1075" s="16">
        <f t="shared" si="202"/>
        <v>2.2112573939693015E-3</v>
      </c>
      <c r="AM1075" s="17">
        <v>0.18065040650487807</v>
      </c>
      <c r="AN1075" s="19"/>
      <c r="AO1075" s="19"/>
      <c r="AP1075" s="19">
        <v>410</v>
      </c>
      <c r="AQ1075" s="19" t="s">
        <v>307</v>
      </c>
      <c r="AR1075" s="9" t="s">
        <v>436</v>
      </c>
      <c r="AS1075" s="12">
        <v>0</v>
      </c>
      <c r="AT1075" s="19">
        <v>38.653958029999998</v>
      </c>
      <c r="AU1075" s="19">
        <v>-122.87934341</v>
      </c>
      <c r="AV1075" s="19" t="s">
        <v>417</v>
      </c>
    </row>
    <row r="1076" spans="1:48" x14ac:dyDescent="0.25">
      <c r="A1076" s="18" t="s">
        <v>1466</v>
      </c>
      <c r="B1076" s="10">
        <v>19560327</v>
      </c>
      <c r="C1076" s="9">
        <v>6</v>
      </c>
      <c r="D1076" s="8" t="str">
        <f t="shared" si="193"/>
        <v>Y</v>
      </c>
      <c r="E1076" s="8" t="str">
        <f t="shared" si="194"/>
        <v>N</v>
      </c>
      <c r="F1076" s="8" t="str">
        <f t="shared" si="195"/>
        <v>Y</v>
      </c>
      <c r="G1076" s="8" t="str">
        <f t="shared" si="196"/>
        <v>Y</v>
      </c>
      <c r="H1076" s="8" t="str">
        <f t="shared" si="197"/>
        <v>Upper</v>
      </c>
      <c r="I1076" s="8" t="str">
        <f t="shared" si="198"/>
        <v>West Fork and Below Lake</v>
      </c>
      <c r="J1076" s="8" t="str">
        <f t="shared" si="199"/>
        <v>Mendocino (d/s of lake)</v>
      </c>
      <c r="K1076" s="8" t="str">
        <f t="shared" si="200"/>
        <v>Post-1949</v>
      </c>
      <c r="L1076" s="8">
        <f t="shared" si="201"/>
        <v>1956</v>
      </c>
      <c r="M1076" s="8" t="str">
        <f t="shared" si="203"/>
        <v>1955-1956</v>
      </c>
      <c r="N1076" s="10" t="s">
        <v>242</v>
      </c>
      <c r="O1076" s="10" t="s">
        <v>241</v>
      </c>
      <c r="P1076" s="10" t="s">
        <v>242</v>
      </c>
      <c r="Q1076" s="10" t="s">
        <v>242</v>
      </c>
      <c r="R1076" s="10" t="s">
        <v>241</v>
      </c>
      <c r="S1076" s="10" t="s">
        <v>242</v>
      </c>
      <c r="T1076" s="10" t="s">
        <v>242</v>
      </c>
      <c r="U1076" s="10" t="s">
        <v>242</v>
      </c>
      <c r="V1076" s="10" t="s">
        <v>242</v>
      </c>
      <c r="W1076" s="10" t="s">
        <v>242</v>
      </c>
      <c r="X1076" s="15">
        <f>IF(ISERROR(VLOOKUP($A1076,'13. Updated Demand'!A:Z,15,FALSE)),0,VLOOKUP($A1076,'13. Updated Demand'!A:Z,15,FALSE))</f>
        <v>6</v>
      </c>
      <c r="Y1076" s="16">
        <f>IF(ISERROR(VLOOKUP($A1076,'13. Updated Demand'!A:Z,16,FALSE)),0,VLOOKUP($A1076,'13. Updated Demand'!A:Z,16,FALSE))</f>
        <v>5.35</v>
      </c>
      <c r="Z1076" s="16">
        <f>IF(ISERROR(VLOOKUP($A1076,'13. Updated Demand'!A:Z,17,FALSE)),0,VLOOKUP($A1076,'13. Updated Demand'!A:Z,17,FALSE))</f>
        <v>4</v>
      </c>
      <c r="AA1076" s="16">
        <f>IF(ISERROR(VLOOKUP($A1076,'13. Updated Demand'!A:Z,18,FALSE)),0,VLOOKUP($A1076,'13. Updated Demand'!A:Z,18,FALSE))</f>
        <v>2.66</v>
      </c>
      <c r="AB1076" s="16">
        <f>IF(ISERROR(VLOOKUP($A1076,'13. Updated Demand'!A:Z,19,FALSE)),0,VLOOKUP($A1076,'13. Updated Demand'!A:Z,19,FALSE))</f>
        <v>1.33</v>
      </c>
      <c r="AC1076" s="16">
        <f>IF(ISERROR(VLOOKUP($A1076,'13. Updated Demand'!A:Z,20,FALSE)),0,VLOOKUP($A1076,'13. Updated Demand'!A:Z,20,FALSE))</f>
        <v>0</v>
      </c>
      <c r="AD1076" s="16">
        <f>IF(ISERROR(VLOOKUP($A1076,'13. Updated Demand'!A:Z,21,FALSE)),0,VLOOKUP($A1076,'13. Updated Demand'!A:Z,21,FALSE))</f>
        <v>0</v>
      </c>
      <c r="AE1076" s="16">
        <f>IF(ISERROR(VLOOKUP($A1076,'13. Updated Demand'!A:Z,22,FALSE)),0,VLOOKUP($A1076,'13. Updated Demand'!A:Z,22,FALSE))</f>
        <v>0</v>
      </c>
      <c r="AF1076" s="16">
        <f>IF(ISERROR(VLOOKUP($A1076,'13. Updated Demand'!A:Z,23,FALSE)),0,VLOOKUP($A1076,'13. Updated Demand'!A:Z,23,FALSE))</f>
        <v>0</v>
      </c>
      <c r="AG1076" s="16">
        <f>IF(ISERROR(VLOOKUP($A1076,'13. Updated Demand'!A:Z,24,FALSE)),0,VLOOKUP($A1076,'13. Updated Demand'!A:Z,24,FALSE))</f>
        <v>0</v>
      </c>
      <c r="AH1076" s="16">
        <f>IF(ISERROR(VLOOKUP($A1076,'13. Updated Demand'!A:Z,25,FALSE)),0,VLOOKUP($A1076,'13. Updated Demand'!A:Z,25,FALSE))</f>
        <v>0</v>
      </c>
      <c r="AI1076" s="16">
        <f>IF(ISERROR(VLOOKUP($A1076,'13. Updated Demand'!A:Z,26,FALSE)),0,VLOOKUP($A1076,'13. Updated Demand'!A:Z,26,FALSE))</f>
        <v>0</v>
      </c>
      <c r="AJ1076" s="16">
        <f t="shared" si="204"/>
        <v>19.339999999999996</v>
      </c>
      <c r="AK1076" s="19">
        <v>1.3333333329999999</v>
      </c>
      <c r="AL1076" s="16">
        <f t="shared" si="202"/>
        <v>4.4225147846217163E-3</v>
      </c>
      <c r="AM1076" s="17">
        <v>0.2400744416873449</v>
      </c>
      <c r="AN1076" s="19"/>
      <c r="AO1076" s="19"/>
      <c r="AP1076" s="19">
        <v>80.599999999999994</v>
      </c>
      <c r="AQ1076" s="19" t="s">
        <v>307</v>
      </c>
      <c r="AR1076" s="9" t="s">
        <v>319</v>
      </c>
      <c r="AS1076" s="12">
        <v>0</v>
      </c>
      <c r="AT1076" s="19">
        <v>38.965500079999998</v>
      </c>
      <c r="AU1076" s="19">
        <v>-123.08896738</v>
      </c>
      <c r="AV1076" s="19" t="s">
        <v>417</v>
      </c>
    </row>
    <row r="1077" spans="1:48" x14ac:dyDescent="0.25">
      <c r="A1077" s="18" t="s">
        <v>1467</v>
      </c>
      <c r="B1077" s="10">
        <v>19560430</v>
      </c>
      <c r="C1077" s="9">
        <v>15</v>
      </c>
      <c r="D1077" s="8" t="str">
        <f t="shared" si="193"/>
        <v>N</v>
      </c>
      <c r="E1077" s="8" t="str">
        <f t="shared" si="194"/>
        <v>N</v>
      </c>
      <c r="F1077" s="8" t="str">
        <f t="shared" si="195"/>
        <v>N</v>
      </c>
      <c r="G1077" s="8" t="str">
        <f t="shared" si="196"/>
        <v>N</v>
      </c>
      <c r="H1077" s="8" t="str">
        <f t="shared" si="197"/>
        <v>Lower</v>
      </c>
      <c r="I1077" s="8" t="str">
        <f t="shared" si="198"/>
        <v>Outside</v>
      </c>
      <c r="J1077" s="8" t="str">
        <f t="shared" si="199"/>
        <v>Outside</v>
      </c>
      <c r="K1077" s="8" t="str">
        <f t="shared" si="200"/>
        <v>Post-1949</v>
      </c>
      <c r="L1077" s="8">
        <f t="shared" si="201"/>
        <v>1956</v>
      </c>
      <c r="M1077" s="8" t="str">
        <f t="shared" si="203"/>
        <v>1955-1956</v>
      </c>
      <c r="N1077" s="10" t="s">
        <v>242</v>
      </c>
      <c r="O1077" s="10" t="s">
        <v>242</v>
      </c>
      <c r="P1077" s="10" t="s">
        <v>242</v>
      </c>
      <c r="Q1077" s="10" t="s">
        <v>242</v>
      </c>
      <c r="R1077" s="10" t="s">
        <v>241</v>
      </c>
      <c r="S1077" s="10" t="s">
        <v>242</v>
      </c>
      <c r="T1077" s="10" t="s">
        <v>242</v>
      </c>
      <c r="U1077" s="10" t="s">
        <v>242</v>
      </c>
      <c r="V1077" s="10" t="s">
        <v>242</v>
      </c>
      <c r="W1077" s="10" t="s">
        <v>242</v>
      </c>
      <c r="X1077" s="15">
        <f>IF(ISERROR(VLOOKUP($A1077,'13. Updated Demand'!A:Z,15,FALSE)),0,VLOOKUP($A1077,'13. Updated Demand'!A:Z,15,FALSE))</f>
        <v>0</v>
      </c>
      <c r="Y1077" s="16">
        <f>IF(ISERROR(VLOOKUP($A1077,'13. Updated Demand'!A:Z,16,FALSE)),0,VLOOKUP($A1077,'13. Updated Demand'!A:Z,16,FALSE))</f>
        <v>0</v>
      </c>
      <c r="Z1077" s="16">
        <f>IF(ISERROR(VLOOKUP($A1077,'13. Updated Demand'!A:Z,17,FALSE)),0,VLOOKUP($A1077,'13. Updated Demand'!A:Z,17,FALSE))</f>
        <v>0</v>
      </c>
      <c r="AA1077" s="16">
        <f>IF(ISERROR(VLOOKUP($A1077,'13. Updated Demand'!A:Z,18,FALSE)),0,VLOOKUP($A1077,'13. Updated Demand'!A:Z,18,FALSE))</f>
        <v>6.6666670000000003E-3</v>
      </c>
      <c r="AB1077" s="16">
        <f>IF(ISERROR(VLOOKUP($A1077,'13. Updated Demand'!A:Z,19,FALSE)),0,VLOOKUP($A1077,'13. Updated Demand'!A:Z,19,FALSE))</f>
        <v>1.0833333329999999</v>
      </c>
      <c r="AC1077" s="16">
        <f>IF(ISERROR(VLOOKUP($A1077,'13. Updated Demand'!A:Z,20,FALSE)),0,VLOOKUP($A1077,'13. Updated Demand'!A:Z,20,FALSE))</f>
        <v>2.04</v>
      </c>
      <c r="AD1077" s="16">
        <f>IF(ISERROR(VLOOKUP($A1077,'13. Updated Demand'!A:Z,21,FALSE)),0,VLOOKUP($A1077,'13. Updated Demand'!A:Z,21,FALSE))</f>
        <v>3.5233333330000001</v>
      </c>
      <c r="AE1077" s="16">
        <f>IF(ISERROR(VLOOKUP($A1077,'13. Updated Demand'!A:Z,22,FALSE)),0,VLOOKUP($A1077,'13. Updated Demand'!A:Z,22,FALSE))</f>
        <v>3.0333333329999999</v>
      </c>
      <c r="AF1077" s="16">
        <f>IF(ISERROR(VLOOKUP($A1077,'13. Updated Demand'!A:Z,23,FALSE)),0,VLOOKUP($A1077,'13. Updated Demand'!A:Z,23,FALSE))</f>
        <v>3.423333333</v>
      </c>
      <c r="AG1077" s="16">
        <f>IF(ISERROR(VLOOKUP($A1077,'13. Updated Demand'!A:Z,24,FALSE)),0,VLOOKUP($A1077,'13. Updated Demand'!A:Z,24,FALSE))</f>
        <v>0.47666666699999999</v>
      </c>
      <c r="AH1077" s="16">
        <f>IF(ISERROR(VLOOKUP($A1077,'13. Updated Demand'!A:Z,25,FALSE)),0,VLOOKUP($A1077,'13. Updated Demand'!A:Z,25,FALSE))</f>
        <v>0</v>
      </c>
      <c r="AI1077" s="16">
        <f>IF(ISERROR(VLOOKUP($A1077,'13. Updated Demand'!A:Z,26,FALSE)),0,VLOOKUP($A1077,'13. Updated Demand'!A:Z,26,FALSE))</f>
        <v>0</v>
      </c>
      <c r="AJ1077" s="16">
        <f t="shared" si="204"/>
        <v>13.586666666000001</v>
      </c>
      <c r="AK1077" s="19">
        <v>13.103333332</v>
      </c>
      <c r="AL1077" s="16">
        <f t="shared" si="202"/>
        <v>4.3462264052312974E-2</v>
      </c>
      <c r="AM1077" s="17">
        <v>5.3176777557729947E-2</v>
      </c>
      <c r="AN1077" s="19"/>
      <c r="AO1077" s="19"/>
      <c r="AP1077" s="19">
        <v>255.5</v>
      </c>
      <c r="AQ1077" s="19" t="s">
        <v>307</v>
      </c>
      <c r="AR1077" s="9" t="s">
        <v>489</v>
      </c>
      <c r="AS1077" s="12">
        <v>0</v>
      </c>
      <c r="AT1077" s="19">
        <v>38.659578070000002</v>
      </c>
      <c r="AU1077" s="19">
        <v>-122.93334777</v>
      </c>
      <c r="AV1077" s="19" t="s">
        <v>932</v>
      </c>
    </row>
    <row r="1078" spans="1:48" x14ac:dyDescent="0.25">
      <c r="A1078" s="18" t="s">
        <v>1468</v>
      </c>
      <c r="B1078" s="10">
        <v>19560509</v>
      </c>
      <c r="C1078" s="9">
        <v>23</v>
      </c>
      <c r="D1078" s="8" t="str">
        <f t="shared" si="193"/>
        <v>N</v>
      </c>
      <c r="E1078" s="8" t="str">
        <f t="shared" si="194"/>
        <v>N</v>
      </c>
      <c r="F1078" s="8" t="str">
        <f t="shared" si="195"/>
        <v>N</v>
      </c>
      <c r="G1078" s="8" t="str">
        <f t="shared" si="196"/>
        <v>N</v>
      </c>
      <c r="H1078" s="8" t="str">
        <f t="shared" si="197"/>
        <v>Lower</v>
      </c>
      <c r="I1078" s="8" t="str">
        <f t="shared" si="198"/>
        <v>Outside</v>
      </c>
      <c r="J1078" s="8" t="str">
        <f t="shared" si="199"/>
        <v>Outside</v>
      </c>
      <c r="K1078" s="8" t="str">
        <f t="shared" si="200"/>
        <v>Post-1949</v>
      </c>
      <c r="L1078" s="8">
        <f t="shared" si="201"/>
        <v>1956</v>
      </c>
      <c r="M1078" s="8" t="str">
        <f t="shared" si="203"/>
        <v>1955-1956</v>
      </c>
      <c r="N1078" s="10" t="s">
        <v>242</v>
      </c>
      <c r="O1078" s="10" t="s">
        <v>242</v>
      </c>
      <c r="P1078" s="10" t="s">
        <v>242</v>
      </c>
      <c r="Q1078" s="10" t="s">
        <v>242</v>
      </c>
      <c r="R1078" s="10" t="s">
        <v>241</v>
      </c>
      <c r="S1078" s="10" t="s">
        <v>242</v>
      </c>
      <c r="T1078" s="10" t="s">
        <v>242</v>
      </c>
      <c r="U1078" s="10" t="s">
        <v>242</v>
      </c>
      <c r="V1078" s="10" t="s">
        <v>242</v>
      </c>
      <c r="W1078" s="10" t="s">
        <v>242</v>
      </c>
      <c r="X1078" s="15">
        <f>IF(ISERROR(VLOOKUP($A1078,'13. Updated Demand'!A:Z,15,FALSE)),0,VLOOKUP($A1078,'13. Updated Demand'!A:Z,15,FALSE))</f>
        <v>0</v>
      </c>
      <c r="Y1078" s="16">
        <f>IF(ISERROR(VLOOKUP($A1078,'13. Updated Demand'!A:Z,16,FALSE)),0,VLOOKUP($A1078,'13. Updated Demand'!A:Z,16,FALSE))</f>
        <v>0</v>
      </c>
      <c r="Z1078" s="16">
        <f>IF(ISERROR(VLOOKUP($A1078,'13. Updated Demand'!A:Z,17,FALSE)),0,VLOOKUP($A1078,'13. Updated Demand'!A:Z,17,FALSE))</f>
        <v>0</v>
      </c>
      <c r="AA1078" s="16">
        <f>IF(ISERROR(VLOOKUP($A1078,'13. Updated Demand'!A:Z,18,FALSE)),0,VLOOKUP($A1078,'13. Updated Demand'!A:Z,18,FALSE))</f>
        <v>0.233333333</v>
      </c>
      <c r="AB1078" s="16">
        <f>IF(ISERROR(VLOOKUP($A1078,'13. Updated Demand'!A:Z,19,FALSE)),0,VLOOKUP($A1078,'13. Updated Demand'!A:Z,19,FALSE))</f>
        <v>0.16666666699999999</v>
      </c>
      <c r="AC1078" s="16">
        <f>IF(ISERROR(VLOOKUP($A1078,'13. Updated Demand'!A:Z,20,FALSE)),0,VLOOKUP($A1078,'13. Updated Demand'!A:Z,20,FALSE))</f>
        <v>0</v>
      </c>
      <c r="AD1078" s="16">
        <f>IF(ISERROR(VLOOKUP($A1078,'13. Updated Demand'!A:Z,21,FALSE)),0,VLOOKUP($A1078,'13. Updated Demand'!A:Z,21,FALSE))</f>
        <v>0.1</v>
      </c>
      <c r="AE1078" s="16">
        <f>IF(ISERROR(VLOOKUP($A1078,'13. Updated Demand'!A:Z,22,FALSE)),0,VLOOKUP($A1078,'13. Updated Demand'!A:Z,22,FALSE))</f>
        <v>0</v>
      </c>
      <c r="AF1078" s="16">
        <f>IF(ISERROR(VLOOKUP($A1078,'13. Updated Demand'!A:Z,23,FALSE)),0,VLOOKUP($A1078,'13. Updated Demand'!A:Z,23,FALSE))</f>
        <v>0</v>
      </c>
      <c r="AG1078" s="16">
        <f>IF(ISERROR(VLOOKUP($A1078,'13. Updated Demand'!A:Z,24,FALSE)),0,VLOOKUP($A1078,'13. Updated Demand'!A:Z,24,FALSE))</f>
        <v>0</v>
      </c>
      <c r="AH1078" s="16">
        <f>IF(ISERROR(VLOOKUP($A1078,'13. Updated Demand'!A:Z,25,FALSE)),0,VLOOKUP($A1078,'13. Updated Demand'!A:Z,25,FALSE))</f>
        <v>0</v>
      </c>
      <c r="AI1078" s="16">
        <f>IF(ISERROR(VLOOKUP($A1078,'13. Updated Demand'!A:Z,26,FALSE)),0,VLOOKUP($A1078,'13. Updated Demand'!A:Z,26,FALSE))</f>
        <v>0</v>
      </c>
      <c r="AJ1078" s="16">
        <f t="shared" si="204"/>
        <v>0.5</v>
      </c>
      <c r="AK1078" s="19">
        <v>0.26666666699999997</v>
      </c>
      <c r="AL1078" s="16">
        <f t="shared" si="202"/>
        <v>8.8450295825109762E-4</v>
      </c>
      <c r="AM1078" s="17">
        <v>3.6049026676279743E-3</v>
      </c>
      <c r="AN1078" s="19"/>
      <c r="AO1078" s="19"/>
      <c r="AP1078" s="19">
        <v>138.69999999999999</v>
      </c>
      <c r="AQ1078" s="19" t="s">
        <v>307</v>
      </c>
      <c r="AR1078" s="9" t="s">
        <v>323</v>
      </c>
      <c r="AS1078" s="12">
        <v>0</v>
      </c>
      <c r="AT1078" s="19">
        <v>38.495314870000001</v>
      </c>
      <c r="AU1078" s="19">
        <v>-122.86900498</v>
      </c>
      <c r="AV1078" s="19" t="s">
        <v>735</v>
      </c>
    </row>
    <row r="1079" spans="1:48" x14ac:dyDescent="0.25">
      <c r="A1079" s="18" t="s">
        <v>1469</v>
      </c>
      <c r="B1079" s="10">
        <v>19560514</v>
      </c>
      <c r="C1079" s="9">
        <v>1</v>
      </c>
      <c r="D1079" s="8" t="str">
        <f t="shared" si="193"/>
        <v>N</v>
      </c>
      <c r="E1079" s="8" t="str">
        <f t="shared" si="194"/>
        <v>N</v>
      </c>
      <c r="F1079" s="8" t="str">
        <f t="shared" si="195"/>
        <v>Y</v>
      </c>
      <c r="G1079" s="8" t="str">
        <f t="shared" si="196"/>
        <v>Y</v>
      </c>
      <c r="H1079" s="8" t="str">
        <f t="shared" si="197"/>
        <v>Upper</v>
      </c>
      <c r="I1079" s="8" t="str">
        <f t="shared" si="198"/>
        <v>West Fork and Below Lake</v>
      </c>
      <c r="J1079" s="8" t="str">
        <f t="shared" si="199"/>
        <v>Outside</v>
      </c>
      <c r="K1079" s="8" t="str">
        <f t="shared" si="200"/>
        <v>Post-1949</v>
      </c>
      <c r="L1079" s="8">
        <f t="shared" si="201"/>
        <v>1956</v>
      </c>
      <c r="M1079" s="8" t="str">
        <f t="shared" si="203"/>
        <v>1955-1956</v>
      </c>
      <c r="N1079" s="10" t="s">
        <v>242</v>
      </c>
      <c r="O1079" s="10" t="s">
        <v>241</v>
      </c>
      <c r="P1079" s="10" t="s">
        <v>242</v>
      </c>
      <c r="Q1079" s="10" t="s">
        <v>242</v>
      </c>
      <c r="R1079" s="10" t="s">
        <v>241</v>
      </c>
      <c r="S1079" s="10" t="s">
        <v>242</v>
      </c>
      <c r="T1079" s="10" t="s">
        <v>242</v>
      </c>
      <c r="U1079" s="10" t="s">
        <v>242</v>
      </c>
      <c r="V1079" s="10" t="s">
        <v>241</v>
      </c>
      <c r="W1079" s="10" t="s">
        <v>242</v>
      </c>
      <c r="X1079" s="15">
        <f>IF(ISERROR(VLOOKUP($A1079,'13. Updated Demand'!A:Z,15,FALSE)),0,VLOOKUP($A1079,'13. Updated Demand'!A:Z,15,FALSE))</f>
        <v>2</v>
      </c>
      <c r="Y1079" s="16">
        <f>IF(ISERROR(VLOOKUP($A1079,'13. Updated Demand'!A:Z,16,FALSE)),0,VLOOKUP($A1079,'13. Updated Demand'!A:Z,16,FALSE))</f>
        <v>2</v>
      </c>
      <c r="Z1079" s="16">
        <f>IF(ISERROR(VLOOKUP($A1079,'13. Updated Demand'!A:Z,17,FALSE)),0,VLOOKUP($A1079,'13. Updated Demand'!A:Z,17,FALSE))</f>
        <v>2</v>
      </c>
      <c r="AA1079" s="16">
        <f>IF(ISERROR(VLOOKUP($A1079,'13. Updated Demand'!A:Z,18,FALSE)),0,VLOOKUP($A1079,'13. Updated Demand'!A:Z,18,FALSE))</f>
        <v>0</v>
      </c>
      <c r="AB1079" s="16">
        <f>IF(ISERROR(VLOOKUP($A1079,'13. Updated Demand'!A:Z,19,FALSE)),0,VLOOKUP($A1079,'13. Updated Demand'!A:Z,19,FALSE))</f>
        <v>0</v>
      </c>
      <c r="AC1079" s="16">
        <f>IF(ISERROR(VLOOKUP($A1079,'13. Updated Demand'!A:Z,20,FALSE)),0,VLOOKUP($A1079,'13. Updated Demand'!A:Z,20,FALSE))</f>
        <v>0</v>
      </c>
      <c r="AD1079" s="16">
        <f>IF(ISERROR(VLOOKUP($A1079,'13. Updated Demand'!A:Z,21,FALSE)),0,VLOOKUP($A1079,'13. Updated Demand'!A:Z,21,FALSE))</f>
        <v>0</v>
      </c>
      <c r="AE1079" s="16">
        <f>IF(ISERROR(VLOOKUP($A1079,'13. Updated Demand'!A:Z,22,FALSE)),0,VLOOKUP($A1079,'13. Updated Demand'!A:Z,22,FALSE))</f>
        <v>0</v>
      </c>
      <c r="AF1079" s="16">
        <f>IF(ISERROR(VLOOKUP($A1079,'13. Updated Demand'!A:Z,23,FALSE)),0,VLOOKUP($A1079,'13. Updated Demand'!A:Z,23,FALSE))</f>
        <v>0</v>
      </c>
      <c r="AG1079" s="16">
        <f>IF(ISERROR(VLOOKUP($A1079,'13. Updated Demand'!A:Z,24,FALSE)),0,VLOOKUP($A1079,'13. Updated Demand'!A:Z,24,FALSE))</f>
        <v>0</v>
      </c>
      <c r="AH1079" s="16">
        <f>IF(ISERROR(VLOOKUP($A1079,'13. Updated Demand'!A:Z,25,FALSE)),0,VLOOKUP($A1079,'13. Updated Demand'!A:Z,25,FALSE))</f>
        <v>0</v>
      </c>
      <c r="AI1079" s="16">
        <f>IF(ISERROR(VLOOKUP($A1079,'13. Updated Demand'!A:Z,26,FALSE)),0,VLOOKUP($A1079,'13. Updated Demand'!A:Z,26,FALSE))</f>
        <v>2</v>
      </c>
      <c r="AJ1079" s="16">
        <f t="shared" si="204"/>
        <v>8</v>
      </c>
      <c r="AK1079" s="19">
        <v>0</v>
      </c>
      <c r="AL1079" s="16">
        <f t="shared" si="202"/>
        <v>0</v>
      </c>
      <c r="AM1079" s="17">
        <v>1</v>
      </c>
      <c r="AN1079" s="19"/>
      <c r="AO1079" s="19"/>
      <c r="AP1079" s="19">
        <v>8</v>
      </c>
      <c r="AQ1079" s="19" t="s">
        <v>307</v>
      </c>
      <c r="AR1079" s="9" t="s">
        <v>317</v>
      </c>
      <c r="AS1079" s="12">
        <v>0</v>
      </c>
      <c r="AT1079" s="19">
        <v>39.305224940000002</v>
      </c>
      <c r="AU1079" s="19">
        <v>-123.19563878</v>
      </c>
      <c r="AV1079" s="19" t="s">
        <v>417</v>
      </c>
    </row>
    <row r="1080" spans="1:48" x14ac:dyDescent="0.25">
      <c r="A1080" s="18" t="s">
        <v>1470</v>
      </c>
      <c r="B1080" s="10">
        <v>19560514</v>
      </c>
      <c r="C1080" s="9">
        <v>1</v>
      </c>
      <c r="D1080" s="8" t="str">
        <f t="shared" si="193"/>
        <v>N</v>
      </c>
      <c r="E1080" s="8" t="str">
        <f t="shared" si="194"/>
        <v>N</v>
      </c>
      <c r="F1080" s="8" t="str">
        <f t="shared" si="195"/>
        <v>Y</v>
      </c>
      <c r="G1080" s="8" t="str">
        <f t="shared" si="196"/>
        <v>Y</v>
      </c>
      <c r="H1080" s="8" t="str">
        <f t="shared" si="197"/>
        <v>Upper</v>
      </c>
      <c r="I1080" s="8" t="str">
        <f t="shared" si="198"/>
        <v>West Fork and Below Lake</v>
      </c>
      <c r="J1080" s="8" t="str">
        <f t="shared" si="199"/>
        <v>Outside</v>
      </c>
      <c r="K1080" s="8" t="str">
        <f t="shared" si="200"/>
        <v>Post-1949</v>
      </c>
      <c r="L1080" s="8">
        <f t="shared" si="201"/>
        <v>1956</v>
      </c>
      <c r="M1080" s="8" t="str">
        <f t="shared" si="203"/>
        <v>1955-1956</v>
      </c>
      <c r="N1080" s="10" t="s">
        <v>242</v>
      </c>
      <c r="O1080" s="10" t="s">
        <v>241</v>
      </c>
      <c r="P1080" s="10" t="s">
        <v>242</v>
      </c>
      <c r="Q1080" s="10" t="s">
        <v>242</v>
      </c>
      <c r="R1080" s="10" t="s">
        <v>241</v>
      </c>
      <c r="S1080" s="10" t="s">
        <v>242</v>
      </c>
      <c r="T1080" s="10" t="s">
        <v>242</v>
      </c>
      <c r="U1080" s="10" t="s">
        <v>242</v>
      </c>
      <c r="V1080" s="10" t="s">
        <v>242</v>
      </c>
      <c r="W1080" s="10" t="s">
        <v>242</v>
      </c>
      <c r="X1080" s="15">
        <f>IF(ISERROR(VLOOKUP($A1080,'13. Updated Demand'!A:Z,15,FALSE)),0,VLOOKUP($A1080,'13. Updated Demand'!A:Z,15,FALSE))</f>
        <v>8.9700000000000006</v>
      </c>
      <c r="Y1080" s="16">
        <f>IF(ISERROR(VLOOKUP($A1080,'13. Updated Demand'!A:Z,16,FALSE)),0,VLOOKUP($A1080,'13. Updated Demand'!A:Z,16,FALSE))</f>
        <v>10.61</v>
      </c>
      <c r="Z1080" s="16">
        <f>IF(ISERROR(VLOOKUP($A1080,'13. Updated Demand'!A:Z,17,FALSE)),0,VLOOKUP($A1080,'13. Updated Demand'!A:Z,17,FALSE))</f>
        <v>5.3</v>
      </c>
      <c r="AA1080" s="16">
        <f>IF(ISERROR(VLOOKUP($A1080,'13. Updated Demand'!A:Z,18,FALSE)),0,VLOOKUP($A1080,'13. Updated Demand'!A:Z,18,FALSE))</f>
        <v>2.63</v>
      </c>
      <c r="AB1080" s="16">
        <f>IF(ISERROR(VLOOKUP($A1080,'13. Updated Demand'!A:Z,19,FALSE)),0,VLOOKUP($A1080,'13. Updated Demand'!A:Z,19,FALSE))</f>
        <v>1.73</v>
      </c>
      <c r="AC1080" s="16">
        <f>IF(ISERROR(VLOOKUP($A1080,'13. Updated Demand'!A:Z,20,FALSE)),0,VLOOKUP($A1080,'13. Updated Demand'!A:Z,20,FALSE))</f>
        <v>0</v>
      </c>
      <c r="AD1080" s="16">
        <f>IF(ISERROR(VLOOKUP($A1080,'13. Updated Demand'!A:Z,21,FALSE)),0,VLOOKUP($A1080,'13. Updated Demand'!A:Z,21,FALSE))</f>
        <v>0</v>
      </c>
      <c r="AE1080" s="16">
        <f>IF(ISERROR(VLOOKUP($A1080,'13. Updated Demand'!A:Z,22,FALSE)),0,VLOOKUP($A1080,'13. Updated Demand'!A:Z,22,FALSE))</f>
        <v>0.01</v>
      </c>
      <c r="AF1080" s="16">
        <f>IF(ISERROR(VLOOKUP($A1080,'13. Updated Demand'!A:Z,23,FALSE)),0,VLOOKUP($A1080,'13. Updated Demand'!A:Z,23,FALSE))</f>
        <v>0.24</v>
      </c>
      <c r="AG1080" s="16">
        <f>IF(ISERROR(VLOOKUP($A1080,'13. Updated Demand'!A:Z,24,FALSE)),0,VLOOKUP($A1080,'13. Updated Demand'!A:Z,24,FALSE))</f>
        <v>0</v>
      </c>
      <c r="AH1080" s="16">
        <f>IF(ISERROR(VLOOKUP($A1080,'13. Updated Demand'!A:Z,25,FALSE)),0,VLOOKUP($A1080,'13. Updated Demand'!A:Z,25,FALSE))</f>
        <v>1.73</v>
      </c>
      <c r="AI1080" s="16">
        <f>IF(ISERROR(VLOOKUP($A1080,'13. Updated Demand'!A:Z,26,FALSE)),0,VLOOKUP($A1080,'13. Updated Demand'!A:Z,26,FALSE))</f>
        <v>2.67</v>
      </c>
      <c r="AJ1080" s="16">
        <f t="shared" si="204"/>
        <v>33.89</v>
      </c>
      <c r="AK1080" s="19">
        <v>1.993333333</v>
      </c>
      <c r="AL1080" s="16">
        <f t="shared" si="202"/>
        <v>6.611659603556753E-3</v>
      </c>
      <c r="AM1080" s="17">
        <v>0.69231292520408172</v>
      </c>
      <c r="AN1080" s="19"/>
      <c r="AO1080" s="19"/>
      <c r="AP1080" s="19">
        <v>49</v>
      </c>
      <c r="AQ1080" s="19" t="s">
        <v>307</v>
      </c>
      <c r="AR1080" s="9" t="s">
        <v>317</v>
      </c>
      <c r="AS1080" s="12">
        <v>0</v>
      </c>
      <c r="AT1080" s="19">
        <v>39.304549000000002</v>
      </c>
      <c r="AU1080" s="19">
        <v>-123.20799761000001</v>
      </c>
      <c r="AV1080" s="19" t="s">
        <v>417</v>
      </c>
    </row>
    <row r="1081" spans="1:48" x14ac:dyDescent="0.25">
      <c r="A1081" s="18" t="s">
        <v>1471</v>
      </c>
      <c r="B1081" s="10">
        <v>19560514</v>
      </c>
      <c r="C1081" s="9">
        <v>1</v>
      </c>
      <c r="D1081" s="8" t="str">
        <f t="shared" si="193"/>
        <v>N</v>
      </c>
      <c r="E1081" s="8" t="str">
        <f t="shared" si="194"/>
        <v>N</v>
      </c>
      <c r="F1081" s="8" t="str">
        <f t="shared" si="195"/>
        <v>Y</v>
      </c>
      <c r="G1081" s="8" t="str">
        <f t="shared" si="196"/>
        <v>Y</v>
      </c>
      <c r="H1081" s="8" t="str">
        <f t="shared" si="197"/>
        <v>Upper</v>
      </c>
      <c r="I1081" s="8" t="str">
        <f t="shared" si="198"/>
        <v>West Fork and Below Lake</v>
      </c>
      <c r="J1081" s="8" t="str">
        <f t="shared" si="199"/>
        <v>Outside</v>
      </c>
      <c r="K1081" s="8" t="str">
        <f t="shared" si="200"/>
        <v>Post-1949</v>
      </c>
      <c r="L1081" s="8">
        <f t="shared" si="201"/>
        <v>1956</v>
      </c>
      <c r="M1081" s="8" t="str">
        <f t="shared" si="203"/>
        <v>1955-1956</v>
      </c>
      <c r="N1081" s="10" t="s">
        <v>242</v>
      </c>
      <c r="O1081" s="10" t="s">
        <v>241</v>
      </c>
      <c r="P1081" s="10" t="s">
        <v>242</v>
      </c>
      <c r="Q1081" s="10" t="s">
        <v>242</v>
      </c>
      <c r="R1081" s="10" t="s">
        <v>241</v>
      </c>
      <c r="S1081" s="10" t="s">
        <v>242</v>
      </c>
      <c r="T1081" s="10" t="s">
        <v>242</v>
      </c>
      <c r="U1081" s="10" t="s">
        <v>242</v>
      </c>
      <c r="V1081" s="10" t="s">
        <v>241</v>
      </c>
      <c r="W1081" s="10" t="s">
        <v>242</v>
      </c>
      <c r="X1081" s="15">
        <f>IF(ISERROR(VLOOKUP($A1081,'13. Updated Demand'!A:Z,15,FALSE)),0,VLOOKUP($A1081,'13. Updated Demand'!A:Z,15,FALSE))</f>
        <v>4.5</v>
      </c>
      <c r="Y1081" s="16">
        <f>IF(ISERROR(VLOOKUP($A1081,'13. Updated Demand'!A:Z,16,FALSE)),0,VLOOKUP($A1081,'13. Updated Demand'!A:Z,16,FALSE))</f>
        <v>1</v>
      </c>
      <c r="Z1081" s="16">
        <f>IF(ISERROR(VLOOKUP($A1081,'13. Updated Demand'!A:Z,17,FALSE)),0,VLOOKUP($A1081,'13. Updated Demand'!A:Z,17,FALSE))</f>
        <v>2.66</v>
      </c>
      <c r="AA1081" s="16">
        <f>IF(ISERROR(VLOOKUP($A1081,'13. Updated Demand'!A:Z,18,FALSE)),0,VLOOKUP($A1081,'13. Updated Demand'!A:Z,18,FALSE))</f>
        <v>1.66</v>
      </c>
      <c r="AB1081" s="16">
        <f>IF(ISERROR(VLOOKUP($A1081,'13. Updated Demand'!A:Z,19,FALSE)),0,VLOOKUP($A1081,'13. Updated Demand'!A:Z,19,FALSE))</f>
        <v>0</v>
      </c>
      <c r="AC1081" s="16">
        <f>IF(ISERROR(VLOOKUP($A1081,'13. Updated Demand'!A:Z,20,FALSE)),0,VLOOKUP($A1081,'13. Updated Demand'!A:Z,20,FALSE))</f>
        <v>0</v>
      </c>
      <c r="AD1081" s="16">
        <f>IF(ISERROR(VLOOKUP($A1081,'13. Updated Demand'!A:Z,21,FALSE)),0,VLOOKUP($A1081,'13. Updated Demand'!A:Z,21,FALSE))</f>
        <v>0</v>
      </c>
      <c r="AE1081" s="16">
        <f>IF(ISERROR(VLOOKUP($A1081,'13. Updated Demand'!A:Z,22,FALSE)),0,VLOOKUP($A1081,'13. Updated Demand'!A:Z,22,FALSE))</f>
        <v>0</v>
      </c>
      <c r="AF1081" s="16">
        <f>IF(ISERROR(VLOOKUP($A1081,'13. Updated Demand'!A:Z,23,FALSE)),0,VLOOKUP($A1081,'13. Updated Demand'!A:Z,23,FALSE))</f>
        <v>0</v>
      </c>
      <c r="AG1081" s="16">
        <f>IF(ISERROR(VLOOKUP($A1081,'13. Updated Demand'!A:Z,24,FALSE)),0,VLOOKUP($A1081,'13. Updated Demand'!A:Z,24,FALSE))</f>
        <v>0</v>
      </c>
      <c r="AH1081" s="16">
        <f>IF(ISERROR(VLOOKUP($A1081,'13. Updated Demand'!A:Z,25,FALSE)),0,VLOOKUP($A1081,'13. Updated Demand'!A:Z,25,FALSE))</f>
        <v>0</v>
      </c>
      <c r="AI1081" s="16">
        <f>IF(ISERROR(VLOOKUP($A1081,'13. Updated Demand'!A:Z,26,FALSE)),0,VLOOKUP($A1081,'13. Updated Demand'!A:Z,26,FALSE))</f>
        <v>0</v>
      </c>
      <c r="AJ1081" s="16">
        <f t="shared" si="204"/>
        <v>9.82</v>
      </c>
      <c r="AK1081" s="19">
        <v>0</v>
      </c>
      <c r="AL1081" s="16">
        <f t="shared" si="202"/>
        <v>0</v>
      </c>
      <c r="AM1081" s="17">
        <v>0.75641025646153837</v>
      </c>
      <c r="AN1081" s="19"/>
      <c r="AO1081" s="19"/>
      <c r="AP1081" s="19">
        <v>13</v>
      </c>
      <c r="AQ1081" s="19" t="s">
        <v>307</v>
      </c>
      <c r="AR1081" s="9" t="s">
        <v>317</v>
      </c>
      <c r="AS1081" s="12">
        <v>0</v>
      </c>
      <c r="AT1081" s="19">
        <v>39.303014220000001</v>
      </c>
      <c r="AU1081" s="19">
        <v>-123.19701506</v>
      </c>
      <c r="AV1081" s="19" t="s">
        <v>417</v>
      </c>
    </row>
    <row r="1082" spans="1:48" x14ac:dyDescent="0.25">
      <c r="A1082" s="18" t="s">
        <v>1472</v>
      </c>
      <c r="B1082" s="10">
        <v>19560522</v>
      </c>
      <c r="C1082" s="9">
        <v>16</v>
      </c>
      <c r="D1082" s="8" t="str">
        <f t="shared" si="193"/>
        <v>N</v>
      </c>
      <c r="E1082" s="8" t="str">
        <f t="shared" si="194"/>
        <v>N</v>
      </c>
      <c r="F1082" s="8" t="str">
        <f t="shared" si="195"/>
        <v>N</v>
      </c>
      <c r="G1082" s="8" t="str">
        <f t="shared" si="196"/>
        <v>N</v>
      </c>
      <c r="H1082" s="8" t="str">
        <f t="shared" si="197"/>
        <v>Lower</v>
      </c>
      <c r="I1082" s="8" t="str">
        <f t="shared" si="198"/>
        <v>Outside</v>
      </c>
      <c r="J1082" s="8" t="str">
        <f t="shared" si="199"/>
        <v>Outside</v>
      </c>
      <c r="K1082" s="8" t="str">
        <f t="shared" si="200"/>
        <v>Post-1949</v>
      </c>
      <c r="L1082" s="8">
        <f t="shared" si="201"/>
        <v>1956</v>
      </c>
      <c r="M1082" s="8" t="str">
        <f t="shared" si="203"/>
        <v>1955-1956</v>
      </c>
      <c r="N1082" s="10" t="s">
        <v>242</v>
      </c>
      <c r="O1082" s="10" t="s">
        <v>242</v>
      </c>
      <c r="P1082" s="10" t="s">
        <v>242</v>
      </c>
      <c r="Q1082" s="10" t="s">
        <v>242</v>
      </c>
      <c r="R1082" s="10" t="s">
        <v>241</v>
      </c>
      <c r="S1082" s="10" t="s">
        <v>242</v>
      </c>
      <c r="T1082" s="10" t="s">
        <v>242</v>
      </c>
      <c r="U1082" s="10" t="s">
        <v>241</v>
      </c>
      <c r="V1082" s="10" t="s">
        <v>241</v>
      </c>
      <c r="W1082" s="10" t="s">
        <v>242</v>
      </c>
      <c r="X1082" s="15">
        <f>IF(ISERROR(VLOOKUP($A1082,'13. Updated Demand'!A:Z,15,FALSE)),0,VLOOKUP($A1082,'13. Updated Demand'!A:Z,15,FALSE))</f>
        <v>0</v>
      </c>
      <c r="Y1082" s="16">
        <f>IF(ISERROR(VLOOKUP($A1082,'13. Updated Demand'!A:Z,16,FALSE)),0,VLOOKUP($A1082,'13. Updated Demand'!A:Z,16,FALSE))</f>
        <v>0</v>
      </c>
      <c r="Z1082" s="16">
        <f>IF(ISERROR(VLOOKUP($A1082,'13. Updated Demand'!A:Z,17,FALSE)),0,VLOOKUP($A1082,'13. Updated Demand'!A:Z,17,FALSE))</f>
        <v>0</v>
      </c>
      <c r="AA1082" s="16">
        <f>IF(ISERROR(VLOOKUP($A1082,'13. Updated Demand'!A:Z,18,FALSE)),0,VLOOKUP($A1082,'13. Updated Demand'!A:Z,18,FALSE))</f>
        <v>0</v>
      </c>
      <c r="AB1082" s="16">
        <f>IF(ISERROR(VLOOKUP($A1082,'13. Updated Demand'!A:Z,19,FALSE)),0,VLOOKUP($A1082,'13. Updated Demand'!A:Z,19,FALSE))</f>
        <v>0</v>
      </c>
      <c r="AC1082" s="16">
        <f>IF(ISERROR(VLOOKUP($A1082,'13. Updated Demand'!A:Z,20,FALSE)),0,VLOOKUP($A1082,'13. Updated Demand'!A:Z,20,FALSE))</f>
        <v>0</v>
      </c>
      <c r="AD1082" s="16">
        <f>IF(ISERROR(VLOOKUP($A1082,'13. Updated Demand'!A:Z,21,FALSE)),0,VLOOKUP($A1082,'13. Updated Demand'!A:Z,21,FALSE))</f>
        <v>0</v>
      </c>
      <c r="AE1082" s="16">
        <f>IF(ISERROR(VLOOKUP($A1082,'13. Updated Demand'!A:Z,22,FALSE)),0,VLOOKUP($A1082,'13. Updated Demand'!A:Z,22,FALSE))</f>
        <v>0</v>
      </c>
      <c r="AF1082" s="16">
        <f>IF(ISERROR(VLOOKUP($A1082,'13. Updated Demand'!A:Z,23,FALSE)),0,VLOOKUP($A1082,'13. Updated Demand'!A:Z,23,FALSE))</f>
        <v>0</v>
      </c>
      <c r="AG1082" s="16">
        <f>IF(ISERROR(VLOOKUP($A1082,'13. Updated Demand'!A:Z,24,FALSE)),0,VLOOKUP($A1082,'13. Updated Demand'!A:Z,24,FALSE))</f>
        <v>0</v>
      </c>
      <c r="AH1082" s="16">
        <f>IF(ISERROR(VLOOKUP($A1082,'13. Updated Demand'!A:Z,25,FALSE)),0,VLOOKUP($A1082,'13. Updated Demand'!A:Z,25,FALSE))</f>
        <v>0</v>
      </c>
      <c r="AI1082" s="16">
        <f>IF(ISERROR(VLOOKUP($A1082,'13. Updated Demand'!A:Z,26,FALSE)),0,VLOOKUP($A1082,'13. Updated Demand'!A:Z,26,FALSE))</f>
        <v>0</v>
      </c>
      <c r="AJ1082" s="16">
        <f t="shared" si="204"/>
        <v>0</v>
      </c>
      <c r="AK1082" s="19">
        <v>0</v>
      </c>
      <c r="AL1082" s="16">
        <f t="shared" si="202"/>
        <v>0</v>
      </c>
      <c r="AM1082" s="17">
        <v>0</v>
      </c>
      <c r="AN1082" s="19"/>
      <c r="AO1082" s="19"/>
      <c r="AP1082" s="19">
        <v>10</v>
      </c>
      <c r="AQ1082" s="19" t="s">
        <v>307</v>
      </c>
      <c r="AR1082" s="9" t="s">
        <v>394</v>
      </c>
      <c r="AS1082" s="12">
        <v>0</v>
      </c>
      <c r="AT1082" s="19">
        <v>38.660878920000002</v>
      </c>
      <c r="AU1082" s="19">
        <v>-122.90779769</v>
      </c>
      <c r="AV1082" s="19" t="s">
        <v>417</v>
      </c>
    </row>
    <row r="1083" spans="1:48" x14ac:dyDescent="0.25">
      <c r="A1083" s="18" t="s">
        <v>1473</v>
      </c>
      <c r="B1083" s="10">
        <v>19560523</v>
      </c>
      <c r="C1083" s="9">
        <v>12</v>
      </c>
      <c r="D1083" s="8" t="str">
        <f t="shared" si="193"/>
        <v>N</v>
      </c>
      <c r="E1083" s="8" t="str">
        <f t="shared" si="194"/>
        <v>Y</v>
      </c>
      <c r="F1083" s="8" t="str">
        <f t="shared" si="195"/>
        <v>Y</v>
      </c>
      <c r="G1083" s="8" t="str">
        <f t="shared" si="196"/>
        <v>Y</v>
      </c>
      <c r="H1083" s="8" t="str">
        <f t="shared" si="197"/>
        <v>Upper</v>
      </c>
      <c r="I1083" s="8" t="str">
        <f t="shared" si="198"/>
        <v>West Fork and Below Lake</v>
      </c>
      <c r="J1083" s="8" t="str">
        <f t="shared" si="199"/>
        <v>Sonoma (d/s of Clov. Gage)</v>
      </c>
      <c r="K1083" s="8" t="str">
        <f t="shared" si="200"/>
        <v>Post-1949</v>
      </c>
      <c r="L1083" s="8">
        <f t="shared" si="201"/>
        <v>1956</v>
      </c>
      <c r="M1083" s="8" t="str">
        <f t="shared" si="203"/>
        <v>1955-1956</v>
      </c>
      <c r="N1083" s="10" t="s">
        <v>241</v>
      </c>
      <c r="O1083" s="10" t="s">
        <v>241</v>
      </c>
      <c r="P1083" s="10" t="s">
        <v>242</v>
      </c>
      <c r="Q1083" s="10" t="s">
        <v>242</v>
      </c>
      <c r="R1083" s="10" t="s">
        <v>241</v>
      </c>
      <c r="S1083" s="10" t="s">
        <v>242</v>
      </c>
      <c r="T1083" s="10" t="s">
        <v>242</v>
      </c>
      <c r="U1083" s="10" t="s">
        <v>242</v>
      </c>
      <c r="V1083" s="10" t="s">
        <v>242</v>
      </c>
      <c r="W1083" s="10" t="s">
        <v>242</v>
      </c>
      <c r="X1083" s="15">
        <f>IF(ISERROR(VLOOKUP($A1083,'13. Updated Demand'!A:Z,15,FALSE)),0,VLOOKUP($A1083,'13. Updated Demand'!A:Z,15,FALSE))</f>
        <v>0.05</v>
      </c>
      <c r="Y1083" s="16">
        <f>IF(ISERROR(VLOOKUP($A1083,'13. Updated Demand'!A:Z,16,FALSE)),0,VLOOKUP($A1083,'13. Updated Demand'!A:Z,16,FALSE))</f>
        <v>0.05</v>
      </c>
      <c r="Z1083" s="16">
        <f>IF(ISERROR(VLOOKUP($A1083,'13. Updated Demand'!A:Z,17,FALSE)),0,VLOOKUP($A1083,'13. Updated Demand'!A:Z,17,FALSE))</f>
        <v>0.05</v>
      </c>
      <c r="AA1083" s="16">
        <f>IF(ISERROR(VLOOKUP($A1083,'13. Updated Demand'!A:Z,18,FALSE)),0,VLOOKUP($A1083,'13. Updated Demand'!A:Z,18,FALSE))</f>
        <v>0.05</v>
      </c>
      <c r="AB1083" s="16">
        <f>IF(ISERROR(VLOOKUP($A1083,'13. Updated Demand'!A:Z,19,FALSE)),0,VLOOKUP($A1083,'13. Updated Demand'!A:Z,19,FALSE))</f>
        <v>0.05</v>
      </c>
      <c r="AC1083" s="16">
        <f>IF(ISERROR(VLOOKUP($A1083,'13. Updated Demand'!A:Z,20,FALSE)),0,VLOOKUP($A1083,'13. Updated Demand'!A:Z,20,FALSE))</f>
        <v>0.51</v>
      </c>
      <c r="AD1083" s="16">
        <f>IF(ISERROR(VLOOKUP($A1083,'13. Updated Demand'!A:Z,21,FALSE)),0,VLOOKUP($A1083,'13. Updated Demand'!A:Z,21,FALSE))</f>
        <v>0.51</v>
      </c>
      <c r="AE1083" s="16">
        <f>IF(ISERROR(VLOOKUP($A1083,'13. Updated Demand'!A:Z,22,FALSE)),0,VLOOKUP($A1083,'13. Updated Demand'!A:Z,22,FALSE))</f>
        <v>0.51</v>
      </c>
      <c r="AF1083" s="16">
        <f>IF(ISERROR(VLOOKUP($A1083,'13. Updated Demand'!A:Z,23,FALSE)),0,VLOOKUP($A1083,'13. Updated Demand'!A:Z,23,FALSE))</f>
        <v>0.51</v>
      </c>
      <c r="AG1083" s="16">
        <f>IF(ISERROR(VLOOKUP($A1083,'13. Updated Demand'!A:Z,24,FALSE)),0,VLOOKUP($A1083,'13. Updated Demand'!A:Z,24,FALSE))</f>
        <v>0.37</v>
      </c>
      <c r="AH1083" s="16">
        <f>IF(ISERROR(VLOOKUP($A1083,'13. Updated Demand'!A:Z,25,FALSE)),0,VLOOKUP($A1083,'13. Updated Demand'!A:Z,25,FALSE))</f>
        <v>0.05</v>
      </c>
      <c r="AI1083" s="16">
        <f>IF(ISERROR(VLOOKUP($A1083,'13. Updated Demand'!A:Z,26,FALSE)),0,VLOOKUP($A1083,'13. Updated Demand'!A:Z,26,FALSE))</f>
        <v>0.05</v>
      </c>
      <c r="AJ1083" s="16">
        <f t="shared" si="204"/>
        <v>2.76</v>
      </c>
      <c r="AK1083" s="19">
        <v>2.1148539999999998</v>
      </c>
      <c r="AL1083" s="16">
        <f t="shared" si="202"/>
        <v>7.0147298134909638E-3</v>
      </c>
      <c r="AM1083" s="17">
        <v>4.6895400000000004E-2</v>
      </c>
      <c r="AN1083" s="19"/>
      <c r="AO1083" s="19"/>
      <c r="AP1083" s="19">
        <v>60</v>
      </c>
      <c r="AQ1083" s="19" t="s">
        <v>307</v>
      </c>
      <c r="AR1083" s="9" t="s">
        <v>311</v>
      </c>
      <c r="AS1083" s="12">
        <v>0</v>
      </c>
      <c r="AT1083" s="19">
        <v>38.631291390000001</v>
      </c>
      <c r="AU1083" s="19">
        <v>-122.82480044</v>
      </c>
      <c r="AV1083" s="19" t="s">
        <v>387</v>
      </c>
    </row>
    <row r="1084" spans="1:48" x14ac:dyDescent="0.25">
      <c r="A1084" s="18" t="s">
        <v>150</v>
      </c>
      <c r="B1084" s="10">
        <v>19560608</v>
      </c>
      <c r="C1084" s="9">
        <v>12</v>
      </c>
      <c r="D1084" s="8" t="str">
        <f t="shared" si="193"/>
        <v>N</v>
      </c>
      <c r="E1084" s="8" t="str">
        <f t="shared" si="194"/>
        <v>Y</v>
      </c>
      <c r="F1084" s="8" t="str">
        <f t="shared" si="195"/>
        <v>Y</v>
      </c>
      <c r="G1084" s="8" t="str">
        <f t="shared" si="196"/>
        <v>Y</v>
      </c>
      <c r="H1084" s="8" t="str">
        <f t="shared" si="197"/>
        <v>Upper</v>
      </c>
      <c r="I1084" s="8" t="str">
        <f t="shared" si="198"/>
        <v>West Fork and Below Lake</v>
      </c>
      <c r="J1084" s="8" t="str">
        <f t="shared" si="199"/>
        <v>Sonoma (d/s of Clov. Gage)</v>
      </c>
      <c r="K1084" s="8" t="str">
        <f t="shared" si="200"/>
        <v>Post-1949</v>
      </c>
      <c r="L1084" s="8">
        <f t="shared" si="201"/>
        <v>1956</v>
      </c>
      <c r="M1084" s="8" t="str">
        <f t="shared" si="203"/>
        <v>1955-1956</v>
      </c>
      <c r="N1084" s="10" t="s">
        <v>241</v>
      </c>
      <c r="O1084" s="10" t="s">
        <v>241</v>
      </c>
      <c r="P1084" s="10" t="s">
        <v>242</v>
      </c>
      <c r="Q1084" s="10" t="s">
        <v>242</v>
      </c>
      <c r="R1084" s="10" t="s">
        <v>241</v>
      </c>
      <c r="S1084" s="10" t="s">
        <v>242</v>
      </c>
      <c r="T1084" s="10" t="s">
        <v>242</v>
      </c>
      <c r="U1084" s="10" t="s">
        <v>242</v>
      </c>
      <c r="V1084" s="10" t="s">
        <v>242</v>
      </c>
      <c r="W1084" s="10" t="s">
        <v>242</v>
      </c>
      <c r="X1084" s="15">
        <f>IF(ISERROR(VLOOKUP($A1084,'13. Updated Demand'!A:Z,15,FALSE)),0,VLOOKUP($A1084,'13. Updated Demand'!A:Z,15,FALSE))</f>
        <v>89.91</v>
      </c>
      <c r="Y1084" s="16">
        <f>IF(ISERROR(VLOOKUP($A1084,'13. Updated Demand'!A:Z,16,FALSE)),0,VLOOKUP($A1084,'13. Updated Demand'!A:Z,16,FALSE))</f>
        <v>84.14</v>
      </c>
      <c r="Z1084" s="16">
        <f>IF(ISERROR(VLOOKUP($A1084,'13. Updated Demand'!A:Z,17,FALSE)),0,VLOOKUP($A1084,'13. Updated Demand'!A:Z,17,FALSE))</f>
        <v>93.98</v>
      </c>
      <c r="AA1084" s="16">
        <f>IF(ISERROR(VLOOKUP($A1084,'13. Updated Demand'!A:Z,18,FALSE)),0,VLOOKUP($A1084,'13. Updated Demand'!A:Z,18,FALSE))</f>
        <v>96.88</v>
      </c>
      <c r="AB1084" s="16">
        <f>IF(ISERROR(VLOOKUP($A1084,'13. Updated Demand'!A:Z,19,FALSE)),0,VLOOKUP($A1084,'13. Updated Demand'!A:Z,19,FALSE))</f>
        <v>108.27</v>
      </c>
      <c r="AC1084" s="16">
        <f>IF(ISERROR(VLOOKUP($A1084,'13. Updated Demand'!A:Z,20,FALSE)),0,VLOOKUP($A1084,'13. Updated Demand'!A:Z,20,FALSE))</f>
        <v>108.15</v>
      </c>
      <c r="AD1084" s="16">
        <f>IF(ISERROR(VLOOKUP($A1084,'13. Updated Demand'!A:Z,21,FALSE)),0,VLOOKUP($A1084,'13. Updated Demand'!A:Z,21,FALSE))</f>
        <v>117.18</v>
      </c>
      <c r="AE1084" s="16">
        <f>IF(ISERROR(VLOOKUP($A1084,'13. Updated Demand'!A:Z,22,FALSE)),0,VLOOKUP($A1084,'13. Updated Demand'!A:Z,22,FALSE))</f>
        <v>126.86</v>
      </c>
      <c r="AF1084" s="16">
        <f>IF(ISERROR(VLOOKUP($A1084,'13. Updated Demand'!A:Z,23,FALSE)),0,VLOOKUP($A1084,'13. Updated Demand'!A:Z,23,FALSE))</f>
        <v>107.72</v>
      </c>
      <c r="AG1084" s="16">
        <f>IF(ISERROR(VLOOKUP($A1084,'13. Updated Demand'!A:Z,24,FALSE)),0,VLOOKUP($A1084,'13. Updated Demand'!A:Z,24,FALSE))</f>
        <v>103.25</v>
      </c>
      <c r="AH1084" s="16">
        <f>IF(ISERROR(VLOOKUP($A1084,'13. Updated Demand'!A:Z,25,FALSE)),0,VLOOKUP($A1084,'13. Updated Demand'!A:Z,25,FALSE))</f>
        <v>126.59</v>
      </c>
      <c r="AI1084" s="16">
        <f>IF(ISERROR(VLOOKUP($A1084,'13. Updated Demand'!A:Z,26,FALSE)),0,VLOOKUP($A1084,'13. Updated Demand'!A:Z,26,FALSE))</f>
        <v>96.49</v>
      </c>
      <c r="AJ1084" s="16">
        <f t="shared" si="204"/>
        <v>1259.42</v>
      </c>
      <c r="AK1084" s="19">
        <v>568.20000000000005</v>
      </c>
      <c r="AL1084" s="16">
        <f t="shared" si="202"/>
        <v>1.8846546759377085</v>
      </c>
      <c r="AM1084" s="17">
        <v>0.43491372860480909</v>
      </c>
      <c r="AN1084" s="19"/>
      <c r="AO1084" s="19"/>
      <c r="AP1084" s="19">
        <v>2895.9</v>
      </c>
      <c r="AQ1084" s="19" t="s">
        <v>307</v>
      </c>
      <c r="AR1084" s="9" t="s">
        <v>311</v>
      </c>
      <c r="AS1084" s="12">
        <v>0</v>
      </c>
      <c r="AT1084" s="19">
        <v>38.633713229999998</v>
      </c>
      <c r="AU1084" s="19">
        <v>-122.85437302</v>
      </c>
      <c r="AV1084" s="19" t="s">
        <v>1474</v>
      </c>
    </row>
    <row r="1085" spans="1:48" x14ac:dyDescent="0.25">
      <c r="A1085" s="18" t="s">
        <v>1475</v>
      </c>
      <c r="B1085" s="10">
        <v>19560621</v>
      </c>
      <c r="C1085" s="9">
        <v>6</v>
      </c>
      <c r="D1085" s="8" t="str">
        <f t="shared" si="193"/>
        <v>Y</v>
      </c>
      <c r="E1085" s="8" t="str">
        <f t="shared" si="194"/>
        <v>N</v>
      </c>
      <c r="F1085" s="8" t="str">
        <f t="shared" si="195"/>
        <v>Y</v>
      </c>
      <c r="G1085" s="8" t="str">
        <f t="shared" si="196"/>
        <v>Y</v>
      </c>
      <c r="H1085" s="8" t="str">
        <f t="shared" si="197"/>
        <v>Upper</v>
      </c>
      <c r="I1085" s="8" t="str">
        <f t="shared" si="198"/>
        <v>West Fork and Below Lake</v>
      </c>
      <c r="J1085" s="8" t="str">
        <f t="shared" si="199"/>
        <v>Mendocino (d/s of lake)</v>
      </c>
      <c r="K1085" s="8" t="str">
        <f t="shared" si="200"/>
        <v>Post-1949</v>
      </c>
      <c r="L1085" s="8">
        <f t="shared" si="201"/>
        <v>1956</v>
      </c>
      <c r="M1085" s="8" t="str">
        <f t="shared" si="203"/>
        <v>1955-1956</v>
      </c>
      <c r="N1085" s="10" t="s">
        <v>241</v>
      </c>
      <c r="O1085" s="10" t="s">
        <v>241</v>
      </c>
      <c r="P1085" s="10" t="s">
        <v>242</v>
      </c>
      <c r="Q1085" s="10" t="s">
        <v>242</v>
      </c>
      <c r="R1085" s="10" t="s">
        <v>241</v>
      </c>
      <c r="S1085" s="10" t="s">
        <v>242</v>
      </c>
      <c r="T1085" s="10" t="s">
        <v>242</v>
      </c>
      <c r="U1085" s="10" t="s">
        <v>241</v>
      </c>
      <c r="V1085" s="10" t="s">
        <v>241</v>
      </c>
      <c r="W1085" s="10" t="s">
        <v>242</v>
      </c>
      <c r="X1085" s="15">
        <f>IF(ISERROR(VLOOKUP($A1085,'13. Updated Demand'!A:Z,15,FALSE)),0,VLOOKUP($A1085,'13. Updated Demand'!A:Z,15,FALSE))</f>
        <v>0</v>
      </c>
      <c r="Y1085" s="16">
        <f>IF(ISERROR(VLOOKUP($A1085,'13. Updated Demand'!A:Z,16,FALSE)),0,VLOOKUP($A1085,'13. Updated Demand'!A:Z,16,FALSE))</f>
        <v>0</v>
      </c>
      <c r="Z1085" s="16">
        <f>IF(ISERROR(VLOOKUP($A1085,'13. Updated Demand'!A:Z,17,FALSE)),0,VLOOKUP($A1085,'13. Updated Demand'!A:Z,17,FALSE))</f>
        <v>0</v>
      </c>
      <c r="AA1085" s="16">
        <f>IF(ISERROR(VLOOKUP($A1085,'13. Updated Demand'!A:Z,18,FALSE)),0,VLOOKUP($A1085,'13. Updated Demand'!A:Z,18,FALSE))</f>
        <v>0</v>
      </c>
      <c r="AB1085" s="16">
        <f>IF(ISERROR(VLOOKUP($A1085,'13. Updated Demand'!A:Z,19,FALSE)),0,VLOOKUP($A1085,'13. Updated Demand'!A:Z,19,FALSE))</f>
        <v>0</v>
      </c>
      <c r="AC1085" s="16">
        <f>IF(ISERROR(VLOOKUP($A1085,'13. Updated Demand'!A:Z,20,FALSE)),0,VLOOKUP($A1085,'13. Updated Demand'!A:Z,20,FALSE))</f>
        <v>0</v>
      </c>
      <c r="AD1085" s="16">
        <f>IF(ISERROR(VLOOKUP($A1085,'13. Updated Demand'!A:Z,21,FALSE)),0,VLOOKUP($A1085,'13. Updated Demand'!A:Z,21,FALSE))</f>
        <v>0</v>
      </c>
      <c r="AE1085" s="16">
        <f>IF(ISERROR(VLOOKUP($A1085,'13. Updated Demand'!A:Z,22,FALSE)),0,VLOOKUP($A1085,'13. Updated Demand'!A:Z,22,FALSE))</f>
        <v>0</v>
      </c>
      <c r="AF1085" s="16">
        <f>IF(ISERROR(VLOOKUP($A1085,'13. Updated Demand'!A:Z,23,FALSE)),0,VLOOKUP($A1085,'13. Updated Demand'!A:Z,23,FALSE))</f>
        <v>0</v>
      </c>
      <c r="AG1085" s="16">
        <f>IF(ISERROR(VLOOKUP($A1085,'13. Updated Demand'!A:Z,24,FALSE)),0,VLOOKUP($A1085,'13. Updated Demand'!A:Z,24,FALSE))</f>
        <v>0</v>
      </c>
      <c r="AH1085" s="16">
        <f>IF(ISERROR(VLOOKUP($A1085,'13. Updated Demand'!A:Z,25,FALSE)),0,VLOOKUP($A1085,'13. Updated Demand'!A:Z,25,FALSE))</f>
        <v>0</v>
      </c>
      <c r="AI1085" s="16">
        <f>IF(ISERROR(VLOOKUP($A1085,'13. Updated Demand'!A:Z,26,FALSE)),0,VLOOKUP($A1085,'13. Updated Demand'!A:Z,26,FALSE))</f>
        <v>0</v>
      </c>
      <c r="AJ1085" s="16">
        <f t="shared" si="204"/>
        <v>0</v>
      </c>
      <c r="AK1085" s="19">
        <v>0</v>
      </c>
      <c r="AL1085" s="16">
        <f t="shared" si="202"/>
        <v>0</v>
      </c>
      <c r="AM1085" s="17">
        <v>0</v>
      </c>
      <c r="AN1085" s="19"/>
      <c r="AO1085" s="19"/>
      <c r="AP1085" s="19">
        <v>78</v>
      </c>
      <c r="AQ1085" s="19" t="s">
        <v>307</v>
      </c>
      <c r="AR1085" s="9" t="s">
        <v>319</v>
      </c>
      <c r="AS1085" s="12">
        <v>0</v>
      </c>
      <c r="AT1085" s="19">
        <v>38.973700000000001</v>
      </c>
      <c r="AU1085" s="19">
        <v>-123.1095</v>
      </c>
      <c r="AV1085" s="19" t="s">
        <v>387</v>
      </c>
    </row>
    <row r="1086" spans="1:48" x14ac:dyDescent="0.25">
      <c r="A1086" s="18" t="s">
        <v>149</v>
      </c>
      <c r="B1086" s="10">
        <v>19560810</v>
      </c>
      <c r="C1086" s="9">
        <v>4</v>
      </c>
      <c r="D1086" s="8" t="str">
        <f t="shared" si="193"/>
        <v>Y</v>
      </c>
      <c r="E1086" s="8" t="str">
        <f t="shared" si="194"/>
        <v>N</v>
      </c>
      <c r="F1086" s="8" t="str">
        <f t="shared" si="195"/>
        <v>Y</v>
      </c>
      <c r="G1086" s="8" t="str">
        <f t="shared" si="196"/>
        <v>Y</v>
      </c>
      <c r="H1086" s="8" t="str">
        <f t="shared" si="197"/>
        <v>Upper</v>
      </c>
      <c r="I1086" s="8" t="str">
        <f t="shared" si="198"/>
        <v>West Fork and Below Lake</v>
      </c>
      <c r="J1086" s="8" t="str">
        <f t="shared" si="199"/>
        <v>Mendocino (d/s of lake)</v>
      </c>
      <c r="K1086" s="8" t="str">
        <f t="shared" si="200"/>
        <v>Post-1949</v>
      </c>
      <c r="L1086" s="8">
        <f t="shared" si="201"/>
        <v>1956</v>
      </c>
      <c r="M1086" s="8" t="str">
        <f t="shared" si="203"/>
        <v>1955-1956</v>
      </c>
      <c r="N1086" s="10" t="s">
        <v>241</v>
      </c>
      <c r="O1086" s="10" t="s">
        <v>241</v>
      </c>
      <c r="P1086" s="10" t="s">
        <v>242</v>
      </c>
      <c r="Q1086" s="10" t="s">
        <v>242</v>
      </c>
      <c r="R1086" s="10" t="s">
        <v>241</v>
      </c>
      <c r="S1086" s="10" t="s">
        <v>242</v>
      </c>
      <c r="T1086" s="10" t="s">
        <v>242</v>
      </c>
      <c r="U1086" s="10" t="s">
        <v>242</v>
      </c>
      <c r="V1086" s="10" t="s">
        <v>242</v>
      </c>
      <c r="W1086" s="10" t="s">
        <v>242</v>
      </c>
      <c r="X1086" s="15">
        <f>IF(ISERROR(VLOOKUP($A1086,'13. Updated Demand'!A:Z,15,FALSE)),0,VLOOKUP($A1086,'13. Updated Demand'!A:Z,15,FALSE))</f>
        <v>39.299999999999997</v>
      </c>
      <c r="Y1086" s="16">
        <f>IF(ISERROR(VLOOKUP($A1086,'13. Updated Demand'!A:Z,16,FALSE)),0,VLOOKUP($A1086,'13. Updated Demand'!A:Z,16,FALSE))</f>
        <v>35.450000000000003</v>
      </c>
      <c r="Z1086" s="16">
        <f>IF(ISERROR(VLOOKUP($A1086,'13. Updated Demand'!A:Z,17,FALSE)),0,VLOOKUP($A1086,'13. Updated Demand'!A:Z,17,FALSE))</f>
        <v>41.92</v>
      </c>
      <c r="AA1086" s="16">
        <f>IF(ISERROR(VLOOKUP($A1086,'13. Updated Demand'!A:Z,18,FALSE)),0,VLOOKUP($A1086,'13. Updated Demand'!A:Z,18,FALSE))</f>
        <v>43.37</v>
      </c>
      <c r="AB1086" s="16">
        <f>IF(ISERROR(VLOOKUP($A1086,'13. Updated Demand'!A:Z,19,FALSE)),0,VLOOKUP($A1086,'13. Updated Demand'!A:Z,19,FALSE))</f>
        <v>64.760000000000005</v>
      </c>
      <c r="AC1086" s="16">
        <f>IF(ISERROR(VLOOKUP($A1086,'13. Updated Demand'!A:Z,20,FALSE)),0,VLOOKUP($A1086,'13. Updated Demand'!A:Z,20,FALSE))</f>
        <v>48.61</v>
      </c>
      <c r="AD1086" s="16">
        <f>IF(ISERROR(VLOOKUP($A1086,'13. Updated Demand'!A:Z,21,FALSE)),0,VLOOKUP($A1086,'13. Updated Demand'!A:Z,21,FALSE))</f>
        <v>0</v>
      </c>
      <c r="AE1086" s="16">
        <f>IF(ISERROR(VLOOKUP($A1086,'13. Updated Demand'!A:Z,22,FALSE)),0,VLOOKUP($A1086,'13. Updated Demand'!A:Z,22,FALSE))</f>
        <v>0</v>
      </c>
      <c r="AF1086" s="16">
        <f>IF(ISERROR(VLOOKUP($A1086,'13. Updated Demand'!A:Z,23,FALSE)),0,VLOOKUP($A1086,'13. Updated Demand'!A:Z,23,FALSE))</f>
        <v>0</v>
      </c>
      <c r="AG1086" s="16">
        <f>IF(ISERROR(VLOOKUP($A1086,'13. Updated Demand'!A:Z,24,FALSE)),0,VLOOKUP($A1086,'13. Updated Demand'!A:Z,24,FALSE))</f>
        <v>0</v>
      </c>
      <c r="AH1086" s="16">
        <f>IF(ISERROR(VLOOKUP($A1086,'13. Updated Demand'!A:Z,25,FALSE)),0,VLOOKUP($A1086,'13. Updated Demand'!A:Z,25,FALSE))</f>
        <v>31.97</v>
      </c>
      <c r="AI1086" s="16">
        <f>IF(ISERROR(VLOOKUP($A1086,'13. Updated Demand'!A:Z,26,FALSE)),0,VLOOKUP($A1086,'13. Updated Demand'!A:Z,26,FALSE))</f>
        <v>36.93</v>
      </c>
      <c r="AJ1086" s="16">
        <f t="shared" si="204"/>
        <v>342.31</v>
      </c>
      <c r="AK1086" s="19">
        <v>113.37</v>
      </c>
      <c r="AL1086" s="16">
        <f t="shared" si="202"/>
        <v>0.37603537594343189</v>
      </c>
      <c r="AM1086" s="17">
        <v>0.3868972272453286</v>
      </c>
      <c r="AN1086" s="19"/>
      <c r="AO1086" s="19"/>
      <c r="AP1086" s="19">
        <v>884.8</v>
      </c>
      <c r="AQ1086" s="19" t="s">
        <v>307</v>
      </c>
      <c r="AR1086" s="9" t="s">
        <v>331</v>
      </c>
      <c r="AS1086" s="12">
        <v>0</v>
      </c>
      <c r="AT1086" s="19">
        <v>39.118699999999997</v>
      </c>
      <c r="AU1086" s="19">
        <v>-123.19280000000001</v>
      </c>
      <c r="AV1086" s="19" t="s">
        <v>548</v>
      </c>
    </row>
    <row r="1087" spans="1:48" x14ac:dyDescent="0.25">
      <c r="A1087" s="18" t="s">
        <v>1476</v>
      </c>
      <c r="B1087" s="10">
        <v>19560814</v>
      </c>
      <c r="C1087" s="9">
        <v>16</v>
      </c>
      <c r="D1087" s="8" t="str">
        <f t="shared" si="193"/>
        <v>N</v>
      </c>
      <c r="E1087" s="8" t="str">
        <f t="shared" si="194"/>
        <v>N</v>
      </c>
      <c r="F1087" s="8" t="str">
        <f t="shared" si="195"/>
        <v>N</v>
      </c>
      <c r="G1087" s="8" t="str">
        <f t="shared" si="196"/>
        <v>N</v>
      </c>
      <c r="H1087" s="8" t="str">
        <f t="shared" si="197"/>
        <v>Lower</v>
      </c>
      <c r="I1087" s="8" t="str">
        <f t="shared" si="198"/>
        <v>Outside</v>
      </c>
      <c r="J1087" s="8" t="str">
        <f t="shared" si="199"/>
        <v>Outside</v>
      </c>
      <c r="K1087" s="8" t="str">
        <f t="shared" si="200"/>
        <v>Post-1949</v>
      </c>
      <c r="L1087" s="8">
        <f t="shared" si="201"/>
        <v>1956</v>
      </c>
      <c r="M1087" s="8" t="str">
        <f t="shared" si="203"/>
        <v>1955-1956</v>
      </c>
      <c r="N1087" s="10" t="s">
        <v>242</v>
      </c>
      <c r="O1087" s="10" t="s">
        <v>242</v>
      </c>
      <c r="P1087" s="10" t="s">
        <v>242</v>
      </c>
      <c r="Q1087" s="10" t="s">
        <v>242</v>
      </c>
      <c r="R1087" s="10" t="s">
        <v>241</v>
      </c>
      <c r="S1087" s="10" t="s">
        <v>242</v>
      </c>
      <c r="T1087" s="10" t="s">
        <v>242</v>
      </c>
      <c r="U1087" s="10" t="s">
        <v>242</v>
      </c>
      <c r="V1087" s="10" t="s">
        <v>241</v>
      </c>
      <c r="W1087" s="10" t="s">
        <v>242</v>
      </c>
      <c r="X1087" s="15">
        <f>IF(ISERROR(VLOOKUP($A1087,'13. Updated Demand'!A:Z,15,FALSE)),0,VLOOKUP($A1087,'13. Updated Demand'!A:Z,15,FALSE))</f>
        <v>1.6666666670000001</v>
      </c>
      <c r="Y1087" s="16">
        <f>IF(ISERROR(VLOOKUP($A1087,'13. Updated Demand'!A:Z,16,FALSE)),0,VLOOKUP($A1087,'13. Updated Demand'!A:Z,16,FALSE))</f>
        <v>0</v>
      </c>
      <c r="Z1087" s="16">
        <f>IF(ISERROR(VLOOKUP($A1087,'13. Updated Demand'!A:Z,17,FALSE)),0,VLOOKUP($A1087,'13. Updated Demand'!A:Z,17,FALSE))</f>
        <v>0</v>
      </c>
      <c r="AA1087" s="16">
        <f>IF(ISERROR(VLOOKUP($A1087,'13. Updated Demand'!A:Z,18,FALSE)),0,VLOOKUP($A1087,'13. Updated Demand'!A:Z,18,FALSE))</f>
        <v>0</v>
      </c>
      <c r="AB1087" s="16">
        <f>IF(ISERROR(VLOOKUP($A1087,'13. Updated Demand'!A:Z,19,FALSE)),0,VLOOKUP($A1087,'13. Updated Demand'!A:Z,19,FALSE))</f>
        <v>0</v>
      </c>
      <c r="AC1087" s="16">
        <f>IF(ISERROR(VLOOKUP($A1087,'13. Updated Demand'!A:Z,20,FALSE)),0,VLOOKUP($A1087,'13. Updated Demand'!A:Z,20,FALSE))</f>
        <v>0</v>
      </c>
      <c r="AD1087" s="16">
        <f>IF(ISERROR(VLOOKUP($A1087,'13. Updated Demand'!A:Z,21,FALSE)),0,VLOOKUP($A1087,'13. Updated Demand'!A:Z,21,FALSE))</f>
        <v>0</v>
      </c>
      <c r="AE1087" s="16">
        <f>IF(ISERROR(VLOOKUP($A1087,'13. Updated Demand'!A:Z,22,FALSE)),0,VLOOKUP($A1087,'13. Updated Demand'!A:Z,22,FALSE))</f>
        <v>0</v>
      </c>
      <c r="AF1087" s="16">
        <f>IF(ISERROR(VLOOKUP($A1087,'13. Updated Demand'!A:Z,23,FALSE)),0,VLOOKUP($A1087,'13. Updated Demand'!A:Z,23,FALSE))</f>
        <v>0</v>
      </c>
      <c r="AG1087" s="16">
        <f>IF(ISERROR(VLOOKUP($A1087,'13. Updated Demand'!A:Z,24,FALSE)),0,VLOOKUP($A1087,'13. Updated Demand'!A:Z,24,FALSE))</f>
        <v>0</v>
      </c>
      <c r="AH1087" s="16">
        <f>IF(ISERROR(VLOOKUP($A1087,'13. Updated Demand'!A:Z,25,FALSE)),0,VLOOKUP($A1087,'13. Updated Demand'!A:Z,25,FALSE))</f>
        <v>3</v>
      </c>
      <c r="AI1087" s="16">
        <f>IF(ISERROR(VLOOKUP($A1087,'13. Updated Demand'!A:Z,26,FALSE)),0,VLOOKUP($A1087,'13. Updated Demand'!A:Z,26,FALSE))</f>
        <v>10.7</v>
      </c>
      <c r="AJ1087" s="16">
        <f t="shared" si="204"/>
        <v>15.366666667000001</v>
      </c>
      <c r="AK1087" s="19">
        <v>0</v>
      </c>
      <c r="AL1087" s="16">
        <f t="shared" si="202"/>
        <v>0</v>
      </c>
      <c r="AM1087" s="17">
        <v>0.15065359477450982</v>
      </c>
      <c r="AN1087" s="19"/>
      <c r="AO1087" s="19"/>
      <c r="AP1087" s="19">
        <v>102</v>
      </c>
      <c r="AQ1087" s="19" t="s">
        <v>307</v>
      </c>
      <c r="AR1087" s="9" t="s">
        <v>394</v>
      </c>
      <c r="AS1087" s="12">
        <v>0</v>
      </c>
      <c r="AT1087" s="19">
        <v>38.647101120000002</v>
      </c>
      <c r="AU1087" s="19">
        <v>-122.89624188000001</v>
      </c>
      <c r="AV1087" s="19" t="s">
        <v>417</v>
      </c>
    </row>
    <row r="1088" spans="1:48" x14ac:dyDescent="0.25">
      <c r="A1088" s="18" t="s">
        <v>1477</v>
      </c>
      <c r="B1088" s="10">
        <v>19560815</v>
      </c>
      <c r="C1088" s="9">
        <v>1</v>
      </c>
      <c r="D1088" s="8" t="str">
        <f t="shared" si="193"/>
        <v>N</v>
      </c>
      <c r="E1088" s="8" t="str">
        <f t="shared" si="194"/>
        <v>N</v>
      </c>
      <c r="F1088" s="8" t="str">
        <f t="shared" si="195"/>
        <v>Y</v>
      </c>
      <c r="G1088" s="8" t="str">
        <f t="shared" si="196"/>
        <v>Y</v>
      </c>
      <c r="H1088" s="8" t="str">
        <f t="shared" si="197"/>
        <v>Upper</v>
      </c>
      <c r="I1088" s="8" t="str">
        <f t="shared" si="198"/>
        <v>West Fork and Below Lake</v>
      </c>
      <c r="J1088" s="8" t="str">
        <f t="shared" si="199"/>
        <v>Outside</v>
      </c>
      <c r="K1088" s="8" t="str">
        <f t="shared" si="200"/>
        <v>Post-1949</v>
      </c>
      <c r="L1088" s="8">
        <f t="shared" si="201"/>
        <v>1956</v>
      </c>
      <c r="M1088" s="8" t="str">
        <f t="shared" si="203"/>
        <v>1955-1956</v>
      </c>
      <c r="N1088" s="10" t="s">
        <v>242</v>
      </c>
      <c r="O1088" s="10" t="s">
        <v>241</v>
      </c>
      <c r="P1088" s="10" t="s">
        <v>242</v>
      </c>
      <c r="Q1088" s="10" t="s">
        <v>242</v>
      </c>
      <c r="R1088" s="10" t="s">
        <v>241</v>
      </c>
      <c r="S1088" s="10" t="s">
        <v>242</v>
      </c>
      <c r="T1088" s="10" t="s">
        <v>242</v>
      </c>
      <c r="U1088" s="10" t="s">
        <v>242</v>
      </c>
      <c r="V1088" s="10" t="s">
        <v>242</v>
      </c>
      <c r="W1088" s="10" t="s">
        <v>242</v>
      </c>
      <c r="X1088" s="15">
        <f>IF(ISERROR(VLOOKUP($A1088,'13. Updated Demand'!A:Z,15,FALSE)),0,VLOOKUP($A1088,'13. Updated Demand'!A:Z,15,FALSE))</f>
        <v>0</v>
      </c>
      <c r="Y1088" s="16">
        <f>IF(ISERROR(VLOOKUP($A1088,'13. Updated Demand'!A:Z,16,FALSE)),0,VLOOKUP($A1088,'13. Updated Demand'!A:Z,16,FALSE))</f>
        <v>0</v>
      </c>
      <c r="Z1088" s="16">
        <f>IF(ISERROR(VLOOKUP($A1088,'13. Updated Demand'!A:Z,17,FALSE)),0,VLOOKUP($A1088,'13. Updated Demand'!A:Z,17,FALSE))</f>
        <v>0</v>
      </c>
      <c r="AA1088" s="16">
        <f>IF(ISERROR(VLOOKUP($A1088,'13. Updated Demand'!A:Z,18,FALSE)),0,VLOOKUP($A1088,'13. Updated Demand'!A:Z,18,FALSE))</f>
        <v>0</v>
      </c>
      <c r="AB1088" s="16">
        <f>IF(ISERROR(VLOOKUP($A1088,'13. Updated Demand'!A:Z,19,FALSE)),0,VLOOKUP($A1088,'13. Updated Demand'!A:Z,19,FALSE))</f>
        <v>0</v>
      </c>
      <c r="AC1088" s="16">
        <f>IF(ISERROR(VLOOKUP($A1088,'13. Updated Demand'!A:Z,20,FALSE)),0,VLOOKUP($A1088,'13. Updated Demand'!A:Z,20,FALSE))</f>
        <v>0.33</v>
      </c>
      <c r="AD1088" s="16">
        <f>IF(ISERROR(VLOOKUP($A1088,'13. Updated Demand'!A:Z,21,FALSE)),0,VLOOKUP($A1088,'13. Updated Demand'!A:Z,21,FALSE))</f>
        <v>0.33</v>
      </c>
      <c r="AE1088" s="16">
        <f>IF(ISERROR(VLOOKUP($A1088,'13. Updated Demand'!A:Z,22,FALSE)),0,VLOOKUP($A1088,'13. Updated Demand'!A:Z,22,FALSE))</f>
        <v>0.33</v>
      </c>
      <c r="AF1088" s="16">
        <f>IF(ISERROR(VLOOKUP($A1088,'13. Updated Demand'!A:Z,23,FALSE)),0,VLOOKUP($A1088,'13. Updated Demand'!A:Z,23,FALSE))</f>
        <v>0.33</v>
      </c>
      <c r="AG1088" s="16">
        <f>IF(ISERROR(VLOOKUP($A1088,'13. Updated Demand'!A:Z,24,FALSE)),0,VLOOKUP($A1088,'13. Updated Demand'!A:Z,24,FALSE))</f>
        <v>0</v>
      </c>
      <c r="AH1088" s="16">
        <f>IF(ISERROR(VLOOKUP($A1088,'13. Updated Demand'!A:Z,25,FALSE)),0,VLOOKUP($A1088,'13. Updated Demand'!A:Z,25,FALSE))</f>
        <v>0</v>
      </c>
      <c r="AI1088" s="16">
        <f>IF(ISERROR(VLOOKUP($A1088,'13. Updated Demand'!A:Z,26,FALSE)),0,VLOOKUP($A1088,'13. Updated Demand'!A:Z,26,FALSE))</f>
        <v>0</v>
      </c>
      <c r="AJ1088" s="16">
        <f t="shared" si="204"/>
        <v>1.32</v>
      </c>
      <c r="AK1088" s="19">
        <v>1.337466668</v>
      </c>
      <c r="AL1088" s="16">
        <f t="shared" si="202"/>
        <v>4.436224585985615E-3</v>
      </c>
      <c r="AM1088" s="17">
        <v>0.32621138243902442</v>
      </c>
      <c r="AN1088" s="19"/>
      <c r="AO1088" s="19"/>
      <c r="AP1088" s="19">
        <v>4.0999999999999996</v>
      </c>
      <c r="AQ1088" s="19" t="s">
        <v>307</v>
      </c>
      <c r="AR1088" s="9" t="s">
        <v>317</v>
      </c>
      <c r="AS1088" s="12">
        <v>3.4039024194010059E-4</v>
      </c>
      <c r="AT1088" s="19">
        <v>39.286360979999998</v>
      </c>
      <c r="AU1088" s="19">
        <v>-123.18754581</v>
      </c>
      <c r="AV1088" s="19" t="s">
        <v>417</v>
      </c>
    </row>
    <row r="1089" spans="1:48" x14ac:dyDescent="0.25">
      <c r="A1089" s="18" t="s">
        <v>1478</v>
      </c>
      <c r="B1089" s="10">
        <v>19560905</v>
      </c>
      <c r="C1089" s="9">
        <v>16</v>
      </c>
      <c r="D1089" s="8" t="str">
        <f t="shared" si="193"/>
        <v>N</v>
      </c>
      <c r="E1089" s="8" t="str">
        <f t="shared" si="194"/>
        <v>N</v>
      </c>
      <c r="F1089" s="8" t="str">
        <f t="shared" si="195"/>
        <v>N</v>
      </c>
      <c r="G1089" s="8" t="str">
        <f t="shared" si="196"/>
        <v>N</v>
      </c>
      <c r="H1089" s="8" t="str">
        <f t="shared" si="197"/>
        <v>Lower</v>
      </c>
      <c r="I1089" s="8" t="str">
        <f t="shared" si="198"/>
        <v>Outside</v>
      </c>
      <c r="J1089" s="8" t="str">
        <f t="shared" si="199"/>
        <v>Outside</v>
      </c>
      <c r="K1089" s="8" t="str">
        <f t="shared" si="200"/>
        <v>Post-1949</v>
      </c>
      <c r="L1089" s="8">
        <f t="shared" si="201"/>
        <v>1956</v>
      </c>
      <c r="M1089" s="8" t="str">
        <f t="shared" si="203"/>
        <v>1955-1956</v>
      </c>
      <c r="N1089" s="10" t="s">
        <v>242</v>
      </c>
      <c r="O1089" s="10" t="s">
        <v>242</v>
      </c>
      <c r="P1089" s="10" t="s">
        <v>242</v>
      </c>
      <c r="Q1089" s="10" t="s">
        <v>242</v>
      </c>
      <c r="R1089" s="10" t="s">
        <v>241</v>
      </c>
      <c r="S1089" s="10" t="s">
        <v>242</v>
      </c>
      <c r="T1089" s="10" t="s">
        <v>242</v>
      </c>
      <c r="U1089" s="10" t="s">
        <v>242</v>
      </c>
      <c r="V1089" s="10" t="s">
        <v>242</v>
      </c>
      <c r="W1089" s="10" t="s">
        <v>242</v>
      </c>
      <c r="X1089" s="15">
        <f>IF(ISERROR(VLOOKUP($A1089,'13. Updated Demand'!A:Z,15,FALSE)),0,VLOOKUP($A1089,'13. Updated Demand'!A:Z,15,FALSE))</f>
        <v>0.33333333300000001</v>
      </c>
      <c r="Y1089" s="16">
        <f>IF(ISERROR(VLOOKUP($A1089,'13. Updated Demand'!A:Z,16,FALSE)),0,VLOOKUP($A1089,'13. Updated Demand'!A:Z,16,FALSE))</f>
        <v>0.33333333300000001</v>
      </c>
      <c r="Z1089" s="16">
        <f>IF(ISERROR(VLOOKUP($A1089,'13. Updated Demand'!A:Z,17,FALSE)),0,VLOOKUP($A1089,'13. Updated Demand'!A:Z,17,FALSE))</f>
        <v>0.33333333300000001</v>
      </c>
      <c r="AA1089" s="16">
        <f>IF(ISERROR(VLOOKUP($A1089,'13. Updated Demand'!A:Z,18,FALSE)),0,VLOOKUP($A1089,'13. Updated Demand'!A:Z,18,FALSE))</f>
        <v>0.33333333300000001</v>
      </c>
      <c r="AB1089" s="16">
        <f>IF(ISERROR(VLOOKUP($A1089,'13. Updated Demand'!A:Z,19,FALSE)),0,VLOOKUP($A1089,'13. Updated Demand'!A:Z,19,FALSE))</f>
        <v>0.33333333300000001</v>
      </c>
      <c r="AC1089" s="16">
        <f>IF(ISERROR(VLOOKUP($A1089,'13. Updated Demand'!A:Z,20,FALSE)),0,VLOOKUP($A1089,'13. Updated Demand'!A:Z,20,FALSE))</f>
        <v>0.33333333300000001</v>
      </c>
      <c r="AD1089" s="16">
        <f>IF(ISERROR(VLOOKUP($A1089,'13. Updated Demand'!A:Z,21,FALSE)),0,VLOOKUP($A1089,'13. Updated Demand'!A:Z,21,FALSE))</f>
        <v>0.33333333300000001</v>
      </c>
      <c r="AE1089" s="16">
        <f>IF(ISERROR(VLOOKUP($A1089,'13. Updated Demand'!A:Z,22,FALSE)),0,VLOOKUP($A1089,'13. Updated Demand'!A:Z,22,FALSE))</f>
        <v>0.33333333300000001</v>
      </c>
      <c r="AF1089" s="16">
        <f>IF(ISERROR(VLOOKUP($A1089,'13. Updated Demand'!A:Z,23,FALSE)),0,VLOOKUP($A1089,'13. Updated Demand'!A:Z,23,FALSE))</f>
        <v>0.33333333300000001</v>
      </c>
      <c r="AG1089" s="16">
        <f>IF(ISERROR(VLOOKUP($A1089,'13. Updated Demand'!A:Z,24,FALSE)),0,VLOOKUP($A1089,'13. Updated Demand'!A:Z,24,FALSE))</f>
        <v>0.33333333300000001</v>
      </c>
      <c r="AH1089" s="16">
        <f>IF(ISERROR(VLOOKUP($A1089,'13. Updated Demand'!A:Z,25,FALSE)),0,VLOOKUP($A1089,'13. Updated Demand'!A:Z,25,FALSE))</f>
        <v>0.33333333300000001</v>
      </c>
      <c r="AI1089" s="16">
        <f>IF(ISERROR(VLOOKUP($A1089,'13. Updated Demand'!A:Z,26,FALSE)),0,VLOOKUP($A1089,'13. Updated Demand'!A:Z,26,FALSE))</f>
        <v>0.33333333300000001</v>
      </c>
      <c r="AJ1089" s="16">
        <f t="shared" si="204"/>
        <v>3.999999996000001</v>
      </c>
      <c r="AK1089" s="19">
        <v>1.6666666650000002</v>
      </c>
      <c r="AL1089" s="16">
        <f t="shared" si="202"/>
        <v>5.5281434766310386E-3</v>
      </c>
      <c r="AM1089" s="17">
        <v>0.19999999980000005</v>
      </c>
      <c r="AN1089" s="19"/>
      <c r="AO1089" s="19"/>
      <c r="AP1089" s="19">
        <v>20</v>
      </c>
      <c r="AQ1089" s="19" t="s">
        <v>307</v>
      </c>
      <c r="AR1089" s="9" t="s">
        <v>394</v>
      </c>
      <c r="AS1089" s="12">
        <v>0</v>
      </c>
      <c r="AT1089" s="19">
        <v>38.660346160000003</v>
      </c>
      <c r="AU1089" s="19">
        <v>-122.90568951</v>
      </c>
      <c r="AV1089" s="19" t="s">
        <v>417</v>
      </c>
    </row>
    <row r="1090" spans="1:48" x14ac:dyDescent="0.25">
      <c r="A1090" s="18" t="s">
        <v>38</v>
      </c>
      <c r="B1090" s="10">
        <v>19561119</v>
      </c>
      <c r="C1090" s="9">
        <v>5</v>
      </c>
      <c r="D1090" s="8" t="str">
        <f t="shared" ref="D1090:D1153" si="205">IF(OR(C1090=4,C1090=5,C1090=6),"Y","N")</f>
        <v>Y</v>
      </c>
      <c r="E1090" s="8" t="str">
        <f t="shared" ref="E1090:E1153" si="206">IF(AND(C1090&gt;6,C1090&lt;14),"Y","N")</f>
        <v>N</v>
      </c>
      <c r="F1090" s="8" t="str">
        <f t="shared" ref="F1090:F1153" si="207">IF(C1090&lt;14,"Y","N")</f>
        <v>Y</v>
      </c>
      <c r="G1090" s="8" t="str">
        <f t="shared" ref="G1090:G1153" si="208">IF(OR(C1090=1,AND(C1090&gt;3,C1090&lt;14)),"Y","N")</f>
        <v>Y</v>
      </c>
      <c r="H1090" s="8" t="str">
        <f t="shared" ref="H1090:H1153" si="209">IF(C1090&lt;14,"Upper","Lower")</f>
        <v>Upper</v>
      </c>
      <c r="I1090" s="8" t="str">
        <f t="shared" ref="I1090:I1153" si="210">IF(G1090="Y","West Fork and Below Lake","Outside")</f>
        <v>West Fork and Below Lake</v>
      </c>
      <c r="J1090" s="8" t="str">
        <f t="shared" ref="J1090:J1153" si="211">IF(D1090="Y", "Mendocino (d/s of lake)", IF(E1090="Y", "Sonoma (d/s of Clov. Gage)","Outside"))</f>
        <v>Mendocino (d/s of lake)</v>
      </c>
      <c r="K1090" s="8" t="str">
        <f t="shared" ref="K1090:K1153" si="212">IF(P1090="Y","pre-1914",IF(Q1090="Y","Pre-1949",IF(R1090="Y","Post-1949",IF(S1090="Y","Riparian","Unknown"))))</f>
        <v>Post-1949</v>
      </c>
      <c r="L1090" s="8">
        <f t="shared" ref="L1090:L1153" si="213">_xlfn.NUMBERVALUE(LEFT(B1090,4))</f>
        <v>1956</v>
      </c>
      <c r="M1090" s="8" t="str">
        <f t="shared" si="203"/>
        <v>1955-1956</v>
      </c>
      <c r="N1090" s="10" t="s">
        <v>241</v>
      </c>
      <c r="O1090" s="10" t="s">
        <v>241</v>
      </c>
      <c r="P1090" s="10" t="s">
        <v>242</v>
      </c>
      <c r="Q1090" s="10" t="s">
        <v>242</v>
      </c>
      <c r="R1090" s="10" t="s">
        <v>241</v>
      </c>
      <c r="S1090" s="10" t="s">
        <v>242</v>
      </c>
      <c r="T1090" s="10" t="s">
        <v>242</v>
      </c>
      <c r="U1090" s="10" t="s">
        <v>242</v>
      </c>
      <c r="V1090" s="10" t="s">
        <v>242</v>
      </c>
      <c r="W1090" s="10" t="s">
        <v>242</v>
      </c>
      <c r="X1090" s="15">
        <f>IF(ISERROR(VLOOKUP($A1090,'13. Updated Demand'!A:Z,15,FALSE)),0,VLOOKUP($A1090,'13. Updated Demand'!A:Z,15,FALSE))</f>
        <v>0</v>
      </c>
      <c r="Y1090" s="16">
        <f>IF(ISERROR(VLOOKUP($A1090,'13. Updated Demand'!A:Z,16,FALSE)),0,VLOOKUP($A1090,'13. Updated Demand'!A:Z,16,FALSE))</f>
        <v>0</v>
      </c>
      <c r="Z1090" s="16">
        <f>IF(ISERROR(VLOOKUP($A1090,'13. Updated Demand'!A:Z,17,FALSE)),0,VLOOKUP($A1090,'13. Updated Demand'!A:Z,17,FALSE))</f>
        <v>0</v>
      </c>
      <c r="AA1090" s="16">
        <f>IF(ISERROR(VLOOKUP($A1090,'13. Updated Demand'!A:Z,18,FALSE)),0,VLOOKUP($A1090,'13. Updated Demand'!A:Z,18,FALSE))</f>
        <v>0</v>
      </c>
      <c r="AB1090" s="16">
        <f>IF(ISERROR(VLOOKUP($A1090,'13. Updated Demand'!A:Z,19,FALSE)),0,VLOOKUP($A1090,'13. Updated Demand'!A:Z,19,FALSE))</f>
        <v>0.25</v>
      </c>
      <c r="AC1090" s="16">
        <f>IF(ISERROR(VLOOKUP($A1090,'13. Updated Demand'!A:Z,20,FALSE)),0,VLOOKUP($A1090,'13. Updated Demand'!A:Z,20,FALSE))</f>
        <v>0.41</v>
      </c>
      <c r="AD1090" s="16">
        <f>IF(ISERROR(VLOOKUP($A1090,'13. Updated Demand'!A:Z,21,FALSE)),0,VLOOKUP($A1090,'13. Updated Demand'!A:Z,21,FALSE))</f>
        <v>0.83</v>
      </c>
      <c r="AE1090" s="16">
        <f>IF(ISERROR(VLOOKUP($A1090,'13. Updated Demand'!A:Z,22,FALSE)),0,VLOOKUP($A1090,'13. Updated Demand'!A:Z,22,FALSE))</f>
        <v>1</v>
      </c>
      <c r="AF1090" s="16">
        <f>IF(ISERROR(VLOOKUP($A1090,'13. Updated Demand'!A:Z,23,FALSE)),0,VLOOKUP($A1090,'13. Updated Demand'!A:Z,23,FALSE))</f>
        <v>1</v>
      </c>
      <c r="AG1090" s="16">
        <f>IF(ISERROR(VLOOKUP($A1090,'13. Updated Demand'!A:Z,24,FALSE)),0,VLOOKUP($A1090,'13. Updated Demand'!A:Z,24,FALSE))</f>
        <v>1</v>
      </c>
      <c r="AH1090" s="16">
        <f>IF(ISERROR(VLOOKUP($A1090,'13. Updated Demand'!A:Z,25,FALSE)),0,VLOOKUP($A1090,'13. Updated Demand'!A:Z,25,FALSE))</f>
        <v>0</v>
      </c>
      <c r="AI1090" s="16">
        <f>IF(ISERROR(VLOOKUP($A1090,'13. Updated Demand'!A:Z,26,FALSE)),0,VLOOKUP($A1090,'13. Updated Demand'!A:Z,26,FALSE))</f>
        <v>0</v>
      </c>
      <c r="AJ1090" s="16">
        <f t="shared" si="204"/>
        <v>4.49</v>
      </c>
      <c r="AK1090" s="19">
        <v>3.5</v>
      </c>
      <c r="AL1090" s="16">
        <f t="shared" ref="AL1090:AL1153" si="214">AK1090/152/1.983471</f>
        <v>1.1609101312534282E-2</v>
      </c>
      <c r="AM1090" s="17">
        <v>0.16666666666666666</v>
      </c>
      <c r="AN1090" s="19"/>
      <c r="AO1090" s="19"/>
      <c r="AP1090" s="19">
        <v>27</v>
      </c>
      <c r="AQ1090" s="19" t="s">
        <v>307</v>
      </c>
      <c r="AR1090" s="9" t="s">
        <v>333</v>
      </c>
      <c r="AS1090" s="12">
        <v>0</v>
      </c>
      <c r="AT1090" s="19">
        <v>39.058628169999999</v>
      </c>
      <c r="AU1090" s="19">
        <v>-123.1421714</v>
      </c>
      <c r="AV1090" s="19" t="s">
        <v>387</v>
      </c>
    </row>
    <row r="1091" spans="1:48" x14ac:dyDescent="0.25">
      <c r="A1091" s="18" t="s">
        <v>1479</v>
      </c>
      <c r="B1091" s="10">
        <v>19560907</v>
      </c>
      <c r="C1091" s="9">
        <v>2</v>
      </c>
      <c r="D1091" s="8" t="str">
        <f t="shared" si="205"/>
        <v>N</v>
      </c>
      <c r="E1091" s="8" t="str">
        <f t="shared" si="206"/>
        <v>N</v>
      </c>
      <c r="F1091" s="8" t="str">
        <f t="shared" si="207"/>
        <v>Y</v>
      </c>
      <c r="G1091" s="8" t="str">
        <f t="shared" si="208"/>
        <v>N</v>
      </c>
      <c r="H1091" s="8" t="str">
        <f t="shared" si="209"/>
        <v>Upper</v>
      </c>
      <c r="I1091" s="8" t="str">
        <f t="shared" si="210"/>
        <v>Outside</v>
      </c>
      <c r="J1091" s="8" t="str">
        <f t="shared" si="211"/>
        <v>Outside</v>
      </c>
      <c r="K1091" s="8" t="str">
        <f t="shared" si="212"/>
        <v>Post-1949</v>
      </c>
      <c r="L1091" s="8">
        <f t="shared" si="213"/>
        <v>1956</v>
      </c>
      <c r="M1091" s="8" t="str">
        <f t="shared" ref="M1091:M1154" si="215">IF(L1091=1949,"1949",IF(AND(L1091&gt;1949,L1091&lt;1953),"1950-1952",IF(AND(L1091&gt;1952,L1091&lt;1955),"1953-1954",IF(AND(L1091&gt;1954,L1091&lt;1957),"1955-1956",IF(AND(L1091&gt;1956,L1091&lt;1960),"1957-1959",IF(AND(L1091&gt;1959,L1091&lt;1971),"1960-1970",IF(AND(L1091&gt;1970,L1091&lt;1991),"1971-1990",IF(L1091&gt;1990,"1991-present","-"))))))))</f>
        <v>1955-1956</v>
      </c>
      <c r="N1091" s="10" t="s">
        <v>242</v>
      </c>
      <c r="O1091" s="10" t="s">
        <v>241</v>
      </c>
      <c r="P1091" s="10" t="s">
        <v>242</v>
      </c>
      <c r="Q1091" s="10" t="s">
        <v>242</v>
      </c>
      <c r="R1091" s="10" t="s">
        <v>241</v>
      </c>
      <c r="S1091" s="10" t="s">
        <v>242</v>
      </c>
      <c r="T1091" s="10" t="s">
        <v>242</v>
      </c>
      <c r="U1091" s="10" t="s">
        <v>241</v>
      </c>
      <c r="V1091" s="10" t="s">
        <v>241</v>
      </c>
      <c r="W1091" s="10" t="s">
        <v>242</v>
      </c>
      <c r="X1091" s="15">
        <f>IF(ISERROR(VLOOKUP($A1091,'13. Updated Demand'!A:Z,15,FALSE)),0,VLOOKUP($A1091,'13. Updated Demand'!A:Z,15,FALSE))</f>
        <v>0</v>
      </c>
      <c r="Y1091" s="16">
        <f>IF(ISERROR(VLOOKUP($A1091,'13. Updated Demand'!A:Z,16,FALSE)),0,VLOOKUP($A1091,'13. Updated Demand'!A:Z,16,FALSE))</f>
        <v>0</v>
      </c>
      <c r="Z1091" s="16">
        <f>IF(ISERROR(VLOOKUP($A1091,'13. Updated Demand'!A:Z,17,FALSE)),0,VLOOKUP($A1091,'13. Updated Demand'!A:Z,17,FALSE))</f>
        <v>0</v>
      </c>
      <c r="AA1091" s="16">
        <f>IF(ISERROR(VLOOKUP($A1091,'13. Updated Demand'!A:Z,18,FALSE)),0,VLOOKUP($A1091,'13. Updated Demand'!A:Z,18,FALSE))</f>
        <v>0</v>
      </c>
      <c r="AB1091" s="16">
        <f>IF(ISERROR(VLOOKUP($A1091,'13. Updated Demand'!A:Z,19,FALSE)),0,VLOOKUP($A1091,'13. Updated Demand'!A:Z,19,FALSE))</f>
        <v>0</v>
      </c>
      <c r="AC1091" s="16">
        <f>IF(ISERROR(VLOOKUP($A1091,'13. Updated Demand'!A:Z,20,FALSE)),0,VLOOKUP($A1091,'13. Updated Demand'!A:Z,20,FALSE))</f>
        <v>0</v>
      </c>
      <c r="AD1091" s="16">
        <f>IF(ISERROR(VLOOKUP($A1091,'13. Updated Demand'!A:Z,21,FALSE)),0,VLOOKUP($A1091,'13. Updated Demand'!A:Z,21,FALSE))</f>
        <v>0</v>
      </c>
      <c r="AE1091" s="16">
        <f>IF(ISERROR(VLOOKUP($A1091,'13. Updated Demand'!A:Z,22,FALSE)),0,VLOOKUP($A1091,'13. Updated Demand'!A:Z,22,FALSE))</f>
        <v>0</v>
      </c>
      <c r="AF1091" s="16">
        <f>IF(ISERROR(VLOOKUP($A1091,'13. Updated Demand'!A:Z,23,FALSE)),0,VLOOKUP($A1091,'13. Updated Demand'!A:Z,23,FALSE))</f>
        <v>0</v>
      </c>
      <c r="AG1091" s="16">
        <f>IF(ISERROR(VLOOKUP($A1091,'13. Updated Demand'!A:Z,24,FALSE)),0,VLOOKUP($A1091,'13. Updated Demand'!A:Z,24,FALSE))</f>
        <v>0</v>
      </c>
      <c r="AH1091" s="16">
        <f>IF(ISERROR(VLOOKUP($A1091,'13. Updated Demand'!A:Z,25,FALSE)),0,VLOOKUP($A1091,'13. Updated Demand'!A:Z,25,FALSE))</f>
        <v>0</v>
      </c>
      <c r="AI1091" s="16">
        <f>IF(ISERROR(VLOOKUP($A1091,'13. Updated Demand'!A:Z,26,FALSE)),0,VLOOKUP($A1091,'13. Updated Demand'!A:Z,26,FALSE))</f>
        <v>0</v>
      </c>
      <c r="AJ1091" s="16">
        <f t="shared" si="204"/>
        <v>0</v>
      </c>
      <c r="AK1091" s="19">
        <v>0</v>
      </c>
      <c r="AL1091" s="16">
        <f t="shared" si="214"/>
        <v>0</v>
      </c>
      <c r="AM1091" s="17">
        <v>0</v>
      </c>
      <c r="AN1091" s="19"/>
      <c r="AO1091" s="19"/>
      <c r="AP1091" s="19">
        <v>91</v>
      </c>
      <c r="AQ1091" s="19" t="s">
        <v>307</v>
      </c>
      <c r="AR1091" s="9" t="s">
        <v>348</v>
      </c>
      <c r="AS1091" s="12">
        <v>0</v>
      </c>
      <c r="AT1091" s="19">
        <v>39.241199999999999</v>
      </c>
      <c r="AU1091" s="19">
        <v>-123.1155</v>
      </c>
      <c r="AV1091" s="19" t="s">
        <v>1480</v>
      </c>
    </row>
    <row r="1092" spans="1:48" x14ac:dyDescent="0.25">
      <c r="A1092" s="18" t="s">
        <v>1481</v>
      </c>
      <c r="B1092" s="10">
        <v>19550517</v>
      </c>
      <c r="C1092" s="9">
        <v>2</v>
      </c>
      <c r="D1092" s="8" t="str">
        <f t="shared" si="205"/>
        <v>N</v>
      </c>
      <c r="E1092" s="8" t="str">
        <f t="shared" si="206"/>
        <v>N</v>
      </c>
      <c r="F1092" s="8" t="str">
        <f t="shared" si="207"/>
        <v>Y</v>
      </c>
      <c r="G1092" s="8" t="str">
        <f t="shared" si="208"/>
        <v>N</v>
      </c>
      <c r="H1092" s="8" t="str">
        <f t="shared" si="209"/>
        <v>Upper</v>
      </c>
      <c r="I1092" s="8" t="str">
        <f t="shared" si="210"/>
        <v>Outside</v>
      </c>
      <c r="J1092" s="8" t="str">
        <f t="shared" si="211"/>
        <v>Outside</v>
      </c>
      <c r="K1092" s="8" t="str">
        <f t="shared" si="212"/>
        <v>Post-1949</v>
      </c>
      <c r="L1092" s="8">
        <f t="shared" si="213"/>
        <v>1955</v>
      </c>
      <c r="M1092" s="8" t="str">
        <f t="shared" si="215"/>
        <v>1955-1956</v>
      </c>
      <c r="N1092" s="10" t="s">
        <v>242</v>
      </c>
      <c r="O1092" s="10" t="s">
        <v>241</v>
      </c>
      <c r="P1092" s="10" t="s">
        <v>242</v>
      </c>
      <c r="Q1092" s="10" t="s">
        <v>242</v>
      </c>
      <c r="R1092" s="10" t="s">
        <v>241</v>
      </c>
      <c r="S1092" s="10" t="s">
        <v>242</v>
      </c>
      <c r="T1092" s="10" t="s">
        <v>242</v>
      </c>
      <c r="U1092" s="10" t="s">
        <v>242</v>
      </c>
      <c r="V1092" s="10" t="s">
        <v>242</v>
      </c>
      <c r="W1092" s="10" t="s">
        <v>242</v>
      </c>
      <c r="X1092" s="15">
        <f>IF(ISERROR(VLOOKUP($A1092,'13. Updated Demand'!A:Z,15,FALSE)),0,VLOOKUP($A1092,'13. Updated Demand'!A:Z,15,FALSE))</f>
        <v>18.399999999999999</v>
      </c>
      <c r="Y1092" s="16">
        <f>IF(ISERROR(VLOOKUP($A1092,'13. Updated Demand'!A:Z,16,FALSE)),0,VLOOKUP($A1092,'13. Updated Demand'!A:Z,16,FALSE))</f>
        <v>18.399999999999999</v>
      </c>
      <c r="Z1092" s="16">
        <f>IF(ISERROR(VLOOKUP($A1092,'13. Updated Demand'!A:Z,17,FALSE)),0,VLOOKUP($A1092,'13. Updated Demand'!A:Z,17,FALSE))</f>
        <v>18.399999999999999</v>
      </c>
      <c r="AA1092" s="16">
        <f>IF(ISERROR(VLOOKUP($A1092,'13. Updated Demand'!A:Z,18,FALSE)),0,VLOOKUP($A1092,'13. Updated Demand'!A:Z,18,FALSE))</f>
        <v>18.399999999999999</v>
      </c>
      <c r="AB1092" s="16">
        <f>IF(ISERROR(VLOOKUP($A1092,'13. Updated Demand'!A:Z,19,FALSE)),0,VLOOKUP($A1092,'13. Updated Demand'!A:Z,19,FALSE))</f>
        <v>6.13</v>
      </c>
      <c r="AC1092" s="16">
        <f>IF(ISERROR(VLOOKUP($A1092,'13. Updated Demand'!A:Z,20,FALSE)),0,VLOOKUP($A1092,'13. Updated Demand'!A:Z,20,FALSE))</f>
        <v>0</v>
      </c>
      <c r="AD1092" s="16">
        <f>IF(ISERROR(VLOOKUP($A1092,'13. Updated Demand'!A:Z,21,FALSE)),0,VLOOKUP($A1092,'13. Updated Demand'!A:Z,21,FALSE))</f>
        <v>0</v>
      </c>
      <c r="AE1092" s="16">
        <f>IF(ISERROR(VLOOKUP($A1092,'13. Updated Demand'!A:Z,22,FALSE)),0,VLOOKUP($A1092,'13. Updated Demand'!A:Z,22,FALSE))</f>
        <v>0</v>
      </c>
      <c r="AF1092" s="16">
        <f>IF(ISERROR(VLOOKUP($A1092,'13. Updated Demand'!A:Z,23,FALSE)),0,VLOOKUP($A1092,'13. Updated Demand'!A:Z,23,FALSE))</f>
        <v>0</v>
      </c>
      <c r="AG1092" s="16">
        <f>IF(ISERROR(VLOOKUP($A1092,'13. Updated Demand'!A:Z,24,FALSE)),0,VLOOKUP($A1092,'13. Updated Demand'!A:Z,24,FALSE))</f>
        <v>0</v>
      </c>
      <c r="AH1092" s="16">
        <f>IF(ISERROR(VLOOKUP($A1092,'13. Updated Demand'!A:Z,25,FALSE)),0,VLOOKUP($A1092,'13. Updated Demand'!A:Z,25,FALSE))</f>
        <v>12.26</v>
      </c>
      <c r="AI1092" s="16">
        <f>IF(ISERROR(VLOOKUP($A1092,'13. Updated Demand'!A:Z,26,FALSE)),0,VLOOKUP($A1092,'13. Updated Demand'!A:Z,26,FALSE))</f>
        <v>18.399999999999999</v>
      </c>
      <c r="AJ1092" s="16">
        <f t="shared" si="204"/>
        <v>110.38999999999999</v>
      </c>
      <c r="AK1092" s="19">
        <v>6.1333333330000004</v>
      </c>
      <c r="AL1092" s="16">
        <f t="shared" si="214"/>
        <v>2.0343568013240162E-2</v>
      </c>
      <c r="AM1092" s="17">
        <v>1.0000000000271738</v>
      </c>
      <c r="AN1092" s="19"/>
      <c r="AO1092" s="19"/>
      <c r="AP1092" s="19">
        <v>110.4</v>
      </c>
      <c r="AQ1092" s="19" t="s">
        <v>307</v>
      </c>
      <c r="AR1092" s="9" t="s">
        <v>348</v>
      </c>
      <c r="AS1092" s="12">
        <v>0</v>
      </c>
      <c r="AT1092" s="19">
        <v>39.308598740000001</v>
      </c>
      <c r="AU1092" s="19">
        <v>-123.13242753</v>
      </c>
      <c r="AV1092" s="19" t="s">
        <v>1482</v>
      </c>
    </row>
    <row r="1093" spans="1:48" x14ac:dyDescent="0.25">
      <c r="A1093" s="18" t="s">
        <v>1483</v>
      </c>
      <c r="B1093" s="10">
        <v>19550126</v>
      </c>
      <c r="C1093" s="9">
        <v>15</v>
      </c>
      <c r="D1093" s="8" t="str">
        <f t="shared" si="205"/>
        <v>N</v>
      </c>
      <c r="E1093" s="8" t="str">
        <f t="shared" si="206"/>
        <v>N</v>
      </c>
      <c r="F1093" s="8" t="str">
        <f t="shared" si="207"/>
        <v>N</v>
      </c>
      <c r="G1093" s="8" t="str">
        <f t="shared" si="208"/>
        <v>N</v>
      </c>
      <c r="H1093" s="8" t="str">
        <f t="shared" si="209"/>
        <v>Lower</v>
      </c>
      <c r="I1093" s="8" t="str">
        <f t="shared" si="210"/>
        <v>Outside</v>
      </c>
      <c r="J1093" s="8" t="str">
        <f t="shared" si="211"/>
        <v>Outside</v>
      </c>
      <c r="K1093" s="8" t="str">
        <f t="shared" si="212"/>
        <v>Post-1949</v>
      </c>
      <c r="L1093" s="8">
        <f t="shared" si="213"/>
        <v>1955</v>
      </c>
      <c r="M1093" s="8" t="str">
        <f t="shared" si="215"/>
        <v>1955-1956</v>
      </c>
      <c r="N1093" s="10" t="s">
        <v>242</v>
      </c>
      <c r="O1093" s="10" t="s">
        <v>242</v>
      </c>
      <c r="P1093" s="10" t="s">
        <v>242</v>
      </c>
      <c r="Q1093" s="10" t="s">
        <v>242</v>
      </c>
      <c r="R1093" s="10" t="s">
        <v>241</v>
      </c>
      <c r="S1093" s="10" t="s">
        <v>242</v>
      </c>
      <c r="T1093" s="10" t="s">
        <v>242</v>
      </c>
      <c r="U1093" s="10" t="s">
        <v>241</v>
      </c>
      <c r="V1093" s="10" t="s">
        <v>241</v>
      </c>
      <c r="W1093" s="10" t="s">
        <v>242</v>
      </c>
      <c r="X1093" s="15">
        <f>IF(ISERROR(VLOOKUP($A1093,'13. Updated Demand'!A:Z,15,FALSE)),0,VLOOKUP($A1093,'13. Updated Demand'!A:Z,15,FALSE))</f>
        <v>0</v>
      </c>
      <c r="Y1093" s="16">
        <f>IF(ISERROR(VLOOKUP($A1093,'13. Updated Demand'!A:Z,16,FALSE)),0,VLOOKUP($A1093,'13. Updated Demand'!A:Z,16,FALSE))</f>
        <v>0</v>
      </c>
      <c r="Z1093" s="16">
        <f>IF(ISERROR(VLOOKUP($A1093,'13. Updated Demand'!A:Z,17,FALSE)),0,VLOOKUP($A1093,'13. Updated Demand'!A:Z,17,FALSE))</f>
        <v>0</v>
      </c>
      <c r="AA1093" s="16">
        <f>IF(ISERROR(VLOOKUP($A1093,'13. Updated Demand'!A:Z,18,FALSE)),0,VLOOKUP($A1093,'13. Updated Demand'!A:Z,18,FALSE))</f>
        <v>0</v>
      </c>
      <c r="AB1093" s="16">
        <f>IF(ISERROR(VLOOKUP($A1093,'13. Updated Demand'!A:Z,19,FALSE)),0,VLOOKUP($A1093,'13. Updated Demand'!A:Z,19,FALSE))</f>
        <v>0</v>
      </c>
      <c r="AC1093" s="16">
        <f>IF(ISERROR(VLOOKUP($A1093,'13. Updated Demand'!A:Z,20,FALSE)),0,VLOOKUP($A1093,'13. Updated Demand'!A:Z,20,FALSE))</f>
        <v>0</v>
      </c>
      <c r="AD1093" s="16">
        <f>IF(ISERROR(VLOOKUP($A1093,'13. Updated Demand'!A:Z,21,FALSE)),0,VLOOKUP($A1093,'13. Updated Demand'!A:Z,21,FALSE))</f>
        <v>0</v>
      </c>
      <c r="AE1093" s="16">
        <f>IF(ISERROR(VLOOKUP($A1093,'13. Updated Demand'!A:Z,22,FALSE)),0,VLOOKUP($A1093,'13. Updated Demand'!A:Z,22,FALSE))</f>
        <v>0</v>
      </c>
      <c r="AF1093" s="16">
        <f>IF(ISERROR(VLOOKUP($A1093,'13. Updated Demand'!A:Z,23,FALSE)),0,VLOOKUP($A1093,'13. Updated Demand'!A:Z,23,FALSE))</f>
        <v>0</v>
      </c>
      <c r="AG1093" s="16">
        <f>IF(ISERROR(VLOOKUP($A1093,'13. Updated Demand'!A:Z,24,FALSE)),0,VLOOKUP($A1093,'13. Updated Demand'!A:Z,24,FALSE))</f>
        <v>0</v>
      </c>
      <c r="AH1093" s="16">
        <f>IF(ISERROR(VLOOKUP($A1093,'13. Updated Demand'!A:Z,25,FALSE)),0,VLOOKUP($A1093,'13. Updated Demand'!A:Z,25,FALSE))</f>
        <v>0</v>
      </c>
      <c r="AI1093" s="16">
        <f>IF(ISERROR(VLOOKUP($A1093,'13. Updated Demand'!A:Z,26,FALSE)),0,VLOOKUP($A1093,'13. Updated Demand'!A:Z,26,FALSE))</f>
        <v>0</v>
      </c>
      <c r="AJ1093" s="16">
        <f t="shared" si="204"/>
        <v>0</v>
      </c>
      <c r="AK1093" s="19">
        <v>0</v>
      </c>
      <c r="AL1093" s="16">
        <f t="shared" si="214"/>
        <v>0</v>
      </c>
      <c r="AM1093" s="17">
        <v>0</v>
      </c>
      <c r="AN1093" s="19"/>
      <c r="AO1093" s="19"/>
      <c r="AP1093" s="19">
        <v>15</v>
      </c>
      <c r="AQ1093" s="19" t="s">
        <v>307</v>
      </c>
      <c r="AR1093" s="9" t="s">
        <v>489</v>
      </c>
      <c r="AS1093" s="12">
        <v>0</v>
      </c>
      <c r="AT1093" s="19">
        <v>38.71603863</v>
      </c>
      <c r="AU1093" s="19">
        <v>-122.94670564</v>
      </c>
      <c r="AV1093" s="19" t="s">
        <v>417</v>
      </c>
    </row>
    <row r="1094" spans="1:48" x14ac:dyDescent="0.25">
      <c r="A1094" s="18" t="s">
        <v>77</v>
      </c>
      <c r="B1094" s="10">
        <v>19550228</v>
      </c>
      <c r="C1094" s="9">
        <v>6</v>
      </c>
      <c r="D1094" s="8" t="str">
        <f t="shared" si="205"/>
        <v>Y</v>
      </c>
      <c r="E1094" s="8" t="str">
        <f t="shared" si="206"/>
        <v>N</v>
      </c>
      <c r="F1094" s="8" t="str">
        <f t="shared" si="207"/>
        <v>Y</v>
      </c>
      <c r="G1094" s="8" t="str">
        <f t="shared" si="208"/>
        <v>Y</v>
      </c>
      <c r="H1094" s="8" t="str">
        <f t="shared" si="209"/>
        <v>Upper</v>
      </c>
      <c r="I1094" s="8" t="str">
        <f t="shared" si="210"/>
        <v>West Fork and Below Lake</v>
      </c>
      <c r="J1094" s="8" t="str">
        <f t="shared" si="211"/>
        <v>Mendocino (d/s of lake)</v>
      </c>
      <c r="K1094" s="8" t="str">
        <f t="shared" si="212"/>
        <v>Post-1949</v>
      </c>
      <c r="L1094" s="8">
        <f t="shared" si="213"/>
        <v>1955</v>
      </c>
      <c r="M1094" s="8" t="str">
        <f t="shared" si="215"/>
        <v>1955-1956</v>
      </c>
      <c r="N1094" s="10" t="s">
        <v>241</v>
      </c>
      <c r="O1094" s="10" t="s">
        <v>241</v>
      </c>
      <c r="P1094" s="10" t="s">
        <v>242</v>
      </c>
      <c r="Q1094" s="10" t="s">
        <v>242</v>
      </c>
      <c r="R1094" s="10" t="s">
        <v>241</v>
      </c>
      <c r="S1094" s="10" t="s">
        <v>242</v>
      </c>
      <c r="T1094" s="10" t="s">
        <v>242</v>
      </c>
      <c r="U1094" s="10" t="s">
        <v>242</v>
      </c>
      <c r="V1094" s="10" t="s">
        <v>242</v>
      </c>
      <c r="W1094" s="10" t="s">
        <v>242</v>
      </c>
      <c r="X1094" s="15">
        <f>IF(ISERROR(VLOOKUP($A1094,'13. Updated Demand'!A:Z,15,FALSE)),0,VLOOKUP($A1094,'13. Updated Demand'!A:Z,15,FALSE))</f>
        <v>0</v>
      </c>
      <c r="Y1094" s="16">
        <f>IF(ISERROR(VLOOKUP($A1094,'13. Updated Demand'!A:Z,16,FALSE)),0,VLOOKUP($A1094,'13. Updated Demand'!A:Z,16,FALSE))</f>
        <v>0</v>
      </c>
      <c r="Z1094" s="16">
        <f>IF(ISERROR(VLOOKUP($A1094,'13. Updated Demand'!A:Z,17,FALSE)),0,VLOOKUP($A1094,'13. Updated Demand'!A:Z,17,FALSE))</f>
        <v>0</v>
      </c>
      <c r="AA1094" s="16">
        <f>IF(ISERROR(VLOOKUP($A1094,'13. Updated Demand'!A:Z,18,FALSE)),0,VLOOKUP($A1094,'13. Updated Demand'!A:Z,18,FALSE))</f>
        <v>0</v>
      </c>
      <c r="AB1094" s="16">
        <f>IF(ISERROR(VLOOKUP($A1094,'13. Updated Demand'!A:Z,19,FALSE)),0,VLOOKUP($A1094,'13. Updated Demand'!A:Z,19,FALSE))</f>
        <v>30.59</v>
      </c>
      <c r="AC1094" s="16">
        <f>IF(ISERROR(VLOOKUP($A1094,'13. Updated Demand'!A:Z,20,FALSE)),0,VLOOKUP($A1094,'13. Updated Demand'!A:Z,20,FALSE))</f>
        <v>34.200000000000003</v>
      </c>
      <c r="AD1094" s="16">
        <f>IF(ISERROR(VLOOKUP($A1094,'13. Updated Demand'!A:Z,21,FALSE)),0,VLOOKUP($A1094,'13. Updated Demand'!A:Z,21,FALSE))</f>
        <v>41.32</v>
      </c>
      <c r="AE1094" s="16">
        <f>IF(ISERROR(VLOOKUP($A1094,'13. Updated Demand'!A:Z,22,FALSE)),0,VLOOKUP($A1094,'13. Updated Demand'!A:Z,22,FALSE))</f>
        <v>33.119999999999997</v>
      </c>
      <c r="AF1094" s="16">
        <f>IF(ISERROR(VLOOKUP($A1094,'13. Updated Demand'!A:Z,23,FALSE)),0,VLOOKUP($A1094,'13. Updated Demand'!A:Z,23,FALSE))</f>
        <v>38.659999999999997</v>
      </c>
      <c r="AG1094" s="16">
        <f>IF(ISERROR(VLOOKUP($A1094,'13. Updated Demand'!A:Z,24,FALSE)),0,VLOOKUP($A1094,'13. Updated Demand'!A:Z,24,FALSE))</f>
        <v>2.23</v>
      </c>
      <c r="AH1094" s="16">
        <f>IF(ISERROR(VLOOKUP($A1094,'13. Updated Demand'!A:Z,25,FALSE)),0,VLOOKUP($A1094,'13. Updated Demand'!A:Z,25,FALSE))</f>
        <v>0</v>
      </c>
      <c r="AI1094" s="16">
        <f>IF(ISERROR(VLOOKUP($A1094,'13. Updated Demand'!A:Z,26,FALSE)),0,VLOOKUP($A1094,'13. Updated Demand'!A:Z,26,FALSE))</f>
        <v>0</v>
      </c>
      <c r="AJ1094" s="16">
        <f t="shared" si="204"/>
        <v>180.12</v>
      </c>
      <c r="AK1094" s="19">
        <v>177.90666666666658</v>
      </c>
      <c r="AL1094" s="16">
        <f t="shared" si="214"/>
        <v>0.59009614785959952</v>
      </c>
      <c r="AM1094" s="17">
        <v>0.21343601895734585</v>
      </c>
      <c r="AN1094" s="19"/>
      <c r="AO1094" s="19"/>
      <c r="AP1094" s="19">
        <v>844</v>
      </c>
      <c r="AQ1094" s="19" t="s">
        <v>307</v>
      </c>
      <c r="AR1094" s="9" t="s">
        <v>319</v>
      </c>
      <c r="AS1094" s="12">
        <v>0</v>
      </c>
      <c r="AT1094" s="19">
        <v>38.938933849999998</v>
      </c>
      <c r="AU1094" s="19">
        <v>-123.08152803999999</v>
      </c>
      <c r="AV1094" s="19" t="s">
        <v>387</v>
      </c>
    </row>
    <row r="1095" spans="1:48" x14ac:dyDescent="0.25">
      <c r="A1095" s="18" t="s">
        <v>1484</v>
      </c>
      <c r="B1095" s="10">
        <v>19550411</v>
      </c>
      <c r="C1095" s="9">
        <v>5</v>
      </c>
      <c r="D1095" s="8" t="str">
        <f t="shared" si="205"/>
        <v>Y</v>
      </c>
      <c r="E1095" s="8" t="str">
        <f t="shared" si="206"/>
        <v>N</v>
      </c>
      <c r="F1095" s="8" t="str">
        <f t="shared" si="207"/>
        <v>Y</v>
      </c>
      <c r="G1095" s="8" t="str">
        <f t="shared" si="208"/>
        <v>Y</v>
      </c>
      <c r="H1095" s="8" t="str">
        <f t="shared" si="209"/>
        <v>Upper</v>
      </c>
      <c r="I1095" s="8" t="str">
        <f t="shared" si="210"/>
        <v>West Fork and Below Lake</v>
      </c>
      <c r="J1095" s="8" t="str">
        <f t="shared" si="211"/>
        <v>Mendocino (d/s of lake)</v>
      </c>
      <c r="K1095" s="8" t="str">
        <f t="shared" si="212"/>
        <v>Post-1949</v>
      </c>
      <c r="L1095" s="8">
        <f t="shared" si="213"/>
        <v>1955</v>
      </c>
      <c r="M1095" s="8" t="str">
        <f t="shared" si="215"/>
        <v>1955-1956</v>
      </c>
      <c r="N1095" s="10" t="s">
        <v>241</v>
      </c>
      <c r="O1095" s="10" t="s">
        <v>241</v>
      </c>
      <c r="P1095" s="10" t="s">
        <v>242</v>
      </c>
      <c r="Q1095" s="10" t="s">
        <v>242</v>
      </c>
      <c r="R1095" s="10" t="s">
        <v>241</v>
      </c>
      <c r="S1095" s="10" t="s">
        <v>242</v>
      </c>
      <c r="T1095" s="10" t="s">
        <v>242</v>
      </c>
      <c r="U1095" s="10" t="s">
        <v>242</v>
      </c>
      <c r="V1095" s="10" t="s">
        <v>242</v>
      </c>
      <c r="W1095" s="10" t="s">
        <v>242</v>
      </c>
      <c r="X1095" s="15">
        <f>IF(ISERROR(VLOOKUP($A1095,'13. Updated Demand'!A:Z,15,FALSE)),0,VLOOKUP($A1095,'13. Updated Demand'!A:Z,15,FALSE))</f>
        <v>0</v>
      </c>
      <c r="Y1095" s="16">
        <f>IF(ISERROR(VLOOKUP($A1095,'13. Updated Demand'!A:Z,16,FALSE)),0,VLOOKUP($A1095,'13. Updated Demand'!A:Z,16,FALSE))</f>
        <v>0</v>
      </c>
      <c r="Z1095" s="16">
        <f>IF(ISERROR(VLOOKUP($A1095,'13. Updated Demand'!A:Z,17,FALSE)),0,VLOOKUP($A1095,'13. Updated Demand'!A:Z,17,FALSE))</f>
        <v>0</v>
      </c>
      <c r="AA1095" s="16">
        <f>IF(ISERROR(VLOOKUP($A1095,'13. Updated Demand'!A:Z,18,FALSE)),0,VLOOKUP($A1095,'13. Updated Demand'!A:Z,18,FALSE))</f>
        <v>0</v>
      </c>
      <c r="AB1095" s="16">
        <f>IF(ISERROR(VLOOKUP($A1095,'13. Updated Demand'!A:Z,19,FALSE)),0,VLOOKUP($A1095,'13. Updated Demand'!A:Z,19,FALSE))</f>
        <v>0</v>
      </c>
      <c r="AC1095" s="16">
        <f>IF(ISERROR(VLOOKUP($A1095,'13. Updated Demand'!A:Z,20,FALSE)),0,VLOOKUP($A1095,'13. Updated Demand'!A:Z,20,FALSE))</f>
        <v>1.0900000000000001</v>
      </c>
      <c r="AD1095" s="16">
        <f>IF(ISERROR(VLOOKUP($A1095,'13. Updated Demand'!A:Z,21,FALSE)),0,VLOOKUP($A1095,'13. Updated Demand'!A:Z,21,FALSE))</f>
        <v>2.33</v>
      </c>
      <c r="AE1095" s="16">
        <f>IF(ISERROR(VLOOKUP($A1095,'13. Updated Demand'!A:Z,22,FALSE)),0,VLOOKUP($A1095,'13. Updated Demand'!A:Z,22,FALSE))</f>
        <v>1.46</v>
      </c>
      <c r="AF1095" s="16">
        <f>IF(ISERROR(VLOOKUP($A1095,'13. Updated Demand'!A:Z,23,FALSE)),0,VLOOKUP($A1095,'13. Updated Demand'!A:Z,23,FALSE))</f>
        <v>3.51</v>
      </c>
      <c r="AG1095" s="16">
        <f>IF(ISERROR(VLOOKUP($A1095,'13. Updated Demand'!A:Z,24,FALSE)),0,VLOOKUP($A1095,'13. Updated Demand'!A:Z,24,FALSE))</f>
        <v>0.16</v>
      </c>
      <c r="AH1095" s="16">
        <f>IF(ISERROR(VLOOKUP($A1095,'13. Updated Demand'!A:Z,25,FALSE)),0,VLOOKUP($A1095,'13. Updated Demand'!A:Z,25,FALSE))</f>
        <v>0</v>
      </c>
      <c r="AI1095" s="16">
        <f>IF(ISERROR(VLOOKUP($A1095,'13. Updated Demand'!A:Z,26,FALSE)),0,VLOOKUP($A1095,'13. Updated Demand'!A:Z,26,FALSE))</f>
        <v>0</v>
      </c>
      <c r="AJ1095" s="16">
        <f t="shared" si="204"/>
        <v>8.5500000000000007</v>
      </c>
      <c r="AK1095" s="19">
        <v>8.4206666666666692</v>
      </c>
      <c r="AL1095" s="16">
        <f t="shared" si="214"/>
        <v>2.7930392129261059E-2</v>
      </c>
      <c r="AM1095" s="17">
        <v>5.6236629556865342E-2</v>
      </c>
      <c r="AN1095" s="19"/>
      <c r="AO1095" s="19"/>
      <c r="AP1095" s="19">
        <v>152.69999999999999</v>
      </c>
      <c r="AQ1095" s="19" t="s">
        <v>307</v>
      </c>
      <c r="AR1095" s="9" t="s">
        <v>333</v>
      </c>
      <c r="AS1095" s="12">
        <v>0</v>
      </c>
      <c r="AT1095" s="19">
        <v>39.094233780000003</v>
      </c>
      <c r="AU1095" s="19">
        <v>-123.17904075</v>
      </c>
      <c r="AV1095" s="19" t="s">
        <v>387</v>
      </c>
    </row>
    <row r="1096" spans="1:48" x14ac:dyDescent="0.25">
      <c r="A1096" s="18" t="s">
        <v>1485</v>
      </c>
      <c r="B1096" s="10">
        <v>19550419</v>
      </c>
      <c r="C1096" s="9">
        <v>9</v>
      </c>
      <c r="D1096" s="8" t="str">
        <f t="shared" si="205"/>
        <v>N</v>
      </c>
      <c r="E1096" s="8" t="str">
        <f t="shared" si="206"/>
        <v>Y</v>
      </c>
      <c r="F1096" s="8" t="str">
        <f t="shared" si="207"/>
        <v>Y</v>
      </c>
      <c r="G1096" s="8" t="str">
        <f t="shared" si="208"/>
        <v>Y</v>
      </c>
      <c r="H1096" s="8" t="str">
        <f t="shared" si="209"/>
        <v>Upper</v>
      </c>
      <c r="I1096" s="8" t="str">
        <f t="shared" si="210"/>
        <v>West Fork and Below Lake</v>
      </c>
      <c r="J1096" s="8" t="str">
        <f t="shared" si="211"/>
        <v>Sonoma (d/s of Clov. Gage)</v>
      </c>
      <c r="K1096" s="8" t="str">
        <f t="shared" si="212"/>
        <v>Post-1949</v>
      </c>
      <c r="L1096" s="8">
        <f t="shared" si="213"/>
        <v>1955</v>
      </c>
      <c r="M1096" s="8" t="str">
        <f t="shared" si="215"/>
        <v>1955-1956</v>
      </c>
      <c r="N1096" s="10" t="s">
        <v>241</v>
      </c>
      <c r="O1096" s="10" t="s">
        <v>241</v>
      </c>
      <c r="P1096" s="10" t="s">
        <v>242</v>
      </c>
      <c r="Q1096" s="10" t="s">
        <v>242</v>
      </c>
      <c r="R1096" s="10" t="s">
        <v>241</v>
      </c>
      <c r="S1096" s="10" t="s">
        <v>242</v>
      </c>
      <c r="T1096" s="10" t="s">
        <v>242</v>
      </c>
      <c r="U1096" s="10" t="s">
        <v>241</v>
      </c>
      <c r="V1096" s="10" t="s">
        <v>241</v>
      </c>
      <c r="W1096" s="10" t="s">
        <v>242</v>
      </c>
      <c r="X1096" s="15">
        <f>IF(ISERROR(VLOOKUP($A1096,'13. Updated Demand'!A:Z,15,FALSE)),0,VLOOKUP($A1096,'13. Updated Demand'!A:Z,15,FALSE))</f>
        <v>0</v>
      </c>
      <c r="Y1096" s="16">
        <f>IF(ISERROR(VLOOKUP($A1096,'13. Updated Demand'!A:Z,16,FALSE)),0,VLOOKUP($A1096,'13. Updated Demand'!A:Z,16,FALSE))</f>
        <v>0</v>
      </c>
      <c r="Z1096" s="16">
        <f>IF(ISERROR(VLOOKUP($A1096,'13. Updated Demand'!A:Z,17,FALSE)),0,VLOOKUP($A1096,'13. Updated Demand'!A:Z,17,FALSE))</f>
        <v>0</v>
      </c>
      <c r="AA1096" s="16">
        <f>IF(ISERROR(VLOOKUP($A1096,'13. Updated Demand'!A:Z,18,FALSE)),0,VLOOKUP($A1096,'13. Updated Demand'!A:Z,18,FALSE))</f>
        <v>0</v>
      </c>
      <c r="AB1096" s="16">
        <f>IF(ISERROR(VLOOKUP($A1096,'13. Updated Demand'!A:Z,19,FALSE)),0,VLOOKUP($A1096,'13. Updated Demand'!A:Z,19,FALSE))</f>
        <v>0</v>
      </c>
      <c r="AC1096" s="16">
        <f>IF(ISERROR(VLOOKUP($A1096,'13. Updated Demand'!A:Z,20,FALSE)),0,VLOOKUP($A1096,'13. Updated Demand'!A:Z,20,FALSE))</f>
        <v>0</v>
      </c>
      <c r="AD1096" s="16">
        <f>IF(ISERROR(VLOOKUP($A1096,'13. Updated Demand'!A:Z,21,FALSE)),0,VLOOKUP($A1096,'13. Updated Demand'!A:Z,21,FALSE))</f>
        <v>0</v>
      </c>
      <c r="AE1096" s="16">
        <f>IF(ISERROR(VLOOKUP($A1096,'13. Updated Demand'!A:Z,22,FALSE)),0,VLOOKUP($A1096,'13. Updated Demand'!A:Z,22,FALSE))</f>
        <v>0</v>
      </c>
      <c r="AF1096" s="16">
        <f>IF(ISERROR(VLOOKUP($A1096,'13. Updated Demand'!A:Z,23,FALSE)),0,VLOOKUP($A1096,'13. Updated Demand'!A:Z,23,FALSE))</f>
        <v>0</v>
      </c>
      <c r="AG1096" s="16">
        <f>IF(ISERROR(VLOOKUP($A1096,'13. Updated Demand'!A:Z,24,FALSE)),0,VLOOKUP($A1096,'13. Updated Demand'!A:Z,24,FALSE))</f>
        <v>0</v>
      </c>
      <c r="AH1096" s="16">
        <f>IF(ISERROR(VLOOKUP($A1096,'13. Updated Demand'!A:Z,25,FALSE)),0,VLOOKUP($A1096,'13. Updated Demand'!A:Z,25,FALSE))</f>
        <v>0</v>
      </c>
      <c r="AI1096" s="16">
        <f>IF(ISERROR(VLOOKUP($A1096,'13. Updated Demand'!A:Z,26,FALSE)),0,VLOOKUP($A1096,'13. Updated Demand'!A:Z,26,FALSE))</f>
        <v>0</v>
      </c>
      <c r="AJ1096" s="16">
        <f t="shared" si="204"/>
        <v>0</v>
      </c>
      <c r="AK1096" s="19">
        <v>0</v>
      </c>
      <c r="AL1096" s="16">
        <f t="shared" si="214"/>
        <v>0</v>
      </c>
      <c r="AM1096" s="17">
        <v>0</v>
      </c>
      <c r="AN1096" s="19"/>
      <c r="AO1096" s="19"/>
      <c r="AP1096" s="19">
        <v>194.4</v>
      </c>
      <c r="AQ1096" s="19" t="s">
        <v>307</v>
      </c>
      <c r="AR1096" s="9" t="s">
        <v>354</v>
      </c>
      <c r="AS1096" s="12">
        <v>0</v>
      </c>
      <c r="AT1096" s="19">
        <v>38.802349460000002</v>
      </c>
      <c r="AU1096" s="19">
        <v>-123.00189693999999</v>
      </c>
      <c r="AV1096" s="19" t="s">
        <v>548</v>
      </c>
    </row>
    <row r="1097" spans="1:48" x14ac:dyDescent="0.25">
      <c r="A1097" s="18" t="s">
        <v>1486</v>
      </c>
      <c r="B1097" s="10">
        <v>19550422</v>
      </c>
      <c r="C1097" s="9">
        <v>9</v>
      </c>
      <c r="D1097" s="8" t="str">
        <f t="shared" si="205"/>
        <v>N</v>
      </c>
      <c r="E1097" s="8" t="str">
        <f t="shared" si="206"/>
        <v>Y</v>
      </c>
      <c r="F1097" s="8" t="str">
        <f t="shared" si="207"/>
        <v>Y</v>
      </c>
      <c r="G1097" s="8" t="str">
        <f t="shared" si="208"/>
        <v>Y</v>
      </c>
      <c r="H1097" s="8" t="str">
        <f t="shared" si="209"/>
        <v>Upper</v>
      </c>
      <c r="I1097" s="8" t="str">
        <f t="shared" si="210"/>
        <v>West Fork and Below Lake</v>
      </c>
      <c r="J1097" s="8" t="str">
        <f t="shared" si="211"/>
        <v>Sonoma (d/s of Clov. Gage)</v>
      </c>
      <c r="K1097" s="8" t="str">
        <f t="shared" si="212"/>
        <v>Post-1949</v>
      </c>
      <c r="L1097" s="8">
        <f t="shared" si="213"/>
        <v>1955</v>
      </c>
      <c r="M1097" s="8" t="str">
        <f t="shared" si="215"/>
        <v>1955-1956</v>
      </c>
      <c r="N1097" s="10" t="s">
        <v>241</v>
      </c>
      <c r="O1097" s="10" t="s">
        <v>241</v>
      </c>
      <c r="P1097" s="10" t="s">
        <v>242</v>
      </c>
      <c r="Q1097" s="10" t="s">
        <v>242</v>
      </c>
      <c r="R1097" s="10" t="s">
        <v>241</v>
      </c>
      <c r="S1097" s="10" t="s">
        <v>242</v>
      </c>
      <c r="T1097" s="10" t="s">
        <v>242</v>
      </c>
      <c r="U1097" s="10" t="s">
        <v>242</v>
      </c>
      <c r="V1097" s="10" t="s">
        <v>242</v>
      </c>
      <c r="W1097" s="10" t="s">
        <v>242</v>
      </c>
      <c r="X1097" s="15">
        <f>IF(ISERROR(VLOOKUP($A1097,'13. Updated Demand'!A:Z,15,FALSE)),0,VLOOKUP($A1097,'13. Updated Demand'!A:Z,15,FALSE))</f>
        <v>0</v>
      </c>
      <c r="Y1097" s="16">
        <f>IF(ISERROR(VLOOKUP($A1097,'13. Updated Demand'!A:Z,16,FALSE)),0,VLOOKUP($A1097,'13. Updated Demand'!A:Z,16,FALSE))</f>
        <v>0</v>
      </c>
      <c r="Z1097" s="16">
        <f>IF(ISERROR(VLOOKUP($A1097,'13. Updated Demand'!A:Z,17,FALSE)),0,VLOOKUP($A1097,'13. Updated Demand'!A:Z,17,FALSE))</f>
        <v>0</v>
      </c>
      <c r="AA1097" s="16">
        <f>IF(ISERROR(VLOOKUP($A1097,'13. Updated Demand'!A:Z,18,FALSE)),0,VLOOKUP($A1097,'13. Updated Demand'!A:Z,18,FALSE))</f>
        <v>0</v>
      </c>
      <c r="AB1097" s="16">
        <f>IF(ISERROR(VLOOKUP($A1097,'13. Updated Demand'!A:Z,19,FALSE)),0,VLOOKUP($A1097,'13. Updated Demand'!A:Z,19,FALSE))</f>
        <v>0</v>
      </c>
      <c r="AC1097" s="16">
        <f>IF(ISERROR(VLOOKUP($A1097,'13. Updated Demand'!A:Z,20,FALSE)),0,VLOOKUP($A1097,'13. Updated Demand'!A:Z,20,FALSE))</f>
        <v>0</v>
      </c>
      <c r="AD1097" s="16">
        <f>IF(ISERROR(VLOOKUP($A1097,'13. Updated Demand'!A:Z,21,FALSE)),0,VLOOKUP($A1097,'13. Updated Demand'!A:Z,21,FALSE))</f>
        <v>1</v>
      </c>
      <c r="AE1097" s="16">
        <f>IF(ISERROR(VLOOKUP($A1097,'13. Updated Demand'!A:Z,22,FALSE)),0,VLOOKUP($A1097,'13. Updated Demand'!A:Z,22,FALSE))</f>
        <v>1.3</v>
      </c>
      <c r="AF1097" s="16">
        <f>IF(ISERROR(VLOOKUP($A1097,'13. Updated Demand'!A:Z,23,FALSE)),0,VLOOKUP($A1097,'13. Updated Demand'!A:Z,23,FALSE))</f>
        <v>1.1000000000000001</v>
      </c>
      <c r="AG1097" s="16">
        <f>IF(ISERROR(VLOOKUP($A1097,'13. Updated Demand'!A:Z,24,FALSE)),0,VLOOKUP($A1097,'13. Updated Demand'!A:Z,24,FALSE))</f>
        <v>0</v>
      </c>
      <c r="AH1097" s="16">
        <f>IF(ISERROR(VLOOKUP($A1097,'13. Updated Demand'!A:Z,25,FALSE)),0,VLOOKUP($A1097,'13. Updated Demand'!A:Z,25,FALSE))</f>
        <v>0</v>
      </c>
      <c r="AI1097" s="16">
        <f>IF(ISERROR(VLOOKUP($A1097,'13. Updated Demand'!A:Z,26,FALSE)),0,VLOOKUP($A1097,'13. Updated Demand'!A:Z,26,FALSE))</f>
        <v>0</v>
      </c>
      <c r="AJ1097" s="16">
        <f t="shared" si="204"/>
        <v>3.4</v>
      </c>
      <c r="AK1097" s="19">
        <v>3.4</v>
      </c>
      <c r="AL1097" s="16">
        <f t="shared" si="214"/>
        <v>1.1277412703604731E-2</v>
      </c>
      <c r="AM1097" s="17">
        <v>1</v>
      </c>
      <c r="AN1097" s="19"/>
      <c r="AO1097" s="19"/>
      <c r="AP1097" s="19">
        <v>3.4</v>
      </c>
      <c r="AQ1097" s="19" t="s">
        <v>307</v>
      </c>
      <c r="AR1097" s="9" t="s">
        <v>354</v>
      </c>
      <c r="AS1097" s="12">
        <v>0</v>
      </c>
      <c r="AT1097" s="19">
        <v>38.862591629999997</v>
      </c>
      <c r="AU1097" s="19">
        <v>-123.04172834000001</v>
      </c>
      <c r="AV1097" s="19" t="s">
        <v>387</v>
      </c>
    </row>
    <row r="1098" spans="1:48" x14ac:dyDescent="0.25">
      <c r="A1098" s="18" t="s">
        <v>1487</v>
      </c>
      <c r="B1098" s="10">
        <v>19550427</v>
      </c>
      <c r="C1098" s="9">
        <v>1</v>
      </c>
      <c r="D1098" s="8" t="str">
        <f t="shared" si="205"/>
        <v>N</v>
      </c>
      <c r="E1098" s="8" t="str">
        <f t="shared" si="206"/>
        <v>N</v>
      </c>
      <c r="F1098" s="8" t="str">
        <f t="shared" si="207"/>
        <v>Y</v>
      </c>
      <c r="G1098" s="8" t="str">
        <f t="shared" si="208"/>
        <v>Y</v>
      </c>
      <c r="H1098" s="8" t="str">
        <f t="shared" si="209"/>
        <v>Upper</v>
      </c>
      <c r="I1098" s="8" t="str">
        <f t="shared" si="210"/>
        <v>West Fork and Below Lake</v>
      </c>
      <c r="J1098" s="8" t="str">
        <f t="shared" si="211"/>
        <v>Outside</v>
      </c>
      <c r="K1098" s="8" t="str">
        <f t="shared" si="212"/>
        <v>Post-1949</v>
      </c>
      <c r="L1098" s="8">
        <f t="shared" si="213"/>
        <v>1955</v>
      </c>
      <c r="M1098" s="8" t="str">
        <f t="shared" si="215"/>
        <v>1955-1956</v>
      </c>
      <c r="N1098" s="10" t="s">
        <v>242</v>
      </c>
      <c r="O1098" s="10" t="s">
        <v>241</v>
      </c>
      <c r="P1098" s="10" t="s">
        <v>242</v>
      </c>
      <c r="Q1098" s="10" t="s">
        <v>242</v>
      </c>
      <c r="R1098" s="10" t="s">
        <v>241</v>
      </c>
      <c r="S1098" s="10" t="s">
        <v>242</v>
      </c>
      <c r="T1098" s="10" t="s">
        <v>242</v>
      </c>
      <c r="U1098" s="10" t="s">
        <v>241</v>
      </c>
      <c r="V1098" s="10" t="s">
        <v>241</v>
      </c>
      <c r="W1098" s="10" t="s">
        <v>242</v>
      </c>
      <c r="X1098" s="15">
        <f>IF(ISERROR(VLOOKUP($A1098,'13. Updated Demand'!A:Z,15,FALSE)),0,VLOOKUP($A1098,'13. Updated Demand'!A:Z,15,FALSE))</f>
        <v>0</v>
      </c>
      <c r="Y1098" s="16">
        <f>IF(ISERROR(VLOOKUP($A1098,'13. Updated Demand'!A:Z,16,FALSE)),0,VLOOKUP($A1098,'13. Updated Demand'!A:Z,16,FALSE))</f>
        <v>0</v>
      </c>
      <c r="Z1098" s="16">
        <f>IF(ISERROR(VLOOKUP($A1098,'13. Updated Demand'!A:Z,17,FALSE)),0,VLOOKUP($A1098,'13. Updated Demand'!A:Z,17,FALSE))</f>
        <v>0</v>
      </c>
      <c r="AA1098" s="16">
        <f>IF(ISERROR(VLOOKUP($A1098,'13. Updated Demand'!A:Z,18,FALSE)),0,VLOOKUP($A1098,'13. Updated Demand'!A:Z,18,FALSE))</f>
        <v>0</v>
      </c>
      <c r="AB1098" s="16">
        <f>IF(ISERROR(VLOOKUP($A1098,'13. Updated Demand'!A:Z,19,FALSE)),0,VLOOKUP($A1098,'13. Updated Demand'!A:Z,19,FALSE))</f>
        <v>0</v>
      </c>
      <c r="AC1098" s="16">
        <f>IF(ISERROR(VLOOKUP($A1098,'13. Updated Demand'!A:Z,20,FALSE)),0,VLOOKUP($A1098,'13. Updated Demand'!A:Z,20,FALSE))</f>
        <v>0</v>
      </c>
      <c r="AD1098" s="16">
        <f>IF(ISERROR(VLOOKUP($A1098,'13. Updated Demand'!A:Z,21,FALSE)),0,VLOOKUP($A1098,'13. Updated Demand'!A:Z,21,FALSE))</f>
        <v>0</v>
      </c>
      <c r="AE1098" s="16">
        <f>IF(ISERROR(VLOOKUP($A1098,'13. Updated Demand'!A:Z,22,FALSE)),0,VLOOKUP($A1098,'13. Updated Demand'!A:Z,22,FALSE))</f>
        <v>0</v>
      </c>
      <c r="AF1098" s="16">
        <f>IF(ISERROR(VLOOKUP($A1098,'13. Updated Demand'!A:Z,23,FALSE)),0,VLOOKUP($A1098,'13. Updated Demand'!A:Z,23,FALSE))</f>
        <v>0</v>
      </c>
      <c r="AG1098" s="16">
        <f>IF(ISERROR(VLOOKUP($A1098,'13. Updated Demand'!A:Z,24,FALSE)),0,VLOOKUP($A1098,'13. Updated Demand'!A:Z,24,FALSE))</f>
        <v>0</v>
      </c>
      <c r="AH1098" s="16">
        <f>IF(ISERROR(VLOOKUP($A1098,'13. Updated Demand'!A:Z,25,FALSE)),0,VLOOKUP($A1098,'13. Updated Demand'!A:Z,25,FALSE))</f>
        <v>0</v>
      </c>
      <c r="AI1098" s="16">
        <f>IF(ISERROR(VLOOKUP($A1098,'13. Updated Demand'!A:Z,26,FALSE)),0,VLOOKUP($A1098,'13. Updated Demand'!A:Z,26,FALSE))</f>
        <v>0</v>
      </c>
      <c r="AJ1098" s="16">
        <f t="shared" si="204"/>
        <v>0</v>
      </c>
      <c r="AK1098" s="19">
        <v>0</v>
      </c>
      <c r="AL1098" s="16">
        <f t="shared" si="214"/>
        <v>0</v>
      </c>
      <c r="AM1098" s="17">
        <v>0</v>
      </c>
      <c r="AN1098" s="19"/>
      <c r="AO1098" s="19"/>
      <c r="AP1098" s="19">
        <v>20.9</v>
      </c>
      <c r="AQ1098" s="19" t="s">
        <v>307</v>
      </c>
      <c r="AR1098" s="9" t="s">
        <v>317</v>
      </c>
      <c r="AS1098" s="12">
        <v>0</v>
      </c>
      <c r="AT1098" s="19">
        <v>39.320898390000004</v>
      </c>
      <c r="AU1098" s="19">
        <v>-123.22012029</v>
      </c>
      <c r="AV1098" s="19" t="s">
        <v>713</v>
      </c>
    </row>
    <row r="1099" spans="1:48" x14ac:dyDescent="0.25">
      <c r="A1099" s="18" t="s">
        <v>1488</v>
      </c>
      <c r="B1099" s="10">
        <v>19550503</v>
      </c>
      <c r="C1099" s="9">
        <v>9</v>
      </c>
      <c r="D1099" s="8" t="str">
        <f t="shared" si="205"/>
        <v>N</v>
      </c>
      <c r="E1099" s="8" t="str">
        <f t="shared" si="206"/>
        <v>Y</v>
      </c>
      <c r="F1099" s="8" t="str">
        <f t="shared" si="207"/>
        <v>Y</v>
      </c>
      <c r="G1099" s="8" t="str">
        <f t="shared" si="208"/>
        <v>Y</v>
      </c>
      <c r="H1099" s="8" t="str">
        <f t="shared" si="209"/>
        <v>Upper</v>
      </c>
      <c r="I1099" s="8" t="str">
        <f t="shared" si="210"/>
        <v>West Fork and Below Lake</v>
      </c>
      <c r="J1099" s="8" t="str">
        <f t="shared" si="211"/>
        <v>Sonoma (d/s of Clov. Gage)</v>
      </c>
      <c r="K1099" s="8" t="str">
        <f t="shared" si="212"/>
        <v>Post-1949</v>
      </c>
      <c r="L1099" s="8">
        <f t="shared" si="213"/>
        <v>1955</v>
      </c>
      <c r="M1099" s="8" t="str">
        <f t="shared" si="215"/>
        <v>1955-1956</v>
      </c>
      <c r="N1099" s="10" t="s">
        <v>241</v>
      </c>
      <c r="O1099" s="10" t="s">
        <v>241</v>
      </c>
      <c r="P1099" s="10" t="s">
        <v>242</v>
      </c>
      <c r="Q1099" s="10" t="s">
        <v>242</v>
      </c>
      <c r="R1099" s="10" t="s">
        <v>241</v>
      </c>
      <c r="S1099" s="10" t="s">
        <v>242</v>
      </c>
      <c r="T1099" s="10" t="s">
        <v>242</v>
      </c>
      <c r="U1099" s="10" t="s">
        <v>242</v>
      </c>
      <c r="V1099" s="10" t="s">
        <v>242</v>
      </c>
      <c r="W1099" s="10" t="s">
        <v>242</v>
      </c>
      <c r="X1099" s="15">
        <f>IF(ISERROR(VLOOKUP($A1099,'13. Updated Demand'!A:Z,15,FALSE)),0,VLOOKUP($A1099,'13. Updated Demand'!A:Z,15,FALSE))</f>
        <v>0</v>
      </c>
      <c r="Y1099" s="16">
        <f>IF(ISERROR(VLOOKUP($A1099,'13. Updated Demand'!A:Z,16,FALSE)),0,VLOOKUP($A1099,'13. Updated Demand'!A:Z,16,FALSE))</f>
        <v>0</v>
      </c>
      <c r="Z1099" s="16">
        <f>IF(ISERROR(VLOOKUP($A1099,'13. Updated Demand'!A:Z,17,FALSE)),0,VLOOKUP($A1099,'13. Updated Demand'!A:Z,17,FALSE))</f>
        <v>0</v>
      </c>
      <c r="AA1099" s="16">
        <f>IF(ISERROR(VLOOKUP($A1099,'13. Updated Demand'!A:Z,18,FALSE)),0,VLOOKUP($A1099,'13. Updated Demand'!A:Z,18,FALSE))</f>
        <v>0.06</v>
      </c>
      <c r="AB1099" s="16">
        <f>IF(ISERROR(VLOOKUP($A1099,'13. Updated Demand'!A:Z,19,FALSE)),0,VLOOKUP($A1099,'13. Updated Demand'!A:Z,19,FALSE))</f>
        <v>0.13</v>
      </c>
      <c r="AC1099" s="16">
        <f>IF(ISERROR(VLOOKUP($A1099,'13. Updated Demand'!A:Z,20,FALSE)),0,VLOOKUP($A1099,'13. Updated Demand'!A:Z,20,FALSE))</f>
        <v>0.33</v>
      </c>
      <c r="AD1099" s="16">
        <f>IF(ISERROR(VLOOKUP($A1099,'13. Updated Demand'!A:Z,21,FALSE)),0,VLOOKUP($A1099,'13. Updated Demand'!A:Z,21,FALSE))</f>
        <v>1.66</v>
      </c>
      <c r="AE1099" s="16">
        <f>IF(ISERROR(VLOOKUP($A1099,'13. Updated Demand'!A:Z,22,FALSE)),0,VLOOKUP($A1099,'13. Updated Demand'!A:Z,22,FALSE))</f>
        <v>2.6</v>
      </c>
      <c r="AF1099" s="16">
        <f>IF(ISERROR(VLOOKUP($A1099,'13. Updated Demand'!A:Z,23,FALSE)),0,VLOOKUP($A1099,'13. Updated Demand'!A:Z,23,FALSE))</f>
        <v>1.96</v>
      </c>
      <c r="AG1099" s="16">
        <f>IF(ISERROR(VLOOKUP($A1099,'13. Updated Demand'!A:Z,24,FALSE)),0,VLOOKUP($A1099,'13. Updated Demand'!A:Z,24,FALSE))</f>
        <v>0.66</v>
      </c>
      <c r="AH1099" s="16">
        <f>IF(ISERROR(VLOOKUP($A1099,'13. Updated Demand'!A:Z,25,FALSE)),0,VLOOKUP($A1099,'13. Updated Demand'!A:Z,25,FALSE))</f>
        <v>0.1</v>
      </c>
      <c r="AI1099" s="16">
        <f>IF(ISERROR(VLOOKUP($A1099,'13. Updated Demand'!A:Z,26,FALSE)),0,VLOOKUP($A1099,'13. Updated Demand'!A:Z,26,FALSE))</f>
        <v>0</v>
      </c>
      <c r="AJ1099" s="16">
        <f t="shared" si="204"/>
        <v>7.4999999999999991</v>
      </c>
      <c r="AK1099" s="19">
        <v>6.7000000000000064</v>
      </c>
      <c r="AL1099" s="16">
        <f t="shared" si="214"/>
        <v>2.2223136798279929E-2</v>
      </c>
      <c r="AM1099" s="17">
        <v>5.3541814735844635E-2</v>
      </c>
      <c r="AN1099" s="19"/>
      <c r="AO1099" s="19"/>
      <c r="AP1099" s="19">
        <v>140.69999999999999</v>
      </c>
      <c r="AQ1099" s="19" t="s">
        <v>307</v>
      </c>
      <c r="AR1099" s="9" t="s">
        <v>354</v>
      </c>
      <c r="AS1099" s="12">
        <v>0</v>
      </c>
      <c r="AT1099" s="19">
        <v>38.794462369999998</v>
      </c>
      <c r="AU1099" s="19">
        <v>-122.99301362</v>
      </c>
      <c r="AV1099" s="19" t="s">
        <v>387</v>
      </c>
    </row>
    <row r="1100" spans="1:48" x14ac:dyDescent="0.25">
      <c r="A1100" s="18" t="s">
        <v>1489</v>
      </c>
      <c r="B1100" s="10">
        <v>19550527</v>
      </c>
      <c r="C1100" s="9">
        <v>9</v>
      </c>
      <c r="D1100" s="8" t="str">
        <f t="shared" si="205"/>
        <v>N</v>
      </c>
      <c r="E1100" s="8" t="str">
        <f t="shared" si="206"/>
        <v>Y</v>
      </c>
      <c r="F1100" s="8" t="str">
        <f t="shared" si="207"/>
        <v>Y</v>
      </c>
      <c r="G1100" s="8" t="str">
        <f t="shared" si="208"/>
        <v>Y</v>
      </c>
      <c r="H1100" s="8" t="str">
        <f t="shared" si="209"/>
        <v>Upper</v>
      </c>
      <c r="I1100" s="8" t="str">
        <f t="shared" si="210"/>
        <v>West Fork and Below Lake</v>
      </c>
      <c r="J1100" s="8" t="str">
        <f t="shared" si="211"/>
        <v>Sonoma (d/s of Clov. Gage)</v>
      </c>
      <c r="K1100" s="8" t="str">
        <f t="shared" si="212"/>
        <v>Post-1949</v>
      </c>
      <c r="L1100" s="8">
        <f t="shared" si="213"/>
        <v>1955</v>
      </c>
      <c r="M1100" s="8" t="str">
        <f t="shared" si="215"/>
        <v>1955-1956</v>
      </c>
      <c r="N1100" s="10" t="s">
        <v>241</v>
      </c>
      <c r="O1100" s="10" t="s">
        <v>241</v>
      </c>
      <c r="P1100" s="10" t="s">
        <v>242</v>
      </c>
      <c r="Q1100" s="10" t="s">
        <v>242</v>
      </c>
      <c r="R1100" s="10" t="s">
        <v>241</v>
      </c>
      <c r="S1100" s="10" t="s">
        <v>242</v>
      </c>
      <c r="T1100" s="10" t="s">
        <v>242</v>
      </c>
      <c r="U1100" s="10" t="s">
        <v>242</v>
      </c>
      <c r="V1100" s="10" t="s">
        <v>242</v>
      </c>
      <c r="W1100" s="10" t="s">
        <v>242</v>
      </c>
      <c r="X1100" s="15">
        <f>IF(ISERROR(VLOOKUP($A1100,'13. Updated Demand'!A:Z,15,FALSE)),0,VLOOKUP($A1100,'13. Updated Demand'!A:Z,15,FALSE))</f>
        <v>0</v>
      </c>
      <c r="Y1100" s="16">
        <f>IF(ISERROR(VLOOKUP($A1100,'13. Updated Demand'!A:Z,16,FALSE)),0,VLOOKUP($A1100,'13. Updated Demand'!A:Z,16,FALSE))</f>
        <v>0</v>
      </c>
      <c r="Z1100" s="16">
        <f>IF(ISERROR(VLOOKUP($A1100,'13. Updated Demand'!A:Z,17,FALSE)),0,VLOOKUP($A1100,'13. Updated Demand'!A:Z,17,FALSE))</f>
        <v>0</v>
      </c>
      <c r="AA1100" s="16">
        <f>IF(ISERROR(VLOOKUP($A1100,'13. Updated Demand'!A:Z,18,FALSE)),0,VLOOKUP($A1100,'13. Updated Demand'!A:Z,18,FALSE))</f>
        <v>0</v>
      </c>
      <c r="AB1100" s="16">
        <f>IF(ISERROR(VLOOKUP($A1100,'13. Updated Demand'!A:Z,19,FALSE)),0,VLOOKUP($A1100,'13. Updated Demand'!A:Z,19,FALSE))</f>
        <v>3.26</v>
      </c>
      <c r="AC1100" s="16">
        <f>IF(ISERROR(VLOOKUP($A1100,'13. Updated Demand'!A:Z,20,FALSE)),0,VLOOKUP($A1100,'13. Updated Demand'!A:Z,20,FALSE))</f>
        <v>10.66</v>
      </c>
      <c r="AD1100" s="16">
        <f>IF(ISERROR(VLOOKUP($A1100,'13. Updated Demand'!A:Z,21,FALSE)),0,VLOOKUP($A1100,'13. Updated Demand'!A:Z,21,FALSE))</f>
        <v>12.33</v>
      </c>
      <c r="AE1100" s="16">
        <f>IF(ISERROR(VLOOKUP($A1100,'13. Updated Demand'!A:Z,22,FALSE)),0,VLOOKUP($A1100,'13. Updated Demand'!A:Z,22,FALSE))</f>
        <v>12.33</v>
      </c>
      <c r="AF1100" s="16">
        <f>IF(ISERROR(VLOOKUP($A1100,'13. Updated Demand'!A:Z,23,FALSE)),0,VLOOKUP($A1100,'13. Updated Demand'!A:Z,23,FALSE))</f>
        <v>13</v>
      </c>
      <c r="AG1100" s="16">
        <f>IF(ISERROR(VLOOKUP($A1100,'13. Updated Demand'!A:Z,24,FALSE)),0,VLOOKUP($A1100,'13. Updated Demand'!A:Z,24,FALSE))</f>
        <v>10.33</v>
      </c>
      <c r="AH1100" s="16">
        <f>IF(ISERROR(VLOOKUP($A1100,'13. Updated Demand'!A:Z,25,FALSE)),0,VLOOKUP($A1100,'13. Updated Demand'!A:Z,25,FALSE))</f>
        <v>1.66</v>
      </c>
      <c r="AI1100" s="16">
        <f>IF(ISERROR(VLOOKUP($A1100,'13. Updated Demand'!A:Z,26,FALSE)),0,VLOOKUP($A1100,'13. Updated Demand'!A:Z,26,FALSE))</f>
        <v>0</v>
      </c>
      <c r="AJ1100" s="16">
        <f t="shared" si="204"/>
        <v>63.569999999999993</v>
      </c>
      <c r="AK1100" s="19">
        <v>51.599999997000005</v>
      </c>
      <c r="AL1100" s="16">
        <f t="shared" si="214"/>
        <v>0.17115132219769763</v>
      </c>
      <c r="AM1100" s="17">
        <v>0.93255131956011739</v>
      </c>
      <c r="AN1100" s="19"/>
      <c r="AO1100" s="19"/>
      <c r="AP1100" s="19">
        <v>68.2</v>
      </c>
      <c r="AQ1100" s="19" t="s">
        <v>307</v>
      </c>
      <c r="AR1100" s="9" t="s">
        <v>354</v>
      </c>
      <c r="AS1100" s="12">
        <v>0</v>
      </c>
      <c r="AT1100" s="19">
        <v>38.758236670000002</v>
      </c>
      <c r="AU1100" s="19">
        <v>-122.95778801</v>
      </c>
      <c r="AV1100" s="19" t="s">
        <v>387</v>
      </c>
    </row>
    <row r="1101" spans="1:48" x14ac:dyDescent="0.25">
      <c r="A1101" s="18" t="s">
        <v>1490</v>
      </c>
      <c r="B1101" s="10">
        <v>19550603</v>
      </c>
      <c r="C1101" s="9">
        <v>10</v>
      </c>
      <c r="D1101" s="8" t="str">
        <f t="shared" si="205"/>
        <v>N</v>
      </c>
      <c r="E1101" s="8" t="str">
        <f t="shared" si="206"/>
        <v>Y</v>
      </c>
      <c r="F1101" s="8" t="str">
        <f t="shared" si="207"/>
        <v>Y</v>
      </c>
      <c r="G1101" s="8" t="str">
        <f t="shared" si="208"/>
        <v>Y</v>
      </c>
      <c r="H1101" s="8" t="str">
        <f t="shared" si="209"/>
        <v>Upper</v>
      </c>
      <c r="I1101" s="8" t="str">
        <f t="shared" si="210"/>
        <v>West Fork and Below Lake</v>
      </c>
      <c r="J1101" s="8" t="str">
        <f t="shared" si="211"/>
        <v>Sonoma (d/s of Clov. Gage)</v>
      </c>
      <c r="K1101" s="8" t="str">
        <f t="shared" si="212"/>
        <v>Post-1949</v>
      </c>
      <c r="L1101" s="8">
        <f t="shared" si="213"/>
        <v>1955</v>
      </c>
      <c r="M1101" s="8" t="str">
        <f t="shared" si="215"/>
        <v>1955-1956</v>
      </c>
      <c r="N1101" s="10" t="s">
        <v>241</v>
      </c>
      <c r="O1101" s="10" t="s">
        <v>241</v>
      </c>
      <c r="P1101" s="10" t="s">
        <v>242</v>
      </c>
      <c r="Q1101" s="10" t="s">
        <v>242</v>
      </c>
      <c r="R1101" s="10" t="s">
        <v>241</v>
      </c>
      <c r="S1101" s="10" t="s">
        <v>242</v>
      </c>
      <c r="T1101" s="10" t="s">
        <v>242</v>
      </c>
      <c r="U1101" s="10" t="s">
        <v>241</v>
      </c>
      <c r="V1101" s="10" t="s">
        <v>241</v>
      </c>
      <c r="W1101" s="10" t="s">
        <v>242</v>
      </c>
      <c r="X1101" s="15">
        <f>IF(ISERROR(VLOOKUP($A1101,'13. Updated Demand'!A:Z,15,FALSE)),0,VLOOKUP($A1101,'13. Updated Demand'!A:Z,15,FALSE))</f>
        <v>0</v>
      </c>
      <c r="Y1101" s="16">
        <f>IF(ISERROR(VLOOKUP($A1101,'13. Updated Demand'!A:Z,16,FALSE)),0,VLOOKUP($A1101,'13. Updated Demand'!A:Z,16,FALSE))</f>
        <v>0</v>
      </c>
      <c r="Z1101" s="16">
        <f>IF(ISERROR(VLOOKUP($A1101,'13. Updated Demand'!A:Z,17,FALSE)),0,VLOOKUP($A1101,'13. Updated Demand'!A:Z,17,FALSE))</f>
        <v>0</v>
      </c>
      <c r="AA1101" s="16">
        <f>IF(ISERROR(VLOOKUP($A1101,'13. Updated Demand'!A:Z,18,FALSE)),0,VLOOKUP($A1101,'13. Updated Demand'!A:Z,18,FALSE))</f>
        <v>0</v>
      </c>
      <c r="AB1101" s="16">
        <f>IF(ISERROR(VLOOKUP($A1101,'13. Updated Demand'!A:Z,19,FALSE)),0,VLOOKUP($A1101,'13. Updated Demand'!A:Z,19,FALSE))</f>
        <v>0</v>
      </c>
      <c r="AC1101" s="16">
        <f>IF(ISERROR(VLOOKUP($A1101,'13. Updated Demand'!A:Z,20,FALSE)),0,VLOOKUP($A1101,'13. Updated Demand'!A:Z,20,FALSE))</f>
        <v>0</v>
      </c>
      <c r="AD1101" s="16">
        <f>IF(ISERROR(VLOOKUP($A1101,'13. Updated Demand'!A:Z,21,FALSE)),0,VLOOKUP($A1101,'13. Updated Demand'!A:Z,21,FALSE))</f>
        <v>0</v>
      </c>
      <c r="AE1101" s="16">
        <f>IF(ISERROR(VLOOKUP($A1101,'13. Updated Demand'!A:Z,22,FALSE)),0,VLOOKUP($A1101,'13. Updated Demand'!A:Z,22,FALSE))</f>
        <v>0</v>
      </c>
      <c r="AF1101" s="16">
        <f>IF(ISERROR(VLOOKUP($A1101,'13. Updated Demand'!A:Z,23,FALSE)),0,VLOOKUP($A1101,'13. Updated Demand'!A:Z,23,FALSE))</f>
        <v>0</v>
      </c>
      <c r="AG1101" s="16">
        <f>IF(ISERROR(VLOOKUP($A1101,'13. Updated Demand'!A:Z,24,FALSE)),0,VLOOKUP($A1101,'13. Updated Demand'!A:Z,24,FALSE))</f>
        <v>0</v>
      </c>
      <c r="AH1101" s="16">
        <f>IF(ISERROR(VLOOKUP($A1101,'13. Updated Demand'!A:Z,25,FALSE)),0,VLOOKUP($A1101,'13. Updated Demand'!A:Z,25,FALSE))</f>
        <v>0</v>
      </c>
      <c r="AI1101" s="16">
        <f>IF(ISERROR(VLOOKUP($A1101,'13. Updated Demand'!A:Z,26,FALSE)),0,VLOOKUP($A1101,'13. Updated Demand'!A:Z,26,FALSE))</f>
        <v>0</v>
      </c>
      <c r="AJ1101" s="16">
        <f t="shared" si="204"/>
        <v>0</v>
      </c>
      <c r="AK1101" s="19">
        <v>0</v>
      </c>
      <c r="AL1101" s="16">
        <f t="shared" si="214"/>
        <v>0</v>
      </c>
      <c r="AM1101" s="17">
        <v>0</v>
      </c>
      <c r="AN1101" s="19"/>
      <c r="AO1101" s="19"/>
      <c r="AP1101" s="19">
        <v>146.80000000000001</v>
      </c>
      <c r="AQ1101" s="19" t="s">
        <v>307</v>
      </c>
      <c r="AR1101" s="9" t="s">
        <v>436</v>
      </c>
      <c r="AS1101" s="12">
        <v>0</v>
      </c>
      <c r="AT1101" s="19">
        <v>38.697082610000002</v>
      </c>
      <c r="AU1101" s="19">
        <v>-122.87777316</v>
      </c>
      <c r="AV1101" s="19" t="s">
        <v>548</v>
      </c>
    </row>
    <row r="1102" spans="1:48" x14ac:dyDescent="0.25">
      <c r="A1102" s="18" t="s">
        <v>1491</v>
      </c>
      <c r="B1102" s="10">
        <v>19550613</v>
      </c>
      <c r="C1102" s="9">
        <v>4</v>
      </c>
      <c r="D1102" s="8" t="str">
        <f t="shared" si="205"/>
        <v>Y</v>
      </c>
      <c r="E1102" s="8" t="str">
        <f t="shared" si="206"/>
        <v>N</v>
      </c>
      <c r="F1102" s="8" t="str">
        <f t="shared" si="207"/>
        <v>Y</v>
      </c>
      <c r="G1102" s="8" t="str">
        <f t="shared" si="208"/>
        <v>Y</v>
      </c>
      <c r="H1102" s="8" t="str">
        <f t="shared" si="209"/>
        <v>Upper</v>
      </c>
      <c r="I1102" s="8" t="str">
        <f t="shared" si="210"/>
        <v>West Fork and Below Lake</v>
      </c>
      <c r="J1102" s="8" t="str">
        <f t="shared" si="211"/>
        <v>Mendocino (d/s of lake)</v>
      </c>
      <c r="K1102" s="8" t="str">
        <f t="shared" si="212"/>
        <v>Post-1949</v>
      </c>
      <c r="L1102" s="8">
        <f t="shared" si="213"/>
        <v>1955</v>
      </c>
      <c r="M1102" s="8" t="str">
        <f t="shared" si="215"/>
        <v>1955-1956</v>
      </c>
      <c r="N1102" s="10" t="s">
        <v>241</v>
      </c>
      <c r="O1102" s="10" t="s">
        <v>241</v>
      </c>
      <c r="P1102" s="10" t="s">
        <v>242</v>
      </c>
      <c r="Q1102" s="10" t="s">
        <v>242</v>
      </c>
      <c r="R1102" s="10" t="s">
        <v>241</v>
      </c>
      <c r="S1102" s="10" t="s">
        <v>242</v>
      </c>
      <c r="T1102" s="10" t="s">
        <v>242</v>
      </c>
      <c r="U1102" s="10" t="s">
        <v>241</v>
      </c>
      <c r="V1102" s="10" t="s">
        <v>241</v>
      </c>
      <c r="W1102" s="10" t="s">
        <v>242</v>
      </c>
      <c r="X1102" s="15">
        <f>IF(ISERROR(VLOOKUP($A1102,'13. Updated Demand'!A:Z,15,FALSE)),0,VLOOKUP($A1102,'13. Updated Demand'!A:Z,15,FALSE))</f>
        <v>0</v>
      </c>
      <c r="Y1102" s="16">
        <f>IF(ISERROR(VLOOKUP($A1102,'13. Updated Demand'!A:Z,16,FALSE)),0,VLOOKUP($A1102,'13. Updated Demand'!A:Z,16,FALSE))</f>
        <v>0</v>
      </c>
      <c r="Z1102" s="16">
        <f>IF(ISERROR(VLOOKUP($A1102,'13. Updated Demand'!A:Z,17,FALSE)),0,VLOOKUP($A1102,'13. Updated Demand'!A:Z,17,FALSE))</f>
        <v>0</v>
      </c>
      <c r="AA1102" s="16">
        <f>IF(ISERROR(VLOOKUP($A1102,'13. Updated Demand'!A:Z,18,FALSE)),0,VLOOKUP($A1102,'13. Updated Demand'!A:Z,18,FALSE))</f>
        <v>0</v>
      </c>
      <c r="AB1102" s="16">
        <f>IF(ISERROR(VLOOKUP($A1102,'13. Updated Demand'!A:Z,19,FALSE)),0,VLOOKUP($A1102,'13. Updated Demand'!A:Z,19,FALSE))</f>
        <v>0</v>
      </c>
      <c r="AC1102" s="16">
        <f>IF(ISERROR(VLOOKUP($A1102,'13. Updated Demand'!A:Z,20,FALSE)),0,VLOOKUP($A1102,'13. Updated Demand'!A:Z,20,FALSE))</f>
        <v>0</v>
      </c>
      <c r="AD1102" s="16">
        <f>IF(ISERROR(VLOOKUP($A1102,'13. Updated Demand'!A:Z,21,FALSE)),0,VLOOKUP($A1102,'13. Updated Demand'!A:Z,21,FALSE))</f>
        <v>0</v>
      </c>
      <c r="AE1102" s="16">
        <f>IF(ISERROR(VLOOKUP($A1102,'13. Updated Demand'!A:Z,22,FALSE)),0,VLOOKUP($A1102,'13. Updated Demand'!A:Z,22,FALSE))</f>
        <v>0</v>
      </c>
      <c r="AF1102" s="16">
        <f>IF(ISERROR(VLOOKUP($A1102,'13. Updated Demand'!A:Z,23,FALSE)),0,VLOOKUP($A1102,'13. Updated Demand'!A:Z,23,FALSE))</f>
        <v>0</v>
      </c>
      <c r="AG1102" s="16">
        <f>IF(ISERROR(VLOOKUP($A1102,'13. Updated Demand'!A:Z,24,FALSE)),0,VLOOKUP($A1102,'13. Updated Demand'!A:Z,24,FALSE))</f>
        <v>0</v>
      </c>
      <c r="AH1102" s="16">
        <f>IF(ISERROR(VLOOKUP($A1102,'13. Updated Demand'!A:Z,25,FALSE)),0,VLOOKUP($A1102,'13. Updated Demand'!A:Z,25,FALSE))</f>
        <v>0</v>
      </c>
      <c r="AI1102" s="16">
        <f>IF(ISERROR(VLOOKUP($A1102,'13. Updated Demand'!A:Z,26,FALSE)),0,VLOOKUP($A1102,'13. Updated Demand'!A:Z,26,FALSE))</f>
        <v>0</v>
      </c>
      <c r="AJ1102" s="16">
        <f t="shared" si="204"/>
        <v>0</v>
      </c>
      <c r="AK1102" s="19">
        <v>0</v>
      </c>
      <c r="AL1102" s="16">
        <f t="shared" si="214"/>
        <v>0</v>
      </c>
      <c r="AM1102" s="17">
        <v>0</v>
      </c>
      <c r="AN1102" s="19"/>
      <c r="AO1102" s="19"/>
      <c r="AP1102" s="19">
        <v>54</v>
      </c>
      <c r="AQ1102" s="19" t="s">
        <v>307</v>
      </c>
      <c r="AR1102" s="9" t="s">
        <v>331</v>
      </c>
      <c r="AS1102" s="12">
        <v>0</v>
      </c>
      <c r="AT1102" s="19">
        <v>39.17180544</v>
      </c>
      <c r="AU1102" s="19">
        <v>-123.1926794</v>
      </c>
      <c r="AV1102" s="19" t="s">
        <v>387</v>
      </c>
    </row>
    <row r="1103" spans="1:48" x14ac:dyDescent="0.25">
      <c r="A1103" s="18" t="s">
        <v>1492</v>
      </c>
      <c r="B1103" s="10">
        <v>19550624</v>
      </c>
      <c r="C1103" s="9">
        <v>17</v>
      </c>
      <c r="D1103" s="8" t="str">
        <f t="shared" si="205"/>
        <v>N</v>
      </c>
      <c r="E1103" s="8" t="str">
        <f t="shared" si="206"/>
        <v>N</v>
      </c>
      <c r="F1103" s="8" t="str">
        <f t="shared" si="207"/>
        <v>N</v>
      </c>
      <c r="G1103" s="8" t="str">
        <f t="shared" si="208"/>
        <v>N</v>
      </c>
      <c r="H1103" s="8" t="str">
        <f t="shared" si="209"/>
        <v>Lower</v>
      </c>
      <c r="I1103" s="8" t="str">
        <f t="shared" si="210"/>
        <v>Outside</v>
      </c>
      <c r="J1103" s="8" t="str">
        <f t="shared" si="211"/>
        <v>Outside</v>
      </c>
      <c r="K1103" s="8" t="str">
        <f t="shared" si="212"/>
        <v>Post-1949</v>
      </c>
      <c r="L1103" s="8">
        <f t="shared" si="213"/>
        <v>1955</v>
      </c>
      <c r="M1103" s="8" t="str">
        <f t="shared" si="215"/>
        <v>1955-1956</v>
      </c>
      <c r="N1103" s="10" t="s">
        <v>241</v>
      </c>
      <c r="O1103" s="10" t="s">
        <v>242</v>
      </c>
      <c r="P1103" s="10" t="s">
        <v>242</v>
      </c>
      <c r="Q1103" s="10" t="s">
        <v>242</v>
      </c>
      <c r="R1103" s="10" t="s">
        <v>241</v>
      </c>
      <c r="S1103" s="10" t="s">
        <v>242</v>
      </c>
      <c r="T1103" s="10" t="s">
        <v>242</v>
      </c>
      <c r="U1103" s="10" t="s">
        <v>242</v>
      </c>
      <c r="V1103" s="10" t="s">
        <v>241</v>
      </c>
      <c r="W1103" s="10" t="s">
        <v>242</v>
      </c>
      <c r="X1103" s="15">
        <f>IF(ISERROR(VLOOKUP($A1103,'13. Updated Demand'!A:Z,15,FALSE)),0,VLOOKUP($A1103,'13. Updated Demand'!A:Z,15,FALSE))</f>
        <v>0</v>
      </c>
      <c r="Y1103" s="16">
        <f>IF(ISERROR(VLOOKUP($A1103,'13. Updated Demand'!A:Z,16,FALSE)),0,VLOOKUP($A1103,'13. Updated Demand'!A:Z,16,FALSE))</f>
        <v>0</v>
      </c>
      <c r="Z1103" s="16">
        <f>IF(ISERROR(VLOOKUP($A1103,'13. Updated Demand'!A:Z,17,FALSE)),0,VLOOKUP($A1103,'13. Updated Demand'!A:Z,17,FALSE))</f>
        <v>2</v>
      </c>
      <c r="AA1103" s="16">
        <f>IF(ISERROR(VLOOKUP($A1103,'13. Updated Demand'!A:Z,18,FALSE)),0,VLOOKUP($A1103,'13. Updated Demand'!A:Z,18,FALSE))</f>
        <v>0.66666666699999999</v>
      </c>
      <c r="AB1103" s="16">
        <f>IF(ISERROR(VLOOKUP($A1103,'13. Updated Demand'!A:Z,19,FALSE)),0,VLOOKUP($A1103,'13. Updated Demand'!A:Z,19,FALSE))</f>
        <v>0</v>
      </c>
      <c r="AC1103" s="16">
        <f>IF(ISERROR(VLOOKUP($A1103,'13. Updated Demand'!A:Z,20,FALSE)),0,VLOOKUP($A1103,'13. Updated Demand'!A:Z,20,FALSE))</f>
        <v>0</v>
      </c>
      <c r="AD1103" s="16">
        <f>IF(ISERROR(VLOOKUP($A1103,'13. Updated Demand'!A:Z,21,FALSE)),0,VLOOKUP($A1103,'13. Updated Demand'!A:Z,21,FALSE))</f>
        <v>0</v>
      </c>
      <c r="AE1103" s="16">
        <f>IF(ISERROR(VLOOKUP($A1103,'13. Updated Demand'!A:Z,22,FALSE)),0,VLOOKUP($A1103,'13. Updated Demand'!A:Z,22,FALSE))</f>
        <v>0</v>
      </c>
      <c r="AF1103" s="16">
        <f>IF(ISERROR(VLOOKUP($A1103,'13. Updated Demand'!A:Z,23,FALSE)),0,VLOOKUP($A1103,'13. Updated Demand'!A:Z,23,FALSE))</f>
        <v>0</v>
      </c>
      <c r="AG1103" s="16">
        <f>IF(ISERROR(VLOOKUP($A1103,'13. Updated Demand'!A:Z,24,FALSE)),0,VLOOKUP($A1103,'13. Updated Demand'!A:Z,24,FALSE))</f>
        <v>0</v>
      </c>
      <c r="AH1103" s="16">
        <f>IF(ISERROR(VLOOKUP($A1103,'13. Updated Demand'!A:Z,25,FALSE)),0,VLOOKUP($A1103,'13. Updated Demand'!A:Z,25,FALSE))</f>
        <v>0</v>
      </c>
      <c r="AI1103" s="16">
        <f>IF(ISERROR(VLOOKUP($A1103,'13. Updated Demand'!A:Z,26,FALSE)),0,VLOOKUP($A1103,'13. Updated Demand'!A:Z,26,FALSE))</f>
        <v>0</v>
      </c>
      <c r="AJ1103" s="16">
        <f t="shared" si="204"/>
        <v>2.6666666669999999</v>
      </c>
      <c r="AK1103" s="19">
        <v>0</v>
      </c>
      <c r="AL1103" s="16">
        <f t="shared" si="214"/>
        <v>0</v>
      </c>
      <c r="AM1103" s="17">
        <v>1.1299435028248589E-2</v>
      </c>
      <c r="AN1103" s="19"/>
      <c r="AO1103" s="19"/>
      <c r="AP1103" s="19">
        <v>236</v>
      </c>
      <c r="AQ1103" s="19" t="s">
        <v>307</v>
      </c>
      <c r="AR1103" s="9" t="s">
        <v>486</v>
      </c>
      <c r="AS1103" s="12">
        <v>0</v>
      </c>
      <c r="AT1103" s="19">
        <v>38.52423924</v>
      </c>
      <c r="AU1103" s="19">
        <v>-122.85677252000001</v>
      </c>
      <c r="AV1103" s="19" t="s">
        <v>548</v>
      </c>
    </row>
    <row r="1104" spans="1:48" x14ac:dyDescent="0.25">
      <c r="A1104" s="18" t="s">
        <v>1493</v>
      </c>
      <c r="B1104" s="10">
        <v>19550628</v>
      </c>
      <c r="C1104" s="9">
        <v>6</v>
      </c>
      <c r="D1104" s="8" t="str">
        <f t="shared" si="205"/>
        <v>Y</v>
      </c>
      <c r="E1104" s="8" t="str">
        <f t="shared" si="206"/>
        <v>N</v>
      </c>
      <c r="F1104" s="8" t="str">
        <f t="shared" si="207"/>
        <v>Y</v>
      </c>
      <c r="G1104" s="8" t="str">
        <f t="shared" si="208"/>
        <v>Y</v>
      </c>
      <c r="H1104" s="8" t="str">
        <f t="shared" si="209"/>
        <v>Upper</v>
      </c>
      <c r="I1104" s="8" t="str">
        <f t="shared" si="210"/>
        <v>West Fork and Below Lake</v>
      </c>
      <c r="J1104" s="8" t="str">
        <f t="shared" si="211"/>
        <v>Mendocino (d/s of lake)</v>
      </c>
      <c r="K1104" s="8" t="str">
        <f t="shared" si="212"/>
        <v>Post-1949</v>
      </c>
      <c r="L1104" s="8">
        <f t="shared" si="213"/>
        <v>1955</v>
      </c>
      <c r="M1104" s="8" t="str">
        <f t="shared" si="215"/>
        <v>1955-1956</v>
      </c>
      <c r="N1104" s="10" t="s">
        <v>242</v>
      </c>
      <c r="O1104" s="10" t="s">
        <v>241</v>
      </c>
      <c r="P1104" s="10" t="s">
        <v>242</v>
      </c>
      <c r="Q1104" s="10" t="s">
        <v>242</v>
      </c>
      <c r="R1104" s="10" t="s">
        <v>241</v>
      </c>
      <c r="S1104" s="10" t="s">
        <v>242</v>
      </c>
      <c r="T1104" s="10" t="s">
        <v>242</v>
      </c>
      <c r="U1104" s="10" t="s">
        <v>241</v>
      </c>
      <c r="V1104" s="10" t="s">
        <v>241</v>
      </c>
      <c r="W1104" s="10" t="s">
        <v>242</v>
      </c>
      <c r="X1104" s="15">
        <f>IF(ISERROR(VLOOKUP($A1104,'13. Updated Demand'!A:Z,15,FALSE)),0,VLOOKUP($A1104,'13. Updated Demand'!A:Z,15,FALSE))</f>
        <v>0</v>
      </c>
      <c r="Y1104" s="16">
        <f>IF(ISERROR(VLOOKUP($A1104,'13. Updated Demand'!A:Z,16,FALSE)),0,VLOOKUP($A1104,'13. Updated Demand'!A:Z,16,FALSE))</f>
        <v>0</v>
      </c>
      <c r="Z1104" s="16">
        <f>IF(ISERROR(VLOOKUP($A1104,'13. Updated Demand'!A:Z,17,FALSE)),0,VLOOKUP($A1104,'13. Updated Demand'!A:Z,17,FALSE))</f>
        <v>0</v>
      </c>
      <c r="AA1104" s="16">
        <f>IF(ISERROR(VLOOKUP($A1104,'13. Updated Demand'!A:Z,18,FALSE)),0,VLOOKUP($A1104,'13. Updated Demand'!A:Z,18,FALSE))</f>
        <v>0</v>
      </c>
      <c r="AB1104" s="16">
        <f>IF(ISERROR(VLOOKUP($A1104,'13. Updated Demand'!A:Z,19,FALSE)),0,VLOOKUP($A1104,'13. Updated Demand'!A:Z,19,FALSE))</f>
        <v>0</v>
      </c>
      <c r="AC1104" s="16">
        <f>IF(ISERROR(VLOOKUP($A1104,'13. Updated Demand'!A:Z,20,FALSE)),0,VLOOKUP($A1104,'13. Updated Demand'!A:Z,20,FALSE))</f>
        <v>0</v>
      </c>
      <c r="AD1104" s="16">
        <f>IF(ISERROR(VLOOKUP($A1104,'13. Updated Demand'!A:Z,21,FALSE)),0,VLOOKUP($A1104,'13. Updated Demand'!A:Z,21,FALSE))</f>
        <v>0</v>
      </c>
      <c r="AE1104" s="16">
        <f>IF(ISERROR(VLOOKUP($A1104,'13. Updated Demand'!A:Z,22,FALSE)),0,VLOOKUP($A1104,'13. Updated Demand'!A:Z,22,FALSE))</f>
        <v>0</v>
      </c>
      <c r="AF1104" s="16">
        <f>IF(ISERROR(VLOOKUP($A1104,'13. Updated Demand'!A:Z,23,FALSE)),0,VLOOKUP($A1104,'13. Updated Demand'!A:Z,23,FALSE))</f>
        <v>0</v>
      </c>
      <c r="AG1104" s="16">
        <f>IF(ISERROR(VLOOKUP($A1104,'13. Updated Demand'!A:Z,24,FALSE)),0,VLOOKUP($A1104,'13. Updated Demand'!A:Z,24,FALSE))</f>
        <v>0</v>
      </c>
      <c r="AH1104" s="16">
        <f>IF(ISERROR(VLOOKUP($A1104,'13. Updated Demand'!A:Z,25,FALSE)),0,VLOOKUP($A1104,'13. Updated Demand'!A:Z,25,FALSE))</f>
        <v>0</v>
      </c>
      <c r="AI1104" s="16">
        <f>IF(ISERROR(VLOOKUP($A1104,'13. Updated Demand'!A:Z,26,FALSE)),0,VLOOKUP($A1104,'13. Updated Demand'!A:Z,26,FALSE))</f>
        <v>0</v>
      </c>
      <c r="AJ1104" s="16">
        <f t="shared" ref="AJ1104:AJ1167" si="216">SUM(X1104:AI1104)</f>
        <v>0</v>
      </c>
      <c r="AK1104" s="19">
        <v>0</v>
      </c>
      <c r="AL1104" s="16">
        <f t="shared" si="214"/>
        <v>0</v>
      </c>
      <c r="AM1104" s="17">
        <v>0</v>
      </c>
      <c r="AN1104" s="19"/>
      <c r="AO1104" s="19"/>
      <c r="AP1104" s="19">
        <v>144.80000000000001</v>
      </c>
      <c r="AQ1104" s="19" t="s">
        <v>307</v>
      </c>
      <c r="AR1104" s="9" t="s">
        <v>319</v>
      </c>
      <c r="AS1104" s="12">
        <v>3.4039024194010059E-4</v>
      </c>
      <c r="AT1104" s="19">
        <v>38.90412242</v>
      </c>
      <c r="AU1104" s="19">
        <v>-123.10419343</v>
      </c>
      <c r="AV1104" s="19" t="s">
        <v>1494</v>
      </c>
    </row>
    <row r="1105" spans="1:48" x14ac:dyDescent="0.25">
      <c r="A1105" s="18" t="s">
        <v>1495</v>
      </c>
      <c r="B1105" s="10">
        <v>19550711</v>
      </c>
      <c r="C1105" s="9">
        <v>17</v>
      </c>
      <c r="D1105" s="8" t="str">
        <f t="shared" si="205"/>
        <v>N</v>
      </c>
      <c r="E1105" s="8" t="str">
        <f t="shared" si="206"/>
        <v>N</v>
      </c>
      <c r="F1105" s="8" t="str">
        <f t="shared" si="207"/>
        <v>N</v>
      </c>
      <c r="G1105" s="8" t="str">
        <f t="shared" si="208"/>
        <v>N</v>
      </c>
      <c r="H1105" s="8" t="str">
        <f t="shared" si="209"/>
        <v>Lower</v>
      </c>
      <c r="I1105" s="8" t="str">
        <f t="shared" si="210"/>
        <v>Outside</v>
      </c>
      <c r="J1105" s="8" t="str">
        <f t="shared" si="211"/>
        <v>Outside</v>
      </c>
      <c r="K1105" s="8" t="str">
        <f t="shared" si="212"/>
        <v>Post-1949</v>
      </c>
      <c r="L1105" s="8">
        <f t="shared" si="213"/>
        <v>1955</v>
      </c>
      <c r="M1105" s="8" t="str">
        <f t="shared" si="215"/>
        <v>1955-1956</v>
      </c>
      <c r="N1105" s="10" t="s">
        <v>241</v>
      </c>
      <c r="O1105" s="10" t="s">
        <v>242</v>
      </c>
      <c r="P1105" s="10" t="s">
        <v>242</v>
      </c>
      <c r="Q1105" s="10" t="s">
        <v>242</v>
      </c>
      <c r="R1105" s="10" t="s">
        <v>241</v>
      </c>
      <c r="S1105" s="10" t="s">
        <v>242</v>
      </c>
      <c r="T1105" s="10" t="s">
        <v>242</v>
      </c>
      <c r="U1105" s="10" t="s">
        <v>242</v>
      </c>
      <c r="V1105" s="10" t="s">
        <v>241</v>
      </c>
      <c r="W1105" s="10" t="s">
        <v>242</v>
      </c>
      <c r="X1105" s="15">
        <f>IF(ISERROR(VLOOKUP($A1105,'13. Updated Demand'!A:Z,15,FALSE)),0,VLOOKUP($A1105,'13. Updated Demand'!A:Z,15,FALSE))</f>
        <v>0</v>
      </c>
      <c r="Y1105" s="16">
        <f>IF(ISERROR(VLOOKUP($A1105,'13. Updated Demand'!A:Z,16,FALSE)),0,VLOOKUP($A1105,'13. Updated Demand'!A:Z,16,FALSE))</f>
        <v>0.306666667</v>
      </c>
      <c r="Z1105" s="16">
        <f>IF(ISERROR(VLOOKUP($A1105,'13. Updated Demand'!A:Z,17,FALSE)),0,VLOOKUP($A1105,'13. Updated Demand'!A:Z,17,FALSE))</f>
        <v>0.50514033300000005</v>
      </c>
      <c r="AA1105" s="16">
        <f>IF(ISERROR(VLOOKUP($A1105,'13. Updated Demand'!A:Z,18,FALSE)),0,VLOOKUP($A1105,'13. Updated Demand'!A:Z,18,FALSE))</f>
        <v>0</v>
      </c>
      <c r="AB1105" s="16">
        <f>IF(ISERROR(VLOOKUP($A1105,'13. Updated Demand'!A:Z,19,FALSE)),0,VLOOKUP($A1105,'13. Updated Demand'!A:Z,19,FALSE))</f>
        <v>0</v>
      </c>
      <c r="AC1105" s="16">
        <f>IF(ISERROR(VLOOKUP($A1105,'13. Updated Demand'!A:Z,20,FALSE)),0,VLOOKUP($A1105,'13. Updated Demand'!A:Z,20,FALSE))</f>
        <v>0</v>
      </c>
      <c r="AD1105" s="16">
        <f>IF(ISERROR(VLOOKUP($A1105,'13. Updated Demand'!A:Z,21,FALSE)),0,VLOOKUP($A1105,'13. Updated Demand'!A:Z,21,FALSE))</f>
        <v>0</v>
      </c>
      <c r="AE1105" s="16">
        <f>IF(ISERROR(VLOOKUP($A1105,'13. Updated Demand'!A:Z,22,FALSE)),0,VLOOKUP($A1105,'13. Updated Demand'!A:Z,22,FALSE))</f>
        <v>0</v>
      </c>
      <c r="AF1105" s="16">
        <f>IF(ISERROR(VLOOKUP($A1105,'13. Updated Demand'!A:Z,23,FALSE)),0,VLOOKUP($A1105,'13. Updated Demand'!A:Z,23,FALSE))</f>
        <v>0</v>
      </c>
      <c r="AG1105" s="16">
        <f>IF(ISERROR(VLOOKUP($A1105,'13. Updated Demand'!A:Z,24,FALSE)),0,VLOOKUP($A1105,'13. Updated Demand'!A:Z,24,FALSE))</f>
        <v>1.8974299999999999</v>
      </c>
      <c r="AH1105" s="16">
        <f>IF(ISERROR(VLOOKUP($A1105,'13. Updated Demand'!A:Z,25,FALSE)),0,VLOOKUP($A1105,'13. Updated Demand'!A:Z,25,FALSE))</f>
        <v>0.34666666699999998</v>
      </c>
      <c r="AI1105" s="16">
        <f>IF(ISERROR(VLOOKUP($A1105,'13. Updated Demand'!A:Z,26,FALSE)),0,VLOOKUP($A1105,'13. Updated Demand'!A:Z,26,FALSE))</f>
        <v>0</v>
      </c>
      <c r="AJ1105" s="16">
        <f t="shared" si="216"/>
        <v>3.0559036669999999</v>
      </c>
      <c r="AK1105" s="19">
        <v>0</v>
      </c>
      <c r="AL1105" s="16">
        <f t="shared" si="214"/>
        <v>0</v>
      </c>
      <c r="AM1105" s="17">
        <v>9.9800903559764866E-3</v>
      </c>
      <c r="AN1105" s="19"/>
      <c r="AO1105" s="19"/>
      <c r="AP1105" s="19">
        <v>306.2</v>
      </c>
      <c r="AQ1105" s="19" t="s">
        <v>307</v>
      </c>
      <c r="AR1105" s="9" t="s">
        <v>486</v>
      </c>
      <c r="AS1105" s="12">
        <v>0</v>
      </c>
      <c r="AT1105" s="19">
        <v>38.564599999999999</v>
      </c>
      <c r="AU1105" s="19">
        <v>-122.8531</v>
      </c>
      <c r="AV1105" s="19" t="s">
        <v>548</v>
      </c>
    </row>
    <row r="1106" spans="1:48" x14ac:dyDescent="0.25">
      <c r="A1106" s="18" t="s">
        <v>1496</v>
      </c>
      <c r="B1106" s="10">
        <v>19550718</v>
      </c>
      <c r="C1106" s="9">
        <v>11</v>
      </c>
      <c r="D1106" s="8" t="str">
        <f t="shared" si="205"/>
        <v>N</v>
      </c>
      <c r="E1106" s="8" t="str">
        <f t="shared" si="206"/>
        <v>Y</v>
      </c>
      <c r="F1106" s="8" t="str">
        <f t="shared" si="207"/>
        <v>Y</v>
      </c>
      <c r="G1106" s="8" t="str">
        <f t="shared" si="208"/>
        <v>Y</v>
      </c>
      <c r="H1106" s="8" t="str">
        <f t="shared" si="209"/>
        <v>Upper</v>
      </c>
      <c r="I1106" s="8" t="str">
        <f t="shared" si="210"/>
        <v>West Fork and Below Lake</v>
      </c>
      <c r="J1106" s="8" t="str">
        <f t="shared" si="211"/>
        <v>Sonoma (d/s of Clov. Gage)</v>
      </c>
      <c r="K1106" s="8" t="str">
        <f t="shared" si="212"/>
        <v>Post-1949</v>
      </c>
      <c r="L1106" s="8">
        <f t="shared" si="213"/>
        <v>1955</v>
      </c>
      <c r="M1106" s="8" t="str">
        <f t="shared" si="215"/>
        <v>1955-1956</v>
      </c>
      <c r="N1106" s="10" t="s">
        <v>242</v>
      </c>
      <c r="O1106" s="10" t="s">
        <v>241</v>
      </c>
      <c r="P1106" s="10" t="s">
        <v>242</v>
      </c>
      <c r="Q1106" s="10" t="s">
        <v>242</v>
      </c>
      <c r="R1106" s="10" t="s">
        <v>241</v>
      </c>
      <c r="S1106" s="10" t="s">
        <v>242</v>
      </c>
      <c r="T1106" s="10" t="s">
        <v>242</v>
      </c>
      <c r="U1106" s="10" t="s">
        <v>242</v>
      </c>
      <c r="V1106" s="10" t="s">
        <v>241</v>
      </c>
      <c r="W1106" s="10" t="s">
        <v>242</v>
      </c>
      <c r="X1106" s="15">
        <f>IF(ISERROR(VLOOKUP($A1106,'13. Updated Demand'!A:Z,15,FALSE)),0,VLOOKUP($A1106,'13. Updated Demand'!A:Z,15,FALSE))</f>
        <v>0</v>
      </c>
      <c r="Y1106" s="16">
        <f>IF(ISERROR(VLOOKUP($A1106,'13. Updated Demand'!A:Z,16,FALSE)),0,VLOOKUP($A1106,'13. Updated Demand'!A:Z,16,FALSE))</f>
        <v>0</v>
      </c>
      <c r="Z1106" s="16">
        <f>IF(ISERROR(VLOOKUP($A1106,'13. Updated Demand'!A:Z,17,FALSE)),0,VLOOKUP($A1106,'13. Updated Demand'!A:Z,17,FALSE))</f>
        <v>0</v>
      </c>
      <c r="AA1106" s="16">
        <f>IF(ISERROR(VLOOKUP($A1106,'13. Updated Demand'!A:Z,18,FALSE)),0,VLOOKUP($A1106,'13. Updated Demand'!A:Z,18,FALSE))</f>
        <v>0</v>
      </c>
      <c r="AB1106" s="16">
        <f>IF(ISERROR(VLOOKUP($A1106,'13. Updated Demand'!A:Z,19,FALSE)),0,VLOOKUP($A1106,'13. Updated Demand'!A:Z,19,FALSE))</f>
        <v>0</v>
      </c>
      <c r="AC1106" s="16">
        <f>IF(ISERROR(VLOOKUP($A1106,'13. Updated Demand'!A:Z,20,FALSE)),0,VLOOKUP($A1106,'13. Updated Demand'!A:Z,20,FALSE))</f>
        <v>0</v>
      </c>
      <c r="AD1106" s="16">
        <f>IF(ISERROR(VLOOKUP($A1106,'13. Updated Demand'!A:Z,21,FALSE)),0,VLOOKUP($A1106,'13. Updated Demand'!A:Z,21,FALSE))</f>
        <v>0</v>
      </c>
      <c r="AE1106" s="16">
        <f>IF(ISERROR(VLOOKUP($A1106,'13. Updated Demand'!A:Z,22,FALSE)),0,VLOOKUP($A1106,'13. Updated Demand'!A:Z,22,FALSE))</f>
        <v>0</v>
      </c>
      <c r="AF1106" s="16">
        <f>IF(ISERROR(VLOOKUP($A1106,'13. Updated Demand'!A:Z,23,FALSE)),0,VLOOKUP($A1106,'13. Updated Demand'!A:Z,23,FALSE))</f>
        <v>0</v>
      </c>
      <c r="AG1106" s="16">
        <f>IF(ISERROR(VLOOKUP($A1106,'13. Updated Demand'!A:Z,24,FALSE)),0,VLOOKUP($A1106,'13. Updated Demand'!A:Z,24,FALSE))</f>
        <v>0</v>
      </c>
      <c r="AH1106" s="16">
        <f>IF(ISERROR(VLOOKUP($A1106,'13. Updated Demand'!A:Z,25,FALSE)),0,VLOOKUP($A1106,'13. Updated Demand'!A:Z,25,FALSE))</f>
        <v>3.53</v>
      </c>
      <c r="AI1106" s="16">
        <f>IF(ISERROR(VLOOKUP($A1106,'13. Updated Demand'!A:Z,26,FALSE)),0,VLOOKUP($A1106,'13. Updated Demand'!A:Z,26,FALSE))</f>
        <v>5.93</v>
      </c>
      <c r="AJ1106" s="16">
        <f t="shared" si="216"/>
        <v>9.4599999999999991</v>
      </c>
      <c r="AK1106" s="19">
        <v>0</v>
      </c>
      <c r="AL1106" s="16">
        <f t="shared" si="214"/>
        <v>0</v>
      </c>
      <c r="AM1106" s="17">
        <v>0.37866666663999998</v>
      </c>
      <c r="AN1106" s="19"/>
      <c r="AO1106" s="19"/>
      <c r="AP1106" s="19">
        <v>25</v>
      </c>
      <c r="AQ1106" s="19" t="s">
        <v>307</v>
      </c>
      <c r="AR1106" s="9" t="s">
        <v>308</v>
      </c>
      <c r="AS1106" s="12">
        <v>0</v>
      </c>
      <c r="AT1106" s="19">
        <v>38.658357780000003</v>
      </c>
      <c r="AU1106" s="19">
        <v>-122.71864775</v>
      </c>
      <c r="AV1106" s="19" t="s">
        <v>573</v>
      </c>
    </row>
    <row r="1107" spans="1:48" x14ac:dyDescent="0.25">
      <c r="A1107" s="18" t="s">
        <v>1497</v>
      </c>
      <c r="B1107" s="10">
        <v>19550721</v>
      </c>
      <c r="C1107" s="9">
        <v>23</v>
      </c>
      <c r="D1107" s="8" t="str">
        <f t="shared" si="205"/>
        <v>N</v>
      </c>
      <c r="E1107" s="8" t="str">
        <f t="shared" si="206"/>
        <v>N</v>
      </c>
      <c r="F1107" s="8" t="str">
        <f t="shared" si="207"/>
        <v>N</v>
      </c>
      <c r="G1107" s="8" t="str">
        <f t="shared" si="208"/>
        <v>N</v>
      </c>
      <c r="H1107" s="8" t="str">
        <f t="shared" si="209"/>
        <v>Lower</v>
      </c>
      <c r="I1107" s="8" t="str">
        <f t="shared" si="210"/>
        <v>Outside</v>
      </c>
      <c r="J1107" s="8" t="str">
        <f t="shared" si="211"/>
        <v>Outside</v>
      </c>
      <c r="K1107" s="8" t="str">
        <f t="shared" si="212"/>
        <v>Post-1949</v>
      </c>
      <c r="L1107" s="8">
        <f t="shared" si="213"/>
        <v>1955</v>
      </c>
      <c r="M1107" s="8" t="str">
        <f t="shared" si="215"/>
        <v>1955-1956</v>
      </c>
      <c r="N1107" s="10" t="s">
        <v>242</v>
      </c>
      <c r="O1107" s="10" t="s">
        <v>242</v>
      </c>
      <c r="P1107" s="10" t="s">
        <v>242</v>
      </c>
      <c r="Q1107" s="10" t="s">
        <v>242</v>
      </c>
      <c r="R1107" s="10" t="s">
        <v>241</v>
      </c>
      <c r="S1107" s="10" t="s">
        <v>242</v>
      </c>
      <c r="T1107" s="10" t="s">
        <v>242</v>
      </c>
      <c r="U1107" s="10" t="s">
        <v>242</v>
      </c>
      <c r="V1107" s="10" t="s">
        <v>241</v>
      </c>
      <c r="W1107" s="10" t="s">
        <v>242</v>
      </c>
      <c r="X1107" s="15">
        <f>IF(ISERROR(VLOOKUP($A1107,'13. Updated Demand'!A:Z,15,FALSE)),0,VLOOKUP($A1107,'13. Updated Demand'!A:Z,15,FALSE))</f>
        <v>5.6666666670000003</v>
      </c>
      <c r="Y1107" s="16">
        <f>IF(ISERROR(VLOOKUP($A1107,'13. Updated Demand'!A:Z,16,FALSE)),0,VLOOKUP($A1107,'13. Updated Demand'!A:Z,16,FALSE))</f>
        <v>2.733333333</v>
      </c>
      <c r="Z1107" s="16">
        <f>IF(ISERROR(VLOOKUP($A1107,'13. Updated Demand'!A:Z,17,FALSE)),0,VLOOKUP($A1107,'13. Updated Demand'!A:Z,17,FALSE))</f>
        <v>6</v>
      </c>
      <c r="AA1107" s="16">
        <f>IF(ISERROR(VLOOKUP($A1107,'13. Updated Demand'!A:Z,18,FALSE)),0,VLOOKUP($A1107,'13. Updated Demand'!A:Z,18,FALSE))</f>
        <v>0</v>
      </c>
      <c r="AB1107" s="16">
        <f>IF(ISERROR(VLOOKUP($A1107,'13. Updated Demand'!A:Z,19,FALSE)),0,VLOOKUP($A1107,'13. Updated Demand'!A:Z,19,FALSE))</f>
        <v>0</v>
      </c>
      <c r="AC1107" s="16">
        <f>IF(ISERROR(VLOOKUP($A1107,'13. Updated Demand'!A:Z,20,FALSE)),0,VLOOKUP($A1107,'13. Updated Demand'!A:Z,20,FALSE))</f>
        <v>0</v>
      </c>
      <c r="AD1107" s="16">
        <f>IF(ISERROR(VLOOKUP($A1107,'13. Updated Demand'!A:Z,21,FALSE)),0,VLOOKUP($A1107,'13. Updated Demand'!A:Z,21,FALSE))</f>
        <v>0</v>
      </c>
      <c r="AE1107" s="16">
        <f>IF(ISERROR(VLOOKUP($A1107,'13. Updated Demand'!A:Z,22,FALSE)),0,VLOOKUP($A1107,'13. Updated Demand'!A:Z,22,FALSE))</f>
        <v>0</v>
      </c>
      <c r="AF1107" s="16">
        <f>IF(ISERROR(VLOOKUP($A1107,'13. Updated Demand'!A:Z,23,FALSE)),0,VLOOKUP($A1107,'13. Updated Demand'!A:Z,23,FALSE))</f>
        <v>0</v>
      </c>
      <c r="AG1107" s="16">
        <f>IF(ISERROR(VLOOKUP($A1107,'13. Updated Demand'!A:Z,24,FALSE)),0,VLOOKUP($A1107,'13. Updated Demand'!A:Z,24,FALSE))</f>
        <v>0</v>
      </c>
      <c r="AH1107" s="16">
        <f>IF(ISERROR(VLOOKUP($A1107,'13. Updated Demand'!A:Z,25,FALSE)),0,VLOOKUP($A1107,'13. Updated Demand'!A:Z,25,FALSE))</f>
        <v>1.6666666670000001</v>
      </c>
      <c r="AI1107" s="16">
        <f>IF(ISERROR(VLOOKUP($A1107,'13. Updated Demand'!A:Z,26,FALSE)),0,VLOOKUP($A1107,'13. Updated Demand'!A:Z,26,FALSE))</f>
        <v>1</v>
      </c>
      <c r="AJ1107" s="16">
        <f t="shared" si="216"/>
        <v>17.066666667</v>
      </c>
      <c r="AK1107" s="19">
        <v>0</v>
      </c>
      <c r="AL1107" s="16">
        <f t="shared" si="214"/>
        <v>0</v>
      </c>
      <c r="AM1107" s="17">
        <v>0.16569579288349515</v>
      </c>
      <c r="AN1107" s="19"/>
      <c r="AO1107" s="19"/>
      <c r="AP1107" s="19">
        <v>103</v>
      </c>
      <c r="AQ1107" s="19" t="s">
        <v>307</v>
      </c>
      <c r="AR1107" s="9" t="s">
        <v>378</v>
      </c>
      <c r="AS1107" s="12">
        <v>0</v>
      </c>
      <c r="AT1107" s="19">
        <v>38.44462042</v>
      </c>
      <c r="AU1107" s="19">
        <v>-122.59045260000001</v>
      </c>
      <c r="AV1107" s="19" t="s">
        <v>417</v>
      </c>
    </row>
    <row r="1108" spans="1:48" x14ac:dyDescent="0.25">
      <c r="A1108" s="18" t="s">
        <v>1498</v>
      </c>
      <c r="B1108" s="10">
        <v>19550815</v>
      </c>
      <c r="C1108" s="9">
        <v>15</v>
      </c>
      <c r="D1108" s="8" t="str">
        <f t="shared" si="205"/>
        <v>N</v>
      </c>
      <c r="E1108" s="8" t="str">
        <f t="shared" si="206"/>
        <v>N</v>
      </c>
      <c r="F1108" s="8" t="str">
        <f t="shared" si="207"/>
        <v>N</v>
      </c>
      <c r="G1108" s="8" t="str">
        <f t="shared" si="208"/>
        <v>N</v>
      </c>
      <c r="H1108" s="8" t="str">
        <f t="shared" si="209"/>
        <v>Lower</v>
      </c>
      <c r="I1108" s="8" t="str">
        <f t="shared" si="210"/>
        <v>Outside</v>
      </c>
      <c r="J1108" s="8" t="str">
        <f t="shared" si="211"/>
        <v>Outside</v>
      </c>
      <c r="K1108" s="8" t="str">
        <f t="shared" si="212"/>
        <v>Post-1949</v>
      </c>
      <c r="L1108" s="8">
        <f t="shared" si="213"/>
        <v>1955</v>
      </c>
      <c r="M1108" s="8" t="str">
        <f t="shared" si="215"/>
        <v>1955-1956</v>
      </c>
      <c r="N1108" s="10" t="s">
        <v>242</v>
      </c>
      <c r="O1108" s="10" t="s">
        <v>242</v>
      </c>
      <c r="P1108" s="10" t="s">
        <v>242</v>
      </c>
      <c r="Q1108" s="10" t="s">
        <v>242</v>
      </c>
      <c r="R1108" s="10" t="s">
        <v>241</v>
      </c>
      <c r="S1108" s="10" t="s">
        <v>242</v>
      </c>
      <c r="T1108" s="10" t="s">
        <v>242</v>
      </c>
      <c r="U1108" s="10" t="s">
        <v>242</v>
      </c>
      <c r="V1108" s="10" t="s">
        <v>242</v>
      </c>
      <c r="W1108" s="10" t="s">
        <v>242</v>
      </c>
      <c r="X1108" s="15">
        <f>IF(ISERROR(VLOOKUP($A1108,'13. Updated Demand'!A:Z,15,FALSE)),0,VLOOKUP($A1108,'13. Updated Demand'!A:Z,15,FALSE))</f>
        <v>0</v>
      </c>
      <c r="Y1108" s="16">
        <f>IF(ISERROR(VLOOKUP($A1108,'13. Updated Demand'!A:Z,16,FALSE)),0,VLOOKUP($A1108,'13. Updated Demand'!A:Z,16,FALSE))</f>
        <v>0</v>
      </c>
      <c r="Z1108" s="16">
        <f>IF(ISERROR(VLOOKUP($A1108,'13. Updated Demand'!A:Z,17,FALSE)),0,VLOOKUP($A1108,'13. Updated Demand'!A:Z,17,FALSE))</f>
        <v>0</v>
      </c>
      <c r="AA1108" s="16">
        <f>IF(ISERROR(VLOOKUP($A1108,'13. Updated Demand'!A:Z,18,FALSE)),0,VLOOKUP($A1108,'13. Updated Demand'!A:Z,18,FALSE))</f>
        <v>0</v>
      </c>
      <c r="AB1108" s="16">
        <f>IF(ISERROR(VLOOKUP($A1108,'13. Updated Demand'!A:Z,19,FALSE)),0,VLOOKUP($A1108,'13. Updated Demand'!A:Z,19,FALSE))</f>
        <v>0</v>
      </c>
      <c r="AC1108" s="16">
        <f>IF(ISERROR(VLOOKUP($A1108,'13. Updated Demand'!A:Z,20,FALSE)),0,VLOOKUP($A1108,'13. Updated Demand'!A:Z,20,FALSE))</f>
        <v>2.6333333329999999</v>
      </c>
      <c r="AD1108" s="16">
        <f>IF(ISERROR(VLOOKUP($A1108,'13. Updated Demand'!A:Z,21,FALSE)),0,VLOOKUP($A1108,'13. Updated Demand'!A:Z,21,FALSE))</f>
        <v>2.653333333</v>
      </c>
      <c r="AE1108" s="16">
        <f>IF(ISERROR(VLOOKUP($A1108,'13. Updated Demand'!A:Z,22,FALSE)),0,VLOOKUP($A1108,'13. Updated Demand'!A:Z,22,FALSE))</f>
        <v>3.5833333330000001</v>
      </c>
      <c r="AF1108" s="16">
        <f>IF(ISERROR(VLOOKUP($A1108,'13. Updated Demand'!A:Z,23,FALSE)),0,VLOOKUP($A1108,'13. Updated Demand'!A:Z,23,FALSE))</f>
        <v>2.733333333</v>
      </c>
      <c r="AG1108" s="16">
        <f>IF(ISERROR(VLOOKUP($A1108,'13. Updated Demand'!A:Z,24,FALSE)),0,VLOOKUP($A1108,'13. Updated Demand'!A:Z,24,FALSE))</f>
        <v>2.5233333330000001</v>
      </c>
      <c r="AH1108" s="16">
        <f>IF(ISERROR(VLOOKUP($A1108,'13. Updated Demand'!A:Z,25,FALSE)),0,VLOOKUP($A1108,'13. Updated Demand'!A:Z,25,FALSE))</f>
        <v>0.93333333299999999</v>
      </c>
      <c r="AI1108" s="16">
        <f>IF(ISERROR(VLOOKUP($A1108,'13. Updated Demand'!A:Z,26,FALSE)),0,VLOOKUP($A1108,'13. Updated Demand'!A:Z,26,FALSE))</f>
        <v>0</v>
      </c>
      <c r="AJ1108" s="16">
        <f t="shared" si="216"/>
        <v>15.059999998000002</v>
      </c>
      <c r="AK1108" s="19">
        <v>11.603333332000002</v>
      </c>
      <c r="AL1108" s="16">
        <f t="shared" si="214"/>
        <v>3.8486934918369714E-2</v>
      </c>
      <c r="AM1108" s="17">
        <v>0.38615384610256415</v>
      </c>
      <c r="AN1108" s="19"/>
      <c r="AO1108" s="19"/>
      <c r="AP1108" s="19">
        <v>39</v>
      </c>
      <c r="AQ1108" s="19" t="s">
        <v>307</v>
      </c>
      <c r="AR1108" s="9" t="s">
        <v>489</v>
      </c>
      <c r="AS1108" s="12">
        <v>0</v>
      </c>
      <c r="AT1108" s="19">
        <v>38.663200000000003</v>
      </c>
      <c r="AU1108" s="19">
        <v>-122.9408</v>
      </c>
      <c r="AV1108" s="19" t="s">
        <v>932</v>
      </c>
    </row>
    <row r="1109" spans="1:48" x14ac:dyDescent="0.25">
      <c r="A1109" s="18" t="s">
        <v>1499</v>
      </c>
      <c r="B1109" s="10">
        <v>19550815</v>
      </c>
      <c r="C1109" s="9">
        <v>10</v>
      </c>
      <c r="D1109" s="8" t="str">
        <f t="shared" si="205"/>
        <v>N</v>
      </c>
      <c r="E1109" s="8" t="str">
        <f t="shared" si="206"/>
        <v>Y</v>
      </c>
      <c r="F1109" s="8" t="str">
        <f t="shared" si="207"/>
        <v>Y</v>
      </c>
      <c r="G1109" s="8" t="str">
        <f t="shared" si="208"/>
        <v>Y</v>
      </c>
      <c r="H1109" s="8" t="str">
        <f t="shared" si="209"/>
        <v>Upper</v>
      </c>
      <c r="I1109" s="8" t="str">
        <f t="shared" si="210"/>
        <v>West Fork and Below Lake</v>
      </c>
      <c r="J1109" s="8" t="str">
        <f t="shared" si="211"/>
        <v>Sonoma (d/s of Clov. Gage)</v>
      </c>
      <c r="K1109" s="8" t="str">
        <f t="shared" si="212"/>
        <v>Post-1949</v>
      </c>
      <c r="L1109" s="8">
        <f t="shared" si="213"/>
        <v>1955</v>
      </c>
      <c r="M1109" s="8" t="str">
        <f t="shared" si="215"/>
        <v>1955-1956</v>
      </c>
      <c r="N1109" s="10" t="s">
        <v>241</v>
      </c>
      <c r="O1109" s="10" t="s">
        <v>241</v>
      </c>
      <c r="P1109" s="10" t="s">
        <v>242</v>
      </c>
      <c r="Q1109" s="10" t="s">
        <v>242</v>
      </c>
      <c r="R1109" s="10" t="s">
        <v>241</v>
      </c>
      <c r="S1109" s="10" t="s">
        <v>242</v>
      </c>
      <c r="T1109" s="10" t="s">
        <v>242</v>
      </c>
      <c r="U1109" s="10" t="s">
        <v>242</v>
      </c>
      <c r="V1109" s="10" t="s">
        <v>242</v>
      </c>
      <c r="W1109" s="10" t="s">
        <v>242</v>
      </c>
      <c r="X1109" s="15">
        <f>IF(ISERROR(VLOOKUP($A1109,'13. Updated Demand'!A:Z,15,FALSE)),0,VLOOKUP($A1109,'13. Updated Demand'!A:Z,15,FALSE))</f>
        <v>0</v>
      </c>
      <c r="Y1109" s="16">
        <f>IF(ISERROR(VLOOKUP($A1109,'13. Updated Demand'!A:Z,16,FALSE)),0,VLOOKUP($A1109,'13. Updated Demand'!A:Z,16,FALSE))</f>
        <v>0</v>
      </c>
      <c r="Z1109" s="16">
        <f>IF(ISERROR(VLOOKUP($A1109,'13. Updated Demand'!A:Z,17,FALSE)),0,VLOOKUP($A1109,'13. Updated Demand'!A:Z,17,FALSE))</f>
        <v>0</v>
      </c>
      <c r="AA1109" s="16">
        <f>IF(ISERROR(VLOOKUP($A1109,'13. Updated Demand'!A:Z,18,FALSE)),0,VLOOKUP($A1109,'13. Updated Demand'!A:Z,18,FALSE))</f>
        <v>0</v>
      </c>
      <c r="AB1109" s="16">
        <f>IF(ISERROR(VLOOKUP($A1109,'13. Updated Demand'!A:Z,19,FALSE)),0,VLOOKUP($A1109,'13. Updated Demand'!A:Z,19,FALSE))</f>
        <v>0</v>
      </c>
      <c r="AC1109" s="16">
        <f>IF(ISERROR(VLOOKUP($A1109,'13. Updated Demand'!A:Z,20,FALSE)),0,VLOOKUP($A1109,'13. Updated Demand'!A:Z,20,FALSE))</f>
        <v>0.03</v>
      </c>
      <c r="AD1109" s="16">
        <f>IF(ISERROR(VLOOKUP($A1109,'13. Updated Demand'!A:Z,21,FALSE)),0,VLOOKUP($A1109,'13. Updated Demand'!A:Z,21,FALSE))</f>
        <v>0.06</v>
      </c>
      <c r="AE1109" s="16">
        <f>IF(ISERROR(VLOOKUP($A1109,'13. Updated Demand'!A:Z,22,FALSE)),0,VLOOKUP($A1109,'13. Updated Demand'!A:Z,22,FALSE))</f>
        <v>0.1</v>
      </c>
      <c r="AF1109" s="16">
        <f>IF(ISERROR(VLOOKUP($A1109,'13. Updated Demand'!A:Z,23,FALSE)),0,VLOOKUP($A1109,'13. Updated Demand'!A:Z,23,FALSE))</f>
        <v>0.2</v>
      </c>
      <c r="AG1109" s="16">
        <f>IF(ISERROR(VLOOKUP($A1109,'13. Updated Demand'!A:Z,24,FALSE)),0,VLOOKUP($A1109,'13. Updated Demand'!A:Z,24,FALSE))</f>
        <v>0.06</v>
      </c>
      <c r="AH1109" s="16">
        <f>IF(ISERROR(VLOOKUP($A1109,'13. Updated Demand'!A:Z,25,FALSE)),0,VLOOKUP($A1109,'13. Updated Demand'!A:Z,25,FALSE))</f>
        <v>0</v>
      </c>
      <c r="AI1109" s="16">
        <f>IF(ISERROR(VLOOKUP($A1109,'13. Updated Demand'!A:Z,26,FALSE)),0,VLOOKUP($A1109,'13. Updated Demand'!A:Z,26,FALSE))</f>
        <v>0</v>
      </c>
      <c r="AJ1109" s="16">
        <f t="shared" si="216"/>
        <v>0.45</v>
      </c>
      <c r="AK1109" s="19">
        <v>0.4</v>
      </c>
      <c r="AL1109" s="16">
        <f t="shared" si="214"/>
        <v>1.3267544357182036E-3</v>
      </c>
      <c r="AM1109" s="17">
        <v>1.9525801952580198E-2</v>
      </c>
      <c r="AN1109" s="19"/>
      <c r="AO1109" s="19"/>
      <c r="AP1109" s="19">
        <v>23.9</v>
      </c>
      <c r="AQ1109" s="19" t="s">
        <v>307</v>
      </c>
      <c r="AR1109" s="9" t="s">
        <v>436</v>
      </c>
      <c r="AS1109" s="12">
        <v>0</v>
      </c>
      <c r="AT1109" s="19">
        <v>38.667433039999999</v>
      </c>
      <c r="AU1109" s="19">
        <v>-122.83957950999999</v>
      </c>
      <c r="AV1109" s="19" t="s">
        <v>548</v>
      </c>
    </row>
    <row r="1110" spans="1:48" x14ac:dyDescent="0.25">
      <c r="A1110" s="18" t="s">
        <v>1500</v>
      </c>
      <c r="B1110" s="10">
        <v>19550816</v>
      </c>
      <c r="C1110" s="9">
        <v>23</v>
      </c>
      <c r="D1110" s="8" t="str">
        <f t="shared" si="205"/>
        <v>N</v>
      </c>
      <c r="E1110" s="8" t="str">
        <f t="shared" si="206"/>
        <v>N</v>
      </c>
      <c r="F1110" s="8" t="str">
        <f t="shared" si="207"/>
        <v>N</v>
      </c>
      <c r="G1110" s="8" t="str">
        <f t="shared" si="208"/>
        <v>N</v>
      </c>
      <c r="H1110" s="8" t="str">
        <f t="shared" si="209"/>
        <v>Lower</v>
      </c>
      <c r="I1110" s="8" t="str">
        <f t="shared" si="210"/>
        <v>Outside</v>
      </c>
      <c r="J1110" s="8" t="str">
        <f t="shared" si="211"/>
        <v>Outside</v>
      </c>
      <c r="K1110" s="8" t="str">
        <f t="shared" si="212"/>
        <v>Post-1949</v>
      </c>
      <c r="L1110" s="8">
        <f t="shared" si="213"/>
        <v>1955</v>
      </c>
      <c r="M1110" s="8" t="str">
        <f t="shared" si="215"/>
        <v>1955-1956</v>
      </c>
      <c r="N1110" s="10" t="s">
        <v>242</v>
      </c>
      <c r="O1110" s="10" t="s">
        <v>242</v>
      </c>
      <c r="P1110" s="10" t="s">
        <v>242</v>
      </c>
      <c r="Q1110" s="10" t="s">
        <v>242</v>
      </c>
      <c r="R1110" s="10" t="s">
        <v>241</v>
      </c>
      <c r="S1110" s="10" t="s">
        <v>242</v>
      </c>
      <c r="T1110" s="10" t="s">
        <v>242</v>
      </c>
      <c r="U1110" s="10" t="s">
        <v>241</v>
      </c>
      <c r="V1110" s="10" t="s">
        <v>241</v>
      </c>
      <c r="W1110" s="10" t="s">
        <v>242</v>
      </c>
      <c r="X1110" s="15">
        <f>IF(ISERROR(VLOOKUP($A1110,'13. Updated Demand'!A:Z,15,FALSE)),0,VLOOKUP($A1110,'13. Updated Demand'!A:Z,15,FALSE))</f>
        <v>0</v>
      </c>
      <c r="Y1110" s="16">
        <f>IF(ISERROR(VLOOKUP($A1110,'13. Updated Demand'!A:Z,16,FALSE)),0,VLOOKUP($A1110,'13. Updated Demand'!A:Z,16,FALSE))</f>
        <v>0</v>
      </c>
      <c r="Z1110" s="16">
        <f>IF(ISERROR(VLOOKUP($A1110,'13. Updated Demand'!A:Z,17,FALSE)),0,VLOOKUP($A1110,'13. Updated Demand'!A:Z,17,FALSE))</f>
        <v>0</v>
      </c>
      <c r="AA1110" s="16">
        <f>IF(ISERROR(VLOOKUP($A1110,'13. Updated Demand'!A:Z,18,FALSE)),0,VLOOKUP($A1110,'13. Updated Demand'!A:Z,18,FALSE))</f>
        <v>0</v>
      </c>
      <c r="AB1110" s="16">
        <f>IF(ISERROR(VLOOKUP($A1110,'13. Updated Demand'!A:Z,19,FALSE)),0,VLOOKUP($A1110,'13. Updated Demand'!A:Z,19,FALSE))</f>
        <v>0</v>
      </c>
      <c r="AC1110" s="16">
        <f>IF(ISERROR(VLOOKUP($A1110,'13. Updated Demand'!A:Z,20,FALSE)),0,VLOOKUP($A1110,'13. Updated Demand'!A:Z,20,FALSE))</f>
        <v>0</v>
      </c>
      <c r="AD1110" s="16">
        <f>IF(ISERROR(VLOOKUP($A1110,'13. Updated Demand'!A:Z,21,FALSE)),0,VLOOKUP($A1110,'13. Updated Demand'!A:Z,21,FALSE))</f>
        <v>0</v>
      </c>
      <c r="AE1110" s="16">
        <f>IF(ISERROR(VLOOKUP($A1110,'13. Updated Demand'!A:Z,22,FALSE)),0,VLOOKUP($A1110,'13. Updated Demand'!A:Z,22,FALSE))</f>
        <v>0</v>
      </c>
      <c r="AF1110" s="16">
        <f>IF(ISERROR(VLOOKUP($A1110,'13. Updated Demand'!A:Z,23,FALSE)),0,VLOOKUP($A1110,'13. Updated Demand'!A:Z,23,FALSE))</f>
        <v>0</v>
      </c>
      <c r="AG1110" s="16">
        <f>IF(ISERROR(VLOOKUP($A1110,'13. Updated Demand'!A:Z,24,FALSE)),0,VLOOKUP($A1110,'13. Updated Demand'!A:Z,24,FALSE))</f>
        <v>0</v>
      </c>
      <c r="AH1110" s="16">
        <f>IF(ISERROR(VLOOKUP($A1110,'13. Updated Demand'!A:Z,25,FALSE)),0,VLOOKUP($A1110,'13. Updated Demand'!A:Z,25,FALSE))</f>
        <v>0</v>
      </c>
      <c r="AI1110" s="16">
        <f>IF(ISERROR(VLOOKUP($A1110,'13. Updated Demand'!A:Z,26,FALSE)),0,VLOOKUP($A1110,'13. Updated Demand'!A:Z,26,FALSE))</f>
        <v>0</v>
      </c>
      <c r="AJ1110" s="16">
        <f t="shared" si="216"/>
        <v>0</v>
      </c>
      <c r="AK1110" s="19">
        <v>0</v>
      </c>
      <c r="AL1110" s="16">
        <f t="shared" si="214"/>
        <v>0</v>
      </c>
      <c r="AM1110" s="17">
        <v>0</v>
      </c>
      <c r="AN1110" s="19"/>
      <c r="AO1110" s="19"/>
      <c r="AP1110" s="19">
        <v>395</v>
      </c>
      <c r="AQ1110" s="19" t="s">
        <v>307</v>
      </c>
      <c r="AR1110" s="9" t="s">
        <v>378</v>
      </c>
      <c r="AS1110" s="12">
        <v>0</v>
      </c>
      <c r="AT1110" s="19">
        <v>38.426544</v>
      </c>
      <c r="AU1110" s="19">
        <v>-122.63358871</v>
      </c>
      <c r="AV1110" s="19" t="s">
        <v>1501</v>
      </c>
    </row>
    <row r="1111" spans="1:48" x14ac:dyDescent="0.25">
      <c r="A1111" s="18" t="s">
        <v>1502</v>
      </c>
      <c r="B1111" s="10">
        <v>19550823</v>
      </c>
      <c r="C1111" s="9">
        <v>20</v>
      </c>
      <c r="D1111" s="8" t="str">
        <f t="shared" si="205"/>
        <v>N</v>
      </c>
      <c r="E1111" s="8" t="str">
        <f t="shared" si="206"/>
        <v>N</v>
      </c>
      <c r="F1111" s="8" t="str">
        <f t="shared" si="207"/>
        <v>N</v>
      </c>
      <c r="G1111" s="8" t="str">
        <f t="shared" si="208"/>
        <v>N</v>
      </c>
      <c r="H1111" s="8" t="str">
        <f t="shared" si="209"/>
        <v>Lower</v>
      </c>
      <c r="I1111" s="8" t="str">
        <f t="shared" si="210"/>
        <v>Outside</v>
      </c>
      <c r="J1111" s="8" t="str">
        <f t="shared" si="211"/>
        <v>Outside</v>
      </c>
      <c r="K1111" s="8" t="str">
        <f t="shared" si="212"/>
        <v>Post-1949</v>
      </c>
      <c r="L1111" s="8">
        <f t="shared" si="213"/>
        <v>1955</v>
      </c>
      <c r="M1111" s="8" t="str">
        <f t="shared" si="215"/>
        <v>1955-1956</v>
      </c>
      <c r="N1111" s="10" t="s">
        <v>242</v>
      </c>
      <c r="O1111" s="10" t="s">
        <v>242</v>
      </c>
      <c r="P1111" s="10" t="s">
        <v>242</v>
      </c>
      <c r="Q1111" s="10" t="s">
        <v>242</v>
      </c>
      <c r="R1111" s="10" t="s">
        <v>241</v>
      </c>
      <c r="S1111" s="10" t="s">
        <v>242</v>
      </c>
      <c r="T1111" s="10" t="s">
        <v>242</v>
      </c>
      <c r="U1111" s="10" t="s">
        <v>241</v>
      </c>
      <c r="V1111" s="10" t="s">
        <v>241</v>
      </c>
      <c r="W1111" s="10" t="s">
        <v>242</v>
      </c>
      <c r="X1111" s="15">
        <f>IF(ISERROR(VLOOKUP($A1111,'13. Updated Demand'!A:Z,15,FALSE)),0,VLOOKUP($A1111,'13. Updated Demand'!A:Z,15,FALSE))</f>
        <v>0</v>
      </c>
      <c r="Y1111" s="16">
        <f>IF(ISERROR(VLOOKUP($A1111,'13. Updated Demand'!A:Z,16,FALSE)),0,VLOOKUP($A1111,'13. Updated Demand'!A:Z,16,FALSE))</f>
        <v>0</v>
      </c>
      <c r="Z1111" s="16">
        <f>IF(ISERROR(VLOOKUP($A1111,'13. Updated Demand'!A:Z,17,FALSE)),0,VLOOKUP($A1111,'13. Updated Demand'!A:Z,17,FALSE))</f>
        <v>0</v>
      </c>
      <c r="AA1111" s="16">
        <f>IF(ISERROR(VLOOKUP($A1111,'13. Updated Demand'!A:Z,18,FALSE)),0,VLOOKUP($A1111,'13. Updated Demand'!A:Z,18,FALSE))</f>
        <v>0</v>
      </c>
      <c r="AB1111" s="16">
        <f>IF(ISERROR(VLOOKUP($A1111,'13. Updated Demand'!A:Z,19,FALSE)),0,VLOOKUP($A1111,'13. Updated Demand'!A:Z,19,FALSE))</f>
        <v>0</v>
      </c>
      <c r="AC1111" s="16">
        <f>IF(ISERROR(VLOOKUP($A1111,'13. Updated Demand'!A:Z,20,FALSE)),0,VLOOKUP($A1111,'13. Updated Demand'!A:Z,20,FALSE))</f>
        <v>0</v>
      </c>
      <c r="AD1111" s="16">
        <f>IF(ISERROR(VLOOKUP($A1111,'13. Updated Demand'!A:Z,21,FALSE)),0,VLOOKUP($A1111,'13. Updated Demand'!A:Z,21,FALSE))</f>
        <v>0</v>
      </c>
      <c r="AE1111" s="16">
        <f>IF(ISERROR(VLOOKUP($A1111,'13. Updated Demand'!A:Z,22,FALSE)),0,VLOOKUP($A1111,'13. Updated Demand'!A:Z,22,FALSE))</f>
        <v>0</v>
      </c>
      <c r="AF1111" s="16">
        <f>IF(ISERROR(VLOOKUP($A1111,'13. Updated Demand'!A:Z,23,FALSE)),0,VLOOKUP($A1111,'13. Updated Demand'!A:Z,23,FALSE))</f>
        <v>0</v>
      </c>
      <c r="AG1111" s="16">
        <f>IF(ISERROR(VLOOKUP($A1111,'13. Updated Demand'!A:Z,24,FALSE)),0,VLOOKUP($A1111,'13. Updated Demand'!A:Z,24,FALSE))</f>
        <v>0</v>
      </c>
      <c r="AH1111" s="16">
        <f>IF(ISERROR(VLOOKUP($A1111,'13. Updated Demand'!A:Z,25,FALSE)),0,VLOOKUP($A1111,'13. Updated Demand'!A:Z,25,FALSE))</f>
        <v>0</v>
      </c>
      <c r="AI1111" s="16">
        <f>IF(ISERROR(VLOOKUP($A1111,'13. Updated Demand'!A:Z,26,FALSE)),0,VLOOKUP($A1111,'13. Updated Demand'!A:Z,26,FALSE))</f>
        <v>0</v>
      </c>
      <c r="AJ1111" s="16">
        <f t="shared" si="216"/>
        <v>0</v>
      </c>
      <c r="AK1111" s="19">
        <v>0</v>
      </c>
      <c r="AL1111" s="16">
        <f t="shared" si="214"/>
        <v>0</v>
      </c>
      <c r="AM1111" s="17">
        <v>0</v>
      </c>
      <c r="AN1111" s="19"/>
      <c r="AO1111" s="19"/>
      <c r="AP1111" s="19">
        <v>0.6</v>
      </c>
      <c r="AQ1111" s="19" t="s">
        <v>307</v>
      </c>
      <c r="AR1111" s="9" t="s">
        <v>329</v>
      </c>
      <c r="AS1111" s="12">
        <v>0</v>
      </c>
      <c r="AT1111" s="19">
        <v>38.601318560000003</v>
      </c>
      <c r="AU1111" s="19">
        <v>-123.00432442</v>
      </c>
      <c r="AV1111" s="19" t="s">
        <v>1503</v>
      </c>
    </row>
    <row r="1112" spans="1:48" x14ac:dyDescent="0.25">
      <c r="A1112" s="18" t="s">
        <v>1504</v>
      </c>
      <c r="B1112" s="10">
        <v>19550829</v>
      </c>
      <c r="C1112" s="9">
        <v>6</v>
      </c>
      <c r="D1112" s="8" t="str">
        <f t="shared" si="205"/>
        <v>Y</v>
      </c>
      <c r="E1112" s="8" t="str">
        <f t="shared" si="206"/>
        <v>N</v>
      </c>
      <c r="F1112" s="8" t="str">
        <f t="shared" si="207"/>
        <v>Y</v>
      </c>
      <c r="G1112" s="8" t="str">
        <f t="shared" si="208"/>
        <v>Y</v>
      </c>
      <c r="H1112" s="8" t="str">
        <f t="shared" si="209"/>
        <v>Upper</v>
      </c>
      <c r="I1112" s="8" t="str">
        <f t="shared" si="210"/>
        <v>West Fork and Below Lake</v>
      </c>
      <c r="J1112" s="8" t="str">
        <f t="shared" si="211"/>
        <v>Mendocino (d/s of lake)</v>
      </c>
      <c r="K1112" s="8" t="str">
        <f t="shared" si="212"/>
        <v>Post-1949</v>
      </c>
      <c r="L1112" s="8">
        <f t="shared" si="213"/>
        <v>1955</v>
      </c>
      <c r="M1112" s="8" t="str">
        <f t="shared" si="215"/>
        <v>1955-1956</v>
      </c>
      <c r="N1112" s="10" t="s">
        <v>241</v>
      </c>
      <c r="O1112" s="10" t="s">
        <v>241</v>
      </c>
      <c r="P1112" s="10" t="s">
        <v>242</v>
      </c>
      <c r="Q1112" s="10" t="s">
        <v>242</v>
      </c>
      <c r="R1112" s="10" t="s">
        <v>241</v>
      </c>
      <c r="S1112" s="10" t="s">
        <v>242</v>
      </c>
      <c r="T1112" s="10" t="s">
        <v>242</v>
      </c>
      <c r="U1112" s="10" t="s">
        <v>242</v>
      </c>
      <c r="V1112" s="10" t="s">
        <v>242</v>
      </c>
      <c r="W1112" s="10" t="s">
        <v>242</v>
      </c>
      <c r="X1112" s="15">
        <f>IF(ISERROR(VLOOKUP($A1112,'13. Updated Demand'!A:Z,15,FALSE)),0,VLOOKUP($A1112,'13. Updated Demand'!A:Z,15,FALSE))</f>
        <v>0</v>
      </c>
      <c r="Y1112" s="16">
        <f>IF(ISERROR(VLOOKUP($A1112,'13. Updated Demand'!A:Z,16,FALSE)),0,VLOOKUP($A1112,'13. Updated Demand'!A:Z,16,FALSE))</f>
        <v>0</v>
      </c>
      <c r="Z1112" s="16">
        <f>IF(ISERROR(VLOOKUP($A1112,'13. Updated Demand'!A:Z,17,FALSE)),0,VLOOKUP($A1112,'13. Updated Demand'!A:Z,17,FALSE))</f>
        <v>0</v>
      </c>
      <c r="AA1112" s="16">
        <f>IF(ISERROR(VLOOKUP($A1112,'13. Updated Demand'!A:Z,18,FALSE)),0,VLOOKUP($A1112,'13. Updated Demand'!A:Z,18,FALSE))</f>
        <v>52</v>
      </c>
      <c r="AB1112" s="16">
        <f>IF(ISERROR(VLOOKUP($A1112,'13. Updated Demand'!A:Z,19,FALSE)),0,VLOOKUP($A1112,'13. Updated Demand'!A:Z,19,FALSE))</f>
        <v>52</v>
      </c>
      <c r="AC1112" s="16">
        <f>IF(ISERROR(VLOOKUP($A1112,'13. Updated Demand'!A:Z,20,FALSE)),0,VLOOKUP($A1112,'13. Updated Demand'!A:Z,20,FALSE))</f>
        <v>52</v>
      </c>
      <c r="AD1112" s="16">
        <f>IF(ISERROR(VLOOKUP($A1112,'13. Updated Demand'!A:Z,21,FALSE)),0,VLOOKUP($A1112,'13. Updated Demand'!A:Z,21,FALSE))</f>
        <v>52</v>
      </c>
      <c r="AE1112" s="16">
        <f>IF(ISERROR(VLOOKUP($A1112,'13. Updated Demand'!A:Z,22,FALSE)),0,VLOOKUP($A1112,'13. Updated Demand'!A:Z,22,FALSE))</f>
        <v>52</v>
      </c>
      <c r="AF1112" s="16">
        <f>IF(ISERROR(VLOOKUP($A1112,'13. Updated Demand'!A:Z,23,FALSE)),0,VLOOKUP($A1112,'13. Updated Demand'!A:Z,23,FALSE))</f>
        <v>52</v>
      </c>
      <c r="AG1112" s="16">
        <f>IF(ISERROR(VLOOKUP($A1112,'13. Updated Demand'!A:Z,24,FALSE)),0,VLOOKUP($A1112,'13. Updated Demand'!A:Z,24,FALSE))</f>
        <v>0</v>
      </c>
      <c r="AH1112" s="16">
        <f>IF(ISERROR(VLOOKUP($A1112,'13. Updated Demand'!A:Z,25,FALSE)),0,VLOOKUP($A1112,'13. Updated Demand'!A:Z,25,FALSE))</f>
        <v>0</v>
      </c>
      <c r="AI1112" s="16">
        <f>IF(ISERROR(VLOOKUP($A1112,'13. Updated Demand'!A:Z,26,FALSE)),0,VLOOKUP($A1112,'13. Updated Demand'!A:Z,26,FALSE))</f>
        <v>0</v>
      </c>
      <c r="AJ1112" s="16">
        <f t="shared" si="216"/>
        <v>312</v>
      </c>
      <c r="AK1112" s="19">
        <v>260</v>
      </c>
      <c r="AL1112" s="16">
        <f t="shared" si="214"/>
        <v>0.86239038321683237</v>
      </c>
      <c r="AM1112" s="17">
        <v>0.99680511182108622</v>
      </c>
      <c r="AN1112" s="19"/>
      <c r="AO1112" s="19"/>
      <c r="AP1112" s="19">
        <v>313</v>
      </c>
      <c r="AQ1112" s="19" t="s">
        <v>307</v>
      </c>
      <c r="AR1112" s="9" t="s">
        <v>319</v>
      </c>
      <c r="AS1112" s="12">
        <v>0</v>
      </c>
      <c r="AT1112" s="19">
        <v>38.994261129999998</v>
      </c>
      <c r="AU1112" s="19">
        <v>-123.11003445</v>
      </c>
      <c r="AV1112" s="19" t="s">
        <v>548</v>
      </c>
    </row>
    <row r="1113" spans="1:48" x14ac:dyDescent="0.25">
      <c r="A1113" s="18" t="s">
        <v>1505</v>
      </c>
      <c r="B1113" s="10">
        <v>19550830</v>
      </c>
      <c r="C1113" s="9">
        <v>6</v>
      </c>
      <c r="D1113" s="8" t="str">
        <f t="shared" si="205"/>
        <v>Y</v>
      </c>
      <c r="E1113" s="8" t="str">
        <f t="shared" si="206"/>
        <v>N</v>
      </c>
      <c r="F1113" s="8" t="str">
        <f t="shared" si="207"/>
        <v>Y</v>
      </c>
      <c r="G1113" s="8" t="str">
        <f t="shared" si="208"/>
        <v>Y</v>
      </c>
      <c r="H1113" s="8" t="str">
        <f t="shared" si="209"/>
        <v>Upper</v>
      </c>
      <c r="I1113" s="8" t="str">
        <f t="shared" si="210"/>
        <v>West Fork and Below Lake</v>
      </c>
      <c r="J1113" s="8" t="str">
        <f t="shared" si="211"/>
        <v>Mendocino (d/s of lake)</v>
      </c>
      <c r="K1113" s="8" t="str">
        <f t="shared" si="212"/>
        <v>Post-1949</v>
      </c>
      <c r="L1113" s="8">
        <f t="shared" si="213"/>
        <v>1955</v>
      </c>
      <c r="M1113" s="8" t="str">
        <f t="shared" si="215"/>
        <v>1955-1956</v>
      </c>
      <c r="N1113" s="10" t="s">
        <v>241</v>
      </c>
      <c r="O1113" s="10" t="s">
        <v>241</v>
      </c>
      <c r="P1113" s="10" t="s">
        <v>242</v>
      </c>
      <c r="Q1113" s="10" t="s">
        <v>242</v>
      </c>
      <c r="R1113" s="10" t="s">
        <v>241</v>
      </c>
      <c r="S1113" s="10" t="s">
        <v>242</v>
      </c>
      <c r="T1113" s="10" t="s">
        <v>242</v>
      </c>
      <c r="U1113" s="10" t="s">
        <v>242</v>
      </c>
      <c r="V1113" s="10" t="s">
        <v>242</v>
      </c>
      <c r="W1113" s="10" t="s">
        <v>242</v>
      </c>
      <c r="X1113" s="15">
        <f>IF(ISERROR(VLOOKUP($A1113,'13. Updated Demand'!A:Z,15,FALSE)),0,VLOOKUP($A1113,'13. Updated Demand'!A:Z,15,FALSE))</f>
        <v>0</v>
      </c>
      <c r="Y1113" s="16">
        <f>IF(ISERROR(VLOOKUP($A1113,'13. Updated Demand'!A:Z,16,FALSE)),0,VLOOKUP($A1113,'13. Updated Demand'!A:Z,16,FALSE))</f>
        <v>0</v>
      </c>
      <c r="Z1113" s="16">
        <f>IF(ISERROR(VLOOKUP($A1113,'13. Updated Demand'!A:Z,17,FALSE)),0,VLOOKUP($A1113,'13. Updated Demand'!A:Z,17,FALSE))</f>
        <v>0</v>
      </c>
      <c r="AA1113" s="16">
        <f>IF(ISERROR(VLOOKUP($A1113,'13. Updated Demand'!A:Z,18,FALSE)),0,VLOOKUP($A1113,'13. Updated Demand'!A:Z,18,FALSE))</f>
        <v>0</v>
      </c>
      <c r="AB1113" s="16">
        <f>IF(ISERROR(VLOOKUP($A1113,'13. Updated Demand'!A:Z,19,FALSE)),0,VLOOKUP($A1113,'13. Updated Demand'!A:Z,19,FALSE))</f>
        <v>2.23</v>
      </c>
      <c r="AC1113" s="16">
        <f>IF(ISERROR(VLOOKUP($A1113,'13. Updated Demand'!A:Z,20,FALSE)),0,VLOOKUP($A1113,'13. Updated Demand'!A:Z,20,FALSE))</f>
        <v>8.25</v>
      </c>
      <c r="AD1113" s="16">
        <f>IF(ISERROR(VLOOKUP($A1113,'13. Updated Demand'!A:Z,21,FALSE)),0,VLOOKUP($A1113,'13. Updated Demand'!A:Z,21,FALSE))</f>
        <v>11.21</v>
      </c>
      <c r="AE1113" s="16">
        <f>IF(ISERROR(VLOOKUP($A1113,'13. Updated Demand'!A:Z,22,FALSE)),0,VLOOKUP($A1113,'13. Updated Demand'!A:Z,22,FALSE))</f>
        <v>8.11</v>
      </c>
      <c r="AF1113" s="16">
        <f>IF(ISERROR(VLOOKUP($A1113,'13. Updated Demand'!A:Z,23,FALSE)),0,VLOOKUP($A1113,'13. Updated Demand'!A:Z,23,FALSE))</f>
        <v>3.21</v>
      </c>
      <c r="AG1113" s="16">
        <f>IF(ISERROR(VLOOKUP($A1113,'13. Updated Demand'!A:Z,24,FALSE)),0,VLOOKUP($A1113,'13. Updated Demand'!A:Z,24,FALSE))</f>
        <v>0.86</v>
      </c>
      <c r="AH1113" s="16">
        <f>IF(ISERROR(VLOOKUP($A1113,'13. Updated Demand'!A:Z,25,FALSE)),0,VLOOKUP($A1113,'13. Updated Demand'!A:Z,25,FALSE))</f>
        <v>0.56000000000000005</v>
      </c>
      <c r="AI1113" s="16">
        <f>IF(ISERROR(VLOOKUP($A1113,'13. Updated Demand'!A:Z,26,FALSE)),0,VLOOKUP($A1113,'13. Updated Demand'!A:Z,26,FALSE))</f>
        <v>0</v>
      </c>
      <c r="AJ1113" s="16">
        <f t="shared" si="216"/>
        <v>34.43</v>
      </c>
      <c r="AK1113" s="19">
        <v>33.035999999999966</v>
      </c>
      <c r="AL1113" s="16">
        <f t="shared" si="214"/>
        <v>0.10957664884596632</v>
      </c>
      <c r="AM1113" s="17">
        <v>5.9032939430267689E-2</v>
      </c>
      <c r="AN1113" s="19"/>
      <c r="AO1113" s="19"/>
      <c r="AP1113" s="19">
        <v>583.9</v>
      </c>
      <c r="AQ1113" s="19" t="s">
        <v>307</v>
      </c>
      <c r="AR1113" s="9" t="s">
        <v>319</v>
      </c>
      <c r="AS1113" s="12">
        <v>0</v>
      </c>
      <c r="AT1113" s="19">
        <v>39.00378714</v>
      </c>
      <c r="AU1113" s="19">
        <v>-123.11305848000001</v>
      </c>
      <c r="AV1113" s="19" t="s">
        <v>548</v>
      </c>
    </row>
    <row r="1114" spans="1:48" x14ac:dyDescent="0.25">
      <c r="A1114" s="18" t="s">
        <v>1506</v>
      </c>
      <c r="B1114" s="10">
        <v>19551010</v>
      </c>
      <c r="C1114" s="9">
        <v>6</v>
      </c>
      <c r="D1114" s="8" t="str">
        <f t="shared" si="205"/>
        <v>Y</v>
      </c>
      <c r="E1114" s="8" t="str">
        <f t="shared" si="206"/>
        <v>N</v>
      </c>
      <c r="F1114" s="8" t="str">
        <f t="shared" si="207"/>
        <v>Y</v>
      </c>
      <c r="G1114" s="8" t="str">
        <f t="shared" si="208"/>
        <v>Y</v>
      </c>
      <c r="H1114" s="8" t="str">
        <f t="shared" si="209"/>
        <v>Upper</v>
      </c>
      <c r="I1114" s="8" t="str">
        <f t="shared" si="210"/>
        <v>West Fork and Below Lake</v>
      </c>
      <c r="J1114" s="8" t="str">
        <f t="shared" si="211"/>
        <v>Mendocino (d/s of lake)</v>
      </c>
      <c r="K1114" s="8" t="str">
        <f t="shared" si="212"/>
        <v>Post-1949</v>
      </c>
      <c r="L1114" s="8">
        <f t="shared" si="213"/>
        <v>1955</v>
      </c>
      <c r="M1114" s="8" t="str">
        <f t="shared" si="215"/>
        <v>1955-1956</v>
      </c>
      <c r="N1114" s="10" t="s">
        <v>241</v>
      </c>
      <c r="O1114" s="10" t="s">
        <v>241</v>
      </c>
      <c r="P1114" s="10" t="s">
        <v>242</v>
      </c>
      <c r="Q1114" s="10" t="s">
        <v>242</v>
      </c>
      <c r="R1114" s="10" t="s">
        <v>241</v>
      </c>
      <c r="S1114" s="10" t="s">
        <v>242</v>
      </c>
      <c r="T1114" s="10" t="s">
        <v>242</v>
      </c>
      <c r="U1114" s="10" t="s">
        <v>242</v>
      </c>
      <c r="V1114" s="10" t="s">
        <v>242</v>
      </c>
      <c r="W1114" s="10" t="s">
        <v>242</v>
      </c>
      <c r="X1114" s="15">
        <f>IF(ISERROR(VLOOKUP($A1114,'13. Updated Demand'!A:Z,15,FALSE)),0,VLOOKUP($A1114,'13. Updated Demand'!A:Z,15,FALSE))</f>
        <v>0.05</v>
      </c>
      <c r="Y1114" s="16">
        <f>IF(ISERROR(VLOOKUP($A1114,'13. Updated Demand'!A:Z,16,FALSE)),0,VLOOKUP($A1114,'13. Updated Demand'!A:Z,16,FALSE))</f>
        <v>0.05</v>
      </c>
      <c r="Z1114" s="16">
        <f>IF(ISERROR(VLOOKUP($A1114,'13. Updated Demand'!A:Z,17,FALSE)),0,VLOOKUP($A1114,'13. Updated Demand'!A:Z,17,FALSE))</f>
        <v>0.05</v>
      </c>
      <c r="AA1114" s="16">
        <f>IF(ISERROR(VLOOKUP($A1114,'13. Updated Demand'!A:Z,18,FALSE)),0,VLOOKUP($A1114,'13. Updated Demand'!A:Z,18,FALSE))</f>
        <v>0.08</v>
      </c>
      <c r="AB1114" s="16">
        <f>IF(ISERROR(VLOOKUP($A1114,'13. Updated Demand'!A:Z,19,FALSE)),0,VLOOKUP($A1114,'13. Updated Demand'!A:Z,19,FALSE))</f>
        <v>0.08</v>
      </c>
      <c r="AC1114" s="16">
        <f>IF(ISERROR(VLOOKUP($A1114,'13. Updated Demand'!A:Z,20,FALSE)),0,VLOOKUP($A1114,'13. Updated Demand'!A:Z,20,FALSE))</f>
        <v>0.16</v>
      </c>
      <c r="AD1114" s="16">
        <f>IF(ISERROR(VLOOKUP($A1114,'13. Updated Demand'!A:Z,21,FALSE)),0,VLOOKUP($A1114,'13. Updated Demand'!A:Z,21,FALSE))</f>
        <v>0.16</v>
      </c>
      <c r="AE1114" s="16">
        <f>IF(ISERROR(VLOOKUP($A1114,'13. Updated Demand'!A:Z,22,FALSE)),0,VLOOKUP($A1114,'13. Updated Demand'!A:Z,22,FALSE))</f>
        <v>0.16</v>
      </c>
      <c r="AF1114" s="16">
        <f>IF(ISERROR(VLOOKUP($A1114,'13. Updated Demand'!A:Z,23,FALSE)),0,VLOOKUP($A1114,'13. Updated Demand'!A:Z,23,FALSE))</f>
        <v>0.16</v>
      </c>
      <c r="AG1114" s="16">
        <f>IF(ISERROR(VLOOKUP($A1114,'13. Updated Demand'!A:Z,24,FALSE)),0,VLOOKUP($A1114,'13. Updated Demand'!A:Z,24,FALSE))</f>
        <v>0.08</v>
      </c>
      <c r="AH1114" s="16">
        <f>IF(ISERROR(VLOOKUP($A1114,'13. Updated Demand'!A:Z,25,FALSE)),0,VLOOKUP($A1114,'13. Updated Demand'!A:Z,25,FALSE))</f>
        <v>0.05</v>
      </c>
      <c r="AI1114" s="16">
        <f>IF(ISERROR(VLOOKUP($A1114,'13. Updated Demand'!A:Z,26,FALSE)),0,VLOOKUP($A1114,'13. Updated Demand'!A:Z,26,FALSE))</f>
        <v>0.05</v>
      </c>
      <c r="AJ1114" s="16">
        <f t="shared" si="216"/>
        <v>1.1300000000000003</v>
      </c>
      <c r="AK1114" s="19">
        <v>0.75034266666666527</v>
      </c>
      <c r="AL1114" s="16">
        <f t="shared" si="214"/>
        <v>2.4888011532715592E-3</v>
      </c>
      <c r="AM1114" s="17">
        <v>3.9810277777777722E-2</v>
      </c>
      <c r="AN1114" s="19"/>
      <c r="AO1114" s="19"/>
      <c r="AP1114" s="19">
        <v>30</v>
      </c>
      <c r="AQ1114" s="19" t="s">
        <v>307</v>
      </c>
      <c r="AR1114" s="9" t="s">
        <v>319</v>
      </c>
      <c r="AS1114" s="12">
        <v>0</v>
      </c>
      <c r="AT1114" s="19">
        <v>38.971378000000001</v>
      </c>
      <c r="AU1114" s="19">
        <v>-123.10629434000001</v>
      </c>
      <c r="AV1114" s="19" t="s">
        <v>417</v>
      </c>
    </row>
    <row r="1115" spans="1:48" x14ac:dyDescent="0.25">
      <c r="A1115" s="18" t="s">
        <v>1507</v>
      </c>
      <c r="B1115" s="10">
        <v>19551017</v>
      </c>
      <c r="C1115" s="9">
        <v>6</v>
      </c>
      <c r="D1115" s="8" t="str">
        <f t="shared" si="205"/>
        <v>Y</v>
      </c>
      <c r="E1115" s="8" t="str">
        <f t="shared" si="206"/>
        <v>N</v>
      </c>
      <c r="F1115" s="8" t="str">
        <f t="shared" si="207"/>
        <v>Y</v>
      </c>
      <c r="G1115" s="8" t="str">
        <f t="shared" si="208"/>
        <v>Y</v>
      </c>
      <c r="H1115" s="8" t="str">
        <f t="shared" si="209"/>
        <v>Upper</v>
      </c>
      <c r="I1115" s="8" t="str">
        <f t="shared" si="210"/>
        <v>West Fork and Below Lake</v>
      </c>
      <c r="J1115" s="8" t="str">
        <f t="shared" si="211"/>
        <v>Mendocino (d/s of lake)</v>
      </c>
      <c r="K1115" s="8" t="str">
        <f t="shared" si="212"/>
        <v>Post-1949</v>
      </c>
      <c r="L1115" s="8">
        <f t="shared" si="213"/>
        <v>1955</v>
      </c>
      <c r="M1115" s="8" t="str">
        <f t="shared" si="215"/>
        <v>1955-1956</v>
      </c>
      <c r="N1115" s="10" t="s">
        <v>241</v>
      </c>
      <c r="O1115" s="10" t="s">
        <v>241</v>
      </c>
      <c r="P1115" s="10" t="s">
        <v>242</v>
      </c>
      <c r="Q1115" s="10" t="s">
        <v>242</v>
      </c>
      <c r="R1115" s="10" t="s">
        <v>241</v>
      </c>
      <c r="S1115" s="10" t="s">
        <v>242</v>
      </c>
      <c r="T1115" s="10" t="s">
        <v>242</v>
      </c>
      <c r="U1115" s="10" t="s">
        <v>242</v>
      </c>
      <c r="V1115" s="10" t="s">
        <v>242</v>
      </c>
      <c r="W1115" s="10" t="s">
        <v>242</v>
      </c>
      <c r="X1115" s="15">
        <f>IF(ISERROR(VLOOKUP($A1115,'13. Updated Demand'!A:Z,15,FALSE)),0,VLOOKUP($A1115,'13. Updated Demand'!A:Z,15,FALSE))</f>
        <v>0</v>
      </c>
      <c r="Y1115" s="16">
        <f>IF(ISERROR(VLOOKUP($A1115,'13. Updated Demand'!A:Z,16,FALSE)),0,VLOOKUP($A1115,'13. Updated Demand'!A:Z,16,FALSE))</f>
        <v>0</v>
      </c>
      <c r="Z1115" s="16">
        <f>IF(ISERROR(VLOOKUP($A1115,'13. Updated Demand'!A:Z,17,FALSE)),0,VLOOKUP($A1115,'13. Updated Demand'!A:Z,17,FALSE))</f>
        <v>0</v>
      </c>
      <c r="AA1115" s="16">
        <f>IF(ISERROR(VLOOKUP($A1115,'13. Updated Demand'!A:Z,18,FALSE)),0,VLOOKUP($A1115,'13. Updated Demand'!A:Z,18,FALSE))</f>
        <v>0</v>
      </c>
      <c r="AB1115" s="16">
        <f>IF(ISERROR(VLOOKUP($A1115,'13. Updated Demand'!A:Z,19,FALSE)),0,VLOOKUP($A1115,'13. Updated Demand'!A:Z,19,FALSE))</f>
        <v>0</v>
      </c>
      <c r="AC1115" s="16">
        <f>IF(ISERROR(VLOOKUP($A1115,'13. Updated Demand'!A:Z,20,FALSE)),0,VLOOKUP($A1115,'13. Updated Demand'!A:Z,20,FALSE))</f>
        <v>0.16</v>
      </c>
      <c r="AD1115" s="16">
        <f>IF(ISERROR(VLOOKUP($A1115,'13. Updated Demand'!A:Z,21,FALSE)),0,VLOOKUP($A1115,'13. Updated Demand'!A:Z,21,FALSE))</f>
        <v>0</v>
      </c>
      <c r="AE1115" s="16">
        <f>IF(ISERROR(VLOOKUP($A1115,'13. Updated Demand'!A:Z,22,FALSE)),0,VLOOKUP($A1115,'13. Updated Demand'!A:Z,22,FALSE))</f>
        <v>0.33</v>
      </c>
      <c r="AF1115" s="16">
        <f>IF(ISERROR(VLOOKUP($A1115,'13. Updated Demand'!A:Z,23,FALSE)),0,VLOOKUP($A1115,'13. Updated Demand'!A:Z,23,FALSE))</f>
        <v>0</v>
      </c>
      <c r="AG1115" s="16">
        <f>IF(ISERROR(VLOOKUP($A1115,'13. Updated Demand'!A:Z,24,FALSE)),0,VLOOKUP($A1115,'13. Updated Demand'!A:Z,24,FALSE))</f>
        <v>0</v>
      </c>
      <c r="AH1115" s="16">
        <f>IF(ISERROR(VLOOKUP($A1115,'13. Updated Demand'!A:Z,25,FALSE)),0,VLOOKUP($A1115,'13. Updated Demand'!A:Z,25,FALSE))</f>
        <v>0</v>
      </c>
      <c r="AI1115" s="16">
        <f>IF(ISERROR(VLOOKUP($A1115,'13. Updated Demand'!A:Z,26,FALSE)),0,VLOOKUP($A1115,'13. Updated Demand'!A:Z,26,FALSE))</f>
        <v>0</v>
      </c>
      <c r="AJ1115" s="16">
        <f t="shared" si="216"/>
        <v>0.49</v>
      </c>
      <c r="AK1115" s="19">
        <v>0.5</v>
      </c>
      <c r="AL1115" s="16">
        <f t="shared" si="214"/>
        <v>1.6584430446477544E-3</v>
      </c>
      <c r="AM1115" s="17">
        <v>5.3763440860215058E-3</v>
      </c>
      <c r="AN1115" s="19"/>
      <c r="AO1115" s="19"/>
      <c r="AP1115" s="19">
        <v>93</v>
      </c>
      <c r="AQ1115" s="19" t="s">
        <v>307</v>
      </c>
      <c r="AR1115" s="9" t="s">
        <v>319</v>
      </c>
      <c r="AS1115" s="12">
        <v>0</v>
      </c>
      <c r="AT1115" s="19">
        <v>38.981699999999996</v>
      </c>
      <c r="AU1115" s="19">
        <v>-123.1069</v>
      </c>
      <c r="AV1115" s="19" t="s">
        <v>387</v>
      </c>
    </row>
    <row r="1116" spans="1:48" x14ac:dyDescent="0.25">
      <c r="A1116" s="18" t="s">
        <v>1508</v>
      </c>
      <c r="B1116" s="10">
        <v>19551017</v>
      </c>
      <c r="C1116" s="9">
        <v>6</v>
      </c>
      <c r="D1116" s="8" t="str">
        <f t="shared" si="205"/>
        <v>Y</v>
      </c>
      <c r="E1116" s="8" t="str">
        <f t="shared" si="206"/>
        <v>N</v>
      </c>
      <c r="F1116" s="8" t="str">
        <f t="shared" si="207"/>
        <v>Y</v>
      </c>
      <c r="G1116" s="8" t="str">
        <f t="shared" si="208"/>
        <v>Y</v>
      </c>
      <c r="H1116" s="8" t="str">
        <f t="shared" si="209"/>
        <v>Upper</v>
      </c>
      <c r="I1116" s="8" t="str">
        <f t="shared" si="210"/>
        <v>West Fork and Below Lake</v>
      </c>
      <c r="J1116" s="8" t="str">
        <f t="shared" si="211"/>
        <v>Mendocino (d/s of lake)</v>
      </c>
      <c r="K1116" s="8" t="str">
        <f t="shared" si="212"/>
        <v>Post-1949</v>
      </c>
      <c r="L1116" s="8">
        <f t="shared" si="213"/>
        <v>1955</v>
      </c>
      <c r="M1116" s="8" t="str">
        <f t="shared" si="215"/>
        <v>1955-1956</v>
      </c>
      <c r="N1116" s="10" t="s">
        <v>241</v>
      </c>
      <c r="O1116" s="10" t="s">
        <v>241</v>
      </c>
      <c r="P1116" s="10" t="s">
        <v>242</v>
      </c>
      <c r="Q1116" s="10" t="s">
        <v>242</v>
      </c>
      <c r="R1116" s="10" t="s">
        <v>241</v>
      </c>
      <c r="S1116" s="10" t="s">
        <v>242</v>
      </c>
      <c r="T1116" s="10" t="s">
        <v>242</v>
      </c>
      <c r="U1116" s="10" t="s">
        <v>242</v>
      </c>
      <c r="V1116" s="10" t="s">
        <v>242</v>
      </c>
      <c r="W1116" s="10" t="s">
        <v>242</v>
      </c>
      <c r="X1116" s="15">
        <f>IF(ISERROR(VLOOKUP($A1116,'13. Updated Demand'!A:Z,15,FALSE)),0,VLOOKUP($A1116,'13. Updated Demand'!A:Z,15,FALSE))</f>
        <v>0</v>
      </c>
      <c r="Y1116" s="16">
        <f>IF(ISERROR(VLOOKUP($A1116,'13. Updated Demand'!A:Z,16,FALSE)),0,VLOOKUP($A1116,'13. Updated Demand'!A:Z,16,FALSE))</f>
        <v>0</v>
      </c>
      <c r="Z1116" s="16">
        <f>IF(ISERROR(VLOOKUP($A1116,'13. Updated Demand'!A:Z,17,FALSE)),0,VLOOKUP($A1116,'13. Updated Demand'!A:Z,17,FALSE))</f>
        <v>0</v>
      </c>
      <c r="AA1116" s="16">
        <f>IF(ISERROR(VLOOKUP($A1116,'13. Updated Demand'!A:Z,18,FALSE)),0,VLOOKUP($A1116,'13. Updated Demand'!A:Z,18,FALSE))</f>
        <v>0</v>
      </c>
      <c r="AB1116" s="16">
        <f>IF(ISERROR(VLOOKUP($A1116,'13. Updated Demand'!A:Z,19,FALSE)),0,VLOOKUP($A1116,'13. Updated Demand'!A:Z,19,FALSE))</f>
        <v>0.09</v>
      </c>
      <c r="AC1116" s="16">
        <f>IF(ISERROR(VLOOKUP($A1116,'13. Updated Demand'!A:Z,20,FALSE)),0,VLOOKUP($A1116,'13. Updated Demand'!A:Z,20,FALSE))</f>
        <v>1.27</v>
      </c>
      <c r="AD1116" s="16">
        <f>IF(ISERROR(VLOOKUP($A1116,'13. Updated Demand'!A:Z,21,FALSE)),0,VLOOKUP($A1116,'13. Updated Demand'!A:Z,21,FALSE))</f>
        <v>4.57</v>
      </c>
      <c r="AE1116" s="16">
        <f>IF(ISERROR(VLOOKUP($A1116,'13. Updated Demand'!A:Z,22,FALSE)),0,VLOOKUP($A1116,'13. Updated Demand'!A:Z,22,FALSE))</f>
        <v>2.9</v>
      </c>
      <c r="AF1116" s="16">
        <f>IF(ISERROR(VLOOKUP($A1116,'13. Updated Demand'!A:Z,23,FALSE)),0,VLOOKUP($A1116,'13. Updated Demand'!A:Z,23,FALSE))</f>
        <v>0</v>
      </c>
      <c r="AG1116" s="16">
        <f>IF(ISERROR(VLOOKUP($A1116,'13. Updated Demand'!A:Z,24,FALSE)),0,VLOOKUP($A1116,'13. Updated Demand'!A:Z,24,FALSE))</f>
        <v>1.42</v>
      </c>
      <c r="AH1116" s="16">
        <f>IF(ISERROR(VLOOKUP($A1116,'13. Updated Demand'!A:Z,25,FALSE)),0,VLOOKUP($A1116,'13. Updated Demand'!A:Z,25,FALSE))</f>
        <v>0</v>
      </c>
      <c r="AI1116" s="16">
        <f>IF(ISERROR(VLOOKUP($A1116,'13. Updated Demand'!A:Z,26,FALSE)),0,VLOOKUP($A1116,'13. Updated Demand'!A:Z,26,FALSE))</f>
        <v>0</v>
      </c>
      <c r="AJ1116" s="16">
        <f t="shared" si="216"/>
        <v>10.25</v>
      </c>
      <c r="AK1116" s="19">
        <v>8.8506713333333273</v>
      </c>
      <c r="AL1116" s="16">
        <f t="shared" si="214"/>
        <v>2.9356668626459848E-2</v>
      </c>
      <c r="AM1116" s="17">
        <v>6.9888517006802695E-2</v>
      </c>
      <c r="AN1116" s="19"/>
      <c r="AO1116" s="19"/>
      <c r="AP1116" s="19">
        <v>147</v>
      </c>
      <c r="AQ1116" s="19" t="s">
        <v>307</v>
      </c>
      <c r="AR1116" s="9" t="s">
        <v>319</v>
      </c>
      <c r="AS1116" s="12">
        <v>0</v>
      </c>
      <c r="AT1116" s="19">
        <v>39.02152461</v>
      </c>
      <c r="AU1116" s="19">
        <v>-123.12741080000001</v>
      </c>
      <c r="AV1116" s="19" t="s">
        <v>387</v>
      </c>
    </row>
    <row r="1117" spans="1:48" x14ac:dyDescent="0.25">
      <c r="A1117" s="18" t="s">
        <v>1509</v>
      </c>
      <c r="B1117" s="10">
        <v>19551017</v>
      </c>
      <c r="C1117" s="9">
        <v>10</v>
      </c>
      <c r="D1117" s="8" t="str">
        <f t="shared" si="205"/>
        <v>N</v>
      </c>
      <c r="E1117" s="8" t="str">
        <f t="shared" si="206"/>
        <v>Y</v>
      </c>
      <c r="F1117" s="8" t="str">
        <f t="shared" si="207"/>
        <v>Y</v>
      </c>
      <c r="G1117" s="8" t="str">
        <f t="shared" si="208"/>
        <v>Y</v>
      </c>
      <c r="H1117" s="8" t="str">
        <f t="shared" si="209"/>
        <v>Upper</v>
      </c>
      <c r="I1117" s="8" t="str">
        <f t="shared" si="210"/>
        <v>West Fork and Below Lake</v>
      </c>
      <c r="J1117" s="8" t="str">
        <f t="shared" si="211"/>
        <v>Sonoma (d/s of Clov. Gage)</v>
      </c>
      <c r="K1117" s="8" t="str">
        <f t="shared" si="212"/>
        <v>Post-1949</v>
      </c>
      <c r="L1117" s="8">
        <f t="shared" si="213"/>
        <v>1955</v>
      </c>
      <c r="M1117" s="8" t="str">
        <f t="shared" si="215"/>
        <v>1955-1956</v>
      </c>
      <c r="N1117" s="10" t="s">
        <v>241</v>
      </c>
      <c r="O1117" s="10" t="s">
        <v>241</v>
      </c>
      <c r="P1117" s="10" t="s">
        <v>242</v>
      </c>
      <c r="Q1117" s="10" t="s">
        <v>242</v>
      </c>
      <c r="R1117" s="10" t="s">
        <v>241</v>
      </c>
      <c r="S1117" s="10" t="s">
        <v>242</v>
      </c>
      <c r="T1117" s="10" t="s">
        <v>242</v>
      </c>
      <c r="U1117" s="10" t="s">
        <v>242</v>
      </c>
      <c r="V1117" s="10" t="s">
        <v>242</v>
      </c>
      <c r="W1117" s="10" t="s">
        <v>242</v>
      </c>
      <c r="X1117" s="15">
        <f>IF(ISERROR(VLOOKUP($A1117,'13. Updated Demand'!A:Z,15,FALSE)),0,VLOOKUP($A1117,'13. Updated Demand'!A:Z,15,FALSE))</f>
        <v>0</v>
      </c>
      <c r="Y1117" s="16">
        <f>IF(ISERROR(VLOOKUP($A1117,'13. Updated Demand'!A:Z,16,FALSE)),0,VLOOKUP($A1117,'13. Updated Demand'!A:Z,16,FALSE))</f>
        <v>0</v>
      </c>
      <c r="Z1117" s="16">
        <f>IF(ISERROR(VLOOKUP($A1117,'13. Updated Demand'!A:Z,17,FALSE)),0,VLOOKUP($A1117,'13. Updated Demand'!A:Z,17,FALSE))</f>
        <v>0</v>
      </c>
      <c r="AA1117" s="16">
        <f>IF(ISERROR(VLOOKUP($A1117,'13. Updated Demand'!A:Z,18,FALSE)),0,VLOOKUP($A1117,'13. Updated Demand'!A:Z,18,FALSE))</f>
        <v>0.6</v>
      </c>
      <c r="AB1117" s="16">
        <f>IF(ISERROR(VLOOKUP($A1117,'13. Updated Demand'!A:Z,19,FALSE)),0,VLOOKUP($A1117,'13. Updated Demand'!A:Z,19,FALSE))</f>
        <v>3.3333333333333301E-3</v>
      </c>
      <c r="AC1117" s="16">
        <f>IF(ISERROR(VLOOKUP($A1117,'13. Updated Demand'!A:Z,20,FALSE)),0,VLOOKUP($A1117,'13. Updated Demand'!A:Z,20,FALSE))</f>
        <v>4.16</v>
      </c>
      <c r="AD1117" s="16">
        <f>IF(ISERROR(VLOOKUP($A1117,'13. Updated Demand'!A:Z,21,FALSE)),0,VLOOKUP($A1117,'13. Updated Demand'!A:Z,21,FALSE))</f>
        <v>6.63</v>
      </c>
      <c r="AE1117" s="16">
        <f>IF(ISERROR(VLOOKUP($A1117,'13. Updated Demand'!A:Z,22,FALSE)),0,VLOOKUP($A1117,'13. Updated Demand'!A:Z,22,FALSE))</f>
        <v>6.1</v>
      </c>
      <c r="AF1117" s="16">
        <f>IF(ISERROR(VLOOKUP($A1117,'13. Updated Demand'!A:Z,23,FALSE)),0,VLOOKUP($A1117,'13. Updated Demand'!A:Z,23,FALSE))</f>
        <v>4.5599999999999996</v>
      </c>
      <c r="AG1117" s="16">
        <f>IF(ISERROR(VLOOKUP($A1117,'13. Updated Demand'!A:Z,24,FALSE)),0,VLOOKUP($A1117,'13. Updated Demand'!A:Z,24,FALSE))</f>
        <v>3.53</v>
      </c>
      <c r="AH1117" s="16">
        <f>IF(ISERROR(VLOOKUP($A1117,'13. Updated Demand'!A:Z,25,FALSE)),0,VLOOKUP($A1117,'13. Updated Demand'!A:Z,25,FALSE))</f>
        <v>0</v>
      </c>
      <c r="AI1117" s="16">
        <f>IF(ISERROR(VLOOKUP($A1117,'13. Updated Demand'!A:Z,26,FALSE)),0,VLOOKUP($A1117,'13. Updated Demand'!A:Z,26,FALSE))</f>
        <v>0</v>
      </c>
      <c r="AJ1117" s="16">
        <f t="shared" si="216"/>
        <v>25.583333333333332</v>
      </c>
      <c r="AK1117" s="19">
        <v>21.470066666666661</v>
      </c>
      <c r="AL1117" s="16">
        <f t="shared" si="214"/>
        <v>7.1213765462913844E-2</v>
      </c>
      <c r="AM1117" s="17">
        <v>0.10721691792294805</v>
      </c>
      <c r="AN1117" s="19"/>
      <c r="AO1117" s="19"/>
      <c r="AP1117" s="19">
        <v>238.8</v>
      </c>
      <c r="AQ1117" s="19" t="s">
        <v>307</v>
      </c>
      <c r="AR1117" s="9" t="s">
        <v>436</v>
      </c>
      <c r="AS1117" s="12">
        <v>0</v>
      </c>
      <c r="AT1117" s="19">
        <v>38.71371706</v>
      </c>
      <c r="AU1117" s="19">
        <v>-122.89304928999999</v>
      </c>
      <c r="AV1117" s="19" t="s">
        <v>387</v>
      </c>
    </row>
    <row r="1118" spans="1:48" x14ac:dyDescent="0.25">
      <c r="A1118" s="18" t="s">
        <v>127</v>
      </c>
      <c r="B1118" s="10">
        <v>19551130</v>
      </c>
      <c r="C1118" s="9">
        <v>5</v>
      </c>
      <c r="D1118" s="8" t="str">
        <f t="shared" si="205"/>
        <v>Y</v>
      </c>
      <c r="E1118" s="8" t="str">
        <f t="shared" si="206"/>
        <v>N</v>
      </c>
      <c r="F1118" s="8" t="str">
        <f t="shared" si="207"/>
        <v>Y</v>
      </c>
      <c r="G1118" s="8" t="str">
        <f t="shared" si="208"/>
        <v>Y</v>
      </c>
      <c r="H1118" s="8" t="str">
        <f t="shared" si="209"/>
        <v>Upper</v>
      </c>
      <c r="I1118" s="8" t="str">
        <f t="shared" si="210"/>
        <v>West Fork and Below Lake</v>
      </c>
      <c r="J1118" s="8" t="str">
        <f t="shared" si="211"/>
        <v>Mendocino (d/s of lake)</v>
      </c>
      <c r="K1118" s="8" t="str">
        <f t="shared" si="212"/>
        <v>Post-1949</v>
      </c>
      <c r="L1118" s="8">
        <f t="shared" si="213"/>
        <v>1955</v>
      </c>
      <c r="M1118" s="8" t="str">
        <f t="shared" si="215"/>
        <v>1955-1956</v>
      </c>
      <c r="N1118" s="10" t="s">
        <v>241</v>
      </c>
      <c r="O1118" s="10" t="s">
        <v>241</v>
      </c>
      <c r="P1118" s="10" t="s">
        <v>242</v>
      </c>
      <c r="Q1118" s="10" t="s">
        <v>242</v>
      </c>
      <c r="R1118" s="10" t="s">
        <v>241</v>
      </c>
      <c r="S1118" s="10" t="s">
        <v>242</v>
      </c>
      <c r="T1118" s="10" t="s">
        <v>242</v>
      </c>
      <c r="U1118" s="10" t="s">
        <v>242</v>
      </c>
      <c r="V1118" s="10" t="s">
        <v>242</v>
      </c>
      <c r="W1118" s="10" t="s">
        <v>242</v>
      </c>
      <c r="X1118" s="15">
        <f>IF(ISERROR(VLOOKUP($A1118,'13. Updated Demand'!A:Z,15,FALSE)),0,VLOOKUP($A1118,'13. Updated Demand'!A:Z,15,FALSE))</f>
        <v>0</v>
      </c>
      <c r="Y1118" s="16">
        <f>IF(ISERROR(VLOOKUP($A1118,'13. Updated Demand'!A:Z,16,FALSE)),0,VLOOKUP($A1118,'13. Updated Demand'!A:Z,16,FALSE))</f>
        <v>0</v>
      </c>
      <c r="Z1118" s="16">
        <f>IF(ISERROR(VLOOKUP($A1118,'13. Updated Demand'!A:Z,17,FALSE)),0,VLOOKUP($A1118,'13. Updated Demand'!A:Z,17,FALSE))</f>
        <v>0</v>
      </c>
      <c r="AA1118" s="16">
        <f>IF(ISERROR(VLOOKUP($A1118,'13. Updated Demand'!A:Z,18,FALSE)),0,VLOOKUP($A1118,'13. Updated Demand'!A:Z,18,FALSE))</f>
        <v>0.96</v>
      </c>
      <c r="AB1118" s="16">
        <f>IF(ISERROR(VLOOKUP($A1118,'13. Updated Demand'!A:Z,19,FALSE)),0,VLOOKUP($A1118,'13. Updated Demand'!A:Z,19,FALSE))</f>
        <v>1.21</v>
      </c>
      <c r="AC1118" s="16">
        <f>IF(ISERROR(VLOOKUP($A1118,'13. Updated Demand'!A:Z,20,FALSE)),0,VLOOKUP($A1118,'13. Updated Demand'!A:Z,20,FALSE))</f>
        <v>3.63</v>
      </c>
      <c r="AD1118" s="16">
        <f>IF(ISERROR(VLOOKUP($A1118,'13. Updated Demand'!A:Z,21,FALSE)),0,VLOOKUP($A1118,'13. Updated Demand'!A:Z,21,FALSE))</f>
        <v>2.87</v>
      </c>
      <c r="AE1118" s="16">
        <f>IF(ISERROR(VLOOKUP($A1118,'13. Updated Demand'!A:Z,22,FALSE)),0,VLOOKUP($A1118,'13. Updated Demand'!A:Z,22,FALSE))</f>
        <v>2.35</v>
      </c>
      <c r="AF1118" s="16">
        <f>IF(ISERROR(VLOOKUP($A1118,'13. Updated Demand'!A:Z,23,FALSE)),0,VLOOKUP($A1118,'13. Updated Demand'!A:Z,23,FALSE))</f>
        <v>1.38</v>
      </c>
      <c r="AG1118" s="16">
        <f>IF(ISERROR(VLOOKUP($A1118,'13. Updated Demand'!A:Z,24,FALSE)),0,VLOOKUP($A1118,'13. Updated Demand'!A:Z,24,FALSE))</f>
        <v>2.02</v>
      </c>
      <c r="AH1118" s="16">
        <f>IF(ISERROR(VLOOKUP($A1118,'13. Updated Demand'!A:Z,25,FALSE)),0,VLOOKUP($A1118,'13. Updated Demand'!A:Z,25,FALSE))</f>
        <v>0</v>
      </c>
      <c r="AI1118" s="16">
        <f>IF(ISERROR(VLOOKUP($A1118,'13. Updated Demand'!A:Z,26,FALSE)),0,VLOOKUP($A1118,'13. Updated Demand'!A:Z,26,FALSE))</f>
        <v>0</v>
      </c>
      <c r="AJ1118" s="16">
        <f t="shared" si="216"/>
        <v>14.419999999999998</v>
      </c>
      <c r="AK1118" s="19">
        <v>11.46333333333334</v>
      </c>
      <c r="AL1118" s="16">
        <f t="shared" si="214"/>
        <v>3.802257087029088E-2</v>
      </c>
      <c r="AM1118" s="17">
        <v>3.9396418507408423E-2</v>
      </c>
      <c r="AN1118" s="19"/>
      <c r="AO1118" s="19"/>
      <c r="AP1118" s="19">
        <v>366.7</v>
      </c>
      <c r="AQ1118" s="19" t="s">
        <v>307</v>
      </c>
      <c r="AR1118" s="9" t="s">
        <v>333</v>
      </c>
      <c r="AS1118" s="12">
        <v>0</v>
      </c>
      <c r="AT1118" s="19">
        <v>39.087722560000003</v>
      </c>
      <c r="AU1118" s="19">
        <v>-123.17118068000001</v>
      </c>
      <c r="AV1118" s="19" t="s">
        <v>387</v>
      </c>
    </row>
    <row r="1119" spans="1:48" x14ac:dyDescent="0.25">
      <c r="A1119" s="18" t="s">
        <v>1510</v>
      </c>
      <c r="B1119" s="10">
        <v>19551209</v>
      </c>
      <c r="C1119" s="9">
        <v>15</v>
      </c>
      <c r="D1119" s="8" t="str">
        <f t="shared" si="205"/>
        <v>N</v>
      </c>
      <c r="E1119" s="8" t="str">
        <f t="shared" si="206"/>
        <v>N</v>
      </c>
      <c r="F1119" s="8" t="str">
        <f t="shared" si="207"/>
        <v>N</v>
      </c>
      <c r="G1119" s="8" t="str">
        <f t="shared" si="208"/>
        <v>N</v>
      </c>
      <c r="H1119" s="8" t="str">
        <f t="shared" si="209"/>
        <v>Lower</v>
      </c>
      <c r="I1119" s="8" t="str">
        <f t="shared" si="210"/>
        <v>Outside</v>
      </c>
      <c r="J1119" s="8" t="str">
        <f t="shared" si="211"/>
        <v>Outside</v>
      </c>
      <c r="K1119" s="8" t="str">
        <f t="shared" si="212"/>
        <v>Post-1949</v>
      </c>
      <c r="L1119" s="8">
        <f t="shared" si="213"/>
        <v>1955</v>
      </c>
      <c r="M1119" s="8" t="str">
        <f t="shared" si="215"/>
        <v>1955-1956</v>
      </c>
      <c r="N1119" s="10" t="s">
        <v>242</v>
      </c>
      <c r="O1119" s="10" t="s">
        <v>242</v>
      </c>
      <c r="P1119" s="10" t="s">
        <v>242</v>
      </c>
      <c r="Q1119" s="10" t="s">
        <v>242</v>
      </c>
      <c r="R1119" s="10" t="s">
        <v>241</v>
      </c>
      <c r="S1119" s="10" t="s">
        <v>242</v>
      </c>
      <c r="T1119" s="10" t="s">
        <v>242</v>
      </c>
      <c r="U1119" s="10" t="s">
        <v>242</v>
      </c>
      <c r="V1119" s="10" t="s">
        <v>242</v>
      </c>
      <c r="W1119" s="10" t="s">
        <v>242</v>
      </c>
      <c r="X1119" s="15">
        <f>IF(ISERROR(VLOOKUP($A1119,'13. Updated Demand'!A:Z,15,FALSE)),0,VLOOKUP($A1119,'13. Updated Demand'!A:Z,15,FALSE))</f>
        <v>0</v>
      </c>
      <c r="Y1119" s="16">
        <f>IF(ISERROR(VLOOKUP($A1119,'13. Updated Demand'!A:Z,16,FALSE)),0,VLOOKUP($A1119,'13. Updated Demand'!A:Z,16,FALSE))</f>
        <v>0</v>
      </c>
      <c r="Z1119" s="16">
        <f>IF(ISERROR(VLOOKUP($A1119,'13. Updated Demand'!A:Z,17,FALSE)),0,VLOOKUP($A1119,'13. Updated Demand'!A:Z,17,FALSE))</f>
        <v>0</v>
      </c>
      <c r="AA1119" s="16">
        <f>IF(ISERROR(VLOOKUP($A1119,'13. Updated Demand'!A:Z,18,FALSE)),0,VLOOKUP($A1119,'13. Updated Demand'!A:Z,18,FALSE))</f>
        <v>0</v>
      </c>
      <c r="AB1119" s="16">
        <f>IF(ISERROR(VLOOKUP($A1119,'13. Updated Demand'!A:Z,19,FALSE)),0,VLOOKUP($A1119,'13. Updated Demand'!A:Z,19,FALSE))</f>
        <v>6.7865667000000005E-2</v>
      </c>
      <c r="AC1119" s="16">
        <f>IF(ISERROR(VLOOKUP($A1119,'13. Updated Demand'!A:Z,20,FALSE)),0,VLOOKUP($A1119,'13. Updated Demand'!A:Z,20,FALSE))</f>
        <v>8.1426999999999999E-2</v>
      </c>
      <c r="AD1119" s="16">
        <f>IF(ISERROR(VLOOKUP($A1119,'13. Updated Demand'!A:Z,21,FALSE)),0,VLOOKUP($A1119,'13. Updated Demand'!A:Z,21,FALSE))</f>
        <v>8.4757333000000004E-2</v>
      </c>
      <c r="AE1119" s="16">
        <f>IF(ISERROR(VLOOKUP($A1119,'13. Updated Demand'!A:Z,22,FALSE)),0,VLOOKUP($A1119,'13. Updated Demand'!A:Z,22,FALSE))</f>
        <v>5.1199000000000001E-2</v>
      </c>
      <c r="AF1119" s="16">
        <f>IF(ISERROR(VLOOKUP($A1119,'13. Updated Demand'!A:Z,23,FALSE)),0,VLOOKUP($A1119,'13. Updated Demand'!A:Z,23,FALSE))</f>
        <v>6.4615000000000006E-2</v>
      </c>
      <c r="AG1119" s="16">
        <f>IF(ISERROR(VLOOKUP($A1119,'13. Updated Demand'!A:Z,24,FALSE)),0,VLOOKUP($A1119,'13. Updated Demand'!A:Z,24,FALSE))</f>
        <v>3.7613000000000001E-2</v>
      </c>
      <c r="AH1119" s="16">
        <f>IF(ISERROR(VLOOKUP($A1119,'13. Updated Demand'!A:Z,25,FALSE)),0,VLOOKUP($A1119,'13. Updated Demand'!A:Z,25,FALSE))</f>
        <v>0</v>
      </c>
      <c r="AI1119" s="16">
        <f>IF(ISERROR(VLOOKUP($A1119,'13. Updated Demand'!A:Z,26,FALSE)),0,VLOOKUP($A1119,'13. Updated Demand'!A:Z,26,FALSE))</f>
        <v>0</v>
      </c>
      <c r="AJ1119" s="16">
        <f t="shared" si="216"/>
        <v>0.38747699999999996</v>
      </c>
      <c r="AK1119" s="19">
        <v>0.34986399999999995</v>
      </c>
      <c r="AL1119" s="16">
        <f t="shared" si="214"/>
        <v>1.1604590347452837E-3</v>
      </c>
      <c r="AM1119" s="17">
        <v>7.4658381502890172E-3</v>
      </c>
      <c r="AN1119" s="19"/>
      <c r="AO1119" s="19"/>
      <c r="AP1119" s="19">
        <v>51.9</v>
      </c>
      <c r="AQ1119" s="19" t="s">
        <v>307</v>
      </c>
      <c r="AR1119" s="9" t="s">
        <v>489</v>
      </c>
      <c r="AS1119" s="12">
        <v>0</v>
      </c>
      <c r="AT1119" s="19">
        <v>38.655767689999998</v>
      </c>
      <c r="AU1119" s="19">
        <v>-122.92909538000001</v>
      </c>
      <c r="AV1119" s="19" t="s">
        <v>932</v>
      </c>
    </row>
    <row r="1120" spans="1:48" x14ac:dyDescent="0.25">
      <c r="A1120" s="18" t="s">
        <v>1511</v>
      </c>
      <c r="B1120" s="10">
        <v>19550719</v>
      </c>
      <c r="C1120" s="9">
        <v>2</v>
      </c>
      <c r="D1120" s="8" t="str">
        <f t="shared" si="205"/>
        <v>N</v>
      </c>
      <c r="E1120" s="8" t="str">
        <f t="shared" si="206"/>
        <v>N</v>
      </c>
      <c r="F1120" s="8" t="str">
        <f t="shared" si="207"/>
        <v>Y</v>
      </c>
      <c r="G1120" s="8" t="str">
        <f t="shared" si="208"/>
        <v>N</v>
      </c>
      <c r="H1120" s="8" t="str">
        <f t="shared" si="209"/>
        <v>Upper</v>
      </c>
      <c r="I1120" s="8" t="str">
        <f t="shared" si="210"/>
        <v>Outside</v>
      </c>
      <c r="J1120" s="8" t="str">
        <f t="shared" si="211"/>
        <v>Outside</v>
      </c>
      <c r="K1120" s="8" t="str">
        <f t="shared" si="212"/>
        <v>Post-1949</v>
      </c>
      <c r="L1120" s="8">
        <f t="shared" si="213"/>
        <v>1955</v>
      </c>
      <c r="M1120" s="8" t="str">
        <f t="shared" si="215"/>
        <v>1955-1956</v>
      </c>
      <c r="N1120" s="10" t="s">
        <v>242</v>
      </c>
      <c r="O1120" s="10" t="s">
        <v>241</v>
      </c>
      <c r="P1120" s="10" t="s">
        <v>242</v>
      </c>
      <c r="Q1120" s="10" t="s">
        <v>242</v>
      </c>
      <c r="R1120" s="10" t="s">
        <v>241</v>
      </c>
      <c r="S1120" s="10" t="s">
        <v>242</v>
      </c>
      <c r="T1120" s="10" t="s">
        <v>242</v>
      </c>
      <c r="U1120" s="10" t="s">
        <v>241</v>
      </c>
      <c r="V1120" s="10" t="s">
        <v>241</v>
      </c>
      <c r="W1120" s="10" t="s">
        <v>242</v>
      </c>
      <c r="X1120" s="15">
        <f>IF(ISERROR(VLOOKUP($A1120,'13. Updated Demand'!A:Z,15,FALSE)),0,VLOOKUP($A1120,'13. Updated Demand'!A:Z,15,FALSE))</f>
        <v>0</v>
      </c>
      <c r="Y1120" s="16">
        <f>IF(ISERROR(VLOOKUP($A1120,'13. Updated Demand'!A:Z,16,FALSE)),0,VLOOKUP($A1120,'13. Updated Demand'!A:Z,16,FALSE))</f>
        <v>0</v>
      </c>
      <c r="Z1120" s="16">
        <f>IF(ISERROR(VLOOKUP($A1120,'13. Updated Demand'!A:Z,17,FALSE)),0,VLOOKUP($A1120,'13. Updated Demand'!A:Z,17,FALSE))</f>
        <v>0</v>
      </c>
      <c r="AA1120" s="16">
        <f>IF(ISERROR(VLOOKUP($A1120,'13. Updated Demand'!A:Z,18,FALSE)),0,VLOOKUP($A1120,'13. Updated Demand'!A:Z,18,FALSE))</f>
        <v>0</v>
      </c>
      <c r="AB1120" s="16">
        <f>IF(ISERROR(VLOOKUP($A1120,'13. Updated Demand'!A:Z,19,FALSE)),0,VLOOKUP($A1120,'13. Updated Demand'!A:Z,19,FALSE))</f>
        <v>0</v>
      </c>
      <c r="AC1120" s="16">
        <f>IF(ISERROR(VLOOKUP($A1120,'13. Updated Demand'!A:Z,20,FALSE)),0,VLOOKUP($A1120,'13. Updated Demand'!A:Z,20,FALSE))</f>
        <v>0</v>
      </c>
      <c r="AD1120" s="16">
        <f>IF(ISERROR(VLOOKUP($A1120,'13. Updated Demand'!A:Z,21,FALSE)),0,VLOOKUP($A1120,'13. Updated Demand'!A:Z,21,FALSE))</f>
        <v>0</v>
      </c>
      <c r="AE1120" s="16">
        <f>IF(ISERROR(VLOOKUP($A1120,'13. Updated Demand'!A:Z,22,FALSE)),0,VLOOKUP($A1120,'13. Updated Demand'!A:Z,22,FALSE))</f>
        <v>0</v>
      </c>
      <c r="AF1120" s="16">
        <f>IF(ISERROR(VLOOKUP($A1120,'13. Updated Demand'!A:Z,23,FALSE)),0,VLOOKUP($A1120,'13. Updated Demand'!A:Z,23,FALSE))</f>
        <v>0</v>
      </c>
      <c r="AG1120" s="16">
        <f>IF(ISERROR(VLOOKUP($A1120,'13. Updated Demand'!A:Z,24,FALSE)),0,VLOOKUP($A1120,'13. Updated Demand'!A:Z,24,FALSE))</f>
        <v>0</v>
      </c>
      <c r="AH1120" s="16">
        <f>IF(ISERROR(VLOOKUP($A1120,'13. Updated Demand'!A:Z,25,FALSE)),0,VLOOKUP($A1120,'13. Updated Demand'!A:Z,25,FALSE))</f>
        <v>0</v>
      </c>
      <c r="AI1120" s="16">
        <f>IF(ISERROR(VLOOKUP($A1120,'13. Updated Demand'!A:Z,26,FALSE)),0,VLOOKUP($A1120,'13. Updated Demand'!A:Z,26,FALSE))</f>
        <v>0</v>
      </c>
      <c r="AJ1120" s="16">
        <f t="shared" si="216"/>
        <v>0</v>
      </c>
      <c r="AK1120" s="19">
        <v>0</v>
      </c>
      <c r="AL1120" s="16">
        <f t="shared" si="214"/>
        <v>0</v>
      </c>
      <c r="AM1120" s="17">
        <v>0</v>
      </c>
      <c r="AN1120" s="19"/>
      <c r="AO1120" s="19"/>
      <c r="AP1120" s="19">
        <v>328.5</v>
      </c>
      <c r="AQ1120" s="19" t="s">
        <v>307</v>
      </c>
      <c r="AR1120" s="9" t="s">
        <v>348</v>
      </c>
      <c r="AS1120" s="12">
        <v>0</v>
      </c>
      <c r="AT1120" s="19">
        <v>39.320379189999997</v>
      </c>
      <c r="AU1120" s="19">
        <v>-123.10645667999999</v>
      </c>
      <c r="AV1120" s="19" t="s">
        <v>542</v>
      </c>
    </row>
    <row r="1121" spans="1:48" x14ac:dyDescent="0.25">
      <c r="A1121" s="18" t="s">
        <v>89</v>
      </c>
      <c r="B1121" s="10">
        <v>19540125</v>
      </c>
      <c r="C1121" s="9">
        <v>4</v>
      </c>
      <c r="D1121" s="8" t="str">
        <f t="shared" si="205"/>
        <v>Y</v>
      </c>
      <c r="E1121" s="8" t="str">
        <f t="shared" si="206"/>
        <v>N</v>
      </c>
      <c r="F1121" s="8" t="str">
        <f t="shared" si="207"/>
        <v>Y</v>
      </c>
      <c r="G1121" s="8" t="str">
        <f t="shared" si="208"/>
        <v>Y</v>
      </c>
      <c r="H1121" s="8" t="str">
        <f t="shared" si="209"/>
        <v>Upper</v>
      </c>
      <c r="I1121" s="8" t="str">
        <f t="shared" si="210"/>
        <v>West Fork and Below Lake</v>
      </c>
      <c r="J1121" s="8" t="str">
        <f t="shared" si="211"/>
        <v>Mendocino (d/s of lake)</v>
      </c>
      <c r="K1121" s="8" t="str">
        <f t="shared" si="212"/>
        <v>Post-1949</v>
      </c>
      <c r="L1121" s="8">
        <f t="shared" si="213"/>
        <v>1954</v>
      </c>
      <c r="M1121" s="8" t="str">
        <f t="shared" si="215"/>
        <v>1953-1954</v>
      </c>
      <c r="N1121" s="10" t="s">
        <v>241</v>
      </c>
      <c r="O1121" s="10" t="s">
        <v>241</v>
      </c>
      <c r="P1121" s="10" t="s">
        <v>242</v>
      </c>
      <c r="Q1121" s="10" t="s">
        <v>242</v>
      </c>
      <c r="R1121" s="10" t="s">
        <v>241</v>
      </c>
      <c r="S1121" s="10" t="s">
        <v>242</v>
      </c>
      <c r="T1121" s="10" t="s">
        <v>242</v>
      </c>
      <c r="U1121" s="10" t="s">
        <v>242</v>
      </c>
      <c r="V1121" s="10" t="s">
        <v>242</v>
      </c>
      <c r="W1121" s="10" t="s">
        <v>242</v>
      </c>
      <c r="X1121" s="15">
        <f>IF(ISERROR(VLOOKUP($A1121,'13. Updated Demand'!A:Z,15,FALSE)),0,VLOOKUP($A1121,'13. Updated Demand'!A:Z,15,FALSE))</f>
        <v>117.86</v>
      </c>
      <c r="Y1121" s="16">
        <f>IF(ISERROR(VLOOKUP($A1121,'13. Updated Demand'!A:Z,16,FALSE)),0,VLOOKUP($A1121,'13. Updated Demand'!A:Z,16,FALSE))</f>
        <v>89.56</v>
      </c>
      <c r="Z1121" s="16">
        <f>IF(ISERROR(VLOOKUP($A1121,'13. Updated Demand'!A:Z,17,FALSE)),0,VLOOKUP($A1121,'13. Updated Demand'!A:Z,17,FALSE))</f>
        <v>98.7</v>
      </c>
      <c r="AA1121" s="16">
        <f>IF(ISERROR(VLOOKUP($A1121,'13. Updated Demand'!A:Z,18,FALSE)),0,VLOOKUP($A1121,'13. Updated Demand'!A:Z,18,FALSE))</f>
        <v>99.16</v>
      </c>
      <c r="AB1121" s="16">
        <f>IF(ISERROR(VLOOKUP($A1121,'13. Updated Demand'!A:Z,19,FALSE)),0,VLOOKUP($A1121,'13. Updated Demand'!A:Z,19,FALSE))</f>
        <v>112.16</v>
      </c>
      <c r="AC1121" s="16">
        <f>IF(ISERROR(VLOOKUP($A1121,'13. Updated Demand'!A:Z,20,FALSE)),0,VLOOKUP($A1121,'13. Updated Demand'!A:Z,20,FALSE))</f>
        <v>162.6</v>
      </c>
      <c r="AD1121" s="16">
        <f>IF(ISERROR(VLOOKUP($A1121,'13. Updated Demand'!A:Z,21,FALSE)),0,VLOOKUP($A1121,'13. Updated Demand'!A:Z,21,FALSE))</f>
        <v>171.1</v>
      </c>
      <c r="AE1121" s="16">
        <f>IF(ISERROR(VLOOKUP($A1121,'13. Updated Demand'!A:Z,22,FALSE)),0,VLOOKUP($A1121,'13. Updated Demand'!A:Z,22,FALSE))</f>
        <v>176.46</v>
      </c>
      <c r="AF1121" s="16">
        <f>IF(ISERROR(VLOOKUP($A1121,'13. Updated Demand'!A:Z,23,FALSE)),0,VLOOKUP($A1121,'13. Updated Demand'!A:Z,23,FALSE))</f>
        <v>119.13</v>
      </c>
      <c r="AG1121" s="16">
        <f>IF(ISERROR(VLOOKUP($A1121,'13. Updated Demand'!A:Z,24,FALSE)),0,VLOOKUP($A1121,'13. Updated Demand'!A:Z,24,FALSE))</f>
        <v>57.8</v>
      </c>
      <c r="AH1121" s="16">
        <f>IF(ISERROR(VLOOKUP($A1121,'13. Updated Demand'!A:Z,25,FALSE)),0,VLOOKUP($A1121,'13. Updated Demand'!A:Z,25,FALSE))</f>
        <v>37.130000000000003</v>
      </c>
      <c r="AI1121" s="16">
        <f>IF(ISERROR(VLOOKUP($A1121,'13. Updated Demand'!A:Z,26,FALSE)),0,VLOOKUP($A1121,'13. Updated Demand'!A:Z,26,FALSE))</f>
        <v>75.53</v>
      </c>
      <c r="AJ1121" s="16">
        <f t="shared" si="216"/>
        <v>1317.19</v>
      </c>
      <c r="AK1121" s="19">
        <v>741.46666666666704</v>
      </c>
      <c r="AL1121" s="16">
        <f t="shared" si="214"/>
        <v>2.4593604723429778</v>
      </c>
      <c r="AM1121" s="17">
        <v>9.0971665883956304E-2</v>
      </c>
      <c r="AN1121" s="19"/>
      <c r="AO1121" s="19"/>
      <c r="AP1121" s="19">
        <v>14479.6</v>
      </c>
      <c r="AQ1121" s="19" t="s">
        <v>307</v>
      </c>
      <c r="AR1121" s="9" t="s">
        <v>331</v>
      </c>
      <c r="AS1121" s="12">
        <v>0</v>
      </c>
      <c r="AT1121" s="19">
        <v>39.162145899999999</v>
      </c>
      <c r="AU1121" s="19">
        <v>-123.19745487</v>
      </c>
      <c r="AV1121" s="19" t="s">
        <v>548</v>
      </c>
    </row>
    <row r="1122" spans="1:48" x14ac:dyDescent="0.25">
      <c r="A1122" s="18" t="s">
        <v>1512</v>
      </c>
      <c r="B1122" s="10">
        <v>19540317</v>
      </c>
      <c r="C1122" s="9">
        <v>5</v>
      </c>
      <c r="D1122" s="8" t="str">
        <f t="shared" si="205"/>
        <v>Y</v>
      </c>
      <c r="E1122" s="8" t="str">
        <f t="shared" si="206"/>
        <v>N</v>
      </c>
      <c r="F1122" s="8" t="str">
        <f t="shared" si="207"/>
        <v>Y</v>
      </c>
      <c r="G1122" s="8" t="str">
        <f t="shared" si="208"/>
        <v>Y</v>
      </c>
      <c r="H1122" s="8" t="str">
        <f t="shared" si="209"/>
        <v>Upper</v>
      </c>
      <c r="I1122" s="8" t="str">
        <f t="shared" si="210"/>
        <v>West Fork and Below Lake</v>
      </c>
      <c r="J1122" s="8" t="str">
        <f t="shared" si="211"/>
        <v>Mendocino (d/s of lake)</v>
      </c>
      <c r="K1122" s="8" t="str">
        <f t="shared" si="212"/>
        <v>Post-1949</v>
      </c>
      <c r="L1122" s="8">
        <f t="shared" si="213"/>
        <v>1954</v>
      </c>
      <c r="M1122" s="8" t="str">
        <f t="shared" si="215"/>
        <v>1953-1954</v>
      </c>
      <c r="N1122" s="10" t="s">
        <v>241</v>
      </c>
      <c r="O1122" s="10" t="s">
        <v>241</v>
      </c>
      <c r="P1122" s="10" t="s">
        <v>242</v>
      </c>
      <c r="Q1122" s="10" t="s">
        <v>242</v>
      </c>
      <c r="R1122" s="10" t="s">
        <v>241</v>
      </c>
      <c r="S1122" s="10" t="s">
        <v>242</v>
      </c>
      <c r="T1122" s="10" t="s">
        <v>242</v>
      </c>
      <c r="U1122" s="10" t="s">
        <v>242</v>
      </c>
      <c r="V1122" s="10" t="s">
        <v>242</v>
      </c>
      <c r="W1122" s="10" t="s">
        <v>242</v>
      </c>
      <c r="X1122" s="15">
        <f>IF(ISERROR(VLOOKUP($A1122,'13. Updated Demand'!A:Z,15,FALSE)),0,VLOOKUP($A1122,'13. Updated Demand'!A:Z,15,FALSE))</f>
        <v>0</v>
      </c>
      <c r="Y1122" s="16">
        <f>IF(ISERROR(VLOOKUP($A1122,'13. Updated Demand'!A:Z,16,FALSE)),0,VLOOKUP($A1122,'13. Updated Demand'!A:Z,16,FALSE))</f>
        <v>0</v>
      </c>
      <c r="Z1122" s="16">
        <f>IF(ISERROR(VLOOKUP($A1122,'13. Updated Demand'!A:Z,17,FALSE)),0,VLOOKUP($A1122,'13. Updated Demand'!A:Z,17,FALSE))</f>
        <v>0</v>
      </c>
      <c r="AA1122" s="16">
        <f>IF(ISERROR(VLOOKUP($A1122,'13. Updated Demand'!A:Z,18,FALSE)),0,VLOOKUP($A1122,'13. Updated Demand'!A:Z,18,FALSE))</f>
        <v>0</v>
      </c>
      <c r="AB1122" s="16">
        <f>IF(ISERROR(VLOOKUP($A1122,'13. Updated Demand'!A:Z,19,FALSE)),0,VLOOKUP($A1122,'13. Updated Demand'!A:Z,19,FALSE))</f>
        <v>14.5</v>
      </c>
      <c r="AC1122" s="16">
        <f>IF(ISERROR(VLOOKUP($A1122,'13. Updated Demand'!A:Z,20,FALSE)),0,VLOOKUP($A1122,'13. Updated Demand'!A:Z,20,FALSE))</f>
        <v>73.66</v>
      </c>
      <c r="AD1122" s="16">
        <f>IF(ISERROR(VLOOKUP($A1122,'13. Updated Demand'!A:Z,21,FALSE)),0,VLOOKUP($A1122,'13. Updated Demand'!A:Z,21,FALSE))</f>
        <v>85</v>
      </c>
      <c r="AE1122" s="16">
        <f>IF(ISERROR(VLOOKUP($A1122,'13. Updated Demand'!A:Z,22,FALSE)),0,VLOOKUP($A1122,'13. Updated Demand'!A:Z,22,FALSE))</f>
        <v>23.33</v>
      </c>
      <c r="AF1122" s="16">
        <f>IF(ISERROR(VLOOKUP($A1122,'13. Updated Demand'!A:Z,23,FALSE)),0,VLOOKUP($A1122,'13. Updated Demand'!A:Z,23,FALSE))</f>
        <v>53.33</v>
      </c>
      <c r="AG1122" s="16">
        <f>IF(ISERROR(VLOOKUP($A1122,'13. Updated Demand'!A:Z,24,FALSE)),0,VLOOKUP($A1122,'13. Updated Demand'!A:Z,24,FALSE))</f>
        <v>5</v>
      </c>
      <c r="AH1122" s="16">
        <f>IF(ISERROR(VLOOKUP($A1122,'13. Updated Demand'!A:Z,25,FALSE)),0,VLOOKUP($A1122,'13. Updated Demand'!A:Z,25,FALSE))</f>
        <v>0</v>
      </c>
      <c r="AI1122" s="16">
        <f>IF(ISERROR(VLOOKUP($A1122,'13. Updated Demand'!A:Z,26,FALSE)),0,VLOOKUP($A1122,'13. Updated Demand'!A:Z,26,FALSE))</f>
        <v>0</v>
      </c>
      <c r="AJ1122" s="16">
        <f t="shared" si="216"/>
        <v>254.82</v>
      </c>
      <c r="AK1122" s="19">
        <v>249.83333333333331</v>
      </c>
      <c r="AL1122" s="16">
        <f t="shared" si="214"/>
        <v>0.82866870797566128</v>
      </c>
      <c r="AM1122" s="17">
        <v>0.84690373324471035</v>
      </c>
      <c r="AN1122" s="19"/>
      <c r="AO1122" s="19"/>
      <c r="AP1122" s="19">
        <v>300.89999999999998</v>
      </c>
      <c r="AQ1122" s="19" t="s">
        <v>307</v>
      </c>
      <c r="AR1122" s="9" t="s">
        <v>333</v>
      </c>
      <c r="AS1122" s="12">
        <v>0</v>
      </c>
      <c r="AT1122" s="19">
        <v>39.036548379999999</v>
      </c>
      <c r="AU1122" s="19">
        <v>-123.12544343</v>
      </c>
      <c r="AV1122" s="19" t="s">
        <v>387</v>
      </c>
    </row>
    <row r="1123" spans="1:48" x14ac:dyDescent="0.25">
      <c r="A1123" s="18" t="s">
        <v>51</v>
      </c>
      <c r="B1123" s="10">
        <v>19540210</v>
      </c>
      <c r="C1123" s="9">
        <v>5</v>
      </c>
      <c r="D1123" s="8" t="str">
        <f t="shared" si="205"/>
        <v>Y</v>
      </c>
      <c r="E1123" s="8" t="str">
        <f t="shared" si="206"/>
        <v>N</v>
      </c>
      <c r="F1123" s="8" t="str">
        <f t="shared" si="207"/>
        <v>Y</v>
      </c>
      <c r="G1123" s="8" t="str">
        <f t="shared" si="208"/>
        <v>Y</v>
      </c>
      <c r="H1123" s="8" t="str">
        <f t="shared" si="209"/>
        <v>Upper</v>
      </c>
      <c r="I1123" s="8" t="str">
        <f t="shared" si="210"/>
        <v>West Fork and Below Lake</v>
      </c>
      <c r="J1123" s="8" t="str">
        <f t="shared" si="211"/>
        <v>Mendocino (d/s of lake)</v>
      </c>
      <c r="K1123" s="8" t="str">
        <f t="shared" si="212"/>
        <v>Post-1949</v>
      </c>
      <c r="L1123" s="8">
        <f t="shared" si="213"/>
        <v>1954</v>
      </c>
      <c r="M1123" s="8" t="str">
        <f t="shared" si="215"/>
        <v>1953-1954</v>
      </c>
      <c r="N1123" s="10" t="s">
        <v>241</v>
      </c>
      <c r="O1123" s="10" t="s">
        <v>241</v>
      </c>
      <c r="P1123" s="10" t="s">
        <v>242</v>
      </c>
      <c r="Q1123" s="10" t="s">
        <v>242</v>
      </c>
      <c r="R1123" s="10" t="s">
        <v>241</v>
      </c>
      <c r="S1123" s="10" t="s">
        <v>242</v>
      </c>
      <c r="T1123" s="10" t="s">
        <v>242</v>
      </c>
      <c r="U1123" s="10" t="s">
        <v>242</v>
      </c>
      <c r="V1123" s="10" t="s">
        <v>242</v>
      </c>
      <c r="W1123" s="10" t="s">
        <v>242</v>
      </c>
      <c r="X1123" s="15">
        <f>IF(ISERROR(VLOOKUP($A1123,'13. Updated Demand'!A:Z,15,FALSE)),0,VLOOKUP($A1123,'13. Updated Demand'!A:Z,15,FALSE))</f>
        <v>0</v>
      </c>
      <c r="Y1123" s="16">
        <f>IF(ISERROR(VLOOKUP($A1123,'13. Updated Demand'!A:Z,16,FALSE)),0,VLOOKUP($A1123,'13. Updated Demand'!A:Z,16,FALSE))</f>
        <v>0</v>
      </c>
      <c r="Z1123" s="16">
        <f>IF(ISERROR(VLOOKUP($A1123,'13. Updated Demand'!A:Z,17,FALSE)),0,VLOOKUP($A1123,'13. Updated Demand'!A:Z,17,FALSE))</f>
        <v>0</v>
      </c>
      <c r="AA1123" s="16">
        <f>IF(ISERROR(VLOOKUP($A1123,'13. Updated Demand'!A:Z,18,FALSE)),0,VLOOKUP($A1123,'13. Updated Demand'!A:Z,18,FALSE))</f>
        <v>0</v>
      </c>
      <c r="AB1123" s="16">
        <f>IF(ISERROR(VLOOKUP($A1123,'13. Updated Demand'!A:Z,19,FALSE)),0,VLOOKUP($A1123,'13. Updated Demand'!A:Z,19,FALSE))</f>
        <v>0</v>
      </c>
      <c r="AC1123" s="16">
        <f>IF(ISERROR(VLOOKUP($A1123,'13. Updated Demand'!A:Z,20,FALSE)),0,VLOOKUP($A1123,'13. Updated Demand'!A:Z,20,FALSE))</f>
        <v>24.43</v>
      </c>
      <c r="AD1123" s="16">
        <f>IF(ISERROR(VLOOKUP($A1123,'13. Updated Demand'!A:Z,21,FALSE)),0,VLOOKUP($A1123,'13. Updated Demand'!A:Z,21,FALSE))</f>
        <v>61.46</v>
      </c>
      <c r="AE1123" s="16">
        <f>IF(ISERROR(VLOOKUP($A1123,'13. Updated Demand'!A:Z,22,FALSE)),0,VLOOKUP($A1123,'13. Updated Demand'!A:Z,22,FALSE))</f>
        <v>61.46</v>
      </c>
      <c r="AF1123" s="16">
        <f>IF(ISERROR(VLOOKUP($A1123,'13. Updated Demand'!A:Z,23,FALSE)),0,VLOOKUP($A1123,'13. Updated Demand'!A:Z,23,FALSE))</f>
        <v>59.11</v>
      </c>
      <c r="AG1123" s="16">
        <f>IF(ISERROR(VLOOKUP($A1123,'13. Updated Demand'!A:Z,24,FALSE)),0,VLOOKUP($A1123,'13. Updated Demand'!A:Z,24,FALSE))</f>
        <v>57.03</v>
      </c>
      <c r="AH1123" s="16">
        <f>IF(ISERROR(VLOOKUP($A1123,'13. Updated Demand'!A:Z,25,FALSE)),0,VLOOKUP($A1123,'13. Updated Demand'!A:Z,25,FALSE))</f>
        <v>14.46</v>
      </c>
      <c r="AI1123" s="16">
        <f>IF(ISERROR(VLOOKUP($A1123,'13. Updated Demand'!A:Z,26,FALSE)),0,VLOOKUP($A1123,'13. Updated Demand'!A:Z,26,FALSE))</f>
        <v>5.33</v>
      </c>
      <c r="AJ1123" s="16">
        <f t="shared" si="216"/>
        <v>283.27999999999997</v>
      </c>
      <c r="AK1123" s="19">
        <v>206.4766666666666</v>
      </c>
      <c r="AL1123" s="16">
        <f t="shared" si="214"/>
        <v>0.68485958343077213</v>
      </c>
      <c r="AM1123" s="17">
        <v>0.39130755064456713</v>
      </c>
      <c r="AN1123" s="19"/>
      <c r="AO1123" s="19"/>
      <c r="AP1123" s="19">
        <v>724</v>
      </c>
      <c r="AQ1123" s="19" t="s">
        <v>307</v>
      </c>
      <c r="AR1123" s="9" t="s">
        <v>333</v>
      </c>
      <c r="AS1123" s="12">
        <v>0</v>
      </c>
      <c r="AT1123" s="19">
        <v>39.091099999999997</v>
      </c>
      <c r="AU1123" s="19">
        <v>-123.1786</v>
      </c>
      <c r="AV1123" s="19" t="s">
        <v>387</v>
      </c>
    </row>
    <row r="1124" spans="1:48" x14ac:dyDescent="0.25">
      <c r="A1124" s="18" t="s">
        <v>1513</v>
      </c>
      <c r="B1124" s="10">
        <v>19540317</v>
      </c>
      <c r="C1124" s="9">
        <v>13</v>
      </c>
      <c r="D1124" s="8" t="str">
        <f t="shared" si="205"/>
        <v>N</v>
      </c>
      <c r="E1124" s="8" t="str">
        <f t="shared" si="206"/>
        <v>Y</v>
      </c>
      <c r="F1124" s="8" t="str">
        <f t="shared" si="207"/>
        <v>Y</v>
      </c>
      <c r="G1124" s="8" t="str">
        <f t="shared" si="208"/>
        <v>Y</v>
      </c>
      <c r="H1124" s="8" t="str">
        <f t="shared" si="209"/>
        <v>Upper</v>
      </c>
      <c r="I1124" s="8" t="str">
        <f t="shared" si="210"/>
        <v>West Fork and Below Lake</v>
      </c>
      <c r="J1124" s="8" t="str">
        <f t="shared" si="211"/>
        <v>Sonoma (d/s of Clov. Gage)</v>
      </c>
      <c r="K1124" s="8" t="str">
        <f t="shared" si="212"/>
        <v>Post-1949</v>
      </c>
      <c r="L1124" s="8">
        <f t="shared" si="213"/>
        <v>1954</v>
      </c>
      <c r="M1124" s="8" t="str">
        <f t="shared" si="215"/>
        <v>1953-1954</v>
      </c>
      <c r="N1124" s="10" t="s">
        <v>241</v>
      </c>
      <c r="O1124" s="10" t="s">
        <v>241</v>
      </c>
      <c r="P1124" s="10" t="s">
        <v>242</v>
      </c>
      <c r="Q1124" s="10" t="s">
        <v>242</v>
      </c>
      <c r="R1124" s="10" t="s">
        <v>241</v>
      </c>
      <c r="S1124" s="10" t="s">
        <v>242</v>
      </c>
      <c r="T1124" s="10" t="s">
        <v>242</v>
      </c>
      <c r="U1124" s="10" t="s">
        <v>242</v>
      </c>
      <c r="V1124" s="10" t="s">
        <v>242</v>
      </c>
      <c r="W1124" s="10" t="s">
        <v>242</v>
      </c>
      <c r="X1124" s="15">
        <f>IF(ISERROR(VLOOKUP($A1124,'13. Updated Demand'!A:Z,15,FALSE)),0,VLOOKUP($A1124,'13. Updated Demand'!A:Z,15,FALSE))</f>
        <v>0</v>
      </c>
      <c r="Y1124" s="16">
        <f>IF(ISERROR(VLOOKUP($A1124,'13. Updated Demand'!A:Z,16,FALSE)),0,VLOOKUP($A1124,'13. Updated Demand'!A:Z,16,FALSE))</f>
        <v>0</v>
      </c>
      <c r="Z1124" s="16">
        <f>IF(ISERROR(VLOOKUP($A1124,'13. Updated Demand'!A:Z,17,FALSE)),0,VLOOKUP($A1124,'13. Updated Demand'!A:Z,17,FALSE))</f>
        <v>0</v>
      </c>
      <c r="AA1124" s="16">
        <f>IF(ISERROR(VLOOKUP($A1124,'13. Updated Demand'!A:Z,18,FALSE)),0,VLOOKUP($A1124,'13. Updated Demand'!A:Z,18,FALSE))</f>
        <v>0</v>
      </c>
      <c r="AB1124" s="16">
        <f>IF(ISERROR(VLOOKUP($A1124,'13. Updated Demand'!A:Z,19,FALSE)),0,VLOOKUP($A1124,'13. Updated Demand'!A:Z,19,FALSE))</f>
        <v>0</v>
      </c>
      <c r="AC1124" s="16">
        <f>IF(ISERROR(VLOOKUP($A1124,'13. Updated Demand'!A:Z,20,FALSE)),0,VLOOKUP($A1124,'13. Updated Demand'!A:Z,20,FALSE))</f>
        <v>60</v>
      </c>
      <c r="AD1124" s="16">
        <f>IF(ISERROR(VLOOKUP($A1124,'13. Updated Demand'!A:Z,21,FALSE)),0,VLOOKUP($A1124,'13. Updated Demand'!A:Z,21,FALSE))</f>
        <v>6</v>
      </c>
      <c r="AE1124" s="16">
        <f>IF(ISERROR(VLOOKUP($A1124,'13. Updated Demand'!A:Z,22,FALSE)),0,VLOOKUP($A1124,'13. Updated Demand'!A:Z,22,FALSE))</f>
        <v>0</v>
      </c>
      <c r="AF1124" s="16">
        <f>IF(ISERROR(VLOOKUP($A1124,'13. Updated Demand'!A:Z,23,FALSE)),0,VLOOKUP($A1124,'13. Updated Demand'!A:Z,23,FALSE))</f>
        <v>0</v>
      </c>
      <c r="AG1124" s="16">
        <f>IF(ISERROR(VLOOKUP($A1124,'13. Updated Demand'!A:Z,24,FALSE)),0,VLOOKUP($A1124,'13. Updated Demand'!A:Z,24,FALSE))</f>
        <v>0</v>
      </c>
      <c r="AH1124" s="16">
        <f>IF(ISERROR(VLOOKUP($A1124,'13. Updated Demand'!A:Z,25,FALSE)),0,VLOOKUP($A1124,'13. Updated Demand'!A:Z,25,FALSE))</f>
        <v>0</v>
      </c>
      <c r="AI1124" s="16">
        <f>IF(ISERROR(VLOOKUP($A1124,'13. Updated Demand'!A:Z,26,FALSE)),0,VLOOKUP($A1124,'13. Updated Demand'!A:Z,26,FALSE))</f>
        <v>0</v>
      </c>
      <c r="AJ1124" s="16">
        <f t="shared" si="216"/>
        <v>66</v>
      </c>
      <c r="AK1124" s="19">
        <v>66</v>
      </c>
      <c r="AL1124" s="16">
        <f t="shared" si="214"/>
        <v>0.2189144818935036</v>
      </c>
      <c r="AM1124" s="17">
        <v>0.88</v>
      </c>
      <c r="AN1124" s="19"/>
      <c r="AO1124" s="19"/>
      <c r="AP1124" s="19">
        <v>75</v>
      </c>
      <c r="AQ1124" s="19" t="s">
        <v>307</v>
      </c>
      <c r="AR1124" s="9" t="s">
        <v>507</v>
      </c>
      <c r="AS1124" s="12">
        <v>0</v>
      </c>
      <c r="AT1124" s="19">
        <v>38.499783219999998</v>
      </c>
      <c r="AU1124" s="19">
        <v>-122.99625815</v>
      </c>
      <c r="AV1124" s="19" t="s">
        <v>387</v>
      </c>
    </row>
    <row r="1125" spans="1:48" x14ac:dyDescent="0.25">
      <c r="A1125" s="18" t="s">
        <v>144</v>
      </c>
      <c r="B1125" s="10">
        <v>19541129</v>
      </c>
      <c r="C1125" s="9">
        <v>4</v>
      </c>
      <c r="D1125" s="8" t="str">
        <f t="shared" si="205"/>
        <v>Y</v>
      </c>
      <c r="E1125" s="8" t="str">
        <f t="shared" si="206"/>
        <v>N</v>
      </c>
      <c r="F1125" s="8" t="str">
        <f t="shared" si="207"/>
        <v>Y</v>
      </c>
      <c r="G1125" s="8" t="str">
        <f t="shared" si="208"/>
        <v>Y</v>
      </c>
      <c r="H1125" s="8" t="str">
        <f t="shared" si="209"/>
        <v>Upper</v>
      </c>
      <c r="I1125" s="8" t="str">
        <f t="shared" si="210"/>
        <v>West Fork and Below Lake</v>
      </c>
      <c r="J1125" s="8" t="str">
        <f t="shared" si="211"/>
        <v>Mendocino (d/s of lake)</v>
      </c>
      <c r="K1125" s="8" t="str">
        <f t="shared" si="212"/>
        <v>Post-1949</v>
      </c>
      <c r="L1125" s="8">
        <f t="shared" si="213"/>
        <v>1954</v>
      </c>
      <c r="M1125" s="8" t="str">
        <f t="shared" si="215"/>
        <v>1953-1954</v>
      </c>
      <c r="N1125" s="10" t="s">
        <v>241</v>
      </c>
      <c r="O1125" s="10" t="s">
        <v>241</v>
      </c>
      <c r="P1125" s="10" t="s">
        <v>242</v>
      </c>
      <c r="Q1125" s="10" t="s">
        <v>242</v>
      </c>
      <c r="R1125" s="10" t="s">
        <v>241</v>
      </c>
      <c r="S1125" s="10" t="s">
        <v>242</v>
      </c>
      <c r="T1125" s="10" t="s">
        <v>242</v>
      </c>
      <c r="U1125" s="10" t="s">
        <v>242</v>
      </c>
      <c r="V1125" s="10" t="s">
        <v>242</v>
      </c>
      <c r="W1125" s="10" t="s">
        <v>242</v>
      </c>
      <c r="X1125" s="15">
        <f>IF(ISERROR(VLOOKUP($A1125,'13. Updated Demand'!A:Z,15,FALSE)),0,VLOOKUP($A1125,'13. Updated Demand'!A:Z,15,FALSE))</f>
        <v>0</v>
      </c>
      <c r="Y1125" s="16">
        <f>IF(ISERROR(VLOOKUP($A1125,'13. Updated Demand'!A:Z,16,FALSE)),0,VLOOKUP($A1125,'13. Updated Demand'!A:Z,16,FALSE))</f>
        <v>0</v>
      </c>
      <c r="Z1125" s="16">
        <f>IF(ISERROR(VLOOKUP($A1125,'13. Updated Demand'!A:Z,17,FALSE)),0,VLOOKUP($A1125,'13. Updated Demand'!A:Z,17,FALSE))</f>
        <v>0</v>
      </c>
      <c r="AA1125" s="16">
        <f>IF(ISERROR(VLOOKUP($A1125,'13. Updated Demand'!A:Z,18,FALSE)),0,VLOOKUP($A1125,'13. Updated Demand'!A:Z,18,FALSE))</f>
        <v>0</v>
      </c>
      <c r="AB1125" s="16">
        <f>IF(ISERROR(VLOOKUP($A1125,'13. Updated Demand'!A:Z,19,FALSE)),0,VLOOKUP($A1125,'13. Updated Demand'!A:Z,19,FALSE))</f>
        <v>1.66</v>
      </c>
      <c r="AC1125" s="16">
        <f>IF(ISERROR(VLOOKUP($A1125,'13. Updated Demand'!A:Z,20,FALSE)),0,VLOOKUP($A1125,'13. Updated Demand'!A:Z,20,FALSE))</f>
        <v>7.23</v>
      </c>
      <c r="AD1125" s="16">
        <f>IF(ISERROR(VLOOKUP($A1125,'13. Updated Demand'!A:Z,21,FALSE)),0,VLOOKUP($A1125,'13. Updated Demand'!A:Z,21,FALSE))</f>
        <v>9.2799999999999994</v>
      </c>
      <c r="AE1125" s="16">
        <f>IF(ISERROR(VLOOKUP($A1125,'13. Updated Demand'!A:Z,22,FALSE)),0,VLOOKUP($A1125,'13. Updated Demand'!A:Z,22,FALSE))</f>
        <v>6.83</v>
      </c>
      <c r="AF1125" s="16">
        <f>IF(ISERROR(VLOOKUP($A1125,'13. Updated Demand'!A:Z,23,FALSE)),0,VLOOKUP($A1125,'13. Updated Demand'!A:Z,23,FALSE))</f>
        <v>4.7300000000000004</v>
      </c>
      <c r="AG1125" s="16">
        <f>IF(ISERROR(VLOOKUP($A1125,'13. Updated Demand'!A:Z,24,FALSE)),0,VLOOKUP($A1125,'13. Updated Demand'!A:Z,24,FALSE))</f>
        <v>0</v>
      </c>
      <c r="AH1125" s="16">
        <f>IF(ISERROR(VLOOKUP($A1125,'13. Updated Demand'!A:Z,25,FALSE)),0,VLOOKUP($A1125,'13. Updated Demand'!A:Z,25,FALSE))</f>
        <v>0</v>
      </c>
      <c r="AI1125" s="16">
        <f>IF(ISERROR(VLOOKUP($A1125,'13. Updated Demand'!A:Z,26,FALSE)),0,VLOOKUP($A1125,'13. Updated Demand'!A:Z,26,FALSE))</f>
        <v>0</v>
      </c>
      <c r="AJ1125" s="16">
        <f t="shared" si="216"/>
        <v>29.73</v>
      </c>
      <c r="AK1125" s="19">
        <v>29.749999999999989</v>
      </c>
      <c r="AL1125" s="16">
        <f t="shared" si="214"/>
        <v>9.8677361156541354E-2</v>
      </c>
      <c r="AM1125" s="17">
        <v>0.29223968565815317</v>
      </c>
      <c r="AN1125" s="19"/>
      <c r="AO1125" s="19"/>
      <c r="AP1125" s="19">
        <v>101.8</v>
      </c>
      <c r="AQ1125" s="19" t="s">
        <v>307</v>
      </c>
      <c r="AR1125" s="9" t="s">
        <v>331</v>
      </c>
      <c r="AS1125" s="12">
        <v>0</v>
      </c>
      <c r="AT1125" s="19">
        <v>39.132292380000003</v>
      </c>
      <c r="AU1125" s="19">
        <v>-123.18989877999999</v>
      </c>
      <c r="AV1125" s="19" t="s">
        <v>387</v>
      </c>
    </row>
    <row r="1126" spans="1:48" x14ac:dyDescent="0.25">
      <c r="A1126" s="18" t="s">
        <v>1514</v>
      </c>
      <c r="B1126" s="10">
        <v>19540317</v>
      </c>
      <c r="C1126" s="9">
        <v>5</v>
      </c>
      <c r="D1126" s="8" t="str">
        <f t="shared" si="205"/>
        <v>Y</v>
      </c>
      <c r="E1126" s="8" t="str">
        <f t="shared" si="206"/>
        <v>N</v>
      </c>
      <c r="F1126" s="8" t="str">
        <f t="shared" si="207"/>
        <v>Y</v>
      </c>
      <c r="G1126" s="8" t="str">
        <f t="shared" si="208"/>
        <v>Y</v>
      </c>
      <c r="H1126" s="8" t="str">
        <f t="shared" si="209"/>
        <v>Upper</v>
      </c>
      <c r="I1126" s="8" t="str">
        <f t="shared" si="210"/>
        <v>West Fork and Below Lake</v>
      </c>
      <c r="J1126" s="8" t="str">
        <f t="shared" si="211"/>
        <v>Mendocino (d/s of lake)</v>
      </c>
      <c r="K1126" s="8" t="str">
        <f t="shared" si="212"/>
        <v>Post-1949</v>
      </c>
      <c r="L1126" s="8">
        <f t="shared" si="213"/>
        <v>1954</v>
      </c>
      <c r="M1126" s="8" t="str">
        <f t="shared" si="215"/>
        <v>1953-1954</v>
      </c>
      <c r="N1126" s="10" t="s">
        <v>241</v>
      </c>
      <c r="O1126" s="10" t="s">
        <v>241</v>
      </c>
      <c r="P1126" s="10" t="s">
        <v>242</v>
      </c>
      <c r="Q1126" s="10" t="s">
        <v>242</v>
      </c>
      <c r="R1126" s="10" t="s">
        <v>241</v>
      </c>
      <c r="S1126" s="10" t="s">
        <v>242</v>
      </c>
      <c r="T1126" s="10" t="s">
        <v>242</v>
      </c>
      <c r="U1126" s="10" t="s">
        <v>242</v>
      </c>
      <c r="V1126" s="10" t="s">
        <v>242</v>
      </c>
      <c r="W1126" s="10" t="s">
        <v>242</v>
      </c>
      <c r="X1126" s="15">
        <f>IF(ISERROR(VLOOKUP($A1126,'13. Updated Demand'!A:Z,15,FALSE)),0,VLOOKUP($A1126,'13. Updated Demand'!A:Z,15,FALSE))</f>
        <v>0</v>
      </c>
      <c r="Y1126" s="16">
        <f>IF(ISERROR(VLOOKUP($A1126,'13. Updated Demand'!A:Z,16,FALSE)),0,VLOOKUP($A1126,'13. Updated Demand'!A:Z,16,FALSE))</f>
        <v>0</v>
      </c>
      <c r="Z1126" s="16">
        <f>IF(ISERROR(VLOOKUP($A1126,'13. Updated Demand'!A:Z,17,FALSE)),0,VLOOKUP($A1126,'13. Updated Demand'!A:Z,17,FALSE))</f>
        <v>0</v>
      </c>
      <c r="AA1126" s="16">
        <f>IF(ISERROR(VLOOKUP($A1126,'13. Updated Demand'!A:Z,18,FALSE)),0,VLOOKUP($A1126,'13. Updated Demand'!A:Z,18,FALSE))</f>
        <v>0</v>
      </c>
      <c r="AB1126" s="16">
        <f>IF(ISERROR(VLOOKUP($A1126,'13. Updated Demand'!A:Z,19,FALSE)),0,VLOOKUP($A1126,'13. Updated Demand'!A:Z,19,FALSE))</f>
        <v>2.33</v>
      </c>
      <c r="AC1126" s="16">
        <f>IF(ISERROR(VLOOKUP($A1126,'13. Updated Demand'!A:Z,20,FALSE)),0,VLOOKUP($A1126,'13. Updated Demand'!A:Z,20,FALSE))</f>
        <v>5.66</v>
      </c>
      <c r="AD1126" s="16">
        <f>IF(ISERROR(VLOOKUP($A1126,'13. Updated Demand'!A:Z,21,FALSE)),0,VLOOKUP($A1126,'13. Updated Demand'!A:Z,21,FALSE))</f>
        <v>6.33</v>
      </c>
      <c r="AE1126" s="16">
        <f>IF(ISERROR(VLOOKUP($A1126,'13. Updated Demand'!A:Z,22,FALSE)),0,VLOOKUP($A1126,'13. Updated Demand'!A:Z,22,FALSE))</f>
        <v>5</v>
      </c>
      <c r="AF1126" s="16">
        <f>IF(ISERROR(VLOOKUP($A1126,'13. Updated Demand'!A:Z,23,FALSE)),0,VLOOKUP($A1126,'13. Updated Demand'!A:Z,23,FALSE))</f>
        <v>2.33</v>
      </c>
      <c r="AG1126" s="16">
        <f>IF(ISERROR(VLOOKUP($A1126,'13. Updated Demand'!A:Z,24,FALSE)),0,VLOOKUP($A1126,'13. Updated Demand'!A:Z,24,FALSE))</f>
        <v>0</v>
      </c>
      <c r="AH1126" s="16">
        <f>IF(ISERROR(VLOOKUP($A1126,'13. Updated Demand'!A:Z,25,FALSE)),0,VLOOKUP($A1126,'13. Updated Demand'!A:Z,25,FALSE))</f>
        <v>0</v>
      </c>
      <c r="AI1126" s="16">
        <f>IF(ISERROR(VLOOKUP($A1126,'13. Updated Demand'!A:Z,26,FALSE)),0,VLOOKUP($A1126,'13. Updated Demand'!A:Z,26,FALSE))</f>
        <v>0</v>
      </c>
      <c r="AJ1126" s="16">
        <f t="shared" si="216"/>
        <v>21.65</v>
      </c>
      <c r="AK1126" s="19">
        <v>21.666666666666657</v>
      </c>
      <c r="AL1126" s="16">
        <f t="shared" si="214"/>
        <v>7.1865865268069332E-2</v>
      </c>
      <c r="AM1126" s="17">
        <v>6.7100237431609353E-2</v>
      </c>
      <c r="AN1126" s="19"/>
      <c r="AO1126" s="19"/>
      <c r="AP1126" s="19">
        <v>322.89999999999998</v>
      </c>
      <c r="AQ1126" s="19" t="s">
        <v>307</v>
      </c>
      <c r="AR1126" s="9" t="s">
        <v>333</v>
      </c>
      <c r="AS1126" s="12">
        <v>0</v>
      </c>
      <c r="AT1126" s="19">
        <v>39.117144359999998</v>
      </c>
      <c r="AU1126" s="19">
        <v>-123.18083192</v>
      </c>
      <c r="AV1126" s="19" t="s">
        <v>548</v>
      </c>
    </row>
    <row r="1127" spans="1:48" x14ac:dyDescent="0.25">
      <c r="A1127" s="18" t="s">
        <v>1515</v>
      </c>
      <c r="B1127" s="10">
        <v>19540216</v>
      </c>
      <c r="C1127" s="9">
        <v>12</v>
      </c>
      <c r="D1127" s="8" t="str">
        <f t="shared" si="205"/>
        <v>N</v>
      </c>
      <c r="E1127" s="8" t="str">
        <f t="shared" si="206"/>
        <v>Y</v>
      </c>
      <c r="F1127" s="8" t="str">
        <f t="shared" si="207"/>
        <v>Y</v>
      </c>
      <c r="G1127" s="8" t="str">
        <f t="shared" si="208"/>
        <v>Y</v>
      </c>
      <c r="H1127" s="8" t="str">
        <f t="shared" si="209"/>
        <v>Upper</v>
      </c>
      <c r="I1127" s="8" t="str">
        <f t="shared" si="210"/>
        <v>West Fork and Below Lake</v>
      </c>
      <c r="J1127" s="8" t="str">
        <f t="shared" si="211"/>
        <v>Sonoma (d/s of Clov. Gage)</v>
      </c>
      <c r="K1127" s="8" t="str">
        <f t="shared" si="212"/>
        <v>Post-1949</v>
      </c>
      <c r="L1127" s="8">
        <f t="shared" si="213"/>
        <v>1954</v>
      </c>
      <c r="M1127" s="8" t="str">
        <f t="shared" si="215"/>
        <v>1953-1954</v>
      </c>
      <c r="N1127" s="10" t="s">
        <v>241</v>
      </c>
      <c r="O1127" s="10" t="s">
        <v>241</v>
      </c>
      <c r="P1127" s="10" t="s">
        <v>242</v>
      </c>
      <c r="Q1127" s="10" t="s">
        <v>242</v>
      </c>
      <c r="R1127" s="10" t="s">
        <v>241</v>
      </c>
      <c r="S1127" s="10" t="s">
        <v>242</v>
      </c>
      <c r="T1127" s="10" t="s">
        <v>242</v>
      </c>
      <c r="U1127" s="10" t="s">
        <v>242</v>
      </c>
      <c r="V1127" s="10" t="s">
        <v>242</v>
      </c>
      <c r="W1127" s="10" t="s">
        <v>242</v>
      </c>
      <c r="X1127" s="15">
        <f>IF(ISERROR(VLOOKUP($A1127,'13. Updated Demand'!A:Z,15,FALSE)),0,VLOOKUP($A1127,'13. Updated Demand'!A:Z,15,FALSE))</f>
        <v>0</v>
      </c>
      <c r="Y1127" s="16">
        <f>IF(ISERROR(VLOOKUP($A1127,'13. Updated Demand'!A:Z,16,FALSE)),0,VLOOKUP($A1127,'13. Updated Demand'!A:Z,16,FALSE))</f>
        <v>0</v>
      </c>
      <c r="Z1127" s="16">
        <f>IF(ISERROR(VLOOKUP($A1127,'13. Updated Demand'!A:Z,17,FALSE)),0,VLOOKUP($A1127,'13. Updated Demand'!A:Z,17,FALSE))</f>
        <v>0</v>
      </c>
      <c r="AA1127" s="16">
        <f>IF(ISERROR(VLOOKUP($A1127,'13. Updated Demand'!A:Z,18,FALSE)),0,VLOOKUP($A1127,'13. Updated Demand'!A:Z,18,FALSE))</f>
        <v>2</v>
      </c>
      <c r="AB1127" s="16">
        <f>IF(ISERROR(VLOOKUP($A1127,'13. Updated Demand'!A:Z,19,FALSE)),0,VLOOKUP($A1127,'13. Updated Demand'!A:Z,19,FALSE))</f>
        <v>2</v>
      </c>
      <c r="AC1127" s="16">
        <f>IF(ISERROR(VLOOKUP($A1127,'13. Updated Demand'!A:Z,20,FALSE)),0,VLOOKUP($A1127,'13. Updated Demand'!A:Z,20,FALSE))</f>
        <v>2.66</v>
      </c>
      <c r="AD1127" s="16">
        <f>IF(ISERROR(VLOOKUP($A1127,'13. Updated Demand'!A:Z,21,FALSE)),0,VLOOKUP($A1127,'13. Updated Demand'!A:Z,21,FALSE))</f>
        <v>3.4</v>
      </c>
      <c r="AE1127" s="16">
        <f>IF(ISERROR(VLOOKUP($A1127,'13. Updated Demand'!A:Z,22,FALSE)),0,VLOOKUP($A1127,'13. Updated Demand'!A:Z,22,FALSE))</f>
        <v>3.56</v>
      </c>
      <c r="AF1127" s="16">
        <f>IF(ISERROR(VLOOKUP($A1127,'13. Updated Demand'!A:Z,23,FALSE)),0,VLOOKUP($A1127,'13. Updated Demand'!A:Z,23,FALSE))</f>
        <v>2</v>
      </c>
      <c r="AG1127" s="16">
        <f>IF(ISERROR(VLOOKUP($A1127,'13. Updated Demand'!A:Z,24,FALSE)),0,VLOOKUP($A1127,'13. Updated Demand'!A:Z,24,FALSE))</f>
        <v>1.66</v>
      </c>
      <c r="AH1127" s="16">
        <f>IF(ISERROR(VLOOKUP($A1127,'13. Updated Demand'!A:Z,25,FALSE)),0,VLOOKUP($A1127,'13. Updated Demand'!A:Z,25,FALSE))</f>
        <v>1.1599999999999999</v>
      </c>
      <c r="AI1127" s="16">
        <f>IF(ISERROR(VLOOKUP($A1127,'13. Updated Demand'!A:Z,26,FALSE)),0,VLOOKUP($A1127,'13. Updated Demand'!A:Z,26,FALSE))</f>
        <v>0.8</v>
      </c>
      <c r="AJ1127" s="16">
        <f t="shared" si="216"/>
        <v>19.240000000000002</v>
      </c>
      <c r="AK1127" s="19">
        <v>13.63333333333334</v>
      </c>
      <c r="AL1127" s="16">
        <f t="shared" si="214"/>
        <v>4.5220213684062129E-2</v>
      </c>
      <c r="AM1127" s="17">
        <v>0.99312714776632394</v>
      </c>
      <c r="AN1127" s="19"/>
      <c r="AO1127" s="19"/>
      <c r="AP1127" s="19">
        <v>19.399999999999999</v>
      </c>
      <c r="AQ1127" s="19" t="s">
        <v>307</v>
      </c>
      <c r="AR1127" s="9" t="s">
        <v>311</v>
      </c>
      <c r="AS1127" s="12">
        <v>3.4039024194010059E-4</v>
      </c>
      <c r="AT1127" s="19">
        <v>38.658522009999999</v>
      </c>
      <c r="AU1127" s="19">
        <v>-122.80625274000001</v>
      </c>
      <c r="AV1127" s="19" t="s">
        <v>548</v>
      </c>
    </row>
    <row r="1128" spans="1:48" x14ac:dyDescent="0.25">
      <c r="A1128" s="18" t="s">
        <v>1516</v>
      </c>
      <c r="B1128" s="10">
        <v>19540317</v>
      </c>
      <c r="C1128" s="9">
        <v>5</v>
      </c>
      <c r="D1128" s="8" t="str">
        <f t="shared" si="205"/>
        <v>Y</v>
      </c>
      <c r="E1128" s="8" t="str">
        <f t="shared" si="206"/>
        <v>N</v>
      </c>
      <c r="F1128" s="8" t="str">
        <f t="shared" si="207"/>
        <v>Y</v>
      </c>
      <c r="G1128" s="8" t="str">
        <f t="shared" si="208"/>
        <v>Y</v>
      </c>
      <c r="H1128" s="8" t="str">
        <f t="shared" si="209"/>
        <v>Upper</v>
      </c>
      <c r="I1128" s="8" t="str">
        <f t="shared" si="210"/>
        <v>West Fork and Below Lake</v>
      </c>
      <c r="J1128" s="8" t="str">
        <f t="shared" si="211"/>
        <v>Mendocino (d/s of lake)</v>
      </c>
      <c r="K1128" s="8" t="str">
        <f t="shared" si="212"/>
        <v>Post-1949</v>
      </c>
      <c r="L1128" s="8">
        <f t="shared" si="213"/>
        <v>1954</v>
      </c>
      <c r="M1128" s="8" t="str">
        <f t="shared" si="215"/>
        <v>1953-1954</v>
      </c>
      <c r="N1128" s="10" t="s">
        <v>241</v>
      </c>
      <c r="O1128" s="10" t="s">
        <v>241</v>
      </c>
      <c r="P1128" s="10" t="s">
        <v>242</v>
      </c>
      <c r="Q1128" s="10" t="s">
        <v>242</v>
      </c>
      <c r="R1128" s="10" t="s">
        <v>241</v>
      </c>
      <c r="S1128" s="10" t="s">
        <v>242</v>
      </c>
      <c r="T1128" s="10" t="s">
        <v>242</v>
      </c>
      <c r="U1128" s="10" t="s">
        <v>242</v>
      </c>
      <c r="V1128" s="10" t="s">
        <v>242</v>
      </c>
      <c r="W1128" s="10" t="s">
        <v>242</v>
      </c>
      <c r="X1128" s="15">
        <f>IF(ISERROR(VLOOKUP($A1128,'13. Updated Demand'!A:Z,15,FALSE)),0,VLOOKUP($A1128,'13. Updated Demand'!A:Z,15,FALSE))</f>
        <v>0</v>
      </c>
      <c r="Y1128" s="16">
        <f>IF(ISERROR(VLOOKUP($A1128,'13. Updated Demand'!A:Z,16,FALSE)),0,VLOOKUP($A1128,'13. Updated Demand'!A:Z,16,FALSE))</f>
        <v>0</v>
      </c>
      <c r="Z1128" s="16">
        <f>IF(ISERROR(VLOOKUP($A1128,'13. Updated Demand'!A:Z,17,FALSE)),0,VLOOKUP($A1128,'13. Updated Demand'!A:Z,17,FALSE))</f>
        <v>0</v>
      </c>
      <c r="AA1128" s="16">
        <f>IF(ISERROR(VLOOKUP($A1128,'13. Updated Demand'!A:Z,18,FALSE)),0,VLOOKUP($A1128,'13. Updated Demand'!A:Z,18,FALSE))</f>
        <v>0</v>
      </c>
      <c r="AB1128" s="16">
        <f>IF(ISERROR(VLOOKUP($A1128,'13. Updated Demand'!A:Z,19,FALSE)),0,VLOOKUP($A1128,'13. Updated Demand'!A:Z,19,FALSE))</f>
        <v>0</v>
      </c>
      <c r="AC1128" s="16">
        <f>IF(ISERROR(VLOOKUP($A1128,'13. Updated Demand'!A:Z,20,FALSE)),0,VLOOKUP($A1128,'13. Updated Demand'!A:Z,20,FALSE))</f>
        <v>0</v>
      </c>
      <c r="AD1128" s="16">
        <f>IF(ISERROR(VLOOKUP($A1128,'13. Updated Demand'!A:Z,21,FALSE)),0,VLOOKUP($A1128,'13. Updated Demand'!A:Z,21,FALSE))</f>
        <v>3.18</v>
      </c>
      <c r="AE1128" s="16">
        <f>IF(ISERROR(VLOOKUP($A1128,'13. Updated Demand'!A:Z,22,FALSE)),0,VLOOKUP($A1128,'13. Updated Demand'!A:Z,22,FALSE))</f>
        <v>2.65</v>
      </c>
      <c r="AF1128" s="16">
        <f>IF(ISERROR(VLOOKUP($A1128,'13. Updated Demand'!A:Z,23,FALSE)),0,VLOOKUP($A1128,'13. Updated Demand'!A:Z,23,FALSE))</f>
        <v>6.07</v>
      </c>
      <c r="AG1128" s="16">
        <f>IF(ISERROR(VLOOKUP($A1128,'13. Updated Demand'!A:Z,24,FALSE)),0,VLOOKUP($A1128,'13. Updated Demand'!A:Z,24,FALSE))</f>
        <v>6.04</v>
      </c>
      <c r="AH1128" s="16">
        <f>IF(ISERROR(VLOOKUP($A1128,'13. Updated Demand'!A:Z,25,FALSE)),0,VLOOKUP($A1128,'13. Updated Demand'!A:Z,25,FALSE))</f>
        <v>0.63</v>
      </c>
      <c r="AI1128" s="16">
        <f>IF(ISERROR(VLOOKUP($A1128,'13. Updated Demand'!A:Z,26,FALSE)),0,VLOOKUP($A1128,'13. Updated Demand'!A:Z,26,FALSE))</f>
        <v>0</v>
      </c>
      <c r="AJ1128" s="16">
        <f t="shared" si="216"/>
        <v>18.57</v>
      </c>
      <c r="AK1128" s="19">
        <v>11.91666666666667</v>
      </c>
      <c r="AL1128" s="16">
        <f t="shared" si="214"/>
        <v>3.9526225897438164E-2</v>
      </c>
      <c r="AM1128" s="17">
        <v>0.33196428571428577</v>
      </c>
      <c r="AN1128" s="19"/>
      <c r="AO1128" s="19"/>
      <c r="AP1128" s="19">
        <v>56</v>
      </c>
      <c r="AQ1128" s="19" t="s">
        <v>307</v>
      </c>
      <c r="AR1128" s="9" t="s">
        <v>333</v>
      </c>
      <c r="AS1128" s="12">
        <v>0</v>
      </c>
      <c r="AT1128" s="19">
        <v>39.038471919999999</v>
      </c>
      <c r="AU1128" s="19">
        <v>-123.12729433</v>
      </c>
      <c r="AV1128" s="19" t="s">
        <v>387</v>
      </c>
    </row>
    <row r="1129" spans="1:48" x14ac:dyDescent="0.25">
      <c r="A1129" s="18" t="s">
        <v>1517</v>
      </c>
      <c r="B1129" s="10">
        <v>19541008</v>
      </c>
      <c r="C1129" s="9">
        <v>2</v>
      </c>
      <c r="D1129" s="8" t="str">
        <f t="shared" si="205"/>
        <v>N</v>
      </c>
      <c r="E1129" s="8" t="str">
        <f t="shared" si="206"/>
        <v>N</v>
      </c>
      <c r="F1129" s="8" t="str">
        <f t="shared" si="207"/>
        <v>Y</v>
      </c>
      <c r="G1129" s="8" t="str">
        <f t="shared" si="208"/>
        <v>N</v>
      </c>
      <c r="H1129" s="8" t="str">
        <f t="shared" si="209"/>
        <v>Upper</v>
      </c>
      <c r="I1129" s="8" t="str">
        <f t="shared" si="210"/>
        <v>Outside</v>
      </c>
      <c r="J1129" s="8" t="str">
        <f t="shared" si="211"/>
        <v>Outside</v>
      </c>
      <c r="K1129" s="8" t="str">
        <f t="shared" si="212"/>
        <v>Post-1949</v>
      </c>
      <c r="L1129" s="8">
        <f t="shared" si="213"/>
        <v>1954</v>
      </c>
      <c r="M1129" s="8" t="str">
        <f t="shared" si="215"/>
        <v>1953-1954</v>
      </c>
      <c r="N1129" s="10" t="s">
        <v>242</v>
      </c>
      <c r="O1129" s="10" t="s">
        <v>241</v>
      </c>
      <c r="P1129" s="10" t="s">
        <v>242</v>
      </c>
      <c r="Q1129" s="10" t="s">
        <v>242</v>
      </c>
      <c r="R1129" s="10" t="s">
        <v>241</v>
      </c>
      <c r="S1129" s="10" t="s">
        <v>242</v>
      </c>
      <c r="T1129" s="10" t="s">
        <v>242</v>
      </c>
      <c r="U1129" s="10" t="s">
        <v>242</v>
      </c>
      <c r="V1129" s="10" t="s">
        <v>242</v>
      </c>
      <c r="W1129" s="10" t="s">
        <v>242</v>
      </c>
      <c r="X1129" s="15">
        <f>IF(ISERROR(VLOOKUP($A1129,'13. Updated Demand'!A:Z,15,FALSE)),0,VLOOKUP($A1129,'13. Updated Demand'!A:Z,15,FALSE))</f>
        <v>14.9</v>
      </c>
      <c r="Y1129" s="16">
        <f>IF(ISERROR(VLOOKUP($A1129,'13. Updated Demand'!A:Z,16,FALSE)),0,VLOOKUP($A1129,'13. Updated Demand'!A:Z,16,FALSE))</f>
        <v>14.9</v>
      </c>
      <c r="Z1129" s="16">
        <f>IF(ISERROR(VLOOKUP($A1129,'13. Updated Demand'!A:Z,17,FALSE)),0,VLOOKUP($A1129,'13. Updated Demand'!A:Z,17,FALSE))</f>
        <v>14.9</v>
      </c>
      <c r="AA1129" s="16">
        <f>IF(ISERROR(VLOOKUP($A1129,'13. Updated Demand'!A:Z,18,FALSE)),0,VLOOKUP($A1129,'13. Updated Demand'!A:Z,18,FALSE))</f>
        <v>14.9</v>
      </c>
      <c r="AB1129" s="16">
        <f>IF(ISERROR(VLOOKUP($A1129,'13. Updated Demand'!A:Z,19,FALSE)),0,VLOOKUP($A1129,'13. Updated Demand'!A:Z,19,FALSE))</f>
        <v>9.93</v>
      </c>
      <c r="AC1129" s="16">
        <f>IF(ISERROR(VLOOKUP($A1129,'13. Updated Demand'!A:Z,20,FALSE)),0,VLOOKUP($A1129,'13. Updated Demand'!A:Z,20,FALSE))</f>
        <v>0</v>
      </c>
      <c r="AD1129" s="16">
        <f>IF(ISERROR(VLOOKUP($A1129,'13. Updated Demand'!A:Z,21,FALSE)),0,VLOOKUP($A1129,'13. Updated Demand'!A:Z,21,FALSE))</f>
        <v>0</v>
      </c>
      <c r="AE1129" s="16">
        <f>IF(ISERROR(VLOOKUP($A1129,'13. Updated Demand'!A:Z,22,FALSE)),0,VLOOKUP($A1129,'13. Updated Demand'!A:Z,22,FALSE))</f>
        <v>0</v>
      </c>
      <c r="AF1129" s="16">
        <f>IF(ISERROR(VLOOKUP($A1129,'13. Updated Demand'!A:Z,23,FALSE)),0,VLOOKUP($A1129,'13. Updated Demand'!A:Z,23,FALSE))</f>
        <v>0</v>
      </c>
      <c r="AG1129" s="16">
        <f>IF(ISERROR(VLOOKUP($A1129,'13. Updated Demand'!A:Z,24,FALSE)),0,VLOOKUP($A1129,'13. Updated Demand'!A:Z,24,FALSE))</f>
        <v>0</v>
      </c>
      <c r="AH1129" s="16">
        <f>IF(ISERROR(VLOOKUP($A1129,'13. Updated Demand'!A:Z,25,FALSE)),0,VLOOKUP($A1129,'13. Updated Demand'!A:Z,25,FALSE))</f>
        <v>9.93</v>
      </c>
      <c r="AI1129" s="16">
        <f>IF(ISERROR(VLOOKUP($A1129,'13. Updated Demand'!A:Z,26,FALSE)),0,VLOOKUP($A1129,'13. Updated Demand'!A:Z,26,FALSE))</f>
        <v>14.9</v>
      </c>
      <c r="AJ1129" s="16">
        <f t="shared" si="216"/>
        <v>94.360000000000014</v>
      </c>
      <c r="AK1129" s="19">
        <v>9.93333333333333</v>
      </c>
      <c r="AL1129" s="16">
        <f t="shared" si="214"/>
        <v>3.2947735153668715E-2</v>
      </c>
      <c r="AM1129" s="17">
        <v>1.0531994047619049</v>
      </c>
      <c r="AN1129" s="19"/>
      <c r="AO1129" s="19"/>
      <c r="AP1129" s="19">
        <v>89.6</v>
      </c>
      <c r="AQ1129" s="19" t="s">
        <v>307</v>
      </c>
      <c r="AR1129" s="9" t="s">
        <v>348</v>
      </c>
      <c r="AS1129" s="12">
        <v>0</v>
      </c>
      <c r="AT1129" s="19">
        <v>39.308598740000001</v>
      </c>
      <c r="AU1129" s="19">
        <v>-123.13242753</v>
      </c>
      <c r="AV1129" s="19" t="s">
        <v>1482</v>
      </c>
    </row>
    <row r="1130" spans="1:48" x14ac:dyDescent="0.25">
      <c r="A1130" s="18" t="s">
        <v>1518</v>
      </c>
      <c r="B1130" s="10">
        <v>19540305</v>
      </c>
      <c r="C1130" s="9">
        <v>16</v>
      </c>
      <c r="D1130" s="8" t="str">
        <f t="shared" si="205"/>
        <v>N</v>
      </c>
      <c r="E1130" s="8" t="str">
        <f t="shared" si="206"/>
        <v>N</v>
      </c>
      <c r="F1130" s="8" t="str">
        <f t="shared" si="207"/>
        <v>N</v>
      </c>
      <c r="G1130" s="8" t="str">
        <f t="shared" si="208"/>
        <v>N</v>
      </c>
      <c r="H1130" s="8" t="str">
        <f t="shared" si="209"/>
        <v>Lower</v>
      </c>
      <c r="I1130" s="8" t="str">
        <f t="shared" si="210"/>
        <v>Outside</v>
      </c>
      <c r="J1130" s="8" t="str">
        <f t="shared" si="211"/>
        <v>Outside</v>
      </c>
      <c r="K1130" s="8" t="str">
        <f t="shared" si="212"/>
        <v>Post-1949</v>
      </c>
      <c r="L1130" s="8">
        <f t="shared" si="213"/>
        <v>1954</v>
      </c>
      <c r="M1130" s="8" t="str">
        <f t="shared" si="215"/>
        <v>1953-1954</v>
      </c>
      <c r="N1130" s="10" t="s">
        <v>242</v>
      </c>
      <c r="O1130" s="10" t="s">
        <v>242</v>
      </c>
      <c r="P1130" s="10" t="s">
        <v>242</v>
      </c>
      <c r="Q1130" s="10" t="s">
        <v>242</v>
      </c>
      <c r="R1130" s="10" t="s">
        <v>241</v>
      </c>
      <c r="S1130" s="10" t="s">
        <v>242</v>
      </c>
      <c r="T1130" s="10" t="s">
        <v>242</v>
      </c>
      <c r="U1130" s="10" t="s">
        <v>242</v>
      </c>
      <c r="V1130" s="10" t="s">
        <v>242</v>
      </c>
      <c r="W1130" s="10" t="s">
        <v>242</v>
      </c>
      <c r="X1130" s="15">
        <f>IF(ISERROR(VLOOKUP($A1130,'13. Updated Demand'!A:Z,15,FALSE)),0,VLOOKUP($A1130,'13. Updated Demand'!A:Z,15,FALSE))</f>
        <v>0</v>
      </c>
      <c r="Y1130" s="16">
        <f>IF(ISERROR(VLOOKUP($A1130,'13. Updated Demand'!A:Z,16,FALSE)),0,VLOOKUP($A1130,'13. Updated Demand'!A:Z,16,FALSE))</f>
        <v>5.333333E-3</v>
      </c>
      <c r="Z1130" s="16">
        <f>IF(ISERROR(VLOOKUP($A1130,'13. Updated Demand'!A:Z,17,FALSE)),0,VLOOKUP($A1130,'13. Updated Demand'!A:Z,17,FALSE))</f>
        <v>0</v>
      </c>
      <c r="AA1130" s="16">
        <f>IF(ISERROR(VLOOKUP($A1130,'13. Updated Demand'!A:Z,18,FALSE)),0,VLOOKUP($A1130,'13. Updated Demand'!A:Z,18,FALSE))</f>
        <v>0</v>
      </c>
      <c r="AB1130" s="16">
        <f>IF(ISERROR(VLOOKUP($A1130,'13. Updated Demand'!A:Z,19,FALSE)),0,VLOOKUP($A1130,'13. Updated Demand'!A:Z,19,FALSE))</f>
        <v>0.43333333299999999</v>
      </c>
      <c r="AC1130" s="16">
        <f>IF(ISERROR(VLOOKUP($A1130,'13. Updated Demand'!A:Z,20,FALSE)),0,VLOOKUP($A1130,'13. Updated Demand'!A:Z,20,FALSE))</f>
        <v>0.75</v>
      </c>
      <c r="AD1130" s="16">
        <f>IF(ISERROR(VLOOKUP($A1130,'13. Updated Demand'!A:Z,21,FALSE)),0,VLOOKUP($A1130,'13. Updated Demand'!A:Z,21,FALSE))</f>
        <v>1.311116333</v>
      </c>
      <c r="AE1130" s="16">
        <f>IF(ISERROR(VLOOKUP($A1130,'13. Updated Demand'!A:Z,22,FALSE)),0,VLOOKUP($A1130,'13. Updated Demand'!A:Z,22,FALSE))</f>
        <v>1.7787790000000001</v>
      </c>
      <c r="AF1130" s="16">
        <f>IF(ISERROR(VLOOKUP($A1130,'13. Updated Demand'!A:Z,23,FALSE)),0,VLOOKUP($A1130,'13. Updated Demand'!A:Z,23,FALSE))</f>
        <v>2.0267653330000002</v>
      </c>
      <c r="AG1130" s="16">
        <f>IF(ISERROR(VLOOKUP($A1130,'13. Updated Demand'!A:Z,24,FALSE)),0,VLOOKUP($A1130,'13. Updated Demand'!A:Z,24,FALSE))</f>
        <v>0.124493333</v>
      </c>
      <c r="AH1130" s="16">
        <f>IF(ISERROR(VLOOKUP($A1130,'13. Updated Demand'!A:Z,25,FALSE)),0,VLOOKUP($A1130,'13. Updated Demand'!A:Z,25,FALSE))</f>
        <v>0</v>
      </c>
      <c r="AI1130" s="16">
        <f>IF(ISERROR(VLOOKUP($A1130,'13. Updated Demand'!A:Z,26,FALSE)),0,VLOOKUP($A1130,'13. Updated Demand'!A:Z,26,FALSE))</f>
        <v>0</v>
      </c>
      <c r="AJ1130" s="16">
        <f t="shared" si="216"/>
        <v>6.4298206650000003</v>
      </c>
      <c r="AK1130" s="19">
        <v>6.2999939989999998</v>
      </c>
      <c r="AL1130" s="16">
        <f t="shared" si="214"/>
        <v>2.0896362457928284E-2</v>
      </c>
      <c r="AM1130" s="17">
        <v>9.4278895381231673E-2</v>
      </c>
      <c r="AN1130" s="19"/>
      <c r="AO1130" s="19"/>
      <c r="AP1130" s="19">
        <v>68.2</v>
      </c>
      <c r="AQ1130" s="19" t="s">
        <v>307</v>
      </c>
      <c r="AR1130" s="9" t="s">
        <v>394</v>
      </c>
      <c r="AS1130" s="12">
        <v>0</v>
      </c>
      <c r="AT1130" s="19">
        <v>38.6419</v>
      </c>
      <c r="AU1130" s="19">
        <v>-122.9115</v>
      </c>
      <c r="AV1130" s="19" t="s">
        <v>701</v>
      </c>
    </row>
    <row r="1131" spans="1:48" x14ac:dyDescent="0.25">
      <c r="A1131" s="18" t="s">
        <v>1519</v>
      </c>
      <c r="B1131" s="10">
        <v>19540305</v>
      </c>
      <c r="C1131" s="9">
        <v>16</v>
      </c>
      <c r="D1131" s="8" t="str">
        <f t="shared" si="205"/>
        <v>N</v>
      </c>
      <c r="E1131" s="8" t="str">
        <f t="shared" si="206"/>
        <v>N</v>
      </c>
      <c r="F1131" s="8" t="str">
        <f t="shared" si="207"/>
        <v>N</v>
      </c>
      <c r="G1131" s="8" t="str">
        <f t="shared" si="208"/>
        <v>N</v>
      </c>
      <c r="H1131" s="8" t="str">
        <f t="shared" si="209"/>
        <v>Lower</v>
      </c>
      <c r="I1131" s="8" t="str">
        <f t="shared" si="210"/>
        <v>Outside</v>
      </c>
      <c r="J1131" s="8" t="str">
        <f t="shared" si="211"/>
        <v>Outside</v>
      </c>
      <c r="K1131" s="8" t="str">
        <f t="shared" si="212"/>
        <v>Post-1949</v>
      </c>
      <c r="L1131" s="8">
        <f t="shared" si="213"/>
        <v>1954</v>
      </c>
      <c r="M1131" s="8" t="str">
        <f t="shared" si="215"/>
        <v>1953-1954</v>
      </c>
      <c r="N1131" s="10" t="s">
        <v>242</v>
      </c>
      <c r="O1131" s="10" t="s">
        <v>242</v>
      </c>
      <c r="P1131" s="10" t="s">
        <v>242</v>
      </c>
      <c r="Q1131" s="10" t="s">
        <v>242</v>
      </c>
      <c r="R1131" s="10" t="s">
        <v>241</v>
      </c>
      <c r="S1131" s="10" t="s">
        <v>242</v>
      </c>
      <c r="T1131" s="10" t="s">
        <v>242</v>
      </c>
      <c r="U1131" s="10" t="s">
        <v>242</v>
      </c>
      <c r="V1131" s="10" t="s">
        <v>242</v>
      </c>
      <c r="W1131" s="10" t="s">
        <v>242</v>
      </c>
      <c r="X1131" s="15">
        <f>IF(ISERROR(VLOOKUP($A1131,'13. Updated Demand'!A:Z,15,FALSE)),0,VLOOKUP($A1131,'13. Updated Demand'!A:Z,15,FALSE))</f>
        <v>0</v>
      </c>
      <c r="Y1131" s="16">
        <f>IF(ISERROR(VLOOKUP($A1131,'13. Updated Demand'!A:Z,16,FALSE)),0,VLOOKUP($A1131,'13. Updated Demand'!A:Z,16,FALSE))</f>
        <v>0.12686066700000001</v>
      </c>
      <c r="Z1131" s="16">
        <f>IF(ISERROR(VLOOKUP($A1131,'13. Updated Demand'!A:Z,17,FALSE)),0,VLOOKUP($A1131,'13. Updated Demand'!A:Z,17,FALSE))</f>
        <v>3.0460000000000001E-3</v>
      </c>
      <c r="AA1131" s="16">
        <f>IF(ISERROR(VLOOKUP($A1131,'13. Updated Demand'!A:Z,18,FALSE)),0,VLOOKUP($A1131,'13. Updated Demand'!A:Z,18,FALSE))</f>
        <v>0.158559333</v>
      </c>
      <c r="AB1131" s="16">
        <f>IF(ISERROR(VLOOKUP($A1131,'13. Updated Demand'!A:Z,19,FALSE)),0,VLOOKUP($A1131,'13. Updated Demand'!A:Z,19,FALSE))</f>
        <v>0.33822266699999998</v>
      </c>
      <c r="AC1131" s="16">
        <f>IF(ISERROR(VLOOKUP($A1131,'13. Updated Demand'!A:Z,20,FALSE)),0,VLOOKUP($A1131,'13. Updated Demand'!A:Z,20,FALSE))</f>
        <v>0.30552533300000001</v>
      </c>
      <c r="AD1131" s="16">
        <f>IF(ISERROR(VLOOKUP($A1131,'13. Updated Demand'!A:Z,21,FALSE)),0,VLOOKUP($A1131,'13. Updated Demand'!A:Z,21,FALSE))</f>
        <v>1.2393506670000001</v>
      </c>
      <c r="AE1131" s="16">
        <f>IF(ISERROR(VLOOKUP($A1131,'13. Updated Demand'!A:Z,22,FALSE)),0,VLOOKUP($A1131,'13. Updated Demand'!A:Z,22,FALSE))</f>
        <v>2.1545323330000001</v>
      </c>
      <c r="AF1131" s="16">
        <f>IF(ISERROR(VLOOKUP($A1131,'13. Updated Demand'!A:Z,23,FALSE)),0,VLOOKUP($A1131,'13. Updated Demand'!A:Z,23,FALSE))</f>
        <v>2.0570806670000001</v>
      </c>
      <c r="AG1131" s="16">
        <f>IF(ISERROR(VLOOKUP($A1131,'13. Updated Demand'!A:Z,24,FALSE)),0,VLOOKUP($A1131,'13. Updated Demand'!A:Z,24,FALSE))</f>
        <v>3.2269332999999997E-2</v>
      </c>
      <c r="AH1131" s="16">
        <f>IF(ISERROR(VLOOKUP($A1131,'13. Updated Demand'!A:Z,25,FALSE)),0,VLOOKUP($A1131,'13. Updated Demand'!A:Z,25,FALSE))</f>
        <v>2.61E-4</v>
      </c>
      <c r="AI1131" s="16">
        <f>IF(ISERROR(VLOOKUP($A1131,'13. Updated Demand'!A:Z,26,FALSE)),0,VLOOKUP($A1131,'13. Updated Demand'!A:Z,26,FALSE))</f>
        <v>0</v>
      </c>
      <c r="AJ1131" s="16">
        <f t="shared" si="216"/>
        <v>6.4157080000000013</v>
      </c>
      <c r="AK1131" s="19">
        <v>6.0947116670000003</v>
      </c>
      <c r="AL1131" s="16">
        <f t="shared" si="214"/>
        <v>2.0215464346539345E-2</v>
      </c>
      <c r="AM1131" s="17">
        <v>5.2804181069958857E-2</v>
      </c>
      <c r="AN1131" s="19"/>
      <c r="AO1131" s="19"/>
      <c r="AP1131" s="19">
        <v>121.5</v>
      </c>
      <c r="AQ1131" s="19" t="s">
        <v>307</v>
      </c>
      <c r="AR1131" s="9" t="s">
        <v>394</v>
      </c>
      <c r="AS1131" s="12">
        <v>0</v>
      </c>
      <c r="AT1131" s="19">
        <v>38.6188</v>
      </c>
      <c r="AU1131" s="19">
        <v>-122.88760000000001</v>
      </c>
      <c r="AV1131" s="19" t="s">
        <v>932</v>
      </c>
    </row>
    <row r="1132" spans="1:48" x14ac:dyDescent="0.25">
      <c r="A1132" s="18" t="s">
        <v>1520</v>
      </c>
      <c r="B1132" s="10">
        <v>19540806</v>
      </c>
      <c r="C1132" s="9">
        <v>9</v>
      </c>
      <c r="D1132" s="8" t="str">
        <f t="shared" si="205"/>
        <v>N</v>
      </c>
      <c r="E1132" s="8" t="str">
        <f t="shared" si="206"/>
        <v>Y</v>
      </c>
      <c r="F1132" s="8" t="str">
        <f t="shared" si="207"/>
        <v>Y</v>
      </c>
      <c r="G1132" s="8" t="str">
        <f t="shared" si="208"/>
        <v>Y</v>
      </c>
      <c r="H1132" s="8" t="str">
        <f t="shared" si="209"/>
        <v>Upper</v>
      </c>
      <c r="I1132" s="8" t="str">
        <f t="shared" si="210"/>
        <v>West Fork and Below Lake</v>
      </c>
      <c r="J1132" s="8" t="str">
        <f t="shared" si="211"/>
        <v>Sonoma (d/s of Clov. Gage)</v>
      </c>
      <c r="K1132" s="8" t="str">
        <f t="shared" si="212"/>
        <v>Post-1949</v>
      </c>
      <c r="L1132" s="8">
        <f t="shared" si="213"/>
        <v>1954</v>
      </c>
      <c r="M1132" s="8" t="str">
        <f t="shared" si="215"/>
        <v>1953-1954</v>
      </c>
      <c r="N1132" s="10" t="s">
        <v>241</v>
      </c>
      <c r="O1132" s="10" t="s">
        <v>241</v>
      </c>
      <c r="P1132" s="10" t="s">
        <v>242</v>
      </c>
      <c r="Q1132" s="10" t="s">
        <v>242</v>
      </c>
      <c r="R1132" s="10" t="s">
        <v>241</v>
      </c>
      <c r="S1132" s="10" t="s">
        <v>242</v>
      </c>
      <c r="T1132" s="10" t="s">
        <v>242</v>
      </c>
      <c r="U1132" s="10" t="s">
        <v>242</v>
      </c>
      <c r="V1132" s="10" t="s">
        <v>242</v>
      </c>
      <c r="W1132" s="10" t="s">
        <v>242</v>
      </c>
      <c r="X1132" s="15">
        <f>IF(ISERROR(VLOOKUP($A1132,'13. Updated Demand'!A:Z,15,FALSE)),0,VLOOKUP($A1132,'13. Updated Demand'!A:Z,15,FALSE))</f>
        <v>0</v>
      </c>
      <c r="Y1132" s="16">
        <f>IF(ISERROR(VLOOKUP($A1132,'13. Updated Demand'!A:Z,16,FALSE)),0,VLOOKUP($A1132,'13. Updated Demand'!A:Z,16,FALSE))</f>
        <v>0</v>
      </c>
      <c r="Z1132" s="16">
        <f>IF(ISERROR(VLOOKUP($A1132,'13. Updated Demand'!A:Z,17,FALSE)),0,VLOOKUP($A1132,'13. Updated Demand'!A:Z,17,FALSE))</f>
        <v>0</v>
      </c>
      <c r="AA1132" s="16">
        <f>IF(ISERROR(VLOOKUP($A1132,'13. Updated Demand'!A:Z,18,FALSE)),0,VLOOKUP($A1132,'13. Updated Demand'!A:Z,18,FALSE))</f>
        <v>0</v>
      </c>
      <c r="AB1132" s="16">
        <f>IF(ISERROR(VLOOKUP($A1132,'13. Updated Demand'!A:Z,19,FALSE)),0,VLOOKUP($A1132,'13. Updated Demand'!A:Z,19,FALSE))</f>
        <v>0.62</v>
      </c>
      <c r="AC1132" s="16">
        <f>IF(ISERROR(VLOOKUP($A1132,'13. Updated Demand'!A:Z,20,FALSE)),0,VLOOKUP($A1132,'13. Updated Demand'!A:Z,20,FALSE))</f>
        <v>0.77</v>
      </c>
      <c r="AD1132" s="16">
        <f>IF(ISERROR(VLOOKUP($A1132,'13. Updated Demand'!A:Z,21,FALSE)),0,VLOOKUP($A1132,'13. Updated Demand'!A:Z,21,FALSE))</f>
        <v>1.49</v>
      </c>
      <c r="AE1132" s="16">
        <f>IF(ISERROR(VLOOKUP($A1132,'13. Updated Demand'!A:Z,22,FALSE)),0,VLOOKUP($A1132,'13. Updated Demand'!A:Z,22,FALSE))</f>
        <v>1.17</v>
      </c>
      <c r="AF1132" s="16">
        <f>IF(ISERROR(VLOOKUP($A1132,'13. Updated Demand'!A:Z,23,FALSE)),0,VLOOKUP($A1132,'13. Updated Demand'!A:Z,23,FALSE))</f>
        <v>0.52</v>
      </c>
      <c r="AG1132" s="16">
        <f>IF(ISERROR(VLOOKUP($A1132,'13. Updated Demand'!A:Z,24,FALSE)),0,VLOOKUP($A1132,'13. Updated Demand'!A:Z,24,FALSE))</f>
        <v>0.51</v>
      </c>
      <c r="AH1132" s="16">
        <f>IF(ISERROR(VLOOKUP($A1132,'13. Updated Demand'!A:Z,25,FALSE)),0,VLOOKUP($A1132,'13. Updated Demand'!A:Z,25,FALSE))</f>
        <v>0</v>
      </c>
      <c r="AI1132" s="16">
        <f>IF(ISERROR(VLOOKUP($A1132,'13. Updated Demand'!A:Z,26,FALSE)),0,VLOOKUP($A1132,'13. Updated Demand'!A:Z,26,FALSE))</f>
        <v>0</v>
      </c>
      <c r="AJ1132" s="16">
        <f t="shared" si="216"/>
        <v>5.08</v>
      </c>
      <c r="AK1132" s="19">
        <v>4.58</v>
      </c>
      <c r="AL1132" s="16">
        <f t="shared" si="214"/>
        <v>1.5191338288973432E-2</v>
      </c>
      <c r="AM1132" s="17">
        <v>6.9346049046321523E-2</v>
      </c>
      <c r="AN1132" s="19"/>
      <c r="AO1132" s="19"/>
      <c r="AP1132" s="19">
        <v>73.400000000000006</v>
      </c>
      <c r="AQ1132" s="19" t="s">
        <v>307</v>
      </c>
      <c r="AR1132" s="9" t="s">
        <v>354</v>
      </c>
      <c r="AS1132" s="12">
        <v>0</v>
      </c>
      <c r="AT1132" s="19">
        <v>38.863508619999998</v>
      </c>
      <c r="AU1132" s="19">
        <v>-123.04174528</v>
      </c>
      <c r="AV1132" s="19" t="s">
        <v>387</v>
      </c>
    </row>
    <row r="1133" spans="1:48" x14ac:dyDescent="0.25">
      <c r="A1133" s="18" t="s">
        <v>1521</v>
      </c>
      <c r="B1133" s="10">
        <v>19540216</v>
      </c>
      <c r="C1133" s="9">
        <v>10</v>
      </c>
      <c r="D1133" s="8" t="str">
        <f t="shared" si="205"/>
        <v>N</v>
      </c>
      <c r="E1133" s="8" t="str">
        <f t="shared" si="206"/>
        <v>Y</v>
      </c>
      <c r="F1133" s="8" t="str">
        <f t="shared" si="207"/>
        <v>Y</v>
      </c>
      <c r="G1133" s="8" t="str">
        <f t="shared" si="208"/>
        <v>Y</v>
      </c>
      <c r="H1133" s="8" t="str">
        <f t="shared" si="209"/>
        <v>Upper</v>
      </c>
      <c r="I1133" s="8" t="str">
        <f t="shared" si="210"/>
        <v>West Fork and Below Lake</v>
      </c>
      <c r="J1133" s="8" t="str">
        <f t="shared" si="211"/>
        <v>Sonoma (d/s of Clov. Gage)</v>
      </c>
      <c r="K1133" s="8" t="str">
        <f t="shared" si="212"/>
        <v>Post-1949</v>
      </c>
      <c r="L1133" s="8">
        <f t="shared" si="213"/>
        <v>1954</v>
      </c>
      <c r="M1133" s="8" t="str">
        <f t="shared" si="215"/>
        <v>1953-1954</v>
      </c>
      <c r="N1133" s="10" t="s">
        <v>241</v>
      </c>
      <c r="O1133" s="10" t="s">
        <v>241</v>
      </c>
      <c r="P1133" s="10" t="s">
        <v>242</v>
      </c>
      <c r="Q1133" s="10" t="s">
        <v>242</v>
      </c>
      <c r="R1133" s="10" t="s">
        <v>241</v>
      </c>
      <c r="S1133" s="10" t="s">
        <v>242</v>
      </c>
      <c r="T1133" s="10" t="s">
        <v>242</v>
      </c>
      <c r="U1133" s="10" t="s">
        <v>242</v>
      </c>
      <c r="V1133" s="10" t="s">
        <v>242</v>
      </c>
      <c r="W1133" s="10" t="s">
        <v>242</v>
      </c>
      <c r="X1133" s="15">
        <f>IF(ISERROR(VLOOKUP($A1133,'13. Updated Demand'!A:Z,15,FALSE)),0,VLOOKUP($A1133,'13. Updated Demand'!A:Z,15,FALSE))</f>
        <v>0</v>
      </c>
      <c r="Y1133" s="16">
        <f>IF(ISERROR(VLOOKUP($A1133,'13. Updated Demand'!A:Z,16,FALSE)),0,VLOOKUP($A1133,'13. Updated Demand'!A:Z,16,FALSE))</f>
        <v>0</v>
      </c>
      <c r="Z1133" s="16">
        <f>IF(ISERROR(VLOOKUP($A1133,'13. Updated Demand'!A:Z,17,FALSE)),0,VLOOKUP($A1133,'13. Updated Demand'!A:Z,17,FALSE))</f>
        <v>0</v>
      </c>
      <c r="AA1133" s="16">
        <f>IF(ISERROR(VLOOKUP($A1133,'13. Updated Demand'!A:Z,18,FALSE)),0,VLOOKUP($A1133,'13. Updated Demand'!A:Z,18,FALSE))</f>
        <v>0</v>
      </c>
      <c r="AB1133" s="16">
        <f>IF(ISERROR(VLOOKUP($A1133,'13. Updated Demand'!A:Z,19,FALSE)),0,VLOOKUP($A1133,'13. Updated Demand'!A:Z,19,FALSE))</f>
        <v>0.23</v>
      </c>
      <c r="AC1133" s="16">
        <f>IF(ISERROR(VLOOKUP($A1133,'13. Updated Demand'!A:Z,20,FALSE)),0,VLOOKUP($A1133,'13. Updated Demand'!A:Z,20,FALSE))</f>
        <v>0.73</v>
      </c>
      <c r="AD1133" s="16">
        <f>IF(ISERROR(VLOOKUP($A1133,'13. Updated Demand'!A:Z,21,FALSE)),0,VLOOKUP($A1133,'13. Updated Demand'!A:Z,21,FALSE))</f>
        <v>1.56</v>
      </c>
      <c r="AE1133" s="16">
        <f>IF(ISERROR(VLOOKUP($A1133,'13. Updated Demand'!A:Z,22,FALSE)),0,VLOOKUP($A1133,'13. Updated Demand'!A:Z,22,FALSE))</f>
        <v>1.1599999999999999</v>
      </c>
      <c r="AF1133" s="16">
        <f>IF(ISERROR(VLOOKUP($A1133,'13. Updated Demand'!A:Z,23,FALSE)),0,VLOOKUP($A1133,'13. Updated Demand'!A:Z,23,FALSE))</f>
        <v>0.8</v>
      </c>
      <c r="AG1133" s="16">
        <f>IF(ISERROR(VLOOKUP($A1133,'13. Updated Demand'!A:Z,24,FALSE)),0,VLOOKUP($A1133,'13. Updated Demand'!A:Z,24,FALSE))</f>
        <v>0.2</v>
      </c>
      <c r="AH1133" s="16">
        <f>IF(ISERROR(VLOOKUP($A1133,'13. Updated Demand'!A:Z,25,FALSE)),0,VLOOKUP($A1133,'13. Updated Demand'!A:Z,25,FALSE))</f>
        <v>0.03</v>
      </c>
      <c r="AI1133" s="16">
        <f>IF(ISERROR(VLOOKUP($A1133,'13. Updated Demand'!A:Z,26,FALSE)),0,VLOOKUP($A1133,'13. Updated Demand'!A:Z,26,FALSE))</f>
        <v>0</v>
      </c>
      <c r="AJ1133" s="16">
        <f t="shared" si="216"/>
        <v>4.71</v>
      </c>
      <c r="AK1133" s="19">
        <v>4.5000000000000062</v>
      </c>
      <c r="AL1133" s="16">
        <f t="shared" si="214"/>
        <v>1.4925987401829811E-2</v>
      </c>
      <c r="AM1133" s="17">
        <v>5.4531490015361055E-2</v>
      </c>
      <c r="AN1133" s="19"/>
      <c r="AO1133" s="19"/>
      <c r="AP1133" s="19">
        <v>86.8</v>
      </c>
      <c r="AQ1133" s="19" t="s">
        <v>307</v>
      </c>
      <c r="AR1133" s="9" t="s">
        <v>436</v>
      </c>
      <c r="AS1133" s="12">
        <v>0</v>
      </c>
      <c r="AT1133" s="19">
        <v>38.689222209999997</v>
      </c>
      <c r="AU1133" s="19">
        <v>-122.86401184</v>
      </c>
      <c r="AV1133" s="19" t="s">
        <v>548</v>
      </c>
    </row>
    <row r="1134" spans="1:48" x14ac:dyDescent="0.25">
      <c r="A1134" s="18" t="s">
        <v>1522</v>
      </c>
      <c r="B1134" s="10">
        <v>19540806</v>
      </c>
      <c r="C1134" s="9">
        <v>9</v>
      </c>
      <c r="D1134" s="8" t="str">
        <f t="shared" si="205"/>
        <v>N</v>
      </c>
      <c r="E1134" s="8" t="str">
        <f t="shared" si="206"/>
        <v>Y</v>
      </c>
      <c r="F1134" s="8" t="str">
        <f t="shared" si="207"/>
        <v>Y</v>
      </c>
      <c r="G1134" s="8" t="str">
        <f t="shared" si="208"/>
        <v>Y</v>
      </c>
      <c r="H1134" s="8" t="str">
        <f t="shared" si="209"/>
        <v>Upper</v>
      </c>
      <c r="I1134" s="8" t="str">
        <f t="shared" si="210"/>
        <v>West Fork and Below Lake</v>
      </c>
      <c r="J1134" s="8" t="str">
        <f t="shared" si="211"/>
        <v>Sonoma (d/s of Clov. Gage)</v>
      </c>
      <c r="K1134" s="8" t="str">
        <f t="shared" si="212"/>
        <v>Post-1949</v>
      </c>
      <c r="L1134" s="8">
        <f t="shared" si="213"/>
        <v>1954</v>
      </c>
      <c r="M1134" s="8" t="str">
        <f t="shared" si="215"/>
        <v>1953-1954</v>
      </c>
      <c r="N1134" s="10" t="s">
        <v>241</v>
      </c>
      <c r="O1134" s="10" t="s">
        <v>241</v>
      </c>
      <c r="P1134" s="10" t="s">
        <v>242</v>
      </c>
      <c r="Q1134" s="10" t="s">
        <v>242</v>
      </c>
      <c r="R1134" s="10" t="s">
        <v>241</v>
      </c>
      <c r="S1134" s="10" t="s">
        <v>242</v>
      </c>
      <c r="T1134" s="10" t="s">
        <v>242</v>
      </c>
      <c r="U1134" s="10" t="s">
        <v>242</v>
      </c>
      <c r="V1134" s="10" t="s">
        <v>242</v>
      </c>
      <c r="W1134" s="10" t="s">
        <v>242</v>
      </c>
      <c r="X1134" s="15">
        <f>IF(ISERROR(VLOOKUP($A1134,'13. Updated Demand'!A:Z,15,FALSE)),0,VLOOKUP($A1134,'13. Updated Demand'!A:Z,15,FALSE))</f>
        <v>0</v>
      </c>
      <c r="Y1134" s="16">
        <f>IF(ISERROR(VLOOKUP($A1134,'13. Updated Demand'!A:Z,16,FALSE)),0,VLOOKUP($A1134,'13. Updated Demand'!A:Z,16,FALSE))</f>
        <v>0</v>
      </c>
      <c r="Z1134" s="16">
        <f>IF(ISERROR(VLOOKUP($A1134,'13. Updated Demand'!A:Z,17,FALSE)),0,VLOOKUP($A1134,'13. Updated Demand'!A:Z,17,FALSE))</f>
        <v>0.36</v>
      </c>
      <c r="AA1134" s="16">
        <f>IF(ISERROR(VLOOKUP($A1134,'13. Updated Demand'!A:Z,18,FALSE)),0,VLOOKUP($A1134,'13. Updated Demand'!A:Z,18,FALSE))</f>
        <v>0.73</v>
      </c>
      <c r="AB1134" s="16">
        <f>IF(ISERROR(VLOOKUP($A1134,'13. Updated Demand'!A:Z,19,FALSE)),0,VLOOKUP($A1134,'13. Updated Demand'!A:Z,19,FALSE))</f>
        <v>0.73</v>
      </c>
      <c r="AC1134" s="16">
        <f>IF(ISERROR(VLOOKUP($A1134,'13. Updated Demand'!A:Z,20,FALSE)),0,VLOOKUP($A1134,'13. Updated Demand'!A:Z,20,FALSE))</f>
        <v>0.73</v>
      </c>
      <c r="AD1134" s="16">
        <f>IF(ISERROR(VLOOKUP($A1134,'13. Updated Demand'!A:Z,21,FALSE)),0,VLOOKUP($A1134,'13. Updated Demand'!A:Z,21,FALSE))</f>
        <v>0.73</v>
      </c>
      <c r="AE1134" s="16">
        <f>IF(ISERROR(VLOOKUP($A1134,'13. Updated Demand'!A:Z,22,FALSE)),0,VLOOKUP($A1134,'13. Updated Demand'!A:Z,22,FALSE))</f>
        <v>0.73</v>
      </c>
      <c r="AF1134" s="16">
        <f>IF(ISERROR(VLOOKUP($A1134,'13. Updated Demand'!A:Z,23,FALSE)),0,VLOOKUP($A1134,'13. Updated Demand'!A:Z,23,FALSE))</f>
        <v>0.73</v>
      </c>
      <c r="AG1134" s="16">
        <f>IF(ISERROR(VLOOKUP($A1134,'13. Updated Demand'!A:Z,24,FALSE)),0,VLOOKUP($A1134,'13. Updated Demand'!A:Z,24,FALSE))</f>
        <v>0.73</v>
      </c>
      <c r="AH1134" s="16">
        <f>IF(ISERROR(VLOOKUP($A1134,'13. Updated Demand'!A:Z,25,FALSE)),0,VLOOKUP($A1134,'13. Updated Demand'!A:Z,25,FALSE))</f>
        <v>0.36</v>
      </c>
      <c r="AI1134" s="16">
        <f>IF(ISERROR(VLOOKUP($A1134,'13. Updated Demand'!A:Z,26,FALSE)),0,VLOOKUP($A1134,'13. Updated Demand'!A:Z,26,FALSE))</f>
        <v>0</v>
      </c>
      <c r="AJ1134" s="16">
        <f t="shared" si="216"/>
        <v>5.830000000000001</v>
      </c>
      <c r="AK1134" s="19">
        <v>3.65</v>
      </c>
      <c r="AL1134" s="16">
        <f t="shared" si="214"/>
        <v>1.2106634225928607E-2</v>
      </c>
      <c r="AM1134" s="17">
        <v>0.65505617977528097</v>
      </c>
      <c r="AN1134" s="19"/>
      <c r="AO1134" s="19"/>
      <c r="AP1134" s="19">
        <v>8.9</v>
      </c>
      <c r="AQ1134" s="19" t="s">
        <v>307</v>
      </c>
      <c r="AR1134" s="9" t="s">
        <v>354</v>
      </c>
      <c r="AS1134" s="12">
        <v>3.4039024194010059E-4</v>
      </c>
      <c r="AT1134" s="19">
        <v>38.828115709999999</v>
      </c>
      <c r="AU1134" s="19">
        <v>-123.00717444</v>
      </c>
      <c r="AV1134" s="19" t="s">
        <v>548</v>
      </c>
    </row>
    <row r="1135" spans="1:48" x14ac:dyDescent="0.25">
      <c r="A1135" s="18" t="s">
        <v>1523</v>
      </c>
      <c r="B1135" s="10">
        <v>19540223</v>
      </c>
      <c r="C1135" s="9">
        <v>6</v>
      </c>
      <c r="D1135" s="8" t="str">
        <f t="shared" si="205"/>
        <v>Y</v>
      </c>
      <c r="E1135" s="8" t="str">
        <f t="shared" si="206"/>
        <v>N</v>
      </c>
      <c r="F1135" s="8" t="str">
        <f t="shared" si="207"/>
        <v>Y</v>
      </c>
      <c r="G1135" s="8" t="str">
        <f t="shared" si="208"/>
        <v>Y</v>
      </c>
      <c r="H1135" s="8" t="str">
        <f t="shared" si="209"/>
        <v>Upper</v>
      </c>
      <c r="I1135" s="8" t="str">
        <f t="shared" si="210"/>
        <v>West Fork and Below Lake</v>
      </c>
      <c r="J1135" s="8" t="str">
        <f t="shared" si="211"/>
        <v>Mendocino (d/s of lake)</v>
      </c>
      <c r="K1135" s="8" t="str">
        <f t="shared" si="212"/>
        <v>Post-1949</v>
      </c>
      <c r="L1135" s="8">
        <f t="shared" si="213"/>
        <v>1954</v>
      </c>
      <c r="M1135" s="8" t="str">
        <f t="shared" si="215"/>
        <v>1953-1954</v>
      </c>
      <c r="N1135" s="10" t="s">
        <v>241</v>
      </c>
      <c r="O1135" s="10" t="s">
        <v>241</v>
      </c>
      <c r="P1135" s="10" t="s">
        <v>242</v>
      </c>
      <c r="Q1135" s="10" t="s">
        <v>242</v>
      </c>
      <c r="R1135" s="10" t="s">
        <v>241</v>
      </c>
      <c r="S1135" s="10" t="s">
        <v>242</v>
      </c>
      <c r="T1135" s="10" t="s">
        <v>242</v>
      </c>
      <c r="U1135" s="10" t="s">
        <v>242</v>
      </c>
      <c r="V1135" s="10" t="s">
        <v>242</v>
      </c>
      <c r="W1135" s="10" t="s">
        <v>242</v>
      </c>
      <c r="X1135" s="15">
        <f>IF(ISERROR(VLOOKUP($A1135,'13. Updated Demand'!A:Z,15,FALSE)),0,VLOOKUP($A1135,'13. Updated Demand'!A:Z,15,FALSE))</f>
        <v>0</v>
      </c>
      <c r="Y1135" s="16">
        <f>IF(ISERROR(VLOOKUP($A1135,'13. Updated Demand'!A:Z,16,FALSE)),0,VLOOKUP($A1135,'13. Updated Demand'!A:Z,16,FALSE))</f>
        <v>0</v>
      </c>
      <c r="Z1135" s="16">
        <f>IF(ISERROR(VLOOKUP($A1135,'13. Updated Demand'!A:Z,17,FALSE)),0,VLOOKUP($A1135,'13. Updated Demand'!A:Z,17,FALSE))</f>
        <v>0</v>
      </c>
      <c r="AA1135" s="16">
        <f>IF(ISERROR(VLOOKUP($A1135,'13. Updated Demand'!A:Z,18,FALSE)),0,VLOOKUP($A1135,'13. Updated Demand'!A:Z,18,FALSE))</f>
        <v>0</v>
      </c>
      <c r="AB1135" s="16">
        <f>IF(ISERROR(VLOOKUP($A1135,'13. Updated Demand'!A:Z,19,FALSE)),0,VLOOKUP($A1135,'13. Updated Demand'!A:Z,19,FALSE))</f>
        <v>0.05</v>
      </c>
      <c r="AC1135" s="16">
        <f>IF(ISERROR(VLOOKUP($A1135,'13. Updated Demand'!A:Z,20,FALSE)),0,VLOOKUP($A1135,'13. Updated Demand'!A:Z,20,FALSE))</f>
        <v>0.08</v>
      </c>
      <c r="AD1135" s="16">
        <f>IF(ISERROR(VLOOKUP($A1135,'13. Updated Demand'!A:Z,21,FALSE)),0,VLOOKUP($A1135,'13. Updated Demand'!A:Z,21,FALSE))</f>
        <v>0.11</v>
      </c>
      <c r="AE1135" s="16">
        <f>IF(ISERROR(VLOOKUP($A1135,'13. Updated Demand'!A:Z,22,FALSE)),0,VLOOKUP($A1135,'13. Updated Demand'!A:Z,22,FALSE))</f>
        <v>0.26</v>
      </c>
      <c r="AF1135" s="16">
        <f>IF(ISERROR(VLOOKUP($A1135,'13. Updated Demand'!A:Z,23,FALSE)),0,VLOOKUP($A1135,'13. Updated Demand'!A:Z,23,FALSE))</f>
        <v>0.11</v>
      </c>
      <c r="AG1135" s="16">
        <f>IF(ISERROR(VLOOKUP($A1135,'13. Updated Demand'!A:Z,24,FALSE)),0,VLOOKUP($A1135,'13. Updated Demand'!A:Z,24,FALSE))</f>
        <v>0.06</v>
      </c>
      <c r="AH1135" s="16">
        <f>IF(ISERROR(VLOOKUP($A1135,'13. Updated Demand'!A:Z,25,FALSE)),0,VLOOKUP($A1135,'13. Updated Demand'!A:Z,25,FALSE))</f>
        <v>0</v>
      </c>
      <c r="AI1135" s="16">
        <f>IF(ISERROR(VLOOKUP($A1135,'13. Updated Demand'!A:Z,26,FALSE)),0,VLOOKUP($A1135,'13. Updated Demand'!A:Z,26,FALSE))</f>
        <v>0</v>
      </c>
      <c r="AJ1135" s="16">
        <f t="shared" si="216"/>
        <v>0.66999999999999993</v>
      </c>
      <c r="AK1135" s="19">
        <v>0.64550666666666645</v>
      </c>
      <c r="AL1135" s="16">
        <f t="shared" si="214"/>
        <v>2.1410720832141794E-3</v>
      </c>
      <c r="AM1135" s="17">
        <v>1.4882914046121586E-2</v>
      </c>
      <c r="AN1135" s="19"/>
      <c r="AO1135" s="19"/>
      <c r="AP1135" s="19">
        <v>47.7</v>
      </c>
      <c r="AQ1135" s="19" t="s">
        <v>307</v>
      </c>
      <c r="AR1135" s="9" t="s">
        <v>319</v>
      </c>
      <c r="AS1135" s="12">
        <v>0</v>
      </c>
      <c r="AT1135" s="19">
        <v>38.882882000000002</v>
      </c>
      <c r="AU1135" s="19">
        <v>-123.05537966</v>
      </c>
      <c r="AV1135" s="19" t="s">
        <v>387</v>
      </c>
    </row>
    <row r="1136" spans="1:48" x14ac:dyDescent="0.25">
      <c r="A1136" s="18" t="s">
        <v>1524</v>
      </c>
      <c r="B1136" s="10">
        <v>19540215</v>
      </c>
      <c r="C1136" s="9">
        <v>23</v>
      </c>
      <c r="D1136" s="8" t="str">
        <f t="shared" si="205"/>
        <v>N</v>
      </c>
      <c r="E1136" s="8" t="str">
        <f t="shared" si="206"/>
        <v>N</v>
      </c>
      <c r="F1136" s="8" t="str">
        <f t="shared" si="207"/>
        <v>N</v>
      </c>
      <c r="G1136" s="8" t="str">
        <f t="shared" si="208"/>
        <v>N</v>
      </c>
      <c r="H1136" s="8" t="str">
        <f t="shared" si="209"/>
        <v>Lower</v>
      </c>
      <c r="I1136" s="8" t="str">
        <f t="shared" si="210"/>
        <v>Outside</v>
      </c>
      <c r="J1136" s="8" t="str">
        <f t="shared" si="211"/>
        <v>Outside</v>
      </c>
      <c r="K1136" s="8" t="str">
        <f t="shared" si="212"/>
        <v>Post-1949</v>
      </c>
      <c r="L1136" s="8">
        <f t="shared" si="213"/>
        <v>1954</v>
      </c>
      <c r="M1136" s="8" t="str">
        <f t="shared" si="215"/>
        <v>1953-1954</v>
      </c>
      <c r="N1136" s="10" t="s">
        <v>242</v>
      </c>
      <c r="O1136" s="10" t="s">
        <v>242</v>
      </c>
      <c r="P1136" s="10" t="s">
        <v>242</v>
      </c>
      <c r="Q1136" s="10" t="s">
        <v>242</v>
      </c>
      <c r="R1136" s="10" t="s">
        <v>241</v>
      </c>
      <c r="S1136" s="10" t="s">
        <v>242</v>
      </c>
      <c r="T1136" s="10" t="s">
        <v>242</v>
      </c>
      <c r="U1136" s="10" t="s">
        <v>242</v>
      </c>
      <c r="V1136" s="10" t="s">
        <v>242</v>
      </c>
      <c r="W1136" s="10" t="s">
        <v>242</v>
      </c>
      <c r="X1136" s="15">
        <f>IF(ISERROR(VLOOKUP($A1136,'13. Updated Demand'!A:Z,15,FALSE)),0,VLOOKUP($A1136,'13. Updated Demand'!A:Z,15,FALSE))</f>
        <v>0</v>
      </c>
      <c r="Y1136" s="16">
        <f>IF(ISERROR(VLOOKUP($A1136,'13. Updated Demand'!A:Z,16,FALSE)),0,VLOOKUP($A1136,'13. Updated Demand'!A:Z,16,FALSE))</f>
        <v>0</v>
      </c>
      <c r="Z1136" s="16">
        <f>IF(ISERROR(VLOOKUP($A1136,'13. Updated Demand'!A:Z,17,FALSE)),0,VLOOKUP($A1136,'13. Updated Demand'!A:Z,17,FALSE))</f>
        <v>0</v>
      </c>
      <c r="AA1136" s="16">
        <f>IF(ISERROR(VLOOKUP($A1136,'13. Updated Demand'!A:Z,18,FALSE)),0,VLOOKUP($A1136,'13. Updated Demand'!A:Z,18,FALSE))</f>
        <v>0</v>
      </c>
      <c r="AB1136" s="16">
        <f>IF(ISERROR(VLOOKUP($A1136,'13. Updated Demand'!A:Z,19,FALSE)),0,VLOOKUP($A1136,'13. Updated Demand'!A:Z,19,FALSE))</f>
        <v>0.16666666699999999</v>
      </c>
      <c r="AC1136" s="16">
        <f>IF(ISERROR(VLOOKUP($A1136,'13. Updated Demand'!A:Z,20,FALSE)),0,VLOOKUP($A1136,'13. Updated Demand'!A:Z,20,FALSE))</f>
        <v>0</v>
      </c>
      <c r="AD1136" s="16">
        <f>IF(ISERROR(VLOOKUP($A1136,'13. Updated Demand'!A:Z,21,FALSE)),0,VLOOKUP($A1136,'13. Updated Demand'!A:Z,21,FALSE))</f>
        <v>0.1</v>
      </c>
      <c r="AE1136" s="16">
        <f>IF(ISERROR(VLOOKUP($A1136,'13. Updated Demand'!A:Z,22,FALSE)),0,VLOOKUP($A1136,'13. Updated Demand'!A:Z,22,FALSE))</f>
        <v>0</v>
      </c>
      <c r="AF1136" s="16">
        <f>IF(ISERROR(VLOOKUP($A1136,'13. Updated Demand'!A:Z,23,FALSE)),0,VLOOKUP($A1136,'13. Updated Demand'!A:Z,23,FALSE))</f>
        <v>0</v>
      </c>
      <c r="AG1136" s="16">
        <f>IF(ISERROR(VLOOKUP($A1136,'13. Updated Demand'!A:Z,24,FALSE)),0,VLOOKUP($A1136,'13. Updated Demand'!A:Z,24,FALSE))</f>
        <v>0</v>
      </c>
      <c r="AH1136" s="16">
        <f>IF(ISERROR(VLOOKUP($A1136,'13. Updated Demand'!A:Z,25,FALSE)),0,VLOOKUP($A1136,'13. Updated Demand'!A:Z,25,FALSE))</f>
        <v>0</v>
      </c>
      <c r="AI1136" s="16">
        <f>IF(ISERROR(VLOOKUP($A1136,'13. Updated Demand'!A:Z,26,FALSE)),0,VLOOKUP($A1136,'13. Updated Demand'!A:Z,26,FALSE))</f>
        <v>0</v>
      </c>
      <c r="AJ1136" s="16">
        <f t="shared" si="216"/>
        <v>0.26666666699999997</v>
      </c>
      <c r="AK1136" s="19">
        <v>0.26666666699999997</v>
      </c>
      <c r="AL1136" s="16">
        <f t="shared" si="214"/>
        <v>8.8450295825109762E-4</v>
      </c>
      <c r="AM1136" s="17">
        <v>1.9521717935578329E-3</v>
      </c>
      <c r="AN1136" s="19"/>
      <c r="AO1136" s="19"/>
      <c r="AP1136" s="19">
        <v>136.6</v>
      </c>
      <c r="AQ1136" s="19" t="s">
        <v>307</v>
      </c>
      <c r="AR1136" s="9" t="s">
        <v>323</v>
      </c>
      <c r="AS1136" s="12">
        <v>0</v>
      </c>
      <c r="AT1136" s="19">
        <v>38.495314870000001</v>
      </c>
      <c r="AU1136" s="19">
        <v>-122.86900498</v>
      </c>
      <c r="AV1136" s="19" t="s">
        <v>735</v>
      </c>
    </row>
    <row r="1137" spans="1:48" x14ac:dyDescent="0.25">
      <c r="A1137" s="18" t="s">
        <v>147</v>
      </c>
      <c r="B1137" s="10">
        <v>19540111</v>
      </c>
      <c r="C1137" s="9">
        <v>4</v>
      </c>
      <c r="D1137" s="8" t="str">
        <f t="shared" si="205"/>
        <v>Y</v>
      </c>
      <c r="E1137" s="8" t="str">
        <f t="shared" si="206"/>
        <v>N</v>
      </c>
      <c r="F1137" s="8" t="str">
        <f t="shared" si="207"/>
        <v>Y</v>
      </c>
      <c r="G1137" s="8" t="str">
        <f t="shared" si="208"/>
        <v>Y</v>
      </c>
      <c r="H1137" s="8" t="str">
        <f t="shared" si="209"/>
        <v>Upper</v>
      </c>
      <c r="I1137" s="8" t="str">
        <f t="shared" si="210"/>
        <v>West Fork and Below Lake</v>
      </c>
      <c r="J1137" s="8" t="str">
        <f t="shared" si="211"/>
        <v>Mendocino (d/s of lake)</v>
      </c>
      <c r="K1137" s="8" t="str">
        <f t="shared" si="212"/>
        <v>Post-1949</v>
      </c>
      <c r="L1137" s="8">
        <f t="shared" si="213"/>
        <v>1954</v>
      </c>
      <c r="M1137" s="8" t="str">
        <f t="shared" si="215"/>
        <v>1953-1954</v>
      </c>
      <c r="N1137" s="10" t="s">
        <v>241</v>
      </c>
      <c r="O1137" s="10" t="s">
        <v>241</v>
      </c>
      <c r="P1137" s="10" t="s">
        <v>242</v>
      </c>
      <c r="Q1137" s="10" t="s">
        <v>242</v>
      </c>
      <c r="R1137" s="10" t="s">
        <v>241</v>
      </c>
      <c r="S1137" s="10" t="s">
        <v>242</v>
      </c>
      <c r="T1137" s="10" t="s">
        <v>242</v>
      </c>
      <c r="U1137" s="10" t="s">
        <v>242</v>
      </c>
      <c r="V1137" s="10" t="s">
        <v>242</v>
      </c>
      <c r="W1137" s="10" t="s">
        <v>242</v>
      </c>
      <c r="X1137" s="15">
        <f>IF(ISERROR(VLOOKUP($A1137,'13. Updated Demand'!A:Z,15,FALSE)),0,VLOOKUP($A1137,'13. Updated Demand'!A:Z,15,FALSE))</f>
        <v>0</v>
      </c>
      <c r="Y1137" s="16">
        <f>IF(ISERROR(VLOOKUP($A1137,'13. Updated Demand'!A:Z,16,FALSE)),0,VLOOKUP($A1137,'13. Updated Demand'!A:Z,16,FALSE))</f>
        <v>0</v>
      </c>
      <c r="Z1137" s="16">
        <f>IF(ISERROR(VLOOKUP($A1137,'13. Updated Demand'!A:Z,17,FALSE)),0,VLOOKUP($A1137,'13. Updated Demand'!A:Z,17,FALSE))</f>
        <v>0</v>
      </c>
      <c r="AA1137" s="16">
        <f>IF(ISERROR(VLOOKUP($A1137,'13. Updated Demand'!A:Z,18,FALSE)),0,VLOOKUP($A1137,'13. Updated Demand'!A:Z,18,FALSE))</f>
        <v>0</v>
      </c>
      <c r="AB1137" s="16">
        <f>IF(ISERROR(VLOOKUP($A1137,'13. Updated Demand'!A:Z,19,FALSE)),0,VLOOKUP($A1137,'13. Updated Demand'!A:Z,19,FALSE))</f>
        <v>0</v>
      </c>
      <c r="AC1137" s="16">
        <f>IF(ISERROR(VLOOKUP($A1137,'13. Updated Demand'!A:Z,20,FALSE)),0,VLOOKUP($A1137,'13. Updated Demand'!A:Z,20,FALSE))</f>
        <v>0</v>
      </c>
      <c r="AD1137" s="16">
        <f>IF(ISERROR(VLOOKUP($A1137,'13. Updated Demand'!A:Z,21,FALSE)),0,VLOOKUP($A1137,'13. Updated Demand'!A:Z,21,FALSE))</f>
        <v>0.26</v>
      </c>
      <c r="AE1137" s="16">
        <f>IF(ISERROR(VLOOKUP($A1137,'13. Updated Demand'!A:Z,22,FALSE)),0,VLOOKUP($A1137,'13. Updated Demand'!A:Z,22,FALSE))</f>
        <v>0</v>
      </c>
      <c r="AF1137" s="16">
        <f>IF(ISERROR(VLOOKUP($A1137,'13. Updated Demand'!A:Z,23,FALSE)),0,VLOOKUP($A1137,'13. Updated Demand'!A:Z,23,FALSE))</f>
        <v>0</v>
      </c>
      <c r="AG1137" s="16">
        <f>IF(ISERROR(VLOOKUP($A1137,'13. Updated Demand'!A:Z,24,FALSE)),0,VLOOKUP($A1137,'13. Updated Demand'!A:Z,24,FALSE))</f>
        <v>0</v>
      </c>
      <c r="AH1137" s="16">
        <f>IF(ISERROR(VLOOKUP($A1137,'13. Updated Demand'!A:Z,25,FALSE)),0,VLOOKUP($A1137,'13. Updated Demand'!A:Z,25,FALSE))</f>
        <v>0</v>
      </c>
      <c r="AI1137" s="16">
        <f>IF(ISERROR(VLOOKUP($A1137,'13. Updated Demand'!A:Z,26,FALSE)),0,VLOOKUP($A1137,'13. Updated Demand'!A:Z,26,FALSE))</f>
        <v>0</v>
      </c>
      <c r="AJ1137" s="16">
        <f t="shared" si="216"/>
        <v>0.26</v>
      </c>
      <c r="AK1137" s="19">
        <v>0.26</v>
      </c>
      <c r="AL1137" s="16">
        <f t="shared" si="214"/>
        <v>8.6239038321683239E-4</v>
      </c>
      <c r="AM1137" s="17">
        <v>3.329065300896287E-3</v>
      </c>
      <c r="AN1137" s="19"/>
      <c r="AO1137" s="19"/>
      <c r="AP1137" s="19">
        <v>78.099999999999994</v>
      </c>
      <c r="AQ1137" s="19" t="s">
        <v>307</v>
      </c>
      <c r="AR1137" s="9" t="s">
        <v>331</v>
      </c>
      <c r="AS1137" s="12">
        <v>0</v>
      </c>
      <c r="AT1137" s="19">
        <v>39.116104829999998</v>
      </c>
      <c r="AU1137" s="19">
        <v>-123.1885695</v>
      </c>
      <c r="AV1137" s="19" t="s">
        <v>387</v>
      </c>
    </row>
    <row r="1138" spans="1:48" x14ac:dyDescent="0.25">
      <c r="A1138" s="18" t="s">
        <v>1525</v>
      </c>
      <c r="B1138" s="10">
        <v>19541117</v>
      </c>
      <c r="C1138" s="9">
        <v>8</v>
      </c>
      <c r="D1138" s="8" t="str">
        <f t="shared" si="205"/>
        <v>N</v>
      </c>
      <c r="E1138" s="8" t="str">
        <f t="shared" si="206"/>
        <v>Y</v>
      </c>
      <c r="F1138" s="8" t="str">
        <f t="shared" si="207"/>
        <v>Y</v>
      </c>
      <c r="G1138" s="8" t="str">
        <f t="shared" si="208"/>
        <v>Y</v>
      </c>
      <c r="H1138" s="8" t="str">
        <f t="shared" si="209"/>
        <v>Upper</v>
      </c>
      <c r="I1138" s="8" t="str">
        <f t="shared" si="210"/>
        <v>West Fork and Below Lake</v>
      </c>
      <c r="J1138" s="8" t="str">
        <f t="shared" si="211"/>
        <v>Sonoma (d/s of Clov. Gage)</v>
      </c>
      <c r="K1138" s="8" t="str">
        <f t="shared" si="212"/>
        <v>Post-1949</v>
      </c>
      <c r="L1138" s="8">
        <f t="shared" si="213"/>
        <v>1954</v>
      </c>
      <c r="M1138" s="8" t="str">
        <f t="shared" si="215"/>
        <v>1953-1954</v>
      </c>
      <c r="N1138" s="10" t="s">
        <v>242</v>
      </c>
      <c r="O1138" s="10" t="s">
        <v>241</v>
      </c>
      <c r="P1138" s="10" t="s">
        <v>242</v>
      </c>
      <c r="Q1138" s="10" t="s">
        <v>242</v>
      </c>
      <c r="R1138" s="10" t="s">
        <v>241</v>
      </c>
      <c r="S1138" s="10" t="s">
        <v>242</v>
      </c>
      <c r="T1138" s="10" t="s">
        <v>242</v>
      </c>
      <c r="U1138" s="10" t="s">
        <v>242</v>
      </c>
      <c r="V1138" s="10" t="s">
        <v>242</v>
      </c>
      <c r="W1138" s="10" t="s">
        <v>242</v>
      </c>
      <c r="X1138" s="15">
        <f>IF(ISERROR(VLOOKUP($A1138,'13. Updated Demand'!A:Z,15,FALSE)),0,VLOOKUP($A1138,'13. Updated Demand'!A:Z,15,FALSE))</f>
        <v>0</v>
      </c>
      <c r="Y1138" s="16">
        <f>IF(ISERROR(VLOOKUP($A1138,'13. Updated Demand'!A:Z,16,FALSE)),0,VLOOKUP($A1138,'13. Updated Demand'!A:Z,16,FALSE))</f>
        <v>0</v>
      </c>
      <c r="Z1138" s="16">
        <f>IF(ISERROR(VLOOKUP($A1138,'13. Updated Demand'!A:Z,17,FALSE)),0,VLOOKUP($A1138,'13. Updated Demand'!A:Z,17,FALSE))</f>
        <v>0</v>
      </c>
      <c r="AA1138" s="16">
        <f>IF(ISERROR(VLOOKUP($A1138,'13. Updated Demand'!A:Z,18,FALSE)),0,VLOOKUP($A1138,'13. Updated Demand'!A:Z,18,FALSE))</f>
        <v>0</v>
      </c>
      <c r="AB1138" s="16">
        <f>IF(ISERROR(VLOOKUP($A1138,'13. Updated Demand'!A:Z,19,FALSE)),0,VLOOKUP($A1138,'13. Updated Demand'!A:Z,19,FALSE))</f>
        <v>0.05</v>
      </c>
      <c r="AC1138" s="16">
        <f>IF(ISERROR(VLOOKUP($A1138,'13. Updated Demand'!A:Z,20,FALSE)),0,VLOOKUP($A1138,'13. Updated Demand'!A:Z,20,FALSE))</f>
        <v>0.05</v>
      </c>
      <c r="AD1138" s="16">
        <f>IF(ISERROR(VLOOKUP($A1138,'13. Updated Demand'!A:Z,21,FALSE)),0,VLOOKUP($A1138,'13. Updated Demand'!A:Z,21,FALSE))</f>
        <v>0.05</v>
      </c>
      <c r="AE1138" s="16">
        <f>IF(ISERROR(VLOOKUP($A1138,'13. Updated Demand'!A:Z,22,FALSE)),0,VLOOKUP($A1138,'13. Updated Demand'!A:Z,22,FALSE))</f>
        <v>0.05</v>
      </c>
      <c r="AF1138" s="16">
        <f>IF(ISERROR(VLOOKUP($A1138,'13. Updated Demand'!A:Z,23,FALSE)),0,VLOOKUP($A1138,'13. Updated Demand'!A:Z,23,FALSE))</f>
        <v>0.05</v>
      </c>
      <c r="AG1138" s="16">
        <f>IF(ISERROR(VLOOKUP($A1138,'13. Updated Demand'!A:Z,24,FALSE)),0,VLOOKUP($A1138,'13. Updated Demand'!A:Z,24,FALSE))</f>
        <v>0</v>
      </c>
      <c r="AH1138" s="16">
        <f>IF(ISERROR(VLOOKUP($A1138,'13. Updated Demand'!A:Z,25,FALSE)),0,VLOOKUP($A1138,'13. Updated Demand'!A:Z,25,FALSE))</f>
        <v>0</v>
      </c>
      <c r="AI1138" s="16">
        <f>IF(ISERROR(VLOOKUP($A1138,'13. Updated Demand'!A:Z,26,FALSE)),0,VLOOKUP($A1138,'13. Updated Demand'!A:Z,26,FALSE))</f>
        <v>0</v>
      </c>
      <c r="AJ1138" s="16">
        <f t="shared" si="216"/>
        <v>0.25</v>
      </c>
      <c r="AK1138" s="19">
        <v>0.25856666700000003</v>
      </c>
      <c r="AL1138" s="16">
        <f t="shared" si="214"/>
        <v>8.5763618092780426E-4</v>
      </c>
      <c r="AM1138" s="17">
        <v>5.9577573041474661E-3</v>
      </c>
      <c r="AN1138" s="19"/>
      <c r="AO1138" s="19"/>
      <c r="AP1138" s="19">
        <v>43.4</v>
      </c>
      <c r="AQ1138" s="19" t="s">
        <v>307</v>
      </c>
      <c r="AR1138" s="9" t="s">
        <v>409</v>
      </c>
      <c r="AS1138" s="12">
        <v>3.4039024194010059E-4</v>
      </c>
      <c r="AT1138" s="19">
        <v>38.831499999999998</v>
      </c>
      <c r="AU1138" s="19">
        <v>-122.99639999999999</v>
      </c>
      <c r="AV1138" s="19" t="s">
        <v>548</v>
      </c>
    </row>
    <row r="1139" spans="1:48" x14ac:dyDescent="0.25">
      <c r="A1139" s="18" t="s">
        <v>1526</v>
      </c>
      <c r="B1139" s="10">
        <v>19540216</v>
      </c>
      <c r="C1139" s="9">
        <v>9</v>
      </c>
      <c r="D1139" s="8" t="str">
        <f t="shared" si="205"/>
        <v>N</v>
      </c>
      <c r="E1139" s="8" t="str">
        <f t="shared" si="206"/>
        <v>Y</v>
      </c>
      <c r="F1139" s="8" t="str">
        <f t="shared" si="207"/>
        <v>Y</v>
      </c>
      <c r="G1139" s="8" t="str">
        <f t="shared" si="208"/>
        <v>Y</v>
      </c>
      <c r="H1139" s="8" t="str">
        <f t="shared" si="209"/>
        <v>Upper</v>
      </c>
      <c r="I1139" s="8" t="str">
        <f t="shared" si="210"/>
        <v>West Fork and Below Lake</v>
      </c>
      <c r="J1139" s="8" t="str">
        <f t="shared" si="211"/>
        <v>Sonoma (d/s of Clov. Gage)</v>
      </c>
      <c r="K1139" s="8" t="str">
        <f t="shared" si="212"/>
        <v>Post-1949</v>
      </c>
      <c r="L1139" s="8">
        <f t="shared" si="213"/>
        <v>1954</v>
      </c>
      <c r="M1139" s="8" t="str">
        <f t="shared" si="215"/>
        <v>1953-1954</v>
      </c>
      <c r="N1139" s="10" t="s">
        <v>241</v>
      </c>
      <c r="O1139" s="10" t="s">
        <v>241</v>
      </c>
      <c r="P1139" s="10" t="s">
        <v>242</v>
      </c>
      <c r="Q1139" s="10" t="s">
        <v>242</v>
      </c>
      <c r="R1139" s="10" t="s">
        <v>241</v>
      </c>
      <c r="S1139" s="10" t="s">
        <v>242</v>
      </c>
      <c r="T1139" s="10" t="s">
        <v>242</v>
      </c>
      <c r="U1139" s="10" t="s">
        <v>242</v>
      </c>
      <c r="V1139" s="10" t="s">
        <v>242</v>
      </c>
      <c r="W1139" s="10" t="s">
        <v>242</v>
      </c>
      <c r="X1139" s="15">
        <f>IF(ISERROR(VLOOKUP($A1139,'13. Updated Demand'!A:Z,15,FALSE)),0,VLOOKUP($A1139,'13. Updated Demand'!A:Z,15,FALSE))</f>
        <v>0</v>
      </c>
      <c r="Y1139" s="16">
        <f>IF(ISERROR(VLOOKUP($A1139,'13. Updated Demand'!A:Z,16,FALSE)),0,VLOOKUP($A1139,'13. Updated Demand'!A:Z,16,FALSE))</f>
        <v>0</v>
      </c>
      <c r="Z1139" s="16">
        <f>IF(ISERROR(VLOOKUP($A1139,'13. Updated Demand'!A:Z,17,FALSE)),0,VLOOKUP($A1139,'13. Updated Demand'!A:Z,17,FALSE))</f>
        <v>0</v>
      </c>
      <c r="AA1139" s="16">
        <f>IF(ISERROR(VLOOKUP($A1139,'13. Updated Demand'!A:Z,18,FALSE)),0,VLOOKUP($A1139,'13. Updated Demand'!A:Z,18,FALSE))</f>
        <v>0</v>
      </c>
      <c r="AB1139" s="16">
        <f>IF(ISERROR(VLOOKUP($A1139,'13. Updated Demand'!A:Z,19,FALSE)),0,VLOOKUP($A1139,'13. Updated Demand'!A:Z,19,FALSE))</f>
        <v>0</v>
      </c>
      <c r="AC1139" s="16">
        <f>IF(ISERROR(VLOOKUP($A1139,'13. Updated Demand'!A:Z,20,FALSE)),0,VLOOKUP($A1139,'13. Updated Demand'!A:Z,20,FALSE))</f>
        <v>1.2213333333333299E-3</v>
      </c>
      <c r="AD1139" s="16">
        <f>IF(ISERROR(VLOOKUP($A1139,'13. Updated Demand'!A:Z,21,FALSE)),0,VLOOKUP($A1139,'13. Updated Demand'!A:Z,21,FALSE))</f>
        <v>0</v>
      </c>
      <c r="AE1139" s="16">
        <f>IF(ISERROR(VLOOKUP($A1139,'13. Updated Demand'!A:Z,22,FALSE)),0,VLOOKUP($A1139,'13. Updated Demand'!A:Z,22,FALSE))</f>
        <v>0</v>
      </c>
      <c r="AF1139" s="16">
        <f>IF(ISERROR(VLOOKUP($A1139,'13. Updated Demand'!A:Z,23,FALSE)),0,VLOOKUP($A1139,'13. Updated Demand'!A:Z,23,FALSE))</f>
        <v>0</v>
      </c>
      <c r="AG1139" s="16">
        <f>IF(ISERROR(VLOOKUP($A1139,'13. Updated Demand'!A:Z,24,FALSE)),0,VLOOKUP($A1139,'13. Updated Demand'!A:Z,24,FALSE))</f>
        <v>0</v>
      </c>
      <c r="AH1139" s="16">
        <f>IF(ISERROR(VLOOKUP($A1139,'13. Updated Demand'!A:Z,25,FALSE)),0,VLOOKUP($A1139,'13. Updated Demand'!A:Z,25,FALSE))</f>
        <v>0</v>
      </c>
      <c r="AI1139" s="16">
        <f>IF(ISERROR(VLOOKUP($A1139,'13. Updated Demand'!A:Z,26,FALSE)),0,VLOOKUP($A1139,'13. Updated Demand'!A:Z,26,FALSE))</f>
        <v>0</v>
      </c>
      <c r="AJ1139" s="16">
        <f t="shared" si="216"/>
        <v>1.2213333333333299E-3</v>
      </c>
      <c r="AK1139" s="19">
        <v>1.2213333333333299E-3</v>
      </c>
      <c r="AL1139" s="16">
        <f t="shared" si="214"/>
        <v>4.0510235437262378E-6</v>
      </c>
      <c r="AM1139" s="17">
        <v>8.4346224677716148E-6</v>
      </c>
      <c r="AN1139" s="19"/>
      <c r="AO1139" s="19"/>
      <c r="AP1139" s="19">
        <v>144.80000000000001</v>
      </c>
      <c r="AQ1139" s="19" t="s">
        <v>307</v>
      </c>
      <c r="AR1139" s="9" t="s">
        <v>354</v>
      </c>
      <c r="AS1139" s="12">
        <v>0</v>
      </c>
      <c r="AT1139" s="19">
        <v>38.784819730000002</v>
      </c>
      <c r="AU1139" s="19">
        <v>-122.99673849</v>
      </c>
      <c r="AV1139" s="19" t="s">
        <v>548</v>
      </c>
    </row>
    <row r="1140" spans="1:48" x14ac:dyDescent="0.25">
      <c r="A1140" s="18" t="s">
        <v>1527</v>
      </c>
      <c r="B1140" s="10">
        <v>19540218</v>
      </c>
      <c r="C1140" s="9">
        <v>12</v>
      </c>
      <c r="D1140" s="8" t="str">
        <f t="shared" si="205"/>
        <v>N</v>
      </c>
      <c r="E1140" s="8" t="str">
        <f t="shared" si="206"/>
        <v>Y</v>
      </c>
      <c r="F1140" s="8" t="str">
        <f t="shared" si="207"/>
        <v>Y</v>
      </c>
      <c r="G1140" s="8" t="str">
        <f t="shared" si="208"/>
        <v>Y</v>
      </c>
      <c r="H1140" s="8" t="s">
        <v>252</v>
      </c>
      <c r="I1140" s="8" t="str">
        <f t="shared" si="210"/>
        <v>West Fork and Below Lake</v>
      </c>
      <c r="J1140" s="8" t="str">
        <f t="shared" si="211"/>
        <v>Sonoma (d/s of Clov. Gage)</v>
      </c>
      <c r="K1140" s="8" t="str">
        <f t="shared" si="212"/>
        <v>Post-1949</v>
      </c>
      <c r="L1140" s="8">
        <f t="shared" si="213"/>
        <v>1954</v>
      </c>
      <c r="M1140" s="8" t="s">
        <v>1528</v>
      </c>
      <c r="N1140" s="10" t="s">
        <v>241</v>
      </c>
      <c r="O1140" s="10" t="s">
        <v>241</v>
      </c>
      <c r="P1140" s="10" t="s">
        <v>242</v>
      </c>
      <c r="Q1140" s="10" t="s">
        <v>242</v>
      </c>
      <c r="R1140" s="10" t="s">
        <v>241</v>
      </c>
      <c r="S1140" s="10" t="s">
        <v>242</v>
      </c>
      <c r="T1140" s="10" t="s">
        <v>242</v>
      </c>
      <c r="U1140" s="10" t="s">
        <v>242</v>
      </c>
      <c r="V1140" s="10" t="s">
        <v>242</v>
      </c>
      <c r="W1140" s="10" t="s">
        <v>242</v>
      </c>
      <c r="X1140" s="15">
        <f>IF(ISERROR(VLOOKUP($A1140,'13. Updated Demand'!A:Z,15,FALSE)),0,VLOOKUP($A1140,'13. Updated Demand'!A:Z,15,FALSE))</f>
        <v>150.33000000000001</v>
      </c>
      <c r="Y1140" s="16">
        <f>IF(ISERROR(VLOOKUP($A1140,'13. Updated Demand'!A:Z,16,FALSE)),0,VLOOKUP($A1140,'13. Updated Demand'!A:Z,16,FALSE))</f>
        <v>131</v>
      </c>
      <c r="Z1140" s="16">
        <f>IF(ISERROR(VLOOKUP($A1140,'13. Updated Demand'!A:Z,17,FALSE)),0,VLOOKUP($A1140,'13. Updated Demand'!A:Z,17,FALSE))</f>
        <v>154.33000000000001</v>
      </c>
      <c r="AA1140" s="16">
        <f>IF(ISERROR(VLOOKUP($A1140,'13. Updated Demand'!A:Z,18,FALSE)),0,VLOOKUP($A1140,'13. Updated Demand'!A:Z,18,FALSE))</f>
        <v>582.33000000000004</v>
      </c>
      <c r="AB1140" s="16">
        <f>IF(ISERROR(VLOOKUP($A1140,'13. Updated Demand'!A:Z,19,FALSE)),0,VLOOKUP($A1140,'13. Updated Demand'!A:Z,19,FALSE))</f>
        <v>1230</v>
      </c>
      <c r="AC1140" s="16">
        <f>IF(ISERROR(VLOOKUP($A1140,'13. Updated Demand'!A:Z,20,FALSE)),0,VLOOKUP($A1140,'13. Updated Demand'!A:Z,20,FALSE))</f>
        <v>1190</v>
      </c>
      <c r="AD1140" s="16">
        <f>IF(ISERROR(VLOOKUP($A1140,'13. Updated Demand'!A:Z,21,FALSE)),0,VLOOKUP($A1140,'13. Updated Demand'!A:Z,21,FALSE))</f>
        <v>820</v>
      </c>
      <c r="AE1140" s="16">
        <f>IF(ISERROR(VLOOKUP($A1140,'13. Updated Demand'!A:Z,22,FALSE)),0,VLOOKUP($A1140,'13. Updated Demand'!A:Z,22,FALSE))</f>
        <v>266.33</v>
      </c>
      <c r="AF1140" s="16">
        <f>IF(ISERROR(VLOOKUP($A1140,'13. Updated Demand'!A:Z,23,FALSE)),0,VLOOKUP($A1140,'13. Updated Demand'!A:Z,23,FALSE))</f>
        <v>248.33</v>
      </c>
      <c r="AG1140" s="16">
        <f>IF(ISERROR(VLOOKUP($A1140,'13. Updated Demand'!A:Z,24,FALSE)),0,VLOOKUP($A1140,'13. Updated Demand'!A:Z,24,FALSE))</f>
        <v>252.66</v>
      </c>
      <c r="AH1140" s="16">
        <f>IF(ISERROR(VLOOKUP($A1140,'13. Updated Demand'!A:Z,25,FALSE)),0,VLOOKUP($A1140,'13. Updated Demand'!A:Z,25,FALSE))</f>
        <v>198.33</v>
      </c>
      <c r="AI1140" s="16">
        <f>IF(ISERROR(VLOOKUP($A1140,'13. Updated Demand'!A:Z,26,FALSE)),0,VLOOKUP($A1140,'13. Updated Demand'!A:Z,26,FALSE))</f>
        <v>139</v>
      </c>
      <c r="AJ1140" s="16">
        <f t="shared" si="216"/>
        <v>5362.6399999999994</v>
      </c>
      <c r="AK1140" s="19">
        <v>3754.6666666666661</v>
      </c>
      <c r="AL1140" s="16">
        <f t="shared" si="214"/>
        <v>12.453801636608203</v>
      </c>
      <c r="AM1140" s="17">
        <v>0.37036013886203106</v>
      </c>
      <c r="AN1140" s="19"/>
      <c r="AO1140" s="19"/>
      <c r="AP1140" s="19">
        <v>14479.6</v>
      </c>
      <c r="AQ1140" s="19" t="s">
        <v>307</v>
      </c>
      <c r="AR1140" s="9" t="s">
        <v>311</v>
      </c>
      <c r="AS1140" s="12">
        <v>0</v>
      </c>
      <c r="AT1140" s="19">
        <v>38.510305729999999</v>
      </c>
      <c r="AU1140" s="19">
        <v>-122.88386611999999</v>
      </c>
      <c r="AV1140" s="19" t="s">
        <v>387</v>
      </c>
    </row>
    <row r="1141" spans="1:48" x14ac:dyDescent="0.25">
      <c r="A1141" s="18" t="s">
        <v>1529</v>
      </c>
      <c r="B1141" s="10">
        <v>19540218</v>
      </c>
      <c r="C1141" s="9">
        <v>12</v>
      </c>
      <c r="D1141" s="8" t="str">
        <f t="shared" si="205"/>
        <v>N</v>
      </c>
      <c r="E1141" s="8" t="str">
        <f t="shared" si="206"/>
        <v>Y</v>
      </c>
      <c r="F1141" s="8" t="str">
        <f t="shared" si="207"/>
        <v>Y</v>
      </c>
      <c r="G1141" s="8" t="str">
        <f t="shared" si="208"/>
        <v>Y</v>
      </c>
      <c r="H1141" s="8" t="s">
        <v>252</v>
      </c>
      <c r="I1141" s="8" t="str">
        <f t="shared" si="210"/>
        <v>West Fork and Below Lake</v>
      </c>
      <c r="J1141" s="8" t="str">
        <f t="shared" si="211"/>
        <v>Sonoma (d/s of Clov. Gage)</v>
      </c>
      <c r="K1141" s="8" t="str">
        <f t="shared" si="212"/>
        <v>Post-1949</v>
      </c>
      <c r="L1141" s="8">
        <f t="shared" si="213"/>
        <v>1954</v>
      </c>
      <c r="M1141" s="8" t="s">
        <v>1528</v>
      </c>
      <c r="N1141" s="10" t="s">
        <v>241</v>
      </c>
      <c r="O1141" s="10" t="s">
        <v>241</v>
      </c>
      <c r="P1141" s="10" t="s">
        <v>242</v>
      </c>
      <c r="Q1141" s="10" t="s">
        <v>242</v>
      </c>
      <c r="R1141" s="10" t="s">
        <v>241</v>
      </c>
      <c r="S1141" s="10" t="s">
        <v>242</v>
      </c>
      <c r="T1141" s="10" t="s">
        <v>242</v>
      </c>
      <c r="U1141" s="10" t="s">
        <v>242</v>
      </c>
      <c r="V1141" s="10" t="s">
        <v>242</v>
      </c>
      <c r="W1141" s="10" t="s">
        <v>242</v>
      </c>
      <c r="X1141" s="15">
        <f>IF(ISERROR(VLOOKUP($A1141,'13. Updated Demand'!A:Z,15,FALSE)),0,VLOOKUP($A1141,'13. Updated Demand'!A:Z,15,FALSE))</f>
        <v>0</v>
      </c>
      <c r="Y1141" s="16">
        <f>IF(ISERROR(VLOOKUP($A1141,'13. Updated Demand'!A:Z,16,FALSE)),0,VLOOKUP($A1141,'13. Updated Demand'!A:Z,16,FALSE))</f>
        <v>0</v>
      </c>
      <c r="Z1141" s="16">
        <f>IF(ISERROR(VLOOKUP($A1141,'13. Updated Demand'!A:Z,17,FALSE)),0,VLOOKUP($A1141,'13. Updated Demand'!A:Z,17,FALSE))</f>
        <v>0</v>
      </c>
      <c r="AA1141" s="16">
        <f>IF(ISERROR(VLOOKUP($A1141,'13. Updated Demand'!A:Z,18,FALSE)),0,VLOOKUP($A1141,'13. Updated Demand'!A:Z,18,FALSE))</f>
        <v>0</v>
      </c>
      <c r="AB1141" s="16">
        <f>IF(ISERROR(VLOOKUP($A1141,'13. Updated Demand'!A:Z,19,FALSE)),0,VLOOKUP($A1141,'13. Updated Demand'!A:Z,19,FALSE))</f>
        <v>1280.6600000000001</v>
      </c>
      <c r="AC1141" s="16">
        <f>IF(ISERROR(VLOOKUP($A1141,'13. Updated Demand'!A:Z,20,FALSE)),0,VLOOKUP($A1141,'13. Updated Demand'!A:Z,20,FALSE))</f>
        <v>2664.66</v>
      </c>
      <c r="AD1141" s="16">
        <f>IF(ISERROR(VLOOKUP($A1141,'13. Updated Demand'!A:Z,21,FALSE)),0,VLOOKUP($A1141,'13. Updated Demand'!A:Z,21,FALSE))</f>
        <v>856</v>
      </c>
      <c r="AE1141" s="16">
        <f>IF(ISERROR(VLOOKUP($A1141,'13. Updated Demand'!A:Z,22,FALSE)),0,VLOOKUP($A1141,'13. Updated Demand'!A:Z,22,FALSE))</f>
        <v>0</v>
      </c>
      <c r="AF1141" s="16">
        <f>IF(ISERROR(VLOOKUP($A1141,'13. Updated Demand'!A:Z,23,FALSE)),0,VLOOKUP($A1141,'13. Updated Demand'!A:Z,23,FALSE))</f>
        <v>0</v>
      </c>
      <c r="AG1141" s="16">
        <f>IF(ISERROR(VLOOKUP($A1141,'13. Updated Demand'!A:Z,24,FALSE)),0,VLOOKUP($A1141,'13. Updated Demand'!A:Z,24,FALSE))</f>
        <v>0</v>
      </c>
      <c r="AH1141" s="16">
        <f>IF(ISERROR(VLOOKUP($A1141,'13. Updated Demand'!A:Z,25,FALSE)),0,VLOOKUP($A1141,'13. Updated Demand'!A:Z,25,FALSE))</f>
        <v>0</v>
      </c>
      <c r="AI1141" s="16">
        <f>IF(ISERROR(VLOOKUP($A1141,'13. Updated Demand'!A:Z,26,FALSE)),0,VLOOKUP($A1141,'13. Updated Demand'!A:Z,26,FALSE))</f>
        <v>0</v>
      </c>
      <c r="AJ1141" s="16">
        <f t="shared" si="216"/>
        <v>4801.32</v>
      </c>
      <c r="AK1141" s="19">
        <v>4801.3333333333403</v>
      </c>
      <c r="AL1141" s="16">
        <f t="shared" si="214"/>
        <v>15.925475743404194</v>
      </c>
      <c r="AM1141" s="17">
        <v>0.22045903967772973</v>
      </c>
      <c r="AN1141" s="19"/>
      <c r="AO1141" s="19"/>
      <c r="AP1141" s="19">
        <v>21778.799999999999</v>
      </c>
      <c r="AQ1141" s="19" t="s">
        <v>307</v>
      </c>
      <c r="AR1141" s="9" t="s">
        <v>311</v>
      </c>
      <c r="AS1141" s="12">
        <v>0</v>
      </c>
      <c r="AT1141" s="19">
        <v>38.510305729999999</v>
      </c>
      <c r="AU1141" s="19">
        <v>-122.88386611999999</v>
      </c>
      <c r="AV1141" s="19" t="s">
        <v>387</v>
      </c>
    </row>
    <row r="1142" spans="1:48" x14ac:dyDescent="0.25">
      <c r="A1142" s="18" t="s">
        <v>1530</v>
      </c>
      <c r="B1142" s="10">
        <v>19540111</v>
      </c>
      <c r="C1142" s="9">
        <v>4</v>
      </c>
      <c r="D1142" s="8" t="str">
        <f t="shared" si="205"/>
        <v>Y</v>
      </c>
      <c r="E1142" s="8" t="str">
        <f t="shared" si="206"/>
        <v>N</v>
      </c>
      <c r="F1142" s="8" t="str">
        <f t="shared" si="207"/>
        <v>Y</v>
      </c>
      <c r="G1142" s="8" t="str">
        <f t="shared" si="208"/>
        <v>Y</v>
      </c>
      <c r="H1142" s="8" t="str">
        <f t="shared" si="209"/>
        <v>Upper</v>
      </c>
      <c r="I1142" s="8" t="str">
        <f t="shared" si="210"/>
        <v>West Fork and Below Lake</v>
      </c>
      <c r="J1142" s="8" t="str">
        <f t="shared" si="211"/>
        <v>Mendocino (d/s of lake)</v>
      </c>
      <c r="K1142" s="8" t="str">
        <f t="shared" si="212"/>
        <v>Post-1949</v>
      </c>
      <c r="L1142" s="8">
        <f t="shared" si="213"/>
        <v>1954</v>
      </c>
      <c r="M1142" s="8" t="str">
        <f t="shared" si="215"/>
        <v>1953-1954</v>
      </c>
      <c r="N1142" s="10" t="s">
        <v>241</v>
      </c>
      <c r="O1142" s="10" t="s">
        <v>241</v>
      </c>
      <c r="P1142" s="10" t="s">
        <v>242</v>
      </c>
      <c r="Q1142" s="10" t="s">
        <v>242</v>
      </c>
      <c r="R1142" s="10" t="s">
        <v>241</v>
      </c>
      <c r="S1142" s="10" t="s">
        <v>242</v>
      </c>
      <c r="T1142" s="10" t="s">
        <v>241</v>
      </c>
      <c r="U1142" s="10" t="s">
        <v>241</v>
      </c>
      <c r="V1142" s="10" t="s">
        <v>241</v>
      </c>
      <c r="W1142" s="10" t="s">
        <v>242</v>
      </c>
      <c r="X1142" s="15">
        <f>IF(ISERROR(VLOOKUP($A1142,'13. Updated Demand'!A:Z,15,FALSE)),0,VLOOKUP($A1142,'13. Updated Demand'!A:Z,15,FALSE))</f>
        <v>0</v>
      </c>
      <c r="Y1142" s="16">
        <f>IF(ISERROR(VLOOKUP($A1142,'13. Updated Demand'!A:Z,16,FALSE)),0,VLOOKUP($A1142,'13. Updated Demand'!A:Z,16,FALSE))</f>
        <v>0</v>
      </c>
      <c r="Z1142" s="16">
        <f>IF(ISERROR(VLOOKUP($A1142,'13. Updated Demand'!A:Z,17,FALSE)),0,VLOOKUP($A1142,'13. Updated Demand'!A:Z,17,FALSE))</f>
        <v>0</v>
      </c>
      <c r="AA1142" s="16">
        <f>IF(ISERROR(VLOOKUP($A1142,'13. Updated Demand'!A:Z,18,FALSE)),0,VLOOKUP($A1142,'13. Updated Demand'!A:Z,18,FALSE))</f>
        <v>0</v>
      </c>
      <c r="AB1142" s="16">
        <f>IF(ISERROR(VLOOKUP($A1142,'13. Updated Demand'!A:Z,19,FALSE)),0,VLOOKUP($A1142,'13. Updated Demand'!A:Z,19,FALSE))</f>
        <v>0</v>
      </c>
      <c r="AC1142" s="16">
        <f>IF(ISERROR(VLOOKUP($A1142,'13. Updated Demand'!A:Z,20,FALSE)),0,VLOOKUP($A1142,'13. Updated Demand'!A:Z,20,FALSE))</f>
        <v>0</v>
      </c>
      <c r="AD1142" s="16">
        <f>IF(ISERROR(VLOOKUP($A1142,'13. Updated Demand'!A:Z,21,FALSE)),0,VLOOKUP($A1142,'13. Updated Demand'!A:Z,21,FALSE))</f>
        <v>0</v>
      </c>
      <c r="AE1142" s="16">
        <f>IF(ISERROR(VLOOKUP($A1142,'13. Updated Demand'!A:Z,22,FALSE)),0,VLOOKUP($A1142,'13. Updated Demand'!A:Z,22,FALSE))</f>
        <v>0</v>
      </c>
      <c r="AF1142" s="16">
        <f>IF(ISERROR(VLOOKUP($A1142,'13. Updated Demand'!A:Z,23,FALSE)),0,VLOOKUP($A1142,'13. Updated Demand'!A:Z,23,FALSE))</f>
        <v>0</v>
      </c>
      <c r="AG1142" s="16">
        <f>IF(ISERROR(VLOOKUP($A1142,'13. Updated Demand'!A:Z,24,FALSE)),0,VLOOKUP($A1142,'13. Updated Demand'!A:Z,24,FALSE))</f>
        <v>0</v>
      </c>
      <c r="AH1142" s="16">
        <f>IF(ISERROR(VLOOKUP($A1142,'13. Updated Demand'!A:Z,25,FALSE)),0,VLOOKUP($A1142,'13. Updated Demand'!A:Z,25,FALSE))</f>
        <v>0</v>
      </c>
      <c r="AI1142" s="16">
        <f>IF(ISERROR(VLOOKUP($A1142,'13. Updated Demand'!A:Z,26,FALSE)),0,VLOOKUP($A1142,'13. Updated Demand'!A:Z,26,FALSE))</f>
        <v>0</v>
      </c>
      <c r="AJ1142" s="16">
        <f t="shared" si="216"/>
        <v>0</v>
      </c>
      <c r="AK1142" s="19">
        <v>0</v>
      </c>
      <c r="AL1142" s="16">
        <f t="shared" si="214"/>
        <v>0</v>
      </c>
      <c r="AM1142" s="17">
        <v>0</v>
      </c>
      <c r="AN1142" s="19"/>
      <c r="AO1142" s="19"/>
      <c r="AP1142" s="19">
        <v>61</v>
      </c>
      <c r="AQ1142" s="19" t="s">
        <v>307</v>
      </c>
      <c r="AR1142" s="9" t="s">
        <v>331</v>
      </c>
      <c r="AS1142" s="12">
        <v>0</v>
      </c>
      <c r="AT1142" s="19">
        <v>39.137683670000001</v>
      </c>
      <c r="AU1142" s="19">
        <v>-123.18628701</v>
      </c>
      <c r="AV1142" s="19" t="s">
        <v>387</v>
      </c>
    </row>
    <row r="1143" spans="1:48" x14ac:dyDescent="0.25">
      <c r="A1143" s="18" t="s">
        <v>1531</v>
      </c>
      <c r="B1143" s="10">
        <v>19540115</v>
      </c>
      <c r="C1143" s="9">
        <v>23</v>
      </c>
      <c r="D1143" s="8" t="str">
        <f t="shared" si="205"/>
        <v>N</v>
      </c>
      <c r="E1143" s="8" t="str">
        <f t="shared" si="206"/>
        <v>N</v>
      </c>
      <c r="F1143" s="8" t="str">
        <f t="shared" si="207"/>
        <v>N</v>
      </c>
      <c r="G1143" s="8" t="str">
        <f t="shared" si="208"/>
        <v>N</v>
      </c>
      <c r="H1143" s="8" t="str">
        <f t="shared" si="209"/>
        <v>Lower</v>
      </c>
      <c r="I1143" s="8" t="str">
        <f t="shared" si="210"/>
        <v>Outside</v>
      </c>
      <c r="J1143" s="8" t="str">
        <f t="shared" si="211"/>
        <v>Outside</v>
      </c>
      <c r="K1143" s="8" t="str">
        <f t="shared" si="212"/>
        <v>Post-1949</v>
      </c>
      <c r="L1143" s="8">
        <f t="shared" si="213"/>
        <v>1954</v>
      </c>
      <c r="M1143" s="8" t="str">
        <f t="shared" si="215"/>
        <v>1953-1954</v>
      </c>
      <c r="N1143" s="10" t="s">
        <v>242</v>
      </c>
      <c r="O1143" s="10" t="s">
        <v>242</v>
      </c>
      <c r="P1143" s="10" t="s">
        <v>242</v>
      </c>
      <c r="Q1143" s="10" t="s">
        <v>242</v>
      </c>
      <c r="R1143" s="10" t="s">
        <v>241</v>
      </c>
      <c r="S1143" s="10" t="s">
        <v>242</v>
      </c>
      <c r="T1143" s="10" t="s">
        <v>242</v>
      </c>
      <c r="U1143" s="10" t="s">
        <v>241</v>
      </c>
      <c r="V1143" s="10" t="s">
        <v>241</v>
      </c>
      <c r="W1143" s="10" t="s">
        <v>242</v>
      </c>
      <c r="X1143" s="15">
        <f>IF(ISERROR(VLOOKUP($A1143,'13. Updated Demand'!A:Z,15,FALSE)),0,VLOOKUP($A1143,'13. Updated Demand'!A:Z,15,FALSE))</f>
        <v>0</v>
      </c>
      <c r="Y1143" s="16">
        <f>IF(ISERROR(VLOOKUP($A1143,'13. Updated Demand'!A:Z,16,FALSE)),0,VLOOKUP($A1143,'13. Updated Demand'!A:Z,16,FALSE))</f>
        <v>0</v>
      </c>
      <c r="Z1143" s="16">
        <f>IF(ISERROR(VLOOKUP($A1143,'13. Updated Demand'!A:Z,17,FALSE)),0,VLOOKUP($A1143,'13. Updated Demand'!A:Z,17,FALSE))</f>
        <v>0</v>
      </c>
      <c r="AA1143" s="16">
        <f>IF(ISERROR(VLOOKUP($A1143,'13. Updated Demand'!A:Z,18,FALSE)),0,VLOOKUP($A1143,'13. Updated Demand'!A:Z,18,FALSE))</f>
        <v>0</v>
      </c>
      <c r="AB1143" s="16">
        <f>IF(ISERROR(VLOOKUP($A1143,'13. Updated Demand'!A:Z,19,FALSE)),0,VLOOKUP($A1143,'13. Updated Demand'!A:Z,19,FALSE))</f>
        <v>0</v>
      </c>
      <c r="AC1143" s="16">
        <f>IF(ISERROR(VLOOKUP($A1143,'13. Updated Demand'!A:Z,20,FALSE)),0,VLOOKUP($A1143,'13. Updated Demand'!A:Z,20,FALSE))</f>
        <v>0</v>
      </c>
      <c r="AD1143" s="16">
        <f>IF(ISERROR(VLOOKUP($A1143,'13. Updated Demand'!A:Z,21,FALSE)),0,VLOOKUP($A1143,'13. Updated Demand'!A:Z,21,FALSE))</f>
        <v>0</v>
      </c>
      <c r="AE1143" s="16">
        <f>IF(ISERROR(VLOOKUP($A1143,'13. Updated Demand'!A:Z,22,FALSE)),0,VLOOKUP($A1143,'13. Updated Demand'!A:Z,22,FALSE))</f>
        <v>0</v>
      </c>
      <c r="AF1143" s="16">
        <f>IF(ISERROR(VLOOKUP($A1143,'13. Updated Demand'!A:Z,23,FALSE)),0,VLOOKUP($A1143,'13. Updated Demand'!A:Z,23,FALSE))</f>
        <v>0</v>
      </c>
      <c r="AG1143" s="16">
        <f>IF(ISERROR(VLOOKUP($A1143,'13. Updated Demand'!A:Z,24,FALSE)),0,VLOOKUP($A1143,'13. Updated Demand'!A:Z,24,FALSE))</f>
        <v>0</v>
      </c>
      <c r="AH1143" s="16">
        <f>IF(ISERROR(VLOOKUP($A1143,'13. Updated Demand'!A:Z,25,FALSE)),0,VLOOKUP($A1143,'13. Updated Demand'!A:Z,25,FALSE))</f>
        <v>0</v>
      </c>
      <c r="AI1143" s="16">
        <f>IF(ISERROR(VLOOKUP($A1143,'13. Updated Demand'!A:Z,26,FALSE)),0,VLOOKUP($A1143,'13. Updated Demand'!A:Z,26,FALSE))</f>
        <v>0</v>
      </c>
      <c r="AJ1143" s="16">
        <f t="shared" si="216"/>
        <v>0</v>
      </c>
      <c r="AK1143" s="19">
        <v>0</v>
      </c>
      <c r="AL1143" s="16">
        <f t="shared" si="214"/>
        <v>0</v>
      </c>
      <c r="AM1143" s="17">
        <v>0</v>
      </c>
      <c r="AN1143" s="19"/>
      <c r="AO1143" s="19"/>
      <c r="AP1143" s="19">
        <v>0.2</v>
      </c>
      <c r="AQ1143" s="19" t="s">
        <v>307</v>
      </c>
      <c r="AR1143" s="9" t="s">
        <v>1118</v>
      </c>
      <c r="AS1143" s="12">
        <v>0</v>
      </c>
      <c r="AT1143" s="19">
        <v>38.4313255</v>
      </c>
      <c r="AU1143" s="19">
        <v>-122.83261924</v>
      </c>
      <c r="AV1143" s="19" t="s">
        <v>1532</v>
      </c>
    </row>
    <row r="1144" spans="1:48" x14ac:dyDescent="0.25">
      <c r="A1144" s="18" t="s">
        <v>1533</v>
      </c>
      <c r="B1144" s="10">
        <v>19540209</v>
      </c>
      <c r="C1144" s="9">
        <v>23</v>
      </c>
      <c r="D1144" s="8" t="str">
        <f t="shared" si="205"/>
        <v>N</v>
      </c>
      <c r="E1144" s="8" t="str">
        <f t="shared" si="206"/>
        <v>N</v>
      </c>
      <c r="F1144" s="8" t="str">
        <f t="shared" si="207"/>
        <v>N</v>
      </c>
      <c r="G1144" s="8" t="str">
        <f t="shared" si="208"/>
        <v>N</v>
      </c>
      <c r="H1144" s="8" t="str">
        <f t="shared" si="209"/>
        <v>Lower</v>
      </c>
      <c r="I1144" s="8" t="str">
        <f t="shared" si="210"/>
        <v>Outside</v>
      </c>
      <c r="J1144" s="8" t="str">
        <f t="shared" si="211"/>
        <v>Outside</v>
      </c>
      <c r="K1144" s="8" t="str">
        <f t="shared" si="212"/>
        <v>Post-1949</v>
      </c>
      <c r="L1144" s="8">
        <f t="shared" si="213"/>
        <v>1954</v>
      </c>
      <c r="M1144" s="8" t="str">
        <f t="shared" si="215"/>
        <v>1953-1954</v>
      </c>
      <c r="N1144" s="10" t="s">
        <v>242</v>
      </c>
      <c r="O1144" s="10" t="s">
        <v>242</v>
      </c>
      <c r="P1144" s="10" t="s">
        <v>242</v>
      </c>
      <c r="Q1144" s="10" t="s">
        <v>242</v>
      </c>
      <c r="R1144" s="10" t="s">
        <v>241</v>
      </c>
      <c r="S1144" s="10" t="s">
        <v>242</v>
      </c>
      <c r="T1144" s="10" t="s">
        <v>242</v>
      </c>
      <c r="U1144" s="10" t="s">
        <v>242</v>
      </c>
      <c r="V1144" s="10" t="s">
        <v>241</v>
      </c>
      <c r="W1144" s="10" t="s">
        <v>242</v>
      </c>
      <c r="X1144" s="15">
        <f>IF(ISERROR(VLOOKUP($A1144,'13. Updated Demand'!A:Z,15,FALSE)),0,VLOOKUP($A1144,'13. Updated Demand'!A:Z,15,FALSE))</f>
        <v>0.4</v>
      </c>
      <c r="Y1144" s="16">
        <f>IF(ISERROR(VLOOKUP($A1144,'13. Updated Demand'!A:Z,16,FALSE)),0,VLOOKUP($A1144,'13. Updated Demand'!A:Z,16,FALSE))</f>
        <v>0.133333333</v>
      </c>
      <c r="Z1144" s="16">
        <f>IF(ISERROR(VLOOKUP($A1144,'13. Updated Demand'!A:Z,17,FALSE)),0,VLOOKUP($A1144,'13. Updated Demand'!A:Z,17,FALSE))</f>
        <v>0</v>
      </c>
      <c r="AA1144" s="16">
        <f>IF(ISERROR(VLOOKUP($A1144,'13. Updated Demand'!A:Z,18,FALSE)),0,VLOOKUP($A1144,'13. Updated Demand'!A:Z,18,FALSE))</f>
        <v>0</v>
      </c>
      <c r="AB1144" s="16">
        <f>IF(ISERROR(VLOOKUP($A1144,'13. Updated Demand'!A:Z,19,FALSE)),0,VLOOKUP($A1144,'13. Updated Demand'!A:Z,19,FALSE))</f>
        <v>0</v>
      </c>
      <c r="AC1144" s="16">
        <f>IF(ISERROR(VLOOKUP($A1144,'13. Updated Demand'!A:Z,20,FALSE)),0,VLOOKUP($A1144,'13. Updated Demand'!A:Z,20,FALSE))</f>
        <v>0</v>
      </c>
      <c r="AD1144" s="16">
        <f>IF(ISERROR(VLOOKUP($A1144,'13. Updated Demand'!A:Z,21,FALSE)),0,VLOOKUP($A1144,'13. Updated Demand'!A:Z,21,FALSE))</f>
        <v>0</v>
      </c>
      <c r="AE1144" s="16">
        <f>IF(ISERROR(VLOOKUP($A1144,'13. Updated Demand'!A:Z,22,FALSE)),0,VLOOKUP($A1144,'13. Updated Demand'!A:Z,22,FALSE))</f>
        <v>0</v>
      </c>
      <c r="AF1144" s="16">
        <f>IF(ISERROR(VLOOKUP($A1144,'13. Updated Demand'!A:Z,23,FALSE)),0,VLOOKUP($A1144,'13. Updated Demand'!A:Z,23,FALSE))</f>
        <v>0</v>
      </c>
      <c r="AG1144" s="16">
        <f>IF(ISERROR(VLOOKUP($A1144,'13. Updated Demand'!A:Z,24,FALSE)),0,VLOOKUP($A1144,'13. Updated Demand'!A:Z,24,FALSE))</f>
        <v>0.26666666700000002</v>
      </c>
      <c r="AH1144" s="16">
        <f>IF(ISERROR(VLOOKUP($A1144,'13. Updated Demand'!A:Z,25,FALSE)),0,VLOOKUP($A1144,'13. Updated Demand'!A:Z,25,FALSE))</f>
        <v>0.16666666699999999</v>
      </c>
      <c r="AI1144" s="16">
        <f>IF(ISERROR(VLOOKUP($A1144,'13. Updated Demand'!A:Z,26,FALSE)),0,VLOOKUP($A1144,'13. Updated Demand'!A:Z,26,FALSE))</f>
        <v>1.0333333330000001</v>
      </c>
      <c r="AJ1144" s="16">
        <f t="shared" si="216"/>
        <v>2</v>
      </c>
      <c r="AK1144" s="19">
        <v>0</v>
      </c>
      <c r="AL1144" s="16">
        <f t="shared" si="214"/>
        <v>0</v>
      </c>
      <c r="AM1144" s="17">
        <v>8.1632653061224483E-2</v>
      </c>
      <c r="AN1144" s="19"/>
      <c r="AO1144" s="19"/>
      <c r="AP1144" s="19">
        <v>24.5</v>
      </c>
      <c r="AQ1144" s="19" t="s">
        <v>307</v>
      </c>
      <c r="AR1144" s="9" t="s">
        <v>323</v>
      </c>
      <c r="AS1144" s="12">
        <v>0</v>
      </c>
      <c r="AT1144" s="19">
        <v>38.517537709999999</v>
      </c>
      <c r="AU1144" s="19">
        <v>-122.61447197</v>
      </c>
      <c r="AV1144" s="19" t="s">
        <v>417</v>
      </c>
    </row>
    <row r="1145" spans="1:48" x14ac:dyDescent="0.25">
      <c r="A1145" s="18" t="s">
        <v>1534</v>
      </c>
      <c r="B1145" s="10">
        <v>19540216</v>
      </c>
      <c r="C1145" s="9">
        <v>10</v>
      </c>
      <c r="D1145" s="8" t="str">
        <f t="shared" si="205"/>
        <v>N</v>
      </c>
      <c r="E1145" s="8" t="str">
        <f t="shared" si="206"/>
        <v>Y</v>
      </c>
      <c r="F1145" s="8" t="str">
        <f t="shared" si="207"/>
        <v>Y</v>
      </c>
      <c r="G1145" s="8" t="str">
        <f t="shared" si="208"/>
        <v>Y</v>
      </c>
      <c r="H1145" s="8" t="str">
        <f t="shared" si="209"/>
        <v>Upper</v>
      </c>
      <c r="I1145" s="8" t="str">
        <f t="shared" si="210"/>
        <v>West Fork and Below Lake</v>
      </c>
      <c r="J1145" s="8" t="str">
        <f t="shared" si="211"/>
        <v>Sonoma (d/s of Clov. Gage)</v>
      </c>
      <c r="K1145" s="8" t="str">
        <f t="shared" si="212"/>
        <v>Post-1949</v>
      </c>
      <c r="L1145" s="8">
        <f t="shared" si="213"/>
        <v>1954</v>
      </c>
      <c r="M1145" s="8" t="str">
        <f t="shared" si="215"/>
        <v>1953-1954</v>
      </c>
      <c r="N1145" s="10" t="s">
        <v>241</v>
      </c>
      <c r="O1145" s="10" t="s">
        <v>241</v>
      </c>
      <c r="P1145" s="10" t="s">
        <v>242</v>
      </c>
      <c r="Q1145" s="10" t="s">
        <v>242</v>
      </c>
      <c r="R1145" s="10" t="s">
        <v>241</v>
      </c>
      <c r="S1145" s="10" t="s">
        <v>242</v>
      </c>
      <c r="T1145" s="10" t="s">
        <v>242</v>
      </c>
      <c r="U1145" s="10" t="s">
        <v>241</v>
      </c>
      <c r="V1145" s="10" t="s">
        <v>241</v>
      </c>
      <c r="W1145" s="10" t="s">
        <v>242</v>
      </c>
      <c r="X1145" s="15">
        <f>IF(ISERROR(VLOOKUP($A1145,'13. Updated Demand'!A:Z,15,FALSE)),0,VLOOKUP($A1145,'13. Updated Demand'!A:Z,15,FALSE))</f>
        <v>0</v>
      </c>
      <c r="Y1145" s="16">
        <f>IF(ISERROR(VLOOKUP($A1145,'13. Updated Demand'!A:Z,16,FALSE)),0,VLOOKUP($A1145,'13. Updated Demand'!A:Z,16,FALSE))</f>
        <v>0</v>
      </c>
      <c r="Z1145" s="16">
        <f>IF(ISERROR(VLOOKUP($A1145,'13. Updated Demand'!A:Z,17,FALSE)),0,VLOOKUP($A1145,'13. Updated Demand'!A:Z,17,FALSE))</f>
        <v>0</v>
      </c>
      <c r="AA1145" s="16">
        <f>IF(ISERROR(VLOOKUP($A1145,'13. Updated Demand'!A:Z,18,FALSE)),0,VLOOKUP($A1145,'13. Updated Demand'!A:Z,18,FALSE))</f>
        <v>0</v>
      </c>
      <c r="AB1145" s="16">
        <f>IF(ISERROR(VLOOKUP($A1145,'13. Updated Demand'!A:Z,19,FALSE)),0,VLOOKUP($A1145,'13. Updated Demand'!A:Z,19,FALSE))</f>
        <v>0</v>
      </c>
      <c r="AC1145" s="16">
        <f>IF(ISERROR(VLOOKUP($A1145,'13. Updated Demand'!A:Z,20,FALSE)),0,VLOOKUP($A1145,'13. Updated Demand'!A:Z,20,FALSE))</f>
        <v>0</v>
      </c>
      <c r="AD1145" s="16">
        <f>IF(ISERROR(VLOOKUP($A1145,'13. Updated Demand'!A:Z,21,FALSE)),0,VLOOKUP($A1145,'13. Updated Demand'!A:Z,21,FALSE))</f>
        <v>0</v>
      </c>
      <c r="AE1145" s="16">
        <f>IF(ISERROR(VLOOKUP($A1145,'13. Updated Demand'!A:Z,22,FALSE)),0,VLOOKUP($A1145,'13. Updated Demand'!A:Z,22,FALSE))</f>
        <v>0</v>
      </c>
      <c r="AF1145" s="16">
        <f>IF(ISERROR(VLOOKUP($A1145,'13. Updated Demand'!A:Z,23,FALSE)),0,VLOOKUP($A1145,'13. Updated Demand'!A:Z,23,FALSE))</f>
        <v>0</v>
      </c>
      <c r="AG1145" s="16">
        <f>IF(ISERROR(VLOOKUP($A1145,'13. Updated Demand'!A:Z,24,FALSE)),0,VLOOKUP($A1145,'13. Updated Demand'!A:Z,24,FALSE))</f>
        <v>0</v>
      </c>
      <c r="AH1145" s="16">
        <f>IF(ISERROR(VLOOKUP($A1145,'13. Updated Demand'!A:Z,25,FALSE)),0,VLOOKUP($A1145,'13. Updated Demand'!A:Z,25,FALSE))</f>
        <v>0</v>
      </c>
      <c r="AI1145" s="16">
        <f>IF(ISERROR(VLOOKUP($A1145,'13. Updated Demand'!A:Z,26,FALSE)),0,VLOOKUP($A1145,'13. Updated Demand'!A:Z,26,FALSE))</f>
        <v>0</v>
      </c>
      <c r="AJ1145" s="16">
        <f t="shared" si="216"/>
        <v>0</v>
      </c>
      <c r="AK1145" s="19">
        <v>0</v>
      </c>
      <c r="AL1145" s="16">
        <f t="shared" si="214"/>
        <v>0</v>
      </c>
      <c r="AM1145" s="17">
        <v>0</v>
      </c>
      <c r="AN1145" s="19"/>
      <c r="AO1145" s="19"/>
      <c r="AP1145" s="19">
        <v>154.1</v>
      </c>
      <c r="AQ1145" s="19" t="s">
        <v>307</v>
      </c>
      <c r="AR1145" s="9" t="s">
        <v>436</v>
      </c>
      <c r="AS1145" s="12">
        <v>0</v>
      </c>
      <c r="AT1145" s="19">
        <v>38.705199999999998</v>
      </c>
      <c r="AU1145" s="19">
        <v>-122.87990000000001</v>
      </c>
      <c r="AV1145" s="19" t="s">
        <v>548</v>
      </c>
    </row>
    <row r="1146" spans="1:48" x14ac:dyDescent="0.25">
      <c r="A1146" s="18" t="s">
        <v>49</v>
      </c>
      <c r="B1146" s="10">
        <v>19540216</v>
      </c>
      <c r="C1146" s="9">
        <v>12</v>
      </c>
      <c r="D1146" s="8" t="str">
        <f t="shared" si="205"/>
        <v>N</v>
      </c>
      <c r="E1146" s="8" t="str">
        <f t="shared" si="206"/>
        <v>Y</v>
      </c>
      <c r="F1146" s="8" t="str">
        <f t="shared" si="207"/>
        <v>Y</v>
      </c>
      <c r="G1146" s="8" t="str">
        <f t="shared" si="208"/>
        <v>Y</v>
      </c>
      <c r="H1146" s="8" t="str">
        <f t="shared" si="209"/>
        <v>Upper</v>
      </c>
      <c r="I1146" s="8" t="str">
        <f t="shared" si="210"/>
        <v>West Fork and Below Lake</v>
      </c>
      <c r="J1146" s="8" t="str">
        <f t="shared" si="211"/>
        <v>Sonoma (d/s of Clov. Gage)</v>
      </c>
      <c r="K1146" s="8" t="str">
        <f t="shared" si="212"/>
        <v>Post-1949</v>
      </c>
      <c r="L1146" s="8">
        <f t="shared" si="213"/>
        <v>1954</v>
      </c>
      <c r="M1146" s="8" t="str">
        <f t="shared" si="215"/>
        <v>1953-1954</v>
      </c>
      <c r="N1146" s="10" t="s">
        <v>241</v>
      </c>
      <c r="O1146" s="10" t="s">
        <v>241</v>
      </c>
      <c r="P1146" s="10" t="s">
        <v>242</v>
      </c>
      <c r="Q1146" s="10" t="s">
        <v>242</v>
      </c>
      <c r="R1146" s="10" t="s">
        <v>241</v>
      </c>
      <c r="S1146" s="10" t="s">
        <v>242</v>
      </c>
      <c r="T1146" s="10" t="s">
        <v>242</v>
      </c>
      <c r="U1146" s="10" t="s">
        <v>241</v>
      </c>
      <c r="V1146" s="10" t="s">
        <v>241</v>
      </c>
      <c r="W1146" s="10" t="s">
        <v>242</v>
      </c>
      <c r="X1146" s="15">
        <f>IF(ISERROR(VLOOKUP($A1146,'13. Updated Demand'!A:Z,15,FALSE)),0,VLOOKUP($A1146,'13. Updated Demand'!A:Z,15,FALSE))</f>
        <v>0</v>
      </c>
      <c r="Y1146" s="16">
        <f>IF(ISERROR(VLOOKUP($A1146,'13. Updated Demand'!A:Z,16,FALSE)),0,VLOOKUP($A1146,'13. Updated Demand'!A:Z,16,FALSE))</f>
        <v>0</v>
      </c>
      <c r="Z1146" s="16">
        <f>IF(ISERROR(VLOOKUP($A1146,'13. Updated Demand'!A:Z,17,FALSE)),0,VLOOKUP($A1146,'13. Updated Demand'!A:Z,17,FALSE))</f>
        <v>0</v>
      </c>
      <c r="AA1146" s="16">
        <f>IF(ISERROR(VLOOKUP($A1146,'13. Updated Demand'!A:Z,18,FALSE)),0,VLOOKUP($A1146,'13. Updated Demand'!A:Z,18,FALSE))</f>
        <v>0</v>
      </c>
      <c r="AB1146" s="16">
        <f>IF(ISERROR(VLOOKUP($A1146,'13. Updated Demand'!A:Z,19,FALSE)),0,VLOOKUP($A1146,'13. Updated Demand'!A:Z,19,FALSE))</f>
        <v>0</v>
      </c>
      <c r="AC1146" s="16">
        <f>IF(ISERROR(VLOOKUP($A1146,'13. Updated Demand'!A:Z,20,FALSE)),0,VLOOKUP($A1146,'13. Updated Demand'!A:Z,20,FALSE))</f>
        <v>0</v>
      </c>
      <c r="AD1146" s="16">
        <f>IF(ISERROR(VLOOKUP($A1146,'13. Updated Demand'!A:Z,21,FALSE)),0,VLOOKUP($A1146,'13. Updated Demand'!A:Z,21,FALSE))</f>
        <v>0</v>
      </c>
      <c r="AE1146" s="16">
        <f>IF(ISERROR(VLOOKUP($A1146,'13. Updated Demand'!A:Z,22,FALSE)),0,VLOOKUP($A1146,'13. Updated Demand'!A:Z,22,FALSE))</f>
        <v>0</v>
      </c>
      <c r="AF1146" s="16">
        <f>IF(ISERROR(VLOOKUP($A1146,'13. Updated Demand'!A:Z,23,FALSE)),0,VLOOKUP($A1146,'13. Updated Demand'!A:Z,23,FALSE))</f>
        <v>0</v>
      </c>
      <c r="AG1146" s="16">
        <f>IF(ISERROR(VLOOKUP($A1146,'13. Updated Demand'!A:Z,24,FALSE)),0,VLOOKUP($A1146,'13. Updated Demand'!A:Z,24,FALSE))</f>
        <v>0</v>
      </c>
      <c r="AH1146" s="16">
        <f>IF(ISERROR(VLOOKUP($A1146,'13. Updated Demand'!A:Z,25,FALSE)),0,VLOOKUP($A1146,'13. Updated Demand'!A:Z,25,FALSE))</f>
        <v>0</v>
      </c>
      <c r="AI1146" s="16">
        <f>IF(ISERROR(VLOOKUP($A1146,'13. Updated Demand'!A:Z,26,FALSE)),0,VLOOKUP($A1146,'13. Updated Demand'!A:Z,26,FALSE))</f>
        <v>0</v>
      </c>
      <c r="AJ1146" s="16">
        <f t="shared" si="216"/>
        <v>0</v>
      </c>
      <c r="AK1146" s="19">
        <v>0</v>
      </c>
      <c r="AL1146" s="16">
        <f t="shared" si="214"/>
        <v>0</v>
      </c>
      <c r="AM1146" s="17">
        <v>0</v>
      </c>
      <c r="AN1146" s="19"/>
      <c r="AO1146" s="19"/>
      <c r="AP1146" s="19">
        <v>53.5</v>
      </c>
      <c r="AQ1146" s="19" t="s">
        <v>307</v>
      </c>
      <c r="AR1146" s="9" t="s">
        <v>311</v>
      </c>
      <c r="AS1146" s="12">
        <v>3.4039024194010059E-4</v>
      </c>
      <c r="AT1146" s="19">
        <v>38.64412471</v>
      </c>
      <c r="AU1146" s="19">
        <v>-122.7958866</v>
      </c>
      <c r="AV1146" s="19" t="s">
        <v>548</v>
      </c>
    </row>
    <row r="1147" spans="1:48" x14ac:dyDescent="0.25">
      <c r="A1147" s="18" t="s">
        <v>1535</v>
      </c>
      <c r="B1147" s="10">
        <v>19540325</v>
      </c>
      <c r="C1147" s="9">
        <v>4</v>
      </c>
      <c r="D1147" s="8" t="str">
        <f t="shared" si="205"/>
        <v>Y</v>
      </c>
      <c r="E1147" s="8" t="str">
        <f t="shared" si="206"/>
        <v>N</v>
      </c>
      <c r="F1147" s="8" t="str">
        <f t="shared" si="207"/>
        <v>Y</v>
      </c>
      <c r="G1147" s="8" t="str">
        <f t="shared" si="208"/>
        <v>Y</v>
      </c>
      <c r="H1147" s="8" t="str">
        <f t="shared" si="209"/>
        <v>Upper</v>
      </c>
      <c r="I1147" s="8" t="str">
        <f t="shared" si="210"/>
        <v>West Fork and Below Lake</v>
      </c>
      <c r="J1147" s="8" t="str">
        <f t="shared" si="211"/>
        <v>Mendocino (d/s of lake)</v>
      </c>
      <c r="K1147" s="8" t="str">
        <f t="shared" si="212"/>
        <v>Post-1949</v>
      </c>
      <c r="L1147" s="8">
        <f t="shared" si="213"/>
        <v>1954</v>
      </c>
      <c r="M1147" s="8" t="str">
        <f t="shared" si="215"/>
        <v>1953-1954</v>
      </c>
      <c r="N1147" s="10" t="s">
        <v>241</v>
      </c>
      <c r="O1147" s="10" t="s">
        <v>241</v>
      </c>
      <c r="P1147" s="10" t="s">
        <v>242</v>
      </c>
      <c r="Q1147" s="10" t="s">
        <v>242</v>
      </c>
      <c r="R1147" s="10" t="s">
        <v>241</v>
      </c>
      <c r="S1147" s="10" t="s">
        <v>242</v>
      </c>
      <c r="T1147" s="10" t="s">
        <v>242</v>
      </c>
      <c r="U1147" s="10" t="s">
        <v>241</v>
      </c>
      <c r="V1147" s="10" t="s">
        <v>241</v>
      </c>
      <c r="W1147" s="10" t="s">
        <v>242</v>
      </c>
      <c r="X1147" s="15">
        <f>IF(ISERROR(VLOOKUP($A1147,'13. Updated Demand'!A:Z,15,FALSE)),0,VLOOKUP($A1147,'13. Updated Demand'!A:Z,15,FALSE))</f>
        <v>0</v>
      </c>
      <c r="Y1147" s="16">
        <f>IF(ISERROR(VLOOKUP($A1147,'13. Updated Demand'!A:Z,16,FALSE)),0,VLOOKUP($A1147,'13. Updated Demand'!A:Z,16,FALSE))</f>
        <v>0</v>
      </c>
      <c r="Z1147" s="16">
        <f>IF(ISERROR(VLOOKUP($A1147,'13. Updated Demand'!A:Z,17,FALSE)),0,VLOOKUP($A1147,'13. Updated Demand'!A:Z,17,FALSE))</f>
        <v>0</v>
      </c>
      <c r="AA1147" s="16">
        <f>IF(ISERROR(VLOOKUP($A1147,'13. Updated Demand'!A:Z,18,FALSE)),0,VLOOKUP($A1147,'13. Updated Demand'!A:Z,18,FALSE))</f>
        <v>0</v>
      </c>
      <c r="AB1147" s="16">
        <f>IF(ISERROR(VLOOKUP($A1147,'13. Updated Demand'!A:Z,19,FALSE)),0,VLOOKUP($A1147,'13. Updated Demand'!A:Z,19,FALSE))</f>
        <v>0</v>
      </c>
      <c r="AC1147" s="16">
        <f>IF(ISERROR(VLOOKUP($A1147,'13. Updated Demand'!A:Z,20,FALSE)),0,VLOOKUP($A1147,'13. Updated Demand'!A:Z,20,FALSE))</f>
        <v>0</v>
      </c>
      <c r="AD1147" s="16">
        <f>IF(ISERROR(VLOOKUP($A1147,'13. Updated Demand'!A:Z,21,FALSE)),0,VLOOKUP($A1147,'13. Updated Demand'!A:Z,21,FALSE))</f>
        <v>0</v>
      </c>
      <c r="AE1147" s="16">
        <f>IF(ISERROR(VLOOKUP($A1147,'13. Updated Demand'!A:Z,22,FALSE)),0,VLOOKUP($A1147,'13. Updated Demand'!A:Z,22,FALSE))</f>
        <v>0</v>
      </c>
      <c r="AF1147" s="16">
        <f>IF(ISERROR(VLOOKUP($A1147,'13. Updated Demand'!A:Z,23,FALSE)),0,VLOOKUP($A1147,'13. Updated Demand'!A:Z,23,FALSE))</f>
        <v>0</v>
      </c>
      <c r="AG1147" s="16">
        <f>IF(ISERROR(VLOOKUP($A1147,'13. Updated Demand'!A:Z,24,FALSE)),0,VLOOKUP($A1147,'13. Updated Demand'!A:Z,24,FALSE))</f>
        <v>0</v>
      </c>
      <c r="AH1147" s="16">
        <f>IF(ISERROR(VLOOKUP($A1147,'13. Updated Demand'!A:Z,25,FALSE)),0,VLOOKUP($A1147,'13. Updated Demand'!A:Z,25,FALSE))</f>
        <v>0</v>
      </c>
      <c r="AI1147" s="16">
        <f>IF(ISERROR(VLOOKUP($A1147,'13. Updated Demand'!A:Z,26,FALSE)),0,VLOOKUP($A1147,'13. Updated Demand'!A:Z,26,FALSE))</f>
        <v>0</v>
      </c>
      <c r="AJ1147" s="16">
        <f t="shared" si="216"/>
        <v>0</v>
      </c>
      <c r="AK1147" s="19">
        <v>0</v>
      </c>
      <c r="AL1147" s="16">
        <f t="shared" si="214"/>
        <v>0</v>
      </c>
      <c r="AM1147" s="17">
        <v>0</v>
      </c>
      <c r="AN1147" s="19"/>
      <c r="AO1147" s="19"/>
      <c r="AP1147" s="19">
        <v>68.2</v>
      </c>
      <c r="AQ1147" s="19" t="s">
        <v>307</v>
      </c>
      <c r="AR1147" s="9" t="s">
        <v>331</v>
      </c>
      <c r="AS1147" s="12">
        <v>0</v>
      </c>
      <c r="AT1147" s="19">
        <v>39.176295789999998</v>
      </c>
      <c r="AU1147" s="19">
        <v>-123.19663579</v>
      </c>
      <c r="AV1147" s="19" t="s">
        <v>387</v>
      </c>
    </row>
    <row r="1148" spans="1:48" x14ac:dyDescent="0.25">
      <c r="A1148" s="18" t="s">
        <v>1536</v>
      </c>
      <c r="B1148" s="10">
        <v>19540430</v>
      </c>
      <c r="C1148" s="9">
        <v>9</v>
      </c>
      <c r="D1148" s="8" t="str">
        <f t="shared" si="205"/>
        <v>N</v>
      </c>
      <c r="E1148" s="8" t="str">
        <f t="shared" si="206"/>
        <v>Y</v>
      </c>
      <c r="F1148" s="8" t="str">
        <f t="shared" si="207"/>
        <v>Y</v>
      </c>
      <c r="G1148" s="8" t="str">
        <f t="shared" si="208"/>
        <v>Y</v>
      </c>
      <c r="H1148" s="8" t="str">
        <f t="shared" si="209"/>
        <v>Upper</v>
      </c>
      <c r="I1148" s="8" t="str">
        <f t="shared" si="210"/>
        <v>West Fork and Below Lake</v>
      </c>
      <c r="J1148" s="8" t="str">
        <f t="shared" si="211"/>
        <v>Sonoma (d/s of Clov. Gage)</v>
      </c>
      <c r="K1148" s="8" t="str">
        <f t="shared" si="212"/>
        <v>Post-1949</v>
      </c>
      <c r="L1148" s="8">
        <f t="shared" si="213"/>
        <v>1954</v>
      </c>
      <c r="M1148" s="8" t="str">
        <f t="shared" si="215"/>
        <v>1953-1954</v>
      </c>
      <c r="N1148" s="10" t="s">
        <v>242</v>
      </c>
      <c r="O1148" s="10" t="s">
        <v>241</v>
      </c>
      <c r="P1148" s="10" t="s">
        <v>242</v>
      </c>
      <c r="Q1148" s="10" t="s">
        <v>242</v>
      </c>
      <c r="R1148" s="10" t="s">
        <v>241</v>
      </c>
      <c r="S1148" s="10" t="s">
        <v>242</v>
      </c>
      <c r="T1148" s="10" t="s">
        <v>242</v>
      </c>
      <c r="U1148" s="10" t="s">
        <v>242</v>
      </c>
      <c r="V1148" s="10" t="s">
        <v>241</v>
      </c>
      <c r="W1148" s="10" t="s">
        <v>242</v>
      </c>
      <c r="X1148" s="15">
        <f>IF(ISERROR(VLOOKUP($A1148,'13. Updated Demand'!A:Z,15,FALSE)),0,VLOOKUP($A1148,'13. Updated Demand'!A:Z,15,FALSE))</f>
        <v>46.46</v>
      </c>
      <c r="Y1148" s="16">
        <f>IF(ISERROR(VLOOKUP($A1148,'13. Updated Demand'!A:Z,16,FALSE)),0,VLOOKUP($A1148,'13. Updated Demand'!A:Z,16,FALSE))</f>
        <v>0</v>
      </c>
      <c r="Z1148" s="16">
        <f>IF(ISERROR(VLOOKUP($A1148,'13. Updated Demand'!A:Z,17,FALSE)),0,VLOOKUP($A1148,'13. Updated Demand'!A:Z,17,FALSE))</f>
        <v>9.73</v>
      </c>
      <c r="AA1148" s="16">
        <f>IF(ISERROR(VLOOKUP($A1148,'13. Updated Demand'!A:Z,18,FALSE)),0,VLOOKUP($A1148,'13. Updated Demand'!A:Z,18,FALSE))</f>
        <v>1.53</v>
      </c>
      <c r="AB1148" s="16">
        <f>IF(ISERROR(VLOOKUP($A1148,'13. Updated Demand'!A:Z,19,FALSE)),0,VLOOKUP($A1148,'13. Updated Demand'!A:Z,19,FALSE))</f>
        <v>0</v>
      </c>
      <c r="AC1148" s="16">
        <f>IF(ISERROR(VLOOKUP($A1148,'13. Updated Demand'!A:Z,20,FALSE)),0,VLOOKUP($A1148,'13. Updated Demand'!A:Z,20,FALSE))</f>
        <v>0</v>
      </c>
      <c r="AD1148" s="16">
        <f>IF(ISERROR(VLOOKUP($A1148,'13. Updated Demand'!A:Z,21,FALSE)),0,VLOOKUP($A1148,'13. Updated Demand'!A:Z,21,FALSE))</f>
        <v>0</v>
      </c>
      <c r="AE1148" s="16">
        <f>IF(ISERROR(VLOOKUP($A1148,'13. Updated Demand'!A:Z,22,FALSE)),0,VLOOKUP($A1148,'13. Updated Demand'!A:Z,22,FALSE))</f>
        <v>0</v>
      </c>
      <c r="AF1148" s="16">
        <f>IF(ISERROR(VLOOKUP($A1148,'13. Updated Demand'!A:Z,23,FALSE)),0,VLOOKUP($A1148,'13. Updated Demand'!A:Z,23,FALSE))</f>
        <v>0</v>
      </c>
      <c r="AG1148" s="16">
        <f>IF(ISERROR(VLOOKUP($A1148,'13. Updated Demand'!A:Z,24,FALSE)),0,VLOOKUP($A1148,'13. Updated Demand'!A:Z,24,FALSE))</f>
        <v>0</v>
      </c>
      <c r="AH1148" s="16">
        <f>IF(ISERROR(VLOOKUP($A1148,'13. Updated Demand'!A:Z,25,FALSE)),0,VLOOKUP($A1148,'13. Updated Demand'!A:Z,25,FALSE))</f>
        <v>1.23</v>
      </c>
      <c r="AI1148" s="16">
        <f>IF(ISERROR(VLOOKUP($A1148,'13. Updated Demand'!A:Z,26,FALSE)),0,VLOOKUP($A1148,'13. Updated Demand'!A:Z,26,FALSE))</f>
        <v>14.53</v>
      </c>
      <c r="AJ1148" s="16">
        <f t="shared" si="216"/>
        <v>73.47999999999999</v>
      </c>
      <c r="AK1148" s="19">
        <v>0</v>
      </c>
      <c r="AL1148" s="16">
        <f t="shared" si="214"/>
        <v>0</v>
      </c>
      <c r="AM1148" s="17">
        <v>0.72772277227722759</v>
      </c>
      <c r="AN1148" s="19"/>
      <c r="AO1148" s="19"/>
      <c r="AP1148" s="19">
        <v>101</v>
      </c>
      <c r="AQ1148" s="19" t="s">
        <v>307</v>
      </c>
      <c r="AR1148" s="9" t="s">
        <v>354</v>
      </c>
      <c r="AS1148" s="12">
        <v>0</v>
      </c>
      <c r="AT1148" s="19">
        <v>38.747675129999998</v>
      </c>
      <c r="AU1148" s="19">
        <v>-122.97307518</v>
      </c>
      <c r="AV1148" s="19" t="s">
        <v>417</v>
      </c>
    </row>
    <row r="1149" spans="1:48" x14ac:dyDescent="0.25">
      <c r="A1149" s="18" t="s">
        <v>1537</v>
      </c>
      <c r="B1149" s="10">
        <v>19540607</v>
      </c>
      <c r="C1149" s="9">
        <v>21</v>
      </c>
      <c r="D1149" s="8" t="str">
        <f t="shared" si="205"/>
        <v>N</v>
      </c>
      <c r="E1149" s="8" t="str">
        <f t="shared" si="206"/>
        <v>N</v>
      </c>
      <c r="F1149" s="8" t="str">
        <f t="shared" si="207"/>
        <v>N</v>
      </c>
      <c r="G1149" s="8" t="str">
        <f t="shared" si="208"/>
        <v>N</v>
      </c>
      <c r="H1149" s="8" t="str">
        <f t="shared" si="209"/>
        <v>Lower</v>
      </c>
      <c r="I1149" s="8" t="str">
        <f t="shared" si="210"/>
        <v>Outside</v>
      </c>
      <c r="J1149" s="8" t="str">
        <f t="shared" si="211"/>
        <v>Outside</v>
      </c>
      <c r="K1149" s="8" t="str">
        <f t="shared" si="212"/>
        <v>Post-1949</v>
      </c>
      <c r="L1149" s="8">
        <f t="shared" si="213"/>
        <v>1954</v>
      </c>
      <c r="M1149" s="8" t="str">
        <f t="shared" si="215"/>
        <v>1953-1954</v>
      </c>
      <c r="N1149" s="10" t="s">
        <v>242</v>
      </c>
      <c r="O1149" s="10" t="s">
        <v>242</v>
      </c>
      <c r="P1149" s="10" t="s">
        <v>242</v>
      </c>
      <c r="Q1149" s="10" t="s">
        <v>242</v>
      </c>
      <c r="R1149" s="10" t="s">
        <v>241</v>
      </c>
      <c r="S1149" s="10" t="s">
        <v>242</v>
      </c>
      <c r="T1149" s="10" t="s">
        <v>242</v>
      </c>
      <c r="U1149" s="10" t="s">
        <v>242</v>
      </c>
      <c r="V1149" s="10" t="s">
        <v>241</v>
      </c>
      <c r="W1149" s="10" t="s">
        <v>242</v>
      </c>
      <c r="X1149" s="15">
        <f>IF(ISERROR(VLOOKUP($A1149,'13. Updated Demand'!A:Z,15,FALSE)),0,VLOOKUP($A1149,'13. Updated Demand'!A:Z,15,FALSE))</f>
        <v>82</v>
      </c>
      <c r="Y1149" s="16">
        <f>IF(ISERROR(VLOOKUP($A1149,'13. Updated Demand'!A:Z,16,FALSE)),0,VLOOKUP($A1149,'13. Updated Demand'!A:Z,16,FALSE))</f>
        <v>0</v>
      </c>
      <c r="Z1149" s="16">
        <f>IF(ISERROR(VLOOKUP($A1149,'13. Updated Demand'!A:Z,17,FALSE)),0,VLOOKUP($A1149,'13. Updated Demand'!A:Z,17,FALSE))</f>
        <v>0</v>
      </c>
      <c r="AA1149" s="16">
        <f>IF(ISERROR(VLOOKUP($A1149,'13. Updated Demand'!A:Z,18,FALSE)),0,VLOOKUP($A1149,'13. Updated Demand'!A:Z,18,FALSE))</f>
        <v>0</v>
      </c>
      <c r="AB1149" s="16">
        <f>IF(ISERROR(VLOOKUP($A1149,'13. Updated Demand'!A:Z,19,FALSE)),0,VLOOKUP($A1149,'13. Updated Demand'!A:Z,19,FALSE))</f>
        <v>0</v>
      </c>
      <c r="AC1149" s="16">
        <f>IF(ISERROR(VLOOKUP($A1149,'13. Updated Demand'!A:Z,20,FALSE)),0,VLOOKUP($A1149,'13. Updated Demand'!A:Z,20,FALSE))</f>
        <v>0</v>
      </c>
      <c r="AD1149" s="16">
        <f>IF(ISERROR(VLOOKUP($A1149,'13. Updated Demand'!A:Z,21,FALSE)),0,VLOOKUP($A1149,'13. Updated Demand'!A:Z,21,FALSE))</f>
        <v>0</v>
      </c>
      <c r="AE1149" s="16">
        <f>IF(ISERROR(VLOOKUP($A1149,'13. Updated Demand'!A:Z,22,FALSE)),0,VLOOKUP($A1149,'13. Updated Demand'!A:Z,22,FALSE))</f>
        <v>0</v>
      </c>
      <c r="AF1149" s="16">
        <f>IF(ISERROR(VLOOKUP($A1149,'13. Updated Demand'!A:Z,23,FALSE)),0,VLOOKUP($A1149,'13. Updated Demand'!A:Z,23,FALSE))</f>
        <v>0</v>
      </c>
      <c r="AG1149" s="16">
        <f>IF(ISERROR(VLOOKUP($A1149,'13. Updated Demand'!A:Z,24,FALSE)),0,VLOOKUP($A1149,'13. Updated Demand'!A:Z,24,FALSE))</f>
        <v>0</v>
      </c>
      <c r="AH1149" s="16">
        <f>IF(ISERROR(VLOOKUP($A1149,'13. Updated Demand'!A:Z,25,FALSE)),0,VLOOKUP($A1149,'13. Updated Demand'!A:Z,25,FALSE))</f>
        <v>0</v>
      </c>
      <c r="AI1149" s="16">
        <f>IF(ISERROR(VLOOKUP($A1149,'13. Updated Demand'!A:Z,26,FALSE)),0,VLOOKUP($A1149,'13. Updated Demand'!A:Z,26,FALSE))</f>
        <v>0</v>
      </c>
      <c r="AJ1149" s="16">
        <f t="shared" si="216"/>
        <v>82</v>
      </c>
      <c r="AK1149" s="19">
        <v>0</v>
      </c>
      <c r="AL1149" s="16">
        <f t="shared" si="214"/>
        <v>0</v>
      </c>
      <c r="AM1149" s="17">
        <v>1</v>
      </c>
      <c r="AN1149" s="19"/>
      <c r="AO1149" s="19"/>
      <c r="AP1149" s="19">
        <v>82</v>
      </c>
      <c r="AQ1149" s="19" t="s">
        <v>307</v>
      </c>
      <c r="AR1149" s="9" t="s">
        <v>403</v>
      </c>
      <c r="AS1149" s="12">
        <v>0</v>
      </c>
      <c r="AT1149" s="19">
        <v>38.437065429999997</v>
      </c>
      <c r="AU1149" s="19">
        <v>-122.94353762999999</v>
      </c>
      <c r="AV1149" s="19" t="s">
        <v>1020</v>
      </c>
    </row>
    <row r="1150" spans="1:48" x14ac:dyDescent="0.25">
      <c r="A1150" s="18" t="s">
        <v>1538</v>
      </c>
      <c r="B1150" s="10">
        <v>19540716</v>
      </c>
      <c r="C1150" s="9">
        <v>16</v>
      </c>
      <c r="D1150" s="8" t="str">
        <f t="shared" si="205"/>
        <v>N</v>
      </c>
      <c r="E1150" s="8" t="str">
        <f t="shared" si="206"/>
        <v>N</v>
      </c>
      <c r="F1150" s="8" t="str">
        <f t="shared" si="207"/>
        <v>N</v>
      </c>
      <c r="G1150" s="8" t="str">
        <f t="shared" si="208"/>
        <v>N</v>
      </c>
      <c r="H1150" s="8" t="str">
        <f t="shared" si="209"/>
        <v>Lower</v>
      </c>
      <c r="I1150" s="8" t="str">
        <f t="shared" si="210"/>
        <v>Outside</v>
      </c>
      <c r="J1150" s="8" t="str">
        <f t="shared" si="211"/>
        <v>Outside</v>
      </c>
      <c r="K1150" s="8" t="str">
        <f t="shared" si="212"/>
        <v>Post-1949</v>
      </c>
      <c r="L1150" s="8">
        <f t="shared" si="213"/>
        <v>1954</v>
      </c>
      <c r="M1150" s="8" t="str">
        <f t="shared" si="215"/>
        <v>1953-1954</v>
      </c>
      <c r="N1150" s="10" t="s">
        <v>242</v>
      </c>
      <c r="O1150" s="10" t="s">
        <v>242</v>
      </c>
      <c r="P1150" s="10" t="s">
        <v>242</v>
      </c>
      <c r="Q1150" s="10" t="s">
        <v>242</v>
      </c>
      <c r="R1150" s="10" t="s">
        <v>241</v>
      </c>
      <c r="S1150" s="10" t="s">
        <v>242</v>
      </c>
      <c r="T1150" s="10" t="s">
        <v>242</v>
      </c>
      <c r="U1150" s="10" t="s">
        <v>242</v>
      </c>
      <c r="V1150" s="10" t="s">
        <v>241</v>
      </c>
      <c r="W1150" s="10" t="s">
        <v>242</v>
      </c>
      <c r="X1150" s="15">
        <f>IF(ISERROR(VLOOKUP($A1150,'13. Updated Demand'!A:Z,15,FALSE)),0,VLOOKUP($A1150,'13. Updated Demand'!A:Z,15,FALSE))</f>
        <v>10</v>
      </c>
      <c r="Y1150" s="16">
        <f>IF(ISERROR(VLOOKUP($A1150,'13. Updated Demand'!A:Z,16,FALSE)),0,VLOOKUP($A1150,'13. Updated Demand'!A:Z,16,FALSE))</f>
        <v>0</v>
      </c>
      <c r="Z1150" s="16">
        <f>IF(ISERROR(VLOOKUP($A1150,'13. Updated Demand'!A:Z,17,FALSE)),0,VLOOKUP($A1150,'13. Updated Demand'!A:Z,17,FALSE))</f>
        <v>0</v>
      </c>
      <c r="AA1150" s="16">
        <f>IF(ISERROR(VLOOKUP($A1150,'13. Updated Demand'!A:Z,18,FALSE)),0,VLOOKUP($A1150,'13. Updated Demand'!A:Z,18,FALSE))</f>
        <v>0</v>
      </c>
      <c r="AB1150" s="16">
        <f>IF(ISERROR(VLOOKUP($A1150,'13. Updated Demand'!A:Z,19,FALSE)),0,VLOOKUP($A1150,'13. Updated Demand'!A:Z,19,FALSE))</f>
        <v>0</v>
      </c>
      <c r="AC1150" s="16">
        <f>IF(ISERROR(VLOOKUP($A1150,'13. Updated Demand'!A:Z,20,FALSE)),0,VLOOKUP($A1150,'13. Updated Demand'!A:Z,20,FALSE))</f>
        <v>0</v>
      </c>
      <c r="AD1150" s="16">
        <f>IF(ISERROR(VLOOKUP($A1150,'13. Updated Demand'!A:Z,21,FALSE)),0,VLOOKUP($A1150,'13. Updated Demand'!A:Z,21,FALSE))</f>
        <v>0</v>
      </c>
      <c r="AE1150" s="16">
        <f>IF(ISERROR(VLOOKUP($A1150,'13. Updated Demand'!A:Z,22,FALSE)),0,VLOOKUP($A1150,'13. Updated Demand'!A:Z,22,FALSE))</f>
        <v>0</v>
      </c>
      <c r="AF1150" s="16">
        <f>IF(ISERROR(VLOOKUP($A1150,'13. Updated Demand'!A:Z,23,FALSE)),0,VLOOKUP($A1150,'13. Updated Demand'!A:Z,23,FALSE))</f>
        <v>0</v>
      </c>
      <c r="AG1150" s="16">
        <f>IF(ISERROR(VLOOKUP($A1150,'13. Updated Demand'!A:Z,24,FALSE)),0,VLOOKUP($A1150,'13. Updated Demand'!A:Z,24,FALSE))</f>
        <v>0</v>
      </c>
      <c r="AH1150" s="16">
        <f>IF(ISERROR(VLOOKUP($A1150,'13. Updated Demand'!A:Z,25,FALSE)),0,VLOOKUP($A1150,'13. Updated Demand'!A:Z,25,FALSE))</f>
        <v>10</v>
      </c>
      <c r="AI1150" s="16">
        <f>IF(ISERROR(VLOOKUP($A1150,'13. Updated Demand'!A:Z,26,FALSE)),0,VLOOKUP($A1150,'13. Updated Demand'!A:Z,26,FALSE))</f>
        <v>20</v>
      </c>
      <c r="AJ1150" s="16">
        <f t="shared" si="216"/>
        <v>40</v>
      </c>
      <c r="AK1150" s="19">
        <v>0</v>
      </c>
      <c r="AL1150" s="16">
        <f t="shared" si="214"/>
        <v>0</v>
      </c>
      <c r="AM1150" s="17">
        <v>1</v>
      </c>
      <c r="AN1150" s="19"/>
      <c r="AO1150" s="19"/>
      <c r="AP1150" s="19">
        <v>40</v>
      </c>
      <c r="AQ1150" s="19" t="s">
        <v>307</v>
      </c>
      <c r="AR1150" s="9" t="s">
        <v>394</v>
      </c>
      <c r="AS1150" s="12">
        <v>0</v>
      </c>
      <c r="AT1150" s="19">
        <v>38.604133760000003</v>
      </c>
      <c r="AU1150" s="19">
        <v>-122.89517721999999</v>
      </c>
      <c r="AV1150" s="19" t="s">
        <v>417</v>
      </c>
    </row>
    <row r="1151" spans="1:48" x14ac:dyDescent="0.25">
      <c r="A1151" s="18" t="s">
        <v>1539</v>
      </c>
      <c r="B1151" s="10">
        <v>19541004</v>
      </c>
      <c r="C1151" s="9">
        <v>11</v>
      </c>
      <c r="D1151" s="8" t="str">
        <f t="shared" si="205"/>
        <v>N</v>
      </c>
      <c r="E1151" s="8" t="str">
        <f t="shared" si="206"/>
        <v>Y</v>
      </c>
      <c r="F1151" s="8" t="str">
        <f t="shared" si="207"/>
        <v>Y</v>
      </c>
      <c r="G1151" s="8" t="str">
        <f t="shared" si="208"/>
        <v>Y</v>
      </c>
      <c r="H1151" s="8" t="str">
        <f t="shared" si="209"/>
        <v>Upper</v>
      </c>
      <c r="I1151" s="8" t="str">
        <f t="shared" si="210"/>
        <v>West Fork and Below Lake</v>
      </c>
      <c r="J1151" s="8" t="str">
        <f t="shared" si="211"/>
        <v>Sonoma (d/s of Clov. Gage)</v>
      </c>
      <c r="K1151" s="8" t="str">
        <f t="shared" si="212"/>
        <v>Post-1949</v>
      </c>
      <c r="L1151" s="8">
        <f t="shared" si="213"/>
        <v>1954</v>
      </c>
      <c r="M1151" s="8" t="str">
        <f t="shared" si="215"/>
        <v>1953-1954</v>
      </c>
      <c r="N1151" s="10" t="s">
        <v>242</v>
      </c>
      <c r="O1151" s="10" t="s">
        <v>241</v>
      </c>
      <c r="P1151" s="10" t="s">
        <v>242</v>
      </c>
      <c r="Q1151" s="10" t="s">
        <v>242</v>
      </c>
      <c r="R1151" s="10" t="s">
        <v>241</v>
      </c>
      <c r="S1151" s="10" t="s">
        <v>242</v>
      </c>
      <c r="T1151" s="10" t="s">
        <v>242</v>
      </c>
      <c r="U1151" s="10" t="s">
        <v>241</v>
      </c>
      <c r="V1151" s="10" t="s">
        <v>241</v>
      </c>
      <c r="W1151" s="10" t="s">
        <v>242</v>
      </c>
      <c r="X1151" s="15">
        <f>IF(ISERROR(VLOOKUP($A1151,'13. Updated Demand'!A:Z,15,FALSE)),0,VLOOKUP($A1151,'13. Updated Demand'!A:Z,15,FALSE))</f>
        <v>0</v>
      </c>
      <c r="Y1151" s="16">
        <f>IF(ISERROR(VLOOKUP($A1151,'13. Updated Demand'!A:Z,16,FALSE)),0,VLOOKUP($A1151,'13. Updated Demand'!A:Z,16,FALSE))</f>
        <v>0</v>
      </c>
      <c r="Z1151" s="16">
        <f>IF(ISERROR(VLOOKUP($A1151,'13. Updated Demand'!A:Z,17,FALSE)),0,VLOOKUP($A1151,'13. Updated Demand'!A:Z,17,FALSE))</f>
        <v>0</v>
      </c>
      <c r="AA1151" s="16">
        <f>IF(ISERROR(VLOOKUP($A1151,'13. Updated Demand'!A:Z,18,FALSE)),0,VLOOKUP($A1151,'13. Updated Demand'!A:Z,18,FALSE))</f>
        <v>0</v>
      </c>
      <c r="AB1151" s="16">
        <f>IF(ISERROR(VLOOKUP($A1151,'13. Updated Demand'!A:Z,19,FALSE)),0,VLOOKUP($A1151,'13. Updated Demand'!A:Z,19,FALSE))</f>
        <v>0</v>
      </c>
      <c r="AC1151" s="16">
        <f>IF(ISERROR(VLOOKUP($A1151,'13. Updated Demand'!A:Z,20,FALSE)),0,VLOOKUP($A1151,'13. Updated Demand'!A:Z,20,FALSE))</f>
        <v>0</v>
      </c>
      <c r="AD1151" s="16">
        <f>IF(ISERROR(VLOOKUP($A1151,'13. Updated Demand'!A:Z,21,FALSE)),0,VLOOKUP($A1151,'13. Updated Demand'!A:Z,21,FALSE))</f>
        <v>0</v>
      </c>
      <c r="AE1151" s="16">
        <f>IF(ISERROR(VLOOKUP($A1151,'13. Updated Demand'!A:Z,22,FALSE)),0,VLOOKUP($A1151,'13. Updated Demand'!A:Z,22,FALSE))</f>
        <v>0</v>
      </c>
      <c r="AF1151" s="16">
        <f>IF(ISERROR(VLOOKUP($A1151,'13. Updated Demand'!A:Z,23,FALSE)),0,VLOOKUP($A1151,'13. Updated Demand'!A:Z,23,FALSE))</f>
        <v>0</v>
      </c>
      <c r="AG1151" s="16">
        <f>IF(ISERROR(VLOOKUP($A1151,'13. Updated Demand'!A:Z,24,FALSE)),0,VLOOKUP($A1151,'13. Updated Demand'!A:Z,24,FALSE))</f>
        <v>0</v>
      </c>
      <c r="AH1151" s="16">
        <f>IF(ISERROR(VLOOKUP($A1151,'13. Updated Demand'!A:Z,25,FALSE)),0,VLOOKUP($A1151,'13. Updated Demand'!A:Z,25,FALSE))</f>
        <v>0</v>
      </c>
      <c r="AI1151" s="16">
        <f>IF(ISERROR(VLOOKUP($A1151,'13. Updated Demand'!A:Z,26,FALSE)),0,VLOOKUP($A1151,'13. Updated Demand'!A:Z,26,FALSE))</f>
        <v>0</v>
      </c>
      <c r="AJ1151" s="16">
        <f t="shared" si="216"/>
        <v>0</v>
      </c>
      <c r="AK1151" s="19">
        <v>0</v>
      </c>
      <c r="AL1151" s="16">
        <f t="shared" si="214"/>
        <v>0</v>
      </c>
      <c r="AM1151" s="17">
        <v>0</v>
      </c>
      <c r="AN1151" s="19"/>
      <c r="AO1151" s="19"/>
      <c r="AP1151" s="19">
        <v>20</v>
      </c>
      <c r="AQ1151" s="19" t="s">
        <v>307</v>
      </c>
      <c r="AR1151" s="9" t="s">
        <v>308</v>
      </c>
      <c r="AS1151" s="12">
        <v>0</v>
      </c>
      <c r="AT1151" s="19">
        <v>38.648354490000003</v>
      </c>
      <c r="AU1151" s="19">
        <v>-122.73745585</v>
      </c>
      <c r="AV1151" s="19" t="s">
        <v>573</v>
      </c>
    </row>
    <row r="1152" spans="1:48" x14ac:dyDescent="0.25">
      <c r="A1152" s="18" t="s">
        <v>1540</v>
      </c>
      <c r="B1152" s="10">
        <v>19541022</v>
      </c>
      <c r="C1152" s="9">
        <v>23</v>
      </c>
      <c r="D1152" s="8" t="str">
        <f t="shared" si="205"/>
        <v>N</v>
      </c>
      <c r="E1152" s="8" t="str">
        <f t="shared" si="206"/>
        <v>N</v>
      </c>
      <c r="F1152" s="8" t="str">
        <f t="shared" si="207"/>
        <v>N</v>
      </c>
      <c r="G1152" s="8" t="str">
        <f t="shared" si="208"/>
        <v>N</v>
      </c>
      <c r="H1152" s="8" t="str">
        <f t="shared" si="209"/>
        <v>Lower</v>
      </c>
      <c r="I1152" s="8" t="str">
        <f t="shared" si="210"/>
        <v>Outside</v>
      </c>
      <c r="J1152" s="8" t="str">
        <f t="shared" si="211"/>
        <v>Outside</v>
      </c>
      <c r="K1152" s="8" t="str">
        <f t="shared" si="212"/>
        <v>Post-1949</v>
      </c>
      <c r="L1152" s="8">
        <f t="shared" si="213"/>
        <v>1954</v>
      </c>
      <c r="M1152" s="8" t="str">
        <f t="shared" si="215"/>
        <v>1953-1954</v>
      </c>
      <c r="N1152" s="10" t="s">
        <v>242</v>
      </c>
      <c r="O1152" s="10" t="s">
        <v>242</v>
      </c>
      <c r="P1152" s="10" t="s">
        <v>242</v>
      </c>
      <c r="Q1152" s="10" t="s">
        <v>242</v>
      </c>
      <c r="R1152" s="10" t="s">
        <v>241</v>
      </c>
      <c r="S1152" s="10" t="s">
        <v>242</v>
      </c>
      <c r="T1152" s="10" t="s">
        <v>242</v>
      </c>
      <c r="U1152" s="10" t="s">
        <v>242</v>
      </c>
      <c r="V1152" s="10" t="s">
        <v>241</v>
      </c>
      <c r="W1152" s="10" t="s">
        <v>242</v>
      </c>
      <c r="X1152" s="15">
        <f>IF(ISERROR(VLOOKUP($A1152,'13. Updated Demand'!A:Z,15,FALSE)),0,VLOOKUP($A1152,'13. Updated Demand'!A:Z,15,FALSE))</f>
        <v>2.0666666669999998</v>
      </c>
      <c r="Y1152" s="16">
        <f>IF(ISERROR(VLOOKUP($A1152,'13. Updated Demand'!A:Z,16,FALSE)),0,VLOOKUP($A1152,'13. Updated Demand'!A:Z,16,FALSE))</f>
        <v>0.7</v>
      </c>
      <c r="Z1152" s="16">
        <f>IF(ISERROR(VLOOKUP($A1152,'13. Updated Demand'!A:Z,17,FALSE)),0,VLOOKUP($A1152,'13. Updated Demand'!A:Z,17,FALSE))</f>
        <v>0.1</v>
      </c>
      <c r="AA1152" s="16">
        <f>IF(ISERROR(VLOOKUP($A1152,'13. Updated Demand'!A:Z,18,FALSE)),0,VLOOKUP($A1152,'13. Updated Demand'!A:Z,18,FALSE))</f>
        <v>6.6666666999999999E-2</v>
      </c>
      <c r="AB1152" s="16">
        <f>IF(ISERROR(VLOOKUP($A1152,'13. Updated Demand'!A:Z,19,FALSE)),0,VLOOKUP($A1152,'13. Updated Demand'!A:Z,19,FALSE))</f>
        <v>0</v>
      </c>
      <c r="AC1152" s="16">
        <f>IF(ISERROR(VLOOKUP($A1152,'13. Updated Demand'!A:Z,20,FALSE)),0,VLOOKUP($A1152,'13. Updated Demand'!A:Z,20,FALSE))</f>
        <v>0</v>
      </c>
      <c r="AD1152" s="16">
        <f>IF(ISERROR(VLOOKUP($A1152,'13. Updated Demand'!A:Z,21,FALSE)),0,VLOOKUP($A1152,'13. Updated Demand'!A:Z,21,FALSE))</f>
        <v>0</v>
      </c>
      <c r="AE1152" s="16">
        <f>IF(ISERROR(VLOOKUP($A1152,'13. Updated Demand'!A:Z,22,FALSE)),0,VLOOKUP($A1152,'13. Updated Demand'!A:Z,22,FALSE))</f>
        <v>0</v>
      </c>
      <c r="AF1152" s="16">
        <f>IF(ISERROR(VLOOKUP($A1152,'13. Updated Demand'!A:Z,23,FALSE)),0,VLOOKUP($A1152,'13. Updated Demand'!A:Z,23,FALSE))</f>
        <v>0</v>
      </c>
      <c r="AG1152" s="16">
        <f>IF(ISERROR(VLOOKUP($A1152,'13. Updated Demand'!A:Z,24,FALSE)),0,VLOOKUP($A1152,'13. Updated Demand'!A:Z,24,FALSE))</f>
        <v>0</v>
      </c>
      <c r="AH1152" s="16">
        <f>IF(ISERROR(VLOOKUP($A1152,'13. Updated Demand'!A:Z,25,FALSE)),0,VLOOKUP($A1152,'13. Updated Demand'!A:Z,25,FALSE))</f>
        <v>0.5</v>
      </c>
      <c r="AI1152" s="16">
        <f>IF(ISERROR(VLOOKUP($A1152,'13. Updated Demand'!A:Z,26,FALSE)),0,VLOOKUP($A1152,'13. Updated Demand'!A:Z,26,FALSE))</f>
        <v>0.83333333300000001</v>
      </c>
      <c r="AJ1152" s="16">
        <f t="shared" si="216"/>
        <v>4.266666667</v>
      </c>
      <c r="AK1152" s="19">
        <v>0</v>
      </c>
      <c r="AL1152" s="16">
        <f t="shared" si="214"/>
        <v>0</v>
      </c>
      <c r="AM1152" s="17">
        <v>0.18550724639130434</v>
      </c>
      <c r="AN1152" s="19"/>
      <c r="AO1152" s="19"/>
      <c r="AP1152" s="19">
        <v>23</v>
      </c>
      <c r="AQ1152" s="19" t="s">
        <v>307</v>
      </c>
      <c r="AR1152" s="9" t="s">
        <v>391</v>
      </c>
      <c r="AS1152" s="12">
        <v>0</v>
      </c>
      <c r="AT1152" s="19">
        <v>38.567799999999998</v>
      </c>
      <c r="AU1152" s="19">
        <v>-122.80459999999999</v>
      </c>
      <c r="AV1152" s="19" t="s">
        <v>417</v>
      </c>
    </row>
    <row r="1153" spans="1:48" x14ac:dyDescent="0.25">
      <c r="A1153" s="18" t="s">
        <v>1541</v>
      </c>
      <c r="B1153" s="10">
        <v>19541228</v>
      </c>
      <c r="C1153" s="9">
        <v>23</v>
      </c>
      <c r="D1153" s="8" t="str">
        <f t="shared" si="205"/>
        <v>N</v>
      </c>
      <c r="E1153" s="8" t="str">
        <f t="shared" si="206"/>
        <v>N</v>
      </c>
      <c r="F1153" s="8" t="str">
        <f t="shared" si="207"/>
        <v>N</v>
      </c>
      <c r="G1153" s="8" t="str">
        <f t="shared" si="208"/>
        <v>N</v>
      </c>
      <c r="H1153" s="8" t="str">
        <f t="shared" si="209"/>
        <v>Lower</v>
      </c>
      <c r="I1153" s="8" t="str">
        <f t="shared" si="210"/>
        <v>Outside</v>
      </c>
      <c r="J1153" s="8" t="str">
        <f t="shared" si="211"/>
        <v>Outside</v>
      </c>
      <c r="K1153" s="8" t="str">
        <f t="shared" si="212"/>
        <v>Post-1949</v>
      </c>
      <c r="L1153" s="8">
        <f t="shared" si="213"/>
        <v>1954</v>
      </c>
      <c r="M1153" s="8" t="str">
        <f t="shared" si="215"/>
        <v>1953-1954</v>
      </c>
      <c r="N1153" s="10" t="s">
        <v>242</v>
      </c>
      <c r="O1153" s="10" t="s">
        <v>242</v>
      </c>
      <c r="P1153" s="10" t="s">
        <v>242</v>
      </c>
      <c r="Q1153" s="10" t="s">
        <v>242</v>
      </c>
      <c r="R1153" s="10" t="s">
        <v>241</v>
      </c>
      <c r="S1153" s="10" t="s">
        <v>242</v>
      </c>
      <c r="T1153" s="10" t="s">
        <v>242</v>
      </c>
      <c r="U1153" s="10" t="s">
        <v>242</v>
      </c>
      <c r="V1153" s="10" t="s">
        <v>241</v>
      </c>
      <c r="W1153" s="10" t="s">
        <v>242</v>
      </c>
      <c r="X1153" s="15">
        <f>IF(ISERROR(VLOOKUP($A1153,'13. Updated Demand'!A:Z,15,FALSE)),0,VLOOKUP($A1153,'13. Updated Demand'!A:Z,15,FALSE))</f>
        <v>2.6666666669999999</v>
      </c>
      <c r="Y1153" s="16">
        <f>IF(ISERROR(VLOOKUP($A1153,'13. Updated Demand'!A:Z,16,FALSE)),0,VLOOKUP($A1153,'13. Updated Demand'!A:Z,16,FALSE))</f>
        <v>1.1666666670000001</v>
      </c>
      <c r="Z1153" s="16">
        <f>IF(ISERROR(VLOOKUP($A1153,'13. Updated Demand'!A:Z,17,FALSE)),0,VLOOKUP($A1153,'13. Updated Demand'!A:Z,17,FALSE))</f>
        <v>1</v>
      </c>
      <c r="AA1153" s="16">
        <f>IF(ISERROR(VLOOKUP($A1153,'13. Updated Demand'!A:Z,18,FALSE)),0,VLOOKUP($A1153,'13. Updated Demand'!A:Z,18,FALSE))</f>
        <v>0</v>
      </c>
      <c r="AB1153" s="16">
        <f>IF(ISERROR(VLOOKUP($A1153,'13. Updated Demand'!A:Z,19,FALSE)),0,VLOOKUP($A1153,'13. Updated Demand'!A:Z,19,FALSE))</f>
        <v>0</v>
      </c>
      <c r="AC1153" s="16">
        <f>IF(ISERROR(VLOOKUP($A1153,'13. Updated Demand'!A:Z,20,FALSE)),0,VLOOKUP($A1153,'13. Updated Demand'!A:Z,20,FALSE))</f>
        <v>0</v>
      </c>
      <c r="AD1153" s="16">
        <f>IF(ISERROR(VLOOKUP($A1153,'13. Updated Demand'!A:Z,21,FALSE)),0,VLOOKUP($A1153,'13. Updated Demand'!A:Z,21,FALSE))</f>
        <v>0</v>
      </c>
      <c r="AE1153" s="16">
        <f>IF(ISERROR(VLOOKUP($A1153,'13. Updated Demand'!A:Z,22,FALSE)),0,VLOOKUP($A1153,'13. Updated Demand'!A:Z,22,FALSE))</f>
        <v>0</v>
      </c>
      <c r="AF1153" s="16">
        <f>IF(ISERROR(VLOOKUP($A1153,'13. Updated Demand'!A:Z,23,FALSE)),0,VLOOKUP($A1153,'13. Updated Demand'!A:Z,23,FALSE))</f>
        <v>0</v>
      </c>
      <c r="AG1153" s="16">
        <f>IF(ISERROR(VLOOKUP($A1153,'13. Updated Demand'!A:Z,24,FALSE)),0,VLOOKUP($A1153,'13. Updated Demand'!A:Z,24,FALSE))</f>
        <v>0</v>
      </c>
      <c r="AH1153" s="16">
        <f>IF(ISERROR(VLOOKUP($A1153,'13. Updated Demand'!A:Z,25,FALSE)),0,VLOOKUP($A1153,'13. Updated Demand'!A:Z,25,FALSE))</f>
        <v>1.6666666670000001</v>
      </c>
      <c r="AI1153" s="16">
        <f>IF(ISERROR(VLOOKUP($A1153,'13. Updated Demand'!A:Z,26,FALSE)),0,VLOOKUP($A1153,'13. Updated Demand'!A:Z,26,FALSE))</f>
        <v>1.1666666670000001</v>
      </c>
      <c r="AJ1153" s="16">
        <f t="shared" si="216"/>
        <v>7.6666666680000004</v>
      </c>
      <c r="AK1153" s="19">
        <v>0</v>
      </c>
      <c r="AL1153" s="16">
        <f t="shared" si="214"/>
        <v>0</v>
      </c>
      <c r="AM1153" s="17">
        <v>0.51111111120000008</v>
      </c>
      <c r="AN1153" s="19"/>
      <c r="AO1153" s="19"/>
      <c r="AP1153" s="19">
        <v>15</v>
      </c>
      <c r="AQ1153" s="19" t="s">
        <v>307</v>
      </c>
      <c r="AR1153" s="9" t="s">
        <v>378</v>
      </c>
      <c r="AS1153" s="12">
        <v>0</v>
      </c>
      <c r="AT1153" s="19">
        <v>38.390846590000002</v>
      </c>
      <c r="AU1153" s="19">
        <v>-122.63362214</v>
      </c>
      <c r="AV1153" s="19" t="s">
        <v>417</v>
      </c>
    </row>
    <row r="1154" spans="1:48" x14ac:dyDescent="0.25">
      <c r="A1154" s="18" t="s">
        <v>1542</v>
      </c>
      <c r="B1154" s="10">
        <v>19530518</v>
      </c>
      <c r="C1154" s="9">
        <v>15</v>
      </c>
      <c r="D1154" s="8" t="str">
        <f t="shared" ref="D1154:D1217" si="217">IF(OR(C1154=4,C1154=5,C1154=6),"Y","N")</f>
        <v>N</v>
      </c>
      <c r="E1154" s="8" t="str">
        <f t="shared" ref="E1154:E1217" si="218">IF(AND(C1154&gt;6,C1154&lt;14),"Y","N")</f>
        <v>N</v>
      </c>
      <c r="F1154" s="8" t="str">
        <f t="shared" ref="F1154:F1217" si="219">IF(C1154&lt;14,"Y","N")</f>
        <v>N</v>
      </c>
      <c r="G1154" s="8" t="str">
        <f t="shared" ref="G1154:G1217" si="220">IF(OR(C1154=1,AND(C1154&gt;3,C1154&lt;14)),"Y","N")</f>
        <v>N</v>
      </c>
      <c r="H1154" s="8" t="str">
        <f t="shared" ref="H1154:H1217" si="221">IF(C1154&lt;14,"Upper","Lower")</f>
        <v>Lower</v>
      </c>
      <c r="I1154" s="8" t="str">
        <f t="shared" ref="I1154:I1217" si="222">IF(G1154="Y","West Fork and Below Lake","Outside")</f>
        <v>Outside</v>
      </c>
      <c r="J1154" s="8" t="str">
        <f t="shared" ref="J1154:J1217" si="223">IF(D1154="Y", "Mendocino (d/s of lake)", IF(E1154="Y", "Sonoma (d/s of Clov. Gage)","Outside"))</f>
        <v>Outside</v>
      </c>
      <c r="K1154" s="8" t="str">
        <f t="shared" ref="K1154:K1217" si="224">IF(P1154="Y","pre-1914",IF(Q1154="Y","Pre-1949",IF(R1154="Y","Post-1949",IF(S1154="Y","Riparian","Unknown"))))</f>
        <v>Post-1949</v>
      </c>
      <c r="L1154" s="8">
        <f t="shared" ref="L1154:L1217" si="225">_xlfn.NUMBERVALUE(LEFT(B1154,4))</f>
        <v>1953</v>
      </c>
      <c r="M1154" s="8" t="str">
        <f t="shared" si="215"/>
        <v>1953-1954</v>
      </c>
      <c r="N1154" s="10" t="s">
        <v>242</v>
      </c>
      <c r="O1154" s="10" t="s">
        <v>242</v>
      </c>
      <c r="P1154" s="10" t="s">
        <v>242</v>
      </c>
      <c r="Q1154" s="10" t="s">
        <v>242</v>
      </c>
      <c r="R1154" s="10" t="s">
        <v>241</v>
      </c>
      <c r="S1154" s="10" t="s">
        <v>242</v>
      </c>
      <c r="T1154" s="10" t="s">
        <v>242</v>
      </c>
      <c r="U1154" s="10" t="s">
        <v>242</v>
      </c>
      <c r="V1154" s="10" t="s">
        <v>242</v>
      </c>
      <c r="W1154" s="10" t="s">
        <v>242</v>
      </c>
      <c r="X1154" s="15">
        <f>IF(ISERROR(VLOOKUP($A1154,'13. Updated Demand'!A:Z,15,FALSE)),0,VLOOKUP($A1154,'13. Updated Demand'!A:Z,15,FALSE))</f>
        <v>0</v>
      </c>
      <c r="Y1154" s="16">
        <f>IF(ISERROR(VLOOKUP($A1154,'13. Updated Demand'!A:Z,16,FALSE)),0,VLOOKUP($A1154,'13. Updated Demand'!A:Z,16,FALSE))</f>
        <v>0</v>
      </c>
      <c r="Z1154" s="16">
        <f>IF(ISERROR(VLOOKUP($A1154,'13. Updated Demand'!A:Z,17,FALSE)),0,VLOOKUP($A1154,'13. Updated Demand'!A:Z,17,FALSE))</f>
        <v>0.66666666699999999</v>
      </c>
      <c r="AA1154" s="16">
        <f>IF(ISERROR(VLOOKUP($A1154,'13. Updated Demand'!A:Z,18,FALSE)),0,VLOOKUP($A1154,'13. Updated Demand'!A:Z,18,FALSE))</f>
        <v>0.83333333300000001</v>
      </c>
      <c r="AB1154" s="16">
        <f>IF(ISERROR(VLOOKUP($A1154,'13. Updated Demand'!A:Z,19,FALSE)),0,VLOOKUP($A1154,'13. Updated Demand'!A:Z,19,FALSE))</f>
        <v>1.6666666670000001</v>
      </c>
      <c r="AC1154" s="16">
        <f>IF(ISERROR(VLOOKUP($A1154,'13. Updated Demand'!A:Z,20,FALSE)),0,VLOOKUP($A1154,'13. Updated Demand'!A:Z,20,FALSE))</f>
        <v>3.1</v>
      </c>
      <c r="AD1154" s="16">
        <f>IF(ISERROR(VLOOKUP($A1154,'13. Updated Demand'!A:Z,21,FALSE)),0,VLOOKUP($A1154,'13. Updated Demand'!A:Z,21,FALSE))</f>
        <v>3.266666667</v>
      </c>
      <c r="AE1154" s="16">
        <f>IF(ISERROR(VLOOKUP($A1154,'13. Updated Demand'!A:Z,22,FALSE)),0,VLOOKUP($A1154,'13. Updated Demand'!A:Z,22,FALSE))</f>
        <v>3.1666666669999999</v>
      </c>
      <c r="AF1154" s="16">
        <f>IF(ISERROR(VLOOKUP($A1154,'13. Updated Demand'!A:Z,23,FALSE)),0,VLOOKUP($A1154,'13. Updated Demand'!A:Z,23,FALSE))</f>
        <v>2.5</v>
      </c>
      <c r="AG1154" s="16">
        <f>IF(ISERROR(VLOOKUP($A1154,'13. Updated Demand'!A:Z,24,FALSE)),0,VLOOKUP($A1154,'13. Updated Demand'!A:Z,24,FALSE))</f>
        <v>2</v>
      </c>
      <c r="AH1154" s="16">
        <f>IF(ISERROR(VLOOKUP($A1154,'13. Updated Demand'!A:Z,25,FALSE)),0,VLOOKUP($A1154,'13. Updated Demand'!A:Z,25,FALSE))</f>
        <v>0</v>
      </c>
      <c r="AI1154" s="16">
        <f>IF(ISERROR(VLOOKUP($A1154,'13. Updated Demand'!A:Z,26,FALSE)),0,VLOOKUP($A1154,'13. Updated Demand'!A:Z,26,FALSE))</f>
        <v>0</v>
      </c>
      <c r="AJ1154" s="16">
        <f t="shared" si="216"/>
        <v>17.200000000999999</v>
      </c>
      <c r="AK1154" s="19">
        <v>13.700000000999999</v>
      </c>
      <c r="AL1154" s="16">
        <f t="shared" ref="AL1154:AL1217" si="226">AK1154/152/1.983471</f>
        <v>4.544133942666536E-2</v>
      </c>
      <c r="AM1154" s="17">
        <v>0.23724137932413791</v>
      </c>
      <c r="AN1154" s="19"/>
      <c r="AO1154" s="19"/>
      <c r="AP1154" s="19">
        <v>72.5</v>
      </c>
      <c r="AQ1154" s="19" t="s">
        <v>307</v>
      </c>
      <c r="AR1154" s="9" t="s">
        <v>489</v>
      </c>
      <c r="AS1154" s="12">
        <v>0</v>
      </c>
      <c r="AT1154" s="19">
        <v>38.686327259999999</v>
      </c>
      <c r="AU1154" s="19">
        <v>-122.95331822</v>
      </c>
      <c r="AV1154" s="19" t="s">
        <v>701</v>
      </c>
    </row>
    <row r="1155" spans="1:48" x14ac:dyDescent="0.25">
      <c r="A1155" s="18" t="s">
        <v>70</v>
      </c>
      <c r="B1155" s="10">
        <v>19530121</v>
      </c>
      <c r="C1155" s="9">
        <v>4</v>
      </c>
      <c r="D1155" s="8" t="str">
        <f t="shared" si="217"/>
        <v>Y</v>
      </c>
      <c r="E1155" s="8" t="str">
        <f t="shared" si="218"/>
        <v>N</v>
      </c>
      <c r="F1155" s="8" t="str">
        <f t="shared" si="219"/>
        <v>Y</v>
      </c>
      <c r="G1155" s="8" t="str">
        <f t="shared" si="220"/>
        <v>Y</v>
      </c>
      <c r="H1155" s="8" t="str">
        <f t="shared" si="221"/>
        <v>Upper</v>
      </c>
      <c r="I1155" s="8" t="str">
        <f t="shared" si="222"/>
        <v>West Fork and Below Lake</v>
      </c>
      <c r="J1155" s="8" t="str">
        <f t="shared" si="223"/>
        <v>Mendocino (d/s of lake)</v>
      </c>
      <c r="K1155" s="8" t="str">
        <f t="shared" si="224"/>
        <v>Post-1949</v>
      </c>
      <c r="L1155" s="8">
        <f t="shared" si="225"/>
        <v>1953</v>
      </c>
      <c r="M1155" s="8" t="str">
        <f t="shared" ref="M1155:M1218" si="227">IF(L1155=1949,"1949",IF(AND(L1155&gt;1949,L1155&lt;1953),"1950-1952",IF(AND(L1155&gt;1952,L1155&lt;1955),"1953-1954",IF(AND(L1155&gt;1954,L1155&lt;1957),"1955-1956",IF(AND(L1155&gt;1956,L1155&lt;1960),"1957-1959",IF(AND(L1155&gt;1959,L1155&lt;1971),"1960-1970",IF(AND(L1155&gt;1970,L1155&lt;1991),"1971-1990",IF(L1155&gt;1990,"1991-present","-"))))))))</f>
        <v>1953-1954</v>
      </c>
      <c r="N1155" s="10" t="s">
        <v>241</v>
      </c>
      <c r="O1155" s="10" t="s">
        <v>241</v>
      </c>
      <c r="P1155" s="10" t="s">
        <v>242</v>
      </c>
      <c r="Q1155" s="10" t="s">
        <v>242</v>
      </c>
      <c r="R1155" s="10" t="s">
        <v>241</v>
      </c>
      <c r="S1155" s="10" t="s">
        <v>242</v>
      </c>
      <c r="T1155" s="10" t="s">
        <v>242</v>
      </c>
      <c r="U1155" s="10" t="s">
        <v>242</v>
      </c>
      <c r="V1155" s="10" t="s">
        <v>242</v>
      </c>
      <c r="W1155" s="10" t="s">
        <v>242</v>
      </c>
      <c r="X1155" s="15">
        <f>IF(ISERROR(VLOOKUP($A1155,'13. Updated Demand'!A:Z,15,FALSE)),0,VLOOKUP($A1155,'13. Updated Demand'!A:Z,15,FALSE))</f>
        <v>0</v>
      </c>
      <c r="Y1155" s="16">
        <f>IF(ISERROR(VLOOKUP($A1155,'13. Updated Demand'!A:Z,16,FALSE)),0,VLOOKUP($A1155,'13. Updated Demand'!A:Z,16,FALSE))</f>
        <v>0</v>
      </c>
      <c r="Z1155" s="16">
        <f>IF(ISERROR(VLOOKUP($A1155,'13. Updated Demand'!A:Z,17,FALSE)),0,VLOOKUP($A1155,'13. Updated Demand'!A:Z,17,FALSE))</f>
        <v>0</v>
      </c>
      <c r="AA1155" s="16">
        <f>IF(ISERROR(VLOOKUP($A1155,'13. Updated Demand'!A:Z,18,FALSE)),0,VLOOKUP($A1155,'13. Updated Demand'!A:Z,18,FALSE))</f>
        <v>0</v>
      </c>
      <c r="AB1155" s="16">
        <f>IF(ISERROR(VLOOKUP($A1155,'13. Updated Demand'!A:Z,19,FALSE)),0,VLOOKUP($A1155,'13. Updated Demand'!A:Z,19,FALSE))</f>
        <v>0</v>
      </c>
      <c r="AC1155" s="16">
        <f>IF(ISERROR(VLOOKUP($A1155,'13. Updated Demand'!A:Z,20,FALSE)),0,VLOOKUP($A1155,'13. Updated Demand'!A:Z,20,FALSE))</f>
        <v>0.57999999999999996</v>
      </c>
      <c r="AD1155" s="16">
        <f>IF(ISERROR(VLOOKUP($A1155,'13. Updated Demand'!A:Z,21,FALSE)),0,VLOOKUP($A1155,'13. Updated Demand'!A:Z,21,FALSE))</f>
        <v>7.69</v>
      </c>
      <c r="AE1155" s="16">
        <f>IF(ISERROR(VLOOKUP($A1155,'13. Updated Demand'!A:Z,22,FALSE)),0,VLOOKUP($A1155,'13. Updated Demand'!A:Z,22,FALSE))</f>
        <v>2.2999999999999998</v>
      </c>
      <c r="AF1155" s="16">
        <f>IF(ISERROR(VLOOKUP($A1155,'13. Updated Demand'!A:Z,23,FALSE)),0,VLOOKUP($A1155,'13. Updated Demand'!A:Z,23,FALSE))</f>
        <v>1.39</v>
      </c>
      <c r="AG1155" s="16">
        <f>IF(ISERROR(VLOOKUP($A1155,'13. Updated Demand'!A:Z,24,FALSE)),0,VLOOKUP($A1155,'13. Updated Demand'!A:Z,24,FALSE))</f>
        <v>0</v>
      </c>
      <c r="AH1155" s="16">
        <f>IF(ISERROR(VLOOKUP($A1155,'13. Updated Demand'!A:Z,25,FALSE)),0,VLOOKUP($A1155,'13. Updated Demand'!A:Z,25,FALSE))</f>
        <v>0</v>
      </c>
      <c r="AI1155" s="16">
        <f>IF(ISERROR(VLOOKUP($A1155,'13. Updated Demand'!A:Z,26,FALSE)),0,VLOOKUP($A1155,'13. Updated Demand'!A:Z,26,FALSE))</f>
        <v>0</v>
      </c>
      <c r="AJ1155" s="16">
        <f t="shared" si="216"/>
        <v>11.96</v>
      </c>
      <c r="AK1155" s="19">
        <v>11.976666666666674</v>
      </c>
      <c r="AL1155" s="16">
        <f t="shared" si="226"/>
        <v>3.9725239062795903E-2</v>
      </c>
      <c r="AM1155" s="17">
        <v>0.13609848484848494</v>
      </c>
      <c r="AN1155" s="19"/>
      <c r="AO1155" s="19"/>
      <c r="AP1155" s="19">
        <v>88</v>
      </c>
      <c r="AQ1155" s="19" t="s">
        <v>307</v>
      </c>
      <c r="AR1155" s="9" t="s">
        <v>331</v>
      </c>
      <c r="AS1155" s="12">
        <v>0</v>
      </c>
      <c r="AT1155" s="19">
        <v>39.166641779999999</v>
      </c>
      <c r="AU1155" s="19">
        <v>-123.19630333000001</v>
      </c>
      <c r="AV1155" s="19" t="s">
        <v>387</v>
      </c>
    </row>
    <row r="1156" spans="1:48" x14ac:dyDescent="0.25">
      <c r="A1156" s="18" t="s">
        <v>1543</v>
      </c>
      <c r="B1156" s="10">
        <v>19531229</v>
      </c>
      <c r="C1156" s="9">
        <v>9</v>
      </c>
      <c r="D1156" s="8" t="str">
        <f t="shared" si="217"/>
        <v>N</v>
      </c>
      <c r="E1156" s="8" t="str">
        <f t="shared" si="218"/>
        <v>Y</v>
      </c>
      <c r="F1156" s="8" t="str">
        <f t="shared" si="219"/>
        <v>Y</v>
      </c>
      <c r="G1156" s="8" t="str">
        <f t="shared" si="220"/>
        <v>Y</v>
      </c>
      <c r="H1156" s="8" t="str">
        <f t="shared" si="221"/>
        <v>Upper</v>
      </c>
      <c r="I1156" s="8" t="str">
        <f t="shared" si="222"/>
        <v>West Fork and Below Lake</v>
      </c>
      <c r="J1156" s="8" t="str">
        <f t="shared" si="223"/>
        <v>Sonoma (d/s of Clov. Gage)</v>
      </c>
      <c r="K1156" s="8" t="str">
        <f t="shared" si="224"/>
        <v>Post-1949</v>
      </c>
      <c r="L1156" s="8">
        <f t="shared" si="225"/>
        <v>1953</v>
      </c>
      <c r="M1156" s="8" t="str">
        <f t="shared" si="227"/>
        <v>1953-1954</v>
      </c>
      <c r="N1156" s="10" t="s">
        <v>241</v>
      </c>
      <c r="O1156" s="10" t="s">
        <v>241</v>
      </c>
      <c r="P1156" s="10" t="s">
        <v>242</v>
      </c>
      <c r="Q1156" s="10" t="s">
        <v>242</v>
      </c>
      <c r="R1156" s="10" t="s">
        <v>241</v>
      </c>
      <c r="S1156" s="10" t="s">
        <v>242</v>
      </c>
      <c r="T1156" s="10" t="s">
        <v>242</v>
      </c>
      <c r="U1156" s="10" t="s">
        <v>242</v>
      </c>
      <c r="V1156" s="10" t="s">
        <v>242</v>
      </c>
      <c r="W1156" s="10" t="s">
        <v>242</v>
      </c>
      <c r="X1156" s="15">
        <f>IF(ISERROR(VLOOKUP($A1156,'13. Updated Demand'!A:Z,15,FALSE)),0,VLOOKUP($A1156,'13. Updated Demand'!A:Z,15,FALSE))</f>
        <v>0.08</v>
      </c>
      <c r="Y1156" s="16">
        <f>IF(ISERROR(VLOOKUP($A1156,'13. Updated Demand'!A:Z,16,FALSE)),0,VLOOKUP($A1156,'13. Updated Demand'!A:Z,16,FALSE))</f>
        <v>0.08</v>
      </c>
      <c r="Z1156" s="16">
        <f>IF(ISERROR(VLOOKUP($A1156,'13. Updated Demand'!A:Z,17,FALSE)),0,VLOOKUP($A1156,'13. Updated Demand'!A:Z,17,FALSE))</f>
        <v>0.08</v>
      </c>
      <c r="AA1156" s="16">
        <f>IF(ISERROR(VLOOKUP($A1156,'13. Updated Demand'!A:Z,18,FALSE)),0,VLOOKUP($A1156,'13. Updated Demand'!A:Z,18,FALSE))</f>
        <v>0.14000000000000001</v>
      </c>
      <c r="AB1156" s="16">
        <f>IF(ISERROR(VLOOKUP($A1156,'13. Updated Demand'!A:Z,19,FALSE)),0,VLOOKUP($A1156,'13. Updated Demand'!A:Z,19,FALSE))</f>
        <v>1.04</v>
      </c>
      <c r="AC1156" s="16">
        <f>IF(ISERROR(VLOOKUP($A1156,'13. Updated Demand'!A:Z,20,FALSE)),0,VLOOKUP($A1156,'13. Updated Demand'!A:Z,20,FALSE))</f>
        <v>1.81</v>
      </c>
      <c r="AD1156" s="16">
        <f>IF(ISERROR(VLOOKUP($A1156,'13. Updated Demand'!A:Z,21,FALSE)),0,VLOOKUP($A1156,'13. Updated Demand'!A:Z,21,FALSE))</f>
        <v>2.99</v>
      </c>
      <c r="AE1156" s="16">
        <f>IF(ISERROR(VLOOKUP($A1156,'13. Updated Demand'!A:Z,22,FALSE)),0,VLOOKUP($A1156,'13. Updated Demand'!A:Z,22,FALSE))</f>
        <v>2.99</v>
      </c>
      <c r="AF1156" s="16">
        <f>IF(ISERROR(VLOOKUP($A1156,'13. Updated Demand'!A:Z,23,FALSE)),0,VLOOKUP($A1156,'13. Updated Demand'!A:Z,23,FALSE))</f>
        <v>2.79</v>
      </c>
      <c r="AG1156" s="16">
        <f>IF(ISERROR(VLOOKUP($A1156,'13. Updated Demand'!A:Z,24,FALSE)),0,VLOOKUP($A1156,'13. Updated Demand'!A:Z,24,FALSE))</f>
        <v>1.74</v>
      </c>
      <c r="AH1156" s="16">
        <f>IF(ISERROR(VLOOKUP($A1156,'13. Updated Demand'!A:Z,25,FALSE)),0,VLOOKUP($A1156,'13. Updated Demand'!A:Z,25,FALSE))</f>
        <v>0.51</v>
      </c>
      <c r="AI1156" s="16">
        <f>IF(ISERROR(VLOOKUP($A1156,'13. Updated Demand'!A:Z,26,FALSE)),0,VLOOKUP($A1156,'13. Updated Demand'!A:Z,26,FALSE))</f>
        <v>0.08</v>
      </c>
      <c r="AJ1156" s="16">
        <f t="shared" si="216"/>
        <v>14.33</v>
      </c>
      <c r="AK1156" s="19">
        <v>11.64</v>
      </c>
      <c r="AL1156" s="16">
        <f t="shared" si="226"/>
        <v>3.8608554079399726E-2</v>
      </c>
      <c r="AM1156" s="17">
        <v>0.94429824561403519</v>
      </c>
      <c r="AN1156" s="19"/>
      <c r="AO1156" s="19"/>
      <c r="AP1156" s="19">
        <v>15.2</v>
      </c>
      <c r="AQ1156" s="19" t="s">
        <v>307</v>
      </c>
      <c r="AR1156" s="9" t="s">
        <v>354</v>
      </c>
      <c r="AS1156" s="12">
        <v>0</v>
      </c>
      <c r="AT1156" s="19">
        <v>38.753846529999997</v>
      </c>
      <c r="AU1156" s="19">
        <v>-122.95737831</v>
      </c>
      <c r="AV1156" s="19" t="s">
        <v>387</v>
      </c>
    </row>
    <row r="1157" spans="1:48" x14ac:dyDescent="0.25">
      <c r="A1157" s="18" t="s">
        <v>53</v>
      </c>
      <c r="B1157" s="10">
        <v>19530120</v>
      </c>
      <c r="C1157" s="9">
        <v>5</v>
      </c>
      <c r="D1157" s="8" t="str">
        <f t="shared" si="217"/>
        <v>Y</v>
      </c>
      <c r="E1157" s="8" t="str">
        <f t="shared" si="218"/>
        <v>N</v>
      </c>
      <c r="F1157" s="8" t="str">
        <f t="shared" si="219"/>
        <v>Y</v>
      </c>
      <c r="G1157" s="8" t="str">
        <f t="shared" si="220"/>
        <v>Y</v>
      </c>
      <c r="H1157" s="8" t="str">
        <f t="shared" si="221"/>
        <v>Upper</v>
      </c>
      <c r="I1157" s="8" t="str">
        <f t="shared" si="222"/>
        <v>West Fork and Below Lake</v>
      </c>
      <c r="J1157" s="8" t="str">
        <f t="shared" si="223"/>
        <v>Mendocino (d/s of lake)</v>
      </c>
      <c r="K1157" s="8" t="str">
        <f t="shared" si="224"/>
        <v>Post-1949</v>
      </c>
      <c r="L1157" s="8">
        <f t="shared" si="225"/>
        <v>1953</v>
      </c>
      <c r="M1157" s="8" t="str">
        <f t="shared" si="227"/>
        <v>1953-1954</v>
      </c>
      <c r="N1157" s="10" t="s">
        <v>241</v>
      </c>
      <c r="O1157" s="10" t="s">
        <v>241</v>
      </c>
      <c r="P1157" s="10" t="s">
        <v>242</v>
      </c>
      <c r="Q1157" s="10" t="s">
        <v>242</v>
      </c>
      <c r="R1157" s="10" t="s">
        <v>241</v>
      </c>
      <c r="S1157" s="10" t="s">
        <v>242</v>
      </c>
      <c r="T1157" s="10" t="s">
        <v>242</v>
      </c>
      <c r="U1157" s="10" t="s">
        <v>242</v>
      </c>
      <c r="V1157" s="10" t="s">
        <v>242</v>
      </c>
      <c r="W1157" s="10" t="s">
        <v>242</v>
      </c>
      <c r="X1157" s="15">
        <f>IF(ISERROR(VLOOKUP($A1157,'13. Updated Demand'!A:Z,15,FALSE)),0,VLOOKUP($A1157,'13. Updated Demand'!A:Z,15,FALSE))</f>
        <v>0</v>
      </c>
      <c r="Y1157" s="16">
        <f>IF(ISERROR(VLOOKUP($A1157,'13. Updated Demand'!A:Z,16,FALSE)),0,VLOOKUP($A1157,'13. Updated Demand'!A:Z,16,FALSE))</f>
        <v>0</v>
      </c>
      <c r="Z1157" s="16">
        <f>IF(ISERROR(VLOOKUP($A1157,'13. Updated Demand'!A:Z,17,FALSE)),0,VLOOKUP($A1157,'13. Updated Demand'!A:Z,17,FALSE))</f>
        <v>0</v>
      </c>
      <c r="AA1157" s="16">
        <f>IF(ISERROR(VLOOKUP($A1157,'13. Updated Demand'!A:Z,18,FALSE)),0,VLOOKUP($A1157,'13. Updated Demand'!A:Z,18,FALSE))</f>
        <v>0</v>
      </c>
      <c r="AB1157" s="16">
        <f>IF(ISERROR(VLOOKUP($A1157,'13. Updated Demand'!A:Z,19,FALSE)),0,VLOOKUP($A1157,'13. Updated Demand'!A:Z,19,FALSE))</f>
        <v>0</v>
      </c>
      <c r="AC1157" s="16">
        <f>IF(ISERROR(VLOOKUP($A1157,'13. Updated Demand'!A:Z,20,FALSE)),0,VLOOKUP($A1157,'13. Updated Demand'!A:Z,20,FALSE))</f>
        <v>0</v>
      </c>
      <c r="AD1157" s="16">
        <f>IF(ISERROR(VLOOKUP($A1157,'13. Updated Demand'!A:Z,21,FALSE)),0,VLOOKUP($A1157,'13. Updated Demand'!A:Z,21,FALSE))</f>
        <v>5.86</v>
      </c>
      <c r="AE1157" s="16">
        <f>IF(ISERROR(VLOOKUP($A1157,'13. Updated Demand'!A:Z,22,FALSE)),0,VLOOKUP($A1157,'13. Updated Demand'!A:Z,22,FALSE))</f>
        <v>3.06</v>
      </c>
      <c r="AF1157" s="16">
        <f>IF(ISERROR(VLOOKUP($A1157,'13. Updated Demand'!A:Z,23,FALSE)),0,VLOOKUP($A1157,'13. Updated Demand'!A:Z,23,FALSE))</f>
        <v>0</v>
      </c>
      <c r="AG1157" s="16">
        <f>IF(ISERROR(VLOOKUP($A1157,'13. Updated Demand'!A:Z,24,FALSE)),0,VLOOKUP($A1157,'13. Updated Demand'!A:Z,24,FALSE))</f>
        <v>0</v>
      </c>
      <c r="AH1157" s="16">
        <f>IF(ISERROR(VLOOKUP($A1157,'13. Updated Demand'!A:Z,25,FALSE)),0,VLOOKUP($A1157,'13. Updated Demand'!A:Z,25,FALSE))</f>
        <v>0</v>
      </c>
      <c r="AI1157" s="16">
        <f>IF(ISERROR(VLOOKUP($A1157,'13. Updated Demand'!A:Z,26,FALSE)),0,VLOOKUP($A1157,'13. Updated Demand'!A:Z,26,FALSE))</f>
        <v>0</v>
      </c>
      <c r="AJ1157" s="16">
        <f t="shared" si="216"/>
        <v>8.92</v>
      </c>
      <c r="AK1157" s="19">
        <v>8.9333333333333407</v>
      </c>
      <c r="AL1157" s="16">
        <f t="shared" si="226"/>
        <v>2.963084906437324E-2</v>
      </c>
      <c r="AM1157" s="17">
        <v>2.6587301587301611E-2</v>
      </c>
      <c r="AN1157" s="19"/>
      <c r="AO1157" s="19"/>
      <c r="AP1157" s="19">
        <v>336</v>
      </c>
      <c r="AQ1157" s="19" t="s">
        <v>307</v>
      </c>
      <c r="AR1157" s="9" t="s">
        <v>333</v>
      </c>
      <c r="AS1157" s="12">
        <v>0</v>
      </c>
      <c r="AT1157" s="19">
        <v>39.104620310000001</v>
      </c>
      <c r="AU1157" s="19">
        <v>-123.18379521</v>
      </c>
      <c r="AV1157" s="19" t="s">
        <v>387</v>
      </c>
    </row>
    <row r="1158" spans="1:48" x14ac:dyDescent="0.25">
      <c r="A1158" s="18" t="s">
        <v>124</v>
      </c>
      <c r="B1158" s="10">
        <v>19530605</v>
      </c>
      <c r="C1158" s="9">
        <v>12</v>
      </c>
      <c r="D1158" s="8" t="str">
        <f t="shared" si="217"/>
        <v>N</v>
      </c>
      <c r="E1158" s="8" t="str">
        <f t="shared" si="218"/>
        <v>Y</v>
      </c>
      <c r="F1158" s="8" t="str">
        <f t="shared" si="219"/>
        <v>Y</v>
      </c>
      <c r="G1158" s="8" t="str">
        <f t="shared" si="220"/>
        <v>Y</v>
      </c>
      <c r="H1158" s="8" t="str">
        <f t="shared" si="221"/>
        <v>Upper</v>
      </c>
      <c r="I1158" s="8" t="str">
        <f t="shared" si="222"/>
        <v>West Fork and Below Lake</v>
      </c>
      <c r="J1158" s="8" t="str">
        <f t="shared" si="223"/>
        <v>Sonoma (d/s of Clov. Gage)</v>
      </c>
      <c r="K1158" s="8" t="str">
        <f t="shared" si="224"/>
        <v>Post-1949</v>
      </c>
      <c r="L1158" s="8">
        <f t="shared" si="225"/>
        <v>1953</v>
      </c>
      <c r="M1158" s="8" t="str">
        <f t="shared" si="227"/>
        <v>1953-1954</v>
      </c>
      <c r="N1158" s="10" t="s">
        <v>241</v>
      </c>
      <c r="O1158" s="10" t="s">
        <v>241</v>
      </c>
      <c r="P1158" s="10" t="s">
        <v>242</v>
      </c>
      <c r="Q1158" s="10" t="s">
        <v>242</v>
      </c>
      <c r="R1158" s="10" t="s">
        <v>241</v>
      </c>
      <c r="S1158" s="10" t="s">
        <v>242</v>
      </c>
      <c r="T1158" s="10" t="s">
        <v>242</v>
      </c>
      <c r="U1158" s="10" t="s">
        <v>242</v>
      </c>
      <c r="V1158" s="10" t="s">
        <v>242</v>
      </c>
      <c r="W1158" s="10" t="s">
        <v>242</v>
      </c>
      <c r="X1158" s="15">
        <f>IF(ISERROR(VLOOKUP($A1158,'13. Updated Demand'!A:Z,15,FALSE)),0,VLOOKUP($A1158,'13. Updated Demand'!A:Z,15,FALSE))</f>
        <v>0</v>
      </c>
      <c r="Y1158" s="16">
        <f>IF(ISERROR(VLOOKUP($A1158,'13. Updated Demand'!A:Z,16,FALSE)),0,VLOOKUP($A1158,'13. Updated Demand'!A:Z,16,FALSE))</f>
        <v>0</v>
      </c>
      <c r="Z1158" s="16">
        <f>IF(ISERROR(VLOOKUP($A1158,'13. Updated Demand'!A:Z,17,FALSE)),0,VLOOKUP($A1158,'13. Updated Demand'!A:Z,17,FALSE))</f>
        <v>0</v>
      </c>
      <c r="AA1158" s="16">
        <f>IF(ISERROR(VLOOKUP($A1158,'13. Updated Demand'!A:Z,18,FALSE)),0,VLOOKUP($A1158,'13. Updated Demand'!A:Z,18,FALSE))</f>
        <v>0.2</v>
      </c>
      <c r="AB1158" s="16">
        <f>IF(ISERROR(VLOOKUP($A1158,'13. Updated Demand'!A:Z,19,FALSE)),0,VLOOKUP($A1158,'13. Updated Demand'!A:Z,19,FALSE))</f>
        <v>0.18</v>
      </c>
      <c r="AC1158" s="16">
        <f>IF(ISERROR(VLOOKUP($A1158,'13. Updated Demand'!A:Z,20,FALSE)),0,VLOOKUP($A1158,'13. Updated Demand'!A:Z,20,FALSE))</f>
        <v>0.57999999999999996</v>
      </c>
      <c r="AD1158" s="16">
        <f>IF(ISERROR(VLOOKUP($A1158,'13. Updated Demand'!A:Z,21,FALSE)),0,VLOOKUP($A1158,'13. Updated Demand'!A:Z,21,FALSE))</f>
        <v>2.12</v>
      </c>
      <c r="AE1158" s="16">
        <f>IF(ISERROR(VLOOKUP($A1158,'13. Updated Demand'!A:Z,22,FALSE)),0,VLOOKUP($A1158,'13. Updated Demand'!A:Z,22,FALSE))</f>
        <v>3.24</v>
      </c>
      <c r="AF1158" s="16">
        <f>IF(ISERROR(VLOOKUP($A1158,'13. Updated Demand'!A:Z,23,FALSE)),0,VLOOKUP($A1158,'13. Updated Demand'!A:Z,23,FALSE))</f>
        <v>2.2400000000000002</v>
      </c>
      <c r="AG1158" s="16">
        <f>IF(ISERROR(VLOOKUP($A1158,'13. Updated Demand'!A:Z,24,FALSE)),0,VLOOKUP($A1158,'13. Updated Demand'!A:Z,24,FALSE))</f>
        <v>1.76</v>
      </c>
      <c r="AH1158" s="16">
        <f>IF(ISERROR(VLOOKUP($A1158,'13. Updated Demand'!A:Z,25,FALSE)),0,VLOOKUP($A1158,'13. Updated Demand'!A:Z,25,FALSE))</f>
        <v>0.5</v>
      </c>
      <c r="AI1158" s="16">
        <f>IF(ISERROR(VLOOKUP($A1158,'13. Updated Demand'!A:Z,26,FALSE)),0,VLOOKUP($A1158,'13. Updated Demand'!A:Z,26,FALSE))</f>
        <v>0</v>
      </c>
      <c r="AJ1158" s="16">
        <f t="shared" si="216"/>
        <v>10.82</v>
      </c>
      <c r="AK1158" s="19">
        <v>8.3766666666666705</v>
      </c>
      <c r="AL1158" s="16">
        <f t="shared" si="226"/>
        <v>2.7784449141332063E-2</v>
      </c>
      <c r="AM1158" s="17">
        <v>4.2896715472892775E-2</v>
      </c>
      <c r="AN1158" s="19"/>
      <c r="AO1158" s="19"/>
      <c r="AP1158" s="19">
        <v>252.7</v>
      </c>
      <c r="AQ1158" s="19" t="s">
        <v>307</v>
      </c>
      <c r="AR1158" s="9" t="s">
        <v>311</v>
      </c>
      <c r="AS1158" s="12">
        <v>0</v>
      </c>
      <c r="AT1158" s="19">
        <v>38.651193810000002</v>
      </c>
      <c r="AU1158" s="19">
        <v>-122.80612083</v>
      </c>
      <c r="AV1158" s="19" t="s">
        <v>548</v>
      </c>
    </row>
    <row r="1159" spans="1:48" x14ac:dyDescent="0.25">
      <c r="A1159" s="18" t="s">
        <v>1544</v>
      </c>
      <c r="B1159" s="10">
        <v>19530406</v>
      </c>
      <c r="C1159" s="9">
        <v>10</v>
      </c>
      <c r="D1159" s="8" t="str">
        <f t="shared" si="217"/>
        <v>N</v>
      </c>
      <c r="E1159" s="8" t="str">
        <f t="shared" si="218"/>
        <v>Y</v>
      </c>
      <c r="F1159" s="8" t="str">
        <f t="shared" si="219"/>
        <v>Y</v>
      </c>
      <c r="G1159" s="8" t="str">
        <f t="shared" si="220"/>
        <v>Y</v>
      </c>
      <c r="H1159" s="8" t="str">
        <f t="shared" si="221"/>
        <v>Upper</v>
      </c>
      <c r="I1159" s="8" t="str">
        <f t="shared" si="222"/>
        <v>West Fork and Below Lake</v>
      </c>
      <c r="J1159" s="8" t="str">
        <f t="shared" si="223"/>
        <v>Sonoma (d/s of Clov. Gage)</v>
      </c>
      <c r="K1159" s="8" t="str">
        <f t="shared" si="224"/>
        <v>Post-1949</v>
      </c>
      <c r="L1159" s="8">
        <f t="shared" si="225"/>
        <v>1953</v>
      </c>
      <c r="M1159" s="8" t="str">
        <f t="shared" si="227"/>
        <v>1953-1954</v>
      </c>
      <c r="N1159" s="10" t="s">
        <v>241</v>
      </c>
      <c r="O1159" s="10" t="s">
        <v>241</v>
      </c>
      <c r="P1159" s="10" t="s">
        <v>242</v>
      </c>
      <c r="Q1159" s="10" t="s">
        <v>242</v>
      </c>
      <c r="R1159" s="10" t="s">
        <v>241</v>
      </c>
      <c r="S1159" s="10" t="s">
        <v>242</v>
      </c>
      <c r="T1159" s="10" t="s">
        <v>242</v>
      </c>
      <c r="U1159" s="10" t="s">
        <v>242</v>
      </c>
      <c r="V1159" s="10" t="s">
        <v>242</v>
      </c>
      <c r="W1159" s="10" t="s">
        <v>242</v>
      </c>
      <c r="X1159" s="15">
        <f>IF(ISERROR(VLOOKUP($A1159,'13. Updated Demand'!A:Z,15,FALSE)),0,VLOOKUP($A1159,'13. Updated Demand'!A:Z,15,FALSE))</f>
        <v>0</v>
      </c>
      <c r="Y1159" s="16">
        <f>IF(ISERROR(VLOOKUP($A1159,'13. Updated Demand'!A:Z,16,FALSE)),0,VLOOKUP($A1159,'13. Updated Demand'!A:Z,16,FALSE))</f>
        <v>0</v>
      </c>
      <c r="Z1159" s="16">
        <f>IF(ISERROR(VLOOKUP($A1159,'13. Updated Demand'!A:Z,17,FALSE)),0,VLOOKUP($A1159,'13. Updated Demand'!A:Z,17,FALSE))</f>
        <v>0</v>
      </c>
      <c r="AA1159" s="16">
        <f>IF(ISERROR(VLOOKUP($A1159,'13. Updated Demand'!A:Z,18,FALSE)),0,VLOOKUP($A1159,'13. Updated Demand'!A:Z,18,FALSE))</f>
        <v>0.03</v>
      </c>
      <c r="AB1159" s="16">
        <f>IF(ISERROR(VLOOKUP($A1159,'13. Updated Demand'!A:Z,19,FALSE)),0,VLOOKUP($A1159,'13. Updated Demand'!A:Z,19,FALSE))</f>
        <v>1.1599999999999999</v>
      </c>
      <c r="AC1159" s="16">
        <f>IF(ISERROR(VLOOKUP($A1159,'13. Updated Demand'!A:Z,20,FALSE)),0,VLOOKUP($A1159,'13. Updated Demand'!A:Z,20,FALSE))</f>
        <v>1.73</v>
      </c>
      <c r="AD1159" s="16">
        <f>IF(ISERROR(VLOOKUP($A1159,'13. Updated Demand'!A:Z,21,FALSE)),0,VLOOKUP($A1159,'13. Updated Demand'!A:Z,21,FALSE))</f>
        <v>2.7</v>
      </c>
      <c r="AE1159" s="16">
        <f>IF(ISERROR(VLOOKUP($A1159,'13. Updated Demand'!A:Z,22,FALSE)),0,VLOOKUP($A1159,'13. Updated Demand'!A:Z,22,FALSE))</f>
        <v>1.6</v>
      </c>
      <c r="AF1159" s="16">
        <f>IF(ISERROR(VLOOKUP($A1159,'13. Updated Demand'!A:Z,23,FALSE)),0,VLOOKUP($A1159,'13. Updated Demand'!A:Z,23,FALSE))</f>
        <v>1</v>
      </c>
      <c r="AG1159" s="16">
        <f>IF(ISERROR(VLOOKUP($A1159,'13. Updated Demand'!A:Z,24,FALSE)),0,VLOOKUP($A1159,'13. Updated Demand'!A:Z,24,FALSE))</f>
        <v>0.4</v>
      </c>
      <c r="AH1159" s="16">
        <f>IF(ISERROR(VLOOKUP($A1159,'13. Updated Demand'!A:Z,25,FALSE)),0,VLOOKUP($A1159,'13. Updated Demand'!A:Z,25,FALSE))</f>
        <v>3.3333333333333301E-3</v>
      </c>
      <c r="AI1159" s="16">
        <f>IF(ISERROR(VLOOKUP($A1159,'13. Updated Demand'!A:Z,26,FALSE)),0,VLOOKUP($A1159,'13. Updated Demand'!A:Z,26,FALSE))</f>
        <v>0</v>
      </c>
      <c r="AJ1159" s="16">
        <f t="shared" si="216"/>
        <v>8.6233333333333348</v>
      </c>
      <c r="AK1159" s="19">
        <v>8.2000000000000011</v>
      </c>
      <c r="AL1159" s="16">
        <f t="shared" si="226"/>
        <v>2.7198465932223179E-2</v>
      </c>
      <c r="AM1159" s="17">
        <v>0.13500000000000001</v>
      </c>
      <c r="AN1159" s="19"/>
      <c r="AO1159" s="19"/>
      <c r="AP1159" s="19">
        <v>64</v>
      </c>
      <c r="AQ1159" s="19" t="s">
        <v>307</v>
      </c>
      <c r="AR1159" s="9" t="s">
        <v>436</v>
      </c>
      <c r="AS1159" s="12">
        <v>0</v>
      </c>
      <c r="AT1159" s="19">
        <v>38.672729279999999</v>
      </c>
      <c r="AU1159" s="19">
        <v>-122.86626394</v>
      </c>
      <c r="AV1159" s="19" t="s">
        <v>548</v>
      </c>
    </row>
    <row r="1160" spans="1:48" x14ac:dyDescent="0.25">
      <c r="A1160" s="18" t="s">
        <v>1545</v>
      </c>
      <c r="B1160" s="10">
        <v>19531229</v>
      </c>
      <c r="C1160" s="9">
        <v>9</v>
      </c>
      <c r="D1160" s="8" t="str">
        <f t="shared" si="217"/>
        <v>N</v>
      </c>
      <c r="E1160" s="8" t="str">
        <f t="shared" si="218"/>
        <v>Y</v>
      </c>
      <c r="F1160" s="8" t="str">
        <f t="shared" si="219"/>
        <v>Y</v>
      </c>
      <c r="G1160" s="8" t="str">
        <f t="shared" si="220"/>
        <v>Y</v>
      </c>
      <c r="H1160" s="8" t="str">
        <f t="shared" si="221"/>
        <v>Upper</v>
      </c>
      <c r="I1160" s="8" t="str">
        <f t="shared" si="222"/>
        <v>West Fork and Below Lake</v>
      </c>
      <c r="J1160" s="8" t="str">
        <f t="shared" si="223"/>
        <v>Sonoma (d/s of Clov. Gage)</v>
      </c>
      <c r="K1160" s="8" t="str">
        <f t="shared" si="224"/>
        <v>Post-1949</v>
      </c>
      <c r="L1160" s="8">
        <f t="shared" si="225"/>
        <v>1953</v>
      </c>
      <c r="M1160" s="8" t="str">
        <f t="shared" si="227"/>
        <v>1953-1954</v>
      </c>
      <c r="N1160" s="10" t="s">
        <v>241</v>
      </c>
      <c r="O1160" s="10" t="s">
        <v>241</v>
      </c>
      <c r="P1160" s="10" t="s">
        <v>242</v>
      </c>
      <c r="Q1160" s="10" t="s">
        <v>242</v>
      </c>
      <c r="R1160" s="10" t="s">
        <v>241</v>
      </c>
      <c r="S1160" s="10" t="s">
        <v>242</v>
      </c>
      <c r="T1160" s="10" t="s">
        <v>242</v>
      </c>
      <c r="U1160" s="10" t="s">
        <v>242</v>
      </c>
      <c r="V1160" s="10" t="s">
        <v>242</v>
      </c>
      <c r="W1160" s="10" t="s">
        <v>242</v>
      </c>
      <c r="X1160" s="15">
        <f>IF(ISERROR(VLOOKUP($A1160,'13. Updated Demand'!A:Z,15,FALSE)),0,VLOOKUP($A1160,'13. Updated Demand'!A:Z,15,FALSE))</f>
        <v>0</v>
      </c>
      <c r="Y1160" s="16">
        <f>IF(ISERROR(VLOOKUP($A1160,'13. Updated Demand'!A:Z,16,FALSE)),0,VLOOKUP($A1160,'13. Updated Demand'!A:Z,16,FALSE))</f>
        <v>0</v>
      </c>
      <c r="Z1160" s="16">
        <f>IF(ISERROR(VLOOKUP($A1160,'13. Updated Demand'!A:Z,17,FALSE)),0,VLOOKUP($A1160,'13. Updated Demand'!A:Z,17,FALSE))</f>
        <v>0</v>
      </c>
      <c r="AA1160" s="16">
        <f>IF(ISERROR(VLOOKUP($A1160,'13. Updated Demand'!A:Z,18,FALSE)),0,VLOOKUP($A1160,'13. Updated Demand'!A:Z,18,FALSE))</f>
        <v>0</v>
      </c>
      <c r="AB1160" s="16">
        <f>IF(ISERROR(VLOOKUP($A1160,'13. Updated Demand'!A:Z,19,FALSE)),0,VLOOKUP($A1160,'13. Updated Demand'!A:Z,19,FALSE))</f>
        <v>3.3333333333333301E-3</v>
      </c>
      <c r="AC1160" s="16">
        <f>IF(ISERROR(VLOOKUP($A1160,'13. Updated Demand'!A:Z,20,FALSE)),0,VLOOKUP($A1160,'13. Updated Demand'!A:Z,20,FALSE))</f>
        <v>0.56000000000000005</v>
      </c>
      <c r="AD1160" s="16">
        <f>IF(ISERROR(VLOOKUP($A1160,'13. Updated Demand'!A:Z,21,FALSE)),0,VLOOKUP($A1160,'13. Updated Demand'!A:Z,21,FALSE))</f>
        <v>1.66</v>
      </c>
      <c r="AE1160" s="16">
        <f>IF(ISERROR(VLOOKUP($A1160,'13. Updated Demand'!A:Z,22,FALSE)),0,VLOOKUP($A1160,'13. Updated Demand'!A:Z,22,FALSE))</f>
        <v>2.16</v>
      </c>
      <c r="AF1160" s="16">
        <f>IF(ISERROR(VLOOKUP($A1160,'13. Updated Demand'!A:Z,23,FALSE)),0,VLOOKUP($A1160,'13. Updated Demand'!A:Z,23,FALSE))</f>
        <v>1.43</v>
      </c>
      <c r="AG1160" s="16">
        <f>IF(ISERROR(VLOOKUP($A1160,'13. Updated Demand'!A:Z,24,FALSE)),0,VLOOKUP($A1160,'13. Updated Demand'!A:Z,24,FALSE))</f>
        <v>0.43</v>
      </c>
      <c r="AH1160" s="16">
        <f>IF(ISERROR(VLOOKUP($A1160,'13. Updated Demand'!A:Z,25,FALSE)),0,VLOOKUP($A1160,'13. Updated Demand'!A:Z,25,FALSE))</f>
        <v>0</v>
      </c>
      <c r="AI1160" s="16">
        <f>IF(ISERROR(VLOOKUP($A1160,'13. Updated Demand'!A:Z,26,FALSE)),0,VLOOKUP($A1160,'13. Updated Demand'!A:Z,26,FALSE))</f>
        <v>0</v>
      </c>
      <c r="AJ1160" s="16">
        <f t="shared" si="216"/>
        <v>6.2433333333333323</v>
      </c>
      <c r="AK1160" s="19">
        <v>5.8366666666666704</v>
      </c>
      <c r="AL1160" s="16">
        <f t="shared" si="226"/>
        <v>1.935955847452147E-2</v>
      </c>
      <c r="AM1160" s="17">
        <v>0.5548672566371684</v>
      </c>
      <c r="AN1160" s="19"/>
      <c r="AO1160" s="19"/>
      <c r="AP1160" s="19">
        <v>11.3</v>
      </c>
      <c r="AQ1160" s="19" t="s">
        <v>307</v>
      </c>
      <c r="AR1160" s="9" t="s">
        <v>354</v>
      </c>
      <c r="AS1160" s="12">
        <v>0</v>
      </c>
      <c r="AT1160" s="19">
        <v>38.753846529999997</v>
      </c>
      <c r="AU1160" s="19">
        <v>-122.95737831</v>
      </c>
      <c r="AV1160" s="19" t="s">
        <v>387</v>
      </c>
    </row>
    <row r="1161" spans="1:48" x14ac:dyDescent="0.25">
      <c r="A1161" s="18" t="s">
        <v>100</v>
      </c>
      <c r="B1161" s="10">
        <v>19530701</v>
      </c>
      <c r="C1161" s="9">
        <v>9</v>
      </c>
      <c r="D1161" s="8" t="str">
        <f t="shared" si="217"/>
        <v>N</v>
      </c>
      <c r="E1161" s="8" t="str">
        <f t="shared" si="218"/>
        <v>Y</v>
      </c>
      <c r="F1161" s="8" t="str">
        <f t="shared" si="219"/>
        <v>Y</v>
      </c>
      <c r="G1161" s="8" t="str">
        <f t="shared" si="220"/>
        <v>Y</v>
      </c>
      <c r="H1161" s="8" t="str">
        <f t="shared" si="221"/>
        <v>Upper</v>
      </c>
      <c r="I1161" s="8" t="str">
        <f t="shared" si="222"/>
        <v>West Fork and Below Lake</v>
      </c>
      <c r="J1161" s="8" t="str">
        <f t="shared" si="223"/>
        <v>Sonoma (d/s of Clov. Gage)</v>
      </c>
      <c r="K1161" s="8" t="str">
        <f t="shared" si="224"/>
        <v>Post-1949</v>
      </c>
      <c r="L1161" s="8">
        <f t="shared" si="225"/>
        <v>1953</v>
      </c>
      <c r="M1161" s="8" t="str">
        <f t="shared" si="227"/>
        <v>1953-1954</v>
      </c>
      <c r="N1161" s="10" t="s">
        <v>241</v>
      </c>
      <c r="O1161" s="10" t="s">
        <v>241</v>
      </c>
      <c r="P1161" s="10" t="s">
        <v>242</v>
      </c>
      <c r="Q1161" s="10" t="s">
        <v>242</v>
      </c>
      <c r="R1161" s="10" t="s">
        <v>241</v>
      </c>
      <c r="S1161" s="10" t="s">
        <v>242</v>
      </c>
      <c r="T1161" s="10" t="s">
        <v>242</v>
      </c>
      <c r="U1161" s="10" t="s">
        <v>242</v>
      </c>
      <c r="V1161" s="10" t="s">
        <v>242</v>
      </c>
      <c r="W1161" s="10" t="s">
        <v>242</v>
      </c>
      <c r="X1161" s="15">
        <f>IF(ISERROR(VLOOKUP($A1161,'13. Updated Demand'!A:Z,15,FALSE)),0,VLOOKUP($A1161,'13. Updated Demand'!A:Z,15,FALSE))</f>
        <v>0</v>
      </c>
      <c r="Y1161" s="16">
        <f>IF(ISERROR(VLOOKUP($A1161,'13. Updated Demand'!A:Z,16,FALSE)),0,VLOOKUP($A1161,'13. Updated Demand'!A:Z,16,FALSE))</f>
        <v>0</v>
      </c>
      <c r="Z1161" s="16">
        <f>IF(ISERROR(VLOOKUP($A1161,'13. Updated Demand'!A:Z,17,FALSE)),0,VLOOKUP($A1161,'13. Updated Demand'!A:Z,17,FALSE))</f>
        <v>0</v>
      </c>
      <c r="AA1161" s="16">
        <f>IF(ISERROR(VLOOKUP($A1161,'13. Updated Demand'!A:Z,18,FALSE)),0,VLOOKUP($A1161,'13. Updated Demand'!A:Z,18,FALSE))</f>
        <v>0</v>
      </c>
      <c r="AB1161" s="16">
        <f>IF(ISERROR(VLOOKUP($A1161,'13. Updated Demand'!A:Z,19,FALSE)),0,VLOOKUP($A1161,'13. Updated Demand'!A:Z,19,FALSE))</f>
        <v>0.03</v>
      </c>
      <c r="AC1161" s="16">
        <f>IF(ISERROR(VLOOKUP($A1161,'13. Updated Demand'!A:Z,20,FALSE)),0,VLOOKUP($A1161,'13. Updated Demand'!A:Z,20,FALSE))</f>
        <v>0.6</v>
      </c>
      <c r="AD1161" s="16">
        <f>IF(ISERROR(VLOOKUP($A1161,'13. Updated Demand'!A:Z,21,FALSE)),0,VLOOKUP($A1161,'13. Updated Demand'!A:Z,21,FALSE))</f>
        <v>1.59</v>
      </c>
      <c r="AE1161" s="16">
        <f>IF(ISERROR(VLOOKUP($A1161,'13. Updated Demand'!A:Z,22,FALSE)),0,VLOOKUP($A1161,'13. Updated Demand'!A:Z,22,FALSE))</f>
        <v>1.89</v>
      </c>
      <c r="AF1161" s="16">
        <f>IF(ISERROR(VLOOKUP($A1161,'13. Updated Demand'!A:Z,23,FALSE)),0,VLOOKUP($A1161,'13. Updated Demand'!A:Z,23,FALSE))</f>
        <v>1.1599999999999999</v>
      </c>
      <c r="AG1161" s="16">
        <f>IF(ISERROR(VLOOKUP($A1161,'13. Updated Demand'!A:Z,24,FALSE)),0,VLOOKUP($A1161,'13. Updated Demand'!A:Z,24,FALSE))</f>
        <v>0.87</v>
      </c>
      <c r="AH1161" s="16">
        <f>IF(ISERROR(VLOOKUP($A1161,'13. Updated Demand'!A:Z,25,FALSE)),0,VLOOKUP($A1161,'13. Updated Demand'!A:Z,25,FALSE))</f>
        <v>0.22</v>
      </c>
      <c r="AI1161" s="16">
        <f>IF(ISERROR(VLOOKUP($A1161,'13. Updated Demand'!A:Z,26,FALSE)),0,VLOOKUP($A1161,'13. Updated Demand'!A:Z,26,FALSE))</f>
        <v>0</v>
      </c>
      <c r="AJ1161" s="16">
        <f t="shared" si="216"/>
        <v>6.36</v>
      </c>
      <c r="AK1161" s="19">
        <v>5.3020000000000032</v>
      </c>
      <c r="AL1161" s="16">
        <f t="shared" si="226"/>
        <v>1.7586130045444799E-2</v>
      </c>
      <c r="AM1161" s="17">
        <v>0.26221311475409853</v>
      </c>
      <c r="AN1161" s="19"/>
      <c r="AO1161" s="19"/>
      <c r="AP1161" s="19">
        <v>24.4</v>
      </c>
      <c r="AQ1161" s="19" t="s">
        <v>307</v>
      </c>
      <c r="AR1161" s="9" t="s">
        <v>354</v>
      </c>
      <c r="AS1161" s="12">
        <v>0</v>
      </c>
      <c r="AT1161" s="19">
        <v>38.715211650000001</v>
      </c>
      <c r="AU1161" s="19">
        <v>-122.90997471999999</v>
      </c>
      <c r="AV1161" s="19" t="s">
        <v>548</v>
      </c>
    </row>
    <row r="1162" spans="1:48" x14ac:dyDescent="0.25">
      <c r="A1162" s="18" t="s">
        <v>1546</v>
      </c>
      <c r="B1162" s="10">
        <v>19530902</v>
      </c>
      <c r="C1162" s="9">
        <v>12</v>
      </c>
      <c r="D1162" s="8" t="str">
        <f t="shared" si="217"/>
        <v>N</v>
      </c>
      <c r="E1162" s="8" t="str">
        <f t="shared" si="218"/>
        <v>Y</v>
      </c>
      <c r="F1162" s="8" t="str">
        <f t="shared" si="219"/>
        <v>Y</v>
      </c>
      <c r="G1162" s="8" t="str">
        <f t="shared" si="220"/>
        <v>Y</v>
      </c>
      <c r="H1162" s="8" t="str">
        <f t="shared" si="221"/>
        <v>Upper</v>
      </c>
      <c r="I1162" s="8" t="str">
        <f t="shared" si="222"/>
        <v>West Fork and Below Lake</v>
      </c>
      <c r="J1162" s="8" t="str">
        <f t="shared" si="223"/>
        <v>Sonoma (d/s of Clov. Gage)</v>
      </c>
      <c r="K1162" s="8" t="str">
        <f t="shared" si="224"/>
        <v>Post-1949</v>
      </c>
      <c r="L1162" s="8">
        <f t="shared" si="225"/>
        <v>1953</v>
      </c>
      <c r="M1162" s="8" t="str">
        <f t="shared" si="227"/>
        <v>1953-1954</v>
      </c>
      <c r="N1162" s="10" t="s">
        <v>242</v>
      </c>
      <c r="O1162" s="10" t="s">
        <v>241</v>
      </c>
      <c r="P1162" s="10" t="s">
        <v>242</v>
      </c>
      <c r="Q1162" s="10" t="s">
        <v>242</v>
      </c>
      <c r="R1162" s="10" t="s">
        <v>241</v>
      </c>
      <c r="S1162" s="10" t="s">
        <v>242</v>
      </c>
      <c r="T1162" s="10" t="s">
        <v>242</v>
      </c>
      <c r="U1162" s="10" t="s">
        <v>242</v>
      </c>
      <c r="V1162" s="10" t="s">
        <v>242</v>
      </c>
      <c r="W1162" s="10" t="s">
        <v>242</v>
      </c>
      <c r="X1162" s="15">
        <f>IF(ISERROR(VLOOKUP($A1162,'13. Updated Demand'!A:Z,15,FALSE)),0,VLOOKUP($A1162,'13. Updated Demand'!A:Z,15,FALSE))</f>
        <v>27.66</v>
      </c>
      <c r="Y1162" s="16">
        <f>IF(ISERROR(VLOOKUP($A1162,'13. Updated Demand'!A:Z,16,FALSE)),0,VLOOKUP($A1162,'13. Updated Demand'!A:Z,16,FALSE))</f>
        <v>1.1599999999999999</v>
      </c>
      <c r="Z1162" s="16">
        <f>IF(ISERROR(VLOOKUP($A1162,'13. Updated Demand'!A:Z,17,FALSE)),0,VLOOKUP($A1162,'13. Updated Demand'!A:Z,17,FALSE))</f>
        <v>26</v>
      </c>
      <c r="AA1162" s="16">
        <f>IF(ISERROR(VLOOKUP($A1162,'13. Updated Demand'!A:Z,18,FALSE)),0,VLOOKUP($A1162,'13. Updated Demand'!A:Z,18,FALSE))</f>
        <v>5.96</v>
      </c>
      <c r="AB1162" s="16">
        <f>IF(ISERROR(VLOOKUP($A1162,'13. Updated Demand'!A:Z,19,FALSE)),0,VLOOKUP($A1162,'13. Updated Demand'!A:Z,19,FALSE))</f>
        <v>0.9</v>
      </c>
      <c r="AC1162" s="16">
        <f>IF(ISERROR(VLOOKUP($A1162,'13. Updated Demand'!A:Z,20,FALSE)),0,VLOOKUP($A1162,'13. Updated Demand'!A:Z,20,FALSE))</f>
        <v>0</v>
      </c>
      <c r="AD1162" s="16">
        <f>IF(ISERROR(VLOOKUP($A1162,'13. Updated Demand'!A:Z,21,FALSE)),0,VLOOKUP($A1162,'13. Updated Demand'!A:Z,21,FALSE))</f>
        <v>0</v>
      </c>
      <c r="AE1162" s="16">
        <f>IF(ISERROR(VLOOKUP($A1162,'13. Updated Demand'!A:Z,22,FALSE)),0,VLOOKUP($A1162,'13. Updated Demand'!A:Z,22,FALSE))</f>
        <v>0</v>
      </c>
      <c r="AF1162" s="16">
        <f>IF(ISERROR(VLOOKUP($A1162,'13. Updated Demand'!A:Z,23,FALSE)),0,VLOOKUP($A1162,'13. Updated Demand'!A:Z,23,FALSE))</f>
        <v>0</v>
      </c>
      <c r="AG1162" s="16">
        <f>IF(ISERROR(VLOOKUP($A1162,'13. Updated Demand'!A:Z,24,FALSE)),0,VLOOKUP($A1162,'13. Updated Demand'!A:Z,24,FALSE))</f>
        <v>0</v>
      </c>
      <c r="AH1162" s="16">
        <f>IF(ISERROR(VLOOKUP($A1162,'13. Updated Demand'!A:Z,25,FALSE)),0,VLOOKUP($A1162,'13. Updated Demand'!A:Z,25,FALSE))</f>
        <v>0</v>
      </c>
      <c r="AI1162" s="16">
        <f>IF(ISERROR(VLOOKUP($A1162,'13. Updated Demand'!A:Z,26,FALSE)),0,VLOOKUP($A1162,'13. Updated Demand'!A:Z,26,FALSE))</f>
        <v>3.63</v>
      </c>
      <c r="AJ1162" s="16">
        <f t="shared" si="216"/>
        <v>65.31</v>
      </c>
      <c r="AK1162" s="19">
        <v>0.9</v>
      </c>
      <c r="AL1162" s="16">
        <f t="shared" si="226"/>
        <v>2.9851974803659581E-3</v>
      </c>
      <c r="AM1162" s="17">
        <v>0.67353951890034403</v>
      </c>
      <c r="AN1162" s="19"/>
      <c r="AO1162" s="19"/>
      <c r="AP1162" s="19">
        <v>97</v>
      </c>
      <c r="AQ1162" s="19" t="s">
        <v>307</v>
      </c>
      <c r="AR1162" s="9" t="s">
        <v>311</v>
      </c>
      <c r="AS1162" s="12">
        <v>0</v>
      </c>
      <c r="AT1162" s="19">
        <v>38.615977579999999</v>
      </c>
      <c r="AU1162" s="19">
        <v>-122.68847024</v>
      </c>
      <c r="AV1162" s="19" t="s">
        <v>417</v>
      </c>
    </row>
    <row r="1163" spans="1:48" x14ac:dyDescent="0.25">
      <c r="A1163" s="18" t="s">
        <v>1547</v>
      </c>
      <c r="B1163" s="10">
        <v>19530424</v>
      </c>
      <c r="C1163" s="9">
        <v>12</v>
      </c>
      <c r="D1163" s="8" t="str">
        <f t="shared" si="217"/>
        <v>N</v>
      </c>
      <c r="E1163" s="8" t="str">
        <f t="shared" si="218"/>
        <v>Y</v>
      </c>
      <c r="F1163" s="8" t="str">
        <f t="shared" si="219"/>
        <v>Y</v>
      </c>
      <c r="G1163" s="8" t="str">
        <f t="shared" si="220"/>
        <v>Y</v>
      </c>
      <c r="H1163" s="8" t="str">
        <f t="shared" si="221"/>
        <v>Upper</v>
      </c>
      <c r="I1163" s="8" t="str">
        <f t="shared" si="222"/>
        <v>West Fork and Below Lake</v>
      </c>
      <c r="J1163" s="8" t="str">
        <f t="shared" si="223"/>
        <v>Sonoma (d/s of Clov. Gage)</v>
      </c>
      <c r="K1163" s="8" t="str">
        <f t="shared" si="224"/>
        <v>Post-1949</v>
      </c>
      <c r="L1163" s="8">
        <f t="shared" si="225"/>
        <v>1953</v>
      </c>
      <c r="M1163" s="8" t="str">
        <f t="shared" si="227"/>
        <v>1953-1954</v>
      </c>
      <c r="N1163" s="10" t="s">
        <v>242</v>
      </c>
      <c r="O1163" s="10" t="s">
        <v>241</v>
      </c>
      <c r="P1163" s="10" t="s">
        <v>242</v>
      </c>
      <c r="Q1163" s="10" t="s">
        <v>242</v>
      </c>
      <c r="R1163" s="10" t="s">
        <v>241</v>
      </c>
      <c r="S1163" s="10" t="s">
        <v>242</v>
      </c>
      <c r="T1163" s="10" t="s">
        <v>242</v>
      </c>
      <c r="U1163" s="10" t="s">
        <v>242</v>
      </c>
      <c r="V1163" s="10" t="s">
        <v>242</v>
      </c>
      <c r="W1163" s="10" t="s">
        <v>242</v>
      </c>
      <c r="X1163" s="15">
        <f>IF(ISERROR(VLOOKUP($A1163,'13. Updated Demand'!A:Z,15,FALSE)),0,VLOOKUP($A1163,'13. Updated Demand'!A:Z,15,FALSE))</f>
        <v>1.33</v>
      </c>
      <c r="Y1163" s="16">
        <f>IF(ISERROR(VLOOKUP($A1163,'13. Updated Demand'!A:Z,16,FALSE)),0,VLOOKUP($A1163,'13. Updated Demand'!A:Z,16,FALSE))</f>
        <v>1</v>
      </c>
      <c r="Z1163" s="16">
        <f>IF(ISERROR(VLOOKUP($A1163,'13. Updated Demand'!A:Z,17,FALSE)),0,VLOOKUP($A1163,'13. Updated Demand'!A:Z,17,FALSE))</f>
        <v>0</v>
      </c>
      <c r="AA1163" s="16">
        <f>IF(ISERROR(VLOOKUP($A1163,'13. Updated Demand'!A:Z,18,FALSE)),0,VLOOKUP($A1163,'13. Updated Demand'!A:Z,18,FALSE))</f>
        <v>0</v>
      </c>
      <c r="AB1163" s="16">
        <f>IF(ISERROR(VLOOKUP($A1163,'13. Updated Demand'!A:Z,19,FALSE)),0,VLOOKUP($A1163,'13. Updated Demand'!A:Z,19,FALSE))</f>
        <v>0</v>
      </c>
      <c r="AC1163" s="16">
        <f>IF(ISERROR(VLOOKUP($A1163,'13. Updated Demand'!A:Z,20,FALSE)),0,VLOOKUP($A1163,'13. Updated Demand'!A:Z,20,FALSE))</f>
        <v>0</v>
      </c>
      <c r="AD1163" s="16">
        <f>IF(ISERROR(VLOOKUP($A1163,'13. Updated Demand'!A:Z,21,FALSE)),0,VLOOKUP($A1163,'13. Updated Demand'!A:Z,21,FALSE))</f>
        <v>0</v>
      </c>
      <c r="AE1163" s="16">
        <f>IF(ISERROR(VLOOKUP($A1163,'13. Updated Demand'!A:Z,22,FALSE)),0,VLOOKUP($A1163,'13. Updated Demand'!A:Z,22,FALSE))</f>
        <v>0</v>
      </c>
      <c r="AF1163" s="16">
        <f>IF(ISERROR(VLOOKUP($A1163,'13. Updated Demand'!A:Z,23,FALSE)),0,VLOOKUP($A1163,'13. Updated Demand'!A:Z,23,FALSE))</f>
        <v>0.33</v>
      </c>
      <c r="AG1163" s="16">
        <f>IF(ISERROR(VLOOKUP($A1163,'13. Updated Demand'!A:Z,24,FALSE)),0,VLOOKUP($A1163,'13. Updated Demand'!A:Z,24,FALSE))</f>
        <v>1.41</v>
      </c>
      <c r="AH1163" s="16">
        <f>IF(ISERROR(VLOOKUP($A1163,'13. Updated Demand'!A:Z,25,FALSE)),0,VLOOKUP($A1163,'13. Updated Demand'!A:Z,25,FALSE))</f>
        <v>2.83</v>
      </c>
      <c r="AI1163" s="16">
        <f>IF(ISERROR(VLOOKUP($A1163,'13. Updated Demand'!A:Z,26,FALSE)),0,VLOOKUP($A1163,'13. Updated Demand'!A:Z,26,FALSE))</f>
        <v>4</v>
      </c>
      <c r="AJ1163" s="16">
        <f t="shared" si="216"/>
        <v>10.9</v>
      </c>
      <c r="AK1163" s="19">
        <v>0.33333333300000001</v>
      </c>
      <c r="AL1163" s="16">
        <f t="shared" si="226"/>
        <v>1.1056286953262076E-3</v>
      </c>
      <c r="AM1163" s="17">
        <v>0.30324074072222218</v>
      </c>
      <c r="AN1163" s="19"/>
      <c r="AO1163" s="19"/>
      <c r="AP1163" s="19">
        <v>36</v>
      </c>
      <c r="AQ1163" s="19" t="s">
        <v>307</v>
      </c>
      <c r="AR1163" s="9" t="s">
        <v>311</v>
      </c>
      <c r="AS1163" s="12">
        <v>3.4039024194010059E-4</v>
      </c>
      <c r="AT1163" s="19">
        <v>38.569216050000001</v>
      </c>
      <c r="AU1163" s="19">
        <v>-122.65479068</v>
      </c>
      <c r="AV1163" s="19" t="s">
        <v>417</v>
      </c>
    </row>
    <row r="1164" spans="1:48" x14ac:dyDescent="0.25">
      <c r="A1164" s="18" t="s">
        <v>1548</v>
      </c>
      <c r="B1164" s="10">
        <v>19531109</v>
      </c>
      <c r="C1164" s="9">
        <v>23</v>
      </c>
      <c r="D1164" s="8" t="str">
        <f t="shared" si="217"/>
        <v>N</v>
      </c>
      <c r="E1164" s="8" t="str">
        <f t="shared" si="218"/>
        <v>N</v>
      </c>
      <c r="F1164" s="8" t="str">
        <f t="shared" si="219"/>
        <v>N</v>
      </c>
      <c r="G1164" s="8" t="str">
        <f t="shared" si="220"/>
        <v>N</v>
      </c>
      <c r="H1164" s="8" t="str">
        <f t="shared" si="221"/>
        <v>Lower</v>
      </c>
      <c r="I1164" s="8" t="str">
        <f t="shared" si="222"/>
        <v>Outside</v>
      </c>
      <c r="J1164" s="8" t="str">
        <f t="shared" si="223"/>
        <v>Outside</v>
      </c>
      <c r="K1164" s="8" t="str">
        <f t="shared" si="224"/>
        <v>Post-1949</v>
      </c>
      <c r="L1164" s="8">
        <f t="shared" si="225"/>
        <v>1953</v>
      </c>
      <c r="M1164" s="8" t="str">
        <f t="shared" si="227"/>
        <v>1953-1954</v>
      </c>
      <c r="N1164" s="10" t="s">
        <v>242</v>
      </c>
      <c r="O1164" s="10" t="s">
        <v>242</v>
      </c>
      <c r="P1164" s="10" t="s">
        <v>242</v>
      </c>
      <c r="Q1164" s="10" t="s">
        <v>242</v>
      </c>
      <c r="R1164" s="10" t="s">
        <v>241</v>
      </c>
      <c r="S1164" s="10" t="s">
        <v>242</v>
      </c>
      <c r="T1164" s="10" t="s">
        <v>242</v>
      </c>
      <c r="U1164" s="10" t="s">
        <v>242</v>
      </c>
      <c r="V1164" s="10" t="s">
        <v>242</v>
      </c>
      <c r="W1164" s="10" t="s">
        <v>242</v>
      </c>
      <c r="X1164" s="15">
        <f>IF(ISERROR(VLOOKUP($A1164,'13. Updated Demand'!A:Z,15,FALSE)),0,VLOOKUP($A1164,'13. Updated Demand'!A:Z,15,FALSE))</f>
        <v>11.6</v>
      </c>
      <c r="Y1164" s="16">
        <f>IF(ISERROR(VLOOKUP($A1164,'13. Updated Demand'!A:Z,16,FALSE)),0,VLOOKUP($A1164,'13. Updated Demand'!A:Z,16,FALSE))</f>
        <v>1.1000000000000001</v>
      </c>
      <c r="Z1164" s="16">
        <f>IF(ISERROR(VLOOKUP($A1164,'13. Updated Demand'!A:Z,17,FALSE)),0,VLOOKUP($A1164,'13. Updated Demand'!A:Z,17,FALSE))</f>
        <v>8</v>
      </c>
      <c r="AA1164" s="16">
        <f>IF(ISERROR(VLOOKUP($A1164,'13. Updated Demand'!A:Z,18,FALSE)),0,VLOOKUP($A1164,'13. Updated Demand'!A:Z,18,FALSE))</f>
        <v>0</v>
      </c>
      <c r="AB1164" s="16">
        <f>IF(ISERROR(VLOOKUP($A1164,'13. Updated Demand'!A:Z,19,FALSE)),0,VLOOKUP($A1164,'13. Updated Demand'!A:Z,19,FALSE))</f>
        <v>0.233333333</v>
      </c>
      <c r="AC1164" s="16">
        <f>IF(ISERROR(VLOOKUP($A1164,'13. Updated Demand'!A:Z,20,FALSE)),0,VLOOKUP($A1164,'13. Updated Demand'!A:Z,20,FALSE))</f>
        <v>0</v>
      </c>
      <c r="AD1164" s="16">
        <f>IF(ISERROR(VLOOKUP($A1164,'13. Updated Demand'!A:Z,21,FALSE)),0,VLOOKUP($A1164,'13. Updated Demand'!A:Z,21,FALSE))</f>
        <v>0</v>
      </c>
      <c r="AE1164" s="16">
        <f>IF(ISERROR(VLOOKUP($A1164,'13. Updated Demand'!A:Z,22,FALSE)),0,VLOOKUP($A1164,'13. Updated Demand'!A:Z,22,FALSE))</f>
        <v>0</v>
      </c>
      <c r="AF1164" s="16">
        <f>IF(ISERROR(VLOOKUP($A1164,'13. Updated Demand'!A:Z,23,FALSE)),0,VLOOKUP($A1164,'13. Updated Demand'!A:Z,23,FALSE))</f>
        <v>0</v>
      </c>
      <c r="AG1164" s="16">
        <f>IF(ISERROR(VLOOKUP($A1164,'13. Updated Demand'!A:Z,24,FALSE)),0,VLOOKUP($A1164,'13. Updated Demand'!A:Z,24,FALSE))</f>
        <v>2</v>
      </c>
      <c r="AH1164" s="16">
        <f>IF(ISERROR(VLOOKUP($A1164,'13. Updated Demand'!A:Z,25,FALSE)),0,VLOOKUP($A1164,'13. Updated Demand'!A:Z,25,FALSE))</f>
        <v>1.8666666670000001</v>
      </c>
      <c r="AI1164" s="16">
        <f>IF(ISERROR(VLOOKUP($A1164,'13. Updated Demand'!A:Z,26,FALSE)),0,VLOOKUP($A1164,'13. Updated Demand'!A:Z,26,FALSE))</f>
        <v>10.06666667</v>
      </c>
      <c r="AJ1164" s="16">
        <f t="shared" si="216"/>
        <v>34.866666670000001</v>
      </c>
      <c r="AK1164" s="19">
        <v>0.233333333</v>
      </c>
      <c r="AL1164" s="16">
        <f t="shared" si="226"/>
        <v>7.7394008639665684E-4</v>
      </c>
      <c r="AM1164" s="17">
        <v>0.26215538849624059</v>
      </c>
      <c r="AN1164" s="19"/>
      <c r="AO1164" s="19"/>
      <c r="AP1164" s="19">
        <v>133</v>
      </c>
      <c r="AQ1164" s="19" t="s">
        <v>307</v>
      </c>
      <c r="AR1164" s="9" t="s">
        <v>391</v>
      </c>
      <c r="AS1164" s="12">
        <v>0</v>
      </c>
      <c r="AT1164" s="19">
        <v>38.571594529999999</v>
      </c>
      <c r="AU1164" s="19">
        <v>-122.80102411</v>
      </c>
      <c r="AV1164" s="19" t="s">
        <v>417</v>
      </c>
    </row>
    <row r="1165" spans="1:48" x14ac:dyDescent="0.25">
      <c r="A1165" s="18" t="s">
        <v>1549</v>
      </c>
      <c r="B1165" s="10">
        <v>19530204</v>
      </c>
      <c r="C1165" s="9">
        <v>4</v>
      </c>
      <c r="D1165" s="8" t="str">
        <f t="shared" si="217"/>
        <v>Y</v>
      </c>
      <c r="E1165" s="8" t="str">
        <f t="shared" si="218"/>
        <v>N</v>
      </c>
      <c r="F1165" s="8" t="str">
        <f t="shared" si="219"/>
        <v>Y</v>
      </c>
      <c r="G1165" s="8" t="str">
        <f t="shared" si="220"/>
        <v>Y</v>
      </c>
      <c r="H1165" s="8" t="str">
        <f t="shared" si="221"/>
        <v>Upper</v>
      </c>
      <c r="I1165" s="8" t="str">
        <f t="shared" si="222"/>
        <v>West Fork and Below Lake</v>
      </c>
      <c r="J1165" s="8" t="str">
        <f t="shared" si="223"/>
        <v>Mendocino (d/s of lake)</v>
      </c>
      <c r="K1165" s="8" t="str">
        <f t="shared" si="224"/>
        <v>Post-1949</v>
      </c>
      <c r="L1165" s="8">
        <f t="shared" si="225"/>
        <v>1953</v>
      </c>
      <c r="M1165" s="8" t="str">
        <f t="shared" si="227"/>
        <v>1953-1954</v>
      </c>
      <c r="N1165" s="10" t="s">
        <v>242</v>
      </c>
      <c r="O1165" s="10" t="s">
        <v>241</v>
      </c>
      <c r="P1165" s="10" t="s">
        <v>242</v>
      </c>
      <c r="Q1165" s="10" t="s">
        <v>242</v>
      </c>
      <c r="R1165" s="10" t="s">
        <v>241</v>
      </c>
      <c r="S1165" s="10" t="s">
        <v>242</v>
      </c>
      <c r="T1165" s="10" t="s">
        <v>242</v>
      </c>
      <c r="U1165" s="10" t="s">
        <v>242</v>
      </c>
      <c r="V1165" s="10" t="s">
        <v>242</v>
      </c>
      <c r="W1165" s="10" t="s">
        <v>242</v>
      </c>
      <c r="X1165" s="15">
        <f>IF(ISERROR(VLOOKUP($A1165,'13. Updated Demand'!A:Z,15,FALSE)),0,VLOOKUP($A1165,'13. Updated Demand'!A:Z,15,FALSE))</f>
        <v>0.03</v>
      </c>
      <c r="Y1165" s="16">
        <f>IF(ISERROR(VLOOKUP($A1165,'13. Updated Demand'!A:Z,16,FALSE)),0,VLOOKUP($A1165,'13. Updated Demand'!A:Z,16,FALSE))</f>
        <v>0.03</v>
      </c>
      <c r="Z1165" s="16">
        <f>IF(ISERROR(VLOOKUP($A1165,'13. Updated Demand'!A:Z,17,FALSE)),0,VLOOKUP($A1165,'13. Updated Demand'!A:Z,17,FALSE))</f>
        <v>0.03</v>
      </c>
      <c r="AA1165" s="16">
        <f>IF(ISERROR(VLOOKUP($A1165,'13. Updated Demand'!A:Z,18,FALSE)),0,VLOOKUP($A1165,'13. Updated Demand'!A:Z,18,FALSE))</f>
        <v>0.03</v>
      </c>
      <c r="AB1165" s="16">
        <f>IF(ISERROR(VLOOKUP($A1165,'13. Updated Demand'!A:Z,19,FALSE)),0,VLOOKUP($A1165,'13. Updated Demand'!A:Z,19,FALSE))</f>
        <v>0.03</v>
      </c>
      <c r="AC1165" s="16">
        <f>IF(ISERROR(VLOOKUP($A1165,'13. Updated Demand'!A:Z,20,FALSE)),0,VLOOKUP($A1165,'13. Updated Demand'!A:Z,20,FALSE))</f>
        <v>0.03</v>
      </c>
      <c r="AD1165" s="16">
        <f>IF(ISERROR(VLOOKUP($A1165,'13. Updated Demand'!A:Z,21,FALSE)),0,VLOOKUP($A1165,'13. Updated Demand'!A:Z,21,FALSE))</f>
        <v>0.03</v>
      </c>
      <c r="AE1165" s="16">
        <f>IF(ISERROR(VLOOKUP($A1165,'13. Updated Demand'!A:Z,22,FALSE)),0,VLOOKUP($A1165,'13. Updated Demand'!A:Z,22,FALSE))</f>
        <v>0.03</v>
      </c>
      <c r="AF1165" s="16">
        <f>IF(ISERROR(VLOOKUP($A1165,'13. Updated Demand'!A:Z,23,FALSE)),0,VLOOKUP($A1165,'13. Updated Demand'!A:Z,23,FALSE))</f>
        <v>0.03</v>
      </c>
      <c r="AG1165" s="16">
        <f>IF(ISERROR(VLOOKUP($A1165,'13. Updated Demand'!A:Z,24,FALSE)),0,VLOOKUP($A1165,'13. Updated Demand'!A:Z,24,FALSE))</f>
        <v>0.03</v>
      </c>
      <c r="AH1165" s="16">
        <f>IF(ISERROR(VLOOKUP($A1165,'13. Updated Demand'!A:Z,25,FALSE)),0,VLOOKUP($A1165,'13. Updated Demand'!A:Z,25,FALSE))</f>
        <v>0.03</v>
      </c>
      <c r="AI1165" s="16">
        <f>IF(ISERROR(VLOOKUP($A1165,'13. Updated Demand'!A:Z,26,FALSE)),0,VLOOKUP($A1165,'13. Updated Demand'!A:Z,26,FALSE))</f>
        <v>0.03</v>
      </c>
      <c r="AJ1165" s="16">
        <f t="shared" si="216"/>
        <v>0.3600000000000001</v>
      </c>
      <c r="AK1165" s="19">
        <v>0.18781600000000001</v>
      </c>
      <c r="AL1165" s="16">
        <f t="shared" si="226"/>
        <v>6.2296427774712537E-4</v>
      </c>
      <c r="AM1165" s="17">
        <v>0.8961159999999998</v>
      </c>
      <c r="AN1165" s="19"/>
      <c r="AO1165" s="19"/>
      <c r="AP1165" s="19">
        <v>0.5</v>
      </c>
      <c r="AQ1165" s="19" t="s">
        <v>307</v>
      </c>
      <c r="AR1165" s="9" t="s">
        <v>331</v>
      </c>
      <c r="AS1165" s="12">
        <v>3.4039024194010059E-4</v>
      </c>
      <c r="AT1165" s="19">
        <v>39.147191329999998</v>
      </c>
      <c r="AU1165" s="19">
        <v>-123.23599374</v>
      </c>
      <c r="AV1165" s="19" t="s">
        <v>1550</v>
      </c>
    </row>
    <row r="1166" spans="1:48" x14ac:dyDescent="0.25">
      <c r="A1166" s="18" t="s">
        <v>1551</v>
      </c>
      <c r="B1166" s="10">
        <v>19530501</v>
      </c>
      <c r="C1166" s="9">
        <v>4</v>
      </c>
      <c r="D1166" s="8" t="str">
        <f t="shared" si="217"/>
        <v>Y</v>
      </c>
      <c r="E1166" s="8" t="str">
        <f t="shared" si="218"/>
        <v>N</v>
      </c>
      <c r="F1166" s="8" t="str">
        <f t="shared" si="219"/>
        <v>Y</v>
      </c>
      <c r="G1166" s="8" t="str">
        <f t="shared" si="220"/>
        <v>Y</v>
      </c>
      <c r="H1166" s="8" t="str">
        <f t="shared" si="221"/>
        <v>Upper</v>
      </c>
      <c r="I1166" s="8" t="str">
        <f t="shared" si="222"/>
        <v>West Fork and Below Lake</v>
      </c>
      <c r="J1166" s="8" t="str">
        <f t="shared" si="223"/>
        <v>Mendocino (d/s of lake)</v>
      </c>
      <c r="K1166" s="8" t="str">
        <f t="shared" si="224"/>
        <v>Post-1949</v>
      </c>
      <c r="L1166" s="8">
        <f t="shared" si="225"/>
        <v>1953</v>
      </c>
      <c r="M1166" s="8" t="str">
        <f t="shared" si="227"/>
        <v>1953-1954</v>
      </c>
      <c r="N1166" s="10" t="s">
        <v>241</v>
      </c>
      <c r="O1166" s="10" t="s">
        <v>241</v>
      </c>
      <c r="P1166" s="10" t="s">
        <v>242</v>
      </c>
      <c r="Q1166" s="10" t="s">
        <v>242</v>
      </c>
      <c r="R1166" s="10" t="s">
        <v>241</v>
      </c>
      <c r="S1166" s="10" t="s">
        <v>242</v>
      </c>
      <c r="T1166" s="10" t="s">
        <v>242</v>
      </c>
      <c r="U1166" s="10" t="s">
        <v>242</v>
      </c>
      <c r="V1166" s="10" t="s">
        <v>242</v>
      </c>
      <c r="W1166" s="10" t="s">
        <v>242</v>
      </c>
      <c r="X1166" s="15">
        <f>IF(ISERROR(VLOOKUP($A1166,'13. Updated Demand'!A:Z,15,FALSE)),0,VLOOKUP($A1166,'13. Updated Demand'!A:Z,15,FALSE))</f>
        <v>0</v>
      </c>
      <c r="Y1166" s="16">
        <f>IF(ISERROR(VLOOKUP($A1166,'13. Updated Demand'!A:Z,16,FALSE)),0,VLOOKUP($A1166,'13. Updated Demand'!A:Z,16,FALSE))</f>
        <v>0</v>
      </c>
      <c r="Z1166" s="16">
        <f>IF(ISERROR(VLOOKUP($A1166,'13. Updated Demand'!A:Z,17,FALSE)),0,VLOOKUP($A1166,'13. Updated Demand'!A:Z,17,FALSE))</f>
        <v>0</v>
      </c>
      <c r="AA1166" s="16">
        <f>IF(ISERROR(VLOOKUP($A1166,'13. Updated Demand'!A:Z,18,FALSE)),0,VLOOKUP($A1166,'13. Updated Demand'!A:Z,18,FALSE))</f>
        <v>5.4999999999999997E-3</v>
      </c>
      <c r="AB1166" s="16">
        <f>IF(ISERROR(VLOOKUP($A1166,'13. Updated Demand'!A:Z,19,FALSE)),0,VLOOKUP($A1166,'13. Updated Demand'!A:Z,19,FALSE))</f>
        <v>8.3000000000000001E-3</v>
      </c>
      <c r="AC1166" s="16">
        <f>IF(ISERROR(VLOOKUP($A1166,'13. Updated Demand'!A:Z,20,FALSE)),0,VLOOKUP($A1166,'13. Updated Demand'!A:Z,20,FALSE))</f>
        <v>8.3000000000000001E-3</v>
      </c>
      <c r="AD1166" s="16">
        <f>IF(ISERROR(VLOOKUP($A1166,'13. Updated Demand'!A:Z,21,FALSE)),0,VLOOKUP($A1166,'13. Updated Demand'!A:Z,21,FALSE))</f>
        <v>8.3000000000000001E-3</v>
      </c>
      <c r="AE1166" s="16">
        <f>IF(ISERROR(VLOOKUP($A1166,'13. Updated Demand'!A:Z,22,FALSE)),0,VLOOKUP($A1166,'13. Updated Demand'!A:Z,22,FALSE))</f>
        <v>0.01</v>
      </c>
      <c r="AF1166" s="16">
        <f>IF(ISERROR(VLOOKUP($A1166,'13. Updated Demand'!A:Z,23,FALSE)),0,VLOOKUP($A1166,'13. Updated Demand'!A:Z,23,FALSE))</f>
        <v>0.01</v>
      </c>
      <c r="AG1166" s="16">
        <f>IF(ISERROR(VLOOKUP($A1166,'13. Updated Demand'!A:Z,24,FALSE)),0,VLOOKUP($A1166,'13. Updated Demand'!A:Z,24,FALSE))</f>
        <v>9.1999999999999998E-3</v>
      </c>
      <c r="AH1166" s="16">
        <f>IF(ISERROR(VLOOKUP($A1166,'13. Updated Demand'!A:Z,25,FALSE)),0,VLOOKUP($A1166,'13. Updated Demand'!A:Z,25,FALSE))</f>
        <v>0</v>
      </c>
      <c r="AI1166" s="16">
        <f>IF(ISERROR(VLOOKUP($A1166,'13. Updated Demand'!A:Z,26,FALSE)),0,VLOOKUP($A1166,'13. Updated Demand'!A:Z,26,FALSE))</f>
        <v>0</v>
      </c>
      <c r="AJ1166" s="16">
        <f t="shared" si="216"/>
        <v>5.9600000000000007E-2</v>
      </c>
      <c r="AK1166" s="19">
        <v>4.6899999999999997E-2</v>
      </c>
      <c r="AL1166" s="16">
        <f t="shared" si="226"/>
        <v>1.5556195758795936E-4</v>
      </c>
      <c r="AM1166" s="17">
        <v>2.7500000000000003E-3</v>
      </c>
      <c r="AN1166" s="19"/>
      <c r="AO1166" s="19"/>
      <c r="AP1166" s="19">
        <v>22.4</v>
      </c>
      <c r="AQ1166" s="19" t="s">
        <v>307</v>
      </c>
      <c r="AR1166" s="9" t="s">
        <v>331</v>
      </c>
      <c r="AS1166" s="12">
        <v>0</v>
      </c>
      <c r="AT1166" s="19">
        <v>39.194352199999997</v>
      </c>
      <c r="AU1166" s="19">
        <v>-123.18970688</v>
      </c>
      <c r="AV1166" s="19" t="s">
        <v>542</v>
      </c>
    </row>
    <row r="1167" spans="1:48" x14ac:dyDescent="0.25">
      <c r="A1167" s="18" t="s">
        <v>1552</v>
      </c>
      <c r="B1167" s="10">
        <v>19530120</v>
      </c>
      <c r="C1167" s="9">
        <v>4</v>
      </c>
      <c r="D1167" s="8" t="str">
        <f t="shared" si="217"/>
        <v>Y</v>
      </c>
      <c r="E1167" s="8" t="str">
        <f t="shared" si="218"/>
        <v>N</v>
      </c>
      <c r="F1167" s="8" t="str">
        <f t="shared" si="219"/>
        <v>Y</v>
      </c>
      <c r="G1167" s="8" t="str">
        <f t="shared" si="220"/>
        <v>Y</v>
      </c>
      <c r="H1167" s="8" t="str">
        <f t="shared" si="221"/>
        <v>Upper</v>
      </c>
      <c r="I1167" s="8" t="str">
        <f t="shared" si="222"/>
        <v>West Fork and Below Lake</v>
      </c>
      <c r="J1167" s="8" t="str">
        <f t="shared" si="223"/>
        <v>Mendocino (d/s of lake)</v>
      </c>
      <c r="K1167" s="8" t="str">
        <f t="shared" si="224"/>
        <v>Post-1949</v>
      </c>
      <c r="L1167" s="8">
        <f t="shared" si="225"/>
        <v>1953</v>
      </c>
      <c r="M1167" s="8" t="str">
        <f t="shared" si="227"/>
        <v>1953-1954</v>
      </c>
      <c r="N1167" s="10" t="s">
        <v>241</v>
      </c>
      <c r="O1167" s="10" t="s">
        <v>241</v>
      </c>
      <c r="P1167" s="10" t="s">
        <v>242</v>
      </c>
      <c r="Q1167" s="10" t="s">
        <v>242</v>
      </c>
      <c r="R1167" s="10" t="s">
        <v>241</v>
      </c>
      <c r="S1167" s="10" t="s">
        <v>242</v>
      </c>
      <c r="T1167" s="10" t="s">
        <v>241</v>
      </c>
      <c r="U1167" s="10" t="s">
        <v>241</v>
      </c>
      <c r="V1167" s="10" t="s">
        <v>241</v>
      </c>
      <c r="W1167" s="10" t="s">
        <v>242</v>
      </c>
      <c r="X1167" s="15">
        <f>IF(ISERROR(VLOOKUP($A1167,'13. Updated Demand'!A:Z,15,FALSE)),0,VLOOKUP($A1167,'13. Updated Demand'!A:Z,15,FALSE))</f>
        <v>0</v>
      </c>
      <c r="Y1167" s="16">
        <f>IF(ISERROR(VLOOKUP($A1167,'13. Updated Demand'!A:Z,16,FALSE)),0,VLOOKUP($A1167,'13. Updated Demand'!A:Z,16,FALSE))</f>
        <v>0</v>
      </c>
      <c r="Z1167" s="16">
        <f>IF(ISERROR(VLOOKUP($A1167,'13. Updated Demand'!A:Z,17,FALSE)),0,VLOOKUP($A1167,'13. Updated Demand'!A:Z,17,FALSE))</f>
        <v>0</v>
      </c>
      <c r="AA1167" s="16">
        <f>IF(ISERROR(VLOOKUP($A1167,'13. Updated Demand'!A:Z,18,FALSE)),0,VLOOKUP($A1167,'13. Updated Demand'!A:Z,18,FALSE))</f>
        <v>0</v>
      </c>
      <c r="AB1167" s="16">
        <f>IF(ISERROR(VLOOKUP($A1167,'13. Updated Demand'!A:Z,19,FALSE)),0,VLOOKUP($A1167,'13. Updated Demand'!A:Z,19,FALSE))</f>
        <v>0</v>
      </c>
      <c r="AC1167" s="16">
        <f>IF(ISERROR(VLOOKUP($A1167,'13. Updated Demand'!A:Z,20,FALSE)),0,VLOOKUP($A1167,'13. Updated Demand'!A:Z,20,FALSE))</f>
        <v>0</v>
      </c>
      <c r="AD1167" s="16">
        <f>IF(ISERROR(VLOOKUP($A1167,'13. Updated Demand'!A:Z,21,FALSE)),0,VLOOKUP($A1167,'13. Updated Demand'!A:Z,21,FALSE))</f>
        <v>0</v>
      </c>
      <c r="AE1167" s="16">
        <f>IF(ISERROR(VLOOKUP($A1167,'13. Updated Demand'!A:Z,22,FALSE)),0,VLOOKUP($A1167,'13. Updated Demand'!A:Z,22,FALSE))</f>
        <v>0</v>
      </c>
      <c r="AF1167" s="16">
        <f>IF(ISERROR(VLOOKUP($A1167,'13. Updated Demand'!A:Z,23,FALSE)),0,VLOOKUP($A1167,'13. Updated Demand'!A:Z,23,FALSE))</f>
        <v>0</v>
      </c>
      <c r="AG1167" s="16">
        <f>IF(ISERROR(VLOOKUP($A1167,'13. Updated Demand'!A:Z,24,FALSE)),0,VLOOKUP($A1167,'13. Updated Demand'!A:Z,24,FALSE))</f>
        <v>0</v>
      </c>
      <c r="AH1167" s="16">
        <f>IF(ISERROR(VLOOKUP($A1167,'13. Updated Demand'!A:Z,25,FALSE)),0,VLOOKUP($A1167,'13. Updated Demand'!A:Z,25,FALSE))</f>
        <v>0</v>
      </c>
      <c r="AI1167" s="16">
        <f>IF(ISERROR(VLOOKUP($A1167,'13. Updated Demand'!A:Z,26,FALSE)),0,VLOOKUP($A1167,'13. Updated Demand'!A:Z,26,FALSE))</f>
        <v>0</v>
      </c>
      <c r="AJ1167" s="16">
        <f t="shared" si="216"/>
        <v>0</v>
      </c>
      <c r="AK1167" s="19">
        <v>0</v>
      </c>
      <c r="AL1167" s="16">
        <f t="shared" si="226"/>
        <v>0</v>
      </c>
      <c r="AM1167" s="17">
        <v>0</v>
      </c>
      <c r="AN1167" s="19"/>
      <c r="AO1167" s="19"/>
      <c r="AP1167" s="19">
        <v>19</v>
      </c>
      <c r="AQ1167" s="19" t="s">
        <v>307</v>
      </c>
      <c r="AR1167" s="9" t="s">
        <v>331</v>
      </c>
      <c r="AS1167" s="12">
        <v>0</v>
      </c>
      <c r="AT1167" s="19">
        <v>39.166674899999997</v>
      </c>
      <c r="AU1167" s="19">
        <v>-123.19629856</v>
      </c>
      <c r="AV1167" s="19" t="s">
        <v>766</v>
      </c>
    </row>
    <row r="1168" spans="1:48" x14ac:dyDescent="0.25">
      <c r="A1168" s="18" t="s">
        <v>1553</v>
      </c>
      <c r="B1168" s="10">
        <v>19530120</v>
      </c>
      <c r="C1168" s="9">
        <v>4</v>
      </c>
      <c r="D1168" s="8" t="str">
        <f t="shared" si="217"/>
        <v>Y</v>
      </c>
      <c r="E1168" s="8" t="str">
        <f t="shared" si="218"/>
        <v>N</v>
      </c>
      <c r="F1168" s="8" t="str">
        <f t="shared" si="219"/>
        <v>Y</v>
      </c>
      <c r="G1168" s="8" t="str">
        <f t="shared" si="220"/>
        <v>Y</v>
      </c>
      <c r="H1168" s="8" t="str">
        <f t="shared" si="221"/>
        <v>Upper</v>
      </c>
      <c r="I1168" s="8" t="str">
        <f t="shared" si="222"/>
        <v>West Fork and Below Lake</v>
      </c>
      <c r="J1168" s="8" t="str">
        <f t="shared" si="223"/>
        <v>Mendocino (d/s of lake)</v>
      </c>
      <c r="K1168" s="8" t="str">
        <f t="shared" si="224"/>
        <v>Post-1949</v>
      </c>
      <c r="L1168" s="8">
        <f t="shared" si="225"/>
        <v>1953</v>
      </c>
      <c r="M1168" s="8" t="str">
        <f t="shared" si="227"/>
        <v>1953-1954</v>
      </c>
      <c r="N1168" s="10" t="s">
        <v>241</v>
      </c>
      <c r="O1168" s="10" t="s">
        <v>241</v>
      </c>
      <c r="P1168" s="10" t="s">
        <v>242</v>
      </c>
      <c r="Q1168" s="10" t="s">
        <v>242</v>
      </c>
      <c r="R1168" s="10" t="s">
        <v>241</v>
      </c>
      <c r="S1168" s="10" t="s">
        <v>242</v>
      </c>
      <c r="T1168" s="10" t="s">
        <v>241</v>
      </c>
      <c r="U1168" s="10" t="s">
        <v>241</v>
      </c>
      <c r="V1168" s="10" t="s">
        <v>241</v>
      </c>
      <c r="W1168" s="10" t="s">
        <v>242</v>
      </c>
      <c r="X1168" s="15">
        <f>IF(ISERROR(VLOOKUP($A1168,'13. Updated Demand'!A:Z,15,FALSE)),0,VLOOKUP($A1168,'13. Updated Demand'!A:Z,15,FALSE))</f>
        <v>0</v>
      </c>
      <c r="Y1168" s="16">
        <f>IF(ISERROR(VLOOKUP($A1168,'13. Updated Demand'!A:Z,16,FALSE)),0,VLOOKUP($A1168,'13. Updated Demand'!A:Z,16,FALSE))</f>
        <v>0</v>
      </c>
      <c r="Z1168" s="16">
        <f>IF(ISERROR(VLOOKUP($A1168,'13. Updated Demand'!A:Z,17,FALSE)),0,VLOOKUP($A1168,'13. Updated Demand'!A:Z,17,FALSE))</f>
        <v>0</v>
      </c>
      <c r="AA1168" s="16">
        <f>IF(ISERROR(VLOOKUP($A1168,'13. Updated Demand'!A:Z,18,FALSE)),0,VLOOKUP($A1168,'13. Updated Demand'!A:Z,18,FALSE))</f>
        <v>0</v>
      </c>
      <c r="AB1168" s="16">
        <f>IF(ISERROR(VLOOKUP($A1168,'13. Updated Demand'!A:Z,19,FALSE)),0,VLOOKUP($A1168,'13. Updated Demand'!A:Z,19,FALSE))</f>
        <v>0</v>
      </c>
      <c r="AC1168" s="16">
        <f>IF(ISERROR(VLOOKUP($A1168,'13. Updated Demand'!A:Z,20,FALSE)),0,VLOOKUP($A1168,'13. Updated Demand'!A:Z,20,FALSE))</f>
        <v>0</v>
      </c>
      <c r="AD1168" s="16">
        <f>IF(ISERROR(VLOOKUP($A1168,'13. Updated Demand'!A:Z,21,FALSE)),0,VLOOKUP($A1168,'13. Updated Demand'!A:Z,21,FALSE))</f>
        <v>0</v>
      </c>
      <c r="AE1168" s="16">
        <f>IF(ISERROR(VLOOKUP($A1168,'13. Updated Demand'!A:Z,22,FALSE)),0,VLOOKUP($A1168,'13. Updated Demand'!A:Z,22,FALSE))</f>
        <v>0</v>
      </c>
      <c r="AF1168" s="16">
        <f>IF(ISERROR(VLOOKUP($A1168,'13. Updated Demand'!A:Z,23,FALSE)),0,VLOOKUP($A1168,'13. Updated Demand'!A:Z,23,FALSE))</f>
        <v>0</v>
      </c>
      <c r="AG1168" s="16">
        <f>IF(ISERROR(VLOOKUP($A1168,'13. Updated Demand'!A:Z,24,FALSE)),0,VLOOKUP($A1168,'13. Updated Demand'!A:Z,24,FALSE))</f>
        <v>0</v>
      </c>
      <c r="AH1168" s="16">
        <f>IF(ISERROR(VLOOKUP($A1168,'13. Updated Demand'!A:Z,25,FALSE)),0,VLOOKUP($A1168,'13. Updated Demand'!A:Z,25,FALSE))</f>
        <v>0</v>
      </c>
      <c r="AI1168" s="16">
        <f>IF(ISERROR(VLOOKUP($A1168,'13. Updated Demand'!A:Z,26,FALSE)),0,VLOOKUP($A1168,'13. Updated Demand'!A:Z,26,FALSE))</f>
        <v>0</v>
      </c>
      <c r="AJ1168" s="16">
        <f t="shared" ref="AJ1168:AJ1231" si="228">SUM(X1168:AI1168)</f>
        <v>0</v>
      </c>
      <c r="AK1168" s="19">
        <v>0</v>
      </c>
      <c r="AL1168" s="16">
        <f t="shared" si="226"/>
        <v>0</v>
      </c>
      <c r="AM1168" s="17">
        <v>0</v>
      </c>
      <c r="AN1168" s="19"/>
      <c r="AO1168" s="19"/>
      <c r="AP1168" s="19">
        <v>34</v>
      </c>
      <c r="AQ1168" s="19" t="s">
        <v>307</v>
      </c>
      <c r="AR1168" s="9" t="s">
        <v>331</v>
      </c>
      <c r="AS1168" s="12">
        <v>0</v>
      </c>
      <c r="AT1168" s="19">
        <v>39.166674899999997</v>
      </c>
      <c r="AU1168" s="19">
        <v>-123.19629856</v>
      </c>
      <c r="AV1168" s="19" t="s">
        <v>766</v>
      </c>
    </row>
    <row r="1169" spans="1:48" x14ac:dyDescent="0.25">
      <c r="A1169" s="18" t="s">
        <v>1554</v>
      </c>
      <c r="B1169" s="10">
        <v>19530211</v>
      </c>
      <c r="C1169" s="9">
        <v>23</v>
      </c>
      <c r="D1169" s="8" t="str">
        <f t="shared" si="217"/>
        <v>N</v>
      </c>
      <c r="E1169" s="8" t="str">
        <f t="shared" si="218"/>
        <v>N</v>
      </c>
      <c r="F1169" s="8" t="str">
        <f t="shared" si="219"/>
        <v>N</v>
      </c>
      <c r="G1169" s="8" t="str">
        <f t="shared" si="220"/>
        <v>N</v>
      </c>
      <c r="H1169" s="8" t="str">
        <f t="shared" si="221"/>
        <v>Lower</v>
      </c>
      <c r="I1169" s="8" t="str">
        <f t="shared" si="222"/>
        <v>Outside</v>
      </c>
      <c r="J1169" s="8" t="str">
        <f t="shared" si="223"/>
        <v>Outside</v>
      </c>
      <c r="K1169" s="8" t="str">
        <f t="shared" si="224"/>
        <v>Post-1949</v>
      </c>
      <c r="L1169" s="8">
        <f t="shared" si="225"/>
        <v>1953</v>
      </c>
      <c r="M1169" s="8" t="str">
        <f t="shared" si="227"/>
        <v>1953-1954</v>
      </c>
      <c r="N1169" s="10" t="s">
        <v>242</v>
      </c>
      <c r="O1169" s="10" t="s">
        <v>242</v>
      </c>
      <c r="P1169" s="10" t="s">
        <v>242</v>
      </c>
      <c r="Q1169" s="10" t="s">
        <v>242</v>
      </c>
      <c r="R1169" s="10" t="s">
        <v>241</v>
      </c>
      <c r="S1169" s="10" t="s">
        <v>242</v>
      </c>
      <c r="T1169" s="10" t="s">
        <v>242</v>
      </c>
      <c r="U1169" s="10" t="s">
        <v>242</v>
      </c>
      <c r="V1169" s="10" t="s">
        <v>241</v>
      </c>
      <c r="W1169" s="10" t="s">
        <v>242</v>
      </c>
      <c r="X1169" s="15">
        <f>IF(ISERROR(VLOOKUP($A1169,'13. Updated Demand'!A:Z,15,FALSE)),0,VLOOKUP($A1169,'13. Updated Demand'!A:Z,15,FALSE))</f>
        <v>4.3333333329999997</v>
      </c>
      <c r="Y1169" s="16">
        <f>IF(ISERROR(VLOOKUP($A1169,'13. Updated Demand'!A:Z,16,FALSE)),0,VLOOKUP($A1169,'13. Updated Demand'!A:Z,16,FALSE))</f>
        <v>19.2</v>
      </c>
      <c r="Z1169" s="16">
        <f>IF(ISERROR(VLOOKUP($A1169,'13. Updated Demand'!A:Z,17,FALSE)),0,VLOOKUP($A1169,'13. Updated Demand'!A:Z,17,FALSE))</f>
        <v>3.8666666670000001</v>
      </c>
      <c r="AA1169" s="16">
        <f>IF(ISERROR(VLOOKUP($A1169,'13. Updated Demand'!A:Z,18,FALSE)),0,VLOOKUP($A1169,'13. Updated Demand'!A:Z,18,FALSE))</f>
        <v>2.9</v>
      </c>
      <c r="AB1169" s="16">
        <f>IF(ISERROR(VLOOKUP($A1169,'13. Updated Demand'!A:Z,19,FALSE)),0,VLOOKUP($A1169,'13. Updated Demand'!A:Z,19,FALSE))</f>
        <v>0</v>
      </c>
      <c r="AC1169" s="16">
        <f>IF(ISERROR(VLOOKUP($A1169,'13. Updated Demand'!A:Z,20,FALSE)),0,VLOOKUP($A1169,'13. Updated Demand'!A:Z,20,FALSE))</f>
        <v>0</v>
      </c>
      <c r="AD1169" s="16">
        <f>IF(ISERROR(VLOOKUP($A1169,'13. Updated Demand'!A:Z,21,FALSE)),0,VLOOKUP($A1169,'13. Updated Demand'!A:Z,21,FALSE))</f>
        <v>0</v>
      </c>
      <c r="AE1169" s="16">
        <f>IF(ISERROR(VLOOKUP($A1169,'13. Updated Demand'!A:Z,22,FALSE)),0,VLOOKUP($A1169,'13. Updated Demand'!A:Z,22,FALSE))</f>
        <v>0</v>
      </c>
      <c r="AF1169" s="16">
        <f>IF(ISERROR(VLOOKUP($A1169,'13. Updated Demand'!A:Z,23,FALSE)),0,VLOOKUP($A1169,'13. Updated Demand'!A:Z,23,FALSE))</f>
        <v>0</v>
      </c>
      <c r="AG1169" s="16">
        <f>IF(ISERROR(VLOOKUP($A1169,'13. Updated Demand'!A:Z,24,FALSE)),0,VLOOKUP($A1169,'13. Updated Demand'!A:Z,24,FALSE))</f>
        <v>0</v>
      </c>
      <c r="AH1169" s="16">
        <f>IF(ISERROR(VLOOKUP($A1169,'13. Updated Demand'!A:Z,25,FALSE)),0,VLOOKUP($A1169,'13. Updated Demand'!A:Z,25,FALSE))</f>
        <v>0</v>
      </c>
      <c r="AI1169" s="16">
        <f>IF(ISERROR(VLOOKUP($A1169,'13. Updated Demand'!A:Z,26,FALSE)),0,VLOOKUP($A1169,'13. Updated Demand'!A:Z,26,FALSE))</f>
        <v>4.4333333330000002</v>
      </c>
      <c r="AJ1169" s="16">
        <f t="shared" si="228"/>
        <v>34.733333332999997</v>
      </c>
      <c r="AK1169" s="19">
        <v>0</v>
      </c>
      <c r="AL1169" s="16">
        <f t="shared" si="226"/>
        <v>0</v>
      </c>
      <c r="AM1169" s="17">
        <v>0.53435897435384616</v>
      </c>
      <c r="AN1169" s="19"/>
      <c r="AO1169" s="19"/>
      <c r="AP1169" s="19">
        <v>65</v>
      </c>
      <c r="AQ1169" s="19" t="s">
        <v>307</v>
      </c>
      <c r="AR1169" s="9" t="s">
        <v>391</v>
      </c>
      <c r="AS1169" s="12">
        <v>0</v>
      </c>
      <c r="AT1169" s="19">
        <v>38.567707230000003</v>
      </c>
      <c r="AU1169" s="19">
        <v>-122.76670266000001</v>
      </c>
      <c r="AV1169" s="19" t="s">
        <v>417</v>
      </c>
    </row>
    <row r="1170" spans="1:48" x14ac:dyDescent="0.25">
      <c r="A1170" s="18" t="s">
        <v>1555</v>
      </c>
      <c r="B1170" s="10">
        <v>19530312</v>
      </c>
      <c r="C1170" s="9">
        <v>12</v>
      </c>
      <c r="D1170" s="8" t="str">
        <f t="shared" si="217"/>
        <v>N</v>
      </c>
      <c r="E1170" s="8" t="str">
        <f t="shared" si="218"/>
        <v>Y</v>
      </c>
      <c r="F1170" s="8" t="str">
        <f t="shared" si="219"/>
        <v>Y</v>
      </c>
      <c r="G1170" s="8" t="str">
        <f t="shared" si="220"/>
        <v>Y</v>
      </c>
      <c r="H1170" s="8" t="str">
        <f t="shared" si="221"/>
        <v>Upper</v>
      </c>
      <c r="I1170" s="8" t="str">
        <f t="shared" si="222"/>
        <v>West Fork and Below Lake</v>
      </c>
      <c r="J1170" s="8" t="str">
        <f t="shared" si="223"/>
        <v>Sonoma (d/s of Clov. Gage)</v>
      </c>
      <c r="K1170" s="8" t="str">
        <f t="shared" si="224"/>
        <v>Post-1949</v>
      </c>
      <c r="L1170" s="8">
        <f t="shared" si="225"/>
        <v>1953</v>
      </c>
      <c r="M1170" s="8" t="str">
        <f t="shared" si="227"/>
        <v>1953-1954</v>
      </c>
      <c r="N1170" s="10" t="s">
        <v>241</v>
      </c>
      <c r="O1170" s="10" t="s">
        <v>241</v>
      </c>
      <c r="P1170" s="10" t="s">
        <v>242</v>
      </c>
      <c r="Q1170" s="10" t="s">
        <v>242</v>
      </c>
      <c r="R1170" s="10" t="s">
        <v>241</v>
      </c>
      <c r="S1170" s="10" t="s">
        <v>242</v>
      </c>
      <c r="T1170" s="10" t="s">
        <v>242</v>
      </c>
      <c r="U1170" s="10" t="s">
        <v>241</v>
      </c>
      <c r="V1170" s="10" t="s">
        <v>241</v>
      </c>
      <c r="W1170" s="10" t="s">
        <v>242</v>
      </c>
      <c r="X1170" s="15">
        <f>IF(ISERROR(VLOOKUP($A1170,'13. Updated Demand'!A:Z,15,FALSE)),0,VLOOKUP($A1170,'13. Updated Demand'!A:Z,15,FALSE))</f>
        <v>0</v>
      </c>
      <c r="Y1170" s="16">
        <f>IF(ISERROR(VLOOKUP($A1170,'13. Updated Demand'!A:Z,16,FALSE)),0,VLOOKUP($A1170,'13. Updated Demand'!A:Z,16,FALSE))</f>
        <v>0</v>
      </c>
      <c r="Z1170" s="16">
        <f>IF(ISERROR(VLOOKUP($A1170,'13. Updated Demand'!A:Z,17,FALSE)),0,VLOOKUP($A1170,'13. Updated Demand'!A:Z,17,FALSE))</f>
        <v>0</v>
      </c>
      <c r="AA1170" s="16">
        <f>IF(ISERROR(VLOOKUP($A1170,'13. Updated Demand'!A:Z,18,FALSE)),0,VLOOKUP($A1170,'13. Updated Demand'!A:Z,18,FALSE))</f>
        <v>0</v>
      </c>
      <c r="AB1170" s="16">
        <f>IF(ISERROR(VLOOKUP($A1170,'13. Updated Demand'!A:Z,19,FALSE)),0,VLOOKUP($A1170,'13. Updated Demand'!A:Z,19,FALSE))</f>
        <v>0</v>
      </c>
      <c r="AC1170" s="16">
        <f>IF(ISERROR(VLOOKUP($A1170,'13. Updated Demand'!A:Z,20,FALSE)),0,VLOOKUP($A1170,'13. Updated Demand'!A:Z,20,FALSE))</f>
        <v>0</v>
      </c>
      <c r="AD1170" s="16">
        <f>IF(ISERROR(VLOOKUP($A1170,'13. Updated Demand'!A:Z,21,FALSE)),0,VLOOKUP($A1170,'13. Updated Demand'!A:Z,21,FALSE))</f>
        <v>0</v>
      </c>
      <c r="AE1170" s="16">
        <f>IF(ISERROR(VLOOKUP($A1170,'13. Updated Demand'!A:Z,22,FALSE)),0,VLOOKUP($A1170,'13. Updated Demand'!A:Z,22,FALSE))</f>
        <v>0</v>
      </c>
      <c r="AF1170" s="16">
        <f>IF(ISERROR(VLOOKUP($A1170,'13. Updated Demand'!A:Z,23,FALSE)),0,VLOOKUP($A1170,'13. Updated Demand'!A:Z,23,FALSE))</f>
        <v>0</v>
      </c>
      <c r="AG1170" s="16">
        <f>IF(ISERROR(VLOOKUP($A1170,'13. Updated Demand'!A:Z,24,FALSE)),0,VLOOKUP($A1170,'13. Updated Demand'!A:Z,24,FALSE))</f>
        <v>0</v>
      </c>
      <c r="AH1170" s="16">
        <f>IF(ISERROR(VLOOKUP($A1170,'13. Updated Demand'!A:Z,25,FALSE)),0,VLOOKUP($A1170,'13. Updated Demand'!A:Z,25,FALSE))</f>
        <v>0</v>
      </c>
      <c r="AI1170" s="16">
        <f>IF(ISERROR(VLOOKUP($A1170,'13. Updated Demand'!A:Z,26,FALSE)),0,VLOOKUP($A1170,'13. Updated Demand'!A:Z,26,FALSE))</f>
        <v>0</v>
      </c>
      <c r="AJ1170" s="16">
        <f t="shared" si="228"/>
        <v>0</v>
      </c>
      <c r="AK1170" s="19">
        <v>0</v>
      </c>
      <c r="AL1170" s="16">
        <f t="shared" si="226"/>
        <v>0</v>
      </c>
      <c r="AM1170" s="17">
        <v>0</v>
      </c>
      <c r="AN1170" s="19"/>
      <c r="AO1170" s="19"/>
      <c r="AP1170" s="19">
        <v>228.4</v>
      </c>
      <c r="AQ1170" s="19" t="s">
        <v>307</v>
      </c>
      <c r="AR1170" s="9" t="s">
        <v>311</v>
      </c>
      <c r="AS1170" s="12">
        <v>0</v>
      </c>
      <c r="AT1170" s="19">
        <v>38.632594279999999</v>
      </c>
      <c r="AU1170" s="19">
        <v>-122.83461810999999</v>
      </c>
      <c r="AV1170" s="19" t="s">
        <v>387</v>
      </c>
    </row>
    <row r="1171" spans="1:48" x14ac:dyDescent="0.25">
      <c r="A1171" s="18" t="s">
        <v>1556</v>
      </c>
      <c r="B1171" s="10">
        <v>19530316</v>
      </c>
      <c r="C1171" s="9">
        <v>17</v>
      </c>
      <c r="D1171" s="8" t="str">
        <f t="shared" si="217"/>
        <v>N</v>
      </c>
      <c r="E1171" s="8" t="str">
        <f t="shared" si="218"/>
        <v>N</v>
      </c>
      <c r="F1171" s="8" t="str">
        <f t="shared" si="219"/>
        <v>N</v>
      </c>
      <c r="G1171" s="8" t="str">
        <f t="shared" si="220"/>
        <v>N</v>
      </c>
      <c r="H1171" s="8" t="str">
        <f t="shared" si="221"/>
        <v>Lower</v>
      </c>
      <c r="I1171" s="8" t="str">
        <f t="shared" si="222"/>
        <v>Outside</v>
      </c>
      <c r="J1171" s="8" t="str">
        <f t="shared" si="223"/>
        <v>Outside</v>
      </c>
      <c r="K1171" s="8" t="str">
        <f t="shared" si="224"/>
        <v>Post-1949</v>
      </c>
      <c r="L1171" s="8">
        <f t="shared" si="225"/>
        <v>1953</v>
      </c>
      <c r="M1171" s="8" t="str">
        <f t="shared" si="227"/>
        <v>1953-1954</v>
      </c>
      <c r="N1171" s="10" t="s">
        <v>242</v>
      </c>
      <c r="O1171" s="10" t="s">
        <v>242</v>
      </c>
      <c r="P1171" s="10" t="s">
        <v>242</v>
      </c>
      <c r="Q1171" s="10" t="s">
        <v>242</v>
      </c>
      <c r="R1171" s="10" t="s">
        <v>241</v>
      </c>
      <c r="S1171" s="10" t="s">
        <v>242</v>
      </c>
      <c r="T1171" s="10" t="s">
        <v>242</v>
      </c>
      <c r="U1171" s="10" t="s">
        <v>242</v>
      </c>
      <c r="V1171" s="10" t="s">
        <v>241</v>
      </c>
      <c r="W1171" s="10" t="s">
        <v>242</v>
      </c>
      <c r="X1171" s="15">
        <f>IF(ISERROR(VLOOKUP($A1171,'13. Updated Demand'!A:Z,15,FALSE)),0,VLOOKUP($A1171,'13. Updated Demand'!A:Z,15,FALSE))</f>
        <v>0</v>
      </c>
      <c r="Y1171" s="16">
        <f>IF(ISERROR(VLOOKUP($A1171,'13. Updated Demand'!A:Z,16,FALSE)),0,VLOOKUP($A1171,'13. Updated Demand'!A:Z,16,FALSE))</f>
        <v>0</v>
      </c>
      <c r="Z1171" s="16">
        <f>IF(ISERROR(VLOOKUP($A1171,'13. Updated Demand'!A:Z,17,FALSE)),0,VLOOKUP($A1171,'13. Updated Demand'!A:Z,17,FALSE))</f>
        <v>0</v>
      </c>
      <c r="AA1171" s="16">
        <f>IF(ISERROR(VLOOKUP($A1171,'13. Updated Demand'!A:Z,18,FALSE)),0,VLOOKUP($A1171,'13. Updated Demand'!A:Z,18,FALSE))</f>
        <v>0</v>
      </c>
      <c r="AB1171" s="16">
        <f>IF(ISERROR(VLOOKUP($A1171,'13. Updated Demand'!A:Z,19,FALSE)),0,VLOOKUP($A1171,'13. Updated Demand'!A:Z,19,FALSE))</f>
        <v>0</v>
      </c>
      <c r="AC1171" s="16">
        <f>IF(ISERROR(VLOOKUP($A1171,'13. Updated Demand'!A:Z,20,FALSE)),0,VLOOKUP($A1171,'13. Updated Demand'!A:Z,20,FALSE))</f>
        <v>0</v>
      </c>
      <c r="AD1171" s="16">
        <f>IF(ISERROR(VLOOKUP($A1171,'13. Updated Demand'!A:Z,21,FALSE)),0,VLOOKUP($A1171,'13. Updated Demand'!A:Z,21,FALSE))</f>
        <v>0</v>
      </c>
      <c r="AE1171" s="16">
        <f>IF(ISERROR(VLOOKUP($A1171,'13. Updated Demand'!A:Z,22,FALSE)),0,VLOOKUP($A1171,'13. Updated Demand'!A:Z,22,FALSE))</f>
        <v>0</v>
      </c>
      <c r="AF1171" s="16">
        <f>IF(ISERROR(VLOOKUP($A1171,'13. Updated Demand'!A:Z,23,FALSE)),0,VLOOKUP($A1171,'13. Updated Demand'!A:Z,23,FALSE))</f>
        <v>0</v>
      </c>
      <c r="AG1171" s="16">
        <f>IF(ISERROR(VLOOKUP($A1171,'13. Updated Demand'!A:Z,24,FALSE)),0,VLOOKUP($A1171,'13. Updated Demand'!A:Z,24,FALSE))</f>
        <v>0</v>
      </c>
      <c r="AH1171" s="16">
        <f>IF(ISERROR(VLOOKUP($A1171,'13. Updated Demand'!A:Z,25,FALSE)),0,VLOOKUP($A1171,'13. Updated Demand'!A:Z,25,FALSE))</f>
        <v>4</v>
      </c>
      <c r="AI1171" s="16">
        <f>IF(ISERROR(VLOOKUP($A1171,'13. Updated Demand'!A:Z,26,FALSE)),0,VLOOKUP($A1171,'13. Updated Demand'!A:Z,26,FALSE))</f>
        <v>4</v>
      </c>
      <c r="AJ1171" s="16">
        <f t="shared" si="228"/>
        <v>8</v>
      </c>
      <c r="AK1171" s="19">
        <v>0</v>
      </c>
      <c r="AL1171" s="16">
        <f t="shared" si="226"/>
        <v>0</v>
      </c>
      <c r="AM1171" s="17">
        <v>0.26666666666666666</v>
      </c>
      <c r="AN1171" s="19"/>
      <c r="AO1171" s="19"/>
      <c r="AP1171" s="19">
        <v>30</v>
      </c>
      <c r="AQ1171" s="19" t="s">
        <v>307</v>
      </c>
      <c r="AR1171" s="9" t="s">
        <v>486</v>
      </c>
      <c r="AS1171" s="12">
        <v>0</v>
      </c>
      <c r="AT1171" s="19">
        <v>38.572256699999997</v>
      </c>
      <c r="AU1171" s="19">
        <v>-122.82411814</v>
      </c>
      <c r="AV1171" s="19" t="s">
        <v>417</v>
      </c>
    </row>
    <row r="1172" spans="1:48" x14ac:dyDescent="0.25">
      <c r="A1172" s="18" t="s">
        <v>1557</v>
      </c>
      <c r="B1172" s="10">
        <v>19530417</v>
      </c>
      <c r="C1172" s="9">
        <v>16</v>
      </c>
      <c r="D1172" s="8" t="str">
        <f t="shared" si="217"/>
        <v>N</v>
      </c>
      <c r="E1172" s="8" t="str">
        <f t="shared" si="218"/>
        <v>N</v>
      </c>
      <c r="F1172" s="8" t="str">
        <f t="shared" si="219"/>
        <v>N</v>
      </c>
      <c r="G1172" s="8" t="str">
        <f t="shared" si="220"/>
        <v>N</v>
      </c>
      <c r="H1172" s="8" t="str">
        <f t="shared" si="221"/>
        <v>Lower</v>
      </c>
      <c r="I1172" s="8" t="str">
        <f t="shared" si="222"/>
        <v>Outside</v>
      </c>
      <c r="J1172" s="8" t="str">
        <f t="shared" si="223"/>
        <v>Outside</v>
      </c>
      <c r="K1172" s="8" t="str">
        <f t="shared" si="224"/>
        <v>Post-1949</v>
      </c>
      <c r="L1172" s="8">
        <f t="shared" si="225"/>
        <v>1953</v>
      </c>
      <c r="M1172" s="8" t="str">
        <f t="shared" si="227"/>
        <v>1953-1954</v>
      </c>
      <c r="N1172" s="10" t="s">
        <v>242</v>
      </c>
      <c r="O1172" s="10" t="s">
        <v>242</v>
      </c>
      <c r="P1172" s="10" t="s">
        <v>242</v>
      </c>
      <c r="Q1172" s="10" t="s">
        <v>242</v>
      </c>
      <c r="R1172" s="10" t="s">
        <v>241</v>
      </c>
      <c r="S1172" s="10" t="s">
        <v>242</v>
      </c>
      <c r="T1172" s="10" t="s">
        <v>242</v>
      </c>
      <c r="U1172" s="10" t="s">
        <v>241</v>
      </c>
      <c r="V1172" s="10" t="s">
        <v>241</v>
      </c>
      <c r="W1172" s="10" t="s">
        <v>242</v>
      </c>
      <c r="X1172" s="15">
        <f>IF(ISERROR(VLOOKUP($A1172,'13. Updated Demand'!A:Z,15,FALSE)),0,VLOOKUP($A1172,'13. Updated Demand'!A:Z,15,FALSE))</f>
        <v>0</v>
      </c>
      <c r="Y1172" s="16">
        <f>IF(ISERROR(VLOOKUP($A1172,'13. Updated Demand'!A:Z,16,FALSE)),0,VLOOKUP($A1172,'13. Updated Demand'!A:Z,16,FALSE))</f>
        <v>0</v>
      </c>
      <c r="Z1172" s="16">
        <f>IF(ISERROR(VLOOKUP($A1172,'13. Updated Demand'!A:Z,17,FALSE)),0,VLOOKUP($A1172,'13. Updated Demand'!A:Z,17,FALSE))</f>
        <v>0</v>
      </c>
      <c r="AA1172" s="16">
        <f>IF(ISERROR(VLOOKUP($A1172,'13. Updated Demand'!A:Z,18,FALSE)),0,VLOOKUP($A1172,'13. Updated Demand'!A:Z,18,FALSE))</f>
        <v>0</v>
      </c>
      <c r="AB1172" s="16">
        <f>IF(ISERROR(VLOOKUP($A1172,'13. Updated Demand'!A:Z,19,FALSE)),0,VLOOKUP($A1172,'13. Updated Demand'!A:Z,19,FALSE))</f>
        <v>0</v>
      </c>
      <c r="AC1172" s="16">
        <f>IF(ISERROR(VLOOKUP($A1172,'13. Updated Demand'!A:Z,20,FALSE)),0,VLOOKUP($A1172,'13. Updated Demand'!A:Z,20,FALSE))</f>
        <v>0</v>
      </c>
      <c r="AD1172" s="16">
        <f>IF(ISERROR(VLOOKUP($A1172,'13. Updated Demand'!A:Z,21,FALSE)),0,VLOOKUP($A1172,'13. Updated Demand'!A:Z,21,FALSE))</f>
        <v>0</v>
      </c>
      <c r="AE1172" s="16">
        <f>IF(ISERROR(VLOOKUP($A1172,'13. Updated Demand'!A:Z,22,FALSE)),0,VLOOKUP($A1172,'13. Updated Demand'!A:Z,22,FALSE))</f>
        <v>0</v>
      </c>
      <c r="AF1172" s="16">
        <f>IF(ISERROR(VLOOKUP($A1172,'13. Updated Demand'!A:Z,23,FALSE)),0,VLOOKUP($A1172,'13. Updated Demand'!A:Z,23,FALSE))</f>
        <v>0</v>
      </c>
      <c r="AG1172" s="16">
        <f>IF(ISERROR(VLOOKUP($A1172,'13. Updated Demand'!A:Z,24,FALSE)),0,VLOOKUP($A1172,'13. Updated Demand'!A:Z,24,FALSE))</f>
        <v>0</v>
      </c>
      <c r="AH1172" s="16">
        <f>IF(ISERROR(VLOOKUP($A1172,'13. Updated Demand'!A:Z,25,FALSE)),0,VLOOKUP($A1172,'13. Updated Demand'!A:Z,25,FALSE))</f>
        <v>0</v>
      </c>
      <c r="AI1172" s="16">
        <f>IF(ISERROR(VLOOKUP($A1172,'13. Updated Demand'!A:Z,26,FALSE)),0,VLOOKUP($A1172,'13. Updated Demand'!A:Z,26,FALSE))</f>
        <v>0</v>
      </c>
      <c r="AJ1172" s="16">
        <f t="shared" si="228"/>
        <v>0</v>
      </c>
      <c r="AK1172" s="19">
        <v>0</v>
      </c>
      <c r="AL1172" s="16">
        <f t="shared" si="226"/>
        <v>0</v>
      </c>
      <c r="AM1172" s="17">
        <v>0</v>
      </c>
      <c r="AN1172" s="19"/>
      <c r="AO1172" s="19"/>
      <c r="AP1172" s="19">
        <v>3.2</v>
      </c>
      <c r="AQ1172" s="19" t="s">
        <v>307</v>
      </c>
      <c r="AR1172" s="9" t="s">
        <v>394</v>
      </c>
      <c r="AS1172" s="12">
        <v>3.4039024194010059E-4</v>
      </c>
      <c r="AT1172" s="19">
        <v>38.600465020000001</v>
      </c>
      <c r="AU1172" s="19">
        <v>-122.94237291</v>
      </c>
      <c r="AV1172" s="19" t="s">
        <v>417</v>
      </c>
    </row>
    <row r="1173" spans="1:48" x14ac:dyDescent="0.25">
      <c r="A1173" s="18" t="s">
        <v>1558</v>
      </c>
      <c r="B1173" s="10">
        <v>19530501</v>
      </c>
      <c r="C1173" s="9">
        <v>4</v>
      </c>
      <c r="D1173" s="8" t="str">
        <f t="shared" si="217"/>
        <v>Y</v>
      </c>
      <c r="E1173" s="8" t="str">
        <f t="shared" si="218"/>
        <v>N</v>
      </c>
      <c r="F1173" s="8" t="str">
        <f t="shared" si="219"/>
        <v>Y</v>
      </c>
      <c r="G1173" s="8" t="str">
        <f t="shared" si="220"/>
        <v>Y</v>
      </c>
      <c r="H1173" s="8" t="str">
        <f t="shared" si="221"/>
        <v>Upper</v>
      </c>
      <c r="I1173" s="8" t="str">
        <f t="shared" si="222"/>
        <v>West Fork and Below Lake</v>
      </c>
      <c r="J1173" s="8" t="str">
        <f t="shared" si="223"/>
        <v>Mendocino (d/s of lake)</v>
      </c>
      <c r="K1173" s="8" t="str">
        <f t="shared" si="224"/>
        <v>Post-1949</v>
      </c>
      <c r="L1173" s="8">
        <f t="shared" si="225"/>
        <v>1953</v>
      </c>
      <c r="M1173" s="8" t="str">
        <f t="shared" si="227"/>
        <v>1953-1954</v>
      </c>
      <c r="N1173" s="10" t="s">
        <v>241</v>
      </c>
      <c r="O1173" s="10" t="s">
        <v>241</v>
      </c>
      <c r="P1173" s="10" t="s">
        <v>242</v>
      </c>
      <c r="Q1173" s="10" t="s">
        <v>242</v>
      </c>
      <c r="R1173" s="10" t="s">
        <v>241</v>
      </c>
      <c r="S1173" s="10" t="s">
        <v>242</v>
      </c>
      <c r="T1173" s="10" t="s">
        <v>242</v>
      </c>
      <c r="U1173" s="10" t="s">
        <v>241</v>
      </c>
      <c r="V1173" s="10" t="s">
        <v>241</v>
      </c>
      <c r="W1173" s="10" t="s">
        <v>242</v>
      </c>
      <c r="X1173" s="15">
        <f>IF(ISERROR(VLOOKUP($A1173,'13. Updated Demand'!A:Z,15,FALSE)),0,VLOOKUP($A1173,'13. Updated Demand'!A:Z,15,FALSE))</f>
        <v>0</v>
      </c>
      <c r="Y1173" s="16">
        <f>IF(ISERROR(VLOOKUP($A1173,'13. Updated Demand'!A:Z,16,FALSE)),0,VLOOKUP($A1173,'13. Updated Demand'!A:Z,16,FALSE))</f>
        <v>0</v>
      </c>
      <c r="Z1173" s="16">
        <f>IF(ISERROR(VLOOKUP($A1173,'13. Updated Demand'!A:Z,17,FALSE)),0,VLOOKUP($A1173,'13. Updated Demand'!A:Z,17,FALSE))</f>
        <v>0</v>
      </c>
      <c r="AA1173" s="16">
        <f>IF(ISERROR(VLOOKUP($A1173,'13. Updated Demand'!A:Z,18,FALSE)),0,VLOOKUP($A1173,'13. Updated Demand'!A:Z,18,FALSE))</f>
        <v>0</v>
      </c>
      <c r="AB1173" s="16">
        <f>IF(ISERROR(VLOOKUP($A1173,'13. Updated Demand'!A:Z,19,FALSE)),0,VLOOKUP($A1173,'13. Updated Demand'!A:Z,19,FALSE))</f>
        <v>0</v>
      </c>
      <c r="AC1173" s="16">
        <f>IF(ISERROR(VLOOKUP($A1173,'13. Updated Demand'!A:Z,20,FALSE)),0,VLOOKUP($A1173,'13. Updated Demand'!A:Z,20,FALSE))</f>
        <v>0</v>
      </c>
      <c r="AD1173" s="16">
        <f>IF(ISERROR(VLOOKUP($A1173,'13. Updated Demand'!A:Z,21,FALSE)),0,VLOOKUP($A1173,'13. Updated Demand'!A:Z,21,FALSE))</f>
        <v>0</v>
      </c>
      <c r="AE1173" s="16">
        <f>IF(ISERROR(VLOOKUP($A1173,'13. Updated Demand'!A:Z,22,FALSE)),0,VLOOKUP($A1173,'13. Updated Demand'!A:Z,22,FALSE))</f>
        <v>0</v>
      </c>
      <c r="AF1173" s="16">
        <f>IF(ISERROR(VLOOKUP($A1173,'13. Updated Demand'!A:Z,23,FALSE)),0,VLOOKUP($A1173,'13. Updated Demand'!A:Z,23,FALSE))</f>
        <v>0</v>
      </c>
      <c r="AG1173" s="16">
        <f>IF(ISERROR(VLOOKUP($A1173,'13. Updated Demand'!A:Z,24,FALSE)),0,VLOOKUP($A1173,'13. Updated Demand'!A:Z,24,FALSE))</f>
        <v>0</v>
      </c>
      <c r="AH1173" s="16">
        <f>IF(ISERROR(VLOOKUP($A1173,'13. Updated Demand'!A:Z,25,FALSE)),0,VLOOKUP($A1173,'13. Updated Demand'!A:Z,25,FALSE))</f>
        <v>0</v>
      </c>
      <c r="AI1173" s="16">
        <f>IF(ISERROR(VLOOKUP($A1173,'13. Updated Demand'!A:Z,26,FALSE)),0,VLOOKUP($A1173,'13. Updated Demand'!A:Z,26,FALSE))</f>
        <v>0</v>
      </c>
      <c r="AJ1173" s="16">
        <f t="shared" si="228"/>
        <v>0</v>
      </c>
      <c r="AK1173" s="19">
        <v>0</v>
      </c>
      <c r="AL1173" s="16">
        <f t="shared" si="226"/>
        <v>0</v>
      </c>
      <c r="AM1173" s="17">
        <v>0</v>
      </c>
      <c r="AN1173" s="19"/>
      <c r="AO1173" s="19"/>
      <c r="AP1173" s="19">
        <v>32.200000000000003</v>
      </c>
      <c r="AQ1173" s="19" t="s">
        <v>307</v>
      </c>
      <c r="AR1173" s="9" t="s">
        <v>331</v>
      </c>
      <c r="AS1173" s="12">
        <v>0</v>
      </c>
      <c r="AT1173" s="19">
        <v>39.194352199999997</v>
      </c>
      <c r="AU1173" s="19">
        <v>-123.18970688</v>
      </c>
      <c r="AV1173" s="19" t="s">
        <v>542</v>
      </c>
    </row>
    <row r="1174" spans="1:48" x14ac:dyDescent="0.25">
      <c r="A1174" s="18" t="s">
        <v>1559</v>
      </c>
      <c r="B1174" s="10">
        <v>19530706</v>
      </c>
      <c r="C1174" s="9">
        <v>9</v>
      </c>
      <c r="D1174" s="8" t="str">
        <f t="shared" si="217"/>
        <v>N</v>
      </c>
      <c r="E1174" s="8" t="str">
        <f t="shared" si="218"/>
        <v>Y</v>
      </c>
      <c r="F1174" s="8" t="str">
        <f t="shared" si="219"/>
        <v>Y</v>
      </c>
      <c r="G1174" s="8" t="str">
        <f t="shared" si="220"/>
        <v>Y</v>
      </c>
      <c r="H1174" s="8" t="str">
        <f t="shared" si="221"/>
        <v>Upper</v>
      </c>
      <c r="I1174" s="8" t="str">
        <f t="shared" si="222"/>
        <v>West Fork and Below Lake</v>
      </c>
      <c r="J1174" s="8" t="str">
        <f t="shared" si="223"/>
        <v>Sonoma (d/s of Clov. Gage)</v>
      </c>
      <c r="K1174" s="8" t="str">
        <f t="shared" si="224"/>
        <v>Post-1949</v>
      </c>
      <c r="L1174" s="8">
        <f t="shared" si="225"/>
        <v>1953</v>
      </c>
      <c r="M1174" s="8" t="str">
        <f t="shared" si="227"/>
        <v>1953-1954</v>
      </c>
      <c r="N1174" s="10" t="s">
        <v>241</v>
      </c>
      <c r="O1174" s="10" t="s">
        <v>241</v>
      </c>
      <c r="P1174" s="10" t="s">
        <v>242</v>
      </c>
      <c r="Q1174" s="10" t="s">
        <v>242</v>
      </c>
      <c r="R1174" s="10" t="s">
        <v>241</v>
      </c>
      <c r="S1174" s="10" t="s">
        <v>242</v>
      </c>
      <c r="T1174" s="10" t="s">
        <v>242</v>
      </c>
      <c r="U1174" s="10" t="s">
        <v>241</v>
      </c>
      <c r="V1174" s="10" t="s">
        <v>241</v>
      </c>
      <c r="W1174" s="10" t="s">
        <v>242</v>
      </c>
      <c r="X1174" s="15">
        <f>IF(ISERROR(VLOOKUP($A1174,'13. Updated Demand'!A:Z,15,FALSE)),0,VLOOKUP($A1174,'13. Updated Demand'!A:Z,15,FALSE))</f>
        <v>0</v>
      </c>
      <c r="Y1174" s="16">
        <f>IF(ISERROR(VLOOKUP($A1174,'13. Updated Demand'!A:Z,16,FALSE)),0,VLOOKUP($A1174,'13. Updated Demand'!A:Z,16,FALSE))</f>
        <v>0</v>
      </c>
      <c r="Z1174" s="16">
        <f>IF(ISERROR(VLOOKUP($A1174,'13. Updated Demand'!A:Z,17,FALSE)),0,VLOOKUP($A1174,'13. Updated Demand'!A:Z,17,FALSE))</f>
        <v>0</v>
      </c>
      <c r="AA1174" s="16">
        <f>IF(ISERROR(VLOOKUP($A1174,'13. Updated Demand'!A:Z,18,FALSE)),0,VLOOKUP($A1174,'13. Updated Demand'!A:Z,18,FALSE))</f>
        <v>0</v>
      </c>
      <c r="AB1174" s="16">
        <f>IF(ISERROR(VLOOKUP($A1174,'13. Updated Demand'!A:Z,19,FALSE)),0,VLOOKUP($A1174,'13. Updated Demand'!A:Z,19,FALSE))</f>
        <v>0</v>
      </c>
      <c r="AC1174" s="16">
        <f>IF(ISERROR(VLOOKUP($A1174,'13. Updated Demand'!A:Z,20,FALSE)),0,VLOOKUP($A1174,'13. Updated Demand'!A:Z,20,FALSE))</f>
        <v>0</v>
      </c>
      <c r="AD1174" s="16">
        <f>IF(ISERROR(VLOOKUP($A1174,'13. Updated Demand'!A:Z,21,FALSE)),0,VLOOKUP($A1174,'13. Updated Demand'!A:Z,21,FALSE))</f>
        <v>0</v>
      </c>
      <c r="AE1174" s="16">
        <f>IF(ISERROR(VLOOKUP($A1174,'13. Updated Demand'!A:Z,22,FALSE)),0,VLOOKUP($A1174,'13. Updated Demand'!A:Z,22,FALSE))</f>
        <v>0</v>
      </c>
      <c r="AF1174" s="16">
        <f>IF(ISERROR(VLOOKUP($A1174,'13. Updated Demand'!A:Z,23,FALSE)),0,VLOOKUP($A1174,'13. Updated Demand'!A:Z,23,FALSE))</f>
        <v>0</v>
      </c>
      <c r="AG1174" s="16">
        <f>IF(ISERROR(VLOOKUP($A1174,'13. Updated Demand'!A:Z,24,FALSE)),0,VLOOKUP($A1174,'13. Updated Demand'!A:Z,24,FALSE))</f>
        <v>0</v>
      </c>
      <c r="AH1174" s="16">
        <f>IF(ISERROR(VLOOKUP($A1174,'13. Updated Demand'!A:Z,25,FALSE)),0,VLOOKUP($A1174,'13. Updated Demand'!A:Z,25,FALSE))</f>
        <v>0</v>
      </c>
      <c r="AI1174" s="16">
        <f>IF(ISERROR(VLOOKUP($A1174,'13. Updated Demand'!A:Z,26,FALSE)),0,VLOOKUP($A1174,'13. Updated Demand'!A:Z,26,FALSE))</f>
        <v>0</v>
      </c>
      <c r="AJ1174" s="16">
        <f t="shared" si="228"/>
        <v>0</v>
      </c>
      <c r="AK1174" s="19">
        <v>0</v>
      </c>
      <c r="AL1174" s="16">
        <f t="shared" si="226"/>
        <v>0</v>
      </c>
      <c r="AM1174" s="17">
        <v>0</v>
      </c>
      <c r="AN1174" s="19"/>
      <c r="AO1174" s="19"/>
      <c r="AP1174" s="19">
        <v>36.700000000000003</v>
      </c>
      <c r="AQ1174" s="19" t="s">
        <v>307</v>
      </c>
      <c r="AR1174" s="9" t="s">
        <v>354</v>
      </c>
      <c r="AS1174" s="12">
        <v>0</v>
      </c>
      <c r="AT1174" s="19">
        <v>38.7102</v>
      </c>
      <c r="AU1174" s="19">
        <v>-122.9046</v>
      </c>
      <c r="AV1174" s="19" t="s">
        <v>548</v>
      </c>
    </row>
    <row r="1175" spans="1:48" x14ac:dyDescent="0.25">
      <c r="A1175" s="18" t="s">
        <v>1560</v>
      </c>
      <c r="B1175" s="10">
        <v>19530831</v>
      </c>
      <c r="C1175" s="9">
        <v>23</v>
      </c>
      <c r="D1175" s="8" t="str">
        <f t="shared" si="217"/>
        <v>N</v>
      </c>
      <c r="E1175" s="8" t="str">
        <f t="shared" si="218"/>
        <v>N</v>
      </c>
      <c r="F1175" s="8" t="str">
        <f t="shared" si="219"/>
        <v>N</v>
      </c>
      <c r="G1175" s="8" t="str">
        <f t="shared" si="220"/>
        <v>N</v>
      </c>
      <c r="H1175" s="8" t="str">
        <f t="shared" si="221"/>
        <v>Lower</v>
      </c>
      <c r="I1175" s="8" t="str">
        <f t="shared" si="222"/>
        <v>Outside</v>
      </c>
      <c r="J1175" s="8" t="str">
        <f t="shared" si="223"/>
        <v>Outside</v>
      </c>
      <c r="K1175" s="8" t="str">
        <f t="shared" si="224"/>
        <v>Post-1949</v>
      </c>
      <c r="L1175" s="8">
        <f t="shared" si="225"/>
        <v>1953</v>
      </c>
      <c r="M1175" s="8" t="str">
        <f t="shared" si="227"/>
        <v>1953-1954</v>
      </c>
      <c r="N1175" s="10" t="s">
        <v>242</v>
      </c>
      <c r="O1175" s="10" t="s">
        <v>242</v>
      </c>
      <c r="P1175" s="10" t="s">
        <v>242</v>
      </c>
      <c r="Q1175" s="10" t="s">
        <v>242</v>
      </c>
      <c r="R1175" s="10" t="s">
        <v>241</v>
      </c>
      <c r="S1175" s="10" t="s">
        <v>242</v>
      </c>
      <c r="T1175" s="10" t="s">
        <v>242</v>
      </c>
      <c r="U1175" s="10" t="s">
        <v>241</v>
      </c>
      <c r="V1175" s="10" t="s">
        <v>241</v>
      </c>
      <c r="W1175" s="10" t="s">
        <v>242</v>
      </c>
      <c r="X1175" s="15">
        <f>IF(ISERROR(VLOOKUP($A1175,'13. Updated Demand'!A:Z,15,FALSE)),0,VLOOKUP($A1175,'13. Updated Demand'!A:Z,15,FALSE))</f>
        <v>0</v>
      </c>
      <c r="Y1175" s="16">
        <f>IF(ISERROR(VLOOKUP($A1175,'13. Updated Demand'!A:Z,16,FALSE)),0,VLOOKUP($A1175,'13. Updated Demand'!A:Z,16,FALSE))</f>
        <v>0</v>
      </c>
      <c r="Z1175" s="16">
        <f>IF(ISERROR(VLOOKUP($A1175,'13. Updated Demand'!A:Z,17,FALSE)),0,VLOOKUP($A1175,'13. Updated Demand'!A:Z,17,FALSE))</f>
        <v>0</v>
      </c>
      <c r="AA1175" s="16">
        <f>IF(ISERROR(VLOOKUP($A1175,'13. Updated Demand'!A:Z,18,FALSE)),0,VLOOKUP($A1175,'13. Updated Demand'!A:Z,18,FALSE))</f>
        <v>0</v>
      </c>
      <c r="AB1175" s="16">
        <f>IF(ISERROR(VLOOKUP($A1175,'13. Updated Demand'!A:Z,19,FALSE)),0,VLOOKUP($A1175,'13. Updated Demand'!A:Z,19,FALSE))</f>
        <v>0</v>
      </c>
      <c r="AC1175" s="16">
        <f>IF(ISERROR(VLOOKUP($A1175,'13. Updated Demand'!A:Z,20,FALSE)),0,VLOOKUP($A1175,'13. Updated Demand'!A:Z,20,FALSE))</f>
        <v>0</v>
      </c>
      <c r="AD1175" s="16">
        <f>IF(ISERROR(VLOOKUP($A1175,'13. Updated Demand'!A:Z,21,FALSE)),0,VLOOKUP($A1175,'13. Updated Demand'!A:Z,21,FALSE))</f>
        <v>0</v>
      </c>
      <c r="AE1175" s="16">
        <f>IF(ISERROR(VLOOKUP($A1175,'13. Updated Demand'!A:Z,22,FALSE)),0,VLOOKUP($A1175,'13. Updated Demand'!A:Z,22,FALSE))</f>
        <v>0</v>
      </c>
      <c r="AF1175" s="16">
        <f>IF(ISERROR(VLOOKUP($A1175,'13. Updated Demand'!A:Z,23,FALSE)),0,VLOOKUP($A1175,'13. Updated Demand'!A:Z,23,FALSE))</f>
        <v>0</v>
      </c>
      <c r="AG1175" s="16">
        <f>IF(ISERROR(VLOOKUP($A1175,'13. Updated Demand'!A:Z,24,FALSE)),0,VLOOKUP($A1175,'13. Updated Demand'!A:Z,24,FALSE))</f>
        <v>0</v>
      </c>
      <c r="AH1175" s="16">
        <f>IF(ISERROR(VLOOKUP($A1175,'13. Updated Demand'!A:Z,25,FALSE)),0,VLOOKUP($A1175,'13. Updated Demand'!A:Z,25,FALSE))</f>
        <v>0</v>
      </c>
      <c r="AI1175" s="16">
        <f>IF(ISERROR(VLOOKUP($A1175,'13. Updated Demand'!A:Z,26,FALSE)),0,VLOOKUP($A1175,'13. Updated Demand'!A:Z,26,FALSE))</f>
        <v>0</v>
      </c>
      <c r="AJ1175" s="16">
        <f t="shared" si="228"/>
        <v>0</v>
      </c>
      <c r="AK1175" s="19">
        <v>0</v>
      </c>
      <c r="AL1175" s="16">
        <f t="shared" si="226"/>
        <v>0</v>
      </c>
      <c r="AM1175" s="17">
        <v>0</v>
      </c>
      <c r="AN1175" s="19"/>
      <c r="AO1175" s="19"/>
      <c r="AP1175" s="19">
        <v>20</v>
      </c>
      <c r="AQ1175" s="19" t="s">
        <v>307</v>
      </c>
      <c r="AR1175" s="9" t="s">
        <v>391</v>
      </c>
      <c r="AS1175" s="12">
        <v>0</v>
      </c>
      <c r="AT1175" s="19">
        <v>38.584268520000002</v>
      </c>
      <c r="AU1175" s="19">
        <v>-122.79486901999999</v>
      </c>
      <c r="AV1175" s="19" t="s">
        <v>417</v>
      </c>
    </row>
    <row r="1176" spans="1:48" x14ac:dyDescent="0.25">
      <c r="A1176" s="18" t="s">
        <v>1561</v>
      </c>
      <c r="B1176" s="10">
        <v>19531112</v>
      </c>
      <c r="C1176" s="9">
        <v>1</v>
      </c>
      <c r="D1176" s="8" t="str">
        <f t="shared" si="217"/>
        <v>N</v>
      </c>
      <c r="E1176" s="8" t="str">
        <f t="shared" si="218"/>
        <v>N</v>
      </c>
      <c r="F1176" s="8" t="str">
        <f t="shared" si="219"/>
        <v>Y</v>
      </c>
      <c r="G1176" s="8" t="str">
        <f t="shared" si="220"/>
        <v>Y</v>
      </c>
      <c r="H1176" s="8" t="str">
        <f t="shared" si="221"/>
        <v>Upper</v>
      </c>
      <c r="I1176" s="8" t="str">
        <f t="shared" si="222"/>
        <v>West Fork and Below Lake</v>
      </c>
      <c r="J1176" s="8" t="str">
        <f t="shared" si="223"/>
        <v>Outside</v>
      </c>
      <c r="K1176" s="8" t="str">
        <f t="shared" si="224"/>
        <v>Post-1949</v>
      </c>
      <c r="L1176" s="8">
        <f t="shared" si="225"/>
        <v>1953</v>
      </c>
      <c r="M1176" s="8" t="str">
        <f t="shared" si="227"/>
        <v>1953-1954</v>
      </c>
      <c r="N1176" s="10" t="s">
        <v>242</v>
      </c>
      <c r="O1176" s="10" t="s">
        <v>241</v>
      </c>
      <c r="P1176" s="10" t="s">
        <v>242</v>
      </c>
      <c r="Q1176" s="10" t="s">
        <v>242</v>
      </c>
      <c r="R1176" s="10" t="s">
        <v>241</v>
      </c>
      <c r="S1176" s="10" t="s">
        <v>242</v>
      </c>
      <c r="T1176" s="10" t="s">
        <v>241</v>
      </c>
      <c r="U1176" s="10" t="s">
        <v>241</v>
      </c>
      <c r="V1176" s="10" t="s">
        <v>241</v>
      </c>
      <c r="W1176" s="10" t="s">
        <v>242</v>
      </c>
      <c r="X1176" s="15">
        <f>IF(ISERROR(VLOOKUP($A1176,'13. Updated Demand'!A:Z,15,FALSE)),0,VLOOKUP($A1176,'13. Updated Demand'!A:Z,15,FALSE))</f>
        <v>0</v>
      </c>
      <c r="Y1176" s="16">
        <f>IF(ISERROR(VLOOKUP($A1176,'13. Updated Demand'!A:Z,16,FALSE)),0,VLOOKUP($A1176,'13. Updated Demand'!A:Z,16,FALSE))</f>
        <v>0</v>
      </c>
      <c r="Z1176" s="16">
        <f>IF(ISERROR(VLOOKUP($A1176,'13. Updated Demand'!A:Z,17,FALSE)),0,VLOOKUP($A1176,'13. Updated Demand'!A:Z,17,FALSE))</f>
        <v>0</v>
      </c>
      <c r="AA1176" s="16">
        <f>IF(ISERROR(VLOOKUP($A1176,'13. Updated Demand'!A:Z,18,FALSE)),0,VLOOKUP($A1176,'13. Updated Demand'!A:Z,18,FALSE))</f>
        <v>0</v>
      </c>
      <c r="AB1176" s="16">
        <f>IF(ISERROR(VLOOKUP($A1176,'13. Updated Demand'!A:Z,19,FALSE)),0,VLOOKUP($A1176,'13. Updated Demand'!A:Z,19,FALSE))</f>
        <v>0</v>
      </c>
      <c r="AC1176" s="16">
        <f>IF(ISERROR(VLOOKUP($A1176,'13. Updated Demand'!A:Z,20,FALSE)),0,VLOOKUP($A1176,'13. Updated Demand'!A:Z,20,FALSE))</f>
        <v>0</v>
      </c>
      <c r="AD1176" s="16">
        <f>IF(ISERROR(VLOOKUP($A1176,'13. Updated Demand'!A:Z,21,FALSE)),0,VLOOKUP($A1176,'13. Updated Demand'!A:Z,21,FALSE))</f>
        <v>0</v>
      </c>
      <c r="AE1176" s="16">
        <f>IF(ISERROR(VLOOKUP($A1176,'13. Updated Demand'!A:Z,22,FALSE)),0,VLOOKUP($A1176,'13. Updated Demand'!A:Z,22,FALSE))</f>
        <v>0</v>
      </c>
      <c r="AF1176" s="16">
        <f>IF(ISERROR(VLOOKUP($A1176,'13. Updated Demand'!A:Z,23,FALSE)),0,VLOOKUP($A1176,'13. Updated Demand'!A:Z,23,FALSE))</f>
        <v>0</v>
      </c>
      <c r="AG1176" s="16">
        <f>IF(ISERROR(VLOOKUP($A1176,'13. Updated Demand'!A:Z,24,FALSE)),0,VLOOKUP($A1176,'13. Updated Demand'!A:Z,24,FALSE))</f>
        <v>0</v>
      </c>
      <c r="AH1176" s="16">
        <f>IF(ISERROR(VLOOKUP($A1176,'13. Updated Demand'!A:Z,25,FALSE)),0,VLOOKUP($A1176,'13. Updated Demand'!A:Z,25,FALSE))</f>
        <v>0</v>
      </c>
      <c r="AI1176" s="16">
        <f>IF(ISERROR(VLOOKUP($A1176,'13. Updated Demand'!A:Z,26,FALSE)),0,VLOOKUP($A1176,'13. Updated Demand'!A:Z,26,FALSE))</f>
        <v>0</v>
      </c>
      <c r="AJ1176" s="16">
        <f t="shared" si="228"/>
        <v>0</v>
      </c>
      <c r="AK1176" s="19">
        <v>0</v>
      </c>
      <c r="AL1176" s="16">
        <f t="shared" si="226"/>
        <v>0</v>
      </c>
      <c r="AM1176" s="17">
        <v>0</v>
      </c>
      <c r="AN1176" s="19"/>
      <c r="AO1176" s="19"/>
      <c r="AP1176" s="19">
        <v>16.7</v>
      </c>
      <c r="AQ1176" s="19" t="s">
        <v>307</v>
      </c>
      <c r="AR1176" s="9" t="s">
        <v>317</v>
      </c>
      <c r="AS1176" s="12">
        <v>0</v>
      </c>
      <c r="AT1176" s="19">
        <v>39.254550469999998</v>
      </c>
      <c r="AU1176" s="19">
        <v>-123.21032141000001</v>
      </c>
      <c r="AV1176" s="19" t="s">
        <v>713</v>
      </c>
    </row>
    <row r="1177" spans="1:48" x14ac:dyDescent="0.25">
      <c r="A1177" s="18" t="s">
        <v>1562</v>
      </c>
      <c r="B1177" s="10">
        <v>19531130</v>
      </c>
      <c r="C1177" s="9">
        <v>16</v>
      </c>
      <c r="D1177" s="8" t="str">
        <f t="shared" si="217"/>
        <v>N</v>
      </c>
      <c r="E1177" s="8" t="str">
        <f t="shared" si="218"/>
        <v>N</v>
      </c>
      <c r="F1177" s="8" t="str">
        <f t="shared" si="219"/>
        <v>N</v>
      </c>
      <c r="G1177" s="8" t="str">
        <f t="shared" si="220"/>
        <v>N</v>
      </c>
      <c r="H1177" s="8" t="str">
        <f t="shared" si="221"/>
        <v>Lower</v>
      </c>
      <c r="I1177" s="8" t="str">
        <f t="shared" si="222"/>
        <v>Outside</v>
      </c>
      <c r="J1177" s="8" t="str">
        <f t="shared" si="223"/>
        <v>Outside</v>
      </c>
      <c r="K1177" s="8" t="str">
        <f t="shared" si="224"/>
        <v>Post-1949</v>
      </c>
      <c r="L1177" s="8">
        <f t="shared" si="225"/>
        <v>1953</v>
      </c>
      <c r="M1177" s="8" t="str">
        <f t="shared" si="227"/>
        <v>1953-1954</v>
      </c>
      <c r="N1177" s="10" t="s">
        <v>242</v>
      </c>
      <c r="O1177" s="10" t="s">
        <v>242</v>
      </c>
      <c r="P1177" s="10" t="s">
        <v>242</v>
      </c>
      <c r="Q1177" s="10" t="s">
        <v>242</v>
      </c>
      <c r="R1177" s="10" t="s">
        <v>241</v>
      </c>
      <c r="S1177" s="10" t="s">
        <v>242</v>
      </c>
      <c r="T1177" s="10" t="s">
        <v>242</v>
      </c>
      <c r="U1177" s="10" t="s">
        <v>242</v>
      </c>
      <c r="V1177" s="10" t="s">
        <v>241</v>
      </c>
      <c r="W1177" s="10" t="s">
        <v>242</v>
      </c>
      <c r="X1177" s="15">
        <f>IF(ISERROR(VLOOKUP($A1177,'13. Updated Demand'!A:Z,15,FALSE)),0,VLOOKUP($A1177,'13. Updated Demand'!A:Z,15,FALSE))</f>
        <v>1</v>
      </c>
      <c r="Y1177" s="16">
        <f>IF(ISERROR(VLOOKUP($A1177,'13. Updated Demand'!A:Z,16,FALSE)),0,VLOOKUP($A1177,'13. Updated Demand'!A:Z,16,FALSE))</f>
        <v>0.66666666699999999</v>
      </c>
      <c r="Z1177" s="16">
        <f>IF(ISERROR(VLOOKUP($A1177,'13. Updated Demand'!A:Z,17,FALSE)),0,VLOOKUP($A1177,'13. Updated Demand'!A:Z,17,FALSE))</f>
        <v>0</v>
      </c>
      <c r="AA1177" s="16">
        <f>IF(ISERROR(VLOOKUP($A1177,'13. Updated Demand'!A:Z,18,FALSE)),0,VLOOKUP($A1177,'13. Updated Demand'!A:Z,18,FALSE))</f>
        <v>0</v>
      </c>
      <c r="AB1177" s="16">
        <f>IF(ISERROR(VLOOKUP($A1177,'13. Updated Demand'!A:Z,19,FALSE)),0,VLOOKUP($A1177,'13. Updated Demand'!A:Z,19,FALSE))</f>
        <v>0</v>
      </c>
      <c r="AC1177" s="16">
        <f>IF(ISERROR(VLOOKUP($A1177,'13. Updated Demand'!A:Z,20,FALSE)),0,VLOOKUP($A1177,'13. Updated Demand'!A:Z,20,FALSE))</f>
        <v>0</v>
      </c>
      <c r="AD1177" s="16">
        <f>IF(ISERROR(VLOOKUP($A1177,'13. Updated Demand'!A:Z,21,FALSE)),0,VLOOKUP($A1177,'13. Updated Demand'!A:Z,21,FALSE))</f>
        <v>0</v>
      </c>
      <c r="AE1177" s="16">
        <f>IF(ISERROR(VLOOKUP($A1177,'13. Updated Demand'!A:Z,22,FALSE)),0,VLOOKUP($A1177,'13. Updated Demand'!A:Z,22,FALSE))</f>
        <v>0</v>
      </c>
      <c r="AF1177" s="16">
        <f>IF(ISERROR(VLOOKUP($A1177,'13. Updated Demand'!A:Z,23,FALSE)),0,VLOOKUP($A1177,'13. Updated Demand'!A:Z,23,FALSE))</f>
        <v>0</v>
      </c>
      <c r="AG1177" s="16">
        <f>IF(ISERROR(VLOOKUP($A1177,'13. Updated Demand'!A:Z,24,FALSE)),0,VLOOKUP($A1177,'13. Updated Demand'!A:Z,24,FALSE))</f>
        <v>0</v>
      </c>
      <c r="AH1177" s="16">
        <f>IF(ISERROR(VLOOKUP($A1177,'13. Updated Demand'!A:Z,25,FALSE)),0,VLOOKUP($A1177,'13. Updated Demand'!A:Z,25,FALSE))</f>
        <v>1.6666666670000001</v>
      </c>
      <c r="AI1177" s="16">
        <f>IF(ISERROR(VLOOKUP($A1177,'13. Updated Demand'!A:Z,26,FALSE)),0,VLOOKUP($A1177,'13. Updated Demand'!A:Z,26,FALSE))</f>
        <v>3.6666666669999999</v>
      </c>
      <c r="AJ1177" s="16">
        <f t="shared" si="228"/>
        <v>7.0000000010000001</v>
      </c>
      <c r="AK1177" s="19">
        <v>0</v>
      </c>
      <c r="AL1177" s="16">
        <f t="shared" si="226"/>
        <v>0</v>
      </c>
      <c r="AM1177" s="17">
        <v>0.23333333336666667</v>
      </c>
      <c r="AN1177" s="19"/>
      <c r="AO1177" s="19"/>
      <c r="AP1177" s="19">
        <v>30</v>
      </c>
      <c r="AQ1177" s="19" t="s">
        <v>307</v>
      </c>
      <c r="AR1177" s="9" t="s">
        <v>394</v>
      </c>
      <c r="AS1177" s="12">
        <v>0</v>
      </c>
      <c r="AT1177" s="19">
        <v>38.651600000000002</v>
      </c>
      <c r="AU1177" s="19">
        <v>-122.9012</v>
      </c>
      <c r="AV1177" s="19" t="s">
        <v>417</v>
      </c>
    </row>
    <row r="1178" spans="1:48" x14ac:dyDescent="0.25">
      <c r="A1178" s="18" t="s">
        <v>1563</v>
      </c>
      <c r="B1178" s="10">
        <v>19531228</v>
      </c>
      <c r="C1178" s="9">
        <v>1</v>
      </c>
      <c r="D1178" s="8" t="str">
        <f t="shared" si="217"/>
        <v>N</v>
      </c>
      <c r="E1178" s="8" t="str">
        <f t="shared" si="218"/>
        <v>N</v>
      </c>
      <c r="F1178" s="8" t="str">
        <f t="shared" si="219"/>
        <v>Y</v>
      </c>
      <c r="G1178" s="8" t="str">
        <f t="shared" si="220"/>
        <v>Y</v>
      </c>
      <c r="H1178" s="8" t="str">
        <f t="shared" si="221"/>
        <v>Upper</v>
      </c>
      <c r="I1178" s="8" t="str">
        <f t="shared" si="222"/>
        <v>West Fork and Below Lake</v>
      </c>
      <c r="J1178" s="8" t="str">
        <f t="shared" si="223"/>
        <v>Outside</v>
      </c>
      <c r="K1178" s="8" t="str">
        <f t="shared" si="224"/>
        <v>Post-1949</v>
      </c>
      <c r="L1178" s="8">
        <f t="shared" si="225"/>
        <v>1953</v>
      </c>
      <c r="M1178" s="8" t="str">
        <f t="shared" si="227"/>
        <v>1953-1954</v>
      </c>
      <c r="N1178" s="10" t="s">
        <v>242</v>
      </c>
      <c r="O1178" s="10" t="s">
        <v>241</v>
      </c>
      <c r="P1178" s="10" t="s">
        <v>242</v>
      </c>
      <c r="Q1178" s="10" t="s">
        <v>242</v>
      </c>
      <c r="R1178" s="10" t="s">
        <v>241</v>
      </c>
      <c r="S1178" s="10" t="s">
        <v>242</v>
      </c>
      <c r="T1178" s="10" t="s">
        <v>242</v>
      </c>
      <c r="U1178" s="10" t="s">
        <v>241</v>
      </c>
      <c r="V1178" s="10" t="s">
        <v>241</v>
      </c>
      <c r="W1178" s="10" t="s">
        <v>242</v>
      </c>
      <c r="X1178" s="15">
        <f>IF(ISERROR(VLOOKUP($A1178,'13. Updated Demand'!A:Z,15,FALSE)),0,VLOOKUP($A1178,'13. Updated Demand'!A:Z,15,FALSE))</f>
        <v>0</v>
      </c>
      <c r="Y1178" s="16">
        <f>IF(ISERROR(VLOOKUP($A1178,'13. Updated Demand'!A:Z,16,FALSE)),0,VLOOKUP($A1178,'13. Updated Demand'!A:Z,16,FALSE))</f>
        <v>0</v>
      </c>
      <c r="Z1178" s="16">
        <f>IF(ISERROR(VLOOKUP($A1178,'13. Updated Demand'!A:Z,17,FALSE)),0,VLOOKUP($A1178,'13. Updated Demand'!A:Z,17,FALSE))</f>
        <v>0</v>
      </c>
      <c r="AA1178" s="16">
        <f>IF(ISERROR(VLOOKUP($A1178,'13. Updated Demand'!A:Z,18,FALSE)),0,VLOOKUP($A1178,'13. Updated Demand'!A:Z,18,FALSE))</f>
        <v>0</v>
      </c>
      <c r="AB1178" s="16">
        <f>IF(ISERROR(VLOOKUP($A1178,'13. Updated Demand'!A:Z,19,FALSE)),0,VLOOKUP($A1178,'13. Updated Demand'!A:Z,19,FALSE))</f>
        <v>0</v>
      </c>
      <c r="AC1178" s="16">
        <f>IF(ISERROR(VLOOKUP($A1178,'13. Updated Demand'!A:Z,20,FALSE)),0,VLOOKUP($A1178,'13. Updated Demand'!A:Z,20,FALSE))</f>
        <v>0</v>
      </c>
      <c r="AD1178" s="16">
        <f>IF(ISERROR(VLOOKUP($A1178,'13. Updated Demand'!A:Z,21,FALSE)),0,VLOOKUP($A1178,'13. Updated Demand'!A:Z,21,FALSE))</f>
        <v>0</v>
      </c>
      <c r="AE1178" s="16">
        <f>IF(ISERROR(VLOOKUP($A1178,'13. Updated Demand'!A:Z,22,FALSE)),0,VLOOKUP($A1178,'13. Updated Demand'!A:Z,22,FALSE))</f>
        <v>0</v>
      </c>
      <c r="AF1178" s="16">
        <f>IF(ISERROR(VLOOKUP($A1178,'13. Updated Demand'!A:Z,23,FALSE)),0,VLOOKUP($A1178,'13. Updated Demand'!A:Z,23,FALSE))</f>
        <v>0</v>
      </c>
      <c r="AG1178" s="16">
        <f>IF(ISERROR(VLOOKUP($A1178,'13. Updated Demand'!A:Z,24,FALSE)),0,VLOOKUP($A1178,'13. Updated Demand'!A:Z,24,FALSE))</f>
        <v>0</v>
      </c>
      <c r="AH1178" s="16">
        <f>IF(ISERROR(VLOOKUP($A1178,'13. Updated Demand'!A:Z,25,FALSE)),0,VLOOKUP($A1178,'13. Updated Demand'!A:Z,25,FALSE))</f>
        <v>0</v>
      </c>
      <c r="AI1178" s="16">
        <f>IF(ISERROR(VLOOKUP($A1178,'13. Updated Demand'!A:Z,26,FALSE)),0,VLOOKUP($A1178,'13. Updated Demand'!A:Z,26,FALSE))</f>
        <v>0</v>
      </c>
      <c r="AJ1178" s="16">
        <f t="shared" si="228"/>
        <v>0</v>
      </c>
      <c r="AK1178" s="19">
        <v>0</v>
      </c>
      <c r="AL1178" s="16">
        <f t="shared" si="226"/>
        <v>0</v>
      </c>
      <c r="AM1178" s="17">
        <v>0</v>
      </c>
      <c r="AN1178" s="19"/>
      <c r="AO1178" s="19"/>
      <c r="AP1178" s="19">
        <v>159.30000000000001</v>
      </c>
      <c r="AQ1178" s="19" t="s">
        <v>307</v>
      </c>
      <c r="AR1178" s="9" t="s">
        <v>317</v>
      </c>
      <c r="AS1178" s="12">
        <v>0</v>
      </c>
      <c r="AT1178" s="19">
        <v>39.240112500000002</v>
      </c>
      <c r="AU1178" s="19">
        <v>-123.19912775</v>
      </c>
      <c r="AV1178" s="19" t="s">
        <v>456</v>
      </c>
    </row>
    <row r="1179" spans="1:48" x14ac:dyDescent="0.25">
      <c r="A1179" s="18" t="s">
        <v>1564</v>
      </c>
      <c r="B1179" s="10">
        <v>19531229</v>
      </c>
      <c r="C1179" s="9">
        <v>9</v>
      </c>
      <c r="D1179" s="8" t="str">
        <f t="shared" si="217"/>
        <v>N</v>
      </c>
      <c r="E1179" s="8" t="str">
        <f t="shared" si="218"/>
        <v>Y</v>
      </c>
      <c r="F1179" s="8" t="str">
        <f t="shared" si="219"/>
        <v>Y</v>
      </c>
      <c r="G1179" s="8" t="str">
        <f t="shared" si="220"/>
        <v>Y</v>
      </c>
      <c r="H1179" s="8" t="str">
        <f t="shared" si="221"/>
        <v>Upper</v>
      </c>
      <c r="I1179" s="8" t="str">
        <f t="shared" si="222"/>
        <v>West Fork and Below Lake</v>
      </c>
      <c r="J1179" s="8" t="str">
        <f t="shared" si="223"/>
        <v>Sonoma (d/s of Clov. Gage)</v>
      </c>
      <c r="K1179" s="8" t="str">
        <f t="shared" si="224"/>
        <v>Post-1949</v>
      </c>
      <c r="L1179" s="8">
        <f t="shared" si="225"/>
        <v>1953</v>
      </c>
      <c r="M1179" s="8" t="str">
        <f t="shared" si="227"/>
        <v>1953-1954</v>
      </c>
      <c r="N1179" s="10" t="s">
        <v>241</v>
      </c>
      <c r="O1179" s="10" t="s">
        <v>241</v>
      </c>
      <c r="P1179" s="10" t="s">
        <v>242</v>
      </c>
      <c r="Q1179" s="10" t="s">
        <v>242</v>
      </c>
      <c r="R1179" s="10" t="s">
        <v>241</v>
      </c>
      <c r="S1179" s="10" t="s">
        <v>242</v>
      </c>
      <c r="T1179" s="10" t="s">
        <v>242</v>
      </c>
      <c r="U1179" s="10" t="s">
        <v>241</v>
      </c>
      <c r="V1179" s="10" t="s">
        <v>241</v>
      </c>
      <c r="W1179" s="10" t="s">
        <v>242</v>
      </c>
      <c r="X1179" s="15">
        <f>IF(ISERROR(VLOOKUP($A1179,'13. Updated Demand'!A:Z,15,FALSE)),0,VLOOKUP($A1179,'13. Updated Demand'!A:Z,15,FALSE))</f>
        <v>0</v>
      </c>
      <c r="Y1179" s="16">
        <f>IF(ISERROR(VLOOKUP($A1179,'13. Updated Demand'!A:Z,16,FALSE)),0,VLOOKUP($A1179,'13. Updated Demand'!A:Z,16,FALSE))</f>
        <v>0</v>
      </c>
      <c r="Z1179" s="16">
        <f>IF(ISERROR(VLOOKUP($A1179,'13. Updated Demand'!A:Z,17,FALSE)),0,VLOOKUP($A1179,'13. Updated Demand'!A:Z,17,FALSE))</f>
        <v>0</v>
      </c>
      <c r="AA1179" s="16">
        <f>IF(ISERROR(VLOOKUP($A1179,'13. Updated Demand'!A:Z,18,FALSE)),0,VLOOKUP($A1179,'13. Updated Demand'!A:Z,18,FALSE))</f>
        <v>0</v>
      </c>
      <c r="AB1179" s="16">
        <f>IF(ISERROR(VLOOKUP($A1179,'13. Updated Demand'!A:Z,19,FALSE)),0,VLOOKUP($A1179,'13. Updated Demand'!A:Z,19,FALSE))</f>
        <v>0</v>
      </c>
      <c r="AC1179" s="16">
        <f>IF(ISERROR(VLOOKUP($A1179,'13. Updated Demand'!A:Z,20,FALSE)),0,VLOOKUP($A1179,'13. Updated Demand'!A:Z,20,FALSE))</f>
        <v>0</v>
      </c>
      <c r="AD1179" s="16">
        <f>IF(ISERROR(VLOOKUP($A1179,'13. Updated Demand'!A:Z,21,FALSE)),0,VLOOKUP($A1179,'13. Updated Demand'!A:Z,21,FALSE))</f>
        <v>0</v>
      </c>
      <c r="AE1179" s="16">
        <f>IF(ISERROR(VLOOKUP($A1179,'13. Updated Demand'!A:Z,22,FALSE)),0,VLOOKUP($A1179,'13. Updated Demand'!A:Z,22,FALSE))</f>
        <v>0</v>
      </c>
      <c r="AF1179" s="16">
        <f>IF(ISERROR(VLOOKUP($A1179,'13. Updated Demand'!A:Z,23,FALSE)),0,VLOOKUP($A1179,'13. Updated Demand'!A:Z,23,FALSE))</f>
        <v>0</v>
      </c>
      <c r="AG1179" s="16">
        <f>IF(ISERROR(VLOOKUP($A1179,'13. Updated Demand'!A:Z,24,FALSE)),0,VLOOKUP($A1179,'13. Updated Demand'!A:Z,24,FALSE))</f>
        <v>0</v>
      </c>
      <c r="AH1179" s="16">
        <f>IF(ISERROR(VLOOKUP($A1179,'13. Updated Demand'!A:Z,25,FALSE)),0,VLOOKUP($A1179,'13. Updated Demand'!A:Z,25,FALSE))</f>
        <v>0</v>
      </c>
      <c r="AI1179" s="16">
        <f>IF(ISERROR(VLOOKUP($A1179,'13. Updated Demand'!A:Z,26,FALSE)),0,VLOOKUP($A1179,'13. Updated Demand'!A:Z,26,FALSE))</f>
        <v>0</v>
      </c>
      <c r="AJ1179" s="16">
        <f t="shared" si="228"/>
        <v>0</v>
      </c>
      <c r="AK1179" s="19">
        <v>0</v>
      </c>
      <c r="AL1179" s="16">
        <f t="shared" si="226"/>
        <v>0</v>
      </c>
      <c r="AM1179" s="17">
        <v>0</v>
      </c>
      <c r="AN1179" s="19"/>
      <c r="AO1179" s="19"/>
      <c r="AP1179" s="19">
        <v>19.5</v>
      </c>
      <c r="AQ1179" s="19" t="s">
        <v>307</v>
      </c>
      <c r="AR1179" s="9" t="s">
        <v>354</v>
      </c>
      <c r="AS1179" s="12">
        <v>0</v>
      </c>
      <c r="AT1179" s="19">
        <v>38.753846529999997</v>
      </c>
      <c r="AU1179" s="19">
        <v>-122.95737831</v>
      </c>
      <c r="AV1179" s="19" t="s">
        <v>387</v>
      </c>
    </row>
    <row r="1180" spans="1:48" x14ac:dyDescent="0.25">
      <c r="A1180" s="18" t="s">
        <v>1565</v>
      </c>
      <c r="B1180" s="10">
        <v>19520527</v>
      </c>
      <c r="C1180" s="9">
        <v>13</v>
      </c>
      <c r="D1180" s="8" t="str">
        <f t="shared" si="217"/>
        <v>N</v>
      </c>
      <c r="E1180" s="8" t="str">
        <f t="shared" si="218"/>
        <v>Y</v>
      </c>
      <c r="F1180" s="8" t="str">
        <f t="shared" si="219"/>
        <v>Y</v>
      </c>
      <c r="G1180" s="8" t="str">
        <f t="shared" si="220"/>
        <v>Y</v>
      </c>
      <c r="H1180" s="8" t="str">
        <f t="shared" si="221"/>
        <v>Upper</v>
      </c>
      <c r="I1180" s="8" t="str">
        <f t="shared" si="222"/>
        <v>West Fork and Below Lake</v>
      </c>
      <c r="J1180" s="8" t="str">
        <f t="shared" si="223"/>
        <v>Sonoma (d/s of Clov. Gage)</v>
      </c>
      <c r="K1180" s="8" t="str">
        <f t="shared" si="224"/>
        <v>Post-1949</v>
      </c>
      <c r="L1180" s="8">
        <f t="shared" si="225"/>
        <v>1952</v>
      </c>
      <c r="M1180" s="8" t="str">
        <f t="shared" si="227"/>
        <v>1950-1952</v>
      </c>
      <c r="N1180" s="10" t="s">
        <v>242</v>
      </c>
      <c r="O1180" s="10" t="s">
        <v>241</v>
      </c>
      <c r="P1180" s="10" t="s">
        <v>242</v>
      </c>
      <c r="Q1180" s="10" t="s">
        <v>242</v>
      </c>
      <c r="R1180" s="10" t="s">
        <v>241</v>
      </c>
      <c r="S1180" s="10" t="s">
        <v>242</v>
      </c>
      <c r="T1180" s="10" t="s">
        <v>242</v>
      </c>
      <c r="U1180" s="10" t="s">
        <v>242</v>
      </c>
      <c r="V1180" s="10" t="s">
        <v>242</v>
      </c>
      <c r="W1180" s="10" t="s">
        <v>242</v>
      </c>
      <c r="X1180" s="15">
        <f>IF(ISERROR(VLOOKUP($A1180,'13. Updated Demand'!A:Z,15,FALSE)),0,VLOOKUP($A1180,'13. Updated Demand'!A:Z,15,FALSE))</f>
        <v>0</v>
      </c>
      <c r="Y1180" s="16">
        <f>IF(ISERROR(VLOOKUP($A1180,'13. Updated Demand'!A:Z,16,FALSE)),0,VLOOKUP($A1180,'13. Updated Demand'!A:Z,16,FALSE))</f>
        <v>0</v>
      </c>
      <c r="Z1180" s="16">
        <f>IF(ISERROR(VLOOKUP($A1180,'13. Updated Demand'!A:Z,17,FALSE)),0,VLOOKUP($A1180,'13. Updated Demand'!A:Z,17,FALSE))</f>
        <v>0</v>
      </c>
      <c r="AA1180" s="16">
        <f>IF(ISERROR(VLOOKUP($A1180,'13. Updated Demand'!A:Z,18,FALSE)),0,VLOOKUP($A1180,'13. Updated Demand'!A:Z,18,FALSE))</f>
        <v>0</v>
      </c>
      <c r="AB1180" s="16">
        <f>IF(ISERROR(VLOOKUP($A1180,'13. Updated Demand'!A:Z,19,FALSE)),0,VLOOKUP($A1180,'13. Updated Demand'!A:Z,19,FALSE))</f>
        <v>0</v>
      </c>
      <c r="AC1180" s="16">
        <f>IF(ISERROR(VLOOKUP($A1180,'13. Updated Demand'!A:Z,20,FALSE)),0,VLOOKUP($A1180,'13. Updated Demand'!A:Z,20,FALSE))</f>
        <v>125</v>
      </c>
      <c r="AD1180" s="16">
        <f>IF(ISERROR(VLOOKUP($A1180,'13. Updated Demand'!A:Z,21,FALSE)),0,VLOOKUP($A1180,'13. Updated Demand'!A:Z,21,FALSE))</f>
        <v>0</v>
      </c>
      <c r="AE1180" s="16">
        <f>IF(ISERROR(VLOOKUP($A1180,'13. Updated Demand'!A:Z,22,FALSE)),0,VLOOKUP($A1180,'13. Updated Demand'!A:Z,22,FALSE))</f>
        <v>0</v>
      </c>
      <c r="AF1180" s="16">
        <f>IF(ISERROR(VLOOKUP($A1180,'13. Updated Demand'!A:Z,23,FALSE)),0,VLOOKUP($A1180,'13. Updated Demand'!A:Z,23,FALSE))</f>
        <v>0</v>
      </c>
      <c r="AG1180" s="16">
        <f>IF(ISERROR(VLOOKUP($A1180,'13. Updated Demand'!A:Z,24,FALSE)),0,VLOOKUP($A1180,'13. Updated Demand'!A:Z,24,FALSE))</f>
        <v>0</v>
      </c>
      <c r="AH1180" s="16">
        <f>IF(ISERROR(VLOOKUP($A1180,'13. Updated Demand'!A:Z,25,FALSE)),0,VLOOKUP($A1180,'13. Updated Demand'!A:Z,25,FALSE))</f>
        <v>0</v>
      </c>
      <c r="AI1180" s="16">
        <f>IF(ISERROR(VLOOKUP($A1180,'13. Updated Demand'!A:Z,26,FALSE)),0,VLOOKUP($A1180,'13. Updated Demand'!A:Z,26,FALSE))</f>
        <v>0</v>
      </c>
      <c r="AJ1180" s="16">
        <f t="shared" si="228"/>
        <v>125</v>
      </c>
      <c r="AK1180" s="19">
        <v>125</v>
      </c>
      <c r="AL1180" s="16">
        <f t="shared" si="226"/>
        <v>0.41461076116193862</v>
      </c>
      <c r="AM1180" s="17">
        <v>0.7498500299940013</v>
      </c>
      <c r="AN1180" s="19"/>
      <c r="AO1180" s="19"/>
      <c r="AP1180" s="19">
        <v>166.7</v>
      </c>
      <c r="AQ1180" s="19" t="s">
        <v>307</v>
      </c>
      <c r="AR1180" s="9" t="s">
        <v>507</v>
      </c>
      <c r="AS1180" s="12">
        <v>0</v>
      </c>
      <c r="AT1180" s="19">
        <v>38.6011059</v>
      </c>
      <c r="AU1180" s="19">
        <v>-122.85979526</v>
      </c>
      <c r="AV1180" s="19" t="s">
        <v>387</v>
      </c>
    </row>
    <row r="1181" spans="1:48" x14ac:dyDescent="0.25">
      <c r="A1181" s="18" t="s">
        <v>1566</v>
      </c>
      <c r="B1181" s="10">
        <v>19520612</v>
      </c>
      <c r="C1181" s="9">
        <v>10</v>
      </c>
      <c r="D1181" s="8" t="str">
        <f t="shared" si="217"/>
        <v>N</v>
      </c>
      <c r="E1181" s="8" t="str">
        <f t="shared" si="218"/>
        <v>Y</v>
      </c>
      <c r="F1181" s="8" t="str">
        <f t="shared" si="219"/>
        <v>Y</v>
      </c>
      <c r="G1181" s="8" t="str">
        <f t="shared" si="220"/>
        <v>Y</v>
      </c>
      <c r="H1181" s="8" t="str">
        <f t="shared" si="221"/>
        <v>Upper</v>
      </c>
      <c r="I1181" s="8" t="str">
        <f t="shared" si="222"/>
        <v>West Fork and Below Lake</v>
      </c>
      <c r="J1181" s="8" t="str">
        <f t="shared" si="223"/>
        <v>Sonoma (d/s of Clov. Gage)</v>
      </c>
      <c r="K1181" s="8" t="str">
        <f t="shared" si="224"/>
        <v>Post-1949</v>
      </c>
      <c r="L1181" s="8">
        <f t="shared" si="225"/>
        <v>1952</v>
      </c>
      <c r="M1181" s="8" t="str">
        <f t="shared" si="227"/>
        <v>1950-1952</v>
      </c>
      <c r="N1181" s="10" t="s">
        <v>241</v>
      </c>
      <c r="O1181" s="10" t="s">
        <v>241</v>
      </c>
      <c r="P1181" s="10" t="s">
        <v>242</v>
      </c>
      <c r="Q1181" s="10" t="s">
        <v>242</v>
      </c>
      <c r="R1181" s="10" t="s">
        <v>241</v>
      </c>
      <c r="S1181" s="10" t="s">
        <v>242</v>
      </c>
      <c r="T1181" s="10" t="s">
        <v>242</v>
      </c>
      <c r="U1181" s="10" t="s">
        <v>242</v>
      </c>
      <c r="V1181" s="10" t="s">
        <v>242</v>
      </c>
      <c r="W1181" s="10" t="s">
        <v>242</v>
      </c>
      <c r="X1181" s="15">
        <f>IF(ISERROR(VLOOKUP($A1181,'13. Updated Demand'!A:Z,15,FALSE)),0,VLOOKUP($A1181,'13. Updated Demand'!A:Z,15,FALSE))</f>
        <v>0</v>
      </c>
      <c r="Y1181" s="16">
        <f>IF(ISERROR(VLOOKUP($A1181,'13. Updated Demand'!A:Z,16,FALSE)),0,VLOOKUP($A1181,'13. Updated Demand'!A:Z,16,FALSE))</f>
        <v>2.35</v>
      </c>
      <c r="Z1181" s="16">
        <f>IF(ISERROR(VLOOKUP($A1181,'13. Updated Demand'!A:Z,17,FALSE)),0,VLOOKUP($A1181,'13. Updated Demand'!A:Z,17,FALSE))</f>
        <v>1.35</v>
      </c>
      <c r="AA1181" s="16">
        <f>IF(ISERROR(VLOOKUP($A1181,'13. Updated Demand'!A:Z,18,FALSE)),0,VLOOKUP($A1181,'13. Updated Demand'!A:Z,18,FALSE))</f>
        <v>0.6</v>
      </c>
      <c r="AB1181" s="16">
        <f>IF(ISERROR(VLOOKUP($A1181,'13. Updated Demand'!A:Z,19,FALSE)),0,VLOOKUP($A1181,'13. Updated Demand'!A:Z,19,FALSE))</f>
        <v>1.1000000000000001</v>
      </c>
      <c r="AC1181" s="16">
        <f>IF(ISERROR(VLOOKUP($A1181,'13. Updated Demand'!A:Z,20,FALSE)),0,VLOOKUP($A1181,'13. Updated Demand'!A:Z,20,FALSE))</f>
        <v>4.93</v>
      </c>
      <c r="AD1181" s="16">
        <f>IF(ISERROR(VLOOKUP($A1181,'13. Updated Demand'!A:Z,21,FALSE)),0,VLOOKUP($A1181,'13. Updated Demand'!A:Z,21,FALSE))</f>
        <v>9.7899999999999991</v>
      </c>
      <c r="AE1181" s="16">
        <f>IF(ISERROR(VLOOKUP($A1181,'13. Updated Demand'!A:Z,22,FALSE)),0,VLOOKUP($A1181,'13. Updated Demand'!A:Z,22,FALSE))</f>
        <v>12.02</v>
      </c>
      <c r="AF1181" s="16">
        <f>IF(ISERROR(VLOOKUP($A1181,'13. Updated Demand'!A:Z,23,FALSE)),0,VLOOKUP($A1181,'13. Updated Demand'!A:Z,23,FALSE))</f>
        <v>9.94</v>
      </c>
      <c r="AG1181" s="16">
        <f>IF(ISERROR(VLOOKUP($A1181,'13. Updated Demand'!A:Z,24,FALSE)),0,VLOOKUP($A1181,'13. Updated Demand'!A:Z,24,FALSE))</f>
        <v>6.01</v>
      </c>
      <c r="AH1181" s="16">
        <f>IF(ISERROR(VLOOKUP($A1181,'13. Updated Demand'!A:Z,25,FALSE)),0,VLOOKUP($A1181,'13. Updated Demand'!A:Z,25,FALSE))</f>
        <v>0.37</v>
      </c>
      <c r="AI1181" s="16">
        <f>IF(ISERROR(VLOOKUP($A1181,'13. Updated Demand'!A:Z,26,FALSE)),0,VLOOKUP($A1181,'13. Updated Demand'!A:Z,26,FALSE))</f>
        <v>0</v>
      </c>
      <c r="AJ1181" s="16">
        <f t="shared" si="228"/>
        <v>48.459999999999994</v>
      </c>
      <c r="AK1181" s="19">
        <v>37.8066666666667</v>
      </c>
      <c r="AL1181" s="16">
        <f t="shared" si="226"/>
        <v>0.125400406749299</v>
      </c>
      <c r="AM1181" s="17">
        <v>0.14257299627670006</v>
      </c>
      <c r="AN1181" s="19"/>
      <c r="AO1181" s="19"/>
      <c r="AP1181" s="19">
        <v>340.2</v>
      </c>
      <c r="AQ1181" s="19" t="s">
        <v>307</v>
      </c>
      <c r="AR1181" s="9" t="s">
        <v>436</v>
      </c>
      <c r="AS1181" s="12">
        <v>0</v>
      </c>
      <c r="AT1181" s="19">
        <v>38.701269689999997</v>
      </c>
      <c r="AU1181" s="19">
        <v>-122.86871354</v>
      </c>
      <c r="AV1181" s="19" t="s">
        <v>548</v>
      </c>
    </row>
    <row r="1182" spans="1:48" x14ac:dyDescent="0.25">
      <c r="A1182" s="18" t="s">
        <v>1567</v>
      </c>
      <c r="B1182" s="10">
        <v>19520625</v>
      </c>
      <c r="C1182" s="9">
        <v>10</v>
      </c>
      <c r="D1182" s="8" t="str">
        <f t="shared" si="217"/>
        <v>N</v>
      </c>
      <c r="E1182" s="8" t="str">
        <f t="shared" si="218"/>
        <v>Y</v>
      </c>
      <c r="F1182" s="8" t="str">
        <f t="shared" si="219"/>
        <v>Y</v>
      </c>
      <c r="G1182" s="8" t="str">
        <f t="shared" si="220"/>
        <v>Y</v>
      </c>
      <c r="H1182" s="8" t="str">
        <f t="shared" si="221"/>
        <v>Upper</v>
      </c>
      <c r="I1182" s="8" t="str">
        <f t="shared" si="222"/>
        <v>West Fork and Below Lake</v>
      </c>
      <c r="J1182" s="8" t="str">
        <f t="shared" si="223"/>
        <v>Sonoma (d/s of Clov. Gage)</v>
      </c>
      <c r="K1182" s="8" t="str">
        <f t="shared" si="224"/>
        <v>Post-1949</v>
      </c>
      <c r="L1182" s="8">
        <f t="shared" si="225"/>
        <v>1952</v>
      </c>
      <c r="M1182" s="8" t="str">
        <f t="shared" si="227"/>
        <v>1950-1952</v>
      </c>
      <c r="N1182" s="10" t="s">
        <v>241</v>
      </c>
      <c r="O1182" s="10" t="s">
        <v>241</v>
      </c>
      <c r="P1182" s="10" t="s">
        <v>242</v>
      </c>
      <c r="Q1182" s="10" t="s">
        <v>242</v>
      </c>
      <c r="R1182" s="10" t="s">
        <v>241</v>
      </c>
      <c r="S1182" s="10" t="s">
        <v>242</v>
      </c>
      <c r="T1182" s="10" t="s">
        <v>242</v>
      </c>
      <c r="U1182" s="10" t="s">
        <v>242</v>
      </c>
      <c r="V1182" s="10" t="s">
        <v>242</v>
      </c>
      <c r="W1182" s="10" t="s">
        <v>242</v>
      </c>
      <c r="X1182" s="15">
        <f>IF(ISERROR(VLOOKUP($A1182,'13. Updated Demand'!A:Z,15,FALSE)),0,VLOOKUP($A1182,'13. Updated Demand'!A:Z,15,FALSE))</f>
        <v>0</v>
      </c>
      <c r="Y1182" s="16">
        <f>IF(ISERROR(VLOOKUP($A1182,'13. Updated Demand'!A:Z,16,FALSE)),0,VLOOKUP($A1182,'13. Updated Demand'!A:Z,16,FALSE))</f>
        <v>0</v>
      </c>
      <c r="Z1182" s="16">
        <f>IF(ISERROR(VLOOKUP($A1182,'13. Updated Demand'!A:Z,17,FALSE)),0,VLOOKUP($A1182,'13. Updated Demand'!A:Z,17,FALSE))</f>
        <v>0</v>
      </c>
      <c r="AA1182" s="16">
        <f>IF(ISERROR(VLOOKUP($A1182,'13. Updated Demand'!A:Z,18,FALSE)),0,VLOOKUP($A1182,'13. Updated Demand'!A:Z,18,FALSE))</f>
        <v>1.06</v>
      </c>
      <c r="AB1182" s="16">
        <f>IF(ISERROR(VLOOKUP($A1182,'13. Updated Demand'!A:Z,19,FALSE)),0,VLOOKUP($A1182,'13. Updated Demand'!A:Z,19,FALSE))</f>
        <v>2.2599999999999998</v>
      </c>
      <c r="AC1182" s="16">
        <f>IF(ISERROR(VLOOKUP($A1182,'13. Updated Demand'!A:Z,20,FALSE)),0,VLOOKUP($A1182,'13. Updated Demand'!A:Z,20,FALSE))</f>
        <v>5.7</v>
      </c>
      <c r="AD1182" s="16">
        <f>IF(ISERROR(VLOOKUP($A1182,'13. Updated Demand'!A:Z,21,FALSE)),0,VLOOKUP($A1182,'13. Updated Demand'!A:Z,21,FALSE))</f>
        <v>6.66</v>
      </c>
      <c r="AE1182" s="16">
        <f>IF(ISERROR(VLOOKUP($A1182,'13. Updated Demand'!A:Z,22,FALSE)),0,VLOOKUP($A1182,'13. Updated Demand'!A:Z,22,FALSE))</f>
        <v>10.029999999999999</v>
      </c>
      <c r="AF1182" s="16">
        <f>IF(ISERROR(VLOOKUP($A1182,'13. Updated Demand'!A:Z,23,FALSE)),0,VLOOKUP($A1182,'13. Updated Demand'!A:Z,23,FALSE))</f>
        <v>5.66</v>
      </c>
      <c r="AG1182" s="16">
        <f>IF(ISERROR(VLOOKUP($A1182,'13. Updated Demand'!A:Z,24,FALSE)),0,VLOOKUP($A1182,'13. Updated Demand'!A:Z,24,FALSE))</f>
        <v>0</v>
      </c>
      <c r="AH1182" s="16">
        <f>IF(ISERROR(VLOOKUP($A1182,'13. Updated Demand'!A:Z,25,FALSE)),0,VLOOKUP($A1182,'13. Updated Demand'!A:Z,25,FALSE))</f>
        <v>0</v>
      </c>
      <c r="AI1182" s="16">
        <f>IF(ISERROR(VLOOKUP($A1182,'13. Updated Demand'!A:Z,26,FALSE)),0,VLOOKUP($A1182,'13. Updated Demand'!A:Z,26,FALSE))</f>
        <v>0</v>
      </c>
      <c r="AJ1182" s="16">
        <f t="shared" si="228"/>
        <v>31.37</v>
      </c>
      <c r="AK1182" s="19">
        <v>30.333333333333307</v>
      </c>
      <c r="AL1182" s="16">
        <f t="shared" si="226"/>
        <v>0.10061221137529701</v>
      </c>
      <c r="AM1182" s="17">
        <v>0.10680272108843529</v>
      </c>
      <c r="AN1182" s="19"/>
      <c r="AO1182" s="19"/>
      <c r="AP1182" s="19">
        <v>294</v>
      </c>
      <c r="AQ1182" s="19" t="s">
        <v>307</v>
      </c>
      <c r="AR1182" s="9" t="s">
        <v>436</v>
      </c>
      <c r="AS1182" s="12">
        <v>0</v>
      </c>
      <c r="AT1182" s="19">
        <v>38.672565980000002</v>
      </c>
      <c r="AU1182" s="19">
        <v>-122.85119951</v>
      </c>
      <c r="AV1182" s="19" t="s">
        <v>548</v>
      </c>
    </row>
    <row r="1183" spans="1:48" x14ac:dyDescent="0.25">
      <c r="A1183" s="18" t="s">
        <v>87</v>
      </c>
      <c r="B1183" s="10">
        <v>19520827</v>
      </c>
      <c r="C1183" s="9">
        <v>5</v>
      </c>
      <c r="D1183" s="8" t="str">
        <f t="shared" si="217"/>
        <v>Y</v>
      </c>
      <c r="E1183" s="8" t="str">
        <f t="shared" si="218"/>
        <v>N</v>
      </c>
      <c r="F1183" s="8" t="str">
        <f t="shared" si="219"/>
        <v>Y</v>
      </c>
      <c r="G1183" s="8" t="str">
        <f t="shared" si="220"/>
        <v>Y</v>
      </c>
      <c r="H1183" s="8" t="str">
        <f t="shared" si="221"/>
        <v>Upper</v>
      </c>
      <c r="I1183" s="8" t="str">
        <f t="shared" si="222"/>
        <v>West Fork and Below Lake</v>
      </c>
      <c r="J1183" s="8" t="str">
        <f t="shared" si="223"/>
        <v>Mendocino (d/s of lake)</v>
      </c>
      <c r="K1183" s="8" t="str">
        <f t="shared" si="224"/>
        <v>Post-1949</v>
      </c>
      <c r="L1183" s="8">
        <f t="shared" si="225"/>
        <v>1952</v>
      </c>
      <c r="M1183" s="8" t="str">
        <f t="shared" si="227"/>
        <v>1950-1952</v>
      </c>
      <c r="N1183" s="10" t="s">
        <v>241</v>
      </c>
      <c r="O1183" s="10" t="s">
        <v>241</v>
      </c>
      <c r="P1183" s="10" t="s">
        <v>242</v>
      </c>
      <c r="Q1183" s="10" t="s">
        <v>242</v>
      </c>
      <c r="R1183" s="10" t="s">
        <v>241</v>
      </c>
      <c r="S1183" s="10" t="s">
        <v>242</v>
      </c>
      <c r="T1183" s="10" t="s">
        <v>242</v>
      </c>
      <c r="U1183" s="10" t="s">
        <v>242</v>
      </c>
      <c r="V1183" s="10" t="s">
        <v>242</v>
      </c>
      <c r="W1183" s="10" t="s">
        <v>242</v>
      </c>
      <c r="X1183" s="15">
        <f>IF(ISERROR(VLOOKUP($A1183,'13. Updated Demand'!A:Z,15,FALSE)),0,VLOOKUP($A1183,'13. Updated Demand'!A:Z,15,FALSE))</f>
        <v>0</v>
      </c>
      <c r="Y1183" s="16">
        <f>IF(ISERROR(VLOOKUP($A1183,'13. Updated Demand'!A:Z,16,FALSE)),0,VLOOKUP($A1183,'13. Updated Demand'!A:Z,16,FALSE))</f>
        <v>0</v>
      </c>
      <c r="Z1183" s="16">
        <f>IF(ISERROR(VLOOKUP($A1183,'13. Updated Demand'!A:Z,17,FALSE)),0,VLOOKUP($A1183,'13. Updated Demand'!A:Z,17,FALSE))</f>
        <v>0</v>
      </c>
      <c r="AA1183" s="16">
        <f>IF(ISERROR(VLOOKUP($A1183,'13. Updated Demand'!A:Z,18,FALSE)),0,VLOOKUP($A1183,'13. Updated Demand'!A:Z,18,FALSE))</f>
        <v>0</v>
      </c>
      <c r="AB1183" s="16">
        <f>IF(ISERROR(VLOOKUP($A1183,'13. Updated Demand'!A:Z,19,FALSE)),0,VLOOKUP($A1183,'13. Updated Demand'!A:Z,19,FALSE))</f>
        <v>1.23</v>
      </c>
      <c r="AC1183" s="16">
        <f>IF(ISERROR(VLOOKUP($A1183,'13. Updated Demand'!A:Z,20,FALSE)),0,VLOOKUP($A1183,'13. Updated Demand'!A:Z,20,FALSE))</f>
        <v>5.13</v>
      </c>
      <c r="AD1183" s="16">
        <f>IF(ISERROR(VLOOKUP($A1183,'13. Updated Demand'!A:Z,21,FALSE)),0,VLOOKUP($A1183,'13. Updated Demand'!A:Z,21,FALSE))</f>
        <v>8.8800000000000008</v>
      </c>
      <c r="AE1183" s="16">
        <f>IF(ISERROR(VLOOKUP($A1183,'13. Updated Demand'!A:Z,22,FALSE)),0,VLOOKUP($A1183,'13. Updated Demand'!A:Z,22,FALSE))</f>
        <v>7.16</v>
      </c>
      <c r="AF1183" s="16">
        <f>IF(ISERROR(VLOOKUP($A1183,'13. Updated Demand'!A:Z,23,FALSE)),0,VLOOKUP($A1183,'13. Updated Demand'!A:Z,23,FALSE))</f>
        <v>2.89</v>
      </c>
      <c r="AG1183" s="16">
        <f>IF(ISERROR(VLOOKUP($A1183,'13. Updated Demand'!A:Z,24,FALSE)),0,VLOOKUP($A1183,'13. Updated Demand'!A:Z,24,FALSE))</f>
        <v>1.24</v>
      </c>
      <c r="AH1183" s="16">
        <f>IF(ISERROR(VLOOKUP($A1183,'13. Updated Demand'!A:Z,25,FALSE)),0,VLOOKUP($A1183,'13. Updated Demand'!A:Z,25,FALSE))</f>
        <v>0</v>
      </c>
      <c r="AI1183" s="16">
        <f>IF(ISERROR(VLOOKUP($A1183,'13. Updated Demand'!A:Z,26,FALSE)),0,VLOOKUP($A1183,'13. Updated Demand'!A:Z,26,FALSE))</f>
        <v>0</v>
      </c>
      <c r="AJ1183" s="16">
        <f t="shared" si="228"/>
        <v>26.529999999999998</v>
      </c>
      <c r="AK1183" s="19">
        <v>25.322666666666681</v>
      </c>
      <c r="AL1183" s="16">
        <f t="shared" si="226"/>
        <v>8.3992400810533788E-2</v>
      </c>
      <c r="AM1183" s="17">
        <v>0.3795476190476193</v>
      </c>
      <c r="AN1183" s="19"/>
      <c r="AO1183" s="19"/>
      <c r="AP1183" s="19">
        <v>70</v>
      </c>
      <c r="AQ1183" s="19" t="s">
        <v>307</v>
      </c>
      <c r="AR1183" s="9" t="s">
        <v>333</v>
      </c>
      <c r="AS1183" s="12">
        <v>0</v>
      </c>
      <c r="AT1183" s="19">
        <v>39.035699999999999</v>
      </c>
      <c r="AU1183" s="19">
        <v>-123.12909999999999</v>
      </c>
      <c r="AV1183" s="19" t="s">
        <v>548</v>
      </c>
    </row>
    <row r="1184" spans="1:48" x14ac:dyDescent="0.25">
      <c r="A1184" s="18" t="s">
        <v>79</v>
      </c>
      <c r="B1184" s="10">
        <v>19520320</v>
      </c>
      <c r="C1184" s="9">
        <v>10</v>
      </c>
      <c r="D1184" s="8" t="str">
        <f t="shared" si="217"/>
        <v>N</v>
      </c>
      <c r="E1184" s="8" t="str">
        <f t="shared" si="218"/>
        <v>Y</v>
      </c>
      <c r="F1184" s="8" t="str">
        <f t="shared" si="219"/>
        <v>Y</v>
      </c>
      <c r="G1184" s="8" t="str">
        <f t="shared" si="220"/>
        <v>Y</v>
      </c>
      <c r="H1184" s="8" t="str">
        <f t="shared" si="221"/>
        <v>Upper</v>
      </c>
      <c r="I1184" s="8" t="str">
        <f t="shared" si="222"/>
        <v>West Fork and Below Lake</v>
      </c>
      <c r="J1184" s="8" t="str">
        <f t="shared" si="223"/>
        <v>Sonoma (d/s of Clov. Gage)</v>
      </c>
      <c r="K1184" s="8" t="str">
        <f t="shared" si="224"/>
        <v>Post-1949</v>
      </c>
      <c r="L1184" s="8">
        <f t="shared" si="225"/>
        <v>1952</v>
      </c>
      <c r="M1184" s="8" t="str">
        <f t="shared" si="227"/>
        <v>1950-1952</v>
      </c>
      <c r="N1184" s="10" t="s">
        <v>241</v>
      </c>
      <c r="O1184" s="10" t="s">
        <v>241</v>
      </c>
      <c r="P1184" s="10" t="s">
        <v>242</v>
      </c>
      <c r="Q1184" s="10" t="s">
        <v>242</v>
      </c>
      <c r="R1184" s="10" t="s">
        <v>241</v>
      </c>
      <c r="S1184" s="10" t="s">
        <v>242</v>
      </c>
      <c r="T1184" s="10" t="s">
        <v>242</v>
      </c>
      <c r="U1184" s="10" t="s">
        <v>242</v>
      </c>
      <c r="V1184" s="10" t="s">
        <v>242</v>
      </c>
      <c r="W1184" s="10" t="s">
        <v>242</v>
      </c>
      <c r="X1184" s="15">
        <f>IF(ISERROR(VLOOKUP($A1184,'13. Updated Demand'!A:Z,15,FALSE)),0,VLOOKUP($A1184,'13. Updated Demand'!A:Z,15,FALSE))</f>
        <v>0</v>
      </c>
      <c r="Y1184" s="16">
        <f>IF(ISERROR(VLOOKUP($A1184,'13. Updated Demand'!A:Z,16,FALSE)),0,VLOOKUP($A1184,'13. Updated Demand'!A:Z,16,FALSE))</f>
        <v>0</v>
      </c>
      <c r="Z1184" s="16">
        <f>IF(ISERROR(VLOOKUP($A1184,'13. Updated Demand'!A:Z,17,FALSE)),0,VLOOKUP($A1184,'13. Updated Demand'!A:Z,17,FALSE))</f>
        <v>0</v>
      </c>
      <c r="AA1184" s="16">
        <f>IF(ISERROR(VLOOKUP($A1184,'13. Updated Demand'!A:Z,18,FALSE)),0,VLOOKUP($A1184,'13. Updated Demand'!A:Z,18,FALSE))</f>
        <v>0</v>
      </c>
      <c r="AB1184" s="16">
        <f>IF(ISERROR(VLOOKUP($A1184,'13. Updated Demand'!A:Z,19,FALSE)),0,VLOOKUP($A1184,'13. Updated Demand'!A:Z,19,FALSE))</f>
        <v>0.76</v>
      </c>
      <c r="AC1184" s="16">
        <f>IF(ISERROR(VLOOKUP($A1184,'13. Updated Demand'!A:Z,20,FALSE)),0,VLOOKUP($A1184,'13. Updated Demand'!A:Z,20,FALSE))</f>
        <v>3.33</v>
      </c>
      <c r="AD1184" s="16">
        <f>IF(ISERROR(VLOOKUP($A1184,'13. Updated Demand'!A:Z,21,FALSE)),0,VLOOKUP($A1184,'13. Updated Demand'!A:Z,21,FALSE))</f>
        <v>4.53</v>
      </c>
      <c r="AE1184" s="16">
        <f>IF(ISERROR(VLOOKUP($A1184,'13. Updated Demand'!A:Z,22,FALSE)),0,VLOOKUP($A1184,'13. Updated Demand'!A:Z,22,FALSE))</f>
        <v>5</v>
      </c>
      <c r="AF1184" s="16">
        <f>IF(ISERROR(VLOOKUP($A1184,'13. Updated Demand'!A:Z,23,FALSE)),0,VLOOKUP($A1184,'13. Updated Demand'!A:Z,23,FALSE))</f>
        <v>6.4</v>
      </c>
      <c r="AG1184" s="16">
        <f>IF(ISERROR(VLOOKUP($A1184,'13. Updated Demand'!A:Z,24,FALSE)),0,VLOOKUP($A1184,'13. Updated Demand'!A:Z,24,FALSE))</f>
        <v>0.16</v>
      </c>
      <c r="AH1184" s="16">
        <f>IF(ISERROR(VLOOKUP($A1184,'13. Updated Demand'!A:Z,25,FALSE)),0,VLOOKUP($A1184,'13. Updated Demand'!A:Z,25,FALSE))</f>
        <v>0</v>
      </c>
      <c r="AI1184" s="16">
        <f>IF(ISERROR(VLOOKUP($A1184,'13. Updated Demand'!A:Z,26,FALSE)),0,VLOOKUP($A1184,'13. Updated Demand'!A:Z,26,FALSE))</f>
        <v>0</v>
      </c>
      <c r="AJ1184" s="16">
        <f t="shared" si="228"/>
        <v>20.180000000000003</v>
      </c>
      <c r="AK1184" s="19">
        <v>20.033333333333324</v>
      </c>
      <c r="AL1184" s="16">
        <f t="shared" si="226"/>
        <v>6.644828465555333E-2</v>
      </c>
      <c r="AM1184" s="17">
        <v>0.22902494331065751</v>
      </c>
      <c r="AN1184" s="19"/>
      <c r="AO1184" s="19"/>
      <c r="AP1184" s="19">
        <v>88.2</v>
      </c>
      <c r="AQ1184" s="19" t="s">
        <v>307</v>
      </c>
      <c r="AR1184" s="9" t="s">
        <v>436</v>
      </c>
      <c r="AS1184" s="12">
        <v>0</v>
      </c>
      <c r="AT1184" s="19">
        <v>38.676033349999997</v>
      </c>
      <c r="AU1184" s="19">
        <v>-122.86507803000001</v>
      </c>
      <c r="AV1184" s="19" t="s">
        <v>548</v>
      </c>
    </row>
    <row r="1185" spans="1:48" x14ac:dyDescent="0.25">
      <c r="A1185" s="18" t="s">
        <v>1568</v>
      </c>
      <c r="B1185" s="10">
        <v>19520724</v>
      </c>
      <c r="C1185" s="9">
        <v>17</v>
      </c>
      <c r="D1185" s="8" t="str">
        <f t="shared" si="217"/>
        <v>N</v>
      </c>
      <c r="E1185" s="8" t="str">
        <f t="shared" si="218"/>
        <v>N</v>
      </c>
      <c r="F1185" s="8" t="str">
        <f t="shared" si="219"/>
        <v>N</v>
      </c>
      <c r="G1185" s="8" t="str">
        <f t="shared" si="220"/>
        <v>N</v>
      </c>
      <c r="H1185" s="8" t="str">
        <f t="shared" si="221"/>
        <v>Lower</v>
      </c>
      <c r="I1185" s="8" t="str">
        <f t="shared" si="222"/>
        <v>Outside</v>
      </c>
      <c r="J1185" s="8" t="str">
        <f t="shared" si="223"/>
        <v>Outside</v>
      </c>
      <c r="K1185" s="8" t="str">
        <f t="shared" si="224"/>
        <v>Post-1949</v>
      </c>
      <c r="L1185" s="8">
        <f t="shared" si="225"/>
        <v>1952</v>
      </c>
      <c r="M1185" s="8" t="str">
        <f t="shared" si="227"/>
        <v>1950-1952</v>
      </c>
      <c r="N1185" s="10" t="s">
        <v>241</v>
      </c>
      <c r="O1185" s="10" t="s">
        <v>242</v>
      </c>
      <c r="P1185" s="10" t="s">
        <v>242</v>
      </c>
      <c r="Q1185" s="10" t="s">
        <v>242</v>
      </c>
      <c r="R1185" s="10" t="s">
        <v>241</v>
      </c>
      <c r="S1185" s="10" t="s">
        <v>242</v>
      </c>
      <c r="T1185" s="10" t="s">
        <v>242</v>
      </c>
      <c r="U1185" s="10" t="s">
        <v>242</v>
      </c>
      <c r="V1185" s="10" t="s">
        <v>242</v>
      </c>
      <c r="W1185" s="10" t="s">
        <v>242</v>
      </c>
      <c r="X1185" s="15">
        <f>IF(ISERROR(VLOOKUP($A1185,'13. Updated Demand'!A:Z,15,FALSE)),0,VLOOKUP($A1185,'13. Updated Demand'!A:Z,15,FALSE))</f>
        <v>0</v>
      </c>
      <c r="Y1185" s="16">
        <f>IF(ISERROR(VLOOKUP($A1185,'13. Updated Demand'!A:Z,16,FALSE)),0,VLOOKUP($A1185,'13. Updated Demand'!A:Z,16,FALSE))</f>
        <v>0</v>
      </c>
      <c r="Z1185" s="16">
        <f>IF(ISERROR(VLOOKUP($A1185,'13. Updated Demand'!A:Z,17,FALSE)),0,VLOOKUP($A1185,'13. Updated Demand'!A:Z,17,FALSE))</f>
        <v>0</v>
      </c>
      <c r="AA1185" s="16">
        <f>IF(ISERROR(VLOOKUP($A1185,'13. Updated Demand'!A:Z,18,FALSE)),0,VLOOKUP($A1185,'13. Updated Demand'!A:Z,18,FALSE))</f>
        <v>0</v>
      </c>
      <c r="AB1185" s="16">
        <f>IF(ISERROR(VLOOKUP($A1185,'13. Updated Demand'!A:Z,19,FALSE)),0,VLOOKUP($A1185,'13. Updated Demand'!A:Z,19,FALSE))</f>
        <v>1.3333333329999999</v>
      </c>
      <c r="AC1185" s="16">
        <f>IF(ISERROR(VLOOKUP($A1185,'13. Updated Demand'!A:Z,20,FALSE)),0,VLOOKUP($A1185,'13. Updated Demand'!A:Z,20,FALSE))</f>
        <v>4.8</v>
      </c>
      <c r="AD1185" s="16">
        <f>IF(ISERROR(VLOOKUP($A1185,'13. Updated Demand'!A:Z,21,FALSE)),0,VLOOKUP($A1185,'13. Updated Demand'!A:Z,21,FALSE))</f>
        <v>5.2</v>
      </c>
      <c r="AE1185" s="16">
        <f>IF(ISERROR(VLOOKUP($A1185,'13. Updated Demand'!A:Z,22,FALSE)),0,VLOOKUP($A1185,'13. Updated Demand'!A:Z,22,FALSE))</f>
        <v>4.5666666669999998</v>
      </c>
      <c r="AF1185" s="16">
        <f>IF(ISERROR(VLOOKUP($A1185,'13. Updated Demand'!A:Z,23,FALSE)),0,VLOOKUP($A1185,'13. Updated Demand'!A:Z,23,FALSE))</f>
        <v>1.3333333329999999</v>
      </c>
      <c r="AG1185" s="16">
        <f>IF(ISERROR(VLOOKUP($A1185,'13. Updated Demand'!A:Z,24,FALSE)),0,VLOOKUP($A1185,'13. Updated Demand'!A:Z,24,FALSE))</f>
        <v>0.133333333</v>
      </c>
      <c r="AH1185" s="16">
        <f>IF(ISERROR(VLOOKUP($A1185,'13. Updated Demand'!A:Z,25,FALSE)),0,VLOOKUP($A1185,'13. Updated Demand'!A:Z,25,FALSE))</f>
        <v>0</v>
      </c>
      <c r="AI1185" s="16">
        <f>IF(ISERROR(VLOOKUP($A1185,'13. Updated Demand'!A:Z,26,FALSE)),0,VLOOKUP($A1185,'13. Updated Demand'!A:Z,26,FALSE))</f>
        <v>0</v>
      </c>
      <c r="AJ1185" s="16">
        <f t="shared" si="228"/>
        <v>17.366666665999997</v>
      </c>
      <c r="AK1185" s="19">
        <v>17.233333332999997</v>
      </c>
      <c r="AL1185" s="16">
        <f t="shared" si="226"/>
        <v>5.71610036044203E-2</v>
      </c>
      <c r="AM1185" s="17">
        <v>0.18673835124731181</v>
      </c>
      <c r="AN1185" s="19"/>
      <c r="AO1185" s="19"/>
      <c r="AP1185" s="19">
        <v>93</v>
      </c>
      <c r="AQ1185" s="19" t="s">
        <v>307</v>
      </c>
      <c r="AR1185" s="9" t="s">
        <v>486</v>
      </c>
      <c r="AS1185" s="12">
        <v>3.4039024194010059E-4</v>
      </c>
      <c r="AT1185" s="19">
        <v>38.542079149999999</v>
      </c>
      <c r="AU1185" s="19">
        <v>-122.85803554</v>
      </c>
      <c r="AV1185" s="19" t="s">
        <v>387</v>
      </c>
    </row>
    <row r="1186" spans="1:48" x14ac:dyDescent="0.25">
      <c r="A1186" s="18" t="s">
        <v>71</v>
      </c>
      <c r="B1186" s="10">
        <v>19520721</v>
      </c>
      <c r="C1186" s="9">
        <v>4</v>
      </c>
      <c r="D1186" s="8" t="str">
        <f t="shared" si="217"/>
        <v>Y</v>
      </c>
      <c r="E1186" s="8" t="str">
        <f t="shared" si="218"/>
        <v>N</v>
      </c>
      <c r="F1186" s="8" t="str">
        <f t="shared" si="219"/>
        <v>Y</v>
      </c>
      <c r="G1186" s="8" t="str">
        <f t="shared" si="220"/>
        <v>Y</v>
      </c>
      <c r="H1186" s="8" t="str">
        <f t="shared" si="221"/>
        <v>Upper</v>
      </c>
      <c r="I1186" s="8" t="str">
        <f t="shared" si="222"/>
        <v>West Fork and Below Lake</v>
      </c>
      <c r="J1186" s="8" t="str">
        <f t="shared" si="223"/>
        <v>Mendocino (d/s of lake)</v>
      </c>
      <c r="K1186" s="8" t="str">
        <f t="shared" si="224"/>
        <v>Post-1949</v>
      </c>
      <c r="L1186" s="8">
        <f t="shared" si="225"/>
        <v>1952</v>
      </c>
      <c r="M1186" s="8" t="str">
        <f t="shared" si="227"/>
        <v>1950-1952</v>
      </c>
      <c r="N1186" s="10" t="s">
        <v>241</v>
      </c>
      <c r="O1186" s="10" t="s">
        <v>241</v>
      </c>
      <c r="P1186" s="10" t="s">
        <v>242</v>
      </c>
      <c r="Q1186" s="10" t="s">
        <v>242</v>
      </c>
      <c r="R1186" s="10" t="s">
        <v>241</v>
      </c>
      <c r="S1186" s="10" t="s">
        <v>242</v>
      </c>
      <c r="T1186" s="10" t="s">
        <v>242</v>
      </c>
      <c r="U1186" s="10" t="s">
        <v>242</v>
      </c>
      <c r="V1186" s="10" t="s">
        <v>242</v>
      </c>
      <c r="W1186" s="10" t="s">
        <v>242</v>
      </c>
      <c r="X1186" s="15">
        <f>IF(ISERROR(VLOOKUP($A1186,'13. Updated Demand'!A:Z,15,FALSE)),0,VLOOKUP($A1186,'13. Updated Demand'!A:Z,15,FALSE))</f>
        <v>0</v>
      </c>
      <c r="Y1186" s="16">
        <f>IF(ISERROR(VLOOKUP($A1186,'13. Updated Demand'!A:Z,16,FALSE)),0,VLOOKUP($A1186,'13. Updated Demand'!A:Z,16,FALSE))</f>
        <v>0</v>
      </c>
      <c r="Z1186" s="16">
        <f>IF(ISERROR(VLOOKUP($A1186,'13. Updated Demand'!A:Z,17,FALSE)),0,VLOOKUP($A1186,'13. Updated Demand'!A:Z,17,FALSE))</f>
        <v>0</v>
      </c>
      <c r="AA1186" s="16">
        <f>IF(ISERROR(VLOOKUP($A1186,'13. Updated Demand'!A:Z,18,FALSE)),0,VLOOKUP($A1186,'13. Updated Demand'!A:Z,18,FALSE))</f>
        <v>0</v>
      </c>
      <c r="AB1186" s="16">
        <f>IF(ISERROR(VLOOKUP($A1186,'13. Updated Demand'!A:Z,19,FALSE)),0,VLOOKUP($A1186,'13. Updated Demand'!A:Z,19,FALSE))</f>
        <v>1.1299999999999999</v>
      </c>
      <c r="AC1186" s="16">
        <f>IF(ISERROR(VLOOKUP($A1186,'13. Updated Demand'!A:Z,20,FALSE)),0,VLOOKUP($A1186,'13. Updated Demand'!A:Z,20,FALSE))</f>
        <v>3.42</v>
      </c>
      <c r="AD1186" s="16">
        <f>IF(ISERROR(VLOOKUP($A1186,'13. Updated Demand'!A:Z,21,FALSE)),0,VLOOKUP($A1186,'13. Updated Demand'!A:Z,21,FALSE))</f>
        <v>4.95</v>
      </c>
      <c r="AE1186" s="16">
        <f>IF(ISERROR(VLOOKUP($A1186,'13. Updated Demand'!A:Z,22,FALSE)),0,VLOOKUP($A1186,'13. Updated Demand'!A:Z,22,FALSE))</f>
        <v>4.33</v>
      </c>
      <c r="AF1186" s="16">
        <f>IF(ISERROR(VLOOKUP($A1186,'13. Updated Demand'!A:Z,23,FALSE)),0,VLOOKUP($A1186,'13. Updated Demand'!A:Z,23,FALSE))</f>
        <v>0</v>
      </c>
      <c r="AG1186" s="16">
        <f>IF(ISERROR(VLOOKUP($A1186,'13. Updated Demand'!A:Z,24,FALSE)),0,VLOOKUP($A1186,'13. Updated Demand'!A:Z,24,FALSE))</f>
        <v>0</v>
      </c>
      <c r="AH1186" s="16">
        <f>IF(ISERROR(VLOOKUP($A1186,'13. Updated Demand'!A:Z,25,FALSE)),0,VLOOKUP($A1186,'13. Updated Demand'!A:Z,25,FALSE))</f>
        <v>0</v>
      </c>
      <c r="AI1186" s="16">
        <f>IF(ISERROR(VLOOKUP($A1186,'13. Updated Demand'!A:Z,26,FALSE)),0,VLOOKUP($A1186,'13. Updated Demand'!A:Z,26,FALSE))</f>
        <v>0</v>
      </c>
      <c r="AJ1186" s="16">
        <f t="shared" si="228"/>
        <v>13.83</v>
      </c>
      <c r="AK1186" s="19">
        <v>13.843333333333328</v>
      </c>
      <c r="AL1186" s="16">
        <f t="shared" si="226"/>
        <v>4.5916759762814147E-2</v>
      </c>
      <c r="AM1186" s="17">
        <v>0.19861310377809652</v>
      </c>
      <c r="AN1186" s="19"/>
      <c r="AO1186" s="19"/>
      <c r="AP1186" s="19">
        <v>69.7</v>
      </c>
      <c r="AQ1186" s="19" t="s">
        <v>307</v>
      </c>
      <c r="AR1186" s="9" t="s">
        <v>331</v>
      </c>
      <c r="AS1186" s="12">
        <v>0</v>
      </c>
      <c r="AT1186" s="19">
        <v>39.16017677</v>
      </c>
      <c r="AU1186" s="19">
        <v>-123.1886037</v>
      </c>
      <c r="AV1186" s="19" t="s">
        <v>387</v>
      </c>
    </row>
    <row r="1187" spans="1:48" x14ac:dyDescent="0.25">
      <c r="A1187" s="18" t="s">
        <v>126</v>
      </c>
      <c r="B1187" s="10">
        <v>19520721</v>
      </c>
      <c r="C1187" s="9">
        <v>4</v>
      </c>
      <c r="D1187" s="8" t="str">
        <f t="shared" si="217"/>
        <v>Y</v>
      </c>
      <c r="E1187" s="8" t="str">
        <f t="shared" si="218"/>
        <v>N</v>
      </c>
      <c r="F1187" s="8" t="str">
        <f t="shared" si="219"/>
        <v>Y</v>
      </c>
      <c r="G1187" s="8" t="str">
        <f t="shared" si="220"/>
        <v>Y</v>
      </c>
      <c r="H1187" s="8" t="str">
        <f t="shared" si="221"/>
        <v>Upper</v>
      </c>
      <c r="I1187" s="8" t="str">
        <f t="shared" si="222"/>
        <v>West Fork and Below Lake</v>
      </c>
      <c r="J1187" s="8" t="str">
        <f t="shared" si="223"/>
        <v>Mendocino (d/s of lake)</v>
      </c>
      <c r="K1187" s="8" t="str">
        <f t="shared" si="224"/>
        <v>Post-1949</v>
      </c>
      <c r="L1187" s="8">
        <f t="shared" si="225"/>
        <v>1952</v>
      </c>
      <c r="M1187" s="8" t="str">
        <f t="shared" si="227"/>
        <v>1950-1952</v>
      </c>
      <c r="N1187" s="10" t="s">
        <v>241</v>
      </c>
      <c r="O1187" s="10" t="s">
        <v>241</v>
      </c>
      <c r="P1187" s="10" t="s">
        <v>242</v>
      </c>
      <c r="Q1187" s="10" t="s">
        <v>242</v>
      </c>
      <c r="R1187" s="10" t="s">
        <v>241</v>
      </c>
      <c r="S1187" s="10" t="s">
        <v>242</v>
      </c>
      <c r="T1187" s="10" t="s">
        <v>242</v>
      </c>
      <c r="U1187" s="10" t="s">
        <v>242</v>
      </c>
      <c r="V1187" s="10" t="s">
        <v>242</v>
      </c>
      <c r="W1187" s="10" t="s">
        <v>242</v>
      </c>
      <c r="X1187" s="15">
        <f>IF(ISERROR(VLOOKUP($A1187,'13. Updated Demand'!A:Z,15,FALSE)),0,VLOOKUP($A1187,'13. Updated Demand'!A:Z,15,FALSE))</f>
        <v>0</v>
      </c>
      <c r="Y1187" s="16">
        <f>IF(ISERROR(VLOOKUP($A1187,'13. Updated Demand'!A:Z,16,FALSE)),0,VLOOKUP($A1187,'13. Updated Demand'!A:Z,16,FALSE))</f>
        <v>0</v>
      </c>
      <c r="Z1187" s="16">
        <f>IF(ISERROR(VLOOKUP($A1187,'13. Updated Demand'!A:Z,17,FALSE)),0,VLOOKUP($A1187,'13. Updated Demand'!A:Z,17,FALSE))</f>
        <v>0</v>
      </c>
      <c r="AA1187" s="16">
        <f>IF(ISERROR(VLOOKUP($A1187,'13. Updated Demand'!A:Z,18,FALSE)),0,VLOOKUP($A1187,'13. Updated Demand'!A:Z,18,FALSE))</f>
        <v>0</v>
      </c>
      <c r="AB1187" s="16">
        <f>IF(ISERROR(VLOOKUP($A1187,'13. Updated Demand'!A:Z,19,FALSE)),0,VLOOKUP($A1187,'13. Updated Demand'!A:Z,19,FALSE))</f>
        <v>0.55000000000000004</v>
      </c>
      <c r="AC1187" s="16">
        <f>IF(ISERROR(VLOOKUP($A1187,'13. Updated Demand'!A:Z,20,FALSE)),0,VLOOKUP($A1187,'13. Updated Demand'!A:Z,20,FALSE))</f>
        <v>1.57</v>
      </c>
      <c r="AD1187" s="16">
        <f>IF(ISERROR(VLOOKUP($A1187,'13. Updated Demand'!A:Z,21,FALSE)),0,VLOOKUP($A1187,'13. Updated Demand'!A:Z,21,FALSE))</f>
        <v>2.0499999999999998</v>
      </c>
      <c r="AE1187" s="16">
        <f>IF(ISERROR(VLOOKUP($A1187,'13. Updated Demand'!A:Z,22,FALSE)),0,VLOOKUP($A1187,'13. Updated Demand'!A:Z,22,FALSE))</f>
        <v>1.76</v>
      </c>
      <c r="AF1187" s="16">
        <f>IF(ISERROR(VLOOKUP($A1187,'13. Updated Demand'!A:Z,23,FALSE)),0,VLOOKUP($A1187,'13. Updated Demand'!A:Z,23,FALSE))</f>
        <v>5.12</v>
      </c>
      <c r="AG1187" s="16">
        <f>IF(ISERROR(VLOOKUP($A1187,'13. Updated Demand'!A:Z,24,FALSE)),0,VLOOKUP($A1187,'13. Updated Demand'!A:Z,24,FALSE))</f>
        <v>0.3</v>
      </c>
      <c r="AH1187" s="16">
        <f>IF(ISERROR(VLOOKUP($A1187,'13. Updated Demand'!A:Z,25,FALSE)),0,VLOOKUP($A1187,'13. Updated Demand'!A:Z,25,FALSE))</f>
        <v>0</v>
      </c>
      <c r="AI1187" s="16">
        <f>IF(ISERROR(VLOOKUP($A1187,'13. Updated Demand'!A:Z,26,FALSE)),0,VLOOKUP($A1187,'13. Updated Demand'!A:Z,26,FALSE))</f>
        <v>0</v>
      </c>
      <c r="AJ1187" s="16">
        <f t="shared" si="228"/>
        <v>11.350000000000001</v>
      </c>
      <c r="AK1187" s="19">
        <v>11.080000000000007</v>
      </c>
      <c r="AL1187" s="16">
        <f t="shared" si="226"/>
        <v>3.6751097869394261E-2</v>
      </c>
      <c r="AM1187" s="17">
        <v>0.100058582308143</v>
      </c>
      <c r="AN1187" s="19"/>
      <c r="AO1187" s="19"/>
      <c r="AP1187" s="19">
        <v>113.8</v>
      </c>
      <c r="AQ1187" s="19" t="s">
        <v>307</v>
      </c>
      <c r="AR1187" s="9" t="s">
        <v>331</v>
      </c>
      <c r="AS1187" s="12">
        <v>0</v>
      </c>
      <c r="AT1187" s="19">
        <v>39.16017677</v>
      </c>
      <c r="AU1187" s="19">
        <v>-123.1886037</v>
      </c>
      <c r="AV1187" s="19" t="s">
        <v>387</v>
      </c>
    </row>
    <row r="1188" spans="1:48" x14ac:dyDescent="0.25">
      <c r="A1188" s="18" t="s">
        <v>1569</v>
      </c>
      <c r="B1188" s="10">
        <v>19520827</v>
      </c>
      <c r="C1188" s="9">
        <v>5</v>
      </c>
      <c r="D1188" s="8" t="str">
        <f t="shared" si="217"/>
        <v>Y</v>
      </c>
      <c r="E1188" s="8" t="str">
        <f t="shared" si="218"/>
        <v>N</v>
      </c>
      <c r="F1188" s="8" t="str">
        <f t="shared" si="219"/>
        <v>Y</v>
      </c>
      <c r="G1188" s="8" t="str">
        <f t="shared" si="220"/>
        <v>Y</v>
      </c>
      <c r="H1188" s="8" t="str">
        <f t="shared" si="221"/>
        <v>Upper</v>
      </c>
      <c r="I1188" s="8" t="str">
        <f t="shared" si="222"/>
        <v>West Fork and Below Lake</v>
      </c>
      <c r="J1188" s="8" t="str">
        <f t="shared" si="223"/>
        <v>Mendocino (d/s of lake)</v>
      </c>
      <c r="K1188" s="8" t="str">
        <f t="shared" si="224"/>
        <v>Post-1949</v>
      </c>
      <c r="L1188" s="8">
        <f t="shared" si="225"/>
        <v>1952</v>
      </c>
      <c r="M1188" s="8" t="str">
        <f t="shared" si="227"/>
        <v>1950-1952</v>
      </c>
      <c r="N1188" s="10" t="s">
        <v>241</v>
      </c>
      <c r="O1188" s="10" t="s">
        <v>241</v>
      </c>
      <c r="P1188" s="10" t="s">
        <v>242</v>
      </c>
      <c r="Q1188" s="10" t="s">
        <v>242</v>
      </c>
      <c r="R1188" s="10" t="s">
        <v>241</v>
      </c>
      <c r="S1188" s="10" t="s">
        <v>242</v>
      </c>
      <c r="T1188" s="10" t="s">
        <v>242</v>
      </c>
      <c r="U1188" s="10" t="s">
        <v>242</v>
      </c>
      <c r="V1188" s="10" t="s">
        <v>242</v>
      </c>
      <c r="W1188" s="10" t="s">
        <v>242</v>
      </c>
      <c r="X1188" s="15">
        <f>IF(ISERROR(VLOOKUP($A1188,'13. Updated Demand'!A:Z,15,FALSE)),0,VLOOKUP($A1188,'13. Updated Demand'!A:Z,15,FALSE))</f>
        <v>0</v>
      </c>
      <c r="Y1188" s="16">
        <f>IF(ISERROR(VLOOKUP($A1188,'13. Updated Demand'!A:Z,16,FALSE)),0,VLOOKUP($A1188,'13. Updated Demand'!A:Z,16,FALSE))</f>
        <v>0</v>
      </c>
      <c r="Z1188" s="16">
        <f>IF(ISERROR(VLOOKUP($A1188,'13. Updated Demand'!A:Z,17,FALSE)),0,VLOOKUP($A1188,'13. Updated Demand'!A:Z,17,FALSE))</f>
        <v>0</v>
      </c>
      <c r="AA1188" s="16">
        <f>IF(ISERROR(VLOOKUP($A1188,'13. Updated Demand'!A:Z,18,FALSE)),0,VLOOKUP($A1188,'13. Updated Demand'!A:Z,18,FALSE))</f>
        <v>0</v>
      </c>
      <c r="AB1188" s="16">
        <f>IF(ISERROR(VLOOKUP($A1188,'13. Updated Demand'!A:Z,19,FALSE)),0,VLOOKUP($A1188,'13. Updated Demand'!A:Z,19,FALSE))</f>
        <v>0.33</v>
      </c>
      <c r="AC1188" s="16">
        <f>IF(ISERROR(VLOOKUP($A1188,'13. Updated Demand'!A:Z,20,FALSE)),0,VLOOKUP($A1188,'13. Updated Demand'!A:Z,20,FALSE))</f>
        <v>0.4</v>
      </c>
      <c r="AD1188" s="16">
        <f>IF(ISERROR(VLOOKUP($A1188,'13. Updated Demand'!A:Z,21,FALSE)),0,VLOOKUP($A1188,'13. Updated Demand'!A:Z,21,FALSE))</f>
        <v>2.5099999999999998</v>
      </c>
      <c r="AE1188" s="16">
        <f>IF(ISERROR(VLOOKUP($A1188,'13. Updated Demand'!A:Z,22,FALSE)),0,VLOOKUP($A1188,'13. Updated Demand'!A:Z,22,FALSE))</f>
        <v>3.29</v>
      </c>
      <c r="AF1188" s="16">
        <f>IF(ISERROR(VLOOKUP($A1188,'13. Updated Demand'!A:Z,23,FALSE)),0,VLOOKUP($A1188,'13. Updated Demand'!A:Z,23,FALSE))</f>
        <v>2.57</v>
      </c>
      <c r="AG1188" s="16">
        <f>IF(ISERROR(VLOOKUP($A1188,'13. Updated Demand'!A:Z,24,FALSE)),0,VLOOKUP($A1188,'13. Updated Demand'!A:Z,24,FALSE))</f>
        <v>0.54</v>
      </c>
      <c r="AH1188" s="16">
        <f>IF(ISERROR(VLOOKUP($A1188,'13. Updated Demand'!A:Z,25,FALSE)),0,VLOOKUP($A1188,'13. Updated Demand'!A:Z,25,FALSE))</f>
        <v>0</v>
      </c>
      <c r="AI1188" s="16">
        <f>IF(ISERROR(VLOOKUP($A1188,'13. Updated Demand'!A:Z,26,FALSE)),0,VLOOKUP($A1188,'13. Updated Demand'!A:Z,26,FALSE))</f>
        <v>0</v>
      </c>
      <c r="AJ1188" s="16">
        <f t="shared" si="228"/>
        <v>9.64</v>
      </c>
      <c r="AK1188" s="19">
        <v>9.110000000000003</v>
      </c>
      <c r="AL1188" s="16">
        <f t="shared" si="226"/>
        <v>3.0216832273482101E-2</v>
      </c>
      <c r="AM1188" s="17">
        <v>0.16941520467836263</v>
      </c>
      <c r="AN1188" s="19"/>
      <c r="AO1188" s="19"/>
      <c r="AP1188" s="19">
        <v>57</v>
      </c>
      <c r="AQ1188" s="19" t="s">
        <v>307</v>
      </c>
      <c r="AR1188" s="9" t="s">
        <v>333</v>
      </c>
      <c r="AS1188" s="12">
        <v>0</v>
      </c>
      <c r="AT1188" s="19">
        <v>39.044703210000002</v>
      </c>
      <c r="AU1188" s="19">
        <v>-123.1340241</v>
      </c>
      <c r="AV1188" s="19" t="s">
        <v>548</v>
      </c>
    </row>
    <row r="1189" spans="1:48" x14ac:dyDescent="0.25">
      <c r="A1189" s="18" t="s">
        <v>1570</v>
      </c>
      <c r="B1189" s="10">
        <v>19520626</v>
      </c>
      <c r="C1189" s="9">
        <v>9</v>
      </c>
      <c r="D1189" s="8" t="str">
        <f t="shared" si="217"/>
        <v>N</v>
      </c>
      <c r="E1189" s="8" t="str">
        <f t="shared" si="218"/>
        <v>Y</v>
      </c>
      <c r="F1189" s="8" t="str">
        <f t="shared" si="219"/>
        <v>Y</v>
      </c>
      <c r="G1189" s="8" t="str">
        <f t="shared" si="220"/>
        <v>Y</v>
      </c>
      <c r="H1189" s="8" t="str">
        <f t="shared" si="221"/>
        <v>Upper</v>
      </c>
      <c r="I1189" s="8" t="str">
        <f t="shared" si="222"/>
        <v>West Fork and Below Lake</v>
      </c>
      <c r="J1189" s="8" t="str">
        <f t="shared" si="223"/>
        <v>Sonoma (d/s of Clov. Gage)</v>
      </c>
      <c r="K1189" s="8" t="str">
        <f t="shared" si="224"/>
        <v>Post-1949</v>
      </c>
      <c r="L1189" s="8">
        <f t="shared" si="225"/>
        <v>1952</v>
      </c>
      <c r="M1189" s="8" t="str">
        <f t="shared" si="227"/>
        <v>1950-1952</v>
      </c>
      <c r="N1189" s="10" t="s">
        <v>241</v>
      </c>
      <c r="O1189" s="10" t="s">
        <v>241</v>
      </c>
      <c r="P1189" s="10" t="s">
        <v>242</v>
      </c>
      <c r="Q1189" s="10" t="s">
        <v>242</v>
      </c>
      <c r="R1189" s="10" t="s">
        <v>241</v>
      </c>
      <c r="S1189" s="10" t="s">
        <v>242</v>
      </c>
      <c r="T1189" s="10" t="s">
        <v>242</v>
      </c>
      <c r="U1189" s="10" t="s">
        <v>242</v>
      </c>
      <c r="V1189" s="10" t="s">
        <v>242</v>
      </c>
      <c r="W1189" s="10" t="s">
        <v>242</v>
      </c>
      <c r="X1189" s="15">
        <f>IF(ISERROR(VLOOKUP($A1189,'13. Updated Demand'!A:Z,15,FALSE)),0,VLOOKUP($A1189,'13. Updated Demand'!A:Z,15,FALSE))</f>
        <v>0.46</v>
      </c>
      <c r="Y1189" s="16">
        <f>IF(ISERROR(VLOOKUP($A1189,'13. Updated Demand'!A:Z,16,FALSE)),0,VLOOKUP($A1189,'13. Updated Demand'!A:Z,16,FALSE))</f>
        <v>0.46</v>
      </c>
      <c r="Z1189" s="16">
        <f>IF(ISERROR(VLOOKUP($A1189,'13. Updated Demand'!A:Z,17,FALSE)),0,VLOOKUP($A1189,'13. Updated Demand'!A:Z,17,FALSE))</f>
        <v>0.46</v>
      </c>
      <c r="AA1189" s="16">
        <f>IF(ISERROR(VLOOKUP($A1189,'13. Updated Demand'!A:Z,18,FALSE)),0,VLOOKUP($A1189,'13. Updated Demand'!A:Z,18,FALSE))</f>
        <v>0.41</v>
      </c>
      <c r="AB1189" s="16">
        <f>IF(ISERROR(VLOOKUP($A1189,'13. Updated Demand'!A:Z,19,FALSE)),0,VLOOKUP($A1189,'13. Updated Demand'!A:Z,19,FALSE))</f>
        <v>2.61</v>
      </c>
      <c r="AC1189" s="16">
        <f>IF(ISERROR(VLOOKUP($A1189,'13. Updated Demand'!A:Z,20,FALSE)),0,VLOOKUP($A1189,'13. Updated Demand'!A:Z,20,FALSE))</f>
        <v>0.99</v>
      </c>
      <c r="AD1189" s="16">
        <f>IF(ISERROR(VLOOKUP($A1189,'13. Updated Demand'!A:Z,21,FALSE)),0,VLOOKUP($A1189,'13. Updated Demand'!A:Z,21,FALSE))</f>
        <v>1.21</v>
      </c>
      <c r="AE1189" s="16">
        <f>IF(ISERROR(VLOOKUP($A1189,'13. Updated Demand'!A:Z,22,FALSE)),0,VLOOKUP($A1189,'13. Updated Demand'!A:Z,22,FALSE))</f>
        <v>1.31</v>
      </c>
      <c r="AF1189" s="16">
        <f>IF(ISERROR(VLOOKUP($A1189,'13. Updated Demand'!A:Z,23,FALSE)),0,VLOOKUP($A1189,'13. Updated Demand'!A:Z,23,FALSE))</f>
        <v>1.41</v>
      </c>
      <c r="AG1189" s="16">
        <f>IF(ISERROR(VLOOKUP($A1189,'13. Updated Demand'!A:Z,24,FALSE)),0,VLOOKUP($A1189,'13. Updated Demand'!A:Z,24,FALSE))</f>
        <v>1.26</v>
      </c>
      <c r="AH1189" s="16">
        <f>IF(ISERROR(VLOOKUP($A1189,'13. Updated Demand'!A:Z,25,FALSE)),0,VLOOKUP($A1189,'13. Updated Demand'!A:Z,25,FALSE))</f>
        <v>1.27</v>
      </c>
      <c r="AI1189" s="16">
        <f>IF(ISERROR(VLOOKUP($A1189,'13. Updated Demand'!A:Z,26,FALSE)),0,VLOOKUP($A1189,'13. Updated Demand'!A:Z,26,FALSE))</f>
        <v>0.96</v>
      </c>
      <c r="AJ1189" s="16">
        <f t="shared" si="228"/>
        <v>12.809999999999999</v>
      </c>
      <c r="AK1189" s="19">
        <v>7.5639999999999903</v>
      </c>
      <c r="AL1189" s="16">
        <f t="shared" si="226"/>
        <v>2.5088926379431199E-2</v>
      </c>
      <c r="AM1189" s="17">
        <v>8.8792357274401369E-3</v>
      </c>
      <c r="AN1189" s="19"/>
      <c r="AO1189" s="19"/>
      <c r="AP1189" s="19">
        <v>1448</v>
      </c>
      <c r="AQ1189" s="19" t="s">
        <v>307</v>
      </c>
      <c r="AR1189" s="9" t="s">
        <v>354</v>
      </c>
      <c r="AS1189" s="12">
        <v>0</v>
      </c>
      <c r="AT1189" s="19">
        <v>38.773897150000003</v>
      </c>
      <c r="AU1189" s="19">
        <v>-122.98956981000001</v>
      </c>
      <c r="AV1189" s="19" t="s">
        <v>548</v>
      </c>
    </row>
    <row r="1190" spans="1:48" x14ac:dyDescent="0.25">
      <c r="A1190" s="18" t="s">
        <v>1571</v>
      </c>
      <c r="B1190" s="10">
        <v>19520414</v>
      </c>
      <c r="C1190" s="9">
        <v>17</v>
      </c>
      <c r="D1190" s="8" t="str">
        <f t="shared" si="217"/>
        <v>N</v>
      </c>
      <c r="E1190" s="8" t="str">
        <f t="shared" si="218"/>
        <v>N</v>
      </c>
      <c r="F1190" s="8" t="str">
        <f t="shared" si="219"/>
        <v>N</v>
      </c>
      <c r="G1190" s="8" t="str">
        <f t="shared" si="220"/>
        <v>N</v>
      </c>
      <c r="H1190" s="8" t="str">
        <f t="shared" si="221"/>
        <v>Lower</v>
      </c>
      <c r="I1190" s="8" t="str">
        <f t="shared" si="222"/>
        <v>Outside</v>
      </c>
      <c r="J1190" s="8" t="str">
        <f t="shared" si="223"/>
        <v>Outside</v>
      </c>
      <c r="K1190" s="8" t="str">
        <f t="shared" si="224"/>
        <v>Post-1949</v>
      </c>
      <c r="L1190" s="8">
        <f t="shared" si="225"/>
        <v>1952</v>
      </c>
      <c r="M1190" s="8" t="str">
        <f t="shared" si="227"/>
        <v>1950-1952</v>
      </c>
      <c r="N1190" s="10" t="s">
        <v>241</v>
      </c>
      <c r="O1190" s="10" t="s">
        <v>242</v>
      </c>
      <c r="P1190" s="10" t="s">
        <v>242</v>
      </c>
      <c r="Q1190" s="10" t="s">
        <v>242</v>
      </c>
      <c r="R1190" s="10" t="s">
        <v>241</v>
      </c>
      <c r="S1190" s="10" t="s">
        <v>242</v>
      </c>
      <c r="T1190" s="10" t="s">
        <v>242</v>
      </c>
      <c r="U1190" s="10" t="s">
        <v>242</v>
      </c>
      <c r="V1190" s="10" t="s">
        <v>242</v>
      </c>
      <c r="W1190" s="10" t="s">
        <v>242</v>
      </c>
      <c r="X1190" s="15">
        <f>IF(ISERROR(VLOOKUP($A1190,'13. Updated Demand'!A:Z,15,FALSE)),0,VLOOKUP($A1190,'13. Updated Demand'!A:Z,15,FALSE))</f>
        <v>0</v>
      </c>
      <c r="Y1190" s="16">
        <f>IF(ISERROR(VLOOKUP($A1190,'13. Updated Demand'!A:Z,16,FALSE)),0,VLOOKUP($A1190,'13. Updated Demand'!A:Z,16,FALSE))</f>
        <v>0</v>
      </c>
      <c r="Z1190" s="16">
        <f>IF(ISERROR(VLOOKUP($A1190,'13. Updated Demand'!A:Z,17,FALSE)),0,VLOOKUP($A1190,'13. Updated Demand'!A:Z,17,FALSE))</f>
        <v>0</v>
      </c>
      <c r="AA1190" s="16">
        <f>IF(ISERROR(VLOOKUP($A1190,'13. Updated Demand'!A:Z,18,FALSE)),0,VLOOKUP($A1190,'13. Updated Demand'!A:Z,18,FALSE))</f>
        <v>0</v>
      </c>
      <c r="AB1190" s="16">
        <f>IF(ISERROR(VLOOKUP($A1190,'13. Updated Demand'!A:Z,19,FALSE)),0,VLOOKUP($A1190,'13. Updated Demand'!A:Z,19,FALSE))</f>
        <v>2.3333333330000001</v>
      </c>
      <c r="AC1190" s="16">
        <f>IF(ISERROR(VLOOKUP($A1190,'13. Updated Demand'!A:Z,20,FALSE)),0,VLOOKUP($A1190,'13. Updated Demand'!A:Z,20,FALSE))</f>
        <v>0.86666666699999995</v>
      </c>
      <c r="AD1190" s="16">
        <f>IF(ISERROR(VLOOKUP($A1190,'13. Updated Demand'!A:Z,21,FALSE)),0,VLOOKUP($A1190,'13. Updated Demand'!A:Z,21,FALSE))</f>
        <v>2.5666666669999998</v>
      </c>
      <c r="AE1190" s="16">
        <f>IF(ISERROR(VLOOKUP($A1190,'13. Updated Demand'!A:Z,22,FALSE)),0,VLOOKUP($A1190,'13. Updated Demand'!A:Z,22,FALSE))</f>
        <v>0.66666666699999999</v>
      </c>
      <c r="AF1190" s="16">
        <f>IF(ISERROR(VLOOKUP($A1190,'13. Updated Demand'!A:Z,23,FALSE)),0,VLOOKUP($A1190,'13. Updated Demand'!A:Z,23,FALSE))</f>
        <v>0.5</v>
      </c>
      <c r="AG1190" s="16">
        <f>IF(ISERROR(VLOOKUP($A1190,'13. Updated Demand'!A:Z,24,FALSE)),0,VLOOKUP($A1190,'13. Updated Demand'!A:Z,24,FALSE))</f>
        <v>0.1</v>
      </c>
      <c r="AH1190" s="16">
        <f>IF(ISERROR(VLOOKUP($A1190,'13. Updated Demand'!A:Z,25,FALSE)),0,VLOOKUP($A1190,'13. Updated Demand'!A:Z,25,FALSE))</f>
        <v>0</v>
      </c>
      <c r="AI1190" s="16">
        <f>IF(ISERROR(VLOOKUP($A1190,'13. Updated Demand'!A:Z,26,FALSE)),0,VLOOKUP($A1190,'13. Updated Demand'!A:Z,26,FALSE))</f>
        <v>0</v>
      </c>
      <c r="AJ1190" s="16">
        <f t="shared" si="228"/>
        <v>7.0333333339999999</v>
      </c>
      <c r="AK1190" s="19">
        <v>6.9333333340000003</v>
      </c>
      <c r="AL1190" s="16">
        <f t="shared" si="226"/>
        <v>2.2997076887993455E-2</v>
      </c>
      <c r="AM1190" s="17">
        <v>1.0951936054188725E-2</v>
      </c>
      <c r="AN1190" s="19"/>
      <c r="AO1190" s="19"/>
      <c r="AP1190" s="19">
        <v>642.20000000000005</v>
      </c>
      <c r="AQ1190" s="19" t="s">
        <v>307</v>
      </c>
      <c r="AR1190" s="9" t="s">
        <v>486</v>
      </c>
      <c r="AS1190" s="12">
        <v>0</v>
      </c>
      <c r="AT1190" s="19">
        <v>38.545105980000002</v>
      </c>
      <c r="AU1190" s="19">
        <v>-122.85719775</v>
      </c>
      <c r="AV1190" s="19" t="s">
        <v>387</v>
      </c>
    </row>
    <row r="1191" spans="1:48" x14ac:dyDescent="0.25">
      <c r="A1191" s="18" t="s">
        <v>1572</v>
      </c>
      <c r="B1191" s="10">
        <v>19520425</v>
      </c>
      <c r="C1191" s="9">
        <v>10</v>
      </c>
      <c r="D1191" s="8" t="str">
        <f t="shared" si="217"/>
        <v>N</v>
      </c>
      <c r="E1191" s="8" t="str">
        <f t="shared" si="218"/>
        <v>Y</v>
      </c>
      <c r="F1191" s="8" t="str">
        <f t="shared" si="219"/>
        <v>Y</v>
      </c>
      <c r="G1191" s="8" t="str">
        <f t="shared" si="220"/>
        <v>Y</v>
      </c>
      <c r="H1191" s="8" t="str">
        <f t="shared" si="221"/>
        <v>Upper</v>
      </c>
      <c r="I1191" s="8" t="str">
        <f t="shared" si="222"/>
        <v>West Fork and Below Lake</v>
      </c>
      <c r="J1191" s="8" t="str">
        <f t="shared" si="223"/>
        <v>Sonoma (d/s of Clov. Gage)</v>
      </c>
      <c r="K1191" s="8" t="str">
        <f t="shared" si="224"/>
        <v>Post-1949</v>
      </c>
      <c r="L1191" s="8">
        <f t="shared" si="225"/>
        <v>1952</v>
      </c>
      <c r="M1191" s="8" t="str">
        <f t="shared" si="227"/>
        <v>1950-1952</v>
      </c>
      <c r="N1191" s="10" t="s">
        <v>241</v>
      </c>
      <c r="O1191" s="10" t="s">
        <v>241</v>
      </c>
      <c r="P1191" s="10" t="s">
        <v>242</v>
      </c>
      <c r="Q1191" s="10" t="s">
        <v>242</v>
      </c>
      <c r="R1191" s="10" t="s">
        <v>241</v>
      </c>
      <c r="S1191" s="10" t="s">
        <v>242</v>
      </c>
      <c r="T1191" s="10" t="s">
        <v>242</v>
      </c>
      <c r="U1191" s="10" t="s">
        <v>242</v>
      </c>
      <c r="V1191" s="10" t="s">
        <v>242</v>
      </c>
      <c r="W1191" s="10" t="s">
        <v>242</v>
      </c>
      <c r="X1191" s="15">
        <f>IF(ISERROR(VLOOKUP($A1191,'13. Updated Demand'!A:Z,15,FALSE)),0,VLOOKUP($A1191,'13. Updated Demand'!A:Z,15,FALSE))</f>
        <v>0</v>
      </c>
      <c r="Y1191" s="16">
        <f>IF(ISERROR(VLOOKUP($A1191,'13. Updated Demand'!A:Z,16,FALSE)),0,VLOOKUP($A1191,'13. Updated Demand'!A:Z,16,FALSE))</f>
        <v>0</v>
      </c>
      <c r="Z1191" s="16">
        <f>IF(ISERROR(VLOOKUP($A1191,'13. Updated Demand'!A:Z,17,FALSE)),0,VLOOKUP($A1191,'13. Updated Demand'!A:Z,17,FALSE))</f>
        <v>0</v>
      </c>
      <c r="AA1191" s="16">
        <f>IF(ISERROR(VLOOKUP($A1191,'13. Updated Demand'!A:Z,18,FALSE)),0,VLOOKUP($A1191,'13. Updated Demand'!A:Z,18,FALSE))</f>
        <v>0</v>
      </c>
      <c r="AB1191" s="16">
        <f>IF(ISERROR(VLOOKUP($A1191,'13. Updated Demand'!A:Z,19,FALSE)),0,VLOOKUP($A1191,'13. Updated Demand'!A:Z,19,FALSE))</f>
        <v>0</v>
      </c>
      <c r="AC1191" s="16">
        <f>IF(ISERROR(VLOOKUP($A1191,'13. Updated Demand'!A:Z,20,FALSE)),0,VLOOKUP($A1191,'13. Updated Demand'!A:Z,20,FALSE))</f>
        <v>0.96</v>
      </c>
      <c r="AD1191" s="16">
        <f>IF(ISERROR(VLOOKUP($A1191,'13. Updated Demand'!A:Z,21,FALSE)),0,VLOOKUP($A1191,'13. Updated Demand'!A:Z,21,FALSE))</f>
        <v>0.63</v>
      </c>
      <c r="AE1191" s="16">
        <f>IF(ISERROR(VLOOKUP($A1191,'13. Updated Demand'!A:Z,22,FALSE)),0,VLOOKUP($A1191,'13. Updated Demand'!A:Z,22,FALSE))</f>
        <v>1.06</v>
      </c>
      <c r="AF1191" s="16">
        <f>IF(ISERROR(VLOOKUP($A1191,'13. Updated Demand'!A:Z,23,FALSE)),0,VLOOKUP($A1191,'13. Updated Demand'!A:Z,23,FALSE))</f>
        <v>0</v>
      </c>
      <c r="AG1191" s="16">
        <f>IF(ISERROR(VLOOKUP($A1191,'13. Updated Demand'!A:Z,24,FALSE)),0,VLOOKUP($A1191,'13. Updated Demand'!A:Z,24,FALSE))</f>
        <v>0</v>
      </c>
      <c r="AH1191" s="16">
        <f>IF(ISERROR(VLOOKUP($A1191,'13. Updated Demand'!A:Z,25,FALSE)),0,VLOOKUP($A1191,'13. Updated Demand'!A:Z,25,FALSE))</f>
        <v>0</v>
      </c>
      <c r="AI1191" s="16">
        <f>IF(ISERROR(VLOOKUP($A1191,'13. Updated Demand'!A:Z,26,FALSE)),0,VLOOKUP($A1191,'13. Updated Demand'!A:Z,26,FALSE))</f>
        <v>0</v>
      </c>
      <c r="AJ1191" s="16">
        <f t="shared" si="228"/>
        <v>2.65</v>
      </c>
      <c r="AK1191" s="19">
        <v>2.6666666666666701</v>
      </c>
      <c r="AL1191" s="16">
        <f t="shared" si="226"/>
        <v>8.845029571454702E-3</v>
      </c>
      <c r="AM1191" s="17">
        <v>2.0947892118355616E-2</v>
      </c>
      <c r="AN1191" s="19"/>
      <c r="AO1191" s="19"/>
      <c r="AP1191" s="19">
        <v>127.3</v>
      </c>
      <c r="AQ1191" s="19" t="s">
        <v>307</v>
      </c>
      <c r="AR1191" s="9" t="s">
        <v>436</v>
      </c>
      <c r="AS1191" s="12">
        <v>0</v>
      </c>
      <c r="AT1191" s="19">
        <v>38.664725079999997</v>
      </c>
      <c r="AU1191" s="19">
        <v>-122.83429386</v>
      </c>
      <c r="AV1191" s="19" t="s">
        <v>387</v>
      </c>
    </row>
    <row r="1192" spans="1:48" x14ac:dyDescent="0.25">
      <c r="A1192" s="18" t="s">
        <v>1573</v>
      </c>
      <c r="B1192" s="10">
        <v>19520415</v>
      </c>
      <c r="C1192" s="9">
        <v>12</v>
      </c>
      <c r="D1192" s="8" t="str">
        <f t="shared" si="217"/>
        <v>N</v>
      </c>
      <c r="E1192" s="8" t="str">
        <f t="shared" si="218"/>
        <v>Y</v>
      </c>
      <c r="F1192" s="8" t="str">
        <f t="shared" si="219"/>
        <v>Y</v>
      </c>
      <c r="G1192" s="8" t="str">
        <f t="shared" si="220"/>
        <v>Y</v>
      </c>
      <c r="H1192" s="8" t="str">
        <f t="shared" si="221"/>
        <v>Upper</v>
      </c>
      <c r="I1192" s="8" t="str">
        <f t="shared" si="222"/>
        <v>West Fork and Below Lake</v>
      </c>
      <c r="J1192" s="8" t="str">
        <f t="shared" si="223"/>
        <v>Sonoma (d/s of Clov. Gage)</v>
      </c>
      <c r="K1192" s="8" t="str">
        <f t="shared" si="224"/>
        <v>Post-1949</v>
      </c>
      <c r="L1192" s="8">
        <f t="shared" si="225"/>
        <v>1952</v>
      </c>
      <c r="M1192" s="8" t="str">
        <f t="shared" si="227"/>
        <v>1950-1952</v>
      </c>
      <c r="N1192" s="10" t="s">
        <v>241</v>
      </c>
      <c r="O1192" s="10" t="s">
        <v>241</v>
      </c>
      <c r="P1192" s="10" t="s">
        <v>242</v>
      </c>
      <c r="Q1192" s="10" t="s">
        <v>242</v>
      </c>
      <c r="R1192" s="10" t="s">
        <v>241</v>
      </c>
      <c r="S1192" s="10" t="s">
        <v>242</v>
      </c>
      <c r="T1192" s="10" t="s">
        <v>242</v>
      </c>
      <c r="U1192" s="10" t="s">
        <v>242</v>
      </c>
      <c r="V1192" s="10" t="s">
        <v>242</v>
      </c>
      <c r="W1192" s="10" t="s">
        <v>242</v>
      </c>
      <c r="X1192" s="15">
        <f>IF(ISERROR(VLOOKUP($A1192,'13. Updated Demand'!A:Z,15,FALSE)),0,VLOOKUP($A1192,'13. Updated Demand'!A:Z,15,FALSE))</f>
        <v>0</v>
      </c>
      <c r="Y1192" s="16">
        <f>IF(ISERROR(VLOOKUP($A1192,'13. Updated Demand'!A:Z,16,FALSE)),0,VLOOKUP($A1192,'13. Updated Demand'!A:Z,16,FALSE))</f>
        <v>0</v>
      </c>
      <c r="Z1192" s="16">
        <f>IF(ISERROR(VLOOKUP($A1192,'13. Updated Demand'!A:Z,17,FALSE)),0,VLOOKUP($A1192,'13. Updated Demand'!A:Z,17,FALSE))</f>
        <v>0</v>
      </c>
      <c r="AA1192" s="16">
        <f>IF(ISERROR(VLOOKUP($A1192,'13. Updated Demand'!A:Z,18,FALSE)),0,VLOOKUP($A1192,'13. Updated Demand'!A:Z,18,FALSE))</f>
        <v>0</v>
      </c>
      <c r="AB1192" s="16">
        <f>IF(ISERROR(VLOOKUP($A1192,'13. Updated Demand'!A:Z,19,FALSE)),0,VLOOKUP($A1192,'13. Updated Demand'!A:Z,19,FALSE))</f>
        <v>0</v>
      </c>
      <c r="AC1192" s="16">
        <f>IF(ISERROR(VLOOKUP($A1192,'13. Updated Demand'!A:Z,20,FALSE)),0,VLOOKUP($A1192,'13. Updated Demand'!A:Z,20,FALSE))</f>
        <v>0.38</v>
      </c>
      <c r="AD1192" s="16">
        <f>IF(ISERROR(VLOOKUP($A1192,'13. Updated Demand'!A:Z,21,FALSE)),0,VLOOKUP($A1192,'13. Updated Demand'!A:Z,21,FALSE))</f>
        <v>0.3</v>
      </c>
      <c r="AE1192" s="16">
        <f>IF(ISERROR(VLOOKUP($A1192,'13. Updated Demand'!A:Z,22,FALSE)),0,VLOOKUP($A1192,'13. Updated Demand'!A:Z,22,FALSE))</f>
        <v>0.97</v>
      </c>
      <c r="AF1192" s="16">
        <f>IF(ISERROR(VLOOKUP($A1192,'13. Updated Demand'!A:Z,23,FALSE)),0,VLOOKUP($A1192,'13. Updated Demand'!A:Z,23,FALSE))</f>
        <v>0.14000000000000001</v>
      </c>
      <c r="AG1192" s="16">
        <f>IF(ISERROR(VLOOKUP($A1192,'13. Updated Demand'!A:Z,24,FALSE)),0,VLOOKUP($A1192,'13. Updated Demand'!A:Z,24,FALSE))</f>
        <v>0</v>
      </c>
      <c r="AH1192" s="16">
        <f>IF(ISERROR(VLOOKUP($A1192,'13. Updated Demand'!A:Z,25,FALSE)),0,VLOOKUP($A1192,'13. Updated Demand'!A:Z,25,FALSE))</f>
        <v>0</v>
      </c>
      <c r="AI1192" s="16">
        <f>IF(ISERROR(VLOOKUP($A1192,'13. Updated Demand'!A:Z,26,FALSE)),0,VLOOKUP($A1192,'13. Updated Demand'!A:Z,26,FALSE))</f>
        <v>0</v>
      </c>
      <c r="AJ1192" s="16">
        <f t="shared" si="228"/>
        <v>1.79</v>
      </c>
      <c r="AK1192" s="19">
        <v>1.796666666666666</v>
      </c>
      <c r="AL1192" s="16">
        <f t="shared" si="226"/>
        <v>5.9593386737675953E-3</v>
      </c>
      <c r="AM1192" s="17">
        <v>4.6788194444444431E-2</v>
      </c>
      <c r="AN1192" s="19"/>
      <c r="AO1192" s="19"/>
      <c r="AP1192" s="19">
        <v>38.4</v>
      </c>
      <c r="AQ1192" s="19" t="s">
        <v>307</v>
      </c>
      <c r="AR1192" s="9" t="s">
        <v>311</v>
      </c>
      <c r="AS1192" s="12">
        <v>0</v>
      </c>
      <c r="AT1192" s="19">
        <v>38.604916899999999</v>
      </c>
      <c r="AU1192" s="19">
        <v>-122.78705015</v>
      </c>
      <c r="AV1192" s="19" t="s">
        <v>387</v>
      </c>
    </row>
    <row r="1193" spans="1:48" x14ac:dyDescent="0.25">
      <c r="A1193" s="18" t="s">
        <v>1574</v>
      </c>
      <c r="B1193" s="10">
        <v>19520121</v>
      </c>
      <c r="C1193" s="9">
        <v>4</v>
      </c>
      <c r="D1193" s="8" t="str">
        <f t="shared" si="217"/>
        <v>Y</v>
      </c>
      <c r="E1193" s="8" t="str">
        <f t="shared" si="218"/>
        <v>N</v>
      </c>
      <c r="F1193" s="8" t="str">
        <f t="shared" si="219"/>
        <v>Y</v>
      </c>
      <c r="G1193" s="8" t="str">
        <f t="shared" si="220"/>
        <v>Y</v>
      </c>
      <c r="H1193" s="8" t="str">
        <f t="shared" si="221"/>
        <v>Upper</v>
      </c>
      <c r="I1193" s="8" t="str">
        <f t="shared" si="222"/>
        <v>West Fork and Below Lake</v>
      </c>
      <c r="J1193" s="8" t="str">
        <f t="shared" si="223"/>
        <v>Mendocino (d/s of lake)</v>
      </c>
      <c r="K1193" s="8" t="str">
        <f t="shared" si="224"/>
        <v>Post-1949</v>
      </c>
      <c r="L1193" s="8">
        <f t="shared" si="225"/>
        <v>1952</v>
      </c>
      <c r="M1193" s="8" t="str">
        <f t="shared" si="227"/>
        <v>1950-1952</v>
      </c>
      <c r="N1193" s="10" t="s">
        <v>241</v>
      </c>
      <c r="O1193" s="10" t="s">
        <v>241</v>
      </c>
      <c r="P1193" s="10" t="s">
        <v>242</v>
      </c>
      <c r="Q1193" s="10" t="s">
        <v>242</v>
      </c>
      <c r="R1193" s="10" t="s">
        <v>241</v>
      </c>
      <c r="S1193" s="10" t="s">
        <v>242</v>
      </c>
      <c r="T1193" s="10" t="s">
        <v>242</v>
      </c>
      <c r="U1193" s="10" t="s">
        <v>241</v>
      </c>
      <c r="V1193" s="10" t="s">
        <v>241</v>
      </c>
      <c r="W1193" s="10" t="s">
        <v>242</v>
      </c>
      <c r="X1193" s="15">
        <f>IF(ISERROR(VLOOKUP($A1193,'13. Updated Demand'!A:Z,15,FALSE)),0,VLOOKUP($A1193,'13. Updated Demand'!A:Z,15,FALSE))</f>
        <v>0</v>
      </c>
      <c r="Y1193" s="16">
        <f>IF(ISERROR(VLOOKUP($A1193,'13. Updated Demand'!A:Z,16,FALSE)),0,VLOOKUP($A1193,'13. Updated Demand'!A:Z,16,FALSE))</f>
        <v>0</v>
      </c>
      <c r="Z1193" s="16">
        <f>IF(ISERROR(VLOOKUP($A1193,'13. Updated Demand'!A:Z,17,FALSE)),0,VLOOKUP($A1193,'13. Updated Demand'!A:Z,17,FALSE))</f>
        <v>0</v>
      </c>
      <c r="AA1193" s="16">
        <f>IF(ISERROR(VLOOKUP($A1193,'13. Updated Demand'!A:Z,18,FALSE)),0,VLOOKUP($A1193,'13. Updated Demand'!A:Z,18,FALSE))</f>
        <v>0</v>
      </c>
      <c r="AB1193" s="16">
        <f>IF(ISERROR(VLOOKUP($A1193,'13. Updated Demand'!A:Z,19,FALSE)),0,VLOOKUP($A1193,'13. Updated Demand'!A:Z,19,FALSE))</f>
        <v>0</v>
      </c>
      <c r="AC1193" s="16">
        <f>IF(ISERROR(VLOOKUP($A1193,'13. Updated Demand'!A:Z,20,FALSE)),0,VLOOKUP($A1193,'13. Updated Demand'!A:Z,20,FALSE))</f>
        <v>0</v>
      </c>
      <c r="AD1193" s="16">
        <f>IF(ISERROR(VLOOKUP($A1193,'13. Updated Demand'!A:Z,21,FALSE)),0,VLOOKUP($A1193,'13. Updated Demand'!A:Z,21,FALSE))</f>
        <v>0</v>
      </c>
      <c r="AE1193" s="16">
        <f>IF(ISERROR(VLOOKUP($A1193,'13. Updated Demand'!A:Z,22,FALSE)),0,VLOOKUP($A1193,'13. Updated Demand'!A:Z,22,FALSE))</f>
        <v>0</v>
      </c>
      <c r="AF1193" s="16">
        <f>IF(ISERROR(VLOOKUP($A1193,'13. Updated Demand'!A:Z,23,FALSE)),0,VLOOKUP($A1193,'13. Updated Demand'!A:Z,23,FALSE))</f>
        <v>0</v>
      </c>
      <c r="AG1193" s="16">
        <f>IF(ISERROR(VLOOKUP($A1193,'13. Updated Demand'!A:Z,24,FALSE)),0,VLOOKUP($A1193,'13. Updated Demand'!A:Z,24,FALSE))</f>
        <v>0</v>
      </c>
      <c r="AH1193" s="16">
        <f>IF(ISERROR(VLOOKUP($A1193,'13. Updated Demand'!A:Z,25,FALSE)),0,VLOOKUP($A1193,'13. Updated Demand'!A:Z,25,FALSE))</f>
        <v>0</v>
      </c>
      <c r="AI1193" s="16">
        <f>IF(ISERROR(VLOOKUP($A1193,'13. Updated Demand'!A:Z,26,FALSE)),0,VLOOKUP($A1193,'13. Updated Demand'!A:Z,26,FALSE))</f>
        <v>0</v>
      </c>
      <c r="AJ1193" s="16">
        <f t="shared" si="228"/>
        <v>0</v>
      </c>
      <c r="AK1193" s="19">
        <v>0</v>
      </c>
      <c r="AL1193" s="16">
        <f t="shared" si="226"/>
        <v>0</v>
      </c>
      <c r="AM1193" s="17">
        <v>0</v>
      </c>
      <c r="AN1193" s="19"/>
      <c r="AO1193" s="19"/>
      <c r="AP1193" s="19">
        <v>105.5</v>
      </c>
      <c r="AQ1193" s="19" t="s">
        <v>307</v>
      </c>
      <c r="AR1193" s="9" t="s">
        <v>331</v>
      </c>
      <c r="AS1193" s="12">
        <v>0</v>
      </c>
      <c r="AT1193" s="19">
        <v>39.11908176</v>
      </c>
      <c r="AU1193" s="19">
        <v>-123.19284955000001</v>
      </c>
      <c r="AV1193" s="19" t="s">
        <v>387</v>
      </c>
    </row>
    <row r="1194" spans="1:48" x14ac:dyDescent="0.25">
      <c r="A1194" s="18" t="s">
        <v>1575</v>
      </c>
      <c r="B1194" s="10">
        <v>19520317</v>
      </c>
      <c r="C1194" s="9">
        <v>12</v>
      </c>
      <c r="D1194" s="8" t="str">
        <f t="shared" si="217"/>
        <v>N</v>
      </c>
      <c r="E1194" s="8" t="str">
        <f t="shared" si="218"/>
        <v>Y</v>
      </c>
      <c r="F1194" s="8" t="str">
        <f t="shared" si="219"/>
        <v>Y</v>
      </c>
      <c r="G1194" s="8" t="str">
        <f t="shared" si="220"/>
        <v>Y</v>
      </c>
      <c r="H1194" s="8" t="str">
        <f t="shared" si="221"/>
        <v>Upper</v>
      </c>
      <c r="I1194" s="8" t="str">
        <f t="shared" si="222"/>
        <v>West Fork and Below Lake</v>
      </c>
      <c r="J1194" s="8" t="str">
        <f t="shared" si="223"/>
        <v>Sonoma (d/s of Clov. Gage)</v>
      </c>
      <c r="K1194" s="8" t="str">
        <f t="shared" si="224"/>
        <v>Post-1949</v>
      </c>
      <c r="L1194" s="8">
        <f t="shared" si="225"/>
        <v>1952</v>
      </c>
      <c r="M1194" s="8" t="str">
        <f t="shared" si="227"/>
        <v>1950-1952</v>
      </c>
      <c r="N1194" s="10" t="s">
        <v>241</v>
      </c>
      <c r="O1194" s="10" t="s">
        <v>241</v>
      </c>
      <c r="P1194" s="10" t="s">
        <v>242</v>
      </c>
      <c r="Q1194" s="10" t="s">
        <v>242</v>
      </c>
      <c r="R1194" s="10" t="s">
        <v>241</v>
      </c>
      <c r="S1194" s="10" t="s">
        <v>242</v>
      </c>
      <c r="T1194" s="10" t="s">
        <v>242</v>
      </c>
      <c r="U1194" s="10" t="s">
        <v>242</v>
      </c>
      <c r="V1194" s="10" t="s">
        <v>241</v>
      </c>
      <c r="W1194" s="10" t="s">
        <v>242</v>
      </c>
      <c r="X1194" s="15">
        <f>IF(ISERROR(VLOOKUP($A1194,'13. Updated Demand'!A:Z,15,FALSE)),0,VLOOKUP($A1194,'13. Updated Demand'!A:Z,15,FALSE))</f>
        <v>0.06</v>
      </c>
      <c r="Y1194" s="16">
        <f>IF(ISERROR(VLOOKUP($A1194,'13. Updated Demand'!A:Z,16,FALSE)),0,VLOOKUP($A1194,'13. Updated Demand'!A:Z,16,FALSE))</f>
        <v>0</v>
      </c>
      <c r="Z1194" s="16">
        <f>IF(ISERROR(VLOOKUP($A1194,'13. Updated Demand'!A:Z,17,FALSE)),0,VLOOKUP($A1194,'13. Updated Demand'!A:Z,17,FALSE))</f>
        <v>0</v>
      </c>
      <c r="AA1194" s="16">
        <f>IF(ISERROR(VLOOKUP($A1194,'13. Updated Demand'!A:Z,18,FALSE)),0,VLOOKUP($A1194,'13. Updated Demand'!A:Z,18,FALSE))</f>
        <v>0</v>
      </c>
      <c r="AB1194" s="16">
        <f>IF(ISERROR(VLOOKUP($A1194,'13. Updated Demand'!A:Z,19,FALSE)),0,VLOOKUP($A1194,'13. Updated Demand'!A:Z,19,FALSE))</f>
        <v>0</v>
      </c>
      <c r="AC1194" s="16">
        <f>IF(ISERROR(VLOOKUP($A1194,'13. Updated Demand'!A:Z,20,FALSE)),0,VLOOKUP($A1194,'13. Updated Demand'!A:Z,20,FALSE))</f>
        <v>0</v>
      </c>
      <c r="AD1194" s="16">
        <f>IF(ISERROR(VLOOKUP($A1194,'13. Updated Demand'!A:Z,21,FALSE)),0,VLOOKUP($A1194,'13. Updated Demand'!A:Z,21,FALSE))</f>
        <v>0</v>
      </c>
      <c r="AE1194" s="16">
        <f>IF(ISERROR(VLOOKUP($A1194,'13. Updated Demand'!A:Z,22,FALSE)),0,VLOOKUP($A1194,'13. Updated Demand'!A:Z,22,FALSE))</f>
        <v>0</v>
      </c>
      <c r="AF1194" s="16">
        <f>IF(ISERROR(VLOOKUP($A1194,'13. Updated Demand'!A:Z,23,FALSE)),0,VLOOKUP($A1194,'13. Updated Demand'!A:Z,23,FALSE))</f>
        <v>0</v>
      </c>
      <c r="AG1194" s="16">
        <f>IF(ISERROR(VLOOKUP($A1194,'13. Updated Demand'!A:Z,24,FALSE)),0,VLOOKUP($A1194,'13. Updated Demand'!A:Z,24,FALSE))</f>
        <v>0</v>
      </c>
      <c r="AH1194" s="16">
        <f>IF(ISERROR(VLOOKUP($A1194,'13. Updated Demand'!A:Z,25,FALSE)),0,VLOOKUP($A1194,'13. Updated Demand'!A:Z,25,FALSE))</f>
        <v>2.4300000000000002</v>
      </c>
      <c r="AI1194" s="16">
        <f>IF(ISERROR(VLOOKUP($A1194,'13. Updated Demand'!A:Z,26,FALSE)),0,VLOOKUP($A1194,'13. Updated Demand'!A:Z,26,FALSE))</f>
        <v>3.43</v>
      </c>
      <c r="AJ1194" s="16">
        <f t="shared" si="228"/>
        <v>5.92</v>
      </c>
      <c r="AK1194" s="19">
        <v>0</v>
      </c>
      <c r="AL1194" s="16">
        <f t="shared" si="226"/>
        <v>0</v>
      </c>
      <c r="AM1194" s="17">
        <v>0.19843924191750256</v>
      </c>
      <c r="AN1194" s="19"/>
      <c r="AO1194" s="19"/>
      <c r="AP1194" s="19">
        <v>29.9</v>
      </c>
      <c r="AQ1194" s="19" t="s">
        <v>307</v>
      </c>
      <c r="AR1194" s="9" t="s">
        <v>311</v>
      </c>
      <c r="AS1194" s="12">
        <v>0</v>
      </c>
      <c r="AT1194" s="19">
        <v>38.627721319999999</v>
      </c>
      <c r="AU1194" s="19">
        <v>-122.78520148</v>
      </c>
      <c r="AV1194" s="19" t="s">
        <v>417</v>
      </c>
    </row>
    <row r="1195" spans="1:48" x14ac:dyDescent="0.25">
      <c r="A1195" s="18" t="s">
        <v>117</v>
      </c>
      <c r="B1195" s="10">
        <v>19520331</v>
      </c>
      <c r="C1195" s="9">
        <v>12</v>
      </c>
      <c r="D1195" s="8" t="str">
        <f t="shared" si="217"/>
        <v>N</v>
      </c>
      <c r="E1195" s="8" t="str">
        <f t="shared" si="218"/>
        <v>Y</v>
      </c>
      <c r="F1195" s="8" t="str">
        <f t="shared" si="219"/>
        <v>Y</v>
      </c>
      <c r="G1195" s="8" t="str">
        <f t="shared" si="220"/>
        <v>Y</v>
      </c>
      <c r="H1195" s="8" t="str">
        <f t="shared" si="221"/>
        <v>Upper</v>
      </c>
      <c r="I1195" s="8" t="str">
        <f t="shared" si="222"/>
        <v>West Fork and Below Lake</v>
      </c>
      <c r="J1195" s="8" t="str">
        <f t="shared" si="223"/>
        <v>Sonoma (d/s of Clov. Gage)</v>
      </c>
      <c r="K1195" s="8" t="str">
        <f t="shared" si="224"/>
        <v>Post-1949</v>
      </c>
      <c r="L1195" s="8">
        <f t="shared" si="225"/>
        <v>1952</v>
      </c>
      <c r="M1195" s="8" t="str">
        <f t="shared" si="227"/>
        <v>1950-1952</v>
      </c>
      <c r="N1195" s="10" t="s">
        <v>242</v>
      </c>
      <c r="O1195" s="10" t="s">
        <v>241</v>
      </c>
      <c r="P1195" s="10" t="s">
        <v>242</v>
      </c>
      <c r="Q1195" s="10" t="s">
        <v>242</v>
      </c>
      <c r="R1195" s="10" t="s">
        <v>241</v>
      </c>
      <c r="S1195" s="10" t="s">
        <v>242</v>
      </c>
      <c r="T1195" s="10" t="s">
        <v>242</v>
      </c>
      <c r="U1195" s="10" t="s">
        <v>242</v>
      </c>
      <c r="V1195" s="10" t="s">
        <v>241</v>
      </c>
      <c r="W1195" s="10" t="s">
        <v>242</v>
      </c>
      <c r="X1195" s="15">
        <f>IF(ISERROR(VLOOKUP($A1195,'13. Updated Demand'!A:Z,15,FALSE)),0,VLOOKUP($A1195,'13. Updated Demand'!A:Z,15,FALSE))</f>
        <v>29.5</v>
      </c>
      <c r="Y1195" s="16">
        <f>IF(ISERROR(VLOOKUP($A1195,'13. Updated Demand'!A:Z,16,FALSE)),0,VLOOKUP($A1195,'13. Updated Demand'!A:Z,16,FALSE))</f>
        <v>22.83</v>
      </c>
      <c r="Z1195" s="16">
        <f>IF(ISERROR(VLOOKUP($A1195,'13. Updated Demand'!A:Z,17,FALSE)),0,VLOOKUP($A1195,'13. Updated Demand'!A:Z,17,FALSE))</f>
        <v>4.66</v>
      </c>
      <c r="AA1195" s="16">
        <f>IF(ISERROR(VLOOKUP($A1195,'13. Updated Demand'!A:Z,18,FALSE)),0,VLOOKUP($A1195,'13. Updated Demand'!A:Z,18,FALSE))</f>
        <v>3.5</v>
      </c>
      <c r="AB1195" s="16">
        <f>IF(ISERROR(VLOOKUP($A1195,'13. Updated Demand'!A:Z,19,FALSE)),0,VLOOKUP($A1195,'13. Updated Demand'!A:Z,19,FALSE))</f>
        <v>0</v>
      </c>
      <c r="AC1195" s="16">
        <f>IF(ISERROR(VLOOKUP($A1195,'13. Updated Demand'!A:Z,20,FALSE)),0,VLOOKUP($A1195,'13. Updated Demand'!A:Z,20,FALSE))</f>
        <v>0</v>
      </c>
      <c r="AD1195" s="16">
        <f>IF(ISERROR(VLOOKUP($A1195,'13. Updated Demand'!A:Z,21,FALSE)),0,VLOOKUP($A1195,'13. Updated Demand'!A:Z,21,FALSE))</f>
        <v>0</v>
      </c>
      <c r="AE1195" s="16">
        <f>IF(ISERROR(VLOOKUP($A1195,'13. Updated Demand'!A:Z,22,FALSE)),0,VLOOKUP($A1195,'13. Updated Demand'!A:Z,22,FALSE))</f>
        <v>0</v>
      </c>
      <c r="AF1195" s="16">
        <f>IF(ISERROR(VLOOKUP($A1195,'13. Updated Demand'!A:Z,23,FALSE)),0,VLOOKUP($A1195,'13. Updated Demand'!A:Z,23,FALSE))</f>
        <v>0</v>
      </c>
      <c r="AG1195" s="16">
        <f>IF(ISERROR(VLOOKUP($A1195,'13. Updated Demand'!A:Z,24,FALSE)),0,VLOOKUP($A1195,'13. Updated Demand'!A:Z,24,FALSE))</f>
        <v>0</v>
      </c>
      <c r="AH1195" s="16">
        <f>IF(ISERROR(VLOOKUP($A1195,'13. Updated Demand'!A:Z,25,FALSE)),0,VLOOKUP($A1195,'13. Updated Demand'!A:Z,25,FALSE))</f>
        <v>3.33</v>
      </c>
      <c r="AI1195" s="16">
        <f>IF(ISERROR(VLOOKUP($A1195,'13. Updated Demand'!A:Z,26,FALSE)),0,VLOOKUP($A1195,'13. Updated Demand'!A:Z,26,FALSE))</f>
        <v>4.83</v>
      </c>
      <c r="AJ1195" s="16">
        <f t="shared" si="228"/>
        <v>68.649999999999991</v>
      </c>
      <c r="AK1195" s="19">
        <v>0</v>
      </c>
      <c r="AL1195" s="16">
        <f t="shared" si="226"/>
        <v>0</v>
      </c>
      <c r="AM1195" s="17">
        <v>0.44017094014743591</v>
      </c>
      <c r="AN1195" s="19"/>
      <c r="AO1195" s="19"/>
      <c r="AP1195" s="19">
        <v>156</v>
      </c>
      <c r="AQ1195" s="19" t="s">
        <v>307</v>
      </c>
      <c r="AR1195" s="9" t="s">
        <v>311</v>
      </c>
      <c r="AS1195" s="12">
        <v>0</v>
      </c>
      <c r="AT1195" s="19">
        <v>38.618600000000001</v>
      </c>
      <c r="AU1195" s="19">
        <v>-122.7654</v>
      </c>
      <c r="AV1195" s="19" t="s">
        <v>417</v>
      </c>
    </row>
    <row r="1196" spans="1:48" x14ac:dyDescent="0.25">
      <c r="A1196" s="18" t="s">
        <v>1576</v>
      </c>
      <c r="B1196" s="10">
        <v>19520415</v>
      </c>
      <c r="C1196" s="9">
        <v>12</v>
      </c>
      <c r="D1196" s="8" t="str">
        <f t="shared" si="217"/>
        <v>N</v>
      </c>
      <c r="E1196" s="8" t="str">
        <f t="shared" si="218"/>
        <v>Y</v>
      </c>
      <c r="F1196" s="8" t="str">
        <f t="shared" si="219"/>
        <v>Y</v>
      </c>
      <c r="G1196" s="8" t="str">
        <f t="shared" si="220"/>
        <v>Y</v>
      </c>
      <c r="H1196" s="8" t="str">
        <f t="shared" si="221"/>
        <v>Upper</v>
      </c>
      <c r="I1196" s="8" t="str">
        <f t="shared" si="222"/>
        <v>West Fork and Below Lake</v>
      </c>
      <c r="J1196" s="8" t="str">
        <f t="shared" si="223"/>
        <v>Sonoma (d/s of Clov. Gage)</v>
      </c>
      <c r="K1196" s="8" t="str">
        <f t="shared" si="224"/>
        <v>Post-1949</v>
      </c>
      <c r="L1196" s="8">
        <f t="shared" si="225"/>
        <v>1952</v>
      </c>
      <c r="M1196" s="8" t="str">
        <f t="shared" si="227"/>
        <v>1950-1952</v>
      </c>
      <c r="N1196" s="10" t="s">
        <v>242</v>
      </c>
      <c r="O1196" s="10" t="s">
        <v>241</v>
      </c>
      <c r="P1196" s="10" t="s">
        <v>242</v>
      </c>
      <c r="Q1196" s="10" t="s">
        <v>242</v>
      </c>
      <c r="R1196" s="10" t="s">
        <v>241</v>
      </c>
      <c r="S1196" s="10" t="s">
        <v>242</v>
      </c>
      <c r="T1196" s="10" t="s">
        <v>242</v>
      </c>
      <c r="U1196" s="10" t="s">
        <v>242</v>
      </c>
      <c r="V1196" s="10" t="s">
        <v>241</v>
      </c>
      <c r="W1196" s="10" t="s">
        <v>242</v>
      </c>
      <c r="X1196" s="15">
        <f>IF(ISERROR(VLOOKUP($A1196,'13. Updated Demand'!A:Z,15,FALSE)),0,VLOOKUP($A1196,'13. Updated Demand'!A:Z,15,FALSE))</f>
        <v>0.16</v>
      </c>
      <c r="Y1196" s="16">
        <f>IF(ISERROR(VLOOKUP($A1196,'13. Updated Demand'!A:Z,16,FALSE)),0,VLOOKUP($A1196,'13. Updated Demand'!A:Z,16,FALSE))</f>
        <v>0</v>
      </c>
      <c r="Z1196" s="16">
        <f>IF(ISERROR(VLOOKUP($A1196,'13. Updated Demand'!A:Z,17,FALSE)),0,VLOOKUP($A1196,'13. Updated Demand'!A:Z,17,FALSE))</f>
        <v>0.16</v>
      </c>
      <c r="AA1196" s="16">
        <f>IF(ISERROR(VLOOKUP($A1196,'13. Updated Demand'!A:Z,18,FALSE)),0,VLOOKUP($A1196,'13. Updated Demand'!A:Z,18,FALSE))</f>
        <v>0</v>
      </c>
      <c r="AB1196" s="16">
        <f>IF(ISERROR(VLOOKUP($A1196,'13. Updated Demand'!A:Z,19,FALSE)),0,VLOOKUP($A1196,'13. Updated Demand'!A:Z,19,FALSE))</f>
        <v>0</v>
      </c>
      <c r="AC1196" s="16">
        <f>IF(ISERROR(VLOOKUP($A1196,'13. Updated Demand'!A:Z,20,FALSE)),0,VLOOKUP($A1196,'13. Updated Demand'!A:Z,20,FALSE))</f>
        <v>0</v>
      </c>
      <c r="AD1196" s="16">
        <f>IF(ISERROR(VLOOKUP($A1196,'13. Updated Demand'!A:Z,21,FALSE)),0,VLOOKUP($A1196,'13. Updated Demand'!A:Z,21,FALSE))</f>
        <v>0</v>
      </c>
      <c r="AE1196" s="16">
        <f>IF(ISERROR(VLOOKUP($A1196,'13. Updated Demand'!A:Z,22,FALSE)),0,VLOOKUP($A1196,'13. Updated Demand'!A:Z,22,FALSE))</f>
        <v>0</v>
      </c>
      <c r="AF1196" s="16">
        <f>IF(ISERROR(VLOOKUP($A1196,'13. Updated Demand'!A:Z,23,FALSE)),0,VLOOKUP($A1196,'13. Updated Demand'!A:Z,23,FALSE))</f>
        <v>0</v>
      </c>
      <c r="AG1196" s="16">
        <f>IF(ISERROR(VLOOKUP($A1196,'13. Updated Demand'!A:Z,24,FALSE)),0,VLOOKUP($A1196,'13. Updated Demand'!A:Z,24,FALSE))</f>
        <v>0</v>
      </c>
      <c r="AH1196" s="16">
        <f>IF(ISERROR(VLOOKUP($A1196,'13. Updated Demand'!A:Z,25,FALSE)),0,VLOOKUP($A1196,'13. Updated Demand'!A:Z,25,FALSE))</f>
        <v>8.16</v>
      </c>
      <c r="AI1196" s="16">
        <f>IF(ISERROR(VLOOKUP($A1196,'13. Updated Demand'!A:Z,26,FALSE)),0,VLOOKUP($A1196,'13. Updated Demand'!A:Z,26,FALSE))</f>
        <v>0</v>
      </c>
      <c r="AJ1196" s="16">
        <f t="shared" si="228"/>
        <v>8.48</v>
      </c>
      <c r="AK1196" s="19">
        <v>0</v>
      </c>
      <c r="AL1196" s="16">
        <f t="shared" si="226"/>
        <v>0</v>
      </c>
      <c r="AM1196" s="17">
        <v>0.32692307696153844</v>
      </c>
      <c r="AN1196" s="19"/>
      <c r="AO1196" s="19"/>
      <c r="AP1196" s="19">
        <v>26</v>
      </c>
      <c r="AQ1196" s="19" t="s">
        <v>307</v>
      </c>
      <c r="AR1196" s="9" t="s">
        <v>311</v>
      </c>
      <c r="AS1196" s="12">
        <v>0</v>
      </c>
      <c r="AT1196" s="19">
        <v>38.605933800000003</v>
      </c>
      <c r="AU1196" s="19">
        <v>-122.75801468</v>
      </c>
      <c r="AV1196" s="19" t="s">
        <v>417</v>
      </c>
    </row>
    <row r="1197" spans="1:48" x14ac:dyDescent="0.25">
      <c r="A1197" s="18" t="s">
        <v>1577</v>
      </c>
      <c r="B1197" s="10">
        <v>19520418</v>
      </c>
      <c r="C1197" s="9">
        <v>17</v>
      </c>
      <c r="D1197" s="8" t="str">
        <f t="shared" si="217"/>
        <v>N</v>
      </c>
      <c r="E1197" s="8" t="str">
        <f t="shared" si="218"/>
        <v>N</v>
      </c>
      <c r="F1197" s="8" t="str">
        <f t="shared" si="219"/>
        <v>N</v>
      </c>
      <c r="G1197" s="8" t="str">
        <f t="shared" si="220"/>
        <v>N</v>
      </c>
      <c r="H1197" s="8" t="str">
        <f t="shared" si="221"/>
        <v>Lower</v>
      </c>
      <c r="I1197" s="8" t="str">
        <f t="shared" si="222"/>
        <v>Outside</v>
      </c>
      <c r="J1197" s="8" t="str">
        <f t="shared" si="223"/>
        <v>Outside</v>
      </c>
      <c r="K1197" s="8" t="str">
        <f t="shared" si="224"/>
        <v>Post-1949</v>
      </c>
      <c r="L1197" s="8">
        <f t="shared" si="225"/>
        <v>1952</v>
      </c>
      <c r="M1197" s="8" t="str">
        <f t="shared" si="227"/>
        <v>1950-1952</v>
      </c>
      <c r="N1197" s="10" t="s">
        <v>241</v>
      </c>
      <c r="O1197" s="10" t="s">
        <v>242</v>
      </c>
      <c r="P1197" s="10" t="s">
        <v>242</v>
      </c>
      <c r="Q1197" s="10" t="s">
        <v>242</v>
      </c>
      <c r="R1197" s="10" t="s">
        <v>241</v>
      </c>
      <c r="S1197" s="10" t="s">
        <v>242</v>
      </c>
      <c r="T1197" s="10" t="s">
        <v>242</v>
      </c>
      <c r="U1197" s="10" t="s">
        <v>241</v>
      </c>
      <c r="V1197" s="10" t="s">
        <v>241</v>
      </c>
      <c r="W1197" s="10" t="s">
        <v>242</v>
      </c>
      <c r="X1197" s="15">
        <f>IF(ISERROR(VLOOKUP($A1197,'13. Updated Demand'!A:Z,15,FALSE)),0,VLOOKUP($A1197,'13. Updated Demand'!A:Z,15,FALSE))</f>
        <v>0</v>
      </c>
      <c r="Y1197" s="16">
        <f>IF(ISERROR(VLOOKUP($A1197,'13. Updated Demand'!A:Z,16,FALSE)),0,VLOOKUP($A1197,'13. Updated Demand'!A:Z,16,FALSE))</f>
        <v>0</v>
      </c>
      <c r="Z1197" s="16">
        <f>IF(ISERROR(VLOOKUP($A1197,'13. Updated Demand'!A:Z,17,FALSE)),0,VLOOKUP($A1197,'13. Updated Demand'!A:Z,17,FALSE))</f>
        <v>0</v>
      </c>
      <c r="AA1197" s="16">
        <f>IF(ISERROR(VLOOKUP($A1197,'13. Updated Demand'!A:Z,18,FALSE)),0,VLOOKUP($A1197,'13. Updated Demand'!A:Z,18,FALSE))</f>
        <v>0</v>
      </c>
      <c r="AB1197" s="16">
        <f>IF(ISERROR(VLOOKUP($A1197,'13. Updated Demand'!A:Z,19,FALSE)),0,VLOOKUP($A1197,'13. Updated Demand'!A:Z,19,FALSE))</f>
        <v>0</v>
      </c>
      <c r="AC1197" s="16">
        <f>IF(ISERROR(VLOOKUP($A1197,'13. Updated Demand'!A:Z,20,FALSE)),0,VLOOKUP($A1197,'13. Updated Demand'!A:Z,20,FALSE))</f>
        <v>0</v>
      </c>
      <c r="AD1197" s="16">
        <f>IF(ISERROR(VLOOKUP($A1197,'13. Updated Demand'!A:Z,21,FALSE)),0,VLOOKUP($A1197,'13. Updated Demand'!A:Z,21,FALSE))</f>
        <v>0</v>
      </c>
      <c r="AE1197" s="16">
        <f>IF(ISERROR(VLOOKUP($A1197,'13. Updated Demand'!A:Z,22,FALSE)),0,VLOOKUP($A1197,'13. Updated Demand'!A:Z,22,FALSE))</f>
        <v>0</v>
      </c>
      <c r="AF1197" s="16">
        <f>IF(ISERROR(VLOOKUP($A1197,'13. Updated Demand'!A:Z,23,FALSE)),0,VLOOKUP($A1197,'13. Updated Demand'!A:Z,23,FALSE))</f>
        <v>0</v>
      </c>
      <c r="AG1197" s="16">
        <f>IF(ISERROR(VLOOKUP($A1197,'13. Updated Demand'!A:Z,24,FALSE)),0,VLOOKUP($A1197,'13. Updated Demand'!A:Z,24,FALSE))</f>
        <v>0</v>
      </c>
      <c r="AH1197" s="16">
        <f>IF(ISERROR(VLOOKUP($A1197,'13. Updated Demand'!A:Z,25,FALSE)),0,VLOOKUP($A1197,'13. Updated Demand'!A:Z,25,FALSE))</f>
        <v>0</v>
      </c>
      <c r="AI1197" s="16">
        <f>IF(ISERROR(VLOOKUP($A1197,'13. Updated Demand'!A:Z,26,FALSE)),0,VLOOKUP($A1197,'13. Updated Demand'!A:Z,26,FALSE))</f>
        <v>0</v>
      </c>
      <c r="AJ1197" s="16">
        <f t="shared" si="228"/>
        <v>0</v>
      </c>
      <c r="AK1197" s="19">
        <v>0</v>
      </c>
      <c r="AL1197" s="16">
        <f t="shared" si="226"/>
        <v>0</v>
      </c>
      <c r="AM1197" s="17">
        <v>0</v>
      </c>
      <c r="AN1197" s="19"/>
      <c r="AO1197" s="19"/>
      <c r="AP1197" s="19">
        <v>357</v>
      </c>
      <c r="AQ1197" s="19" t="s">
        <v>307</v>
      </c>
      <c r="AR1197" s="9" t="s">
        <v>486</v>
      </c>
      <c r="AS1197" s="12">
        <v>0</v>
      </c>
      <c r="AT1197" s="19">
        <v>38.559131440000002</v>
      </c>
      <c r="AU1197" s="19">
        <v>-122.85439343</v>
      </c>
      <c r="AV1197" s="19" t="s">
        <v>387</v>
      </c>
    </row>
    <row r="1198" spans="1:48" x14ac:dyDescent="0.25">
      <c r="A1198" s="18" t="s">
        <v>1578</v>
      </c>
      <c r="B1198" s="10">
        <v>19520421</v>
      </c>
      <c r="C1198" s="9">
        <v>23</v>
      </c>
      <c r="D1198" s="8" t="str">
        <f t="shared" si="217"/>
        <v>N</v>
      </c>
      <c r="E1198" s="8" t="str">
        <f t="shared" si="218"/>
        <v>N</v>
      </c>
      <c r="F1198" s="8" t="str">
        <f t="shared" si="219"/>
        <v>N</v>
      </c>
      <c r="G1198" s="8" t="str">
        <f t="shared" si="220"/>
        <v>N</v>
      </c>
      <c r="H1198" s="8" t="str">
        <f t="shared" si="221"/>
        <v>Lower</v>
      </c>
      <c r="I1198" s="8" t="str">
        <f t="shared" si="222"/>
        <v>Outside</v>
      </c>
      <c r="J1198" s="8" t="str">
        <f t="shared" si="223"/>
        <v>Outside</v>
      </c>
      <c r="K1198" s="8" t="str">
        <f t="shared" si="224"/>
        <v>Post-1949</v>
      </c>
      <c r="L1198" s="8">
        <f t="shared" si="225"/>
        <v>1952</v>
      </c>
      <c r="M1198" s="8" t="str">
        <f t="shared" si="227"/>
        <v>1950-1952</v>
      </c>
      <c r="N1198" s="10" t="s">
        <v>242</v>
      </c>
      <c r="O1198" s="10" t="s">
        <v>242</v>
      </c>
      <c r="P1198" s="10" t="s">
        <v>242</v>
      </c>
      <c r="Q1198" s="10" t="s">
        <v>242</v>
      </c>
      <c r="R1198" s="10" t="s">
        <v>241</v>
      </c>
      <c r="S1198" s="10" t="s">
        <v>242</v>
      </c>
      <c r="T1198" s="10" t="s">
        <v>242</v>
      </c>
      <c r="U1198" s="10" t="s">
        <v>242</v>
      </c>
      <c r="V1198" s="10" t="s">
        <v>241</v>
      </c>
      <c r="W1198" s="10" t="s">
        <v>242</v>
      </c>
      <c r="X1198" s="15">
        <f>IF(ISERROR(VLOOKUP($A1198,'13. Updated Demand'!A:Z,15,FALSE)),0,VLOOKUP($A1198,'13. Updated Demand'!A:Z,15,FALSE))</f>
        <v>2.8333333330000001</v>
      </c>
      <c r="Y1198" s="16">
        <f>IF(ISERROR(VLOOKUP($A1198,'13. Updated Demand'!A:Z,16,FALSE)),0,VLOOKUP($A1198,'13. Updated Demand'!A:Z,16,FALSE))</f>
        <v>1.3333333329999999</v>
      </c>
      <c r="Z1198" s="16">
        <f>IF(ISERROR(VLOOKUP($A1198,'13. Updated Demand'!A:Z,17,FALSE)),0,VLOOKUP($A1198,'13. Updated Demand'!A:Z,17,FALSE))</f>
        <v>1.5</v>
      </c>
      <c r="AA1198" s="16">
        <f>IF(ISERROR(VLOOKUP($A1198,'13. Updated Demand'!A:Z,18,FALSE)),0,VLOOKUP($A1198,'13. Updated Demand'!A:Z,18,FALSE))</f>
        <v>0</v>
      </c>
      <c r="AB1198" s="16">
        <f>IF(ISERROR(VLOOKUP($A1198,'13. Updated Demand'!A:Z,19,FALSE)),0,VLOOKUP($A1198,'13. Updated Demand'!A:Z,19,FALSE))</f>
        <v>0</v>
      </c>
      <c r="AC1198" s="16">
        <f>IF(ISERROR(VLOOKUP($A1198,'13. Updated Demand'!A:Z,20,FALSE)),0,VLOOKUP($A1198,'13. Updated Demand'!A:Z,20,FALSE))</f>
        <v>0</v>
      </c>
      <c r="AD1198" s="16">
        <f>IF(ISERROR(VLOOKUP($A1198,'13. Updated Demand'!A:Z,21,FALSE)),0,VLOOKUP($A1198,'13. Updated Demand'!A:Z,21,FALSE))</f>
        <v>0</v>
      </c>
      <c r="AE1198" s="16">
        <f>IF(ISERROR(VLOOKUP($A1198,'13. Updated Demand'!A:Z,22,FALSE)),0,VLOOKUP($A1198,'13. Updated Demand'!A:Z,22,FALSE))</f>
        <v>0</v>
      </c>
      <c r="AF1198" s="16">
        <f>IF(ISERROR(VLOOKUP($A1198,'13. Updated Demand'!A:Z,23,FALSE)),0,VLOOKUP($A1198,'13. Updated Demand'!A:Z,23,FALSE))</f>
        <v>0</v>
      </c>
      <c r="AG1198" s="16">
        <f>IF(ISERROR(VLOOKUP($A1198,'13. Updated Demand'!A:Z,24,FALSE)),0,VLOOKUP($A1198,'13. Updated Demand'!A:Z,24,FALSE))</f>
        <v>0</v>
      </c>
      <c r="AH1198" s="16">
        <f>IF(ISERROR(VLOOKUP($A1198,'13. Updated Demand'!A:Z,25,FALSE)),0,VLOOKUP($A1198,'13. Updated Demand'!A:Z,25,FALSE))</f>
        <v>1</v>
      </c>
      <c r="AI1198" s="16">
        <f>IF(ISERROR(VLOOKUP($A1198,'13. Updated Demand'!A:Z,26,FALSE)),0,VLOOKUP($A1198,'13. Updated Demand'!A:Z,26,FALSE))</f>
        <v>1</v>
      </c>
      <c r="AJ1198" s="16">
        <f t="shared" si="228"/>
        <v>7.6666666660000002</v>
      </c>
      <c r="AK1198" s="19">
        <v>0</v>
      </c>
      <c r="AL1198" s="16">
        <f t="shared" si="226"/>
        <v>0</v>
      </c>
      <c r="AM1198" s="17">
        <v>0.30666666664000003</v>
      </c>
      <c r="AN1198" s="19"/>
      <c r="AO1198" s="19"/>
      <c r="AP1198" s="19">
        <v>25</v>
      </c>
      <c r="AQ1198" s="19" t="s">
        <v>307</v>
      </c>
      <c r="AR1198" s="9" t="s">
        <v>378</v>
      </c>
      <c r="AS1198" s="12">
        <v>0</v>
      </c>
      <c r="AT1198" s="19">
        <v>38.390846590000002</v>
      </c>
      <c r="AU1198" s="19">
        <v>-122.63362214</v>
      </c>
      <c r="AV1198" s="19" t="s">
        <v>417</v>
      </c>
    </row>
    <row r="1199" spans="1:48" x14ac:dyDescent="0.25">
      <c r="A1199" s="18" t="s">
        <v>1579</v>
      </c>
      <c r="B1199" s="10">
        <v>19520507</v>
      </c>
      <c r="C1199" s="9">
        <v>23</v>
      </c>
      <c r="D1199" s="8" t="str">
        <f t="shared" si="217"/>
        <v>N</v>
      </c>
      <c r="E1199" s="8" t="str">
        <f t="shared" si="218"/>
        <v>N</v>
      </c>
      <c r="F1199" s="8" t="str">
        <f t="shared" si="219"/>
        <v>N</v>
      </c>
      <c r="G1199" s="8" t="str">
        <f t="shared" si="220"/>
        <v>N</v>
      </c>
      <c r="H1199" s="8" t="str">
        <f t="shared" si="221"/>
        <v>Lower</v>
      </c>
      <c r="I1199" s="8" t="str">
        <f t="shared" si="222"/>
        <v>Outside</v>
      </c>
      <c r="J1199" s="8" t="str">
        <f t="shared" si="223"/>
        <v>Outside</v>
      </c>
      <c r="K1199" s="8" t="str">
        <f t="shared" si="224"/>
        <v>Post-1949</v>
      </c>
      <c r="L1199" s="8">
        <f t="shared" si="225"/>
        <v>1952</v>
      </c>
      <c r="M1199" s="8" t="str">
        <f t="shared" si="227"/>
        <v>1950-1952</v>
      </c>
      <c r="N1199" s="10" t="s">
        <v>242</v>
      </c>
      <c r="O1199" s="10" t="s">
        <v>242</v>
      </c>
      <c r="P1199" s="10" t="s">
        <v>242</v>
      </c>
      <c r="Q1199" s="10" t="s">
        <v>242</v>
      </c>
      <c r="R1199" s="10" t="s">
        <v>241</v>
      </c>
      <c r="S1199" s="10" t="s">
        <v>242</v>
      </c>
      <c r="T1199" s="10" t="s">
        <v>242</v>
      </c>
      <c r="U1199" s="10" t="s">
        <v>242</v>
      </c>
      <c r="V1199" s="10" t="s">
        <v>241</v>
      </c>
      <c r="W1199" s="10" t="s">
        <v>242</v>
      </c>
      <c r="X1199" s="15">
        <f>IF(ISERROR(VLOOKUP($A1199,'13. Updated Demand'!A:Z,15,FALSE)),0,VLOOKUP($A1199,'13. Updated Demand'!A:Z,15,FALSE))</f>
        <v>11.66666667</v>
      </c>
      <c r="Y1199" s="16">
        <f>IF(ISERROR(VLOOKUP($A1199,'13. Updated Demand'!A:Z,16,FALSE)),0,VLOOKUP($A1199,'13. Updated Demand'!A:Z,16,FALSE))</f>
        <v>5</v>
      </c>
      <c r="Z1199" s="16">
        <f>IF(ISERROR(VLOOKUP($A1199,'13. Updated Demand'!A:Z,17,FALSE)),0,VLOOKUP($A1199,'13. Updated Demand'!A:Z,17,FALSE))</f>
        <v>4.3333333329999997</v>
      </c>
      <c r="AA1199" s="16">
        <f>IF(ISERROR(VLOOKUP($A1199,'13. Updated Demand'!A:Z,18,FALSE)),0,VLOOKUP($A1199,'13. Updated Demand'!A:Z,18,FALSE))</f>
        <v>0</v>
      </c>
      <c r="AB1199" s="16">
        <f>IF(ISERROR(VLOOKUP($A1199,'13. Updated Demand'!A:Z,19,FALSE)),0,VLOOKUP($A1199,'13. Updated Demand'!A:Z,19,FALSE))</f>
        <v>0</v>
      </c>
      <c r="AC1199" s="16">
        <f>IF(ISERROR(VLOOKUP($A1199,'13. Updated Demand'!A:Z,20,FALSE)),0,VLOOKUP($A1199,'13. Updated Demand'!A:Z,20,FALSE))</f>
        <v>0</v>
      </c>
      <c r="AD1199" s="16">
        <f>IF(ISERROR(VLOOKUP($A1199,'13. Updated Demand'!A:Z,21,FALSE)),0,VLOOKUP($A1199,'13. Updated Demand'!A:Z,21,FALSE))</f>
        <v>0</v>
      </c>
      <c r="AE1199" s="16">
        <f>IF(ISERROR(VLOOKUP($A1199,'13. Updated Demand'!A:Z,22,FALSE)),0,VLOOKUP($A1199,'13. Updated Demand'!A:Z,22,FALSE))</f>
        <v>0</v>
      </c>
      <c r="AF1199" s="16">
        <f>IF(ISERROR(VLOOKUP($A1199,'13. Updated Demand'!A:Z,23,FALSE)),0,VLOOKUP($A1199,'13. Updated Demand'!A:Z,23,FALSE))</f>
        <v>0</v>
      </c>
      <c r="AG1199" s="16">
        <f>IF(ISERROR(VLOOKUP($A1199,'13. Updated Demand'!A:Z,24,FALSE)),0,VLOOKUP($A1199,'13. Updated Demand'!A:Z,24,FALSE))</f>
        <v>0</v>
      </c>
      <c r="AH1199" s="16">
        <f>IF(ISERROR(VLOOKUP($A1199,'13. Updated Demand'!A:Z,25,FALSE)),0,VLOOKUP($A1199,'13. Updated Demand'!A:Z,25,FALSE))</f>
        <v>0</v>
      </c>
      <c r="AI1199" s="16">
        <f>IF(ISERROR(VLOOKUP($A1199,'13. Updated Demand'!A:Z,26,FALSE)),0,VLOOKUP($A1199,'13. Updated Demand'!A:Z,26,FALSE))</f>
        <v>0</v>
      </c>
      <c r="AJ1199" s="16">
        <f t="shared" si="228"/>
        <v>21.000000002999997</v>
      </c>
      <c r="AK1199" s="19">
        <v>0</v>
      </c>
      <c r="AL1199" s="16">
        <f t="shared" si="226"/>
        <v>0</v>
      </c>
      <c r="AM1199" s="17">
        <v>0.70000000009999985</v>
      </c>
      <c r="AN1199" s="19"/>
      <c r="AO1199" s="19"/>
      <c r="AP1199" s="19">
        <v>30</v>
      </c>
      <c r="AQ1199" s="19" t="s">
        <v>307</v>
      </c>
      <c r="AR1199" s="9" t="s">
        <v>378</v>
      </c>
      <c r="AS1199" s="12">
        <v>0</v>
      </c>
      <c r="AT1199" s="19">
        <v>38.4467</v>
      </c>
      <c r="AU1199" s="19">
        <v>-122.5996</v>
      </c>
      <c r="AV1199" s="19" t="s">
        <v>417</v>
      </c>
    </row>
    <row r="1200" spans="1:48" x14ac:dyDescent="0.25">
      <c r="A1200" s="18" t="s">
        <v>1580</v>
      </c>
      <c r="B1200" s="10">
        <v>19520605</v>
      </c>
      <c r="C1200" s="9">
        <v>12</v>
      </c>
      <c r="D1200" s="8" t="str">
        <f t="shared" si="217"/>
        <v>N</v>
      </c>
      <c r="E1200" s="8" t="str">
        <f t="shared" si="218"/>
        <v>Y</v>
      </c>
      <c r="F1200" s="8" t="str">
        <f t="shared" si="219"/>
        <v>Y</v>
      </c>
      <c r="G1200" s="8" t="str">
        <f t="shared" si="220"/>
        <v>Y</v>
      </c>
      <c r="H1200" s="8" t="str">
        <f t="shared" si="221"/>
        <v>Upper</v>
      </c>
      <c r="I1200" s="8" t="str">
        <f t="shared" si="222"/>
        <v>West Fork and Below Lake</v>
      </c>
      <c r="J1200" s="8" t="str">
        <f t="shared" si="223"/>
        <v>Sonoma (d/s of Clov. Gage)</v>
      </c>
      <c r="K1200" s="8" t="str">
        <f t="shared" si="224"/>
        <v>Post-1949</v>
      </c>
      <c r="L1200" s="8">
        <f t="shared" si="225"/>
        <v>1952</v>
      </c>
      <c r="M1200" s="8" t="str">
        <f t="shared" si="227"/>
        <v>1950-1952</v>
      </c>
      <c r="N1200" s="10" t="s">
        <v>242</v>
      </c>
      <c r="O1200" s="10" t="s">
        <v>241</v>
      </c>
      <c r="P1200" s="10" t="s">
        <v>242</v>
      </c>
      <c r="Q1200" s="10" t="s">
        <v>242</v>
      </c>
      <c r="R1200" s="10" t="s">
        <v>241</v>
      </c>
      <c r="S1200" s="10" t="s">
        <v>242</v>
      </c>
      <c r="T1200" s="10" t="s">
        <v>242</v>
      </c>
      <c r="U1200" s="10" t="s">
        <v>242</v>
      </c>
      <c r="V1200" s="10" t="s">
        <v>241</v>
      </c>
      <c r="W1200" s="10" t="s">
        <v>242</v>
      </c>
      <c r="X1200" s="15">
        <f>IF(ISERROR(VLOOKUP($A1200,'13. Updated Demand'!A:Z,15,FALSE)),0,VLOOKUP($A1200,'13. Updated Demand'!A:Z,15,FALSE))</f>
        <v>0.03</v>
      </c>
      <c r="Y1200" s="16">
        <f>IF(ISERROR(VLOOKUP($A1200,'13. Updated Demand'!A:Z,16,FALSE)),0,VLOOKUP($A1200,'13. Updated Demand'!A:Z,16,FALSE))</f>
        <v>0</v>
      </c>
      <c r="Z1200" s="16">
        <f>IF(ISERROR(VLOOKUP($A1200,'13. Updated Demand'!A:Z,17,FALSE)),0,VLOOKUP($A1200,'13. Updated Demand'!A:Z,17,FALSE))</f>
        <v>0.1</v>
      </c>
      <c r="AA1200" s="16">
        <f>IF(ISERROR(VLOOKUP($A1200,'13. Updated Demand'!A:Z,18,FALSE)),0,VLOOKUP($A1200,'13. Updated Demand'!A:Z,18,FALSE))</f>
        <v>0.06</v>
      </c>
      <c r="AB1200" s="16">
        <f>IF(ISERROR(VLOOKUP($A1200,'13. Updated Demand'!A:Z,19,FALSE)),0,VLOOKUP($A1200,'13. Updated Demand'!A:Z,19,FALSE))</f>
        <v>0</v>
      </c>
      <c r="AC1200" s="16">
        <f>IF(ISERROR(VLOOKUP($A1200,'13. Updated Demand'!A:Z,20,FALSE)),0,VLOOKUP($A1200,'13. Updated Demand'!A:Z,20,FALSE))</f>
        <v>0</v>
      </c>
      <c r="AD1200" s="16">
        <f>IF(ISERROR(VLOOKUP($A1200,'13. Updated Demand'!A:Z,21,FALSE)),0,VLOOKUP($A1200,'13. Updated Demand'!A:Z,21,FALSE))</f>
        <v>0</v>
      </c>
      <c r="AE1200" s="16">
        <f>IF(ISERROR(VLOOKUP($A1200,'13. Updated Demand'!A:Z,22,FALSE)),0,VLOOKUP($A1200,'13. Updated Demand'!A:Z,22,FALSE))</f>
        <v>0</v>
      </c>
      <c r="AF1200" s="16">
        <f>IF(ISERROR(VLOOKUP($A1200,'13. Updated Demand'!A:Z,23,FALSE)),0,VLOOKUP($A1200,'13. Updated Demand'!A:Z,23,FALSE))</f>
        <v>0</v>
      </c>
      <c r="AG1200" s="16">
        <f>IF(ISERROR(VLOOKUP($A1200,'13. Updated Demand'!A:Z,24,FALSE)),0,VLOOKUP($A1200,'13. Updated Demand'!A:Z,24,FALSE))</f>
        <v>0</v>
      </c>
      <c r="AH1200" s="16">
        <f>IF(ISERROR(VLOOKUP($A1200,'13. Updated Demand'!A:Z,25,FALSE)),0,VLOOKUP($A1200,'13. Updated Demand'!A:Z,25,FALSE))</f>
        <v>3.06</v>
      </c>
      <c r="AI1200" s="16">
        <f>IF(ISERROR(VLOOKUP($A1200,'13. Updated Demand'!A:Z,26,FALSE)),0,VLOOKUP($A1200,'13. Updated Demand'!A:Z,26,FALSE))</f>
        <v>0.93</v>
      </c>
      <c r="AJ1200" s="16">
        <f t="shared" si="228"/>
        <v>4.18</v>
      </c>
      <c r="AK1200" s="19">
        <v>0</v>
      </c>
      <c r="AL1200" s="16">
        <f t="shared" si="226"/>
        <v>0</v>
      </c>
      <c r="AM1200" s="17">
        <v>0.93333333333333401</v>
      </c>
      <c r="AN1200" s="19"/>
      <c r="AO1200" s="19"/>
      <c r="AP1200" s="19">
        <v>4.5</v>
      </c>
      <c r="AQ1200" s="19" t="s">
        <v>307</v>
      </c>
      <c r="AR1200" s="9" t="s">
        <v>311</v>
      </c>
      <c r="AS1200" s="12">
        <v>0</v>
      </c>
      <c r="AT1200" s="19">
        <v>38.635604579999999</v>
      </c>
      <c r="AU1200" s="19">
        <v>-122.75587946</v>
      </c>
      <c r="AV1200" s="19" t="s">
        <v>417</v>
      </c>
    </row>
    <row r="1201" spans="1:48" x14ac:dyDescent="0.25">
      <c r="A1201" s="18" t="s">
        <v>1581</v>
      </c>
      <c r="B1201" s="10">
        <v>19520605</v>
      </c>
      <c r="C1201" s="9">
        <v>12</v>
      </c>
      <c r="D1201" s="8" t="str">
        <f t="shared" si="217"/>
        <v>N</v>
      </c>
      <c r="E1201" s="8" t="str">
        <f t="shared" si="218"/>
        <v>Y</v>
      </c>
      <c r="F1201" s="8" t="str">
        <f t="shared" si="219"/>
        <v>Y</v>
      </c>
      <c r="G1201" s="8" t="str">
        <f t="shared" si="220"/>
        <v>Y</v>
      </c>
      <c r="H1201" s="8" t="str">
        <f t="shared" si="221"/>
        <v>Upper</v>
      </c>
      <c r="I1201" s="8" t="str">
        <f t="shared" si="222"/>
        <v>West Fork and Below Lake</v>
      </c>
      <c r="J1201" s="8" t="str">
        <f t="shared" si="223"/>
        <v>Sonoma (d/s of Clov. Gage)</v>
      </c>
      <c r="K1201" s="8" t="str">
        <f t="shared" si="224"/>
        <v>Post-1949</v>
      </c>
      <c r="L1201" s="8">
        <f t="shared" si="225"/>
        <v>1952</v>
      </c>
      <c r="M1201" s="8" t="str">
        <f t="shared" si="227"/>
        <v>1950-1952</v>
      </c>
      <c r="N1201" s="10" t="s">
        <v>242</v>
      </c>
      <c r="O1201" s="10" t="s">
        <v>241</v>
      </c>
      <c r="P1201" s="10" t="s">
        <v>242</v>
      </c>
      <c r="Q1201" s="10" t="s">
        <v>242</v>
      </c>
      <c r="R1201" s="10" t="s">
        <v>241</v>
      </c>
      <c r="S1201" s="10" t="s">
        <v>242</v>
      </c>
      <c r="T1201" s="10" t="s">
        <v>242</v>
      </c>
      <c r="U1201" s="10" t="s">
        <v>241</v>
      </c>
      <c r="V1201" s="10" t="s">
        <v>241</v>
      </c>
      <c r="W1201" s="10" t="s">
        <v>242</v>
      </c>
      <c r="X1201" s="15">
        <f>IF(ISERROR(VLOOKUP($A1201,'13. Updated Demand'!A:Z,15,FALSE)),0,VLOOKUP($A1201,'13. Updated Demand'!A:Z,15,FALSE))</f>
        <v>0</v>
      </c>
      <c r="Y1201" s="16">
        <f>IF(ISERROR(VLOOKUP($A1201,'13. Updated Demand'!A:Z,16,FALSE)),0,VLOOKUP($A1201,'13. Updated Demand'!A:Z,16,FALSE))</f>
        <v>0</v>
      </c>
      <c r="Z1201" s="16">
        <f>IF(ISERROR(VLOOKUP($A1201,'13. Updated Demand'!A:Z,17,FALSE)),0,VLOOKUP($A1201,'13. Updated Demand'!A:Z,17,FALSE))</f>
        <v>0</v>
      </c>
      <c r="AA1201" s="16">
        <f>IF(ISERROR(VLOOKUP($A1201,'13. Updated Demand'!A:Z,18,FALSE)),0,VLOOKUP($A1201,'13. Updated Demand'!A:Z,18,FALSE))</f>
        <v>0</v>
      </c>
      <c r="AB1201" s="16">
        <f>IF(ISERROR(VLOOKUP($A1201,'13. Updated Demand'!A:Z,19,FALSE)),0,VLOOKUP($A1201,'13. Updated Demand'!A:Z,19,FALSE))</f>
        <v>0</v>
      </c>
      <c r="AC1201" s="16">
        <f>IF(ISERROR(VLOOKUP($A1201,'13. Updated Demand'!A:Z,20,FALSE)),0,VLOOKUP($A1201,'13. Updated Demand'!A:Z,20,FALSE))</f>
        <v>0</v>
      </c>
      <c r="AD1201" s="16">
        <f>IF(ISERROR(VLOOKUP($A1201,'13. Updated Demand'!A:Z,21,FALSE)),0,VLOOKUP($A1201,'13. Updated Demand'!A:Z,21,FALSE))</f>
        <v>0</v>
      </c>
      <c r="AE1201" s="16">
        <f>IF(ISERROR(VLOOKUP($A1201,'13. Updated Demand'!A:Z,22,FALSE)),0,VLOOKUP($A1201,'13. Updated Demand'!A:Z,22,FALSE))</f>
        <v>0</v>
      </c>
      <c r="AF1201" s="16">
        <f>IF(ISERROR(VLOOKUP($A1201,'13. Updated Demand'!A:Z,23,FALSE)),0,VLOOKUP($A1201,'13. Updated Demand'!A:Z,23,FALSE))</f>
        <v>0</v>
      </c>
      <c r="AG1201" s="16">
        <f>IF(ISERROR(VLOOKUP($A1201,'13. Updated Demand'!A:Z,24,FALSE)),0,VLOOKUP($A1201,'13. Updated Demand'!A:Z,24,FALSE))</f>
        <v>0</v>
      </c>
      <c r="AH1201" s="16">
        <f>IF(ISERROR(VLOOKUP($A1201,'13. Updated Demand'!A:Z,25,FALSE)),0,VLOOKUP($A1201,'13. Updated Demand'!A:Z,25,FALSE))</f>
        <v>0</v>
      </c>
      <c r="AI1201" s="16">
        <f>IF(ISERROR(VLOOKUP($A1201,'13. Updated Demand'!A:Z,26,FALSE)),0,VLOOKUP($A1201,'13. Updated Demand'!A:Z,26,FALSE))</f>
        <v>0</v>
      </c>
      <c r="AJ1201" s="16">
        <f t="shared" si="228"/>
        <v>0</v>
      </c>
      <c r="AK1201" s="19">
        <v>0</v>
      </c>
      <c r="AL1201" s="16">
        <f t="shared" si="226"/>
        <v>0</v>
      </c>
      <c r="AM1201" s="17">
        <v>0</v>
      </c>
      <c r="AN1201" s="19"/>
      <c r="AO1201" s="19"/>
      <c r="AP1201" s="19">
        <v>48</v>
      </c>
      <c r="AQ1201" s="19" t="s">
        <v>307</v>
      </c>
      <c r="AR1201" s="9" t="s">
        <v>311</v>
      </c>
      <c r="AS1201" s="12">
        <v>0</v>
      </c>
      <c r="AT1201" s="19">
        <v>38.626800000000003</v>
      </c>
      <c r="AU1201" s="19">
        <v>-122.75060000000001</v>
      </c>
      <c r="AV1201" s="19" t="s">
        <v>385</v>
      </c>
    </row>
    <row r="1202" spans="1:48" x14ac:dyDescent="0.25">
      <c r="A1202" s="18" t="s">
        <v>1582</v>
      </c>
      <c r="B1202" s="10">
        <v>19520612</v>
      </c>
      <c r="C1202" s="9">
        <v>10</v>
      </c>
      <c r="D1202" s="8" t="str">
        <f t="shared" si="217"/>
        <v>N</v>
      </c>
      <c r="E1202" s="8" t="str">
        <f t="shared" si="218"/>
        <v>Y</v>
      </c>
      <c r="F1202" s="8" t="str">
        <f t="shared" si="219"/>
        <v>Y</v>
      </c>
      <c r="G1202" s="8" t="str">
        <f t="shared" si="220"/>
        <v>Y</v>
      </c>
      <c r="H1202" s="8" t="str">
        <f t="shared" si="221"/>
        <v>Upper</v>
      </c>
      <c r="I1202" s="8" t="str">
        <f t="shared" si="222"/>
        <v>West Fork and Below Lake</v>
      </c>
      <c r="J1202" s="8" t="str">
        <f t="shared" si="223"/>
        <v>Sonoma (d/s of Clov. Gage)</v>
      </c>
      <c r="K1202" s="8" t="str">
        <f t="shared" si="224"/>
        <v>Post-1949</v>
      </c>
      <c r="L1202" s="8">
        <f t="shared" si="225"/>
        <v>1952</v>
      </c>
      <c r="M1202" s="8" t="str">
        <f t="shared" si="227"/>
        <v>1950-1952</v>
      </c>
      <c r="N1202" s="10" t="s">
        <v>241</v>
      </c>
      <c r="O1202" s="10" t="s">
        <v>241</v>
      </c>
      <c r="P1202" s="10" t="s">
        <v>242</v>
      </c>
      <c r="Q1202" s="10" t="s">
        <v>242</v>
      </c>
      <c r="R1202" s="10" t="s">
        <v>241</v>
      </c>
      <c r="S1202" s="10" t="s">
        <v>242</v>
      </c>
      <c r="T1202" s="10" t="s">
        <v>242</v>
      </c>
      <c r="U1202" s="10" t="s">
        <v>241</v>
      </c>
      <c r="V1202" s="10" t="s">
        <v>241</v>
      </c>
      <c r="W1202" s="10" t="s">
        <v>242</v>
      </c>
      <c r="X1202" s="15">
        <f>IF(ISERROR(VLOOKUP($A1202,'13. Updated Demand'!A:Z,15,FALSE)),0,VLOOKUP($A1202,'13. Updated Demand'!A:Z,15,FALSE))</f>
        <v>0</v>
      </c>
      <c r="Y1202" s="16">
        <f>IF(ISERROR(VLOOKUP($A1202,'13. Updated Demand'!A:Z,16,FALSE)),0,VLOOKUP($A1202,'13. Updated Demand'!A:Z,16,FALSE))</f>
        <v>0</v>
      </c>
      <c r="Z1202" s="16">
        <f>IF(ISERROR(VLOOKUP($A1202,'13. Updated Demand'!A:Z,17,FALSE)),0,VLOOKUP($A1202,'13. Updated Demand'!A:Z,17,FALSE))</f>
        <v>0</v>
      </c>
      <c r="AA1202" s="16">
        <f>IF(ISERROR(VLOOKUP($A1202,'13. Updated Demand'!A:Z,18,FALSE)),0,VLOOKUP($A1202,'13. Updated Demand'!A:Z,18,FALSE))</f>
        <v>0</v>
      </c>
      <c r="AB1202" s="16">
        <f>IF(ISERROR(VLOOKUP($A1202,'13. Updated Demand'!A:Z,19,FALSE)),0,VLOOKUP($A1202,'13. Updated Demand'!A:Z,19,FALSE))</f>
        <v>0</v>
      </c>
      <c r="AC1202" s="16">
        <f>IF(ISERROR(VLOOKUP($A1202,'13. Updated Demand'!A:Z,20,FALSE)),0,VLOOKUP($A1202,'13. Updated Demand'!A:Z,20,FALSE))</f>
        <v>0</v>
      </c>
      <c r="AD1202" s="16">
        <f>IF(ISERROR(VLOOKUP($A1202,'13. Updated Demand'!A:Z,21,FALSE)),0,VLOOKUP($A1202,'13. Updated Demand'!A:Z,21,FALSE))</f>
        <v>0</v>
      </c>
      <c r="AE1202" s="16">
        <f>IF(ISERROR(VLOOKUP($A1202,'13. Updated Demand'!A:Z,22,FALSE)),0,VLOOKUP($A1202,'13. Updated Demand'!A:Z,22,FALSE))</f>
        <v>0</v>
      </c>
      <c r="AF1202" s="16">
        <f>IF(ISERROR(VLOOKUP($A1202,'13. Updated Demand'!A:Z,23,FALSE)),0,VLOOKUP($A1202,'13. Updated Demand'!A:Z,23,FALSE))</f>
        <v>0</v>
      </c>
      <c r="AG1202" s="16">
        <f>IF(ISERROR(VLOOKUP($A1202,'13. Updated Demand'!A:Z,24,FALSE)),0,VLOOKUP($A1202,'13. Updated Demand'!A:Z,24,FALSE))</f>
        <v>0</v>
      </c>
      <c r="AH1202" s="16">
        <f>IF(ISERROR(VLOOKUP($A1202,'13. Updated Demand'!A:Z,25,FALSE)),0,VLOOKUP($A1202,'13. Updated Demand'!A:Z,25,FALSE))</f>
        <v>0</v>
      </c>
      <c r="AI1202" s="16">
        <f>IF(ISERROR(VLOOKUP($A1202,'13. Updated Demand'!A:Z,26,FALSE)),0,VLOOKUP($A1202,'13. Updated Demand'!A:Z,26,FALSE))</f>
        <v>0</v>
      </c>
      <c r="AJ1202" s="16">
        <f t="shared" si="228"/>
        <v>0</v>
      </c>
      <c r="AK1202" s="19">
        <v>0</v>
      </c>
      <c r="AL1202" s="16">
        <f t="shared" si="226"/>
        <v>0</v>
      </c>
      <c r="AM1202" s="17">
        <v>0</v>
      </c>
      <c r="AN1202" s="19"/>
      <c r="AO1202" s="19"/>
      <c r="AP1202" s="19">
        <v>14.7</v>
      </c>
      <c r="AQ1202" s="19" t="s">
        <v>307</v>
      </c>
      <c r="AR1202" s="9" t="s">
        <v>436</v>
      </c>
      <c r="AS1202" s="12">
        <v>0</v>
      </c>
      <c r="AT1202" s="19">
        <v>38.70928335</v>
      </c>
      <c r="AU1202" s="19">
        <v>-122.89825078</v>
      </c>
      <c r="AV1202" s="19" t="s">
        <v>548</v>
      </c>
    </row>
    <row r="1203" spans="1:48" x14ac:dyDescent="0.25">
      <c r="A1203" s="18" t="s">
        <v>1583</v>
      </c>
      <c r="B1203" s="10">
        <v>19520623</v>
      </c>
      <c r="C1203" s="9">
        <v>23</v>
      </c>
      <c r="D1203" s="8" t="str">
        <f t="shared" si="217"/>
        <v>N</v>
      </c>
      <c r="E1203" s="8" t="str">
        <f t="shared" si="218"/>
        <v>N</v>
      </c>
      <c r="F1203" s="8" t="str">
        <f t="shared" si="219"/>
        <v>N</v>
      </c>
      <c r="G1203" s="8" t="str">
        <f t="shared" si="220"/>
        <v>N</v>
      </c>
      <c r="H1203" s="8" t="str">
        <f t="shared" si="221"/>
        <v>Lower</v>
      </c>
      <c r="I1203" s="8" t="str">
        <f t="shared" si="222"/>
        <v>Outside</v>
      </c>
      <c r="J1203" s="8" t="str">
        <f t="shared" si="223"/>
        <v>Outside</v>
      </c>
      <c r="K1203" s="8" t="str">
        <f t="shared" si="224"/>
        <v>Post-1949</v>
      </c>
      <c r="L1203" s="8">
        <f t="shared" si="225"/>
        <v>1952</v>
      </c>
      <c r="M1203" s="8" t="str">
        <f t="shared" si="227"/>
        <v>1950-1952</v>
      </c>
      <c r="N1203" s="10" t="s">
        <v>242</v>
      </c>
      <c r="O1203" s="10" t="s">
        <v>242</v>
      </c>
      <c r="P1203" s="10" t="s">
        <v>242</v>
      </c>
      <c r="Q1203" s="10" t="s">
        <v>242</v>
      </c>
      <c r="R1203" s="10" t="s">
        <v>241</v>
      </c>
      <c r="S1203" s="10" t="s">
        <v>242</v>
      </c>
      <c r="T1203" s="10" t="s">
        <v>242</v>
      </c>
      <c r="U1203" s="10" t="s">
        <v>242</v>
      </c>
      <c r="V1203" s="10" t="s">
        <v>241</v>
      </c>
      <c r="W1203" s="10" t="s">
        <v>242</v>
      </c>
      <c r="X1203" s="15">
        <f>IF(ISERROR(VLOOKUP($A1203,'13. Updated Demand'!A:Z,15,FALSE)),0,VLOOKUP($A1203,'13. Updated Demand'!A:Z,15,FALSE))</f>
        <v>0</v>
      </c>
      <c r="Y1203" s="16">
        <f>IF(ISERROR(VLOOKUP($A1203,'13. Updated Demand'!A:Z,16,FALSE)),0,VLOOKUP($A1203,'13. Updated Demand'!A:Z,16,FALSE))</f>
        <v>0.2</v>
      </c>
      <c r="Z1203" s="16">
        <f>IF(ISERROR(VLOOKUP($A1203,'13. Updated Demand'!A:Z,17,FALSE)),0,VLOOKUP($A1203,'13. Updated Demand'!A:Z,17,FALSE))</f>
        <v>0</v>
      </c>
      <c r="AA1203" s="16">
        <f>IF(ISERROR(VLOOKUP($A1203,'13. Updated Demand'!A:Z,18,FALSE)),0,VLOOKUP($A1203,'13. Updated Demand'!A:Z,18,FALSE))</f>
        <v>0</v>
      </c>
      <c r="AB1203" s="16">
        <f>IF(ISERROR(VLOOKUP($A1203,'13. Updated Demand'!A:Z,19,FALSE)),0,VLOOKUP($A1203,'13. Updated Demand'!A:Z,19,FALSE))</f>
        <v>0</v>
      </c>
      <c r="AC1203" s="16">
        <f>IF(ISERROR(VLOOKUP($A1203,'13. Updated Demand'!A:Z,20,FALSE)),0,VLOOKUP($A1203,'13. Updated Demand'!A:Z,20,FALSE))</f>
        <v>0</v>
      </c>
      <c r="AD1203" s="16">
        <f>IF(ISERROR(VLOOKUP($A1203,'13. Updated Demand'!A:Z,21,FALSE)),0,VLOOKUP($A1203,'13. Updated Demand'!A:Z,21,FALSE))</f>
        <v>0</v>
      </c>
      <c r="AE1203" s="16">
        <f>IF(ISERROR(VLOOKUP($A1203,'13. Updated Demand'!A:Z,22,FALSE)),0,VLOOKUP($A1203,'13. Updated Demand'!A:Z,22,FALSE))</f>
        <v>0</v>
      </c>
      <c r="AF1203" s="16">
        <f>IF(ISERROR(VLOOKUP($A1203,'13. Updated Demand'!A:Z,23,FALSE)),0,VLOOKUP($A1203,'13. Updated Demand'!A:Z,23,FALSE))</f>
        <v>0</v>
      </c>
      <c r="AG1203" s="16">
        <f>IF(ISERROR(VLOOKUP($A1203,'13. Updated Demand'!A:Z,24,FALSE)),0,VLOOKUP($A1203,'13. Updated Demand'!A:Z,24,FALSE))</f>
        <v>0</v>
      </c>
      <c r="AH1203" s="16">
        <f>IF(ISERROR(VLOOKUP($A1203,'13. Updated Demand'!A:Z,25,FALSE)),0,VLOOKUP($A1203,'13. Updated Demand'!A:Z,25,FALSE))</f>
        <v>0</v>
      </c>
      <c r="AI1203" s="16">
        <f>IF(ISERROR(VLOOKUP($A1203,'13. Updated Demand'!A:Z,26,FALSE)),0,VLOOKUP($A1203,'13. Updated Demand'!A:Z,26,FALSE))</f>
        <v>0</v>
      </c>
      <c r="AJ1203" s="16">
        <f t="shared" si="228"/>
        <v>0.2</v>
      </c>
      <c r="AK1203" s="19">
        <v>0</v>
      </c>
      <c r="AL1203" s="16">
        <f t="shared" si="226"/>
        <v>0</v>
      </c>
      <c r="AM1203" s="17">
        <v>4.3478260869565218E-3</v>
      </c>
      <c r="AN1203" s="19"/>
      <c r="AO1203" s="19"/>
      <c r="AP1203" s="19">
        <v>46</v>
      </c>
      <c r="AQ1203" s="19" t="s">
        <v>307</v>
      </c>
      <c r="AR1203" s="9" t="s">
        <v>323</v>
      </c>
      <c r="AS1203" s="12">
        <v>0</v>
      </c>
      <c r="AT1203" s="19">
        <v>38.493527780000001</v>
      </c>
      <c r="AU1203" s="19">
        <v>-122.72991766</v>
      </c>
      <c r="AV1203" s="19" t="s">
        <v>417</v>
      </c>
    </row>
    <row r="1204" spans="1:48" x14ac:dyDescent="0.25">
      <c r="A1204" s="18" t="s">
        <v>1584</v>
      </c>
      <c r="B1204" s="10">
        <v>19520624</v>
      </c>
      <c r="C1204" s="9">
        <v>12</v>
      </c>
      <c r="D1204" s="8" t="str">
        <f t="shared" si="217"/>
        <v>N</v>
      </c>
      <c r="E1204" s="8" t="str">
        <f t="shared" si="218"/>
        <v>Y</v>
      </c>
      <c r="F1204" s="8" t="str">
        <f t="shared" si="219"/>
        <v>Y</v>
      </c>
      <c r="G1204" s="8" t="str">
        <f t="shared" si="220"/>
        <v>Y</v>
      </c>
      <c r="H1204" s="8" t="str">
        <f t="shared" si="221"/>
        <v>Upper</v>
      </c>
      <c r="I1204" s="8" t="str">
        <f t="shared" si="222"/>
        <v>West Fork and Below Lake</v>
      </c>
      <c r="J1204" s="8" t="str">
        <f t="shared" si="223"/>
        <v>Sonoma (d/s of Clov. Gage)</v>
      </c>
      <c r="K1204" s="8" t="str">
        <f t="shared" si="224"/>
        <v>Post-1949</v>
      </c>
      <c r="L1204" s="8">
        <f t="shared" si="225"/>
        <v>1952</v>
      </c>
      <c r="M1204" s="8" t="str">
        <f t="shared" si="227"/>
        <v>1950-1952</v>
      </c>
      <c r="N1204" s="10" t="s">
        <v>242</v>
      </c>
      <c r="O1204" s="10" t="s">
        <v>241</v>
      </c>
      <c r="P1204" s="10" t="s">
        <v>242</v>
      </c>
      <c r="Q1204" s="10" t="s">
        <v>242</v>
      </c>
      <c r="R1204" s="10" t="s">
        <v>241</v>
      </c>
      <c r="S1204" s="10" t="s">
        <v>242</v>
      </c>
      <c r="T1204" s="10" t="s">
        <v>242</v>
      </c>
      <c r="U1204" s="10" t="s">
        <v>242</v>
      </c>
      <c r="V1204" s="10" t="s">
        <v>241</v>
      </c>
      <c r="W1204" s="10" t="s">
        <v>242</v>
      </c>
      <c r="X1204" s="15">
        <f>IF(ISERROR(VLOOKUP($A1204,'13. Updated Demand'!A:Z,15,FALSE)),0,VLOOKUP($A1204,'13. Updated Demand'!A:Z,15,FALSE))</f>
        <v>0.73</v>
      </c>
      <c r="Y1204" s="16">
        <f>IF(ISERROR(VLOOKUP($A1204,'13. Updated Demand'!A:Z,16,FALSE)),0,VLOOKUP($A1204,'13. Updated Demand'!A:Z,16,FALSE))</f>
        <v>0</v>
      </c>
      <c r="Z1204" s="16">
        <f>IF(ISERROR(VLOOKUP($A1204,'13. Updated Demand'!A:Z,17,FALSE)),0,VLOOKUP($A1204,'13. Updated Demand'!A:Z,17,FALSE))</f>
        <v>0</v>
      </c>
      <c r="AA1204" s="16">
        <f>IF(ISERROR(VLOOKUP($A1204,'13. Updated Demand'!A:Z,18,FALSE)),0,VLOOKUP($A1204,'13. Updated Demand'!A:Z,18,FALSE))</f>
        <v>0</v>
      </c>
      <c r="AB1204" s="16">
        <f>IF(ISERROR(VLOOKUP($A1204,'13. Updated Demand'!A:Z,19,FALSE)),0,VLOOKUP($A1204,'13. Updated Demand'!A:Z,19,FALSE))</f>
        <v>0</v>
      </c>
      <c r="AC1204" s="16">
        <f>IF(ISERROR(VLOOKUP($A1204,'13. Updated Demand'!A:Z,20,FALSE)),0,VLOOKUP($A1204,'13. Updated Demand'!A:Z,20,FALSE))</f>
        <v>0</v>
      </c>
      <c r="AD1204" s="16">
        <f>IF(ISERROR(VLOOKUP($A1204,'13. Updated Demand'!A:Z,21,FALSE)),0,VLOOKUP($A1204,'13. Updated Demand'!A:Z,21,FALSE))</f>
        <v>0</v>
      </c>
      <c r="AE1204" s="16">
        <f>IF(ISERROR(VLOOKUP($A1204,'13. Updated Demand'!A:Z,22,FALSE)),0,VLOOKUP($A1204,'13. Updated Demand'!A:Z,22,FALSE))</f>
        <v>0</v>
      </c>
      <c r="AF1204" s="16">
        <f>IF(ISERROR(VLOOKUP($A1204,'13. Updated Demand'!A:Z,23,FALSE)),0,VLOOKUP($A1204,'13. Updated Demand'!A:Z,23,FALSE))</f>
        <v>0</v>
      </c>
      <c r="AG1204" s="16">
        <f>IF(ISERROR(VLOOKUP($A1204,'13. Updated Demand'!A:Z,24,FALSE)),0,VLOOKUP($A1204,'13. Updated Demand'!A:Z,24,FALSE))</f>
        <v>0</v>
      </c>
      <c r="AH1204" s="16">
        <f>IF(ISERROR(VLOOKUP($A1204,'13. Updated Demand'!A:Z,25,FALSE)),0,VLOOKUP($A1204,'13. Updated Demand'!A:Z,25,FALSE))</f>
        <v>1.46</v>
      </c>
      <c r="AI1204" s="16">
        <f>IF(ISERROR(VLOOKUP($A1204,'13. Updated Demand'!A:Z,26,FALSE)),0,VLOOKUP($A1204,'13. Updated Demand'!A:Z,26,FALSE))</f>
        <v>1.53</v>
      </c>
      <c r="AJ1204" s="16">
        <f t="shared" si="228"/>
        <v>3.7199999999999998</v>
      </c>
      <c r="AK1204" s="19">
        <v>0</v>
      </c>
      <c r="AL1204" s="16">
        <f t="shared" si="226"/>
        <v>0</v>
      </c>
      <c r="AM1204" s="17">
        <v>0.62222222216666667</v>
      </c>
      <c r="AN1204" s="19"/>
      <c r="AO1204" s="19"/>
      <c r="AP1204" s="19">
        <v>6</v>
      </c>
      <c r="AQ1204" s="19" t="s">
        <v>307</v>
      </c>
      <c r="AR1204" s="9" t="s">
        <v>311</v>
      </c>
      <c r="AS1204" s="12">
        <v>3.4039024194010059E-4</v>
      </c>
      <c r="AT1204" s="19">
        <v>38.572347139999998</v>
      </c>
      <c r="AU1204" s="19">
        <v>-122.63488144999999</v>
      </c>
      <c r="AV1204" s="19" t="s">
        <v>417</v>
      </c>
    </row>
    <row r="1205" spans="1:48" x14ac:dyDescent="0.25">
      <c r="A1205" s="18" t="s">
        <v>1585</v>
      </c>
      <c r="B1205" s="10">
        <v>19520710</v>
      </c>
      <c r="C1205" s="9">
        <v>11</v>
      </c>
      <c r="D1205" s="8" t="str">
        <f t="shared" si="217"/>
        <v>N</v>
      </c>
      <c r="E1205" s="8" t="str">
        <f t="shared" si="218"/>
        <v>Y</v>
      </c>
      <c r="F1205" s="8" t="str">
        <f t="shared" si="219"/>
        <v>Y</v>
      </c>
      <c r="G1205" s="8" t="str">
        <f t="shared" si="220"/>
        <v>Y</v>
      </c>
      <c r="H1205" s="8" t="str">
        <f t="shared" si="221"/>
        <v>Upper</v>
      </c>
      <c r="I1205" s="8" t="str">
        <f t="shared" si="222"/>
        <v>West Fork and Below Lake</v>
      </c>
      <c r="J1205" s="8" t="str">
        <f t="shared" si="223"/>
        <v>Sonoma (d/s of Clov. Gage)</v>
      </c>
      <c r="K1205" s="8" t="str">
        <f t="shared" si="224"/>
        <v>Post-1949</v>
      </c>
      <c r="L1205" s="8">
        <f t="shared" si="225"/>
        <v>1952</v>
      </c>
      <c r="M1205" s="8" t="str">
        <f t="shared" si="227"/>
        <v>1950-1952</v>
      </c>
      <c r="N1205" s="10" t="s">
        <v>242</v>
      </c>
      <c r="O1205" s="10" t="s">
        <v>241</v>
      </c>
      <c r="P1205" s="10" t="s">
        <v>242</v>
      </c>
      <c r="Q1205" s="10" t="s">
        <v>242</v>
      </c>
      <c r="R1205" s="10" t="s">
        <v>241</v>
      </c>
      <c r="S1205" s="10" t="s">
        <v>242</v>
      </c>
      <c r="T1205" s="10" t="s">
        <v>242</v>
      </c>
      <c r="U1205" s="10" t="s">
        <v>241</v>
      </c>
      <c r="V1205" s="10" t="s">
        <v>241</v>
      </c>
      <c r="W1205" s="10" t="s">
        <v>242</v>
      </c>
      <c r="X1205" s="15">
        <f>IF(ISERROR(VLOOKUP($A1205,'13. Updated Demand'!A:Z,15,FALSE)),0,VLOOKUP($A1205,'13. Updated Demand'!A:Z,15,FALSE))</f>
        <v>0</v>
      </c>
      <c r="Y1205" s="16">
        <f>IF(ISERROR(VLOOKUP($A1205,'13. Updated Demand'!A:Z,16,FALSE)),0,VLOOKUP($A1205,'13. Updated Demand'!A:Z,16,FALSE))</f>
        <v>0</v>
      </c>
      <c r="Z1205" s="16">
        <f>IF(ISERROR(VLOOKUP($A1205,'13. Updated Demand'!A:Z,17,FALSE)),0,VLOOKUP($A1205,'13. Updated Demand'!A:Z,17,FALSE))</f>
        <v>0</v>
      </c>
      <c r="AA1205" s="16">
        <f>IF(ISERROR(VLOOKUP($A1205,'13. Updated Demand'!A:Z,18,FALSE)),0,VLOOKUP($A1205,'13. Updated Demand'!A:Z,18,FALSE))</f>
        <v>0</v>
      </c>
      <c r="AB1205" s="16">
        <f>IF(ISERROR(VLOOKUP($A1205,'13. Updated Demand'!A:Z,19,FALSE)),0,VLOOKUP($A1205,'13. Updated Demand'!A:Z,19,FALSE))</f>
        <v>0</v>
      </c>
      <c r="AC1205" s="16">
        <f>IF(ISERROR(VLOOKUP($A1205,'13. Updated Demand'!A:Z,20,FALSE)),0,VLOOKUP($A1205,'13. Updated Demand'!A:Z,20,FALSE))</f>
        <v>0</v>
      </c>
      <c r="AD1205" s="16">
        <f>IF(ISERROR(VLOOKUP($A1205,'13. Updated Demand'!A:Z,21,FALSE)),0,VLOOKUP($A1205,'13. Updated Demand'!A:Z,21,FALSE))</f>
        <v>0</v>
      </c>
      <c r="AE1205" s="16">
        <f>IF(ISERROR(VLOOKUP($A1205,'13. Updated Demand'!A:Z,22,FALSE)),0,VLOOKUP($A1205,'13. Updated Demand'!A:Z,22,FALSE))</f>
        <v>0</v>
      </c>
      <c r="AF1205" s="16">
        <f>IF(ISERROR(VLOOKUP($A1205,'13. Updated Demand'!A:Z,23,FALSE)),0,VLOOKUP($A1205,'13. Updated Demand'!A:Z,23,FALSE))</f>
        <v>0</v>
      </c>
      <c r="AG1205" s="16">
        <f>IF(ISERROR(VLOOKUP($A1205,'13. Updated Demand'!A:Z,24,FALSE)),0,VLOOKUP($A1205,'13. Updated Demand'!A:Z,24,FALSE))</f>
        <v>0</v>
      </c>
      <c r="AH1205" s="16">
        <f>IF(ISERROR(VLOOKUP($A1205,'13. Updated Demand'!A:Z,25,FALSE)),0,VLOOKUP($A1205,'13. Updated Demand'!A:Z,25,FALSE))</f>
        <v>0</v>
      </c>
      <c r="AI1205" s="16">
        <f>IF(ISERROR(VLOOKUP($A1205,'13. Updated Demand'!A:Z,26,FALSE)),0,VLOOKUP($A1205,'13. Updated Demand'!A:Z,26,FALSE))</f>
        <v>0</v>
      </c>
      <c r="AJ1205" s="16">
        <f t="shared" si="228"/>
        <v>0</v>
      </c>
      <c r="AK1205" s="19">
        <v>0</v>
      </c>
      <c r="AL1205" s="16">
        <f t="shared" si="226"/>
        <v>0</v>
      </c>
      <c r="AM1205" s="17">
        <v>0</v>
      </c>
      <c r="AN1205" s="19"/>
      <c r="AO1205" s="19"/>
      <c r="AP1205" s="19">
        <v>72.2</v>
      </c>
      <c r="AQ1205" s="19" t="s">
        <v>307</v>
      </c>
      <c r="AR1205" s="9" t="s">
        <v>308</v>
      </c>
      <c r="AS1205" s="12">
        <v>0</v>
      </c>
      <c r="AT1205" s="19">
        <v>38.653292520000001</v>
      </c>
      <c r="AU1205" s="19">
        <v>-122.73820732999999</v>
      </c>
      <c r="AV1205" s="19" t="s">
        <v>609</v>
      </c>
    </row>
    <row r="1206" spans="1:48" x14ac:dyDescent="0.25">
      <c r="A1206" s="18" t="s">
        <v>1586</v>
      </c>
      <c r="B1206" s="10">
        <v>19520730</v>
      </c>
      <c r="C1206" s="9">
        <v>17</v>
      </c>
      <c r="D1206" s="8" t="str">
        <f t="shared" si="217"/>
        <v>N</v>
      </c>
      <c r="E1206" s="8" t="str">
        <f t="shared" si="218"/>
        <v>N</v>
      </c>
      <c r="F1206" s="8" t="str">
        <f t="shared" si="219"/>
        <v>N</v>
      </c>
      <c r="G1206" s="8" t="str">
        <f t="shared" si="220"/>
        <v>N</v>
      </c>
      <c r="H1206" s="8" t="str">
        <f t="shared" si="221"/>
        <v>Lower</v>
      </c>
      <c r="I1206" s="8" t="str">
        <f t="shared" si="222"/>
        <v>Outside</v>
      </c>
      <c r="J1206" s="8" t="str">
        <f t="shared" si="223"/>
        <v>Outside</v>
      </c>
      <c r="K1206" s="8" t="str">
        <f t="shared" si="224"/>
        <v>Post-1949</v>
      </c>
      <c r="L1206" s="8">
        <f t="shared" si="225"/>
        <v>1952</v>
      </c>
      <c r="M1206" s="8" t="str">
        <f t="shared" si="227"/>
        <v>1950-1952</v>
      </c>
      <c r="N1206" s="10" t="s">
        <v>241</v>
      </c>
      <c r="O1206" s="10" t="s">
        <v>242</v>
      </c>
      <c r="P1206" s="10" t="s">
        <v>242</v>
      </c>
      <c r="Q1206" s="10" t="s">
        <v>242</v>
      </c>
      <c r="R1206" s="10" t="s">
        <v>241</v>
      </c>
      <c r="S1206" s="10" t="s">
        <v>242</v>
      </c>
      <c r="T1206" s="10" t="s">
        <v>242</v>
      </c>
      <c r="U1206" s="10" t="s">
        <v>241</v>
      </c>
      <c r="V1206" s="10" t="s">
        <v>241</v>
      </c>
      <c r="W1206" s="10" t="s">
        <v>242</v>
      </c>
      <c r="X1206" s="15">
        <f>IF(ISERROR(VLOOKUP($A1206,'13. Updated Demand'!A:Z,15,FALSE)),0,VLOOKUP($A1206,'13. Updated Demand'!A:Z,15,FALSE))</f>
        <v>0</v>
      </c>
      <c r="Y1206" s="16">
        <f>IF(ISERROR(VLOOKUP($A1206,'13. Updated Demand'!A:Z,16,FALSE)),0,VLOOKUP($A1206,'13. Updated Demand'!A:Z,16,FALSE))</f>
        <v>0</v>
      </c>
      <c r="Z1206" s="16">
        <f>IF(ISERROR(VLOOKUP($A1206,'13. Updated Demand'!A:Z,17,FALSE)),0,VLOOKUP($A1206,'13. Updated Demand'!A:Z,17,FALSE))</f>
        <v>0</v>
      </c>
      <c r="AA1206" s="16">
        <f>IF(ISERROR(VLOOKUP($A1206,'13. Updated Demand'!A:Z,18,FALSE)),0,VLOOKUP($A1206,'13. Updated Demand'!A:Z,18,FALSE))</f>
        <v>0</v>
      </c>
      <c r="AB1206" s="16">
        <f>IF(ISERROR(VLOOKUP($A1206,'13. Updated Demand'!A:Z,19,FALSE)),0,VLOOKUP($A1206,'13. Updated Demand'!A:Z,19,FALSE))</f>
        <v>0</v>
      </c>
      <c r="AC1206" s="16">
        <f>IF(ISERROR(VLOOKUP($A1206,'13. Updated Demand'!A:Z,20,FALSE)),0,VLOOKUP($A1206,'13. Updated Demand'!A:Z,20,FALSE))</f>
        <v>0</v>
      </c>
      <c r="AD1206" s="16">
        <f>IF(ISERROR(VLOOKUP($A1206,'13. Updated Demand'!A:Z,21,FALSE)),0,VLOOKUP($A1206,'13. Updated Demand'!A:Z,21,FALSE))</f>
        <v>0</v>
      </c>
      <c r="AE1206" s="16">
        <f>IF(ISERROR(VLOOKUP($A1206,'13. Updated Demand'!A:Z,22,FALSE)),0,VLOOKUP($A1206,'13. Updated Demand'!A:Z,22,FALSE))</f>
        <v>0</v>
      </c>
      <c r="AF1206" s="16">
        <f>IF(ISERROR(VLOOKUP($A1206,'13. Updated Demand'!A:Z,23,FALSE)),0,VLOOKUP($A1206,'13. Updated Demand'!A:Z,23,FALSE))</f>
        <v>0</v>
      </c>
      <c r="AG1206" s="16">
        <f>IF(ISERROR(VLOOKUP($A1206,'13. Updated Demand'!A:Z,24,FALSE)),0,VLOOKUP($A1206,'13. Updated Demand'!A:Z,24,FALSE))</f>
        <v>0</v>
      </c>
      <c r="AH1206" s="16">
        <f>IF(ISERROR(VLOOKUP($A1206,'13. Updated Demand'!A:Z,25,FALSE)),0,VLOOKUP($A1206,'13. Updated Demand'!A:Z,25,FALSE))</f>
        <v>0</v>
      </c>
      <c r="AI1206" s="16">
        <f>IF(ISERROR(VLOOKUP($A1206,'13. Updated Demand'!A:Z,26,FALSE)),0,VLOOKUP($A1206,'13. Updated Demand'!A:Z,26,FALSE))</f>
        <v>0</v>
      </c>
      <c r="AJ1206" s="16">
        <f t="shared" si="228"/>
        <v>0</v>
      </c>
      <c r="AK1206" s="19">
        <v>0</v>
      </c>
      <c r="AL1206" s="16">
        <f t="shared" si="226"/>
        <v>0</v>
      </c>
      <c r="AM1206" s="17">
        <v>0</v>
      </c>
      <c r="AN1206" s="19"/>
      <c r="AO1206" s="19"/>
      <c r="AP1206" s="19">
        <v>64</v>
      </c>
      <c r="AQ1206" s="19" t="s">
        <v>307</v>
      </c>
      <c r="AR1206" s="9" t="s">
        <v>486</v>
      </c>
      <c r="AS1206" s="12">
        <v>0</v>
      </c>
      <c r="AT1206" s="19">
        <v>38.529194560000001</v>
      </c>
      <c r="AU1206" s="19">
        <v>-122.85508403</v>
      </c>
      <c r="AV1206" s="19" t="s">
        <v>548</v>
      </c>
    </row>
    <row r="1207" spans="1:48" x14ac:dyDescent="0.25">
      <c r="A1207" s="18" t="s">
        <v>1587</v>
      </c>
      <c r="B1207" s="10">
        <v>19520813</v>
      </c>
      <c r="C1207" s="9">
        <v>23</v>
      </c>
      <c r="D1207" s="8" t="str">
        <f t="shared" si="217"/>
        <v>N</v>
      </c>
      <c r="E1207" s="8" t="str">
        <f t="shared" si="218"/>
        <v>N</v>
      </c>
      <c r="F1207" s="8" t="str">
        <f t="shared" si="219"/>
        <v>N</v>
      </c>
      <c r="G1207" s="8" t="str">
        <f t="shared" si="220"/>
        <v>N</v>
      </c>
      <c r="H1207" s="8" t="str">
        <f t="shared" si="221"/>
        <v>Lower</v>
      </c>
      <c r="I1207" s="8" t="str">
        <f t="shared" si="222"/>
        <v>Outside</v>
      </c>
      <c r="J1207" s="8" t="str">
        <f t="shared" si="223"/>
        <v>Outside</v>
      </c>
      <c r="K1207" s="8" t="str">
        <f t="shared" si="224"/>
        <v>Post-1949</v>
      </c>
      <c r="L1207" s="8">
        <f t="shared" si="225"/>
        <v>1952</v>
      </c>
      <c r="M1207" s="8" t="str">
        <f t="shared" si="227"/>
        <v>1950-1952</v>
      </c>
      <c r="N1207" s="10" t="s">
        <v>242</v>
      </c>
      <c r="O1207" s="10" t="s">
        <v>242</v>
      </c>
      <c r="P1207" s="10" t="s">
        <v>242</v>
      </c>
      <c r="Q1207" s="10" t="s">
        <v>242</v>
      </c>
      <c r="R1207" s="10" t="s">
        <v>241</v>
      </c>
      <c r="S1207" s="10" t="s">
        <v>242</v>
      </c>
      <c r="T1207" s="10" t="s">
        <v>242</v>
      </c>
      <c r="U1207" s="10" t="s">
        <v>241</v>
      </c>
      <c r="V1207" s="10" t="s">
        <v>241</v>
      </c>
      <c r="W1207" s="10" t="s">
        <v>242</v>
      </c>
      <c r="X1207" s="15">
        <f>IF(ISERROR(VLOOKUP($A1207,'13. Updated Demand'!A:Z,15,FALSE)),0,VLOOKUP($A1207,'13. Updated Demand'!A:Z,15,FALSE))</f>
        <v>0</v>
      </c>
      <c r="Y1207" s="16">
        <f>IF(ISERROR(VLOOKUP($A1207,'13. Updated Demand'!A:Z,16,FALSE)),0,VLOOKUP($A1207,'13. Updated Demand'!A:Z,16,FALSE))</f>
        <v>0</v>
      </c>
      <c r="Z1207" s="16">
        <f>IF(ISERROR(VLOOKUP($A1207,'13. Updated Demand'!A:Z,17,FALSE)),0,VLOOKUP($A1207,'13. Updated Demand'!A:Z,17,FALSE))</f>
        <v>0</v>
      </c>
      <c r="AA1207" s="16">
        <f>IF(ISERROR(VLOOKUP($A1207,'13. Updated Demand'!A:Z,18,FALSE)),0,VLOOKUP($A1207,'13. Updated Demand'!A:Z,18,FALSE))</f>
        <v>0</v>
      </c>
      <c r="AB1207" s="16">
        <f>IF(ISERROR(VLOOKUP($A1207,'13. Updated Demand'!A:Z,19,FALSE)),0,VLOOKUP($A1207,'13. Updated Demand'!A:Z,19,FALSE))</f>
        <v>0</v>
      </c>
      <c r="AC1207" s="16">
        <f>IF(ISERROR(VLOOKUP($A1207,'13. Updated Demand'!A:Z,20,FALSE)),0,VLOOKUP($A1207,'13. Updated Demand'!A:Z,20,FALSE))</f>
        <v>0</v>
      </c>
      <c r="AD1207" s="16">
        <f>IF(ISERROR(VLOOKUP($A1207,'13. Updated Demand'!A:Z,21,FALSE)),0,VLOOKUP($A1207,'13. Updated Demand'!A:Z,21,FALSE))</f>
        <v>0</v>
      </c>
      <c r="AE1207" s="16">
        <f>IF(ISERROR(VLOOKUP($A1207,'13. Updated Demand'!A:Z,22,FALSE)),0,VLOOKUP($A1207,'13. Updated Demand'!A:Z,22,FALSE))</f>
        <v>0</v>
      </c>
      <c r="AF1207" s="16">
        <f>IF(ISERROR(VLOOKUP($A1207,'13. Updated Demand'!A:Z,23,FALSE)),0,VLOOKUP($A1207,'13. Updated Demand'!A:Z,23,FALSE))</f>
        <v>0</v>
      </c>
      <c r="AG1207" s="16">
        <f>IF(ISERROR(VLOOKUP($A1207,'13. Updated Demand'!A:Z,24,FALSE)),0,VLOOKUP($A1207,'13. Updated Demand'!A:Z,24,FALSE))</f>
        <v>0</v>
      </c>
      <c r="AH1207" s="16">
        <f>IF(ISERROR(VLOOKUP($A1207,'13. Updated Demand'!A:Z,25,FALSE)),0,VLOOKUP($A1207,'13. Updated Demand'!A:Z,25,FALSE))</f>
        <v>0</v>
      </c>
      <c r="AI1207" s="16">
        <f>IF(ISERROR(VLOOKUP($A1207,'13. Updated Demand'!A:Z,26,FALSE)),0,VLOOKUP($A1207,'13. Updated Demand'!A:Z,26,FALSE))</f>
        <v>0</v>
      </c>
      <c r="AJ1207" s="16">
        <f t="shared" si="228"/>
        <v>0</v>
      </c>
      <c r="AK1207" s="19">
        <v>0</v>
      </c>
      <c r="AL1207" s="16">
        <f t="shared" si="226"/>
        <v>0</v>
      </c>
      <c r="AM1207" s="17">
        <v>0</v>
      </c>
      <c r="AN1207" s="19"/>
      <c r="AO1207" s="19"/>
      <c r="AP1207" s="19">
        <v>433</v>
      </c>
      <c r="AQ1207" s="19" t="s">
        <v>307</v>
      </c>
      <c r="AR1207" s="9" t="s">
        <v>725</v>
      </c>
      <c r="AS1207" s="12">
        <v>0</v>
      </c>
      <c r="AT1207" s="19">
        <v>38.484261940000003</v>
      </c>
      <c r="AU1207" s="19">
        <v>-122.71864373</v>
      </c>
      <c r="AV1207" s="19" t="s">
        <v>573</v>
      </c>
    </row>
    <row r="1208" spans="1:48" x14ac:dyDescent="0.25">
      <c r="A1208" s="18" t="s">
        <v>93</v>
      </c>
      <c r="B1208" s="10">
        <v>19521106</v>
      </c>
      <c r="C1208" s="9">
        <v>12</v>
      </c>
      <c r="D1208" s="8" t="str">
        <f t="shared" si="217"/>
        <v>N</v>
      </c>
      <c r="E1208" s="8" t="str">
        <f t="shared" si="218"/>
        <v>Y</v>
      </c>
      <c r="F1208" s="8" t="str">
        <f t="shared" si="219"/>
        <v>Y</v>
      </c>
      <c r="G1208" s="8" t="str">
        <f t="shared" si="220"/>
        <v>Y</v>
      </c>
      <c r="H1208" s="8" t="str">
        <f t="shared" si="221"/>
        <v>Upper</v>
      </c>
      <c r="I1208" s="8" t="str">
        <f t="shared" si="222"/>
        <v>West Fork and Below Lake</v>
      </c>
      <c r="J1208" s="8" t="str">
        <f t="shared" si="223"/>
        <v>Sonoma (d/s of Clov. Gage)</v>
      </c>
      <c r="K1208" s="8" t="str">
        <f t="shared" si="224"/>
        <v>Post-1949</v>
      </c>
      <c r="L1208" s="8">
        <f t="shared" si="225"/>
        <v>1952</v>
      </c>
      <c r="M1208" s="8" t="str">
        <f t="shared" si="227"/>
        <v>1950-1952</v>
      </c>
      <c r="N1208" s="10" t="s">
        <v>242</v>
      </c>
      <c r="O1208" s="10" t="s">
        <v>241</v>
      </c>
      <c r="P1208" s="10" t="s">
        <v>242</v>
      </c>
      <c r="Q1208" s="10" t="s">
        <v>242</v>
      </c>
      <c r="R1208" s="10" t="s">
        <v>241</v>
      </c>
      <c r="S1208" s="10" t="s">
        <v>242</v>
      </c>
      <c r="T1208" s="10" t="s">
        <v>242</v>
      </c>
      <c r="U1208" s="10" t="s">
        <v>241</v>
      </c>
      <c r="V1208" s="10" t="s">
        <v>241</v>
      </c>
      <c r="W1208" s="10" t="s">
        <v>242</v>
      </c>
      <c r="X1208" s="15">
        <f>IF(ISERROR(VLOOKUP($A1208,'13. Updated Demand'!A:Z,15,FALSE)),0,VLOOKUP($A1208,'13. Updated Demand'!A:Z,15,FALSE))</f>
        <v>0</v>
      </c>
      <c r="Y1208" s="16">
        <f>IF(ISERROR(VLOOKUP($A1208,'13. Updated Demand'!A:Z,16,FALSE)),0,VLOOKUP($A1208,'13. Updated Demand'!A:Z,16,FALSE))</f>
        <v>0</v>
      </c>
      <c r="Z1208" s="16">
        <f>IF(ISERROR(VLOOKUP($A1208,'13. Updated Demand'!A:Z,17,FALSE)),0,VLOOKUP($A1208,'13. Updated Demand'!A:Z,17,FALSE))</f>
        <v>0</v>
      </c>
      <c r="AA1208" s="16">
        <f>IF(ISERROR(VLOOKUP($A1208,'13. Updated Demand'!A:Z,18,FALSE)),0,VLOOKUP($A1208,'13. Updated Demand'!A:Z,18,FALSE))</f>
        <v>0</v>
      </c>
      <c r="AB1208" s="16">
        <f>IF(ISERROR(VLOOKUP($A1208,'13. Updated Demand'!A:Z,19,FALSE)),0,VLOOKUP($A1208,'13. Updated Demand'!A:Z,19,FALSE))</f>
        <v>0</v>
      </c>
      <c r="AC1208" s="16">
        <f>IF(ISERROR(VLOOKUP($A1208,'13. Updated Demand'!A:Z,20,FALSE)),0,VLOOKUP($A1208,'13. Updated Demand'!A:Z,20,FALSE))</f>
        <v>0</v>
      </c>
      <c r="AD1208" s="16">
        <f>IF(ISERROR(VLOOKUP($A1208,'13. Updated Demand'!A:Z,21,FALSE)),0,VLOOKUP($A1208,'13. Updated Demand'!A:Z,21,FALSE))</f>
        <v>0</v>
      </c>
      <c r="AE1208" s="16">
        <f>IF(ISERROR(VLOOKUP($A1208,'13. Updated Demand'!A:Z,22,FALSE)),0,VLOOKUP($A1208,'13. Updated Demand'!A:Z,22,FALSE))</f>
        <v>0</v>
      </c>
      <c r="AF1208" s="16">
        <f>IF(ISERROR(VLOOKUP($A1208,'13. Updated Demand'!A:Z,23,FALSE)),0,VLOOKUP($A1208,'13. Updated Demand'!A:Z,23,FALSE))</f>
        <v>0</v>
      </c>
      <c r="AG1208" s="16">
        <f>IF(ISERROR(VLOOKUP($A1208,'13. Updated Demand'!A:Z,24,FALSE)),0,VLOOKUP($A1208,'13. Updated Demand'!A:Z,24,FALSE))</f>
        <v>0</v>
      </c>
      <c r="AH1208" s="16">
        <f>IF(ISERROR(VLOOKUP($A1208,'13. Updated Demand'!A:Z,25,FALSE)),0,VLOOKUP($A1208,'13. Updated Demand'!A:Z,25,FALSE))</f>
        <v>0</v>
      </c>
      <c r="AI1208" s="16">
        <f>IF(ISERROR(VLOOKUP($A1208,'13. Updated Demand'!A:Z,26,FALSE)),0,VLOOKUP($A1208,'13. Updated Demand'!A:Z,26,FALSE))</f>
        <v>0</v>
      </c>
      <c r="AJ1208" s="16">
        <f t="shared" si="228"/>
        <v>0</v>
      </c>
      <c r="AK1208" s="19">
        <v>0</v>
      </c>
      <c r="AL1208" s="16">
        <f t="shared" si="226"/>
        <v>0</v>
      </c>
      <c r="AM1208" s="17">
        <v>0</v>
      </c>
      <c r="AN1208" s="19"/>
      <c r="AO1208" s="19"/>
      <c r="AP1208" s="19">
        <v>4</v>
      </c>
      <c r="AQ1208" s="19" t="s">
        <v>307</v>
      </c>
      <c r="AR1208" s="9" t="s">
        <v>311</v>
      </c>
      <c r="AS1208" s="12">
        <v>0</v>
      </c>
      <c r="AT1208" s="19">
        <v>38.668055000000003</v>
      </c>
      <c r="AU1208" s="19">
        <v>-122.79002423</v>
      </c>
      <c r="AV1208" s="19" t="s">
        <v>417</v>
      </c>
    </row>
    <row r="1209" spans="1:48" x14ac:dyDescent="0.25">
      <c r="A1209" s="18" t="s">
        <v>1588</v>
      </c>
      <c r="B1209" s="10">
        <v>19510418</v>
      </c>
      <c r="C1209" s="9">
        <v>2</v>
      </c>
      <c r="D1209" s="8" t="str">
        <f t="shared" si="217"/>
        <v>N</v>
      </c>
      <c r="E1209" s="8" t="str">
        <f t="shared" si="218"/>
        <v>N</v>
      </c>
      <c r="F1209" s="8" t="str">
        <f t="shared" si="219"/>
        <v>Y</v>
      </c>
      <c r="G1209" s="8" t="str">
        <f t="shared" si="220"/>
        <v>N</v>
      </c>
      <c r="H1209" s="8" t="str">
        <f t="shared" si="221"/>
        <v>Upper</v>
      </c>
      <c r="I1209" s="8" t="str">
        <f t="shared" si="222"/>
        <v>Outside</v>
      </c>
      <c r="J1209" s="8" t="str">
        <f t="shared" si="223"/>
        <v>Outside</v>
      </c>
      <c r="K1209" s="8" t="str">
        <f t="shared" si="224"/>
        <v>Post-1949</v>
      </c>
      <c r="L1209" s="8">
        <f t="shared" si="225"/>
        <v>1951</v>
      </c>
      <c r="M1209" s="8" t="str">
        <f t="shared" si="227"/>
        <v>1950-1952</v>
      </c>
      <c r="N1209" s="10" t="s">
        <v>242</v>
      </c>
      <c r="O1209" s="10" t="s">
        <v>241</v>
      </c>
      <c r="P1209" s="10" t="s">
        <v>242</v>
      </c>
      <c r="Q1209" s="10" t="s">
        <v>242</v>
      </c>
      <c r="R1209" s="10" t="s">
        <v>241</v>
      </c>
      <c r="S1209" s="10" t="s">
        <v>242</v>
      </c>
      <c r="T1209" s="10" t="s">
        <v>242</v>
      </c>
      <c r="U1209" s="10" t="s">
        <v>242</v>
      </c>
      <c r="V1209" s="10" t="s">
        <v>242</v>
      </c>
      <c r="W1209" s="10" t="s">
        <v>242</v>
      </c>
      <c r="X1209" s="15">
        <f>IF(ISERROR(VLOOKUP($A1209,'13. Updated Demand'!A:Z,15,FALSE)),0,VLOOKUP($A1209,'13. Updated Demand'!A:Z,15,FALSE))</f>
        <v>0</v>
      </c>
      <c r="Y1209" s="16">
        <f>IF(ISERROR(VLOOKUP($A1209,'13. Updated Demand'!A:Z,16,FALSE)),0,VLOOKUP($A1209,'13. Updated Demand'!A:Z,16,FALSE))</f>
        <v>0</v>
      </c>
      <c r="Z1209" s="16">
        <f>IF(ISERROR(VLOOKUP($A1209,'13. Updated Demand'!A:Z,17,FALSE)),0,VLOOKUP($A1209,'13. Updated Demand'!A:Z,17,FALSE))</f>
        <v>0</v>
      </c>
      <c r="AA1209" s="16">
        <f>IF(ISERROR(VLOOKUP($A1209,'13. Updated Demand'!A:Z,18,FALSE)),0,VLOOKUP($A1209,'13. Updated Demand'!A:Z,18,FALSE))</f>
        <v>0</v>
      </c>
      <c r="AB1209" s="16">
        <f>IF(ISERROR(VLOOKUP($A1209,'13. Updated Demand'!A:Z,19,FALSE)),0,VLOOKUP($A1209,'13. Updated Demand'!A:Z,19,FALSE))</f>
        <v>12</v>
      </c>
      <c r="AC1209" s="16">
        <f>IF(ISERROR(VLOOKUP($A1209,'13. Updated Demand'!A:Z,20,FALSE)),0,VLOOKUP($A1209,'13. Updated Demand'!A:Z,20,FALSE))</f>
        <v>12</v>
      </c>
      <c r="AD1209" s="16">
        <f>IF(ISERROR(VLOOKUP($A1209,'13. Updated Demand'!A:Z,21,FALSE)),0,VLOOKUP($A1209,'13. Updated Demand'!A:Z,21,FALSE))</f>
        <v>12</v>
      </c>
      <c r="AE1209" s="16">
        <f>IF(ISERROR(VLOOKUP($A1209,'13. Updated Demand'!A:Z,22,FALSE)),0,VLOOKUP($A1209,'13. Updated Demand'!A:Z,22,FALSE))</f>
        <v>12</v>
      </c>
      <c r="AF1209" s="16">
        <f>IF(ISERROR(VLOOKUP($A1209,'13. Updated Demand'!A:Z,23,FALSE)),0,VLOOKUP($A1209,'13. Updated Demand'!A:Z,23,FALSE))</f>
        <v>12</v>
      </c>
      <c r="AG1209" s="16">
        <f>IF(ISERROR(VLOOKUP($A1209,'13. Updated Demand'!A:Z,24,FALSE)),0,VLOOKUP($A1209,'13. Updated Demand'!A:Z,24,FALSE))</f>
        <v>0</v>
      </c>
      <c r="AH1209" s="16">
        <f>IF(ISERROR(VLOOKUP($A1209,'13. Updated Demand'!A:Z,25,FALSE)),0,VLOOKUP($A1209,'13. Updated Demand'!A:Z,25,FALSE))</f>
        <v>0</v>
      </c>
      <c r="AI1209" s="16">
        <f>IF(ISERROR(VLOOKUP($A1209,'13. Updated Demand'!A:Z,26,FALSE)),0,VLOOKUP($A1209,'13. Updated Demand'!A:Z,26,FALSE))</f>
        <v>0</v>
      </c>
      <c r="AJ1209" s="16">
        <f t="shared" si="228"/>
        <v>60</v>
      </c>
      <c r="AK1209" s="19">
        <v>60</v>
      </c>
      <c r="AL1209" s="16">
        <f t="shared" si="226"/>
        <v>0.19901316535773056</v>
      </c>
      <c r="AM1209" s="17">
        <v>0.99337748344370869</v>
      </c>
      <c r="AN1209" s="19"/>
      <c r="AO1209" s="19"/>
      <c r="AP1209" s="19">
        <v>60.4</v>
      </c>
      <c r="AQ1209" s="19" t="s">
        <v>307</v>
      </c>
      <c r="AR1209" s="9" t="s">
        <v>348</v>
      </c>
      <c r="AS1209" s="12">
        <v>0</v>
      </c>
      <c r="AT1209" s="19">
        <v>39.272913690000003</v>
      </c>
      <c r="AU1209" s="19">
        <v>-123.10253365</v>
      </c>
      <c r="AV1209" s="19" t="s">
        <v>542</v>
      </c>
    </row>
    <row r="1210" spans="1:48" x14ac:dyDescent="0.25">
      <c r="A1210" s="18" t="s">
        <v>1589</v>
      </c>
      <c r="B1210" s="10">
        <v>19510605</v>
      </c>
      <c r="C1210" s="9">
        <v>17</v>
      </c>
      <c r="D1210" s="8" t="str">
        <f t="shared" si="217"/>
        <v>N</v>
      </c>
      <c r="E1210" s="8" t="str">
        <f t="shared" si="218"/>
        <v>N</v>
      </c>
      <c r="F1210" s="8" t="str">
        <f t="shared" si="219"/>
        <v>N</v>
      </c>
      <c r="G1210" s="8" t="str">
        <f t="shared" si="220"/>
        <v>N</v>
      </c>
      <c r="H1210" s="8" t="str">
        <f t="shared" si="221"/>
        <v>Lower</v>
      </c>
      <c r="I1210" s="8" t="str">
        <f t="shared" si="222"/>
        <v>Outside</v>
      </c>
      <c r="J1210" s="8" t="str">
        <f t="shared" si="223"/>
        <v>Outside</v>
      </c>
      <c r="K1210" s="8" t="str">
        <f t="shared" si="224"/>
        <v>Post-1949</v>
      </c>
      <c r="L1210" s="8">
        <f t="shared" si="225"/>
        <v>1951</v>
      </c>
      <c r="M1210" s="8" t="str">
        <f t="shared" si="227"/>
        <v>1950-1952</v>
      </c>
      <c r="N1210" s="10" t="s">
        <v>241</v>
      </c>
      <c r="O1210" s="10" t="s">
        <v>242</v>
      </c>
      <c r="P1210" s="10" t="s">
        <v>242</v>
      </c>
      <c r="Q1210" s="10" t="s">
        <v>242</v>
      </c>
      <c r="R1210" s="10" t="s">
        <v>241</v>
      </c>
      <c r="S1210" s="10" t="s">
        <v>242</v>
      </c>
      <c r="T1210" s="10" t="s">
        <v>242</v>
      </c>
      <c r="U1210" s="10" t="s">
        <v>242</v>
      </c>
      <c r="V1210" s="10" t="s">
        <v>242</v>
      </c>
      <c r="W1210" s="10" t="s">
        <v>242</v>
      </c>
      <c r="X1210" s="15">
        <f>IF(ISERROR(VLOOKUP($A1210,'13. Updated Demand'!A:Z,15,FALSE)),0,VLOOKUP($A1210,'13. Updated Demand'!A:Z,15,FALSE))</f>
        <v>0</v>
      </c>
      <c r="Y1210" s="16">
        <f>IF(ISERROR(VLOOKUP($A1210,'13. Updated Demand'!A:Z,16,FALSE)),0,VLOOKUP($A1210,'13. Updated Demand'!A:Z,16,FALSE))</f>
        <v>0</v>
      </c>
      <c r="Z1210" s="16">
        <f>IF(ISERROR(VLOOKUP($A1210,'13. Updated Demand'!A:Z,17,FALSE)),0,VLOOKUP($A1210,'13. Updated Demand'!A:Z,17,FALSE))</f>
        <v>0</v>
      </c>
      <c r="AA1210" s="16">
        <f>IF(ISERROR(VLOOKUP($A1210,'13. Updated Demand'!A:Z,18,FALSE)),0,VLOOKUP($A1210,'13. Updated Demand'!A:Z,18,FALSE))</f>
        <v>0.63333333300000005</v>
      </c>
      <c r="AB1210" s="16">
        <f>IF(ISERROR(VLOOKUP($A1210,'13. Updated Demand'!A:Z,19,FALSE)),0,VLOOKUP($A1210,'13. Updated Demand'!A:Z,19,FALSE))</f>
        <v>0</v>
      </c>
      <c r="AC1210" s="16">
        <f>IF(ISERROR(VLOOKUP($A1210,'13. Updated Demand'!A:Z,20,FALSE)),0,VLOOKUP($A1210,'13. Updated Demand'!A:Z,20,FALSE))</f>
        <v>4.5666666669999998</v>
      </c>
      <c r="AD1210" s="16">
        <f>IF(ISERROR(VLOOKUP($A1210,'13. Updated Demand'!A:Z,21,FALSE)),0,VLOOKUP($A1210,'13. Updated Demand'!A:Z,21,FALSE))</f>
        <v>16.166666670000001</v>
      </c>
      <c r="AE1210" s="16">
        <f>IF(ISERROR(VLOOKUP($A1210,'13. Updated Demand'!A:Z,22,FALSE)),0,VLOOKUP($A1210,'13. Updated Demand'!A:Z,22,FALSE))</f>
        <v>25</v>
      </c>
      <c r="AF1210" s="16">
        <f>IF(ISERROR(VLOOKUP($A1210,'13. Updated Demand'!A:Z,23,FALSE)),0,VLOOKUP($A1210,'13. Updated Demand'!A:Z,23,FALSE))</f>
        <v>3.6333333329999999</v>
      </c>
      <c r="AG1210" s="16">
        <f>IF(ISERROR(VLOOKUP($A1210,'13. Updated Demand'!A:Z,24,FALSE)),0,VLOOKUP($A1210,'13. Updated Demand'!A:Z,24,FALSE))</f>
        <v>0</v>
      </c>
      <c r="AH1210" s="16">
        <f>IF(ISERROR(VLOOKUP($A1210,'13. Updated Demand'!A:Z,25,FALSE)),0,VLOOKUP($A1210,'13. Updated Demand'!A:Z,25,FALSE))</f>
        <v>0</v>
      </c>
      <c r="AI1210" s="16">
        <f>IF(ISERROR(VLOOKUP($A1210,'13. Updated Demand'!A:Z,26,FALSE)),0,VLOOKUP($A1210,'13. Updated Demand'!A:Z,26,FALSE))</f>
        <v>0</v>
      </c>
      <c r="AJ1210" s="16">
        <f t="shared" si="228"/>
        <v>50.000000003000004</v>
      </c>
      <c r="AK1210" s="19">
        <v>49.366666670000008</v>
      </c>
      <c r="AL1210" s="16">
        <f t="shared" si="226"/>
        <v>0.16374360995261128</v>
      </c>
      <c r="AM1210" s="17">
        <v>4.7856049007465547E-2</v>
      </c>
      <c r="AN1210" s="19"/>
      <c r="AO1210" s="19"/>
      <c r="AP1210" s="19">
        <v>1044.8</v>
      </c>
      <c r="AQ1210" s="19" t="s">
        <v>307</v>
      </c>
      <c r="AR1210" s="9" t="s">
        <v>486</v>
      </c>
      <c r="AS1210" s="12">
        <v>0</v>
      </c>
      <c r="AT1210" s="19">
        <v>38.564954</v>
      </c>
      <c r="AU1210" s="19">
        <v>-122.84676835</v>
      </c>
      <c r="AV1210" s="19" t="s">
        <v>387</v>
      </c>
    </row>
    <row r="1211" spans="1:48" x14ac:dyDescent="0.25">
      <c r="A1211" s="18" t="s">
        <v>1590</v>
      </c>
      <c r="B1211" s="10">
        <v>19510716</v>
      </c>
      <c r="C1211" s="9">
        <v>9</v>
      </c>
      <c r="D1211" s="8" t="str">
        <f t="shared" si="217"/>
        <v>N</v>
      </c>
      <c r="E1211" s="8" t="str">
        <f t="shared" si="218"/>
        <v>Y</v>
      </c>
      <c r="F1211" s="8" t="str">
        <f t="shared" si="219"/>
        <v>Y</v>
      </c>
      <c r="G1211" s="8" t="str">
        <f t="shared" si="220"/>
        <v>Y</v>
      </c>
      <c r="H1211" s="8" t="str">
        <f t="shared" si="221"/>
        <v>Upper</v>
      </c>
      <c r="I1211" s="8" t="str">
        <f t="shared" si="222"/>
        <v>West Fork and Below Lake</v>
      </c>
      <c r="J1211" s="8" t="str">
        <f t="shared" si="223"/>
        <v>Sonoma (d/s of Clov. Gage)</v>
      </c>
      <c r="K1211" s="8" t="str">
        <f t="shared" si="224"/>
        <v>Post-1949</v>
      </c>
      <c r="L1211" s="8">
        <f t="shared" si="225"/>
        <v>1951</v>
      </c>
      <c r="M1211" s="8" t="str">
        <f t="shared" si="227"/>
        <v>1950-1952</v>
      </c>
      <c r="N1211" s="10" t="s">
        <v>241</v>
      </c>
      <c r="O1211" s="10" t="s">
        <v>241</v>
      </c>
      <c r="P1211" s="10" t="s">
        <v>242</v>
      </c>
      <c r="Q1211" s="10" t="s">
        <v>242</v>
      </c>
      <c r="R1211" s="10" t="s">
        <v>241</v>
      </c>
      <c r="S1211" s="10" t="s">
        <v>242</v>
      </c>
      <c r="T1211" s="10" t="s">
        <v>242</v>
      </c>
      <c r="U1211" s="10" t="s">
        <v>242</v>
      </c>
      <c r="V1211" s="10" t="s">
        <v>242</v>
      </c>
      <c r="W1211" s="10" t="s">
        <v>242</v>
      </c>
      <c r="X1211" s="15">
        <f>IF(ISERROR(VLOOKUP($A1211,'13. Updated Demand'!A:Z,15,FALSE)),0,VLOOKUP($A1211,'13. Updated Demand'!A:Z,15,FALSE))</f>
        <v>0</v>
      </c>
      <c r="Y1211" s="16">
        <f>IF(ISERROR(VLOOKUP($A1211,'13. Updated Demand'!A:Z,16,FALSE)),0,VLOOKUP($A1211,'13. Updated Demand'!A:Z,16,FALSE))</f>
        <v>0</v>
      </c>
      <c r="Z1211" s="16">
        <f>IF(ISERROR(VLOOKUP($A1211,'13. Updated Demand'!A:Z,17,FALSE)),0,VLOOKUP($A1211,'13. Updated Demand'!A:Z,17,FALSE))</f>
        <v>0</v>
      </c>
      <c r="AA1211" s="16">
        <f>IF(ISERROR(VLOOKUP($A1211,'13. Updated Demand'!A:Z,18,FALSE)),0,VLOOKUP($A1211,'13. Updated Demand'!A:Z,18,FALSE))</f>
        <v>0</v>
      </c>
      <c r="AB1211" s="16">
        <f>IF(ISERROR(VLOOKUP($A1211,'13. Updated Demand'!A:Z,19,FALSE)),0,VLOOKUP($A1211,'13. Updated Demand'!A:Z,19,FALSE))</f>
        <v>0.43</v>
      </c>
      <c r="AC1211" s="16">
        <f>IF(ISERROR(VLOOKUP($A1211,'13. Updated Demand'!A:Z,20,FALSE)),0,VLOOKUP($A1211,'13. Updated Demand'!A:Z,20,FALSE))</f>
        <v>1.63</v>
      </c>
      <c r="AD1211" s="16">
        <f>IF(ISERROR(VLOOKUP($A1211,'13. Updated Demand'!A:Z,21,FALSE)),0,VLOOKUP($A1211,'13. Updated Demand'!A:Z,21,FALSE))</f>
        <v>5.46</v>
      </c>
      <c r="AE1211" s="16">
        <f>IF(ISERROR(VLOOKUP($A1211,'13. Updated Demand'!A:Z,22,FALSE)),0,VLOOKUP($A1211,'13. Updated Demand'!A:Z,22,FALSE))</f>
        <v>5.93</v>
      </c>
      <c r="AF1211" s="16">
        <f>IF(ISERROR(VLOOKUP($A1211,'13. Updated Demand'!A:Z,23,FALSE)),0,VLOOKUP($A1211,'13. Updated Demand'!A:Z,23,FALSE))</f>
        <v>2.83</v>
      </c>
      <c r="AG1211" s="16">
        <f>IF(ISERROR(VLOOKUP($A1211,'13. Updated Demand'!A:Z,24,FALSE)),0,VLOOKUP($A1211,'13. Updated Demand'!A:Z,24,FALSE))</f>
        <v>0.23</v>
      </c>
      <c r="AH1211" s="16">
        <f>IF(ISERROR(VLOOKUP($A1211,'13. Updated Demand'!A:Z,25,FALSE)),0,VLOOKUP($A1211,'13. Updated Demand'!A:Z,25,FALSE))</f>
        <v>0</v>
      </c>
      <c r="AI1211" s="16">
        <f>IF(ISERROR(VLOOKUP($A1211,'13. Updated Demand'!A:Z,26,FALSE)),0,VLOOKUP($A1211,'13. Updated Demand'!A:Z,26,FALSE))</f>
        <v>0</v>
      </c>
      <c r="AJ1211" s="16">
        <f t="shared" si="228"/>
        <v>16.510000000000002</v>
      </c>
      <c r="AK1211" s="19">
        <v>16.299999999999994</v>
      </c>
      <c r="AL1211" s="16">
        <f t="shared" si="226"/>
        <v>5.406524325551678E-2</v>
      </c>
      <c r="AM1211" s="17">
        <v>0.10834425513324593</v>
      </c>
      <c r="AN1211" s="19"/>
      <c r="AO1211" s="19"/>
      <c r="AP1211" s="19">
        <v>152.6</v>
      </c>
      <c r="AQ1211" s="19" t="s">
        <v>307</v>
      </c>
      <c r="AR1211" s="9" t="s">
        <v>354</v>
      </c>
      <c r="AS1211" s="12">
        <v>0</v>
      </c>
      <c r="AT1211" s="19">
        <v>38.807837650000003</v>
      </c>
      <c r="AU1211" s="19">
        <v>-123.00232511999999</v>
      </c>
      <c r="AV1211" s="19" t="s">
        <v>548</v>
      </c>
    </row>
    <row r="1212" spans="1:48" x14ac:dyDescent="0.25">
      <c r="A1212" s="18" t="s">
        <v>1591</v>
      </c>
      <c r="B1212" s="10">
        <v>19510831</v>
      </c>
      <c r="C1212" s="9">
        <v>12</v>
      </c>
      <c r="D1212" s="8" t="str">
        <f t="shared" si="217"/>
        <v>N</v>
      </c>
      <c r="E1212" s="8" t="str">
        <f t="shared" si="218"/>
        <v>Y</v>
      </c>
      <c r="F1212" s="8" t="str">
        <f t="shared" si="219"/>
        <v>Y</v>
      </c>
      <c r="G1212" s="8" t="str">
        <f t="shared" si="220"/>
        <v>Y</v>
      </c>
      <c r="H1212" s="8" t="str">
        <f t="shared" si="221"/>
        <v>Upper</v>
      </c>
      <c r="I1212" s="8" t="str">
        <f t="shared" si="222"/>
        <v>West Fork and Below Lake</v>
      </c>
      <c r="J1212" s="8" t="str">
        <f t="shared" si="223"/>
        <v>Sonoma (d/s of Clov. Gage)</v>
      </c>
      <c r="K1212" s="8" t="str">
        <f t="shared" si="224"/>
        <v>Post-1949</v>
      </c>
      <c r="L1212" s="8">
        <f t="shared" si="225"/>
        <v>1951</v>
      </c>
      <c r="M1212" s="8" t="str">
        <f t="shared" si="227"/>
        <v>1950-1952</v>
      </c>
      <c r="N1212" s="10" t="s">
        <v>241</v>
      </c>
      <c r="O1212" s="10" t="s">
        <v>241</v>
      </c>
      <c r="P1212" s="10" t="s">
        <v>242</v>
      </c>
      <c r="Q1212" s="10" t="s">
        <v>242</v>
      </c>
      <c r="R1212" s="10" t="s">
        <v>241</v>
      </c>
      <c r="S1212" s="10" t="s">
        <v>242</v>
      </c>
      <c r="T1212" s="10" t="s">
        <v>242</v>
      </c>
      <c r="U1212" s="10" t="s">
        <v>242</v>
      </c>
      <c r="V1212" s="10" t="s">
        <v>242</v>
      </c>
      <c r="W1212" s="10" t="s">
        <v>242</v>
      </c>
      <c r="X1212" s="15">
        <f>IF(ISERROR(VLOOKUP($A1212,'13. Updated Demand'!A:Z,15,FALSE)),0,VLOOKUP($A1212,'13. Updated Demand'!A:Z,15,FALSE))</f>
        <v>0</v>
      </c>
      <c r="Y1212" s="16">
        <f>IF(ISERROR(VLOOKUP($A1212,'13. Updated Demand'!A:Z,16,FALSE)),0,VLOOKUP($A1212,'13. Updated Demand'!A:Z,16,FALSE))</f>
        <v>0</v>
      </c>
      <c r="Z1212" s="16">
        <f>IF(ISERROR(VLOOKUP($A1212,'13. Updated Demand'!A:Z,17,FALSE)),0,VLOOKUP($A1212,'13. Updated Demand'!A:Z,17,FALSE))</f>
        <v>0</v>
      </c>
      <c r="AA1212" s="16">
        <f>IF(ISERROR(VLOOKUP($A1212,'13. Updated Demand'!A:Z,18,FALSE)),0,VLOOKUP($A1212,'13. Updated Demand'!A:Z,18,FALSE))</f>
        <v>2</v>
      </c>
      <c r="AB1212" s="16">
        <f>IF(ISERROR(VLOOKUP($A1212,'13. Updated Demand'!A:Z,19,FALSE)),0,VLOOKUP($A1212,'13. Updated Demand'!A:Z,19,FALSE))</f>
        <v>2</v>
      </c>
      <c r="AC1212" s="16">
        <f>IF(ISERROR(VLOOKUP($A1212,'13. Updated Demand'!A:Z,20,FALSE)),0,VLOOKUP($A1212,'13. Updated Demand'!A:Z,20,FALSE))</f>
        <v>2</v>
      </c>
      <c r="AD1212" s="16">
        <f>IF(ISERROR(VLOOKUP($A1212,'13. Updated Demand'!A:Z,21,FALSE)),0,VLOOKUP($A1212,'13. Updated Demand'!A:Z,21,FALSE))</f>
        <v>2.66</v>
      </c>
      <c r="AE1212" s="16">
        <f>IF(ISERROR(VLOOKUP($A1212,'13. Updated Demand'!A:Z,22,FALSE)),0,VLOOKUP($A1212,'13. Updated Demand'!A:Z,22,FALSE))</f>
        <v>2.66</v>
      </c>
      <c r="AF1212" s="16">
        <f>IF(ISERROR(VLOOKUP($A1212,'13. Updated Demand'!A:Z,23,FALSE)),0,VLOOKUP($A1212,'13. Updated Demand'!A:Z,23,FALSE))</f>
        <v>2.66</v>
      </c>
      <c r="AG1212" s="16">
        <f>IF(ISERROR(VLOOKUP($A1212,'13. Updated Demand'!A:Z,24,FALSE)),0,VLOOKUP($A1212,'13. Updated Demand'!A:Z,24,FALSE))</f>
        <v>2.66</v>
      </c>
      <c r="AH1212" s="16">
        <f>IF(ISERROR(VLOOKUP($A1212,'13. Updated Demand'!A:Z,25,FALSE)),0,VLOOKUP($A1212,'13. Updated Demand'!A:Z,25,FALSE))</f>
        <v>2</v>
      </c>
      <c r="AI1212" s="16">
        <f>IF(ISERROR(VLOOKUP($A1212,'13. Updated Demand'!A:Z,26,FALSE)),0,VLOOKUP($A1212,'13. Updated Demand'!A:Z,26,FALSE))</f>
        <v>0</v>
      </c>
      <c r="AJ1212" s="16">
        <f t="shared" si="228"/>
        <v>18.64</v>
      </c>
      <c r="AK1212" s="19">
        <v>12.000000000000009</v>
      </c>
      <c r="AL1212" s="16">
        <f t="shared" si="226"/>
        <v>3.9802633071546141E-2</v>
      </c>
      <c r="AM1212" s="17">
        <v>7.6817558299039829E-2</v>
      </c>
      <c r="AN1212" s="19"/>
      <c r="AO1212" s="19"/>
      <c r="AP1212" s="19">
        <v>243</v>
      </c>
      <c r="AQ1212" s="19" t="s">
        <v>307</v>
      </c>
      <c r="AR1212" s="9" t="s">
        <v>311</v>
      </c>
      <c r="AS1212" s="12">
        <v>0</v>
      </c>
      <c r="AT1212" s="19">
        <v>38.613454930000003</v>
      </c>
      <c r="AU1212" s="19">
        <v>-122.78329441</v>
      </c>
      <c r="AV1212" s="19" t="s">
        <v>387</v>
      </c>
    </row>
    <row r="1213" spans="1:48" x14ac:dyDescent="0.25">
      <c r="A1213" s="18" t="s">
        <v>1592</v>
      </c>
      <c r="B1213" s="10">
        <v>19510326</v>
      </c>
      <c r="C1213" s="9">
        <v>9</v>
      </c>
      <c r="D1213" s="8" t="str">
        <f t="shared" si="217"/>
        <v>N</v>
      </c>
      <c r="E1213" s="8" t="str">
        <f t="shared" si="218"/>
        <v>Y</v>
      </c>
      <c r="F1213" s="8" t="str">
        <f t="shared" si="219"/>
        <v>Y</v>
      </c>
      <c r="G1213" s="8" t="str">
        <f t="shared" si="220"/>
        <v>Y</v>
      </c>
      <c r="H1213" s="8" t="str">
        <f t="shared" si="221"/>
        <v>Upper</v>
      </c>
      <c r="I1213" s="8" t="str">
        <f t="shared" si="222"/>
        <v>West Fork and Below Lake</v>
      </c>
      <c r="J1213" s="8" t="str">
        <f t="shared" si="223"/>
        <v>Sonoma (d/s of Clov. Gage)</v>
      </c>
      <c r="K1213" s="8" t="str">
        <f t="shared" si="224"/>
        <v>Post-1949</v>
      </c>
      <c r="L1213" s="8">
        <f t="shared" si="225"/>
        <v>1951</v>
      </c>
      <c r="M1213" s="8" t="str">
        <f t="shared" si="227"/>
        <v>1950-1952</v>
      </c>
      <c r="N1213" s="10" t="s">
        <v>241</v>
      </c>
      <c r="O1213" s="10" t="s">
        <v>241</v>
      </c>
      <c r="P1213" s="10" t="s">
        <v>242</v>
      </c>
      <c r="Q1213" s="10" t="s">
        <v>242</v>
      </c>
      <c r="R1213" s="10" t="s">
        <v>241</v>
      </c>
      <c r="S1213" s="10" t="s">
        <v>242</v>
      </c>
      <c r="T1213" s="10" t="s">
        <v>242</v>
      </c>
      <c r="U1213" s="10" t="s">
        <v>242</v>
      </c>
      <c r="V1213" s="10" t="s">
        <v>242</v>
      </c>
      <c r="W1213" s="10" t="s">
        <v>242</v>
      </c>
      <c r="X1213" s="15">
        <f>IF(ISERROR(VLOOKUP($A1213,'13. Updated Demand'!A:Z,15,FALSE)),0,VLOOKUP($A1213,'13. Updated Demand'!A:Z,15,FALSE))</f>
        <v>0</v>
      </c>
      <c r="Y1213" s="16">
        <f>IF(ISERROR(VLOOKUP($A1213,'13. Updated Demand'!A:Z,16,FALSE)),0,VLOOKUP($A1213,'13. Updated Demand'!A:Z,16,FALSE))</f>
        <v>0</v>
      </c>
      <c r="Z1213" s="16">
        <f>IF(ISERROR(VLOOKUP($A1213,'13. Updated Demand'!A:Z,17,FALSE)),0,VLOOKUP($A1213,'13. Updated Demand'!A:Z,17,FALSE))</f>
        <v>0</v>
      </c>
      <c r="AA1213" s="16">
        <f>IF(ISERROR(VLOOKUP($A1213,'13. Updated Demand'!A:Z,18,FALSE)),0,VLOOKUP($A1213,'13. Updated Demand'!A:Z,18,FALSE))</f>
        <v>1.84</v>
      </c>
      <c r="AB1213" s="16">
        <f>IF(ISERROR(VLOOKUP($A1213,'13. Updated Demand'!A:Z,19,FALSE)),0,VLOOKUP($A1213,'13. Updated Demand'!A:Z,19,FALSE))</f>
        <v>1.84</v>
      </c>
      <c r="AC1213" s="16">
        <f>IF(ISERROR(VLOOKUP($A1213,'13. Updated Demand'!A:Z,20,FALSE)),0,VLOOKUP($A1213,'13. Updated Demand'!A:Z,20,FALSE))</f>
        <v>2.4500000000000002</v>
      </c>
      <c r="AD1213" s="16">
        <f>IF(ISERROR(VLOOKUP($A1213,'13. Updated Demand'!A:Z,21,FALSE)),0,VLOOKUP($A1213,'13. Updated Demand'!A:Z,21,FALSE))</f>
        <v>2.4500000000000002</v>
      </c>
      <c r="AE1213" s="16">
        <f>IF(ISERROR(VLOOKUP($A1213,'13. Updated Demand'!A:Z,22,FALSE)),0,VLOOKUP($A1213,'13. Updated Demand'!A:Z,22,FALSE))</f>
        <v>1.84</v>
      </c>
      <c r="AF1213" s="16">
        <f>IF(ISERROR(VLOOKUP($A1213,'13. Updated Demand'!A:Z,23,FALSE)),0,VLOOKUP($A1213,'13. Updated Demand'!A:Z,23,FALSE))</f>
        <v>0.61</v>
      </c>
      <c r="AG1213" s="16">
        <f>IF(ISERROR(VLOOKUP($A1213,'13. Updated Demand'!A:Z,24,FALSE)),0,VLOOKUP($A1213,'13. Updated Demand'!A:Z,24,FALSE))</f>
        <v>0</v>
      </c>
      <c r="AH1213" s="16">
        <f>IF(ISERROR(VLOOKUP($A1213,'13. Updated Demand'!A:Z,25,FALSE)),0,VLOOKUP($A1213,'13. Updated Demand'!A:Z,25,FALSE))</f>
        <v>0</v>
      </c>
      <c r="AI1213" s="16">
        <f>IF(ISERROR(VLOOKUP($A1213,'13. Updated Demand'!A:Z,26,FALSE)),0,VLOOKUP($A1213,'13. Updated Demand'!A:Z,26,FALSE))</f>
        <v>0</v>
      </c>
      <c r="AJ1213" s="16">
        <f t="shared" si="228"/>
        <v>11.030000000000001</v>
      </c>
      <c r="AK1213" s="19">
        <v>9.1933333333333334</v>
      </c>
      <c r="AL1213" s="16">
        <f t="shared" si="226"/>
        <v>3.049323944759005E-2</v>
      </c>
      <c r="AM1213" s="17">
        <v>5.1751094434021275E-2</v>
      </c>
      <c r="AN1213" s="19"/>
      <c r="AO1213" s="19"/>
      <c r="AP1213" s="19">
        <v>213.2</v>
      </c>
      <c r="AQ1213" s="19" t="s">
        <v>307</v>
      </c>
      <c r="AR1213" s="9" t="s">
        <v>354</v>
      </c>
      <c r="AS1213" s="12">
        <v>0</v>
      </c>
      <c r="AT1213" s="19">
        <v>38.729953430000002</v>
      </c>
      <c r="AU1213" s="19">
        <v>-122.92375269999999</v>
      </c>
      <c r="AV1213" s="19" t="s">
        <v>548</v>
      </c>
    </row>
    <row r="1214" spans="1:48" x14ac:dyDescent="0.25">
      <c r="A1214" s="18" t="s">
        <v>1593</v>
      </c>
      <c r="B1214" s="10">
        <v>19510122</v>
      </c>
      <c r="C1214" s="9">
        <v>14</v>
      </c>
      <c r="D1214" s="8" t="str">
        <f t="shared" si="217"/>
        <v>N</v>
      </c>
      <c r="E1214" s="8" t="str">
        <f t="shared" si="218"/>
        <v>N</v>
      </c>
      <c r="F1214" s="8" t="str">
        <f t="shared" si="219"/>
        <v>N</v>
      </c>
      <c r="G1214" s="8" t="str">
        <f t="shared" si="220"/>
        <v>N</v>
      </c>
      <c r="H1214" s="8" t="str">
        <f t="shared" si="221"/>
        <v>Lower</v>
      </c>
      <c r="I1214" s="8" t="str">
        <f t="shared" si="222"/>
        <v>Outside</v>
      </c>
      <c r="J1214" s="8" t="str">
        <f t="shared" si="223"/>
        <v>Outside</v>
      </c>
      <c r="K1214" s="8" t="str">
        <f t="shared" si="224"/>
        <v>Post-1949</v>
      </c>
      <c r="L1214" s="8">
        <f t="shared" si="225"/>
        <v>1951</v>
      </c>
      <c r="M1214" s="8" t="str">
        <f t="shared" si="227"/>
        <v>1950-1952</v>
      </c>
      <c r="N1214" s="10" t="s">
        <v>242</v>
      </c>
      <c r="O1214" s="10" t="s">
        <v>242</v>
      </c>
      <c r="P1214" s="10" t="s">
        <v>242</v>
      </c>
      <c r="Q1214" s="10" t="s">
        <v>242</v>
      </c>
      <c r="R1214" s="10" t="s">
        <v>241</v>
      </c>
      <c r="S1214" s="10" t="s">
        <v>242</v>
      </c>
      <c r="T1214" s="10" t="s">
        <v>242</v>
      </c>
      <c r="U1214" s="10" t="s">
        <v>242</v>
      </c>
      <c r="V1214" s="10" t="s">
        <v>242</v>
      </c>
      <c r="W1214" s="10" t="s">
        <v>242</v>
      </c>
      <c r="X1214" s="15">
        <f>IF(ISERROR(VLOOKUP($A1214,'13. Updated Demand'!A:Z,15,FALSE)),0,VLOOKUP($A1214,'13. Updated Demand'!A:Z,15,FALSE))</f>
        <v>0</v>
      </c>
      <c r="Y1214" s="16">
        <f>IF(ISERROR(VLOOKUP($A1214,'13. Updated Demand'!A:Z,16,FALSE)),0,VLOOKUP($A1214,'13. Updated Demand'!A:Z,16,FALSE))</f>
        <v>0</v>
      </c>
      <c r="Z1214" s="16">
        <f>IF(ISERROR(VLOOKUP($A1214,'13. Updated Demand'!A:Z,17,FALSE)),0,VLOOKUP($A1214,'13. Updated Demand'!A:Z,17,FALSE))</f>
        <v>5.4830999999999998E-2</v>
      </c>
      <c r="AA1214" s="16">
        <f>IF(ISERROR(VLOOKUP($A1214,'13. Updated Demand'!A:Z,18,FALSE)),0,VLOOKUP($A1214,'13. Updated Demand'!A:Z,18,FALSE))</f>
        <v>0.27006200000000002</v>
      </c>
      <c r="AB1214" s="16">
        <f>IF(ISERROR(VLOOKUP($A1214,'13. Updated Demand'!A:Z,19,FALSE)),0,VLOOKUP($A1214,'13. Updated Demand'!A:Z,19,FALSE))</f>
        <v>0.123086</v>
      </c>
      <c r="AC1214" s="16">
        <f>IF(ISERROR(VLOOKUP($A1214,'13. Updated Demand'!A:Z,20,FALSE)),0,VLOOKUP($A1214,'13. Updated Demand'!A:Z,20,FALSE))</f>
        <v>0.547083333</v>
      </c>
      <c r="AD1214" s="16">
        <f>IF(ISERROR(VLOOKUP($A1214,'13. Updated Demand'!A:Z,21,FALSE)),0,VLOOKUP($A1214,'13. Updated Demand'!A:Z,21,FALSE))</f>
        <v>1.8209866669999999</v>
      </c>
      <c r="AE1214" s="16">
        <f>IF(ISERROR(VLOOKUP($A1214,'13. Updated Demand'!A:Z,22,FALSE)),0,VLOOKUP($A1214,'13. Updated Demand'!A:Z,22,FALSE))</f>
        <v>1.887050667</v>
      </c>
      <c r="AF1214" s="16">
        <f>IF(ISERROR(VLOOKUP($A1214,'13. Updated Demand'!A:Z,23,FALSE)),0,VLOOKUP($A1214,'13. Updated Demand'!A:Z,23,FALSE))</f>
        <v>1.187940333</v>
      </c>
      <c r="AG1214" s="16">
        <f>IF(ISERROR(VLOOKUP($A1214,'13. Updated Demand'!A:Z,24,FALSE)),0,VLOOKUP($A1214,'13. Updated Demand'!A:Z,24,FALSE))</f>
        <v>5.4934999999999998E-2</v>
      </c>
      <c r="AH1214" s="16">
        <f>IF(ISERROR(VLOOKUP($A1214,'13. Updated Demand'!A:Z,25,FALSE)),0,VLOOKUP($A1214,'13. Updated Demand'!A:Z,25,FALSE))</f>
        <v>4.0920000000000002E-3</v>
      </c>
      <c r="AI1214" s="16">
        <f>IF(ISERROR(VLOOKUP($A1214,'13. Updated Demand'!A:Z,26,FALSE)),0,VLOOKUP($A1214,'13. Updated Demand'!A:Z,26,FALSE))</f>
        <v>0</v>
      </c>
      <c r="AJ1214" s="16">
        <f t="shared" si="228"/>
        <v>5.9500670000000007</v>
      </c>
      <c r="AK1214" s="19">
        <v>5.5661470000000008</v>
      </c>
      <c r="AL1214" s="16">
        <f t="shared" si="226"/>
        <v>1.8462275555273931E-2</v>
      </c>
      <c r="AM1214" s="17">
        <v>7.747483072916668E-2</v>
      </c>
      <c r="AN1214" s="19"/>
      <c r="AO1214" s="19"/>
      <c r="AP1214" s="19">
        <v>76.8</v>
      </c>
      <c r="AQ1214" s="19" t="s">
        <v>307</v>
      </c>
      <c r="AR1214" s="9" t="s">
        <v>493</v>
      </c>
      <c r="AS1214" s="12">
        <v>0</v>
      </c>
      <c r="AT1214" s="19">
        <v>38.70519204</v>
      </c>
      <c r="AU1214" s="19">
        <v>-122.96338329</v>
      </c>
      <c r="AV1214" s="19" t="s">
        <v>701</v>
      </c>
    </row>
    <row r="1215" spans="1:48" x14ac:dyDescent="0.25">
      <c r="A1215" s="18" t="s">
        <v>1594</v>
      </c>
      <c r="B1215" s="10">
        <v>19510411</v>
      </c>
      <c r="C1215" s="9">
        <v>9</v>
      </c>
      <c r="D1215" s="8" t="str">
        <f t="shared" si="217"/>
        <v>N</v>
      </c>
      <c r="E1215" s="8" t="str">
        <f t="shared" si="218"/>
        <v>Y</v>
      </c>
      <c r="F1215" s="8" t="str">
        <f t="shared" si="219"/>
        <v>Y</v>
      </c>
      <c r="G1215" s="8" t="str">
        <f t="shared" si="220"/>
        <v>Y</v>
      </c>
      <c r="H1215" s="8" t="str">
        <f t="shared" si="221"/>
        <v>Upper</v>
      </c>
      <c r="I1215" s="8" t="str">
        <f t="shared" si="222"/>
        <v>West Fork and Below Lake</v>
      </c>
      <c r="J1215" s="8" t="str">
        <f t="shared" si="223"/>
        <v>Sonoma (d/s of Clov. Gage)</v>
      </c>
      <c r="K1215" s="8" t="str">
        <f t="shared" si="224"/>
        <v>Post-1949</v>
      </c>
      <c r="L1215" s="8">
        <f t="shared" si="225"/>
        <v>1951</v>
      </c>
      <c r="M1215" s="8" t="str">
        <f t="shared" si="227"/>
        <v>1950-1952</v>
      </c>
      <c r="N1215" s="10" t="s">
        <v>241</v>
      </c>
      <c r="O1215" s="10" t="s">
        <v>241</v>
      </c>
      <c r="P1215" s="10" t="s">
        <v>242</v>
      </c>
      <c r="Q1215" s="10" t="s">
        <v>242</v>
      </c>
      <c r="R1215" s="10" t="s">
        <v>241</v>
      </c>
      <c r="S1215" s="10" t="s">
        <v>242</v>
      </c>
      <c r="T1215" s="10" t="s">
        <v>242</v>
      </c>
      <c r="U1215" s="10" t="s">
        <v>242</v>
      </c>
      <c r="V1215" s="10" t="s">
        <v>242</v>
      </c>
      <c r="W1215" s="10" t="s">
        <v>242</v>
      </c>
      <c r="X1215" s="15">
        <f>IF(ISERROR(VLOOKUP($A1215,'13. Updated Demand'!A:Z,15,FALSE)),0,VLOOKUP($A1215,'13. Updated Demand'!A:Z,15,FALSE))</f>
        <v>0.02</v>
      </c>
      <c r="Y1215" s="16">
        <f>IF(ISERROR(VLOOKUP($A1215,'13. Updated Demand'!A:Z,16,FALSE)),0,VLOOKUP($A1215,'13. Updated Demand'!A:Z,16,FALSE))</f>
        <v>0.02</v>
      </c>
      <c r="Z1215" s="16">
        <f>IF(ISERROR(VLOOKUP($A1215,'13. Updated Demand'!A:Z,17,FALSE)),0,VLOOKUP($A1215,'13. Updated Demand'!A:Z,17,FALSE))</f>
        <v>0.04</v>
      </c>
      <c r="AA1215" s="16">
        <f>IF(ISERROR(VLOOKUP($A1215,'13. Updated Demand'!A:Z,18,FALSE)),0,VLOOKUP($A1215,'13. Updated Demand'!A:Z,18,FALSE))</f>
        <v>0.08</v>
      </c>
      <c r="AB1215" s="16">
        <f>IF(ISERROR(VLOOKUP($A1215,'13. Updated Demand'!A:Z,19,FALSE)),0,VLOOKUP($A1215,'13. Updated Demand'!A:Z,19,FALSE))</f>
        <v>0.47</v>
      </c>
      <c r="AC1215" s="16">
        <f>IF(ISERROR(VLOOKUP($A1215,'13. Updated Demand'!A:Z,20,FALSE)),0,VLOOKUP($A1215,'13. Updated Demand'!A:Z,20,FALSE))</f>
        <v>0.74</v>
      </c>
      <c r="AD1215" s="16">
        <f>IF(ISERROR(VLOOKUP($A1215,'13. Updated Demand'!A:Z,21,FALSE)),0,VLOOKUP($A1215,'13. Updated Demand'!A:Z,21,FALSE))</f>
        <v>1.17</v>
      </c>
      <c r="AE1215" s="16">
        <f>IF(ISERROR(VLOOKUP($A1215,'13. Updated Demand'!A:Z,22,FALSE)),0,VLOOKUP($A1215,'13. Updated Demand'!A:Z,22,FALSE))</f>
        <v>1.59</v>
      </c>
      <c r="AF1215" s="16">
        <f>IF(ISERROR(VLOOKUP($A1215,'13. Updated Demand'!A:Z,23,FALSE)),0,VLOOKUP($A1215,'13. Updated Demand'!A:Z,23,FALSE))</f>
        <v>1.4</v>
      </c>
      <c r="AG1215" s="16">
        <f>IF(ISERROR(VLOOKUP($A1215,'13. Updated Demand'!A:Z,24,FALSE)),0,VLOOKUP($A1215,'13. Updated Demand'!A:Z,24,FALSE))</f>
        <v>0.7</v>
      </c>
      <c r="AH1215" s="16">
        <f>IF(ISERROR(VLOOKUP($A1215,'13. Updated Demand'!A:Z,25,FALSE)),0,VLOOKUP($A1215,'13. Updated Demand'!A:Z,25,FALSE))</f>
        <v>0.38</v>
      </c>
      <c r="AI1215" s="16">
        <f>IF(ISERROR(VLOOKUP($A1215,'13. Updated Demand'!A:Z,26,FALSE)),0,VLOOKUP($A1215,'13. Updated Demand'!A:Z,26,FALSE))</f>
        <v>0.04</v>
      </c>
      <c r="AJ1215" s="16">
        <f t="shared" si="228"/>
        <v>6.6499999999999995</v>
      </c>
      <c r="AK1215" s="19">
        <v>5.3953333333333298</v>
      </c>
      <c r="AL1215" s="16">
        <f t="shared" si="226"/>
        <v>1.7895706080445693E-2</v>
      </c>
      <c r="AM1215" s="17">
        <v>0.17482638888888882</v>
      </c>
      <c r="AN1215" s="19"/>
      <c r="AO1215" s="19"/>
      <c r="AP1215" s="19">
        <v>38.4</v>
      </c>
      <c r="AQ1215" s="19" t="s">
        <v>307</v>
      </c>
      <c r="AR1215" s="9" t="s">
        <v>354</v>
      </c>
      <c r="AS1215" s="12">
        <v>0</v>
      </c>
      <c r="AT1215" s="19">
        <v>38.71648751</v>
      </c>
      <c r="AU1215" s="19">
        <v>-122.90763004</v>
      </c>
      <c r="AV1215" s="19" t="s">
        <v>548</v>
      </c>
    </row>
    <row r="1216" spans="1:48" x14ac:dyDescent="0.25">
      <c r="A1216" s="18" t="s">
        <v>1595</v>
      </c>
      <c r="B1216" s="10">
        <v>19511029</v>
      </c>
      <c r="C1216" s="9">
        <v>5</v>
      </c>
      <c r="D1216" s="8" t="str">
        <f t="shared" si="217"/>
        <v>Y</v>
      </c>
      <c r="E1216" s="8" t="str">
        <f t="shared" si="218"/>
        <v>N</v>
      </c>
      <c r="F1216" s="8" t="str">
        <f t="shared" si="219"/>
        <v>Y</v>
      </c>
      <c r="G1216" s="8" t="str">
        <f t="shared" si="220"/>
        <v>Y</v>
      </c>
      <c r="H1216" s="8" t="str">
        <f t="shared" si="221"/>
        <v>Upper</v>
      </c>
      <c r="I1216" s="8" t="str">
        <f t="shared" si="222"/>
        <v>West Fork and Below Lake</v>
      </c>
      <c r="J1216" s="8" t="str">
        <f t="shared" si="223"/>
        <v>Mendocino (d/s of lake)</v>
      </c>
      <c r="K1216" s="8" t="str">
        <f t="shared" si="224"/>
        <v>Post-1949</v>
      </c>
      <c r="L1216" s="8">
        <f t="shared" si="225"/>
        <v>1951</v>
      </c>
      <c r="M1216" s="8" t="str">
        <f t="shared" si="227"/>
        <v>1950-1952</v>
      </c>
      <c r="N1216" s="10" t="s">
        <v>241</v>
      </c>
      <c r="O1216" s="10" t="s">
        <v>241</v>
      </c>
      <c r="P1216" s="10" t="s">
        <v>242</v>
      </c>
      <c r="Q1216" s="10" t="s">
        <v>242</v>
      </c>
      <c r="R1216" s="10" t="s">
        <v>241</v>
      </c>
      <c r="S1216" s="10" t="s">
        <v>242</v>
      </c>
      <c r="T1216" s="10" t="s">
        <v>242</v>
      </c>
      <c r="U1216" s="10" t="s">
        <v>242</v>
      </c>
      <c r="V1216" s="10" t="s">
        <v>242</v>
      </c>
      <c r="W1216" s="10" t="s">
        <v>242</v>
      </c>
      <c r="X1216" s="15">
        <f>IF(ISERROR(VLOOKUP($A1216,'13. Updated Demand'!A:Z,15,FALSE)),0,VLOOKUP($A1216,'13. Updated Demand'!A:Z,15,FALSE))</f>
        <v>0</v>
      </c>
      <c r="Y1216" s="16">
        <f>IF(ISERROR(VLOOKUP($A1216,'13. Updated Demand'!A:Z,16,FALSE)),0,VLOOKUP($A1216,'13. Updated Demand'!A:Z,16,FALSE))</f>
        <v>0</v>
      </c>
      <c r="Z1216" s="16">
        <f>IF(ISERROR(VLOOKUP($A1216,'13. Updated Demand'!A:Z,17,FALSE)),0,VLOOKUP($A1216,'13. Updated Demand'!A:Z,17,FALSE))</f>
        <v>0</v>
      </c>
      <c r="AA1216" s="16">
        <f>IF(ISERROR(VLOOKUP($A1216,'13. Updated Demand'!A:Z,18,FALSE)),0,VLOOKUP($A1216,'13. Updated Demand'!A:Z,18,FALSE))</f>
        <v>0</v>
      </c>
      <c r="AB1216" s="16">
        <f>IF(ISERROR(VLOOKUP($A1216,'13. Updated Demand'!A:Z,19,FALSE)),0,VLOOKUP($A1216,'13. Updated Demand'!A:Z,19,FALSE))</f>
        <v>0.93</v>
      </c>
      <c r="AC1216" s="16">
        <f>IF(ISERROR(VLOOKUP($A1216,'13. Updated Demand'!A:Z,20,FALSE)),0,VLOOKUP($A1216,'13. Updated Demand'!A:Z,20,FALSE))</f>
        <v>4.2</v>
      </c>
      <c r="AD1216" s="16">
        <f>IF(ISERROR(VLOOKUP($A1216,'13. Updated Demand'!A:Z,21,FALSE)),0,VLOOKUP($A1216,'13. Updated Demand'!A:Z,21,FALSE))</f>
        <v>0</v>
      </c>
      <c r="AE1216" s="16">
        <f>IF(ISERROR(VLOOKUP($A1216,'13. Updated Demand'!A:Z,22,FALSE)),0,VLOOKUP($A1216,'13. Updated Demand'!A:Z,22,FALSE))</f>
        <v>0</v>
      </c>
      <c r="AF1216" s="16">
        <f>IF(ISERROR(VLOOKUP($A1216,'13. Updated Demand'!A:Z,23,FALSE)),0,VLOOKUP($A1216,'13. Updated Demand'!A:Z,23,FALSE))</f>
        <v>0</v>
      </c>
      <c r="AG1216" s="16">
        <f>IF(ISERROR(VLOOKUP($A1216,'13. Updated Demand'!A:Z,24,FALSE)),0,VLOOKUP($A1216,'13. Updated Demand'!A:Z,24,FALSE))</f>
        <v>0</v>
      </c>
      <c r="AH1216" s="16">
        <f>IF(ISERROR(VLOOKUP($A1216,'13. Updated Demand'!A:Z,25,FALSE)),0,VLOOKUP($A1216,'13. Updated Demand'!A:Z,25,FALSE))</f>
        <v>0</v>
      </c>
      <c r="AI1216" s="16">
        <f>IF(ISERROR(VLOOKUP($A1216,'13. Updated Demand'!A:Z,26,FALSE)),0,VLOOKUP($A1216,'13. Updated Demand'!A:Z,26,FALSE))</f>
        <v>0</v>
      </c>
      <c r="AJ1216" s="16">
        <f t="shared" si="228"/>
        <v>5.13</v>
      </c>
      <c r="AK1216" s="19">
        <v>5.1333333333333329</v>
      </c>
      <c r="AL1216" s="16">
        <f t="shared" si="226"/>
        <v>1.7026681925050278E-2</v>
      </c>
      <c r="AM1216" s="17">
        <v>2.5077348965966455E-2</v>
      </c>
      <c r="AN1216" s="19"/>
      <c r="AO1216" s="19"/>
      <c r="AP1216" s="19">
        <v>204.7</v>
      </c>
      <c r="AQ1216" s="19" t="s">
        <v>307</v>
      </c>
      <c r="AR1216" s="9" t="s">
        <v>333</v>
      </c>
      <c r="AS1216" s="12">
        <v>0</v>
      </c>
      <c r="AT1216" s="19">
        <v>39.090453920000002</v>
      </c>
      <c r="AU1216" s="19">
        <v>-123.17263527</v>
      </c>
      <c r="AV1216" s="19" t="s">
        <v>387</v>
      </c>
    </row>
    <row r="1217" spans="1:48" x14ac:dyDescent="0.25">
      <c r="A1217" s="18" t="s">
        <v>1596</v>
      </c>
      <c r="B1217" s="10">
        <v>19510320</v>
      </c>
      <c r="C1217" s="9">
        <v>5</v>
      </c>
      <c r="D1217" s="8" t="str">
        <f t="shared" si="217"/>
        <v>Y</v>
      </c>
      <c r="E1217" s="8" t="str">
        <f t="shared" si="218"/>
        <v>N</v>
      </c>
      <c r="F1217" s="8" t="str">
        <f t="shared" si="219"/>
        <v>Y</v>
      </c>
      <c r="G1217" s="8" t="str">
        <f t="shared" si="220"/>
        <v>Y</v>
      </c>
      <c r="H1217" s="8" t="str">
        <f t="shared" si="221"/>
        <v>Upper</v>
      </c>
      <c r="I1217" s="8" t="str">
        <f t="shared" si="222"/>
        <v>West Fork and Below Lake</v>
      </c>
      <c r="J1217" s="8" t="str">
        <f t="shared" si="223"/>
        <v>Mendocino (d/s of lake)</v>
      </c>
      <c r="K1217" s="8" t="str">
        <f t="shared" si="224"/>
        <v>Post-1949</v>
      </c>
      <c r="L1217" s="8">
        <f t="shared" si="225"/>
        <v>1951</v>
      </c>
      <c r="M1217" s="8" t="str">
        <f t="shared" si="227"/>
        <v>1950-1952</v>
      </c>
      <c r="N1217" s="10" t="s">
        <v>241</v>
      </c>
      <c r="O1217" s="10" t="s">
        <v>241</v>
      </c>
      <c r="P1217" s="10" t="s">
        <v>242</v>
      </c>
      <c r="Q1217" s="10" t="s">
        <v>242</v>
      </c>
      <c r="R1217" s="10" t="s">
        <v>241</v>
      </c>
      <c r="S1217" s="10" t="s">
        <v>242</v>
      </c>
      <c r="T1217" s="10" t="s">
        <v>242</v>
      </c>
      <c r="U1217" s="10" t="s">
        <v>242</v>
      </c>
      <c r="V1217" s="10" t="s">
        <v>242</v>
      </c>
      <c r="W1217" s="10" t="s">
        <v>242</v>
      </c>
      <c r="X1217" s="15">
        <f>IF(ISERROR(VLOOKUP($A1217,'13. Updated Demand'!A:Z,15,FALSE)),0,VLOOKUP($A1217,'13. Updated Demand'!A:Z,15,FALSE))</f>
        <v>0</v>
      </c>
      <c r="Y1217" s="16">
        <f>IF(ISERROR(VLOOKUP($A1217,'13. Updated Demand'!A:Z,16,FALSE)),0,VLOOKUP($A1217,'13. Updated Demand'!A:Z,16,FALSE))</f>
        <v>0</v>
      </c>
      <c r="Z1217" s="16">
        <f>IF(ISERROR(VLOOKUP($A1217,'13. Updated Demand'!A:Z,17,FALSE)),0,VLOOKUP($A1217,'13. Updated Demand'!A:Z,17,FALSE))</f>
        <v>0</v>
      </c>
      <c r="AA1217" s="16">
        <f>IF(ISERROR(VLOOKUP($A1217,'13. Updated Demand'!A:Z,18,FALSE)),0,VLOOKUP($A1217,'13. Updated Demand'!A:Z,18,FALSE))</f>
        <v>0</v>
      </c>
      <c r="AB1217" s="16">
        <f>IF(ISERROR(VLOOKUP($A1217,'13. Updated Demand'!A:Z,19,FALSE)),0,VLOOKUP($A1217,'13. Updated Demand'!A:Z,19,FALSE))</f>
        <v>0.25</v>
      </c>
      <c r="AC1217" s="16">
        <f>IF(ISERROR(VLOOKUP($A1217,'13. Updated Demand'!A:Z,20,FALSE)),0,VLOOKUP($A1217,'13. Updated Demand'!A:Z,20,FALSE))</f>
        <v>0.75</v>
      </c>
      <c r="AD1217" s="16">
        <f>IF(ISERROR(VLOOKUP($A1217,'13. Updated Demand'!A:Z,21,FALSE)),0,VLOOKUP($A1217,'13. Updated Demand'!A:Z,21,FALSE))</f>
        <v>0.75</v>
      </c>
      <c r="AE1217" s="16">
        <f>IF(ISERROR(VLOOKUP($A1217,'13. Updated Demand'!A:Z,22,FALSE)),0,VLOOKUP($A1217,'13. Updated Demand'!A:Z,22,FALSE))</f>
        <v>0.75</v>
      </c>
      <c r="AF1217" s="16">
        <f>IF(ISERROR(VLOOKUP($A1217,'13. Updated Demand'!A:Z,23,FALSE)),0,VLOOKUP($A1217,'13. Updated Demand'!A:Z,23,FALSE))</f>
        <v>0.4</v>
      </c>
      <c r="AG1217" s="16">
        <f>IF(ISERROR(VLOOKUP($A1217,'13. Updated Demand'!A:Z,24,FALSE)),0,VLOOKUP($A1217,'13. Updated Demand'!A:Z,24,FALSE))</f>
        <v>0</v>
      </c>
      <c r="AH1217" s="16">
        <f>IF(ISERROR(VLOOKUP($A1217,'13. Updated Demand'!A:Z,25,FALSE)),0,VLOOKUP($A1217,'13. Updated Demand'!A:Z,25,FALSE))</f>
        <v>0</v>
      </c>
      <c r="AI1217" s="16">
        <f>IF(ISERROR(VLOOKUP($A1217,'13. Updated Demand'!A:Z,26,FALSE)),0,VLOOKUP($A1217,'13. Updated Demand'!A:Z,26,FALSE))</f>
        <v>0</v>
      </c>
      <c r="AJ1217" s="16">
        <f t="shared" si="228"/>
        <v>2.9</v>
      </c>
      <c r="AK1217" s="19">
        <v>2.9</v>
      </c>
      <c r="AL1217" s="16">
        <f t="shared" si="226"/>
        <v>9.6189696589569773E-3</v>
      </c>
      <c r="AM1217" s="17">
        <v>0.96666666666666667</v>
      </c>
      <c r="AN1217" s="19"/>
      <c r="AO1217" s="19"/>
      <c r="AP1217" s="19">
        <v>3</v>
      </c>
      <c r="AQ1217" s="19" t="s">
        <v>307</v>
      </c>
      <c r="AR1217" s="9" t="s">
        <v>333</v>
      </c>
      <c r="AS1217" s="12">
        <v>0</v>
      </c>
      <c r="AT1217" s="19">
        <v>39.046995770000002</v>
      </c>
      <c r="AU1217" s="19">
        <v>-123.13546934</v>
      </c>
      <c r="AV1217" s="19" t="s">
        <v>387</v>
      </c>
    </row>
    <row r="1218" spans="1:48" x14ac:dyDescent="0.25">
      <c r="A1218" s="18" t="s">
        <v>1597</v>
      </c>
      <c r="B1218" s="10">
        <v>19511217</v>
      </c>
      <c r="C1218" s="9">
        <v>18</v>
      </c>
      <c r="D1218" s="8" t="str">
        <f t="shared" ref="D1218:D1281" si="229">IF(OR(C1218=4,C1218=5,C1218=6),"Y","N")</f>
        <v>N</v>
      </c>
      <c r="E1218" s="8" t="str">
        <f t="shared" ref="E1218:E1281" si="230">IF(AND(C1218&gt;6,C1218&lt;14),"Y","N")</f>
        <v>N</v>
      </c>
      <c r="F1218" s="8" t="str">
        <f t="shared" ref="F1218:F1281" si="231">IF(C1218&lt;14,"Y","N")</f>
        <v>N</v>
      </c>
      <c r="G1218" s="8" t="str">
        <f t="shared" ref="G1218:G1281" si="232">IF(OR(C1218=1,AND(C1218&gt;3,C1218&lt;14)),"Y","N")</f>
        <v>N</v>
      </c>
      <c r="H1218" s="8" t="str">
        <f t="shared" ref="H1218:H1281" si="233">IF(C1218&lt;14,"Upper","Lower")</f>
        <v>Lower</v>
      </c>
      <c r="I1218" s="8" t="str">
        <f t="shared" ref="I1218:I1281" si="234">IF(G1218="Y","West Fork and Below Lake","Outside")</f>
        <v>Outside</v>
      </c>
      <c r="J1218" s="8" t="str">
        <f t="shared" ref="J1218:J1281" si="235">IF(D1218="Y", "Mendocino (d/s of lake)", IF(E1218="Y", "Sonoma (d/s of Clov. Gage)","Outside"))</f>
        <v>Outside</v>
      </c>
      <c r="K1218" s="8" t="str">
        <f t="shared" ref="K1218:K1281" si="236">IF(P1218="Y","pre-1914",IF(Q1218="Y","Pre-1949",IF(R1218="Y","Post-1949",IF(S1218="Y","Riparian","Unknown"))))</f>
        <v>Post-1949</v>
      </c>
      <c r="L1218" s="8">
        <f t="shared" ref="L1218:L1281" si="237">_xlfn.NUMBERVALUE(LEFT(B1218,4))</f>
        <v>1951</v>
      </c>
      <c r="M1218" s="8" t="str">
        <f t="shared" si="227"/>
        <v>1950-1952</v>
      </c>
      <c r="N1218" s="10" t="s">
        <v>241</v>
      </c>
      <c r="O1218" s="10" t="s">
        <v>242</v>
      </c>
      <c r="P1218" s="10" t="s">
        <v>242</v>
      </c>
      <c r="Q1218" s="10" t="s">
        <v>242</v>
      </c>
      <c r="R1218" s="10" t="s">
        <v>241</v>
      </c>
      <c r="S1218" s="10" t="s">
        <v>242</v>
      </c>
      <c r="T1218" s="10" t="s">
        <v>242</v>
      </c>
      <c r="U1218" s="10" t="s">
        <v>242</v>
      </c>
      <c r="V1218" s="10" t="s">
        <v>242</v>
      </c>
      <c r="W1218" s="10" t="s">
        <v>242</v>
      </c>
      <c r="X1218" s="15">
        <f>IF(ISERROR(VLOOKUP($A1218,'13. Updated Demand'!A:Z,15,FALSE)),0,VLOOKUP($A1218,'13. Updated Demand'!A:Z,15,FALSE))</f>
        <v>0</v>
      </c>
      <c r="Y1218" s="16">
        <f>IF(ISERROR(VLOOKUP($A1218,'13. Updated Demand'!A:Z,16,FALSE)),0,VLOOKUP($A1218,'13. Updated Demand'!A:Z,16,FALSE))</f>
        <v>0</v>
      </c>
      <c r="Z1218" s="16">
        <f>IF(ISERROR(VLOOKUP($A1218,'13. Updated Demand'!A:Z,17,FALSE)),0,VLOOKUP($A1218,'13. Updated Demand'!A:Z,17,FALSE))</f>
        <v>0</v>
      </c>
      <c r="AA1218" s="16">
        <f>IF(ISERROR(VLOOKUP($A1218,'13. Updated Demand'!A:Z,18,FALSE)),0,VLOOKUP($A1218,'13. Updated Demand'!A:Z,18,FALSE))</f>
        <v>0</v>
      </c>
      <c r="AB1218" s="16">
        <f>IF(ISERROR(VLOOKUP($A1218,'13. Updated Demand'!A:Z,19,FALSE)),0,VLOOKUP($A1218,'13. Updated Demand'!A:Z,19,FALSE))</f>
        <v>0</v>
      </c>
      <c r="AC1218" s="16">
        <f>IF(ISERROR(VLOOKUP($A1218,'13. Updated Demand'!A:Z,20,FALSE)),0,VLOOKUP($A1218,'13. Updated Demand'!A:Z,20,FALSE))</f>
        <v>0</v>
      </c>
      <c r="AD1218" s="16">
        <f>IF(ISERROR(VLOOKUP($A1218,'13. Updated Demand'!A:Z,21,FALSE)),0,VLOOKUP($A1218,'13. Updated Demand'!A:Z,21,FALSE))</f>
        <v>3.3333333E-2</v>
      </c>
      <c r="AE1218" s="16">
        <f>IF(ISERROR(VLOOKUP($A1218,'13. Updated Demand'!A:Z,22,FALSE)),0,VLOOKUP($A1218,'13. Updated Demand'!A:Z,22,FALSE))</f>
        <v>6.6666666999999999E-2</v>
      </c>
      <c r="AF1218" s="16">
        <f>IF(ISERROR(VLOOKUP($A1218,'13. Updated Demand'!A:Z,23,FALSE)),0,VLOOKUP($A1218,'13. Updated Demand'!A:Z,23,FALSE))</f>
        <v>0</v>
      </c>
      <c r="AG1218" s="16">
        <f>IF(ISERROR(VLOOKUP($A1218,'13. Updated Demand'!A:Z,24,FALSE)),0,VLOOKUP($A1218,'13. Updated Demand'!A:Z,24,FALSE))</f>
        <v>0</v>
      </c>
      <c r="AH1218" s="16">
        <f>IF(ISERROR(VLOOKUP($A1218,'13. Updated Demand'!A:Z,25,FALSE)),0,VLOOKUP($A1218,'13. Updated Demand'!A:Z,25,FALSE))</f>
        <v>0</v>
      </c>
      <c r="AI1218" s="16">
        <f>IF(ISERROR(VLOOKUP($A1218,'13. Updated Demand'!A:Z,26,FALSE)),0,VLOOKUP($A1218,'13. Updated Demand'!A:Z,26,FALSE))</f>
        <v>0</v>
      </c>
      <c r="AJ1218" s="16">
        <f t="shared" si="228"/>
        <v>0.1</v>
      </c>
      <c r="AK1218" s="19">
        <v>0.1</v>
      </c>
      <c r="AL1218" s="16">
        <f t="shared" ref="AL1218:AL1281" si="238">AK1218/152/1.983471</f>
        <v>3.3168860892955089E-4</v>
      </c>
      <c r="AM1218" s="17">
        <v>4.6728971962616828E-3</v>
      </c>
      <c r="AN1218" s="19"/>
      <c r="AO1218" s="19"/>
      <c r="AP1218" s="19">
        <v>21.4</v>
      </c>
      <c r="AQ1218" s="19" t="s">
        <v>307</v>
      </c>
      <c r="AR1218" s="9" t="s">
        <v>352</v>
      </c>
      <c r="AS1218" s="12">
        <v>0</v>
      </c>
      <c r="AT1218" s="19">
        <v>38.500130319999997</v>
      </c>
      <c r="AU1218" s="19">
        <v>-122.88583694</v>
      </c>
      <c r="AV1218" s="19" t="s">
        <v>387</v>
      </c>
    </row>
    <row r="1219" spans="1:48" x14ac:dyDescent="0.25">
      <c r="A1219" s="18" t="s">
        <v>1598</v>
      </c>
      <c r="B1219" s="10">
        <v>19510906</v>
      </c>
      <c r="C1219" s="9">
        <v>12</v>
      </c>
      <c r="D1219" s="8" t="str">
        <f t="shared" si="229"/>
        <v>N</v>
      </c>
      <c r="E1219" s="8" t="str">
        <f t="shared" si="230"/>
        <v>Y</v>
      </c>
      <c r="F1219" s="8" t="str">
        <f t="shared" si="231"/>
        <v>Y</v>
      </c>
      <c r="G1219" s="8" t="str">
        <f t="shared" si="232"/>
        <v>Y</v>
      </c>
      <c r="H1219" s="8" t="str">
        <f t="shared" si="233"/>
        <v>Upper</v>
      </c>
      <c r="I1219" s="8" t="str">
        <f t="shared" si="234"/>
        <v>West Fork and Below Lake</v>
      </c>
      <c r="J1219" s="8" t="str">
        <f t="shared" si="235"/>
        <v>Sonoma (d/s of Clov. Gage)</v>
      </c>
      <c r="K1219" s="8" t="str">
        <f t="shared" si="236"/>
        <v>Post-1949</v>
      </c>
      <c r="L1219" s="8">
        <f t="shared" si="237"/>
        <v>1951</v>
      </c>
      <c r="M1219" s="8" t="str">
        <f t="shared" ref="M1219:M1282" si="239">IF(L1219=1949,"1949",IF(AND(L1219&gt;1949,L1219&lt;1953),"1950-1952",IF(AND(L1219&gt;1952,L1219&lt;1955),"1953-1954",IF(AND(L1219&gt;1954,L1219&lt;1957),"1955-1956",IF(AND(L1219&gt;1956,L1219&lt;1960),"1957-1959",IF(AND(L1219&gt;1959,L1219&lt;1971),"1960-1970",IF(AND(L1219&gt;1970,L1219&lt;1991),"1971-1990",IF(L1219&gt;1990,"1991-present","-"))))))))</f>
        <v>1950-1952</v>
      </c>
      <c r="N1219" s="10" t="s">
        <v>242</v>
      </c>
      <c r="O1219" s="10" t="s">
        <v>241</v>
      </c>
      <c r="P1219" s="10" t="s">
        <v>242</v>
      </c>
      <c r="Q1219" s="10" t="s">
        <v>242</v>
      </c>
      <c r="R1219" s="10" t="s">
        <v>241</v>
      </c>
      <c r="S1219" s="10" t="s">
        <v>242</v>
      </c>
      <c r="T1219" s="10" t="s">
        <v>242</v>
      </c>
      <c r="U1219" s="10" t="s">
        <v>242</v>
      </c>
      <c r="V1219" s="10" t="s">
        <v>242</v>
      </c>
      <c r="W1219" s="10" t="s">
        <v>242</v>
      </c>
      <c r="X1219" s="15">
        <f>IF(ISERROR(VLOOKUP($A1219,'13. Updated Demand'!A:Z,15,FALSE)),0,VLOOKUP($A1219,'13. Updated Demand'!A:Z,15,FALSE))</f>
        <v>0.33</v>
      </c>
      <c r="Y1219" s="16">
        <f>IF(ISERROR(VLOOKUP($A1219,'13. Updated Demand'!A:Z,16,FALSE)),0,VLOOKUP($A1219,'13. Updated Demand'!A:Z,16,FALSE))</f>
        <v>0</v>
      </c>
      <c r="Z1219" s="16">
        <f>IF(ISERROR(VLOOKUP($A1219,'13. Updated Demand'!A:Z,17,FALSE)),0,VLOOKUP($A1219,'13. Updated Demand'!A:Z,17,FALSE))</f>
        <v>0</v>
      </c>
      <c r="AA1219" s="16">
        <f>IF(ISERROR(VLOOKUP($A1219,'13. Updated Demand'!A:Z,18,FALSE)),0,VLOOKUP($A1219,'13. Updated Demand'!A:Z,18,FALSE))</f>
        <v>0</v>
      </c>
      <c r="AB1219" s="16">
        <f>IF(ISERROR(VLOOKUP($A1219,'13. Updated Demand'!A:Z,19,FALSE)),0,VLOOKUP($A1219,'13. Updated Demand'!A:Z,19,FALSE))</f>
        <v>0</v>
      </c>
      <c r="AC1219" s="16">
        <f>IF(ISERROR(VLOOKUP($A1219,'13. Updated Demand'!A:Z,20,FALSE)),0,VLOOKUP($A1219,'13. Updated Demand'!A:Z,20,FALSE))</f>
        <v>0</v>
      </c>
      <c r="AD1219" s="16">
        <f>IF(ISERROR(VLOOKUP($A1219,'13. Updated Demand'!A:Z,21,FALSE)),0,VLOOKUP($A1219,'13. Updated Demand'!A:Z,21,FALSE))</f>
        <v>0.03</v>
      </c>
      <c r="AE1219" s="16">
        <f>IF(ISERROR(VLOOKUP($A1219,'13. Updated Demand'!A:Z,22,FALSE)),0,VLOOKUP($A1219,'13. Updated Demand'!A:Z,22,FALSE))</f>
        <v>0.03</v>
      </c>
      <c r="AF1219" s="16">
        <f>IF(ISERROR(VLOOKUP($A1219,'13. Updated Demand'!A:Z,23,FALSE)),0,VLOOKUP($A1219,'13. Updated Demand'!A:Z,23,FALSE))</f>
        <v>0</v>
      </c>
      <c r="AG1219" s="16">
        <f>IF(ISERROR(VLOOKUP($A1219,'13. Updated Demand'!A:Z,24,FALSE)),0,VLOOKUP($A1219,'13. Updated Demand'!A:Z,24,FALSE))</f>
        <v>0</v>
      </c>
      <c r="AH1219" s="16">
        <f>IF(ISERROR(VLOOKUP($A1219,'13. Updated Demand'!A:Z,25,FALSE)),0,VLOOKUP($A1219,'13. Updated Demand'!A:Z,25,FALSE))</f>
        <v>0.6</v>
      </c>
      <c r="AI1219" s="16">
        <f>IF(ISERROR(VLOOKUP($A1219,'13. Updated Demand'!A:Z,26,FALSE)),0,VLOOKUP($A1219,'13. Updated Demand'!A:Z,26,FALSE))</f>
        <v>0.77</v>
      </c>
      <c r="AJ1219" s="16">
        <f t="shared" si="228"/>
        <v>1.76</v>
      </c>
      <c r="AK1219" s="19">
        <v>7.7744999999999995E-2</v>
      </c>
      <c r="AL1219" s="16">
        <f t="shared" si="238"/>
        <v>2.5787130901227932E-4</v>
      </c>
      <c r="AM1219" s="17">
        <v>5.9369277766666666E-2</v>
      </c>
      <c r="AN1219" s="19"/>
      <c r="AO1219" s="19"/>
      <c r="AP1219" s="19">
        <v>30</v>
      </c>
      <c r="AQ1219" s="19" t="s">
        <v>307</v>
      </c>
      <c r="AR1219" s="9" t="s">
        <v>311</v>
      </c>
      <c r="AS1219" s="12">
        <v>0</v>
      </c>
      <c r="AT1219" s="19">
        <v>38.615083200000001</v>
      </c>
      <c r="AU1219" s="19">
        <v>-122.65311161</v>
      </c>
      <c r="AV1219" s="19" t="s">
        <v>573</v>
      </c>
    </row>
    <row r="1220" spans="1:48" x14ac:dyDescent="0.25">
      <c r="A1220" s="18" t="s">
        <v>1599</v>
      </c>
      <c r="B1220" s="10">
        <v>19510411</v>
      </c>
      <c r="C1220" s="9">
        <v>9</v>
      </c>
      <c r="D1220" s="8" t="str">
        <f t="shared" si="229"/>
        <v>N</v>
      </c>
      <c r="E1220" s="8" t="str">
        <f t="shared" si="230"/>
        <v>Y</v>
      </c>
      <c r="F1220" s="8" t="str">
        <f t="shared" si="231"/>
        <v>Y</v>
      </c>
      <c r="G1220" s="8" t="str">
        <f t="shared" si="232"/>
        <v>Y</v>
      </c>
      <c r="H1220" s="8" t="str">
        <f t="shared" si="233"/>
        <v>Upper</v>
      </c>
      <c r="I1220" s="8" t="str">
        <f t="shared" si="234"/>
        <v>West Fork and Below Lake</v>
      </c>
      <c r="J1220" s="8" t="str">
        <f t="shared" si="235"/>
        <v>Sonoma (d/s of Clov. Gage)</v>
      </c>
      <c r="K1220" s="8" t="str">
        <f t="shared" si="236"/>
        <v>Post-1949</v>
      </c>
      <c r="L1220" s="8">
        <f t="shared" si="237"/>
        <v>1951</v>
      </c>
      <c r="M1220" s="8" t="str">
        <f t="shared" si="239"/>
        <v>1950-1952</v>
      </c>
      <c r="N1220" s="10" t="s">
        <v>241</v>
      </c>
      <c r="O1220" s="10" t="s">
        <v>241</v>
      </c>
      <c r="P1220" s="10" t="s">
        <v>242</v>
      </c>
      <c r="Q1220" s="10" t="s">
        <v>242</v>
      </c>
      <c r="R1220" s="10" t="s">
        <v>241</v>
      </c>
      <c r="S1220" s="10" t="s">
        <v>242</v>
      </c>
      <c r="T1220" s="10" t="s">
        <v>242</v>
      </c>
      <c r="U1220" s="10" t="s">
        <v>242</v>
      </c>
      <c r="V1220" s="10" t="s">
        <v>242</v>
      </c>
      <c r="W1220" s="10" t="s">
        <v>242</v>
      </c>
      <c r="X1220" s="15">
        <f>IF(ISERROR(VLOOKUP($A1220,'13. Updated Demand'!A:Z,15,FALSE)),0,VLOOKUP($A1220,'13. Updated Demand'!A:Z,15,FALSE))</f>
        <v>0</v>
      </c>
      <c r="Y1220" s="16">
        <f>IF(ISERROR(VLOOKUP($A1220,'13. Updated Demand'!A:Z,16,FALSE)),0,VLOOKUP($A1220,'13. Updated Demand'!A:Z,16,FALSE))</f>
        <v>0</v>
      </c>
      <c r="Z1220" s="16">
        <f>IF(ISERROR(VLOOKUP($A1220,'13. Updated Demand'!A:Z,17,FALSE)),0,VLOOKUP($A1220,'13. Updated Demand'!A:Z,17,FALSE))</f>
        <v>0</v>
      </c>
      <c r="AA1220" s="16">
        <f>IF(ISERROR(VLOOKUP($A1220,'13. Updated Demand'!A:Z,18,FALSE)),0,VLOOKUP($A1220,'13. Updated Demand'!A:Z,18,FALSE))</f>
        <v>0</v>
      </c>
      <c r="AB1220" s="16">
        <f>IF(ISERROR(VLOOKUP($A1220,'13. Updated Demand'!A:Z,19,FALSE)),0,VLOOKUP($A1220,'13. Updated Demand'!A:Z,19,FALSE))</f>
        <v>1.12533333333333E-3</v>
      </c>
      <c r="AC1220" s="16">
        <f>IF(ISERROR(VLOOKUP($A1220,'13. Updated Demand'!A:Z,20,FALSE)),0,VLOOKUP($A1220,'13. Updated Demand'!A:Z,20,FALSE))</f>
        <v>2.1993333333333301E-3</v>
      </c>
      <c r="AD1220" s="16">
        <f>IF(ISERROR(VLOOKUP($A1220,'13. Updated Demand'!A:Z,21,FALSE)),0,VLOOKUP($A1220,'13. Updated Demand'!A:Z,21,FALSE))</f>
        <v>0</v>
      </c>
      <c r="AE1220" s="16">
        <f>IF(ISERROR(VLOOKUP($A1220,'13. Updated Demand'!A:Z,22,FALSE)),0,VLOOKUP($A1220,'13. Updated Demand'!A:Z,22,FALSE))</f>
        <v>0</v>
      </c>
      <c r="AF1220" s="16">
        <f>IF(ISERROR(VLOOKUP($A1220,'13. Updated Demand'!A:Z,23,FALSE)),0,VLOOKUP($A1220,'13. Updated Demand'!A:Z,23,FALSE))</f>
        <v>0</v>
      </c>
      <c r="AG1220" s="16">
        <f>IF(ISERROR(VLOOKUP($A1220,'13. Updated Demand'!A:Z,24,FALSE)),0,VLOOKUP($A1220,'13. Updated Demand'!A:Z,24,FALSE))</f>
        <v>0</v>
      </c>
      <c r="AH1220" s="16">
        <f>IF(ISERROR(VLOOKUP($A1220,'13. Updated Demand'!A:Z,25,FALSE)),0,VLOOKUP($A1220,'13. Updated Demand'!A:Z,25,FALSE))</f>
        <v>0</v>
      </c>
      <c r="AI1220" s="16">
        <f>IF(ISERROR(VLOOKUP($A1220,'13. Updated Demand'!A:Z,26,FALSE)),0,VLOOKUP($A1220,'13. Updated Demand'!A:Z,26,FALSE))</f>
        <v>0</v>
      </c>
      <c r="AJ1220" s="16">
        <f t="shared" si="228"/>
        <v>3.3246666666666598E-3</v>
      </c>
      <c r="AK1220" s="19">
        <v>3.3246666666666598E-3</v>
      </c>
      <c r="AL1220" s="16">
        <f t="shared" si="238"/>
        <v>1.1027540618211113E-5</v>
      </c>
      <c r="AM1220" s="17">
        <v>5.5689558905639192E-5</v>
      </c>
      <c r="AN1220" s="19"/>
      <c r="AO1220" s="19"/>
      <c r="AP1220" s="19">
        <v>59.7</v>
      </c>
      <c r="AQ1220" s="19" t="s">
        <v>307</v>
      </c>
      <c r="AR1220" s="9" t="s">
        <v>354</v>
      </c>
      <c r="AS1220" s="12">
        <v>0</v>
      </c>
      <c r="AT1220" s="19">
        <v>38.788093410000002</v>
      </c>
      <c r="AU1220" s="19">
        <v>-122.99924034999999</v>
      </c>
      <c r="AV1220" s="19" t="s">
        <v>548</v>
      </c>
    </row>
    <row r="1221" spans="1:48" x14ac:dyDescent="0.25">
      <c r="A1221" s="18" t="s">
        <v>1600</v>
      </c>
      <c r="B1221" s="10">
        <v>19510202</v>
      </c>
      <c r="C1221" s="9">
        <v>9</v>
      </c>
      <c r="D1221" s="8" t="str">
        <f t="shared" si="229"/>
        <v>N</v>
      </c>
      <c r="E1221" s="8" t="str">
        <f t="shared" si="230"/>
        <v>Y</v>
      </c>
      <c r="F1221" s="8" t="str">
        <f t="shared" si="231"/>
        <v>Y</v>
      </c>
      <c r="G1221" s="8" t="str">
        <f t="shared" si="232"/>
        <v>Y</v>
      </c>
      <c r="H1221" s="8" t="str">
        <f t="shared" si="233"/>
        <v>Upper</v>
      </c>
      <c r="I1221" s="8" t="str">
        <f t="shared" si="234"/>
        <v>West Fork and Below Lake</v>
      </c>
      <c r="J1221" s="8" t="str">
        <f t="shared" si="235"/>
        <v>Sonoma (d/s of Clov. Gage)</v>
      </c>
      <c r="K1221" s="8" t="str">
        <f t="shared" si="236"/>
        <v>Post-1949</v>
      </c>
      <c r="L1221" s="8">
        <f t="shared" si="237"/>
        <v>1951</v>
      </c>
      <c r="M1221" s="8" t="str">
        <f t="shared" si="239"/>
        <v>1950-1952</v>
      </c>
      <c r="N1221" s="10" t="s">
        <v>241</v>
      </c>
      <c r="O1221" s="10" t="s">
        <v>241</v>
      </c>
      <c r="P1221" s="10" t="s">
        <v>242</v>
      </c>
      <c r="Q1221" s="10" t="s">
        <v>242</v>
      </c>
      <c r="R1221" s="10" t="s">
        <v>241</v>
      </c>
      <c r="S1221" s="10" t="s">
        <v>242</v>
      </c>
      <c r="T1221" s="10" t="s">
        <v>242</v>
      </c>
      <c r="U1221" s="10" t="s">
        <v>241</v>
      </c>
      <c r="V1221" s="10" t="s">
        <v>241</v>
      </c>
      <c r="W1221" s="10" t="s">
        <v>242</v>
      </c>
      <c r="X1221" s="15">
        <f>IF(ISERROR(VLOOKUP($A1221,'13. Updated Demand'!A:Z,15,FALSE)),0,VLOOKUP($A1221,'13. Updated Demand'!A:Z,15,FALSE))</f>
        <v>0</v>
      </c>
      <c r="Y1221" s="16">
        <f>IF(ISERROR(VLOOKUP($A1221,'13. Updated Demand'!A:Z,16,FALSE)),0,VLOOKUP($A1221,'13. Updated Demand'!A:Z,16,FALSE))</f>
        <v>0</v>
      </c>
      <c r="Z1221" s="16">
        <f>IF(ISERROR(VLOOKUP($A1221,'13. Updated Demand'!A:Z,17,FALSE)),0,VLOOKUP($A1221,'13. Updated Demand'!A:Z,17,FALSE))</f>
        <v>0</v>
      </c>
      <c r="AA1221" s="16">
        <f>IF(ISERROR(VLOOKUP($A1221,'13. Updated Demand'!A:Z,18,FALSE)),0,VLOOKUP($A1221,'13. Updated Demand'!A:Z,18,FALSE))</f>
        <v>0</v>
      </c>
      <c r="AB1221" s="16">
        <f>IF(ISERROR(VLOOKUP($A1221,'13. Updated Demand'!A:Z,19,FALSE)),0,VLOOKUP($A1221,'13. Updated Demand'!A:Z,19,FALSE))</f>
        <v>0</v>
      </c>
      <c r="AC1221" s="16">
        <f>IF(ISERROR(VLOOKUP($A1221,'13. Updated Demand'!A:Z,20,FALSE)),0,VLOOKUP($A1221,'13. Updated Demand'!A:Z,20,FALSE))</f>
        <v>0</v>
      </c>
      <c r="AD1221" s="16">
        <f>IF(ISERROR(VLOOKUP($A1221,'13. Updated Demand'!A:Z,21,FALSE)),0,VLOOKUP($A1221,'13. Updated Demand'!A:Z,21,FALSE))</f>
        <v>0</v>
      </c>
      <c r="AE1221" s="16">
        <f>IF(ISERROR(VLOOKUP($A1221,'13. Updated Demand'!A:Z,22,FALSE)),0,VLOOKUP($A1221,'13. Updated Demand'!A:Z,22,FALSE))</f>
        <v>0</v>
      </c>
      <c r="AF1221" s="16">
        <f>IF(ISERROR(VLOOKUP($A1221,'13. Updated Demand'!A:Z,23,FALSE)),0,VLOOKUP($A1221,'13. Updated Demand'!A:Z,23,FALSE))</f>
        <v>0</v>
      </c>
      <c r="AG1221" s="16">
        <f>IF(ISERROR(VLOOKUP($A1221,'13. Updated Demand'!A:Z,24,FALSE)),0,VLOOKUP($A1221,'13. Updated Demand'!A:Z,24,FALSE))</f>
        <v>0</v>
      </c>
      <c r="AH1221" s="16">
        <f>IF(ISERROR(VLOOKUP($A1221,'13. Updated Demand'!A:Z,25,FALSE)),0,VLOOKUP($A1221,'13. Updated Demand'!A:Z,25,FALSE))</f>
        <v>0</v>
      </c>
      <c r="AI1221" s="16">
        <f>IF(ISERROR(VLOOKUP($A1221,'13. Updated Demand'!A:Z,26,FALSE)),0,VLOOKUP($A1221,'13. Updated Demand'!A:Z,26,FALSE))</f>
        <v>0</v>
      </c>
      <c r="AJ1221" s="16">
        <f t="shared" si="228"/>
        <v>0</v>
      </c>
      <c r="AK1221" s="19">
        <v>0</v>
      </c>
      <c r="AL1221" s="16">
        <f t="shared" si="238"/>
        <v>0</v>
      </c>
      <c r="AM1221" s="17">
        <v>0</v>
      </c>
      <c r="AN1221" s="19"/>
      <c r="AO1221" s="19"/>
      <c r="AP1221" s="19">
        <v>179.8</v>
      </c>
      <c r="AQ1221" s="19" t="s">
        <v>307</v>
      </c>
      <c r="AR1221" s="9" t="s">
        <v>354</v>
      </c>
      <c r="AS1221" s="12">
        <v>0</v>
      </c>
      <c r="AT1221" s="19">
        <v>38.807837650000003</v>
      </c>
      <c r="AU1221" s="19">
        <v>-123.00232511999999</v>
      </c>
      <c r="AV1221" s="19" t="s">
        <v>548</v>
      </c>
    </row>
    <row r="1222" spans="1:48" x14ac:dyDescent="0.25">
      <c r="A1222" s="18" t="s">
        <v>1601</v>
      </c>
      <c r="B1222" s="10">
        <v>19510213</v>
      </c>
      <c r="C1222" s="9">
        <v>4</v>
      </c>
      <c r="D1222" s="8" t="str">
        <f t="shared" si="229"/>
        <v>Y</v>
      </c>
      <c r="E1222" s="8" t="str">
        <f t="shared" si="230"/>
        <v>N</v>
      </c>
      <c r="F1222" s="8" t="str">
        <f t="shared" si="231"/>
        <v>Y</v>
      </c>
      <c r="G1222" s="8" t="str">
        <f t="shared" si="232"/>
        <v>Y</v>
      </c>
      <c r="H1222" s="8" t="str">
        <f t="shared" si="233"/>
        <v>Upper</v>
      </c>
      <c r="I1222" s="8" t="str">
        <f t="shared" si="234"/>
        <v>West Fork and Below Lake</v>
      </c>
      <c r="J1222" s="8" t="str">
        <f t="shared" si="235"/>
        <v>Mendocino (d/s of lake)</v>
      </c>
      <c r="K1222" s="8" t="str">
        <f t="shared" si="236"/>
        <v>Post-1949</v>
      </c>
      <c r="L1222" s="8">
        <f t="shared" si="237"/>
        <v>1951</v>
      </c>
      <c r="M1222" s="8" t="str">
        <f t="shared" si="239"/>
        <v>1950-1952</v>
      </c>
      <c r="N1222" s="10" t="s">
        <v>241</v>
      </c>
      <c r="O1222" s="10" t="s">
        <v>241</v>
      </c>
      <c r="P1222" s="10" t="s">
        <v>242</v>
      </c>
      <c r="Q1222" s="10" t="s">
        <v>242</v>
      </c>
      <c r="R1222" s="10" t="s">
        <v>241</v>
      </c>
      <c r="S1222" s="10" t="s">
        <v>242</v>
      </c>
      <c r="T1222" s="10" t="s">
        <v>242</v>
      </c>
      <c r="U1222" s="10" t="s">
        <v>241</v>
      </c>
      <c r="V1222" s="10" t="s">
        <v>241</v>
      </c>
      <c r="W1222" s="10" t="s">
        <v>242</v>
      </c>
      <c r="X1222" s="15">
        <f>IF(ISERROR(VLOOKUP($A1222,'13. Updated Demand'!A:Z,15,FALSE)),0,VLOOKUP($A1222,'13. Updated Demand'!A:Z,15,FALSE))</f>
        <v>0</v>
      </c>
      <c r="Y1222" s="16">
        <f>IF(ISERROR(VLOOKUP($A1222,'13. Updated Demand'!A:Z,16,FALSE)),0,VLOOKUP($A1222,'13. Updated Demand'!A:Z,16,FALSE))</f>
        <v>0</v>
      </c>
      <c r="Z1222" s="16">
        <f>IF(ISERROR(VLOOKUP($A1222,'13. Updated Demand'!A:Z,17,FALSE)),0,VLOOKUP($A1222,'13. Updated Demand'!A:Z,17,FALSE))</f>
        <v>0</v>
      </c>
      <c r="AA1222" s="16">
        <f>IF(ISERROR(VLOOKUP($A1222,'13. Updated Demand'!A:Z,18,FALSE)),0,VLOOKUP($A1222,'13. Updated Demand'!A:Z,18,FALSE))</f>
        <v>0</v>
      </c>
      <c r="AB1222" s="16">
        <f>IF(ISERROR(VLOOKUP($A1222,'13. Updated Demand'!A:Z,19,FALSE)),0,VLOOKUP($A1222,'13. Updated Demand'!A:Z,19,FALSE))</f>
        <v>0</v>
      </c>
      <c r="AC1222" s="16">
        <f>IF(ISERROR(VLOOKUP($A1222,'13. Updated Demand'!A:Z,20,FALSE)),0,VLOOKUP($A1222,'13. Updated Demand'!A:Z,20,FALSE))</f>
        <v>0</v>
      </c>
      <c r="AD1222" s="16">
        <f>IF(ISERROR(VLOOKUP($A1222,'13. Updated Demand'!A:Z,21,FALSE)),0,VLOOKUP($A1222,'13. Updated Demand'!A:Z,21,FALSE))</f>
        <v>0</v>
      </c>
      <c r="AE1222" s="16">
        <f>IF(ISERROR(VLOOKUP($A1222,'13. Updated Demand'!A:Z,22,FALSE)),0,VLOOKUP($A1222,'13. Updated Demand'!A:Z,22,FALSE))</f>
        <v>0</v>
      </c>
      <c r="AF1222" s="16">
        <f>IF(ISERROR(VLOOKUP($A1222,'13. Updated Demand'!A:Z,23,FALSE)),0,VLOOKUP($A1222,'13. Updated Demand'!A:Z,23,FALSE))</f>
        <v>0</v>
      </c>
      <c r="AG1222" s="16">
        <f>IF(ISERROR(VLOOKUP($A1222,'13. Updated Demand'!A:Z,24,FALSE)),0,VLOOKUP($A1222,'13. Updated Demand'!A:Z,24,FALSE))</f>
        <v>0</v>
      </c>
      <c r="AH1222" s="16">
        <f>IF(ISERROR(VLOOKUP($A1222,'13. Updated Demand'!A:Z,25,FALSE)),0,VLOOKUP($A1222,'13. Updated Demand'!A:Z,25,FALSE))</f>
        <v>0</v>
      </c>
      <c r="AI1222" s="16">
        <f>IF(ISERROR(VLOOKUP($A1222,'13. Updated Demand'!A:Z,26,FALSE)),0,VLOOKUP($A1222,'13. Updated Demand'!A:Z,26,FALSE))</f>
        <v>0</v>
      </c>
      <c r="AJ1222" s="16">
        <f t="shared" si="228"/>
        <v>0</v>
      </c>
      <c r="AK1222" s="19">
        <v>0</v>
      </c>
      <c r="AL1222" s="16">
        <f t="shared" si="238"/>
        <v>0</v>
      </c>
      <c r="AM1222" s="17">
        <v>0</v>
      </c>
      <c r="AN1222" s="19"/>
      <c r="AO1222" s="19"/>
      <c r="AP1222" s="19">
        <v>72.7</v>
      </c>
      <c r="AQ1222" s="19" t="s">
        <v>307</v>
      </c>
      <c r="AR1222" s="9" t="s">
        <v>331</v>
      </c>
      <c r="AS1222" s="12">
        <v>0</v>
      </c>
      <c r="AT1222" s="19">
        <v>39.160679160000001</v>
      </c>
      <c r="AU1222" s="19">
        <v>-123.19319745999999</v>
      </c>
      <c r="AV1222" s="19" t="s">
        <v>387</v>
      </c>
    </row>
    <row r="1223" spans="1:48" x14ac:dyDescent="0.25">
      <c r="A1223" s="18" t="s">
        <v>1602</v>
      </c>
      <c r="B1223" s="10">
        <v>19510226</v>
      </c>
      <c r="C1223" s="9">
        <v>9</v>
      </c>
      <c r="D1223" s="8" t="str">
        <f t="shared" si="229"/>
        <v>N</v>
      </c>
      <c r="E1223" s="8" t="str">
        <f t="shared" si="230"/>
        <v>Y</v>
      </c>
      <c r="F1223" s="8" t="str">
        <f t="shared" si="231"/>
        <v>Y</v>
      </c>
      <c r="G1223" s="8" t="str">
        <f t="shared" si="232"/>
        <v>Y</v>
      </c>
      <c r="H1223" s="8" t="str">
        <f t="shared" si="233"/>
        <v>Upper</v>
      </c>
      <c r="I1223" s="8" t="str">
        <f t="shared" si="234"/>
        <v>West Fork and Below Lake</v>
      </c>
      <c r="J1223" s="8" t="str">
        <f t="shared" si="235"/>
        <v>Sonoma (d/s of Clov. Gage)</v>
      </c>
      <c r="K1223" s="8" t="str">
        <f t="shared" si="236"/>
        <v>Post-1949</v>
      </c>
      <c r="L1223" s="8">
        <f t="shared" si="237"/>
        <v>1951</v>
      </c>
      <c r="M1223" s="8" t="str">
        <f t="shared" si="239"/>
        <v>1950-1952</v>
      </c>
      <c r="N1223" s="10" t="s">
        <v>241</v>
      </c>
      <c r="O1223" s="10" t="s">
        <v>241</v>
      </c>
      <c r="P1223" s="10" t="s">
        <v>242</v>
      </c>
      <c r="Q1223" s="10" t="s">
        <v>242</v>
      </c>
      <c r="R1223" s="10" t="s">
        <v>241</v>
      </c>
      <c r="S1223" s="10" t="s">
        <v>242</v>
      </c>
      <c r="T1223" s="10" t="s">
        <v>242</v>
      </c>
      <c r="U1223" s="10" t="s">
        <v>241</v>
      </c>
      <c r="V1223" s="10" t="s">
        <v>241</v>
      </c>
      <c r="W1223" s="10" t="s">
        <v>242</v>
      </c>
      <c r="X1223" s="15">
        <f>IF(ISERROR(VLOOKUP($A1223,'13. Updated Demand'!A:Z,15,FALSE)),0,VLOOKUP($A1223,'13. Updated Demand'!A:Z,15,FALSE))</f>
        <v>0</v>
      </c>
      <c r="Y1223" s="16">
        <f>IF(ISERROR(VLOOKUP($A1223,'13. Updated Demand'!A:Z,16,FALSE)),0,VLOOKUP($A1223,'13. Updated Demand'!A:Z,16,FALSE))</f>
        <v>0</v>
      </c>
      <c r="Z1223" s="16">
        <f>IF(ISERROR(VLOOKUP($A1223,'13. Updated Demand'!A:Z,17,FALSE)),0,VLOOKUP($A1223,'13. Updated Demand'!A:Z,17,FALSE))</f>
        <v>0</v>
      </c>
      <c r="AA1223" s="16">
        <f>IF(ISERROR(VLOOKUP($A1223,'13. Updated Demand'!A:Z,18,FALSE)),0,VLOOKUP($A1223,'13. Updated Demand'!A:Z,18,FALSE))</f>
        <v>0</v>
      </c>
      <c r="AB1223" s="16">
        <f>IF(ISERROR(VLOOKUP($A1223,'13. Updated Demand'!A:Z,19,FALSE)),0,VLOOKUP($A1223,'13. Updated Demand'!A:Z,19,FALSE))</f>
        <v>0</v>
      </c>
      <c r="AC1223" s="16">
        <f>IF(ISERROR(VLOOKUP($A1223,'13. Updated Demand'!A:Z,20,FALSE)),0,VLOOKUP($A1223,'13. Updated Demand'!A:Z,20,FALSE))</f>
        <v>0</v>
      </c>
      <c r="AD1223" s="16">
        <f>IF(ISERROR(VLOOKUP($A1223,'13. Updated Demand'!A:Z,21,FALSE)),0,VLOOKUP($A1223,'13. Updated Demand'!A:Z,21,FALSE))</f>
        <v>0</v>
      </c>
      <c r="AE1223" s="16">
        <f>IF(ISERROR(VLOOKUP($A1223,'13. Updated Demand'!A:Z,22,FALSE)),0,VLOOKUP($A1223,'13. Updated Demand'!A:Z,22,FALSE))</f>
        <v>0</v>
      </c>
      <c r="AF1223" s="16">
        <f>IF(ISERROR(VLOOKUP($A1223,'13. Updated Demand'!A:Z,23,FALSE)),0,VLOOKUP($A1223,'13. Updated Demand'!A:Z,23,FALSE))</f>
        <v>0</v>
      </c>
      <c r="AG1223" s="16">
        <f>IF(ISERROR(VLOOKUP($A1223,'13. Updated Demand'!A:Z,24,FALSE)),0,VLOOKUP($A1223,'13. Updated Demand'!A:Z,24,FALSE))</f>
        <v>0</v>
      </c>
      <c r="AH1223" s="16">
        <f>IF(ISERROR(VLOOKUP($A1223,'13. Updated Demand'!A:Z,25,FALSE)),0,VLOOKUP($A1223,'13. Updated Demand'!A:Z,25,FALSE))</f>
        <v>0</v>
      </c>
      <c r="AI1223" s="16">
        <f>IF(ISERROR(VLOOKUP($A1223,'13. Updated Demand'!A:Z,26,FALSE)),0,VLOOKUP($A1223,'13. Updated Demand'!A:Z,26,FALSE))</f>
        <v>0</v>
      </c>
      <c r="AJ1223" s="16">
        <f t="shared" si="228"/>
        <v>0</v>
      </c>
      <c r="AK1223" s="19">
        <v>0</v>
      </c>
      <c r="AL1223" s="16">
        <f t="shared" si="238"/>
        <v>0</v>
      </c>
      <c r="AM1223" s="17">
        <v>0</v>
      </c>
      <c r="AN1223" s="19"/>
      <c r="AO1223" s="19"/>
      <c r="AP1223" s="19">
        <v>166.3</v>
      </c>
      <c r="AQ1223" s="19" t="s">
        <v>307</v>
      </c>
      <c r="AR1223" s="9" t="s">
        <v>354</v>
      </c>
      <c r="AS1223" s="12">
        <v>0</v>
      </c>
      <c r="AT1223" s="19">
        <v>38.721321250000003</v>
      </c>
      <c r="AU1223" s="19">
        <v>-122.90401106</v>
      </c>
      <c r="AV1223" s="19" t="s">
        <v>387</v>
      </c>
    </row>
    <row r="1224" spans="1:48" x14ac:dyDescent="0.25">
      <c r="A1224" s="18" t="s">
        <v>1603</v>
      </c>
      <c r="B1224" s="10">
        <v>19510305</v>
      </c>
      <c r="C1224" s="9">
        <v>18</v>
      </c>
      <c r="D1224" s="8" t="str">
        <f t="shared" si="229"/>
        <v>N</v>
      </c>
      <c r="E1224" s="8" t="str">
        <f t="shared" si="230"/>
        <v>N</v>
      </c>
      <c r="F1224" s="8" t="str">
        <f t="shared" si="231"/>
        <v>N</v>
      </c>
      <c r="G1224" s="8" t="str">
        <f t="shared" si="232"/>
        <v>N</v>
      </c>
      <c r="H1224" s="8" t="str">
        <f t="shared" si="233"/>
        <v>Lower</v>
      </c>
      <c r="I1224" s="8" t="str">
        <f t="shared" si="234"/>
        <v>Outside</v>
      </c>
      <c r="J1224" s="8" t="str">
        <f t="shared" si="235"/>
        <v>Outside</v>
      </c>
      <c r="K1224" s="8" t="str">
        <f t="shared" si="236"/>
        <v>Post-1949</v>
      </c>
      <c r="L1224" s="8">
        <f t="shared" si="237"/>
        <v>1951</v>
      </c>
      <c r="M1224" s="8" t="str">
        <f t="shared" si="239"/>
        <v>1950-1952</v>
      </c>
      <c r="N1224" s="10" t="s">
        <v>241</v>
      </c>
      <c r="O1224" s="10" t="s">
        <v>242</v>
      </c>
      <c r="P1224" s="10" t="s">
        <v>242</v>
      </c>
      <c r="Q1224" s="10" t="s">
        <v>242</v>
      </c>
      <c r="R1224" s="10" t="s">
        <v>241</v>
      </c>
      <c r="S1224" s="10" t="s">
        <v>242</v>
      </c>
      <c r="T1224" s="10" t="s">
        <v>242</v>
      </c>
      <c r="U1224" s="10" t="s">
        <v>241</v>
      </c>
      <c r="V1224" s="10" t="s">
        <v>241</v>
      </c>
      <c r="W1224" s="10" t="s">
        <v>242</v>
      </c>
      <c r="X1224" s="15">
        <f>IF(ISERROR(VLOOKUP($A1224,'13. Updated Demand'!A:Z,15,FALSE)),0,VLOOKUP($A1224,'13. Updated Demand'!A:Z,15,FALSE))</f>
        <v>0</v>
      </c>
      <c r="Y1224" s="16">
        <f>IF(ISERROR(VLOOKUP($A1224,'13. Updated Demand'!A:Z,16,FALSE)),0,VLOOKUP($A1224,'13. Updated Demand'!A:Z,16,FALSE))</f>
        <v>0</v>
      </c>
      <c r="Z1224" s="16">
        <f>IF(ISERROR(VLOOKUP($A1224,'13. Updated Demand'!A:Z,17,FALSE)),0,VLOOKUP($A1224,'13. Updated Demand'!A:Z,17,FALSE))</f>
        <v>0</v>
      </c>
      <c r="AA1224" s="16">
        <f>IF(ISERROR(VLOOKUP($A1224,'13. Updated Demand'!A:Z,18,FALSE)),0,VLOOKUP($A1224,'13. Updated Demand'!A:Z,18,FALSE))</f>
        <v>0</v>
      </c>
      <c r="AB1224" s="16">
        <f>IF(ISERROR(VLOOKUP($A1224,'13. Updated Demand'!A:Z,19,FALSE)),0,VLOOKUP($A1224,'13. Updated Demand'!A:Z,19,FALSE))</f>
        <v>0</v>
      </c>
      <c r="AC1224" s="16">
        <f>IF(ISERROR(VLOOKUP($A1224,'13. Updated Demand'!A:Z,20,FALSE)),0,VLOOKUP($A1224,'13. Updated Demand'!A:Z,20,FALSE))</f>
        <v>0</v>
      </c>
      <c r="AD1224" s="16">
        <f>IF(ISERROR(VLOOKUP($A1224,'13. Updated Demand'!A:Z,21,FALSE)),0,VLOOKUP($A1224,'13. Updated Demand'!A:Z,21,FALSE))</f>
        <v>0</v>
      </c>
      <c r="AE1224" s="16">
        <f>IF(ISERROR(VLOOKUP($A1224,'13. Updated Demand'!A:Z,22,FALSE)),0,VLOOKUP($A1224,'13. Updated Demand'!A:Z,22,FALSE))</f>
        <v>0</v>
      </c>
      <c r="AF1224" s="16">
        <f>IF(ISERROR(VLOOKUP($A1224,'13. Updated Demand'!A:Z,23,FALSE)),0,VLOOKUP($A1224,'13. Updated Demand'!A:Z,23,FALSE))</f>
        <v>0</v>
      </c>
      <c r="AG1224" s="16">
        <f>IF(ISERROR(VLOOKUP($A1224,'13. Updated Demand'!A:Z,24,FALSE)),0,VLOOKUP($A1224,'13. Updated Demand'!A:Z,24,FALSE))</f>
        <v>0</v>
      </c>
      <c r="AH1224" s="16">
        <f>IF(ISERROR(VLOOKUP($A1224,'13. Updated Demand'!A:Z,25,FALSE)),0,VLOOKUP($A1224,'13. Updated Demand'!A:Z,25,FALSE))</f>
        <v>0</v>
      </c>
      <c r="AI1224" s="16">
        <f>IF(ISERROR(VLOOKUP($A1224,'13. Updated Demand'!A:Z,26,FALSE)),0,VLOOKUP($A1224,'13. Updated Demand'!A:Z,26,FALSE))</f>
        <v>0</v>
      </c>
      <c r="AJ1224" s="16">
        <f t="shared" si="228"/>
        <v>0</v>
      </c>
      <c r="AK1224" s="19">
        <v>0</v>
      </c>
      <c r="AL1224" s="16">
        <f t="shared" si="238"/>
        <v>0</v>
      </c>
      <c r="AM1224" s="17">
        <v>0</v>
      </c>
      <c r="AN1224" s="19"/>
      <c r="AO1224" s="19"/>
      <c r="AP1224" s="19">
        <v>30.5</v>
      </c>
      <c r="AQ1224" s="19" t="s">
        <v>307</v>
      </c>
      <c r="AR1224" s="9" t="s">
        <v>352</v>
      </c>
      <c r="AS1224" s="12">
        <v>0</v>
      </c>
      <c r="AT1224" s="19">
        <v>38.517800000000001</v>
      </c>
      <c r="AU1224" s="19">
        <v>-122.8815</v>
      </c>
      <c r="AV1224" s="19" t="s">
        <v>387</v>
      </c>
    </row>
    <row r="1225" spans="1:48" x14ac:dyDescent="0.25">
      <c r="A1225" s="18" t="s">
        <v>1604</v>
      </c>
      <c r="B1225" s="10">
        <v>19510321</v>
      </c>
      <c r="C1225" s="9">
        <v>17</v>
      </c>
      <c r="D1225" s="8" t="str">
        <f t="shared" si="229"/>
        <v>N</v>
      </c>
      <c r="E1225" s="8" t="str">
        <f t="shared" si="230"/>
        <v>N</v>
      </c>
      <c r="F1225" s="8" t="str">
        <f t="shared" si="231"/>
        <v>N</v>
      </c>
      <c r="G1225" s="8" t="str">
        <f t="shared" si="232"/>
        <v>N</v>
      </c>
      <c r="H1225" s="8" t="str">
        <f t="shared" si="233"/>
        <v>Lower</v>
      </c>
      <c r="I1225" s="8" t="str">
        <f t="shared" si="234"/>
        <v>Outside</v>
      </c>
      <c r="J1225" s="8" t="str">
        <f t="shared" si="235"/>
        <v>Outside</v>
      </c>
      <c r="K1225" s="8" t="str">
        <f t="shared" si="236"/>
        <v>Post-1949</v>
      </c>
      <c r="L1225" s="8">
        <f t="shared" si="237"/>
        <v>1951</v>
      </c>
      <c r="M1225" s="8" t="str">
        <f t="shared" si="239"/>
        <v>1950-1952</v>
      </c>
      <c r="N1225" s="10" t="s">
        <v>241</v>
      </c>
      <c r="O1225" s="10" t="s">
        <v>242</v>
      </c>
      <c r="P1225" s="10" t="s">
        <v>242</v>
      </c>
      <c r="Q1225" s="10" t="s">
        <v>242</v>
      </c>
      <c r="R1225" s="10" t="s">
        <v>241</v>
      </c>
      <c r="S1225" s="10" t="s">
        <v>242</v>
      </c>
      <c r="T1225" s="10" t="s">
        <v>242</v>
      </c>
      <c r="U1225" s="10" t="s">
        <v>241</v>
      </c>
      <c r="V1225" s="10" t="s">
        <v>241</v>
      </c>
      <c r="W1225" s="10" t="s">
        <v>242</v>
      </c>
      <c r="X1225" s="15">
        <f>IF(ISERROR(VLOOKUP($A1225,'13. Updated Demand'!A:Z,15,FALSE)),0,VLOOKUP($A1225,'13. Updated Demand'!A:Z,15,FALSE))</f>
        <v>0</v>
      </c>
      <c r="Y1225" s="16">
        <f>IF(ISERROR(VLOOKUP($A1225,'13. Updated Demand'!A:Z,16,FALSE)),0,VLOOKUP($A1225,'13. Updated Demand'!A:Z,16,FALSE))</f>
        <v>0</v>
      </c>
      <c r="Z1225" s="16">
        <f>IF(ISERROR(VLOOKUP($A1225,'13. Updated Demand'!A:Z,17,FALSE)),0,VLOOKUP($A1225,'13. Updated Demand'!A:Z,17,FALSE))</f>
        <v>0</v>
      </c>
      <c r="AA1225" s="16">
        <f>IF(ISERROR(VLOOKUP($A1225,'13. Updated Demand'!A:Z,18,FALSE)),0,VLOOKUP($A1225,'13. Updated Demand'!A:Z,18,FALSE))</f>
        <v>0</v>
      </c>
      <c r="AB1225" s="16">
        <f>IF(ISERROR(VLOOKUP($A1225,'13. Updated Demand'!A:Z,19,FALSE)),0,VLOOKUP($A1225,'13. Updated Demand'!A:Z,19,FALSE))</f>
        <v>0</v>
      </c>
      <c r="AC1225" s="16">
        <f>IF(ISERROR(VLOOKUP($A1225,'13. Updated Demand'!A:Z,20,FALSE)),0,VLOOKUP($A1225,'13. Updated Demand'!A:Z,20,FALSE))</f>
        <v>0</v>
      </c>
      <c r="AD1225" s="16">
        <f>IF(ISERROR(VLOOKUP($A1225,'13. Updated Demand'!A:Z,21,FALSE)),0,VLOOKUP($A1225,'13. Updated Demand'!A:Z,21,FALSE))</f>
        <v>0</v>
      </c>
      <c r="AE1225" s="16">
        <f>IF(ISERROR(VLOOKUP($A1225,'13. Updated Demand'!A:Z,22,FALSE)),0,VLOOKUP($A1225,'13. Updated Demand'!A:Z,22,FALSE))</f>
        <v>0</v>
      </c>
      <c r="AF1225" s="16">
        <f>IF(ISERROR(VLOOKUP($A1225,'13. Updated Demand'!A:Z,23,FALSE)),0,VLOOKUP($A1225,'13. Updated Demand'!A:Z,23,FALSE))</f>
        <v>0</v>
      </c>
      <c r="AG1225" s="16">
        <f>IF(ISERROR(VLOOKUP($A1225,'13. Updated Demand'!A:Z,24,FALSE)),0,VLOOKUP($A1225,'13. Updated Demand'!A:Z,24,FALSE))</f>
        <v>0</v>
      </c>
      <c r="AH1225" s="16">
        <f>IF(ISERROR(VLOOKUP($A1225,'13. Updated Demand'!A:Z,25,FALSE)),0,VLOOKUP($A1225,'13. Updated Demand'!A:Z,25,FALSE))</f>
        <v>0</v>
      </c>
      <c r="AI1225" s="16">
        <f>IF(ISERROR(VLOOKUP($A1225,'13. Updated Demand'!A:Z,26,FALSE)),0,VLOOKUP($A1225,'13. Updated Demand'!A:Z,26,FALSE))</f>
        <v>0</v>
      </c>
      <c r="AJ1225" s="16">
        <f t="shared" si="228"/>
        <v>0</v>
      </c>
      <c r="AK1225" s="19">
        <v>0</v>
      </c>
      <c r="AL1225" s="16">
        <f t="shared" si="238"/>
        <v>0</v>
      </c>
      <c r="AM1225" s="17">
        <v>0</v>
      </c>
      <c r="AN1225" s="19"/>
      <c r="AO1225" s="19"/>
      <c r="AP1225" s="19">
        <v>153</v>
      </c>
      <c r="AQ1225" s="19" t="s">
        <v>307</v>
      </c>
      <c r="AR1225" s="9" t="s">
        <v>486</v>
      </c>
      <c r="AS1225" s="12">
        <v>0</v>
      </c>
      <c r="AT1225" s="19">
        <v>38.549200079999999</v>
      </c>
      <c r="AU1225" s="19">
        <v>-122.86056892000001</v>
      </c>
      <c r="AV1225" s="19" t="s">
        <v>548</v>
      </c>
    </row>
    <row r="1226" spans="1:48" x14ac:dyDescent="0.25">
      <c r="A1226" s="18" t="s">
        <v>1605</v>
      </c>
      <c r="B1226" s="10">
        <v>19510510</v>
      </c>
      <c r="C1226" s="9">
        <v>23</v>
      </c>
      <c r="D1226" s="8" t="str">
        <f t="shared" si="229"/>
        <v>N</v>
      </c>
      <c r="E1226" s="8" t="str">
        <f t="shared" si="230"/>
        <v>N</v>
      </c>
      <c r="F1226" s="8" t="str">
        <f t="shared" si="231"/>
        <v>N</v>
      </c>
      <c r="G1226" s="8" t="str">
        <f t="shared" si="232"/>
        <v>N</v>
      </c>
      <c r="H1226" s="8" t="str">
        <f t="shared" si="233"/>
        <v>Lower</v>
      </c>
      <c r="I1226" s="8" t="str">
        <f t="shared" si="234"/>
        <v>Outside</v>
      </c>
      <c r="J1226" s="8" t="str">
        <f t="shared" si="235"/>
        <v>Outside</v>
      </c>
      <c r="K1226" s="8" t="str">
        <f t="shared" si="236"/>
        <v>Post-1949</v>
      </c>
      <c r="L1226" s="8">
        <f t="shared" si="237"/>
        <v>1951</v>
      </c>
      <c r="M1226" s="8" t="str">
        <f t="shared" si="239"/>
        <v>1950-1952</v>
      </c>
      <c r="N1226" s="10" t="s">
        <v>242</v>
      </c>
      <c r="O1226" s="10" t="s">
        <v>242</v>
      </c>
      <c r="P1226" s="10" t="s">
        <v>242</v>
      </c>
      <c r="Q1226" s="10" t="s">
        <v>242</v>
      </c>
      <c r="R1226" s="10" t="s">
        <v>241</v>
      </c>
      <c r="S1226" s="10" t="s">
        <v>242</v>
      </c>
      <c r="T1226" s="10" t="s">
        <v>241</v>
      </c>
      <c r="U1226" s="10" t="s">
        <v>241</v>
      </c>
      <c r="V1226" s="10" t="s">
        <v>241</v>
      </c>
      <c r="W1226" s="10" t="s">
        <v>242</v>
      </c>
      <c r="X1226" s="15">
        <f>IF(ISERROR(VLOOKUP($A1226,'13. Updated Demand'!A:Z,15,FALSE)),0,VLOOKUP($A1226,'13. Updated Demand'!A:Z,15,FALSE))</f>
        <v>0</v>
      </c>
      <c r="Y1226" s="16">
        <f>IF(ISERROR(VLOOKUP($A1226,'13. Updated Demand'!A:Z,16,FALSE)),0,VLOOKUP($A1226,'13. Updated Demand'!A:Z,16,FALSE))</f>
        <v>0</v>
      </c>
      <c r="Z1226" s="16">
        <f>IF(ISERROR(VLOOKUP($A1226,'13. Updated Demand'!A:Z,17,FALSE)),0,VLOOKUP($A1226,'13. Updated Demand'!A:Z,17,FALSE))</f>
        <v>0</v>
      </c>
      <c r="AA1226" s="16">
        <f>IF(ISERROR(VLOOKUP($A1226,'13. Updated Demand'!A:Z,18,FALSE)),0,VLOOKUP($A1226,'13. Updated Demand'!A:Z,18,FALSE))</f>
        <v>0</v>
      </c>
      <c r="AB1226" s="16">
        <f>IF(ISERROR(VLOOKUP($A1226,'13. Updated Demand'!A:Z,19,FALSE)),0,VLOOKUP($A1226,'13. Updated Demand'!A:Z,19,FALSE))</f>
        <v>0</v>
      </c>
      <c r="AC1226" s="16">
        <f>IF(ISERROR(VLOOKUP($A1226,'13. Updated Demand'!A:Z,20,FALSE)),0,VLOOKUP($A1226,'13. Updated Demand'!A:Z,20,FALSE))</f>
        <v>0</v>
      </c>
      <c r="AD1226" s="16">
        <f>IF(ISERROR(VLOOKUP($A1226,'13. Updated Demand'!A:Z,21,FALSE)),0,VLOOKUP($A1226,'13. Updated Demand'!A:Z,21,FALSE))</f>
        <v>0</v>
      </c>
      <c r="AE1226" s="16">
        <f>IF(ISERROR(VLOOKUP($A1226,'13. Updated Demand'!A:Z,22,FALSE)),0,VLOOKUP($A1226,'13. Updated Demand'!A:Z,22,FALSE))</f>
        <v>0</v>
      </c>
      <c r="AF1226" s="16">
        <f>IF(ISERROR(VLOOKUP($A1226,'13. Updated Demand'!A:Z,23,FALSE)),0,VLOOKUP($A1226,'13. Updated Demand'!A:Z,23,FALSE))</f>
        <v>0</v>
      </c>
      <c r="AG1226" s="16">
        <f>IF(ISERROR(VLOOKUP($A1226,'13. Updated Demand'!A:Z,24,FALSE)),0,VLOOKUP($A1226,'13. Updated Demand'!A:Z,24,FALSE))</f>
        <v>0</v>
      </c>
      <c r="AH1226" s="16">
        <f>IF(ISERROR(VLOOKUP($A1226,'13. Updated Demand'!A:Z,25,FALSE)),0,VLOOKUP($A1226,'13. Updated Demand'!A:Z,25,FALSE))</f>
        <v>0</v>
      </c>
      <c r="AI1226" s="16">
        <f>IF(ISERROR(VLOOKUP($A1226,'13. Updated Demand'!A:Z,26,FALSE)),0,VLOOKUP($A1226,'13. Updated Demand'!A:Z,26,FALSE))</f>
        <v>0</v>
      </c>
      <c r="AJ1226" s="16">
        <f t="shared" si="228"/>
        <v>0</v>
      </c>
      <c r="AK1226" s="19">
        <v>0</v>
      </c>
      <c r="AL1226" s="16">
        <f t="shared" si="238"/>
        <v>0</v>
      </c>
      <c r="AM1226" s="17">
        <v>0</v>
      </c>
      <c r="AN1226" s="19"/>
      <c r="AO1226" s="19"/>
      <c r="AP1226" s="19">
        <v>2.8</v>
      </c>
      <c r="AQ1226" s="19" t="s">
        <v>307</v>
      </c>
      <c r="AR1226" s="9" t="s">
        <v>323</v>
      </c>
      <c r="AS1226" s="12">
        <v>0</v>
      </c>
      <c r="AT1226" s="19">
        <v>38.508000000000003</v>
      </c>
      <c r="AU1226" s="19">
        <v>-122.6421</v>
      </c>
      <c r="AV1226" s="19" t="s">
        <v>735</v>
      </c>
    </row>
    <row r="1227" spans="1:48" x14ac:dyDescent="0.25">
      <c r="A1227" s="18" t="s">
        <v>1606</v>
      </c>
      <c r="B1227" s="10">
        <v>19510514</v>
      </c>
      <c r="C1227" s="9">
        <v>5</v>
      </c>
      <c r="D1227" s="8" t="str">
        <f t="shared" si="229"/>
        <v>Y</v>
      </c>
      <c r="E1227" s="8" t="str">
        <f t="shared" si="230"/>
        <v>N</v>
      </c>
      <c r="F1227" s="8" t="str">
        <f t="shared" si="231"/>
        <v>Y</v>
      </c>
      <c r="G1227" s="8" t="str">
        <f t="shared" si="232"/>
        <v>Y</v>
      </c>
      <c r="H1227" s="8" t="str">
        <f t="shared" si="233"/>
        <v>Upper</v>
      </c>
      <c r="I1227" s="8" t="str">
        <f t="shared" si="234"/>
        <v>West Fork and Below Lake</v>
      </c>
      <c r="J1227" s="8" t="str">
        <f t="shared" si="235"/>
        <v>Mendocino (d/s of lake)</v>
      </c>
      <c r="K1227" s="8" t="str">
        <f t="shared" si="236"/>
        <v>Post-1949</v>
      </c>
      <c r="L1227" s="8">
        <f t="shared" si="237"/>
        <v>1951</v>
      </c>
      <c r="M1227" s="8" t="str">
        <f t="shared" si="239"/>
        <v>1950-1952</v>
      </c>
      <c r="N1227" s="10" t="s">
        <v>241</v>
      </c>
      <c r="O1227" s="10" t="s">
        <v>241</v>
      </c>
      <c r="P1227" s="10" t="s">
        <v>242</v>
      </c>
      <c r="Q1227" s="10" t="s">
        <v>242</v>
      </c>
      <c r="R1227" s="10" t="s">
        <v>241</v>
      </c>
      <c r="S1227" s="10" t="s">
        <v>242</v>
      </c>
      <c r="T1227" s="10" t="s">
        <v>242</v>
      </c>
      <c r="U1227" s="10" t="s">
        <v>241</v>
      </c>
      <c r="V1227" s="10" t="s">
        <v>241</v>
      </c>
      <c r="W1227" s="10" t="s">
        <v>242</v>
      </c>
      <c r="X1227" s="15">
        <f>IF(ISERROR(VLOOKUP($A1227,'13. Updated Demand'!A:Z,15,FALSE)),0,VLOOKUP($A1227,'13. Updated Demand'!A:Z,15,FALSE))</f>
        <v>0</v>
      </c>
      <c r="Y1227" s="16">
        <f>IF(ISERROR(VLOOKUP($A1227,'13. Updated Demand'!A:Z,16,FALSE)),0,VLOOKUP($A1227,'13. Updated Demand'!A:Z,16,FALSE))</f>
        <v>0</v>
      </c>
      <c r="Z1227" s="16">
        <f>IF(ISERROR(VLOOKUP($A1227,'13. Updated Demand'!A:Z,17,FALSE)),0,VLOOKUP($A1227,'13. Updated Demand'!A:Z,17,FALSE))</f>
        <v>0</v>
      </c>
      <c r="AA1227" s="16">
        <f>IF(ISERROR(VLOOKUP($A1227,'13. Updated Demand'!A:Z,18,FALSE)),0,VLOOKUP($A1227,'13. Updated Demand'!A:Z,18,FALSE))</f>
        <v>0</v>
      </c>
      <c r="AB1227" s="16">
        <f>IF(ISERROR(VLOOKUP($A1227,'13. Updated Demand'!A:Z,19,FALSE)),0,VLOOKUP($A1227,'13. Updated Demand'!A:Z,19,FALSE))</f>
        <v>0</v>
      </c>
      <c r="AC1227" s="16">
        <f>IF(ISERROR(VLOOKUP($A1227,'13. Updated Demand'!A:Z,20,FALSE)),0,VLOOKUP($A1227,'13. Updated Demand'!A:Z,20,FALSE))</f>
        <v>0</v>
      </c>
      <c r="AD1227" s="16">
        <f>IF(ISERROR(VLOOKUP($A1227,'13. Updated Demand'!A:Z,21,FALSE)),0,VLOOKUP($A1227,'13. Updated Demand'!A:Z,21,FALSE))</f>
        <v>0</v>
      </c>
      <c r="AE1227" s="16">
        <f>IF(ISERROR(VLOOKUP($A1227,'13. Updated Demand'!A:Z,22,FALSE)),0,VLOOKUP($A1227,'13. Updated Demand'!A:Z,22,FALSE))</f>
        <v>0</v>
      </c>
      <c r="AF1227" s="16">
        <f>IF(ISERROR(VLOOKUP($A1227,'13. Updated Demand'!A:Z,23,FALSE)),0,VLOOKUP($A1227,'13. Updated Demand'!A:Z,23,FALSE))</f>
        <v>0</v>
      </c>
      <c r="AG1227" s="16">
        <f>IF(ISERROR(VLOOKUP($A1227,'13. Updated Demand'!A:Z,24,FALSE)),0,VLOOKUP($A1227,'13. Updated Demand'!A:Z,24,FALSE))</f>
        <v>0</v>
      </c>
      <c r="AH1227" s="16">
        <f>IF(ISERROR(VLOOKUP($A1227,'13. Updated Demand'!A:Z,25,FALSE)),0,VLOOKUP($A1227,'13. Updated Demand'!A:Z,25,FALSE))</f>
        <v>0</v>
      </c>
      <c r="AI1227" s="16">
        <f>IF(ISERROR(VLOOKUP($A1227,'13. Updated Demand'!A:Z,26,FALSE)),0,VLOOKUP($A1227,'13. Updated Demand'!A:Z,26,FALSE))</f>
        <v>0</v>
      </c>
      <c r="AJ1227" s="16">
        <f t="shared" si="228"/>
        <v>0</v>
      </c>
      <c r="AK1227" s="19">
        <v>0</v>
      </c>
      <c r="AL1227" s="16">
        <f t="shared" si="238"/>
        <v>0</v>
      </c>
      <c r="AM1227" s="17">
        <v>0</v>
      </c>
      <c r="AN1227" s="19"/>
      <c r="AO1227" s="19"/>
      <c r="AP1227" s="19">
        <v>69</v>
      </c>
      <c r="AQ1227" s="19" t="s">
        <v>307</v>
      </c>
      <c r="AR1227" s="9" t="s">
        <v>333</v>
      </c>
      <c r="AS1227" s="12">
        <v>0</v>
      </c>
      <c r="AT1227" s="19">
        <v>39.096699999999998</v>
      </c>
      <c r="AU1227" s="19">
        <v>-123.1755</v>
      </c>
      <c r="AV1227" s="19" t="s">
        <v>387</v>
      </c>
    </row>
    <row r="1228" spans="1:48" x14ac:dyDescent="0.25">
      <c r="A1228" s="18" t="s">
        <v>1607</v>
      </c>
      <c r="B1228" s="10">
        <v>19510607</v>
      </c>
      <c r="C1228" s="9">
        <v>12</v>
      </c>
      <c r="D1228" s="8" t="str">
        <f t="shared" si="229"/>
        <v>N</v>
      </c>
      <c r="E1228" s="8" t="str">
        <f t="shared" si="230"/>
        <v>Y</v>
      </c>
      <c r="F1228" s="8" t="str">
        <f t="shared" si="231"/>
        <v>Y</v>
      </c>
      <c r="G1228" s="8" t="str">
        <f t="shared" si="232"/>
        <v>Y</v>
      </c>
      <c r="H1228" s="8" t="str">
        <f t="shared" si="233"/>
        <v>Upper</v>
      </c>
      <c r="I1228" s="8" t="str">
        <f t="shared" si="234"/>
        <v>West Fork and Below Lake</v>
      </c>
      <c r="J1228" s="8" t="str">
        <f t="shared" si="235"/>
        <v>Sonoma (d/s of Clov. Gage)</v>
      </c>
      <c r="K1228" s="8" t="str">
        <f t="shared" si="236"/>
        <v>Post-1949</v>
      </c>
      <c r="L1228" s="8">
        <f t="shared" si="237"/>
        <v>1951</v>
      </c>
      <c r="M1228" s="8" t="str">
        <f t="shared" si="239"/>
        <v>1950-1952</v>
      </c>
      <c r="N1228" s="10" t="s">
        <v>241</v>
      </c>
      <c r="O1228" s="10" t="s">
        <v>241</v>
      </c>
      <c r="P1228" s="10" t="s">
        <v>242</v>
      </c>
      <c r="Q1228" s="10" t="s">
        <v>242</v>
      </c>
      <c r="R1228" s="10" t="s">
        <v>241</v>
      </c>
      <c r="S1228" s="10" t="s">
        <v>242</v>
      </c>
      <c r="T1228" s="10" t="s">
        <v>242</v>
      </c>
      <c r="U1228" s="10" t="s">
        <v>241</v>
      </c>
      <c r="V1228" s="10" t="s">
        <v>241</v>
      </c>
      <c r="W1228" s="10" t="s">
        <v>242</v>
      </c>
      <c r="X1228" s="15">
        <f>IF(ISERROR(VLOOKUP($A1228,'13. Updated Demand'!A:Z,15,FALSE)),0,VLOOKUP($A1228,'13. Updated Demand'!A:Z,15,FALSE))</f>
        <v>0</v>
      </c>
      <c r="Y1228" s="16">
        <f>IF(ISERROR(VLOOKUP($A1228,'13. Updated Demand'!A:Z,16,FALSE)),0,VLOOKUP($A1228,'13. Updated Demand'!A:Z,16,FALSE))</f>
        <v>0</v>
      </c>
      <c r="Z1228" s="16">
        <f>IF(ISERROR(VLOOKUP($A1228,'13. Updated Demand'!A:Z,17,FALSE)),0,VLOOKUP($A1228,'13. Updated Demand'!A:Z,17,FALSE))</f>
        <v>0</v>
      </c>
      <c r="AA1228" s="16">
        <f>IF(ISERROR(VLOOKUP($A1228,'13. Updated Demand'!A:Z,18,FALSE)),0,VLOOKUP($A1228,'13. Updated Demand'!A:Z,18,FALSE))</f>
        <v>0</v>
      </c>
      <c r="AB1228" s="16">
        <f>IF(ISERROR(VLOOKUP($A1228,'13. Updated Demand'!A:Z,19,FALSE)),0,VLOOKUP($A1228,'13. Updated Demand'!A:Z,19,FALSE))</f>
        <v>0</v>
      </c>
      <c r="AC1228" s="16">
        <f>IF(ISERROR(VLOOKUP($A1228,'13. Updated Demand'!A:Z,20,FALSE)),0,VLOOKUP($A1228,'13. Updated Demand'!A:Z,20,FALSE))</f>
        <v>0</v>
      </c>
      <c r="AD1228" s="16">
        <f>IF(ISERROR(VLOOKUP($A1228,'13. Updated Demand'!A:Z,21,FALSE)),0,VLOOKUP($A1228,'13. Updated Demand'!A:Z,21,FALSE))</f>
        <v>0</v>
      </c>
      <c r="AE1228" s="16">
        <f>IF(ISERROR(VLOOKUP($A1228,'13. Updated Demand'!A:Z,22,FALSE)),0,VLOOKUP($A1228,'13. Updated Demand'!A:Z,22,FALSE))</f>
        <v>0</v>
      </c>
      <c r="AF1228" s="16">
        <f>IF(ISERROR(VLOOKUP($A1228,'13. Updated Demand'!A:Z,23,FALSE)),0,VLOOKUP($A1228,'13. Updated Demand'!A:Z,23,FALSE))</f>
        <v>0</v>
      </c>
      <c r="AG1228" s="16">
        <f>IF(ISERROR(VLOOKUP($A1228,'13. Updated Demand'!A:Z,24,FALSE)),0,VLOOKUP($A1228,'13. Updated Demand'!A:Z,24,FALSE))</f>
        <v>0</v>
      </c>
      <c r="AH1228" s="16">
        <f>IF(ISERROR(VLOOKUP($A1228,'13. Updated Demand'!A:Z,25,FALSE)),0,VLOOKUP($A1228,'13. Updated Demand'!A:Z,25,FALSE))</f>
        <v>0</v>
      </c>
      <c r="AI1228" s="16">
        <f>IF(ISERROR(VLOOKUP($A1228,'13. Updated Demand'!A:Z,26,FALSE)),0,VLOOKUP($A1228,'13. Updated Demand'!A:Z,26,FALSE))</f>
        <v>0</v>
      </c>
      <c r="AJ1228" s="16">
        <f t="shared" si="228"/>
        <v>0</v>
      </c>
      <c r="AK1228" s="19">
        <v>0</v>
      </c>
      <c r="AL1228" s="16">
        <f t="shared" si="238"/>
        <v>0</v>
      </c>
      <c r="AM1228" s="17">
        <v>0</v>
      </c>
      <c r="AN1228" s="19"/>
      <c r="AO1228" s="19"/>
      <c r="AP1228" s="19">
        <v>383.8</v>
      </c>
      <c r="AQ1228" s="19" t="s">
        <v>307</v>
      </c>
      <c r="AR1228" s="9" t="s">
        <v>311</v>
      </c>
      <c r="AS1228" s="12">
        <v>0</v>
      </c>
      <c r="AT1228" s="19">
        <v>38.651000000000003</v>
      </c>
      <c r="AU1228" s="19">
        <v>-122.80629999999999</v>
      </c>
      <c r="AV1228" s="19" t="s">
        <v>387</v>
      </c>
    </row>
    <row r="1229" spans="1:48" x14ac:dyDescent="0.25">
      <c r="A1229" s="18" t="s">
        <v>1608</v>
      </c>
      <c r="B1229" s="10">
        <v>19510625</v>
      </c>
      <c r="C1229" s="9">
        <v>23</v>
      </c>
      <c r="D1229" s="8" t="str">
        <f t="shared" si="229"/>
        <v>N</v>
      </c>
      <c r="E1229" s="8" t="str">
        <f t="shared" si="230"/>
        <v>N</v>
      </c>
      <c r="F1229" s="8" t="str">
        <f t="shared" si="231"/>
        <v>N</v>
      </c>
      <c r="G1229" s="8" t="str">
        <f t="shared" si="232"/>
        <v>N</v>
      </c>
      <c r="H1229" s="8" t="str">
        <f t="shared" si="233"/>
        <v>Lower</v>
      </c>
      <c r="I1229" s="8" t="str">
        <f t="shared" si="234"/>
        <v>Outside</v>
      </c>
      <c r="J1229" s="8" t="str">
        <f t="shared" si="235"/>
        <v>Outside</v>
      </c>
      <c r="K1229" s="8" t="str">
        <f t="shared" si="236"/>
        <v>Post-1949</v>
      </c>
      <c r="L1229" s="8">
        <f t="shared" si="237"/>
        <v>1951</v>
      </c>
      <c r="M1229" s="8" t="str">
        <f t="shared" si="239"/>
        <v>1950-1952</v>
      </c>
      <c r="N1229" s="10" t="s">
        <v>242</v>
      </c>
      <c r="O1229" s="10" t="s">
        <v>242</v>
      </c>
      <c r="P1229" s="10" t="s">
        <v>242</v>
      </c>
      <c r="Q1229" s="10" t="s">
        <v>242</v>
      </c>
      <c r="R1229" s="10" t="s">
        <v>241</v>
      </c>
      <c r="S1229" s="10" t="s">
        <v>242</v>
      </c>
      <c r="T1229" s="10" t="s">
        <v>242</v>
      </c>
      <c r="U1229" s="10" t="s">
        <v>242</v>
      </c>
      <c r="V1229" s="10" t="s">
        <v>241</v>
      </c>
      <c r="W1229" s="10" t="s">
        <v>242</v>
      </c>
      <c r="X1229" s="15">
        <f>IF(ISERROR(VLOOKUP($A1229,'13. Updated Demand'!A:Z,15,FALSE)),0,VLOOKUP($A1229,'13. Updated Demand'!A:Z,15,FALSE))</f>
        <v>13.9</v>
      </c>
      <c r="Y1229" s="16">
        <f>IF(ISERROR(VLOOKUP($A1229,'13. Updated Demand'!A:Z,16,FALSE)),0,VLOOKUP($A1229,'13. Updated Demand'!A:Z,16,FALSE))</f>
        <v>25.233333330000001</v>
      </c>
      <c r="Z1229" s="16">
        <f>IF(ISERROR(VLOOKUP($A1229,'13. Updated Demand'!A:Z,17,FALSE)),0,VLOOKUP($A1229,'13. Updated Demand'!A:Z,17,FALSE))</f>
        <v>1.5333333330000001</v>
      </c>
      <c r="AA1229" s="16">
        <f>IF(ISERROR(VLOOKUP($A1229,'13. Updated Demand'!A:Z,18,FALSE)),0,VLOOKUP($A1229,'13. Updated Demand'!A:Z,18,FALSE))</f>
        <v>0</v>
      </c>
      <c r="AB1229" s="16">
        <f>IF(ISERROR(VLOOKUP($A1229,'13. Updated Demand'!A:Z,19,FALSE)),0,VLOOKUP($A1229,'13. Updated Demand'!A:Z,19,FALSE))</f>
        <v>0</v>
      </c>
      <c r="AC1229" s="16">
        <f>IF(ISERROR(VLOOKUP($A1229,'13. Updated Demand'!A:Z,20,FALSE)),0,VLOOKUP($A1229,'13. Updated Demand'!A:Z,20,FALSE))</f>
        <v>0</v>
      </c>
      <c r="AD1229" s="16">
        <f>IF(ISERROR(VLOOKUP($A1229,'13. Updated Demand'!A:Z,21,FALSE)),0,VLOOKUP($A1229,'13. Updated Demand'!A:Z,21,FALSE))</f>
        <v>0</v>
      </c>
      <c r="AE1229" s="16">
        <f>IF(ISERROR(VLOOKUP($A1229,'13. Updated Demand'!A:Z,22,FALSE)),0,VLOOKUP($A1229,'13. Updated Demand'!A:Z,22,FALSE))</f>
        <v>0</v>
      </c>
      <c r="AF1229" s="16">
        <f>IF(ISERROR(VLOOKUP($A1229,'13. Updated Demand'!A:Z,23,FALSE)),0,VLOOKUP($A1229,'13. Updated Demand'!A:Z,23,FALSE))</f>
        <v>0</v>
      </c>
      <c r="AG1229" s="16">
        <f>IF(ISERROR(VLOOKUP($A1229,'13. Updated Demand'!A:Z,24,FALSE)),0,VLOOKUP($A1229,'13. Updated Demand'!A:Z,24,FALSE))</f>
        <v>0</v>
      </c>
      <c r="AH1229" s="16">
        <f>IF(ISERROR(VLOOKUP($A1229,'13. Updated Demand'!A:Z,25,FALSE)),0,VLOOKUP($A1229,'13. Updated Demand'!A:Z,25,FALSE))</f>
        <v>0.73333333300000003</v>
      </c>
      <c r="AI1229" s="16">
        <f>IF(ISERROR(VLOOKUP($A1229,'13. Updated Demand'!A:Z,26,FALSE)),0,VLOOKUP($A1229,'13. Updated Demand'!A:Z,26,FALSE))</f>
        <v>6.1333333330000004</v>
      </c>
      <c r="AJ1229" s="16">
        <f t="shared" si="228"/>
        <v>47.533333329000001</v>
      </c>
      <c r="AK1229" s="19">
        <v>0</v>
      </c>
      <c r="AL1229" s="16">
        <f t="shared" si="238"/>
        <v>0</v>
      </c>
      <c r="AM1229" s="17">
        <v>0.47533333328999999</v>
      </c>
      <c r="AN1229" s="19"/>
      <c r="AO1229" s="19"/>
      <c r="AP1229" s="19">
        <v>100</v>
      </c>
      <c r="AQ1229" s="19" t="s">
        <v>307</v>
      </c>
      <c r="AR1229" s="9" t="s">
        <v>391</v>
      </c>
      <c r="AS1229" s="12">
        <v>0</v>
      </c>
      <c r="AT1229" s="19">
        <v>38.563767519999999</v>
      </c>
      <c r="AU1229" s="19">
        <v>-122.78100025000001</v>
      </c>
      <c r="AV1229" s="19" t="s">
        <v>417</v>
      </c>
    </row>
    <row r="1230" spans="1:48" x14ac:dyDescent="0.25">
      <c r="A1230" s="18" t="s">
        <v>1609</v>
      </c>
      <c r="B1230" s="10">
        <v>19510629</v>
      </c>
      <c r="C1230" s="9">
        <v>23</v>
      </c>
      <c r="D1230" s="8" t="str">
        <f t="shared" si="229"/>
        <v>N</v>
      </c>
      <c r="E1230" s="8" t="str">
        <f t="shared" si="230"/>
        <v>N</v>
      </c>
      <c r="F1230" s="8" t="str">
        <f t="shared" si="231"/>
        <v>N</v>
      </c>
      <c r="G1230" s="8" t="str">
        <f t="shared" si="232"/>
        <v>N</v>
      </c>
      <c r="H1230" s="8" t="str">
        <f t="shared" si="233"/>
        <v>Lower</v>
      </c>
      <c r="I1230" s="8" t="str">
        <f t="shared" si="234"/>
        <v>Outside</v>
      </c>
      <c r="J1230" s="8" t="str">
        <f t="shared" si="235"/>
        <v>Outside</v>
      </c>
      <c r="K1230" s="8" t="str">
        <f t="shared" si="236"/>
        <v>Post-1949</v>
      </c>
      <c r="L1230" s="8">
        <f t="shared" si="237"/>
        <v>1951</v>
      </c>
      <c r="M1230" s="8" t="str">
        <f t="shared" si="239"/>
        <v>1950-1952</v>
      </c>
      <c r="N1230" s="10" t="s">
        <v>242</v>
      </c>
      <c r="O1230" s="10" t="s">
        <v>242</v>
      </c>
      <c r="P1230" s="10" t="s">
        <v>242</v>
      </c>
      <c r="Q1230" s="10" t="s">
        <v>242</v>
      </c>
      <c r="R1230" s="10" t="s">
        <v>241</v>
      </c>
      <c r="S1230" s="10" t="s">
        <v>242</v>
      </c>
      <c r="T1230" s="10" t="s">
        <v>242</v>
      </c>
      <c r="U1230" s="10" t="s">
        <v>241</v>
      </c>
      <c r="V1230" s="10" t="s">
        <v>241</v>
      </c>
      <c r="W1230" s="10" t="s">
        <v>242</v>
      </c>
      <c r="X1230" s="15">
        <f>IF(ISERROR(VLOOKUP($A1230,'13. Updated Demand'!A:Z,15,FALSE)),0,VLOOKUP($A1230,'13. Updated Demand'!A:Z,15,FALSE))</f>
        <v>0</v>
      </c>
      <c r="Y1230" s="16">
        <f>IF(ISERROR(VLOOKUP($A1230,'13. Updated Demand'!A:Z,16,FALSE)),0,VLOOKUP($A1230,'13. Updated Demand'!A:Z,16,FALSE))</f>
        <v>0</v>
      </c>
      <c r="Z1230" s="16">
        <f>IF(ISERROR(VLOOKUP($A1230,'13. Updated Demand'!A:Z,17,FALSE)),0,VLOOKUP($A1230,'13. Updated Demand'!A:Z,17,FALSE))</f>
        <v>0</v>
      </c>
      <c r="AA1230" s="16">
        <f>IF(ISERROR(VLOOKUP($A1230,'13. Updated Demand'!A:Z,18,FALSE)),0,VLOOKUP($A1230,'13. Updated Demand'!A:Z,18,FALSE))</f>
        <v>0</v>
      </c>
      <c r="AB1230" s="16">
        <f>IF(ISERROR(VLOOKUP($A1230,'13. Updated Demand'!A:Z,19,FALSE)),0,VLOOKUP($A1230,'13. Updated Demand'!A:Z,19,FALSE))</f>
        <v>0</v>
      </c>
      <c r="AC1230" s="16">
        <f>IF(ISERROR(VLOOKUP($A1230,'13. Updated Demand'!A:Z,20,FALSE)),0,VLOOKUP($A1230,'13. Updated Demand'!A:Z,20,FALSE))</f>
        <v>0</v>
      </c>
      <c r="AD1230" s="16">
        <f>IF(ISERROR(VLOOKUP($A1230,'13. Updated Demand'!A:Z,21,FALSE)),0,VLOOKUP($A1230,'13. Updated Demand'!A:Z,21,FALSE))</f>
        <v>0</v>
      </c>
      <c r="AE1230" s="16">
        <f>IF(ISERROR(VLOOKUP($A1230,'13. Updated Demand'!A:Z,22,FALSE)),0,VLOOKUP($A1230,'13. Updated Demand'!A:Z,22,FALSE))</f>
        <v>0</v>
      </c>
      <c r="AF1230" s="16">
        <f>IF(ISERROR(VLOOKUP($A1230,'13. Updated Demand'!A:Z,23,FALSE)),0,VLOOKUP($A1230,'13. Updated Demand'!A:Z,23,FALSE))</f>
        <v>0</v>
      </c>
      <c r="AG1230" s="16">
        <f>IF(ISERROR(VLOOKUP($A1230,'13. Updated Demand'!A:Z,24,FALSE)),0,VLOOKUP($A1230,'13. Updated Demand'!A:Z,24,FALSE))</f>
        <v>0</v>
      </c>
      <c r="AH1230" s="16">
        <f>IF(ISERROR(VLOOKUP($A1230,'13. Updated Demand'!A:Z,25,FALSE)),0,VLOOKUP($A1230,'13. Updated Demand'!A:Z,25,FALSE))</f>
        <v>0</v>
      </c>
      <c r="AI1230" s="16">
        <f>IF(ISERROR(VLOOKUP($A1230,'13. Updated Demand'!A:Z,26,FALSE)),0,VLOOKUP($A1230,'13. Updated Demand'!A:Z,26,FALSE))</f>
        <v>0</v>
      </c>
      <c r="AJ1230" s="16">
        <f t="shared" si="228"/>
        <v>0</v>
      </c>
      <c r="AK1230" s="19">
        <v>0</v>
      </c>
      <c r="AL1230" s="16">
        <f t="shared" si="238"/>
        <v>0</v>
      </c>
      <c r="AM1230" s="17">
        <v>0</v>
      </c>
      <c r="AN1230" s="19"/>
      <c r="AO1230" s="19"/>
      <c r="AP1230" s="19">
        <v>75.400000000000006</v>
      </c>
      <c r="AQ1230" s="19" t="s">
        <v>307</v>
      </c>
      <c r="AR1230" s="9" t="s">
        <v>323</v>
      </c>
      <c r="AS1230" s="12">
        <v>0</v>
      </c>
      <c r="AT1230" s="19">
        <v>38.518700430000003</v>
      </c>
      <c r="AU1230" s="19">
        <v>-122.65774618</v>
      </c>
      <c r="AV1230" s="19" t="s">
        <v>735</v>
      </c>
    </row>
    <row r="1231" spans="1:48" x14ac:dyDescent="0.25">
      <c r="A1231" s="18" t="s">
        <v>1610</v>
      </c>
      <c r="B1231" s="10">
        <v>19510906</v>
      </c>
      <c r="C1231" s="9">
        <v>9</v>
      </c>
      <c r="D1231" s="8" t="str">
        <f t="shared" si="229"/>
        <v>N</v>
      </c>
      <c r="E1231" s="8" t="str">
        <f t="shared" si="230"/>
        <v>Y</v>
      </c>
      <c r="F1231" s="8" t="str">
        <f t="shared" si="231"/>
        <v>Y</v>
      </c>
      <c r="G1231" s="8" t="str">
        <f t="shared" si="232"/>
        <v>Y</v>
      </c>
      <c r="H1231" s="8" t="str">
        <f t="shared" si="233"/>
        <v>Upper</v>
      </c>
      <c r="I1231" s="8" t="str">
        <f t="shared" si="234"/>
        <v>West Fork and Below Lake</v>
      </c>
      <c r="J1231" s="8" t="str">
        <f t="shared" si="235"/>
        <v>Sonoma (d/s of Clov. Gage)</v>
      </c>
      <c r="K1231" s="8" t="str">
        <f t="shared" si="236"/>
        <v>Post-1949</v>
      </c>
      <c r="L1231" s="8">
        <f t="shared" si="237"/>
        <v>1951</v>
      </c>
      <c r="M1231" s="8" t="str">
        <f t="shared" si="239"/>
        <v>1950-1952</v>
      </c>
      <c r="N1231" s="10" t="s">
        <v>241</v>
      </c>
      <c r="O1231" s="10" t="s">
        <v>241</v>
      </c>
      <c r="P1231" s="10" t="s">
        <v>242</v>
      </c>
      <c r="Q1231" s="10" t="s">
        <v>242</v>
      </c>
      <c r="R1231" s="10" t="s">
        <v>241</v>
      </c>
      <c r="S1231" s="10" t="s">
        <v>242</v>
      </c>
      <c r="T1231" s="10" t="s">
        <v>242</v>
      </c>
      <c r="U1231" s="10" t="s">
        <v>241</v>
      </c>
      <c r="V1231" s="10" t="s">
        <v>241</v>
      </c>
      <c r="W1231" s="10" t="s">
        <v>242</v>
      </c>
      <c r="X1231" s="15">
        <f>IF(ISERROR(VLOOKUP($A1231,'13. Updated Demand'!A:Z,15,FALSE)),0,VLOOKUP($A1231,'13. Updated Demand'!A:Z,15,FALSE))</f>
        <v>0</v>
      </c>
      <c r="Y1231" s="16">
        <f>IF(ISERROR(VLOOKUP($A1231,'13. Updated Demand'!A:Z,16,FALSE)),0,VLOOKUP($A1231,'13. Updated Demand'!A:Z,16,FALSE))</f>
        <v>0</v>
      </c>
      <c r="Z1231" s="16">
        <f>IF(ISERROR(VLOOKUP($A1231,'13. Updated Demand'!A:Z,17,FALSE)),0,VLOOKUP($A1231,'13. Updated Demand'!A:Z,17,FALSE))</f>
        <v>0</v>
      </c>
      <c r="AA1231" s="16">
        <f>IF(ISERROR(VLOOKUP($A1231,'13. Updated Demand'!A:Z,18,FALSE)),0,VLOOKUP($A1231,'13. Updated Demand'!A:Z,18,FALSE))</f>
        <v>0</v>
      </c>
      <c r="AB1231" s="16">
        <f>IF(ISERROR(VLOOKUP($A1231,'13. Updated Demand'!A:Z,19,FALSE)),0,VLOOKUP($A1231,'13. Updated Demand'!A:Z,19,FALSE))</f>
        <v>0</v>
      </c>
      <c r="AC1231" s="16">
        <f>IF(ISERROR(VLOOKUP($A1231,'13. Updated Demand'!A:Z,20,FALSE)),0,VLOOKUP($A1231,'13. Updated Demand'!A:Z,20,FALSE))</f>
        <v>0</v>
      </c>
      <c r="AD1231" s="16">
        <f>IF(ISERROR(VLOOKUP($A1231,'13. Updated Demand'!A:Z,21,FALSE)),0,VLOOKUP($A1231,'13. Updated Demand'!A:Z,21,FALSE))</f>
        <v>0</v>
      </c>
      <c r="AE1231" s="16">
        <f>IF(ISERROR(VLOOKUP($A1231,'13. Updated Demand'!A:Z,22,FALSE)),0,VLOOKUP($A1231,'13. Updated Demand'!A:Z,22,FALSE))</f>
        <v>0</v>
      </c>
      <c r="AF1231" s="16">
        <f>IF(ISERROR(VLOOKUP($A1231,'13. Updated Demand'!A:Z,23,FALSE)),0,VLOOKUP($A1231,'13. Updated Demand'!A:Z,23,FALSE))</f>
        <v>0</v>
      </c>
      <c r="AG1231" s="16">
        <f>IF(ISERROR(VLOOKUP($A1231,'13. Updated Demand'!A:Z,24,FALSE)),0,VLOOKUP($A1231,'13. Updated Demand'!A:Z,24,FALSE))</f>
        <v>0</v>
      </c>
      <c r="AH1231" s="16">
        <f>IF(ISERROR(VLOOKUP($A1231,'13. Updated Demand'!A:Z,25,FALSE)),0,VLOOKUP($A1231,'13. Updated Demand'!A:Z,25,FALSE))</f>
        <v>0</v>
      </c>
      <c r="AI1231" s="16">
        <f>IF(ISERROR(VLOOKUP($A1231,'13. Updated Demand'!A:Z,26,FALSE)),0,VLOOKUP($A1231,'13. Updated Demand'!A:Z,26,FALSE))</f>
        <v>0</v>
      </c>
      <c r="AJ1231" s="16">
        <f t="shared" si="228"/>
        <v>0</v>
      </c>
      <c r="AK1231" s="19">
        <v>0</v>
      </c>
      <c r="AL1231" s="16">
        <f t="shared" si="238"/>
        <v>0</v>
      </c>
      <c r="AM1231" s="17">
        <v>0</v>
      </c>
      <c r="AN1231" s="19"/>
      <c r="AO1231" s="19"/>
      <c r="AP1231" s="19">
        <v>7.3</v>
      </c>
      <c r="AQ1231" s="19" t="s">
        <v>307</v>
      </c>
      <c r="AR1231" s="9" t="s">
        <v>354</v>
      </c>
      <c r="AS1231" s="12">
        <v>3.4039024194010059E-4</v>
      </c>
      <c r="AT1231" s="19">
        <v>38.826459229999998</v>
      </c>
      <c r="AU1231" s="19">
        <v>-123.00820416000001</v>
      </c>
      <c r="AV1231" s="19" t="s">
        <v>548</v>
      </c>
    </row>
    <row r="1232" spans="1:48" x14ac:dyDescent="0.25">
      <c r="A1232" s="18" t="s">
        <v>1611</v>
      </c>
      <c r="B1232" s="10">
        <v>19510919</v>
      </c>
      <c r="C1232" s="9">
        <v>9</v>
      </c>
      <c r="D1232" s="8" t="str">
        <f t="shared" si="229"/>
        <v>N</v>
      </c>
      <c r="E1232" s="8" t="str">
        <f t="shared" si="230"/>
        <v>Y</v>
      </c>
      <c r="F1232" s="8" t="str">
        <f t="shared" si="231"/>
        <v>Y</v>
      </c>
      <c r="G1232" s="8" t="str">
        <f t="shared" si="232"/>
        <v>Y</v>
      </c>
      <c r="H1232" s="8" t="str">
        <f t="shared" si="233"/>
        <v>Upper</v>
      </c>
      <c r="I1232" s="8" t="str">
        <f t="shared" si="234"/>
        <v>West Fork and Below Lake</v>
      </c>
      <c r="J1232" s="8" t="str">
        <f t="shared" si="235"/>
        <v>Sonoma (d/s of Clov. Gage)</v>
      </c>
      <c r="K1232" s="8" t="str">
        <f t="shared" si="236"/>
        <v>Post-1949</v>
      </c>
      <c r="L1232" s="8">
        <f t="shared" si="237"/>
        <v>1951</v>
      </c>
      <c r="M1232" s="8" t="str">
        <f t="shared" si="239"/>
        <v>1950-1952</v>
      </c>
      <c r="N1232" s="10" t="s">
        <v>241</v>
      </c>
      <c r="O1232" s="10" t="s">
        <v>241</v>
      </c>
      <c r="P1232" s="10" t="s">
        <v>242</v>
      </c>
      <c r="Q1232" s="10" t="s">
        <v>242</v>
      </c>
      <c r="R1232" s="10" t="s">
        <v>241</v>
      </c>
      <c r="S1232" s="10" t="s">
        <v>242</v>
      </c>
      <c r="T1232" s="10" t="s">
        <v>242</v>
      </c>
      <c r="U1232" s="10" t="s">
        <v>241</v>
      </c>
      <c r="V1232" s="10" t="s">
        <v>241</v>
      </c>
      <c r="W1232" s="10" t="s">
        <v>242</v>
      </c>
      <c r="X1232" s="15">
        <f>IF(ISERROR(VLOOKUP($A1232,'13. Updated Demand'!A:Z,15,FALSE)),0,VLOOKUP($A1232,'13. Updated Demand'!A:Z,15,FALSE))</f>
        <v>0</v>
      </c>
      <c r="Y1232" s="16">
        <f>IF(ISERROR(VLOOKUP($A1232,'13. Updated Demand'!A:Z,16,FALSE)),0,VLOOKUP($A1232,'13. Updated Demand'!A:Z,16,FALSE))</f>
        <v>0</v>
      </c>
      <c r="Z1232" s="16">
        <f>IF(ISERROR(VLOOKUP($A1232,'13. Updated Demand'!A:Z,17,FALSE)),0,VLOOKUP($A1232,'13. Updated Demand'!A:Z,17,FALSE))</f>
        <v>0</v>
      </c>
      <c r="AA1232" s="16">
        <f>IF(ISERROR(VLOOKUP($A1232,'13. Updated Demand'!A:Z,18,FALSE)),0,VLOOKUP($A1232,'13. Updated Demand'!A:Z,18,FALSE))</f>
        <v>0</v>
      </c>
      <c r="AB1232" s="16">
        <f>IF(ISERROR(VLOOKUP($A1232,'13. Updated Demand'!A:Z,19,FALSE)),0,VLOOKUP($A1232,'13. Updated Demand'!A:Z,19,FALSE))</f>
        <v>0</v>
      </c>
      <c r="AC1232" s="16">
        <f>IF(ISERROR(VLOOKUP($A1232,'13. Updated Demand'!A:Z,20,FALSE)),0,VLOOKUP($A1232,'13. Updated Demand'!A:Z,20,FALSE))</f>
        <v>0</v>
      </c>
      <c r="AD1232" s="16">
        <f>IF(ISERROR(VLOOKUP($A1232,'13. Updated Demand'!A:Z,21,FALSE)),0,VLOOKUP($A1232,'13. Updated Demand'!A:Z,21,FALSE))</f>
        <v>0</v>
      </c>
      <c r="AE1232" s="16">
        <f>IF(ISERROR(VLOOKUP($A1232,'13. Updated Demand'!A:Z,22,FALSE)),0,VLOOKUP($A1232,'13. Updated Demand'!A:Z,22,FALSE))</f>
        <v>0</v>
      </c>
      <c r="AF1232" s="16">
        <f>IF(ISERROR(VLOOKUP($A1232,'13. Updated Demand'!A:Z,23,FALSE)),0,VLOOKUP($A1232,'13. Updated Demand'!A:Z,23,FALSE))</f>
        <v>0</v>
      </c>
      <c r="AG1232" s="16">
        <f>IF(ISERROR(VLOOKUP($A1232,'13. Updated Demand'!A:Z,24,FALSE)),0,VLOOKUP($A1232,'13. Updated Demand'!A:Z,24,FALSE))</f>
        <v>0</v>
      </c>
      <c r="AH1232" s="16">
        <f>IF(ISERROR(VLOOKUP($A1232,'13. Updated Demand'!A:Z,25,FALSE)),0,VLOOKUP($A1232,'13. Updated Demand'!A:Z,25,FALSE))</f>
        <v>0</v>
      </c>
      <c r="AI1232" s="16">
        <f>IF(ISERROR(VLOOKUP($A1232,'13. Updated Demand'!A:Z,26,FALSE)),0,VLOOKUP($A1232,'13. Updated Demand'!A:Z,26,FALSE))</f>
        <v>0</v>
      </c>
      <c r="AJ1232" s="16">
        <f t="shared" ref="AJ1232:AJ1295" si="240">SUM(X1232:AI1232)</f>
        <v>0</v>
      </c>
      <c r="AK1232" s="19">
        <v>0</v>
      </c>
      <c r="AL1232" s="16">
        <f t="shared" si="238"/>
        <v>0</v>
      </c>
      <c r="AM1232" s="17">
        <v>0</v>
      </c>
      <c r="AN1232" s="19"/>
      <c r="AO1232" s="19"/>
      <c r="AP1232" s="19">
        <v>72.5</v>
      </c>
      <c r="AQ1232" s="19" t="s">
        <v>307</v>
      </c>
      <c r="AR1232" s="9" t="s">
        <v>354</v>
      </c>
      <c r="AS1232" s="12">
        <v>0</v>
      </c>
      <c r="AT1232" s="19">
        <v>38.720195650000001</v>
      </c>
      <c r="AU1232" s="19">
        <v>-122.90750202</v>
      </c>
      <c r="AV1232" s="19" t="s">
        <v>387</v>
      </c>
    </row>
    <row r="1233" spans="1:48" x14ac:dyDescent="0.25">
      <c r="A1233" s="18" t="s">
        <v>1612</v>
      </c>
      <c r="B1233" s="10">
        <v>19511005</v>
      </c>
      <c r="C1233" s="9">
        <v>17</v>
      </c>
      <c r="D1233" s="8" t="str">
        <f t="shared" si="229"/>
        <v>N</v>
      </c>
      <c r="E1233" s="8" t="str">
        <f t="shared" si="230"/>
        <v>N</v>
      </c>
      <c r="F1233" s="8" t="str">
        <f t="shared" si="231"/>
        <v>N</v>
      </c>
      <c r="G1233" s="8" t="str">
        <f t="shared" si="232"/>
        <v>N</v>
      </c>
      <c r="H1233" s="8" t="str">
        <f t="shared" si="233"/>
        <v>Lower</v>
      </c>
      <c r="I1233" s="8" t="str">
        <f t="shared" si="234"/>
        <v>Outside</v>
      </c>
      <c r="J1233" s="8" t="str">
        <f t="shared" si="235"/>
        <v>Outside</v>
      </c>
      <c r="K1233" s="8" t="str">
        <f t="shared" si="236"/>
        <v>Post-1949</v>
      </c>
      <c r="L1233" s="8">
        <f t="shared" si="237"/>
        <v>1951</v>
      </c>
      <c r="M1233" s="8" t="str">
        <f t="shared" si="239"/>
        <v>1950-1952</v>
      </c>
      <c r="N1233" s="10" t="s">
        <v>242</v>
      </c>
      <c r="O1233" s="10" t="s">
        <v>242</v>
      </c>
      <c r="P1233" s="10" t="s">
        <v>242</v>
      </c>
      <c r="Q1233" s="10" t="s">
        <v>242</v>
      </c>
      <c r="R1233" s="10" t="s">
        <v>241</v>
      </c>
      <c r="S1233" s="10" t="s">
        <v>242</v>
      </c>
      <c r="T1233" s="10" t="s">
        <v>242</v>
      </c>
      <c r="U1233" s="10" t="s">
        <v>242</v>
      </c>
      <c r="V1233" s="10" t="s">
        <v>241</v>
      </c>
      <c r="W1233" s="10" t="s">
        <v>242</v>
      </c>
      <c r="X1233" s="15">
        <f>IF(ISERROR(VLOOKUP($A1233,'13. Updated Demand'!A:Z,15,FALSE)),0,VLOOKUP($A1233,'13. Updated Demand'!A:Z,15,FALSE))</f>
        <v>0</v>
      </c>
      <c r="Y1233" s="16">
        <f>IF(ISERROR(VLOOKUP($A1233,'13. Updated Demand'!A:Z,16,FALSE)),0,VLOOKUP($A1233,'13. Updated Demand'!A:Z,16,FALSE))</f>
        <v>0</v>
      </c>
      <c r="Z1233" s="16">
        <f>IF(ISERROR(VLOOKUP($A1233,'13. Updated Demand'!A:Z,17,FALSE)),0,VLOOKUP($A1233,'13. Updated Demand'!A:Z,17,FALSE))</f>
        <v>0</v>
      </c>
      <c r="AA1233" s="16">
        <f>IF(ISERROR(VLOOKUP($A1233,'13. Updated Demand'!A:Z,18,FALSE)),0,VLOOKUP($A1233,'13. Updated Demand'!A:Z,18,FALSE))</f>
        <v>0</v>
      </c>
      <c r="AB1233" s="16">
        <f>IF(ISERROR(VLOOKUP($A1233,'13. Updated Demand'!A:Z,19,FALSE)),0,VLOOKUP($A1233,'13. Updated Demand'!A:Z,19,FALSE))</f>
        <v>0</v>
      </c>
      <c r="AC1233" s="16">
        <f>IF(ISERROR(VLOOKUP($A1233,'13. Updated Demand'!A:Z,20,FALSE)),0,VLOOKUP($A1233,'13. Updated Demand'!A:Z,20,FALSE))</f>
        <v>0</v>
      </c>
      <c r="AD1233" s="16">
        <f>IF(ISERROR(VLOOKUP($A1233,'13. Updated Demand'!A:Z,21,FALSE)),0,VLOOKUP($A1233,'13. Updated Demand'!A:Z,21,FALSE))</f>
        <v>0</v>
      </c>
      <c r="AE1233" s="16">
        <f>IF(ISERROR(VLOOKUP($A1233,'13. Updated Demand'!A:Z,22,FALSE)),0,VLOOKUP($A1233,'13. Updated Demand'!A:Z,22,FALSE))</f>
        <v>0</v>
      </c>
      <c r="AF1233" s="16">
        <f>IF(ISERROR(VLOOKUP($A1233,'13. Updated Demand'!A:Z,23,FALSE)),0,VLOOKUP($A1233,'13. Updated Demand'!A:Z,23,FALSE))</f>
        <v>0</v>
      </c>
      <c r="AG1233" s="16">
        <f>IF(ISERROR(VLOOKUP($A1233,'13. Updated Demand'!A:Z,24,FALSE)),0,VLOOKUP($A1233,'13. Updated Demand'!A:Z,24,FALSE))</f>
        <v>1</v>
      </c>
      <c r="AH1233" s="16">
        <f>IF(ISERROR(VLOOKUP($A1233,'13. Updated Demand'!A:Z,25,FALSE)),0,VLOOKUP($A1233,'13. Updated Demand'!A:Z,25,FALSE))</f>
        <v>1</v>
      </c>
      <c r="AI1233" s="16">
        <f>IF(ISERROR(VLOOKUP($A1233,'13. Updated Demand'!A:Z,26,FALSE)),0,VLOOKUP($A1233,'13. Updated Demand'!A:Z,26,FALSE))</f>
        <v>1.3333333329999999</v>
      </c>
      <c r="AJ1233" s="16">
        <f t="shared" si="240"/>
        <v>3.3333333329999997</v>
      </c>
      <c r="AK1233" s="19">
        <v>0</v>
      </c>
      <c r="AL1233" s="16">
        <f t="shared" si="238"/>
        <v>0</v>
      </c>
      <c r="AM1233" s="17">
        <v>0.24691358022222221</v>
      </c>
      <c r="AN1233" s="19"/>
      <c r="AO1233" s="19"/>
      <c r="AP1233" s="19">
        <v>13.5</v>
      </c>
      <c r="AQ1233" s="19" t="s">
        <v>307</v>
      </c>
      <c r="AR1233" s="9" t="s">
        <v>486</v>
      </c>
      <c r="AS1233" s="12">
        <v>0</v>
      </c>
      <c r="AT1233" s="19">
        <v>38.585032120000001</v>
      </c>
      <c r="AU1233" s="19">
        <v>-122.82321612</v>
      </c>
      <c r="AV1233" s="19" t="s">
        <v>417</v>
      </c>
    </row>
    <row r="1234" spans="1:48" x14ac:dyDescent="0.25">
      <c r="A1234" s="18" t="s">
        <v>1613</v>
      </c>
      <c r="B1234" s="10">
        <v>19500131</v>
      </c>
      <c r="C1234" s="9">
        <v>2</v>
      </c>
      <c r="D1234" s="8" t="str">
        <f t="shared" si="229"/>
        <v>N</v>
      </c>
      <c r="E1234" s="8" t="str">
        <f t="shared" si="230"/>
        <v>N</v>
      </c>
      <c r="F1234" s="8" t="str">
        <f t="shared" si="231"/>
        <v>Y</v>
      </c>
      <c r="G1234" s="8" t="str">
        <f t="shared" si="232"/>
        <v>N</v>
      </c>
      <c r="H1234" s="8" t="str">
        <f t="shared" si="233"/>
        <v>Upper</v>
      </c>
      <c r="I1234" s="8" t="str">
        <f t="shared" si="234"/>
        <v>Outside</v>
      </c>
      <c r="J1234" s="8" t="str">
        <f t="shared" si="235"/>
        <v>Outside</v>
      </c>
      <c r="K1234" s="8" t="str">
        <f t="shared" si="236"/>
        <v>Post-1949</v>
      </c>
      <c r="L1234" s="8">
        <f t="shared" si="237"/>
        <v>1950</v>
      </c>
      <c r="M1234" s="8" t="s">
        <v>260</v>
      </c>
      <c r="N1234" s="10" t="s">
        <v>242</v>
      </c>
      <c r="O1234" s="10" t="s">
        <v>241</v>
      </c>
      <c r="P1234" s="10" t="s">
        <v>242</v>
      </c>
      <c r="Q1234" s="10" t="s">
        <v>242</v>
      </c>
      <c r="R1234" s="10" t="s">
        <v>241</v>
      </c>
      <c r="S1234" s="10" t="s">
        <v>242</v>
      </c>
      <c r="T1234" s="10" t="s">
        <v>242</v>
      </c>
      <c r="U1234" s="10" t="s">
        <v>242</v>
      </c>
      <c r="V1234" s="10" t="s">
        <v>242</v>
      </c>
      <c r="W1234" s="10" t="s">
        <v>242</v>
      </c>
      <c r="X1234" s="15">
        <f>IF(ISERROR(VLOOKUP($A1234,'13. Updated Demand'!A:Z,15,FALSE)),0,VLOOKUP($A1234,'13. Updated Demand'!A:Z,15,FALSE))</f>
        <v>0</v>
      </c>
      <c r="Y1234" s="16">
        <f>IF(ISERROR(VLOOKUP($A1234,'13. Updated Demand'!A:Z,16,FALSE)),0,VLOOKUP($A1234,'13. Updated Demand'!A:Z,16,FALSE))</f>
        <v>0</v>
      </c>
      <c r="Z1234" s="16">
        <f>IF(ISERROR(VLOOKUP($A1234,'13. Updated Demand'!A:Z,17,FALSE)),0,VLOOKUP($A1234,'13. Updated Demand'!A:Z,17,FALSE))</f>
        <v>0</v>
      </c>
      <c r="AA1234" s="16">
        <f>IF(ISERROR(VLOOKUP($A1234,'13. Updated Demand'!A:Z,18,FALSE)),0,VLOOKUP($A1234,'13. Updated Demand'!A:Z,18,FALSE))</f>
        <v>75</v>
      </c>
      <c r="AB1234" s="16">
        <f>IF(ISERROR(VLOOKUP($A1234,'13. Updated Demand'!A:Z,19,FALSE)),0,VLOOKUP($A1234,'13. Updated Demand'!A:Z,19,FALSE))</f>
        <v>566.33000000000004</v>
      </c>
      <c r="AC1234" s="16">
        <f>IF(ISERROR(VLOOKUP($A1234,'13. Updated Demand'!A:Z,20,FALSE)),0,VLOOKUP($A1234,'13. Updated Demand'!A:Z,20,FALSE))</f>
        <v>1544.66</v>
      </c>
      <c r="AD1234" s="16">
        <f>IF(ISERROR(VLOOKUP($A1234,'13. Updated Demand'!A:Z,21,FALSE)),0,VLOOKUP($A1234,'13. Updated Demand'!A:Z,21,FALSE))</f>
        <v>1771</v>
      </c>
      <c r="AE1234" s="16">
        <f>IF(ISERROR(VLOOKUP($A1234,'13. Updated Demand'!A:Z,22,FALSE)),0,VLOOKUP($A1234,'13. Updated Demand'!A:Z,22,FALSE))</f>
        <v>1811.66</v>
      </c>
      <c r="AF1234" s="16">
        <f>IF(ISERROR(VLOOKUP($A1234,'13. Updated Demand'!A:Z,23,FALSE)),0,VLOOKUP($A1234,'13. Updated Demand'!A:Z,23,FALSE))</f>
        <v>1246</v>
      </c>
      <c r="AG1234" s="16">
        <f>IF(ISERROR(VLOOKUP($A1234,'13. Updated Demand'!A:Z,24,FALSE)),0,VLOOKUP($A1234,'13. Updated Demand'!A:Z,24,FALSE))</f>
        <v>825</v>
      </c>
      <c r="AH1234" s="16">
        <f>IF(ISERROR(VLOOKUP($A1234,'13. Updated Demand'!A:Z,25,FALSE)),0,VLOOKUP($A1234,'13. Updated Demand'!A:Z,25,FALSE))</f>
        <v>17.329999999999998</v>
      </c>
      <c r="AI1234" s="16">
        <f>IF(ISERROR(VLOOKUP($A1234,'13. Updated Demand'!A:Z,26,FALSE)),0,VLOOKUP($A1234,'13. Updated Demand'!A:Z,26,FALSE))</f>
        <v>0</v>
      </c>
      <c r="AJ1234" s="16">
        <f t="shared" si="240"/>
        <v>7856.9800000000005</v>
      </c>
      <c r="AK1234" s="19">
        <v>6939.6500000000005</v>
      </c>
      <c r="AL1234" s="16">
        <f t="shared" si="238"/>
        <v>23.018028549579579</v>
      </c>
      <c r="AM1234" s="17">
        <v>0.34595330036854227</v>
      </c>
      <c r="AN1234" s="19"/>
      <c r="AO1234" s="19"/>
      <c r="AP1234" s="19">
        <v>22711.1</v>
      </c>
      <c r="AQ1234" s="19" t="s">
        <v>307</v>
      </c>
      <c r="AR1234" s="9" t="s">
        <v>348</v>
      </c>
      <c r="AS1234" s="12">
        <v>0</v>
      </c>
      <c r="AT1234" s="19">
        <v>39.36080844</v>
      </c>
      <c r="AU1234" s="19">
        <v>-123.12831366</v>
      </c>
      <c r="AV1234" s="19" t="s">
        <v>433</v>
      </c>
    </row>
    <row r="1235" spans="1:48" x14ac:dyDescent="0.25">
      <c r="A1235" s="18" t="s">
        <v>1614</v>
      </c>
      <c r="B1235" s="10">
        <v>19501122</v>
      </c>
      <c r="C1235" s="9">
        <v>16</v>
      </c>
      <c r="D1235" s="8" t="str">
        <f t="shared" si="229"/>
        <v>N</v>
      </c>
      <c r="E1235" s="8" t="str">
        <f t="shared" si="230"/>
        <v>N</v>
      </c>
      <c r="F1235" s="8" t="str">
        <f t="shared" si="231"/>
        <v>N</v>
      </c>
      <c r="G1235" s="8" t="str">
        <f t="shared" si="232"/>
        <v>N</v>
      </c>
      <c r="H1235" s="8" t="str">
        <f t="shared" si="233"/>
        <v>Lower</v>
      </c>
      <c r="I1235" s="8" t="str">
        <f t="shared" si="234"/>
        <v>Outside</v>
      </c>
      <c r="J1235" s="8" t="str">
        <f t="shared" si="235"/>
        <v>Outside</v>
      </c>
      <c r="K1235" s="8" t="str">
        <f t="shared" si="236"/>
        <v>Post-1949</v>
      </c>
      <c r="L1235" s="8">
        <f t="shared" si="237"/>
        <v>1950</v>
      </c>
      <c r="M1235" s="8" t="str">
        <f t="shared" si="239"/>
        <v>1950-1952</v>
      </c>
      <c r="N1235" s="10" t="s">
        <v>242</v>
      </c>
      <c r="O1235" s="10" t="s">
        <v>242</v>
      </c>
      <c r="P1235" s="10" t="s">
        <v>242</v>
      </c>
      <c r="Q1235" s="10" t="s">
        <v>242</v>
      </c>
      <c r="R1235" s="10" t="s">
        <v>241</v>
      </c>
      <c r="S1235" s="10" t="s">
        <v>242</v>
      </c>
      <c r="T1235" s="10" t="s">
        <v>242</v>
      </c>
      <c r="U1235" s="10" t="s">
        <v>242</v>
      </c>
      <c r="V1235" s="10" t="s">
        <v>242</v>
      </c>
      <c r="W1235" s="10" t="s">
        <v>242</v>
      </c>
      <c r="X1235" s="15">
        <f>IF(ISERROR(VLOOKUP($A1235,'13. Updated Demand'!A:Z,15,FALSE)),0,VLOOKUP($A1235,'13. Updated Demand'!A:Z,15,FALSE))</f>
        <v>0</v>
      </c>
      <c r="Y1235" s="16">
        <f>IF(ISERROR(VLOOKUP($A1235,'13. Updated Demand'!A:Z,16,FALSE)),0,VLOOKUP($A1235,'13. Updated Demand'!A:Z,16,FALSE))</f>
        <v>0</v>
      </c>
      <c r="Z1235" s="16">
        <f>IF(ISERROR(VLOOKUP($A1235,'13. Updated Demand'!A:Z,17,FALSE)),0,VLOOKUP($A1235,'13. Updated Demand'!A:Z,17,FALSE))</f>
        <v>0</v>
      </c>
      <c r="AA1235" s="16">
        <f>IF(ISERROR(VLOOKUP($A1235,'13. Updated Demand'!A:Z,18,FALSE)),0,VLOOKUP($A1235,'13. Updated Demand'!A:Z,18,FALSE))</f>
        <v>10.88666667</v>
      </c>
      <c r="AB1235" s="16">
        <f>IF(ISERROR(VLOOKUP($A1235,'13. Updated Demand'!A:Z,19,FALSE)),0,VLOOKUP($A1235,'13. Updated Demand'!A:Z,19,FALSE))</f>
        <v>41.16333333</v>
      </c>
      <c r="AC1235" s="16">
        <f>IF(ISERROR(VLOOKUP($A1235,'13. Updated Demand'!A:Z,20,FALSE)),0,VLOOKUP($A1235,'13. Updated Demand'!A:Z,20,FALSE))</f>
        <v>34.26</v>
      </c>
      <c r="AD1235" s="16">
        <f>IF(ISERROR(VLOOKUP($A1235,'13. Updated Demand'!A:Z,21,FALSE)),0,VLOOKUP($A1235,'13. Updated Demand'!A:Z,21,FALSE))</f>
        <v>33.33</v>
      </c>
      <c r="AE1235" s="16">
        <f>IF(ISERROR(VLOOKUP($A1235,'13. Updated Demand'!A:Z,22,FALSE)),0,VLOOKUP($A1235,'13. Updated Demand'!A:Z,22,FALSE))</f>
        <v>25.45333333</v>
      </c>
      <c r="AF1235" s="16">
        <f>IF(ISERROR(VLOOKUP($A1235,'13. Updated Demand'!A:Z,23,FALSE)),0,VLOOKUP($A1235,'13. Updated Demand'!A:Z,23,FALSE))</f>
        <v>31.846666670000001</v>
      </c>
      <c r="AG1235" s="16">
        <f>IF(ISERROR(VLOOKUP($A1235,'13. Updated Demand'!A:Z,24,FALSE)),0,VLOOKUP($A1235,'13. Updated Demand'!A:Z,24,FALSE))</f>
        <v>25.34</v>
      </c>
      <c r="AH1235" s="16">
        <f>IF(ISERROR(VLOOKUP($A1235,'13. Updated Demand'!A:Z,25,FALSE)),0,VLOOKUP($A1235,'13. Updated Demand'!A:Z,25,FALSE))</f>
        <v>16.52</v>
      </c>
      <c r="AI1235" s="16">
        <f>IF(ISERROR(VLOOKUP($A1235,'13. Updated Demand'!A:Z,26,FALSE)),0,VLOOKUP($A1235,'13. Updated Demand'!A:Z,26,FALSE))</f>
        <v>0</v>
      </c>
      <c r="AJ1235" s="16">
        <f t="shared" si="240"/>
        <v>218.8</v>
      </c>
      <c r="AK1235" s="19">
        <v>166.05333333333328</v>
      </c>
      <c r="AL1235" s="16">
        <f t="shared" si="238"/>
        <v>0.55077999141448342</v>
      </c>
      <c r="AM1235" s="17">
        <v>0.51301289566236818</v>
      </c>
      <c r="AN1235" s="19"/>
      <c r="AO1235" s="19"/>
      <c r="AP1235" s="19">
        <v>426.5</v>
      </c>
      <c r="AQ1235" s="19" t="s">
        <v>307</v>
      </c>
      <c r="AR1235" s="9" t="s">
        <v>394</v>
      </c>
      <c r="AS1235" s="12">
        <v>0</v>
      </c>
      <c r="AT1235" s="19">
        <v>38.601356600000003</v>
      </c>
      <c r="AU1235" s="19">
        <v>-122.87864178</v>
      </c>
      <c r="AV1235" s="19" t="s">
        <v>1615</v>
      </c>
    </row>
    <row r="1236" spans="1:48" x14ac:dyDescent="0.25">
      <c r="A1236" s="18" t="s">
        <v>114</v>
      </c>
      <c r="B1236" s="10">
        <v>19500330</v>
      </c>
      <c r="C1236" s="9">
        <v>6</v>
      </c>
      <c r="D1236" s="8" t="str">
        <f t="shared" si="229"/>
        <v>Y</v>
      </c>
      <c r="E1236" s="8" t="str">
        <f t="shared" si="230"/>
        <v>N</v>
      </c>
      <c r="F1236" s="8" t="str">
        <f t="shared" si="231"/>
        <v>Y</v>
      </c>
      <c r="G1236" s="8" t="str">
        <f t="shared" si="232"/>
        <v>Y</v>
      </c>
      <c r="H1236" s="8" t="str">
        <f t="shared" si="233"/>
        <v>Upper</v>
      </c>
      <c r="I1236" s="8" t="str">
        <f t="shared" si="234"/>
        <v>West Fork and Below Lake</v>
      </c>
      <c r="J1236" s="8" t="str">
        <f t="shared" si="235"/>
        <v>Mendocino (d/s of lake)</v>
      </c>
      <c r="K1236" s="8" t="str">
        <f t="shared" si="236"/>
        <v>Post-1949</v>
      </c>
      <c r="L1236" s="8">
        <f t="shared" si="237"/>
        <v>1950</v>
      </c>
      <c r="M1236" s="8" t="str">
        <f t="shared" si="239"/>
        <v>1950-1952</v>
      </c>
      <c r="N1236" s="10" t="s">
        <v>241</v>
      </c>
      <c r="O1236" s="10" t="s">
        <v>241</v>
      </c>
      <c r="P1236" s="10" t="s">
        <v>242</v>
      </c>
      <c r="Q1236" s="10" t="s">
        <v>242</v>
      </c>
      <c r="R1236" s="10" t="s">
        <v>241</v>
      </c>
      <c r="S1236" s="10" t="s">
        <v>242</v>
      </c>
      <c r="T1236" s="10" t="s">
        <v>242</v>
      </c>
      <c r="U1236" s="10" t="s">
        <v>242</v>
      </c>
      <c r="V1236" s="10" t="s">
        <v>242</v>
      </c>
      <c r="W1236" s="10" t="s">
        <v>242</v>
      </c>
      <c r="X1236" s="15">
        <f>IF(ISERROR(VLOOKUP($A1236,'13. Updated Demand'!A:Z,15,FALSE)),0,VLOOKUP($A1236,'13. Updated Demand'!A:Z,15,FALSE))</f>
        <v>0</v>
      </c>
      <c r="Y1236" s="16">
        <f>IF(ISERROR(VLOOKUP($A1236,'13. Updated Demand'!A:Z,16,FALSE)),0,VLOOKUP($A1236,'13. Updated Demand'!A:Z,16,FALSE))</f>
        <v>0</v>
      </c>
      <c r="Z1236" s="16">
        <f>IF(ISERROR(VLOOKUP($A1236,'13. Updated Demand'!A:Z,17,FALSE)),0,VLOOKUP($A1236,'13. Updated Demand'!A:Z,17,FALSE))</f>
        <v>0</v>
      </c>
      <c r="AA1236" s="16">
        <f>IF(ISERROR(VLOOKUP($A1236,'13. Updated Demand'!A:Z,18,FALSE)),0,VLOOKUP($A1236,'13. Updated Demand'!A:Z,18,FALSE))</f>
        <v>0</v>
      </c>
      <c r="AB1236" s="16">
        <f>IF(ISERROR(VLOOKUP($A1236,'13. Updated Demand'!A:Z,19,FALSE)),0,VLOOKUP($A1236,'13. Updated Demand'!A:Z,19,FALSE))</f>
        <v>4.49</v>
      </c>
      <c r="AC1236" s="16">
        <f>IF(ISERROR(VLOOKUP($A1236,'13. Updated Demand'!A:Z,20,FALSE)),0,VLOOKUP($A1236,'13. Updated Demand'!A:Z,20,FALSE))</f>
        <v>23.8</v>
      </c>
      <c r="AD1236" s="16">
        <f>IF(ISERROR(VLOOKUP($A1236,'13. Updated Demand'!A:Z,21,FALSE)),0,VLOOKUP($A1236,'13. Updated Demand'!A:Z,21,FALSE))</f>
        <v>25.71</v>
      </c>
      <c r="AE1236" s="16">
        <f>IF(ISERROR(VLOOKUP($A1236,'13. Updated Demand'!A:Z,22,FALSE)),0,VLOOKUP($A1236,'13. Updated Demand'!A:Z,22,FALSE))</f>
        <v>27.79</v>
      </c>
      <c r="AF1236" s="16">
        <f>IF(ISERROR(VLOOKUP($A1236,'13. Updated Demand'!A:Z,23,FALSE)),0,VLOOKUP($A1236,'13. Updated Demand'!A:Z,23,FALSE))</f>
        <v>19.010000000000002</v>
      </c>
      <c r="AG1236" s="16">
        <f>IF(ISERROR(VLOOKUP($A1236,'13. Updated Demand'!A:Z,24,FALSE)),0,VLOOKUP($A1236,'13. Updated Demand'!A:Z,24,FALSE))</f>
        <v>6.96</v>
      </c>
      <c r="AH1236" s="16">
        <f>IF(ISERROR(VLOOKUP($A1236,'13. Updated Demand'!A:Z,25,FALSE)),0,VLOOKUP($A1236,'13. Updated Demand'!A:Z,25,FALSE))</f>
        <v>0</v>
      </c>
      <c r="AI1236" s="16">
        <f>IF(ISERROR(VLOOKUP($A1236,'13. Updated Demand'!A:Z,26,FALSE)),0,VLOOKUP($A1236,'13. Updated Demand'!A:Z,26,FALSE))</f>
        <v>0</v>
      </c>
      <c r="AJ1236" s="16">
        <f t="shared" si="240"/>
        <v>107.75999999999999</v>
      </c>
      <c r="AK1236" s="19">
        <v>100.81666666666661</v>
      </c>
      <c r="AL1236" s="16">
        <f t="shared" si="238"/>
        <v>0.33439739923580869</v>
      </c>
      <c r="AM1236" s="17">
        <v>0.47005378688762872</v>
      </c>
      <c r="AN1236" s="19"/>
      <c r="AO1236" s="19"/>
      <c r="AP1236" s="19">
        <v>229.3</v>
      </c>
      <c r="AQ1236" s="19" t="s">
        <v>307</v>
      </c>
      <c r="AR1236" s="9" t="s">
        <v>319</v>
      </c>
      <c r="AS1236" s="12">
        <v>0</v>
      </c>
      <c r="AT1236" s="19">
        <v>39.018127759999999</v>
      </c>
      <c r="AU1236" s="19">
        <v>-123.12779135</v>
      </c>
      <c r="AV1236" s="19" t="s">
        <v>387</v>
      </c>
    </row>
    <row r="1237" spans="1:48" x14ac:dyDescent="0.25">
      <c r="A1237" s="18" t="s">
        <v>1616</v>
      </c>
      <c r="B1237" s="10">
        <v>19501113</v>
      </c>
      <c r="C1237" s="9">
        <v>14</v>
      </c>
      <c r="D1237" s="8" t="str">
        <f t="shared" si="229"/>
        <v>N</v>
      </c>
      <c r="E1237" s="8" t="str">
        <f t="shared" si="230"/>
        <v>N</v>
      </c>
      <c r="F1237" s="8" t="str">
        <f t="shared" si="231"/>
        <v>N</v>
      </c>
      <c r="G1237" s="8" t="str">
        <f t="shared" si="232"/>
        <v>N</v>
      </c>
      <c r="H1237" s="8" t="str">
        <f t="shared" si="233"/>
        <v>Lower</v>
      </c>
      <c r="I1237" s="8" t="str">
        <f t="shared" si="234"/>
        <v>Outside</v>
      </c>
      <c r="J1237" s="8" t="str">
        <f t="shared" si="235"/>
        <v>Outside</v>
      </c>
      <c r="K1237" s="8" t="str">
        <f t="shared" si="236"/>
        <v>Post-1949</v>
      </c>
      <c r="L1237" s="8">
        <f t="shared" si="237"/>
        <v>1950</v>
      </c>
      <c r="M1237" s="8" t="str">
        <f t="shared" si="239"/>
        <v>1950-1952</v>
      </c>
      <c r="N1237" s="10" t="s">
        <v>242</v>
      </c>
      <c r="O1237" s="10" t="s">
        <v>242</v>
      </c>
      <c r="P1237" s="10" t="s">
        <v>242</v>
      </c>
      <c r="Q1237" s="10" t="s">
        <v>242</v>
      </c>
      <c r="R1237" s="10" t="s">
        <v>241</v>
      </c>
      <c r="S1237" s="10" t="s">
        <v>242</v>
      </c>
      <c r="T1237" s="10" t="s">
        <v>242</v>
      </c>
      <c r="U1237" s="10" t="s">
        <v>242</v>
      </c>
      <c r="V1237" s="10" t="s">
        <v>242</v>
      </c>
      <c r="W1237" s="10" t="s">
        <v>242</v>
      </c>
      <c r="X1237" s="15">
        <f>IF(ISERROR(VLOOKUP($A1237,'13. Updated Demand'!A:Z,15,FALSE)),0,VLOOKUP($A1237,'13. Updated Demand'!A:Z,15,FALSE))</f>
        <v>0</v>
      </c>
      <c r="Y1237" s="16">
        <f>IF(ISERROR(VLOOKUP($A1237,'13. Updated Demand'!A:Z,16,FALSE)),0,VLOOKUP($A1237,'13. Updated Demand'!A:Z,16,FALSE))</f>
        <v>0</v>
      </c>
      <c r="Z1237" s="16">
        <f>IF(ISERROR(VLOOKUP($A1237,'13. Updated Demand'!A:Z,17,FALSE)),0,VLOOKUP($A1237,'13. Updated Demand'!A:Z,17,FALSE))</f>
        <v>0</v>
      </c>
      <c r="AA1237" s="16">
        <f>IF(ISERROR(VLOOKUP($A1237,'13. Updated Demand'!A:Z,18,FALSE)),0,VLOOKUP($A1237,'13. Updated Demand'!A:Z,18,FALSE))</f>
        <v>6</v>
      </c>
      <c r="AB1237" s="16">
        <f>IF(ISERROR(VLOOKUP($A1237,'13. Updated Demand'!A:Z,19,FALSE)),0,VLOOKUP($A1237,'13. Updated Demand'!A:Z,19,FALSE))</f>
        <v>12</v>
      </c>
      <c r="AC1237" s="16">
        <f>IF(ISERROR(VLOOKUP($A1237,'13. Updated Demand'!A:Z,20,FALSE)),0,VLOOKUP($A1237,'13. Updated Demand'!A:Z,20,FALSE))</f>
        <v>25</v>
      </c>
      <c r="AD1237" s="16">
        <f>IF(ISERROR(VLOOKUP($A1237,'13. Updated Demand'!A:Z,21,FALSE)),0,VLOOKUP($A1237,'13. Updated Demand'!A:Z,21,FALSE))</f>
        <v>25</v>
      </c>
      <c r="AE1237" s="16">
        <f>IF(ISERROR(VLOOKUP($A1237,'13. Updated Demand'!A:Z,22,FALSE)),0,VLOOKUP($A1237,'13. Updated Demand'!A:Z,22,FALSE))</f>
        <v>12</v>
      </c>
      <c r="AF1237" s="16">
        <f>IF(ISERROR(VLOOKUP($A1237,'13. Updated Demand'!A:Z,23,FALSE)),0,VLOOKUP($A1237,'13. Updated Demand'!A:Z,23,FALSE))</f>
        <v>12</v>
      </c>
      <c r="AG1237" s="16">
        <f>IF(ISERROR(VLOOKUP($A1237,'13. Updated Demand'!A:Z,24,FALSE)),0,VLOOKUP($A1237,'13. Updated Demand'!A:Z,24,FALSE))</f>
        <v>6</v>
      </c>
      <c r="AH1237" s="16">
        <f>IF(ISERROR(VLOOKUP($A1237,'13. Updated Demand'!A:Z,25,FALSE)),0,VLOOKUP($A1237,'13. Updated Demand'!A:Z,25,FALSE))</f>
        <v>0</v>
      </c>
      <c r="AI1237" s="16">
        <f>IF(ISERROR(VLOOKUP($A1237,'13. Updated Demand'!A:Z,26,FALSE)),0,VLOOKUP($A1237,'13. Updated Demand'!A:Z,26,FALSE))</f>
        <v>0</v>
      </c>
      <c r="AJ1237" s="16">
        <f t="shared" si="240"/>
        <v>98</v>
      </c>
      <c r="AK1237" s="19">
        <v>86</v>
      </c>
      <c r="AL1237" s="16">
        <f t="shared" si="238"/>
        <v>0.28525220367941378</v>
      </c>
      <c r="AM1237" s="17">
        <v>0.54718034617532108</v>
      </c>
      <c r="AN1237" s="19"/>
      <c r="AO1237" s="19"/>
      <c r="AP1237" s="19">
        <v>179.1</v>
      </c>
      <c r="AQ1237" s="19" t="s">
        <v>307</v>
      </c>
      <c r="AR1237" s="9" t="s">
        <v>493</v>
      </c>
      <c r="AS1237" s="12">
        <v>0</v>
      </c>
      <c r="AT1237" s="19">
        <v>38.70270343</v>
      </c>
      <c r="AU1237" s="19">
        <v>-122.96545229</v>
      </c>
      <c r="AV1237" s="19" t="s">
        <v>701</v>
      </c>
    </row>
    <row r="1238" spans="1:48" x14ac:dyDescent="0.25">
      <c r="A1238" s="18" t="s">
        <v>1617</v>
      </c>
      <c r="B1238" s="10">
        <v>19501114</v>
      </c>
      <c r="C1238" s="9">
        <v>10</v>
      </c>
      <c r="D1238" s="8" t="str">
        <f t="shared" si="229"/>
        <v>N</v>
      </c>
      <c r="E1238" s="8" t="str">
        <f t="shared" si="230"/>
        <v>Y</v>
      </c>
      <c r="F1238" s="8" t="str">
        <f t="shared" si="231"/>
        <v>Y</v>
      </c>
      <c r="G1238" s="8" t="str">
        <f t="shared" si="232"/>
        <v>Y</v>
      </c>
      <c r="H1238" s="8" t="str">
        <f t="shared" si="233"/>
        <v>Upper</v>
      </c>
      <c r="I1238" s="8" t="str">
        <f t="shared" si="234"/>
        <v>West Fork and Below Lake</v>
      </c>
      <c r="J1238" s="8" t="str">
        <f t="shared" si="235"/>
        <v>Sonoma (d/s of Clov. Gage)</v>
      </c>
      <c r="K1238" s="8" t="str">
        <f t="shared" si="236"/>
        <v>Post-1949</v>
      </c>
      <c r="L1238" s="8">
        <f t="shared" si="237"/>
        <v>1950</v>
      </c>
      <c r="M1238" s="8" t="str">
        <f t="shared" si="239"/>
        <v>1950-1952</v>
      </c>
      <c r="N1238" s="10" t="s">
        <v>241</v>
      </c>
      <c r="O1238" s="10" t="s">
        <v>241</v>
      </c>
      <c r="P1238" s="10" t="s">
        <v>242</v>
      </c>
      <c r="Q1238" s="10" t="s">
        <v>242</v>
      </c>
      <c r="R1238" s="10" t="s">
        <v>241</v>
      </c>
      <c r="S1238" s="10" t="s">
        <v>242</v>
      </c>
      <c r="T1238" s="10" t="s">
        <v>242</v>
      </c>
      <c r="U1238" s="10" t="s">
        <v>242</v>
      </c>
      <c r="V1238" s="10" t="s">
        <v>242</v>
      </c>
      <c r="W1238" s="10" t="s">
        <v>242</v>
      </c>
      <c r="X1238" s="15">
        <f>IF(ISERROR(VLOOKUP($A1238,'13. Updated Demand'!A:Z,15,FALSE)),0,VLOOKUP($A1238,'13. Updated Demand'!A:Z,15,FALSE))</f>
        <v>0</v>
      </c>
      <c r="Y1238" s="16">
        <f>IF(ISERROR(VLOOKUP($A1238,'13. Updated Demand'!A:Z,16,FALSE)),0,VLOOKUP($A1238,'13. Updated Demand'!A:Z,16,FALSE))</f>
        <v>7.92</v>
      </c>
      <c r="Z1238" s="16">
        <f>IF(ISERROR(VLOOKUP($A1238,'13. Updated Demand'!A:Z,17,FALSE)),0,VLOOKUP($A1238,'13. Updated Demand'!A:Z,17,FALSE))</f>
        <v>0</v>
      </c>
      <c r="AA1238" s="16">
        <f>IF(ISERROR(VLOOKUP($A1238,'13. Updated Demand'!A:Z,18,FALSE)),0,VLOOKUP($A1238,'13. Updated Demand'!A:Z,18,FALSE))</f>
        <v>0</v>
      </c>
      <c r="AB1238" s="16">
        <f>IF(ISERROR(VLOOKUP($A1238,'13. Updated Demand'!A:Z,19,FALSE)),0,VLOOKUP($A1238,'13. Updated Demand'!A:Z,19,FALSE))</f>
        <v>0</v>
      </c>
      <c r="AC1238" s="16">
        <f>IF(ISERROR(VLOOKUP($A1238,'13. Updated Demand'!A:Z,20,FALSE)),0,VLOOKUP($A1238,'13. Updated Demand'!A:Z,20,FALSE))</f>
        <v>14.48</v>
      </c>
      <c r="AD1238" s="16">
        <f>IF(ISERROR(VLOOKUP($A1238,'13. Updated Demand'!A:Z,21,FALSE)),0,VLOOKUP($A1238,'13. Updated Demand'!A:Z,21,FALSE))</f>
        <v>14.48</v>
      </c>
      <c r="AE1238" s="16">
        <f>IF(ISERROR(VLOOKUP($A1238,'13. Updated Demand'!A:Z,22,FALSE)),0,VLOOKUP($A1238,'13. Updated Demand'!A:Z,22,FALSE))</f>
        <v>14.48</v>
      </c>
      <c r="AF1238" s="16">
        <f>IF(ISERROR(VLOOKUP($A1238,'13. Updated Demand'!A:Z,23,FALSE)),0,VLOOKUP($A1238,'13. Updated Demand'!A:Z,23,FALSE))</f>
        <v>14.48</v>
      </c>
      <c r="AG1238" s="16">
        <f>IF(ISERROR(VLOOKUP($A1238,'13. Updated Demand'!A:Z,24,FALSE)),0,VLOOKUP($A1238,'13. Updated Demand'!A:Z,24,FALSE))</f>
        <v>2</v>
      </c>
      <c r="AH1238" s="16">
        <f>IF(ISERROR(VLOOKUP($A1238,'13. Updated Demand'!A:Z,25,FALSE)),0,VLOOKUP($A1238,'13. Updated Demand'!A:Z,25,FALSE))</f>
        <v>0</v>
      </c>
      <c r="AI1238" s="16">
        <f>IF(ISERROR(VLOOKUP($A1238,'13. Updated Demand'!A:Z,26,FALSE)),0,VLOOKUP($A1238,'13. Updated Demand'!A:Z,26,FALSE))</f>
        <v>0</v>
      </c>
      <c r="AJ1238" s="16">
        <f t="shared" si="240"/>
        <v>67.84</v>
      </c>
      <c r="AK1238" s="19">
        <v>57.92</v>
      </c>
      <c r="AL1238" s="16">
        <f t="shared" si="238"/>
        <v>0.19211404229199588</v>
      </c>
      <c r="AM1238" s="17">
        <v>0.3878978463884124</v>
      </c>
      <c r="AN1238" s="19"/>
      <c r="AO1238" s="19"/>
      <c r="AP1238" s="19">
        <v>174.9</v>
      </c>
      <c r="AQ1238" s="19" t="s">
        <v>307</v>
      </c>
      <c r="AR1238" s="9" t="s">
        <v>436</v>
      </c>
      <c r="AS1238" s="12">
        <v>0</v>
      </c>
      <c r="AT1238" s="19">
        <v>38.69175044</v>
      </c>
      <c r="AU1238" s="19">
        <v>-122.85633405999999</v>
      </c>
      <c r="AV1238" s="19" t="s">
        <v>548</v>
      </c>
    </row>
    <row r="1239" spans="1:48" x14ac:dyDescent="0.25">
      <c r="A1239" s="18" t="s">
        <v>1618</v>
      </c>
      <c r="B1239" s="10">
        <v>19501108</v>
      </c>
      <c r="C1239" s="9">
        <v>10</v>
      </c>
      <c r="D1239" s="8" t="str">
        <f t="shared" si="229"/>
        <v>N</v>
      </c>
      <c r="E1239" s="8" t="str">
        <f t="shared" si="230"/>
        <v>Y</v>
      </c>
      <c r="F1239" s="8" t="str">
        <f t="shared" si="231"/>
        <v>Y</v>
      </c>
      <c r="G1239" s="8" t="str">
        <f t="shared" si="232"/>
        <v>Y</v>
      </c>
      <c r="H1239" s="8" t="str">
        <f t="shared" si="233"/>
        <v>Upper</v>
      </c>
      <c r="I1239" s="8" t="str">
        <f t="shared" si="234"/>
        <v>West Fork and Below Lake</v>
      </c>
      <c r="J1239" s="8" t="str">
        <f t="shared" si="235"/>
        <v>Sonoma (d/s of Clov. Gage)</v>
      </c>
      <c r="K1239" s="8" t="str">
        <f t="shared" si="236"/>
        <v>Post-1949</v>
      </c>
      <c r="L1239" s="8">
        <f t="shared" si="237"/>
        <v>1950</v>
      </c>
      <c r="M1239" s="8" t="str">
        <f t="shared" si="239"/>
        <v>1950-1952</v>
      </c>
      <c r="N1239" s="10" t="s">
        <v>241</v>
      </c>
      <c r="O1239" s="10" t="s">
        <v>241</v>
      </c>
      <c r="P1239" s="10" t="s">
        <v>242</v>
      </c>
      <c r="Q1239" s="10" t="s">
        <v>242</v>
      </c>
      <c r="R1239" s="10" t="s">
        <v>241</v>
      </c>
      <c r="S1239" s="10" t="s">
        <v>242</v>
      </c>
      <c r="T1239" s="10" t="s">
        <v>242</v>
      </c>
      <c r="U1239" s="10" t="s">
        <v>242</v>
      </c>
      <c r="V1239" s="10" t="s">
        <v>242</v>
      </c>
      <c r="W1239" s="10" t="s">
        <v>242</v>
      </c>
      <c r="X1239" s="15">
        <f>IF(ISERROR(VLOOKUP($A1239,'13. Updated Demand'!A:Z,15,FALSE)),0,VLOOKUP($A1239,'13. Updated Demand'!A:Z,15,FALSE))</f>
        <v>0</v>
      </c>
      <c r="Y1239" s="16">
        <f>IF(ISERROR(VLOOKUP($A1239,'13. Updated Demand'!A:Z,16,FALSE)),0,VLOOKUP($A1239,'13. Updated Demand'!A:Z,16,FALSE))</f>
        <v>0</v>
      </c>
      <c r="Z1239" s="16">
        <f>IF(ISERROR(VLOOKUP($A1239,'13. Updated Demand'!A:Z,17,FALSE)),0,VLOOKUP($A1239,'13. Updated Demand'!A:Z,17,FALSE))</f>
        <v>0</v>
      </c>
      <c r="AA1239" s="16">
        <f>IF(ISERROR(VLOOKUP($A1239,'13. Updated Demand'!A:Z,18,FALSE)),0,VLOOKUP($A1239,'13. Updated Demand'!A:Z,18,FALSE))</f>
        <v>0</v>
      </c>
      <c r="AB1239" s="16">
        <f>IF(ISERROR(VLOOKUP($A1239,'13. Updated Demand'!A:Z,19,FALSE)),0,VLOOKUP($A1239,'13. Updated Demand'!A:Z,19,FALSE))</f>
        <v>2.63</v>
      </c>
      <c r="AC1239" s="16">
        <f>IF(ISERROR(VLOOKUP($A1239,'13. Updated Demand'!A:Z,20,FALSE)),0,VLOOKUP($A1239,'13. Updated Demand'!A:Z,20,FALSE))</f>
        <v>11.33</v>
      </c>
      <c r="AD1239" s="16">
        <f>IF(ISERROR(VLOOKUP($A1239,'13. Updated Demand'!A:Z,21,FALSE)),0,VLOOKUP($A1239,'13. Updated Demand'!A:Z,21,FALSE))</f>
        <v>11.1</v>
      </c>
      <c r="AE1239" s="16">
        <f>IF(ISERROR(VLOOKUP($A1239,'13. Updated Demand'!A:Z,22,FALSE)),0,VLOOKUP($A1239,'13. Updated Demand'!A:Z,22,FALSE))</f>
        <v>10.16</v>
      </c>
      <c r="AF1239" s="16">
        <f>IF(ISERROR(VLOOKUP($A1239,'13. Updated Demand'!A:Z,23,FALSE)),0,VLOOKUP($A1239,'13. Updated Demand'!A:Z,23,FALSE))</f>
        <v>5.3</v>
      </c>
      <c r="AG1239" s="16">
        <f>IF(ISERROR(VLOOKUP($A1239,'13. Updated Demand'!A:Z,24,FALSE)),0,VLOOKUP($A1239,'13. Updated Demand'!A:Z,24,FALSE))</f>
        <v>2.4300000000000002</v>
      </c>
      <c r="AH1239" s="16">
        <f>IF(ISERROR(VLOOKUP($A1239,'13. Updated Demand'!A:Z,25,FALSE)),0,VLOOKUP($A1239,'13. Updated Demand'!A:Z,25,FALSE))</f>
        <v>0</v>
      </c>
      <c r="AI1239" s="16">
        <f>IF(ISERROR(VLOOKUP($A1239,'13. Updated Demand'!A:Z,26,FALSE)),0,VLOOKUP($A1239,'13. Updated Demand'!A:Z,26,FALSE))</f>
        <v>0</v>
      </c>
      <c r="AJ1239" s="16">
        <f t="shared" si="240"/>
        <v>42.949999999999996</v>
      </c>
      <c r="AK1239" s="19">
        <v>40.533333333333324</v>
      </c>
      <c r="AL1239" s="16">
        <f t="shared" si="238"/>
        <v>0.13444444948611128</v>
      </c>
      <c r="AM1239" s="17">
        <v>0.12329029172644664</v>
      </c>
      <c r="AN1239" s="19"/>
      <c r="AO1239" s="19"/>
      <c r="AP1239" s="19">
        <v>348.5</v>
      </c>
      <c r="AQ1239" s="19" t="s">
        <v>307</v>
      </c>
      <c r="AR1239" s="9" t="s">
        <v>436</v>
      </c>
      <c r="AS1239" s="12">
        <v>0</v>
      </c>
      <c r="AT1239" s="19">
        <v>38.696356020000003</v>
      </c>
      <c r="AU1239" s="19">
        <v>-122.86479916</v>
      </c>
      <c r="AV1239" s="19" t="s">
        <v>548</v>
      </c>
    </row>
    <row r="1240" spans="1:48" x14ac:dyDescent="0.25">
      <c r="A1240" s="18" t="s">
        <v>1619</v>
      </c>
      <c r="B1240" s="10">
        <v>19501114</v>
      </c>
      <c r="C1240" s="9">
        <v>10</v>
      </c>
      <c r="D1240" s="8" t="str">
        <f t="shared" si="229"/>
        <v>N</v>
      </c>
      <c r="E1240" s="8" t="str">
        <f t="shared" si="230"/>
        <v>Y</v>
      </c>
      <c r="F1240" s="8" t="str">
        <f t="shared" si="231"/>
        <v>Y</v>
      </c>
      <c r="G1240" s="8" t="str">
        <f t="shared" si="232"/>
        <v>Y</v>
      </c>
      <c r="H1240" s="8" t="str">
        <f t="shared" si="233"/>
        <v>Upper</v>
      </c>
      <c r="I1240" s="8" t="str">
        <f t="shared" si="234"/>
        <v>West Fork and Below Lake</v>
      </c>
      <c r="J1240" s="8" t="str">
        <f t="shared" si="235"/>
        <v>Sonoma (d/s of Clov. Gage)</v>
      </c>
      <c r="K1240" s="8" t="str">
        <f t="shared" si="236"/>
        <v>Post-1949</v>
      </c>
      <c r="L1240" s="8">
        <f t="shared" si="237"/>
        <v>1950</v>
      </c>
      <c r="M1240" s="8" t="str">
        <f t="shared" si="239"/>
        <v>1950-1952</v>
      </c>
      <c r="N1240" s="10" t="s">
        <v>241</v>
      </c>
      <c r="O1240" s="10" t="s">
        <v>241</v>
      </c>
      <c r="P1240" s="10" t="s">
        <v>242</v>
      </c>
      <c r="Q1240" s="10" t="s">
        <v>242</v>
      </c>
      <c r="R1240" s="10" t="s">
        <v>241</v>
      </c>
      <c r="S1240" s="10" t="s">
        <v>242</v>
      </c>
      <c r="T1240" s="10" t="s">
        <v>242</v>
      </c>
      <c r="U1240" s="10" t="s">
        <v>242</v>
      </c>
      <c r="V1240" s="10" t="s">
        <v>242</v>
      </c>
      <c r="W1240" s="10" t="s">
        <v>242</v>
      </c>
      <c r="X1240" s="15">
        <f>IF(ISERROR(VLOOKUP($A1240,'13. Updated Demand'!A:Z,15,FALSE)),0,VLOOKUP($A1240,'13. Updated Demand'!A:Z,15,FALSE))</f>
        <v>0</v>
      </c>
      <c r="Y1240" s="16">
        <f>IF(ISERROR(VLOOKUP($A1240,'13. Updated Demand'!A:Z,16,FALSE)),0,VLOOKUP($A1240,'13. Updated Demand'!A:Z,16,FALSE))</f>
        <v>15.73</v>
      </c>
      <c r="Z1240" s="16">
        <f>IF(ISERROR(VLOOKUP($A1240,'13. Updated Demand'!A:Z,17,FALSE)),0,VLOOKUP($A1240,'13. Updated Demand'!A:Z,17,FALSE))</f>
        <v>0</v>
      </c>
      <c r="AA1240" s="16">
        <f>IF(ISERROR(VLOOKUP($A1240,'13. Updated Demand'!A:Z,18,FALSE)),0,VLOOKUP($A1240,'13. Updated Demand'!A:Z,18,FALSE))</f>
        <v>0</v>
      </c>
      <c r="AB1240" s="16">
        <f>IF(ISERROR(VLOOKUP($A1240,'13. Updated Demand'!A:Z,19,FALSE)),0,VLOOKUP($A1240,'13. Updated Demand'!A:Z,19,FALSE))</f>
        <v>0</v>
      </c>
      <c r="AC1240" s="16">
        <f>IF(ISERROR(VLOOKUP($A1240,'13. Updated Demand'!A:Z,20,FALSE)),0,VLOOKUP($A1240,'13. Updated Demand'!A:Z,20,FALSE))</f>
        <v>8.57</v>
      </c>
      <c r="AD1240" s="16">
        <f>IF(ISERROR(VLOOKUP($A1240,'13. Updated Demand'!A:Z,21,FALSE)),0,VLOOKUP($A1240,'13. Updated Demand'!A:Z,21,FALSE))</f>
        <v>8.57</v>
      </c>
      <c r="AE1240" s="16">
        <f>IF(ISERROR(VLOOKUP($A1240,'13. Updated Demand'!A:Z,22,FALSE)),0,VLOOKUP($A1240,'13. Updated Demand'!A:Z,22,FALSE))</f>
        <v>8.57</v>
      </c>
      <c r="AF1240" s="16">
        <f>IF(ISERROR(VLOOKUP($A1240,'13. Updated Demand'!A:Z,23,FALSE)),0,VLOOKUP($A1240,'13. Updated Demand'!A:Z,23,FALSE))</f>
        <v>8.57</v>
      </c>
      <c r="AG1240" s="16">
        <f>IF(ISERROR(VLOOKUP($A1240,'13. Updated Demand'!A:Z,24,FALSE)),0,VLOOKUP($A1240,'13. Updated Demand'!A:Z,24,FALSE))</f>
        <v>0</v>
      </c>
      <c r="AH1240" s="16">
        <f>IF(ISERROR(VLOOKUP($A1240,'13. Updated Demand'!A:Z,25,FALSE)),0,VLOOKUP($A1240,'13. Updated Demand'!A:Z,25,FALSE))</f>
        <v>0</v>
      </c>
      <c r="AI1240" s="16">
        <f>IF(ISERROR(VLOOKUP($A1240,'13. Updated Demand'!A:Z,26,FALSE)),0,VLOOKUP($A1240,'13. Updated Demand'!A:Z,26,FALSE))</f>
        <v>0</v>
      </c>
      <c r="AJ1240" s="16">
        <f t="shared" si="240"/>
        <v>50.010000000000005</v>
      </c>
      <c r="AK1240" s="19">
        <v>34.28</v>
      </c>
      <c r="AL1240" s="16">
        <f t="shared" si="238"/>
        <v>0.11370285514105005</v>
      </c>
      <c r="AM1240" s="17">
        <v>0.80154914529914589</v>
      </c>
      <c r="AN1240" s="19"/>
      <c r="AO1240" s="19"/>
      <c r="AP1240" s="19">
        <v>62.4</v>
      </c>
      <c r="AQ1240" s="19" t="s">
        <v>307</v>
      </c>
      <c r="AR1240" s="9" t="s">
        <v>436</v>
      </c>
      <c r="AS1240" s="12">
        <v>0</v>
      </c>
      <c r="AT1240" s="19">
        <v>38.667238879999999</v>
      </c>
      <c r="AU1240" s="19">
        <v>-122.82836881999999</v>
      </c>
      <c r="AV1240" s="19" t="s">
        <v>548</v>
      </c>
    </row>
    <row r="1241" spans="1:48" x14ac:dyDescent="0.25">
      <c r="A1241" s="18" t="s">
        <v>168</v>
      </c>
      <c r="B1241" s="10">
        <v>19500524</v>
      </c>
      <c r="C1241" s="9">
        <v>6</v>
      </c>
      <c r="D1241" s="8" t="str">
        <f t="shared" si="229"/>
        <v>Y</v>
      </c>
      <c r="E1241" s="8" t="str">
        <f t="shared" si="230"/>
        <v>N</v>
      </c>
      <c r="F1241" s="8" t="str">
        <f t="shared" si="231"/>
        <v>Y</v>
      </c>
      <c r="G1241" s="8" t="str">
        <f t="shared" si="232"/>
        <v>Y</v>
      </c>
      <c r="H1241" s="8" t="str">
        <f t="shared" si="233"/>
        <v>Upper</v>
      </c>
      <c r="I1241" s="8" t="str">
        <f t="shared" si="234"/>
        <v>West Fork and Below Lake</v>
      </c>
      <c r="J1241" s="8" t="str">
        <f t="shared" si="235"/>
        <v>Mendocino (d/s of lake)</v>
      </c>
      <c r="K1241" s="8" t="str">
        <f t="shared" si="236"/>
        <v>Post-1949</v>
      </c>
      <c r="L1241" s="8">
        <f t="shared" si="237"/>
        <v>1950</v>
      </c>
      <c r="M1241" s="8" t="str">
        <f t="shared" si="239"/>
        <v>1950-1952</v>
      </c>
      <c r="N1241" s="10" t="s">
        <v>241</v>
      </c>
      <c r="O1241" s="10" t="s">
        <v>241</v>
      </c>
      <c r="P1241" s="10" t="s">
        <v>242</v>
      </c>
      <c r="Q1241" s="10" t="s">
        <v>242</v>
      </c>
      <c r="R1241" s="10" t="s">
        <v>241</v>
      </c>
      <c r="S1241" s="10" t="s">
        <v>242</v>
      </c>
      <c r="T1241" s="10" t="s">
        <v>242</v>
      </c>
      <c r="U1241" s="10" t="s">
        <v>242</v>
      </c>
      <c r="V1241" s="10" t="s">
        <v>242</v>
      </c>
      <c r="W1241" s="10" t="s">
        <v>242</v>
      </c>
      <c r="X1241" s="15">
        <f>IF(ISERROR(VLOOKUP($A1241,'13. Updated Demand'!A:Z,15,FALSE)),0,VLOOKUP($A1241,'13. Updated Demand'!A:Z,15,FALSE))</f>
        <v>0</v>
      </c>
      <c r="Y1241" s="16">
        <f>IF(ISERROR(VLOOKUP($A1241,'13. Updated Demand'!A:Z,16,FALSE)),0,VLOOKUP($A1241,'13. Updated Demand'!A:Z,16,FALSE))</f>
        <v>0</v>
      </c>
      <c r="Z1241" s="16">
        <f>IF(ISERROR(VLOOKUP($A1241,'13. Updated Demand'!A:Z,17,FALSE)),0,VLOOKUP($A1241,'13. Updated Demand'!A:Z,17,FALSE))</f>
        <v>0</v>
      </c>
      <c r="AA1241" s="16">
        <f>IF(ISERROR(VLOOKUP($A1241,'13. Updated Demand'!A:Z,18,FALSE)),0,VLOOKUP($A1241,'13. Updated Demand'!A:Z,18,FALSE))</f>
        <v>0</v>
      </c>
      <c r="AB1241" s="16">
        <f>IF(ISERROR(VLOOKUP($A1241,'13. Updated Demand'!A:Z,19,FALSE)),0,VLOOKUP($A1241,'13. Updated Demand'!A:Z,19,FALSE))</f>
        <v>1.97</v>
      </c>
      <c r="AC1241" s="16">
        <f>IF(ISERROR(VLOOKUP($A1241,'13. Updated Demand'!A:Z,20,FALSE)),0,VLOOKUP($A1241,'13. Updated Demand'!A:Z,20,FALSE))</f>
        <v>4.58</v>
      </c>
      <c r="AD1241" s="16">
        <f>IF(ISERROR(VLOOKUP($A1241,'13. Updated Demand'!A:Z,21,FALSE)),0,VLOOKUP($A1241,'13. Updated Demand'!A:Z,21,FALSE))</f>
        <v>12.33</v>
      </c>
      <c r="AE1241" s="16">
        <f>IF(ISERROR(VLOOKUP($A1241,'13. Updated Demand'!A:Z,22,FALSE)),0,VLOOKUP($A1241,'13. Updated Demand'!A:Z,22,FALSE))</f>
        <v>5.52</v>
      </c>
      <c r="AF1241" s="16">
        <f>IF(ISERROR(VLOOKUP($A1241,'13. Updated Demand'!A:Z,23,FALSE)),0,VLOOKUP($A1241,'13. Updated Demand'!A:Z,23,FALSE))</f>
        <v>7.83</v>
      </c>
      <c r="AG1241" s="16">
        <f>IF(ISERROR(VLOOKUP($A1241,'13. Updated Demand'!A:Z,24,FALSE)),0,VLOOKUP($A1241,'13. Updated Demand'!A:Z,24,FALSE))</f>
        <v>0.35</v>
      </c>
      <c r="AH1241" s="16">
        <f>IF(ISERROR(VLOOKUP($A1241,'13. Updated Demand'!A:Z,25,FALSE)),0,VLOOKUP($A1241,'13. Updated Demand'!A:Z,25,FALSE))</f>
        <v>0</v>
      </c>
      <c r="AI1241" s="16">
        <f>IF(ISERROR(VLOOKUP($A1241,'13. Updated Demand'!A:Z,26,FALSE)),0,VLOOKUP($A1241,'13. Updated Demand'!A:Z,26,FALSE))</f>
        <v>0</v>
      </c>
      <c r="AJ1241" s="16">
        <f t="shared" si="240"/>
        <v>32.58</v>
      </c>
      <c r="AK1241" s="19">
        <v>32.246666666666698</v>
      </c>
      <c r="AL1241" s="16">
        <f t="shared" si="238"/>
        <v>0.10695852009281595</v>
      </c>
      <c r="AM1241" s="17">
        <v>0.37648190916089341</v>
      </c>
      <c r="AN1241" s="19"/>
      <c r="AO1241" s="19"/>
      <c r="AP1241" s="19">
        <v>86.6</v>
      </c>
      <c r="AQ1241" s="19" t="s">
        <v>307</v>
      </c>
      <c r="AR1241" s="9" t="s">
        <v>319</v>
      </c>
      <c r="AS1241" s="12">
        <v>0</v>
      </c>
      <c r="AT1241" s="19">
        <v>38.961497459999997</v>
      </c>
      <c r="AU1241" s="19">
        <v>-123.10578873999999</v>
      </c>
      <c r="AV1241" s="19" t="s">
        <v>387</v>
      </c>
    </row>
    <row r="1242" spans="1:48" x14ac:dyDescent="0.25">
      <c r="A1242" s="18" t="s">
        <v>1620</v>
      </c>
      <c r="B1242" s="10">
        <v>19501114</v>
      </c>
      <c r="C1242" s="9">
        <v>10</v>
      </c>
      <c r="D1242" s="8" t="str">
        <f t="shared" si="229"/>
        <v>N</v>
      </c>
      <c r="E1242" s="8" t="str">
        <f t="shared" si="230"/>
        <v>Y</v>
      </c>
      <c r="F1242" s="8" t="str">
        <f t="shared" si="231"/>
        <v>Y</v>
      </c>
      <c r="G1242" s="8" t="str">
        <f t="shared" si="232"/>
        <v>Y</v>
      </c>
      <c r="H1242" s="8" t="str">
        <f t="shared" si="233"/>
        <v>Upper</v>
      </c>
      <c r="I1242" s="8" t="str">
        <f t="shared" si="234"/>
        <v>West Fork and Below Lake</v>
      </c>
      <c r="J1242" s="8" t="str">
        <f t="shared" si="235"/>
        <v>Sonoma (d/s of Clov. Gage)</v>
      </c>
      <c r="K1242" s="8" t="str">
        <f t="shared" si="236"/>
        <v>Post-1949</v>
      </c>
      <c r="L1242" s="8">
        <f t="shared" si="237"/>
        <v>1950</v>
      </c>
      <c r="M1242" s="8" t="str">
        <f t="shared" si="239"/>
        <v>1950-1952</v>
      </c>
      <c r="N1242" s="10" t="s">
        <v>241</v>
      </c>
      <c r="O1242" s="10" t="s">
        <v>241</v>
      </c>
      <c r="P1242" s="10" t="s">
        <v>242</v>
      </c>
      <c r="Q1242" s="10" t="s">
        <v>242</v>
      </c>
      <c r="R1242" s="10" t="s">
        <v>241</v>
      </c>
      <c r="S1242" s="10" t="s">
        <v>242</v>
      </c>
      <c r="T1242" s="10" t="s">
        <v>242</v>
      </c>
      <c r="U1242" s="10" t="s">
        <v>242</v>
      </c>
      <c r="V1242" s="10" t="s">
        <v>242</v>
      </c>
      <c r="W1242" s="10" t="s">
        <v>242</v>
      </c>
      <c r="X1242" s="15">
        <f>IF(ISERROR(VLOOKUP($A1242,'13. Updated Demand'!A:Z,15,FALSE)),0,VLOOKUP($A1242,'13. Updated Demand'!A:Z,15,FALSE))</f>
        <v>0</v>
      </c>
      <c r="Y1242" s="16">
        <f>IF(ISERROR(VLOOKUP($A1242,'13. Updated Demand'!A:Z,16,FALSE)),0,VLOOKUP($A1242,'13. Updated Demand'!A:Z,16,FALSE))</f>
        <v>0</v>
      </c>
      <c r="Z1242" s="16">
        <f>IF(ISERROR(VLOOKUP($A1242,'13. Updated Demand'!A:Z,17,FALSE)),0,VLOOKUP($A1242,'13. Updated Demand'!A:Z,17,FALSE))</f>
        <v>0</v>
      </c>
      <c r="AA1242" s="16">
        <f>IF(ISERROR(VLOOKUP($A1242,'13. Updated Demand'!A:Z,18,FALSE)),0,VLOOKUP($A1242,'13. Updated Demand'!A:Z,18,FALSE))</f>
        <v>0.13</v>
      </c>
      <c r="AB1242" s="16">
        <f>IF(ISERROR(VLOOKUP($A1242,'13. Updated Demand'!A:Z,19,FALSE)),0,VLOOKUP($A1242,'13. Updated Demand'!A:Z,19,FALSE))</f>
        <v>0.43</v>
      </c>
      <c r="AC1242" s="16">
        <f>IF(ISERROR(VLOOKUP($A1242,'13. Updated Demand'!A:Z,20,FALSE)),0,VLOOKUP($A1242,'13. Updated Demand'!A:Z,20,FALSE))</f>
        <v>4.41</v>
      </c>
      <c r="AD1242" s="16">
        <f>IF(ISERROR(VLOOKUP($A1242,'13. Updated Demand'!A:Z,21,FALSE)),0,VLOOKUP($A1242,'13. Updated Demand'!A:Z,21,FALSE))</f>
        <v>7.58</v>
      </c>
      <c r="AE1242" s="16">
        <f>IF(ISERROR(VLOOKUP($A1242,'13. Updated Demand'!A:Z,22,FALSE)),0,VLOOKUP($A1242,'13. Updated Demand'!A:Z,22,FALSE))</f>
        <v>7.54</v>
      </c>
      <c r="AF1242" s="16">
        <f>IF(ISERROR(VLOOKUP($A1242,'13. Updated Demand'!A:Z,23,FALSE)),0,VLOOKUP($A1242,'13. Updated Demand'!A:Z,23,FALSE))</f>
        <v>4.54</v>
      </c>
      <c r="AG1242" s="16">
        <f>IF(ISERROR(VLOOKUP($A1242,'13. Updated Demand'!A:Z,24,FALSE)),0,VLOOKUP($A1242,'13. Updated Demand'!A:Z,24,FALSE))</f>
        <v>1.28</v>
      </c>
      <c r="AH1242" s="16">
        <f>IF(ISERROR(VLOOKUP($A1242,'13. Updated Demand'!A:Z,25,FALSE)),0,VLOOKUP($A1242,'13. Updated Demand'!A:Z,25,FALSE))</f>
        <v>0.05</v>
      </c>
      <c r="AI1242" s="16">
        <f>IF(ISERROR(VLOOKUP($A1242,'13. Updated Demand'!A:Z,26,FALSE)),0,VLOOKUP($A1242,'13. Updated Demand'!A:Z,26,FALSE))</f>
        <v>0</v>
      </c>
      <c r="AJ1242" s="16">
        <f t="shared" si="240"/>
        <v>25.96</v>
      </c>
      <c r="AK1242" s="19">
        <v>24.513483000000008</v>
      </c>
      <c r="AL1242" s="16">
        <f t="shared" si="238"/>
        <v>8.1308430762881981E-2</v>
      </c>
      <c r="AM1242" s="17">
        <v>0.19811902439024398</v>
      </c>
      <c r="AN1242" s="19"/>
      <c r="AO1242" s="19"/>
      <c r="AP1242" s="19">
        <v>131.19999999999999</v>
      </c>
      <c r="AQ1242" s="19" t="s">
        <v>307</v>
      </c>
      <c r="AR1242" s="9" t="s">
        <v>436</v>
      </c>
      <c r="AS1242" s="12">
        <v>0</v>
      </c>
      <c r="AT1242" s="19">
        <v>38.687095499999998</v>
      </c>
      <c r="AU1242" s="19">
        <v>-122.85452632000001</v>
      </c>
      <c r="AV1242" s="19" t="s">
        <v>548</v>
      </c>
    </row>
    <row r="1243" spans="1:48" x14ac:dyDescent="0.25">
      <c r="A1243" s="18" t="s">
        <v>1621</v>
      </c>
      <c r="B1243" s="10">
        <v>19501114</v>
      </c>
      <c r="C1243" s="9">
        <v>15</v>
      </c>
      <c r="D1243" s="8" t="str">
        <f t="shared" si="229"/>
        <v>N</v>
      </c>
      <c r="E1243" s="8" t="str">
        <f t="shared" si="230"/>
        <v>N</v>
      </c>
      <c r="F1243" s="8" t="str">
        <f t="shared" si="231"/>
        <v>N</v>
      </c>
      <c r="G1243" s="8" t="str">
        <f t="shared" si="232"/>
        <v>N</v>
      </c>
      <c r="H1243" s="8" t="str">
        <f t="shared" si="233"/>
        <v>Lower</v>
      </c>
      <c r="I1243" s="8" t="str">
        <f t="shared" si="234"/>
        <v>Outside</v>
      </c>
      <c r="J1243" s="8" t="str">
        <f t="shared" si="235"/>
        <v>Outside</v>
      </c>
      <c r="K1243" s="8" t="str">
        <f t="shared" si="236"/>
        <v>Post-1949</v>
      </c>
      <c r="L1243" s="8">
        <f t="shared" si="237"/>
        <v>1950</v>
      </c>
      <c r="M1243" s="8" t="str">
        <f t="shared" si="239"/>
        <v>1950-1952</v>
      </c>
      <c r="N1243" s="10" t="s">
        <v>242</v>
      </c>
      <c r="O1243" s="10" t="s">
        <v>242</v>
      </c>
      <c r="P1243" s="10" t="s">
        <v>242</v>
      </c>
      <c r="Q1243" s="10" t="s">
        <v>242</v>
      </c>
      <c r="R1243" s="10" t="s">
        <v>241</v>
      </c>
      <c r="S1243" s="10" t="s">
        <v>242</v>
      </c>
      <c r="T1243" s="10" t="s">
        <v>242</v>
      </c>
      <c r="U1243" s="10" t="s">
        <v>242</v>
      </c>
      <c r="V1243" s="10" t="s">
        <v>242</v>
      </c>
      <c r="W1243" s="10" t="s">
        <v>242</v>
      </c>
      <c r="X1243" s="15">
        <f>IF(ISERROR(VLOOKUP($A1243,'13. Updated Demand'!A:Z,15,FALSE)),0,VLOOKUP($A1243,'13. Updated Demand'!A:Z,15,FALSE))</f>
        <v>0</v>
      </c>
      <c r="Y1243" s="16">
        <f>IF(ISERROR(VLOOKUP($A1243,'13. Updated Demand'!A:Z,16,FALSE)),0,VLOOKUP($A1243,'13. Updated Demand'!A:Z,16,FALSE))</f>
        <v>0</v>
      </c>
      <c r="Z1243" s="16">
        <f>IF(ISERROR(VLOOKUP($A1243,'13. Updated Demand'!A:Z,17,FALSE)),0,VLOOKUP($A1243,'13. Updated Demand'!A:Z,17,FALSE))</f>
        <v>0</v>
      </c>
      <c r="AA1243" s="16">
        <f>IF(ISERROR(VLOOKUP($A1243,'13. Updated Demand'!A:Z,18,FALSE)),0,VLOOKUP($A1243,'13. Updated Demand'!A:Z,18,FALSE))</f>
        <v>4</v>
      </c>
      <c r="AB1243" s="16">
        <f>IF(ISERROR(VLOOKUP($A1243,'13. Updated Demand'!A:Z,19,FALSE)),0,VLOOKUP($A1243,'13. Updated Demand'!A:Z,19,FALSE))</f>
        <v>5</v>
      </c>
      <c r="AC1243" s="16">
        <f>IF(ISERROR(VLOOKUP($A1243,'13. Updated Demand'!A:Z,20,FALSE)),0,VLOOKUP($A1243,'13. Updated Demand'!A:Z,20,FALSE))</f>
        <v>5.3333333329999997</v>
      </c>
      <c r="AD1243" s="16">
        <f>IF(ISERROR(VLOOKUP($A1243,'13. Updated Demand'!A:Z,21,FALSE)),0,VLOOKUP($A1243,'13. Updated Demand'!A:Z,21,FALSE))</f>
        <v>3.3333333330000001</v>
      </c>
      <c r="AE1243" s="16">
        <f>IF(ISERROR(VLOOKUP($A1243,'13. Updated Demand'!A:Z,22,FALSE)),0,VLOOKUP($A1243,'13. Updated Demand'!A:Z,22,FALSE))</f>
        <v>5.6666666670000003</v>
      </c>
      <c r="AF1243" s="16">
        <f>IF(ISERROR(VLOOKUP($A1243,'13. Updated Demand'!A:Z,23,FALSE)),0,VLOOKUP($A1243,'13. Updated Demand'!A:Z,23,FALSE))</f>
        <v>5</v>
      </c>
      <c r="AG1243" s="16">
        <f>IF(ISERROR(VLOOKUP($A1243,'13. Updated Demand'!A:Z,24,FALSE)),0,VLOOKUP($A1243,'13. Updated Demand'!A:Z,24,FALSE))</f>
        <v>5.3333333329999997</v>
      </c>
      <c r="AH1243" s="16">
        <f>IF(ISERROR(VLOOKUP($A1243,'13. Updated Demand'!A:Z,25,FALSE)),0,VLOOKUP($A1243,'13. Updated Demand'!A:Z,25,FALSE))</f>
        <v>2.6666666669999999</v>
      </c>
      <c r="AI1243" s="16">
        <f>IF(ISERROR(VLOOKUP($A1243,'13. Updated Demand'!A:Z,26,FALSE)),0,VLOOKUP($A1243,'13. Updated Demand'!A:Z,26,FALSE))</f>
        <v>0</v>
      </c>
      <c r="AJ1243" s="16">
        <f t="shared" si="240"/>
        <v>36.333333332999999</v>
      </c>
      <c r="AK1243" s="19">
        <v>24.333333333333329</v>
      </c>
      <c r="AL1243" s="16">
        <f t="shared" si="238"/>
        <v>8.0710894839524039E-2</v>
      </c>
      <c r="AM1243" s="17">
        <v>0.14440911499735026</v>
      </c>
      <c r="AN1243" s="19"/>
      <c r="AO1243" s="19"/>
      <c r="AP1243" s="19">
        <v>251.6</v>
      </c>
      <c r="AQ1243" s="19" t="s">
        <v>307</v>
      </c>
      <c r="AR1243" s="9" t="s">
        <v>489</v>
      </c>
      <c r="AS1243" s="12">
        <v>0</v>
      </c>
      <c r="AT1243" s="19">
        <v>38.662309749999999</v>
      </c>
      <c r="AU1243" s="19">
        <v>-122.93513474</v>
      </c>
      <c r="AV1243" s="19" t="s">
        <v>701</v>
      </c>
    </row>
    <row r="1244" spans="1:48" x14ac:dyDescent="0.25">
      <c r="A1244" s="18" t="s">
        <v>113</v>
      </c>
      <c r="B1244" s="10">
        <v>19500731</v>
      </c>
      <c r="C1244" s="9">
        <v>12</v>
      </c>
      <c r="D1244" s="8" t="str">
        <f t="shared" si="229"/>
        <v>N</v>
      </c>
      <c r="E1244" s="8" t="str">
        <f t="shared" si="230"/>
        <v>Y</v>
      </c>
      <c r="F1244" s="8" t="str">
        <f t="shared" si="231"/>
        <v>Y</v>
      </c>
      <c r="G1244" s="8" t="str">
        <f t="shared" si="232"/>
        <v>Y</v>
      </c>
      <c r="H1244" s="8" t="str">
        <f t="shared" si="233"/>
        <v>Upper</v>
      </c>
      <c r="I1244" s="8" t="str">
        <f t="shared" si="234"/>
        <v>West Fork and Below Lake</v>
      </c>
      <c r="J1244" s="8" t="str">
        <f t="shared" si="235"/>
        <v>Sonoma (d/s of Clov. Gage)</v>
      </c>
      <c r="K1244" s="8" t="str">
        <f t="shared" si="236"/>
        <v>Post-1949</v>
      </c>
      <c r="L1244" s="8">
        <f t="shared" si="237"/>
        <v>1950</v>
      </c>
      <c r="M1244" s="8" t="str">
        <f t="shared" si="239"/>
        <v>1950-1952</v>
      </c>
      <c r="N1244" s="10" t="s">
        <v>241</v>
      </c>
      <c r="O1244" s="10" t="s">
        <v>241</v>
      </c>
      <c r="P1244" s="10" t="s">
        <v>242</v>
      </c>
      <c r="Q1244" s="10" t="s">
        <v>242</v>
      </c>
      <c r="R1244" s="10" t="s">
        <v>241</v>
      </c>
      <c r="S1244" s="10" t="s">
        <v>242</v>
      </c>
      <c r="T1244" s="10" t="s">
        <v>242</v>
      </c>
      <c r="U1244" s="10" t="s">
        <v>242</v>
      </c>
      <c r="V1244" s="10" t="s">
        <v>242</v>
      </c>
      <c r="W1244" s="10" t="s">
        <v>242</v>
      </c>
      <c r="X1244" s="15">
        <f>IF(ISERROR(VLOOKUP($A1244,'13. Updated Demand'!A:Z,15,FALSE)),0,VLOOKUP($A1244,'13. Updated Demand'!A:Z,15,FALSE))</f>
        <v>0.16</v>
      </c>
      <c r="Y1244" s="16">
        <f>IF(ISERROR(VLOOKUP($A1244,'13. Updated Demand'!A:Z,16,FALSE)),0,VLOOKUP($A1244,'13. Updated Demand'!A:Z,16,FALSE))</f>
        <v>0.01</v>
      </c>
      <c r="Z1244" s="16">
        <f>IF(ISERROR(VLOOKUP($A1244,'13. Updated Demand'!A:Z,17,FALSE)),0,VLOOKUP($A1244,'13. Updated Demand'!A:Z,17,FALSE))</f>
        <v>1.1200000000000001</v>
      </c>
      <c r="AA1244" s="16">
        <f>IF(ISERROR(VLOOKUP($A1244,'13. Updated Demand'!A:Z,18,FALSE)),0,VLOOKUP($A1244,'13. Updated Demand'!A:Z,18,FALSE))</f>
        <v>1.29</v>
      </c>
      <c r="AB1244" s="16">
        <f>IF(ISERROR(VLOOKUP($A1244,'13. Updated Demand'!A:Z,19,FALSE)),0,VLOOKUP($A1244,'13. Updated Demand'!A:Z,19,FALSE))</f>
        <v>0.91</v>
      </c>
      <c r="AC1244" s="16">
        <f>IF(ISERROR(VLOOKUP($A1244,'13. Updated Demand'!A:Z,20,FALSE)),0,VLOOKUP($A1244,'13. Updated Demand'!A:Z,20,FALSE))</f>
        <v>2.13</v>
      </c>
      <c r="AD1244" s="16">
        <f>IF(ISERROR(VLOOKUP($A1244,'13. Updated Demand'!A:Z,21,FALSE)),0,VLOOKUP($A1244,'13. Updated Demand'!A:Z,21,FALSE))</f>
        <v>7.37</v>
      </c>
      <c r="AE1244" s="16">
        <f>IF(ISERROR(VLOOKUP($A1244,'13. Updated Demand'!A:Z,22,FALSE)),0,VLOOKUP($A1244,'13. Updated Demand'!A:Z,22,FALSE))</f>
        <v>8.91</v>
      </c>
      <c r="AF1244" s="16">
        <f>IF(ISERROR(VLOOKUP($A1244,'13. Updated Demand'!A:Z,23,FALSE)),0,VLOOKUP($A1244,'13. Updated Demand'!A:Z,23,FALSE))</f>
        <v>4.55</v>
      </c>
      <c r="AG1244" s="16">
        <f>IF(ISERROR(VLOOKUP($A1244,'13. Updated Demand'!A:Z,24,FALSE)),0,VLOOKUP($A1244,'13. Updated Demand'!A:Z,24,FALSE))</f>
        <v>1.64</v>
      </c>
      <c r="AH1244" s="16">
        <f>IF(ISERROR(VLOOKUP($A1244,'13. Updated Demand'!A:Z,25,FALSE)),0,VLOOKUP($A1244,'13. Updated Demand'!A:Z,25,FALSE))</f>
        <v>15.92</v>
      </c>
      <c r="AI1244" s="16">
        <f>IF(ISERROR(VLOOKUP($A1244,'13. Updated Demand'!A:Z,26,FALSE)),0,VLOOKUP($A1244,'13. Updated Demand'!A:Z,26,FALSE))</f>
        <v>0.02</v>
      </c>
      <c r="AJ1244" s="16">
        <f t="shared" si="240"/>
        <v>44.03</v>
      </c>
      <c r="AK1244" s="19">
        <v>23.903277999999993</v>
      </c>
      <c r="AL1244" s="16">
        <f t="shared" si="238"/>
        <v>7.9284450286763355E-2</v>
      </c>
      <c r="AM1244" s="17">
        <v>0.17017502508683888</v>
      </c>
      <c r="AN1244" s="19"/>
      <c r="AO1244" s="19"/>
      <c r="AP1244" s="19">
        <v>259.10000000000002</v>
      </c>
      <c r="AQ1244" s="19" t="s">
        <v>307</v>
      </c>
      <c r="AR1244" s="9" t="s">
        <v>311</v>
      </c>
      <c r="AS1244" s="12">
        <v>0</v>
      </c>
      <c r="AT1244" s="19">
        <v>38.60905691</v>
      </c>
      <c r="AU1244" s="19">
        <v>-122.78394606000001</v>
      </c>
      <c r="AV1244" s="19" t="s">
        <v>387</v>
      </c>
    </row>
    <row r="1245" spans="1:48" x14ac:dyDescent="0.25">
      <c r="A1245" s="18" t="s">
        <v>1622</v>
      </c>
      <c r="B1245" s="10">
        <v>19501108</v>
      </c>
      <c r="C1245" s="9">
        <v>10</v>
      </c>
      <c r="D1245" s="8" t="str">
        <f t="shared" si="229"/>
        <v>N</v>
      </c>
      <c r="E1245" s="8" t="str">
        <f t="shared" si="230"/>
        <v>Y</v>
      </c>
      <c r="F1245" s="8" t="str">
        <f t="shared" si="231"/>
        <v>Y</v>
      </c>
      <c r="G1245" s="8" t="str">
        <f t="shared" si="232"/>
        <v>Y</v>
      </c>
      <c r="H1245" s="8" t="str">
        <f t="shared" si="233"/>
        <v>Upper</v>
      </c>
      <c r="I1245" s="8" t="str">
        <f t="shared" si="234"/>
        <v>West Fork and Below Lake</v>
      </c>
      <c r="J1245" s="8" t="str">
        <f t="shared" si="235"/>
        <v>Sonoma (d/s of Clov. Gage)</v>
      </c>
      <c r="K1245" s="8" t="str">
        <f t="shared" si="236"/>
        <v>Post-1949</v>
      </c>
      <c r="L1245" s="8">
        <f t="shared" si="237"/>
        <v>1950</v>
      </c>
      <c r="M1245" s="8" t="str">
        <f t="shared" si="239"/>
        <v>1950-1952</v>
      </c>
      <c r="N1245" s="10" t="s">
        <v>241</v>
      </c>
      <c r="O1245" s="10" t="s">
        <v>241</v>
      </c>
      <c r="P1245" s="10" t="s">
        <v>242</v>
      </c>
      <c r="Q1245" s="10" t="s">
        <v>242</v>
      </c>
      <c r="R1245" s="10" t="s">
        <v>241</v>
      </c>
      <c r="S1245" s="10" t="s">
        <v>242</v>
      </c>
      <c r="T1245" s="10" t="s">
        <v>242</v>
      </c>
      <c r="U1245" s="10" t="s">
        <v>242</v>
      </c>
      <c r="V1245" s="10" t="s">
        <v>242</v>
      </c>
      <c r="W1245" s="10" t="s">
        <v>242</v>
      </c>
      <c r="X1245" s="15">
        <f>IF(ISERROR(VLOOKUP($A1245,'13. Updated Demand'!A:Z,15,FALSE)),0,VLOOKUP($A1245,'13. Updated Demand'!A:Z,15,FALSE))</f>
        <v>0</v>
      </c>
      <c r="Y1245" s="16">
        <f>IF(ISERROR(VLOOKUP($A1245,'13. Updated Demand'!A:Z,16,FALSE)),0,VLOOKUP($A1245,'13. Updated Demand'!A:Z,16,FALSE))</f>
        <v>0</v>
      </c>
      <c r="Z1245" s="16">
        <f>IF(ISERROR(VLOOKUP($A1245,'13. Updated Demand'!A:Z,17,FALSE)),0,VLOOKUP($A1245,'13. Updated Demand'!A:Z,17,FALSE))</f>
        <v>0</v>
      </c>
      <c r="AA1245" s="16">
        <f>IF(ISERROR(VLOOKUP($A1245,'13. Updated Demand'!A:Z,18,FALSE)),0,VLOOKUP($A1245,'13. Updated Demand'!A:Z,18,FALSE))</f>
        <v>0</v>
      </c>
      <c r="AB1245" s="16">
        <f>IF(ISERROR(VLOOKUP($A1245,'13. Updated Demand'!A:Z,19,FALSE)),0,VLOOKUP($A1245,'13. Updated Demand'!A:Z,19,FALSE))</f>
        <v>1.23</v>
      </c>
      <c r="AC1245" s="16">
        <f>IF(ISERROR(VLOOKUP($A1245,'13. Updated Demand'!A:Z,20,FALSE)),0,VLOOKUP($A1245,'13. Updated Demand'!A:Z,20,FALSE))</f>
        <v>3.73</v>
      </c>
      <c r="AD1245" s="16">
        <f>IF(ISERROR(VLOOKUP($A1245,'13. Updated Demand'!A:Z,21,FALSE)),0,VLOOKUP($A1245,'13. Updated Demand'!A:Z,21,FALSE))</f>
        <v>5.56</v>
      </c>
      <c r="AE1245" s="16">
        <f>IF(ISERROR(VLOOKUP($A1245,'13. Updated Demand'!A:Z,22,FALSE)),0,VLOOKUP($A1245,'13. Updated Demand'!A:Z,22,FALSE))</f>
        <v>6.96</v>
      </c>
      <c r="AF1245" s="16">
        <f>IF(ISERROR(VLOOKUP($A1245,'13. Updated Demand'!A:Z,23,FALSE)),0,VLOOKUP($A1245,'13. Updated Demand'!A:Z,23,FALSE))</f>
        <v>5.3</v>
      </c>
      <c r="AG1245" s="16">
        <f>IF(ISERROR(VLOOKUP($A1245,'13. Updated Demand'!A:Z,24,FALSE)),0,VLOOKUP($A1245,'13. Updated Demand'!A:Z,24,FALSE))</f>
        <v>2.46</v>
      </c>
      <c r="AH1245" s="16">
        <f>IF(ISERROR(VLOOKUP($A1245,'13. Updated Demand'!A:Z,25,FALSE)),0,VLOOKUP($A1245,'13. Updated Demand'!A:Z,25,FALSE))</f>
        <v>0</v>
      </c>
      <c r="AI1245" s="16">
        <f>IF(ISERROR(VLOOKUP($A1245,'13. Updated Demand'!A:Z,26,FALSE)),0,VLOOKUP($A1245,'13. Updated Demand'!A:Z,26,FALSE))</f>
        <v>0</v>
      </c>
      <c r="AJ1245" s="16">
        <f t="shared" si="240"/>
        <v>25.240000000000002</v>
      </c>
      <c r="AK1245" s="19">
        <v>22.8</v>
      </c>
      <c r="AL1245" s="16">
        <f t="shared" si="238"/>
        <v>7.5625002835937608E-2</v>
      </c>
      <c r="AM1245" s="17">
        <v>0.38224911749873935</v>
      </c>
      <c r="AN1245" s="19"/>
      <c r="AO1245" s="19"/>
      <c r="AP1245" s="19">
        <v>66.099999999999994</v>
      </c>
      <c r="AQ1245" s="19" t="s">
        <v>307</v>
      </c>
      <c r="AR1245" s="9" t="s">
        <v>436</v>
      </c>
      <c r="AS1245" s="12">
        <v>0</v>
      </c>
      <c r="AT1245" s="19">
        <v>38.692721030000001</v>
      </c>
      <c r="AU1245" s="19">
        <v>-122.87351476000001</v>
      </c>
      <c r="AV1245" s="19" t="s">
        <v>548</v>
      </c>
    </row>
    <row r="1246" spans="1:48" x14ac:dyDescent="0.25">
      <c r="A1246" s="18" t="s">
        <v>1623</v>
      </c>
      <c r="B1246" s="10">
        <v>19500525</v>
      </c>
      <c r="C1246" s="9">
        <v>9</v>
      </c>
      <c r="D1246" s="8" t="str">
        <f t="shared" si="229"/>
        <v>N</v>
      </c>
      <c r="E1246" s="8" t="str">
        <f t="shared" si="230"/>
        <v>Y</v>
      </c>
      <c r="F1246" s="8" t="str">
        <f t="shared" si="231"/>
        <v>Y</v>
      </c>
      <c r="G1246" s="8" t="str">
        <f t="shared" si="232"/>
        <v>Y</v>
      </c>
      <c r="H1246" s="8" t="str">
        <f t="shared" si="233"/>
        <v>Upper</v>
      </c>
      <c r="I1246" s="8" t="str">
        <f t="shared" si="234"/>
        <v>West Fork and Below Lake</v>
      </c>
      <c r="J1246" s="8" t="str">
        <f t="shared" si="235"/>
        <v>Sonoma (d/s of Clov. Gage)</v>
      </c>
      <c r="K1246" s="8" t="str">
        <f t="shared" si="236"/>
        <v>Post-1949</v>
      </c>
      <c r="L1246" s="8">
        <f t="shared" si="237"/>
        <v>1950</v>
      </c>
      <c r="M1246" s="8" t="str">
        <f t="shared" si="239"/>
        <v>1950-1952</v>
      </c>
      <c r="N1246" s="10" t="s">
        <v>241</v>
      </c>
      <c r="O1246" s="10" t="s">
        <v>241</v>
      </c>
      <c r="P1246" s="10" t="s">
        <v>242</v>
      </c>
      <c r="Q1246" s="10" t="s">
        <v>242</v>
      </c>
      <c r="R1246" s="10" t="s">
        <v>241</v>
      </c>
      <c r="S1246" s="10" t="s">
        <v>242</v>
      </c>
      <c r="T1246" s="10" t="s">
        <v>242</v>
      </c>
      <c r="U1246" s="10" t="s">
        <v>242</v>
      </c>
      <c r="V1246" s="10" t="s">
        <v>242</v>
      </c>
      <c r="W1246" s="10" t="s">
        <v>242</v>
      </c>
      <c r="X1246" s="15">
        <f>IF(ISERROR(VLOOKUP($A1246,'13. Updated Demand'!A:Z,15,FALSE)),0,VLOOKUP($A1246,'13. Updated Demand'!A:Z,15,FALSE))</f>
        <v>0</v>
      </c>
      <c r="Y1246" s="16">
        <f>IF(ISERROR(VLOOKUP($A1246,'13. Updated Demand'!A:Z,16,FALSE)),0,VLOOKUP($A1246,'13. Updated Demand'!A:Z,16,FALSE))</f>
        <v>0</v>
      </c>
      <c r="Z1246" s="16">
        <f>IF(ISERROR(VLOOKUP($A1246,'13. Updated Demand'!A:Z,17,FALSE)),0,VLOOKUP($A1246,'13. Updated Demand'!A:Z,17,FALSE))</f>
        <v>0</v>
      </c>
      <c r="AA1246" s="16">
        <f>IF(ISERROR(VLOOKUP($A1246,'13. Updated Demand'!A:Z,18,FALSE)),0,VLOOKUP($A1246,'13. Updated Demand'!A:Z,18,FALSE))</f>
        <v>0</v>
      </c>
      <c r="AB1246" s="16">
        <f>IF(ISERROR(VLOOKUP($A1246,'13. Updated Demand'!A:Z,19,FALSE)),0,VLOOKUP($A1246,'13. Updated Demand'!A:Z,19,FALSE))</f>
        <v>0</v>
      </c>
      <c r="AC1246" s="16">
        <f>IF(ISERROR(VLOOKUP($A1246,'13. Updated Demand'!A:Z,20,FALSE)),0,VLOOKUP($A1246,'13. Updated Demand'!A:Z,20,FALSE))</f>
        <v>5.3</v>
      </c>
      <c r="AD1246" s="16">
        <f>IF(ISERROR(VLOOKUP($A1246,'13. Updated Demand'!A:Z,21,FALSE)),0,VLOOKUP($A1246,'13. Updated Demand'!A:Z,21,FALSE))</f>
        <v>5.3</v>
      </c>
      <c r="AE1246" s="16">
        <f>IF(ISERROR(VLOOKUP($A1246,'13. Updated Demand'!A:Z,22,FALSE)),0,VLOOKUP($A1246,'13. Updated Demand'!A:Z,22,FALSE))</f>
        <v>5.3</v>
      </c>
      <c r="AF1246" s="16">
        <f>IF(ISERROR(VLOOKUP($A1246,'13. Updated Demand'!A:Z,23,FALSE)),0,VLOOKUP($A1246,'13. Updated Demand'!A:Z,23,FALSE))</f>
        <v>5.3</v>
      </c>
      <c r="AG1246" s="16">
        <f>IF(ISERROR(VLOOKUP($A1246,'13. Updated Demand'!A:Z,24,FALSE)),0,VLOOKUP($A1246,'13. Updated Demand'!A:Z,24,FALSE))</f>
        <v>0</v>
      </c>
      <c r="AH1246" s="16">
        <f>IF(ISERROR(VLOOKUP($A1246,'13. Updated Demand'!A:Z,25,FALSE)),0,VLOOKUP($A1246,'13. Updated Demand'!A:Z,25,FALSE))</f>
        <v>0</v>
      </c>
      <c r="AI1246" s="16">
        <f>IF(ISERROR(VLOOKUP($A1246,'13. Updated Demand'!A:Z,26,FALSE)),0,VLOOKUP($A1246,'13. Updated Demand'!A:Z,26,FALSE))</f>
        <v>0</v>
      </c>
      <c r="AJ1246" s="16">
        <f t="shared" si="240"/>
        <v>21.2</v>
      </c>
      <c r="AK1246" s="19">
        <v>21.2</v>
      </c>
      <c r="AL1246" s="16">
        <f t="shared" si="238"/>
        <v>7.0317985093064792E-2</v>
      </c>
      <c r="AM1246" s="17">
        <v>0.46187363834422657</v>
      </c>
      <c r="AN1246" s="19"/>
      <c r="AO1246" s="19"/>
      <c r="AP1246" s="19">
        <v>45.9</v>
      </c>
      <c r="AQ1246" s="19" t="s">
        <v>307</v>
      </c>
      <c r="AR1246" s="9" t="s">
        <v>354</v>
      </c>
      <c r="AS1246" s="12">
        <v>0</v>
      </c>
      <c r="AT1246" s="19">
        <v>38.722136800000001</v>
      </c>
      <c r="AU1246" s="19">
        <v>-122.90507301</v>
      </c>
      <c r="AV1246" s="19" t="s">
        <v>387</v>
      </c>
    </row>
    <row r="1247" spans="1:48" x14ac:dyDescent="0.25">
      <c r="A1247" s="18" t="s">
        <v>1624</v>
      </c>
      <c r="B1247" s="10">
        <v>19501122</v>
      </c>
      <c r="C1247" s="9">
        <v>15</v>
      </c>
      <c r="D1247" s="8" t="str">
        <f t="shared" si="229"/>
        <v>N</v>
      </c>
      <c r="E1247" s="8" t="str">
        <f t="shared" si="230"/>
        <v>N</v>
      </c>
      <c r="F1247" s="8" t="str">
        <f t="shared" si="231"/>
        <v>N</v>
      </c>
      <c r="G1247" s="8" t="str">
        <f t="shared" si="232"/>
        <v>N</v>
      </c>
      <c r="H1247" s="8" t="str">
        <f t="shared" si="233"/>
        <v>Lower</v>
      </c>
      <c r="I1247" s="8" t="str">
        <f t="shared" si="234"/>
        <v>Outside</v>
      </c>
      <c r="J1247" s="8" t="str">
        <f t="shared" si="235"/>
        <v>Outside</v>
      </c>
      <c r="K1247" s="8" t="str">
        <f t="shared" si="236"/>
        <v>Post-1949</v>
      </c>
      <c r="L1247" s="8">
        <f t="shared" si="237"/>
        <v>1950</v>
      </c>
      <c r="M1247" s="8" t="str">
        <f t="shared" si="239"/>
        <v>1950-1952</v>
      </c>
      <c r="N1247" s="10" t="s">
        <v>242</v>
      </c>
      <c r="O1247" s="10" t="s">
        <v>242</v>
      </c>
      <c r="P1247" s="10" t="s">
        <v>242</v>
      </c>
      <c r="Q1247" s="10" t="s">
        <v>242</v>
      </c>
      <c r="R1247" s="10" t="s">
        <v>241</v>
      </c>
      <c r="S1247" s="10" t="s">
        <v>242</v>
      </c>
      <c r="T1247" s="10" t="s">
        <v>242</v>
      </c>
      <c r="U1247" s="10" t="s">
        <v>242</v>
      </c>
      <c r="V1247" s="10" t="s">
        <v>242</v>
      </c>
      <c r="W1247" s="10" t="s">
        <v>242</v>
      </c>
      <c r="X1247" s="15">
        <f>IF(ISERROR(VLOOKUP($A1247,'13. Updated Demand'!A:Z,15,FALSE)),0,VLOOKUP($A1247,'13. Updated Demand'!A:Z,15,FALSE))</f>
        <v>0</v>
      </c>
      <c r="Y1247" s="16">
        <f>IF(ISERROR(VLOOKUP($A1247,'13. Updated Demand'!A:Z,16,FALSE)),0,VLOOKUP($A1247,'13. Updated Demand'!A:Z,16,FALSE))</f>
        <v>0</v>
      </c>
      <c r="Z1247" s="16">
        <f>IF(ISERROR(VLOOKUP($A1247,'13. Updated Demand'!A:Z,17,FALSE)),0,VLOOKUP($A1247,'13. Updated Demand'!A:Z,17,FALSE))</f>
        <v>0</v>
      </c>
      <c r="AA1247" s="16">
        <f>IF(ISERROR(VLOOKUP($A1247,'13. Updated Demand'!A:Z,18,FALSE)),0,VLOOKUP($A1247,'13. Updated Demand'!A:Z,18,FALSE))</f>
        <v>0</v>
      </c>
      <c r="AB1247" s="16">
        <f>IF(ISERROR(VLOOKUP($A1247,'13. Updated Demand'!A:Z,19,FALSE)),0,VLOOKUP($A1247,'13. Updated Demand'!A:Z,19,FALSE))</f>
        <v>1.0233333330000001</v>
      </c>
      <c r="AC1247" s="16">
        <f>IF(ISERROR(VLOOKUP($A1247,'13. Updated Demand'!A:Z,20,FALSE)),0,VLOOKUP($A1247,'13. Updated Demand'!A:Z,20,FALSE))</f>
        <v>2.8910135989999999</v>
      </c>
      <c r="AD1247" s="16">
        <f>IF(ISERROR(VLOOKUP($A1247,'13. Updated Demand'!A:Z,21,FALSE)),0,VLOOKUP($A1247,'13. Updated Demand'!A:Z,21,FALSE))</f>
        <v>5.0445998269999999</v>
      </c>
      <c r="AE1247" s="16">
        <f>IF(ISERROR(VLOOKUP($A1247,'13. Updated Demand'!A:Z,22,FALSE)),0,VLOOKUP($A1247,'13. Updated Demand'!A:Z,22,FALSE))</f>
        <v>5.3773192720000003</v>
      </c>
      <c r="AF1247" s="16">
        <f>IF(ISERROR(VLOOKUP($A1247,'13. Updated Demand'!A:Z,23,FALSE)),0,VLOOKUP($A1247,'13. Updated Demand'!A:Z,23,FALSE))</f>
        <v>5.6113964310000002</v>
      </c>
      <c r="AG1247" s="16">
        <f>IF(ISERROR(VLOOKUP($A1247,'13. Updated Demand'!A:Z,24,FALSE)),0,VLOOKUP($A1247,'13. Updated Demand'!A:Z,24,FALSE))</f>
        <v>3.958292921</v>
      </c>
      <c r="AH1247" s="16">
        <f>IF(ISERROR(VLOOKUP($A1247,'13. Updated Demand'!A:Z,25,FALSE)),0,VLOOKUP($A1247,'13. Updated Demand'!A:Z,25,FALSE))</f>
        <v>0</v>
      </c>
      <c r="AI1247" s="16">
        <f>IF(ISERROR(VLOOKUP($A1247,'13. Updated Demand'!A:Z,26,FALSE)),0,VLOOKUP($A1247,'13. Updated Demand'!A:Z,26,FALSE))</f>
        <v>0</v>
      </c>
      <c r="AJ1247" s="16">
        <f t="shared" si="240"/>
        <v>23.905955382999998</v>
      </c>
      <c r="AK1247" s="19">
        <v>19.947662462</v>
      </c>
      <c r="AL1247" s="16">
        <f t="shared" si="238"/>
        <v>6.6164124134169999E-2</v>
      </c>
      <c r="AM1247" s="17">
        <v>0.54331716779545447</v>
      </c>
      <c r="AN1247" s="19"/>
      <c r="AO1247" s="19"/>
      <c r="AP1247" s="19">
        <v>44</v>
      </c>
      <c r="AQ1247" s="19" t="s">
        <v>307</v>
      </c>
      <c r="AR1247" s="9" t="s">
        <v>489</v>
      </c>
      <c r="AS1247" s="12">
        <v>0</v>
      </c>
      <c r="AT1247" s="19">
        <v>38.691272480000002</v>
      </c>
      <c r="AU1247" s="19">
        <v>-122.95303398</v>
      </c>
      <c r="AV1247" s="19" t="s">
        <v>701</v>
      </c>
    </row>
    <row r="1248" spans="1:48" x14ac:dyDescent="0.25">
      <c r="A1248" s="18" t="s">
        <v>1625</v>
      </c>
      <c r="B1248" s="10">
        <v>19500510</v>
      </c>
      <c r="C1248" s="9">
        <v>11</v>
      </c>
      <c r="D1248" s="8" t="str">
        <f t="shared" si="229"/>
        <v>N</v>
      </c>
      <c r="E1248" s="8" t="str">
        <f t="shared" si="230"/>
        <v>Y</v>
      </c>
      <c r="F1248" s="8" t="str">
        <f t="shared" si="231"/>
        <v>Y</v>
      </c>
      <c r="G1248" s="8" t="str">
        <f t="shared" si="232"/>
        <v>Y</v>
      </c>
      <c r="H1248" s="8" t="str">
        <f t="shared" si="233"/>
        <v>Upper</v>
      </c>
      <c r="I1248" s="8" t="str">
        <f t="shared" si="234"/>
        <v>West Fork and Below Lake</v>
      </c>
      <c r="J1248" s="8" t="str">
        <f t="shared" si="235"/>
        <v>Sonoma (d/s of Clov. Gage)</v>
      </c>
      <c r="K1248" s="8" t="str">
        <f t="shared" si="236"/>
        <v>Post-1949</v>
      </c>
      <c r="L1248" s="8">
        <f t="shared" si="237"/>
        <v>1950</v>
      </c>
      <c r="M1248" s="8" t="str">
        <f t="shared" si="239"/>
        <v>1950-1952</v>
      </c>
      <c r="N1248" s="10" t="s">
        <v>242</v>
      </c>
      <c r="O1248" s="10" t="s">
        <v>241</v>
      </c>
      <c r="P1248" s="10" t="s">
        <v>242</v>
      </c>
      <c r="Q1248" s="10" t="s">
        <v>242</v>
      </c>
      <c r="R1248" s="10" t="s">
        <v>241</v>
      </c>
      <c r="S1248" s="10" t="s">
        <v>242</v>
      </c>
      <c r="T1248" s="10" t="s">
        <v>242</v>
      </c>
      <c r="U1248" s="10" t="s">
        <v>242</v>
      </c>
      <c r="V1248" s="10" t="s">
        <v>242</v>
      </c>
      <c r="W1248" s="10" t="s">
        <v>242</v>
      </c>
      <c r="X1248" s="15">
        <f>IF(ISERROR(VLOOKUP($A1248,'13. Updated Demand'!A:Z,15,FALSE)),0,VLOOKUP($A1248,'13. Updated Demand'!A:Z,15,FALSE))</f>
        <v>0</v>
      </c>
      <c r="Y1248" s="16">
        <f>IF(ISERROR(VLOOKUP($A1248,'13. Updated Demand'!A:Z,16,FALSE)),0,VLOOKUP($A1248,'13. Updated Demand'!A:Z,16,FALSE))</f>
        <v>0</v>
      </c>
      <c r="Z1248" s="16">
        <f>IF(ISERROR(VLOOKUP($A1248,'13. Updated Demand'!A:Z,17,FALSE)),0,VLOOKUP($A1248,'13. Updated Demand'!A:Z,17,FALSE))</f>
        <v>0</v>
      </c>
      <c r="AA1248" s="16">
        <f>IF(ISERROR(VLOOKUP($A1248,'13. Updated Demand'!A:Z,18,FALSE)),0,VLOOKUP($A1248,'13. Updated Demand'!A:Z,18,FALSE))</f>
        <v>0</v>
      </c>
      <c r="AB1248" s="16">
        <f>IF(ISERROR(VLOOKUP($A1248,'13. Updated Demand'!A:Z,19,FALSE)),0,VLOOKUP($A1248,'13. Updated Demand'!A:Z,19,FALSE))</f>
        <v>1.2</v>
      </c>
      <c r="AC1248" s="16">
        <f>IF(ISERROR(VLOOKUP($A1248,'13. Updated Demand'!A:Z,20,FALSE)),0,VLOOKUP($A1248,'13. Updated Demand'!A:Z,20,FALSE))</f>
        <v>3.43</v>
      </c>
      <c r="AD1248" s="16">
        <f>IF(ISERROR(VLOOKUP($A1248,'13. Updated Demand'!A:Z,21,FALSE)),0,VLOOKUP($A1248,'13. Updated Demand'!A:Z,21,FALSE))</f>
        <v>3.73</v>
      </c>
      <c r="AE1248" s="16">
        <f>IF(ISERROR(VLOOKUP($A1248,'13. Updated Demand'!A:Z,22,FALSE)),0,VLOOKUP($A1248,'13. Updated Demand'!A:Z,22,FALSE))</f>
        <v>5</v>
      </c>
      <c r="AF1248" s="16">
        <f>IF(ISERROR(VLOOKUP($A1248,'13. Updated Demand'!A:Z,23,FALSE)),0,VLOOKUP($A1248,'13. Updated Demand'!A:Z,23,FALSE))</f>
        <v>5.16</v>
      </c>
      <c r="AG1248" s="16">
        <f>IF(ISERROR(VLOOKUP($A1248,'13. Updated Demand'!A:Z,24,FALSE)),0,VLOOKUP($A1248,'13. Updated Demand'!A:Z,24,FALSE))</f>
        <v>2.2599999999999998</v>
      </c>
      <c r="AH1248" s="16">
        <f>IF(ISERROR(VLOOKUP($A1248,'13. Updated Demand'!A:Z,25,FALSE)),0,VLOOKUP($A1248,'13. Updated Demand'!A:Z,25,FALSE))</f>
        <v>0</v>
      </c>
      <c r="AI1248" s="16">
        <f>IF(ISERROR(VLOOKUP($A1248,'13. Updated Demand'!A:Z,26,FALSE)),0,VLOOKUP($A1248,'13. Updated Demand'!A:Z,26,FALSE))</f>
        <v>0</v>
      </c>
      <c r="AJ1248" s="16">
        <f t="shared" si="240"/>
        <v>20.78</v>
      </c>
      <c r="AK1248" s="19">
        <v>18.533333333000002</v>
      </c>
      <c r="AL1248" s="16">
        <f t="shared" si="238"/>
        <v>6.1472955520504476E-2</v>
      </c>
      <c r="AM1248" s="17">
        <v>0.20432220039292731</v>
      </c>
      <c r="AN1248" s="19"/>
      <c r="AO1248" s="19"/>
      <c r="AP1248" s="19">
        <v>101.8</v>
      </c>
      <c r="AQ1248" s="19" t="s">
        <v>307</v>
      </c>
      <c r="AR1248" s="9" t="s">
        <v>308</v>
      </c>
      <c r="AS1248" s="12">
        <v>0</v>
      </c>
      <c r="AT1248" s="19">
        <v>38.662973450000003</v>
      </c>
      <c r="AU1248" s="19">
        <v>-122.72709999999999</v>
      </c>
      <c r="AV1248" s="19" t="s">
        <v>548</v>
      </c>
    </row>
    <row r="1249" spans="1:48" x14ac:dyDescent="0.25">
      <c r="A1249" s="18" t="s">
        <v>1626</v>
      </c>
      <c r="B1249" s="10">
        <v>19501122</v>
      </c>
      <c r="C1249" s="9">
        <v>15</v>
      </c>
      <c r="D1249" s="8" t="str">
        <f t="shared" si="229"/>
        <v>N</v>
      </c>
      <c r="E1249" s="8" t="str">
        <f t="shared" si="230"/>
        <v>N</v>
      </c>
      <c r="F1249" s="8" t="str">
        <f t="shared" si="231"/>
        <v>N</v>
      </c>
      <c r="G1249" s="8" t="str">
        <f t="shared" si="232"/>
        <v>N</v>
      </c>
      <c r="H1249" s="8" t="str">
        <f t="shared" si="233"/>
        <v>Lower</v>
      </c>
      <c r="I1249" s="8" t="str">
        <f t="shared" si="234"/>
        <v>Outside</v>
      </c>
      <c r="J1249" s="8" t="str">
        <f t="shared" si="235"/>
        <v>Outside</v>
      </c>
      <c r="K1249" s="8" t="str">
        <f t="shared" si="236"/>
        <v>Post-1949</v>
      </c>
      <c r="L1249" s="8">
        <f t="shared" si="237"/>
        <v>1950</v>
      </c>
      <c r="M1249" s="8" t="str">
        <f t="shared" si="239"/>
        <v>1950-1952</v>
      </c>
      <c r="N1249" s="10" t="s">
        <v>242</v>
      </c>
      <c r="O1249" s="10" t="s">
        <v>242</v>
      </c>
      <c r="P1249" s="10" t="s">
        <v>242</v>
      </c>
      <c r="Q1249" s="10" t="s">
        <v>242</v>
      </c>
      <c r="R1249" s="10" t="s">
        <v>241</v>
      </c>
      <c r="S1249" s="10" t="s">
        <v>242</v>
      </c>
      <c r="T1249" s="10" t="s">
        <v>242</v>
      </c>
      <c r="U1249" s="10" t="s">
        <v>242</v>
      </c>
      <c r="V1249" s="10" t="s">
        <v>242</v>
      </c>
      <c r="W1249" s="10" t="s">
        <v>242</v>
      </c>
      <c r="X1249" s="15">
        <f>IF(ISERROR(VLOOKUP($A1249,'13. Updated Demand'!A:Z,15,FALSE)),0,VLOOKUP($A1249,'13. Updated Demand'!A:Z,15,FALSE))</f>
        <v>0</v>
      </c>
      <c r="Y1249" s="16">
        <f>IF(ISERROR(VLOOKUP($A1249,'13. Updated Demand'!A:Z,16,FALSE)),0,VLOOKUP($A1249,'13. Updated Demand'!A:Z,16,FALSE))</f>
        <v>0</v>
      </c>
      <c r="Z1249" s="16">
        <f>IF(ISERROR(VLOOKUP($A1249,'13. Updated Demand'!A:Z,17,FALSE)),0,VLOOKUP($A1249,'13. Updated Demand'!A:Z,17,FALSE))</f>
        <v>1</v>
      </c>
      <c r="AA1249" s="16">
        <f>IF(ISERROR(VLOOKUP($A1249,'13. Updated Demand'!A:Z,18,FALSE)),0,VLOOKUP($A1249,'13. Updated Demand'!A:Z,18,FALSE))</f>
        <v>1.3333333329999999</v>
      </c>
      <c r="AB1249" s="16">
        <f>IF(ISERROR(VLOOKUP($A1249,'13. Updated Demand'!A:Z,19,FALSE)),0,VLOOKUP($A1249,'13. Updated Demand'!A:Z,19,FALSE))</f>
        <v>1.8333333329999999</v>
      </c>
      <c r="AC1249" s="16">
        <f>IF(ISERROR(VLOOKUP($A1249,'13. Updated Demand'!A:Z,20,FALSE)),0,VLOOKUP($A1249,'13. Updated Demand'!A:Z,20,FALSE))</f>
        <v>3.6666666669999999</v>
      </c>
      <c r="AD1249" s="16">
        <f>IF(ISERROR(VLOOKUP($A1249,'13. Updated Demand'!A:Z,21,FALSE)),0,VLOOKUP($A1249,'13. Updated Demand'!A:Z,21,FALSE))</f>
        <v>4.1666666670000003</v>
      </c>
      <c r="AE1249" s="16">
        <f>IF(ISERROR(VLOOKUP($A1249,'13. Updated Demand'!A:Z,22,FALSE)),0,VLOOKUP($A1249,'13. Updated Demand'!A:Z,22,FALSE))</f>
        <v>4.3333333329999997</v>
      </c>
      <c r="AF1249" s="16">
        <f>IF(ISERROR(VLOOKUP($A1249,'13. Updated Demand'!A:Z,23,FALSE)),0,VLOOKUP($A1249,'13. Updated Demand'!A:Z,23,FALSE))</f>
        <v>3.31</v>
      </c>
      <c r="AG1249" s="16">
        <f>IF(ISERROR(VLOOKUP($A1249,'13. Updated Demand'!A:Z,24,FALSE)),0,VLOOKUP($A1249,'13. Updated Demand'!A:Z,24,FALSE))</f>
        <v>2.3533333330000001</v>
      </c>
      <c r="AH1249" s="16">
        <f>IF(ISERROR(VLOOKUP($A1249,'13. Updated Demand'!A:Z,25,FALSE)),0,VLOOKUP($A1249,'13. Updated Demand'!A:Z,25,FALSE))</f>
        <v>0</v>
      </c>
      <c r="AI1249" s="16">
        <f>IF(ISERROR(VLOOKUP($A1249,'13. Updated Demand'!A:Z,26,FALSE)),0,VLOOKUP($A1249,'13. Updated Demand'!A:Z,26,FALSE))</f>
        <v>0</v>
      </c>
      <c r="AJ1249" s="16">
        <f t="shared" si="240"/>
        <v>21.996666665999996</v>
      </c>
      <c r="AK1249" s="19">
        <v>17.309999999999999</v>
      </c>
      <c r="AL1249" s="16">
        <f t="shared" si="238"/>
        <v>5.7415298205705262E-2</v>
      </c>
      <c r="AM1249" s="17">
        <v>0.25787416958968346</v>
      </c>
      <c r="AN1249" s="19"/>
      <c r="AO1249" s="19"/>
      <c r="AP1249" s="19">
        <v>85.3</v>
      </c>
      <c r="AQ1249" s="19" t="s">
        <v>307</v>
      </c>
      <c r="AR1249" s="9" t="s">
        <v>489</v>
      </c>
      <c r="AS1249" s="12">
        <v>0</v>
      </c>
      <c r="AT1249" s="19">
        <v>38.686327259999999</v>
      </c>
      <c r="AU1249" s="19">
        <v>-122.95331822</v>
      </c>
      <c r="AV1249" s="19" t="s">
        <v>701</v>
      </c>
    </row>
    <row r="1250" spans="1:48" x14ac:dyDescent="0.25">
      <c r="A1250" s="18" t="s">
        <v>1627</v>
      </c>
      <c r="B1250" s="10">
        <v>19501113</v>
      </c>
      <c r="C1250" s="9">
        <v>10</v>
      </c>
      <c r="D1250" s="8" t="str">
        <f t="shared" si="229"/>
        <v>N</v>
      </c>
      <c r="E1250" s="8" t="str">
        <f t="shared" si="230"/>
        <v>Y</v>
      </c>
      <c r="F1250" s="8" t="str">
        <f t="shared" si="231"/>
        <v>Y</v>
      </c>
      <c r="G1250" s="8" t="str">
        <f t="shared" si="232"/>
        <v>Y</v>
      </c>
      <c r="H1250" s="8" t="str">
        <f t="shared" si="233"/>
        <v>Upper</v>
      </c>
      <c r="I1250" s="8" t="str">
        <f t="shared" si="234"/>
        <v>West Fork and Below Lake</v>
      </c>
      <c r="J1250" s="8" t="str">
        <f t="shared" si="235"/>
        <v>Sonoma (d/s of Clov. Gage)</v>
      </c>
      <c r="K1250" s="8" t="str">
        <f t="shared" si="236"/>
        <v>Post-1949</v>
      </c>
      <c r="L1250" s="8">
        <f t="shared" si="237"/>
        <v>1950</v>
      </c>
      <c r="M1250" s="8" t="str">
        <f t="shared" si="239"/>
        <v>1950-1952</v>
      </c>
      <c r="N1250" s="10" t="s">
        <v>241</v>
      </c>
      <c r="O1250" s="10" t="s">
        <v>241</v>
      </c>
      <c r="P1250" s="10" t="s">
        <v>242</v>
      </c>
      <c r="Q1250" s="10" t="s">
        <v>242</v>
      </c>
      <c r="R1250" s="10" t="s">
        <v>241</v>
      </c>
      <c r="S1250" s="10" t="s">
        <v>242</v>
      </c>
      <c r="T1250" s="10" t="s">
        <v>242</v>
      </c>
      <c r="U1250" s="10" t="s">
        <v>242</v>
      </c>
      <c r="V1250" s="10" t="s">
        <v>242</v>
      </c>
      <c r="W1250" s="10" t="s">
        <v>242</v>
      </c>
      <c r="X1250" s="15">
        <f>IF(ISERROR(VLOOKUP($A1250,'13. Updated Demand'!A:Z,15,FALSE)),0,VLOOKUP($A1250,'13. Updated Demand'!A:Z,15,FALSE))</f>
        <v>0</v>
      </c>
      <c r="Y1250" s="16">
        <f>IF(ISERROR(VLOOKUP($A1250,'13. Updated Demand'!A:Z,16,FALSE)),0,VLOOKUP($A1250,'13. Updated Demand'!A:Z,16,FALSE))</f>
        <v>0</v>
      </c>
      <c r="Z1250" s="16">
        <f>IF(ISERROR(VLOOKUP($A1250,'13. Updated Demand'!A:Z,17,FALSE)),0,VLOOKUP($A1250,'13. Updated Demand'!A:Z,17,FALSE))</f>
        <v>0</v>
      </c>
      <c r="AA1250" s="16">
        <f>IF(ISERROR(VLOOKUP($A1250,'13. Updated Demand'!A:Z,18,FALSE)),0,VLOOKUP($A1250,'13. Updated Demand'!A:Z,18,FALSE))</f>
        <v>0.1</v>
      </c>
      <c r="AB1250" s="16">
        <f>IF(ISERROR(VLOOKUP($A1250,'13. Updated Demand'!A:Z,19,FALSE)),0,VLOOKUP($A1250,'13. Updated Demand'!A:Z,19,FALSE))</f>
        <v>1</v>
      </c>
      <c r="AC1250" s="16">
        <f>IF(ISERROR(VLOOKUP($A1250,'13. Updated Demand'!A:Z,20,FALSE)),0,VLOOKUP($A1250,'13. Updated Demand'!A:Z,20,FALSE))</f>
        <v>2.6</v>
      </c>
      <c r="AD1250" s="16">
        <f>IF(ISERROR(VLOOKUP($A1250,'13. Updated Demand'!A:Z,21,FALSE)),0,VLOOKUP($A1250,'13. Updated Demand'!A:Z,21,FALSE))</f>
        <v>3.86</v>
      </c>
      <c r="AE1250" s="16">
        <f>IF(ISERROR(VLOOKUP($A1250,'13. Updated Demand'!A:Z,22,FALSE)),0,VLOOKUP($A1250,'13. Updated Demand'!A:Z,22,FALSE))</f>
        <v>5.36</v>
      </c>
      <c r="AF1250" s="16">
        <f>IF(ISERROR(VLOOKUP($A1250,'13. Updated Demand'!A:Z,23,FALSE)),0,VLOOKUP($A1250,'13. Updated Demand'!A:Z,23,FALSE))</f>
        <v>3.5</v>
      </c>
      <c r="AG1250" s="16">
        <f>IF(ISERROR(VLOOKUP($A1250,'13. Updated Demand'!A:Z,24,FALSE)),0,VLOOKUP($A1250,'13. Updated Demand'!A:Z,24,FALSE))</f>
        <v>1.1599999999999999</v>
      </c>
      <c r="AH1250" s="16">
        <f>IF(ISERROR(VLOOKUP($A1250,'13. Updated Demand'!A:Z,25,FALSE)),0,VLOOKUP($A1250,'13. Updated Demand'!A:Z,25,FALSE))</f>
        <v>0</v>
      </c>
      <c r="AI1250" s="16">
        <f>IF(ISERROR(VLOOKUP($A1250,'13. Updated Demand'!A:Z,26,FALSE)),0,VLOOKUP($A1250,'13. Updated Demand'!A:Z,26,FALSE))</f>
        <v>0</v>
      </c>
      <c r="AJ1250" s="16">
        <f t="shared" si="240"/>
        <v>17.580000000000002</v>
      </c>
      <c r="AK1250" s="19">
        <v>16.333333333333339</v>
      </c>
      <c r="AL1250" s="16">
        <f t="shared" si="238"/>
        <v>5.417580612516E-2</v>
      </c>
      <c r="AM1250" s="17">
        <v>0.24275862068965534</v>
      </c>
      <c r="AN1250" s="19"/>
      <c r="AO1250" s="19"/>
      <c r="AP1250" s="19">
        <v>72.5</v>
      </c>
      <c r="AQ1250" s="19" t="s">
        <v>307</v>
      </c>
      <c r="AR1250" s="9" t="s">
        <v>436</v>
      </c>
      <c r="AS1250" s="12">
        <v>0</v>
      </c>
      <c r="AT1250" s="19">
        <v>38.699889839999997</v>
      </c>
      <c r="AU1250" s="19">
        <v>-122.88779483</v>
      </c>
      <c r="AV1250" s="19" t="s">
        <v>548</v>
      </c>
    </row>
    <row r="1251" spans="1:48" x14ac:dyDescent="0.25">
      <c r="A1251" s="18" t="s">
        <v>1628</v>
      </c>
      <c r="B1251" s="10">
        <v>19500103</v>
      </c>
      <c r="C1251" s="9">
        <v>5</v>
      </c>
      <c r="D1251" s="8" t="str">
        <f t="shared" si="229"/>
        <v>Y</v>
      </c>
      <c r="E1251" s="8" t="str">
        <f t="shared" si="230"/>
        <v>N</v>
      </c>
      <c r="F1251" s="8" t="str">
        <f t="shared" si="231"/>
        <v>Y</v>
      </c>
      <c r="G1251" s="8" t="str">
        <f t="shared" si="232"/>
        <v>Y</v>
      </c>
      <c r="H1251" s="8" t="str">
        <f t="shared" si="233"/>
        <v>Upper</v>
      </c>
      <c r="I1251" s="8" t="str">
        <f t="shared" si="234"/>
        <v>West Fork and Below Lake</v>
      </c>
      <c r="J1251" s="8" t="str">
        <f t="shared" si="235"/>
        <v>Mendocino (d/s of lake)</v>
      </c>
      <c r="K1251" s="8" t="str">
        <f t="shared" si="236"/>
        <v>Post-1949</v>
      </c>
      <c r="L1251" s="8">
        <f t="shared" si="237"/>
        <v>1950</v>
      </c>
      <c r="M1251" s="8" t="str">
        <f t="shared" si="239"/>
        <v>1950-1952</v>
      </c>
      <c r="N1251" s="10" t="s">
        <v>241</v>
      </c>
      <c r="O1251" s="10" t="s">
        <v>241</v>
      </c>
      <c r="P1251" s="10" t="s">
        <v>242</v>
      </c>
      <c r="Q1251" s="10" t="s">
        <v>242</v>
      </c>
      <c r="R1251" s="10" t="s">
        <v>241</v>
      </c>
      <c r="S1251" s="10" t="s">
        <v>242</v>
      </c>
      <c r="T1251" s="10" t="s">
        <v>242</v>
      </c>
      <c r="U1251" s="10" t="s">
        <v>242</v>
      </c>
      <c r="V1251" s="10" t="s">
        <v>242</v>
      </c>
      <c r="W1251" s="10" t="s">
        <v>242</v>
      </c>
      <c r="X1251" s="15">
        <f>IF(ISERROR(VLOOKUP($A1251,'13. Updated Demand'!A:Z,15,FALSE)),0,VLOOKUP($A1251,'13. Updated Demand'!A:Z,15,FALSE))</f>
        <v>0</v>
      </c>
      <c r="Y1251" s="16">
        <f>IF(ISERROR(VLOOKUP($A1251,'13. Updated Demand'!A:Z,16,FALSE)),0,VLOOKUP($A1251,'13. Updated Demand'!A:Z,16,FALSE))</f>
        <v>0</v>
      </c>
      <c r="Z1251" s="16">
        <f>IF(ISERROR(VLOOKUP($A1251,'13. Updated Demand'!A:Z,17,FALSE)),0,VLOOKUP($A1251,'13. Updated Demand'!A:Z,17,FALSE))</f>
        <v>0</v>
      </c>
      <c r="AA1251" s="16">
        <f>IF(ISERROR(VLOOKUP($A1251,'13. Updated Demand'!A:Z,18,FALSE)),0,VLOOKUP($A1251,'13. Updated Demand'!A:Z,18,FALSE))</f>
        <v>0</v>
      </c>
      <c r="AB1251" s="16">
        <f>IF(ISERROR(VLOOKUP($A1251,'13. Updated Demand'!A:Z,19,FALSE)),0,VLOOKUP($A1251,'13. Updated Demand'!A:Z,19,FALSE))</f>
        <v>1.44</v>
      </c>
      <c r="AC1251" s="16">
        <f>IF(ISERROR(VLOOKUP($A1251,'13. Updated Demand'!A:Z,20,FALSE)),0,VLOOKUP($A1251,'13. Updated Demand'!A:Z,20,FALSE))</f>
        <v>2.72</v>
      </c>
      <c r="AD1251" s="16">
        <f>IF(ISERROR(VLOOKUP($A1251,'13. Updated Demand'!A:Z,21,FALSE)),0,VLOOKUP($A1251,'13. Updated Demand'!A:Z,21,FALSE))</f>
        <v>4.9000000000000004</v>
      </c>
      <c r="AE1251" s="16">
        <f>IF(ISERROR(VLOOKUP($A1251,'13. Updated Demand'!A:Z,22,FALSE)),0,VLOOKUP($A1251,'13. Updated Demand'!A:Z,22,FALSE))</f>
        <v>3.69</v>
      </c>
      <c r="AF1251" s="16">
        <f>IF(ISERROR(VLOOKUP($A1251,'13. Updated Demand'!A:Z,23,FALSE)),0,VLOOKUP($A1251,'13. Updated Demand'!A:Z,23,FALSE))</f>
        <v>2.41</v>
      </c>
      <c r="AG1251" s="16">
        <f>IF(ISERROR(VLOOKUP($A1251,'13. Updated Demand'!A:Z,24,FALSE)),0,VLOOKUP($A1251,'13. Updated Demand'!A:Z,24,FALSE))</f>
        <v>1.1100000000000001</v>
      </c>
      <c r="AH1251" s="16">
        <f>IF(ISERROR(VLOOKUP($A1251,'13. Updated Demand'!A:Z,25,FALSE)),0,VLOOKUP($A1251,'13. Updated Demand'!A:Z,25,FALSE))</f>
        <v>0</v>
      </c>
      <c r="AI1251" s="16">
        <f>IF(ISERROR(VLOOKUP($A1251,'13. Updated Demand'!A:Z,26,FALSE)),0,VLOOKUP($A1251,'13. Updated Demand'!A:Z,26,FALSE))</f>
        <v>0</v>
      </c>
      <c r="AJ1251" s="16">
        <f t="shared" si="240"/>
        <v>16.27</v>
      </c>
      <c r="AK1251" s="19">
        <v>15.18</v>
      </c>
      <c r="AL1251" s="16">
        <f t="shared" si="238"/>
        <v>5.035033083550583E-2</v>
      </c>
      <c r="AM1251" s="17">
        <v>4.7231081472890693E-2</v>
      </c>
      <c r="AN1251" s="19"/>
      <c r="AO1251" s="19"/>
      <c r="AP1251" s="19">
        <v>344.9</v>
      </c>
      <c r="AQ1251" s="19" t="s">
        <v>307</v>
      </c>
      <c r="AR1251" s="9" t="s">
        <v>333</v>
      </c>
      <c r="AS1251" s="12">
        <v>0</v>
      </c>
      <c r="AT1251" s="19">
        <v>39.103251139999998</v>
      </c>
      <c r="AU1251" s="19">
        <v>-123.18341992000001</v>
      </c>
      <c r="AV1251" s="19" t="s">
        <v>387</v>
      </c>
    </row>
    <row r="1252" spans="1:48" x14ac:dyDescent="0.25">
      <c r="A1252" s="18" t="s">
        <v>1629</v>
      </c>
      <c r="B1252" s="10">
        <v>19500103</v>
      </c>
      <c r="C1252" s="9">
        <v>2</v>
      </c>
      <c r="D1252" s="8" t="str">
        <f t="shared" si="229"/>
        <v>N</v>
      </c>
      <c r="E1252" s="8" t="str">
        <f t="shared" si="230"/>
        <v>N</v>
      </c>
      <c r="F1252" s="8" t="str">
        <f t="shared" si="231"/>
        <v>Y</v>
      </c>
      <c r="G1252" s="8" t="str">
        <f t="shared" si="232"/>
        <v>N</v>
      </c>
      <c r="H1252" s="8" t="str">
        <f t="shared" si="233"/>
        <v>Upper</v>
      </c>
      <c r="I1252" s="8" t="str">
        <f t="shared" si="234"/>
        <v>Outside</v>
      </c>
      <c r="J1252" s="8" t="str">
        <f t="shared" si="235"/>
        <v>Outside</v>
      </c>
      <c r="K1252" s="8" t="str">
        <f t="shared" si="236"/>
        <v>Post-1949</v>
      </c>
      <c r="L1252" s="8">
        <f t="shared" si="237"/>
        <v>1950</v>
      </c>
      <c r="M1252" s="8" t="str">
        <f t="shared" si="239"/>
        <v>1950-1952</v>
      </c>
      <c r="N1252" s="10" t="s">
        <v>242</v>
      </c>
      <c r="O1252" s="10" t="s">
        <v>241</v>
      </c>
      <c r="P1252" s="10" t="s">
        <v>242</v>
      </c>
      <c r="Q1252" s="10" t="s">
        <v>242</v>
      </c>
      <c r="R1252" s="10" t="s">
        <v>241</v>
      </c>
      <c r="S1252" s="10" t="s">
        <v>242</v>
      </c>
      <c r="T1252" s="10" t="s">
        <v>242</v>
      </c>
      <c r="U1252" s="10" t="s">
        <v>242</v>
      </c>
      <c r="V1252" s="10" t="s">
        <v>242</v>
      </c>
      <c r="W1252" s="10" t="s">
        <v>242</v>
      </c>
      <c r="X1252" s="15">
        <f>IF(ISERROR(VLOOKUP($A1252,'13. Updated Demand'!A:Z,15,FALSE)),0,VLOOKUP($A1252,'13. Updated Demand'!A:Z,15,FALSE))</f>
        <v>0</v>
      </c>
      <c r="Y1252" s="16">
        <f>IF(ISERROR(VLOOKUP($A1252,'13. Updated Demand'!A:Z,16,FALSE)),0,VLOOKUP($A1252,'13. Updated Demand'!A:Z,16,FALSE))</f>
        <v>0</v>
      </c>
      <c r="Z1252" s="16">
        <f>IF(ISERROR(VLOOKUP($A1252,'13. Updated Demand'!A:Z,17,FALSE)),0,VLOOKUP($A1252,'13. Updated Demand'!A:Z,17,FALSE))</f>
        <v>3.83</v>
      </c>
      <c r="AA1252" s="16">
        <f>IF(ISERROR(VLOOKUP($A1252,'13. Updated Demand'!A:Z,18,FALSE)),0,VLOOKUP($A1252,'13. Updated Demand'!A:Z,18,FALSE))</f>
        <v>3</v>
      </c>
      <c r="AB1252" s="16">
        <f>IF(ISERROR(VLOOKUP($A1252,'13. Updated Demand'!A:Z,19,FALSE)),0,VLOOKUP($A1252,'13. Updated Demand'!A:Z,19,FALSE))</f>
        <v>3.31</v>
      </c>
      <c r="AC1252" s="16">
        <f>IF(ISERROR(VLOOKUP($A1252,'13. Updated Demand'!A:Z,20,FALSE)),0,VLOOKUP($A1252,'13. Updated Demand'!A:Z,20,FALSE))</f>
        <v>3.7</v>
      </c>
      <c r="AD1252" s="16">
        <f>IF(ISERROR(VLOOKUP($A1252,'13. Updated Demand'!A:Z,21,FALSE)),0,VLOOKUP($A1252,'13. Updated Demand'!A:Z,21,FALSE))</f>
        <v>4.22</v>
      </c>
      <c r="AE1252" s="16">
        <f>IF(ISERROR(VLOOKUP($A1252,'13. Updated Demand'!A:Z,22,FALSE)),0,VLOOKUP($A1252,'13. Updated Demand'!A:Z,22,FALSE))</f>
        <v>1.03</v>
      </c>
      <c r="AF1252" s="16">
        <f>IF(ISERROR(VLOOKUP($A1252,'13. Updated Demand'!A:Z,23,FALSE)),0,VLOOKUP($A1252,'13. Updated Demand'!A:Z,23,FALSE))</f>
        <v>2.54</v>
      </c>
      <c r="AG1252" s="16">
        <f>IF(ISERROR(VLOOKUP($A1252,'13. Updated Demand'!A:Z,24,FALSE)),0,VLOOKUP($A1252,'13. Updated Demand'!A:Z,24,FALSE))</f>
        <v>3.58</v>
      </c>
      <c r="AH1252" s="16">
        <f>IF(ISERROR(VLOOKUP($A1252,'13. Updated Demand'!A:Z,25,FALSE)),0,VLOOKUP($A1252,'13. Updated Demand'!A:Z,25,FALSE))</f>
        <v>0</v>
      </c>
      <c r="AI1252" s="16">
        <f>IF(ISERROR(VLOOKUP($A1252,'13. Updated Demand'!A:Z,26,FALSE)),0,VLOOKUP($A1252,'13. Updated Demand'!A:Z,26,FALSE))</f>
        <v>0</v>
      </c>
      <c r="AJ1252" s="16">
        <f t="shared" si="240"/>
        <v>25.21</v>
      </c>
      <c r="AK1252" s="19">
        <v>14.826666668000001</v>
      </c>
      <c r="AL1252" s="16">
        <f t="shared" si="238"/>
        <v>4.9178364421710599E-2</v>
      </c>
      <c r="AM1252" s="17">
        <v>0.2286533816485507</v>
      </c>
      <c r="AN1252" s="19"/>
      <c r="AO1252" s="19"/>
      <c r="AP1252" s="19">
        <v>110.4</v>
      </c>
      <c r="AQ1252" s="19" t="s">
        <v>307</v>
      </c>
      <c r="AR1252" s="9" t="s">
        <v>348</v>
      </c>
      <c r="AS1252" s="12">
        <v>0</v>
      </c>
      <c r="AT1252" s="19">
        <v>39.36080844</v>
      </c>
      <c r="AU1252" s="19">
        <v>-123.12831366</v>
      </c>
      <c r="AV1252" s="19" t="s">
        <v>433</v>
      </c>
    </row>
    <row r="1253" spans="1:48" x14ac:dyDescent="0.25">
      <c r="A1253" s="18" t="s">
        <v>1630</v>
      </c>
      <c r="B1253" s="10">
        <v>19501009</v>
      </c>
      <c r="C1253" s="9">
        <v>10</v>
      </c>
      <c r="D1253" s="8" t="str">
        <f t="shared" si="229"/>
        <v>N</v>
      </c>
      <c r="E1253" s="8" t="str">
        <f t="shared" si="230"/>
        <v>Y</v>
      </c>
      <c r="F1253" s="8" t="str">
        <f t="shared" si="231"/>
        <v>Y</v>
      </c>
      <c r="G1253" s="8" t="str">
        <f t="shared" si="232"/>
        <v>Y</v>
      </c>
      <c r="H1253" s="8" t="str">
        <f t="shared" si="233"/>
        <v>Upper</v>
      </c>
      <c r="I1253" s="8" t="str">
        <f t="shared" si="234"/>
        <v>West Fork and Below Lake</v>
      </c>
      <c r="J1253" s="8" t="str">
        <f t="shared" si="235"/>
        <v>Sonoma (d/s of Clov. Gage)</v>
      </c>
      <c r="K1253" s="8" t="str">
        <f t="shared" si="236"/>
        <v>Post-1949</v>
      </c>
      <c r="L1253" s="8">
        <f t="shared" si="237"/>
        <v>1950</v>
      </c>
      <c r="M1253" s="8" t="str">
        <f t="shared" si="239"/>
        <v>1950-1952</v>
      </c>
      <c r="N1253" s="10" t="s">
        <v>241</v>
      </c>
      <c r="O1253" s="10" t="s">
        <v>241</v>
      </c>
      <c r="P1253" s="10" t="s">
        <v>242</v>
      </c>
      <c r="Q1253" s="10" t="s">
        <v>242</v>
      </c>
      <c r="R1253" s="10" t="s">
        <v>241</v>
      </c>
      <c r="S1253" s="10" t="s">
        <v>242</v>
      </c>
      <c r="T1253" s="10" t="s">
        <v>242</v>
      </c>
      <c r="U1253" s="10" t="s">
        <v>242</v>
      </c>
      <c r="V1253" s="10" t="s">
        <v>242</v>
      </c>
      <c r="W1253" s="10" t="s">
        <v>242</v>
      </c>
      <c r="X1253" s="15">
        <f>IF(ISERROR(VLOOKUP($A1253,'13. Updated Demand'!A:Z,15,FALSE)),0,VLOOKUP($A1253,'13. Updated Demand'!A:Z,15,FALSE))</f>
        <v>0</v>
      </c>
      <c r="Y1253" s="16">
        <f>IF(ISERROR(VLOOKUP($A1253,'13. Updated Demand'!A:Z,16,FALSE)),0,VLOOKUP($A1253,'13. Updated Demand'!A:Z,16,FALSE))</f>
        <v>0</v>
      </c>
      <c r="Z1253" s="16">
        <f>IF(ISERROR(VLOOKUP($A1253,'13. Updated Demand'!A:Z,17,FALSE)),0,VLOOKUP($A1253,'13. Updated Demand'!A:Z,17,FALSE))</f>
        <v>0</v>
      </c>
      <c r="AA1253" s="16">
        <f>IF(ISERROR(VLOOKUP($A1253,'13. Updated Demand'!A:Z,18,FALSE)),0,VLOOKUP($A1253,'13. Updated Demand'!A:Z,18,FALSE))</f>
        <v>0</v>
      </c>
      <c r="AB1253" s="16">
        <f>IF(ISERROR(VLOOKUP($A1253,'13. Updated Demand'!A:Z,19,FALSE)),0,VLOOKUP($A1253,'13. Updated Demand'!A:Z,19,FALSE))</f>
        <v>0</v>
      </c>
      <c r="AC1253" s="16">
        <f>IF(ISERROR(VLOOKUP($A1253,'13. Updated Demand'!A:Z,20,FALSE)),0,VLOOKUP($A1253,'13. Updated Demand'!A:Z,20,FALSE))</f>
        <v>0.48</v>
      </c>
      <c r="AD1253" s="16">
        <f>IF(ISERROR(VLOOKUP($A1253,'13. Updated Demand'!A:Z,21,FALSE)),0,VLOOKUP($A1253,'13. Updated Demand'!A:Z,21,FALSE))</f>
        <v>4.75</v>
      </c>
      <c r="AE1253" s="16">
        <f>IF(ISERROR(VLOOKUP($A1253,'13. Updated Demand'!A:Z,22,FALSE)),0,VLOOKUP($A1253,'13. Updated Demand'!A:Z,22,FALSE))</f>
        <v>4.8499999999999996</v>
      </c>
      <c r="AF1253" s="16">
        <f>IF(ISERROR(VLOOKUP($A1253,'13. Updated Demand'!A:Z,23,FALSE)),0,VLOOKUP($A1253,'13. Updated Demand'!A:Z,23,FALSE))</f>
        <v>3.39</v>
      </c>
      <c r="AG1253" s="16">
        <f>IF(ISERROR(VLOOKUP($A1253,'13. Updated Demand'!A:Z,24,FALSE)),0,VLOOKUP($A1253,'13. Updated Demand'!A:Z,24,FALSE))</f>
        <v>4.47</v>
      </c>
      <c r="AH1253" s="16">
        <f>IF(ISERROR(VLOOKUP($A1253,'13. Updated Demand'!A:Z,25,FALSE)),0,VLOOKUP($A1253,'13. Updated Demand'!A:Z,25,FALSE))</f>
        <v>0.04</v>
      </c>
      <c r="AI1253" s="16">
        <f>IF(ISERROR(VLOOKUP($A1253,'13. Updated Demand'!A:Z,26,FALSE)),0,VLOOKUP($A1253,'13. Updated Demand'!A:Z,26,FALSE))</f>
        <v>0</v>
      </c>
      <c r="AJ1253" s="16">
        <f t="shared" si="240"/>
        <v>17.98</v>
      </c>
      <c r="AK1253" s="19">
        <v>13.480000000000004</v>
      </c>
      <c r="AL1253" s="16">
        <f t="shared" si="238"/>
        <v>4.4711624483703472E-2</v>
      </c>
      <c r="AM1253" s="17">
        <v>0.14016095534787126</v>
      </c>
      <c r="AN1253" s="19"/>
      <c r="AO1253" s="19"/>
      <c r="AP1253" s="19">
        <v>128.4</v>
      </c>
      <c r="AQ1253" s="19" t="s">
        <v>307</v>
      </c>
      <c r="AR1253" s="9" t="s">
        <v>436</v>
      </c>
      <c r="AS1253" s="12">
        <v>0</v>
      </c>
      <c r="AT1253" s="19">
        <v>38.707999999999998</v>
      </c>
      <c r="AU1253" s="19">
        <v>-122.8963</v>
      </c>
      <c r="AV1253" s="19" t="s">
        <v>548</v>
      </c>
    </row>
    <row r="1254" spans="1:48" x14ac:dyDescent="0.25">
      <c r="A1254" s="18" t="s">
        <v>1631</v>
      </c>
      <c r="B1254" s="10">
        <v>19500622</v>
      </c>
      <c r="C1254" s="9">
        <v>9</v>
      </c>
      <c r="D1254" s="8" t="str">
        <f t="shared" si="229"/>
        <v>N</v>
      </c>
      <c r="E1254" s="8" t="str">
        <f t="shared" si="230"/>
        <v>Y</v>
      </c>
      <c r="F1254" s="8" t="str">
        <f t="shared" si="231"/>
        <v>Y</v>
      </c>
      <c r="G1254" s="8" t="str">
        <f t="shared" si="232"/>
        <v>Y</v>
      </c>
      <c r="H1254" s="8" t="str">
        <f t="shared" si="233"/>
        <v>Upper</v>
      </c>
      <c r="I1254" s="8" t="str">
        <f t="shared" si="234"/>
        <v>West Fork and Below Lake</v>
      </c>
      <c r="J1254" s="8" t="str">
        <f t="shared" si="235"/>
        <v>Sonoma (d/s of Clov. Gage)</v>
      </c>
      <c r="K1254" s="8" t="str">
        <f t="shared" si="236"/>
        <v>Post-1949</v>
      </c>
      <c r="L1254" s="8">
        <f t="shared" si="237"/>
        <v>1950</v>
      </c>
      <c r="M1254" s="8" t="str">
        <f t="shared" si="239"/>
        <v>1950-1952</v>
      </c>
      <c r="N1254" s="10" t="s">
        <v>241</v>
      </c>
      <c r="O1254" s="10" t="s">
        <v>241</v>
      </c>
      <c r="P1254" s="10" t="s">
        <v>242</v>
      </c>
      <c r="Q1254" s="10" t="s">
        <v>242</v>
      </c>
      <c r="R1254" s="10" t="s">
        <v>241</v>
      </c>
      <c r="S1254" s="10" t="s">
        <v>242</v>
      </c>
      <c r="T1254" s="10" t="s">
        <v>242</v>
      </c>
      <c r="U1254" s="10" t="s">
        <v>242</v>
      </c>
      <c r="V1254" s="10" t="s">
        <v>242</v>
      </c>
      <c r="W1254" s="10" t="s">
        <v>242</v>
      </c>
      <c r="X1254" s="15">
        <f>IF(ISERROR(VLOOKUP($A1254,'13. Updated Demand'!A:Z,15,FALSE)),0,VLOOKUP($A1254,'13. Updated Demand'!A:Z,15,FALSE))</f>
        <v>0</v>
      </c>
      <c r="Y1254" s="16">
        <f>IF(ISERROR(VLOOKUP($A1254,'13. Updated Demand'!A:Z,16,FALSE)),0,VLOOKUP($A1254,'13. Updated Demand'!A:Z,16,FALSE))</f>
        <v>0</v>
      </c>
      <c r="Z1254" s="16">
        <f>IF(ISERROR(VLOOKUP($A1254,'13. Updated Demand'!A:Z,17,FALSE)),0,VLOOKUP($A1254,'13. Updated Demand'!A:Z,17,FALSE))</f>
        <v>0</v>
      </c>
      <c r="AA1254" s="16">
        <f>IF(ISERROR(VLOOKUP($A1254,'13. Updated Demand'!A:Z,18,FALSE)),0,VLOOKUP($A1254,'13. Updated Demand'!A:Z,18,FALSE))</f>
        <v>6.6666666666666697E-3</v>
      </c>
      <c r="AB1254" s="16">
        <f>IF(ISERROR(VLOOKUP($A1254,'13. Updated Demand'!A:Z,19,FALSE)),0,VLOOKUP($A1254,'13. Updated Demand'!A:Z,19,FALSE))</f>
        <v>0.44</v>
      </c>
      <c r="AC1254" s="16">
        <f>IF(ISERROR(VLOOKUP($A1254,'13. Updated Demand'!A:Z,20,FALSE)),0,VLOOKUP($A1254,'13. Updated Demand'!A:Z,20,FALSE))</f>
        <v>1.43</v>
      </c>
      <c r="AD1254" s="16">
        <f>IF(ISERROR(VLOOKUP($A1254,'13. Updated Demand'!A:Z,21,FALSE)),0,VLOOKUP($A1254,'13. Updated Demand'!A:Z,21,FALSE))</f>
        <v>3.5</v>
      </c>
      <c r="AE1254" s="16">
        <f>IF(ISERROR(VLOOKUP($A1254,'13. Updated Demand'!A:Z,22,FALSE)),0,VLOOKUP($A1254,'13. Updated Demand'!A:Z,22,FALSE))</f>
        <v>3.83</v>
      </c>
      <c r="AF1254" s="16">
        <f>IF(ISERROR(VLOOKUP($A1254,'13. Updated Demand'!A:Z,23,FALSE)),0,VLOOKUP($A1254,'13. Updated Demand'!A:Z,23,FALSE))</f>
        <v>3.56</v>
      </c>
      <c r="AG1254" s="16">
        <f>IF(ISERROR(VLOOKUP($A1254,'13. Updated Demand'!A:Z,24,FALSE)),0,VLOOKUP($A1254,'13. Updated Demand'!A:Z,24,FALSE))</f>
        <v>0</v>
      </c>
      <c r="AH1254" s="16">
        <f>IF(ISERROR(VLOOKUP($A1254,'13. Updated Demand'!A:Z,25,FALSE)),0,VLOOKUP($A1254,'13. Updated Demand'!A:Z,25,FALSE))</f>
        <v>0</v>
      </c>
      <c r="AI1254" s="16">
        <f>IF(ISERROR(VLOOKUP($A1254,'13. Updated Demand'!A:Z,26,FALSE)),0,VLOOKUP($A1254,'13. Updated Demand'!A:Z,26,FALSE))</f>
        <v>0</v>
      </c>
      <c r="AJ1254" s="16">
        <f t="shared" si="240"/>
        <v>12.766666666666667</v>
      </c>
      <c r="AK1254" s="19">
        <v>12.77333333333333</v>
      </c>
      <c r="AL1254" s="16">
        <f t="shared" si="238"/>
        <v>4.236769164726796E-2</v>
      </c>
      <c r="AM1254" s="17">
        <v>0.10775716694772343</v>
      </c>
      <c r="AN1254" s="19"/>
      <c r="AO1254" s="19"/>
      <c r="AP1254" s="19">
        <v>118.6</v>
      </c>
      <c r="AQ1254" s="19" t="s">
        <v>307</v>
      </c>
      <c r="AR1254" s="9" t="s">
        <v>354</v>
      </c>
      <c r="AS1254" s="12">
        <v>0</v>
      </c>
      <c r="AT1254" s="19">
        <v>38.792673090000001</v>
      </c>
      <c r="AU1254" s="19">
        <v>-123.00948025</v>
      </c>
      <c r="AV1254" s="19" t="s">
        <v>548</v>
      </c>
    </row>
    <row r="1255" spans="1:48" x14ac:dyDescent="0.25">
      <c r="A1255" s="18" t="s">
        <v>1632</v>
      </c>
      <c r="B1255" s="10">
        <v>19501122</v>
      </c>
      <c r="C1255" s="9">
        <v>15</v>
      </c>
      <c r="D1255" s="8" t="str">
        <f t="shared" si="229"/>
        <v>N</v>
      </c>
      <c r="E1255" s="8" t="str">
        <f t="shared" si="230"/>
        <v>N</v>
      </c>
      <c r="F1255" s="8" t="str">
        <f t="shared" si="231"/>
        <v>N</v>
      </c>
      <c r="G1255" s="8" t="str">
        <f t="shared" si="232"/>
        <v>N</v>
      </c>
      <c r="H1255" s="8" t="str">
        <f t="shared" si="233"/>
        <v>Lower</v>
      </c>
      <c r="I1255" s="8" t="str">
        <f t="shared" si="234"/>
        <v>Outside</v>
      </c>
      <c r="J1255" s="8" t="str">
        <f t="shared" si="235"/>
        <v>Outside</v>
      </c>
      <c r="K1255" s="8" t="str">
        <f t="shared" si="236"/>
        <v>Post-1949</v>
      </c>
      <c r="L1255" s="8">
        <f t="shared" si="237"/>
        <v>1950</v>
      </c>
      <c r="M1255" s="8" t="str">
        <f t="shared" si="239"/>
        <v>1950-1952</v>
      </c>
      <c r="N1255" s="10" t="s">
        <v>242</v>
      </c>
      <c r="O1255" s="10" t="s">
        <v>242</v>
      </c>
      <c r="P1255" s="10" t="s">
        <v>242</v>
      </c>
      <c r="Q1255" s="10" t="s">
        <v>242</v>
      </c>
      <c r="R1255" s="10" t="s">
        <v>241</v>
      </c>
      <c r="S1255" s="10" t="s">
        <v>242</v>
      </c>
      <c r="T1255" s="10" t="s">
        <v>242</v>
      </c>
      <c r="U1255" s="10" t="s">
        <v>242</v>
      </c>
      <c r="V1255" s="10" t="s">
        <v>242</v>
      </c>
      <c r="W1255" s="10" t="s">
        <v>242</v>
      </c>
      <c r="X1255" s="15">
        <f>IF(ISERROR(VLOOKUP($A1255,'13. Updated Demand'!A:Z,15,FALSE)),0,VLOOKUP($A1255,'13. Updated Demand'!A:Z,15,FALSE))</f>
        <v>0</v>
      </c>
      <c r="Y1255" s="16">
        <f>IF(ISERROR(VLOOKUP($A1255,'13. Updated Demand'!A:Z,16,FALSE)),0,VLOOKUP($A1255,'13. Updated Demand'!A:Z,16,FALSE))</f>
        <v>0</v>
      </c>
      <c r="Z1255" s="16">
        <f>IF(ISERROR(VLOOKUP($A1255,'13. Updated Demand'!A:Z,17,FALSE)),0,VLOOKUP($A1255,'13. Updated Demand'!A:Z,17,FALSE))</f>
        <v>0</v>
      </c>
      <c r="AA1255" s="16">
        <f>IF(ISERROR(VLOOKUP($A1255,'13. Updated Demand'!A:Z,18,FALSE)),0,VLOOKUP($A1255,'13. Updated Demand'!A:Z,18,FALSE))</f>
        <v>0.51523492999999998</v>
      </c>
      <c r="AB1255" s="16">
        <f>IF(ISERROR(VLOOKUP($A1255,'13. Updated Demand'!A:Z,19,FALSE)),0,VLOOKUP($A1255,'13. Updated Demand'!A:Z,19,FALSE))</f>
        <v>0.89972037299999996</v>
      </c>
      <c r="AC1255" s="16">
        <f>IF(ISERROR(VLOOKUP($A1255,'13. Updated Demand'!A:Z,20,FALSE)),0,VLOOKUP($A1255,'13. Updated Demand'!A:Z,20,FALSE))</f>
        <v>1.1946040490000001</v>
      </c>
      <c r="AD1255" s="16">
        <f>IF(ISERROR(VLOOKUP($A1255,'13. Updated Demand'!A:Z,21,FALSE)),0,VLOOKUP($A1255,'13. Updated Demand'!A:Z,21,FALSE))</f>
        <v>2.2275167589999998</v>
      </c>
      <c r="AE1255" s="16">
        <f>IF(ISERROR(VLOOKUP($A1255,'13. Updated Demand'!A:Z,22,FALSE)),0,VLOOKUP($A1255,'13. Updated Demand'!A:Z,22,FALSE))</f>
        <v>3.2273699499999999</v>
      </c>
      <c r="AF1255" s="16">
        <f>IF(ISERROR(VLOOKUP($A1255,'13. Updated Demand'!A:Z,23,FALSE)),0,VLOOKUP($A1255,'13. Updated Demand'!A:Z,23,FALSE))</f>
        <v>3.985861753</v>
      </c>
      <c r="AG1255" s="16">
        <f>IF(ISERROR(VLOOKUP($A1255,'13. Updated Demand'!A:Z,24,FALSE)),0,VLOOKUP($A1255,'13. Updated Demand'!A:Z,24,FALSE))</f>
        <v>2.2390945000000002</v>
      </c>
      <c r="AH1255" s="16">
        <f>IF(ISERROR(VLOOKUP($A1255,'13. Updated Demand'!A:Z,25,FALSE)),0,VLOOKUP($A1255,'13. Updated Demand'!A:Z,25,FALSE))</f>
        <v>0.36405546900000002</v>
      </c>
      <c r="AI1255" s="16">
        <f>IF(ISERROR(VLOOKUP($A1255,'13. Updated Demand'!A:Z,26,FALSE)),0,VLOOKUP($A1255,'13. Updated Demand'!A:Z,26,FALSE))</f>
        <v>0.19689493</v>
      </c>
      <c r="AJ1255" s="16">
        <f t="shared" si="240"/>
        <v>14.850352712999999</v>
      </c>
      <c r="AK1255" s="19">
        <v>11.535072884000003</v>
      </c>
      <c r="AL1255" s="16">
        <f t="shared" si="238"/>
        <v>3.826052278794944E-2</v>
      </c>
      <c r="AM1255" s="17">
        <v>0.23497393534810124</v>
      </c>
      <c r="AN1255" s="19"/>
      <c r="AO1255" s="19"/>
      <c r="AP1255" s="19">
        <v>63.2</v>
      </c>
      <c r="AQ1255" s="19" t="s">
        <v>307</v>
      </c>
      <c r="AR1255" s="9" t="s">
        <v>489</v>
      </c>
      <c r="AS1255" s="12">
        <v>3.4039024194010059E-4</v>
      </c>
      <c r="AT1255" s="19">
        <v>38.683101010000001</v>
      </c>
      <c r="AU1255" s="19">
        <v>-122.94486680999999</v>
      </c>
      <c r="AV1255" s="19" t="s">
        <v>701</v>
      </c>
    </row>
    <row r="1256" spans="1:48" x14ac:dyDescent="0.25">
      <c r="A1256" s="18" t="s">
        <v>1633</v>
      </c>
      <c r="B1256" s="10">
        <v>19500320</v>
      </c>
      <c r="C1256" s="9">
        <v>16</v>
      </c>
      <c r="D1256" s="8" t="str">
        <f t="shared" si="229"/>
        <v>N</v>
      </c>
      <c r="E1256" s="8" t="str">
        <f t="shared" si="230"/>
        <v>N</v>
      </c>
      <c r="F1256" s="8" t="str">
        <f t="shared" si="231"/>
        <v>N</v>
      </c>
      <c r="G1256" s="8" t="str">
        <f t="shared" si="232"/>
        <v>N</v>
      </c>
      <c r="H1256" s="8" t="str">
        <f t="shared" si="233"/>
        <v>Lower</v>
      </c>
      <c r="I1256" s="8" t="str">
        <f t="shared" si="234"/>
        <v>Outside</v>
      </c>
      <c r="J1256" s="8" t="str">
        <f t="shared" si="235"/>
        <v>Outside</v>
      </c>
      <c r="K1256" s="8" t="str">
        <f t="shared" si="236"/>
        <v>Post-1949</v>
      </c>
      <c r="L1256" s="8">
        <f t="shared" si="237"/>
        <v>1950</v>
      </c>
      <c r="M1256" s="8" t="str">
        <f t="shared" si="239"/>
        <v>1950-1952</v>
      </c>
      <c r="N1256" s="10" t="s">
        <v>242</v>
      </c>
      <c r="O1256" s="10" t="s">
        <v>242</v>
      </c>
      <c r="P1256" s="10" t="s">
        <v>242</v>
      </c>
      <c r="Q1256" s="10" t="s">
        <v>242</v>
      </c>
      <c r="R1256" s="10" t="s">
        <v>241</v>
      </c>
      <c r="S1256" s="10" t="s">
        <v>242</v>
      </c>
      <c r="T1256" s="10" t="s">
        <v>242</v>
      </c>
      <c r="U1256" s="10" t="s">
        <v>242</v>
      </c>
      <c r="V1256" s="10" t="s">
        <v>242</v>
      </c>
      <c r="W1256" s="10" t="s">
        <v>242</v>
      </c>
      <c r="X1256" s="15">
        <f>IF(ISERROR(VLOOKUP($A1256,'13. Updated Demand'!A:Z,15,FALSE)),0,VLOOKUP($A1256,'13. Updated Demand'!A:Z,15,FALSE))</f>
        <v>0</v>
      </c>
      <c r="Y1256" s="16">
        <f>IF(ISERROR(VLOOKUP($A1256,'13. Updated Demand'!A:Z,16,FALSE)),0,VLOOKUP($A1256,'13. Updated Demand'!A:Z,16,FALSE))</f>
        <v>0</v>
      </c>
      <c r="Z1256" s="16">
        <f>IF(ISERROR(VLOOKUP($A1256,'13. Updated Demand'!A:Z,17,FALSE)),0,VLOOKUP($A1256,'13. Updated Demand'!A:Z,17,FALSE))</f>
        <v>0</v>
      </c>
      <c r="AA1256" s="16">
        <f>IF(ISERROR(VLOOKUP($A1256,'13. Updated Demand'!A:Z,18,FALSE)),0,VLOOKUP($A1256,'13. Updated Demand'!A:Z,18,FALSE))</f>
        <v>0.57666666700000002</v>
      </c>
      <c r="AB1256" s="16">
        <f>IF(ISERROR(VLOOKUP($A1256,'13. Updated Demand'!A:Z,19,FALSE)),0,VLOOKUP($A1256,'13. Updated Demand'!A:Z,19,FALSE))</f>
        <v>1.58</v>
      </c>
      <c r="AC1256" s="16">
        <f>IF(ISERROR(VLOOKUP($A1256,'13. Updated Demand'!A:Z,20,FALSE)),0,VLOOKUP($A1256,'13. Updated Demand'!A:Z,20,FALSE))</f>
        <v>3.0633333330000001</v>
      </c>
      <c r="AD1256" s="16">
        <f>IF(ISERROR(VLOOKUP($A1256,'13. Updated Demand'!A:Z,21,FALSE)),0,VLOOKUP($A1256,'13. Updated Demand'!A:Z,21,FALSE))</f>
        <v>2.5666666669999998</v>
      </c>
      <c r="AE1256" s="16">
        <f>IF(ISERROR(VLOOKUP($A1256,'13. Updated Demand'!A:Z,22,FALSE)),0,VLOOKUP($A1256,'13. Updated Demand'!A:Z,22,FALSE))</f>
        <v>2.096666667</v>
      </c>
      <c r="AF1256" s="16">
        <f>IF(ISERROR(VLOOKUP($A1256,'13. Updated Demand'!A:Z,23,FALSE)),0,VLOOKUP($A1256,'13. Updated Demand'!A:Z,23,FALSE))</f>
        <v>1.076666667</v>
      </c>
      <c r="AG1256" s="16">
        <f>IF(ISERROR(VLOOKUP($A1256,'13. Updated Demand'!A:Z,24,FALSE)),0,VLOOKUP($A1256,'13. Updated Demand'!A:Z,24,FALSE))</f>
        <v>0.296666667</v>
      </c>
      <c r="AH1256" s="16">
        <f>IF(ISERROR(VLOOKUP($A1256,'13. Updated Demand'!A:Z,25,FALSE)),0,VLOOKUP($A1256,'13. Updated Demand'!A:Z,25,FALSE))</f>
        <v>0</v>
      </c>
      <c r="AI1256" s="16">
        <f>IF(ISERROR(VLOOKUP($A1256,'13. Updated Demand'!A:Z,26,FALSE)),0,VLOOKUP($A1256,'13. Updated Demand'!A:Z,26,FALSE))</f>
        <v>0</v>
      </c>
      <c r="AJ1256" s="16">
        <f t="shared" si="240"/>
        <v>11.256666667999999</v>
      </c>
      <c r="AK1256" s="19">
        <v>10.383333334</v>
      </c>
      <c r="AL1256" s="16">
        <f t="shared" si="238"/>
        <v>3.4440333896062963E-2</v>
      </c>
      <c r="AM1256" s="17">
        <v>6.6176758777189884E-2</v>
      </c>
      <c r="AN1256" s="19"/>
      <c r="AO1256" s="19"/>
      <c r="AP1256" s="19">
        <v>170.1</v>
      </c>
      <c r="AQ1256" s="19" t="s">
        <v>307</v>
      </c>
      <c r="AR1256" s="9" t="s">
        <v>394</v>
      </c>
      <c r="AS1256" s="12">
        <v>0</v>
      </c>
      <c r="AT1256" s="19">
        <v>38.636330200000003</v>
      </c>
      <c r="AU1256" s="19">
        <v>-122.90415913</v>
      </c>
      <c r="AV1256" s="19" t="s">
        <v>701</v>
      </c>
    </row>
    <row r="1257" spans="1:48" x14ac:dyDescent="0.25">
      <c r="A1257" s="18" t="s">
        <v>1634</v>
      </c>
      <c r="B1257" s="10">
        <v>19501103</v>
      </c>
      <c r="C1257" s="9">
        <v>10</v>
      </c>
      <c r="D1257" s="8" t="str">
        <f t="shared" si="229"/>
        <v>N</v>
      </c>
      <c r="E1257" s="8" t="str">
        <f t="shared" si="230"/>
        <v>Y</v>
      </c>
      <c r="F1257" s="8" t="str">
        <f t="shared" si="231"/>
        <v>Y</v>
      </c>
      <c r="G1257" s="8" t="str">
        <f t="shared" si="232"/>
        <v>Y</v>
      </c>
      <c r="H1257" s="8" t="str">
        <f t="shared" si="233"/>
        <v>Upper</v>
      </c>
      <c r="I1257" s="8" t="str">
        <f t="shared" si="234"/>
        <v>West Fork and Below Lake</v>
      </c>
      <c r="J1257" s="8" t="str">
        <f t="shared" si="235"/>
        <v>Sonoma (d/s of Clov. Gage)</v>
      </c>
      <c r="K1257" s="8" t="str">
        <f t="shared" si="236"/>
        <v>Post-1949</v>
      </c>
      <c r="L1257" s="8">
        <f t="shared" si="237"/>
        <v>1950</v>
      </c>
      <c r="M1257" s="8" t="str">
        <f t="shared" si="239"/>
        <v>1950-1952</v>
      </c>
      <c r="N1257" s="10" t="s">
        <v>241</v>
      </c>
      <c r="O1257" s="10" t="s">
        <v>241</v>
      </c>
      <c r="P1257" s="10" t="s">
        <v>242</v>
      </c>
      <c r="Q1257" s="10" t="s">
        <v>242</v>
      </c>
      <c r="R1257" s="10" t="s">
        <v>241</v>
      </c>
      <c r="S1257" s="10" t="s">
        <v>242</v>
      </c>
      <c r="T1257" s="10" t="s">
        <v>242</v>
      </c>
      <c r="U1257" s="10" t="s">
        <v>242</v>
      </c>
      <c r="V1257" s="10" t="s">
        <v>242</v>
      </c>
      <c r="W1257" s="10" t="s">
        <v>242</v>
      </c>
      <c r="X1257" s="15">
        <f>IF(ISERROR(VLOOKUP($A1257,'13. Updated Demand'!A:Z,15,FALSE)),0,VLOOKUP($A1257,'13. Updated Demand'!A:Z,15,FALSE))</f>
        <v>0</v>
      </c>
      <c r="Y1257" s="16">
        <f>IF(ISERROR(VLOOKUP($A1257,'13. Updated Demand'!A:Z,16,FALSE)),0,VLOOKUP($A1257,'13. Updated Demand'!A:Z,16,FALSE))</f>
        <v>0</v>
      </c>
      <c r="Z1257" s="16">
        <f>IF(ISERROR(VLOOKUP($A1257,'13. Updated Demand'!A:Z,17,FALSE)),0,VLOOKUP($A1257,'13. Updated Demand'!A:Z,17,FALSE))</f>
        <v>0</v>
      </c>
      <c r="AA1257" s="16">
        <f>IF(ISERROR(VLOOKUP($A1257,'13. Updated Demand'!A:Z,18,FALSE)),0,VLOOKUP($A1257,'13. Updated Demand'!A:Z,18,FALSE))</f>
        <v>0</v>
      </c>
      <c r="AB1257" s="16">
        <f>IF(ISERROR(VLOOKUP($A1257,'13. Updated Demand'!A:Z,19,FALSE)),0,VLOOKUP($A1257,'13. Updated Demand'!A:Z,19,FALSE))</f>
        <v>0</v>
      </c>
      <c r="AC1257" s="16">
        <f>IF(ISERROR(VLOOKUP($A1257,'13. Updated Demand'!A:Z,20,FALSE)),0,VLOOKUP($A1257,'13. Updated Demand'!A:Z,20,FALSE))</f>
        <v>1.2</v>
      </c>
      <c r="AD1257" s="16">
        <f>IF(ISERROR(VLOOKUP($A1257,'13. Updated Demand'!A:Z,21,FALSE)),0,VLOOKUP($A1257,'13. Updated Demand'!A:Z,21,FALSE))</f>
        <v>2.63</v>
      </c>
      <c r="AE1257" s="16">
        <f>IF(ISERROR(VLOOKUP($A1257,'13. Updated Demand'!A:Z,22,FALSE)),0,VLOOKUP($A1257,'13. Updated Demand'!A:Z,22,FALSE))</f>
        <v>2.5</v>
      </c>
      <c r="AF1257" s="16">
        <f>IF(ISERROR(VLOOKUP($A1257,'13. Updated Demand'!A:Z,23,FALSE)),0,VLOOKUP($A1257,'13. Updated Demand'!A:Z,23,FALSE))</f>
        <v>3.03</v>
      </c>
      <c r="AG1257" s="16">
        <f>IF(ISERROR(VLOOKUP($A1257,'13. Updated Demand'!A:Z,24,FALSE)),0,VLOOKUP($A1257,'13. Updated Demand'!A:Z,24,FALSE))</f>
        <v>0</v>
      </c>
      <c r="AH1257" s="16">
        <f>IF(ISERROR(VLOOKUP($A1257,'13. Updated Demand'!A:Z,25,FALSE)),0,VLOOKUP($A1257,'13. Updated Demand'!A:Z,25,FALSE))</f>
        <v>0</v>
      </c>
      <c r="AI1257" s="16">
        <f>IF(ISERROR(VLOOKUP($A1257,'13. Updated Demand'!A:Z,26,FALSE)),0,VLOOKUP($A1257,'13. Updated Demand'!A:Z,26,FALSE))</f>
        <v>0</v>
      </c>
      <c r="AJ1257" s="16">
        <f t="shared" si="240"/>
        <v>9.36</v>
      </c>
      <c r="AK1257" s="19">
        <v>9.36666666666666</v>
      </c>
      <c r="AL1257" s="16">
        <f t="shared" si="238"/>
        <v>3.1068166369734581E-2</v>
      </c>
      <c r="AM1257" s="17">
        <v>0.48034188034188002</v>
      </c>
      <c r="AN1257" s="19"/>
      <c r="AO1257" s="19"/>
      <c r="AP1257" s="19">
        <v>19.5</v>
      </c>
      <c r="AQ1257" s="19" t="s">
        <v>307</v>
      </c>
      <c r="AR1257" s="9" t="s">
        <v>436</v>
      </c>
      <c r="AS1257" s="12">
        <v>0</v>
      </c>
      <c r="AT1257" s="19">
        <v>38.688636500000001</v>
      </c>
      <c r="AU1257" s="19">
        <v>-122.86890990000001</v>
      </c>
      <c r="AV1257" s="19" t="s">
        <v>548</v>
      </c>
    </row>
    <row r="1258" spans="1:48" x14ac:dyDescent="0.25">
      <c r="A1258" s="18" t="s">
        <v>1635</v>
      </c>
      <c r="B1258" s="10">
        <v>19501120</v>
      </c>
      <c r="C1258" s="9">
        <v>17</v>
      </c>
      <c r="D1258" s="8" t="str">
        <f t="shared" si="229"/>
        <v>N</v>
      </c>
      <c r="E1258" s="8" t="str">
        <f t="shared" si="230"/>
        <v>N</v>
      </c>
      <c r="F1258" s="8" t="str">
        <f t="shared" si="231"/>
        <v>N</v>
      </c>
      <c r="G1258" s="8" t="str">
        <f t="shared" si="232"/>
        <v>N</v>
      </c>
      <c r="H1258" s="8" t="str">
        <f t="shared" si="233"/>
        <v>Lower</v>
      </c>
      <c r="I1258" s="8" t="str">
        <f t="shared" si="234"/>
        <v>Outside</v>
      </c>
      <c r="J1258" s="8" t="str">
        <f t="shared" si="235"/>
        <v>Outside</v>
      </c>
      <c r="K1258" s="8" t="str">
        <f t="shared" si="236"/>
        <v>Post-1949</v>
      </c>
      <c r="L1258" s="8">
        <f t="shared" si="237"/>
        <v>1950</v>
      </c>
      <c r="M1258" s="8" t="str">
        <f t="shared" si="239"/>
        <v>1950-1952</v>
      </c>
      <c r="N1258" s="10" t="s">
        <v>241</v>
      </c>
      <c r="O1258" s="10" t="s">
        <v>242</v>
      </c>
      <c r="P1258" s="10" t="s">
        <v>242</v>
      </c>
      <c r="Q1258" s="10" t="s">
        <v>242</v>
      </c>
      <c r="R1258" s="10" t="s">
        <v>241</v>
      </c>
      <c r="S1258" s="10" t="s">
        <v>242</v>
      </c>
      <c r="T1258" s="10" t="s">
        <v>242</v>
      </c>
      <c r="U1258" s="10" t="s">
        <v>242</v>
      </c>
      <c r="V1258" s="10" t="s">
        <v>242</v>
      </c>
      <c r="W1258" s="10" t="s">
        <v>242</v>
      </c>
      <c r="X1258" s="15">
        <f>IF(ISERROR(VLOOKUP($A1258,'13. Updated Demand'!A:Z,15,FALSE)),0,VLOOKUP($A1258,'13. Updated Demand'!A:Z,15,FALSE))</f>
        <v>0</v>
      </c>
      <c r="Y1258" s="16">
        <f>IF(ISERROR(VLOOKUP($A1258,'13. Updated Demand'!A:Z,16,FALSE)),0,VLOOKUP($A1258,'13. Updated Demand'!A:Z,16,FALSE))</f>
        <v>0</v>
      </c>
      <c r="Z1258" s="16">
        <f>IF(ISERROR(VLOOKUP($A1258,'13. Updated Demand'!A:Z,17,FALSE)),0,VLOOKUP($A1258,'13. Updated Demand'!A:Z,17,FALSE))</f>
        <v>0</v>
      </c>
      <c r="AA1258" s="16">
        <f>IF(ISERROR(VLOOKUP($A1258,'13. Updated Demand'!A:Z,18,FALSE)),0,VLOOKUP($A1258,'13. Updated Demand'!A:Z,18,FALSE))</f>
        <v>0</v>
      </c>
      <c r="AB1258" s="16">
        <f>IF(ISERROR(VLOOKUP($A1258,'13. Updated Demand'!A:Z,19,FALSE)),0,VLOOKUP($A1258,'13. Updated Demand'!A:Z,19,FALSE))</f>
        <v>0.41123333299999998</v>
      </c>
      <c r="AC1258" s="16">
        <f>IF(ISERROR(VLOOKUP($A1258,'13. Updated Demand'!A:Z,20,FALSE)),0,VLOOKUP($A1258,'13. Updated Demand'!A:Z,20,FALSE))</f>
        <v>1.177466667</v>
      </c>
      <c r="AD1258" s="16">
        <f>IF(ISERROR(VLOOKUP($A1258,'13. Updated Demand'!A:Z,21,FALSE)),0,VLOOKUP($A1258,'13. Updated Demand'!A:Z,21,FALSE))</f>
        <v>3.0554000000000001</v>
      </c>
      <c r="AE1258" s="16">
        <f>IF(ISERROR(VLOOKUP($A1258,'13. Updated Demand'!A:Z,22,FALSE)),0,VLOOKUP($A1258,'13. Updated Demand'!A:Z,22,FALSE))</f>
        <v>2.8092666670000002</v>
      </c>
      <c r="AF1258" s="16">
        <f>IF(ISERROR(VLOOKUP($A1258,'13. Updated Demand'!A:Z,23,FALSE)),0,VLOOKUP($A1258,'13. Updated Demand'!A:Z,23,FALSE))</f>
        <v>1.190066667</v>
      </c>
      <c r="AG1258" s="16">
        <f>IF(ISERROR(VLOOKUP($A1258,'13. Updated Demand'!A:Z,24,FALSE)),0,VLOOKUP($A1258,'13. Updated Demand'!A:Z,24,FALSE))</f>
        <v>0.45853333299999999</v>
      </c>
      <c r="AH1258" s="16">
        <f>IF(ISERROR(VLOOKUP($A1258,'13. Updated Demand'!A:Z,25,FALSE)),0,VLOOKUP($A1258,'13. Updated Demand'!A:Z,25,FALSE))</f>
        <v>7.6666666999999994E-2</v>
      </c>
      <c r="AI1258" s="16">
        <f>IF(ISERROR(VLOOKUP($A1258,'13. Updated Demand'!A:Z,26,FALSE)),0,VLOOKUP($A1258,'13. Updated Demand'!A:Z,26,FALSE))</f>
        <v>0</v>
      </c>
      <c r="AJ1258" s="16">
        <f t="shared" si="240"/>
        <v>9.1786333340000006</v>
      </c>
      <c r="AK1258" s="19">
        <v>8.6434333340000009</v>
      </c>
      <c r="AL1258" s="16">
        <f t="shared" si="238"/>
        <v>2.8669283789297707E-2</v>
      </c>
      <c r="AM1258" s="17">
        <v>8.3442121218181828E-2</v>
      </c>
      <c r="AN1258" s="19"/>
      <c r="AO1258" s="19"/>
      <c r="AP1258" s="19">
        <v>110</v>
      </c>
      <c r="AQ1258" s="19" t="s">
        <v>307</v>
      </c>
      <c r="AR1258" s="9" t="s">
        <v>486</v>
      </c>
      <c r="AS1258" s="12">
        <v>0</v>
      </c>
      <c r="AT1258" s="19">
        <v>38.573067680000001</v>
      </c>
      <c r="AU1258" s="19">
        <v>-122.86365513</v>
      </c>
      <c r="AV1258" s="19" t="s">
        <v>548</v>
      </c>
    </row>
    <row r="1259" spans="1:48" x14ac:dyDescent="0.25">
      <c r="A1259" s="18" t="s">
        <v>1636</v>
      </c>
      <c r="B1259" s="10">
        <v>19501113</v>
      </c>
      <c r="C1259" s="9">
        <v>10</v>
      </c>
      <c r="D1259" s="8" t="str">
        <f t="shared" si="229"/>
        <v>N</v>
      </c>
      <c r="E1259" s="8" t="str">
        <f t="shared" si="230"/>
        <v>Y</v>
      </c>
      <c r="F1259" s="8" t="str">
        <f t="shared" si="231"/>
        <v>Y</v>
      </c>
      <c r="G1259" s="8" t="str">
        <f t="shared" si="232"/>
        <v>Y</v>
      </c>
      <c r="H1259" s="8" t="str">
        <f t="shared" si="233"/>
        <v>Upper</v>
      </c>
      <c r="I1259" s="8" t="str">
        <f t="shared" si="234"/>
        <v>West Fork and Below Lake</v>
      </c>
      <c r="J1259" s="8" t="str">
        <f t="shared" si="235"/>
        <v>Sonoma (d/s of Clov. Gage)</v>
      </c>
      <c r="K1259" s="8" t="str">
        <f t="shared" si="236"/>
        <v>Post-1949</v>
      </c>
      <c r="L1259" s="8">
        <f t="shared" si="237"/>
        <v>1950</v>
      </c>
      <c r="M1259" s="8" t="str">
        <f t="shared" si="239"/>
        <v>1950-1952</v>
      </c>
      <c r="N1259" s="10" t="s">
        <v>241</v>
      </c>
      <c r="O1259" s="10" t="s">
        <v>241</v>
      </c>
      <c r="P1259" s="10" t="s">
        <v>242</v>
      </c>
      <c r="Q1259" s="10" t="s">
        <v>242</v>
      </c>
      <c r="R1259" s="10" t="s">
        <v>241</v>
      </c>
      <c r="S1259" s="10" t="s">
        <v>242</v>
      </c>
      <c r="T1259" s="10" t="s">
        <v>242</v>
      </c>
      <c r="U1259" s="10" t="s">
        <v>242</v>
      </c>
      <c r="V1259" s="10" t="s">
        <v>242</v>
      </c>
      <c r="W1259" s="10" t="s">
        <v>242</v>
      </c>
      <c r="X1259" s="15">
        <f>IF(ISERROR(VLOOKUP($A1259,'13. Updated Demand'!A:Z,15,FALSE)),0,VLOOKUP($A1259,'13. Updated Demand'!A:Z,15,FALSE))</f>
        <v>0</v>
      </c>
      <c r="Y1259" s="16">
        <f>IF(ISERROR(VLOOKUP($A1259,'13. Updated Demand'!A:Z,16,FALSE)),0,VLOOKUP($A1259,'13. Updated Demand'!A:Z,16,FALSE))</f>
        <v>0</v>
      </c>
      <c r="Z1259" s="16">
        <f>IF(ISERROR(VLOOKUP($A1259,'13. Updated Demand'!A:Z,17,FALSE)),0,VLOOKUP($A1259,'13. Updated Demand'!A:Z,17,FALSE))</f>
        <v>0</v>
      </c>
      <c r="AA1259" s="16">
        <f>IF(ISERROR(VLOOKUP($A1259,'13. Updated Demand'!A:Z,18,FALSE)),0,VLOOKUP($A1259,'13. Updated Demand'!A:Z,18,FALSE))</f>
        <v>0.06</v>
      </c>
      <c r="AB1259" s="16">
        <f>IF(ISERROR(VLOOKUP($A1259,'13. Updated Demand'!A:Z,19,FALSE)),0,VLOOKUP($A1259,'13. Updated Demand'!A:Z,19,FALSE))</f>
        <v>0.36</v>
      </c>
      <c r="AC1259" s="16">
        <f>IF(ISERROR(VLOOKUP($A1259,'13. Updated Demand'!A:Z,20,FALSE)),0,VLOOKUP($A1259,'13. Updated Demand'!A:Z,20,FALSE))</f>
        <v>1.23</v>
      </c>
      <c r="AD1259" s="16">
        <f>IF(ISERROR(VLOOKUP($A1259,'13. Updated Demand'!A:Z,21,FALSE)),0,VLOOKUP($A1259,'13. Updated Demand'!A:Z,21,FALSE))</f>
        <v>2.33</v>
      </c>
      <c r="AE1259" s="16">
        <f>IF(ISERROR(VLOOKUP($A1259,'13. Updated Demand'!A:Z,22,FALSE)),0,VLOOKUP($A1259,'13. Updated Demand'!A:Z,22,FALSE))</f>
        <v>2.66</v>
      </c>
      <c r="AF1259" s="16">
        <f>IF(ISERROR(VLOOKUP($A1259,'13. Updated Demand'!A:Z,23,FALSE)),0,VLOOKUP($A1259,'13. Updated Demand'!A:Z,23,FALSE))</f>
        <v>1.6</v>
      </c>
      <c r="AG1259" s="16">
        <f>IF(ISERROR(VLOOKUP($A1259,'13. Updated Demand'!A:Z,24,FALSE)),0,VLOOKUP($A1259,'13. Updated Demand'!A:Z,24,FALSE))</f>
        <v>0.8</v>
      </c>
      <c r="AH1259" s="16">
        <f>IF(ISERROR(VLOOKUP($A1259,'13. Updated Demand'!A:Z,25,FALSE)),0,VLOOKUP($A1259,'13. Updated Demand'!A:Z,25,FALSE))</f>
        <v>0</v>
      </c>
      <c r="AI1259" s="16">
        <f>IF(ISERROR(VLOOKUP($A1259,'13. Updated Demand'!A:Z,26,FALSE)),0,VLOOKUP($A1259,'13. Updated Demand'!A:Z,26,FALSE))</f>
        <v>0</v>
      </c>
      <c r="AJ1259" s="16">
        <f t="shared" si="240"/>
        <v>9.0400000000000009</v>
      </c>
      <c r="AK1259" s="19">
        <v>8.1999999999999975</v>
      </c>
      <c r="AL1259" s="16">
        <f t="shared" si="238"/>
        <v>2.7198465932223165E-2</v>
      </c>
      <c r="AM1259" s="17">
        <v>0.15187046342825233</v>
      </c>
      <c r="AN1259" s="19"/>
      <c r="AO1259" s="19"/>
      <c r="AP1259" s="19">
        <v>59.7</v>
      </c>
      <c r="AQ1259" s="19" t="s">
        <v>307</v>
      </c>
      <c r="AR1259" s="9" t="s">
        <v>436</v>
      </c>
      <c r="AS1259" s="12">
        <v>0</v>
      </c>
      <c r="AT1259" s="19">
        <v>38.701284100000002</v>
      </c>
      <c r="AU1259" s="19">
        <v>-122.88500875</v>
      </c>
      <c r="AV1259" s="19" t="s">
        <v>548</v>
      </c>
    </row>
    <row r="1260" spans="1:48" x14ac:dyDescent="0.25">
      <c r="A1260" s="18" t="s">
        <v>1637</v>
      </c>
      <c r="B1260" s="10">
        <v>19500426</v>
      </c>
      <c r="C1260" s="9">
        <v>2</v>
      </c>
      <c r="D1260" s="8" t="str">
        <f t="shared" si="229"/>
        <v>N</v>
      </c>
      <c r="E1260" s="8" t="str">
        <f t="shared" si="230"/>
        <v>N</v>
      </c>
      <c r="F1260" s="8" t="str">
        <f t="shared" si="231"/>
        <v>Y</v>
      </c>
      <c r="G1260" s="8" t="str">
        <f t="shared" si="232"/>
        <v>N</v>
      </c>
      <c r="H1260" s="8" t="str">
        <f t="shared" si="233"/>
        <v>Upper</v>
      </c>
      <c r="I1260" s="8" t="str">
        <f t="shared" si="234"/>
        <v>Outside</v>
      </c>
      <c r="J1260" s="8" t="str">
        <f t="shared" si="235"/>
        <v>Outside</v>
      </c>
      <c r="K1260" s="8" t="str">
        <f t="shared" si="236"/>
        <v>Post-1949</v>
      </c>
      <c r="L1260" s="8">
        <f t="shared" si="237"/>
        <v>1950</v>
      </c>
      <c r="M1260" s="8" t="str">
        <f t="shared" si="239"/>
        <v>1950-1952</v>
      </c>
      <c r="N1260" s="10" t="s">
        <v>242</v>
      </c>
      <c r="O1260" s="10" t="s">
        <v>241</v>
      </c>
      <c r="P1260" s="10" t="s">
        <v>242</v>
      </c>
      <c r="Q1260" s="10" t="s">
        <v>242</v>
      </c>
      <c r="R1260" s="10" t="s">
        <v>241</v>
      </c>
      <c r="S1260" s="10" t="s">
        <v>242</v>
      </c>
      <c r="T1260" s="10" t="s">
        <v>242</v>
      </c>
      <c r="U1260" s="10" t="s">
        <v>242</v>
      </c>
      <c r="V1260" s="10" t="s">
        <v>242</v>
      </c>
      <c r="W1260" s="10" t="s">
        <v>242</v>
      </c>
      <c r="X1260" s="15">
        <f>IF(ISERROR(VLOOKUP($A1260,'13. Updated Demand'!A:Z,15,FALSE)),0,VLOOKUP($A1260,'13. Updated Demand'!A:Z,15,FALSE))</f>
        <v>0</v>
      </c>
      <c r="Y1260" s="16">
        <f>IF(ISERROR(VLOOKUP($A1260,'13. Updated Demand'!A:Z,16,FALSE)),0,VLOOKUP($A1260,'13. Updated Demand'!A:Z,16,FALSE))</f>
        <v>0</v>
      </c>
      <c r="Z1260" s="16">
        <f>IF(ISERROR(VLOOKUP($A1260,'13. Updated Demand'!A:Z,17,FALSE)),0,VLOOKUP($A1260,'13. Updated Demand'!A:Z,17,FALSE))</f>
        <v>0</v>
      </c>
      <c r="AA1260" s="16">
        <f>IF(ISERROR(VLOOKUP($A1260,'13. Updated Demand'!A:Z,18,FALSE)),0,VLOOKUP($A1260,'13. Updated Demand'!A:Z,18,FALSE))</f>
        <v>1.26</v>
      </c>
      <c r="AB1260" s="16">
        <f>IF(ISERROR(VLOOKUP($A1260,'13. Updated Demand'!A:Z,19,FALSE)),0,VLOOKUP($A1260,'13. Updated Demand'!A:Z,19,FALSE))</f>
        <v>1.26</v>
      </c>
      <c r="AC1260" s="16">
        <f>IF(ISERROR(VLOOKUP($A1260,'13. Updated Demand'!A:Z,20,FALSE)),0,VLOOKUP($A1260,'13. Updated Demand'!A:Z,20,FALSE))</f>
        <v>1.26</v>
      </c>
      <c r="AD1260" s="16">
        <f>IF(ISERROR(VLOOKUP($A1260,'13. Updated Demand'!A:Z,21,FALSE)),0,VLOOKUP($A1260,'13. Updated Demand'!A:Z,21,FALSE))</f>
        <v>1.53</v>
      </c>
      <c r="AE1260" s="16">
        <f>IF(ISERROR(VLOOKUP($A1260,'13. Updated Demand'!A:Z,22,FALSE)),0,VLOOKUP($A1260,'13. Updated Demand'!A:Z,22,FALSE))</f>
        <v>1.53</v>
      </c>
      <c r="AF1260" s="16">
        <f>IF(ISERROR(VLOOKUP($A1260,'13. Updated Demand'!A:Z,23,FALSE)),0,VLOOKUP($A1260,'13. Updated Demand'!A:Z,23,FALSE))</f>
        <v>1.53</v>
      </c>
      <c r="AG1260" s="16">
        <f>IF(ISERROR(VLOOKUP($A1260,'13. Updated Demand'!A:Z,24,FALSE)),0,VLOOKUP($A1260,'13. Updated Demand'!A:Z,24,FALSE))</f>
        <v>1.26</v>
      </c>
      <c r="AH1260" s="16">
        <f>IF(ISERROR(VLOOKUP($A1260,'13. Updated Demand'!A:Z,25,FALSE)),0,VLOOKUP($A1260,'13. Updated Demand'!A:Z,25,FALSE))</f>
        <v>0</v>
      </c>
      <c r="AI1260" s="16">
        <f>IF(ISERROR(VLOOKUP($A1260,'13. Updated Demand'!A:Z,26,FALSE)),0,VLOOKUP($A1260,'13. Updated Demand'!A:Z,26,FALSE))</f>
        <v>0</v>
      </c>
      <c r="AJ1260" s="16">
        <f t="shared" si="240"/>
        <v>9.6300000000000008</v>
      </c>
      <c r="AK1260" s="19">
        <v>7.1253333349999997</v>
      </c>
      <c r="AL1260" s="16">
        <f t="shared" si="238"/>
        <v>2.3633919020455078E-2</v>
      </c>
      <c r="AM1260" s="17">
        <v>0.90155763261682254</v>
      </c>
      <c r="AN1260" s="19"/>
      <c r="AO1260" s="19"/>
      <c r="AP1260" s="19">
        <v>10.7</v>
      </c>
      <c r="AQ1260" s="19" t="s">
        <v>307</v>
      </c>
      <c r="AR1260" s="9" t="s">
        <v>348</v>
      </c>
      <c r="AS1260" s="12">
        <v>0</v>
      </c>
      <c r="AT1260" s="19">
        <v>39.321202810000003</v>
      </c>
      <c r="AU1260" s="19">
        <v>-123.10646959</v>
      </c>
      <c r="AV1260" s="19" t="s">
        <v>542</v>
      </c>
    </row>
    <row r="1261" spans="1:48" x14ac:dyDescent="0.25">
      <c r="A1261" s="18" t="s">
        <v>78</v>
      </c>
      <c r="B1261" s="10">
        <v>19500705</v>
      </c>
      <c r="C1261" s="9">
        <v>10</v>
      </c>
      <c r="D1261" s="8" t="str">
        <f t="shared" si="229"/>
        <v>N</v>
      </c>
      <c r="E1261" s="8" t="str">
        <f t="shared" si="230"/>
        <v>Y</v>
      </c>
      <c r="F1261" s="8" t="str">
        <f t="shared" si="231"/>
        <v>Y</v>
      </c>
      <c r="G1261" s="8" t="str">
        <f t="shared" si="232"/>
        <v>Y</v>
      </c>
      <c r="H1261" s="8" t="str">
        <f t="shared" si="233"/>
        <v>Upper</v>
      </c>
      <c r="I1261" s="8" t="str">
        <f t="shared" si="234"/>
        <v>West Fork and Below Lake</v>
      </c>
      <c r="J1261" s="8" t="str">
        <f t="shared" si="235"/>
        <v>Sonoma (d/s of Clov. Gage)</v>
      </c>
      <c r="K1261" s="8" t="str">
        <f t="shared" si="236"/>
        <v>Post-1949</v>
      </c>
      <c r="L1261" s="8">
        <f t="shared" si="237"/>
        <v>1950</v>
      </c>
      <c r="M1261" s="8" t="str">
        <f t="shared" si="239"/>
        <v>1950-1952</v>
      </c>
      <c r="N1261" s="10" t="s">
        <v>241</v>
      </c>
      <c r="O1261" s="10" t="s">
        <v>241</v>
      </c>
      <c r="P1261" s="10" t="s">
        <v>242</v>
      </c>
      <c r="Q1261" s="10" t="s">
        <v>242</v>
      </c>
      <c r="R1261" s="10" t="s">
        <v>241</v>
      </c>
      <c r="S1261" s="10" t="s">
        <v>242</v>
      </c>
      <c r="T1261" s="10" t="s">
        <v>242</v>
      </c>
      <c r="U1261" s="10" t="s">
        <v>242</v>
      </c>
      <c r="V1261" s="10" t="s">
        <v>242</v>
      </c>
      <c r="W1261" s="10" t="s">
        <v>242</v>
      </c>
      <c r="X1261" s="15">
        <f>IF(ISERROR(VLOOKUP($A1261,'13. Updated Demand'!A:Z,15,FALSE)),0,VLOOKUP($A1261,'13. Updated Demand'!A:Z,15,FALSE))</f>
        <v>0</v>
      </c>
      <c r="Y1261" s="16">
        <f>IF(ISERROR(VLOOKUP($A1261,'13. Updated Demand'!A:Z,16,FALSE)),0,VLOOKUP($A1261,'13. Updated Demand'!A:Z,16,FALSE))</f>
        <v>0</v>
      </c>
      <c r="Z1261" s="16">
        <f>IF(ISERROR(VLOOKUP($A1261,'13. Updated Demand'!A:Z,17,FALSE)),0,VLOOKUP($A1261,'13. Updated Demand'!A:Z,17,FALSE))</f>
        <v>0</v>
      </c>
      <c r="AA1261" s="16">
        <f>IF(ISERROR(VLOOKUP($A1261,'13. Updated Demand'!A:Z,18,FALSE)),0,VLOOKUP($A1261,'13. Updated Demand'!A:Z,18,FALSE))</f>
        <v>0</v>
      </c>
      <c r="AB1261" s="16">
        <f>IF(ISERROR(VLOOKUP($A1261,'13. Updated Demand'!A:Z,19,FALSE)),0,VLOOKUP($A1261,'13. Updated Demand'!A:Z,19,FALSE))</f>
        <v>0.56000000000000005</v>
      </c>
      <c r="AC1261" s="16">
        <f>IF(ISERROR(VLOOKUP($A1261,'13. Updated Demand'!A:Z,20,FALSE)),0,VLOOKUP($A1261,'13. Updated Demand'!A:Z,20,FALSE))</f>
        <v>1.26</v>
      </c>
      <c r="AD1261" s="16">
        <f>IF(ISERROR(VLOOKUP($A1261,'13. Updated Demand'!A:Z,21,FALSE)),0,VLOOKUP($A1261,'13. Updated Demand'!A:Z,21,FALSE))</f>
        <v>1.43</v>
      </c>
      <c r="AE1261" s="16">
        <f>IF(ISERROR(VLOOKUP($A1261,'13. Updated Demand'!A:Z,22,FALSE)),0,VLOOKUP($A1261,'13. Updated Demand'!A:Z,22,FALSE))</f>
        <v>1.46</v>
      </c>
      <c r="AF1261" s="16">
        <f>IF(ISERROR(VLOOKUP($A1261,'13. Updated Demand'!A:Z,23,FALSE)),0,VLOOKUP($A1261,'13. Updated Demand'!A:Z,23,FALSE))</f>
        <v>1.43</v>
      </c>
      <c r="AG1261" s="16">
        <f>IF(ISERROR(VLOOKUP($A1261,'13. Updated Demand'!A:Z,24,FALSE)),0,VLOOKUP($A1261,'13. Updated Demand'!A:Z,24,FALSE))</f>
        <v>0.5</v>
      </c>
      <c r="AH1261" s="16">
        <f>IF(ISERROR(VLOOKUP($A1261,'13. Updated Demand'!A:Z,25,FALSE)),0,VLOOKUP($A1261,'13. Updated Demand'!A:Z,25,FALSE))</f>
        <v>0</v>
      </c>
      <c r="AI1261" s="16">
        <f>IF(ISERROR(VLOOKUP($A1261,'13. Updated Demand'!A:Z,26,FALSE)),0,VLOOKUP($A1261,'13. Updated Demand'!A:Z,26,FALSE))</f>
        <v>0</v>
      </c>
      <c r="AJ1261" s="16">
        <f t="shared" si="240"/>
        <v>6.64</v>
      </c>
      <c r="AK1261" s="19">
        <v>6.166666666666667</v>
      </c>
      <c r="AL1261" s="16">
        <f t="shared" si="238"/>
        <v>2.0454130883988973E-2</v>
      </c>
      <c r="AM1261" s="17">
        <v>0.14214641080312723</v>
      </c>
      <c r="AN1261" s="19"/>
      <c r="AO1261" s="19"/>
      <c r="AP1261" s="19">
        <v>46.9</v>
      </c>
      <c r="AQ1261" s="19" t="s">
        <v>307</v>
      </c>
      <c r="AR1261" s="9" t="s">
        <v>436</v>
      </c>
      <c r="AS1261" s="12">
        <v>0</v>
      </c>
      <c r="AT1261" s="19">
        <v>38.682987109999999</v>
      </c>
      <c r="AU1261" s="19">
        <v>-122.85307569</v>
      </c>
      <c r="AV1261" s="19" t="s">
        <v>548</v>
      </c>
    </row>
    <row r="1262" spans="1:48" x14ac:dyDescent="0.25">
      <c r="A1262" s="18" t="s">
        <v>1638</v>
      </c>
      <c r="B1262" s="10">
        <v>19500705</v>
      </c>
      <c r="C1262" s="9">
        <v>10</v>
      </c>
      <c r="D1262" s="8" t="str">
        <f t="shared" si="229"/>
        <v>N</v>
      </c>
      <c r="E1262" s="8" t="str">
        <f t="shared" si="230"/>
        <v>Y</v>
      </c>
      <c r="F1262" s="8" t="str">
        <f t="shared" si="231"/>
        <v>Y</v>
      </c>
      <c r="G1262" s="8" t="str">
        <f t="shared" si="232"/>
        <v>Y</v>
      </c>
      <c r="H1262" s="8" t="str">
        <f t="shared" si="233"/>
        <v>Upper</v>
      </c>
      <c r="I1262" s="8" t="str">
        <f t="shared" si="234"/>
        <v>West Fork and Below Lake</v>
      </c>
      <c r="J1262" s="8" t="str">
        <f t="shared" si="235"/>
        <v>Sonoma (d/s of Clov. Gage)</v>
      </c>
      <c r="K1262" s="8" t="str">
        <f t="shared" si="236"/>
        <v>Post-1949</v>
      </c>
      <c r="L1262" s="8">
        <f t="shared" si="237"/>
        <v>1950</v>
      </c>
      <c r="M1262" s="8" t="str">
        <f t="shared" si="239"/>
        <v>1950-1952</v>
      </c>
      <c r="N1262" s="10" t="s">
        <v>241</v>
      </c>
      <c r="O1262" s="10" t="s">
        <v>241</v>
      </c>
      <c r="P1262" s="10" t="s">
        <v>242</v>
      </c>
      <c r="Q1262" s="10" t="s">
        <v>242</v>
      </c>
      <c r="R1262" s="10" t="s">
        <v>241</v>
      </c>
      <c r="S1262" s="10" t="s">
        <v>242</v>
      </c>
      <c r="T1262" s="10" t="s">
        <v>242</v>
      </c>
      <c r="U1262" s="10" t="s">
        <v>242</v>
      </c>
      <c r="V1262" s="10" t="s">
        <v>242</v>
      </c>
      <c r="W1262" s="10" t="s">
        <v>242</v>
      </c>
      <c r="X1262" s="15">
        <f>IF(ISERROR(VLOOKUP($A1262,'13. Updated Demand'!A:Z,15,FALSE)),0,VLOOKUP($A1262,'13. Updated Demand'!A:Z,15,FALSE))</f>
        <v>0</v>
      </c>
      <c r="Y1262" s="16">
        <f>IF(ISERROR(VLOOKUP($A1262,'13. Updated Demand'!A:Z,16,FALSE)),0,VLOOKUP($A1262,'13. Updated Demand'!A:Z,16,FALSE))</f>
        <v>0</v>
      </c>
      <c r="Z1262" s="16">
        <f>IF(ISERROR(VLOOKUP($A1262,'13. Updated Demand'!A:Z,17,FALSE)),0,VLOOKUP($A1262,'13. Updated Demand'!A:Z,17,FALSE))</f>
        <v>0</v>
      </c>
      <c r="AA1262" s="16">
        <f>IF(ISERROR(VLOOKUP($A1262,'13. Updated Demand'!A:Z,18,FALSE)),0,VLOOKUP($A1262,'13. Updated Demand'!A:Z,18,FALSE))</f>
        <v>0</v>
      </c>
      <c r="AB1262" s="16">
        <f>IF(ISERROR(VLOOKUP($A1262,'13. Updated Demand'!A:Z,19,FALSE)),0,VLOOKUP($A1262,'13. Updated Demand'!A:Z,19,FALSE))</f>
        <v>0</v>
      </c>
      <c r="AC1262" s="16">
        <f>IF(ISERROR(VLOOKUP($A1262,'13. Updated Demand'!A:Z,20,FALSE)),0,VLOOKUP($A1262,'13. Updated Demand'!A:Z,20,FALSE))</f>
        <v>0.88</v>
      </c>
      <c r="AD1262" s="16">
        <f>IF(ISERROR(VLOOKUP($A1262,'13. Updated Demand'!A:Z,21,FALSE)),0,VLOOKUP($A1262,'13. Updated Demand'!A:Z,21,FALSE))</f>
        <v>1.47</v>
      </c>
      <c r="AE1262" s="16">
        <f>IF(ISERROR(VLOOKUP($A1262,'13. Updated Demand'!A:Z,22,FALSE)),0,VLOOKUP($A1262,'13. Updated Demand'!A:Z,22,FALSE))</f>
        <v>1.17</v>
      </c>
      <c r="AF1262" s="16">
        <f>IF(ISERROR(VLOOKUP($A1262,'13. Updated Demand'!A:Z,23,FALSE)),0,VLOOKUP($A1262,'13. Updated Demand'!A:Z,23,FALSE))</f>
        <v>1.47</v>
      </c>
      <c r="AG1262" s="16">
        <f>IF(ISERROR(VLOOKUP($A1262,'13. Updated Demand'!A:Z,24,FALSE)),0,VLOOKUP($A1262,'13. Updated Demand'!A:Z,24,FALSE))</f>
        <v>1.02</v>
      </c>
      <c r="AH1262" s="16">
        <f>IF(ISERROR(VLOOKUP($A1262,'13. Updated Demand'!A:Z,25,FALSE)),0,VLOOKUP($A1262,'13. Updated Demand'!A:Z,25,FALSE))</f>
        <v>0</v>
      </c>
      <c r="AI1262" s="16">
        <f>IF(ISERROR(VLOOKUP($A1262,'13. Updated Demand'!A:Z,26,FALSE)),0,VLOOKUP($A1262,'13. Updated Demand'!A:Z,26,FALSE))</f>
        <v>0</v>
      </c>
      <c r="AJ1262" s="16">
        <f t="shared" si="240"/>
        <v>6.01</v>
      </c>
      <c r="AK1262" s="19">
        <v>4.9999999999999902</v>
      </c>
      <c r="AL1262" s="16">
        <f t="shared" si="238"/>
        <v>1.6584430446477512E-2</v>
      </c>
      <c r="AM1262" s="17">
        <v>0.24903581267217606</v>
      </c>
      <c r="AN1262" s="19"/>
      <c r="AO1262" s="19"/>
      <c r="AP1262" s="19">
        <v>24.2</v>
      </c>
      <c r="AQ1262" s="19" t="s">
        <v>307</v>
      </c>
      <c r="AR1262" s="9" t="s">
        <v>436</v>
      </c>
      <c r="AS1262" s="12">
        <v>0</v>
      </c>
      <c r="AT1262" s="19">
        <v>38.711496179999997</v>
      </c>
      <c r="AU1262" s="19">
        <v>-122.89617579</v>
      </c>
      <c r="AV1262" s="19" t="s">
        <v>548</v>
      </c>
    </row>
    <row r="1263" spans="1:48" x14ac:dyDescent="0.25">
      <c r="A1263" s="18" t="s">
        <v>1639</v>
      </c>
      <c r="B1263" s="10">
        <v>19500522</v>
      </c>
      <c r="C1263" s="9">
        <v>6</v>
      </c>
      <c r="D1263" s="8" t="str">
        <f t="shared" si="229"/>
        <v>Y</v>
      </c>
      <c r="E1263" s="8" t="str">
        <f t="shared" si="230"/>
        <v>N</v>
      </c>
      <c r="F1263" s="8" t="str">
        <f t="shared" si="231"/>
        <v>Y</v>
      </c>
      <c r="G1263" s="8" t="str">
        <f t="shared" si="232"/>
        <v>Y</v>
      </c>
      <c r="H1263" s="8" t="str">
        <f t="shared" si="233"/>
        <v>Upper</v>
      </c>
      <c r="I1263" s="8" t="str">
        <f t="shared" si="234"/>
        <v>West Fork and Below Lake</v>
      </c>
      <c r="J1263" s="8" t="str">
        <f t="shared" si="235"/>
        <v>Mendocino (d/s of lake)</v>
      </c>
      <c r="K1263" s="8" t="str">
        <f t="shared" si="236"/>
        <v>Post-1949</v>
      </c>
      <c r="L1263" s="8">
        <f t="shared" si="237"/>
        <v>1950</v>
      </c>
      <c r="M1263" s="8" t="str">
        <f t="shared" si="239"/>
        <v>1950-1952</v>
      </c>
      <c r="N1263" s="10" t="s">
        <v>241</v>
      </c>
      <c r="O1263" s="10" t="s">
        <v>241</v>
      </c>
      <c r="P1263" s="10" t="s">
        <v>242</v>
      </c>
      <c r="Q1263" s="10" t="s">
        <v>242</v>
      </c>
      <c r="R1263" s="10" t="s">
        <v>241</v>
      </c>
      <c r="S1263" s="10" t="s">
        <v>242</v>
      </c>
      <c r="T1263" s="10" t="s">
        <v>242</v>
      </c>
      <c r="U1263" s="10" t="s">
        <v>242</v>
      </c>
      <c r="V1263" s="10" t="s">
        <v>242</v>
      </c>
      <c r="W1263" s="10" t="s">
        <v>242</v>
      </c>
      <c r="X1263" s="15">
        <f>IF(ISERROR(VLOOKUP($A1263,'13. Updated Demand'!A:Z,15,FALSE)),0,VLOOKUP($A1263,'13. Updated Demand'!A:Z,15,FALSE))</f>
        <v>0</v>
      </c>
      <c r="Y1263" s="16">
        <f>IF(ISERROR(VLOOKUP($A1263,'13. Updated Demand'!A:Z,16,FALSE)),0,VLOOKUP($A1263,'13. Updated Demand'!A:Z,16,FALSE))</f>
        <v>0</v>
      </c>
      <c r="Z1263" s="16">
        <f>IF(ISERROR(VLOOKUP($A1263,'13. Updated Demand'!A:Z,17,FALSE)),0,VLOOKUP($A1263,'13. Updated Demand'!A:Z,17,FALSE))</f>
        <v>0</v>
      </c>
      <c r="AA1263" s="16">
        <f>IF(ISERROR(VLOOKUP($A1263,'13. Updated Demand'!A:Z,18,FALSE)),0,VLOOKUP($A1263,'13. Updated Demand'!A:Z,18,FALSE))</f>
        <v>0</v>
      </c>
      <c r="AB1263" s="16">
        <f>IF(ISERROR(VLOOKUP($A1263,'13. Updated Demand'!A:Z,19,FALSE)),0,VLOOKUP($A1263,'13. Updated Demand'!A:Z,19,FALSE))</f>
        <v>2.2000000000000002</v>
      </c>
      <c r="AC1263" s="16">
        <f>IF(ISERROR(VLOOKUP($A1263,'13. Updated Demand'!A:Z,20,FALSE)),0,VLOOKUP($A1263,'13. Updated Demand'!A:Z,20,FALSE))</f>
        <v>0</v>
      </c>
      <c r="AD1263" s="16">
        <f>IF(ISERROR(VLOOKUP($A1263,'13. Updated Demand'!A:Z,21,FALSE)),0,VLOOKUP($A1263,'13. Updated Demand'!A:Z,21,FALSE))</f>
        <v>2.4300000000000002</v>
      </c>
      <c r="AE1263" s="16">
        <f>IF(ISERROR(VLOOKUP($A1263,'13. Updated Demand'!A:Z,22,FALSE)),0,VLOOKUP($A1263,'13. Updated Demand'!A:Z,22,FALSE))</f>
        <v>0</v>
      </c>
      <c r="AF1263" s="16">
        <f>IF(ISERROR(VLOOKUP($A1263,'13. Updated Demand'!A:Z,23,FALSE)),0,VLOOKUP($A1263,'13. Updated Demand'!A:Z,23,FALSE))</f>
        <v>0</v>
      </c>
      <c r="AG1263" s="16">
        <f>IF(ISERROR(VLOOKUP($A1263,'13. Updated Demand'!A:Z,24,FALSE)),0,VLOOKUP($A1263,'13. Updated Demand'!A:Z,24,FALSE))</f>
        <v>0</v>
      </c>
      <c r="AH1263" s="16">
        <f>IF(ISERROR(VLOOKUP($A1263,'13. Updated Demand'!A:Z,25,FALSE)),0,VLOOKUP($A1263,'13. Updated Demand'!A:Z,25,FALSE))</f>
        <v>0</v>
      </c>
      <c r="AI1263" s="16">
        <f>IF(ISERROR(VLOOKUP($A1263,'13. Updated Demand'!A:Z,26,FALSE)),0,VLOOKUP($A1263,'13. Updated Demand'!A:Z,26,FALSE))</f>
        <v>0</v>
      </c>
      <c r="AJ1263" s="16">
        <f t="shared" si="240"/>
        <v>4.6300000000000008</v>
      </c>
      <c r="AK1263" s="19">
        <v>4.6333333333333302</v>
      </c>
      <c r="AL1263" s="16">
        <f t="shared" si="238"/>
        <v>1.5368238880402516E-2</v>
      </c>
      <c r="AM1263" s="17">
        <v>5.2591751797200118E-2</v>
      </c>
      <c r="AN1263" s="19"/>
      <c r="AO1263" s="19"/>
      <c r="AP1263" s="19">
        <v>88.1</v>
      </c>
      <c r="AQ1263" s="19" t="s">
        <v>307</v>
      </c>
      <c r="AR1263" s="9" t="s">
        <v>319</v>
      </c>
      <c r="AS1263" s="12">
        <v>0</v>
      </c>
      <c r="AT1263" s="19">
        <v>38.965619080000003</v>
      </c>
      <c r="AU1263" s="19">
        <v>-123.10550116</v>
      </c>
      <c r="AV1263" s="19" t="s">
        <v>387</v>
      </c>
    </row>
    <row r="1264" spans="1:48" x14ac:dyDescent="0.25">
      <c r="A1264" s="18" t="s">
        <v>1640</v>
      </c>
      <c r="B1264" s="10">
        <v>19501009</v>
      </c>
      <c r="C1264" s="9">
        <v>10</v>
      </c>
      <c r="D1264" s="8" t="str">
        <f t="shared" si="229"/>
        <v>N</v>
      </c>
      <c r="E1264" s="8" t="str">
        <f t="shared" si="230"/>
        <v>Y</v>
      </c>
      <c r="F1264" s="8" t="str">
        <f t="shared" si="231"/>
        <v>Y</v>
      </c>
      <c r="G1264" s="8" t="str">
        <f t="shared" si="232"/>
        <v>Y</v>
      </c>
      <c r="H1264" s="8" t="str">
        <f t="shared" si="233"/>
        <v>Upper</v>
      </c>
      <c r="I1264" s="8" t="str">
        <f t="shared" si="234"/>
        <v>West Fork and Below Lake</v>
      </c>
      <c r="J1264" s="8" t="str">
        <f t="shared" si="235"/>
        <v>Sonoma (d/s of Clov. Gage)</v>
      </c>
      <c r="K1264" s="8" t="str">
        <f t="shared" si="236"/>
        <v>Post-1949</v>
      </c>
      <c r="L1264" s="8">
        <f t="shared" si="237"/>
        <v>1950</v>
      </c>
      <c r="M1264" s="8" t="str">
        <f t="shared" si="239"/>
        <v>1950-1952</v>
      </c>
      <c r="N1264" s="10" t="s">
        <v>241</v>
      </c>
      <c r="O1264" s="10" t="s">
        <v>241</v>
      </c>
      <c r="P1264" s="10" t="s">
        <v>242</v>
      </c>
      <c r="Q1264" s="10" t="s">
        <v>242</v>
      </c>
      <c r="R1264" s="10" t="s">
        <v>241</v>
      </c>
      <c r="S1264" s="10" t="s">
        <v>242</v>
      </c>
      <c r="T1264" s="10" t="s">
        <v>242</v>
      </c>
      <c r="U1264" s="10" t="s">
        <v>242</v>
      </c>
      <c r="V1264" s="10" t="s">
        <v>242</v>
      </c>
      <c r="W1264" s="10" t="s">
        <v>242</v>
      </c>
      <c r="X1264" s="15">
        <f>IF(ISERROR(VLOOKUP($A1264,'13. Updated Demand'!A:Z,15,FALSE)),0,VLOOKUP($A1264,'13. Updated Demand'!A:Z,15,FALSE))</f>
        <v>0</v>
      </c>
      <c r="Y1264" s="16">
        <f>IF(ISERROR(VLOOKUP($A1264,'13. Updated Demand'!A:Z,16,FALSE)),0,VLOOKUP($A1264,'13. Updated Demand'!A:Z,16,FALSE))</f>
        <v>0</v>
      </c>
      <c r="Z1264" s="16">
        <f>IF(ISERROR(VLOOKUP($A1264,'13. Updated Demand'!A:Z,17,FALSE)),0,VLOOKUP($A1264,'13. Updated Demand'!A:Z,17,FALSE))</f>
        <v>0</v>
      </c>
      <c r="AA1264" s="16">
        <f>IF(ISERROR(VLOOKUP($A1264,'13. Updated Demand'!A:Z,18,FALSE)),0,VLOOKUP($A1264,'13. Updated Demand'!A:Z,18,FALSE))</f>
        <v>0</v>
      </c>
      <c r="AB1264" s="16">
        <f>IF(ISERROR(VLOOKUP($A1264,'13. Updated Demand'!A:Z,19,FALSE)),0,VLOOKUP($A1264,'13. Updated Demand'!A:Z,19,FALSE))</f>
        <v>0.2</v>
      </c>
      <c r="AC1264" s="16">
        <f>IF(ISERROR(VLOOKUP($A1264,'13. Updated Demand'!A:Z,20,FALSE)),0,VLOOKUP($A1264,'13. Updated Demand'!A:Z,20,FALSE))</f>
        <v>0.73</v>
      </c>
      <c r="AD1264" s="16">
        <f>IF(ISERROR(VLOOKUP($A1264,'13. Updated Demand'!A:Z,21,FALSE)),0,VLOOKUP($A1264,'13. Updated Demand'!A:Z,21,FALSE))</f>
        <v>1.56</v>
      </c>
      <c r="AE1264" s="16">
        <f>IF(ISERROR(VLOOKUP($A1264,'13. Updated Demand'!A:Z,22,FALSE)),0,VLOOKUP($A1264,'13. Updated Demand'!A:Z,22,FALSE))</f>
        <v>1.1599999999999999</v>
      </c>
      <c r="AF1264" s="16">
        <f>IF(ISERROR(VLOOKUP($A1264,'13. Updated Demand'!A:Z,23,FALSE)),0,VLOOKUP($A1264,'13. Updated Demand'!A:Z,23,FALSE))</f>
        <v>0.8</v>
      </c>
      <c r="AG1264" s="16">
        <f>IF(ISERROR(VLOOKUP($A1264,'13. Updated Demand'!A:Z,24,FALSE)),0,VLOOKUP($A1264,'13. Updated Demand'!A:Z,24,FALSE))</f>
        <v>0.2</v>
      </c>
      <c r="AH1264" s="16">
        <f>IF(ISERROR(VLOOKUP($A1264,'13. Updated Demand'!A:Z,25,FALSE)),0,VLOOKUP($A1264,'13. Updated Demand'!A:Z,25,FALSE))</f>
        <v>0.03</v>
      </c>
      <c r="AI1264" s="16">
        <f>IF(ISERROR(VLOOKUP($A1264,'13. Updated Demand'!A:Z,26,FALSE)),0,VLOOKUP($A1264,'13. Updated Demand'!A:Z,26,FALSE))</f>
        <v>0</v>
      </c>
      <c r="AJ1264" s="16">
        <f t="shared" si="240"/>
        <v>4.6800000000000006</v>
      </c>
      <c r="AK1264" s="19">
        <v>4.466666666666673</v>
      </c>
      <c r="AL1264" s="16">
        <f t="shared" si="238"/>
        <v>1.4815424532186629E-2</v>
      </c>
      <c r="AM1264" s="17">
        <v>5.824039653035943E-2</v>
      </c>
      <c r="AN1264" s="19"/>
      <c r="AO1264" s="19"/>
      <c r="AP1264" s="19">
        <v>80.7</v>
      </c>
      <c r="AQ1264" s="19" t="s">
        <v>307</v>
      </c>
      <c r="AR1264" s="9" t="s">
        <v>436</v>
      </c>
      <c r="AS1264" s="12">
        <v>0</v>
      </c>
      <c r="AT1264" s="19">
        <v>38.689222209999997</v>
      </c>
      <c r="AU1264" s="19">
        <v>-122.86401184</v>
      </c>
      <c r="AV1264" s="19" t="s">
        <v>548</v>
      </c>
    </row>
    <row r="1265" spans="1:48" x14ac:dyDescent="0.25">
      <c r="A1265" s="18" t="s">
        <v>1641</v>
      </c>
      <c r="B1265" s="10">
        <v>19500622</v>
      </c>
      <c r="C1265" s="9">
        <v>9</v>
      </c>
      <c r="D1265" s="8" t="str">
        <f t="shared" si="229"/>
        <v>N</v>
      </c>
      <c r="E1265" s="8" t="str">
        <f t="shared" si="230"/>
        <v>Y</v>
      </c>
      <c r="F1265" s="8" t="str">
        <f t="shared" si="231"/>
        <v>Y</v>
      </c>
      <c r="G1265" s="8" t="str">
        <f t="shared" si="232"/>
        <v>Y</v>
      </c>
      <c r="H1265" s="8" t="str">
        <f t="shared" si="233"/>
        <v>Upper</v>
      </c>
      <c r="I1265" s="8" t="str">
        <f t="shared" si="234"/>
        <v>West Fork and Below Lake</v>
      </c>
      <c r="J1265" s="8" t="str">
        <f t="shared" si="235"/>
        <v>Sonoma (d/s of Clov. Gage)</v>
      </c>
      <c r="K1265" s="8" t="str">
        <f t="shared" si="236"/>
        <v>Post-1949</v>
      </c>
      <c r="L1265" s="8">
        <f t="shared" si="237"/>
        <v>1950</v>
      </c>
      <c r="M1265" s="8" t="str">
        <f t="shared" si="239"/>
        <v>1950-1952</v>
      </c>
      <c r="N1265" s="10" t="s">
        <v>241</v>
      </c>
      <c r="O1265" s="10" t="s">
        <v>241</v>
      </c>
      <c r="P1265" s="10" t="s">
        <v>242</v>
      </c>
      <c r="Q1265" s="10" t="s">
        <v>242</v>
      </c>
      <c r="R1265" s="10" t="s">
        <v>241</v>
      </c>
      <c r="S1265" s="10" t="s">
        <v>242</v>
      </c>
      <c r="T1265" s="10" t="s">
        <v>242</v>
      </c>
      <c r="U1265" s="10" t="s">
        <v>242</v>
      </c>
      <c r="V1265" s="10" t="s">
        <v>242</v>
      </c>
      <c r="W1265" s="10" t="s">
        <v>242</v>
      </c>
      <c r="X1265" s="15">
        <f>IF(ISERROR(VLOOKUP($A1265,'13. Updated Demand'!A:Z,15,FALSE)),0,VLOOKUP($A1265,'13. Updated Demand'!A:Z,15,FALSE))</f>
        <v>0.43</v>
      </c>
      <c r="Y1265" s="16">
        <f>IF(ISERROR(VLOOKUP($A1265,'13. Updated Demand'!A:Z,16,FALSE)),0,VLOOKUP($A1265,'13. Updated Demand'!A:Z,16,FALSE))</f>
        <v>0.38</v>
      </c>
      <c r="Z1265" s="16">
        <f>IF(ISERROR(VLOOKUP($A1265,'13. Updated Demand'!A:Z,17,FALSE)),0,VLOOKUP($A1265,'13. Updated Demand'!A:Z,17,FALSE))</f>
        <v>0.36</v>
      </c>
      <c r="AA1265" s="16">
        <f>IF(ISERROR(VLOOKUP($A1265,'13. Updated Demand'!A:Z,18,FALSE)),0,VLOOKUP($A1265,'13. Updated Demand'!A:Z,18,FALSE))</f>
        <v>0.45</v>
      </c>
      <c r="AB1265" s="16">
        <f>IF(ISERROR(VLOOKUP($A1265,'13. Updated Demand'!A:Z,19,FALSE)),0,VLOOKUP($A1265,'13. Updated Demand'!A:Z,19,FALSE))</f>
        <v>0.55000000000000004</v>
      </c>
      <c r="AC1265" s="16">
        <f>IF(ISERROR(VLOOKUP($A1265,'13. Updated Demand'!A:Z,20,FALSE)),0,VLOOKUP($A1265,'13. Updated Demand'!A:Z,20,FALSE))</f>
        <v>0.45</v>
      </c>
      <c r="AD1265" s="16">
        <f>IF(ISERROR(VLOOKUP($A1265,'13. Updated Demand'!A:Z,21,FALSE)),0,VLOOKUP($A1265,'13. Updated Demand'!A:Z,21,FALSE))</f>
        <v>0.49</v>
      </c>
      <c r="AE1265" s="16">
        <f>IF(ISERROR(VLOOKUP($A1265,'13. Updated Demand'!A:Z,22,FALSE)),0,VLOOKUP($A1265,'13. Updated Demand'!A:Z,22,FALSE))</f>
        <v>2.31</v>
      </c>
      <c r="AF1265" s="16">
        <f>IF(ISERROR(VLOOKUP($A1265,'13. Updated Demand'!A:Z,23,FALSE)),0,VLOOKUP($A1265,'13. Updated Demand'!A:Z,23,FALSE))</f>
        <v>0.63</v>
      </c>
      <c r="AG1265" s="16">
        <f>IF(ISERROR(VLOOKUP($A1265,'13. Updated Demand'!A:Z,24,FALSE)),0,VLOOKUP($A1265,'13. Updated Demand'!A:Z,24,FALSE))</f>
        <v>0.35</v>
      </c>
      <c r="AH1265" s="16">
        <f>IF(ISERROR(VLOOKUP($A1265,'13. Updated Demand'!A:Z,25,FALSE)),0,VLOOKUP($A1265,'13. Updated Demand'!A:Z,25,FALSE))</f>
        <v>0.17</v>
      </c>
      <c r="AI1265" s="16">
        <f>IF(ISERROR(VLOOKUP($A1265,'13. Updated Demand'!A:Z,26,FALSE)),0,VLOOKUP($A1265,'13. Updated Demand'!A:Z,26,FALSE))</f>
        <v>0.31</v>
      </c>
      <c r="AJ1265" s="16">
        <f t="shared" si="240"/>
        <v>6.879999999999999</v>
      </c>
      <c r="AK1265" s="19">
        <v>4.4506666666666632</v>
      </c>
      <c r="AL1265" s="16">
        <f t="shared" si="238"/>
        <v>1.4762354354757867E-2</v>
      </c>
      <c r="AM1265" s="17">
        <v>0.3098809523809522</v>
      </c>
      <c r="AN1265" s="19"/>
      <c r="AO1265" s="19"/>
      <c r="AP1265" s="19">
        <v>22.4</v>
      </c>
      <c r="AQ1265" s="19" t="s">
        <v>307</v>
      </c>
      <c r="AR1265" s="9" t="s">
        <v>354</v>
      </c>
      <c r="AS1265" s="12">
        <v>3.4039024194010059E-4</v>
      </c>
      <c r="AT1265" s="19">
        <v>38.792673090000001</v>
      </c>
      <c r="AU1265" s="19">
        <v>-123.00948025</v>
      </c>
      <c r="AV1265" s="19" t="s">
        <v>548</v>
      </c>
    </row>
    <row r="1266" spans="1:48" x14ac:dyDescent="0.25">
      <c r="A1266" s="18" t="s">
        <v>148</v>
      </c>
      <c r="B1266" s="10">
        <v>19500905</v>
      </c>
      <c r="C1266" s="9">
        <v>9</v>
      </c>
      <c r="D1266" s="8" t="str">
        <f t="shared" si="229"/>
        <v>N</v>
      </c>
      <c r="E1266" s="8" t="str">
        <f t="shared" si="230"/>
        <v>Y</v>
      </c>
      <c r="F1266" s="8" t="str">
        <f t="shared" si="231"/>
        <v>Y</v>
      </c>
      <c r="G1266" s="8" t="str">
        <f t="shared" si="232"/>
        <v>Y</v>
      </c>
      <c r="H1266" s="8" t="str">
        <f t="shared" si="233"/>
        <v>Upper</v>
      </c>
      <c r="I1266" s="8" t="str">
        <f t="shared" si="234"/>
        <v>West Fork and Below Lake</v>
      </c>
      <c r="J1266" s="8" t="str">
        <f t="shared" si="235"/>
        <v>Sonoma (d/s of Clov. Gage)</v>
      </c>
      <c r="K1266" s="8" t="str">
        <f t="shared" si="236"/>
        <v>Post-1949</v>
      </c>
      <c r="L1266" s="8">
        <f t="shared" si="237"/>
        <v>1950</v>
      </c>
      <c r="M1266" s="8" t="str">
        <f t="shared" si="239"/>
        <v>1950-1952</v>
      </c>
      <c r="N1266" s="10" t="s">
        <v>241</v>
      </c>
      <c r="O1266" s="10" t="s">
        <v>241</v>
      </c>
      <c r="P1266" s="10" t="s">
        <v>242</v>
      </c>
      <c r="Q1266" s="10" t="s">
        <v>242</v>
      </c>
      <c r="R1266" s="10" t="s">
        <v>241</v>
      </c>
      <c r="S1266" s="10" t="s">
        <v>242</v>
      </c>
      <c r="T1266" s="10" t="s">
        <v>242</v>
      </c>
      <c r="U1266" s="10" t="s">
        <v>242</v>
      </c>
      <c r="V1266" s="10" t="s">
        <v>242</v>
      </c>
      <c r="W1266" s="10" t="s">
        <v>242</v>
      </c>
      <c r="X1266" s="15">
        <f>IF(ISERROR(VLOOKUP($A1266,'13. Updated Demand'!A:Z,15,FALSE)),0,VLOOKUP($A1266,'13. Updated Demand'!A:Z,15,FALSE))</f>
        <v>0</v>
      </c>
      <c r="Y1266" s="16">
        <f>IF(ISERROR(VLOOKUP($A1266,'13. Updated Demand'!A:Z,16,FALSE)),0,VLOOKUP($A1266,'13. Updated Demand'!A:Z,16,FALSE))</f>
        <v>0</v>
      </c>
      <c r="Z1266" s="16">
        <f>IF(ISERROR(VLOOKUP($A1266,'13. Updated Demand'!A:Z,17,FALSE)),0,VLOOKUP($A1266,'13. Updated Demand'!A:Z,17,FALSE))</f>
        <v>0</v>
      </c>
      <c r="AA1266" s="16">
        <f>IF(ISERROR(VLOOKUP($A1266,'13. Updated Demand'!A:Z,18,FALSE)),0,VLOOKUP($A1266,'13. Updated Demand'!A:Z,18,FALSE))</f>
        <v>0</v>
      </c>
      <c r="AB1266" s="16">
        <f>IF(ISERROR(VLOOKUP($A1266,'13. Updated Demand'!A:Z,19,FALSE)),0,VLOOKUP($A1266,'13. Updated Demand'!A:Z,19,FALSE))</f>
        <v>0</v>
      </c>
      <c r="AC1266" s="16">
        <f>IF(ISERROR(VLOOKUP($A1266,'13. Updated Demand'!A:Z,20,FALSE)),0,VLOOKUP($A1266,'13. Updated Demand'!A:Z,20,FALSE))</f>
        <v>0.73</v>
      </c>
      <c r="AD1266" s="16">
        <f>IF(ISERROR(VLOOKUP($A1266,'13. Updated Demand'!A:Z,21,FALSE)),0,VLOOKUP($A1266,'13. Updated Demand'!A:Z,21,FALSE))</f>
        <v>1.2</v>
      </c>
      <c r="AE1266" s="16">
        <f>IF(ISERROR(VLOOKUP($A1266,'13. Updated Demand'!A:Z,22,FALSE)),0,VLOOKUP($A1266,'13. Updated Demand'!A:Z,22,FALSE))</f>
        <v>1.86</v>
      </c>
      <c r="AF1266" s="16">
        <f>IF(ISERROR(VLOOKUP($A1266,'13. Updated Demand'!A:Z,23,FALSE)),0,VLOOKUP($A1266,'13. Updated Demand'!A:Z,23,FALSE))</f>
        <v>0.53</v>
      </c>
      <c r="AG1266" s="16">
        <f>IF(ISERROR(VLOOKUP($A1266,'13. Updated Demand'!A:Z,24,FALSE)),0,VLOOKUP($A1266,'13. Updated Demand'!A:Z,24,FALSE))</f>
        <v>0.03</v>
      </c>
      <c r="AH1266" s="16">
        <f>IF(ISERROR(VLOOKUP($A1266,'13. Updated Demand'!A:Z,25,FALSE)),0,VLOOKUP($A1266,'13. Updated Demand'!A:Z,25,FALSE))</f>
        <v>0</v>
      </c>
      <c r="AI1266" s="16">
        <f>IF(ISERROR(VLOOKUP($A1266,'13. Updated Demand'!A:Z,26,FALSE)),0,VLOOKUP($A1266,'13. Updated Demand'!A:Z,26,FALSE))</f>
        <v>0</v>
      </c>
      <c r="AJ1266" s="16">
        <f t="shared" si="240"/>
        <v>4.3500000000000005</v>
      </c>
      <c r="AK1266" s="19">
        <v>4.3333333333333357</v>
      </c>
      <c r="AL1266" s="16">
        <f t="shared" si="238"/>
        <v>1.437317305361388E-2</v>
      </c>
      <c r="AM1266" s="17">
        <v>5.6857638888888923E-2</v>
      </c>
      <c r="AN1266" s="19"/>
      <c r="AO1266" s="19"/>
      <c r="AP1266" s="19">
        <v>76.8</v>
      </c>
      <c r="AQ1266" s="19" t="s">
        <v>307</v>
      </c>
      <c r="AR1266" s="9" t="s">
        <v>354</v>
      </c>
      <c r="AS1266" s="12">
        <v>0</v>
      </c>
      <c r="AT1266" s="19">
        <v>38.769599069999998</v>
      </c>
      <c r="AU1266" s="19">
        <v>-122.97828543999999</v>
      </c>
      <c r="AV1266" s="19" t="s">
        <v>548</v>
      </c>
    </row>
    <row r="1267" spans="1:48" x14ac:dyDescent="0.25">
      <c r="A1267" s="18" t="s">
        <v>1642</v>
      </c>
      <c r="B1267" s="10">
        <v>19501002</v>
      </c>
      <c r="C1267" s="9">
        <v>4</v>
      </c>
      <c r="D1267" s="8" t="str">
        <f t="shared" si="229"/>
        <v>Y</v>
      </c>
      <c r="E1267" s="8" t="str">
        <f t="shared" si="230"/>
        <v>N</v>
      </c>
      <c r="F1267" s="8" t="str">
        <f t="shared" si="231"/>
        <v>Y</v>
      </c>
      <c r="G1267" s="8" t="str">
        <f t="shared" si="232"/>
        <v>Y</v>
      </c>
      <c r="H1267" s="8" t="str">
        <f t="shared" si="233"/>
        <v>Upper</v>
      </c>
      <c r="I1267" s="8" t="str">
        <f t="shared" si="234"/>
        <v>West Fork and Below Lake</v>
      </c>
      <c r="J1267" s="8" t="str">
        <f t="shared" si="235"/>
        <v>Mendocino (d/s of lake)</v>
      </c>
      <c r="K1267" s="8" t="str">
        <f t="shared" si="236"/>
        <v>Post-1949</v>
      </c>
      <c r="L1267" s="8">
        <f t="shared" si="237"/>
        <v>1950</v>
      </c>
      <c r="M1267" s="8" t="str">
        <f t="shared" si="239"/>
        <v>1950-1952</v>
      </c>
      <c r="N1267" s="10" t="s">
        <v>241</v>
      </c>
      <c r="O1267" s="10" t="s">
        <v>241</v>
      </c>
      <c r="P1267" s="10" t="s">
        <v>242</v>
      </c>
      <c r="Q1267" s="10" t="s">
        <v>242</v>
      </c>
      <c r="R1267" s="10" t="s">
        <v>241</v>
      </c>
      <c r="S1267" s="10" t="s">
        <v>242</v>
      </c>
      <c r="T1267" s="10" t="s">
        <v>242</v>
      </c>
      <c r="U1267" s="10" t="s">
        <v>242</v>
      </c>
      <c r="V1267" s="10" t="s">
        <v>242</v>
      </c>
      <c r="W1267" s="10" t="s">
        <v>242</v>
      </c>
      <c r="X1267" s="15">
        <f>IF(ISERROR(VLOOKUP($A1267,'13. Updated Demand'!A:Z,15,FALSE)),0,VLOOKUP($A1267,'13. Updated Demand'!A:Z,15,FALSE))</f>
        <v>0</v>
      </c>
      <c r="Y1267" s="16">
        <f>IF(ISERROR(VLOOKUP($A1267,'13. Updated Demand'!A:Z,16,FALSE)),0,VLOOKUP($A1267,'13. Updated Demand'!A:Z,16,FALSE))</f>
        <v>0</v>
      </c>
      <c r="Z1267" s="16">
        <f>IF(ISERROR(VLOOKUP($A1267,'13. Updated Demand'!A:Z,17,FALSE)),0,VLOOKUP($A1267,'13. Updated Demand'!A:Z,17,FALSE))</f>
        <v>0</v>
      </c>
      <c r="AA1267" s="16">
        <f>IF(ISERROR(VLOOKUP($A1267,'13. Updated Demand'!A:Z,18,FALSE)),0,VLOOKUP($A1267,'13. Updated Demand'!A:Z,18,FALSE))</f>
        <v>0.01</v>
      </c>
      <c r="AB1267" s="16">
        <f>IF(ISERROR(VLOOKUP($A1267,'13. Updated Demand'!A:Z,19,FALSE)),0,VLOOKUP($A1267,'13. Updated Demand'!A:Z,19,FALSE))</f>
        <v>0.75</v>
      </c>
      <c r="AC1267" s="16">
        <f>IF(ISERROR(VLOOKUP($A1267,'13. Updated Demand'!A:Z,20,FALSE)),0,VLOOKUP($A1267,'13. Updated Demand'!A:Z,20,FALSE))</f>
        <v>0.78</v>
      </c>
      <c r="AD1267" s="16">
        <f>IF(ISERROR(VLOOKUP($A1267,'13. Updated Demand'!A:Z,21,FALSE)),0,VLOOKUP($A1267,'13. Updated Demand'!A:Z,21,FALSE))</f>
        <v>0.78</v>
      </c>
      <c r="AE1267" s="16">
        <f>IF(ISERROR(VLOOKUP($A1267,'13. Updated Demand'!A:Z,22,FALSE)),0,VLOOKUP($A1267,'13. Updated Demand'!A:Z,22,FALSE))</f>
        <v>0.75</v>
      </c>
      <c r="AF1267" s="16">
        <f>IF(ISERROR(VLOOKUP($A1267,'13. Updated Demand'!A:Z,23,FALSE)),0,VLOOKUP($A1267,'13. Updated Demand'!A:Z,23,FALSE))</f>
        <v>0.71</v>
      </c>
      <c r="AG1267" s="16">
        <f>IF(ISERROR(VLOOKUP($A1267,'13. Updated Demand'!A:Z,24,FALSE)),0,VLOOKUP($A1267,'13. Updated Demand'!A:Z,24,FALSE))</f>
        <v>0.62</v>
      </c>
      <c r="AH1267" s="16">
        <f>IF(ISERROR(VLOOKUP($A1267,'13. Updated Demand'!A:Z,25,FALSE)),0,VLOOKUP($A1267,'13. Updated Demand'!A:Z,25,FALSE))</f>
        <v>0.04</v>
      </c>
      <c r="AI1267" s="16">
        <f>IF(ISERROR(VLOOKUP($A1267,'13. Updated Demand'!A:Z,26,FALSE)),0,VLOOKUP($A1267,'13. Updated Demand'!A:Z,26,FALSE))</f>
        <v>4.9816666666666698E-3</v>
      </c>
      <c r="AJ1267" s="16">
        <f t="shared" si="240"/>
        <v>4.4449816666666671</v>
      </c>
      <c r="AK1267" s="19">
        <v>3.7946309999999994</v>
      </c>
      <c r="AL1267" s="16">
        <f t="shared" si="238"/>
        <v>1.2586358777909505E-2</v>
      </c>
      <c r="AM1267" s="17">
        <v>7.1826255341880335E-2</v>
      </c>
      <c r="AN1267" s="19"/>
      <c r="AO1267" s="19"/>
      <c r="AP1267" s="19">
        <v>62.4</v>
      </c>
      <c r="AQ1267" s="19" t="s">
        <v>307</v>
      </c>
      <c r="AR1267" s="9" t="s">
        <v>331</v>
      </c>
      <c r="AS1267" s="12">
        <v>0</v>
      </c>
      <c r="AT1267" s="19">
        <v>39.160679160000001</v>
      </c>
      <c r="AU1267" s="19">
        <v>-123.19319745999999</v>
      </c>
      <c r="AV1267" s="19" t="s">
        <v>387</v>
      </c>
    </row>
    <row r="1268" spans="1:48" x14ac:dyDescent="0.25">
      <c r="A1268" s="18" t="s">
        <v>1643</v>
      </c>
      <c r="B1268" s="10">
        <v>19501114</v>
      </c>
      <c r="C1268" s="9">
        <v>15</v>
      </c>
      <c r="D1268" s="8" t="str">
        <f t="shared" si="229"/>
        <v>N</v>
      </c>
      <c r="E1268" s="8" t="str">
        <f t="shared" si="230"/>
        <v>N</v>
      </c>
      <c r="F1268" s="8" t="str">
        <f t="shared" si="231"/>
        <v>N</v>
      </c>
      <c r="G1268" s="8" t="str">
        <f t="shared" si="232"/>
        <v>N</v>
      </c>
      <c r="H1268" s="8" t="str">
        <f t="shared" si="233"/>
        <v>Lower</v>
      </c>
      <c r="I1268" s="8" t="str">
        <f t="shared" si="234"/>
        <v>Outside</v>
      </c>
      <c r="J1268" s="8" t="str">
        <f t="shared" si="235"/>
        <v>Outside</v>
      </c>
      <c r="K1268" s="8" t="str">
        <f t="shared" si="236"/>
        <v>Post-1949</v>
      </c>
      <c r="L1268" s="8">
        <f t="shared" si="237"/>
        <v>1950</v>
      </c>
      <c r="M1268" s="8" t="str">
        <f t="shared" si="239"/>
        <v>1950-1952</v>
      </c>
      <c r="N1268" s="10" t="s">
        <v>242</v>
      </c>
      <c r="O1268" s="10" t="s">
        <v>242</v>
      </c>
      <c r="P1268" s="10" t="s">
        <v>242</v>
      </c>
      <c r="Q1268" s="10" t="s">
        <v>242</v>
      </c>
      <c r="R1268" s="10" t="s">
        <v>241</v>
      </c>
      <c r="S1268" s="10" t="s">
        <v>242</v>
      </c>
      <c r="T1268" s="10" t="s">
        <v>242</v>
      </c>
      <c r="U1268" s="10" t="s">
        <v>242</v>
      </c>
      <c r="V1268" s="10" t="s">
        <v>242</v>
      </c>
      <c r="W1268" s="10" t="s">
        <v>242</v>
      </c>
      <c r="X1268" s="15">
        <f>IF(ISERROR(VLOOKUP($A1268,'13. Updated Demand'!A:Z,15,FALSE)),0,VLOOKUP($A1268,'13. Updated Demand'!A:Z,15,FALSE))</f>
        <v>0</v>
      </c>
      <c r="Y1268" s="16">
        <f>IF(ISERROR(VLOOKUP($A1268,'13. Updated Demand'!A:Z,16,FALSE)),0,VLOOKUP($A1268,'13. Updated Demand'!A:Z,16,FALSE))</f>
        <v>3.4195000000000003E-2</v>
      </c>
      <c r="Z1268" s="16">
        <f>IF(ISERROR(VLOOKUP($A1268,'13. Updated Demand'!A:Z,17,FALSE)),0,VLOOKUP($A1268,'13. Updated Demand'!A:Z,17,FALSE))</f>
        <v>8.7451000000000001E-2</v>
      </c>
      <c r="AA1268" s="16">
        <f>IF(ISERROR(VLOOKUP($A1268,'13. Updated Demand'!A:Z,18,FALSE)),0,VLOOKUP($A1268,'13. Updated Demand'!A:Z,18,FALSE))</f>
        <v>0.155863</v>
      </c>
      <c r="AB1268" s="16">
        <f>IF(ISERROR(VLOOKUP($A1268,'13. Updated Demand'!A:Z,19,FALSE)),0,VLOOKUP($A1268,'13. Updated Demand'!A:Z,19,FALSE))</f>
        <v>0.171207</v>
      </c>
      <c r="AC1268" s="16">
        <f>IF(ISERROR(VLOOKUP($A1268,'13. Updated Demand'!A:Z,20,FALSE)),0,VLOOKUP($A1268,'13. Updated Demand'!A:Z,20,FALSE))</f>
        <v>0.69464950000000003</v>
      </c>
      <c r="AD1268" s="16">
        <f>IF(ISERROR(VLOOKUP($A1268,'13. Updated Demand'!A:Z,21,FALSE)),0,VLOOKUP($A1268,'13. Updated Demand'!A:Z,21,FALSE))</f>
        <v>1.5892625</v>
      </c>
      <c r="AE1268" s="16">
        <f>IF(ISERROR(VLOOKUP($A1268,'13. Updated Demand'!A:Z,22,FALSE)),0,VLOOKUP($A1268,'13. Updated Demand'!A:Z,22,FALSE))</f>
        <v>1.092651</v>
      </c>
      <c r="AF1268" s="16">
        <f>IF(ISERROR(VLOOKUP($A1268,'13. Updated Demand'!A:Z,23,FALSE)),0,VLOOKUP($A1268,'13. Updated Demand'!A:Z,23,FALSE))</f>
        <v>0.18299499999999999</v>
      </c>
      <c r="AG1268" s="16">
        <f>IF(ISERROR(VLOOKUP($A1268,'13. Updated Demand'!A:Z,24,FALSE)),0,VLOOKUP($A1268,'13. Updated Demand'!A:Z,24,FALSE))</f>
        <v>0.18606400000000001</v>
      </c>
      <c r="AH1268" s="16">
        <f>IF(ISERROR(VLOOKUP($A1268,'13. Updated Demand'!A:Z,25,FALSE)),0,VLOOKUP($A1268,'13. Updated Demand'!A:Z,25,FALSE))</f>
        <v>1.9366000000000001E-2</v>
      </c>
      <c r="AI1268" s="16">
        <f>IF(ISERROR(VLOOKUP($A1268,'13. Updated Demand'!A:Z,26,FALSE)),0,VLOOKUP($A1268,'13. Updated Demand'!A:Z,26,FALSE))</f>
        <v>0</v>
      </c>
      <c r="AJ1268" s="16">
        <f t="shared" si="240"/>
        <v>4.2137039999999999</v>
      </c>
      <c r="AK1268" s="19">
        <v>3.7307649999999999</v>
      </c>
      <c r="AL1268" s="16">
        <f t="shared" si="238"/>
        <v>1.2374522530930559E-2</v>
      </c>
      <c r="AM1268" s="17">
        <v>4.9398640093786639E-2</v>
      </c>
      <c r="AN1268" s="19"/>
      <c r="AO1268" s="19"/>
      <c r="AP1268" s="19">
        <v>85.3</v>
      </c>
      <c r="AQ1268" s="19" t="s">
        <v>307</v>
      </c>
      <c r="AR1268" s="9" t="s">
        <v>489</v>
      </c>
      <c r="AS1268" s="12">
        <v>0</v>
      </c>
      <c r="AT1268" s="19">
        <v>38.684182210000003</v>
      </c>
      <c r="AU1268" s="19">
        <v>-122.94698323999999</v>
      </c>
      <c r="AV1268" s="19" t="s">
        <v>701</v>
      </c>
    </row>
    <row r="1269" spans="1:48" x14ac:dyDescent="0.25">
      <c r="A1269" s="18" t="s">
        <v>1644</v>
      </c>
      <c r="B1269" s="10">
        <v>19500214</v>
      </c>
      <c r="C1269" s="9">
        <v>12</v>
      </c>
      <c r="D1269" s="8" t="str">
        <f t="shared" si="229"/>
        <v>N</v>
      </c>
      <c r="E1269" s="8" t="str">
        <f t="shared" si="230"/>
        <v>Y</v>
      </c>
      <c r="F1269" s="8" t="str">
        <f t="shared" si="231"/>
        <v>Y</v>
      </c>
      <c r="G1269" s="8" t="str">
        <f t="shared" si="232"/>
        <v>Y</v>
      </c>
      <c r="H1269" s="8" t="str">
        <f t="shared" si="233"/>
        <v>Upper</v>
      </c>
      <c r="I1269" s="8" t="str">
        <f t="shared" si="234"/>
        <v>West Fork and Below Lake</v>
      </c>
      <c r="J1269" s="8" t="str">
        <f t="shared" si="235"/>
        <v>Sonoma (d/s of Clov. Gage)</v>
      </c>
      <c r="K1269" s="8" t="str">
        <f t="shared" si="236"/>
        <v>Post-1949</v>
      </c>
      <c r="L1269" s="8">
        <f t="shared" si="237"/>
        <v>1950</v>
      </c>
      <c r="M1269" s="8" t="str">
        <f t="shared" si="239"/>
        <v>1950-1952</v>
      </c>
      <c r="N1269" s="10" t="s">
        <v>241</v>
      </c>
      <c r="O1269" s="10" t="s">
        <v>241</v>
      </c>
      <c r="P1269" s="10" t="s">
        <v>242</v>
      </c>
      <c r="Q1269" s="10" t="s">
        <v>242</v>
      </c>
      <c r="R1269" s="10" t="s">
        <v>241</v>
      </c>
      <c r="S1269" s="10" t="s">
        <v>242</v>
      </c>
      <c r="T1269" s="10" t="s">
        <v>242</v>
      </c>
      <c r="U1269" s="10" t="s">
        <v>242</v>
      </c>
      <c r="V1269" s="10" t="s">
        <v>242</v>
      </c>
      <c r="W1269" s="10" t="s">
        <v>242</v>
      </c>
      <c r="X1269" s="15">
        <f>IF(ISERROR(VLOOKUP($A1269,'13. Updated Demand'!A:Z,15,FALSE)),0,VLOOKUP($A1269,'13. Updated Demand'!A:Z,15,FALSE))</f>
        <v>0</v>
      </c>
      <c r="Y1269" s="16">
        <f>IF(ISERROR(VLOOKUP($A1269,'13. Updated Demand'!A:Z,16,FALSE)),0,VLOOKUP($A1269,'13. Updated Demand'!A:Z,16,FALSE))</f>
        <v>0</v>
      </c>
      <c r="Z1269" s="16">
        <f>IF(ISERROR(VLOOKUP($A1269,'13. Updated Demand'!A:Z,17,FALSE)),0,VLOOKUP($A1269,'13. Updated Demand'!A:Z,17,FALSE))</f>
        <v>0</v>
      </c>
      <c r="AA1269" s="16">
        <f>IF(ISERROR(VLOOKUP($A1269,'13. Updated Demand'!A:Z,18,FALSE)),0,VLOOKUP($A1269,'13. Updated Demand'!A:Z,18,FALSE))</f>
        <v>0</v>
      </c>
      <c r="AB1269" s="16">
        <f>IF(ISERROR(VLOOKUP($A1269,'13. Updated Demand'!A:Z,19,FALSE)),0,VLOOKUP($A1269,'13. Updated Demand'!A:Z,19,FALSE))</f>
        <v>0.28999999999999998</v>
      </c>
      <c r="AC1269" s="16">
        <f>IF(ISERROR(VLOOKUP($A1269,'13. Updated Demand'!A:Z,20,FALSE)),0,VLOOKUP($A1269,'13. Updated Demand'!A:Z,20,FALSE))</f>
        <v>0.88</v>
      </c>
      <c r="AD1269" s="16">
        <f>IF(ISERROR(VLOOKUP($A1269,'13. Updated Demand'!A:Z,21,FALSE)),0,VLOOKUP($A1269,'13. Updated Demand'!A:Z,21,FALSE))</f>
        <v>0.88</v>
      </c>
      <c r="AE1269" s="16">
        <f>IF(ISERROR(VLOOKUP($A1269,'13. Updated Demand'!A:Z,22,FALSE)),0,VLOOKUP($A1269,'13. Updated Demand'!A:Z,22,FALSE))</f>
        <v>0.88</v>
      </c>
      <c r="AF1269" s="16">
        <f>IF(ISERROR(VLOOKUP($A1269,'13. Updated Demand'!A:Z,23,FALSE)),0,VLOOKUP($A1269,'13. Updated Demand'!A:Z,23,FALSE))</f>
        <v>0.73</v>
      </c>
      <c r="AG1269" s="16">
        <f>IF(ISERROR(VLOOKUP($A1269,'13. Updated Demand'!A:Z,24,FALSE)),0,VLOOKUP($A1269,'13. Updated Demand'!A:Z,24,FALSE))</f>
        <v>0.44</v>
      </c>
      <c r="AH1269" s="16">
        <f>IF(ISERROR(VLOOKUP($A1269,'13. Updated Demand'!A:Z,25,FALSE)),0,VLOOKUP($A1269,'13. Updated Demand'!A:Z,25,FALSE))</f>
        <v>0</v>
      </c>
      <c r="AI1269" s="16">
        <f>IF(ISERROR(VLOOKUP($A1269,'13. Updated Demand'!A:Z,26,FALSE)),0,VLOOKUP($A1269,'13. Updated Demand'!A:Z,26,FALSE))</f>
        <v>0</v>
      </c>
      <c r="AJ1269" s="16">
        <f t="shared" si="240"/>
        <v>4.0999999999999996</v>
      </c>
      <c r="AK1269" s="19">
        <v>3.6826653333333339</v>
      </c>
      <c r="AL1269" s="16">
        <f t="shared" si="238"/>
        <v>1.2214981415664145E-2</v>
      </c>
      <c r="AM1269" s="17">
        <v>4.9934443099273619E-2</v>
      </c>
      <c r="AN1269" s="19"/>
      <c r="AO1269" s="19"/>
      <c r="AP1269" s="19">
        <v>82.6</v>
      </c>
      <c r="AQ1269" s="19" t="s">
        <v>307</v>
      </c>
      <c r="AR1269" s="9" t="s">
        <v>311</v>
      </c>
      <c r="AS1269" s="12">
        <v>0</v>
      </c>
      <c r="AT1269" s="19">
        <v>38.630591209999999</v>
      </c>
      <c r="AU1269" s="19">
        <v>-122.84579732</v>
      </c>
      <c r="AV1269" s="19" t="s">
        <v>387</v>
      </c>
    </row>
    <row r="1270" spans="1:48" x14ac:dyDescent="0.25">
      <c r="A1270" s="18" t="s">
        <v>1645</v>
      </c>
      <c r="B1270" s="10">
        <v>19500725</v>
      </c>
      <c r="C1270" s="9">
        <v>9</v>
      </c>
      <c r="D1270" s="8" t="str">
        <f t="shared" si="229"/>
        <v>N</v>
      </c>
      <c r="E1270" s="8" t="str">
        <f t="shared" si="230"/>
        <v>Y</v>
      </c>
      <c r="F1270" s="8" t="str">
        <f t="shared" si="231"/>
        <v>Y</v>
      </c>
      <c r="G1270" s="8" t="str">
        <f t="shared" si="232"/>
        <v>Y</v>
      </c>
      <c r="H1270" s="8" t="str">
        <f t="shared" si="233"/>
        <v>Upper</v>
      </c>
      <c r="I1270" s="8" t="str">
        <f t="shared" si="234"/>
        <v>West Fork and Below Lake</v>
      </c>
      <c r="J1270" s="8" t="str">
        <f t="shared" si="235"/>
        <v>Sonoma (d/s of Clov. Gage)</v>
      </c>
      <c r="K1270" s="8" t="str">
        <f t="shared" si="236"/>
        <v>Post-1949</v>
      </c>
      <c r="L1270" s="8">
        <f t="shared" si="237"/>
        <v>1950</v>
      </c>
      <c r="M1270" s="8" t="str">
        <f t="shared" si="239"/>
        <v>1950-1952</v>
      </c>
      <c r="N1270" s="10" t="s">
        <v>241</v>
      </c>
      <c r="O1270" s="10" t="s">
        <v>241</v>
      </c>
      <c r="P1270" s="10" t="s">
        <v>242</v>
      </c>
      <c r="Q1270" s="10" t="s">
        <v>242</v>
      </c>
      <c r="R1270" s="10" t="s">
        <v>241</v>
      </c>
      <c r="S1270" s="10" t="s">
        <v>242</v>
      </c>
      <c r="T1270" s="10" t="s">
        <v>242</v>
      </c>
      <c r="U1270" s="10" t="s">
        <v>242</v>
      </c>
      <c r="V1270" s="10" t="s">
        <v>242</v>
      </c>
      <c r="W1270" s="10" t="s">
        <v>242</v>
      </c>
      <c r="X1270" s="15">
        <f>IF(ISERROR(VLOOKUP($A1270,'13. Updated Demand'!A:Z,15,FALSE)),0,VLOOKUP($A1270,'13. Updated Demand'!A:Z,15,FALSE))</f>
        <v>0</v>
      </c>
      <c r="Y1270" s="16">
        <f>IF(ISERROR(VLOOKUP($A1270,'13. Updated Demand'!A:Z,16,FALSE)),0,VLOOKUP($A1270,'13. Updated Demand'!A:Z,16,FALSE))</f>
        <v>0</v>
      </c>
      <c r="Z1270" s="16">
        <f>IF(ISERROR(VLOOKUP($A1270,'13. Updated Demand'!A:Z,17,FALSE)),0,VLOOKUP($A1270,'13. Updated Demand'!A:Z,17,FALSE))</f>
        <v>0</v>
      </c>
      <c r="AA1270" s="16">
        <f>IF(ISERROR(VLOOKUP($A1270,'13. Updated Demand'!A:Z,18,FALSE)),0,VLOOKUP($A1270,'13. Updated Demand'!A:Z,18,FALSE))</f>
        <v>0</v>
      </c>
      <c r="AB1270" s="16">
        <f>IF(ISERROR(VLOOKUP($A1270,'13. Updated Demand'!A:Z,19,FALSE)),0,VLOOKUP($A1270,'13. Updated Demand'!A:Z,19,FALSE))</f>
        <v>0</v>
      </c>
      <c r="AC1270" s="16">
        <f>IF(ISERROR(VLOOKUP($A1270,'13. Updated Demand'!A:Z,20,FALSE)),0,VLOOKUP($A1270,'13. Updated Demand'!A:Z,20,FALSE))</f>
        <v>1.1000000000000001</v>
      </c>
      <c r="AD1270" s="16">
        <f>IF(ISERROR(VLOOKUP($A1270,'13. Updated Demand'!A:Z,21,FALSE)),0,VLOOKUP($A1270,'13. Updated Demand'!A:Z,21,FALSE))</f>
        <v>1.1000000000000001</v>
      </c>
      <c r="AE1270" s="16">
        <f>IF(ISERROR(VLOOKUP($A1270,'13. Updated Demand'!A:Z,22,FALSE)),0,VLOOKUP($A1270,'13. Updated Demand'!A:Z,22,FALSE))</f>
        <v>1.1000000000000001</v>
      </c>
      <c r="AF1270" s="16">
        <f>IF(ISERROR(VLOOKUP($A1270,'13. Updated Demand'!A:Z,23,FALSE)),0,VLOOKUP($A1270,'13. Updated Demand'!A:Z,23,FALSE))</f>
        <v>0.36</v>
      </c>
      <c r="AG1270" s="16">
        <f>IF(ISERROR(VLOOKUP($A1270,'13. Updated Demand'!A:Z,24,FALSE)),0,VLOOKUP($A1270,'13. Updated Demand'!A:Z,24,FALSE))</f>
        <v>0</v>
      </c>
      <c r="AH1270" s="16">
        <f>IF(ISERROR(VLOOKUP($A1270,'13. Updated Demand'!A:Z,25,FALSE)),0,VLOOKUP($A1270,'13. Updated Demand'!A:Z,25,FALSE))</f>
        <v>0</v>
      </c>
      <c r="AI1270" s="16">
        <f>IF(ISERROR(VLOOKUP($A1270,'13. Updated Demand'!A:Z,26,FALSE)),0,VLOOKUP($A1270,'13. Updated Demand'!A:Z,26,FALSE))</f>
        <v>0</v>
      </c>
      <c r="AJ1270" s="16">
        <f t="shared" si="240"/>
        <v>3.66</v>
      </c>
      <c r="AK1270" s="19">
        <v>3.6826613333333231</v>
      </c>
      <c r="AL1270" s="16">
        <f t="shared" si="238"/>
        <v>1.221496814811975E-2</v>
      </c>
      <c r="AM1270" s="17">
        <v>7.192697916666646E-2</v>
      </c>
      <c r="AN1270" s="19"/>
      <c r="AO1270" s="19"/>
      <c r="AP1270" s="19">
        <v>51.2</v>
      </c>
      <c r="AQ1270" s="19" t="s">
        <v>307</v>
      </c>
      <c r="AR1270" s="9" t="s">
        <v>354</v>
      </c>
      <c r="AS1270" s="12">
        <v>0</v>
      </c>
      <c r="AT1270" s="19">
        <v>38.790369720000001</v>
      </c>
      <c r="AU1270" s="19">
        <v>-123.00593886999999</v>
      </c>
      <c r="AV1270" s="19" t="s">
        <v>548</v>
      </c>
    </row>
    <row r="1271" spans="1:48" x14ac:dyDescent="0.25">
      <c r="A1271" s="18" t="s">
        <v>1646</v>
      </c>
      <c r="B1271" s="10">
        <v>19500927</v>
      </c>
      <c r="C1271" s="9">
        <v>12</v>
      </c>
      <c r="D1271" s="8" t="str">
        <f t="shared" si="229"/>
        <v>N</v>
      </c>
      <c r="E1271" s="8" t="str">
        <f t="shared" si="230"/>
        <v>Y</v>
      </c>
      <c r="F1271" s="8" t="str">
        <f t="shared" si="231"/>
        <v>Y</v>
      </c>
      <c r="G1271" s="8" t="str">
        <f t="shared" si="232"/>
        <v>Y</v>
      </c>
      <c r="H1271" s="8" t="str">
        <f t="shared" si="233"/>
        <v>Upper</v>
      </c>
      <c r="I1271" s="8" t="str">
        <f t="shared" si="234"/>
        <v>West Fork and Below Lake</v>
      </c>
      <c r="J1271" s="8" t="str">
        <f t="shared" si="235"/>
        <v>Sonoma (d/s of Clov. Gage)</v>
      </c>
      <c r="K1271" s="8" t="str">
        <f t="shared" si="236"/>
        <v>Post-1949</v>
      </c>
      <c r="L1271" s="8">
        <f t="shared" si="237"/>
        <v>1950</v>
      </c>
      <c r="M1271" s="8" t="str">
        <f t="shared" si="239"/>
        <v>1950-1952</v>
      </c>
      <c r="N1271" s="10" t="s">
        <v>242</v>
      </c>
      <c r="O1271" s="10" t="s">
        <v>241</v>
      </c>
      <c r="P1271" s="10" t="s">
        <v>242</v>
      </c>
      <c r="Q1271" s="10" t="s">
        <v>242</v>
      </c>
      <c r="R1271" s="10" t="s">
        <v>241</v>
      </c>
      <c r="S1271" s="10" t="s">
        <v>242</v>
      </c>
      <c r="T1271" s="10" t="s">
        <v>242</v>
      </c>
      <c r="U1271" s="10" t="s">
        <v>242</v>
      </c>
      <c r="V1271" s="10" t="s">
        <v>242</v>
      </c>
      <c r="W1271" s="10" t="s">
        <v>242</v>
      </c>
      <c r="X1271" s="15">
        <f>IF(ISERROR(VLOOKUP($A1271,'13. Updated Demand'!A:Z,15,FALSE)),0,VLOOKUP($A1271,'13. Updated Demand'!A:Z,15,FALSE))</f>
        <v>0</v>
      </c>
      <c r="Y1271" s="16">
        <f>IF(ISERROR(VLOOKUP($A1271,'13. Updated Demand'!A:Z,16,FALSE)),0,VLOOKUP($A1271,'13. Updated Demand'!A:Z,16,FALSE))</f>
        <v>0</v>
      </c>
      <c r="Z1271" s="16">
        <f>IF(ISERROR(VLOOKUP($A1271,'13. Updated Demand'!A:Z,17,FALSE)),0,VLOOKUP($A1271,'13. Updated Demand'!A:Z,17,FALSE))</f>
        <v>0</v>
      </c>
      <c r="AA1271" s="16">
        <f>IF(ISERROR(VLOOKUP($A1271,'13. Updated Demand'!A:Z,18,FALSE)),0,VLOOKUP($A1271,'13. Updated Demand'!A:Z,18,FALSE))</f>
        <v>0</v>
      </c>
      <c r="AB1271" s="16">
        <f>IF(ISERROR(VLOOKUP($A1271,'13. Updated Demand'!A:Z,19,FALSE)),0,VLOOKUP($A1271,'13. Updated Demand'!A:Z,19,FALSE))</f>
        <v>0.66</v>
      </c>
      <c r="AC1271" s="16">
        <f>IF(ISERROR(VLOOKUP($A1271,'13. Updated Demand'!A:Z,20,FALSE)),0,VLOOKUP($A1271,'13. Updated Demand'!A:Z,20,FALSE))</f>
        <v>0.66</v>
      </c>
      <c r="AD1271" s="16">
        <f>IF(ISERROR(VLOOKUP($A1271,'13. Updated Demand'!A:Z,21,FALSE)),0,VLOOKUP($A1271,'13. Updated Demand'!A:Z,21,FALSE))</f>
        <v>0.66</v>
      </c>
      <c r="AE1271" s="16">
        <f>IF(ISERROR(VLOOKUP($A1271,'13. Updated Demand'!A:Z,22,FALSE)),0,VLOOKUP($A1271,'13. Updated Demand'!A:Z,22,FALSE))</f>
        <v>0.66</v>
      </c>
      <c r="AF1271" s="16">
        <f>IF(ISERROR(VLOOKUP($A1271,'13. Updated Demand'!A:Z,23,FALSE)),0,VLOOKUP($A1271,'13. Updated Demand'!A:Z,23,FALSE))</f>
        <v>0.66</v>
      </c>
      <c r="AG1271" s="16">
        <f>IF(ISERROR(VLOOKUP($A1271,'13. Updated Demand'!A:Z,24,FALSE)),0,VLOOKUP($A1271,'13. Updated Demand'!A:Z,24,FALSE))</f>
        <v>0</v>
      </c>
      <c r="AH1271" s="16">
        <f>IF(ISERROR(VLOOKUP($A1271,'13. Updated Demand'!A:Z,25,FALSE)),0,VLOOKUP($A1271,'13. Updated Demand'!A:Z,25,FALSE))</f>
        <v>0</v>
      </c>
      <c r="AI1271" s="16">
        <f>IF(ISERROR(VLOOKUP($A1271,'13. Updated Demand'!A:Z,26,FALSE)),0,VLOOKUP($A1271,'13. Updated Demand'!A:Z,26,FALSE))</f>
        <v>0</v>
      </c>
      <c r="AJ1271" s="16">
        <f t="shared" si="240"/>
        <v>3.3000000000000003</v>
      </c>
      <c r="AK1271" s="19">
        <v>3.3333333349999998</v>
      </c>
      <c r="AL1271" s="16">
        <f t="shared" si="238"/>
        <v>1.1056286969846507E-2</v>
      </c>
      <c r="AM1271" s="17">
        <v>0.11904761910714286</v>
      </c>
      <c r="AN1271" s="19"/>
      <c r="AO1271" s="19"/>
      <c r="AP1271" s="19">
        <v>28</v>
      </c>
      <c r="AQ1271" s="19" t="s">
        <v>307</v>
      </c>
      <c r="AR1271" s="9" t="s">
        <v>311</v>
      </c>
      <c r="AS1271" s="12">
        <v>0</v>
      </c>
      <c r="AT1271" s="19">
        <v>38.582296890000002</v>
      </c>
      <c r="AU1271" s="19">
        <v>-122.76126195000001</v>
      </c>
      <c r="AV1271" s="19" t="s">
        <v>1359</v>
      </c>
    </row>
    <row r="1272" spans="1:48" x14ac:dyDescent="0.25">
      <c r="A1272" s="18" t="s">
        <v>1647</v>
      </c>
      <c r="B1272" s="10">
        <v>19500411</v>
      </c>
      <c r="C1272" s="9">
        <v>17</v>
      </c>
      <c r="D1272" s="8" t="str">
        <f t="shared" si="229"/>
        <v>N</v>
      </c>
      <c r="E1272" s="8" t="str">
        <f t="shared" si="230"/>
        <v>N</v>
      </c>
      <c r="F1272" s="8" t="str">
        <f t="shared" si="231"/>
        <v>N</v>
      </c>
      <c r="G1272" s="8" t="str">
        <f t="shared" si="232"/>
        <v>N</v>
      </c>
      <c r="H1272" s="8" t="str">
        <f t="shared" si="233"/>
        <v>Lower</v>
      </c>
      <c r="I1272" s="8" t="str">
        <f t="shared" si="234"/>
        <v>Outside</v>
      </c>
      <c r="J1272" s="8" t="str">
        <f t="shared" si="235"/>
        <v>Outside</v>
      </c>
      <c r="K1272" s="8" t="str">
        <f t="shared" si="236"/>
        <v>Post-1949</v>
      </c>
      <c r="L1272" s="8">
        <f t="shared" si="237"/>
        <v>1950</v>
      </c>
      <c r="M1272" s="8" t="str">
        <f t="shared" si="239"/>
        <v>1950-1952</v>
      </c>
      <c r="N1272" s="10" t="s">
        <v>241</v>
      </c>
      <c r="O1272" s="10" t="s">
        <v>242</v>
      </c>
      <c r="P1272" s="10" t="s">
        <v>242</v>
      </c>
      <c r="Q1272" s="10" t="s">
        <v>242</v>
      </c>
      <c r="R1272" s="10" t="s">
        <v>241</v>
      </c>
      <c r="S1272" s="10" t="s">
        <v>242</v>
      </c>
      <c r="T1272" s="10" t="s">
        <v>242</v>
      </c>
      <c r="U1272" s="10" t="s">
        <v>242</v>
      </c>
      <c r="V1272" s="10" t="s">
        <v>242</v>
      </c>
      <c r="W1272" s="10" t="s">
        <v>242</v>
      </c>
      <c r="X1272" s="15">
        <f>IF(ISERROR(VLOOKUP($A1272,'13. Updated Demand'!A:Z,15,FALSE)),0,VLOOKUP($A1272,'13. Updated Demand'!A:Z,15,FALSE))</f>
        <v>0</v>
      </c>
      <c r="Y1272" s="16">
        <f>IF(ISERROR(VLOOKUP($A1272,'13. Updated Demand'!A:Z,16,FALSE)),0,VLOOKUP($A1272,'13. Updated Demand'!A:Z,16,FALSE))</f>
        <v>0</v>
      </c>
      <c r="Z1272" s="16">
        <f>IF(ISERROR(VLOOKUP($A1272,'13. Updated Demand'!A:Z,17,FALSE)),0,VLOOKUP($A1272,'13. Updated Demand'!A:Z,17,FALSE))</f>
        <v>0</v>
      </c>
      <c r="AA1272" s="16">
        <f>IF(ISERROR(VLOOKUP($A1272,'13. Updated Demand'!A:Z,18,FALSE)),0,VLOOKUP($A1272,'13. Updated Demand'!A:Z,18,FALSE))</f>
        <v>0</v>
      </c>
      <c r="AB1272" s="16">
        <f>IF(ISERROR(VLOOKUP($A1272,'13. Updated Demand'!A:Z,19,FALSE)),0,VLOOKUP($A1272,'13. Updated Demand'!A:Z,19,FALSE))</f>
        <v>0.16666666699999999</v>
      </c>
      <c r="AC1272" s="16">
        <f>IF(ISERROR(VLOOKUP($A1272,'13. Updated Demand'!A:Z,20,FALSE)),0,VLOOKUP($A1272,'13. Updated Demand'!A:Z,20,FALSE))</f>
        <v>0.46</v>
      </c>
      <c r="AD1272" s="16">
        <f>IF(ISERROR(VLOOKUP($A1272,'13. Updated Demand'!A:Z,21,FALSE)),0,VLOOKUP($A1272,'13. Updated Demand'!A:Z,21,FALSE))</f>
        <v>0.87666666699999996</v>
      </c>
      <c r="AE1272" s="16">
        <f>IF(ISERROR(VLOOKUP($A1272,'13. Updated Demand'!A:Z,22,FALSE)),0,VLOOKUP($A1272,'13. Updated Demand'!A:Z,22,FALSE))</f>
        <v>0.86333333300000004</v>
      </c>
      <c r="AF1272" s="16">
        <f>IF(ISERROR(VLOOKUP($A1272,'13. Updated Demand'!A:Z,23,FALSE)),0,VLOOKUP($A1272,'13. Updated Demand'!A:Z,23,FALSE))</f>
        <v>0.59</v>
      </c>
      <c r="AG1272" s="16">
        <f>IF(ISERROR(VLOOKUP($A1272,'13. Updated Demand'!A:Z,24,FALSE)),0,VLOOKUP($A1272,'13. Updated Demand'!A:Z,24,FALSE))</f>
        <v>0.26</v>
      </c>
      <c r="AH1272" s="16">
        <f>IF(ISERROR(VLOOKUP($A1272,'13. Updated Demand'!A:Z,25,FALSE)),0,VLOOKUP($A1272,'13. Updated Demand'!A:Z,25,FALSE))</f>
        <v>0</v>
      </c>
      <c r="AI1272" s="16">
        <f>IF(ISERROR(VLOOKUP($A1272,'13. Updated Demand'!A:Z,26,FALSE)),0,VLOOKUP($A1272,'13. Updated Demand'!A:Z,26,FALSE))</f>
        <v>0</v>
      </c>
      <c r="AJ1272" s="16">
        <f t="shared" si="240"/>
        <v>3.2166666670000001</v>
      </c>
      <c r="AK1272" s="19">
        <v>2.9566666669999999</v>
      </c>
      <c r="AL1272" s="16">
        <f t="shared" si="238"/>
        <v>9.8069265384560164E-3</v>
      </c>
      <c r="AM1272" s="17">
        <v>0.18810916181286549</v>
      </c>
      <c r="AN1272" s="19"/>
      <c r="AO1272" s="19"/>
      <c r="AP1272" s="19">
        <v>17.100000000000001</v>
      </c>
      <c r="AQ1272" s="19" t="s">
        <v>307</v>
      </c>
      <c r="AR1272" s="9" t="s">
        <v>486</v>
      </c>
      <c r="AS1272" s="12">
        <v>0</v>
      </c>
      <c r="AT1272" s="19">
        <v>38.526522620000001</v>
      </c>
      <c r="AU1272" s="19">
        <v>-122.86361663</v>
      </c>
      <c r="AV1272" s="19" t="s">
        <v>387</v>
      </c>
    </row>
    <row r="1273" spans="1:48" x14ac:dyDescent="0.25">
      <c r="A1273" s="18" t="s">
        <v>1648</v>
      </c>
      <c r="B1273" s="10">
        <v>19500725</v>
      </c>
      <c r="C1273" s="9">
        <v>9</v>
      </c>
      <c r="D1273" s="8" t="str">
        <f t="shared" si="229"/>
        <v>N</v>
      </c>
      <c r="E1273" s="8" t="str">
        <f t="shared" si="230"/>
        <v>Y</v>
      </c>
      <c r="F1273" s="8" t="str">
        <f t="shared" si="231"/>
        <v>Y</v>
      </c>
      <c r="G1273" s="8" t="str">
        <f t="shared" si="232"/>
        <v>Y</v>
      </c>
      <c r="H1273" s="8" t="str">
        <f t="shared" si="233"/>
        <v>Upper</v>
      </c>
      <c r="I1273" s="8" t="str">
        <f t="shared" si="234"/>
        <v>West Fork and Below Lake</v>
      </c>
      <c r="J1273" s="8" t="str">
        <f t="shared" si="235"/>
        <v>Sonoma (d/s of Clov. Gage)</v>
      </c>
      <c r="K1273" s="8" t="str">
        <f t="shared" si="236"/>
        <v>Post-1949</v>
      </c>
      <c r="L1273" s="8">
        <f t="shared" si="237"/>
        <v>1950</v>
      </c>
      <c r="M1273" s="8" t="str">
        <f t="shared" si="239"/>
        <v>1950-1952</v>
      </c>
      <c r="N1273" s="10" t="s">
        <v>241</v>
      </c>
      <c r="O1273" s="10" t="s">
        <v>241</v>
      </c>
      <c r="P1273" s="10" t="s">
        <v>242</v>
      </c>
      <c r="Q1273" s="10" t="s">
        <v>242</v>
      </c>
      <c r="R1273" s="10" t="s">
        <v>241</v>
      </c>
      <c r="S1273" s="10" t="s">
        <v>242</v>
      </c>
      <c r="T1273" s="10" t="s">
        <v>242</v>
      </c>
      <c r="U1273" s="10" t="s">
        <v>242</v>
      </c>
      <c r="V1273" s="10" t="s">
        <v>242</v>
      </c>
      <c r="W1273" s="10" t="s">
        <v>242</v>
      </c>
      <c r="X1273" s="15">
        <f>IF(ISERROR(VLOOKUP($A1273,'13. Updated Demand'!A:Z,15,FALSE)),0,VLOOKUP($A1273,'13. Updated Demand'!A:Z,15,FALSE))</f>
        <v>0</v>
      </c>
      <c r="Y1273" s="16">
        <f>IF(ISERROR(VLOOKUP($A1273,'13. Updated Demand'!A:Z,16,FALSE)),0,VLOOKUP($A1273,'13. Updated Demand'!A:Z,16,FALSE))</f>
        <v>0</v>
      </c>
      <c r="Z1273" s="16">
        <f>IF(ISERROR(VLOOKUP($A1273,'13. Updated Demand'!A:Z,17,FALSE)),0,VLOOKUP($A1273,'13. Updated Demand'!A:Z,17,FALSE))</f>
        <v>0</v>
      </c>
      <c r="AA1273" s="16">
        <f>IF(ISERROR(VLOOKUP($A1273,'13. Updated Demand'!A:Z,18,FALSE)),0,VLOOKUP($A1273,'13. Updated Demand'!A:Z,18,FALSE))</f>
        <v>0.6</v>
      </c>
      <c r="AB1273" s="16">
        <f>IF(ISERROR(VLOOKUP($A1273,'13. Updated Demand'!A:Z,19,FALSE)),0,VLOOKUP($A1273,'13. Updated Demand'!A:Z,19,FALSE))</f>
        <v>0.8</v>
      </c>
      <c r="AC1273" s="16">
        <f>IF(ISERROR(VLOOKUP($A1273,'13. Updated Demand'!A:Z,20,FALSE)),0,VLOOKUP($A1273,'13. Updated Demand'!A:Z,20,FALSE))</f>
        <v>0.8</v>
      </c>
      <c r="AD1273" s="16">
        <f>IF(ISERROR(VLOOKUP($A1273,'13. Updated Demand'!A:Z,21,FALSE)),0,VLOOKUP($A1273,'13. Updated Demand'!A:Z,21,FALSE))</f>
        <v>0.8</v>
      </c>
      <c r="AE1273" s="16">
        <f>IF(ISERROR(VLOOKUP($A1273,'13. Updated Demand'!A:Z,22,FALSE)),0,VLOOKUP($A1273,'13. Updated Demand'!A:Z,22,FALSE))</f>
        <v>0</v>
      </c>
      <c r="AF1273" s="16">
        <f>IF(ISERROR(VLOOKUP($A1273,'13. Updated Demand'!A:Z,23,FALSE)),0,VLOOKUP($A1273,'13. Updated Demand'!A:Z,23,FALSE))</f>
        <v>0.4</v>
      </c>
      <c r="AG1273" s="16">
        <f>IF(ISERROR(VLOOKUP($A1273,'13. Updated Demand'!A:Z,24,FALSE)),0,VLOOKUP($A1273,'13. Updated Demand'!A:Z,24,FALSE))</f>
        <v>0.2</v>
      </c>
      <c r="AH1273" s="16">
        <f>IF(ISERROR(VLOOKUP($A1273,'13. Updated Demand'!A:Z,25,FALSE)),0,VLOOKUP($A1273,'13. Updated Demand'!A:Z,25,FALSE))</f>
        <v>0.2</v>
      </c>
      <c r="AI1273" s="16">
        <f>IF(ISERROR(VLOOKUP($A1273,'13. Updated Demand'!A:Z,26,FALSE)),0,VLOOKUP($A1273,'13. Updated Demand'!A:Z,26,FALSE))</f>
        <v>0.2</v>
      </c>
      <c r="AJ1273" s="16">
        <f t="shared" si="240"/>
        <v>4</v>
      </c>
      <c r="AK1273" s="19">
        <v>2.8000000000000003</v>
      </c>
      <c r="AL1273" s="16">
        <f t="shared" si="238"/>
        <v>9.2872810500274263E-3</v>
      </c>
      <c r="AM1273" s="17">
        <v>0.93023255813953487</v>
      </c>
      <c r="AN1273" s="19"/>
      <c r="AO1273" s="19"/>
      <c r="AP1273" s="19">
        <v>4.3</v>
      </c>
      <c r="AQ1273" s="19" t="s">
        <v>307</v>
      </c>
      <c r="AR1273" s="9" t="s">
        <v>354</v>
      </c>
      <c r="AS1273" s="12">
        <v>0</v>
      </c>
      <c r="AT1273" s="19">
        <v>38.794595010000002</v>
      </c>
      <c r="AU1273" s="19">
        <v>-123.0095075</v>
      </c>
      <c r="AV1273" s="19" t="s">
        <v>548</v>
      </c>
    </row>
    <row r="1274" spans="1:48" x14ac:dyDescent="0.25">
      <c r="A1274" s="18" t="s">
        <v>1649</v>
      </c>
      <c r="B1274" s="10">
        <v>19501009</v>
      </c>
      <c r="C1274" s="9">
        <v>12</v>
      </c>
      <c r="D1274" s="8" t="str">
        <f t="shared" si="229"/>
        <v>N</v>
      </c>
      <c r="E1274" s="8" t="str">
        <f t="shared" si="230"/>
        <v>Y</v>
      </c>
      <c r="F1274" s="8" t="str">
        <f t="shared" si="231"/>
        <v>Y</v>
      </c>
      <c r="G1274" s="8" t="str">
        <f t="shared" si="232"/>
        <v>Y</v>
      </c>
      <c r="H1274" s="8" t="str">
        <f t="shared" si="233"/>
        <v>Upper</v>
      </c>
      <c r="I1274" s="8" t="str">
        <f t="shared" si="234"/>
        <v>West Fork and Below Lake</v>
      </c>
      <c r="J1274" s="8" t="str">
        <f t="shared" si="235"/>
        <v>Sonoma (d/s of Clov. Gage)</v>
      </c>
      <c r="K1274" s="8" t="str">
        <f t="shared" si="236"/>
        <v>Post-1949</v>
      </c>
      <c r="L1274" s="8">
        <f t="shared" si="237"/>
        <v>1950</v>
      </c>
      <c r="M1274" s="8" t="str">
        <f t="shared" si="239"/>
        <v>1950-1952</v>
      </c>
      <c r="N1274" s="10" t="s">
        <v>241</v>
      </c>
      <c r="O1274" s="10" t="s">
        <v>241</v>
      </c>
      <c r="P1274" s="10" t="s">
        <v>242</v>
      </c>
      <c r="Q1274" s="10" t="s">
        <v>242</v>
      </c>
      <c r="R1274" s="10" t="s">
        <v>241</v>
      </c>
      <c r="S1274" s="10" t="s">
        <v>242</v>
      </c>
      <c r="T1274" s="10" t="s">
        <v>242</v>
      </c>
      <c r="U1274" s="10" t="s">
        <v>242</v>
      </c>
      <c r="V1274" s="10" t="s">
        <v>242</v>
      </c>
      <c r="W1274" s="10" t="s">
        <v>242</v>
      </c>
      <c r="X1274" s="15">
        <f>IF(ISERROR(VLOOKUP($A1274,'13. Updated Demand'!A:Z,15,FALSE)),0,VLOOKUP($A1274,'13. Updated Demand'!A:Z,15,FALSE))</f>
        <v>0.05</v>
      </c>
      <c r="Y1274" s="16">
        <f>IF(ISERROR(VLOOKUP($A1274,'13. Updated Demand'!A:Z,16,FALSE)),0,VLOOKUP($A1274,'13. Updated Demand'!A:Z,16,FALSE))</f>
        <v>0.05</v>
      </c>
      <c r="Z1274" s="16">
        <f>IF(ISERROR(VLOOKUP($A1274,'13. Updated Demand'!A:Z,17,FALSE)),0,VLOOKUP($A1274,'13. Updated Demand'!A:Z,17,FALSE))</f>
        <v>0.05</v>
      </c>
      <c r="AA1274" s="16">
        <f>IF(ISERROR(VLOOKUP($A1274,'13. Updated Demand'!A:Z,18,FALSE)),0,VLOOKUP($A1274,'13. Updated Demand'!A:Z,18,FALSE))</f>
        <v>0.05</v>
      </c>
      <c r="AB1274" s="16">
        <f>IF(ISERROR(VLOOKUP($A1274,'13. Updated Demand'!A:Z,19,FALSE)),0,VLOOKUP($A1274,'13. Updated Demand'!A:Z,19,FALSE))</f>
        <v>0.05</v>
      </c>
      <c r="AC1274" s="16">
        <f>IF(ISERROR(VLOOKUP($A1274,'13. Updated Demand'!A:Z,20,FALSE)),0,VLOOKUP($A1274,'13. Updated Demand'!A:Z,20,FALSE))</f>
        <v>0.48</v>
      </c>
      <c r="AD1274" s="16">
        <f>IF(ISERROR(VLOOKUP($A1274,'13. Updated Demand'!A:Z,21,FALSE)),0,VLOOKUP($A1274,'13. Updated Demand'!A:Z,21,FALSE))</f>
        <v>0.48</v>
      </c>
      <c r="AE1274" s="16">
        <f>IF(ISERROR(VLOOKUP($A1274,'13. Updated Demand'!A:Z,22,FALSE)),0,VLOOKUP($A1274,'13. Updated Demand'!A:Z,22,FALSE))</f>
        <v>0.48</v>
      </c>
      <c r="AF1274" s="16">
        <f>IF(ISERROR(VLOOKUP($A1274,'13. Updated Demand'!A:Z,23,FALSE)),0,VLOOKUP($A1274,'13. Updated Demand'!A:Z,23,FALSE))</f>
        <v>0.48</v>
      </c>
      <c r="AG1274" s="16">
        <f>IF(ISERROR(VLOOKUP($A1274,'13. Updated Demand'!A:Z,24,FALSE)),0,VLOOKUP($A1274,'13. Updated Demand'!A:Z,24,FALSE))</f>
        <v>0.34</v>
      </c>
      <c r="AH1274" s="16">
        <f>IF(ISERROR(VLOOKUP($A1274,'13. Updated Demand'!A:Z,25,FALSE)),0,VLOOKUP($A1274,'13. Updated Demand'!A:Z,25,FALSE))</f>
        <v>0.05</v>
      </c>
      <c r="AI1274" s="16">
        <f>IF(ISERROR(VLOOKUP($A1274,'13. Updated Demand'!A:Z,26,FALSE)),0,VLOOKUP($A1274,'13. Updated Demand'!A:Z,26,FALSE))</f>
        <v>0.05</v>
      </c>
      <c r="AJ1274" s="16">
        <f t="shared" si="240"/>
        <v>2.6099999999999994</v>
      </c>
      <c r="AK1274" s="19">
        <v>1.9948539999999999</v>
      </c>
      <c r="AL1274" s="16">
        <f t="shared" si="238"/>
        <v>6.6167034827755034E-3</v>
      </c>
      <c r="AM1274" s="17">
        <v>7.8115073313782979E-2</v>
      </c>
      <c r="AN1274" s="19"/>
      <c r="AO1274" s="19"/>
      <c r="AP1274" s="19">
        <v>34.1</v>
      </c>
      <c r="AQ1274" s="19" t="s">
        <v>307</v>
      </c>
      <c r="AR1274" s="9" t="s">
        <v>311</v>
      </c>
      <c r="AS1274" s="12">
        <v>0</v>
      </c>
      <c r="AT1274" s="19">
        <v>38.635360159999998</v>
      </c>
      <c r="AU1274" s="19">
        <v>-122.83184962999999</v>
      </c>
      <c r="AV1274" s="19" t="s">
        <v>387</v>
      </c>
    </row>
    <row r="1275" spans="1:48" x14ac:dyDescent="0.25">
      <c r="A1275" s="18" t="s">
        <v>1650</v>
      </c>
      <c r="B1275" s="10">
        <v>19501009</v>
      </c>
      <c r="C1275" s="9">
        <v>15</v>
      </c>
      <c r="D1275" s="8" t="str">
        <f t="shared" si="229"/>
        <v>N</v>
      </c>
      <c r="E1275" s="8" t="str">
        <f t="shared" si="230"/>
        <v>N</v>
      </c>
      <c r="F1275" s="8" t="str">
        <f t="shared" si="231"/>
        <v>N</v>
      </c>
      <c r="G1275" s="8" t="str">
        <f t="shared" si="232"/>
        <v>N</v>
      </c>
      <c r="H1275" s="8" t="str">
        <f t="shared" si="233"/>
        <v>Lower</v>
      </c>
      <c r="I1275" s="8" t="str">
        <f t="shared" si="234"/>
        <v>Outside</v>
      </c>
      <c r="J1275" s="8" t="str">
        <f t="shared" si="235"/>
        <v>Outside</v>
      </c>
      <c r="K1275" s="8" t="str">
        <f t="shared" si="236"/>
        <v>Post-1949</v>
      </c>
      <c r="L1275" s="8">
        <f t="shared" si="237"/>
        <v>1950</v>
      </c>
      <c r="M1275" s="8" t="str">
        <f t="shared" si="239"/>
        <v>1950-1952</v>
      </c>
      <c r="N1275" s="10" t="s">
        <v>242</v>
      </c>
      <c r="O1275" s="10" t="s">
        <v>242</v>
      </c>
      <c r="P1275" s="10" t="s">
        <v>242</v>
      </c>
      <c r="Q1275" s="10" t="s">
        <v>242</v>
      </c>
      <c r="R1275" s="10" t="s">
        <v>241</v>
      </c>
      <c r="S1275" s="10" t="s">
        <v>242</v>
      </c>
      <c r="T1275" s="10" t="s">
        <v>242</v>
      </c>
      <c r="U1275" s="10" t="s">
        <v>242</v>
      </c>
      <c r="V1275" s="10" t="s">
        <v>242</v>
      </c>
      <c r="W1275" s="10" t="s">
        <v>242</v>
      </c>
      <c r="X1275" s="15">
        <f>IF(ISERROR(VLOOKUP($A1275,'13. Updated Demand'!A:Z,15,FALSE)),0,VLOOKUP($A1275,'13. Updated Demand'!A:Z,15,FALSE))</f>
        <v>0</v>
      </c>
      <c r="Y1275" s="16">
        <f>IF(ISERROR(VLOOKUP($A1275,'13. Updated Demand'!A:Z,16,FALSE)),0,VLOOKUP($A1275,'13. Updated Demand'!A:Z,16,FALSE))</f>
        <v>0</v>
      </c>
      <c r="Z1275" s="16">
        <f>IF(ISERROR(VLOOKUP($A1275,'13. Updated Demand'!A:Z,17,FALSE)),0,VLOOKUP($A1275,'13. Updated Demand'!A:Z,17,FALSE))</f>
        <v>0</v>
      </c>
      <c r="AA1275" s="16">
        <f>IF(ISERROR(VLOOKUP($A1275,'13. Updated Demand'!A:Z,18,FALSE)),0,VLOOKUP($A1275,'13. Updated Demand'!A:Z,18,FALSE))</f>
        <v>0</v>
      </c>
      <c r="AB1275" s="16">
        <f>IF(ISERROR(VLOOKUP($A1275,'13. Updated Demand'!A:Z,19,FALSE)),0,VLOOKUP($A1275,'13. Updated Demand'!A:Z,19,FALSE))</f>
        <v>0</v>
      </c>
      <c r="AC1275" s="16">
        <f>IF(ISERROR(VLOOKUP($A1275,'13. Updated Demand'!A:Z,20,FALSE)),0,VLOOKUP($A1275,'13. Updated Demand'!A:Z,20,FALSE))</f>
        <v>0</v>
      </c>
      <c r="AD1275" s="16">
        <f>IF(ISERROR(VLOOKUP($A1275,'13. Updated Demand'!A:Z,21,FALSE)),0,VLOOKUP($A1275,'13. Updated Demand'!A:Z,21,FALSE))</f>
        <v>0.34166666699999998</v>
      </c>
      <c r="AE1275" s="16">
        <f>IF(ISERROR(VLOOKUP($A1275,'13. Updated Demand'!A:Z,22,FALSE)),0,VLOOKUP($A1275,'13. Updated Demand'!A:Z,22,FALSE))</f>
        <v>0.35499999999999998</v>
      </c>
      <c r="AF1275" s="16">
        <f>IF(ISERROR(VLOOKUP($A1275,'13. Updated Demand'!A:Z,23,FALSE)),0,VLOOKUP($A1275,'13. Updated Demand'!A:Z,23,FALSE))</f>
        <v>0.24833333299999999</v>
      </c>
      <c r="AG1275" s="16">
        <f>IF(ISERROR(VLOOKUP($A1275,'13. Updated Demand'!A:Z,24,FALSE)),0,VLOOKUP($A1275,'13. Updated Demand'!A:Z,24,FALSE))</f>
        <v>0</v>
      </c>
      <c r="AH1275" s="16">
        <f>IF(ISERROR(VLOOKUP($A1275,'13. Updated Demand'!A:Z,25,FALSE)),0,VLOOKUP($A1275,'13. Updated Demand'!A:Z,25,FALSE))</f>
        <v>0</v>
      </c>
      <c r="AI1275" s="16">
        <f>IF(ISERROR(VLOOKUP($A1275,'13. Updated Demand'!A:Z,26,FALSE)),0,VLOOKUP($A1275,'13. Updated Demand'!A:Z,26,FALSE))</f>
        <v>0</v>
      </c>
      <c r="AJ1275" s="16">
        <f t="shared" si="240"/>
        <v>0.94499999999999984</v>
      </c>
      <c r="AK1275" s="19">
        <v>0.94499999999999984</v>
      </c>
      <c r="AL1275" s="16">
        <f t="shared" si="238"/>
        <v>3.1344573543842557E-3</v>
      </c>
      <c r="AM1275" s="17">
        <v>1.6098807495741052E-2</v>
      </c>
      <c r="AN1275" s="19"/>
      <c r="AO1275" s="19"/>
      <c r="AP1275" s="19">
        <v>58.7</v>
      </c>
      <c r="AQ1275" s="19" t="s">
        <v>307</v>
      </c>
      <c r="AR1275" s="9" t="s">
        <v>489</v>
      </c>
      <c r="AS1275" s="12">
        <v>0</v>
      </c>
      <c r="AT1275" s="19">
        <v>38.65496632</v>
      </c>
      <c r="AU1275" s="19">
        <v>-122.92628329</v>
      </c>
      <c r="AV1275" s="19" t="s">
        <v>701</v>
      </c>
    </row>
    <row r="1276" spans="1:48" x14ac:dyDescent="0.25">
      <c r="A1276" s="18" t="s">
        <v>1651</v>
      </c>
      <c r="B1276" s="10">
        <v>19500419</v>
      </c>
      <c r="C1276" s="9">
        <v>11</v>
      </c>
      <c r="D1276" s="8" t="str">
        <f t="shared" si="229"/>
        <v>N</v>
      </c>
      <c r="E1276" s="8" t="str">
        <f t="shared" si="230"/>
        <v>Y</v>
      </c>
      <c r="F1276" s="8" t="str">
        <f t="shared" si="231"/>
        <v>Y</v>
      </c>
      <c r="G1276" s="8" t="str">
        <f t="shared" si="232"/>
        <v>Y</v>
      </c>
      <c r="H1276" s="8" t="str">
        <f t="shared" si="233"/>
        <v>Upper</v>
      </c>
      <c r="I1276" s="8" t="str">
        <f t="shared" si="234"/>
        <v>West Fork and Below Lake</v>
      </c>
      <c r="J1276" s="8" t="str">
        <f t="shared" si="235"/>
        <v>Sonoma (d/s of Clov. Gage)</v>
      </c>
      <c r="K1276" s="8" t="str">
        <f t="shared" si="236"/>
        <v>Post-1949</v>
      </c>
      <c r="L1276" s="8">
        <f t="shared" si="237"/>
        <v>1950</v>
      </c>
      <c r="M1276" s="8" t="str">
        <f t="shared" si="239"/>
        <v>1950-1952</v>
      </c>
      <c r="N1276" s="10" t="s">
        <v>242</v>
      </c>
      <c r="O1276" s="10" t="s">
        <v>241</v>
      </c>
      <c r="P1276" s="10" t="s">
        <v>242</v>
      </c>
      <c r="Q1276" s="10" t="s">
        <v>242</v>
      </c>
      <c r="R1276" s="10" t="s">
        <v>241</v>
      </c>
      <c r="S1276" s="10" t="s">
        <v>242</v>
      </c>
      <c r="T1276" s="10" t="s">
        <v>242</v>
      </c>
      <c r="U1276" s="10" t="s">
        <v>242</v>
      </c>
      <c r="V1276" s="10" t="s">
        <v>242</v>
      </c>
      <c r="W1276" s="10" t="s">
        <v>242</v>
      </c>
      <c r="X1276" s="15">
        <f>IF(ISERROR(VLOOKUP($A1276,'13. Updated Demand'!A:Z,15,FALSE)),0,VLOOKUP($A1276,'13. Updated Demand'!A:Z,15,FALSE))</f>
        <v>14.06</v>
      </c>
      <c r="Y1276" s="16">
        <f>IF(ISERROR(VLOOKUP($A1276,'13. Updated Demand'!A:Z,16,FALSE)),0,VLOOKUP($A1276,'13. Updated Demand'!A:Z,16,FALSE))</f>
        <v>13.7</v>
      </c>
      <c r="Z1276" s="16">
        <f>IF(ISERROR(VLOOKUP($A1276,'13. Updated Demand'!A:Z,17,FALSE)),0,VLOOKUP($A1276,'13. Updated Demand'!A:Z,17,FALSE))</f>
        <v>7.33</v>
      </c>
      <c r="AA1276" s="16">
        <f>IF(ISERROR(VLOOKUP($A1276,'13. Updated Demand'!A:Z,18,FALSE)),0,VLOOKUP($A1276,'13. Updated Demand'!A:Z,18,FALSE))</f>
        <v>6.13</v>
      </c>
      <c r="AB1276" s="16">
        <f>IF(ISERROR(VLOOKUP($A1276,'13. Updated Demand'!A:Z,19,FALSE)),0,VLOOKUP($A1276,'13. Updated Demand'!A:Z,19,FALSE))</f>
        <v>0.06</v>
      </c>
      <c r="AC1276" s="16">
        <f>IF(ISERROR(VLOOKUP($A1276,'13. Updated Demand'!A:Z,20,FALSE)),0,VLOOKUP($A1276,'13. Updated Demand'!A:Z,20,FALSE))</f>
        <v>0.36</v>
      </c>
      <c r="AD1276" s="16">
        <f>IF(ISERROR(VLOOKUP($A1276,'13. Updated Demand'!A:Z,21,FALSE)),0,VLOOKUP($A1276,'13. Updated Demand'!A:Z,21,FALSE))</f>
        <v>0</v>
      </c>
      <c r="AE1276" s="16">
        <f>IF(ISERROR(VLOOKUP($A1276,'13. Updated Demand'!A:Z,22,FALSE)),0,VLOOKUP($A1276,'13. Updated Demand'!A:Z,22,FALSE))</f>
        <v>0</v>
      </c>
      <c r="AF1276" s="16">
        <f>IF(ISERROR(VLOOKUP($A1276,'13. Updated Demand'!A:Z,23,FALSE)),0,VLOOKUP($A1276,'13. Updated Demand'!A:Z,23,FALSE))</f>
        <v>0</v>
      </c>
      <c r="AG1276" s="16">
        <f>IF(ISERROR(VLOOKUP($A1276,'13. Updated Demand'!A:Z,24,FALSE)),0,VLOOKUP($A1276,'13. Updated Demand'!A:Z,24,FALSE))</f>
        <v>0</v>
      </c>
      <c r="AH1276" s="16">
        <f>IF(ISERROR(VLOOKUP($A1276,'13. Updated Demand'!A:Z,25,FALSE)),0,VLOOKUP($A1276,'13. Updated Demand'!A:Z,25,FALSE))</f>
        <v>0.83</v>
      </c>
      <c r="AI1276" s="16">
        <f>IF(ISERROR(VLOOKUP($A1276,'13. Updated Demand'!A:Z,26,FALSE)),0,VLOOKUP($A1276,'13. Updated Demand'!A:Z,26,FALSE))</f>
        <v>24.33</v>
      </c>
      <c r="AJ1276" s="16">
        <f t="shared" si="240"/>
        <v>66.8</v>
      </c>
      <c r="AK1276" s="19">
        <v>0.43333333400000001</v>
      </c>
      <c r="AL1276" s="16">
        <f t="shared" si="238"/>
        <v>1.4373173075726447E-3</v>
      </c>
      <c r="AM1276" s="17">
        <v>0.44555555555333332</v>
      </c>
      <c r="AN1276" s="19"/>
      <c r="AO1276" s="19"/>
      <c r="AP1276" s="19">
        <v>150</v>
      </c>
      <c r="AQ1276" s="19" t="s">
        <v>307</v>
      </c>
      <c r="AR1276" s="9" t="s">
        <v>308</v>
      </c>
      <c r="AS1276" s="12">
        <v>0</v>
      </c>
      <c r="AT1276" s="19">
        <v>38.645409389999998</v>
      </c>
      <c r="AU1276" s="19">
        <v>-122.68000067</v>
      </c>
      <c r="AV1276" s="19" t="s">
        <v>1652</v>
      </c>
    </row>
    <row r="1277" spans="1:48" x14ac:dyDescent="0.25">
      <c r="A1277" s="18" t="s">
        <v>1653</v>
      </c>
      <c r="B1277" s="10">
        <v>19501114</v>
      </c>
      <c r="C1277" s="9">
        <v>17</v>
      </c>
      <c r="D1277" s="8" t="str">
        <f t="shared" si="229"/>
        <v>N</v>
      </c>
      <c r="E1277" s="8" t="str">
        <f t="shared" si="230"/>
        <v>N</v>
      </c>
      <c r="F1277" s="8" t="str">
        <f t="shared" si="231"/>
        <v>N</v>
      </c>
      <c r="G1277" s="8" t="str">
        <f t="shared" si="232"/>
        <v>N</v>
      </c>
      <c r="H1277" s="8" t="str">
        <f t="shared" si="233"/>
        <v>Lower</v>
      </c>
      <c r="I1277" s="8" t="str">
        <f t="shared" si="234"/>
        <v>Outside</v>
      </c>
      <c r="J1277" s="8" t="str">
        <f t="shared" si="235"/>
        <v>Outside</v>
      </c>
      <c r="K1277" s="8" t="str">
        <f t="shared" si="236"/>
        <v>Post-1949</v>
      </c>
      <c r="L1277" s="8">
        <f t="shared" si="237"/>
        <v>1950</v>
      </c>
      <c r="M1277" s="8" t="str">
        <f t="shared" si="239"/>
        <v>1950-1952</v>
      </c>
      <c r="N1277" s="10" t="s">
        <v>241</v>
      </c>
      <c r="O1277" s="10" t="s">
        <v>242</v>
      </c>
      <c r="P1277" s="10" t="s">
        <v>242</v>
      </c>
      <c r="Q1277" s="10" t="s">
        <v>242</v>
      </c>
      <c r="R1277" s="10" t="s">
        <v>241</v>
      </c>
      <c r="S1277" s="10" t="s">
        <v>242</v>
      </c>
      <c r="T1277" s="10" t="s">
        <v>242</v>
      </c>
      <c r="U1277" s="10" t="s">
        <v>242</v>
      </c>
      <c r="V1277" s="10" t="s">
        <v>242</v>
      </c>
      <c r="W1277" s="10" t="s">
        <v>242</v>
      </c>
      <c r="X1277" s="15">
        <f>IF(ISERROR(VLOOKUP($A1277,'13. Updated Demand'!A:Z,15,FALSE)),0,VLOOKUP($A1277,'13. Updated Demand'!A:Z,15,FALSE))</f>
        <v>0</v>
      </c>
      <c r="Y1277" s="16">
        <f>IF(ISERROR(VLOOKUP($A1277,'13. Updated Demand'!A:Z,16,FALSE)),0,VLOOKUP($A1277,'13. Updated Demand'!A:Z,16,FALSE))</f>
        <v>0</v>
      </c>
      <c r="Z1277" s="16">
        <f>IF(ISERROR(VLOOKUP($A1277,'13. Updated Demand'!A:Z,17,FALSE)),0,VLOOKUP($A1277,'13. Updated Demand'!A:Z,17,FALSE))</f>
        <v>0</v>
      </c>
      <c r="AA1277" s="16">
        <f>IF(ISERROR(VLOOKUP($A1277,'13. Updated Demand'!A:Z,18,FALSE)),0,VLOOKUP($A1277,'13. Updated Demand'!A:Z,18,FALSE))</f>
        <v>0</v>
      </c>
      <c r="AB1277" s="16">
        <f>IF(ISERROR(VLOOKUP($A1277,'13. Updated Demand'!A:Z,19,FALSE)),0,VLOOKUP($A1277,'13. Updated Demand'!A:Z,19,FALSE))</f>
        <v>0.03</v>
      </c>
      <c r="AC1277" s="16">
        <f>IF(ISERROR(VLOOKUP($A1277,'13. Updated Demand'!A:Z,20,FALSE)),0,VLOOKUP($A1277,'13. Updated Demand'!A:Z,20,FALSE))</f>
        <v>0.03</v>
      </c>
      <c r="AD1277" s="16">
        <f>IF(ISERROR(VLOOKUP($A1277,'13. Updated Demand'!A:Z,21,FALSE)),0,VLOOKUP($A1277,'13. Updated Demand'!A:Z,21,FALSE))</f>
        <v>0.03</v>
      </c>
      <c r="AE1277" s="16">
        <f>IF(ISERROR(VLOOKUP($A1277,'13. Updated Demand'!A:Z,22,FALSE)),0,VLOOKUP($A1277,'13. Updated Demand'!A:Z,22,FALSE))</f>
        <v>0.03</v>
      </c>
      <c r="AF1277" s="16">
        <f>IF(ISERROR(VLOOKUP($A1277,'13. Updated Demand'!A:Z,23,FALSE)),0,VLOOKUP($A1277,'13. Updated Demand'!A:Z,23,FALSE))</f>
        <v>0.03</v>
      </c>
      <c r="AG1277" s="16">
        <f>IF(ISERROR(VLOOKUP($A1277,'13. Updated Demand'!A:Z,24,FALSE)),0,VLOOKUP($A1277,'13. Updated Demand'!A:Z,24,FALSE))</f>
        <v>0.03</v>
      </c>
      <c r="AH1277" s="16">
        <f>IF(ISERROR(VLOOKUP($A1277,'13. Updated Demand'!A:Z,25,FALSE)),0,VLOOKUP($A1277,'13. Updated Demand'!A:Z,25,FALSE))</f>
        <v>0</v>
      </c>
      <c r="AI1277" s="16">
        <f>IF(ISERROR(VLOOKUP($A1277,'13. Updated Demand'!A:Z,26,FALSE)),0,VLOOKUP($A1277,'13. Updated Demand'!A:Z,26,FALSE))</f>
        <v>0</v>
      </c>
      <c r="AJ1277" s="16">
        <f t="shared" si="240"/>
        <v>0.18</v>
      </c>
      <c r="AK1277" s="19">
        <v>0.15</v>
      </c>
      <c r="AL1277" s="16">
        <f t="shared" si="238"/>
        <v>4.9753291339432639E-4</v>
      </c>
      <c r="AM1277" s="17">
        <v>5.487804878048781E-3</v>
      </c>
      <c r="AN1277" s="19"/>
      <c r="AO1277" s="19"/>
      <c r="AP1277" s="19">
        <v>32.799999999999997</v>
      </c>
      <c r="AQ1277" s="19" t="s">
        <v>307</v>
      </c>
      <c r="AR1277" s="9" t="s">
        <v>486</v>
      </c>
      <c r="AS1277" s="12">
        <v>0</v>
      </c>
      <c r="AT1277" s="19">
        <v>38.583500000000001</v>
      </c>
      <c r="AU1277" s="19">
        <v>-122.8617</v>
      </c>
      <c r="AV1277" s="19" t="s">
        <v>1320</v>
      </c>
    </row>
    <row r="1278" spans="1:48" x14ac:dyDescent="0.25">
      <c r="A1278" s="18" t="s">
        <v>1654</v>
      </c>
      <c r="B1278" s="10">
        <v>19501114</v>
      </c>
      <c r="C1278" s="9">
        <v>12</v>
      </c>
      <c r="D1278" s="8" t="str">
        <f t="shared" si="229"/>
        <v>N</v>
      </c>
      <c r="E1278" s="8" t="str">
        <f t="shared" si="230"/>
        <v>Y</v>
      </c>
      <c r="F1278" s="8" t="str">
        <f t="shared" si="231"/>
        <v>Y</v>
      </c>
      <c r="G1278" s="8" t="str">
        <f t="shared" si="232"/>
        <v>Y</v>
      </c>
      <c r="H1278" s="8" t="str">
        <f t="shared" si="233"/>
        <v>Upper</v>
      </c>
      <c r="I1278" s="8" t="str">
        <f t="shared" si="234"/>
        <v>West Fork and Below Lake</v>
      </c>
      <c r="J1278" s="8" t="str">
        <f t="shared" si="235"/>
        <v>Sonoma (d/s of Clov. Gage)</v>
      </c>
      <c r="K1278" s="8" t="str">
        <f t="shared" si="236"/>
        <v>Post-1949</v>
      </c>
      <c r="L1278" s="8">
        <f t="shared" si="237"/>
        <v>1950</v>
      </c>
      <c r="M1278" s="8" t="str">
        <f t="shared" si="239"/>
        <v>1950-1952</v>
      </c>
      <c r="N1278" s="10" t="s">
        <v>241</v>
      </c>
      <c r="O1278" s="10" t="s">
        <v>241</v>
      </c>
      <c r="P1278" s="10" t="s">
        <v>242</v>
      </c>
      <c r="Q1278" s="10" t="s">
        <v>242</v>
      </c>
      <c r="R1278" s="10" t="s">
        <v>241</v>
      </c>
      <c r="S1278" s="10" t="s">
        <v>242</v>
      </c>
      <c r="T1278" s="10" t="s">
        <v>242</v>
      </c>
      <c r="U1278" s="10" t="s">
        <v>242</v>
      </c>
      <c r="V1278" s="10" t="s">
        <v>242</v>
      </c>
      <c r="W1278" s="10" t="s">
        <v>242</v>
      </c>
      <c r="X1278" s="15">
        <f>IF(ISERROR(VLOOKUP($A1278,'13. Updated Demand'!A:Z,15,FALSE)),0,VLOOKUP($A1278,'13. Updated Demand'!A:Z,15,FALSE))</f>
        <v>0</v>
      </c>
      <c r="Y1278" s="16">
        <f>IF(ISERROR(VLOOKUP($A1278,'13. Updated Demand'!A:Z,16,FALSE)),0,VLOOKUP($A1278,'13. Updated Demand'!A:Z,16,FALSE))</f>
        <v>0</v>
      </c>
      <c r="Z1278" s="16">
        <f>IF(ISERROR(VLOOKUP($A1278,'13. Updated Demand'!A:Z,17,FALSE)),0,VLOOKUP($A1278,'13. Updated Demand'!A:Z,17,FALSE))</f>
        <v>0</v>
      </c>
      <c r="AA1278" s="16">
        <f>IF(ISERROR(VLOOKUP($A1278,'13. Updated Demand'!A:Z,18,FALSE)),0,VLOOKUP($A1278,'13. Updated Demand'!A:Z,18,FALSE))</f>
        <v>8.9999999999999998E-4</v>
      </c>
      <c r="AB1278" s="16">
        <f>IF(ISERROR(VLOOKUP($A1278,'13. Updated Demand'!A:Z,19,FALSE)),0,VLOOKUP($A1278,'13. Updated Demand'!A:Z,19,FALSE))</f>
        <v>2.57666666666667E-4</v>
      </c>
      <c r="AC1278" s="16">
        <f>IF(ISERROR(VLOOKUP($A1278,'13. Updated Demand'!A:Z,20,FALSE)),0,VLOOKUP($A1278,'13. Updated Demand'!A:Z,20,FALSE))</f>
        <v>0.01</v>
      </c>
      <c r="AD1278" s="16">
        <f>IF(ISERROR(VLOOKUP($A1278,'13. Updated Demand'!A:Z,21,FALSE)),0,VLOOKUP($A1278,'13. Updated Demand'!A:Z,21,FALSE))</f>
        <v>0.01</v>
      </c>
      <c r="AE1278" s="16">
        <f>IF(ISERROR(VLOOKUP($A1278,'13. Updated Demand'!A:Z,22,FALSE)),0,VLOOKUP($A1278,'13. Updated Demand'!A:Z,22,FALSE))</f>
        <v>0.01</v>
      </c>
      <c r="AF1278" s="16">
        <f>IF(ISERROR(VLOOKUP($A1278,'13. Updated Demand'!A:Z,23,FALSE)),0,VLOOKUP($A1278,'13. Updated Demand'!A:Z,23,FALSE))</f>
        <v>0.01</v>
      </c>
      <c r="AG1278" s="16">
        <f>IF(ISERROR(VLOOKUP($A1278,'13. Updated Demand'!A:Z,24,FALSE)),0,VLOOKUP($A1278,'13. Updated Demand'!A:Z,24,FALSE))</f>
        <v>0.01</v>
      </c>
      <c r="AH1278" s="16">
        <f>IF(ISERROR(VLOOKUP($A1278,'13. Updated Demand'!A:Z,25,FALSE)),0,VLOOKUP($A1278,'13. Updated Demand'!A:Z,25,FALSE))</f>
        <v>0</v>
      </c>
      <c r="AI1278" s="16">
        <f>IF(ISERROR(VLOOKUP($A1278,'13. Updated Demand'!A:Z,26,FALSE)),0,VLOOKUP($A1278,'13. Updated Demand'!A:Z,26,FALSE))</f>
        <v>0</v>
      </c>
      <c r="AJ1278" s="16">
        <f t="shared" si="240"/>
        <v>5.1157666666666671E-2</v>
      </c>
      <c r="AK1278" s="19">
        <v>6.5850399999999976E-2</v>
      </c>
      <c r="AL1278" s="16">
        <f t="shared" si="238"/>
        <v>2.1841827573454491E-4</v>
      </c>
      <c r="AM1278" s="17">
        <v>1.1614997701149417E-3</v>
      </c>
      <c r="AN1278" s="19"/>
      <c r="AO1278" s="19"/>
      <c r="AP1278" s="19">
        <v>72.5</v>
      </c>
      <c r="AQ1278" s="19" t="s">
        <v>307</v>
      </c>
      <c r="AR1278" s="9" t="s">
        <v>311</v>
      </c>
      <c r="AS1278" s="12">
        <v>0</v>
      </c>
      <c r="AT1278" s="19">
        <v>38.638064730000004</v>
      </c>
      <c r="AU1278" s="19">
        <v>-122.79861989</v>
      </c>
      <c r="AV1278" s="19" t="s">
        <v>548</v>
      </c>
    </row>
    <row r="1279" spans="1:48" x14ac:dyDescent="0.25">
      <c r="A1279" s="18" t="s">
        <v>1655</v>
      </c>
      <c r="B1279" s="10">
        <v>19500524</v>
      </c>
      <c r="C1279" s="9">
        <v>6</v>
      </c>
      <c r="D1279" s="8" t="str">
        <f t="shared" si="229"/>
        <v>Y</v>
      </c>
      <c r="E1279" s="8" t="str">
        <f t="shared" si="230"/>
        <v>N</v>
      </c>
      <c r="F1279" s="8" t="str">
        <f t="shared" si="231"/>
        <v>Y</v>
      </c>
      <c r="G1279" s="8" t="str">
        <f t="shared" si="232"/>
        <v>Y</v>
      </c>
      <c r="H1279" s="8" t="str">
        <f t="shared" si="233"/>
        <v>Upper</v>
      </c>
      <c r="I1279" s="8" t="str">
        <f t="shared" si="234"/>
        <v>West Fork and Below Lake</v>
      </c>
      <c r="J1279" s="8" t="str">
        <f t="shared" si="235"/>
        <v>Mendocino (d/s of lake)</v>
      </c>
      <c r="K1279" s="8" t="str">
        <f t="shared" si="236"/>
        <v>Post-1949</v>
      </c>
      <c r="L1279" s="8">
        <f t="shared" si="237"/>
        <v>1950</v>
      </c>
      <c r="M1279" s="8" t="str">
        <f t="shared" si="239"/>
        <v>1950-1952</v>
      </c>
      <c r="N1279" s="10" t="s">
        <v>241</v>
      </c>
      <c r="O1279" s="10" t="s">
        <v>241</v>
      </c>
      <c r="P1279" s="10" t="s">
        <v>242</v>
      </c>
      <c r="Q1279" s="10" t="s">
        <v>242</v>
      </c>
      <c r="R1279" s="10" t="s">
        <v>241</v>
      </c>
      <c r="S1279" s="10" t="s">
        <v>242</v>
      </c>
      <c r="T1279" s="10" t="s">
        <v>242</v>
      </c>
      <c r="U1279" s="10" t="s">
        <v>242</v>
      </c>
      <c r="V1279" s="10" t="s">
        <v>242</v>
      </c>
      <c r="W1279" s="10" t="s">
        <v>242</v>
      </c>
      <c r="X1279" s="15">
        <f>IF(ISERROR(VLOOKUP($A1279,'13. Updated Demand'!A:Z,15,FALSE)),0,VLOOKUP($A1279,'13. Updated Demand'!A:Z,15,FALSE))</f>
        <v>0</v>
      </c>
      <c r="Y1279" s="16">
        <f>IF(ISERROR(VLOOKUP($A1279,'13. Updated Demand'!A:Z,16,FALSE)),0,VLOOKUP($A1279,'13. Updated Demand'!A:Z,16,FALSE))</f>
        <v>0</v>
      </c>
      <c r="Z1279" s="16">
        <f>IF(ISERROR(VLOOKUP($A1279,'13. Updated Demand'!A:Z,17,FALSE)),0,VLOOKUP($A1279,'13. Updated Demand'!A:Z,17,FALSE))</f>
        <v>0</v>
      </c>
      <c r="AA1279" s="16">
        <f>IF(ISERROR(VLOOKUP($A1279,'13. Updated Demand'!A:Z,18,FALSE)),0,VLOOKUP($A1279,'13. Updated Demand'!A:Z,18,FALSE))</f>
        <v>0</v>
      </c>
      <c r="AB1279" s="16">
        <f>IF(ISERROR(VLOOKUP($A1279,'13. Updated Demand'!A:Z,19,FALSE)),0,VLOOKUP($A1279,'13. Updated Demand'!A:Z,19,FALSE))</f>
        <v>0</v>
      </c>
      <c r="AC1279" s="16">
        <f>IF(ISERROR(VLOOKUP($A1279,'13. Updated Demand'!A:Z,20,FALSE)),0,VLOOKUP($A1279,'13. Updated Demand'!A:Z,20,FALSE))</f>
        <v>5.5666666666666703E-3</v>
      </c>
      <c r="AD1279" s="16">
        <f>IF(ISERROR(VLOOKUP($A1279,'13. Updated Demand'!A:Z,21,FALSE)),0,VLOOKUP($A1279,'13. Updated Demand'!A:Z,21,FALSE))</f>
        <v>5.5666666666666703E-3</v>
      </c>
      <c r="AE1279" s="16">
        <f>IF(ISERROR(VLOOKUP($A1279,'13. Updated Demand'!A:Z,22,FALSE)),0,VLOOKUP($A1279,'13. Updated Demand'!A:Z,22,FALSE))</f>
        <v>5.5666666666666703E-3</v>
      </c>
      <c r="AF1279" s="16">
        <f>IF(ISERROR(VLOOKUP($A1279,'13. Updated Demand'!A:Z,23,FALSE)),0,VLOOKUP($A1279,'13. Updated Demand'!A:Z,23,FALSE))</f>
        <v>2.3333333333333301E-3</v>
      </c>
      <c r="AG1279" s="16">
        <f>IF(ISERROR(VLOOKUP($A1279,'13. Updated Demand'!A:Z,24,FALSE)),0,VLOOKUP($A1279,'13. Updated Demand'!A:Z,24,FALSE))</f>
        <v>0</v>
      </c>
      <c r="AH1279" s="16">
        <f>IF(ISERROR(VLOOKUP($A1279,'13. Updated Demand'!A:Z,25,FALSE)),0,VLOOKUP($A1279,'13. Updated Demand'!A:Z,25,FALSE))</f>
        <v>0</v>
      </c>
      <c r="AI1279" s="16">
        <f>IF(ISERROR(VLOOKUP($A1279,'13. Updated Demand'!A:Z,26,FALSE)),0,VLOOKUP($A1279,'13. Updated Demand'!A:Z,26,FALSE))</f>
        <v>0</v>
      </c>
      <c r="AJ1279" s="16">
        <f t="shared" si="240"/>
        <v>1.903333333333334E-2</v>
      </c>
      <c r="AK1279" s="19">
        <v>1.903333333333334E-2</v>
      </c>
      <c r="AL1279" s="16">
        <f t="shared" si="238"/>
        <v>6.3131398566257881E-5</v>
      </c>
      <c r="AM1279" s="17">
        <v>2.5966348340154626E-4</v>
      </c>
      <c r="AN1279" s="19"/>
      <c r="AO1279" s="19"/>
      <c r="AP1279" s="19">
        <v>73.3</v>
      </c>
      <c r="AQ1279" s="19" t="s">
        <v>307</v>
      </c>
      <c r="AR1279" s="9" t="s">
        <v>319</v>
      </c>
      <c r="AS1279" s="12">
        <v>0</v>
      </c>
      <c r="AT1279" s="19">
        <v>38.957941599999998</v>
      </c>
      <c r="AU1279" s="19">
        <v>-123.10432656</v>
      </c>
      <c r="AV1279" s="19" t="s">
        <v>387</v>
      </c>
    </row>
    <row r="1280" spans="1:48" x14ac:dyDescent="0.25">
      <c r="A1280" s="18" t="s">
        <v>1656</v>
      </c>
      <c r="B1280" s="10">
        <v>19500112</v>
      </c>
      <c r="C1280" s="9">
        <v>23</v>
      </c>
      <c r="D1280" s="8" t="str">
        <f t="shared" si="229"/>
        <v>N</v>
      </c>
      <c r="E1280" s="8" t="str">
        <f t="shared" si="230"/>
        <v>N</v>
      </c>
      <c r="F1280" s="8" t="str">
        <f t="shared" si="231"/>
        <v>N</v>
      </c>
      <c r="G1280" s="8" t="str">
        <f t="shared" si="232"/>
        <v>N</v>
      </c>
      <c r="H1280" s="8" t="str">
        <f t="shared" si="233"/>
        <v>Lower</v>
      </c>
      <c r="I1280" s="8" t="str">
        <f t="shared" si="234"/>
        <v>Outside</v>
      </c>
      <c r="J1280" s="8" t="str">
        <f t="shared" si="235"/>
        <v>Outside</v>
      </c>
      <c r="K1280" s="8" t="str">
        <f t="shared" si="236"/>
        <v>Post-1949</v>
      </c>
      <c r="L1280" s="8">
        <f t="shared" si="237"/>
        <v>1950</v>
      </c>
      <c r="M1280" s="8" t="str">
        <f t="shared" si="239"/>
        <v>1950-1952</v>
      </c>
      <c r="N1280" s="10" t="s">
        <v>242</v>
      </c>
      <c r="O1280" s="10" t="s">
        <v>242</v>
      </c>
      <c r="P1280" s="10" t="s">
        <v>242</v>
      </c>
      <c r="Q1280" s="10" t="s">
        <v>242</v>
      </c>
      <c r="R1280" s="10" t="s">
        <v>241</v>
      </c>
      <c r="S1280" s="10" t="s">
        <v>242</v>
      </c>
      <c r="T1280" s="10" t="s">
        <v>242</v>
      </c>
      <c r="U1280" s="10" t="s">
        <v>242</v>
      </c>
      <c r="V1280" s="10" t="s">
        <v>242</v>
      </c>
      <c r="W1280" s="10" t="s">
        <v>242</v>
      </c>
      <c r="X1280" s="15">
        <f>IF(ISERROR(VLOOKUP($A1280,'13. Updated Demand'!A:Z,15,FALSE)),0,VLOOKUP($A1280,'13. Updated Demand'!A:Z,15,FALSE))</f>
        <v>1.7389999999999999E-2</v>
      </c>
      <c r="Y1280" s="16">
        <f>IF(ISERROR(VLOOKUP($A1280,'13. Updated Demand'!A:Z,16,FALSE)),0,VLOOKUP($A1280,'13. Updated Demand'!A:Z,16,FALSE))</f>
        <v>1.9436333E-2</v>
      </c>
      <c r="Z1280" s="16">
        <f>IF(ISERROR(VLOOKUP($A1280,'13. Updated Demand'!A:Z,17,FALSE)),0,VLOOKUP($A1280,'13. Updated Demand'!A:Z,17,FALSE))</f>
        <v>1.5855999999999999E-2</v>
      </c>
      <c r="AA1280" s="16">
        <f>IF(ISERROR(VLOOKUP($A1280,'13. Updated Demand'!A:Z,18,FALSE)),0,VLOOKUP($A1280,'13. Updated Demand'!A:Z,18,FALSE))</f>
        <v>1.1048000000000001E-2</v>
      </c>
      <c r="AB1280" s="16">
        <f>IF(ISERROR(VLOOKUP($A1280,'13. Updated Demand'!A:Z,19,FALSE)),0,VLOOKUP($A1280,'13. Updated Demand'!A:Z,19,FALSE))</f>
        <v>8.1836670000000004E-3</v>
      </c>
      <c r="AC1280" s="16">
        <f>IF(ISERROR(VLOOKUP($A1280,'13. Updated Demand'!A:Z,20,FALSE)),0,VLOOKUP($A1280,'13. Updated Demand'!A:Z,20,FALSE))</f>
        <v>2.506E-3</v>
      </c>
      <c r="AD1280" s="16">
        <f>IF(ISERROR(VLOOKUP($A1280,'13. Updated Demand'!A:Z,21,FALSE)),0,VLOOKUP($A1280,'13. Updated Demand'!A:Z,21,FALSE))</f>
        <v>1.585667E-3</v>
      </c>
      <c r="AE1280" s="16">
        <f>IF(ISERROR(VLOOKUP($A1280,'13. Updated Demand'!A:Z,22,FALSE)),0,VLOOKUP($A1280,'13. Updated Demand'!A:Z,22,FALSE))</f>
        <v>1.0740000000000001E-3</v>
      </c>
      <c r="AF1280" s="16">
        <f>IF(ISERROR(VLOOKUP($A1280,'13. Updated Demand'!A:Z,23,FALSE)),0,VLOOKUP($A1280,'13. Updated Demand'!A:Z,23,FALSE))</f>
        <v>1.892667E-3</v>
      </c>
      <c r="AG1280" s="16">
        <f>IF(ISERROR(VLOOKUP($A1280,'13. Updated Demand'!A:Z,24,FALSE)),0,VLOOKUP($A1280,'13. Updated Demand'!A:Z,24,FALSE))</f>
        <v>2.557667E-3</v>
      </c>
      <c r="AH1280" s="16">
        <f>IF(ISERROR(VLOOKUP($A1280,'13. Updated Demand'!A:Z,25,FALSE)),0,VLOOKUP($A1280,'13. Updated Demand'!A:Z,25,FALSE))</f>
        <v>1.0536333E-2</v>
      </c>
      <c r="AI1280" s="16">
        <f>IF(ISERROR(VLOOKUP($A1280,'13. Updated Demand'!A:Z,26,FALSE)),0,VLOOKUP($A1280,'13. Updated Demand'!A:Z,26,FALSE))</f>
        <v>1.1252666999999999E-2</v>
      </c>
      <c r="AJ1280" s="16">
        <f t="shared" si="240"/>
        <v>0.10331900099999999</v>
      </c>
      <c r="AK1280" s="19">
        <v>1.5242001000000002E-2</v>
      </c>
      <c r="AL1280" s="16">
        <f t="shared" si="238"/>
        <v>5.0555981089928244E-5</v>
      </c>
      <c r="AM1280" s="17">
        <v>6.8879333999999999E-3</v>
      </c>
      <c r="AN1280" s="19"/>
      <c r="AO1280" s="19"/>
      <c r="AP1280" s="19">
        <v>15</v>
      </c>
      <c r="AQ1280" s="19" t="s">
        <v>307</v>
      </c>
      <c r="AR1280" s="9" t="s">
        <v>378</v>
      </c>
      <c r="AS1280" s="12">
        <v>0</v>
      </c>
      <c r="AT1280" s="19">
        <v>38.47047697</v>
      </c>
      <c r="AU1280" s="19">
        <v>-122.63397739</v>
      </c>
      <c r="AV1280" s="19" t="s">
        <v>417</v>
      </c>
    </row>
    <row r="1281" spans="1:48" x14ac:dyDescent="0.25">
      <c r="A1281" s="18" t="s">
        <v>1657</v>
      </c>
      <c r="B1281" s="10">
        <v>19500210</v>
      </c>
      <c r="C1281" s="9">
        <v>11</v>
      </c>
      <c r="D1281" s="8" t="str">
        <f t="shared" si="229"/>
        <v>N</v>
      </c>
      <c r="E1281" s="8" t="str">
        <f t="shared" si="230"/>
        <v>Y</v>
      </c>
      <c r="F1281" s="8" t="str">
        <f t="shared" si="231"/>
        <v>Y</v>
      </c>
      <c r="G1281" s="8" t="str">
        <f t="shared" si="232"/>
        <v>Y</v>
      </c>
      <c r="H1281" s="8" t="str">
        <f t="shared" si="233"/>
        <v>Upper</v>
      </c>
      <c r="I1281" s="8" t="str">
        <f t="shared" si="234"/>
        <v>West Fork and Below Lake</v>
      </c>
      <c r="J1281" s="8" t="str">
        <f t="shared" si="235"/>
        <v>Sonoma (d/s of Clov. Gage)</v>
      </c>
      <c r="K1281" s="8" t="str">
        <f t="shared" si="236"/>
        <v>Post-1949</v>
      </c>
      <c r="L1281" s="8">
        <f t="shared" si="237"/>
        <v>1950</v>
      </c>
      <c r="M1281" s="8" t="str">
        <f t="shared" si="239"/>
        <v>1950-1952</v>
      </c>
      <c r="N1281" s="10" t="s">
        <v>242</v>
      </c>
      <c r="O1281" s="10" t="s">
        <v>241</v>
      </c>
      <c r="P1281" s="10" t="s">
        <v>242</v>
      </c>
      <c r="Q1281" s="10" t="s">
        <v>242</v>
      </c>
      <c r="R1281" s="10" t="s">
        <v>241</v>
      </c>
      <c r="S1281" s="10" t="s">
        <v>242</v>
      </c>
      <c r="T1281" s="10" t="s">
        <v>242</v>
      </c>
      <c r="U1281" s="10" t="s">
        <v>242</v>
      </c>
      <c r="V1281" s="10" t="s">
        <v>242</v>
      </c>
      <c r="W1281" s="10" t="s">
        <v>242</v>
      </c>
      <c r="X1281" s="15">
        <f>IF(ISERROR(VLOOKUP($A1281,'13. Updated Demand'!A:Z,15,FALSE)),0,VLOOKUP($A1281,'13. Updated Demand'!A:Z,15,FALSE))</f>
        <v>8.4400000000000002E-4</v>
      </c>
      <c r="Y1281" s="16">
        <f>IF(ISERROR(VLOOKUP($A1281,'13. Updated Demand'!A:Z,16,FALSE)),0,VLOOKUP($A1281,'13. Updated Demand'!A:Z,16,FALSE))</f>
        <v>8.4400000000000002E-4</v>
      </c>
      <c r="Z1281" s="16">
        <f>IF(ISERROR(VLOOKUP($A1281,'13. Updated Demand'!A:Z,17,FALSE)),0,VLOOKUP($A1281,'13. Updated Demand'!A:Z,17,FALSE))</f>
        <v>8.4400000000000002E-4</v>
      </c>
      <c r="AA1281" s="16">
        <f>IF(ISERROR(VLOOKUP($A1281,'13. Updated Demand'!A:Z,18,FALSE)),0,VLOOKUP($A1281,'13. Updated Demand'!A:Z,18,FALSE))</f>
        <v>8.4400000000000002E-4</v>
      </c>
      <c r="AB1281" s="16">
        <f>IF(ISERROR(VLOOKUP($A1281,'13. Updated Demand'!A:Z,19,FALSE)),0,VLOOKUP($A1281,'13. Updated Demand'!A:Z,19,FALSE))</f>
        <v>8.4400000000000002E-4</v>
      </c>
      <c r="AC1281" s="16">
        <f>IF(ISERROR(VLOOKUP($A1281,'13. Updated Demand'!A:Z,20,FALSE)),0,VLOOKUP($A1281,'13. Updated Demand'!A:Z,20,FALSE))</f>
        <v>8.4400000000000002E-4</v>
      </c>
      <c r="AD1281" s="16">
        <f>IF(ISERROR(VLOOKUP($A1281,'13. Updated Demand'!A:Z,21,FALSE)),0,VLOOKUP($A1281,'13. Updated Demand'!A:Z,21,FALSE))</f>
        <v>8.4400000000000002E-4</v>
      </c>
      <c r="AE1281" s="16">
        <f>IF(ISERROR(VLOOKUP($A1281,'13. Updated Demand'!A:Z,22,FALSE)),0,VLOOKUP($A1281,'13. Updated Demand'!A:Z,22,FALSE))</f>
        <v>8.4400000000000002E-4</v>
      </c>
      <c r="AF1281" s="16">
        <f>IF(ISERROR(VLOOKUP($A1281,'13. Updated Demand'!A:Z,23,FALSE)),0,VLOOKUP($A1281,'13. Updated Demand'!A:Z,23,FALSE))</f>
        <v>8.4400000000000002E-4</v>
      </c>
      <c r="AG1281" s="16">
        <f>IF(ISERROR(VLOOKUP($A1281,'13. Updated Demand'!A:Z,24,FALSE)),0,VLOOKUP($A1281,'13. Updated Demand'!A:Z,24,FALSE))</f>
        <v>8.4400000000000002E-4</v>
      </c>
      <c r="AH1281" s="16">
        <f>IF(ISERROR(VLOOKUP($A1281,'13. Updated Demand'!A:Z,25,FALSE)),0,VLOOKUP($A1281,'13. Updated Demand'!A:Z,25,FALSE))</f>
        <v>8.4400000000000002E-4</v>
      </c>
      <c r="AI1281" s="16">
        <f>IF(ISERROR(VLOOKUP($A1281,'13. Updated Demand'!A:Z,26,FALSE)),0,VLOOKUP($A1281,'13. Updated Demand'!A:Z,26,FALSE))</f>
        <v>8.4400000000000002E-4</v>
      </c>
      <c r="AJ1281" s="16">
        <f t="shared" si="240"/>
        <v>1.0127999999999998E-2</v>
      </c>
      <c r="AK1281" s="19">
        <v>4.2199999999999998E-3</v>
      </c>
      <c r="AL1281" s="16">
        <f t="shared" si="238"/>
        <v>1.3997259296827048E-5</v>
      </c>
      <c r="AM1281" s="17">
        <v>2.0878169449598015E-5</v>
      </c>
      <c r="AN1281" s="19"/>
      <c r="AO1281" s="19"/>
      <c r="AP1281" s="19">
        <v>485.1</v>
      </c>
      <c r="AQ1281" s="19" t="s">
        <v>307</v>
      </c>
      <c r="AR1281" s="9" t="s">
        <v>308</v>
      </c>
      <c r="AS1281" s="12">
        <v>0</v>
      </c>
      <c r="AT1281" s="19">
        <v>38.697977430000002</v>
      </c>
      <c r="AU1281" s="19">
        <v>-122.65912738999999</v>
      </c>
      <c r="AV1281" s="19" t="s">
        <v>1658</v>
      </c>
    </row>
    <row r="1282" spans="1:48" x14ac:dyDescent="0.25">
      <c r="A1282" s="18" t="s">
        <v>1659</v>
      </c>
      <c r="B1282" s="10">
        <v>19500103</v>
      </c>
      <c r="C1282" s="9">
        <v>23</v>
      </c>
      <c r="D1282" s="8" t="str">
        <f t="shared" ref="D1282:D1345" si="241">IF(OR(C1282=4,C1282=5,C1282=6),"Y","N")</f>
        <v>N</v>
      </c>
      <c r="E1282" s="8" t="str">
        <f t="shared" ref="E1282:E1345" si="242">IF(AND(C1282&gt;6,C1282&lt;14),"Y","N")</f>
        <v>N</v>
      </c>
      <c r="F1282" s="8" t="str">
        <f t="shared" ref="F1282:F1345" si="243">IF(C1282&lt;14,"Y","N")</f>
        <v>N</v>
      </c>
      <c r="G1282" s="8" t="str">
        <f t="shared" ref="G1282:G1345" si="244">IF(OR(C1282=1,AND(C1282&gt;3,C1282&lt;14)),"Y","N")</f>
        <v>N</v>
      </c>
      <c r="H1282" s="8" t="str">
        <f t="shared" ref="H1282:H1345" si="245">IF(C1282&lt;14,"Upper","Lower")</f>
        <v>Lower</v>
      </c>
      <c r="I1282" s="8" t="str">
        <f t="shared" ref="I1282:I1345" si="246">IF(G1282="Y","West Fork and Below Lake","Outside")</f>
        <v>Outside</v>
      </c>
      <c r="J1282" s="8" t="str">
        <f t="shared" ref="J1282:J1345" si="247">IF(D1282="Y", "Mendocino (d/s of lake)", IF(E1282="Y", "Sonoma (d/s of Clov. Gage)","Outside"))</f>
        <v>Outside</v>
      </c>
      <c r="K1282" s="8" t="str">
        <f t="shared" ref="K1282:K1345" si="248">IF(P1282="Y","pre-1914",IF(Q1282="Y","Pre-1949",IF(R1282="Y","Post-1949",IF(S1282="Y","Riparian","Unknown"))))</f>
        <v>Post-1949</v>
      </c>
      <c r="L1282" s="8">
        <f t="shared" ref="L1282:L1345" si="249">_xlfn.NUMBERVALUE(LEFT(B1282,4))</f>
        <v>1950</v>
      </c>
      <c r="M1282" s="8" t="str">
        <f t="shared" si="239"/>
        <v>1950-1952</v>
      </c>
      <c r="N1282" s="10" t="s">
        <v>242</v>
      </c>
      <c r="O1282" s="10" t="s">
        <v>242</v>
      </c>
      <c r="P1282" s="10" t="s">
        <v>242</v>
      </c>
      <c r="Q1282" s="10" t="s">
        <v>242</v>
      </c>
      <c r="R1282" s="10" t="s">
        <v>241</v>
      </c>
      <c r="S1282" s="10" t="s">
        <v>242</v>
      </c>
      <c r="T1282" s="10" t="s">
        <v>242</v>
      </c>
      <c r="U1282" s="10" t="s">
        <v>242</v>
      </c>
      <c r="V1282" s="10" t="s">
        <v>241</v>
      </c>
      <c r="W1282" s="10" t="s">
        <v>242</v>
      </c>
      <c r="X1282" s="15">
        <f>IF(ISERROR(VLOOKUP($A1282,'13. Updated Demand'!A:Z,15,FALSE)),0,VLOOKUP($A1282,'13. Updated Demand'!A:Z,15,FALSE))</f>
        <v>7.672E-3</v>
      </c>
      <c r="Y1282" s="16">
        <f>IF(ISERROR(VLOOKUP($A1282,'13. Updated Demand'!A:Z,16,FALSE)),0,VLOOKUP($A1282,'13. Updated Demand'!A:Z,16,FALSE))</f>
        <v>7.672E-3</v>
      </c>
      <c r="Z1282" s="16">
        <f>IF(ISERROR(VLOOKUP($A1282,'13. Updated Demand'!A:Z,17,FALSE)),0,VLOOKUP($A1282,'13. Updated Demand'!A:Z,17,FALSE))</f>
        <v>0</v>
      </c>
      <c r="AA1282" s="16">
        <f>IF(ISERROR(VLOOKUP($A1282,'13. Updated Demand'!A:Z,18,FALSE)),0,VLOOKUP($A1282,'13. Updated Demand'!A:Z,18,FALSE))</f>
        <v>0</v>
      </c>
      <c r="AB1282" s="16">
        <f>IF(ISERROR(VLOOKUP($A1282,'13. Updated Demand'!A:Z,19,FALSE)),0,VLOOKUP($A1282,'13. Updated Demand'!A:Z,19,FALSE))</f>
        <v>0</v>
      </c>
      <c r="AC1282" s="16">
        <f>IF(ISERROR(VLOOKUP($A1282,'13. Updated Demand'!A:Z,20,FALSE)),0,VLOOKUP($A1282,'13. Updated Demand'!A:Z,20,FALSE))</f>
        <v>0</v>
      </c>
      <c r="AD1282" s="16">
        <f>IF(ISERROR(VLOOKUP($A1282,'13. Updated Demand'!A:Z,21,FALSE)),0,VLOOKUP($A1282,'13. Updated Demand'!A:Z,21,FALSE))</f>
        <v>0</v>
      </c>
      <c r="AE1282" s="16">
        <f>IF(ISERROR(VLOOKUP($A1282,'13. Updated Demand'!A:Z,22,FALSE)),0,VLOOKUP($A1282,'13. Updated Demand'!A:Z,22,FALSE))</f>
        <v>0</v>
      </c>
      <c r="AF1282" s="16">
        <f>IF(ISERROR(VLOOKUP($A1282,'13. Updated Demand'!A:Z,23,FALSE)),0,VLOOKUP($A1282,'13. Updated Demand'!A:Z,23,FALSE))</f>
        <v>0</v>
      </c>
      <c r="AG1282" s="16">
        <f>IF(ISERROR(VLOOKUP($A1282,'13. Updated Demand'!A:Z,24,FALSE)),0,VLOOKUP($A1282,'13. Updated Demand'!A:Z,24,FALSE))</f>
        <v>0</v>
      </c>
      <c r="AH1282" s="16">
        <f>IF(ISERROR(VLOOKUP($A1282,'13. Updated Demand'!A:Z,25,FALSE)),0,VLOOKUP($A1282,'13. Updated Demand'!A:Z,25,FALSE))</f>
        <v>0</v>
      </c>
      <c r="AI1282" s="16">
        <f>IF(ISERROR(VLOOKUP($A1282,'13. Updated Demand'!A:Z,26,FALSE)),0,VLOOKUP($A1282,'13. Updated Demand'!A:Z,26,FALSE))</f>
        <v>0</v>
      </c>
      <c r="AJ1282" s="16">
        <f t="shared" si="240"/>
        <v>1.5344E-2</v>
      </c>
      <c r="AK1282" s="19">
        <v>0</v>
      </c>
      <c r="AL1282" s="16">
        <f t="shared" ref="AL1282:AL1345" si="250">AK1282/152/1.983471</f>
        <v>0</v>
      </c>
      <c r="AM1282" s="17">
        <v>2.7400000000000002E-3</v>
      </c>
      <c r="AN1282" s="19"/>
      <c r="AO1282" s="19"/>
      <c r="AP1282" s="19">
        <v>5.6</v>
      </c>
      <c r="AQ1282" s="19" t="s">
        <v>307</v>
      </c>
      <c r="AR1282" s="9" t="s">
        <v>378</v>
      </c>
      <c r="AS1282" s="12">
        <v>0</v>
      </c>
      <c r="AT1282" s="19">
        <v>38.461880729999997</v>
      </c>
      <c r="AU1282" s="19">
        <v>-122.62412242000001</v>
      </c>
      <c r="AV1282" s="19" t="s">
        <v>1660</v>
      </c>
    </row>
    <row r="1283" spans="1:48" x14ac:dyDescent="0.25">
      <c r="A1283" s="18" t="s">
        <v>96</v>
      </c>
      <c r="B1283" s="10">
        <v>19500109</v>
      </c>
      <c r="C1283" s="9">
        <v>12</v>
      </c>
      <c r="D1283" s="8" t="str">
        <f t="shared" si="241"/>
        <v>N</v>
      </c>
      <c r="E1283" s="8" t="str">
        <f t="shared" si="242"/>
        <v>Y</v>
      </c>
      <c r="F1283" s="8" t="str">
        <f t="shared" si="243"/>
        <v>Y</v>
      </c>
      <c r="G1283" s="8" t="str">
        <f t="shared" si="244"/>
        <v>Y</v>
      </c>
      <c r="H1283" s="8" t="str">
        <f t="shared" si="245"/>
        <v>Upper</v>
      </c>
      <c r="I1283" s="8" t="str">
        <f t="shared" si="246"/>
        <v>West Fork and Below Lake</v>
      </c>
      <c r="J1283" s="8" t="str">
        <f t="shared" si="247"/>
        <v>Sonoma (d/s of Clov. Gage)</v>
      </c>
      <c r="K1283" s="8" t="str">
        <f t="shared" si="248"/>
        <v>Post-1949</v>
      </c>
      <c r="L1283" s="8">
        <f t="shared" si="249"/>
        <v>1950</v>
      </c>
      <c r="M1283" s="8" t="str">
        <f t="shared" ref="M1283:M1302" si="251">IF(L1283=1949,"1949",IF(AND(L1283&gt;1949,L1283&lt;1953),"1950-1952",IF(AND(L1283&gt;1952,L1283&lt;1955),"1953-1954",IF(AND(L1283&gt;1954,L1283&lt;1957),"1955-1956",IF(AND(L1283&gt;1956,L1283&lt;1960),"1957-1959",IF(AND(L1283&gt;1959,L1283&lt;1971),"1960-1970",IF(AND(L1283&gt;1970,L1283&lt;1991),"1971-1990",IF(L1283&gt;1990,"1991-present","-"))))))))</f>
        <v>1950-1952</v>
      </c>
      <c r="N1283" s="10" t="s">
        <v>242</v>
      </c>
      <c r="O1283" s="10" t="s">
        <v>241</v>
      </c>
      <c r="P1283" s="10" t="s">
        <v>242</v>
      </c>
      <c r="Q1283" s="10" t="s">
        <v>242</v>
      </c>
      <c r="R1283" s="10" t="s">
        <v>241</v>
      </c>
      <c r="S1283" s="10" t="s">
        <v>242</v>
      </c>
      <c r="T1283" s="10" t="s">
        <v>242</v>
      </c>
      <c r="U1283" s="10" t="s">
        <v>241</v>
      </c>
      <c r="V1283" s="10" t="s">
        <v>241</v>
      </c>
      <c r="W1283" s="10" t="s">
        <v>242</v>
      </c>
      <c r="X1283" s="15">
        <f>IF(ISERROR(VLOOKUP($A1283,'13. Updated Demand'!A:Z,15,FALSE)),0,VLOOKUP($A1283,'13. Updated Demand'!A:Z,15,FALSE))</f>
        <v>0</v>
      </c>
      <c r="Y1283" s="16">
        <f>IF(ISERROR(VLOOKUP($A1283,'13. Updated Demand'!A:Z,16,FALSE)),0,VLOOKUP($A1283,'13. Updated Demand'!A:Z,16,FALSE))</f>
        <v>0</v>
      </c>
      <c r="Z1283" s="16">
        <f>IF(ISERROR(VLOOKUP($A1283,'13. Updated Demand'!A:Z,17,FALSE)),0,VLOOKUP($A1283,'13. Updated Demand'!A:Z,17,FALSE))</f>
        <v>0</v>
      </c>
      <c r="AA1283" s="16">
        <f>IF(ISERROR(VLOOKUP($A1283,'13. Updated Demand'!A:Z,18,FALSE)),0,VLOOKUP($A1283,'13. Updated Demand'!A:Z,18,FALSE))</f>
        <v>0</v>
      </c>
      <c r="AB1283" s="16">
        <f>IF(ISERROR(VLOOKUP($A1283,'13. Updated Demand'!A:Z,19,FALSE)),0,VLOOKUP($A1283,'13. Updated Demand'!A:Z,19,FALSE))</f>
        <v>0</v>
      </c>
      <c r="AC1283" s="16">
        <f>IF(ISERROR(VLOOKUP($A1283,'13. Updated Demand'!A:Z,20,FALSE)),0,VLOOKUP($A1283,'13. Updated Demand'!A:Z,20,FALSE))</f>
        <v>0</v>
      </c>
      <c r="AD1283" s="16">
        <f>IF(ISERROR(VLOOKUP($A1283,'13. Updated Demand'!A:Z,21,FALSE)),0,VLOOKUP($A1283,'13. Updated Demand'!A:Z,21,FALSE))</f>
        <v>0</v>
      </c>
      <c r="AE1283" s="16">
        <f>IF(ISERROR(VLOOKUP($A1283,'13. Updated Demand'!A:Z,22,FALSE)),0,VLOOKUP($A1283,'13. Updated Demand'!A:Z,22,FALSE))</f>
        <v>0</v>
      </c>
      <c r="AF1283" s="16">
        <f>IF(ISERROR(VLOOKUP($A1283,'13. Updated Demand'!A:Z,23,FALSE)),0,VLOOKUP($A1283,'13. Updated Demand'!A:Z,23,FALSE))</f>
        <v>0</v>
      </c>
      <c r="AG1283" s="16">
        <f>IF(ISERROR(VLOOKUP($A1283,'13. Updated Demand'!A:Z,24,FALSE)),0,VLOOKUP($A1283,'13. Updated Demand'!A:Z,24,FALSE))</f>
        <v>0</v>
      </c>
      <c r="AH1283" s="16">
        <f>IF(ISERROR(VLOOKUP($A1283,'13. Updated Demand'!A:Z,25,FALSE)),0,VLOOKUP($A1283,'13. Updated Demand'!A:Z,25,FALSE))</f>
        <v>0</v>
      </c>
      <c r="AI1283" s="16">
        <f>IF(ISERROR(VLOOKUP($A1283,'13. Updated Demand'!A:Z,26,FALSE)),0,VLOOKUP($A1283,'13. Updated Demand'!A:Z,26,FALSE))</f>
        <v>0</v>
      </c>
      <c r="AJ1283" s="16">
        <f t="shared" si="240"/>
        <v>0</v>
      </c>
      <c r="AK1283" s="19">
        <v>0</v>
      </c>
      <c r="AL1283" s="16">
        <f t="shared" si="250"/>
        <v>0</v>
      </c>
      <c r="AM1283" s="17">
        <v>0</v>
      </c>
      <c r="AN1283" s="19"/>
      <c r="AO1283" s="19"/>
      <c r="AP1283" s="19">
        <v>102.2</v>
      </c>
      <c r="AQ1283" s="19" t="s">
        <v>307</v>
      </c>
      <c r="AR1283" s="9" t="s">
        <v>311</v>
      </c>
      <c r="AS1283" s="12">
        <v>0</v>
      </c>
      <c r="AT1283" s="19">
        <v>38.615037770000001</v>
      </c>
      <c r="AU1283" s="19">
        <v>-122.77246164</v>
      </c>
      <c r="AV1283" s="19" t="s">
        <v>609</v>
      </c>
    </row>
    <row r="1284" spans="1:48" x14ac:dyDescent="0.25">
      <c r="A1284" s="18" t="s">
        <v>1661</v>
      </c>
      <c r="B1284" s="10">
        <v>19500217</v>
      </c>
      <c r="C1284" s="9">
        <v>23</v>
      </c>
      <c r="D1284" s="8" t="str">
        <f t="shared" si="241"/>
        <v>N</v>
      </c>
      <c r="E1284" s="8" t="str">
        <f t="shared" si="242"/>
        <v>N</v>
      </c>
      <c r="F1284" s="8" t="str">
        <f t="shared" si="243"/>
        <v>N</v>
      </c>
      <c r="G1284" s="8" t="str">
        <f t="shared" si="244"/>
        <v>N</v>
      </c>
      <c r="H1284" s="8" t="str">
        <f t="shared" si="245"/>
        <v>Lower</v>
      </c>
      <c r="I1284" s="8" t="str">
        <f t="shared" si="246"/>
        <v>Outside</v>
      </c>
      <c r="J1284" s="8" t="str">
        <f t="shared" si="247"/>
        <v>Outside</v>
      </c>
      <c r="K1284" s="8" t="str">
        <f t="shared" si="248"/>
        <v>Post-1949</v>
      </c>
      <c r="L1284" s="8">
        <f t="shared" si="249"/>
        <v>1950</v>
      </c>
      <c r="M1284" s="8" t="str">
        <f t="shared" si="251"/>
        <v>1950-1952</v>
      </c>
      <c r="N1284" s="10" t="s">
        <v>242</v>
      </c>
      <c r="O1284" s="10" t="s">
        <v>242</v>
      </c>
      <c r="P1284" s="10" t="s">
        <v>242</v>
      </c>
      <c r="Q1284" s="10" t="s">
        <v>242</v>
      </c>
      <c r="R1284" s="10" t="s">
        <v>241</v>
      </c>
      <c r="S1284" s="10" t="s">
        <v>242</v>
      </c>
      <c r="T1284" s="10" t="s">
        <v>242</v>
      </c>
      <c r="U1284" s="10" t="s">
        <v>241</v>
      </c>
      <c r="V1284" s="10" t="s">
        <v>241</v>
      </c>
      <c r="W1284" s="10" t="s">
        <v>242</v>
      </c>
      <c r="X1284" s="15">
        <f>IF(ISERROR(VLOOKUP($A1284,'13. Updated Demand'!A:Z,15,FALSE)),0,VLOOKUP($A1284,'13. Updated Demand'!A:Z,15,FALSE))</f>
        <v>0</v>
      </c>
      <c r="Y1284" s="16">
        <f>IF(ISERROR(VLOOKUP($A1284,'13. Updated Demand'!A:Z,16,FALSE)),0,VLOOKUP($A1284,'13. Updated Demand'!A:Z,16,FALSE))</f>
        <v>0</v>
      </c>
      <c r="Z1284" s="16">
        <f>IF(ISERROR(VLOOKUP($A1284,'13. Updated Demand'!A:Z,17,FALSE)),0,VLOOKUP($A1284,'13. Updated Demand'!A:Z,17,FALSE))</f>
        <v>0</v>
      </c>
      <c r="AA1284" s="16">
        <f>IF(ISERROR(VLOOKUP($A1284,'13. Updated Demand'!A:Z,18,FALSE)),0,VLOOKUP($A1284,'13. Updated Demand'!A:Z,18,FALSE))</f>
        <v>0</v>
      </c>
      <c r="AB1284" s="16">
        <f>IF(ISERROR(VLOOKUP($A1284,'13. Updated Demand'!A:Z,19,FALSE)),0,VLOOKUP($A1284,'13. Updated Demand'!A:Z,19,FALSE))</f>
        <v>0</v>
      </c>
      <c r="AC1284" s="16">
        <f>IF(ISERROR(VLOOKUP($A1284,'13. Updated Demand'!A:Z,20,FALSE)),0,VLOOKUP($A1284,'13. Updated Demand'!A:Z,20,FALSE))</f>
        <v>0</v>
      </c>
      <c r="AD1284" s="16">
        <f>IF(ISERROR(VLOOKUP($A1284,'13. Updated Demand'!A:Z,21,FALSE)),0,VLOOKUP($A1284,'13. Updated Demand'!A:Z,21,FALSE))</f>
        <v>0</v>
      </c>
      <c r="AE1284" s="16">
        <f>IF(ISERROR(VLOOKUP($A1284,'13. Updated Demand'!A:Z,22,FALSE)),0,VLOOKUP($A1284,'13. Updated Demand'!A:Z,22,FALSE))</f>
        <v>0</v>
      </c>
      <c r="AF1284" s="16">
        <f>IF(ISERROR(VLOOKUP($A1284,'13. Updated Demand'!A:Z,23,FALSE)),0,VLOOKUP($A1284,'13. Updated Demand'!A:Z,23,FALSE))</f>
        <v>0</v>
      </c>
      <c r="AG1284" s="16">
        <f>IF(ISERROR(VLOOKUP($A1284,'13. Updated Demand'!A:Z,24,FALSE)),0,VLOOKUP($A1284,'13. Updated Demand'!A:Z,24,FALSE))</f>
        <v>0</v>
      </c>
      <c r="AH1284" s="16">
        <f>IF(ISERROR(VLOOKUP($A1284,'13. Updated Demand'!A:Z,25,FALSE)),0,VLOOKUP($A1284,'13. Updated Demand'!A:Z,25,FALSE))</f>
        <v>0</v>
      </c>
      <c r="AI1284" s="16">
        <f>IF(ISERROR(VLOOKUP($A1284,'13. Updated Demand'!A:Z,26,FALSE)),0,VLOOKUP($A1284,'13. Updated Demand'!A:Z,26,FALSE))</f>
        <v>0</v>
      </c>
      <c r="AJ1284" s="16">
        <f t="shared" si="240"/>
        <v>0</v>
      </c>
      <c r="AK1284" s="19">
        <v>0</v>
      </c>
      <c r="AL1284" s="16">
        <f t="shared" si="250"/>
        <v>0</v>
      </c>
      <c r="AM1284" s="17">
        <v>0</v>
      </c>
      <c r="AN1284" s="19"/>
      <c r="AO1284" s="19"/>
      <c r="AP1284" s="19">
        <v>33.6</v>
      </c>
      <c r="AQ1284" s="19" t="s">
        <v>307</v>
      </c>
      <c r="AR1284" s="9" t="s">
        <v>1118</v>
      </c>
      <c r="AS1284" s="12">
        <v>0</v>
      </c>
      <c r="AT1284" s="19">
        <v>38.3782</v>
      </c>
      <c r="AU1284" s="19">
        <v>-122.78579999999999</v>
      </c>
      <c r="AV1284" s="19" t="s">
        <v>1532</v>
      </c>
    </row>
    <row r="1285" spans="1:48" x14ac:dyDescent="0.25">
      <c r="A1285" s="18" t="s">
        <v>1662</v>
      </c>
      <c r="B1285" s="10">
        <v>19500315</v>
      </c>
      <c r="C1285" s="9">
        <v>6</v>
      </c>
      <c r="D1285" s="8" t="str">
        <f t="shared" si="241"/>
        <v>Y</v>
      </c>
      <c r="E1285" s="8" t="str">
        <f t="shared" si="242"/>
        <v>N</v>
      </c>
      <c r="F1285" s="8" t="str">
        <f t="shared" si="243"/>
        <v>Y</v>
      </c>
      <c r="G1285" s="8" t="str">
        <f t="shared" si="244"/>
        <v>Y</v>
      </c>
      <c r="H1285" s="8" t="str">
        <f t="shared" si="245"/>
        <v>Upper</v>
      </c>
      <c r="I1285" s="8" t="str">
        <f t="shared" si="246"/>
        <v>West Fork and Below Lake</v>
      </c>
      <c r="J1285" s="8" t="str">
        <f t="shared" si="247"/>
        <v>Mendocino (d/s of lake)</v>
      </c>
      <c r="K1285" s="8" t="str">
        <f t="shared" si="248"/>
        <v>Post-1949</v>
      </c>
      <c r="L1285" s="8">
        <f t="shared" si="249"/>
        <v>1950</v>
      </c>
      <c r="M1285" s="8" t="str">
        <f t="shared" si="251"/>
        <v>1950-1952</v>
      </c>
      <c r="N1285" s="10" t="s">
        <v>242</v>
      </c>
      <c r="O1285" s="10" t="s">
        <v>241</v>
      </c>
      <c r="P1285" s="10" t="s">
        <v>242</v>
      </c>
      <c r="Q1285" s="10" t="s">
        <v>242</v>
      </c>
      <c r="R1285" s="10" t="s">
        <v>241</v>
      </c>
      <c r="S1285" s="10" t="s">
        <v>242</v>
      </c>
      <c r="T1285" s="10" t="s">
        <v>242</v>
      </c>
      <c r="U1285" s="10" t="s">
        <v>241</v>
      </c>
      <c r="V1285" s="10" t="s">
        <v>241</v>
      </c>
      <c r="W1285" s="10" t="s">
        <v>242</v>
      </c>
      <c r="X1285" s="15">
        <f>IF(ISERROR(VLOOKUP($A1285,'13. Updated Demand'!A:Z,15,FALSE)),0,VLOOKUP($A1285,'13. Updated Demand'!A:Z,15,FALSE))</f>
        <v>0</v>
      </c>
      <c r="Y1285" s="16">
        <f>IF(ISERROR(VLOOKUP($A1285,'13. Updated Demand'!A:Z,16,FALSE)),0,VLOOKUP($A1285,'13. Updated Demand'!A:Z,16,FALSE))</f>
        <v>0</v>
      </c>
      <c r="Z1285" s="16">
        <f>IF(ISERROR(VLOOKUP($A1285,'13. Updated Demand'!A:Z,17,FALSE)),0,VLOOKUP($A1285,'13. Updated Demand'!A:Z,17,FALSE))</f>
        <v>0</v>
      </c>
      <c r="AA1285" s="16">
        <f>IF(ISERROR(VLOOKUP($A1285,'13. Updated Demand'!A:Z,18,FALSE)),0,VLOOKUP($A1285,'13. Updated Demand'!A:Z,18,FALSE))</f>
        <v>0</v>
      </c>
      <c r="AB1285" s="16">
        <f>IF(ISERROR(VLOOKUP($A1285,'13. Updated Demand'!A:Z,19,FALSE)),0,VLOOKUP($A1285,'13. Updated Demand'!A:Z,19,FALSE))</f>
        <v>0</v>
      </c>
      <c r="AC1285" s="16">
        <f>IF(ISERROR(VLOOKUP($A1285,'13. Updated Demand'!A:Z,20,FALSE)),0,VLOOKUP($A1285,'13. Updated Demand'!A:Z,20,FALSE))</f>
        <v>0</v>
      </c>
      <c r="AD1285" s="16">
        <f>IF(ISERROR(VLOOKUP($A1285,'13. Updated Demand'!A:Z,21,FALSE)),0,VLOOKUP($A1285,'13. Updated Demand'!A:Z,21,FALSE))</f>
        <v>0</v>
      </c>
      <c r="AE1285" s="16">
        <f>IF(ISERROR(VLOOKUP($A1285,'13. Updated Demand'!A:Z,22,FALSE)),0,VLOOKUP($A1285,'13. Updated Demand'!A:Z,22,FALSE))</f>
        <v>0</v>
      </c>
      <c r="AF1285" s="16">
        <f>IF(ISERROR(VLOOKUP($A1285,'13. Updated Demand'!A:Z,23,FALSE)),0,VLOOKUP($A1285,'13. Updated Demand'!A:Z,23,FALSE))</f>
        <v>0</v>
      </c>
      <c r="AG1285" s="16">
        <f>IF(ISERROR(VLOOKUP($A1285,'13. Updated Demand'!A:Z,24,FALSE)),0,VLOOKUP($A1285,'13. Updated Demand'!A:Z,24,FALSE))</f>
        <v>0</v>
      </c>
      <c r="AH1285" s="16">
        <f>IF(ISERROR(VLOOKUP($A1285,'13. Updated Demand'!A:Z,25,FALSE)),0,VLOOKUP($A1285,'13. Updated Demand'!A:Z,25,FALSE))</f>
        <v>0</v>
      </c>
      <c r="AI1285" s="16">
        <f>IF(ISERROR(VLOOKUP($A1285,'13. Updated Demand'!A:Z,26,FALSE)),0,VLOOKUP($A1285,'13. Updated Demand'!A:Z,26,FALSE))</f>
        <v>0</v>
      </c>
      <c r="AJ1285" s="16">
        <f t="shared" si="240"/>
        <v>0</v>
      </c>
      <c r="AK1285" s="19">
        <v>0</v>
      </c>
      <c r="AL1285" s="16">
        <f t="shared" si="250"/>
        <v>0</v>
      </c>
      <c r="AM1285" s="17">
        <v>0</v>
      </c>
      <c r="AN1285" s="19"/>
      <c r="AO1285" s="19"/>
      <c r="AP1285" s="19">
        <v>160.6</v>
      </c>
      <c r="AQ1285" s="19" t="s">
        <v>307</v>
      </c>
      <c r="AR1285" s="9" t="s">
        <v>319</v>
      </c>
      <c r="AS1285" s="12">
        <v>0</v>
      </c>
      <c r="AT1285" s="19">
        <v>38.984499999999997</v>
      </c>
      <c r="AU1285" s="19">
        <v>-123.16630000000001</v>
      </c>
      <c r="AV1285" s="19" t="s">
        <v>362</v>
      </c>
    </row>
    <row r="1286" spans="1:48" x14ac:dyDescent="0.25">
      <c r="A1286" s="18" t="s">
        <v>1663</v>
      </c>
      <c r="B1286" s="10">
        <v>19500411</v>
      </c>
      <c r="C1286" s="9">
        <v>18</v>
      </c>
      <c r="D1286" s="8" t="str">
        <f t="shared" si="241"/>
        <v>N</v>
      </c>
      <c r="E1286" s="8" t="str">
        <f t="shared" si="242"/>
        <v>N</v>
      </c>
      <c r="F1286" s="8" t="str">
        <f t="shared" si="243"/>
        <v>N</v>
      </c>
      <c r="G1286" s="8" t="str">
        <f t="shared" si="244"/>
        <v>N</v>
      </c>
      <c r="H1286" s="8" t="str">
        <f t="shared" si="245"/>
        <v>Lower</v>
      </c>
      <c r="I1286" s="8" t="str">
        <f t="shared" si="246"/>
        <v>Outside</v>
      </c>
      <c r="J1286" s="8" t="str">
        <f t="shared" si="247"/>
        <v>Outside</v>
      </c>
      <c r="K1286" s="8" t="str">
        <f t="shared" si="248"/>
        <v>Post-1949</v>
      </c>
      <c r="L1286" s="8">
        <f t="shared" si="249"/>
        <v>1950</v>
      </c>
      <c r="M1286" s="8" t="str">
        <f t="shared" si="251"/>
        <v>1950-1952</v>
      </c>
      <c r="N1286" s="10" t="s">
        <v>241</v>
      </c>
      <c r="O1286" s="10" t="s">
        <v>242</v>
      </c>
      <c r="P1286" s="10" t="s">
        <v>242</v>
      </c>
      <c r="Q1286" s="10" t="s">
        <v>242</v>
      </c>
      <c r="R1286" s="10" t="s">
        <v>241</v>
      </c>
      <c r="S1286" s="10" t="s">
        <v>242</v>
      </c>
      <c r="T1286" s="10" t="s">
        <v>242</v>
      </c>
      <c r="U1286" s="10" t="s">
        <v>242</v>
      </c>
      <c r="V1286" s="10" t="s">
        <v>241</v>
      </c>
      <c r="W1286" s="10" t="s">
        <v>242</v>
      </c>
      <c r="X1286" s="15">
        <f>IF(ISERROR(VLOOKUP($A1286,'13. Updated Demand'!A:Z,15,FALSE)),0,VLOOKUP($A1286,'13. Updated Demand'!A:Z,15,FALSE))</f>
        <v>0</v>
      </c>
      <c r="Y1286" s="16">
        <f>IF(ISERROR(VLOOKUP($A1286,'13. Updated Demand'!A:Z,16,FALSE)),0,VLOOKUP($A1286,'13. Updated Demand'!A:Z,16,FALSE))</f>
        <v>0</v>
      </c>
      <c r="Z1286" s="16">
        <f>IF(ISERROR(VLOOKUP($A1286,'13. Updated Demand'!A:Z,17,FALSE)),0,VLOOKUP($A1286,'13. Updated Demand'!A:Z,17,FALSE))</f>
        <v>0</v>
      </c>
      <c r="AA1286" s="16">
        <f>IF(ISERROR(VLOOKUP($A1286,'13. Updated Demand'!A:Z,18,FALSE)),0,VLOOKUP($A1286,'13. Updated Demand'!A:Z,18,FALSE))</f>
        <v>0</v>
      </c>
      <c r="AB1286" s="16">
        <f>IF(ISERROR(VLOOKUP($A1286,'13. Updated Demand'!A:Z,19,FALSE)),0,VLOOKUP($A1286,'13. Updated Demand'!A:Z,19,FALSE))</f>
        <v>0</v>
      </c>
      <c r="AC1286" s="16">
        <f>IF(ISERROR(VLOOKUP($A1286,'13. Updated Demand'!A:Z,20,FALSE)),0,VLOOKUP($A1286,'13. Updated Demand'!A:Z,20,FALSE))</f>
        <v>0</v>
      </c>
      <c r="AD1286" s="16">
        <f>IF(ISERROR(VLOOKUP($A1286,'13. Updated Demand'!A:Z,21,FALSE)),0,VLOOKUP($A1286,'13. Updated Demand'!A:Z,21,FALSE))</f>
        <v>0</v>
      </c>
      <c r="AE1286" s="16">
        <f>IF(ISERROR(VLOOKUP($A1286,'13. Updated Demand'!A:Z,22,FALSE)),0,VLOOKUP($A1286,'13. Updated Demand'!A:Z,22,FALSE))</f>
        <v>0</v>
      </c>
      <c r="AF1286" s="16">
        <f>IF(ISERROR(VLOOKUP($A1286,'13. Updated Demand'!A:Z,23,FALSE)),0,VLOOKUP($A1286,'13. Updated Demand'!A:Z,23,FALSE))</f>
        <v>0</v>
      </c>
      <c r="AG1286" s="16">
        <f>IF(ISERROR(VLOOKUP($A1286,'13. Updated Demand'!A:Z,24,FALSE)),0,VLOOKUP($A1286,'13. Updated Demand'!A:Z,24,FALSE))</f>
        <v>0</v>
      </c>
      <c r="AH1286" s="16">
        <f>IF(ISERROR(VLOOKUP($A1286,'13. Updated Demand'!A:Z,25,FALSE)),0,VLOOKUP($A1286,'13. Updated Demand'!A:Z,25,FALSE))</f>
        <v>8.5</v>
      </c>
      <c r="AI1286" s="16">
        <f>IF(ISERROR(VLOOKUP($A1286,'13. Updated Demand'!A:Z,26,FALSE)),0,VLOOKUP($A1286,'13. Updated Demand'!A:Z,26,FALSE))</f>
        <v>0</v>
      </c>
      <c r="AJ1286" s="16">
        <f t="shared" si="240"/>
        <v>8.5</v>
      </c>
      <c r="AK1286" s="19">
        <v>0</v>
      </c>
      <c r="AL1286" s="16">
        <f t="shared" si="250"/>
        <v>0</v>
      </c>
      <c r="AM1286" s="17">
        <v>7.1189279731993294E-2</v>
      </c>
      <c r="AN1286" s="19"/>
      <c r="AO1286" s="19"/>
      <c r="AP1286" s="19">
        <v>119.4</v>
      </c>
      <c r="AQ1286" s="19" t="s">
        <v>307</v>
      </c>
      <c r="AR1286" s="9" t="s">
        <v>352</v>
      </c>
      <c r="AS1286" s="12">
        <v>0</v>
      </c>
      <c r="AT1286" s="19">
        <v>38.517800000000001</v>
      </c>
      <c r="AU1286" s="19">
        <v>-122.8815</v>
      </c>
      <c r="AV1286" s="19" t="s">
        <v>387</v>
      </c>
    </row>
    <row r="1287" spans="1:48" x14ac:dyDescent="0.25">
      <c r="A1287" s="18" t="s">
        <v>1664</v>
      </c>
      <c r="B1287" s="10">
        <v>19500502</v>
      </c>
      <c r="C1287" s="9">
        <v>12</v>
      </c>
      <c r="D1287" s="8" t="str">
        <f t="shared" si="241"/>
        <v>N</v>
      </c>
      <c r="E1287" s="8" t="str">
        <f t="shared" si="242"/>
        <v>Y</v>
      </c>
      <c r="F1287" s="8" t="str">
        <f t="shared" si="243"/>
        <v>Y</v>
      </c>
      <c r="G1287" s="8" t="str">
        <f t="shared" si="244"/>
        <v>Y</v>
      </c>
      <c r="H1287" s="8" t="str">
        <f t="shared" si="245"/>
        <v>Upper</v>
      </c>
      <c r="I1287" s="8" t="str">
        <f t="shared" si="246"/>
        <v>West Fork and Below Lake</v>
      </c>
      <c r="J1287" s="8" t="str">
        <f t="shared" si="247"/>
        <v>Sonoma (d/s of Clov. Gage)</v>
      </c>
      <c r="K1287" s="8" t="str">
        <f t="shared" si="248"/>
        <v>Post-1949</v>
      </c>
      <c r="L1287" s="8">
        <f t="shared" si="249"/>
        <v>1950</v>
      </c>
      <c r="M1287" s="8" t="str">
        <f t="shared" si="251"/>
        <v>1950-1952</v>
      </c>
      <c r="N1287" s="10" t="s">
        <v>242</v>
      </c>
      <c r="O1287" s="10" t="s">
        <v>241</v>
      </c>
      <c r="P1287" s="10" t="s">
        <v>242</v>
      </c>
      <c r="Q1287" s="10" t="s">
        <v>242</v>
      </c>
      <c r="R1287" s="10" t="s">
        <v>241</v>
      </c>
      <c r="S1287" s="10" t="s">
        <v>242</v>
      </c>
      <c r="T1287" s="10" t="s">
        <v>242</v>
      </c>
      <c r="U1287" s="10" t="s">
        <v>242</v>
      </c>
      <c r="V1287" s="10" t="s">
        <v>241</v>
      </c>
      <c r="W1287" s="10" t="s">
        <v>242</v>
      </c>
      <c r="X1287" s="15">
        <f>IF(ISERROR(VLOOKUP($A1287,'13. Updated Demand'!A:Z,15,FALSE)),0,VLOOKUP($A1287,'13. Updated Demand'!A:Z,15,FALSE))</f>
        <v>9.3000000000000007</v>
      </c>
      <c r="Y1287" s="16">
        <f>IF(ISERROR(VLOOKUP($A1287,'13. Updated Demand'!A:Z,16,FALSE)),0,VLOOKUP($A1287,'13. Updated Demand'!A:Z,16,FALSE))</f>
        <v>1.7</v>
      </c>
      <c r="Z1287" s="16">
        <f>IF(ISERROR(VLOOKUP($A1287,'13. Updated Demand'!A:Z,17,FALSE)),0,VLOOKUP($A1287,'13. Updated Demand'!A:Z,17,FALSE))</f>
        <v>3.86</v>
      </c>
      <c r="AA1287" s="16">
        <f>IF(ISERROR(VLOOKUP($A1287,'13. Updated Demand'!A:Z,18,FALSE)),0,VLOOKUP($A1287,'13. Updated Demand'!A:Z,18,FALSE))</f>
        <v>2.6</v>
      </c>
      <c r="AB1287" s="16">
        <f>IF(ISERROR(VLOOKUP($A1287,'13. Updated Demand'!A:Z,19,FALSE)),0,VLOOKUP($A1287,'13. Updated Demand'!A:Z,19,FALSE))</f>
        <v>0</v>
      </c>
      <c r="AC1287" s="16">
        <f>IF(ISERROR(VLOOKUP($A1287,'13. Updated Demand'!A:Z,20,FALSE)),0,VLOOKUP($A1287,'13. Updated Demand'!A:Z,20,FALSE))</f>
        <v>0</v>
      </c>
      <c r="AD1287" s="16">
        <f>IF(ISERROR(VLOOKUP($A1287,'13. Updated Demand'!A:Z,21,FALSE)),0,VLOOKUP($A1287,'13. Updated Demand'!A:Z,21,FALSE))</f>
        <v>0</v>
      </c>
      <c r="AE1287" s="16">
        <f>IF(ISERROR(VLOOKUP($A1287,'13. Updated Demand'!A:Z,22,FALSE)),0,VLOOKUP($A1287,'13. Updated Demand'!A:Z,22,FALSE))</f>
        <v>0</v>
      </c>
      <c r="AF1287" s="16">
        <f>IF(ISERROR(VLOOKUP($A1287,'13. Updated Demand'!A:Z,23,FALSE)),0,VLOOKUP($A1287,'13. Updated Demand'!A:Z,23,FALSE))</f>
        <v>0</v>
      </c>
      <c r="AG1287" s="16">
        <f>IF(ISERROR(VLOOKUP($A1287,'13. Updated Demand'!A:Z,24,FALSE)),0,VLOOKUP($A1287,'13. Updated Demand'!A:Z,24,FALSE))</f>
        <v>0</v>
      </c>
      <c r="AH1287" s="16">
        <f>IF(ISERROR(VLOOKUP($A1287,'13. Updated Demand'!A:Z,25,FALSE)),0,VLOOKUP($A1287,'13. Updated Demand'!A:Z,25,FALSE))</f>
        <v>3.13</v>
      </c>
      <c r="AI1287" s="16">
        <f>IF(ISERROR(VLOOKUP($A1287,'13. Updated Demand'!A:Z,26,FALSE)),0,VLOOKUP($A1287,'13. Updated Demand'!A:Z,26,FALSE))</f>
        <v>26.7</v>
      </c>
      <c r="AJ1287" s="16">
        <f t="shared" si="240"/>
        <v>47.29</v>
      </c>
      <c r="AK1287" s="19">
        <v>0</v>
      </c>
      <c r="AL1287" s="16">
        <f t="shared" si="250"/>
        <v>0</v>
      </c>
      <c r="AM1287" s="17">
        <v>0.94599999999999995</v>
      </c>
      <c r="AN1287" s="19"/>
      <c r="AO1287" s="19"/>
      <c r="AP1287" s="19">
        <v>50</v>
      </c>
      <c r="AQ1287" s="19" t="s">
        <v>307</v>
      </c>
      <c r="AR1287" s="9" t="s">
        <v>311</v>
      </c>
      <c r="AS1287" s="12">
        <v>3.4039024194010059E-4</v>
      </c>
      <c r="AT1287" s="19">
        <v>38.624699999999997</v>
      </c>
      <c r="AU1287" s="19">
        <v>-122.66070000000001</v>
      </c>
      <c r="AV1287" s="19" t="s">
        <v>417</v>
      </c>
    </row>
    <row r="1288" spans="1:48" x14ac:dyDescent="0.25">
      <c r="A1288" s="18" t="s">
        <v>1665</v>
      </c>
      <c r="B1288" s="10">
        <v>19500614</v>
      </c>
      <c r="C1288" s="9">
        <v>10</v>
      </c>
      <c r="D1288" s="8" t="str">
        <f t="shared" si="241"/>
        <v>N</v>
      </c>
      <c r="E1288" s="8" t="str">
        <f t="shared" si="242"/>
        <v>Y</v>
      </c>
      <c r="F1288" s="8" t="str">
        <f t="shared" si="243"/>
        <v>Y</v>
      </c>
      <c r="G1288" s="8" t="str">
        <f t="shared" si="244"/>
        <v>Y</v>
      </c>
      <c r="H1288" s="8" t="str">
        <f t="shared" si="245"/>
        <v>Upper</v>
      </c>
      <c r="I1288" s="8" t="str">
        <f t="shared" si="246"/>
        <v>West Fork and Below Lake</v>
      </c>
      <c r="J1288" s="8" t="str">
        <f t="shared" si="247"/>
        <v>Sonoma (d/s of Clov. Gage)</v>
      </c>
      <c r="K1288" s="8" t="str">
        <f t="shared" si="248"/>
        <v>Post-1949</v>
      </c>
      <c r="L1288" s="8">
        <f t="shared" si="249"/>
        <v>1950</v>
      </c>
      <c r="M1288" s="8" t="str">
        <f t="shared" si="251"/>
        <v>1950-1952</v>
      </c>
      <c r="N1288" s="10" t="s">
        <v>241</v>
      </c>
      <c r="O1288" s="10" t="s">
        <v>241</v>
      </c>
      <c r="P1288" s="10" t="s">
        <v>242</v>
      </c>
      <c r="Q1288" s="10" t="s">
        <v>242</v>
      </c>
      <c r="R1288" s="10" t="s">
        <v>241</v>
      </c>
      <c r="S1288" s="10" t="s">
        <v>242</v>
      </c>
      <c r="T1288" s="10" t="s">
        <v>242</v>
      </c>
      <c r="U1288" s="10" t="s">
        <v>241</v>
      </c>
      <c r="V1288" s="10" t="s">
        <v>241</v>
      </c>
      <c r="W1288" s="10" t="s">
        <v>242</v>
      </c>
      <c r="X1288" s="15">
        <f>IF(ISERROR(VLOOKUP($A1288,'13. Updated Demand'!A:Z,15,FALSE)),0,VLOOKUP($A1288,'13. Updated Demand'!A:Z,15,FALSE))</f>
        <v>0</v>
      </c>
      <c r="Y1288" s="16">
        <f>IF(ISERROR(VLOOKUP($A1288,'13. Updated Demand'!A:Z,16,FALSE)),0,VLOOKUP($A1288,'13. Updated Demand'!A:Z,16,FALSE))</f>
        <v>0</v>
      </c>
      <c r="Z1288" s="16">
        <f>IF(ISERROR(VLOOKUP($A1288,'13. Updated Demand'!A:Z,17,FALSE)),0,VLOOKUP($A1288,'13. Updated Demand'!A:Z,17,FALSE))</f>
        <v>0</v>
      </c>
      <c r="AA1288" s="16">
        <f>IF(ISERROR(VLOOKUP($A1288,'13. Updated Demand'!A:Z,18,FALSE)),0,VLOOKUP($A1288,'13. Updated Demand'!A:Z,18,FALSE))</f>
        <v>0</v>
      </c>
      <c r="AB1288" s="16">
        <f>IF(ISERROR(VLOOKUP($A1288,'13. Updated Demand'!A:Z,19,FALSE)),0,VLOOKUP($A1288,'13. Updated Demand'!A:Z,19,FALSE))</f>
        <v>0</v>
      </c>
      <c r="AC1288" s="16">
        <f>IF(ISERROR(VLOOKUP($A1288,'13. Updated Demand'!A:Z,20,FALSE)),0,VLOOKUP($A1288,'13. Updated Demand'!A:Z,20,FALSE))</f>
        <v>0</v>
      </c>
      <c r="AD1288" s="16">
        <f>IF(ISERROR(VLOOKUP($A1288,'13. Updated Demand'!A:Z,21,FALSE)),0,VLOOKUP($A1288,'13. Updated Demand'!A:Z,21,FALSE))</f>
        <v>0</v>
      </c>
      <c r="AE1288" s="16">
        <f>IF(ISERROR(VLOOKUP($A1288,'13. Updated Demand'!A:Z,22,FALSE)),0,VLOOKUP($A1288,'13. Updated Demand'!A:Z,22,FALSE))</f>
        <v>0</v>
      </c>
      <c r="AF1288" s="16">
        <f>IF(ISERROR(VLOOKUP($A1288,'13. Updated Demand'!A:Z,23,FALSE)),0,VLOOKUP($A1288,'13. Updated Demand'!A:Z,23,FALSE))</f>
        <v>0</v>
      </c>
      <c r="AG1288" s="16">
        <f>IF(ISERROR(VLOOKUP($A1288,'13. Updated Demand'!A:Z,24,FALSE)),0,VLOOKUP($A1288,'13. Updated Demand'!A:Z,24,FALSE))</f>
        <v>0</v>
      </c>
      <c r="AH1288" s="16">
        <f>IF(ISERROR(VLOOKUP($A1288,'13. Updated Demand'!A:Z,25,FALSE)),0,VLOOKUP($A1288,'13. Updated Demand'!A:Z,25,FALSE))</f>
        <v>0</v>
      </c>
      <c r="AI1288" s="16">
        <f>IF(ISERROR(VLOOKUP($A1288,'13. Updated Demand'!A:Z,26,FALSE)),0,VLOOKUP($A1288,'13. Updated Demand'!A:Z,26,FALSE))</f>
        <v>0</v>
      </c>
      <c r="AJ1288" s="16">
        <f t="shared" si="240"/>
        <v>0</v>
      </c>
      <c r="AK1288" s="19">
        <v>0</v>
      </c>
      <c r="AL1288" s="16">
        <f t="shared" si="250"/>
        <v>0</v>
      </c>
      <c r="AM1288" s="17">
        <v>0</v>
      </c>
      <c r="AN1288" s="19"/>
      <c r="AO1288" s="19"/>
      <c r="AP1288" s="19">
        <v>44</v>
      </c>
      <c r="AQ1288" s="19" t="s">
        <v>307</v>
      </c>
      <c r="AR1288" s="9" t="s">
        <v>436</v>
      </c>
      <c r="AS1288" s="12">
        <v>0</v>
      </c>
      <c r="AT1288" s="19">
        <v>38.6724958</v>
      </c>
      <c r="AU1288" s="19">
        <v>-122.83053166000001</v>
      </c>
      <c r="AV1288" s="19" t="s">
        <v>548</v>
      </c>
    </row>
    <row r="1289" spans="1:48" x14ac:dyDescent="0.25">
      <c r="A1289" s="18" t="s">
        <v>1666</v>
      </c>
      <c r="B1289" s="10">
        <v>19500725</v>
      </c>
      <c r="C1289" s="9">
        <v>9</v>
      </c>
      <c r="D1289" s="8" t="str">
        <f t="shared" si="241"/>
        <v>N</v>
      </c>
      <c r="E1289" s="8" t="str">
        <f t="shared" si="242"/>
        <v>Y</v>
      </c>
      <c r="F1289" s="8" t="str">
        <f t="shared" si="243"/>
        <v>Y</v>
      </c>
      <c r="G1289" s="8" t="str">
        <f t="shared" si="244"/>
        <v>Y</v>
      </c>
      <c r="H1289" s="8" t="str">
        <f t="shared" si="245"/>
        <v>Upper</v>
      </c>
      <c r="I1289" s="8" t="str">
        <f t="shared" si="246"/>
        <v>West Fork and Below Lake</v>
      </c>
      <c r="J1289" s="8" t="str">
        <f t="shared" si="247"/>
        <v>Sonoma (d/s of Clov. Gage)</v>
      </c>
      <c r="K1289" s="8" t="str">
        <f t="shared" si="248"/>
        <v>Post-1949</v>
      </c>
      <c r="L1289" s="8">
        <f t="shared" si="249"/>
        <v>1950</v>
      </c>
      <c r="M1289" s="8" t="str">
        <f t="shared" si="251"/>
        <v>1950-1952</v>
      </c>
      <c r="N1289" s="10" t="s">
        <v>241</v>
      </c>
      <c r="O1289" s="10" t="s">
        <v>241</v>
      </c>
      <c r="P1289" s="10" t="s">
        <v>242</v>
      </c>
      <c r="Q1289" s="10" t="s">
        <v>242</v>
      </c>
      <c r="R1289" s="10" t="s">
        <v>241</v>
      </c>
      <c r="S1289" s="10" t="s">
        <v>242</v>
      </c>
      <c r="T1289" s="10" t="s">
        <v>242</v>
      </c>
      <c r="U1289" s="10" t="s">
        <v>241</v>
      </c>
      <c r="V1289" s="10" t="s">
        <v>241</v>
      </c>
      <c r="W1289" s="10" t="s">
        <v>242</v>
      </c>
      <c r="X1289" s="15">
        <f>IF(ISERROR(VLOOKUP($A1289,'13. Updated Demand'!A:Z,15,FALSE)),0,VLOOKUP($A1289,'13. Updated Demand'!A:Z,15,FALSE))</f>
        <v>0</v>
      </c>
      <c r="Y1289" s="16">
        <f>IF(ISERROR(VLOOKUP($A1289,'13. Updated Demand'!A:Z,16,FALSE)),0,VLOOKUP($A1289,'13. Updated Demand'!A:Z,16,FALSE))</f>
        <v>0</v>
      </c>
      <c r="Z1289" s="16">
        <f>IF(ISERROR(VLOOKUP($A1289,'13. Updated Demand'!A:Z,17,FALSE)),0,VLOOKUP($A1289,'13. Updated Demand'!A:Z,17,FALSE))</f>
        <v>0</v>
      </c>
      <c r="AA1289" s="16">
        <f>IF(ISERROR(VLOOKUP($A1289,'13. Updated Demand'!A:Z,18,FALSE)),0,VLOOKUP($A1289,'13. Updated Demand'!A:Z,18,FALSE))</f>
        <v>0</v>
      </c>
      <c r="AB1289" s="16">
        <f>IF(ISERROR(VLOOKUP($A1289,'13. Updated Demand'!A:Z,19,FALSE)),0,VLOOKUP($A1289,'13. Updated Demand'!A:Z,19,FALSE))</f>
        <v>0</v>
      </c>
      <c r="AC1289" s="16">
        <f>IF(ISERROR(VLOOKUP($A1289,'13. Updated Demand'!A:Z,20,FALSE)),0,VLOOKUP($A1289,'13. Updated Demand'!A:Z,20,FALSE))</f>
        <v>0</v>
      </c>
      <c r="AD1289" s="16">
        <f>IF(ISERROR(VLOOKUP($A1289,'13. Updated Demand'!A:Z,21,FALSE)),0,VLOOKUP($A1289,'13. Updated Demand'!A:Z,21,FALSE))</f>
        <v>0</v>
      </c>
      <c r="AE1289" s="16">
        <f>IF(ISERROR(VLOOKUP($A1289,'13. Updated Demand'!A:Z,22,FALSE)),0,VLOOKUP($A1289,'13. Updated Demand'!A:Z,22,FALSE))</f>
        <v>0</v>
      </c>
      <c r="AF1289" s="16">
        <f>IF(ISERROR(VLOOKUP($A1289,'13. Updated Demand'!A:Z,23,FALSE)),0,VLOOKUP($A1289,'13. Updated Demand'!A:Z,23,FALSE))</f>
        <v>0</v>
      </c>
      <c r="AG1289" s="16">
        <f>IF(ISERROR(VLOOKUP($A1289,'13. Updated Demand'!A:Z,24,FALSE)),0,VLOOKUP($A1289,'13. Updated Demand'!A:Z,24,FALSE))</f>
        <v>0</v>
      </c>
      <c r="AH1289" s="16">
        <f>IF(ISERROR(VLOOKUP($A1289,'13. Updated Demand'!A:Z,25,FALSE)),0,VLOOKUP($A1289,'13. Updated Demand'!A:Z,25,FALSE))</f>
        <v>0</v>
      </c>
      <c r="AI1289" s="16">
        <f>IF(ISERROR(VLOOKUP($A1289,'13. Updated Demand'!A:Z,26,FALSE)),0,VLOOKUP($A1289,'13. Updated Demand'!A:Z,26,FALSE))</f>
        <v>0</v>
      </c>
      <c r="AJ1289" s="16">
        <f t="shared" si="240"/>
        <v>0</v>
      </c>
      <c r="AK1289" s="19">
        <v>0</v>
      </c>
      <c r="AL1289" s="16">
        <f t="shared" si="250"/>
        <v>0</v>
      </c>
      <c r="AM1289" s="17">
        <v>0</v>
      </c>
      <c r="AN1289" s="19"/>
      <c r="AO1289" s="19"/>
      <c r="AP1289" s="19">
        <v>83.9</v>
      </c>
      <c r="AQ1289" s="19" t="s">
        <v>307</v>
      </c>
      <c r="AR1289" s="9" t="s">
        <v>354</v>
      </c>
      <c r="AS1289" s="12">
        <v>0</v>
      </c>
      <c r="AT1289" s="19">
        <v>38.790790659999999</v>
      </c>
      <c r="AU1289" s="19">
        <v>-123.0048922</v>
      </c>
      <c r="AV1289" s="19" t="s">
        <v>548</v>
      </c>
    </row>
    <row r="1290" spans="1:48" x14ac:dyDescent="0.25">
      <c r="A1290" s="18" t="s">
        <v>1667</v>
      </c>
      <c r="B1290" s="10">
        <v>19500809</v>
      </c>
      <c r="C1290" s="9">
        <v>16</v>
      </c>
      <c r="D1290" s="8" t="str">
        <f t="shared" si="241"/>
        <v>N</v>
      </c>
      <c r="E1290" s="8" t="str">
        <f t="shared" si="242"/>
        <v>N</v>
      </c>
      <c r="F1290" s="8" t="str">
        <f t="shared" si="243"/>
        <v>N</v>
      </c>
      <c r="G1290" s="8" t="str">
        <f t="shared" si="244"/>
        <v>N</v>
      </c>
      <c r="H1290" s="8" t="str">
        <f t="shared" si="245"/>
        <v>Lower</v>
      </c>
      <c r="I1290" s="8" t="str">
        <f t="shared" si="246"/>
        <v>Outside</v>
      </c>
      <c r="J1290" s="8" t="str">
        <f t="shared" si="247"/>
        <v>Outside</v>
      </c>
      <c r="K1290" s="8" t="str">
        <f t="shared" si="248"/>
        <v>Post-1949</v>
      </c>
      <c r="L1290" s="8">
        <f t="shared" si="249"/>
        <v>1950</v>
      </c>
      <c r="M1290" s="8" t="str">
        <f t="shared" si="251"/>
        <v>1950-1952</v>
      </c>
      <c r="N1290" s="10" t="s">
        <v>242</v>
      </c>
      <c r="O1290" s="10" t="s">
        <v>242</v>
      </c>
      <c r="P1290" s="10" t="s">
        <v>242</v>
      </c>
      <c r="Q1290" s="10" t="s">
        <v>242</v>
      </c>
      <c r="R1290" s="10" t="s">
        <v>241</v>
      </c>
      <c r="S1290" s="10" t="s">
        <v>242</v>
      </c>
      <c r="T1290" s="10" t="s">
        <v>242</v>
      </c>
      <c r="U1290" s="10" t="s">
        <v>241</v>
      </c>
      <c r="V1290" s="10" t="s">
        <v>241</v>
      </c>
      <c r="W1290" s="10" t="s">
        <v>242</v>
      </c>
      <c r="X1290" s="15">
        <f>IF(ISERROR(VLOOKUP($A1290,'13. Updated Demand'!A:Z,15,FALSE)),0,VLOOKUP($A1290,'13. Updated Demand'!A:Z,15,FALSE))</f>
        <v>0</v>
      </c>
      <c r="Y1290" s="16">
        <f>IF(ISERROR(VLOOKUP($A1290,'13. Updated Demand'!A:Z,16,FALSE)),0,VLOOKUP($A1290,'13. Updated Demand'!A:Z,16,FALSE))</f>
        <v>0</v>
      </c>
      <c r="Z1290" s="16">
        <f>IF(ISERROR(VLOOKUP($A1290,'13. Updated Demand'!A:Z,17,FALSE)),0,VLOOKUP($A1290,'13. Updated Demand'!A:Z,17,FALSE))</f>
        <v>0</v>
      </c>
      <c r="AA1290" s="16">
        <f>IF(ISERROR(VLOOKUP($A1290,'13. Updated Demand'!A:Z,18,FALSE)),0,VLOOKUP($A1290,'13. Updated Demand'!A:Z,18,FALSE))</f>
        <v>0</v>
      </c>
      <c r="AB1290" s="16">
        <f>IF(ISERROR(VLOOKUP($A1290,'13. Updated Demand'!A:Z,19,FALSE)),0,VLOOKUP($A1290,'13. Updated Demand'!A:Z,19,FALSE))</f>
        <v>0</v>
      </c>
      <c r="AC1290" s="16">
        <f>IF(ISERROR(VLOOKUP($A1290,'13. Updated Demand'!A:Z,20,FALSE)),0,VLOOKUP($A1290,'13. Updated Demand'!A:Z,20,FALSE))</f>
        <v>0</v>
      </c>
      <c r="AD1290" s="16">
        <f>IF(ISERROR(VLOOKUP($A1290,'13. Updated Demand'!A:Z,21,FALSE)),0,VLOOKUP($A1290,'13. Updated Demand'!A:Z,21,FALSE))</f>
        <v>0</v>
      </c>
      <c r="AE1290" s="16">
        <f>IF(ISERROR(VLOOKUP($A1290,'13. Updated Demand'!A:Z,22,FALSE)),0,VLOOKUP($A1290,'13. Updated Demand'!A:Z,22,FALSE))</f>
        <v>0</v>
      </c>
      <c r="AF1290" s="16">
        <f>IF(ISERROR(VLOOKUP($A1290,'13. Updated Demand'!A:Z,23,FALSE)),0,VLOOKUP($A1290,'13. Updated Demand'!A:Z,23,FALSE))</f>
        <v>0</v>
      </c>
      <c r="AG1290" s="16">
        <f>IF(ISERROR(VLOOKUP($A1290,'13. Updated Demand'!A:Z,24,FALSE)),0,VLOOKUP($A1290,'13. Updated Demand'!A:Z,24,FALSE))</f>
        <v>0</v>
      </c>
      <c r="AH1290" s="16">
        <f>IF(ISERROR(VLOOKUP($A1290,'13. Updated Demand'!A:Z,25,FALSE)),0,VLOOKUP($A1290,'13. Updated Demand'!A:Z,25,FALSE))</f>
        <v>0</v>
      </c>
      <c r="AI1290" s="16">
        <f>IF(ISERROR(VLOOKUP($A1290,'13. Updated Demand'!A:Z,26,FALSE)),0,VLOOKUP($A1290,'13. Updated Demand'!A:Z,26,FALSE))</f>
        <v>0</v>
      </c>
      <c r="AJ1290" s="16">
        <f t="shared" si="240"/>
        <v>0</v>
      </c>
      <c r="AK1290" s="19">
        <v>0</v>
      </c>
      <c r="AL1290" s="16">
        <f t="shared" si="250"/>
        <v>0</v>
      </c>
      <c r="AM1290" s="17">
        <v>0</v>
      </c>
      <c r="AN1290" s="19"/>
      <c r="AO1290" s="19"/>
      <c r="AP1290" s="19">
        <v>64</v>
      </c>
      <c r="AQ1290" s="19" t="s">
        <v>307</v>
      </c>
      <c r="AR1290" s="9" t="s">
        <v>394</v>
      </c>
      <c r="AS1290" s="12">
        <v>0</v>
      </c>
      <c r="AT1290" s="19">
        <v>38.641916670000001</v>
      </c>
      <c r="AU1290" s="19">
        <v>-122.90965715</v>
      </c>
      <c r="AV1290" s="19" t="s">
        <v>932</v>
      </c>
    </row>
    <row r="1291" spans="1:48" x14ac:dyDescent="0.25">
      <c r="A1291" s="18" t="s">
        <v>1668</v>
      </c>
      <c r="B1291" s="10">
        <v>19500823</v>
      </c>
      <c r="C1291" s="9">
        <v>15</v>
      </c>
      <c r="D1291" s="8" t="str">
        <f t="shared" si="241"/>
        <v>N</v>
      </c>
      <c r="E1291" s="8" t="str">
        <f t="shared" si="242"/>
        <v>N</v>
      </c>
      <c r="F1291" s="8" t="str">
        <f t="shared" si="243"/>
        <v>N</v>
      </c>
      <c r="G1291" s="8" t="str">
        <f t="shared" si="244"/>
        <v>N</v>
      </c>
      <c r="H1291" s="8" t="str">
        <f t="shared" si="245"/>
        <v>Lower</v>
      </c>
      <c r="I1291" s="8" t="str">
        <f t="shared" si="246"/>
        <v>Outside</v>
      </c>
      <c r="J1291" s="8" t="str">
        <f t="shared" si="247"/>
        <v>Outside</v>
      </c>
      <c r="K1291" s="8" t="str">
        <f t="shared" si="248"/>
        <v>Post-1949</v>
      </c>
      <c r="L1291" s="8">
        <f t="shared" si="249"/>
        <v>1950</v>
      </c>
      <c r="M1291" s="8" t="str">
        <f t="shared" si="251"/>
        <v>1950-1952</v>
      </c>
      <c r="N1291" s="10" t="s">
        <v>242</v>
      </c>
      <c r="O1291" s="10" t="s">
        <v>242</v>
      </c>
      <c r="P1291" s="10" t="s">
        <v>242</v>
      </c>
      <c r="Q1291" s="10" t="s">
        <v>242</v>
      </c>
      <c r="R1291" s="10" t="s">
        <v>241</v>
      </c>
      <c r="S1291" s="10" t="s">
        <v>242</v>
      </c>
      <c r="T1291" s="10" t="s">
        <v>242</v>
      </c>
      <c r="U1291" s="10" t="s">
        <v>242</v>
      </c>
      <c r="V1291" s="10" t="s">
        <v>241</v>
      </c>
      <c r="W1291" s="10" t="s">
        <v>242</v>
      </c>
      <c r="X1291" s="15">
        <f>IF(ISERROR(VLOOKUP($A1291,'13. Updated Demand'!A:Z,15,FALSE)),0,VLOOKUP($A1291,'13. Updated Demand'!A:Z,15,FALSE))</f>
        <v>0</v>
      </c>
      <c r="Y1291" s="16">
        <f>IF(ISERROR(VLOOKUP($A1291,'13. Updated Demand'!A:Z,16,FALSE)),0,VLOOKUP($A1291,'13. Updated Demand'!A:Z,16,FALSE))</f>
        <v>0</v>
      </c>
      <c r="Z1291" s="16">
        <f>IF(ISERROR(VLOOKUP($A1291,'13. Updated Demand'!A:Z,17,FALSE)),0,VLOOKUP($A1291,'13. Updated Demand'!A:Z,17,FALSE))</f>
        <v>0.233333333</v>
      </c>
      <c r="AA1291" s="16">
        <f>IF(ISERROR(VLOOKUP($A1291,'13. Updated Demand'!A:Z,18,FALSE)),0,VLOOKUP($A1291,'13. Updated Demand'!A:Z,18,FALSE))</f>
        <v>0</v>
      </c>
      <c r="AB1291" s="16">
        <f>IF(ISERROR(VLOOKUP($A1291,'13. Updated Demand'!A:Z,19,FALSE)),0,VLOOKUP($A1291,'13. Updated Demand'!A:Z,19,FALSE))</f>
        <v>0</v>
      </c>
      <c r="AC1291" s="16">
        <f>IF(ISERROR(VLOOKUP($A1291,'13. Updated Demand'!A:Z,20,FALSE)),0,VLOOKUP($A1291,'13. Updated Demand'!A:Z,20,FALSE))</f>
        <v>0</v>
      </c>
      <c r="AD1291" s="16">
        <f>IF(ISERROR(VLOOKUP($A1291,'13. Updated Demand'!A:Z,21,FALSE)),0,VLOOKUP($A1291,'13. Updated Demand'!A:Z,21,FALSE))</f>
        <v>0</v>
      </c>
      <c r="AE1291" s="16">
        <f>IF(ISERROR(VLOOKUP($A1291,'13. Updated Demand'!A:Z,22,FALSE)),0,VLOOKUP($A1291,'13. Updated Demand'!A:Z,22,FALSE))</f>
        <v>0</v>
      </c>
      <c r="AF1291" s="16">
        <f>IF(ISERROR(VLOOKUP($A1291,'13. Updated Demand'!A:Z,23,FALSE)),0,VLOOKUP($A1291,'13. Updated Demand'!A:Z,23,FALSE))</f>
        <v>0</v>
      </c>
      <c r="AG1291" s="16">
        <f>IF(ISERROR(VLOOKUP($A1291,'13. Updated Demand'!A:Z,24,FALSE)),0,VLOOKUP($A1291,'13. Updated Demand'!A:Z,24,FALSE))</f>
        <v>0</v>
      </c>
      <c r="AH1291" s="16">
        <f>IF(ISERROR(VLOOKUP($A1291,'13. Updated Demand'!A:Z,25,FALSE)),0,VLOOKUP($A1291,'13. Updated Demand'!A:Z,25,FALSE))</f>
        <v>0</v>
      </c>
      <c r="AI1291" s="16">
        <f>IF(ISERROR(VLOOKUP($A1291,'13. Updated Demand'!A:Z,26,FALSE)),0,VLOOKUP($A1291,'13. Updated Demand'!A:Z,26,FALSE))</f>
        <v>0</v>
      </c>
      <c r="AJ1291" s="16">
        <f t="shared" si="240"/>
        <v>0.233333333</v>
      </c>
      <c r="AK1291" s="19">
        <v>0</v>
      </c>
      <c r="AL1291" s="16">
        <f t="shared" si="250"/>
        <v>0</v>
      </c>
      <c r="AM1291" s="17">
        <v>5.4263565813953488E-3</v>
      </c>
      <c r="AN1291" s="19"/>
      <c r="AO1291" s="19"/>
      <c r="AP1291" s="19">
        <v>43</v>
      </c>
      <c r="AQ1291" s="19" t="s">
        <v>307</v>
      </c>
      <c r="AR1291" s="9" t="s">
        <v>489</v>
      </c>
      <c r="AS1291" s="12">
        <v>0</v>
      </c>
      <c r="AT1291" s="19">
        <v>38.669114729999997</v>
      </c>
      <c r="AU1291" s="19">
        <v>-122.94257979</v>
      </c>
      <c r="AV1291" s="19" t="s">
        <v>932</v>
      </c>
    </row>
    <row r="1292" spans="1:48" x14ac:dyDescent="0.25">
      <c r="A1292" s="18" t="s">
        <v>42</v>
      </c>
      <c r="B1292" s="10">
        <v>19500905</v>
      </c>
      <c r="C1292" s="9">
        <v>10</v>
      </c>
      <c r="D1292" s="8" t="str">
        <f t="shared" si="241"/>
        <v>N</v>
      </c>
      <c r="E1292" s="8" t="str">
        <f t="shared" si="242"/>
        <v>Y</v>
      </c>
      <c r="F1292" s="8" t="str">
        <f t="shared" si="243"/>
        <v>Y</v>
      </c>
      <c r="G1292" s="8" t="str">
        <f t="shared" si="244"/>
        <v>Y</v>
      </c>
      <c r="H1292" s="8" t="str">
        <f t="shared" si="245"/>
        <v>Upper</v>
      </c>
      <c r="I1292" s="8" t="str">
        <f t="shared" si="246"/>
        <v>West Fork and Below Lake</v>
      </c>
      <c r="J1292" s="8" t="str">
        <f t="shared" si="247"/>
        <v>Sonoma (d/s of Clov. Gage)</v>
      </c>
      <c r="K1292" s="8" t="str">
        <f t="shared" si="248"/>
        <v>Post-1949</v>
      </c>
      <c r="L1292" s="8">
        <f t="shared" si="249"/>
        <v>1950</v>
      </c>
      <c r="M1292" s="8" t="str">
        <f t="shared" si="251"/>
        <v>1950-1952</v>
      </c>
      <c r="N1292" s="10" t="s">
        <v>241</v>
      </c>
      <c r="O1292" s="10" t="s">
        <v>241</v>
      </c>
      <c r="P1292" s="10" t="s">
        <v>242</v>
      </c>
      <c r="Q1292" s="10" t="s">
        <v>242</v>
      </c>
      <c r="R1292" s="10" t="s">
        <v>241</v>
      </c>
      <c r="S1292" s="10" t="s">
        <v>242</v>
      </c>
      <c r="T1292" s="10" t="s">
        <v>242</v>
      </c>
      <c r="U1292" s="10" t="s">
        <v>241</v>
      </c>
      <c r="V1292" s="10" t="s">
        <v>241</v>
      </c>
      <c r="W1292" s="10" t="s">
        <v>242</v>
      </c>
      <c r="X1292" s="15">
        <f>IF(ISERROR(VLOOKUP($A1292,'13. Updated Demand'!A:Z,15,FALSE)),0,VLOOKUP($A1292,'13. Updated Demand'!A:Z,15,FALSE))</f>
        <v>0</v>
      </c>
      <c r="Y1292" s="16">
        <f>IF(ISERROR(VLOOKUP($A1292,'13. Updated Demand'!A:Z,16,FALSE)),0,VLOOKUP($A1292,'13. Updated Demand'!A:Z,16,FALSE))</f>
        <v>0</v>
      </c>
      <c r="Z1292" s="16">
        <f>IF(ISERROR(VLOOKUP($A1292,'13. Updated Demand'!A:Z,17,FALSE)),0,VLOOKUP($A1292,'13. Updated Demand'!A:Z,17,FALSE))</f>
        <v>0</v>
      </c>
      <c r="AA1292" s="16">
        <f>IF(ISERROR(VLOOKUP($A1292,'13. Updated Demand'!A:Z,18,FALSE)),0,VLOOKUP($A1292,'13. Updated Demand'!A:Z,18,FALSE))</f>
        <v>0</v>
      </c>
      <c r="AB1292" s="16">
        <f>IF(ISERROR(VLOOKUP($A1292,'13. Updated Demand'!A:Z,19,FALSE)),0,VLOOKUP($A1292,'13. Updated Demand'!A:Z,19,FALSE))</f>
        <v>0</v>
      </c>
      <c r="AC1292" s="16">
        <f>IF(ISERROR(VLOOKUP($A1292,'13. Updated Demand'!A:Z,20,FALSE)),0,VLOOKUP($A1292,'13. Updated Demand'!A:Z,20,FALSE))</f>
        <v>0</v>
      </c>
      <c r="AD1292" s="16">
        <f>IF(ISERROR(VLOOKUP($A1292,'13. Updated Demand'!A:Z,21,FALSE)),0,VLOOKUP($A1292,'13. Updated Demand'!A:Z,21,FALSE))</f>
        <v>0</v>
      </c>
      <c r="AE1292" s="16">
        <f>IF(ISERROR(VLOOKUP($A1292,'13. Updated Demand'!A:Z,22,FALSE)),0,VLOOKUP($A1292,'13. Updated Demand'!A:Z,22,FALSE))</f>
        <v>0</v>
      </c>
      <c r="AF1292" s="16">
        <f>IF(ISERROR(VLOOKUP($A1292,'13. Updated Demand'!A:Z,23,FALSE)),0,VLOOKUP($A1292,'13. Updated Demand'!A:Z,23,FALSE))</f>
        <v>0</v>
      </c>
      <c r="AG1292" s="16">
        <f>IF(ISERROR(VLOOKUP($A1292,'13. Updated Demand'!A:Z,24,FALSE)),0,VLOOKUP($A1292,'13. Updated Demand'!A:Z,24,FALSE))</f>
        <v>0</v>
      </c>
      <c r="AH1292" s="16">
        <f>IF(ISERROR(VLOOKUP($A1292,'13. Updated Demand'!A:Z,25,FALSE)),0,VLOOKUP($A1292,'13. Updated Demand'!A:Z,25,FALSE))</f>
        <v>0</v>
      </c>
      <c r="AI1292" s="16">
        <f>IF(ISERROR(VLOOKUP($A1292,'13. Updated Demand'!A:Z,26,FALSE)),0,VLOOKUP($A1292,'13. Updated Demand'!A:Z,26,FALSE))</f>
        <v>0</v>
      </c>
      <c r="AJ1292" s="16">
        <f t="shared" si="240"/>
        <v>0</v>
      </c>
      <c r="AK1292" s="19">
        <v>0</v>
      </c>
      <c r="AL1292" s="16">
        <f t="shared" si="250"/>
        <v>0</v>
      </c>
      <c r="AM1292" s="17">
        <v>0</v>
      </c>
      <c r="AN1292" s="19"/>
      <c r="AO1292" s="19"/>
      <c r="AP1292" s="19">
        <v>426.5</v>
      </c>
      <c r="AQ1292" s="19" t="s">
        <v>307</v>
      </c>
      <c r="AR1292" s="9" t="s">
        <v>436</v>
      </c>
      <c r="AS1292" s="12">
        <v>0</v>
      </c>
      <c r="AT1292" s="19">
        <v>38.707210140000001</v>
      </c>
      <c r="AU1292" s="19">
        <v>-122.88210346</v>
      </c>
      <c r="AV1292" s="19" t="s">
        <v>548</v>
      </c>
    </row>
    <row r="1293" spans="1:48" x14ac:dyDescent="0.25">
      <c r="A1293" s="18" t="s">
        <v>1669</v>
      </c>
      <c r="B1293" s="10">
        <v>19500921</v>
      </c>
      <c r="C1293" s="9">
        <v>23</v>
      </c>
      <c r="D1293" s="8" t="str">
        <f t="shared" si="241"/>
        <v>N</v>
      </c>
      <c r="E1293" s="8" t="str">
        <f t="shared" si="242"/>
        <v>N</v>
      </c>
      <c r="F1293" s="8" t="str">
        <f t="shared" si="243"/>
        <v>N</v>
      </c>
      <c r="G1293" s="8" t="str">
        <f t="shared" si="244"/>
        <v>N</v>
      </c>
      <c r="H1293" s="8" t="str">
        <f t="shared" si="245"/>
        <v>Lower</v>
      </c>
      <c r="I1293" s="8" t="str">
        <f t="shared" si="246"/>
        <v>Outside</v>
      </c>
      <c r="J1293" s="8" t="str">
        <f t="shared" si="247"/>
        <v>Outside</v>
      </c>
      <c r="K1293" s="8" t="str">
        <f t="shared" si="248"/>
        <v>Post-1949</v>
      </c>
      <c r="L1293" s="8">
        <f t="shared" si="249"/>
        <v>1950</v>
      </c>
      <c r="M1293" s="8" t="str">
        <f t="shared" si="251"/>
        <v>1950-1952</v>
      </c>
      <c r="N1293" s="10" t="s">
        <v>242</v>
      </c>
      <c r="O1293" s="10" t="s">
        <v>242</v>
      </c>
      <c r="P1293" s="10" t="s">
        <v>242</v>
      </c>
      <c r="Q1293" s="10" t="s">
        <v>242</v>
      </c>
      <c r="R1293" s="10" t="s">
        <v>241</v>
      </c>
      <c r="S1293" s="10" t="s">
        <v>242</v>
      </c>
      <c r="T1293" s="10" t="s">
        <v>242</v>
      </c>
      <c r="U1293" s="10" t="s">
        <v>242</v>
      </c>
      <c r="V1293" s="10" t="s">
        <v>241</v>
      </c>
      <c r="W1293" s="10" t="s">
        <v>242</v>
      </c>
      <c r="X1293" s="15">
        <f>IF(ISERROR(VLOOKUP($A1293,'13. Updated Demand'!A:Z,15,FALSE)),0,VLOOKUP($A1293,'13. Updated Demand'!A:Z,15,FALSE))</f>
        <v>2.0666666669999998</v>
      </c>
      <c r="Y1293" s="16">
        <f>IF(ISERROR(VLOOKUP($A1293,'13. Updated Demand'!A:Z,16,FALSE)),0,VLOOKUP($A1293,'13. Updated Demand'!A:Z,16,FALSE))</f>
        <v>0.7</v>
      </c>
      <c r="Z1293" s="16">
        <f>IF(ISERROR(VLOOKUP($A1293,'13. Updated Demand'!A:Z,17,FALSE)),0,VLOOKUP($A1293,'13. Updated Demand'!A:Z,17,FALSE))</f>
        <v>0.1</v>
      </c>
      <c r="AA1293" s="16">
        <f>IF(ISERROR(VLOOKUP($A1293,'13. Updated Demand'!A:Z,18,FALSE)),0,VLOOKUP($A1293,'13. Updated Demand'!A:Z,18,FALSE))</f>
        <v>6.6666666999999999E-2</v>
      </c>
      <c r="AB1293" s="16">
        <f>IF(ISERROR(VLOOKUP($A1293,'13. Updated Demand'!A:Z,19,FALSE)),0,VLOOKUP($A1293,'13. Updated Demand'!A:Z,19,FALSE))</f>
        <v>0</v>
      </c>
      <c r="AC1293" s="16">
        <f>IF(ISERROR(VLOOKUP($A1293,'13. Updated Demand'!A:Z,20,FALSE)),0,VLOOKUP($A1293,'13. Updated Demand'!A:Z,20,FALSE))</f>
        <v>0</v>
      </c>
      <c r="AD1293" s="16">
        <f>IF(ISERROR(VLOOKUP($A1293,'13. Updated Demand'!A:Z,21,FALSE)),0,VLOOKUP($A1293,'13. Updated Demand'!A:Z,21,FALSE))</f>
        <v>0</v>
      </c>
      <c r="AE1293" s="16">
        <f>IF(ISERROR(VLOOKUP($A1293,'13. Updated Demand'!A:Z,22,FALSE)),0,VLOOKUP($A1293,'13. Updated Demand'!A:Z,22,FALSE))</f>
        <v>0</v>
      </c>
      <c r="AF1293" s="16">
        <f>IF(ISERROR(VLOOKUP($A1293,'13. Updated Demand'!A:Z,23,FALSE)),0,VLOOKUP($A1293,'13. Updated Demand'!A:Z,23,FALSE))</f>
        <v>0</v>
      </c>
      <c r="AG1293" s="16">
        <f>IF(ISERROR(VLOOKUP($A1293,'13. Updated Demand'!A:Z,24,FALSE)),0,VLOOKUP($A1293,'13. Updated Demand'!A:Z,24,FALSE))</f>
        <v>0.26666666700000002</v>
      </c>
      <c r="AH1293" s="16">
        <f>IF(ISERROR(VLOOKUP($A1293,'13. Updated Demand'!A:Z,25,FALSE)),0,VLOOKUP($A1293,'13. Updated Demand'!A:Z,25,FALSE))</f>
        <v>0.233333333</v>
      </c>
      <c r="AI1293" s="16">
        <f>IF(ISERROR(VLOOKUP($A1293,'13. Updated Demand'!A:Z,26,FALSE)),0,VLOOKUP($A1293,'13. Updated Demand'!A:Z,26,FALSE))</f>
        <v>0.83333333300000001</v>
      </c>
      <c r="AJ1293" s="16">
        <f t="shared" si="240"/>
        <v>4.266666667</v>
      </c>
      <c r="AK1293" s="19">
        <v>0</v>
      </c>
      <c r="AL1293" s="16">
        <f t="shared" si="250"/>
        <v>0</v>
      </c>
      <c r="AM1293" s="17">
        <v>0.35555555558333335</v>
      </c>
      <c r="AN1293" s="19"/>
      <c r="AO1293" s="19"/>
      <c r="AP1293" s="19">
        <v>12</v>
      </c>
      <c r="AQ1293" s="19" t="s">
        <v>307</v>
      </c>
      <c r="AR1293" s="9" t="s">
        <v>391</v>
      </c>
      <c r="AS1293" s="12">
        <v>0</v>
      </c>
      <c r="AT1293" s="19">
        <v>38.567451640000002</v>
      </c>
      <c r="AU1293" s="19">
        <v>-122.80447534</v>
      </c>
      <c r="AV1293" s="19" t="s">
        <v>417</v>
      </c>
    </row>
    <row r="1294" spans="1:48" x14ac:dyDescent="0.25">
      <c r="A1294" s="18" t="s">
        <v>1670</v>
      </c>
      <c r="B1294" s="10">
        <v>19501002</v>
      </c>
      <c r="C1294" s="9">
        <v>4</v>
      </c>
      <c r="D1294" s="8" t="str">
        <f t="shared" si="241"/>
        <v>Y</v>
      </c>
      <c r="E1294" s="8" t="str">
        <f t="shared" si="242"/>
        <v>N</v>
      </c>
      <c r="F1294" s="8" t="str">
        <f t="shared" si="243"/>
        <v>Y</v>
      </c>
      <c r="G1294" s="8" t="str">
        <f t="shared" si="244"/>
        <v>Y</v>
      </c>
      <c r="H1294" s="8" t="str">
        <f t="shared" si="245"/>
        <v>Upper</v>
      </c>
      <c r="I1294" s="8" t="str">
        <f t="shared" si="246"/>
        <v>West Fork and Below Lake</v>
      </c>
      <c r="J1294" s="8" t="str">
        <f t="shared" si="247"/>
        <v>Mendocino (d/s of lake)</v>
      </c>
      <c r="K1294" s="8" t="str">
        <f t="shared" si="248"/>
        <v>Post-1949</v>
      </c>
      <c r="L1294" s="8">
        <f t="shared" si="249"/>
        <v>1950</v>
      </c>
      <c r="M1294" s="8" t="str">
        <f t="shared" si="251"/>
        <v>1950-1952</v>
      </c>
      <c r="N1294" s="10" t="s">
        <v>241</v>
      </c>
      <c r="O1294" s="10" t="s">
        <v>241</v>
      </c>
      <c r="P1294" s="10" t="s">
        <v>242</v>
      </c>
      <c r="Q1294" s="10" t="s">
        <v>242</v>
      </c>
      <c r="R1294" s="10" t="s">
        <v>241</v>
      </c>
      <c r="S1294" s="10" t="s">
        <v>242</v>
      </c>
      <c r="T1294" s="10" t="s">
        <v>242</v>
      </c>
      <c r="U1294" s="10" t="s">
        <v>241</v>
      </c>
      <c r="V1294" s="10" t="s">
        <v>241</v>
      </c>
      <c r="W1294" s="10" t="s">
        <v>242</v>
      </c>
      <c r="X1294" s="15">
        <f>IF(ISERROR(VLOOKUP($A1294,'13. Updated Demand'!A:Z,15,FALSE)),0,VLOOKUP($A1294,'13. Updated Demand'!A:Z,15,FALSE))</f>
        <v>0</v>
      </c>
      <c r="Y1294" s="16">
        <f>IF(ISERROR(VLOOKUP($A1294,'13. Updated Demand'!A:Z,16,FALSE)),0,VLOOKUP($A1294,'13. Updated Demand'!A:Z,16,FALSE))</f>
        <v>0</v>
      </c>
      <c r="Z1294" s="16">
        <f>IF(ISERROR(VLOOKUP($A1294,'13. Updated Demand'!A:Z,17,FALSE)),0,VLOOKUP($A1294,'13. Updated Demand'!A:Z,17,FALSE))</f>
        <v>0</v>
      </c>
      <c r="AA1294" s="16">
        <f>IF(ISERROR(VLOOKUP($A1294,'13. Updated Demand'!A:Z,18,FALSE)),0,VLOOKUP($A1294,'13. Updated Demand'!A:Z,18,FALSE))</f>
        <v>0</v>
      </c>
      <c r="AB1294" s="16">
        <f>IF(ISERROR(VLOOKUP($A1294,'13. Updated Demand'!A:Z,19,FALSE)),0,VLOOKUP($A1294,'13. Updated Demand'!A:Z,19,FALSE))</f>
        <v>0</v>
      </c>
      <c r="AC1294" s="16">
        <f>IF(ISERROR(VLOOKUP($A1294,'13. Updated Demand'!A:Z,20,FALSE)),0,VLOOKUP($A1294,'13. Updated Demand'!A:Z,20,FALSE))</f>
        <v>0</v>
      </c>
      <c r="AD1294" s="16">
        <f>IF(ISERROR(VLOOKUP($A1294,'13. Updated Demand'!A:Z,21,FALSE)),0,VLOOKUP($A1294,'13. Updated Demand'!A:Z,21,FALSE))</f>
        <v>0</v>
      </c>
      <c r="AE1294" s="16">
        <f>IF(ISERROR(VLOOKUP($A1294,'13. Updated Demand'!A:Z,22,FALSE)),0,VLOOKUP($A1294,'13. Updated Demand'!A:Z,22,FALSE))</f>
        <v>0</v>
      </c>
      <c r="AF1294" s="16">
        <f>IF(ISERROR(VLOOKUP($A1294,'13. Updated Demand'!A:Z,23,FALSE)),0,VLOOKUP($A1294,'13. Updated Demand'!A:Z,23,FALSE))</f>
        <v>0</v>
      </c>
      <c r="AG1294" s="16">
        <f>IF(ISERROR(VLOOKUP($A1294,'13. Updated Demand'!A:Z,24,FALSE)),0,VLOOKUP($A1294,'13. Updated Demand'!A:Z,24,FALSE))</f>
        <v>0</v>
      </c>
      <c r="AH1294" s="16">
        <f>IF(ISERROR(VLOOKUP($A1294,'13. Updated Demand'!A:Z,25,FALSE)),0,VLOOKUP($A1294,'13. Updated Demand'!A:Z,25,FALSE))</f>
        <v>0</v>
      </c>
      <c r="AI1294" s="16">
        <f>IF(ISERROR(VLOOKUP($A1294,'13. Updated Demand'!A:Z,26,FALSE)),0,VLOOKUP($A1294,'13. Updated Demand'!A:Z,26,FALSE))</f>
        <v>0</v>
      </c>
      <c r="AJ1294" s="16">
        <f t="shared" si="240"/>
        <v>0</v>
      </c>
      <c r="AK1294" s="19">
        <v>0</v>
      </c>
      <c r="AL1294" s="16">
        <f t="shared" si="250"/>
        <v>0</v>
      </c>
      <c r="AM1294" s="17">
        <v>0</v>
      </c>
      <c r="AN1294" s="19"/>
      <c r="AO1294" s="19"/>
      <c r="AP1294" s="19">
        <v>144.4</v>
      </c>
      <c r="AQ1294" s="19" t="s">
        <v>307</v>
      </c>
      <c r="AR1294" s="9" t="s">
        <v>331</v>
      </c>
      <c r="AS1294" s="12">
        <v>0</v>
      </c>
      <c r="AT1294" s="19">
        <v>39.160679160000001</v>
      </c>
      <c r="AU1294" s="19">
        <v>-123.19319745999999</v>
      </c>
      <c r="AV1294" s="19" t="s">
        <v>548</v>
      </c>
    </row>
    <row r="1295" spans="1:48" x14ac:dyDescent="0.25">
      <c r="A1295" s="18" t="s">
        <v>1671</v>
      </c>
      <c r="B1295" s="10">
        <v>19501002</v>
      </c>
      <c r="C1295" s="9">
        <v>23</v>
      </c>
      <c r="D1295" s="8" t="str">
        <f t="shared" si="241"/>
        <v>N</v>
      </c>
      <c r="E1295" s="8" t="str">
        <f t="shared" si="242"/>
        <v>N</v>
      </c>
      <c r="F1295" s="8" t="str">
        <f t="shared" si="243"/>
        <v>N</v>
      </c>
      <c r="G1295" s="8" t="str">
        <f t="shared" si="244"/>
        <v>N</v>
      </c>
      <c r="H1295" s="8" t="str">
        <f t="shared" si="245"/>
        <v>Lower</v>
      </c>
      <c r="I1295" s="8" t="str">
        <f t="shared" si="246"/>
        <v>Outside</v>
      </c>
      <c r="J1295" s="8" t="str">
        <f t="shared" si="247"/>
        <v>Outside</v>
      </c>
      <c r="K1295" s="8" t="str">
        <f t="shared" si="248"/>
        <v>Post-1949</v>
      </c>
      <c r="L1295" s="8">
        <f t="shared" si="249"/>
        <v>1950</v>
      </c>
      <c r="M1295" s="8" t="str">
        <f t="shared" si="251"/>
        <v>1950-1952</v>
      </c>
      <c r="N1295" s="10" t="s">
        <v>242</v>
      </c>
      <c r="O1295" s="10" t="s">
        <v>242</v>
      </c>
      <c r="P1295" s="10" t="s">
        <v>242</v>
      </c>
      <c r="Q1295" s="10" t="s">
        <v>242</v>
      </c>
      <c r="R1295" s="10" t="s">
        <v>241</v>
      </c>
      <c r="S1295" s="10" t="s">
        <v>242</v>
      </c>
      <c r="T1295" s="10" t="s">
        <v>242</v>
      </c>
      <c r="U1295" s="10" t="s">
        <v>242</v>
      </c>
      <c r="V1295" s="10" t="s">
        <v>241</v>
      </c>
      <c r="W1295" s="10" t="s">
        <v>242</v>
      </c>
      <c r="X1295" s="15">
        <f>IF(ISERROR(VLOOKUP($A1295,'13. Updated Demand'!A:Z,15,FALSE)),0,VLOOKUP($A1295,'13. Updated Demand'!A:Z,15,FALSE))</f>
        <v>0.1</v>
      </c>
      <c r="Y1295" s="16">
        <f>IF(ISERROR(VLOOKUP($A1295,'13. Updated Demand'!A:Z,16,FALSE)),0,VLOOKUP($A1295,'13. Updated Demand'!A:Z,16,FALSE))</f>
        <v>0.1</v>
      </c>
      <c r="Z1295" s="16">
        <f>IF(ISERROR(VLOOKUP($A1295,'13. Updated Demand'!A:Z,17,FALSE)),0,VLOOKUP($A1295,'13. Updated Demand'!A:Z,17,FALSE))</f>
        <v>0</v>
      </c>
      <c r="AA1295" s="16">
        <f>IF(ISERROR(VLOOKUP($A1295,'13. Updated Demand'!A:Z,18,FALSE)),0,VLOOKUP($A1295,'13. Updated Demand'!A:Z,18,FALSE))</f>
        <v>0</v>
      </c>
      <c r="AB1295" s="16">
        <f>IF(ISERROR(VLOOKUP($A1295,'13. Updated Demand'!A:Z,19,FALSE)),0,VLOOKUP($A1295,'13. Updated Demand'!A:Z,19,FALSE))</f>
        <v>0</v>
      </c>
      <c r="AC1295" s="16">
        <f>IF(ISERROR(VLOOKUP($A1295,'13. Updated Demand'!A:Z,20,FALSE)),0,VLOOKUP($A1295,'13. Updated Demand'!A:Z,20,FALSE))</f>
        <v>0</v>
      </c>
      <c r="AD1295" s="16">
        <f>IF(ISERROR(VLOOKUP($A1295,'13. Updated Demand'!A:Z,21,FALSE)),0,VLOOKUP($A1295,'13. Updated Demand'!A:Z,21,FALSE))</f>
        <v>0</v>
      </c>
      <c r="AE1295" s="16">
        <f>IF(ISERROR(VLOOKUP($A1295,'13. Updated Demand'!A:Z,22,FALSE)),0,VLOOKUP($A1295,'13. Updated Demand'!A:Z,22,FALSE))</f>
        <v>0</v>
      </c>
      <c r="AF1295" s="16">
        <f>IF(ISERROR(VLOOKUP($A1295,'13. Updated Demand'!A:Z,23,FALSE)),0,VLOOKUP($A1295,'13. Updated Demand'!A:Z,23,FALSE))</f>
        <v>0</v>
      </c>
      <c r="AG1295" s="16">
        <f>IF(ISERROR(VLOOKUP($A1295,'13. Updated Demand'!A:Z,24,FALSE)),0,VLOOKUP($A1295,'13. Updated Demand'!A:Z,24,FALSE))</f>
        <v>0</v>
      </c>
      <c r="AH1295" s="16">
        <f>IF(ISERROR(VLOOKUP($A1295,'13. Updated Demand'!A:Z,25,FALSE)),0,VLOOKUP($A1295,'13. Updated Demand'!A:Z,25,FALSE))</f>
        <v>0.1</v>
      </c>
      <c r="AI1295" s="16">
        <f>IF(ISERROR(VLOOKUP($A1295,'13. Updated Demand'!A:Z,26,FALSE)),0,VLOOKUP($A1295,'13. Updated Demand'!A:Z,26,FALSE))</f>
        <v>0.2</v>
      </c>
      <c r="AJ1295" s="16">
        <f t="shared" si="240"/>
        <v>0.5</v>
      </c>
      <c r="AK1295" s="19">
        <v>0</v>
      </c>
      <c r="AL1295" s="16">
        <f t="shared" si="250"/>
        <v>0</v>
      </c>
      <c r="AM1295" s="17">
        <v>1</v>
      </c>
      <c r="AN1295" s="19"/>
      <c r="AO1295" s="19"/>
      <c r="AP1295" s="19">
        <v>0.5</v>
      </c>
      <c r="AQ1295" s="19" t="s">
        <v>307</v>
      </c>
      <c r="AR1295" s="9" t="s">
        <v>378</v>
      </c>
      <c r="AS1295" s="12">
        <v>3.4039024194010059E-4</v>
      </c>
      <c r="AT1295" s="19">
        <v>38.363528690000003</v>
      </c>
      <c r="AU1295" s="19">
        <v>-122.60722337</v>
      </c>
      <c r="AV1295" s="19" t="s">
        <v>417</v>
      </c>
    </row>
    <row r="1296" spans="1:48" x14ac:dyDescent="0.25">
      <c r="A1296" s="18" t="s">
        <v>1672</v>
      </c>
      <c r="B1296" s="10">
        <v>19501009</v>
      </c>
      <c r="C1296" s="9">
        <v>9</v>
      </c>
      <c r="D1296" s="8" t="str">
        <f t="shared" si="241"/>
        <v>N</v>
      </c>
      <c r="E1296" s="8" t="str">
        <f t="shared" si="242"/>
        <v>Y</v>
      </c>
      <c r="F1296" s="8" t="str">
        <f t="shared" si="243"/>
        <v>Y</v>
      </c>
      <c r="G1296" s="8" t="str">
        <f t="shared" si="244"/>
        <v>Y</v>
      </c>
      <c r="H1296" s="8" t="str">
        <f t="shared" si="245"/>
        <v>Upper</v>
      </c>
      <c r="I1296" s="8" t="str">
        <f t="shared" si="246"/>
        <v>West Fork and Below Lake</v>
      </c>
      <c r="J1296" s="8" t="str">
        <f t="shared" si="247"/>
        <v>Sonoma (d/s of Clov. Gage)</v>
      </c>
      <c r="K1296" s="8" t="str">
        <f t="shared" si="248"/>
        <v>Post-1949</v>
      </c>
      <c r="L1296" s="8">
        <f t="shared" si="249"/>
        <v>1950</v>
      </c>
      <c r="M1296" s="8" t="str">
        <f t="shared" si="251"/>
        <v>1950-1952</v>
      </c>
      <c r="N1296" s="10" t="s">
        <v>241</v>
      </c>
      <c r="O1296" s="10" t="s">
        <v>241</v>
      </c>
      <c r="P1296" s="10" t="s">
        <v>242</v>
      </c>
      <c r="Q1296" s="10" t="s">
        <v>242</v>
      </c>
      <c r="R1296" s="10" t="s">
        <v>241</v>
      </c>
      <c r="S1296" s="10" t="s">
        <v>242</v>
      </c>
      <c r="T1296" s="10" t="s">
        <v>242</v>
      </c>
      <c r="U1296" s="10" t="s">
        <v>241</v>
      </c>
      <c r="V1296" s="10" t="s">
        <v>241</v>
      </c>
      <c r="W1296" s="10" t="s">
        <v>242</v>
      </c>
      <c r="X1296" s="15">
        <f>IF(ISERROR(VLOOKUP($A1296,'13. Updated Demand'!A:Z,15,FALSE)),0,VLOOKUP($A1296,'13. Updated Demand'!A:Z,15,FALSE))</f>
        <v>0</v>
      </c>
      <c r="Y1296" s="16">
        <f>IF(ISERROR(VLOOKUP($A1296,'13. Updated Demand'!A:Z,16,FALSE)),0,VLOOKUP($A1296,'13. Updated Demand'!A:Z,16,FALSE))</f>
        <v>0</v>
      </c>
      <c r="Z1296" s="16">
        <f>IF(ISERROR(VLOOKUP($A1296,'13. Updated Demand'!A:Z,17,FALSE)),0,VLOOKUP($A1296,'13. Updated Demand'!A:Z,17,FALSE))</f>
        <v>0</v>
      </c>
      <c r="AA1296" s="16">
        <f>IF(ISERROR(VLOOKUP($A1296,'13. Updated Demand'!A:Z,18,FALSE)),0,VLOOKUP($A1296,'13. Updated Demand'!A:Z,18,FALSE))</f>
        <v>0</v>
      </c>
      <c r="AB1296" s="16">
        <f>IF(ISERROR(VLOOKUP($A1296,'13. Updated Demand'!A:Z,19,FALSE)),0,VLOOKUP($A1296,'13. Updated Demand'!A:Z,19,FALSE))</f>
        <v>0</v>
      </c>
      <c r="AC1296" s="16">
        <f>IF(ISERROR(VLOOKUP($A1296,'13. Updated Demand'!A:Z,20,FALSE)),0,VLOOKUP($A1296,'13. Updated Demand'!A:Z,20,FALSE))</f>
        <v>0</v>
      </c>
      <c r="AD1296" s="16">
        <f>IF(ISERROR(VLOOKUP($A1296,'13. Updated Demand'!A:Z,21,FALSE)),0,VLOOKUP($A1296,'13. Updated Demand'!A:Z,21,FALSE))</f>
        <v>0</v>
      </c>
      <c r="AE1296" s="16">
        <f>IF(ISERROR(VLOOKUP($A1296,'13. Updated Demand'!A:Z,22,FALSE)),0,VLOOKUP($A1296,'13. Updated Demand'!A:Z,22,FALSE))</f>
        <v>0</v>
      </c>
      <c r="AF1296" s="16">
        <f>IF(ISERROR(VLOOKUP($A1296,'13. Updated Demand'!A:Z,23,FALSE)),0,VLOOKUP($A1296,'13. Updated Demand'!A:Z,23,FALSE))</f>
        <v>0</v>
      </c>
      <c r="AG1296" s="16">
        <f>IF(ISERROR(VLOOKUP($A1296,'13. Updated Demand'!A:Z,24,FALSE)),0,VLOOKUP($A1296,'13. Updated Demand'!A:Z,24,FALSE))</f>
        <v>0</v>
      </c>
      <c r="AH1296" s="16">
        <f>IF(ISERROR(VLOOKUP($A1296,'13. Updated Demand'!A:Z,25,FALSE)),0,VLOOKUP($A1296,'13. Updated Demand'!A:Z,25,FALSE))</f>
        <v>0</v>
      </c>
      <c r="AI1296" s="16">
        <f>IF(ISERROR(VLOOKUP($A1296,'13. Updated Demand'!A:Z,26,FALSE)),0,VLOOKUP($A1296,'13. Updated Demand'!A:Z,26,FALSE))</f>
        <v>0</v>
      </c>
      <c r="AJ1296" s="16">
        <f t="shared" ref="AJ1296:AJ1359" si="252">SUM(X1296:AI1296)</f>
        <v>0</v>
      </c>
      <c r="AK1296" s="19">
        <v>0</v>
      </c>
      <c r="AL1296" s="16">
        <f t="shared" si="250"/>
        <v>0</v>
      </c>
      <c r="AM1296" s="17">
        <v>0</v>
      </c>
      <c r="AN1296" s="19"/>
      <c r="AO1296" s="19"/>
      <c r="AP1296" s="19">
        <v>17</v>
      </c>
      <c r="AQ1296" s="19" t="s">
        <v>307</v>
      </c>
      <c r="AR1296" s="9" t="s">
        <v>354</v>
      </c>
      <c r="AS1296" s="12">
        <v>0</v>
      </c>
      <c r="AT1296" s="19">
        <v>38.803387039999997</v>
      </c>
      <c r="AU1296" s="19">
        <v>-123.00893028</v>
      </c>
      <c r="AV1296" s="19" t="s">
        <v>548</v>
      </c>
    </row>
    <row r="1297" spans="1:48" x14ac:dyDescent="0.25">
      <c r="A1297" s="18" t="s">
        <v>1673</v>
      </c>
      <c r="B1297" s="10">
        <v>19501113</v>
      </c>
      <c r="C1297" s="9">
        <v>9</v>
      </c>
      <c r="D1297" s="8" t="str">
        <f t="shared" si="241"/>
        <v>N</v>
      </c>
      <c r="E1297" s="8" t="str">
        <f t="shared" si="242"/>
        <v>Y</v>
      </c>
      <c r="F1297" s="8" t="str">
        <f t="shared" si="243"/>
        <v>Y</v>
      </c>
      <c r="G1297" s="8" t="str">
        <f t="shared" si="244"/>
        <v>Y</v>
      </c>
      <c r="H1297" s="8" t="str">
        <f t="shared" si="245"/>
        <v>Upper</v>
      </c>
      <c r="I1297" s="8" t="str">
        <f t="shared" si="246"/>
        <v>West Fork and Below Lake</v>
      </c>
      <c r="J1297" s="8" t="str">
        <f t="shared" si="247"/>
        <v>Sonoma (d/s of Clov. Gage)</v>
      </c>
      <c r="K1297" s="8" t="str">
        <f t="shared" si="248"/>
        <v>Post-1949</v>
      </c>
      <c r="L1297" s="8">
        <f t="shared" si="249"/>
        <v>1950</v>
      </c>
      <c r="M1297" s="8" t="str">
        <f t="shared" si="251"/>
        <v>1950-1952</v>
      </c>
      <c r="N1297" s="10" t="s">
        <v>241</v>
      </c>
      <c r="O1297" s="10" t="s">
        <v>241</v>
      </c>
      <c r="P1297" s="10" t="s">
        <v>242</v>
      </c>
      <c r="Q1297" s="10" t="s">
        <v>242</v>
      </c>
      <c r="R1297" s="10" t="s">
        <v>241</v>
      </c>
      <c r="S1297" s="10" t="s">
        <v>242</v>
      </c>
      <c r="T1297" s="10" t="s">
        <v>242</v>
      </c>
      <c r="U1297" s="10" t="s">
        <v>241</v>
      </c>
      <c r="V1297" s="10" t="s">
        <v>241</v>
      </c>
      <c r="W1297" s="10" t="s">
        <v>242</v>
      </c>
      <c r="X1297" s="15">
        <f>IF(ISERROR(VLOOKUP($A1297,'13. Updated Demand'!A:Z,15,FALSE)),0,VLOOKUP($A1297,'13. Updated Demand'!A:Z,15,FALSE))</f>
        <v>0</v>
      </c>
      <c r="Y1297" s="16">
        <f>IF(ISERROR(VLOOKUP($A1297,'13. Updated Demand'!A:Z,16,FALSE)),0,VLOOKUP($A1297,'13. Updated Demand'!A:Z,16,FALSE))</f>
        <v>0</v>
      </c>
      <c r="Z1297" s="16">
        <f>IF(ISERROR(VLOOKUP($A1297,'13. Updated Demand'!A:Z,17,FALSE)),0,VLOOKUP($A1297,'13. Updated Demand'!A:Z,17,FALSE))</f>
        <v>0</v>
      </c>
      <c r="AA1297" s="16">
        <f>IF(ISERROR(VLOOKUP($A1297,'13. Updated Demand'!A:Z,18,FALSE)),0,VLOOKUP($A1297,'13. Updated Demand'!A:Z,18,FALSE))</f>
        <v>0</v>
      </c>
      <c r="AB1297" s="16">
        <f>IF(ISERROR(VLOOKUP($A1297,'13. Updated Demand'!A:Z,19,FALSE)),0,VLOOKUP($A1297,'13. Updated Demand'!A:Z,19,FALSE))</f>
        <v>0</v>
      </c>
      <c r="AC1297" s="16">
        <f>IF(ISERROR(VLOOKUP($A1297,'13. Updated Demand'!A:Z,20,FALSE)),0,VLOOKUP($A1297,'13. Updated Demand'!A:Z,20,FALSE))</f>
        <v>0</v>
      </c>
      <c r="AD1297" s="16">
        <f>IF(ISERROR(VLOOKUP($A1297,'13. Updated Demand'!A:Z,21,FALSE)),0,VLOOKUP($A1297,'13. Updated Demand'!A:Z,21,FALSE))</f>
        <v>0</v>
      </c>
      <c r="AE1297" s="16">
        <f>IF(ISERROR(VLOOKUP($A1297,'13. Updated Demand'!A:Z,22,FALSE)),0,VLOOKUP($A1297,'13. Updated Demand'!A:Z,22,FALSE))</f>
        <v>0</v>
      </c>
      <c r="AF1297" s="16">
        <f>IF(ISERROR(VLOOKUP($A1297,'13. Updated Demand'!A:Z,23,FALSE)),0,VLOOKUP($A1297,'13. Updated Demand'!A:Z,23,FALSE))</f>
        <v>0</v>
      </c>
      <c r="AG1297" s="16">
        <f>IF(ISERROR(VLOOKUP($A1297,'13. Updated Demand'!A:Z,24,FALSE)),0,VLOOKUP($A1297,'13. Updated Demand'!A:Z,24,FALSE))</f>
        <v>0</v>
      </c>
      <c r="AH1297" s="16">
        <f>IF(ISERROR(VLOOKUP($A1297,'13. Updated Demand'!A:Z,25,FALSE)),0,VLOOKUP($A1297,'13. Updated Demand'!A:Z,25,FALSE))</f>
        <v>0</v>
      </c>
      <c r="AI1297" s="16">
        <f>IF(ISERROR(VLOOKUP($A1297,'13. Updated Demand'!A:Z,26,FALSE)),0,VLOOKUP($A1297,'13. Updated Demand'!A:Z,26,FALSE))</f>
        <v>0</v>
      </c>
      <c r="AJ1297" s="16">
        <f t="shared" si="252"/>
        <v>0</v>
      </c>
      <c r="AK1297" s="19">
        <v>0</v>
      </c>
      <c r="AL1297" s="16">
        <f t="shared" si="250"/>
        <v>0</v>
      </c>
      <c r="AM1297" s="17">
        <v>0</v>
      </c>
      <c r="AN1297" s="19"/>
      <c r="AO1297" s="19"/>
      <c r="AP1297" s="19">
        <v>20.3</v>
      </c>
      <c r="AQ1297" s="19" t="s">
        <v>307</v>
      </c>
      <c r="AR1297" s="9" t="s">
        <v>354</v>
      </c>
      <c r="AS1297" s="12">
        <v>3.4039024194010059E-4</v>
      </c>
      <c r="AT1297" s="19">
        <v>38.790506999999998</v>
      </c>
      <c r="AU1297" s="19">
        <v>-123.00594081</v>
      </c>
      <c r="AV1297" s="19" t="s">
        <v>548</v>
      </c>
    </row>
    <row r="1298" spans="1:48" x14ac:dyDescent="0.25">
      <c r="A1298" s="18" t="s">
        <v>1674</v>
      </c>
      <c r="B1298" s="10">
        <v>19501114</v>
      </c>
      <c r="C1298" s="9">
        <v>15</v>
      </c>
      <c r="D1298" s="8" t="str">
        <f t="shared" si="241"/>
        <v>N</v>
      </c>
      <c r="E1298" s="8" t="str">
        <f t="shared" si="242"/>
        <v>N</v>
      </c>
      <c r="F1298" s="8" t="str">
        <f t="shared" si="243"/>
        <v>N</v>
      </c>
      <c r="G1298" s="8" t="str">
        <f t="shared" si="244"/>
        <v>N</v>
      </c>
      <c r="H1298" s="8" t="str">
        <f t="shared" si="245"/>
        <v>Lower</v>
      </c>
      <c r="I1298" s="8" t="str">
        <f t="shared" si="246"/>
        <v>Outside</v>
      </c>
      <c r="J1298" s="8" t="str">
        <f t="shared" si="247"/>
        <v>Outside</v>
      </c>
      <c r="K1298" s="8" t="str">
        <f t="shared" si="248"/>
        <v>Post-1949</v>
      </c>
      <c r="L1298" s="8">
        <f t="shared" si="249"/>
        <v>1950</v>
      </c>
      <c r="M1298" s="8" t="str">
        <f t="shared" si="251"/>
        <v>1950-1952</v>
      </c>
      <c r="N1298" s="10" t="s">
        <v>242</v>
      </c>
      <c r="O1298" s="10" t="s">
        <v>242</v>
      </c>
      <c r="P1298" s="10" t="s">
        <v>242</v>
      </c>
      <c r="Q1298" s="10" t="s">
        <v>242</v>
      </c>
      <c r="R1298" s="10" t="s">
        <v>241</v>
      </c>
      <c r="S1298" s="10" t="s">
        <v>242</v>
      </c>
      <c r="T1298" s="10" t="s">
        <v>242</v>
      </c>
      <c r="U1298" s="10" t="s">
        <v>241</v>
      </c>
      <c r="V1298" s="10" t="s">
        <v>241</v>
      </c>
      <c r="W1298" s="10" t="s">
        <v>242</v>
      </c>
      <c r="X1298" s="15">
        <f>IF(ISERROR(VLOOKUP($A1298,'13. Updated Demand'!A:Z,15,FALSE)),0,VLOOKUP($A1298,'13. Updated Demand'!A:Z,15,FALSE))</f>
        <v>0</v>
      </c>
      <c r="Y1298" s="16">
        <f>IF(ISERROR(VLOOKUP($A1298,'13. Updated Demand'!A:Z,16,FALSE)),0,VLOOKUP($A1298,'13. Updated Demand'!A:Z,16,FALSE))</f>
        <v>0</v>
      </c>
      <c r="Z1298" s="16">
        <f>IF(ISERROR(VLOOKUP($A1298,'13. Updated Demand'!A:Z,17,FALSE)),0,VLOOKUP($A1298,'13. Updated Demand'!A:Z,17,FALSE))</f>
        <v>0</v>
      </c>
      <c r="AA1298" s="16">
        <f>IF(ISERROR(VLOOKUP($A1298,'13. Updated Demand'!A:Z,18,FALSE)),0,VLOOKUP($A1298,'13. Updated Demand'!A:Z,18,FALSE))</f>
        <v>0</v>
      </c>
      <c r="AB1298" s="16">
        <f>IF(ISERROR(VLOOKUP($A1298,'13. Updated Demand'!A:Z,19,FALSE)),0,VLOOKUP($A1298,'13. Updated Demand'!A:Z,19,FALSE))</f>
        <v>0</v>
      </c>
      <c r="AC1298" s="16">
        <f>IF(ISERROR(VLOOKUP($A1298,'13. Updated Demand'!A:Z,20,FALSE)),0,VLOOKUP($A1298,'13. Updated Demand'!A:Z,20,FALSE))</f>
        <v>0</v>
      </c>
      <c r="AD1298" s="16">
        <f>IF(ISERROR(VLOOKUP($A1298,'13. Updated Demand'!A:Z,21,FALSE)),0,VLOOKUP($A1298,'13. Updated Demand'!A:Z,21,FALSE))</f>
        <v>0</v>
      </c>
      <c r="AE1298" s="16">
        <f>IF(ISERROR(VLOOKUP($A1298,'13. Updated Demand'!A:Z,22,FALSE)),0,VLOOKUP($A1298,'13. Updated Demand'!A:Z,22,FALSE))</f>
        <v>0</v>
      </c>
      <c r="AF1298" s="16">
        <f>IF(ISERROR(VLOOKUP($A1298,'13. Updated Demand'!A:Z,23,FALSE)),0,VLOOKUP($A1298,'13. Updated Demand'!A:Z,23,FALSE))</f>
        <v>0</v>
      </c>
      <c r="AG1298" s="16">
        <f>IF(ISERROR(VLOOKUP($A1298,'13. Updated Demand'!A:Z,24,FALSE)),0,VLOOKUP($A1298,'13. Updated Demand'!A:Z,24,FALSE))</f>
        <v>0</v>
      </c>
      <c r="AH1298" s="16">
        <f>IF(ISERROR(VLOOKUP($A1298,'13. Updated Demand'!A:Z,25,FALSE)),0,VLOOKUP($A1298,'13. Updated Demand'!A:Z,25,FALSE))</f>
        <v>0</v>
      </c>
      <c r="AI1298" s="16">
        <f>IF(ISERROR(VLOOKUP($A1298,'13. Updated Demand'!A:Z,26,FALSE)),0,VLOOKUP($A1298,'13. Updated Demand'!A:Z,26,FALSE))</f>
        <v>0</v>
      </c>
      <c r="AJ1298" s="16">
        <f t="shared" si="252"/>
        <v>0</v>
      </c>
      <c r="AK1298" s="19">
        <v>0</v>
      </c>
      <c r="AL1298" s="16">
        <f t="shared" si="250"/>
        <v>0</v>
      </c>
      <c r="AM1298" s="17">
        <v>0</v>
      </c>
      <c r="AN1298" s="19"/>
      <c r="AO1298" s="19"/>
      <c r="AP1298" s="19">
        <v>116.6</v>
      </c>
      <c r="AQ1298" s="19" t="s">
        <v>307</v>
      </c>
      <c r="AR1298" s="9" t="s">
        <v>489</v>
      </c>
      <c r="AS1298" s="12">
        <v>0</v>
      </c>
      <c r="AT1298" s="19">
        <v>38.676814200000003</v>
      </c>
      <c r="AU1298" s="19">
        <v>-122.94128034000001</v>
      </c>
      <c r="AV1298" s="19" t="s">
        <v>701</v>
      </c>
    </row>
    <row r="1299" spans="1:48" x14ac:dyDescent="0.25">
      <c r="A1299" s="18" t="s">
        <v>1675</v>
      </c>
      <c r="B1299" s="10">
        <v>19501115</v>
      </c>
      <c r="C1299" s="9">
        <v>17</v>
      </c>
      <c r="D1299" s="8" t="str">
        <f t="shared" si="241"/>
        <v>N</v>
      </c>
      <c r="E1299" s="8" t="str">
        <f t="shared" si="242"/>
        <v>N</v>
      </c>
      <c r="F1299" s="8" t="str">
        <f t="shared" si="243"/>
        <v>N</v>
      </c>
      <c r="G1299" s="8" t="str">
        <f t="shared" si="244"/>
        <v>N</v>
      </c>
      <c r="H1299" s="8" t="str">
        <f t="shared" si="245"/>
        <v>Lower</v>
      </c>
      <c r="I1299" s="8" t="str">
        <f t="shared" si="246"/>
        <v>Outside</v>
      </c>
      <c r="J1299" s="8" t="str">
        <f t="shared" si="247"/>
        <v>Outside</v>
      </c>
      <c r="K1299" s="8" t="str">
        <f t="shared" si="248"/>
        <v>Post-1949</v>
      </c>
      <c r="L1299" s="8">
        <f t="shared" si="249"/>
        <v>1950</v>
      </c>
      <c r="M1299" s="8" t="str">
        <f t="shared" si="251"/>
        <v>1950-1952</v>
      </c>
      <c r="N1299" s="10" t="s">
        <v>241</v>
      </c>
      <c r="O1299" s="10" t="s">
        <v>242</v>
      </c>
      <c r="P1299" s="10" t="s">
        <v>242</v>
      </c>
      <c r="Q1299" s="10" t="s">
        <v>242</v>
      </c>
      <c r="R1299" s="10" t="s">
        <v>241</v>
      </c>
      <c r="S1299" s="10" t="s">
        <v>242</v>
      </c>
      <c r="T1299" s="10" t="s">
        <v>242</v>
      </c>
      <c r="U1299" s="10" t="s">
        <v>241</v>
      </c>
      <c r="V1299" s="10" t="s">
        <v>241</v>
      </c>
      <c r="W1299" s="10" t="s">
        <v>242</v>
      </c>
      <c r="X1299" s="15">
        <f>IF(ISERROR(VLOOKUP($A1299,'13. Updated Demand'!A:Z,15,FALSE)),0,VLOOKUP($A1299,'13. Updated Demand'!A:Z,15,FALSE))</f>
        <v>0</v>
      </c>
      <c r="Y1299" s="16">
        <f>IF(ISERROR(VLOOKUP($A1299,'13. Updated Demand'!A:Z,16,FALSE)),0,VLOOKUP($A1299,'13. Updated Demand'!A:Z,16,FALSE))</f>
        <v>0</v>
      </c>
      <c r="Z1299" s="16">
        <f>IF(ISERROR(VLOOKUP($A1299,'13. Updated Demand'!A:Z,17,FALSE)),0,VLOOKUP($A1299,'13. Updated Demand'!A:Z,17,FALSE))</f>
        <v>0</v>
      </c>
      <c r="AA1299" s="16">
        <f>IF(ISERROR(VLOOKUP($A1299,'13. Updated Demand'!A:Z,18,FALSE)),0,VLOOKUP($A1299,'13. Updated Demand'!A:Z,18,FALSE))</f>
        <v>0</v>
      </c>
      <c r="AB1299" s="16">
        <f>IF(ISERROR(VLOOKUP($A1299,'13. Updated Demand'!A:Z,19,FALSE)),0,VLOOKUP($A1299,'13. Updated Demand'!A:Z,19,FALSE))</f>
        <v>0</v>
      </c>
      <c r="AC1299" s="16">
        <f>IF(ISERROR(VLOOKUP($A1299,'13. Updated Demand'!A:Z,20,FALSE)),0,VLOOKUP($A1299,'13. Updated Demand'!A:Z,20,FALSE))</f>
        <v>0</v>
      </c>
      <c r="AD1299" s="16">
        <f>IF(ISERROR(VLOOKUP($A1299,'13. Updated Demand'!A:Z,21,FALSE)),0,VLOOKUP($A1299,'13. Updated Demand'!A:Z,21,FALSE))</f>
        <v>0</v>
      </c>
      <c r="AE1299" s="16">
        <f>IF(ISERROR(VLOOKUP($A1299,'13. Updated Demand'!A:Z,22,FALSE)),0,VLOOKUP($A1299,'13. Updated Demand'!A:Z,22,FALSE))</f>
        <v>0</v>
      </c>
      <c r="AF1299" s="16">
        <f>IF(ISERROR(VLOOKUP($A1299,'13. Updated Demand'!A:Z,23,FALSE)),0,VLOOKUP($A1299,'13. Updated Demand'!A:Z,23,FALSE))</f>
        <v>0</v>
      </c>
      <c r="AG1299" s="16">
        <f>IF(ISERROR(VLOOKUP($A1299,'13. Updated Demand'!A:Z,24,FALSE)),0,VLOOKUP($A1299,'13. Updated Demand'!A:Z,24,FALSE))</f>
        <v>0</v>
      </c>
      <c r="AH1299" s="16">
        <f>IF(ISERROR(VLOOKUP($A1299,'13. Updated Demand'!A:Z,25,FALSE)),0,VLOOKUP($A1299,'13. Updated Demand'!A:Z,25,FALSE))</f>
        <v>0</v>
      </c>
      <c r="AI1299" s="16">
        <f>IF(ISERROR(VLOOKUP($A1299,'13. Updated Demand'!A:Z,26,FALSE)),0,VLOOKUP($A1299,'13. Updated Demand'!A:Z,26,FALSE))</f>
        <v>0</v>
      </c>
      <c r="AJ1299" s="16">
        <f t="shared" si="252"/>
        <v>0</v>
      </c>
      <c r="AK1299" s="19">
        <v>0</v>
      </c>
      <c r="AL1299" s="16">
        <f t="shared" si="250"/>
        <v>0</v>
      </c>
      <c r="AM1299" s="17">
        <v>0</v>
      </c>
      <c r="AN1299" s="19"/>
      <c r="AO1299" s="19"/>
      <c r="AP1299" s="19">
        <v>3.6</v>
      </c>
      <c r="AQ1299" s="19" t="s">
        <v>307</v>
      </c>
      <c r="AR1299" s="9" t="s">
        <v>486</v>
      </c>
      <c r="AS1299" s="12">
        <v>3.4039024194010059E-4</v>
      </c>
      <c r="AT1299" s="19">
        <v>38.583899549999998</v>
      </c>
      <c r="AU1299" s="19">
        <v>-122.86677048999999</v>
      </c>
      <c r="AV1299" s="19" t="s">
        <v>1320</v>
      </c>
    </row>
    <row r="1300" spans="1:48" x14ac:dyDescent="0.25">
      <c r="A1300" s="18" t="s">
        <v>1676</v>
      </c>
      <c r="B1300" s="10">
        <v>19501122</v>
      </c>
      <c r="C1300" s="9">
        <v>10</v>
      </c>
      <c r="D1300" s="8" t="str">
        <f t="shared" si="241"/>
        <v>N</v>
      </c>
      <c r="E1300" s="8" t="str">
        <f t="shared" si="242"/>
        <v>Y</v>
      </c>
      <c r="F1300" s="8" t="str">
        <f t="shared" si="243"/>
        <v>Y</v>
      </c>
      <c r="G1300" s="8" t="str">
        <f t="shared" si="244"/>
        <v>Y</v>
      </c>
      <c r="H1300" s="8" t="str">
        <f t="shared" si="245"/>
        <v>Upper</v>
      </c>
      <c r="I1300" s="8" t="str">
        <f t="shared" si="246"/>
        <v>West Fork and Below Lake</v>
      </c>
      <c r="J1300" s="8" t="str">
        <f t="shared" si="247"/>
        <v>Sonoma (d/s of Clov. Gage)</v>
      </c>
      <c r="K1300" s="8" t="str">
        <f t="shared" si="248"/>
        <v>Post-1949</v>
      </c>
      <c r="L1300" s="8">
        <f t="shared" si="249"/>
        <v>1950</v>
      </c>
      <c r="M1300" s="8" t="str">
        <f t="shared" si="251"/>
        <v>1950-1952</v>
      </c>
      <c r="N1300" s="10" t="s">
        <v>241</v>
      </c>
      <c r="O1300" s="10" t="s">
        <v>241</v>
      </c>
      <c r="P1300" s="10" t="s">
        <v>242</v>
      </c>
      <c r="Q1300" s="10" t="s">
        <v>242</v>
      </c>
      <c r="R1300" s="10" t="s">
        <v>241</v>
      </c>
      <c r="S1300" s="10" t="s">
        <v>242</v>
      </c>
      <c r="T1300" s="10" t="s">
        <v>242</v>
      </c>
      <c r="U1300" s="10" t="s">
        <v>241</v>
      </c>
      <c r="V1300" s="10" t="s">
        <v>241</v>
      </c>
      <c r="W1300" s="10" t="s">
        <v>242</v>
      </c>
      <c r="X1300" s="15">
        <f>IF(ISERROR(VLOOKUP($A1300,'13. Updated Demand'!A:Z,15,FALSE)),0,VLOOKUP($A1300,'13. Updated Demand'!A:Z,15,FALSE))</f>
        <v>0</v>
      </c>
      <c r="Y1300" s="16">
        <f>IF(ISERROR(VLOOKUP($A1300,'13. Updated Demand'!A:Z,16,FALSE)),0,VLOOKUP($A1300,'13. Updated Demand'!A:Z,16,FALSE))</f>
        <v>0</v>
      </c>
      <c r="Z1300" s="16">
        <f>IF(ISERROR(VLOOKUP($A1300,'13. Updated Demand'!A:Z,17,FALSE)),0,VLOOKUP($A1300,'13. Updated Demand'!A:Z,17,FALSE))</f>
        <v>0</v>
      </c>
      <c r="AA1300" s="16">
        <f>IF(ISERROR(VLOOKUP($A1300,'13. Updated Demand'!A:Z,18,FALSE)),0,VLOOKUP($A1300,'13. Updated Demand'!A:Z,18,FALSE))</f>
        <v>0</v>
      </c>
      <c r="AB1300" s="16">
        <f>IF(ISERROR(VLOOKUP($A1300,'13. Updated Demand'!A:Z,19,FALSE)),0,VLOOKUP($A1300,'13. Updated Demand'!A:Z,19,FALSE))</f>
        <v>0</v>
      </c>
      <c r="AC1300" s="16">
        <f>IF(ISERROR(VLOOKUP($A1300,'13. Updated Demand'!A:Z,20,FALSE)),0,VLOOKUP($A1300,'13. Updated Demand'!A:Z,20,FALSE))</f>
        <v>0</v>
      </c>
      <c r="AD1300" s="16">
        <f>IF(ISERROR(VLOOKUP($A1300,'13. Updated Demand'!A:Z,21,FALSE)),0,VLOOKUP($A1300,'13. Updated Demand'!A:Z,21,FALSE))</f>
        <v>0</v>
      </c>
      <c r="AE1300" s="16">
        <f>IF(ISERROR(VLOOKUP($A1300,'13. Updated Demand'!A:Z,22,FALSE)),0,VLOOKUP($A1300,'13. Updated Demand'!A:Z,22,FALSE))</f>
        <v>0</v>
      </c>
      <c r="AF1300" s="16">
        <f>IF(ISERROR(VLOOKUP($A1300,'13. Updated Demand'!A:Z,23,FALSE)),0,VLOOKUP($A1300,'13. Updated Demand'!A:Z,23,FALSE))</f>
        <v>0</v>
      </c>
      <c r="AG1300" s="16">
        <f>IF(ISERROR(VLOOKUP($A1300,'13. Updated Demand'!A:Z,24,FALSE)),0,VLOOKUP($A1300,'13. Updated Demand'!A:Z,24,FALSE))</f>
        <v>0</v>
      </c>
      <c r="AH1300" s="16">
        <f>IF(ISERROR(VLOOKUP($A1300,'13. Updated Demand'!A:Z,25,FALSE)),0,VLOOKUP($A1300,'13. Updated Demand'!A:Z,25,FALSE))</f>
        <v>0</v>
      </c>
      <c r="AI1300" s="16">
        <f>IF(ISERROR(VLOOKUP($A1300,'13. Updated Demand'!A:Z,26,FALSE)),0,VLOOKUP($A1300,'13. Updated Demand'!A:Z,26,FALSE))</f>
        <v>0</v>
      </c>
      <c r="AJ1300" s="16">
        <f t="shared" si="252"/>
        <v>0</v>
      </c>
      <c r="AK1300" s="19">
        <v>0</v>
      </c>
      <c r="AL1300" s="16">
        <f t="shared" si="250"/>
        <v>0</v>
      </c>
      <c r="AM1300" s="17">
        <v>0</v>
      </c>
      <c r="AN1300" s="19"/>
      <c r="AO1300" s="19"/>
      <c r="AP1300" s="19">
        <v>330.5</v>
      </c>
      <c r="AQ1300" s="19" t="s">
        <v>307</v>
      </c>
      <c r="AR1300" s="9" t="s">
        <v>436</v>
      </c>
      <c r="AS1300" s="12">
        <v>0</v>
      </c>
      <c r="AT1300" s="19">
        <v>38.666976769999998</v>
      </c>
      <c r="AU1300" s="19">
        <v>-122.82661447</v>
      </c>
      <c r="AV1300" s="19" t="s">
        <v>548</v>
      </c>
    </row>
    <row r="1301" spans="1:48" x14ac:dyDescent="0.25">
      <c r="A1301" s="18" t="s">
        <v>1677</v>
      </c>
      <c r="B1301" s="10">
        <v>19501204</v>
      </c>
      <c r="C1301" s="9">
        <v>23</v>
      </c>
      <c r="D1301" s="8" t="str">
        <f t="shared" si="241"/>
        <v>N</v>
      </c>
      <c r="E1301" s="8" t="str">
        <f t="shared" si="242"/>
        <v>N</v>
      </c>
      <c r="F1301" s="8" t="str">
        <f t="shared" si="243"/>
        <v>N</v>
      </c>
      <c r="G1301" s="8" t="str">
        <f t="shared" si="244"/>
        <v>N</v>
      </c>
      <c r="H1301" s="8" t="str">
        <f t="shared" si="245"/>
        <v>Lower</v>
      </c>
      <c r="I1301" s="8" t="str">
        <f t="shared" si="246"/>
        <v>Outside</v>
      </c>
      <c r="J1301" s="8" t="str">
        <f t="shared" si="247"/>
        <v>Outside</v>
      </c>
      <c r="K1301" s="8" t="str">
        <f t="shared" si="248"/>
        <v>Post-1949</v>
      </c>
      <c r="L1301" s="8">
        <f t="shared" si="249"/>
        <v>1950</v>
      </c>
      <c r="M1301" s="8" t="str">
        <f t="shared" si="251"/>
        <v>1950-1952</v>
      </c>
      <c r="N1301" s="10" t="s">
        <v>242</v>
      </c>
      <c r="O1301" s="10" t="s">
        <v>242</v>
      </c>
      <c r="P1301" s="10" t="s">
        <v>242</v>
      </c>
      <c r="Q1301" s="10" t="s">
        <v>242</v>
      </c>
      <c r="R1301" s="10" t="s">
        <v>241</v>
      </c>
      <c r="S1301" s="10" t="s">
        <v>242</v>
      </c>
      <c r="T1301" s="10" t="s">
        <v>242</v>
      </c>
      <c r="U1301" s="10" t="s">
        <v>241</v>
      </c>
      <c r="V1301" s="10" t="s">
        <v>241</v>
      </c>
      <c r="W1301" s="10" t="s">
        <v>242</v>
      </c>
      <c r="X1301" s="15">
        <f>IF(ISERROR(VLOOKUP($A1301,'13. Updated Demand'!A:Z,15,FALSE)),0,VLOOKUP($A1301,'13. Updated Demand'!A:Z,15,FALSE))</f>
        <v>0</v>
      </c>
      <c r="Y1301" s="16">
        <f>IF(ISERROR(VLOOKUP($A1301,'13. Updated Demand'!A:Z,16,FALSE)),0,VLOOKUP($A1301,'13. Updated Demand'!A:Z,16,FALSE))</f>
        <v>0</v>
      </c>
      <c r="Z1301" s="16">
        <f>IF(ISERROR(VLOOKUP($A1301,'13. Updated Demand'!A:Z,17,FALSE)),0,VLOOKUP($A1301,'13. Updated Demand'!A:Z,17,FALSE))</f>
        <v>0</v>
      </c>
      <c r="AA1301" s="16">
        <f>IF(ISERROR(VLOOKUP($A1301,'13. Updated Demand'!A:Z,18,FALSE)),0,VLOOKUP($A1301,'13. Updated Demand'!A:Z,18,FALSE))</f>
        <v>0</v>
      </c>
      <c r="AB1301" s="16">
        <f>IF(ISERROR(VLOOKUP($A1301,'13. Updated Demand'!A:Z,19,FALSE)),0,VLOOKUP($A1301,'13. Updated Demand'!A:Z,19,FALSE))</f>
        <v>0</v>
      </c>
      <c r="AC1301" s="16">
        <f>IF(ISERROR(VLOOKUP($A1301,'13. Updated Demand'!A:Z,20,FALSE)),0,VLOOKUP($A1301,'13. Updated Demand'!A:Z,20,FALSE))</f>
        <v>0</v>
      </c>
      <c r="AD1301" s="16">
        <f>IF(ISERROR(VLOOKUP($A1301,'13. Updated Demand'!A:Z,21,FALSE)),0,VLOOKUP($A1301,'13. Updated Demand'!A:Z,21,FALSE))</f>
        <v>0</v>
      </c>
      <c r="AE1301" s="16">
        <f>IF(ISERROR(VLOOKUP($A1301,'13. Updated Demand'!A:Z,22,FALSE)),0,VLOOKUP($A1301,'13. Updated Demand'!A:Z,22,FALSE))</f>
        <v>0</v>
      </c>
      <c r="AF1301" s="16">
        <f>IF(ISERROR(VLOOKUP($A1301,'13. Updated Demand'!A:Z,23,FALSE)),0,VLOOKUP($A1301,'13. Updated Demand'!A:Z,23,FALSE))</f>
        <v>0</v>
      </c>
      <c r="AG1301" s="16">
        <f>IF(ISERROR(VLOOKUP($A1301,'13. Updated Demand'!A:Z,24,FALSE)),0,VLOOKUP($A1301,'13. Updated Demand'!A:Z,24,FALSE))</f>
        <v>0</v>
      </c>
      <c r="AH1301" s="16">
        <f>IF(ISERROR(VLOOKUP($A1301,'13. Updated Demand'!A:Z,25,FALSE)),0,VLOOKUP($A1301,'13. Updated Demand'!A:Z,25,FALSE))</f>
        <v>0</v>
      </c>
      <c r="AI1301" s="16">
        <f>IF(ISERROR(VLOOKUP($A1301,'13. Updated Demand'!A:Z,26,FALSE)),0,VLOOKUP($A1301,'13. Updated Demand'!A:Z,26,FALSE))</f>
        <v>0</v>
      </c>
      <c r="AJ1301" s="16">
        <f t="shared" si="252"/>
        <v>0</v>
      </c>
      <c r="AK1301" s="19">
        <v>0</v>
      </c>
      <c r="AL1301" s="16">
        <f t="shared" si="250"/>
        <v>0</v>
      </c>
      <c r="AM1301" s="17">
        <v>0</v>
      </c>
      <c r="AN1301" s="19"/>
      <c r="AO1301" s="19"/>
      <c r="AP1301" s="19">
        <v>7</v>
      </c>
      <c r="AQ1301" s="19" t="s">
        <v>307</v>
      </c>
      <c r="AR1301" s="9" t="s">
        <v>378</v>
      </c>
      <c r="AS1301" s="12">
        <v>0</v>
      </c>
      <c r="AT1301" s="19">
        <v>38.398699649999998</v>
      </c>
      <c r="AU1301" s="19">
        <v>-122.63521600999999</v>
      </c>
      <c r="AV1301" s="19" t="s">
        <v>417</v>
      </c>
    </row>
    <row r="1302" spans="1:48" x14ac:dyDescent="0.25">
      <c r="A1302" s="18" t="s">
        <v>1678</v>
      </c>
      <c r="B1302" s="10">
        <v>19501218</v>
      </c>
      <c r="C1302" s="9">
        <v>23</v>
      </c>
      <c r="D1302" s="8" t="str">
        <f t="shared" si="241"/>
        <v>N</v>
      </c>
      <c r="E1302" s="8" t="str">
        <f t="shared" si="242"/>
        <v>N</v>
      </c>
      <c r="F1302" s="8" t="str">
        <f t="shared" si="243"/>
        <v>N</v>
      </c>
      <c r="G1302" s="8" t="str">
        <f t="shared" si="244"/>
        <v>N</v>
      </c>
      <c r="H1302" s="8" t="str">
        <f t="shared" si="245"/>
        <v>Lower</v>
      </c>
      <c r="I1302" s="8" t="str">
        <f t="shared" si="246"/>
        <v>Outside</v>
      </c>
      <c r="J1302" s="8" t="str">
        <f t="shared" si="247"/>
        <v>Outside</v>
      </c>
      <c r="K1302" s="8" t="str">
        <f t="shared" si="248"/>
        <v>Post-1949</v>
      </c>
      <c r="L1302" s="8">
        <f t="shared" si="249"/>
        <v>1950</v>
      </c>
      <c r="M1302" s="8" t="str">
        <f t="shared" si="251"/>
        <v>1950-1952</v>
      </c>
      <c r="N1302" s="10" t="s">
        <v>242</v>
      </c>
      <c r="O1302" s="10" t="s">
        <v>242</v>
      </c>
      <c r="P1302" s="10" t="s">
        <v>242</v>
      </c>
      <c r="Q1302" s="10" t="s">
        <v>242</v>
      </c>
      <c r="R1302" s="10" t="s">
        <v>241</v>
      </c>
      <c r="S1302" s="10" t="s">
        <v>242</v>
      </c>
      <c r="T1302" s="10" t="s">
        <v>242</v>
      </c>
      <c r="U1302" s="10" t="s">
        <v>242</v>
      </c>
      <c r="V1302" s="10" t="s">
        <v>241</v>
      </c>
      <c r="W1302" s="10" t="s">
        <v>242</v>
      </c>
      <c r="X1302" s="15">
        <f>IF(ISERROR(VLOOKUP($A1302,'13. Updated Demand'!A:Z,15,FALSE)),0,VLOOKUP($A1302,'13. Updated Demand'!A:Z,15,FALSE))</f>
        <v>3.733333333</v>
      </c>
      <c r="Y1302" s="16">
        <f>IF(ISERROR(VLOOKUP($A1302,'13. Updated Demand'!A:Z,16,FALSE)),0,VLOOKUP($A1302,'13. Updated Demand'!A:Z,16,FALSE))</f>
        <v>2.233333333</v>
      </c>
      <c r="Z1302" s="16">
        <f>IF(ISERROR(VLOOKUP($A1302,'13. Updated Demand'!A:Z,17,FALSE)),0,VLOOKUP($A1302,'13. Updated Demand'!A:Z,17,FALSE))</f>
        <v>1.233333333</v>
      </c>
      <c r="AA1302" s="16">
        <f>IF(ISERROR(VLOOKUP($A1302,'13. Updated Demand'!A:Z,18,FALSE)),0,VLOOKUP($A1302,'13. Updated Demand'!A:Z,18,FALSE))</f>
        <v>0.53333333299999997</v>
      </c>
      <c r="AB1302" s="16">
        <f>IF(ISERROR(VLOOKUP($A1302,'13. Updated Demand'!A:Z,19,FALSE)),0,VLOOKUP($A1302,'13. Updated Demand'!A:Z,19,FALSE))</f>
        <v>0</v>
      </c>
      <c r="AC1302" s="16">
        <f>IF(ISERROR(VLOOKUP($A1302,'13. Updated Demand'!A:Z,20,FALSE)),0,VLOOKUP($A1302,'13. Updated Demand'!A:Z,20,FALSE))</f>
        <v>0</v>
      </c>
      <c r="AD1302" s="16">
        <f>IF(ISERROR(VLOOKUP($A1302,'13. Updated Demand'!A:Z,21,FALSE)),0,VLOOKUP($A1302,'13. Updated Demand'!A:Z,21,FALSE))</f>
        <v>0</v>
      </c>
      <c r="AE1302" s="16">
        <f>IF(ISERROR(VLOOKUP($A1302,'13. Updated Demand'!A:Z,22,FALSE)),0,VLOOKUP($A1302,'13. Updated Demand'!A:Z,22,FALSE))</f>
        <v>0</v>
      </c>
      <c r="AF1302" s="16">
        <f>IF(ISERROR(VLOOKUP($A1302,'13. Updated Demand'!A:Z,23,FALSE)),0,VLOOKUP($A1302,'13. Updated Demand'!A:Z,23,FALSE))</f>
        <v>0</v>
      </c>
      <c r="AG1302" s="16">
        <f>IF(ISERROR(VLOOKUP($A1302,'13. Updated Demand'!A:Z,24,FALSE)),0,VLOOKUP($A1302,'13. Updated Demand'!A:Z,24,FALSE))</f>
        <v>0.66666666699999999</v>
      </c>
      <c r="AH1302" s="16">
        <f>IF(ISERROR(VLOOKUP($A1302,'13. Updated Demand'!A:Z,25,FALSE)),0,VLOOKUP($A1302,'13. Updated Demand'!A:Z,25,FALSE))</f>
        <v>2.1333333329999999</v>
      </c>
      <c r="AI1302" s="16">
        <f>IF(ISERROR(VLOOKUP($A1302,'13. Updated Demand'!A:Z,26,FALSE)),0,VLOOKUP($A1302,'13. Updated Demand'!A:Z,26,FALSE))</f>
        <v>4.7</v>
      </c>
      <c r="AJ1302" s="16">
        <f t="shared" si="252"/>
        <v>15.233333332000001</v>
      </c>
      <c r="AK1302" s="19">
        <v>0</v>
      </c>
      <c r="AL1302" s="16">
        <f t="shared" si="250"/>
        <v>0</v>
      </c>
      <c r="AM1302" s="17">
        <v>0.50777777773333332</v>
      </c>
      <c r="AN1302" s="19"/>
      <c r="AO1302" s="19"/>
      <c r="AP1302" s="19">
        <v>30</v>
      </c>
      <c r="AQ1302" s="19" t="s">
        <v>307</v>
      </c>
      <c r="AR1302" s="9" t="s">
        <v>391</v>
      </c>
      <c r="AS1302" s="12">
        <v>0</v>
      </c>
      <c r="AT1302" s="19">
        <v>38.560955409999998</v>
      </c>
      <c r="AU1302" s="19">
        <v>-122.79076221</v>
      </c>
      <c r="AV1302" s="19" t="s">
        <v>417</v>
      </c>
    </row>
    <row r="1303" spans="1:48" x14ac:dyDescent="0.25">
      <c r="A1303" s="18" t="s">
        <v>161</v>
      </c>
      <c r="B1303" s="10">
        <v>19490920</v>
      </c>
      <c r="C1303" s="9">
        <v>16</v>
      </c>
      <c r="D1303" s="8" t="str">
        <f t="shared" si="241"/>
        <v>N</v>
      </c>
      <c r="E1303" s="8" t="str">
        <f t="shared" si="242"/>
        <v>N</v>
      </c>
      <c r="F1303" s="8" t="str">
        <f t="shared" si="243"/>
        <v>N</v>
      </c>
      <c r="G1303" s="8" t="str">
        <f t="shared" si="244"/>
        <v>N</v>
      </c>
      <c r="H1303" s="8" t="str">
        <f t="shared" si="245"/>
        <v>Lower</v>
      </c>
      <c r="I1303" s="8" t="str">
        <f t="shared" si="246"/>
        <v>Outside</v>
      </c>
      <c r="J1303" s="8" t="str">
        <f t="shared" si="247"/>
        <v>Outside</v>
      </c>
      <c r="K1303" s="8" t="str">
        <f t="shared" si="248"/>
        <v>Post-1949</v>
      </c>
      <c r="L1303" s="8">
        <f t="shared" si="249"/>
        <v>1949</v>
      </c>
      <c r="M1303" s="8" t="str">
        <f t="shared" ref="M1303" si="253">IF(L1303=1949,"Pre-1949 + 1949",IF(AND(L1303&gt;1949,L1303&lt;1953),"1950-1952",IF(AND(L1303&gt;1952,L1303&lt;1955),"1953-1954",IF(AND(L1303&gt;1954,L1303&lt;1957),"1955-1956",IF(AND(L1303&gt;1956,L1303&lt;1960),"1957-1959",IF(AND(L1303&gt;1959,L1303&lt;1971),"1960-1970",IF(AND(L1303&gt;1970,L1303&lt;1991),"1971-1990",IF(L1303&gt;1990,"1991-present","-"))))))))</f>
        <v>Pre-1949 + 1949</v>
      </c>
      <c r="N1303" s="10" t="s">
        <v>242</v>
      </c>
      <c r="O1303" s="10" t="s">
        <v>242</v>
      </c>
      <c r="P1303" s="10" t="s">
        <v>242</v>
      </c>
      <c r="Q1303" s="10" t="s">
        <v>242</v>
      </c>
      <c r="R1303" s="10" t="s">
        <v>241</v>
      </c>
      <c r="S1303" s="10" t="s">
        <v>242</v>
      </c>
      <c r="T1303" s="10" t="s">
        <v>242</v>
      </c>
      <c r="U1303" s="10" t="s">
        <v>242</v>
      </c>
      <c r="V1303" s="10" t="s">
        <v>242</v>
      </c>
      <c r="W1303" s="10" t="s">
        <v>242</v>
      </c>
      <c r="X1303" s="15">
        <f>IF(ISERROR(VLOOKUP($A1303,'13. Updated Demand'!A:Z,15,FALSE)),0,VLOOKUP($A1303,'13. Updated Demand'!A:Z,15,FALSE))</f>
        <v>0</v>
      </c>
      <c r="Y1303" s="16">
        <f>IF(ISERROR(VLOOKUP($A1303,'13. Updated Demand'!A:Z,16,FALSE)),0,VLOOKUP($A1303,'13. Updated Demand'!A:Z,16,FALSE))</f>
        <v>0</v>
      </c>
      <c r="Z1303" s="16">
        <f>IF(ISERROR(VLOOKUP($A1303,'13. Updated Demand'!A:Z,17,FALSE)),0,VLOOKUP($A1303,'13. Updated Demand'!A:Z,17,FALSE))</f>
        <v>0</v>
      </c>
      <c r="AA1303" s="16">
        <f>IF(ISERROR(VLOOKUP($A1303,'13. Updated Demand'!A:Z,18,FALSE)),0,VLOOKUP($A1303,'13. Updated Demand'!A:Z,18,FALSE))</f>
        <v>4.766666667</v>
      </c>
      <c r="AB1303" s="16">
        <f>IF(ISERROR(VLOOKUP($A1303,'13. Updated Demand'!A:Z,19,FALSE)),0,VLOOKUP($A1303,'13. Updated Demand'!A:Z,19,FALSE))</f>
        <v>4.733333333</v>
      </c>
      <c r="AC1303" s="16">
        <f>IF(ISERROR(VLOOKUP($A1303,'13. Updated Demand'!A:Z,20,FALSE)),0,VLOOKUP($A1303,'13. Updated Demand'!A:Z,20,FALSE))</f>
        <v>15.83333333</v>
      </c>
      <c r="AD1303" s="16">
        <f>IF(ISERROR(VLOOKUP($A1303,'13. Updated Demand'!A:Z,21,FALSE)),0,VLOOKUP($A1303,'13. Updated Demand'!A:Z,21,FALSE))</f>
        <v>6.1333333330000004</v>
      </c>
      <c r="AE1303" s="16">
        <f>IF(ISERROR(VLOOKUP($A1303,'13. Updated Demand'!A:Z,22,FALSE)),0,VLOOKUP($A1303,'13. Updated Demand'!A:Z,22,FALSE))</f>
        <v>6.733333333</v>
      </c>
      <c r="AF1303" s="16">
        <f>IF(ISERROR(VLOOKUP($A1303,'13. Updated Demand'!A:Z,23,FALSE)),0,VLOOKUP($A1303,'13. Updated Demand'!A:Z,23,FALSE))</f>
        <v>2.733333333</v>
      </c>
      <c r="AG1303" s="16">
        <f>IF(ISERROR(VLOOKUP($A1303,'13. Updated Demand'!A:Z,24,FALSE)),0,VLOOKUP($A1303,'13. Updated Demand'!A:Z,24,FALSE))</f>
        <v>0</v>
      </c>
      <c r="AH1303" s="16">
        <f>IF(ISERROR(VLOOKUP($A1303,'13. Updated Demand'!A:Z,25,FALSE)),0,VLOOKUP($A1303,'13. Updated Demand'!A:Z,25,FALSE))</f>
        <v>0</v>
      </c>
      <c r="AI1303" s="16">
        <f>IF(ISERROR(VLOOKUP($A1303,'13. Updated Demand'!A:Z,26,FALSE)),0,VLOOKUP($A1303,'13. Updated Demand'!A:Z,26,FALSE))</f>
        <v>0</v>
      </c>
      <c r="AJ1303" s="16">
        <f t="shared" si="252"/>
        <v>40.933333329</v>
      </c>
      <c r="AK1303" s="19">
        <v>36.166666661999997</v>
      </c>
      <c r="AL1303" s="16">
        <f t="shared" si="250"/>
        <v>0.11996071354737543</v>
      </c>
      <c r="AM1303" s="17">
        <v>0.24658634535542168</v>
      </c>
      <c r="AN1303" s="19"/>
      <c r="AO1303" s="19"/>
      <c r="AP1303" s="19">
        <v>166</v>
      </c>
      <c r="AQ1303" s="19" t="s">
        <v>307</v>
      </c>
      <c r="AR1303" s="9" t="s">
        <v>394</v>
      </c>
      <c r="AS1303" s="12">
        <v>0</v>
      </c>
      <c r="AT1303" s="19">
        <v>38.648289470000002</v>
      </c>
      <c r="AU1303" s="19">
        <v>-122.97049355999999</v>
      </c>
      <c r="AV1303" s="19" t="s">
        <v>387</v>
      </c>
    </row>
    <row r="1304" spans="1:48" x14ac:dyDescent="0.25">
      <c r="A1304" s="18" t="s">
        <v>1679</v>
      </c>
      <c r="B1304" s="10">
        <v>19490128</v>
      </c>
      <c r="C1304" s="9">
        <v>3</v>
      </c>
      <c r="D1304" s="8" t="str">
        <f t="shared" si="241"/>
        <v>N</v>
      </c>
      <c r="E1304" s="8" t="str">
        <f t="shared" si="242"/>
        <v>N</v>
      </c>
      <c r="F1304" s="8" t="str">
        <f t="shared" si="243"/>
        <v>Y</v>
      </c>
      <c r="G1304" s="8" t="str">
        <f t="shared" si="244"/>
        <v>N</v>
      </c>
      <c r="H1304" s="8" t="str">
        <f t="shared" si="245"/>
        <v>Upper</v>
      </c>
      <c r="I1304" s="8" t="str">
        <f t="shared" si="246"/>
        <v>Outside</v>
      </c>
      <c r="J1304" s="8" t="str">
        <f t="shared" si="247"/>
        <v>Outside</v>
      </c>
      <c r="K1304" s="8" t="str">
        <f t="shared" si="248"/>
        <v>Post-1949</v>
      </c>
      <c r="L1304" s="8">
        <f t="shared" si="249"/>
        <v>1949</v>
      </c>
      <c r="M1304" s="8" t="s">
        <v>261</v>
      </c>
      <c r="N1304" s="10" t="s">
        <v>241</v>
      </c>
      <c r="O1304" s="10" t="s">
        <v>241</v>
      </c>
      <c r="P1304" s="10" t="s">
        <v>242</v>
      </c>
      <c r="Q1304" s="10" t="s">
        <v>242</v>
      </c>
      <c r="R1304" s="10" t="s">
        <v>241</v>
      </c>
      <c r="S1304" s="10" t="s">
        <v>242</v>
      </c>
      <c r="T1304" s="10" t="s">
        <v>242</v>
      </c>
      <c r="U1304" s="10" t="s">
        <v>242</v>
      </c>
      <c r="V1304" s="10" t="s">
        <v>242</v>
      </c>
      <c r="W1304" s="10" t="s">
        <v>242</v>
      </c>
      <c r="X1304" s="15">
        <f>IF(ISERROR(VLOOKUP($A1304,'13. Updated Demand'!A:Z,15,FALSE)),0,VLOOKUP($A1304,'13. Updated Demand'!A:Z,15,FALSE))</f>
        <v>9523.33</v>
      </c>
      <c r="Y1304" s="16">
        <f>IF(ISERROR(VLOOKUP($A1304,'13. Updated Demand'!A:Z,16,FALSE)),0,VLOOKUP($A1304,'13. Updated Demand'!A:Z,16,FALSE))</f>
        <v>4503.33</v>
      </c>
      <c r="Z1304" s="16">
        <f>IF(ISERROR(VLOOKUP($A1304,'13. Updated Demand'!A:Z,17,FALSE)),0,VLOOKUP($A1304,'13. Updated Demand'!A:Z,17,FALSE))</f>
        <v>8425.33</v>
      </c>
      <c r="AA1304" s="16">
        <f>IF(ISERROR(VLOOKUP($A1304,'13. Updated Demand'!A:Z,18,FALSE)),0,VLOOKUP($A1304,'13. Updated Demand'!A:Z,18,FALSE))</f>
        <v>12960.66</v>
      </c>
      <c r="AB1304" s="16">
        <f>IF(ISERROR(VLOOKUP($A1304,'13. Updated Demand'!A:Z,19,FALSE)),0,VLOOKUP($A1304,'13. Updated Demand'!A:Z,19,FALSE))</f>
        <v>1804.33</v>
      </c>
      <c r="AC1304" s="16">
        <f>IF(ISERROR(VLOOKUP($A1304,'13. Updated Demand'!A:Z,20,FALSE)),0,VLOOKUP($A1304,'13. Updated Demand'!A:Z,20,FALSE))</f>
        <v>0</v>
      </c>
      <c r="AD1304" s="16">
        <f>IF(ISERROR(VLOOKUP($A1304,'13. Updated Demand'!A:Z,21,FALSE)),0,VLOOKUP($A1304,'13. Updated Demand'!A:Z,21,FALSE))</f>
        <v>0</v>
      </c>
      <c r="AE1304" s="16">
        <f>IF(ISERROR(VLOOKUP($A1304,'13. Updated Demand'!A:Z,22,FALSE)),0,VLOOKUP($A1304,'13. Updated Demand'!A:Z,22,FALSE))</f>
        <v>0</v>
      </c>
      <c r="AF1304" s="16">
        <f>IF(ISERROR(VLOOKUP($A1304,'13. Updated Demand'!A:Z,23,FALSE)),0,VLOOKUP($A1304,'13. Updated Demand'!A:Z,23,FALSE))</f>
        <v>0</v>
      </c>
      <c r="AG1304" s="16">
        <f>IF(ISERROR(VLOOKUP($A1304,'13. Updated Demand'!A:Z,24,FALSE)),0,VLOOKUP($A1304,'13. Updated Demand'!A:Z,24,FALSE))</f>
        <v>592.33000000000004</v>
      </c>
      <c r="AH1304" s="16">
        <f>IF(ISERROR(VLOOKUP($A1304,'13. Updated Demand'!A:Z,25,FALSE)),0,VLOOKUP($A1304,'13. Updated Demand'!A:Z,25,FALSE))</f>
        <v>1159.33</v>
      </c>
      <c r="AI1304" s="16">
        <f>IF(ISERROR(VLOOKUP($A1304,'13. Updated Demand'!A:Z,26,FALSE)),0,VLOOKUP($A1304,'13. Updated Demand'!A:Z,26,FALSE))</f>
        <v>5230.33</v>
      </c>
      <c r="AJ1304" s="16">
        <f t="shared" si="252"/>
        <v>44198.97</v>
      </c>
      <c r="AK1304" s="19">
        <v>1804.3333333333301</v>
      </c>
      <c r="AL1304" s="16">
        <f t="shared" si="250"/>
        <v>5.9847681337855194</v>
      </c>
      <c r="AM1304" s="17">
        <v>0.27616780385394024</v>
      </c>
      <c r="AN1304" s="19"/>
      <c r="AO1304" s="19"/>
      <c r="AP1304" s="19">
        <v>160044</v>
      </c>
      <c r="AQ1304" s="19" t="s">
        <v>307</v>
      </c>
      <c r="AR1304" s="9" t="s">
        <v>326</v>
      </c>
      <c r="AS1304" s="12">
        <v>0</v>
      </c>
      <c r="AT1304" s="19">
        <v>38.55560251</v>
      </c>
      <c r="AU1304" s="19">
        <v>-122.85517652</v>
      </c>
      <c r="AV1304" s="19" t="s">
        <v>542</v>
      </c>
    </row>
    <row r="1305" spans="1:48" x14ac:dyDescent="0.25">
      <c r="A1305" s="18" t="s">
        <v>31</v>
      </c>
      <c r="B1305" s="10">
        <v>19490128</v>
      </c>
      <c r="C1305" s="9">
        <v>3</v>
      </c>
      <c r="D1305" s="8" t="str">
        <f t="shared" si="241"/>
        <v>N</v>
      </c>
      <c r="E1305" s="8" t="str">
        <f t="shared" si="242"/>
        <v>N</v>
      </c>
      <c r="F1305" s="8" t="str">
        <f t="shared" si="243"/>
        <v>Y</v>
      </c>
      <c r="G1305" s="8" t="str">
        <f t="shared" si="244"/>
        <v>N</v>
      </c>
      <c r="H1305" s="8" t="str">
        <f t="shared" si="245"/>
        <v>Upper</v>
      </c>
      <c r="I1305" s="8" t="str">
        <f t="shared" si="246"/>
        <v>Outside</v>
      </c>
      <c r="J1305" s="8" t="str">
        <f t="shared" si="247"/>
        <v>Outside</v>
      </c>
      <c r="K1305" s="8" t="str">
        <f t="shared" si="248"/>
        <v>Post-1949</v>
      </c>
      <c r="L1305" s="8">
        <f t="shared" si="249"/>
        <v>1949</v>
      </c>
      <c r="M1305" s="8" t="s">
        <v>181</v>
      </c>
      <c r="N1305" s="10" t="s">
        <v>241</v>
      </c>
      <c r="O1305" s="10" t="s">
        <v>241</v>
      </c>
      <c r="P1305" s="10" t="s">
        <v>242</v>
      </c>
      <c r="Q1305" s="10" t="s">
        <v>242</v>
      </c>
      <c r="R1305" s="10" t="s">
        <v>241</v>
      </c>
      <c r="S1305" s="10" t="s">
        <v>242</v>
      </c>
      <c r="T1305" s="10" t="s">
        <v>242</v>
      </c>
      <c r="U1305" s="10" t="s">
        <v>242</v>
      </c>
      <c r="V1305" s="10" t="s">
        <v>242</v>
      </c>
      <c r="W1305" s="10" t="s">
        <v>242</v>
      </c>
      <c r="X1305" s="15">
        <f>IF(ISERROR(VLOOKUP($A1305,'13. Updated Demand'!A:Z,15,FALSE)),0,VLOOKUP($A1305,'13. Updated Demand'!A:Z,15,FALSE))</f>
        <v>25.36</v>
      </c>
      <c r="Y1305" s="16">
        <f>IF(ISERROR(VLOOKUP($A1305,'13. Updated Demand'!A:Z,16,FALSE)),0,VLOOKUP($A1305,'13. Updated Demand'!A:Z,16,FALSE))</f>
        <v>40.549999999999997</v>
      </c>
      <c r="Z1305" s="16">
        <f>IF(ISERROR(VLOOKUP($A1305,'13. Updated Demand'!A:Z,17,FALSE)),0,VLOOKUP($A1305,'13. Updated Demand'!A:Z,17,FALSE))</f>
        <v>100.77</v>
      </c>
      <c r="AA1305" s="16">
        <f>IF(ISERROR(VLOOKUP($A1305,'13. Updated Demand'!A:Z,18,FALSE)),0,VLOOKUP($A1305,'13. Updated Demand'!A:Z,18,FALSE))</f>
        <v>73.16</v>
      </c>
      <c r="AB1305" s="16">
        <f>IF(ISERROR(VLOOKUP($A1305,'13. Updated Demand'!A:Z,19,FALSE)),0,VLOOKUP($A1305,'13. Updated Demand'!A:Z,19,FALSE))</f>
        <v>147.08000000000001</v>
      </c>
      <c r="AC1305" s="16">
        <f>IF(ISERROR(VLOOKUP($A1305,'13. Updated Demand'!A:Z,20,FALSE)),0,VLOOKUP($A1305,'13. Updated Demand'!A:Z,20,FALSE))</f>
        <v>444.88</v>
      </c>
      <c r="AD1305" s="16">
        <f>IF(ISERROR(VLOOKUP($A1305,'13. Updated Demand'!A:Z,21,FALSE)),0,VLOOKUP($A1305,'13. Updated Demand'!A:Z,21,FALSE))</f>
        <v>992.43</v>
      </c>
      <c r="AE1305" s="16">
        <f>IF(ISERROR(VLOOKUP($A1305,'13. Updated Demand'!A:Z,22,FALSE)),0,VLOOKUP($A1305,'13. Updated Demand'!A:Z,22,FALSE))</f>
        <v>1228.9100000000001</v>
      </c>
      <c r="AF1305" s="16">
        <f>IF(ISERROR(VLOOKUP($A1305,'13. Updated Demand'!A:Z,23,FALSE)),0,VLOOKUP($A1305,'13. Updated Demand'!A:Z,23,FALSE))</f>
        <v>833.22</v>
      </c>
      <c r="AG1305" s="16">
        <f>IF(ISERROR(VLOOKUP($A1305,'13. Updated Demand'!A:Z,24,FALSE)),0,VLOOKUP($A1305,'13. Updated Demand'!A:Z,24,FALSE))</f>
        <v>522.38</v>
      </c>
      <c r="AH1305" s="16">
        <f>IF(ISERROR(VLOOKUP($A1305,'13. Updated Demand'!A:Z,25,FALSE)),0,VLOOKUP($A1305,'13. Updated Demand'!A:Z,25,FALSE))</f>
        <v>193.65</v>
      </c>
      <c r="AI1305" s="16">
        <f>IF(ISERROR(VLOOKUP($A1305,'13. Updated Demand'!A:Z,26,FALSE)),0,VLOOKUP($A1305,'13. Updated Demand'!A:Z,26,FALSE))</f>
        <v>55.67</v>
      </c>
      <c r="AJ1305" s="16">
        <f t="shared" si="252"/>
        <v>4658.0600000000004</v>
      </c>
      <c r="AK1305" s="19">
        <v>3646.5400000000041</v>
      </c>
      <c r="AL1305" s="16">
        <f t="shared" si="250"/>
        <v>12.095157800059658</v>
      </c>
      <c r="AM1305" s="17">
        <v>3.5694278416347404E-2</v>
      </c>
      <c r="AN1305" s="19"/>
      <c r="AO1305" s="19"/>
      <c r="AP1305" s="19">
        <v>130500</v>
      </c>
      <c r="AQ1305" s="19" t="s">
        <v>307</v>
      </c>
      <c r="AR1305" s="9" t="s">
        <v>326</v>
      </c>
      <c r="AS1305" s="12">
        <v>0.38293902218261316</v>
      </c>
      <c r="AT1305" s="19">
        <v>38.929238769999998</v>
      </c>
      <c r="AU1305" s="19">
        <v>-123.0590933</v>
      </c>
      <c r="AV1305" s="19" t="s">
        <v>336</v>
      </c>
    </row>
    <row r="1306" spans="1:48" x14ac:dyDescent="0.25">
      <c r="A1306" s="18" t="s">
        <v>1680</v>
      </c>
      <c r="B1306" s="10">
        <v>19490211</v>
      </c>
      <c r="C1306" s="9">
        <v>23</v>
      </c>
      <c r="D1306" s="8" t="str">
        <f t="shared" si="241"/>
        <v>N</v>
      </c>
      <c r="E1306" s="8" t="str">
        <f t="shared" si="242"/>
        <v>N</v>
      </c>
      <c r="F1306" s="8" t="str">
        <f t="shared" si="243"/>
        <v>N</v>
      </c>
      <c r="G1306" s="8" t="str">
        <f t="shared" si="244"/>
        <v>N</v>
      </c>
      <c r="H1306" s="8" t="str">
        <f t="shared" si="245"/>
        <v>Lower</v>
      </c>
      <c r="I1306" s="8" t="str">
        <f t="shared" si="246"/>
        <v>Outside</v>
      </c>
      <c r="J1306" s="8" t="str">
        <f t="shared" si="247"/>
        <v>Outside</v>
      </c>
      <c r="K1306" s="8" t="str">
        <f t="shared" si="248"/>
        <v>Post-1949</v>
      </c>
      <c r="L1306" s="8">
        <f t="shared" si="249"/>
        <v>1949</v>
      </c>
      <c r="M1306" s="8" t="str">
        <f t="shared" ref="M1306:M1348" si="254">IF(L1306=1949,"Pre-1949 + 1949",IF(AND(L1306&gt;1949,L1306&lt;1953),"1950-1952",IF(AND(L1306&gt;1952,L1306&lt;1955),"1953-1954",IF(AND(L1306&gt;1954,L1306&lt;1957),"1955-1956",IF(AND(L1306&gt;1956,L1306&lt;1960),"1957-1959",IF(AND(L1306&gt;1959,L1306&lt;1971),"1960-1970",IF(AND(L1306&gt;1970,L1306&lt;1991),"1971-1990",IF(L1306&gt;1990,"1991-present","-"))))))))</f>
        <v>Pre-1949 + 1949</v>
      </c>
      <c r="N1306" s="10" t="s">
        <v>242</v>
      </c>
      <c r="O1306" s="10" t="s">
        <v>242</v>
      </c>
      <c r="P1306" s="10" t="s">
        <v>242</v>
      </c>
      <c r="Q1306" s="10" t="s">
        <v>242</v>
      </c>
      <c r="R1306" s="10" t="s">
        <v>241</v>
      </c>
      <c r="S1306" s="10" t="s">
        <v>242</v>
      </c>
      <c r="T1306" s="10" t="s">
        <v>242</v>
      </c>
      <c r="U1306" s="10" t="s">
        <v>241</v>
      </c>
      <c r="V1306" s="10" t="s">
        <v>241</v>
      </c>
      <c r="W1306" s="10" t="s">
        <v>242</v>
      </c>
      <c r="X1306" s="15">
        <f>IF(ISERROR(VLOOKUP($A1306,'13. Updated Demand'!A:Z,15,FALSE)),0,VLOOKUP($A1306,'13. Updated Demand'!A:Z,15,FALSE))</f>
        <v>0</v>
      </c>
      <c r="Y1306" s="16">
        <f>IF(ISERROR(VLOOKUP($A1306,'13. Updated Demand'!A:Z,16,FALSE)),0,VLOOKUP($A1306,'13. Updated Demand'!A:Z,16,FALSE))</f>
        <v>0</v>
      </c>
      <c r="Z1306" s="16">
        <f>IF(ISERROR(VLOOKUP($A1306,'13. Updated Demand'!A:Z,17,FALSE)),0,VLOOKUP($A1306,'13. Updated Demand'!A:Z,17,FALSE))</f>
        <v>0</v>
      </c>
      <c r="AA1306" s="16">
        <f>IF(ISERROR(VLOOKUP($A1306,'13. Updated Demand'!A:Z,18,FALSE)),0,VLOOKUP($A1306,'13. Updated Demand'!A:Z,18,FALSE))</f>
        <v>0</v>
      </c>
      <c r="AB1306" s="16">
        <f>IF(ISERROR(VLOOKUP($A1306,'13. Updated Demand'!A:Z,19,FALSE)),0,VLOOKUP($A1306,'13. Updated Demand'!A:Z,19,FALSE))</f>
        <v>0</v>
      </c>
      <c r="AC1306" s="16">
        <f>IF(ISERROR(VLOOKUP($A1306,'13. Updated Demand'!A:Z,20,FALSE)),0,VLOOKUP($A1306,'13. Updated Demand'!A:Z,20,FALSE))</f>
        <v>0</v>
      </c>
      <c r="AD1306" s="16">
        <f>IF(ISERROR(VLOOKUP($A1306,'13. Updated Demand'!A:Z,21,FALSE)),0,VLOOKUP($A1306,'13. Updated Demand'!A:Z,21,FALSE))</f>
        <v>0</v>
      </c>
      <c r="AE1306" s="16">
        <f>IF(ISERROR(VLOOKUP($A1306,'13. Updated Demand'!A:Z,22,FALSE)),0,VLOOKUP($A1306,'13. Updated Demand'!A:Z,22,FALSE))</f>
        <v>0</v>
      </c>
      <c r="AF1306" s="16">
        <f>IF(ISERROR(VLOOKUP($A1306,'13. Updated Demand'!A:Z,23,FALSE)),0,VLOOKUP($A1306,'13. Updated Demand'!A:Z,23,FALSE))</f>
        <v>0</v>
      </c>
      <c r="AG1306" s="16">
        <f>IF(ISERROR(VLOOKUP($A1306,'13. Updated Demand'!A:Z,24,FALSE)),0,VLOOKUP($A1306,'13. Updated Demand'!A:Z,24,FALSE))</f>
        <v>0</v>
      </c>
      <c r="AH1306" s="16">
        <f>IF(ISERROR(VLOOKUP($A1306,'13. Updated Demand'!A:Z,25,FALSE)),0,VLOOKUP($A1306,'13. Updated Demand'!A:Z,25,FALSE))</f>
        <v>0</v>
      </c>
      <c r="AI1306" s="16">
        <f>IF(ISERROR(VLOOKUP($A1306,'13. Updated Demand'!A:Z,26,FALSE)),0,VLOOKUP($A1306,'13. Updated Demand'!A:Z,26,FALSE))</f>
        <v>0</v>
      </c>
      <c r="AJ1306" s="16">
        <f t="shared" si="252"/>
        <v>0</v>
      </c>
      <c r="AK1306" s="19">
        <v>0</v>
      </c>
      <c r="AL1306" s="16">
        <f t="shared" si="250"/>
        <v>0</v>
      </c>
      <c r="AM1306" s="17">
        <v>0</v>
      </c>
      <c r="AN1306" s="19"/>
      <c r="AO1306" s="19"/>
      <c r="AP1306" s="19">
        <v>9.6999999999999993</v>
      </c>
      <c r="AQ1306" s="19" t="s">
        <v>307</v>
      </c>
      <c r="AR1306" s="9" t="s">
        <v>323</v>
      </c>
      <c r="AS1306" s="12">
        <v>0</v>
      </c>
      <c r="AT1306" s="19">
        <v>38.508662899999997</v>
      </c>
      <c r="AU1306" s="19">
        <v>-122.76746668</v>
      </c>
      <c r="AV1306" s="19" t="s">
        <v>735</v>
      </c>
    </row>
    <row r="1307" spans="1:48" x14ac:dyDescent="0.25">
      <c r="A1307" s="18" t="s">
        <v>1681</v>
      </c>
      <c r="B1307" s="10">
        <v>19490224</v>
      </c>
      <c r="C1307" s="9">
        <v>9</v>
      </c>
      <c r="D1307" s="8" t="str">
        <f t="shared" si="241"/>
        <v>N</v>
      </c>
      <c r="E1307" s="8" t="str">
        <f t="shared" si="242"/>
        <v>Y</v>
      </c>
      <c r="F1307" s="8" t="str">
        <f t="shared" si="243"/>
        <v>Y</v>
      </c>
      <c r="G1307" s="8" t="str">
        <f t="shared" si="244"/>
        <v>Y</v>
      </c>
      <c r="H1307" s="8" t="str">
        <f t="shared" si="245"/>
        <v>Upper</v>
      </c>
      <c r="I1307" s="8" t="str">
        <f t="shared" si="246"/>
        <v>West Fork and Below Lake</v>
      </c>
      <c r="J1307" s="8" t="str">
        <f t="shared" si="247"/>
        <v>Sonoma (d/s of Clov. Gage)</v>
      </c>
      <c r="K1307" s="8" t="str">
        <f t="shared" si="248"/>
        <v>Post-1949</v>
      </c>
      <c r="L1307" s="8">
        <f t="shared" si="249"/>
        <v>1949</v>
      </c>
      <c r="M1307" s="8" t="str">
        <f t="shared" si="254"/>
        <v>Pre-1949 + 1949</v>
      </c>
      <c r="N1307" s="10" t="s">
        <v>242</v>
      </c>
      <c r="O1307" s="10" t="s">
        <v>241</v>
      </c>
      <c r="P1307" s="10" t="s">
        <v>242</v>
      </c>
      <c r="Q1307" s="10" t="s">
        <v>242</v>
      </c>
      <c r="R1307" s="10" t="s">
        <v>241</v>
      </c>
      <c r="S1307" s="10" t="s">
        <v>242</v>
      </c>
      <c r="T1307" s="10" t="s">
        <v>242</v>
      </c>
      <c r="U1307" s="10" t="s">
        <v>242</v>
      </c>
      <c r="V1307" s="10" t="s">
        <v>242</v>
      </c>
      <c r="W1307" s="10" t="s">
        <v>242</v>
      </c>
      <c r="X1307" s="15">
        <f>IF(ISERROR(VLOOKUP($A1307,'13. Updated Demand'!A:Z,15,FALSE)),0,VLOOKUP($A1307,'13. Updated Demand'!A:Z,15,FALSE))</f>
        <v>0</v>
      </c>
      <c r="Y1307" s="16">
        <f>IF(ISERROR(VLOOKUP($A1307,'13. Updated Demand'!A:Z,16,FALSE)),0,VLOOKUP($A1307,'13. Updated Demand'!A:Z,16,FALSE))</f>
        <v>0</v>
      </c>
      <c r="Z1307" s="16">
        <f>IF(ISERROR(VLOOKUP($A1307,'13. Updated Demand'!A:Z,17,FALSE)),0,VLOOKUP($A1307,'13. Updated Demand'!A:Z,17,FALSE))</f>
        <v>6.33</v>
      </c>
      <c r="AA1307" s="16">
        <f>IF(ISERROR(VLOOKUP($A1307,'13. Updated Demand'!A:Z,18,FALSE)),0,VLOOKUP($A1307,'13. Updated Demand'!A:Z,18,FALSE))</f>
        <v>9</v>
      </c>
      <c r="AB1307" s="16">
        <f>IF(ISERROR(VLOOKUP($A1307,'13. Updated Demand'!A:Z,19,FALSE)),0,VLOOKUP($A1307,'13. Updated Demand'!A:Z,19,FALSE))</f>
        <v>4.66</v>
      </c>
      <c r="AC1307" s="16">
        <f>IF(ISERROR(VLOOKUP($A1307,'13. Updated Demand'!A:Z,20,FALSE)),0,VLOOKUP($A1307,'13. Updated Demand'!A:Z,20,FALSE))</f>
        <v>7.33</v>
      </c>
      <c r="AD1307" s="16">
        <f>IF(ISERROR(VLOOKUP($A1307,'13. Updated Demand'!A:Z,21,FALSE)),0,VLOOKUP($A1307,'13. Updated Demand'!A:Z,21,FALSE))</f>
        <v>0.66</v>
      </c>
      <c r="AE1307" s="16">
        <f>IF(ISERROR(VLOOKUP($A1307,'13. Updated Demand'!A:Z,22,FALSE)),0,VLOOKUP($A1307,'13. Updated Demand'!A:Z,22,FALSE))</f>
        <v>0</v>
      </c>
      <c r="AF1307" s="16">
        <f>IF(ISERROR(VLOOKUP($A1307,'13. Updated Demand'!A:Z,23,FALSE)),0,VLOOKUP($A1307,'13. Updated Demand'!A:Z,23,FALSE))</f>
        <v>0</v>
      </c>
      <c r="AG1307" s="16">
        <f>IF(ISERROR(VLOOKUP($A1307,'13. Updated Demand'!A:Z,24,FALSE)),0,VLOOKUP($A1307,'13. Updated Demand'!A:Z,24,FALSE))</f>
        <v>0</v>
      </c>
      <c r="AH1307" s="16">
        <f>IF(ISERROR(VLOOKUP($A1307,'13. Updated Demand'!A:Z,25,FALSE)),0,VLOOKUP($A1307,'13. Updated Demand'!A:Z,25,FALSE))</f>
        <v>0</v>
      </c>
      <c r="AI1307" s="16">
        <f>IF(ISERROR(VLOOKUP($A1307,'13. Updated Demand'!A:Z,26,FALSE)),0,VLOOKUP($A1307,'13. Updated Demand'!A:Z,26,FALSE))</f>
        <v>0</v>
      </c>
      <c r="AJ1307" s="16">
        <f t="shared" si="252"/>
        <v>27.98</v>
      </c>
      <c r="AK1307" s="19">
        <v>12.666666666999999</v>
      </c>
      <c r="AL1307" s="16">
        <f t="shared" si="250"/>
        <v>4.2013890465515409E-2</v>
      </c>
      <c r="AM1307" s="17">
        <v>1</v>
      </c>
      <c r="AN1307" s="19"/>
      <c r="AO1307" s="19"/>
      <c r="AP1307" s="19">
        <v>28</v>
      </c>
      <c r="AQ1307" s="19" t="s">
        <v>307</v>
      </c>
      <c r="AR1307" s="9" t="s">
        <v>354</v>
      </c>
      <c r="AS1307" s="12">
        <v>0</v>
      </c>
      <c r="AT1307" s="19">
        <v>38.756496149999997</v>
      </c>
      <c r="AU1307" s="19">
        <v>-123.03281573</v>
      </c>
      <c r="AV1307" s="19" t="s">
        <v>1682</v>
      </c>
    </row>
    <row r="1308" spans="1:48" x14ac:dyDescent="0.25">
      <c r="A1308" s="18" t="s">
        <v>112</v>
      </c>
      <c r="B1308" s="10">
        <v>19490303</v>
      </c>
      <c r="C1308" s="9">
        <v>4</v>
      </c>
      <c r="D1308" s="8" t="str">
        <f t="shared" si="241"/>
        <v>Y</v>
      </c>
      <c r="E1308" s="8" t="str">
        <f t="shared" si="242"/>
        <v>N</v>
      </c>
      <c r="F1308" s="8" t="str">
        <f t="shared" si="243"/>
        <v>Y</v>
      </c>
      <c r="G1308" s="8" t="str">
        <f t="shared" si="244"/>
        <v>Y</v>
      </c>
      <c r="H1308" s="8" t="str">
        <f t="shared" si="245"/>
        <v>Upper</v>
      </c>
      <c r="I1308" s="8" t="str">
        <f t="shared" si="246"/>
        <v>West Fork and Below Lake</v>
      </c>
      <c r="J1308" s="8" t="str">
        <f t="shared" si="247"/>
        <v>Mendocino (d/s of lake)</v>
      </c>
      <c r="K1308" s="8" t="str">
        <f t="shared" si="248"/>
        <v>Post-1949</v>
      </c>
      <c r="L1308" s="8">
        <f t="shared" si="249"/>
        <v>1949</v>
      </c>
      <c r="M1308" s="8" t="str">
        <f t="shared" si="254"/>
        <v>Pre-1949 + 1949</v>
      </c>
      <c r="N1308" s="10" t="s">
        <v>241</v>
      </c>
      <c r="O1308" s="10" t="s">
        <v>241</v>
      </c>
      <c r="P1308" s="10" t="s">
        <v>242</v>
      </c>
      <c r="Q1308" s="10" t="s">
        <v>242</v>
      </c>
      <c r="R1308" s="10" t="s">
        <v>241</v>
      </c>
      <c r="S1308" s="10" t="s">
        <v>242</v>
      </c>
      <c r="T1308" s="10" t="s">
        <v>242</v>
      </c>
      <c r="U1308" s="10" t="s">
        <v>242</v>
      </c>
      <c r="V1308" s="10" t="s">
        <v>242</v>
      </c>
      <c r="W1308" s="10" t="s">
        <v>242</v>
      </c>
      <c r="X1308" s="15">
        <f>IF(ISERROR(VLOOKUP($A1308,'13. Updated Demand'!A:Z,15,FALSE)),0,VLOOKUP($A1308,'13. Updated Demand'!A:Z,15,FALSE))</f>
        <v>0</v>
      </c>
      <c r="Y1308" s="16">
        <f>IF(ISERROR(VLOOKUP($A1308,'13. Updated Demand'!A:Z,16,FALSE)),0,VLOOKUP($A1308,'13. Updated Demand'!A:Z,16,FALSE))</f>
        <v>0</v>
      </c>
      <c r="Z1308" s="16">
        <f>IF(ISERROR(VLOOKUP($A1308,'13. Updated Demand'!A:Z,17,FALSE)),0,VLOOKUP($A1308,'13. Updated Demand'!A:Z,17,FALSE))</f>
        <v>0</v>
      </c>
      <c r="AA1308" s="16">
        <f>IF(ISERROR(VLOOKUP($A1308,'13. Updated Demand'!A:Z,18,FALSE)),0,VLOOKUP($A1308,'13. Updated Demand'!A:Z,18,FALSE))</f>
        <v>0</v>
      </c>
      <c r="AB1308" s="16">
        <f>IF(ISERROR(VLOOKUP($A1308,'13. Updated Demand'!A:Z,19,FALSE)),0,VLOOKUP($A1308,'13. Updated Demand'!A:Z,19,FALSE))</f>
        <v>2</v>
      </c>
      <c r="AC1308" s="16">
        <f>IF(ISERROR(VLOOKUP($A1308,'13. Updated Demand'!A:Z,20,FALSE)),0,VLOOKUP($A1308,'13. Updated Demand'!A:Z,20,FALSE))</f>
        <v>18.43</v>
      </c>
      <c r="AD1308" s="16">
        <f>IF(ISERROR(VLOOKUP($A1308,'13. Updated Demand'!A:Z,21,FALSE)),0,VLOOKUP($A1308,'13. Updated Demand'!A:Z,21,FALSE))</f>
        <v>18.309999999999999</v>
      </c>
      <c r="AE1308" s="16">
        <f>IF(ISERROR(VLOOKUP($A1308,'13. Updated Demand'!A:Z,22,FALSE)),0,VLOOKUP($A1308,'13. Updated Demand'!A:Z,22,FALSE))</f>
        <v>43.33</v>
      </c>
      <c r="AF1308" s="16">
        <f>IF(ISERROR(VLOOKUP($A1308,'13. Updated Demand'!A:Z,23,FALSE)),0,VLOOKUP($A1308,'13. Updated Demand'!A:Z,23,FALSE))</f>
        <v>20.100000000000001</v>
      </c>
      <c r="AG1308" s="16">
        <f>IF(ISERROR(VLOOKUP($A1308,'13. Updated Demand'!A:Z,24,FALSE)),0,VLOOKUP($A1308,'13. Updated Demand'!A:Z,24,FALSE))</f>
        <v>0</v>
      </c>
      <c r="AH1308" s="16">
        <f>IF(ISERROR(VLOOKUP($A1308,'13. Updated Demand'!A:Z,25,FALSE)),0,VLOOKUP($A1308,'13. Updated Demand'!A:Z,25,FALSE))</f>
        <v>0</v>
      </c>
      <c r="AI1308" s="16">
        <f>IF(ISERROR(VLOOKUP($A1308,'13. Updated Demand'!A:Z,26,FALSE)),0,VLOOKUP($A1308,'13. Updated Demand'!A:Z,26,FALSE))</f>
        <v>0</v>
      </c>
      <c r="AJ1308" s="16">
        <f t="shared" si="252"/>
        <v>102.16999999999999</v>
      </c>
      <c r="AK1308" s="19">
        <v>102.18333333333339</v>
      </c>
      <c r="AL1308" s="16">
        <f t="shared" si="250"/>
        <v>0.33893047689117967</v>
      </c>
      <c r="AM1308" s="17">
        <v>0.22448008201523154</v>
      </c>
      <c r="AN1308" s="19"/>
      <c r="AO1308" s="19"/>
      <c r="AP1308" s="19">
        <v>455.2</v>
      </c>
      <c r="AQ1308" s="19" t="s">
        <v>307</v>
      </c>
      <c r="AR1308" s="9" t="s">
        <v>331</v>
      </c>
      <c r="AS1308" s="12">
        <v>0</v>
      </c>
      <c r="AT1308" s="19">
        <v>39.156293179999999</v>
      </c>
      <c r="AU1308" s="19">
        <v>-123.18654033</v>
      </c>
      <c r="AV1308" s="19" t="s">
        <v>387</v>
      </c>
    </row>
    <row r="1309" spans="1:48" x14ac:dyDescent="0.25">
      <c r="A1309" s="18" t="s">
        <v>1683</v>
      </c>
      <c r="B1309" s="10">
        <v>19490418</v>
      </c>
      <c r="C1309" s="9">
        <v>6</v>
      </c>
      <c r="D1309" s="8" t="str">
        <f t="shared" si="241"/>
        <v>Y</v>
      </c>
      <c r="E1309" s="8" t="str">
        <f t="shared" si="242"/>
        <v>N</v>
      </c>
      <c r="F1309" s="8" t="str">
        <f t="shared" si="243"/>
        <v>Y</v>
      </c>
      <c r="G1309" s="8" t="str">
        <f t="shared" si="244"/>
        <v>Y</v>
      </c>
      <c r="H1309" s="8" t="str">
        <f t="shared" si="245"/>
        <v>Upper</v>
      </c>
      <c r="I1309" s="8" t="str">
        <f t="shared" si="246"/>
        <v>West Fork and Below Lake</v>
      </c>
      <c r="J1309" s="8" t="str">
        <f t="shared" si="247"/>
        <v>Mendocino (d/s of lake)</v>
      </c>
      <c r="K1309" s="8" t="str">
        <f t="shared" si="248"/>
        <v>Post-1949</v>
      </c>
      <c r="L1309" s="8">
        <f t="shared" si="249"/>
        <v>1949</v>
      </c>
      <c r="M1309" s="8" t="str">
        <f t="shared" si="254"/>
        <v>Pre-1949 + 1949</v>
      </c>
      <c r="N1309" s="10" t="s">
        <v>241</v>
      </c>
      <c r="O1309" s="10" t="s">
        <v>241</v>
      </c>
      <c r="P1309" s="10" t="s">
        <v>242</v>
      </c>
      <c r="Q1309" s="10" t="s">
        <v>242</v>
      </c>
      <c r="R1309" s="10" t="s">
        <v>241</v>
      </c>
      <c r="S1309" s="10" t="s">
        <v>242</v>
      </c>
      <c r="T1309" s="10" t="s">
        <v>242</v>
      </c>
      <c r="U1309" s="10" t="s">
        <v>241</v>
      </c>
      <c r="V1309" s="10" t="s">
        <v>241</v>
      </c>
      <c r="W1309" s="10" t="s">
        <v>242</v>
      </c>
      <c r="X1309" s="15">
        <f>IF(ISERROR(VLOOKUP($A1309,'13. Updated Demand'!A:Z,15,FALSE)),0,VLOOKUP($A1309,'13. Updated Demand'!A:Z,15,FALSE))</f>
        <v>0</v>
      </c>
      <c r="Y1309" s="16">
        <f>IF(ISERROR(VLOOKUP($A1309,'13. Updated Demand'!A:Z,16,FALSE)),0,VLOOKUP($A1309,'13. Updated Demand'!A:Z,16,FALSE))</f>
        <v>0</v>
      </c>
      <c r="Z1309" s="16">
        <f>IF(ISERROR(VLOOKUP($A1309,'13. Updated Demand'!A:Z,17,FALSE)),0,VLOOKUP($A1309,'13. Updated Demand'!A:Z,17,FALSE))</f>
        <v>0</v>
      </c>
      <c r="AA1309" s="16">
        <f>IF(ISERROR(VLOOKUP($A1309,'13. Updated Demand'!A:Z,18,FALSE)),0,VLOOKUP($A1309,'13. Updated Demand'!A:Z,18,FALSE))</f>
        <v>0</v>
      </c>
      <c r="AB1309" s="16">
        <f>IF(ISERROR(VLOOKUP($A1309,'13. Updated Demand'!A:Z,19,FALSE)),0,VLOOKUP($A1309,'13. Updated Demand'!A:Z,19,FALSE))</f>
        <v>0</v>
      </c>
      <c r="AC1309" s="16">
        <f>IF(ISERROR(VLOOKUP($A1309,'13. Updated Demand'!A:Z,20,FALSE)),0,VLOOKUP($A1309,'13. Updated Demand'!A:Z,20,FALSE))</f>
        <v>0</v>
      </c>
      <c r="AD1309" s="16">
        <f>IF(ISERROR(VLOOKUP($A1309,'13. Updated Demand'!A:Z,21,FALSE)),0,VLOOKUP($A1309,'13. Updated Demand'!A:Z,21,FALSE))</f>
        <v>0</v>
      </c>
      <c r="AE1309" s="16">
        <f>IF(ISERROR(VLOOKUP($A1309,'13. Updated Demand'!A:Z,22,FALSE)),0,VLOOKUP($A1309,'13. Updated Demand'!A:Z,22,FALSE))</f>
        <v>0</v>
      </c>
      <c r="AF1309" s="16">
        <f>IF(ISERROR(VLOOKUP($A1309,'13. Updated Demand'!A:Z,23,FALSE)),0,VLOOKUP($A1309,'13. Updated Demand'!A:Z,23,FALSE))</f>
        <v>0</v>
      </c>
      <c r="AG1309" s="16">
        <f>IF(ISERROR(VLOOKUP($A1309,'13. Updated Demand'!A:Z,24,FALSE)),0,VLOOKUP($A1309,'13. Updated Demand'!A:Z,24,FALSE))</f>
        <v>0</v>
      </c>
      <c r="AH1309" s="16">
        <f>IF(ISERROR(VLOOKUP($A1309,'13. Updated Demand'!A:Z,25,FALSE)),0,VLOOKUP($A1309,'13. Updated Demand'!A:Z,25,FALSE))</f>
        <v>0</v>
      </c>
      <c r="AI1309" s="16">
        <f>IF(ISERROR(VLOOKUP($A1309,'13. Updated Demand'!A:Z,26,FALSE)),0,VLOOKUP($A1309,'13. Updated Demand'!A:Z,26,FALSE))</f>
        <v>0</v>
      </c>
      <c r="AJ1309" s="16">
        <f t="shared" si="252"/>
        <v>0</v>
      </c>
      <c r="AK1309" s="19">
        <v>0</v>
      </c>
      <c r="AL1309" s="16">
        <f t="shared" si="250"/>
        <v>0</v>
      </c>
      <c r="AM1309" s="17">
        <v>0</v>
      </c>
      <c r="AN1309" s="19"/>
      <c r="AO1309" s="19"/>
      <c r="AP1309" s="19">
        <v>120</v>
      </c>
      <c r="AQ1309" s="19" t="s">
        <v>307</v>
      </c>
      <c r="AR1309" s="9" t="s">
        <v>319</v>
      </c>
      <c r="AS1309" s="12">
        <v>0</v>
      </c>
      <c r="AT1309" s="19">
        <v>39.022510420000003</v>
      </c>
      <c r="AU1309" s="19">
        <v>-123.12891707999999</v>
      </c>
      <c r="AV1309" s="19" t="s">
        <v>387</v>
      </c>
    </row>
    <row r="1310" spans="1:48" x14ac:dyDescent="0.25">
      <c r="A1310" s="18" t="s">
        <v>160</v>
      </c>
      <c r="B1310" s="10">
        <v>19490418</v>
      </c>
      <c r="C1310" s="9">
        <v>6</v>
      </c>
      <c r="D1310" s="8" t="str">
        <f t="shared" si="241"/>
        <v>Y</v>
      </c>
      <c r="E1310" s="8" t="str">
        <f t="shared" si="242"/>
        <v>N</v>
      </c>
      <c r="F1310" s="8" t="str">
        <f t="shared" si="243"/>
        <v>Y</v>
      </c>
      <c r="G1310" s="8" t="str">
        <f t="shared" si="244"/>
        <v>Y</v>
      </c>
      <c r="H1310" s="8" t="str">
        <f t="shared" si="245"/>
        <v>Upper</v>
      </c>
      <c r="I1310" s="8" t="str">
        <f t="shared" si="246"/>
        <v>West Fork and Below Lake</v>
      </c>
      <c r="J1310" s="8" t="str">
        <f t="shared" si="247"/>
        <v>Mendocino (d/s of lake)</v>
      </c>
      <c r="K1310" s="8" t="str">
        <f t="shared" si="248"/>
        <v>Post-1949</v>
      </c>
      <c r="L1310" s="8">
        <f t="shared" si="249"/>
        <v>1949</v>
      </c>
      <c r="M1310" s="8" t="str">
        <f t="shared" si="254"/>
        <v>Pre-1949 + 1949</v>
      </c>
      <c r="N1310" s="10" t="s">
        <v>241</v>
      </c>
      <c r="O1310" s="10" t="s">
        <v>241</v>
      </c>
      <c r="P1310" s="10" t="s">
        <v>242</v>
      </c>
      <c r="Q1310" s="10" t="s">
        <v>242</v>
      </c>
      <c r="R1310" s="10" t="s">
        <v>241</v>
      </c>
      <c r="S1310" s="10" t="s">
        <v>242</v>
      </c>
      <c r="T1310" s="10" t="s">
        <v>242</v>
      </c>
      <c r="U1310" s="10" t="s">
        <v>242</v>
      </c>
      <c r="V1310" s="10" t="s">
        <v>242</v>
      </c>
      <c r="W1310" s="10" t="s">
        <v>242</v>
      </c>
      <c r="X1310" s="15">
        <f>IF(ISERROR(VLOOKUP($A1310,'13. Updated Demand'!A:Z,15,FALSE)),0,VLOOKUP($A1310,'13. Updated Demand'!A:Z,15,FALSE))</f>
        <v>0</v>
      </c>
      <c r="Y1310" s="16">
        <f>IF(ISERROR(VLOOKUP($A1310,'13. Updated Demand'!A:Z,16,FALSE)),0,VLOOKUP($A1310,'13. Updated Demand'!A:Z,16,FALSE))</f>
        <v>0</v>
      </c>
      <c r="Z1310" s="16">
        <f>IF(ISERROR(VLOOKUP($A1310,'13. Updated Demand'!A:Z,17,FALSE)),0,VLOOKUP($A1310,'13. Updated Demand'!A:Z,17,FALSE))</f>
        <v>0</v>
      </c>
      <c r="AA1310" s="16">
        <f>IF(ISERROR(VLOOKUP($A1310,'13. Updated Demand'!A:Z,18,FALSE)),0,VLOOKUP($A1310,'13. Updated Demand'!A:Z,18,FALSE))</f>
        <v>0</v>
      </c>
      <c r="AB1310" s="16">
        <f>IF(ISERROR(VLOOKUP($A1310,'13. Updated Demand'!A:Z,19,FALSE)),0,VLOOKUP($A1310,'13. Updated Demand'!A:Z,19,FALSE))</f>
        <v>0</v>
      </c>
      <c r="AC1310" s="16">
        <f>IF(ISERROR(VLOOKUP($A1310,'13. Updated Demand'!A:Z,20,FALSE)),0,VLOOKUP($A1310,'13. Updated Demand'!A:Z,20,FALSE))</f>
        <v>6.06</v>
      </c>
      <c r="AD1310" s="16">
        <f>IF(ISERROR(VLOOKUP($A1310,'13. Updated Demand'!A:Z,21,FALSE)),0,VLOOKUP($A1310,'13. Updated Demand'!A:Z,21,FALSE))</f>
        <v>18.37</v>
      </c>
      <c r="AE1310" s="16">
        <f>IF(ISERROR(VLOOKUP($A1310,'13. Updated Demand'!A:Z,22,FALSE)),0,VLOOKUP($A1310,'13. Updated Demand'!A:Z,22,FALSE))</f>
        <v>27.2</v>
      </c>
      <c r="AF1310" s="16">
        <f>IF(ISERROR(VLOOKUP($A1310,'13. Updated Demand'!A:Z,23,FALSE)),0,VLOOKUP($A1310,'13. Updated Demand'!A:Z,23,FALSE))</f>
        <v>15.83</v>
      </c>
      <c r="AG1310" s="16">
        <f>IF(ISERROR(VLOOKUP($A1310,'13. Updated Demand'!A:Z,24,FALSE)),0,VLOOKUP($A1310,'13. Updated Demand'!A:Z,24,FALSE))</f>
        <v>4.5</v>
      </c>
      <c r="AH1310" s="16">
        <f>IF(ISERROR(VLOOKUP($A1310,'13. Updated Demand'!A:Z,25,FALSE)),0,VLOOKUP($A1310,'13. Updated Demand'!A:Z,25,FALSE))</f>
        <v>0</v>
      </c>
      <c r="AI1310" s="16">
        <f>IF(ISERROR(VLOOKUP($A1310,'13. Updated Demand'!A:Z,26,FALSE)),0,VLOOKUP($A1310,'13. Updated Demand'!A:Z,26,FALSE))</f>
        <v>0</v>
      </c>
      <c r="AJ1310" s="16">
        <f t="shared" si="252"/>
        <v>71.959999999999994</v>
      </c>
      <c r="AK1310" s="19">
        <v>67.473333333333272</v>
      </c>
      <c r="AL1310" s="16">
        <f t="shared" si="250"/>
        <v>0.2238013607317321</v>
      </c>
      <c r="AM1310" s="17">
        <v>0.40011117287381848</v>
      </c>
      <c r="AN1310" s="19"/>
      <c r="AO1310" s="19"/>
      <c r="AP1310" s="19">
        <v>179.9</v>
      </c>
      <c r="AQ1310" s="19" t="s">
        <v>307</v>
      </c>
      <c r="AR1310" s="9" t="s">
        <v>319</v>
      </c>
      <c r="AS1310" s="12">
        <v>0</v>
      </c>
      <c r="AT1310" s="19">
        <v>39.023601829999997</v>
      </c>
      <c r="AU1310" s="19">
        <v>-123.12963851000001</v>
      </c>
      <c r="AV1310" s="19" t="s">
        <v>387</v>
      </c>
    </row>
    <row r="1311" spans="1:48" x14ac:dyDescent="0.25">
      <c r="A1311" s="18" t="s">
        <v>1684</v>
      </c>
      <c r="B1311" s="10">
        <v>19490429</v>
      </c>
      <c r="C1311" s="9">
        <v>17</v>
      </c>
      <c r="D1311" s="8" t="str">
        <f t="shared" si="241"/>
        <v>N</v>
      </c>
      <c r="E1311" s="8" t="str">
        <f t="shared" si="242"/>
        <v>N</v>
      </c>
      <c r="F1311" s="8" t="str">
        <f t="shared" si="243"/>
        <v>N</v>
      </c>
      <c r="G1311" s="8" t="str">
        <f t="shared" si="244"/>
        <v>N</v>
      </c>
      <c r="H1311" s="8" t="str">
        <f t="shared" si="245"/>
        <v>Lower</v>
      </c>
      <c r="I1311" s="8" t="str">
        <f t="shared" si="246"/>
        <v>Outside</v>
      </c>
      <c r="J1311" s="8" t="str">
        <f t="shared" si="247"/>
        <v>Outside</v>
      </c>
      <c r="K1311" s="8" t="str">
        <f t="shared" si="248"/>
        <v>Post-1949</v>
      </c>
      <c r="L1311" s="8">
        <f t="shared" si="249"/>
        <v>1949</v>
      </c>
      <c r="M1311" s="8" t="str">
        <f t="shared" si="254"/>
        <v>Pre-1949 + 1949</v>
      </c>
      <c r="N1311" s="10" t="s">
        <v>241</v>
      </c>
      <c r="O1311" s="10" t="s">
        <v>242</v>
      </c>
      <c r="P1311" s="10" t="s">
        <v>242</v>
      </c>
      <c r="Q1311" s="10" t="s">
        <v>242</v>
      </c>
      <c r="R1311" s="10" t="s">
        <v>241</v>
      </c>
      <c r="S1311" s="10" t="s">
        <v>242</v>
      </c>
      <c r="T1311" s="10" t="s">
        <v>242</v>
      </c>
      <c r="U1311" s="10" t="s">
        <v>241</v>
      </c>
      <c r="V1311" s="10" t="s">
        <v>241</v>
      </c>
      <c r="W1311" s="10" t="s">
        <v>242</v>
      </c>
      <c r="X1311" s="15">
        <f>IF(ISERROR(VLOOKUP($A1311,'13. Updated Demand'!A:Z,15,FALSE)),0,VLOOKUP($A1311,'13. Updated Demand'!A:Z,15,FALSE))</f>
        <v>0</v>
      </c>
      <c r="Y1311" s="16">
        <f>IF(ISERROR(VLOOKUP($A1311,'13. Updated Demand'!A:Z,16,FALSE)),0,VLOOKUP($A1311,'13. Updated Demand'!A:Z,16,FALSE))</f>
        <v>0</v>
      </c>
      <c r="Z1311" s="16">
        <f>IF(ISERROR(VLOOKUP($A1311,'13. Updated Demand'!A:Z,17,FALSE)),0,VLOOKUP($A1311,'13. Updated Demand'!A:Z,17,FALSE))</f>
        <v>0</v>
      </c>
      <c r="AA1311" s="16">
        <f>IF(ISERROR(VLOOKUP($A1311,'13. Updated Demand'!A:Z,18,FALSE)),0,VLOOKUP($A1311,'13. Updated Demand'!A:Z,18,FALSE))</f>
        <v>0</v>
      </c>
      <c r="AB1311" s="16">
        <f>IF(ISERROR(VLOOKUP($A1311,'13. Updated Demand'!A:Z,19,FALSE)),0,VLOOKUP($A1311,'13. Updated Demand'!A:Z,19,FALSE))</f>
        <v>0</v>
      </c>
      <c r="AC1311" s="16">
        <f>IF(ISERROR(VLOOKUP($A1311,'13. Updated Demand'!A:Z,20,FALSE)),0,VLOOKUP($A1311,'13. Updated Demand'!A:Z,20,FALSE))</f>
        <v>0</v>
      </c>
      <c r="AD1311" s="16">
        <f>IF(ISERROR(VLOOKUP($A1311,'13. Updated Demand'!A:Z,21,FALSE)),0,VLOOKUP($A1311,'13. Updated Demand'!A:Z,21,FALSE))</f>
        <v>0</v>
      </c>
      <c r="AE1311" s="16">
        <f>IF(ISERROR(VLOOKUP($A1311,'13. Updated Demand'!A:Z,22,FALSE)),0,VLOOKUP($A1311,'13. Updated Demand'!A:Z,22,FALSE))</f>
        <v>0</v>
      </c>
      <c r="AF1311" s="16">
        <f>IF(ISERROR(VLOOKUP($A1311,'13. Updated Demand'!A:Z,23,FALSE)),0,VLOOKUP($A1311,'13. Updated Demand'!A:Z,23,FALSE))</f>
        <v>0</v>
      </c>
      <c r="AG1311" s="16">
        <f>IF(ISERROR(VLOOKUP($A1311,'13. Updated Demand'!A:Z,24,FALSE)),0,VLOOKUP($A1311,'13. Updated Demand'!A:Z,24,FALSE))</f>
        <v>0</v>
      </c>
      <c r="AH1311" s="16">
        <f>IF(ISERROR(VLOOKUP($A1311,'13. Updated Demand'!A:Z,25,FALSE)),0,VLOOKUP($A1311,'13. Updated Demand'!A:Z,25,FALSE))</f>
        <v>0</v>
      </c>
      <c r="AI1311" s="16">
        <f>IF(ISERROR(VLOOKUP($A1311,'13. Updated Demand'!A:Z,26,FALSE)),0,VLOOKUP($A1311,'13. Updated Demand'!A:Z,26,FALSE))</f>
        <v>0</v>
      </c>
      <c r="AJ1311" s="16">
        <f t="shared" si="252"/>
        <v>0</v>
      </c>
      <c r="AK1311" s="19">
        <v>0</v>
      </c>
      <c r="AL1311" s="16">
        <f t="shared" si="250"/>
        <v>0</v>
      </c>
      <c r="AM1311" s="17">
        <v>0</v>
      </c>
      <c r="AN1311" s="19"/>
      <c r="AO1311" s="19"/>
      <c r="AP1311" s="19">
        <v>336</v>
      </c>
      <c r="AQ1311" s="19" t="s">
        <v>307</v>
      </c>
      <c r="AR1311" s="9" t="s">
        <v>486</v>
      </c>
      <c r="AS1311" s="12">
        <v>0</v>
      </c>
      <c r="AT1311" s="19">
        <v>38.549200079999999</v>
      </c>
      <c r="AU1311" s="19">
        <v>-122.86056892000001</v>
      </c>
      <c r="AV1311" s="19" t="s">
        <v>548</v>
      </c>
    </row>
    <row r="1312" spans="1:48" x14ac:dyDescent="0.25">
      <c r="A1312" s="18" t="s">
        <v>1685</v>
      </c>
      <c r="B1312" s="10">
        <v>19490509</v>
      </c>
      <c r="C1312" s="9">
        <v>18</v>
      </c>
      <c r="D1312" s="8" t="str">
        <f t="shared" si="241"/>
        <v>N</v>
      </c>
      <c r="E1312" s="8" t="str">
        <f t="shared" si="242"/>
        <v>N</v>
      </c>
      <c r="F1312" s="8" t="str">
        <f t="shared" si="243"/>
        <v>N</v>
      </c>
      <c r="G1312" s="8" t="str">
        <f t="shared" si="244"/>
        <v>N</v>
      </c>
      <c r="H1312" s="8" t="str">
        <f t="shared" si="245"/>
        <v>Lower</v>
      </c>
      <c r="I1312" s="8" t="str">
        <f t="shared" si="246"/>
        <v>Outside</v>
      </c>
      <c r="J1312" s="8" t="str">
        <f t="shared" si="247"/>
        <v>Outside</v>
      </c>
      <c r="K1312" s="8" t="str">
        <f t="shared" si="248"/>
        <v>Post-1949</v>
      </c>
      <c r="L1312" s="8">
        <f t="shared" si="249"/>
        <v>1949</v>
      </c>
      <c r="M1312" s="8" t="str">
        <f t="shared" si="254"/>
        <v>Pre-1949 + 1949</v>
      </c>
      <c r="N1312" s="10" t="s">
        <v>241</v>
      </c>
      <c r="O1312" s="10" t="s">
        <v>242</v>
      </c>
      <c r="P1312" s="10" t="s">
        <v>242</v>
      </c>
      <c r="Q1312" s="10" t="s">
        <v>242</v>
      </c>
      <c r="R1312" s="10" t="s">
        <v>241</v>
      </c>
      <c r="S1312" s="10" t="s">
        <v>242</v>
      </c>
      <c r="T1312" s="10" t="s">
        <v>242</v>
      </c>
      <c r="U1312" s="10" t="s">
        <v>242</v>
      </c>
      <c r="V1312" s="10" t="s">
        <v>242</v>
      </c>
      <c r="W1312" s="10" t="s">
        <v>242</v>
      </c>
      <c r="X1312" s="15">
        <f>IF(ISERROR(VLOOKUP($A1312,'13. Updated Demand'!A:Z,15,FALSE)),0,VLOOKUP($A1312,'13. Updated Demand'!A:Z,15,FALSE))</f>
        <v>0</v>
      </c>
      <c r="Y1312" s="16">
        <f>IF(ISERROR(VLOOKUP($A1312,'13. Updated Demand'!A:Z,16,FALSE)),0,VLOOKUP($A1312,'13. Updated Demand'!A:Z,16,FALSE))</f>
        <v>0</v>
      </c>
      <c r="Z1312" s="16">
        <f>IF(ISERROR(VLOOKUP($A1312,'13. Updated Demand'!A:Z,17,FALSE)),0,VLOOKUP($A1312,'13. Updated Demand'!A:Z,17,FALSE))</f>
        <v>0</v>
      </c>
      <c r="AA1312" s="16">
        <f>IF(ISERROR(VLOOKUP($A1312,'13. Updated Demand'!A:Z,18,FALSE)),0,VLOOKUP($A1312,'13. Updated Demand'!A:Z,18,FALSE))</f>
        <v>0</v>
      </c>
      <c r="AB1312" s="16">
        <f>IF(ISERROR(VLOOKUP($A1312,'13. Updated Demand'!A:Z,19,FALSE)),0,VLOOKUP($A1312,'13. Updated Demand'!A:Z,19,FALSE))</f>
        <v>0.93333333299999999</v>
      </c>
      <c r="AC1312" s="16">
        <f>IF(ISERROR(VLOOKUP($A1312,'13. Updated Demand'!A:Z,20,FALSE)),0,VLOOKUP($A1312,'13. Updated Demand'!A:Z,20,FALSE))</f>
        <v>1.6</v>
      </c>
      <c r="AD1312" s="16">
        <f>IF(ISERROR(VLOOKUP($A1312,'13. Updated Demand'!A:Z,21,FALSE)),0,VLOOKUP($A1312,'13. Updated Demand'!A:Z,21,FALSE))</f>
        <v>2.0666666669999998</v>
      </c>
      <c r="AE1312" s="16">
        <f>IF(ISERROR(VLOOKUP($A1312,'13. Updated Demand'!A:Z,22,FALSE)),0,VLOOKUP($A1312,'13. Updated Demand'!A:Z,22,FALSE))</f>
        <v>0</v>
      </c>
      <c r="AF1312" s="16">
        <f>IF(ISERROR(VLOOKUP($A1312,'13. Updated Demand'!A:Z,23,FALSE)),0,VLOOKUP($A1312,'13. Updated Demand'!A:Z,23,FALSE))</f>
        <v>0</v>
      </c>
      <c r="AG1312" s="16">
        <f>IF(ISERROR(VLOOKUP($A1312,'13. Updated Demand'!A:Z,24,FALSE)),0,VLOOKUP($A1312,'13. Updated Demand'!A:Z,24,FALSE))</f>
        <v>0</v>
      </c>
      <c r="AH1312" s="16">
        <f>IF(ISERROR(VLOOKUP($A1312,'13. Updated Demand'!A:Z,25,FALSE)),0,VLOOKUP($A1312,'13. Updated Demand'!A:Z,25,FALSE))</f>
        <v>0</v>
      </c>
      <c r="AI1312" s="16">
        <f>IF(ISERROR(VLOOKUP($A1312,'13. Updated Demand'!A:Z,26,FALSE)),0,VLOOKUP($A1312,'13. Updated Demand'!A:Z,26,FALSE))</f>
        <v>0</v>
      </c>
      <c r="AJ1312" s="16">
        <f t="shared" si="252"/>
        <v>4.5999999999999996</v>
      </c>
      <c r="AK1312" s="19">
        <v>4.5999999999999996</v>
      </c>
      <c r="AL1312" s="16">
        <f t="shared" si="250"/>
        <v>1.5257676010759341E-2</v>
      </c>
      <c r="AM1312" s="17">
        <v>9.2369477911646583E-2</v>
      </c>
      <c r="AN1312" s="19"/>
      <c r="AO1312" s="19"/>
      <c r="AP1312" s="19">
        <v>49.8</v>
      </c>
      <c r="AQ1312" s="19" t="s">
        <v>307</v>
      </c>
      <c r="AR1312" s="9" t="s">
        <v>352</v>
      </c>
      <c r="AS1312" s="12">
        <v>0</v>
      </c>
      <c r="AT1312" s="19">
        <v>38.516638329999999</v>
      </c>
      <c r="AU1312" s="19">
        <v>-122.88167255</v>
      </c>
      <c r="AV1312" s="19" t="s">
        <v>387</v>
      </c>
    </row>
    <row r="1313" spans="1:48" x14ac:dyDescent="0.25">
      <c r="A1313" s="18" t="s">
        <v>1686</v>
      </c>
      <c r="B1313" s="10">
        <v>19490517</v>
      </c>
      <c r="C1313" s="9">
        <v>17</v>
      </c>
      <c r="D1313" s="8" t="str">
        <f t="shared" si="241"/>
        <v>N</v>
      </c>
      <c r="E1313" s="8" t="str">
        <f t="shared" si="242"/>
        <v>N</v>
      </c>
      <c r="F1313" s="8" t="str">
        <f t="shared" si="243"/>
        <v>N</v>
      </c>
      <c r="G1313" s="8" t="str">
        <f t="shared" si="244"/>
        <v>N</v>
      </c>
      <c r="H1313" s="8" t="str">
        <f t="shared" si="245"/>
        <v>Lower</v>
      </c>
      <c r="I1313" s="8" t="str">
        <f t="shared" si="246"/>
        <v>Outside</v>
      </c>
      <c r="J1313" s="8" t="str">
        <f t="shared" si="247"/>
        <v>Outside</v>
      </c>
      <c r="K1313" s="8" t="str">
        <f t="shared" si="248"/>
        <v>Post-1949</v>
      </c>
      <c r="L1313" s="8">
        <f t="shared" si="249"/>
        <v>1949</v>
      </c>
      <c r="M1313" s="8" t="str">
        <f t="shared" si="254"/>
        <v>Pre-1949 + 1949</v>
      </c>
      <c r="N1313" s="10" t="s">
        <v>241</v>
      </c>
      <c r="O1313" s="10" t="s">
        <v>242</v>
      </c>
      <c r="P1313" s="10" t="s">
        <v>242</v>
      </c>
      <c r="Q1313" s="10" t="s">
        <v>242</v>
      </c>
      <c r="R1313" s="10" t="s">
        <v>241</v>
      </c>
      <c r="S1313" s="10" t="s">
        <v>242</v>
      </c>
      <c r="T1313" s="10" t="s">
        <v>242</v>
      </c>
      <c r="U1313" s="10" t="s">
        <v>241</v>
      </c>
      <c r="V1313" s="10" t="s">
        <v>241</v>
      </c>
      <c r="W1313" s="10" t="s">
        <v>242</v>
      </c>
      <c r="X1313" s="15">
        <f>IF(ISERROR(VLOOKUP($A1313,'13. Updated Demand'!A:Z,15,FALSE)),0,VLOOKUP($A1313,'13. Updated Demand'!A:Z,15,FALSE))</f>
        <v>0</v>
      </c>
      <c r="Y1313" s="16">
        <f>IF(ISERROR(VLOOKUP($A1313,'13. Updated Demand'!A:Z,16,FALSE)),0,VLOOKUP($A1313,'13. Updated Demand'!A:Z,16,FALSE))</f>
        <v>0</v>
      </c>
      <c r="Z1313" s="16">
        <f>IF(ISERROR(VLOOKUP($A1313,'13. Updated Demand'!A:Z,17,FALSE)),0,VLOOKUP($A1313,'13. Updated Demand'!A:Z,17,FALSE))</f>
        <v>0</v>
      </c>
      <c r="AA1313" s="16">
        <f>IF(ISERROR(VLOOKUP($A1313,'13. Updated Demand'!A:Z,18,FALSE)),0,VLOOKUP($A1313,'13. Updated Demand'!A:Z,18,FALSE))</f>
        <v>0</v>
      </c>
      <c r="AB1313" s="16">
        <f>IF(ISERROR(VLOOKUP($A1313,'13. Updated Demand'!A:Z,19,FALSE)),0,VLOOKUP($A1313,'13. Updated Demand'!A:Z,19,FALSE))</f>
        <v>0</v>
      </c>
      <c r="AC1313" s="16">
        <f>IF(ISERROR(VLOOKUP($A1313,'13. Updated Demand'!A:Z,20,FALSE)),0,VLOOKUP($A1313,'13. Updated Demand'!A:Z,20,FALSE))</f>
        <v>0</v>
      </c>
      <c r="AD1313" s="16">
        <f>IF(ISERROR(VLOOKUP($A1313,'13. Updated Demand'!A:Z,21,FALSE)),0,VLOOKUP($A1313,'13. Updated Demand'!A:Z,21,FALSE))</f>
        <v>0</v>
      </c>
      <c r="AE1313" s="16">
        <f>IF(ISERROR(VLOOKUP($A1313,'13. Updated Demand'!A:Z,22,FALSE)),0,VLOOKUP($A1313,'13. Updated Demand'!A:Z,22,FALSE))</f>
        <v>0</v>
      </c>
      <c r="AF1313" s="16">
        <f>IF(ISERROR(VLOOKUP($A1313,'13. Updated Demand'!A:Z,23,FALSE)),0,VLOOKUP($A1313,'13. Updated Demand'!A:Z,23,FALSE))</f>
        <v>0</v>
      </c>
      <c r="AG1313" s="16">
        <f>IF(ISERROR(VLOOKUP($A1313,'13. Updated Demand'!A:Z,24,FALSE)),0,VLOOKUP($A1313,'13. Updated Demand'!A:Z,24,FALSE))</f>
        <v>0</v>
      </c>
      <c r="AH1313" s="16">
        <f>IF(ISERROR(VLOOKUP($A1313,'13. Updated Demand'!A:Z,25,FALSE)),0,VLOOKUP($A1313,'13. Updated Demand'!A:Z,25,FALSE))</f>
        <v>0</v>
      </c>
      <c r="AI1313" s="16">
        <f>IF(ISERROR(VLOOKUP($A1313,'13. Updated Demand'!A:Z,26,FALSE)),0,VLOOKUP($A1313,'13. Updated Demand'!A:Z,26,FALSE))</f>
        <v>0</v>
      </c>
      <c r="AJ1313" s="16">
        <f t="shared" si="252"/>
        <v>0</v>
      </c>
      <c r="AK1313" s="19">
        <v>0</v>
      </c>
      <c r="AL1313" s="16">
        <f t="shared" si="250"/>
        <v>0</v>
      </c>
      <c r="AM1313" s="17">
        <v>0</v>
      </c>
      <c r="AN1313" s="19"/>
      <c r="AO1313" s="19"/>
      <c r="AP1313" s="19">
        <v>0.4</v>
      </c>
      <c r="AQ1313" s="19" t="s">
        <v>307</v>
      </c>
      <c r="AR1313" s="9" t="s">
        <v>486</v>
      </c>
      <c r="AS1313" s="12">
        <v>3.4039024194010059E-4</v>
      </c>
      <c r="AT1313" s="19">
        <v>38.53718052</v>
      </c>
      <c r="AU1313" s="19">
        <v>-122.85203301999999</v>
      </c>
      <c r="AV1313" s="19" t="s">
        <v>548</v>
      </c>
    </row>
    <row r="1314" spans="1:48" x14ac:dyDescent="0.25">
      <c r="A1314" s="18" t="s">
        <v>1687</v>
      </c>
      <c r="B1314" s="10">
        <v>19490517</v>
      </c>
      <c r="C1314" s="9">
        <v>17</v>
      </c>
      <c r="D1314" s="8" t="str">
        <f t="shared" si="241"/>
        <v>N</v>
      </c>
      <c r="E1314" s="8" t="str">
        <f t="shared" si="242"/>
        <v>N</v>
      </c>
      <c r="F1314" s="8" t="str">
        <f t="shared" si="243"/>
        <v>N</v>
      </c>
      <c r="G1314" s="8" t="str">
        <f t="shared" si="244"/>
        <v>N</v>
      </c>
      <c r="H1314" s="8" t="str">
        <f t="shared" si="245"/>
        <v>Lower</v>
      </c>
      <c r="I1314" s="8" t="str">
        <f t="shared" si="246"/>
        <v>Outside</v>
      </c>
      <c r="J1314" s="8" t="str">
        <f t="shared" si="247"/>
        <v>Outside</v>
      </c>
      <c r="K1314" s="8" t="str">
        <f t="shared" si="248"/>
        <v>Post-1949</v>
      </c>
      <c r="L1314" s="8">
        <f t="shared" si="249"/>
        <v>1949</v>
      </c>
      <c r="M1314" s="8" t="str">
        <f t="shared" si="254"/>
        <v>Pre-1949 + 1949</v>
      </c>
      <c r="N1314" s="10" t="s">
        <v>241</v>
      </c>
      <c r="O1314" s="10" t="s">
        <v>242</v>
      </c>
      <c r="P1314" s="10" t="s">
        <v>242</v>
      </c>
      <c r="Q1314" s="10" t="s">
        <v>242</v>
      </c>
      <c r="R1314" s="10" t="s">
        <v>241</v>
      </c>
      <c r="S1314" s="10" t="s">
        <v>242</v>
      </c>
      <c r="T1314" s="10" t="s">
        <v>242</v>
      </c>
      <c r="U1314" s="10" t="s">
        <v>242</v>
      </c>
      <c r="V1314" s="10" t="s">
        <v>242</v>
      </c>
      <c r="W1314" s="10" t="s">
        <v>242</v>
      </c>
      <c r="X1314" s="15">
        <f>IF(ISERROR(VLOOKUP($A1314,'13. Updated Demand'!A:Z,15,FALSE)),0,VLOOKUP($A1314,'13. Updated Demand'!A:Z,15,FALSE))</f>
        <v>0</v>
      </c>
      <c r="Y1314" s="16">
        <f>IF(ISERROR(VLOOKUP($A1314,'13. Updated Demand'!A:Z,16,FALSE)),0,VLOOKUP($A1314,'13. Updated Demand'!A:Z,16,FALSE))</f>
        <v>0</v>
      </c>
      <c r="Z1314" s="16">
        <f>IF(ISERROR(VLOOKUP($A1314,'13. Updated Demand'!A:Z,17,FALSE)),0,VLOOKUP($A1314,'13. Updated Demand'!A:Z,17,FALSE))</f>
        <v>6.6666670000000003E-3</v>
      </c>
      <c r="AA1314" s="16">
        <f>IF(ISERROR(VLOOKUP($A1314,'13. Updated Demand'!A:Z,18,FALSE)),0,VLOOKUP($A1314,'13. Updated Demand'!A:Z,18,FALSE))</f>
        <v>1.6666667E-2</v>
      </c>
      <c r="AB1314" s="16">
        <f>IF(ISERROR(VLOOKUP($A1314,'13. Updated Demand'!A:Z,19,FALSE)),0,VLOOKUP($A1314,'13. Updated Demand'!A:Z,19,FALSE))</f>
        <v>0.66666666699999999</v>
      </c>
      <c r="AC1314" s="16">
        <f>IF(ISERROR(VLOOKUP($A1314,'13. Updated Demand'!A:Z,20,FALSE)),0,VLOOKUP($A1314,'13. Updated Demand'!A:Z,20,FALSE))</f>
        <v>1.8533333329999999</v>
      </c>
      <c r="AD1314" s="16">
        <f>IF(ISERROR(VLOOKUP($A1314,'13. Updated Demand'!A:Z,21,FALSE)),0,VLOOKUP($A1314,'13. Updated Demand'!A:Z,21,FALSE))</f>
        <v>3.5</v>
      </c>
      <c r="AE1314" s="16">
        <f>IF(ISERROR(VLOOKUP($A1314,'13. Updated Demand'!A:Z,22,FALSE)),0,VLOOKUP($A1314,'13. Updated Demand'!A:Z,22,FALSE))</f>
        <v>3.3333333330000001</v>
      </c>
      <c r="AF1314" s="16">
        <f>IF(ISERROR(VLOOKUP($A1314,'13. Updated Demand'!A:Z,23,FALSE)),0,VLOOKUP($A1314,'13. Updated Demand'!A:Z,23,FALSE))</f>
        <v>2.733333333</v>
      </c>
      <c r="AG1314" s="16">
        <f>IF(ISERROR(VLOOKUP($A1314,'13. Updated Demand'!A:Z,24,FALSE)),0,VLOOKUP($A1314,'13. Updated Demand'!A:Z,24,FALSE))</f>
        <v>3.91</v>
      </c>
      <c r="AH1314" s="16">
        <f>IF(ISERROR(VLOOKUP($A1314,'13. Updated Demand'!A:Z,25,FALSE)),0,VLOOKUP($A1314,'13. Updated Demand'!A:Z,25,FALSE))</f>
        <v>0</v>
      </c>
      <c r="AI1314" s="16">
        <f>IF(ISERROR(VLOOKUP($A1314,'13. Updated Demand'!A:Z,26,FALSE)),0,VLOOKUP($A1314,'13. Updated Demand'!A:Z,26,FALSE))</f>
        <v>0</v>
      </c>
      <c r="AJ1314" s="16">
        <f t="shared" si="252"/>
        <v>16.02</v>
      </c>
      <c r="AK1314" s="19">
        <v>12.086666665999999</v>
      </c>
      <c r="AL1314" s="16">
        <f t="shared" si="250"/>
        <v>4.0090096530407127E-2</v>
      </c>
      <c r="AM1314" s="17">
        <v>0.11796759941089836</v>
      </c>
      <c r="AN1314" s="19"/>
      <c r="AO1314" s="19"/>
      <c r="AP1314" s="19">
        <v>135.80000000000001</v>
      </c>
      <c r="AQ1314" s="19" t="s">
        <v>307</v>
      </c>
      <c r="AR1314" s="9" t="s">
        <v>486</v>
      </c>
      <c r="AS1314" s="12">
        <v>0</v>
      </c>
      <c r="AT1314" s="19">
        <v>38.53244815</v>
      </c>
      <c r="AU1314" s="19">
        <v>-122.86071665</v>
      </c>
      <c r="AV1314" s="19" t="s">
        <v>548</v>
      </c>
    </row>
    <row r="1315" spans="1:48" x14ac:dyDescent="0.25">
      <c r="A1315" s="18" t="s">
        <v>1688</v>
      </c>
      <c r="B1315" s="10">
        <v>19490519</v>
      </c>
      <c r="C1315" s="9">
        <v>18</v>
      </c>
      <c r="D1315" s="8" t="str">
        <f t="shared" si="241"/>
        <v>N</v>
      </c>
      <c r="E1315" s="8" t="str">
        <f t="shared" si="242"/>
        <v>N</v>
      </c>
      <c r="F1315" s="8" t="str">
        <f t="shared" si="243"/>
        <v>N</v>
      </c>
      <c r="G1315" s="8" t="str">
        <f t="shared" si="244"/>
        <v>N</v>
      </c>
      <c r="H1315" s="8" t="str">
        <f t="shared" si="245"/>
        <v>Lower</v>
      </c>
      <c r="I1315" s="8" t="str">
        <f t="shared" si="246"/>
        <v>Outside</v>
      </c>
      <c r="J1315" s="8" t="str">
        <f t="shared" si="247"/>
        <v>Outside</v>
      </c>
      <c r="K1315" s="8" t="str">
        <f t="shared" si="248"/>
        <v>Post-1949</v>
      </c>
      <c r="L1315" s="8">
        <f t="shared" si="249"/>
        <v>1949</v>
      </c>
      <c r="M1315" s="8" t="str">
        <f t="shared" si="254"/>
        <v>Pre-1949 + 1949</v>
      </c>
      <c r="N1315" s="10" t="s">
        <v>241</v>
      </c>
      <c r="O1315" s="10" t="s">
        <v>242</v>
      </c>
      <c r="P1315" s="10" t="s">
        <v>242</v>
      </c>
      <c r="Q1315" s="10" t="s">
        <v>242</v>
      </c>
      <c r="R1315" s="10" t="s">
        <v>241</v>
      </c>
      <c r="S1315" s="10" t="s">
        <v>242</v>
      </c>
      <c r="T1315" s="10" t="s">
        <v>242</v>
      </c>
      <c r="U1315" s="10" t="s">
        <v>241</v>
      </c>
      <c r="V1315" s="10" t="s">
        <v>241</v>
      </c>
      <c r="W1315" s="10" t="s">
        <v>242</v>
      </c>
      <c r="X1315" s="15">
        <f>IF(ISERROR(VLOOKUP($A1315,'13. Updated Demand'!A:Z,15,FALSE)),0,VLOOKUP($A1315,'13. Updated Demand'!A:Z,15,FALSE))</f>
        <v>0</v>
      </c>
      <c r="Y1315" s="16">
        <f>IF(ISERROR(VLOOKUP($A1315,'13. Updated Demand'!A:Z,16,FALSE)),0,VLOOKUP($A1315,'13. Updated Demand'!A:Z,16,FALSE))</f>
        <v>0</v>
      </c>
      <c r="Z1315" s="16">
        <f>IF(ISERROR(VLOOKUP($A1315,'13. Updated Demand'!A:Z,17,FALSE)),0,VLOOKUP($A1315,'13. Updated Demand'!A:Z,17,FALSE))</f>
        <v>0</v>
      </c>
      <c r="AA1315" s="16">
        <f>IF(ISERROR(VLOOKUP($A1315,'13. Updated Demand'!A:Z,18,FALSE)),0,VLOOKUP($A1315,'13. Updated Demand'!A:Z,18,FALSE))</f>
        <v>0</v>
      </c>
      <c r="AB1315" s="16">
        <f>IF(ISERROR(VLOOKUP($A1315,'13. Updated Demand'!A:Z,19,FALSE)),0,VLOOKUP($A1315,'13. Updated Demand'!A:Z,19,FALSE))</f>
        <v>0</v>
      </c>
      <c r="AC1315" s="16">
        <f>IF(ISERROR(VLOOKUP($A1315,'13. Updated Demand'!A:Z,20,FALSE)),0,VLOOKUP($A1315,'13. Updated Demand'!A:Z,20,FALSE))</f>
        <v>0</v>
      </c>
      <c r="AD1315" s="16">
        <f>IF(ISERROR(VLOOKUP($A1315,'13. Updated Demand'!A:Z,21,FALSE)),0,VLOOKUP($A1315,'13. Updated Demand'!A:Z,21,FALSE))</f>
        <v>0</v>
      </c>
      <c r="AE1315" s="16">
        <f>IF(ISERROR(VLOOKUP($A1315,'13. Updated Demand'!A:Z,22,FALSE)),0,VLOOKUP($A1315,'13. Updated Demand'!A:Z,22,FALSE))</f>
        <v>0</v>
      </c>
      <c r="AF1315" s="16">
        <f>IF(ISERROR(VLOOKUP($A1315,'13. Updated Demand'!A:Z,23,FALSE)),0,VLOOKUP($A1315,'13. Updated Demand'!A:Z,23,FALSE))</f>
        <v>0</v>
      </c>
      <c r="AG1315" s="16">
        <f>IF(ISERROR(VLOOKUP($A1315,'13. Updated Demand'!A:Z,24,FALSE)),0,VLOOKUP($A1315,'13. Updated Demand'!A:Z,24,FALSE))</f>
        <v>0</v>
      </c>
      <c r="AH1315" s="16">
        <f>IF(ISERROR(VLOOKUP($A1315,'13. Updated Demand'!A:Z,25,FALSE)),0,VLOOKUP($A1315,'13. Updated Demand'!A:Z,25,FALSE))</f>
        <v>0</v>
      </c>
      <c r="AI1315" s="16">
        <f>IF(ISERROR(VLOOKUP($A1315,'13. Updated Demand'!A:Z,26,FALSE)),0,VLOOKUP($A1315,'13. Updated Demand'!A:Z,26,FALSE))</f>
        <v>0</v>
      </c>
      <c r="AJ1315" s="16">
        <f t="shared" si="252"/>
        <v>0</v>
      </c>
      <c r="AK1315" s="19">
        <v>0</v>
      </c>
      <c r="AL1315" s="16">
        <f t="shared" si="250"/>
        <v>0</v>
      </c>
      <c r="AM1315" s="17">
        <v>0</v>
      </c>
      <c r="AN1315" s="19"/>
      <c r="AO1315" s="19"/>
      <c r="AP1315" s="19">
        <v>7.4</v>
      </c>
      <c r="AQ1315" s="19" t="s">
        <v>307</v>
      </c>
      <c r="AR1315" s="9" t="s">
        <v>352</v>
      </c>
      <c r="AS1315" s="12">
        <v>0</v>
      </c>
      <c r="AT1315" s="19">
        <v>38.518316280000001</v>
      </c>
      <c r="AU1315" s="19">
        <v>-122.87767359999999</v>
      </c>
      <c r="AV1315" s="19" t="s">
        <v>387</v>
      </c>
    </row>
    <row r="1316" spans="1:48" x14ac:dyDescent="0.25">
      <c r="A1316" s="18" t="s">
        <v>1689</v>
      </c>
      <c r="B1316" s="10">
        <v>19490601</v>
      </c>
      <c r="C1316" s="9">
        <v>10</v>
      </c>
      <c r="D1316" s="8" t="str">
        <f t="shared" si="241"/>
        <v>N</v>
      </c>
      <c r="E1316" s="8" t="str">
        <f t="shared" si="242"/>
        <v>Y</v>
      </c>
      <c r="F1316" s="8" t="str">
        <f t="shared" si="243"/>
        <v>Y</v>
      </c>
      <c r="G1316" s="8" t="str">
        <f t="shared" si="244"/>
        <v>Y</v>
      </c>
      <c r="H1316" s="8" t="str">
        <f t="shared" si="245"/>
        <v>Upper</v>
      </c>
      <c r="I1316" s="8" t="str">
        <f t="shared" si="246"/>
        <v>West Fork and Below Lake</v>
      </c>
      <c r="J1316" s="8" t="str">
        <f t="shared" si="247"/>
        <v>Sonoma (d/s of Clov. Gage)</v>
      </c>
      <c r="K1316" s="8" t="str">
        <f t="shared" si="248"/>
        <v>Post-1949</v>
      </c>
      <c r="L1316" s="8">
        <f t="shared" si="249"/>
        <v>1949</v>
      </c>
      <c r="M1316" s="8" t="str">
        <f t="shared" si="254"/>
        <v>Pre-1949 + 1949</v>
      </c>
      <c r="N1316" s="10" t="s">
        <v>241</v>
      </c>
      <c r="O1316" s="10" t="s">
        <v>241</v>
      </c>
      <c r="P1316" s="10" t="s">
        <v>242</v>
      </c>
      <c r="Q1316" s="10" t="s">
        <v>242</v>
      </c>
      <c r="R1316" s="10" t="s">
        <v>241</v>
      </c>
      <c r="S1316" s="10" t="s">
        <v>242</v>
      </c>
      <c r="T1316" s="10" t="s">
        <v>242</v>
      </c>
      <c r="U1316" s="10" t="s">
        <v>242</v>
      </c>
      <c r="V1316" s="10" t="s">
        <v>242</v>
      </c>
      <c r="W1316" s="10" t="s">
        <v>242</v>
      </c>
      <c r="X1316" s="15">
        <f>IF(ISERROR(VLOOKUP($A1316,'13. Updated Demand'!A:Z,15,FALSE)),0,VLOOKUP($A1316,'13. Updated Demand'!A:Z,15,FALSE))</f>
        <v>0</v>
      </c>
      <c r="Y1316" s="16">
        <f>IF(ISERROR(VLOOKUP($A1316,'13. Updated Demand'!A:Z,16,FALSE)),0,VLOOKUP($A1316,'13. Updated Demand'!A:Z,16,FALSE))</f>
        <v>0.08</v>
      </c>
      <c r="Z1316" s="16">
        <f>IF(ISERROR(VLOOKUP($A1316,'13. Updated Demand'!A:Z,17,FALSE)),0,VLOOKUP($A1316,'13. Updated Demand'!A:Z,17,FALSE))</f>
        <v>0.2</v>
      </c>
      <c r="AA1316" s="16">
        <f>IF(ISERROR(VLOOKUP($A1316,'13. Updated Demand'!A:Z,18,FALSE)),0,VLOOKUP($A1316,'13. Updated Demand'!A:Z,18,FALSE))</f>
        <v>0.06</v>
      </c>
      <c r="AB1316" s="16">
        <f>IF(ISERROR(VLOOKUP($A1316,'13. Updated Demand'!A:Z,19,FALSE)),0,VLOOKUP($A1316,'13. Updated Demand'!A:Z,19,FALSE))</f>
        <v>0.24</v>
      </c>
      <c r="AC1316" s="16">
        <f>IF(ISERROR(VLOOKUP($A1316,'13. Updated Demand'!A:Z,20,FALSE)),0,VLOOKUP($A1316,'13. Updated Demand'!A:Z,20,FALSE))</f>
        <v>0.83</v>
      </c>
      <c r="AD1316" s="16">
        <f>IF(ISERROR(VLOOKUP($A1316,'13. Updated Demand'!A:Z,21,FALSE)),0,VLOOKUP($A1316,'13. Updated Demand'!A:Z,21,FALSE))</f>
        <v>1.54</v>
      </c>
      <c r="AE1316" s="16">
        <f>IF(ISERROR(VLOOKUP($A1316,'13. Updated Demand'!A:Z,22,FALSE)),0,VLOOKUP($A1316,'13. Updated Demand'!A:Z,22,FALSE))</f>
        <v>1.95</v>
      </c>
      <c r="AF1316" s="16">
        <f>IF(ISERROR(VLOOKUP($A1316,'13. Updated Demand'!A:Z,23,FALSE)),0,VLOOKUP($A1316,'13. Updated Demand'!A:Z,23,FALSE))</f>
        <v>0.78</v>
      </c>
      <c r="AG1316" s="16">
        <f>IF(ISERROR(VLOOKUP($A1316,'13. Updated Demand'!A:Z,24,FALSE)),0,VLOOKUP($A1316,'13. Updated Demand'!A:Z,24,FALSE))</f>
        <v>0</v>
      </c>
      <c r="AH1316" s="16">
        <f>IF(ISERROR(VLOOKUP($A1316,'13. Updated Demand'!A:Z,25,FALSE)),0,VLOOKUP($A1316,'13. Updated Demand'!A:Z,25,FALSE))</f>
        <v>0</v>
      </c>
      <c r="AI1316" s="16">
        <f>IF(ISERROR(VLOOKUP($A1316,'13. Updated Demand'!A:Z,26,FALSE)),0,VLOOKUP($A1316,'13. Updated Demand'!A:Z,26,FALSE))</f>
        <v>0</v>
      </c>
      <c r="AJ1316" s="16">
        <f t="shared" si="252"/>
        <v>5.6800000000000006</v>
      </c>
      <c r="AK1316" s="19">
        <v>5.3700000000000072</v>
      </c>
      <c r="AL1316" s="16">
        <f t="shared" si="250"/>
        <v>1.7811678299516905E-2</v>
      </c>
      <c r="AM1316" s="17">
        <v>1.6695889343463881E-2</v>
      </c>
      <c r="AN1316" s="19"/>
      <c r="AO1316" s="19"/>
      <c r="AP1316" s="19">
        <v>342.2</v>
      </c>
      <c r="AQ1316" s="19" t="s">
        <v>307</v>
      </c>
      <c r="AR1316" s="9" t="s">
        <v>436</v>
      </c>
      <c r="AS1316" s="12">
        <v>0</v>
      </c>
      <c r="AT1316" s="19">
        <v>38.67715638</v>
      </c>
      <c r="AU1316" s="19">
        <v>-122.86176369</v>
      </c>
      <c r="AV1316" s="19" t="s">
        <v>548</v>
      </c>
    </row>
    <row r="1317" spans="1:48" x14ac:dyDescent="0.25">
      <c r="A1317" s="18" t="s">
        <v>1690</v>
      </c>
      <c r="B1317" s="10">
        <v>19490601</v>
      </c>
      <c r="C1317" s="9">
        <v>10</v>
      </c>
      <c r="D1317" s="8" t="str">
        <f t="shared" si="241"/>
        <v>N</v>
      </c>
      <c r="E1317" s="8" t="str">
        <f t="shared" si="242"/>
        <v>Y</v>
      </c>
      <c r="F1317" s="8" t="str">
        <f t="shared" si="243"/>
        <v>Y</v>
      </c>
      <c r="G1317" s="8" t="str">
        <f t="shared" si="244"/>
        <v>Y</v>
      </c>
      <c r="H1317" s="8" t="str">
        <f t="shared" si="245"/>
        <v>Upper</v>
      </c>
      <c r="I1317" s="8" t="str">
        <f t="shared" si="246"/>
        <v>West Fork and Below Lake</v>
      </c>
      <c r="J1317" s="8" t="str">
        <f t="shared" si="247"/>
        <v>Sonoma (d/s of Clov. Gage)</v>
      </c>
      <c r="K1317" s="8" t="str">
        <f t="shared" si="248"/>
        <v>Post-1949</v>
      </c>
      <c r="L1317" s="8">
        <f t="shared" si="249"/>
        <v>1949</v>
      </c>
      <c r="M1317" s="8" t="str">
        <f t="shared" si="254"/>
        <v>Pre-1949 + 1949</v>
      </c>
      <c r="N1317" s="10" t="s">
        <v>241</v>
      </c>
      <c r="O1317" s="10" t="s">
        <v>241</v>
      </c>
      <c r="P1317" s="10" t="s">
        <v>242</v>
      </c>
      <c r="Q1317" s="10" t="s">
        <v>242</v>
      </c>
      <c r="R1317" s="10" t="s">
        <v>241</v>
      </c>
      <c r="S1317" s="10" t="s">
        <v>242</v>
      </c>
      <c r="T1317" s="10" t="s">
        <v>242</v>
      </c>
      <c r="U1317" s="10" t="s">
        <v>242</v>
      </c>
      <c r="V1317" s="10" t="s">
        <v>242</v>
      </c>
      <c r="W1317" s="10" t="s">
        <v>242</v>
      </c>
      <c r="X1317" s="15">
        <f>IF(ISERROR(VLOOKUP($A1317,'13. Updated Demand'!A:Z,15,FALSE)),0,VLOOKUP($A1317,'13. Updated Demand'!A:Z,15,FALSE))</f>
        <v>0</v>
      </c>
      <c r="Y1317" s="16">
        <f>IF(ISERROR(VLOOKUP($A1317,'13. Updated Demand'!A:Z,16,FALSE)),0,VLOOKUP($A1317,'13. Updated Demand'!A:Z,16,FALSE))</f>
        <v>0</v>
      </c>
      <c r="Z1317" s="16">
        <f>IF(ISERROR(VLOOKUP($A1317,'13. Updated Demand'!A:Z,17,FALSE)),0,VLOOKUP($A1317,'13. Updated Demand'!A:Z,17,FALSE))</f>
        <v>0</v>
      </c>
      <c r="AA1317" s="16">
        <f>IF(ISERROR(VLOOKUP($A1317,'13. Updated Demand'!A:Z,18,FALSE)),0,VLOOKUP($A1317,'13. Updated Demand'!A:Z,18,FALSE))</f>
        <v>0</v>
      </c>
      <c r="AB1317" s="16">
        <f>IF(ISERROR(VLOOKUP($A1317,'13. Updated Demand'!A:Z,19,FALSE)),0,VLOOKUP($A1317,'13. Updated Demand'!A:Z,19,FALSE))</f>
        <v>0.1</v>
      </c>
      <c r="AC1317" s="16">
        <f>IF(ISERROR(VLOOKUP($A1317,'13. Updated Demand'!A:Z,20,FALSE)),0,VLOOKUP($A1317,'13. Updated Demand'!A:Z,20,FALSE))</f>
        <v>0.73</v>
      </c>
      <c r="AD1317" s="16">
        <f>IF(ISERROR(VLOOKUP($A1317,'13. Updated Demand'!A:Z,21,FALSE)),0,VLOOKUP($A1317,'13. Updated Demand'!A:Z,21,FALSE))</f>
        <v>1.4</v>
      </c>
      <c r="AE1317" s="16">
        <f>IF(ISERROR(VLOOKUP($A1317,'13. Updated Demand'!A:Z,22,FALSE)),0,VLOOKUP($A1317,'13. Updated Demand'!A:Z,22,FALSE))</f>
        <v>2</v>
      </c>
      <c r="AF1317" s="16">
        <f>IF(ISERROR(VLOOKUP($A1317,'13. Updated Demand'!A:Z,23,FALSE)),0,VLOOKUP($A1317,'13. Updated Demand'!A:Z,23,FALSE))</f>
        <v>1.66</v>
      </c>
      <c r="AG1317" s="16">
        <f>IF(ISERROR(VLOOKUP($A1317,'13. Updated Demand'!A:Z,24,FALSE)),0,VLOOKUP($A1317,'13. Updated Demand'!A:Z,24,FALSE))</f>
        <v>0</v>
      </c>
      <c r="AH1317" s="16">
        <f>IF(ISERROR(VLOOKUP($A1317,'13. Updated Demand'!A:Z,25,FALSE)),0,VLOOKUP($A1317,'13. Updated Demand'!A:Z,25,FALSE))</f>
        <v>0</v>
      </c>
      <c r="AI1317" s="16">
        <f>IF(ISERROR(VLOOKUP($A1317,'13. Updated Demand'!A:Z,26,FALSE)),0,VLOOKUP($A1317,'13. Updated Demand'!A:Z,26,FALSE))</f>
        <v>0</v>
      </c>
      <c r="AJ1317" s="16">
        <f t="shared" si="252"/>
        <v>5.8900000000000006</v>
      </c>
      <c r="AK1317" s="19">
        <v>5.9000000000000021</v>
      </c>
      <c r="AL1317" s="16">
        <f t="shared" si="250"/>
        <v>1.9569627926843511E-2</v>
      </c>
      <c r="AM1317" s="17">
        <v>5.8242843040473863E-2</v>
      </c>
      <c r="AN1317" s="19"/>
      <c r="AO1317" s="19"/>
      <c r="AP1317" s="19">
        <v>101.3</v>
      </c>
      <c r="AQ1317" s="19" t="s">
        <v>307</v>
      </c>
      <c r="AR1317" s="9" t="s">
        <v>436</v>
      </c>
      <c r="AS1317" s="12">
        <v>0</v>
      </c>
      <c r="AT1317" s="19">
        <v>38.676651219999997</v>
      </c>
      <c r="AU1317" s="19">
        <v>-122.85580232</v>
      </c>
      <c r="AV1317" s="19" t="s">
        <v>548</v>
      </c>
    </row>
    <row r="1318" spans="1:48" x14ac:dyDescent="0.25">
      <c r="A1318" s="18" t="s">
        <v>1691</v>
      </c>
      <c r="B1318" s="10">
        <v>19490606</v>
      </c>
      <c r="C1318" s="9">
        <v>17</v>
      </c>
      <c r="D1318" s="8" t="str">
        <f t="shared" si="241"/>
        <v>N</v>
      </c>
      <c r="E1318" s="8" t="str">
        <f t="shared" si="242"/>
        <v>N</v>
      </c>
      <c r="F1318" s="8" t="str">
        <f t="shared" si="243"/>
        <v>N</v>
      </c>
      <c r="G1318" s="8" t="str">
        <f t="shared" si="244"/>
        <v>N</v>
      </c>
      <c r="H1318" s="8" t="str">
        <f t="shared" si="245"/>
        <v>Lower</v>
      </c>
      <c r="I1318" s="8" t="str">
        <f t="shared" si="246"/>
        <v>Outside</v>
      </c>
      <c r="J1318" s="8" t="str">
        <f t="shared" si="247"/>
        <v>Outside</v>
      </c>
      <c r="K1318" s="8" t="str">
        <f t="shared" si="248"/>
        <v>Post-1949</v>
      </c>
      <c r="L1318" s="8">
        <f t="shared" si="249"/>
        <v>1949</v>
      </c>
      <c r="M1318" s="8" t="str">
        <f t="shared" si="254"/>
        <v>Pre-1949 + 1949</v>
      </c>
      <c r="N1318" s="10" t="s">
        <v>241</v>
      </c>
      <c r="O1318" s="10" t="s">
        <v>242</v>
      </c>
      <c r="P1318" s="10" t="s">
        <v>242</v>
      </c>
      <c r="Q1318" s="10" t="s">
        <v>242</v>
      </c>
      <c r="R1318" s="10" t="s">
        <v>241</v>
      </c>
      <c r="S1318" s="10" t="s">
        <v>242</v>
      </c>
      <c r="T1318" s="10" t="s">
        <v>242</v>
      </c>
      <c r="U1318" s="10" t="s">
        <v>242</v>
      </c>
      <c r="V1318" s="10" t="s">
        <v>242</v>
      </c>
      <c r="W1318" s="10" t="s">
        <v>242</v>
      </c>
      <c r="X1318" s="15">
        <f>IF(ISERROR(VLOOKUP($A1318,'13. Updated Demand'!A:Z,15,FALSE)),0,VLOOKUP($A1318,'13. Updated Demand'!A:Z,15,FALSE))</f>
        <v>0</v>
      </c>
      <c r="Y1318" s="16">
        <f>IF(ISERROR(VLOOKUP($A1318,'13. Updated Demand'!A:Z,16,FALSE)),0,VLOOKUP($A1318,'13. Updated Demand'!A:Z,16,FALSE))</f>
        <v>0</v>
      </c>
      <c r="Z1318" s="16">
        <f>IF(ISERROR(VLOOKUP($A1318,'13. Updated Demand'!A:Z,17,FALSE)),0,VLOOKUP($A1318,'13. Updated Demand'!A:Z,17,FALSE))</f>
        <v>0</v>
      </c>
      <c r="AA1318" s="16">
        <f>IF(ISERROR(VLOOKUP($A1318,'13. Updated Demand'!A:Z,18,FALSE)),0,VLOOKUP($A1318,'13. Updated Demand'!A:Z,18,FALSE))</f>
        <v>0</v>
      </c>
      <c r="AB1318" s="16">
        <f>IF(ISERROR(VLOOKUP($A1318,'13. Updated Demand'!A:Z,19,FALSE)),0,VLOOKUP($A1318,'13. Updated Demand'!A:Z,19,FALSE))</f>
        <v>2.6666667000000002E-2</v>
      </c>
      <c r="AC1318" s="16">
        <f>IF(ISERROR(VLOOKUP($A1318,'13. Updated Demand'!A:Z,20,FALSE)),0,VLOOKUP($A1318,'13. Updated Demand'!A:Z,20,FALSE))</f>
        <v>0.263333333</v>
      </c>
      <c r="AD1318" s="16">
        <f>IF(ISERROR(VLOOKUP($A1318,'13. Updated Demand'!A:Z,21,FALSE)),0,VLOOKUP($A1318,'13. Updated Demand'!A:Z,21,FALSE))</f>
        <v>0.50666666699999996</v>
      </c>
      <c r="AE1318" s="16">
        <f>IF(ISERROR(VLOOKUP($A1318,'13. Updated Demand'!A:Z,22,FALSE)),0,VLOOKUP($A1318,'13. Updated Demand'!A:Z,22,FALSE))</f>
        <v>0.52</v>
      </c>
      <c r="AF1318" s="16">
        <f>IF(ISERROR(VLOOKUP($A1318,'13. Updated Demand'!A:Z,23,FALSE)),0,VLOOKUP($A1318,'13. Updated Demand'!A:Z,23,FALSE))</f>
        <v>0</v>
      </c>
      <c r="AG1318" s="16">
        <f>IF(ISERROR(VLOOKUP($A1318,'13. Updated Demand'!A:Z,24,FALSE)),0,VLOOKUP($A1318,'13. Updated Demand'!A:Z,24,FALSE))</f>
        <v>0</v>
      </c>
      <c r="AH1318" s="16">
        <f>IF(ISERROR(VLOOKUP($A1318,'13. Updated Demand'!A:Z,25,FALSE)),0,VLOOKUP($A1318,'13. Updated Demand'!A:Z,25,FALSE))</f>
        <v>0</v>
      </c>
      <c r="AI1318" s="16">
        <f>IF(ISERROR(VLOOKUP($A1318,'13. Updated Demand'!A:Z,26,FALSE)),0,VLOOKUP($A1318,'13. Updated Demand'!A:Z,26,FALSE))</f>
        <v>0</v>
      </c>
      <c r="AJ1318" s="16">
        <f t="shared" si="252"/>
        <v>1.316666667</v>
      </c>
      <c r="AK1318" s="19">
        <v>1.316666667</v>
      </c>
      <c r="AL1318" s="16">
        <f t="shared" si="250"/>
        <v>4.3672333520113826E-3</v>
      </c>
      <c r="AM1318" s="17">
        <v>1.7279090118110237E-2</v>
      </c>
      <c r="AN1318" s="19"/>
      <c r="AO1318" s="19"/>
      <c r="AP1318" s="19">
        <v>76.2</v>
      </c>
      <c r="AQ1318" s="19" t="s">
        <v>307</v>
      </c>
      <c r="AR1318" s="9" t="s">
        <v>486</v>
      </c>
      <c r="AS1318" s="12">
        <v>0</v>
      </c>
      <c r="AT1318" s="19">
        <v>38.523363660000001</v>
      </c>
      <c r="AU1318" s="19">
        <v>-122.86375321</v>
      </c>
      <c r="AV1318" s="19" t="s">
        <v>387</v>
      </c>
    </row>
    <row r="1319" spans="1:48" x14ac:dyDescent="0.25">
      <c r="A1319" s="18" t="s">
        <v>1692</v>
      </c>
      <c r="B1319" s="10">
        <v>19490613</v>
      </c>
      <c r="C1319" s="9">
        <v>17</v>
      </c>
      <c r="D1319" s="8" t="str">
        <f t="shared" si="241"/>
        <v>N</v>
      </c>
      <c r="E1319" s="8" t="str">
        <f t="shared" si="242"/>
        <v>N</v>
      </c>
      <c r="F1319" s="8" t="str">
        <f t="shared" si="243"/>
        <v>N</v>
      </c>
      <c r="G1319" s="8" t="str">
        <f t="shared" si="244"/>
        <v>N</v>
      </c>
      <c r="H1319" s="8" t="str">
        <f t="shared" si="245"/>
        <v>Lower</v>
      </c>
      <c r="I1319" s="8" t="str">
        <f t="shared" si="246"/>
        <v>Outside</v>
      </c>
      <c r="J1319" s="8" t="str">
        <f t="shared" si="247"/>
        <v>Outside</v>
      </c>
      <c r="K1319" s="8" t="str">
        <f t="shared" si="248"/>
        <v>Post-1949</v>
      </c>
      <c r="L1319" s="8">
        <f t="shared" si="249"/>
        <v>1949</v>
      </c>
      <c r="M1319" s="8" t="str">
        <f t="shared" si="254"/>
        <v>Pre-1949 + 1949</v>
      </c>
      <c r="N1319" s="10" t="s">
        <v>241</v>
      </c>
      <c r="O1319" s="10" t="s">
        <v>242</v>
      </c>
      <c r="P1319" s="10" t="s">
        <v>242</v>
      </c>
      <c r="Q1319" s="10" t="s">
        <v>242</v>
      </c>
      <c r="R1319" s="10" t="s">
        <v>241</v>
      </c>
      <c r="S1319" s="10" t="s">
        <v>242</v>
      </c>
      <c r="T1319" s="10" t="s">
        <v>242</v>
      </c>
      <c r="U1319" s="10" t="s">
        <v>241</v>
      </c>
      <c r="V1319" s="10" t="s">
        <v>241</v>
      </c>
      <c r="W1319" s="10" t="s">
        <v>242</v>
      </c>
      <c r="X1319" s="15">
        <f>IF(ISERROR(VLOOKUP($A1319,'13. Updated Demand'!A:Z,15,FALSE)),0,VLOOKUP($A1319,'13. Updated Demand'!A:Z,15,FALSE))</f>
        <v>0</v>
      </c>
      <c r="Y1319" s="16">
        <f>IF(ISERROR(VLOOKUP($A1319,'13. Updated Demand'!A:Z,16,FALSE)),0,VLOOKUP($A1319,'13. Updated Demand'!A:Z,16,FALSE))</f>
        <v>0</v>
      </c>
      <c r="Z1319" s="16">
        <f>IF(ISERROR(VLOOKUP($A1319,'13. Updated Demand'!A:Z,17,FALSE)),0,VLOOKUP($A1319,'13. Updated Demand'!A:Z,17,FALSE))</f>
        <v>0</v>
      </c>
      <c r="AA1319" s="16">
        <f>IF(ISERROR(VLOOKUP($A1319,'13. Updated Demand'!A:Z,18,FALSE)),0,VLOOKUP($A1319,'13. Updated Demand'!A:Z,18,FALSE))</f>
        <v>0</v>
      </c>
      <c r="AB1319" s="16">
        <f>IF(ISERROR(VLOOKUP($A1319,'13. Updated Demand'!A:Z,19,FALSE)),0,VLOOKUP($A1319,'13. Updated Demand'!A:Z,19,FALSE))</f>
        <v>0</v>
      </c>
      <c r="AC1319" s="16">
        <f>IF(ISERROR(VLOOKUP($A1319,'13. Updated Demand'!A:Z,20,FALSE)),0,VLOOKUP($A1319,'13. Updated Demand'!A:Z,20,FALSE))</f>
        <v>0</v>
      </c>
      <c r="AD1319" s="16">
        <f>IF(ISERROR(VLOOKUP($A1319,'13. Updated Demand'!A:Z,21,FALSE)),0,VLOOKUP($A1319,'13. Updated Demand'!A:Z,21,FALSE))</f>
        <v>0</v>
      </c>
      <c r="AE1319" s="16">
        <f>IF(ISERROR(VLOOKUP($A1319,'13. Updated Demand'!A:Z,22,FALSE)),0,VLOOKUP($A1319,'13. Updated Demand'!A:Z,22,FALSE))</f>
        <v>0</v>
      </c>
      <c r="AF1319" s="16">
        <f>IF(ISERROR(VLOOKUP($A1319,'13. Updated Demand'!A:Z,23,FALSE)),0,VLOOKUP($A1319,'13. Updated Demand'!A:Z,23,FALSE))</f>
        <v>0</v>
      </c>
      <c r="AG1319" s="16">
        <f>IF(ISERROR(VLOOKUP($A1319,'13. Updated Demand'!A:Z,24,FALSE)),0,VLOOKUP($A1319,'13. Updated Demand'!A:Z,24,FALSE))</f>
        <v>0</v>
      </c>
      <c r="AH1319" s="16">
        <f>IF(ISERROR(VLOOKUP($A1319,'13. Updated Demand'!A:Z,25,FALSE)),0,VLOOKUP($A1319,'13. Updated Demand'!A:Z,25,FALSE))</f>
        <v>0</v>
      </c>
      <c r="AI1319" s="16">
        <f>IF(ISERROR(VLOOKUP($A1319,'13. Updated Demand'!A:Z,26,FALSE)),0,VLOOKUP($A1319,'13. Updated Demand'!A:Z,26,FALSE))</f>
        <v>0</v>
      </c>
      <c r="AJ1319" s="16">
        <f t="shared" si="252"/>
        <v>0</v>
      </c>
      <c r="AK1319" s="19">
        <v>0</v>
      </c>
      <c r="AL1319" s="16">
        <f t="shared" si="250"/>
        <v>0</v>
      </c>
      <c r="AM1319" s="17">
        <v>0</v>
      </c>
      <c r="AN1319" s="19"/>
      <c r="AO1319" s="19"/>
      <c r="AP1319" s="19">
        <v>87.6</v>
      </c>
      <c r="AQ1319" s="19" t="s">
        <v>307</v>
      </c>
      <c r="AR1319" s="9" t="s">
        <v>486</v>
      </c>
      <c r="AS1319" s="12">
        <v>0</v>
      </c>
      <c r="AT1319" s="19">
        <v>38.531059679999998</v>
      </c>
      <c r="AU1319" s="19">
        <v>-122.8627975</v>
      </c>
      <c r="AV1319" s="19" t="s">
        <v>387</v>
      </c>
    </row>
    <row r="1320" spans="1:48" x14ac:dyDescent="0.25">
      <c r="A1320" s="18" t="s">
        <v>1693</v>
      </c>
      <c r="B1320" s="10">
        <v>19490620</v>
      </c>
      <c r="C1320" s="9">
        <v>11</v>
      </c>
      <c r="D1320" s="8" t="str">
        <f t="shared" si="241"/>
        <v>N</v>
      </c>
      <c r="E1320" s="8" t="str">
        <f t="shared" si="242"/>
        <v>Y</v>
      </c>
      <c r="F1320" s="8" t="str">
        <f t="shared" si="243"/>
        <v>Y</v>
      </c>
      <c r="G1320" s="8" t="str">
        <f t="shared" si="244"/>
        <v>Y</v>
      </c>
      <c r="H1320" s="8" t="str">
        <f t="shared" si="245"/>
        <v>Upper</v>
      </c>
      <c r="I1320" s="8" t="str">
        <f t="shared" si="246"/>
        <v>West Fork and Below Lake</v>
      </c>
      <c r="J1320" s="8" t="str">
        <f t="shared" si="247"/>
        <v>Sonoma (d/s of Clov. Gage)</v>
      </c>
      <c r="K1320" s="8" t="str">
        <f t="shared" si="248"/>
        <v>Post-1949</v>
      </c>
      <c r="L1320" s="8">
        <f t="shared" si="249"/>
        <v>1949</v>
      </c>
      <c r="M1320" s="8" t="str">
        <f t="shared" si="254"/>
        <v>Pre-1949 + 1949</v>
      </c>
      <c r="N1320" s="10" t="s">
        <v>242</v>
      </c>
      <c r="O1320" s="10" t="s">
        <v>241</v>
      </c>
      <c r="P1320" s="10" t="s">
        <v>242</v>
      </c>
      <c r="Q1320" s="10" t="s">
        <v>242</v>
      </c>
      <c r="R1320" s="10" t="s">
        <v>241</v>
      </c>
      <c r="S1320" s="10" t="s">
        <v>242</v>
      </c>
      <c r="T1320" s="10" t="s">
        <v>242</v>
      </c>
      <c r="U1320" s="10" t="s">
        <v>242</v>
      </c>
      <c r="V1320" s="10" t="s">
        <v>242</v>
      </c>
      <c r="W1320" s="10" t="s">
        <v>242</v>
      </c>
      <c r="X1320" s="15">
        <f>IF(ISERROR(VLOOKUP($A1320,'13. Updated Demand'!A:Z,15,FALSE)),0,VLOOKUP($A1320,'13. Updated Demand'!A:Z,15,FALSE))</f>
        <v>0</v>
      </c>
      <c r="Y1320" s="16">
        <f>IF(ISERROR(VLOOKUP($A1320,'13. Updated Demand'!A:Z,16,FALSE)),0,VLOOKUP($A1320,'13. Updated Demand'!A:Z,16,FALSE))</f>
        <v>0</v>
      </c>
      <c r="Z1320" s="16">
        <f>IF(ISERROR(VLOOKUP($A1320,'13. Updated Demand'!A:Z,17,FALSE)),0,VLOOKUP($A1320,'13. Updated Demand'!A:Z,17,FALSE))</f>
        <v>0</v>
      </c>
      <c r="AA1320" s="16">
        <f>IF(ISERROR(VLOOKUP($A1320,'13. Updated Demand'!A:Z,18,FALSE)),0,VLOOKUP($A1320,'13. Updated Demand'!A:Z,18,FALSE))</f>
        <v>0</v>
      </c>
      <c r="AB1320" s="16">
        <f>IF(ISERROR(VLOOKUP($A1320,'13. Updated Demand'!A:Z,19,FALSE)),0,VLOOKUP($A1320,'13. Updated Demand'!A:Z,19,FALSE))</f>
        <v>0.03</v>
      </c>
      <c r="AC1320" s="16">
        <f>IF(ISERROR(VLOOKUP($A1320,'13. Updated Demand'!A:Z,20,FALSE)),0,VLOOKUP($A1320,'13. Updated Demand'!A:Z,20,FALSE))</f>
        <v>0.02</v>
      </c>
      <c r="AD1320" s="16">
        <f>IF(ISERROR(VLOOKUP($A1320,'13. Updated Demand'!A:Z,21,FALSE)),0,VLOOKUP($A1320,'13. Updated Demand'!A:Z,21,FALSE))</f>
        <v>0.02</v>
      </c>
      <c r="AE1320" s="16">
        <f>IF(ISERROR(VLOOKUP($A1320,'13. Updated Demand'!A:Z,22,FALSE)),0,VLOOKUP($A1320,'13. Updated Demand'!A:Z,22,FALSE))</f>
        <v>0.03</v>
      </c>
      <c r="AF1320" s="16">
        <f>IF(ISERROR(VLOOKUP($A1320,'13. Updated Demand'!A:Z,23,FALSE)),0,VLOOKUP($A1320,'13. Updated Demand'!A:Z,23,FALSE))</f>
        <v>0.01</v>
      </c>
      <c r="AG1320" s="16">
        <f>IF(ISERROR(VLOOKUP($A1320,'13. Updated Demand'!A:Z,24,FALSE)),0,VLOOKUP($A1320,'13. Updated Demand'!A:Z,24,FALSE))</f>
        <v>0</v>
      </c>
      <c r="AH1320" s="16">
        <f>IF(ISERROR(VLOOKUP($A1320,'13. Updated Demand'!A:Z,25,FALSE)),0,VLOOKUP($A1320,'13. Updated Demand'!A:Z,25,FALSE))</f>
        <v>0</v>
      </c>
      <c r="AI1320" s="16">
        <f>IF(ISERROR(VLOOKUP($A1320,'13. Updated Demand'!A:Z,26,FALSE)),0,VLOOKUP($A1320,'13. Updated Demand'!A:Z,26,FALSE))</f>
        <v>0</v>
      </c>
      <c r="AJ1320" s="16">
        <f t="shared" si="252"/>
        <v>0.11</v>
      </c>
      <c r="AK1320" s="19">
        <v>0.13034333299999998</v>
      </c>
      <c r="AL1320" s="16">
        <f t="shared" si="250"/>
        <v>4.3233398806011221E-4</v>
      </c>
      <c r="AM1320" s="17">
        <v>4.494597689655172E-2</v>
      </c>
      <c r="AN1320" s="19"/>
      <c r="AO1320" s="19"/>
      <c r="AP1320" s="19">
        <v>2.9</v>
      </c>
      <c r="AQ1320" s="19" t="s">
        <v>307</v>
      </c>
      <c r="AR1320" s="9" t="s">
        <v>308</v>
      </c>
      <c r="AS1320" s="12">
        <v>3.4039024194010059E-4</v>
      </c>
      <c r="AT1320" s="19">
        <v>38.642499999999998</v>
      </c>
      <c r="AU1320" s="19">
        <v>-122.7521</v>
      </c>
      <c r="AV1320" s="19" t="s">
        <v>609</v>
      </c>
    </row>
    <row r="1321" spans="1:48" x14ac:dyDescent="0.25">
      <c r="A1321" s="18" t="s">
        <v>1694</v>
      </c>
      <c r="B1321" s="10">
        <v>19490620</v>
      </c>
      <c r="C1321" s="9">
        <v>23</v>
      </c>
      <c r="D1321" s="8" t="str">
        <f t="shared" si="241"/>
        <v>N</v>
      </c>
      <c r="E1321" s="8" t="str">
        <f t="shared" si="242"/>
        <v>N</v>
      </c>
      <c r="F1321" s="8" t="str">
        <f t="shared" si="243"/>
        <v>N</v>
      </c>
      <c r="G1321" s="8" t="str">
        <f t="shared" si="244"/>
        <v>N</v>
      </c>
      <c r="H1321" s="8" t="str">
        <f t="shared" si="245"/>
        <v>Lower</v>
      </c>
      <c r="I1321" s="8" t="str">
        <f t="shared" si="246"/>
        <v>Outside</v>
      </c>
      <c r="J1321" s="8" t="str">
        <f t="shared" si="247"/>
        <v>Outside</v>
      </c>
      <c r="K1321" s="8" t="str">
        <f t="shared" si="248"/>
        <v>Post-1949</v>
      </c>
      <c r="L1321" s="8">
        <f t="shared" si="249"/>
        <v>1949</v>
      </c>
      <c r="M1321" s="8" t="str">
        <f t="shared" si="254"/>
        <v>Pre-1949 + 1949</v>
      </c>
      <c r="N1321" s="10" t="s">
        <v>242</v>
      </c>
      <c r="O1321" s="10" t="s">
        <v>242</v>
      </c>
      <c r="P1321" s="10" t="s">
        <v>242</v>
      </c>
      <c r="Q1321" s="10" t="s">
        <v>242</v>
      </c>
      <c r="R1321" s="10" t="s">
        <v>241</v>
      </c>
      <c r="S1321" s="10" t="s">
        <v>242</v>
      </c>
      <c r="T1321" s="10" t="s">
        <v>242</v>
      </c>
      <c r="U1321" s="10" t="s">
        <v>241</v>
      </c>
      <c r="V1321" s="10" t="s">
        <v>241</v>
      </c>
      <c r="W1321" s="10" t="s">
        <v>242</v>
      </c>
      <c r="X1321" s="15">
        <f>IF(ISERROR(VLOOKUP($A1321,'13. Updated Demand'!A:Z,15,FALSE)),0,VLOOKUP($A1321,'13. Updated Demand'!A:Z,15,FALSE))</f>
        <v>0</v>
      </c>
      <c r="Y1321" s="16">
        <f>IF(ISERROR(VLOOKUP($A1321,'13. Updated Demand'!A:Z,16,FALSE)),0,VLOOKUP($A1321,'13. Updated Demand'!A:Z,16,FALSE))</f>
        <v>0</v>
      </c>
      <c r="Z1321" s="16">
        <f>IF(ISERROR(VLOOKUP($A1321,'13. Updated Demand'!A:Z,17,FALSE)),0,VLOOKUP($A1321,'13. Updated Demand'!A:Z,17,FALSE))</f>
        <v>0</v>
      </c>
      <c r="AA1321" s="16">
        <f>IF(ISERROR(VLOOKUP($A1321,'13. Updated Demand'!A:Z,18,FALSE)),0,VLOOKUP($A1321,'13. Updated Demand'!A:Z,18,FALSE))</f>
        <v>0</v>
      </c>
      <c r="AB1321" s="16">
        <f>IF(ISERROR(VLOOKUP($A1321,'13. Updated Demand'!A:Z,19,FALSE)),0,VLOOKUP($A1321,'13. Updated Demand'!A:Z,19,FALSE))</f>
        <v>0</v>
      </c>
      <c r="AC1321" s="16">
        <f>IF(ISERROR(VLOOKUP($A1321,'13. Updated Demand'!A:Z,20,FALSE)),0,VLOOKUP($A1321,'13. Updated Demand'!A:Z,20,FALSE))</f>
        <v>0</v>
      </c>
      <c r="AD1321" s="16">
        <f>IF(ISERROR(VLOOKUP($A1321,'13. Updated Demand'!A:Z,21,FALSE)),0,VLOOKUP($A1321,'13. Updated Demand'!A:Z,21,FALSE))</f>
        <v>0</v>
      </c>
      <c r="AE1321" s="16">
        <f>IF(ISERROR(VLOOKUP($A1321,'13. Updated Demand'!A:Z,22,FALSE)),0,VLOOKUP($A1321,'13. Updated Demand'!A:Z,22,FALSE))</f>
        <v>0</v>
      </c>
      <c r="AF1321" s="16">
        <f>IF(ISERROR(VLOOKUP($A1321,'13. Updated Demand'!A:Z,23,FALSE)),0,VLOOKUP($A1321,'13. Updated Demand'!A:Z,23,FALSE))</f>
        <v>0</v>
      </c>
      <c r="AG1321" s="16">
        <f>IF(ISERROR(VLOOKUP($A1321,'13. Updated Demand'!A:Z,24,FALSE)),0,VLOOKUP($A1321,'13. Updated Demand'!A:Z,24,FALSE))</f>
        <v>0</v>
      </c>
      <c r="AH1321" s="16">
        <f>IF(ISERROR(VLOOKUP($A1321,'13. Updated Demand'!A:Z,25,FALSE)),0,VLOOKUP($A1321,'13. Updated Demand'!A:Z,25,FALSE))</f>
        <v>0</v>
      </c>
      <c r="AI1321" s="16">
        <f>IF(ISERROR(VLOOKUP($A1321,'13. Updated Demand'!A:Z,26,FALSE)),0,VLOOKUP($A1321,'13. Updated Demand'!A:Z,26,FALSE))</f>
        <v>0</v>
      </c>
      <c r="AJ1321" s="16">
        <f t="shared" si="252"/>
        <v>0</v>
      </c>
      <c r="AK1321" s="19">
        <v>0</v>
      </c>
      <c r="AL1321" s="16">
        <f t="shared" si="250"/>
        <v>0</v>
      </c>
      <c r="AM1321" s="17">
        <v>0</v>
      </c>
      <c r="AN1321" s="19"/>
      <c r="AO1321" s="19"/>
      <c r="AP1321" s="19">
        <v>0.9</v>
      </c>
      <c r="AQ1321" s="19" t="s">
        <v>307</v>
      </c>
      <c r="AR1321" s="9" t="s">
        <v>323</v>
      </c>
      <c r="AS1321" s="12">
        <v>0</v>
      </c>
      <c r="AT1321" s="19">
        <v>38.508607320000003</v>
      </c>
      <c r="AU1321" s="19">
        <v>-122.64095526</v>
      </c>
      <c r="AV1321" s="19" t="s">
        <v>735</v>
      </c>
    </row>
    <row r="1322" spans="1:48" x14ac:dyDescent="0.25">
      <c r="A1322" s="18" t="s">
        <v>1695</v>
      </c>
      <c r="B1322" s="10">
        <v>19490629</v>
      </c>
      <c r="C1322" s="9">
        <v>12</v>
      </c>
      <c r="D1322" s="8" t="str">
        <f t="shared" si="241"/>
        <v>N</v>
      </c>
      <c r="E1322" s="8" t="str">
        <f t="shared" si="242"/>
        <v>Y</v>
      </c>
      <c r="F1322" s="8" t="str">
        <f t="shared" si="243"/>
        <v>Y</v>
      </c>
      <c r="G1322" s="8" t="str">
        <f t="shared" si="244"/>
        <v>Y</v>
      </c>
      <c r="H1322" s="8" t="str">
        <f t="shared" si="245"/>
        <v>Upper</v>
      </c>
      <c r="I1322" s="8" t="str">
        <f t="shared" si="246"/>
        <v>West Fork and Below Lake</v>
      </c>
      <c r="J1322" s="8" t="str">
        <f t="shared" si="247"/>
        <v>Sonoma (d/s of Clov. Gage)</v>
      </c>
      <c r="K1322" s="8" t="str">
        <f t="shared" si="248"/>
        <v>Post-1949</v>
      </c>
      <c r="L1322" s="8">
        <f t="shared" si="249"/>
        <v>1949</v>
      </c>
      <c r="M1322" s="8" t="str">
        <f t="shared" si="254"/>
        <v>Pre-1949 + 1949</v>
      </c>
      <c r="N1322" s="10" t="s">
        <v>241</v>
      </c>
      <c r="O1322" s="10" t="s">
        <v>241</v>
      </c>
      <c r="P1322" s="10" t="s">
        <v>242</v>
      </c>
      <c r="Q1322" s="10" t="s">
        <v>242</v>
      </c>
      <c r="R1322" s="10" t="s">
        <v>241</v>
      </c>
      <c r="S1322" s="10" t="s">
        <v>242</v>
      </c>
      <c r="T1322" s="10" t="s">
        <v>242</v>
      </c>
      <c r="U1322" s="10" t="s">
        <v>242</v>
      </c>
      <c r="V1322" s="10" t="s">
        <v>242</v>
      </c>
      <c r="W1322" s="10" t="s">
        <v>242</v>
      </c>
      <c r="X1322" s="15">
        <f>IF(ISERROR(VLOOKUP($A1322,'13. Updated Demand'!A:Z,15,FALSE)),0,VLOOKUP($A1322,'13. Updated Demand'!A:Z,15,FALSE))</f>
        <v>0</v>
      </c>
      <c r="Y1322" s="16">
        <f>IF(ISERROR(VLOOKUP($A1322,'13. Updated Demand'!A:Z,16,FALSE)),0,VLOOKUP($A1322,'13. Updated Demand'!A:Z,16,FALSE))</f>
        <v>0</v>
      </c>
      <c r="Z1322" s="16">
        <f>IF(ISERROR(VLOOKUP($A1322,'13. Updated Demand'!A:Z,17,FALSE)),0,VLOOKUP($A1322,'13. Updated Demand'!A:Z,17,FALSE))</f>
        <v>0</v>
      </c>
      <c r="AA1322" s="16">
        <f>IF(ISERROR(VLOOKUP($A1322,'13. Updated Demand'!A:Z,18,FALSE)),0,VLOOKUP($A1322,'13. Updated Demand'!A:Z,18,FALSE))</f>
        <v>0</v>
      </c>
      <c r="AB1322" s="16">
        <f>IF(ISERROR(VLOOKUP($A1322,'13. Updated Demand'!A:Z,19,FALSE)),0,VLOOKUP($A1322,'13. Updated Demand'!A:Z,19,FALSE))</f>
        <v>0.33</v>
      </c>
      <c r="AC1322" s="16">
        <f>IF(ISERROR(VLOOKUP($A1322,'13. Updated Demand'!A:Z,20,FALSE)),0,VLOOKUP($A1322,'13. Updated Demand'!A:Z,20,FALSE))</f>
        <v>2.75</v>
      </c>
      <c r="AD1322" s="16">
        <f>IF(ISERROR(VLOOKUP($A1322,'13. Updated Demand'!A:Z,21,FALSE)),0,VLOOKUP($A1322,'13. Updated Demand'!A:Z,21,FALSE))</f>
        <v>2.83</v>
      </c>
      <c r="AE1322" s="16">
        <f>IF(ISERROR(VLOOKUP($A1322,'13. Updated Demand'!A:Z,22,FALSE)),0,VLOOKUP($A1322,'13. Updated Demand'!A:Z,22,FALSE))</f>
        <v>3</v>
      </c>
      <c r="AF1322" s="16">
        <f>IF(ISERROR(VLOOKUP($A1322,'13. Updated Demand'!A:Z,23,FALSE)),0,VLOOKUP($A1322,'13. Updated Demand'!A:Z,23,FALSE))</f>
        <v>3.33</v>
      </c>
      <c r="AG1322" s="16">
        <f>IF(ISERROR(VLOOKUP($A1322,'13. Updated Demand'!A:Z,24,FALSE)),0,VLOOKUP($A1322,'13. Updated Demand'!A:Z,24,FALSE))</f>
        <v>0.74</v>
      </c>
      <c r="AH1322" s="16">
        <f>IF(ISERROR(VLOOKUP($A1322,'13. Updated Demand'!A:Z,25,FALSE)),0,VLOOKUP($A1322,'13. Updated Demand'!A:Z,25,FALSE))</f>
        <v>0</v>
      </c>
      <c r="AI1322" s="16">
        <f>IF(ISERROR(VLOOKUP($A1322,'13. Updated Demand'!A:Z,26,FALSE)),0,VLOOKUP($A1322,'13. Updated Demand'!A:Z,26,FALSE))</f>
        <v>0</v>
      </c>
      <c r="AJ1322" s="16">
        <f t="shared" si="252"/>
        <v>12.98</v>
      </c>
      <c r="AK1322" s="19">
        <v>12.256666666666662</v>
      </c>
      <c r="AL1322" s="16">
        <f t="shared" si="250"/>
        <v>4.0653967167798608E-2</v>
      </c>
      <c r="AM1322" s="17">
        <v>0.99999999999999956</v>
      </c>
      <c r="AN1322" s="19"/>
      <c r="AO1322" s="19"/>
      <c r="AP1322" s="19">
        <v>13</v>
      </c>
      <c r="AQ1322" s="19" t="s">
        <v>307</v>
      </c>
      <c r="AR1322" s="9" t="s">
        <v>311</v>
      </c>
      <c r="AS1322" s="12">
        <v>0</v>
      </c>
      <c r="AT1322" s="19">
        <v>38.638919659999999</v>
      </c>
      <c r="AU1322" s="19">
        <v>-122.79407788</v>
      </c>
      <c r="AV1322" s="19" t="s">
        <v>387</v>
      </c>
    </row>
    <row r="1323" spans="1:48" x14ac:dyDescent="0.25">
      <c r="A1323" s="18" t="s">
        <v>61</v>
      </c>
      <c r="B1323" s="10">
        <v>19490629</v>
      </c>
      <c r="C1323" s="9">
        <v>12</v>
      </c>
      <c r="D1323" s="8" t="str">
        <f t="shared" si="241"/>
        <v>N</v>
      </c>
      <c r="E1323" s="8" t="str">
        <f t="shared" si="242"/>
        <v>Y</v>
      </c>
      <c r="F1323" s="8" t="str">
        <f t="shared" si="243"/>
        <v>Y</v>
      </c>
      <c r="G1323" s="8" t="str">
        <f t="shared" si="244"/>
        <v>Y</v>
      </c>
      <c r="H1323" s="8" t="str">
        <f t="shared" si="245"/>
        <v>Upper</v>
      </c>
      <c r="I1323" s="8" t="str">
        <f t="shared" si="246"/>
        <v>West Fork and Below Lake</v>
      </c>
      <c r="J1323" s="8" t="str">
        <f t="shared" si="247"/>
        <v>Sonoma (d/s of Clov. Gage)</v>
      </c>
      <c r="K1323" s="8" t="str">
        <f t="shared" si="248"/>
        <v>Post-1949</v>
      </c>
      <c r="L1323" s="8">
        <f t="shared" si="249"/>
        <v>1949</v>
      </c>
      <c r="M1323" s="8" t="str">
        <f t="shared" si="254"/>
        <v>Pre-1949 + 1949</v>
      </c>
      <c r="N1323" s="10" t="s">
        <v>241</v>
      </c>
      <c r="O1323" s="10" t="s">
        <v>241</v>
      </c>
      <c r="P1323" s="10" t="s">
        <v>242</v>
      </c>
      <c r="Q1323" s="10" t="s">
        <v>242</v>
      </c>
      <c r="R1323" s="10" t="s">
        <v>241</v>
      </c>
      <c r="S1323" s="10" t="s">
        <v>242</v>
      </c>
      <c r="T1323" s="10" t="s">
        <v>242</v>
      </c>
      <c r="U1323" s="10" t="s">
        <v>242</v>
      </c>
      <c r="V1323" s="10" t="s">
        <v>242</v>
      </c>
      <c r="W1323" s="10" t="s">
        <v>242</v>
      </c>
      <c r="X1323" s="15">
        <f>IF(ISERROR(VLOOKUP($A1323,'13. Updated Demand'!A:Z,15,FALSE)),0,VLOOKUP($A1323,'13. Updated Demand'!A:Z,15,FALSE))</f>
        <v>0</v>
      </c>
      <c r="Y1323" s="16">
        <f>IF(ISERROR(VLOOKUP($A1323,'13. Updated Demand'!A:Z,16,FALSE)),0,VLOOKUP($A1323,'13. Updated Demand'!A:Z,16,FALSE))</f>
        <v>0</v>
      </c>
      <c r="Z1323" s="16">
        <f>IF(ISERROR(VLOOKUP($A1323,'13. Updated Demand'!A:Z,17,FALSE)),0,VLOOKUP($A1323,'13. Updated Demand'!A:Z,17,FALSE))</f>
        <v>0</v>
      </c>
      <c r="AA1323" s="16">
        <f>IF(ISERROR(VLOOKUP($A1323,'13. Updated Demand'!A:Z,18,FALSE)),0,VLOOKUP($A1323,'13. Updated Demand'!A:Z,18,FALSE))</f>
        <v>0</v>
      </c>
      <c r="AB1323" s="16">
        <f>IF(ISERROR(VLOOKUP($A1323,'13. Updated Demand'!A:Z,19,FALSE)),0,VLOOKUP($A1323,'13. Updated Demand'!A:Z,19,FALSE))</f>
        <v>0.3</v>
      </c>
      <c r="AC1323" s="16">
        <f>IF(ISERROR(VLOOKUP($A1323,'13. Updated Demand'!A:Z,20,FALSE)),0,VLOOKUP($A1323,'13. Updated Demand'!A:Z,20,FALSE))</f>
        <v>0.66</v>
      </c>
      <c r="AD1323" s="16">
        <f>IF(ISERROR(VLOOKUP($A1323,'13. Updated Demand'!A:Z,21,FALSE)),0,VLOOKUP($A1323,'13. Updated Demand'!A:Z,21,FALSE))</f>
        <v>1.2</v>
      </c>
      <c r="AE1323" s="16">
        <f>IF(ISERROR(VLOOKUP($A1323,'13. Updated Demand'!A:Z,22,FALSE)),0,VLOOKUP($A1323,'13. Updated Demand'!A:Z,22,FALSE))</f>
        <v>1.4</v>
      </c>
      <c r="AF1323" s="16">
        <f>IF(ISERROR(VLOOKUP($A1323,'13. Updated Demand'!A:Z,23,FALSE)),0,VLOOKUP($A1323,'13. Updated Demand'!A:Z,23,FALSE))</f>
        <v>1.1000000000000001</v>
      </c>
      <c r="AG1323" s="16">
        <f>IF(ISERROR(VLOOKUP($A1323,'13. Updated Demand'!A:Z,24,FALSE)),0,VLOOKUP($A1323,'13. Updated Demand'!A:Z,24,FALSE))</f>
        <v>0.6</v>
      </c>
      <c r="AH1323" s="16">
        <f>IF(ISERROR(VLOOKUP($A1323,'13. Updated Demand'!A:Z,25,FALSE)),0,VLOOKUP($A1323,'13. Updated Demand'!A:Z,25,FALSE))</f>
        <v>0</v>
      </c>
      <c r="AI1323" s="16">
        <f>IF(ISERROR(VLOOKUP($A1323,'13. Updated Demand'!A:Z,26,FALSE)),0,VLOOKUP($A1323,'13. Updated Demand'!A:Z,26,FALSE))</f>
        <v>0</v>
      </c>
      <c r="AJ1323" s="16">
        <f t="shared" si="252"/>
        <v>5.26</v>
      </c>
      <c r="AK1323" s="19">
        <v>4.666666666666667</v>
      </c>
      <c r="AL1323" s="16">
        <f t="shared" si="250"/>
        <v>1.547880175004571E-2</v>
      </c>
      <c r="AM1323" s="17">
        <v>0.40512820512820513</v>
      </c>
      <c r="AN1323" s="19"/>
      <c r="AO1323" s="19"/>
      <c r="AP1323" s="19">
        <v>13</v>
      </c>
      <c r="AQ1323" s="19" t="s">
        <v>307</v>
      </c>
      <c r="AR1323" s="9" t="s">
        <v>311</v>
      </c>
      <c r="AS1323" s="12">
        <v>0</v>
      </c>
      <c r="AT1323" s="19">
        <v>38.652414620000002</v>
      </c>
      <c r="AU1323" s="19">
        <v>-122.78827502</v>
      </c>
      <c r="AV1323" s="19" t="s">
        <v>387</v>
      </c>
    </row>
    <row r="1324" spans="1:48" x14ac:dyDescent="0.25">
      <c r="A1324" s="18" t="s">
        <v>66</v>
      </c>
      <c r="B1324" s="10">
        <v>19490629</v>
      </c>
      <c r="C1324" s="9">
        <v>12</v>
      </c>
      <c r="D1324" s="8" t="str">
        <f t="shared" si="241"/>
        <v>N</v>
      </c>
      <c r="E1324" s="8" t="str">
        <f t="shared" si="242"/>
        <v>Y</v>
      </c>
      <c r="F1324" s="8" t="str">
        <f t="shared" si="243"/>
        <v>Y</v>
      </c>
      <c r="G1324" s="8" t="str">
        <f t="shared" si="244"/>
        <v>Y</v>
      </c>
      <c r="H1324" s="8" t="str">
        <f t="shared" si="245"/>
        <v>Upper</v>
      </c>
      <c r="I1324" s="8" t="str">
        <f t="shared" si="246"/>
        <v>West Fork and Below Lake</v>
      </c>
      <c r="J1324" s="8" t="str">
        <f t="shared" si="247"/>
        <v>Sonoma (d/s of Clov. Gage)</v>
      </c>
      <c r="K1324" s="8" t="str">
        <f t="shared" si="248"/>
        <v>Post-1949</v>
      </c>
      <c r="L1324" s="8">
        <f t="shared" si="249"/>
        <v>1949</v>
      </c>
      <c r="M1324" s="8" t="str">
        <f t="shared" si="254"/>
        <v>Pre-1949 + 1949</v>
      </c>
      <c r="N1324" s="10" t="s">
        <v>241</v>
      </c>
      <c r="O1324" s="10" t="s">
        <v>241</v>
      </c>
      <c r="P1324" s="10" t="s">
        <v>242</v>
      </c>
      <c r="Q1324" s="10" t="s">
        <v>242</v>
      </c>
      <c r="R1324" s="10" t="s">
        <v>241</v>
      </c>
      <c r="S1324" s="10" t="s">
        <v>242</v>
      </c>
      <c r="T1324" s="10" t="s">
        <v>242</v>
      </c>
      <c r="U1324" s="10" t="s">
        <v>242</v>
      </c>
      <c r="V1324" s="10" t="s">
        <v>242</v>
      </c>
      <c r="W1324" s="10" t="s">
        <v>242</v>
      </c>
      <c r="X1324" s="15">
        <f>IF(ISERROR(VLOOKUP($A1324,'13. Updated Demand'!A:Z,15,FALSE)),0,VLOOKUP($A1324,'13. Updated Demand'!A:Z,15,FALSE))</f>
        <v>0</v>
      </c>
      <c r="Y1324" s="16">
        <f>IF(ISERROR(VLOOKUP($A1324,'13. Updated Demand'!A:Z,16,FALSE)),0,VLOOKUP($A1324,'13. Updated Demand'!A:Z,16,FALSE))</f>
        <v>0</v>
      </c>
      <c r="Z1324" s="16">
        <f>IF(ISERROR(VLOOKUP($A1324,'13. Updated Demand'!A:Z,17,FALSE)),0,VLOOKUP($A1324,'13. Updated Demand'!A:Z,17,FALSE))</f>
        <v>0</v>
      </c>
      <c r="AA1324" s="16">
        <f>IF(ISERROR(VLOOKUP($A1324,'13. Updated Demand'!A:Z,18,FALSE)),0,VLOOKUP($A1324,'13. Updated Demand'!A:Z,18,FALSE))</f>
        <v>0</v>
      </c>
      <c r="AB1324" s="16">
        <f>IF(ISERROR(VLOOKUP($A1324,'13. Updated Demand'!A:Z,19,FALSE)),0,VLOOKUP($A1324,'13. Updated Demand'!A:Z,19,FALSE))</f>
        <v>1.2</v>
      </c>
      <c r="AC1324" s="16">
        <f>IF(ISERROR(VLOOKUP($A1324,'13. Updated Demand'!A:Z,20,FALSE)),0,VLOOKUP($A1324,'13. Updated Demand'!A:Z,20,FALSE))</f>
        <v>2.76</v>
      </c>
      <c r="AD1324" s="16">
        <f>IF(ISERROR(VLOOKUP($A1324,'13. Updated Demand'!A:Z,21,FALSE)),0,VLOOKUP($A1324,'13. Updated Demand'!A:Z,21,FALSE))</f>
        <v>5.0599999999999996</v>
      </c>
      <c r="AE1324" s="16">
        <f>IF(ISERROR(VLOOKUP($A1324,'13. Updated Demand'!A:Z,22,FALSE)),0,VLOOKUP($A1324,'13. Updated Demand'!A:Z,22,FALSE))</f>
        <v>6</v>
      </c>
      <c r="AF1324" s="16">
        <f>IF(ISERROR(VLOOKUP($A1324,'13. Updated Demand'!A:Z,23,FALSE)),0,VLOOKUP($A1324,'13. Updated Demand'!A:Z,23,FALSE))</f>
        <v>4.63</v>
      </c>
      <c r="AG1324" s="16">
        <f>IF(ISERROR(VLOOKUP($A1324,'13. Updated Demand'!A:Z,24,FALSE)),0,VLOOKUP($A1324,'13. Updated Demand'!A:Z,24,FALSE))</f>
        <v>2.46</v>
      </c>
      <c r="AH1324" s="16">
        <f>IF(ISERROR(VLOOKUP($A1324,'13. Updated Demand'!A:Z,25,FALSE)),0,VLOOKUP($A1324,'13. Updated Demand'!A:Z,25,FALSE))</f>
        <v>0</v>
      </c>
      <c r="AI1324" s="16">
        <f>IF(ISERROR(VLOOKUP($A1324,'13. Updated Demand'!A:Z,26,FALSE)),0,VLOOKUP($A1324,'13. Updated Demand'!A:Z,26,FALSE))</f>
        <v>0</v>
      </c>
      <c r="AJ1324" s="16">
        <f t="shared" si="252"/>
        <v>22.11</v>
      </c>
      <c r="AK1324" s="19">
        <v>19.666666666666671</v>
      </c>
      <c r="AL1324" s="16">
        <f t="shared" si="250"/>
        <v>6.523209308947836E-2</v>
      </c>
      <c r="AM1324" s="17">
        <v>0.28485628485628495</v>
      </c>
      <c r="AN1324" s="19"/>
      <c r="AO1324" s="19"/>
      <c r="AP1324" s="19">
        <v>77.7</v>
      </c>
      <c r="AQ1324" s="19" t="s">
        <v>307</v>
      </c>
      <c r="AR1324" s="9" t="s">
        <v>311</v>
      </c>
      <c r="AS1324" s="12">
        <v>0</v>
      </c>
      <c r="AT1324" s="19">
        <v>38.627695240000001</v>
      </c>
      <c r="AU1324" s="19">
        <v>-122.78905193</v>
      </c>
      <c r="AV1324" s="19" t="s">
        <v>387</v>
      </c>
    </row>
    <row r="1325" spans="1:48" x14ac:dyDescent="0.25">
      <c r="A1325" s="18" t="s">
        <v>54</v>
      </c>
      <c r="B1325" s="10">
        <v>19490708</v>
      </c>
      <c r="C1325" s="9">
        <v>12</v>
      </c>
      <c r="D1325" s="8" t="str">
        <f t="shared" si="241"/>
        <v>N</v>
      </c>
      <c r="E1325" s="8" t="str">
        <f t="shared" si="242"/>
        <v>Y</v>
      </c>
      <c r="F1325" s="8" t="str">
        <f t="shared" si="243"/>
        <v>Y</v>
      </c>
      <c r="G1325" s="8" t="str">
        <f t="shared" si="244"/>
        <v>Y</v>
      </c>
      <c r="H1325" s="8" t="str">
        <f t="shared" si="245"/>
        <v>Upper</v>
      </c>
      <c r="I1325" s="8" t="str">
        <f t="shared" si="246"/>
        <v>West Fork and Below Lake</v>
      </c>
      <c r="J1325" s="8" t="str">
        <f t="shared" si="247"/>
        <v>Sonoma (d/s of Clov. Gage)</v>
      </c>
      <c r="K1325" s="8" t="str">
        <f t="shared" si="248"/>
        <v>Post-1949</v>
      </c>
      <c r="L1325" s="8">
        <f t="shared" si="249"/>
        <v>1949</v>
      </c>
      <c r="M1325" s="8" t="str">
        <f t="shared" si="254"/>
        <v>Pre-1949 + 1949</v>
      </c>
      <c r="N1325" s="10" t="s">
        <v>241</v>
      </c>
      <c r="O1325" s="10" t="s">
        <v>241</v>
      </c>
      <c r="P1325" s="10" t="s">
        <v>242</v>
      </c>
      <c r="Q1325" s="10" t="s">
        <v>242</v>
      </c>
      <c r="R1325" s="10" t="s">
        <v>241</v>
      </c>
      <c r="S1325" s="10" t="s">
        <v>242</v>
      </c>
      <c r="T1325" s="10" t="s">
        <v>242</v>
      </c>
      <c r="U1325" s="10" t="s">
        <v>242</v>
      </c>
      <c r="V1325" s="10" t="s">
        <v>242</v>
      </c>
      <c r="W1325" s="10" t="s">
        <v>242</v>
      </c>
      <c r="X1325" s="15">
        <f>IF(ISERROR(VLOOKUP($A1325,'13. Updated Demand'!A:Z,15,FALSE)),0,VLOOKUP($A1325,'13. Updated Demand'!A:Z,15,FALSE))</f>
        <v>0</v>
      </c>
      <c r="Y1325" s="16">
        <f>IF(ISERROR(VLOOKUP($A1325,'13. Updated Demand'!A:Z,16,FALSE)),0,VLOOKUP($A1325,'13. Updated Demand'!A:Z,16,FALSE))</f>
        <v>0</v>
      </c>
      <c r="Z1325" s="16">
        <f>IF(ISERROR(VLOOKUP($A1325,'13. Updated Demand'!A:Z,17,FALSE)),0,VLOOKUP($A1325,'13. Updated Demand'!A:Z,17,FALSE))</f>
        <v>0</v>
      </c>
      <c r="AA1325" s="16">
        <f>IF(ISERROR(VLOOKUP($A1325,'13. Updated Demand'!A:Z,18,FALSE)),0,VLOOKUP($A1325,'13. Updated Demand'!A:Z,18,FALSE))</f>
        <v>0</v>
      </c>
      <c r="AB1325" s="16">
        <f>IF(ISERROR(VLOOKUP($A1325,'13. Updated Demand'!A:Z,19,FALSE)),0,VLOOKUP($A1325,'13. Updated Demand'!A:Z,19,FALSE))</f>
        <v>31.66</v>
      </c>
      <c r="AC1325" s="16">
        <f>IF(ISERROR(VLOOKUP($A1325,'13. Updated Demand'!A:Z,20,FALSE)),0,VLOOKUP($A1325,'13. Updated Demand'!A:Z,20,FALSE))</f>
        <v>77.56</v>
      </c>
      <c r="AD1325" s="16">
        <f>IF(ISERROR(VLOOKUP($A1325,'13. Updated Demand'!A:Z,21,FALSE)),0,VLOOKUP($A1325,'13. Updated Demand'!A:Z,21,FALSE))</f>
        <v>88.45</v>
      </c>
      <c r="AE1325" s="16">
        <f>IF(ISERROR(VLOOKUP($A1325,'13. Updated Demand'!A:Z,22,FALSE)),0,VLOOKUP($A1325,'13. Updated Demand'!A:Z,22,FALSE))</f>
        <v>89.86</v>
      </c>
      <c r="AF1325" s="16">
        <f>IF(ISERROR(VLOOKUP($A1325,'13. Updated Demand'!A:Z,23,FALSE)),0,VLOOKUP($A1325,'13. Updated Demand'!A:Z,23,FALSE))</f>
        <v>78.44</v>
      </c>
      <c r="AG1325" s="16">
        <f>IF(ISERROR(VLOOKUP($A1325,'13. Updated Demand'!A:Z,24,FALSE)),0,VLOOKUP($A1325,'13. Updated Demand'!A:Z,24,FALSE))</f>
        <v>69.19</v>
      </c>
      <c r="AH1325" s="16">
        <f>IF(ISERROR(VLOOKUP($A1325,'13. Updated Demand'!A:Z,25,FALSE)),0,VLOOKUP($A1325,'13. Updated Demand'!A:Z,25,FALSE))</f>
        <v>0</v>
      </c>
      <c r="AI1325" s="16">
        <f>IF(ISERROR(VLOOKUP($A1325,'13. Updated Demand'!A:Z,26,FALSE)),0,VLOOKUP($A1325,'13. Updated Demand'!A:Z,26,FALSE))</f>
        <v>0</v>
      </c>
      <c r="AJ1325" s="16">
        <f t="shared" si="252"/>
        <v>435.16</v>
      </c>
      <c r="AK1325" s="19">
        <v>365.98666666666674</v>
      </c>
      <c r="AL1325" s="16">
        <f t="shared" si="250"/>
        <v>1.2139360835342994</v>
      </c>
      <c r="AM1325" s="17">
        <v>0.20036376198836095</v>
      </c>
      <c r="AN1325" s="19"/>
      <c r="AO1325" s="19"/>
      <c r="AP1325" s="19">
        <v>2171.933</v>
      </c>
      <c r="AQ1325" s="19" t="s">
        <v>307</v>
      </c>
      <c r="AR1325" s="9" t="s">
        <v>311</v>
      </c>
      <c r="AS1325" s="12">
        <v>0</v>
      </c>
      <c r="AT1325" s="19">
        <v>38.633328259999999</v>
      </c>
      <c r="AU1325" s="19">
        <v>-122.85593332000001</v>
      </c>
      <c r="AV1325" s="19" t="s">
        <v>1474</v>
      </c>
    </row>
    <row r="1326" spans="1:48" x14ac:dyDescent="0.25">
      <c r="A1326" s="18" t="s">
        <v>1696</v>
      </c>
      <c r="B1326" s="10">
        <v>19490708</v>
      </c>
      <c r="C1326" s="9">
        <v>23</v>
      </c>
      <c r="D1326" s="8" t="str">
        <f t="shared" si="241"/>
        <v>N</v>
      </c>
      <c r="E1326" s="8" t="str">
        <f t="shared" si="242"/>
        <v>N</v>
      </c>
      <c r="F1326" s="8" t="str">
        <f t="shared" si="243"/>
        <v>N</v>
      </c>
      <c r="G1326" s="8" t="str">
        <f t="shared" si="244"/>
        <v>N</v>
      </c>
      <c r="H1326" s="8" t="str">
        <f t="shared" si="245"/>
        <v>Lower</v>
      </c>
      <c r="I1326" s="8" t="str">
        <f t="shared" si="246"/>
        <v>Outside</v>
      </c>
      <c r="J1326" s="8" t="str">
        <f t="shared" si="247"/>
        <v>Outside</v>
      </c>
      <c r="K1326" s="8" t="str">
        <f t="shared" si="248"/>
        <v>Post-1949</v>
      </c>
      <c r="L1326" s="8">
        <f t="shared" si="249"/>
        <v>1949</v>
      </c>
      <c r="M1326" s="8" t="str">
        <f t="shared" si="254"/>
        <v>Pre-1949 + 1949</v>
      </c>
      <c r="N1326" s="10" t="s">
        <v>242</v>
      </c>
      <c r="O1326" s="10" t="s">
        <v>242</v>
      </c>
      <c r="P1326" s="10" t="s">
        <v>242</v>
      </c>
      <c r="Q1326" s="10" t="s">
        <v>242</v>
      </c>
      <c r="R1326" s="10" t="s">
        <v>241</v>
      </c>
      <c r="S1326" s="10" t="s">
        <v>242</v>
      </c>
      <c r="T1326" s="10" t="s">
        <v>242</v>
      </c>
      <c r="U1326" s="10" t="s">
        <v>242</v>
      </c>
      <c r="V1326" s="10" t="s">
        <v>241</v>
      </c>
      <c r="W1326" s="10" t="s">
        <v>242</v>
      </c>
      <c r="X1326" s="15">
        <f>IF(ISERROR(VLOOKUP($A1326,'13. Updated Demand'!A:Z,15,FALSE)),0,VLOOKUP($A1326,'13. Updated Demand'!A:Z,15,FALSE))</f>
        <v>2.9445906669999999</v>
      </c>
      <c r="Y1326" s="16">
        <f>IF(ISERROR(VLOOKUP($A1326,'13. Updated Demand'!A:Z,16,FALSE)),0,VLOOKUP($A1326,'13. Updated Demand'!A:Z,16,FALSE))</f>
        <v>0</v>
      </c>
      <c r="Z1326" s="16">
        <f>IF(ISERROR(VLOOKUP($A1326,'13. Updated Demand'!A:Z,17,FALSE)),0,VLOOKUP($A1326,'13. Updated Demand'!A:Z,17,FALSE))</f>
        <v>0</v>
      </c>
      <c r="AA1326" s="16">
        <f>IF(ISERROR(VLOOKUP($A1326,'13. Updated Demand'!A:Z,18,FALSE)),0,VLOOKUP($A1326,'13. Updated Demand'!A:Z,18,FALSE))</f>
        <v>0</v>
      </c>
      <c r="AB1326" s="16">
        <f>IF(ISERROR(VLOOKUP($A1326,'13. Updated Demand'!A:Z,19,FALSE)),0,VLOOKUP($A1326,'13. Updated Demand'!A:Z,19,FALSE))</f>
        <v>0</v>
      </c>
      <c r="AC1326" s="16">
        <f>IF(ISERROR(VLOOKUP($A1326,'13. Updated Demand'!A:Z,20,FALSE)),0,VLOOKUP($A1326,'13. Updated Demand'!A:Z,20,FALSE))</f>
        <v>0</v>
      </c>
      <c r="AD1326" s="16">
        <f>IF(ISERROR(VLOOKUP($A1326,'13. Updated Demand'!A:Z,21,FALSE)),0,VLOOKUP($A1326,'13. Updated Demand'!A:Z,21,FALSE))</f>
        <v>0</v>
      </c>
      <c r="AE1326" s="16">
        <f>IF(ISERROR(VLOOKUP($A1326,'13. Updated Demand'!A:Z,22,FALSE)),0,VLOOKUP($A1326,'13. Updated Demand'!A:Z,22,FALSE))</f>
        <v>0</v>
      </c>
      <c r="AF1326" s="16">
        <f>IF(ISERROR(VLOOKUP($A1326,'13. Updated Demand'!A:Z,23,FALSE)),0,VLOOKUP($A1326,'13. Updated Demand'!A:Z,23,FALSE))</f>
        <v>0</v>
      </c>
      <c r="AG1326" s="16">
        <f>IF(ISERROR(VLOOKUP($A1326,'13. Updated Demand'!A:Z,24,FALSE)),0,VLOOKUP($A1326,'13. Updated Demand'!A:Z,24,FALSE))</f>
        <v>0</v>
      </c>
      <c r="AH1326" s="16">
        <f>IF(ISERROR(VLOOKUP($A1326,'13. Updated Demand'!A:Z,25,FALSE)),0,VLOOKUP($A1326,'13. Updated Demand'!A:Z,25,FALSE))</f>
        <v>0</v>
      </c>
      <c r="AI1326" s="16">
        <f>IF(ISERROR(VLOOKUP($A1326,'13. Updated Demand'!A:Z,26,FALSE)),0,VLOOKUP($A1326,'13. Updated Demand'!A:Z,26,FALSE))</f>
        <v>0</v>
      </c>
      <c r="AJ1326" s="16">
        <f t="shared" si="252"/>
        <v>2.9445906669999999</v>
      </c>
      <c r="AK1326" s="19">
        <v>0</v>
      </c>
      <c r="AL1326" s="16">
        <f t="shared" si="250"/>
        <v>0</v>
      </c>
      <c r="AM1326" s="17">
        <v>8.4131161914285713E-2</v>
      </c>
      <c r="AN1326" s="19"/>
      <c r="AO1326" s="19"/>
      <c r="AP1326" s="19">
        <v>35</v>
      </c>
      <c r="AQ1326" s="19" t="s">
        <v>307</v>
      </c>
      <c r="AR1326" s="9" t="s">
        <v>378</v>
      </c>
      <c r="AS1326" s="12">
        <v>0</v>
      </c>
      <c r="AT1326" s="19">
        <v>38.39398147</v>
      </c>
      <c r="AU1326" s="19">
        <v>-122.61236608</v>
      </c>
      <c r="AV1326" s="19" t="s">
        <v>417</v>
      </c>
    </row>
    <row r="1327" spans="1:48" x14ac:dyDescent="0.25">
      <c r="A1327" s="18" t="s">
        <v>1697</v>
      </c>
      <c r="B1327" s="10">
        <v>19490725</v>
      </c>
      <c r="C1327" s="9">
        <v>23</v>
      </c>
      <c r="D1327" s="8" t="str">
        <f t="shared" si="241"/>
        <v>N</v>
      </c>
      <c r="E1327" s="8" t="str">
        <f t="shared" si="242"/>
        <v>N</v>
      </c>
      <c r="F1327" s="8" t="str">
        <f t="shared" si="243"/>
        <v>N</v>
      </c>
      <c r="G1327" s="8" t="str">
        <f t="shared" si="244"/>
        <v>N</v>
      </c>
      <c r="H1327" s="8" t="str">
        <f t="shared" si="245"/>
        <v>Lower</v>
      </c>
      <c r="I1327" s="8" t="str">
        <f t="shared" si="246"/>
        <v>Outside</v>
      </c>
      <c r="J1327" s="8" t="str">
        <f t="shared" si="247"/>
        <v>Outside</v>
      </c>
      <c r="K1327" s="8" t="str">
        <f t="shared" si="248"/>
        <v>Post-1949</v>
      </c>
      <c r="L1327" s="8">
        <f t="shared" si="249"/>
        <v>1949</v>
      </c>
      <c r="M1327" s="8" t="str">
        <f t="shared" si="254"/>
        <v>Pre-1949 + 1949</v>
      </c>
      <c r="N1327" s="10" t="s">
        <v>242</v>
      </c>
      <c r="O1327" s="10" t="s">
        <v>242</v>
      </c>
      <c r="P1327" s="10" t="s">
        <v>242</v>
      </c>
      <c r="Q1327" s="10" t="s">
        <v>242</v>
      </c>
      <c r="R1327" s="10" t="s">
        <v>241</v>
      </c>
      <c r="S1327" s="10" t="s">
        <v>242</v>
      </c>
      <c r="T1327" s="10" t="s">
        <v>242</v>
      </c>
      <c r="U1327" s="10" t="s">
        <v>241</v>
      </c>
      <c r="V1327" s="10" t="s">
        <v>241</v>
      </c>
      <c r="W1327" s="10" t="s">
        <v>242</v>
      </c>
      <c r="X1327" s="15">
        <f>IF(ISERROR(VLOOKUP($A1327,'13. Updated Demand'!A:Z,15,FALSE)),0,VLOOKUP($A1327,'13. Updated Demand'!A:Z,15,FALSE))</f>
        <v>0</v>
      </c>
      <c r="Y1327" s="16">
        <f>IF(ISERROR(VLOOKUP($A1327,'13. Updated Demand'!A:Z,16,FALSE)),0,VLOOKUP($A1327,'13. Updated Demand'!A:Z,16,FALSE))</f>
        <v>0</v>
      </c>
      <c r="Z1327" s="16">
        <f>IF(ISERROR(VLOOKUP($A1327,'13. Updated Demand'!A:Z,17,FALSE)),0,VLOOKUP($A1327,'13. Updated Demand'!A:Z,17,FALSE))</f>
        <v>0</v>
      </c>
      <c r="AA1327" s="16">
        <f>IF(ISERROR(VLOOKUP($A1327,'13. Updated Demand'!A:Z,18,FALSE)),0,VLOOKUP($A1327,'13. Updated Demand'!A:Z,18,FALSE))</f>
        <v>0</v>
      </c>
      <c r="AB1327" s="16">
        <f>IF(ISERROR(VLOOKUP($A1327,'13. Updated Demand'!A:Z,19,FALSE)),0,VLOOKUP($A1327,'13. Updated Demand'!A:Z,19,FALSE))</f>
        <v>0</v>
      </c>
      <c r="AC1327" s="16">
        <f>IF(ISERROR(VLOOKUP($A1327,'13. Updated Demand'!A:Z,20,FALSE)),0,VLOOKUP($A1327,'13. Updated Demand'!A:Z,20,FALSE))</f>
        <v>0</v>
      </c>
      <c r="AD1327" s="16">
        <f>IF(ISERROR(VLOOKUP($A1327,'13. Updated Demand'!A:Z,21,FALSE)),0,VLOOKUP($A1327,'13. Updated Demand'!A:Z,21,FALSE))</f>
        <v>0</v>
      </c>
      <c r="AE1327" s="16">
        <f>IF(ISERROR(VLOOKUP($A1327,'13. Updated Demand'!A:Z,22,FALSE)),0,VLOOKUP($A1327,'13. Updated Demand'!A:Z,22,FALSE))</f>
        <v>0</v>
      </c>
      <c r="AF1327" s="16">
        <f>IF(ISERROR(VLOOKUP($A1327,'13. Updated Demand'!A:Z,23,FALSE)),0,VLOOKUP($A1327,'13. Updated Demand'!A:Z,23,FALSE))</f>
        <v>0</v>
      </c>
      <c r="AG1327" s="16">
        <f>IF(ISERROR(VLOOKUP($A1327,'13. Updated Demand'!A:Z,24,FALSE)),0,VLOOKUP($A1327,'13. Updated Demand'!A:Z,24,FALSE))</f>
        <v>0</v>
      </c>
      <c r="AH1327" s="16">
        <f>IF(ISERROR(VLOOKUP($A1327,'13. Updated Demand'!A:Z,25,FALSE)),0,VLOOKUP($A1327,'13. Updated Demand'!A:Z,25,FALSE))</f>
        <v>0</v>
      </c>
      <c r="AI1327" s="16">
        <f>IF(ISERROR(VLOOKUP($A1327,'13. Updated Demand'!A:Z,26,FALSE)),0,VLOOKUP($A1327,'13. Updated Demand'!A:Z,26,FALSE))</f>
        <v>0</v>
      </c>
      <c r="AJ1327" s="16">
        <f t="shared" si="252"/>
        <v>0</v>
      </c>
      <c r="AK1327" s="19">
        <v>0</v>
      </c>
      <c r="AL1327" s="16">
        <f t="shared" si="250"/>
        <v>0</v>
      </c>
      <c r="AM1327" s="17">
        <v>0</v>
      </c>
      <c r="AN1327" s="19"/>
      <c r="AO1327" s="19"/>
      <c r="AP1327" s="19">
        <v>152.69999999999999</v>
      </c>
      <c r="AQ1327" s="19" t="s">
        <v>307</v>
      </c>
      <c r="AR1327" s="9" t="s">
        <v>1118</v>
      </c>
      <c r="AS1327" s="12">
        <v>0</v>
      </c>
      <c r="AT1327" s="19">
        <v>38.418754880000002</v>
      </c>
      <c r="AU1327" s="19">
        <v>-122.82409597</v>
      </c>
      <c r="AV1327" s="19" t="s">
        <v>1532</v>
      </c>
    </row>
    <row r="1328" spans="1:48" x14ac:dyDescent="0.25">
      <c r="A1328" s="18" t="s">
        <v>1698</v>
      </c>
      <c r="B1328" s="10">
        <v>19490726</v>
      </c>
      <c r="C1328" s="9">
        <v>18</v>
      </c>
      <c r="D1328" s="8" t="str">
        <f t="shared" si="241"/>
        <v>N</v>
      </c>
      <c r="E1328" s="8" t="str">
        <f t="shared" si="242"/>
        <v>N</v>
      </c>
      <c r="F1328" s="8" t="str">
        <f t="shared" si="243"/>
        <v>N</v>
      </c>
      <c r="G1328" s="8" t="str">
        <f t="shared" si="244"/>
        <v>N</v>
      </c>
      <c r="H1328" s="8" t="str">
        <f t="shared" si="245"/>
        <v>Lower</v>
      </c>
      <c r="I1328" s="8" t="str">
        <f t="shared" si="246"/>
        <v>Outside</v>
      </c>
      <c r="J1328" s="8" t="str">
        <f t="shared" si="247"/>
        <v>Outside</v>
      </c>
      <c r="K1328" s="8" t="str">
        <f t="shared" si="248"/>
        <v>Post-1949</v>
      </c>
      <c r="L1328" s="8">
        <f t="shared" si="249"/>
        <v>1949</v>
      </c>
      <c r="M1328" s="8" t="str">
        <f t="shared" si="254"/>
        <v>Pre-1949 + 1949</v>
      </c>
      <c r="N1328" s="10" t="s">
        <v>241</v>
      </c>
      <c r="O1328" s="10" t="s">
        <v>242</v>
      </c>
      <c r="P1328" s="10" t="s">
        <v>242</v>
      </c>
      <c r="Q1328" s="10" t="s">
        <v>242</v>
      </c>
      <c r="R1328" s="10" t="s">
        <v>241</v>
      </c>
      <c r="S1328" s="10" t="s">
        <v>242</v>
      </c>
      <c r="T1328" s="10" t="s">
        <v>242</v>
      </c>
      <c r="U1328" s="10" t="s">
        <v>242</v>
      </c>
      <c r="V1328" s="10" t="s">
        <v>242</v>
      </c>
      <c r="W1328" s="10" t="s">
        <v>242</v>
      </c>
      <c r="X1328" s="15">
        <f>IF(ISERROR(VLOOKUP($A1328,'13. Updated Demand'!A:Z,15,FALSE)),0,VLOOKUP($A1328,'13. Updated Demand'!A:Z,15,FALSE))</f>
        <v>0</v>
      </c>
      <c r="Y1328" s="16">
        <f>IF(ISERROR(VLOOKUP($A1328,'13. Updated Demand'!A:Z,16,FALSE)),0,VLOOKUP($A1328,'13. Updated Demand'!A:Z,16,FALSE))</f>
        <v>0</v>
      </c>
      <c r="Z1328" s="16">
        <f>IF(ISERROR(VLOOKUP($A1328,'13. Updated Demand'!A:Z,17,FALSE)),0,VLOOKUP($A1328,'13. Updated Demand'!A:Z,17,FALSE))</f>
        <v>0</v>
      </c>
      <c r="AA1328" s="16">
        <f>IF(ISERROR(VLOOKUP($A1328,'13. Updated Demand'!A:Z,18,FALSE)),0,VLOOKUP($A1328,'13. Updated Demand'!A:Z,18,FALSE))</f>
        <v>0.133333333</v>
      </c>
      <c r="AB1328" s="16">
        <f>IF(ISERROR(VLOOKUP($A1328,'13. Updated Demand'!A:Z,19,FALSE)),0,VLOOKUP($A1328,'13. Updated Demand'!A:Z,19,FALSE))</f>
        <v>0.15</v>
      </c>
      <c r="AC1328" s="16">
        <f>IF(ISERROR(VLOOKUP($A1328,'13. Updated Demand'!A:Z,20,FALSE)),0,VLOOKUP($A1328,'13. Updated Demand'!A:Z,20,FALSE))</f>
        <v>0.3</v>
      </c>
      <c r="AD1328" s="16">
        <f>IF(ISERROR(VLOOKUP($A1328,'13. Updated Demand'!A:Z,21,FALSE)),0,VLOOKUP($A1328,'13. Updated Demand'!A:Z,21,FALSE))</f>
        <v>0.2</v>
      </c>
      <c r="AE1328" s="16">
        <f>IF(ISERROR(VLOOKUP($A1328,'13. Updated Demand'!A:Z,22,FALSE)),0,VLOOKUP($A1328,'13. Updated Demand'!A:Z,22,FALSE))</f>
        <v>0.31333333299999999</v>
      </c>
      <c r="AF1328" s="16">
        <f>IF(ISERROR(VLOOKUP($A1328,'13. Updated Demand'!A:Z,23,FALSE)),0,VLOOKUP($A1328,'13. Updated Demand'!A:Z,23,FALSE))</f>
        <v>0.21666666700000001</v>
      </c>
      <c r="AG1328" s="16">
        <f>IF(ISERROR(VLOOKUP($A1328,'13. Updated Demand'!A:Z,24,FALSE)),0,VLOOKUP($A1328,'13. Updated Demand'!A:Z,24,FALSE))</f>
        <v>0.296666667</v>
      </c>
      <c r="AH1328" s="16">
        <f>IF(ISERROR(VLOOKUP($A1328,'13. Updated Demand'!A:Z,25,FALSE)),0,VLOOKUP($A1328,'13. Updated Demand'!A:Z,25,FALSE))</f>
        <v>0.133333333</v>
      </c>
      <c r="AI1328" s="16">
        <f>IF(ISERROR(VLOOKUP($A1328,'13. Updated Demand'!A:Z,26,FALSE)),0,VLOOKUP($A1328,'13. Updated Demand'!A:Z,26,FALSE))</f>
        <v>0</v>
      </c>
      <c r="AJ1328" s="16">
        <f t="shared" si="252"/>
        <v>1.7433333329999998</v>
      </c>
      <c r="AK1328" s="19">
        <v>1.18</v>
      </c>
      <c r="AL1328" s="16">
        <f t="shared" si="250"/>
        <v>3.9139255853687001E-3</v>
      </c>
      <c r="AM1328" s="17">
        <v>3.4049479160156243E-2</v>
      </c>
      <c r="AN1328" s="19"/>
      <c r="AO1328" s="19"/>
      <c r="AP1328" s="19">
        <v>51.2</v>
      </c>
      <c r="AQ1328" s="19" t="s">
        <v>307</v>
      </c>
      <c r="AR1328" s="9" t="s">
        <v>352</v>
      </c>
      <c r="AS1328" s="12">
        <v>0</v>
      </c>
      <c r="AT1328" s="19">
        <v>38.518097009999998</v>
      </c>
      <c r="AU1328" s="19">
        <v>-122.87033068</v>
      </c>
      <c r="AV1328" s="19" t="s">
        <v>548</v>
      </c>
    </row>
    <row r="1329" spans="1:48" x14ac:dyDescent="0.25">
      <c r="A1329" s="18" t="s">
        <v>1699</v>
      </c>
      <c r="B1329" s="10">
        <v>19490728</v>
      </c>
      <c r="C1329" s="9">
        <v>17</v>
      </c>
      <c r="D1329" s="8" t="str">
        <f t="shared" si="241"/>
        <v>N</v>
      </c>
      <c r="E1329" s="8" t="str">
        <f t="shared" si="242"/>
        <v>N</v>
      </c>
      <c r="F1329" s="8" t="str">
        <f t="shared" si="243"/>
        <v>N</v>
      </c>
      <c r="G1329" s="8" t="str">
        <f t="shared" si="244"/>
        <v>N</v>
      </c>
      <c r="H1329" s="8" t="str">
        <f t="shared" si="245"/>
        <v>Lower</v>
      </c>
      <c r="I1329" s="8" t="str">
        <f t="shared" si="246"/>
        <v>Outside</v>
      </c>
      <c r="J1329" s="8" t="str">
        <f t="shared" si="247"/>
        <v>Outside</v>
      </c>
      <c r="K1329" s="8" t="str">
        <f t="shared" si="248"/>
        <v>Post-1949</v>
      </c>
      <c r="L1329" s="8">
        <f t="shared" si="249"/>
        <v>1949</v>
      </c>
      <c r="M1329" s="8" t="str">
        <f t="shared" si="254"/>
        <v>Pre-1949 + 1949</v>
      </c>
      <c r="N1329" s="10" t="s">
        <v>241</v>
      </c>
      <c r="O1329" s="10" t="s">
        <v>242</v>
      </c>
      <c r="P1329" s="10" t="s">
        <v>242</v>
      </c>
      <c r="Q1329" s="10" t="s">
        <v>242</v>
      </c>
      <c r="R1329" s="10" t="s">
        <v>241</v>
      </c>
      <c r="S1329" s="10" t="s">
        <v>242</v>
      </c>
      <c r="T1329" s="10" t="s">
        <v>242</v>
      </c>
      <c r="U1329" s="10" t="s">
        <v>242</v>
      </c>
      <c r="V1329" s="10" t="s">
        <v>242</v>
      </c>
      <c r="W1329" s="10" t="s">
        <v>242</v>
      </c>
      <c r="X1329" s="15">
        <f>IF(ISERROR(VLOOKUP($A1329,'13. Updated Demand'!A:Z,15,FALSE)),0,VLOOKUP($A1329,'13. Updated Demand'!A:Z,15,FALSE))</f>
        <v>0</v>
      </c>
      <c r="Y1329" s="16">
        <f>IF(ISERROR(VLOOKUP($A1329,'13. Updated Demand'!A:Z,16,FALSE)),0,VLOOKUP($A1329,'13. Updated Demand'!A:Z,16,FALSE))</f>
        <v>0</v>
      </c>
      <c r="Z1329" s="16">
        <f>IF(ISERROR(VLOOKUP($A1329,'13. Updated Demand'!A:Z,17,FALSE)),0,VLOOKUP($A1329,'13. Updated Demand'!A:Z,17,FALSE))</f>
        <v>0</v>
      </c>
      <c r="AA1329" s="16">
        <f>IF(ISERROR(VLOOKUP($A1329,'13. Updated Demand'!A:Z,18,FALSE)),0,VLOOKUP($A1329,'13. Updated Demand'!A:Z,18,FALSE))</f>
        <v>0</v>
      </c>
      <c r="AB1329" s="16">
        <f>IF(ISERROR(VLOOKUP($A1329,'13. Updated Demand'!A:Z,19,FALSE)),0,VLOOKUP($A1329,'13. Updated Demand'!A:Z,19,FALSE))</f>
        <v>1.4</v>
      </c>
      <c r="AC1329" s="16">
        <f>IF(ISERROR(VLOOKUP($A1329,'13. Updated Demand'!A:Z,20,FALSE)),0,VLOOKUP($A1329,'13. Updated Demand'!A:Z,20,FALSE))</f>
        <v>4.766666667</v>
      </c>
      <c r="AD1329" s="16">
        <f>IF(ISERROR(VLOOKUP($A1329,'13. Updated Demand'!A:Z,21,FALSE)),0,VLOOKUP($A1329,'13. Updated Demand'!A:Z,21,FALSE))</f>
        <v>10.43333333</v>
      </c>
      <c r="AE1329" s="16">
        <f>IF(ISERROR(VLOOKUP($A1329,'13. Updated Demand'!A:Z,22,FALSE)),0,VLOOKUP($A1329,'13. Updated Demand'!A:Z,22,FALSE))</f>
        <v>14.1</v>
      </c>
      <c r="AF1329" s="16">
        <f>IF(ISERROR(VLOOKUP($A1329,'13. Updated Demand'!A:Z,23,FALSE)),0,VLOOKUP($A1329,'13. Updated Demand'!A:Z,23,FALSE))</f>
        <v>5.6333333330000004</v>
      </c>
      <c r="AG1329" s="16">
        <f>IF(ISERROR(VLOOKUP($A1329,'13. Updated Demand'!A:Z,24,FALSE)),0,VLOOKUP($A1329,'13. Updated Demand'!A:Z,24,FALSE))</f>
        <v>0.96666666700000003</v>
      </c>
      <c r="AH1329" s="16">
        <f>IF(ISERROR(VLOOKUP($A1329,'13. Updated Demand'!A:Z,25,FALSE)),0,VLOOKUP($A1329,'13. Updated Demand'!A:Z,25,FALSE))</f>
        <v>0</v>
      </c>
      <c r="AI1329" s="16">
        <f>IF(ISERROR(VLOOKUP($A1329,'13. Updated Demand'!A:Z,26,FALSE)),0,VLOOKUP($A1329,'13. Updated Demand'!A:Z,26,FALSE))</f>
        <v>0</v>
      </c>
      <c r="AJ1329" s="16">
        <f t="shared" si="252"/>
        <v>37.299999997</v>
      </c>
      <c r="AK1329" s="19">
        <v>36.333333330000002</v>
      </c>
      <c r="AL1329" s="16">
        <f t="shared" si="250"/>
        <v>0.12051352790001389</v>
      </c>
      <c r="AM1329" s="17">
        <v>0.23637515840937895</v>
      </c>
      <c r="AN1329" s="19"/>
      <c r="AO1329" s="19"/>
      <c r="AP1329" s="19">
        <v>157.80000000000001</v>
      </c>
      <c r="AQ1329" s="19" t="s">
        <v>307</v>
      </c>
      <c r="AR1329" s="9" t="s">
        <v>486</v>
      </c>
      <c r="AS1329" s="12">
        <v>0</v>
      </c>
      <c r="AT1329" s="19">
        <v>38.562176229999999</v>
      </c>
      <c r="AU1329" s="19">
        <v>-122.85110726000001</v>
      </c>
      <c r="AV1329" s="19" t="s">
        <v>548</v>
      </c>
    </row>
    <row r="1330" spans="1:48" x14ac:dyDescent="0.25">
      <c r="A1330" s="18" t="s">
        <v>1700</v>
      </c>
      <c r="B1330" s="10">
        <v>19490728</v>
      </c>
      <c r="C1330" s="9">
        <v>17</v>
      </c>
      <c r="D1330" s="8" t="str">
        <f t="shared" si="241"/>
        <v>N</v>
      </c>
      <c r="E1330" s="8" t="str">
        <f t="shared" si="242"/>
        <v>N</v>
      </c>
      <c r="F1330" s="8" t="str">
        <f t="shared" si="243"/>
        <v>N</v>
      </c>
      <c r="G1330" s="8" t="str">
        <f t="shared" si="244"/>
        <v>N</v>
      </c>
      <c r="H1330" s="8" t="str">
        <f t="shared" si="245"/>
        <v>Lower</v>
      </c>
      <c r="I1330" s="8" t="str">
        <f t="shared" si="246"/>
        <v>Outside</v>
      </c>
      <c r="J1330" s="8" t="str">
        <f t="shared" si="247"/>
        <v>Outside</v>
      </c>
      <c r="K1330" s="8" t="str">
        <f t="shared" si="248"/>
        <v>Post-1949</v>
      </c>
      <c r="L1330" s="8">
        <f t="shared" si="249"/>
        <v>1949</v>
      </c>
      <c r="M1330" s="8" t="str">
        <f t="shared" si="254"/>
        <v>Pre-1949 + 1949</v>
      </c>
      <c r="N1330" s="10" t="s">
        <v>241</v>
      </c>
      <c r="O1330" s="10" t="s">
        <v>242</v>
      </c>
      <c r="P1330" s="10" t="s">
        <v>242</v>
      </c>
      <c r="Q1330" s="10" t="s">
        <v>242</v>
      </c>
      <c r="R1330" s="10" t="s">
        <v>241</v>
      </c>
      <c r="S1330" s="10" t="s">
        <v>242</v>
      </c>
      <c r="T1330" s="10" t="s">
        <v>242</v>
      </c>
      <c r="U1330" s="10" t="s">
        <v>241</v>
      </c>
      <c r="V1330" s="10" t="s">
        <v>241</v>
      </c>
      <c r="W1330" s="10" t="s">
        <v>242</v>
      </c>
      <c r="X1330" s="15">
        <f>IF(ISERROR(VLOOKUP($A1330,'13. Updated Demand'!A:Z,15,FALSE)),0,VLOOKUP($A1330,'13. Updated Demand'!A:Z,15,FALSE))</f>
        <v>0</v>
      </c>
      <c r="Y1330" s="16">
        <f>IF(ISERROR(VLOOKUP($A1330,'13. Updated Demand'!A:Z,16,FALSE)),0,VLOOKUP($A1330,'13. Updated Demand'!A:Z,16,FALSE))</f>
        <v>0</v>
      </c>
      <c r="Z1330" s="16">
        <f>IF(ISERROR(VLOOKUP($A1330,'13. Updated Demand'!A:Z,17,FALSE)),0,VLOOKUP($A1330,'13. Updated Demand'!A:Z,17,FALSE))</f>
        <v>0</v>
      </c>
      <c r="AA1330" s="16">
        <f>IF(ISERROR(VLOOKUP($A1330,'13. Updated Demand'!A:Z,18,FALSE)),0,VLOOKUP($A1330,'13. Updated Demand'!A:Z,18,FALSE))</f>
        <v>0</v>
      </c>
      <c r="AB1330" s="16">
        <f>IF(ISERROR(VLOOKUP($A1330,'13. Updated Demand'!A:Z,19,FALSE)),0,VLOOKUP($A1330,'13. Updated Demand'!A:Z,19,FALSE))</f>
        <v>0</v>
      </c>
      <c r="AC1330" s="16">
        <f>IF(ISERROR(VLOOKUP($A1330,'13. Updated Demand'!A:Z,20,FALSE)),0,VLOOKUP($A1330,'13. Updated Demand'!A:Z,20,FALSE))</f>
        <v>0</v>
      </c>
      <c r="AD1330" s="16">
        <f>IF(ISERROR(VLOOKUP($A1330,'13. Updated Demand'!A:Z,21,FALSE)),0,VLOOKUP($A1330,'13. Updated Demand'!A:Z,21,FALSE))</f>
        <v>0</v>
      </c>
      <c r="AE1330" s="16">
        <f>IF(ISERROR(VLOOKUP($A1330,'13. Updated Demand'!A:Z,22,FALSE)),0,VLOOKUP($A1330,'13. Updated Demand'!A:Z,22,FALSE))</f>
        <v>0</v>
      </c>
      <c r="AF1330" s="16">
        <f>IF(ISERROR(VLOOKUP($A1330,'13. Updated Demand'!A:Z,23,FALSE)),0,VLOOKUP($A1330,'13. Updated Demand'!A:Z,23,FALSE))</f>
        <v>0</v>
      </c>
      <c r="AG1330" s="16">
        <f>IF(ISERROR(VLOOKUP($A1330,'13. Updated Demand'!A:Z,24,FALSE)),0,VLOOKUP($A1330,'13. Updated Demand'!A:Z,24,FALSE))</f>
        <v>0</v>
      </c>
      <c r="AH1330" s="16">
        <f>IF(ISERROR(VLOOKUP($A1330,'13. Updated Demand'!A:Z,25,FALSE)),0,VLOOKUP($A1330,'13. Updated Demand'!A:Z,25,FALSE))</f>
        <v>0</v>
      </c>
      <c r="AI1330" s="16">
        <f>IF(ISERROR(VLOOKUP($A1330,'13. Updated Demand'!A:Z,26,FALSE)),0,VLOOKUP($A1330,'13. Updated Demand'!A:Z,26,FALSE))</f>
        <v>0</v>
      </c>
      <c r="AJ1330" s="16">
        <f t="shared" si="252"/>
        <v>0</v>
      </c>
      <c r="AK1330" s="19">
        <v>0</v>
      </c>
      <c r="AL1330" s="16">
        <f t="shared" si="250"/>
        <v>0</v>
      </c>
      <c r="AM1330" s="17">
        <v>0</v>
      </c>
      <c r="AN1330" s="19"/>
      <c r="AO1330" s="19"/>
      <c r="AP1330" s="19">
        <v>66.099999999999994</v>
      </c>
      <c r="AQ1330" s="19" t="s">
        <v>307</v>
      </c>
      <c r="AR1330" s="9" t="s">
        <v>486</v>
      </c>
      <c r="AS1330" s="12">
        <v>0</v>
      </c>
      <c r="AT1330" s="19">
        <v>38.53026706</v>
      </c>
      <c r="AU1330" s="19">
        <v>-122.85859281</v>
      </c>
      <c r="AV1330" s="19" t="s">
        <v>548</v>
      </c>
    </row>
    <row r="1331" spans="1:48" x14ac:dyDescent="0.25">
      <c r="A1331" s="18" t="s">
        <v>1701</v>
      </c>
      <c r="B1331" s="10">
        <v>19490728</v>
      </c>
      <c r="C1331" s="9">
        <v>23</v>
      </c>
      <c r="D1331" s="8" t="str">
        <f t="shared" si="241"/>
        <v>N</v>
      </c>
      <c r="E1331" s="8" t="str">
        <f t="shared" si="242"/>
        <v>N</v>
      </c>
      <c r="F1331" s="8" t="str">
        <f t="shared" si="243"/>
        <v>N</v>
      </c>
      <c r="G1331" s="8" t="str">
        <f t="shared" si="244"/>
        <v>N</v>
      </c>
      <c r="H1331" s="8" t="str">
        <f t="shared" si="245"/>
        <v>Lower</v>
      </c>
      <c r="I1331" s="8" t="str">
        <f t="shared" si="246"/>
        <v>Outside</v>
      </c>
      <c r="J1331" s="8" t="str">
        <f t="shared" si="247"/>
        <v>Outside</v>
      </c>
      <c r="K1331" s="8" t="str">
        <f t="shared" si="248"/>
        <v>Post-1949</v>
      </c>
      <c r="L1331" s="8">
        <f t="shared" si="249"/>
        <v>1949</v>
      </c>
      <c r="M1331" s="8" t="str">
        <f t="shared" si="254"/>
        <v>Pre-1949 + 1949</v>
      </c>
      <c r="N1331" s="10" t="s">
        <v>242</v>
      </c>
      <c r="O1331" s="10" t="s">
        <v>242</v>
      </c>
      <c r="P1331" s="10" t="s">
        <v>242</v>
      </c>
      <c r="Q1331" s="10" t="s">
        <v>242</v>
      </c>
      <c r="R1331" s="10" t="s">
        <v>241</v>
      </c>
      <c r="S1331" s="10" t="s">
        <v>242</v>
      </c>
      <c r="T1331" s="10" t="s">
        <v>242</v>
      </c>
      <c r="U1331" s="10" t="s">
        <v>241</v>
      </c>
      <c r="V1331" s="10" t="s">
        <v>241</v>
      </c>
      <c r="W1331" s="10" t="s">
        <v>242</v>
      </c>
      <c r="X1331" s="15">
        <f>IF(ISERROR(VLOOKUP($A1331,'13. Updated Demand'!A:Z,15,FALSE)),0,VLOOKUP($A1331,'13. Updated Demand'!A:Z,15,FALSE))</f>
        <v>0</v>
      </c>
      <c r="Y1331" s="16">
        <f>IF(ISERROR(VLOOKUP($A1331,'13. Updated Demand'!A:Z,16,FALSE)),0,VLOOKUP($A1331,'13. Updated Demand'!A:Z,16,FALSE))</f>
        <v>0</v>
      </c>
      <c r="Z1331" s="16">
        <f>IF(ISERROR(VLOOKUP($A1331,'13. Updated Demand'!A:Z,17,FALSE)),0,VLOOKUP($A1331,'13. Updated Demand'!A:Z,17,FALSE))</f>
        <v>0</v>
      </c>
      <c r="AA1331" s="16">
        <f>IF(ISERROR(VLOOKUP($A1331,'13. Updated Demand'!A:Z,18,FALSE)),0,VLOOKUP($A1331,'13. Updated Demand'!A:Z,18,FALSE))</f>
        <v>0</v>
      </c>
      <c r="AB1331" s="16">
        <f>IF(ISERROR(VLOOKUP($A1331,'13. Updated Demand'!A:Z,19,FALSE)),0,VLOOKUP($A1331,'13. Updated Demand'!A:Z,19,FALSE))</f>
        <v>0</v>
      </c>
      <c r="AC1331" s="16">
        <f>IF(ISERROR(VLOOKUP($A1331,'13. Updated Demand'!A:Z,20,FALSE)),0,VLOOKUP($A1331,'13. Updated Demand'!A:Z,20,FALSE))</f>
        <v>0</v>
      </c>
      <c r="AD1331" s="16">
        <f>IF(ISERROR(VLOOKUP($A1331,'13. Updated Demand'!A:Z,21,FALSE)),0,VLOOKUP($A1331,'13. Updated Demand'!A:Z,21,FALSE))</f>
        <v>0</v>
      </c>
      <c r="AE1331" s="16">
        <f>IF(ISERROR(VLOOKUP($A1331,'13. Updated Demand'!A:Z,22,FALSE)),0,VLOOKUP($A1331,'13. Updated Demand'!A:Z,22,FALSE))</f>
        <v>0</v>
      </c>
      <c r="AF1331" s="16">
        <f>IF(ISERROR(VLOOKUP($A1331,'13. Updated Demand'!A:Z,23,FALSE)),0,VLOOKUP($A1331,'13. Updated Demand'!A:Z,23,FALSE))</f>
        <v>0</v>
      </c>
      <c r="AG1331" s="16">
        <f>IF(ISERROR(VLOOKUP($A1331,'13. Updated Demand'!A:Z,24,FALSE)),0,VLOOKUP($A1331,'13. Updated Demand'!A:Z,24,FALSE))</f>
        <v>0</v>
      </c>
      <c r="AH1331" s="16">
        <f>IF(ISERROR(VLOOKUP($A1331,'13. Updated Demand'!A:Z,25,FALSE)),0,VLOOKUP($A1331,'13. Updated Demand'!A:Z,25,FALSE))</f>
        <v>0</v>
      </c>
      <c r="AI1331" s="16">
        <f>IF(ISERROR(VLOOKUP($A1331,'13. Updated Demand'!A:Z,26,FALSE)),0,VLOOKUP($A1331,'13. Updated Demand'!A:Z,26,FALSE))</f>
        <v>0</v>
      </c>
      <c r="AJ1331" s="16">
        <f t="shared" si="252"/>
        <v>0</v>
      </c>
      <c r="AK1331" s="19">
        <v>0</v>
      </c>
      <c r="AL1331" s="16">
        <f t="shared" si="250"/>
        <v>0</v>
      </c>
      <c r="AM1331" s="17">
        <v>0</v>
      </c>
      <c r="AN1331" s="19"/>
      <c r="AO1331" s="19"/>
      <c r="AP1331" s="19">
        <v>14.8</v>
      </c>
      <c r="AQ1331" s="19" t="s">
        <v>307</v>
      </c>
      <c r="AR1331" s="9" t="s">
        <v>323</v>
      </c>
      <c r="AS1331" s="12">
        <v>0</v>
      </c>
      <c r="AT1331" s="19">
        <v>38.493589700000001</v>
      </c>
      <c r="AU1331" s="19">
        <v>-122.87929176</v>
      </c>
      <c r="AV1331" s="19" t="s">
        <v>735</v>
      </c>
    </row>
    <row r="1332" spans="1:48" x14ac:dyDescent="0.25">
      <c r="A1332" s="18" t="s">
        <v>76</v>
      </c>
      <c r="B1332" s="10">
        <v>19490729</v>
      </c>
      <c r="C1332" s="9">
        <v>4</v>
      </c>
      <c r="D1332" s="8" t="str">
        <f t="shared" si="241"/>
        <v>Y</v>
      </c>
      <c r="E1332" s="8" t="str">
        <f t="shared" si="242"/>
        <v>N</v>
      </c>
      <c r="F1332" s="8" t="str">
        <f t="shared" si="243"/>
        <v>Y</v>
      </c>
      <c r="G1332" s="8" t="str">
        <f t="shared" si="244"/>
        <v>Y</v>
      </c>
      <c r="H1332" s="8" t="str">
        <f t="shared" si="245"/>
        <v>Upper</v>
      </c>
      <c r="I1332" s="8" t="str">
        <f t="shared" si="246"/>
        <v>West Fork and Below Lake</v>
      </c>
      <c r="J1332" s="8" t="str">
        <f t="shared" si="247"/>
        <v>Mendocino (d/s of lake)</v>
      </c>
      <c r="K1332" s="8" t="str">
        <f t="shared" si="248"/>
        <v>Post-1949</v>
      </c>
      <c r="L1332" s="8">
        <f t="shared" si="249"/>
        <v>1949</v>
      </c>
      <c r="M1332" s="8" t="str">
        <f t="shared" si="254"/>
        <v>Pre-1949 + 1949</v>
      </c>
      <c r="N1332" s="10" t="s">
        <v>241</v>
      </c>
      <c r="O1332" s="10" t="s">
        <v>241</v>
      </c>
      <c r="P1332" s="10" t="s">
        <v>242</v>
      </c>
      <c r="Q1332" s="10" t="s">
        <v>242</v>
      </c>
      <c r="R1332" s="10" t="s">
        <v>241</v>
      </c>
      <c r="S1332" s="10" t="s">
        <v>242</v>
      </c>
      <c r="T1332" s="10" t="s">
        <v>242</v>
      </c>
      <c r="U1332" s="10" t="s">
        <v>242</v>
      </c>
      <c r="V1332" s="10" t="s">
        <v>242</v>
      </c>
      <c r="W1332" s="10" t="s">
        <v>242</v>
      </c>
      <c r="X1332" s="15">
        <f>IF(ISERROR(VLOOKUP($A1332,'13. Updated Demand'!A:Z,15,FALSE)),0,VLOOKUP($A1332,'13. Updated Demand'!A:Z,15,FALSE))</f>
        <v>0</v>
      </c>
      <c r="Y1332" s="16">
        <f>IF(ISERROR(VLOOKUP($A1332,'13. Updated Demand'!A:Z,16,FALSE)),0,VLOOKUP($A1332,'13. Updated Demand'!A:Z,16,FALSE))</f>
        <v>0</v>
      </c>
      <c r="Z1332" s="16">
        <f>IF(ISERROR(VLOOKUP($A1332,'13. Updated Demand'!A:Z,17,FALSE)),0,VLOOKUP($A1332,'13. Updated Demand'!A:Z,17,FALSE))</f>
        <v>0</v>
      </c>
      <c r="AA1332" s="16">
        <f>IF(ISERROR(VLOOKUP($A1332,'13. Updated Demand'!A:Z,18,FALSE)),0,VLOOKUP($A1332,'13. Updated Demand'!A:Z,18,FALSE))</f>
        <v>0</v>
      </c>
      <c r="AB1332" s="16">
        <f>IF(ISERROR(VLOOKUP($A1332,'13. Updated Demand'!A:Z,19,FALSE)),0,VLOOKUP($A1332,'13. Updated Demand'!A:Z,19,FALSE))</f>
        <v>0</v>
      </c>
      <c r="AC1332" s="16">
        <f>IF(ISERROR(VLOOKUP($A1332,'13. Updated Demand'!A:Z,20,FALSE)),0,VLOOKUP($A1332,'13. Updated Demand'!A:Z,20,FALSE))</f>
        <v>13.74</v>
      </c>
      <c r="AD1332" s="16">
        <f>IF(ISERROR(VLOOKUP($A1332,'13. Updated Demand'!A:Z,21,FALSE)),0,VLOOKUP($A1332,'13. Updated Demand'!A:Z,21,FALSE))</f>
        <v>14.84</v>
      </c>
      <c r="AE1332" s="16">
        <f>IF(ISERROR(VLOOKUP($A1332,'13. Updated Demand'!A:Z,22,FALSE)),0,VLOOKUP($A1332,'13. Updated Demand'!A:Z,22,FALSE))</f>
        <v>8.31</v>
      </c>
      <c r="AF1332" s="16">
        <f>IF(ISERROR(VLOOKUP($A1332,'13. Updated Demand'!A:Z,23,FALSE)),0,VLOOKUP($A1332,'13. Updated Demand'!A:Z,23,FALSE))</f>
        <v>6.16</v>
      </c>
      <c r="AG1332" s="16">
        <f>IF(ISERROR(VLOOKUP($A1332,'13. Updated Demand'!A:Z,24,FALSE)),0,VLOOKUP($A1332,'13. Updated Demand'!A:Z,24,FALSE))</f>
        <v>0</v>
      </c>
      <c r="AH1332" s="16">
        <f>IF(ISERROR(VLOOKUP($A1332,'13. Updated Demand'!A:Z,25,FALSE)),0,VLOOKUP($A1332,'13. Updated Demand'!A:Z,25,FALSE))</f>
        <v>0</v>
      </c>
      <c r="AI1332" s="16">
        <f>IF(ISERROR(VLOOKUP($A1332,'13. Updated Demand'!A:Z,26,FALSE)),0,VLOOKUP($A1332,'13. Updated Demand'!A:Z,26,FALSE))</f>
        <v>0</v>
      </c>
      <c r="AJ1332" s="16">
        <f t="shared" si="252"/>
        <v>43.05</v>
      </c>
      <c r="AK1332" s="19">
        <v>43.073333333333395</v>
      </c>
      <c r="AL1332" s="16">
        <f t="shared" si="250"/>
        <v>0.1428693401529221</v>
      </c>
      <c r="AM1332" s="17">
        <v>0.39228901032179775</v>
      </c>
      <c r="AN1332" s="19"/>
      <c r="AO1332" s="19"/>
      <c r="AP1332" s="19">
        <v>109.8</v>
      </c>
      <c r="AQ1332" s="19" t="s">
        <v>307</v>
      </c>
      <c r="AR1332" s="9" t="s">
        <v>331</v>
      </c>
      <c r="AS1332" s="12">
        <v>0</v>
      </c>
      <c r="AT1332" s="19">
        <v>39.133968340000003</v>
      </c>
      <c r="AU1332" s="19">
        <v>-123.18710625999999</v>
      </c>
      <c r="AV1332" s="19" t="s">
        <v>387</v>
      </c>
    </row>
    <row r="1333" spans="1:48" x14ac:dyDescent="0.25">
      <c r="A1333" s="18" t="s">
        <v>130</v>
      </c>
      <c r="B1333" s="10">
        <v>19490804</v>
      </c>
      <c r="C1333" s="9">
        <v>9</v>
      </c>
      <c r="D1333" s="8" t="str">
        <f t="shared" si="241"/>
        <v>N</v>
      </c>
      <c r="E1333" s="8" t="str">
        <f t="shared" si="242"/>
        <v>Y</v>
      </c>
      <c r="F1333" s="8" t="str">
        <f t="shared" si="243"/>
        <v>Y</v>
      </c>
      <c r="G1333" s="8" t="str">
        <f t="shared" si="244"/>
        <v>Y</v>
      </c>
      <c r="H1333" s="8" t="str">
        <f t="shared" si="245"/>
        <v>Upper</v>
      </c>
      <c r="I1333" s="8" t="str">
        <f t="shared" si="246"/>
        <v>West Fork and Below Lake</v>
      </c>
      <c r="J1333" s="8" t="str">
        <f t="shared" si="247"/>
        <v>Sonoma (d/s of Clov. Gage)</v>
      </c>
      <c r="K1333" s="8" t="str">
        <f t="shared" si="248"/>
        <v>Post-1949</v>
      </c>
      <c r="L1333" s="8">
        <f t="shared" si="249"/>
        <v>1949</v>
      </c>
      <c r="M1333" s="8" t="str">
        <f t="shared" si="254"/>
        <v>Pre-1949 + 1949</v>
      </c>
      <c r="N1333" s="10" t="s">
        <v>241</v>
      </c>
      <c r="O1333" s="10" t="s">
        <v>241</v>
      </c>
      <c r="P1333" s="10" t="s">
        <v>242</v>
      </c>
      <c r="Q1333" s="10" t="s">
        <v>242</v>
      </c>
      <c r="R1333" s="10" t="s">
        <v>241</v>
      </c>
      <c r="S1333" s="10" t="s">
        <v>242</v>
      </c>
      <c r="T1333" s="10" t="s">
        <v>242</v>
      </c>
      <c r="U1333" s="10" t="s">
        <v>242</v>
      </c>
      <c r="V1333" s="10" t="s">
        <v>242</v>
      </c>
      <c r="W1333" s="10" t="s">
        <v>242</v>
      </c>
      <c r="X1333" s="15">
        <f>IF(ISERROR(VLOOKUP($A1333,'13. Updated Demand'!A:Z,15,FALSE)),0,VLOOKUP($A1333,'13. Updated Demand'!A:Z,15,FALSE))</f>
        <v>0</v>
      </c>
      <c r="Y1333" s="16">
        <f>IF(ISERROR(VLOOKUP($A1333,'13. Updated Demand'!A:Z,16,FALSE)),0,VLOOKUP($A1333,'13. Updated Demand'!A:Z,16,FALSE))</f>
        <v>0</v>
      </c>
      <c r="Z1333" s="16">
        <f>IF(ISERROR(VLOOKUP($A1333,'13. Updated Demand'!A:Z,17,FALSE)),0,VLOOKUP($A1333,'13. Updated Demand'!A:Z,17,FALSE))</f>
        <v>0</v>
      </c>
      <c r="AA1333" s="16">
        <f>IF(ISERROR(VLOOKUP($A1333,'13. Updated Demand'!A:Z,18,FALSE)),0,VLOOKUP($A1333,'13. Updated Demand'!A:Z,18,FALSE))</f>
        <v>0.33</v>
      </c>
      <c r="AB1333" s="16">
        <f>IF(ISERROR(VLOOKUP($A1333,'13. Updated Demand'!A:Z,19,FALSE)),0,VLOOKUP($A1333,'13. Updated Demand'!A:Z,19,FALSE))</f>
        <v>0</v>
      </c>
      <c r="AC1333" s="16">
        <f>IF(ISERROR(VLOOKUP($A1333,'13. Updated Demand'!A:Z,20,FALSE)),0,VLOOKUP($A1333,'13. Updated Demand'!A:Z,20,FALSE))</f>
        <v>0.23</v>
      </c>
      <c r="AD1333" s="16">
        <f>IF(ISERROR(VLOOKUP($A1333,'13. Updated Demand'!A:Z,21,FALSE)),0,VLOOKUP($A1333,'13. Updated Demand'!A:Z,21,FALSE))</f>
        <v>0.26</v>
      </c>
      <c r="AE1333" s="16">
        <f>IF(ISERROR(VLOOKUP($A1333,'13. Updated Demand'!A:Z,22,FALSE)),0,VLOOKUP($A1333,'13. Updated Demand'!A:Z,22,FALSE))</f>
        <v>3.26</v>
      </c>
      <c r="AF1333" s="16">
        <f>IF(ISERROR(VLOOKUP($A1333,'13. Updated Demand'!A:Z,23,FALSE)),0,VLOOKUP($A1333,'13. Updated Demand'!A:Z,23,FALSE))</f>
        <v>2.13</v>
      </c>
      <c r="AG1333" s="16">
        <f>IF(ISERROR(VLOOKUP($A1333,'13. Updated Demand'!A:Z,24,FALSE)),0,VLOOKUP($A1333,'13. Updated Demand'!A:Z,24,FALSE))</f>
        <v>0</v>
      </c>
      <c r="AH1333" s="16">
        <f>IF(ISERROR(VLOOKUP($A1333,'13. Updated Demand'!A:Z,25,FALSE)),0,VLOOKUP($A1333,'13. Updated Demand'!A:Z,25,FALSE))</f>
        <v>0</v>
      </c>
      <c r="AI1333" s="16">
        <f>IF(ISERROR(VLOOKUP($A1333,'13. Updated Demand'!A:Z,26,FALSE)),0,VLOOKUP($A1333,'13. Updated Demand'!A:Z,26,FALSE))</f>
        <v>0</v>
      </c>
      <c r="AJ1333" s="16">
        <f t="shared" si="252"/>
        <v>6.21</v>
      </c>
      <c r="AK1333" s="19">
        <v>5.9</v>
      </c>
      <c r="AL1333" s="16">
        <f t="shared" si="250"/>
        <v>1.9569627926843504E-2</v>
      </c>
      <c r="AM1333" s="17">
        <v>8.3111111111111108E-2</v>
      </c>
      <c r="AN1333" s="19"/>
      <c r="AO1333" s="19"/>
      <c r="AP1333" s="19">
        <v>75</v>
      </c>
      <c r="AQ1333" s="19" t="s">
        <v>307</v>
      </c>
      <c r="AR1333" s="9" t="s">
        <v>354</v>
      </c>
      <c r="AS1333" s="12">
        <v>0</v>
      </c>
      <c r="AT1333" s="19">
        <v>38.811669389999999</v>
      </c>
      <c r="AU1333" s="19">
        <v>-123.00378298</v>
      </c>
      <c r="AV1333" s="19" t="s">
        <v>548</v>
      </c>
    </row>
    <row r="1334" spans="1:48" x14ac:dyDescent="0.25">
      <c r="A1334" s="18" t="s">
        <v>69</v>
      </c>
      <c r="B1334" s="10">
        <v>19490808</v>
      </c>
      <c r="C1334" s="9">
        <v>12</v>
      </c>
      <c r="D1334" s="8" t="str">
        <f t="shared" si="241"/>
        <v>N</v>
      </c>
      <c r="E1334" s="8" t="str">
        <f t="shared" si="242"/>
        <v>Y</v>
      </c>
      <c r="F1334" s="8" t="str">
        <f t="shared" si="243"/>
        <v>Y</v>
      </c>
      <c r="G1334" s="8" t="str">
        <f t="shared" si="244"/>
        <v>Y</v>
      </c>
      <c r="H1334" s="8" t="str">
        <f t="shared" si="245"/>
        <v>Upper</v>
      </c>
      <c r="I1334" s="8" t="str">
        <f t="shared" si="246"/>
        <v>West Fork and Below Lake</v>
      </c>
      <c r="J1334" s="8" t="str">
        <f t="shared" si="247"/>
        <v>Sonoma (d/s of Clov. Gage)</v>
      </c>
      <c r="K1334" s="8" t="str">
        <f t="shared" si="248"/>
        <v>Post-1949</v>
      </c>
      <c r="L1334" s="8">
        <f t="shared" si="249"/>
        <v>1949</v>
      </c>
      <c r="M1334" s="8" t="str">
        <f t="shared" si="254"/>
        <v>Pre-1949 + 1949</v>
      </c>
      <c r="N1334" s="10" t="s">
        <v>241</v>
      </c>
      <c r="O1334" s="10" t="s">
        <v>241</v>
      </c>
      <c r="P1334" s="10" t="s">
        <v>242</v>
      </c>
      <c r="Q1334" s="10" t="s">
        <v>242</v>
      </c>
      <c r="R1334" s="10" t="s">
        <v>241</v>
      </c>
      <c r="S1334" s="10" t="s">
        <v>242</v>
      </c>
      <c r="T1334" s="10" t="s">
        <v>242</v>
      </c>
      <c r="U1334" s="10" t="s">
        <v>241</v>
      </c>
      <c r="V1334" s="10" t="s">
        <v>241</v>
      </c>
      <c r="W1334" s="10" t="s">
        <v>242</v>
      </c>
      <c r="X1334" s="15">
        <f>IF(ISERROR(VLOOKUP($A1334,'13. Updated Demand'!A:Z,15,FALSE)),0,VLOOKUP($A1334,'13. Updated Demand'!A:Z,15,FALSE))</f>
        <v>0</v>
      </c>
      <c r="Y1334" s="16">
        <f>IF(ISERROR(VLOOKUP($A1334,'13. Updated Demand'!A:Z,16,FALSE)),0,VLOOKUP($A1334,'13. Updated Demand'!A:Z,16,FALSE))</f>
        <v>0</v>
      </c>
      <c r="Z1334" s="16">
        <f>IF(ISERROR(VLOOKUP($A1334,'13. Updated Demand'!A:Z,17,FALSE)),0,VLOOKUP($A1334,'13. Updated Demand'!A:Z,17,FALSE))</f>
        <v>0</v>
      </c>
      <c r="AA1334" s="16">
        <f>IF(ISERROR(VLOOKUP($A1334,'13. Updated Demand'!A:Z,18,FALSE)),0,VLOOKUP($A1334,'13. Updated Demand'!A:Z,18,FALSE))</f>
        <v>0</v>
      </c>
      <c r="AB1334" s="16">
        <f>IF(ISERROR(VLOOKUP($A1334,'13. Updated Demand'!A:Z,19,FALSE)),0,VLOOKUP($A1334,'13. Updated Demand'!A:Z,19,FALSE))</f>
        <v>0</v>
      </c>
      <c r="AC1334" s="16">
        <f>IF(ISERROR(VLOOKUP($A1334,'13. Updated Demand'!A:Z,20,FALSE)),0,VLOOKUP($A1334,'13. Updated Demand'!A:Z,20,FALSE))</f>
        <v>0</v>
      </c>
      <c r="AD1334" s="16">
        <f>IF(ISERROR(VLOOKUP($A1334,'13. Updated Demand'!A:Z,21,FALSE)),0,VLOOKUP($A1334,'13. Updated Demand'!A:Z,21,FALSE))</f>
        <v>0</v>
      </c>
      <c r="AE1334" s="16">
        <f>IF(ISERROR(VLOOKUP($A1334,'13. Updated Demand'!A:Z,22,FALSE)),0,VLOOKUP($A1334,'13. Updated Demand'!A:Z,22,FALSE))</f>
        <v>0</v>
      </c>
      <c r="AF1334" s="16">
        <f>IF(ISERROR(VLOOKUP($A1334,'13. Updated Demand'!A:Z,23,FALSE)),0,VLOOKUP($A1334,'13. Updated Demand'!A:Z,23,FALSE))</f>
        <v>0</v>
      </c>
      <c r="AG1334" s="16">
        <f>IF(ISERROR(VLOOKUP($A1334,'13. Updated Demand'!A:Z,24,FALSE)),0,VLOOKUP($A1334,'13. Updated Demand'!A:Z,24,FALSE))</f>
        <v>0</v>
      </c>
      <c r="AH1334" s="16">
        <f>IF(ISERROR(VLOOKUP($A1334,'13. Updated Demand'!A:Z,25,FALSE)),0,VLOOKUP($A1334,'13. Updated Demand'!A:Z,25,FALSE))</f>
        <v>0</v>
      </c>
      <c r="AI1334" s="16">
        <f>IF(ISERROR(VLOOKUP($A1334,'13. Updated Demand'!A:Z,26,FALSE)),0,VLOOKUP($A1334,'13. Updated Demand'!A:Z,26,FALSE))</f>
        <v>0</v>
      </c>
      <c r="AJ1334" s="16">
        <f t="shared" si="252"/>
        <v>0</v>
      </c>
      <c r="AK1334" s="19">
        <v>0</v>
      </c>
      <c r="AL1334" s="16">
        <f t="shared" si="250"/>
        <v>0</v>
      </c>
      <c r="AM1334" s="17">
        <v>0</v>
      </c>
      <c r="AN1334" s="19"/>
      <c r="AO1334" s="19"/>
      <c r="AP1334" s="19">
        <v>20.5</v>
      </c>
      <c r="AQ1334" s="19" t="s">
        <v>307</v>
      </c>
      <c r="AR1334" s="9" t="s">
        <v>311</v>
      </c>
      <c r="AS1334" s="12">
        <v>0</v>
      </c>
      <c r="AT1334" s="19">
        <v>38.627695240000001</v>
      </c>
      <c r="AU1334" s="19">
        <v>-122.78905193</v>
      </c>
      <c r="AV1334" s="19" t="s">
        <v>387</v>
      </c>
    </row>
    <row r="1335" spans="1:48" x14ac:dyDescent="0.25">
      <c r="A1335" s="18" t="s">
        <v>1702</v>
      </c>
      <c r="B1335" s="10">
        <v>19490809</v>
      </c>
      <c r="C1335" s="9">
        <v>4</v>
      </c>
      <c r="D1335" s="8" t="str">
        <f t="shared" si="241"/>
        <v>Y</v>
      </c>
      <c r="E1335" s="8" t="str">
        <f t="shared" si="242"/>
        <v>N</v>
      </c>
      <c r="F1335" s="8" t="str">
        <f t="shared" si="243"/>
        <v>Y</v>
      </c>
      <c r="G1335" s="8" t="str">
        <f t="shared" si="244"/>
        <v>Y</v>
      </c>
      <c r="H1335" s="8" t="str">
        <f t="shared" si="245"/>
        <v>Upper</v>
      </c>
      <c r="I1335" s="8" t="str">
        <f t="shared" si="246"/>
        <v>West Fork and Below Lake</v>
      </c>
      <c r="J1335" s="8" t="str">
        <f t="shared" si="247"/>
        <v>Mendocino (d/s of lake)</v>
      </c>
      <c r="K1335" s="8" t="str">
        <f t="shared" si="248"/>
        <v>Post-1949</v>
      </c>
      <c r="L1335" s="8">
        <f t="shared" si="249"/>
        <v>1949</v>
      </c>
      <c r="M1335" s="8" t="str">
        <f t="shared" si="254"/>
        <v>Pre-1949 + 1949</v>
      </c>
      <c r="N1335" s="10" t="s">
        <v>241</v>
      </c>
      <c r="O1335" s="10" t="s">
        <v>241</v>
      </c>
      <c r="P1335" s="10" t="s">
        <v>242</v>
      </c>
      <c r="Q1335" s="10" t="s">
        <v>242</v>
      </c>
      <c r="R1335" s="10" t="s">
        <v>241</v>
      </c>
      <c r="S1335" s="10" t="s">
        <v>242</v>
      </c>
      <c r="T1335" s="10" t="s">
        <v>242</v>
      </c>
      <c r="U1335" s="10" t="s">
        <v>242</v>
      </c>
      <c r="V1335" s="10" t="s">
        <v>242</v>
      </c>
      <c r="W1335" s="10" t="s">
        <v>242</v>
      </c>
      <c r="X1335" s="15">
        <f>IF(ISERROR(VLOOKUP($A1335,'13. Updated Demand'!A:Z,15,FALSE)),0,VLOOKUP($A1335,'13. Updated Demand'!A:Z,15,FALSE))</f>
        <v>0</v>
      </c>
      <c r="Y1335" s="16">
        <f>IF(ISERROR(VLOOKUP($A1335,'13. Updated Demand'!A:Z,16,FALSE)),0,VLOOKUP($A1335,'13. Updated Demand'!A:Z,16,FALSE))</f>
        <v>0</v>
      </c>
      <c r="Z1335" s="16">
        <f>IF(ISERROR(VLOOKUP($A1335,'13. Updated Demand'!A:Z,17,FALSE)),0,VLOOKUP($A1335,'13. Updated Demand'!A:Z,17,FALSE))</f>
        <v>1.03</v>
      </c>
      <c r="AA1335" s="16">
        <f>IF(ISERROR(VLOOKUP($A1335,'13. Updated Demand'!A:Z,18,FALSE)),0,VLOOKUP($A1335,'13. Updated Demand'!A:Z,18,FALSE))</f>
        <v>1.53</v>
      </c>
      <c r="AB1335" s="16">
        <f>IF(ISERROR(VLOOKUP($A1335,'13. Updated Demand'!A:Z,19,FALSE)),0,VLOOKUP($A1335,'13. Updated Demand'!A:Z,19,FALSE))</f>
        <v>2.66</v>
      </c>
      <c r="AC1335" s="16">
        <f>IF(ISERROR(VLOOKUP($A1335,'13. Updated Demand'!A:Z,20,FALSE)),0,VLOOKUP($A1335,'13. Updated Demand'!A:Z,20,FALSE))</f>
        <v>2.8</v>
      </c>
      <c r="AD1335" s="16">
        <f>IF(ISERROR(VLOOKUP($A1335,'13. Updated Demand'!A:Z,21,FALSE)),0,VLOOKUP($A1335,'13. Updated Demand'!A:Z,21,FALSE))</f>
        <v>4.53</v>
      </c>
      <c r="AE1335" s="16">
        <f>IF(ISERROR(VLOOKUP($A1335,'13. Updated Demand'!A:Z,22,FALSE)),0,VLOOKUP($A1335,'13. Updated Demand'!A:Z,22,FALSE))</f>
        <v>2.86</v>
      </c>
      <c r="AF1335" s="16">
        <f>IF(ISERROR(VLOOKUP($A1335,'13. Updated Demand'!A:Z,23,FALSE)),0,VLOOKUP($A1335,'13. Updated Demand'!A:Z,23,FALSE))</f>
        <v>1.3</v>
      </c>
      <c r="AG1335" s="16">
        <f>IF(ISERROR(VLOOKUP($A1335,'13. Updated Demand'!A:Z,24,FALSE)),0,VLOOKUP($A1335,'13. Updated Demand'!A:Z,24,FALSE))</f>
        <v>1.03</v>
      </c>
      <c r="AH1335" s="16">
        <f>IF(ISERROR(VLOOKUP($A1335,'13. Updated Demand'!A:Z,25,FALSE)),0,VLOOKUP($A1335,'13. Updated Demand'!A:Z,25,FALSE))</f>
        <v>0</v>
      </c>
      <c r="AI1335" s="16">
        <f>IF(ISERROR(VLOOKUP($A1335,'13. Updated Demand'!A:Z,26,FALSE)),0,VLOOKUP($A1335,'13. Updated Demand'!A:Z,26,FALSE))</f>
        <v>0</v>
      </c>
      <c r="AJ1335" s="16">
        <f t="shared" si="252"/>
        <v>17.740000000000002</v>
      </c>
      <c r="AK1335" s="19">
        <v>14.166666666666671</v>
      </c>
      <c r="AL1335" s="16">
        <f t="shared" si="250"/>
        <v>4.698921959835306E-2</v>
      </c>
      <c r="AM1335" s="17">
        <v>0.10414224306369674</v>
      </c>
      <c r="AN1335" s="19"/>
      <c r="AO1335" s="19"/>
      <c r="AP1335" s="19">
        <v>170.6</v>
      </c>
      <c r="AQ1335" s="19" t="s">
        <v>307</v>
      </c>
      <c r="AR1335" s="9" t="s">
        <v>331</v>
      </c>
      <c r="AS1335" s="12">
        <v>0</v>
      </c>
      <c r="AT1335" s="19">
        <v>39.132292380000003</v>
      </c>
      <c r="AU1335" s="19">
        <v>-123.18989877999999</v>
      </c>
      <c r="AV1335" s="19" t="s">
        <v>387</v>
      </c>
    </row>
    <row r="1336" spans="1:48" x14ac:dyDescent="0.25">
      <c r="A1336" s="18" t="s">
        <v>1703</v>
      </c>
      <c r="B1336" s="10">
        <v>19490809</v>
      </c>
      <c r="C1336" s="9">
        <v>4</v>
      </c>
      <c r="D1336" s="8" t="str">
        <f t="shared" si="241"/>
        <v>Y</v>
      </c>
      <c r="E1336" s="8" t="str">
        <f t="shared" si="242"/>
        <v>N</v>
      </c>
      <c r="F1336" s="8" t="str">
        <f t="shared" si="243"/>
        <v>Y</v>
      </c>
      <c r="G1336" s="8" t="str">
        <f t="shared" si="244"/>
        <v>Y</v>
      </c>
      <c r="H1336" s="8" t="str">
        <f t="shared" si="245"/>
        <v>Upper</v>
      </c>
      <c r="I1336" s="8" t="str">
        <f t="shared" si="246"/>
        <v>West Fork and Below Lake</v>
      </c>
      <c r="J1336" s="8" t="str">
        <f t="shared" si="247"/>
        <v>Mendocino (d/s of lake)</v>
      </c>
      <c r="K1336" s="8" t="str">
        <f t="shared" si="248"/>
        <v>Post-1949</v>
      </c>
      <c r="L1336" s="8">
        <f t="shared" si="249"/>
        <v>1949</v>
      </c>
      <c r="M1336" s="8" t="str">
        <f t="shared" si="254"/>
        <v>Pre-1949 + 1949</v>
      </c>
      <c r="N1336" s="10" t="s">
        <v>241</v>
      </c>
      <c r="O1336" s="10" t="s">
        <v>241</v>
      </c>
      <c r="P1336" s="10" t="s">
        <v>242</v>
      </c>
      <c r="Q1336" s="10" t="s">
        <v>242</v>
      </c>
      <c r="R1336" s="10" t="s">
        <v>241</v>
      </c>
      <c r="S1336" s="10" t="s">
        <v>242</v>
      </c>
      <c r="T1336" s="10" t="s">
        <v>242</v>
      </c>
      <c r="U1336" s="10" t="s">
        <v>242</v>
      </c>
      <c r="V1336" s="10" t="s">
        <v>242</v>
      </c>
      <c r="W1336" s="10" t="s">
        <v>242</v>
      </c>
      <c r="X1336" s="15">
        <f>IF(ISERROR(VLOOKUP($A1336,'13. Updated Demand'!A:Z,15,FALSE)),0,VLOOKUP($A1336,'13. Updated Demand'!A:Z,15,FALSE))</f>
        <v>0</v>
      </c>
      <c r="Y1336" s="16">
        <f>IF(ISERROR(VLOOKUP($A1336,'13. Updated Demand'!A:Z,16,FALSE)),0,VLOOKUP($A1336,'13. Updated Demand'!A:Z,16,FALSE))</f>
        <v>0</v>
      </c>
      <c r="Z1336" s="16">
        <f>IF(ISERROR(VLOOKUP($A1336,'13. Updated Demand'!A:Z,17,FALSE)),0,VLOOKUP($A1336,'13. Updated Demand'!A:Z,17,FALSE))</f>
        <v>0</v>
      </c>
      <c r="AA1336" s="16">
        <f>IF(ISERROR(VLOOKUP($A1336,'13. Updated Demand'!A:Z,18,FALSE)),0,VLOOKUP($A1336,'13. Updated Demand'!A:Z,18,FALSE))</f>
        <v>0</v>
      </c>
      <c r="AB1336" s="16">
        <f>IF(ISERROR(VLOOKUP($A1336,'13. Updated Demand'!A:Z,19,FALSE)),0,VLOOKUP($A1336,'13. Updated Demand'!A:Z,19,FALSE))</f>
        <v>0</v>
      </c>
      <c r="AC1336" s="16">
        <f>IF(ISERROR(VLOOKUP($A1336,'13. Updated Demand'!A:Z,20,FALSE)),0,VLOOKUP($A1336,'13. Updated Demand'!A:Z,20,FALSE))</f>
        <v>8.76</v>
      </c>
      <c r="AD1336" s="16">
        <f>IF(ISERROR(VLOOKUP($A1336,'13. Updated Demand'!A:Z,21,FALSE)),0,VLOOKUP($A1336,'13. Updated Demand'!A:Z,21,FALSE))</f>
        <v>9.6999999999999993</v>
      </c>
      <c r="AE1336" s="16">
        <f>IF(ISERROR(VLOOKUP($A1336,'13. Updated Demand'!A:Z,22,FALSE)),0,VLOOKUP($A1336,'13. Updated Demand'!A:Z,22,FALSE))</f>
        <v>7.73</v>
      </c>
      <c r="AF1336" s="16">
        <f>IF(ISERROR(VLOOKUP($A1336,'13. Updated Demand'!A:Z,23,FALSE)),0,VLOOKUP($A1336,'13. Updated Demand'!A:Z,23,FALSE))</f>
        <v>6.5</v>
      </c>
      <c r="AG1336" s="16">
        <f>IF(ISERROR(VLOOKUP($A1336,'13. Updated Demand'!A:Z,24,FALSE)),0,VLOOKUP($A1336,'13. Updated Demand'!A:Z,24,FALSE))</f>
        <v>8.9</v>
      </c>
      <c r="AH1336" s="16">
        <f>IF(ISERROR(VLOOKUP($A1336,'13. Updated Demand'!A:Z,25,FALSE)),0,VLOOKUP($A1336,'13. Updated Demand'!A:Z,25,FALSE))</f>
        <v>0</v>
      </c>
      <c r="AI1336" s="16">
        <f>IF(ISERROR(VLOOKUP($A1336,'13. Updated Demand'!A:Z,26,FALSE)),0,VLOOKUP($A1336,'13. Updated Demand'!A:Z,26,FALSE))</f>
        <v>0</v>
      </c>
      <c r="AJ1336" s="16">
        <f t="shared" si="252"/>
        <v>41.589999999999996</v>
      </c>
      <c r="AK1336" s="19">
        <v>32.700000000000003</v>
      </c>
      <c r="AL1336" s="16">
        <f t="shared" si="250"/>
        <v>0.10846217511996316</v>
      </c>
      <c r="AM1336" s="17">
        <v>0.21871713985278657</v>
      </c>
      <c r="AN1336" s="19"/>
      <c r="AO1336" s="19"/>
      <c r="AP1336" s="19">
        <v>190.2</v>
      </c>
      <c r="AQ1336" s="19" t="s">
        <v>307</v>
      </c>
      <c r="AR1336" s="9" t="s">
        <v>331</v>
      </c>
      <c r="AS1336" s="12">
        <v>0</v>
      </c>
      <c r="AT1336" s="19">
        <v>39.132292380000003</v>
      </c>
      <c r="AU1336" s="19">
        <v>-123.18989877999999</v>
      </c>
      <c r="AV1336" s="19" t="s">
        <v>387</v>
      </c>
    </row>
    <row r="1337" spans="1:48" x14ac:dyDescent="0.25">
      <c r="A1337" s="18" t="s">
        <v>1704</v>
      </c>
      <c r="B1337" s="10">
        <v>19490809</v>
      </c>
      <c r="C1337" s="9">
        <v>9</v>
      </c>
      <c r="D1337" s="8" t="str">
        <f t="shared" si="241"/>
        <v>N</v>
      </c>
      <c r="E1337" s="8" t="str">
        <f t="shared" si="242"/>
        <v>Y</v>
      </c>
      <c r="F1337" s="8" t="str">
        <f t="shared" si="243"/>
        <v>Y</v>
      </c>
      <c r="G1337" s="8" t="str">
        <f t="shared" si="244"/>
        <v>Y</v>
      </c>
      <c r="H1337" s="8" t="str">
        <f t="shared" si="245"/>
        <v>Upper</v>
      </c>
      <c r="I1337" s="8" t="str">
        <f t="shared" si="246"/>
        <v>West Fork and Below Lake</v>
      </c>
      <c r="J1337" s="8" t="str">
        <f t="shared" si="247"/>
        <v>Sonoma (d/s of Clov. Gage)</v>
      </c>
      <c r="K1337" s="8" t="str">
        <f t="shared" si="248"/>
        <v>Post-1949</v>
      </c>
      <c r="L1337" s="8">
        <f t="shared" si="249"/>
        <v>1949</v>
      </c>
      <c r="M1337" s="8" t="str">
        <f t="shared" si="254"/>
        <v>Pre-1949 + 1949</v>
      </c>
      <c r="N1337" s="10" t="s">
        <v>241</v>
      </c>
      <c r="O1337" s="10" t="s">
        <v>241</v>
      </c>
      <c r="P1337" s="10" t="s">
        <v>242</v>
      </c>
      <c r="Q1337" s="10" t="s">
        <v>242</v>
      </c>
      <c r="R1337" s="10" t="s">
        <v>241</v>
      </c>
      <c r="S1337" s="10" t="s">
        <v>242</v>
      </c>
      <c r="T1337" s="10" t="s">
        <v>242</v>
      </c>
      <c r="U1337" s="10" t="s">
        <v>242</v>
      </c>
      <c r="V1337" s="10" t="s">
        <v>242</v>
      </c>
      <c r="W1337" s="10" t="s">
        <v>242</v>
      </c>
      <c r="X1337" s="15">
        <f>IF(ISERROR(VLOOKUP($A1337,'13. Updated Demand'!A:Z,15,FALSE)),0,VLOOKUP($A1337,'13. Updated Demand'!A:Z,15,FALSE))</f>
        <v>0</v>
      </c>
      <c r="Y1337" s="16">
        <f>IF(ISERROR(VLOOKUP($A1337,'13. Updated Demand'!A:Z,16,FALSE)),0,VLOOKUP($A1337,'13. Updated Demand'!A:Z,16,FALSE))</f>
        <v>0</v>
      </c>
      <c r="Z1337" s="16">
        <f>IF(ISERROR(VLOOKUP($A1337,'13. Updated Demand'!A:Z,17,FALSE)),0,VLOOKUP($A1337,'13. Updated Demand'!A:Z,17,FALSE))</f>
        <v>0</v>
      </c>
      <c r="AA1337" s="16">
        <f>IF(ISERROR(VLOOKUP($A1337,'13. Updated Demand'!A:Z,18,FALSE)),0,VLOOKUP($A1337,'13. Updated Demand'!A:Z,18,FALSE))</f>
        <v>0</v>
      </c>
      <c r="AB1337" s="16">
        <f>IF(ISERROR(VLOOKUP($A1337,'13. Updated Demand'!A:Z,19,FALSE)),0,VLOOKUP($A1337,'13. Updated Demand'!A:Z,19,FALSE))</f>
        <v>0</v>
      </c>
      <c r="AC1337" s="16">
        <f>IF(ISERROR(VLOOKUP($A1337,'13. Updated Demand'!A:Z,20,FALSE)),0,VLOOKUP($A1337,'13. Updated Demand'!A:Z,20,FALSE))</f>
        <v>1.1000000000000001</v>
      </c>
      <c r="AD1337" s="16">
        <f>IF(ISERROR(VLOOKUP($A1337,'13. Updated Demand'!A:Z,21,FALSE)),0,VLOOKUP($A1337,'13. Updated Demand'!A:Z,21,FALSE))</f>
        <v>2.5</v>
      </c>
      <c r="AE1337" s="16">
        <f>IF(ISERROR(VLOOKUP($A1337,'13. Updated Demand'!A:Z,22,FALSE)),0,VLOOKUP($A1337,'13. Updated Demand'!A:Z,22,FALSE))</f>
        <v>1.4</v>
      </c>
      <c r="AF1337" s="16">
        <f>IF(ISERROR(VLOOKUP($A1337,'13. Updated Demand'!A:Z,23,FALSE)),0,VLOOKUP($A1337,'13. Updated Demand'!A:Z,23,FALSE))</f>
        <v>0</v>
      </c>
      <c r="AG1337" s="16">
        <f>IF(ISERROR(VLOOKUP($A1337,'13. Updated Demand'!A:Z,24,FALSE)),0,VLOOKUP($A1337,'13. Updated Demand'!A:Z,24,FALSE))</f>
        <v>0</v>
      </c>
      <c r="AH1337" s="16">
        <f>IF(ISERROR(VLOOKUP($A1337,'13. Updated Demand'!A:Z,25,FALSE)),0,VLOOKUP($A1337,'13. Updated Demand'!A:Z,25,FALSE))</f>
        <v>0</v>
      </c>
      <c r="AI1337" s="16">
        <f>IF(ISERROR(VLOOKUP($A1337,'13. Updated Demand'!A:Z,26,FALSE)),0,VLOOKUP($A1337,'13. Updated Demand'!A:Z,26,FALSE))</f>
        <v>0</v>
      </c>
      <c r="AJ1337" s="16">
        <f t="shared" si="252"/>
        <v>5</v>
      </c>
      <c r="AK1337" s="19">
        <v>5</v>
      </c>
      <c r="AL1337" s="16">
        <f t="shared" si="250"/>
        <v>1.6584430446477543E-2</v>
      </c>
      <c r="AM1337" s="17">
        <v>0.10706638115631691</v>
      </c>
      <c r="AN1337" s="19"/>
      <c r="AO1337" s="19"/>
      <c r="AP1337" s="19">
        <v>46.7</v>
      </c>
      <c r="AQ1337" s="19" t="s">
        <v>307</v>
      </c>
      <c r="AR1337" s="9" t="s">
        <v>354</v>
      </c>
      <c r="AS1337" s="12">
        <v>0</v>
      </c>
      <c r="AT1337" s="19">
        <v>38.804042019999997</v>
      </c>
      <c r="AU1337" s="19">
        <v>-122.99665663</v>
      </c>
      <c r="AV1337" s="19" t="s">
        <v>548</v>
      </c>
    </row>
    <row r="1338" spans="1:48" x14ac:dyDescent="0.25">
      <c r="A1338" s="18" t="s">
        <v>1705</v>
      </c>
      <c r="B1338" s="10">
        <v>19490817</v>
      </c>
      <c r="C1338" s="9">
        <v>23</v>
      </c>
      <c r="D1338" s="8" t="str">
        <f t="shared" si="241"/>
        <v>N</v>
      </c>
      <c r="E1338" s="8" t="str">
        <f t="shared" si="242"/>
        <v>N</v>
      </c>
      <c r="F1338" s="8" t="str">
        <f t="shared" si="243"/>
        <v>N</v>
      </c>
      <c r="G1338" s="8" t="str">
        <f t="shared" si="244"/>
        <v>N</v>
      </c>
      <c r="H1338" s="8" t="str">
        <f t="shared" si="245"/>
        <v>Lower</v>
      </c>
      <c r="I1338" s="8" t="str">
        <f t="shared" si="246"/>
        <v>Outside</v>
      </c>
      <c r="J1338" s="8" t="str">
        <f t="shared" si="247"/>
        <v>Outside</v>
      </c>
      <c r="K1338" s="8" t="str">
        <f t="shared" si="248"/>
        <v>Post-1949</v>
      </c>
      <c r="L1338" s="8">
        <f t="shared" si="249"/>
        <v>1949</v>
      </c>
      <c r="M1338" s="8" t="str">
        <f t="shared" si="254"/>
        <v>Pre-1949 + 1949</v>
      </c>
      <c r="N1338" s="10" t="s">
        <v>242</v>
      </c>
      <c r="O1338" s="10" t="s">
        <v>242</v>
      </c>
      <c r="P1338" s="10" t="s">
        <v>242</v>
      </c>
      <c r="Q1338" s="10" t="s">
        <v>242</v>
      </c>
      <c r="R1338" s="10" t="s">
        <v>241</v>
      </c>
      <c r="S1338" s="10" t="s">
        <v>242</v>
      </c>
      <c r="T1338" s="10" t="s">
        <v>242</v>
      </c>
      <c r="U1338" s="10" t="s">
        <v>242</v>
      </c>
      <c r="V1338" s="10" t="s">
        <v>242</v>
      </c>
      <c r="W1338" s="10" t="s">
        <v>242</v>
      </c>
      <c r="X1338" s="15">
        <f>IF(ISERROR(VLOOKUP($A1338,'13. Updated Demand'!A:Z,15,FALSE)),0,VLOOKUP($A1338,'13. Updated Demand'!A:Z,15,FALSE))</f>
        <v>0</v>
      </c>
      <c r="Y1338" s="16">
        <f>IF(ISERROR(VLOOKUP($A1338,'13. Updated Demand'!A:Z,16,FALSE)),0,VLOOKUP($A1338,'13. Updated Demand'!A:Z,16,FALSE))</f>
        <v>0</v>
      </c>
      <c r="Z1338" s="16">
        <f>IF(ISERROR(VLOOKUP($A1338,'13. Updated Demand'!A:Z,17,FALSE)),0,VLOOKUP($A1338,'13. Updated Demand'!A:Z,17,FALSE))</f>
        <v>9.2066667000000005E-2</v>
      </c>
      <c r="AA1338" s="16">
        <f>IF(ISERROR(VLOOKUP($A1338,'13. Updated Demand'!A:Z,18,FALSE)),0,VLOOKUP($A1338,'13. Updated Demand'!A:Z,18,FALSE))</f>
        <v>2.2556319999999999</v>
      </c>
      <c r="AB1338" s="16">
        <f>IF(ISERROR(VLOOKUP($A1338,'13. Updated Demand'!A:Z,19,FALSE)),0,VLOOKUP($A1338,'13. Updated Demand'!A:Z,19,FALSE))</f>
        <v>3.3143980000000002</v>
      </c>
      <c r="AC1338" s="16">
        <f>IF(ISERROR(VLOOKUP($A1338,'13. Updated Demand'!A:Z,20,FALSE)),0,VLOOKUP($A1338,'13. Updated Demand'!A:Z,20,FALSE))</f>
        <v>3.3143980000000002</v>
      </c>
      <c r="AD1338" s="16">
        <f>IF(ISERROR(VLOOKUP($A1338,'13. Updated Demand'!A:Z,21,FALSE)),0,VLOOKUP($A1338,'13. Updated Demand'!A:Z,21,FALSE))</f>
        <v>3.3143980000000002</v>
      </c>
      <c r="AE1338" s="16">
        <f>IF(ISERROR(VLOOKUP($A1338,'13. Updated Demand'!A:Z,22,FALSE)),0,VLOOKUP($A1338,'13. Updated Demand'!A:Z,22,FALSE))</f>
        <v>3.3143980000000002</v>
      </c>
      <c r="AF1338" s="16">
        <f>IF(ISERROR(VLOOKUP($A1338,'13. Updated Demand'!A:Z,23,FALSE)),0,VLOOKUP($A1338,'13. Updated Demand'!A:Z,23,FALSE))</f>
        <v>3.3143980000000002</v>
      </c>
      <c r="AG1338" s="16">
        <f>IF(ISERROR(VLOOKUP($A1338,'13. Updated Demand'!A:Z,24,FALSE)),0,VLOOKUP($A1338,'13. Updated Demand'!A:Z,24,FALSE))</f>
        <v>1.196866</v>
      </c>
      <c r="AH1338" s="16">
        <f>IF(ISERROR(VLOOKUP($A1338,'13. Updated Demand'!A:Z,25,FALSE)),0,VLOOKUP($A1338,'13. Updated Demand'!A:Z,25,FALSE))</f>
        <v>4.6033333000000003E-2</v>
      </c>
      <c r="AI1338" s="16">
        <f>IF(ISERROR(VLOOKUP($A1338,'13. Updated Demand'!A:Z,26,FALSE)),0,VLOOKUP($A1338,'13. Updated Demand'!A:Z,26,FALSE))</f>
        <v>0</v>
      </c>
      <c r="AJ1338" s="16">
        <f t="shared" si="252"/>
        <v>20.162588000000003</v>
      </c>
      <c r="AK1338" s="19">
        <v>16.57199</v>
      </c>
      <c r="AL1338" s="16">
        <f t="shared" si="250"/>
        <v>5.4967403102944276E-2</v>
      </c>
      <c r="AM1338" s="17">
        <v>0.55239967123287681</v>
      </c>
      <c r="AN1338" s="19"/>
      <c r="AO1338" s="19"/>
      <c r="AP1338" s="19">
        <v>36.5</v>
      </c>
      <c r="AQ1338" s="19" t="s">
        <v>307</v>
      </c>
      <c r="AR1338" s="9" t="s">
        <v>1118</v>
      </c>
      <c r="AS1338" s="12">
        <v>0</v>
      </c>
      <c r="AT1338" s="19">
        <v>38.433980239999997</v>
      </c>
      <c r="AU1338" s="19">
        <v>-122.8452185</v>
      </c>
      <c r="AV1338" s="19" t="s">
        <v>417</v>
      </c>
    </row>
    <row r="1339" spans="1:48" x14ac:dyDescent="0.25">
      <c r="A1339" s="18" t="s">
        <v>1706</v>
      </c>
      <c r="B1339" s="10">
        <v>19490829</v>
      </c>
      <c r="C1339" s="9">
        <v>21</v>
      </c>
      <c r="D1339" s="8" t="str">
        <f t="shared" si="241"/>
        <v>N</v>
      </c>
      <c r="E1339" s="8" t="str">
        <f t="shared" si="242"/>
        <v>N</v>
      </c>
      <c r="F1339" s="8" t="str">
        <f t="shared" si="243"/>
        <v>N</v>
      </c>
      <c r="G1339" s="8" t="str">
        <f t="shared" si="244"/>
        <v>N</v>
      </c>
      <c r="H1339" s="8" t="str">
        <f t="shared" si="245"/>
        <v>Lower</v>
      </c>
      <c r="I1339" s="8" t="str">
        <f t="shared" si="246"/>
        <v>Outside</v>
      </c>
      <c r="J1339" s="8" t="str">
        <f t="shared" si="247"/>
        <v>Outside</v>
      </c>
      <c r="K1339" s="8" t="str">
        <f t="shared" si="248"/>
        <v>Post-1949</v>
      </c>
      <c r="L1339" s="8">
        <f t="shared" si="249"/>
        <v>1949</v>
      </c>
      <c r="M1339" s="8" t="str">
        <f t="shared" si="254"/>
        <v>Pre-1949 + 1949</v>
      </c>
      <c r="N1339" s="10" t="s">
        <v>241</v>
      </c>
      <c r="O1339" s="10" t="s">
        <v>242</v>
      </c>
      <c r="P1339" s="10" t="s">
        <v>242</v>
      </c>
      <c r="Q1339" s="10" t="s">
        <v>242</v>
      </c>
      <c r="R1339" s="10" t="s">
        <v>241</v>
      </c>
      <c r="S1339" s="10" t="s">
        <v>242</v>
      </c>
      <c r="T1339" s="10" t="s">
        <v>242</v>
      </c>
      <c r="U1339" s="10" t="s">
        <v>242</v>
      </c>
      <c r="V1339" s="10" t="s">
        <v>242</v>
      </c>
      <c r="W1339" s="10" t="s">
        <v>242</v>
      </c>
      <c r="X1339" s="15">
        <f>IF(ISERROR(VLOOKUP($A1339,'13. Updated Demand'!A:Z,15,FALSE)),0,VLOOKUP($A1339,'13. Updated Demand'!A:Z,15,FALSE))</f>
        <v>0</v>
      </c>
      <c r="Y1339" s="16">
        <f>IF(ISERROR(VLOOKUP($A1339,'13. Updated Demand'!A:Z,16,FALSE)),0,VLOOKUP($A1339,'13. Updated Demand'!A:Z,16,FALSE))</f>
        <v>0</v>
      </c>
      <c r="Z1339" s="16">
        <f>IF(ISERROR(VLOOKUP($A1339,'13. Updated Demand'!A:Z,17,FALSE)),0,VLOOKUP($A1339,'13. Updated Demand'!A:Z,17,FALSE))</f>
        <v>0</v>
      </c>
      <c r="AA1339" s="16">
        <f>IF(ISERROR(VLOOKUP($A1339,'13. Updated Demand'!A:Z,18,FALSE)),0,VLOOKUP($A1339,'13. Updated Demand'!A:Z,18,FALSE))</f>
        <v>6</v>
      </c>
      <c r="AB1339" s="16">
        <f>IF(ISERROR(VLOOKUP($A1339,'13. Updated Demand'!A:Z,19,FALSE)),0,VLOOKUP($A1339,'13. Updated Demand'!A:Z,19,FALSE))</f>
        <v>13</v>
      </c>
      <c r="AC1339" s="16">
        <f>IF(ISERROR(VLOOKUP($A1339,'13. Updated Demand'!A:Z,20,FALSE)),0,VLOOKUP($A1339,'13. Updated Demand'!A:Z,20,FALSE))</f>
        <v>13</v>
      </c>
      <c r="AD1339" s="16">
        <f>IF(ISERROR(VLOOKUP($A1339,'13. Updated Demand'!A:Z,21,FALSE)),0,VLOOKUP($A1339,'13. Updated Demand'!A:Z,21,FALSE))</f>
        <v>13</v>
      </c>
      <c r="AE1339" s="16">
        <f>IF(ISERROR(VLOOKUP($A1339,'13. Updated Demand'!A:Z,22,FALSE)),0,VLOOKUP($A1339,'13. Updated Demand'!A:Z,22,FALSE))</f>
        <v>13</v>
      </c>
      <c r="AF1339" s="16">
        <f>IF(ISERROR(VLOOKUP($A1339,'13. Updated Demand'!A:Z,23,FALSE)),0,VLOOKUP($A1339,'13. Updated Demand'!A:Z,23,FALSE))</f>
        <v>13</v>
      </c>
      <c r="AG1339" s="16">
        <f>IF(ISERROR(VLOOKUP($A1339,'13. Updated Demand'!A:Z,24,FALSE)),0,VLOOKUP($A1339,'13. Updated Demand'!A:Z,24,FALSE))</f>
        <v>7</v>
      </c>
      <c r="AH1339" s="16">
        <f>IF(ISERROR(VLOOKUP($A1339,'13. Updated Demand'!A:Z,25,FALSE)),0,VLOOKUP($A1339,'13. Updated Demand'!A:Z,25,FALSE))</f>
        <v>0</v>
      </c>
      <c r="AI1339" s="16">
        <f>IF(ISERROR(VLOOKUP($A1339,'13. Updated Demand'!A:Z,26,FALSE)),0,VLOOKUP($A1339,'13. Updated Demand'!A:Z,26,FALSE))</f>
        <v>0</v>
      </c>
      <c r="AJ1339" s="16">
        <f t="shared" si="252"/>
        <v>78</v>
      </c>
      <c r="AK1339" s="19">
        <v>65</v>
      </c>
      <c r="AL1339" s="16">
        <f t="shared" si="250"/>
        <v>0.21559759580420809</v>
      </c>
      <c r="AM1339" s="17">
        <v>0.8904109589041096</v>
      </c>
      <c r="AN1339" s="19"/>
      <c r="AO1339" s="19"/>
      <c r="AP1339" s="19">
        <v>87.6</v>
      </c>
      <c r="AQ1339" s="19" t="s">
        <v>307</v>
      </c>
      <c r="AR1339" s="9" t="s">
        <v>403</v>
      </c>
      <c r="AS1339" s="12">
        <v>0</v>
      </c>
      <c r="AT1339" s="19">
        <v>38.460012300000002</v>
      </c>
      <c r="AU1339" s="19">
        <v>-123.05298188</v>
      </c>
      <c r="AV1339" s="19" t="s">
        <v>387</v>
      </c>
    </row>
    <row r="1340" spans="1:48" x14ac:dyDescent="0.25">
      <c r="A1340" s="18" t="s">
        <v>1707</v>
      </c>
      <c r="B1340" s="10">
        <v>19490906</v>
      </c>
      <c r="C1340" s="9">
        <v>23</v>
      </c>
      <c r="D1340" s="8" t="str">
        <f t="shared" si="241"/>
        <v>N</v>
      </c>
      <c r="E1340" s="8" t="str">
        <f t="shared" si="242"/>
        <v>N</v>
      </c>
      <c r="F1340" s="8" t="str">
        <f t="shared" si="243"/>
        <v>N</v>
      </c>
      <c r="G1340" s="8" t="str">
        <f t="shared" si="244"/>
        <v>N</v>
      </c>
      <c r="H1340" s="8" t="str">
        <f t="shared" si="245"/>
        <v>Lower</v>
      </c>
      <c r="I1340" s="8" t="str">
        <f t="shared" si="246"/>
        <v>Outside</v>
      </c>
      <c r="J1340" s="8" t="str">
        <f t="shared" si="247"/>
        <v>Outside</v>
      </c>
      <c r="K1340" s="8" t="str">
        <f t="shared" si="248"/>
        <v>Post-1949</v>
      </c>
      <c r="L1340" s="8">
        <f t="shared" si="249"/>
        <v>1949</v>
      </c>
      <c r="M1340" s="8" t="str">
        <f t="shared" si="254"/>
        <v>Pre-1949 + 1949</v>
      </c>
      <c r="N1340" s="10" t="s">
        <v>242</v>
      </c>
      <c r="O1340" s="10" t="s">
        <v>242</v>
      </c>
      <c r="P1340" s="10" t="s">
        <v>242</v>
      </c>
      <c r="Q1340" s="10" t="s">
        <v>242</v>
      </c>
      <c r="R1340" s="10" t="s">
        <v>241</v>
      </c>
      <c r="S1340" s="10" t="s">
        <v>242</v>
      </c>
      <c r="T1340" s="10" t="s">
        <v>242</v>
      </c>
      <c r="U1340" s="10" t="s">
        <v>241</v>
      </c>
      <c r="V1340" s="10" t="s">
        <v>241</v>
      </c>
      <c r="W1340" s="10" t="s">
        <v>242</v>
      </c>
      <c r="X1340" s="15">
        <f>IF(ISERROR(VLOOKUP($A1340,'13. Updated Demand'!A:Z,15,FALSE)),0,VLOOKUP($A1340,'13. Updated Demand'!A:Z,15,FALSE))</f>
        <v>0</v>
      </c>
      <c r="Y1340" s="16">
        <f>IF(ISERROR(VLOOKUP($A1340,'13. Updated Demand'!A:Z,16,FALSE)),0,VLOOKUP($A1340,'13. Updated Demand'!A:Z,16,FALSE))</f>
        <v>0</v>
      </c>
      <c r="Z1340" s="16">
        <f>IF(ISERROR(VLOOKUP($A1340,'13. Updated Demand'!A:Z,17,FALSE)),0,VLOOKUP($A1340,'13. Updated Demand'!A:Z,17,FALSE))</f>
        <v>0</v>
      </c>
      <c r="AA1340" s="16">
        <f>IF(ISERROR(VLOOKUP($A1340,'13. Updated Demand'!A:Z,18,FALSE)),0,VLOOKUP($A1340,'13. Updated Demand'!A:Z,18,FALSE))</f>
        <v>0</v>
      </c>
      <c r="AB1340" s="16">
        <f>IF(ISERROR(VLOOKUP($A1340,'13. Updated Demand'!A:Z,19,FALSE)),0,VLOOKUP($A1340,'13. Updated Demand'!A:Z,19,FALSE))</f>
        <v>0</v>
      </c>
      <c r="AC1340" s="16">
        <f>IF(ISERROR(VLOOKUP($A1340,'13. Updated Demand'!A:Z,20,FALSE)),0,VLOOKUP($A1340,'13. Updated Demand'!A:Z,20,FALSE))</f>
        <v>0</v>
      </c>
      <c r="AD1340" s="16">
        <f>IF(ISERROR(VLOOKUP($A1340,'13. Updated Demand'!A:Z,21,FALSE)),0,VLOOKUP($A1340,'13. Updated Demand'!A:Z,21,FALSE))</f>
        <v>0</v>
      </c>
      <c r="AE1340" s="16">
        <f>IF(ISERROR(VLOOKUP($A1340,'13. Updated Demand'!A:Z,22,FALSE)),0,VLOOKUP($A1340,'13. Updated Demand'!A:Z,22,FALSE))</f>
        <v>0</v>
      </c>
      <c r="AF1340" s="16">
        <f>IF(ISERROR(VLOOKUP($A1340,'13. Updated Demand'!A:Z,23,FALSE)),0,VLOOKUP($A1340,'13. Updated Demand'!A:Z,23,FALSE))</f>
        <v>0</v>
      </c>
      <c r="AG1340" s="16">
        <f>IF(ISERROR(VLOOKUP($A1340,'13. Updated Demand'!A:Z,24,FALSE)),0,VLOOKUP($A1340,'13. Updated Demand'!A:Z,24,FALSE))</f>
        <v>0</v>
      </c>
      <c r="AH1340" s="16">
        <f>IF(ISERROR(VLOOKUP($A1340,'13. Updated Demand'!A:Z,25,FALSE)),0,VLOOKUP($A1340,'13. Updated Demand'!A:Z,25,FALSE))</f>
        <v>0</v>
      </c>
      <c r="AI1340" s="16">
        <f>IF(ISERROR(VLOOKUP($A1340,'13. Updated Demand'!A:Z,26,FALSE)),0,VLOOKUP($A1340,'13. Updated Demand'!A:Z,26,FALSE))</f>
        <v>0</v>
      </c>
      <c r="AJ1340" s="16">
        <f t="shared" si="252"/>
        <v>0</v>
      </c>
      <c r="AK1340" s="19">
        <v>0</v>
      </c>
      <c r="AL1340" s="16">
        <f t="shared" si="250"/>
        <v>0</v>
      </c>
      <c r="AM1340" s="17">
        <v>0</v>
      </c>
      <c r="AN1340" s="19"/>
      <c r="AO1340" s="19"/>
      <c r="AP1340" s="19">
        <v>11.1</v>
      </c>
      <c r="AQ1340" s="19" t="s">
        <v>307</v>
      </c>
      <c r="AR1340" s="9" t="s">
        <v>725</v>
      </c>
      <c r="AS1340" s="12">
        <v>0</v>
      </c>
      <c r="AT1340" s="19">
        <v>38.44580088</v>
      </c>
      <c r="AU1340" s="19">
        <v>-122.80485323000001</v>
      </c>
      <c r="AV1340" s="19" t="s">
        <v>1251</v>
      </c>
    </row>
    <row r="1341" spans="1:48" x14ac:dyDescent="0.25">
      <c r="A1341" s="18" t="s">
        <v>157</v>
      </c>
      <c r="B1341" s="10">
        <v>19490906</v>
      </c>
      <c r="C1341" s="9">
        <v>12</v>
      </c>
      <c r="D1341" s="8" t="str">
        <f t="shared" si="241"/>
        <v>N</v>
      </c>
      <c r="E1341" s="8" t="str">
        <f t="shared" si="242"/>
        <v>Y</v>
      </c>
      <c r="F1341" s="8" t="str">
        <f t="shared" si="243"/>
        <v>Y</v>
      </c>
      <c r="G1341" s="8" t="str">
        <f t="shared" si="244"/>
        <v>Y</v>
      </c>
      <c r="H1341" s="8" t="str">
        <f t="shared" si="245"/>
        <v>Upper</v>
      </c>
      <c r="I1341" s="8" t="str">
        <f t="shared" si="246"/>
        <v>West Fork and Below Lake</v>
      </c>
      <c r="J1341" s="8" t="str">
        <f t="shared" si="247"/>
        <v>Sonoma (d/s of Clov. Gage)</v>
      </c>
      <c r="K1341" s="8" t="str">
        <f t="shared" si="248"/>
        <v>Post-1949</v>
      </c>
      <c r="L1341" s="8">
        <f t="shared" si="249"/>
        <v>1949</v>
      </c>
      <c r="M1341" s="8" t="str">
        <f t="shared" si="254"/>
        <v>Pre-1949 + 1949</v>
      </c>
      <c r="N1341" s="10" t="s">
        <v>241</v>
      </c>
      <c r="O1341" s="10" t="s">
        <v>241</v>
      </c>
      <c r="P1341" s="10" t="s">
        <v>242</v>
      </c>
      <c r="Q1341" s="10" t="s">
        <v>242</v>
      </c>
      <c r="R1341" s="10" t="s">
        <v>241</v>
      </c>
      <c r="S1341" s="10" t="s">
        <v>242</v>
      </c>
      <c r="T1341" s="10" t="s">
        <v>242</v>
      </c>
      <c r="U1341" s="10" t="s">
        <v>242</v>
      </c>
      <c r="V1341" s="10" t="s">
        <v>242</v>
      </c>
      <c r="W1341" s="10" t="s">
        <v>242</v>
      </c>
      <c r="X1341" s="15">
        <f>IF(ISERROR(VLOOKUP($A1341,'13. Updated Demand'!A:Z,15,FALSE)),0,VLOOKUP($A1341,'13. Updated Demand'!A:Z,15,FALSE))</f>
        <v>0</v>
      </c>
      <c r="Y1341" s="16">
        <f>IF(ISERROR(VLOOKUP($A1341,'13. Updated Demand'!A:Z,16,FALSE)),0,VLOOKUP($A1341,'13. Updated Demand'!A:Z,16,FALSE))</f>
        <v>0</v>
      </c>
      <c r="Z1341" s="16">
        <f>IF(ISERROR(VLOOKUP($A1341,'13. Updated Demand'!A:Z,17,FALSE)),0,VLOOKUP($A1341,'13. Updated Demand'!A:Z,17,FALSE))</f>
        <v>0</v>
      </c>
      <c r="AA1341" s="16">
        <f>IF(ISERROR(VLOOKUP($A1341,'13. Updated Demand'!A:Z,18,FALSE)),0,VLOOKUP($A1341,'13. Updated Demand'!A:Z,18,FALSE))</f>
        <v>0.2</v>
      </c>
      <c r="AB1341" s="16">
        <f>IF(ISERROR(VLOOKUP($A1341,'13. Updated Demand'!A:Z,19,FALSE)),0,VLOOKUP($A1341,'13. Updated Demand'!A:Z,19,FALSE))</f>
        <v>0.14000000000000001</v>
      </c>
      <c r="AC1341" s="16">
        <f>IF(ISERROR(VLOOKUP($A1341,'13. Updated Demand'!A:Z,20,FALSE)),0,VLOOKUP($A1341,'13. Updated Demand'!A:Z,20,FALSE))</f>
        <v>0.33</v>
      </c>
      <c r="AD1341" s="16">
        <f>IF(ISERROR(VLOOKUP($A1341,'13. Updated Demand'!A:Z,21,FALSE)),0,VLOOKUP($A1341,'13. Updated Demand'!A:Z,21,FALSE))</f>
        <v>1.41</v>
      </c>
      <c r="AE1341" s="16">
        <f>IF(ISERROR(VLOOKUP($A1341,'13. Updated Demand'!A:Z,22,FALSE)),0,VLOOKUP($A1341,'13. Updated Demand'!A:Z,22,FALSE))</f>
        <v>1.76</v>
      </c>
      <c r="AF1341" s="16">
        <f>IF(ISERROR(VLOOKUP($A1341,'13. Updated Demand'!A:Z,23,FALSE)),0,VLOOKUP($A1341,'13. Updated Demand'!A:Z,23,FALSE))</f>
        <v>1.18</v>
      </c>
      <c r="AG1341" s="16">
        <f>IF(ISERROR(VLOOKUP($A1341,'13. Updated Demand'!A:Z,24,FALSE)),0,VLOOKUP($A1341,'13. Updated Demand'!A:Z,24,FALSE))</f>
        <v>0.94</v>
      </c>
      <c r="AH1341" s="16">
        <f>IF(ISERROR(VLOOKUP($A1341,'13. Updated Demand'!A:Z,25,FALSE)),0,VLOOKUP($A1341,'13. Updated Demand'!A:Z,25,FALSE))</f>
        <v>0.14000000000000001</v>
      </c>
      <c r="AI1341" s="16">
        <f>IF(ISERROR(VLOOKUP($A1341,'13. Updated Demand'!A:Z,26,FALSE)),0,VLOOKUP($A1341,'13. Updated Demand'!A:Z,26,FALSE))</f>
        <v>0</v>
      </c>
      <c r="AJ1341" s="16">
        <f t="shared" si="252"/>
        <v>6.0999999999999988</v>
      </c>
      <c r="AK1341" s="19">
        <v>4.84570151166667</v>
      </c>
      <c r="AL1341" s="16">
        <f t="shared" si="250"/>
        <v>1.6072639936925398E-2</v>
      </c>
      <c r="AM1341" s="17">
        <v>1.7598856916236381E-2</v>
      </c>
      <c r="AN1341" s="19"/>
      <c r="AO1341" s="19"/>
      <c r="AP1341" s="19">
        <v>348.6</v>
      </c>
      <c r="AQ1341" s="19" t="s">
        <v>307</v>
      </c>
      <c r="AR1341" s="9" t="s">
        <v>311</v>
      </c>
      <c r="AS1341" s="12">
        <v>0</v>
      </c>
      <c r="AT1341" s="19">
        <v>38.649280470000001</v>
      </c>
      <c r="AU1341" s="19">
        <v>-122.80837566</v>
      </c>
      <c r="AV1341" s="19" t="s">
        <v>387</v>
      </c>
    </row>
    <row r="1342" spans="1:48" x14ac:dyDescent="0.25">
      <c r="A1342" s="18" t="s">
        <v>1708</v>
      </c>
      <c r="B1342" s="10">
        <v>19491003</v>
      </c>
      <c r="C1342" s="9">
        <v>23</v>
      </c>
      <c r="D1342" s="8" t="str">
        <f t="shared" si="241"/>
        <v>N</v>
      </c>
      <c r="E1342" s="8" t="str">
        <f t="shared" si="242"/>
        <v>N</v>
      </c>
      <c r="F1342" s="8" t="str">
        <f t="shared" si="243"/>
        <v>N</v>
      </c>
      <c r="G1342" s="8" t="str">
        <f t="shared" si="244"/>
        <v>N</v>
      </c>
      <c r="H1342" s="8" t="str">
        <f t="shared" si="245"/>
        <v>Lower</v>
      </c>
      <c r="I1342" s="8" t="str">
        <f t="shared" si="246"/>
        <v>Outside</v>
      </c>
      <c r="J1342" s="8" t="str">
        <f t="shared" si="247"/>
        <v>Outside</v>
      </c>
      <c r="K1342" s="8" t="str">
        <f t="shared" si="248"/>
        <v>Post-1949</v>
      </c>
      <c r="L1342" s="8">
        <f t="shared" si="249"/>
        <v>1949</v>
      </c>
      <c r="M1342" s="8" t="str">
        <f t="shared" si="254"/>
        <v>Pre-1949 + 1949</v>
      </c>
      <c r="N1342" s="10" t="s">
        <v>242</v>
      </c>
      <c r="O1342" s="10" t="s">
        <v>242</v>
      </c>
      <c r="P1342" s="10" t="s">
        <v>242</v>
      </c>
      <c r="Q1342" s="10" t="s">
        <v>242</v>
      </c>
      <c r="R1342" s="10" t="s">
        <v>241</v>
      </c>
      <c r="S1342" s="10" t="s">
        <v>242</v>
      </c>
      <c r="T1342" s="10" t="s">
        <v>242</v>
      </c>
      <c r="U1342" s="10" t="s">
        <v>241</v>
      </c>
      <c r="V1342" s="10" t="s">
        <v>241</v>
      </c>
      <c r="W1342" s="10" t="s">
        <v>242</v>
      </c>
      <c r="X1342" s="15">
        <f>IF(ISERROR(VLOOKUP($A1342,'13. Updated Demand'!A:Z,15,FALSE)),0,VLOOKUP($A1342,'13. Updated Demand'!A:Z,15,FALSE))</f>
        <v>0</v>
      </c>
      <c r="Y1342" s="16">
        <f>IF(ISERROR(VLOOKUP($A1342,'13. Updated Demand'!A:Z,16,FALSE)),0,VLOOKUP($A1342,'13. Updated Demand'!A:Z,16,FALSE))</f>
        <v>0</v>
      </c>
      <c r="Z1342" s="16">
        <f>IF(ISERROR(VLOOKUP($A1342,'13. Updated Demand'!A:Z,17,FALSE)),0,VLOOKUP($A1342,'13. Updated Demand'!A:Z,17,FALSE))</f>
        <v>0</v>
      </c>
      <c r="AA1342" s="16">
        <f>IF(ISERROR(VLOOKUP($A1342,'13. Updated Demand'!A:Z,18,FALSE)),0,VLOOKUP($A1342,'13. Updated Demand'!A:Z,18,FALSE))</f>
        <v>0</v>
      </c>
      <c r="AB1342" s="16">
        <f>IF(ISERROR(VLOOKUP($A1342,'13. Updated Demand'!A:Z,19,FALSE)),0,VLOOKUP($A1342,'13. Updated Demand'!A:Z,19,FALSE))</f>
        <v>0</v>
      </c>
      <c r="AC1342" s="16">
        <f>IF(ISERROR(VLOOKUP($A1342,'13. Updated Demand'!A:Z,20,FALSE)),0,VLOOKUP($A1342,'13. Updated Demand'!A:Z,20,FALSE))</f>
        <v>0</v>
      </c>
      <c r="AD1342" s="16">
        <f>IF(ISERROR(VLOOKUP($A1342,'13. Updated Demand'!A:Z,21,FALSE)),0,VLOOKUP($A1342,'13. Updated Demand'!A:Z,21,FALSE))</f>
        <v>0</v>
      </c>
      <c r="AE1342" s="16">
        <f>IF(ISERROR(VLOOKUP($A1342,'13. Updated Demand'!A:Z,22,FALSE)),0,VLOOKUP($A1342,'13. Updated Demand'!A:Z,22,FALSE))</f>
        <v>0</v>
      </c>
      <c r="AF1342" s="16">
        <f>IF(ISERROR(VLOOKUP($A1342,'13. Updated Demand'!A:Z,23,FALSE)),0,VLOOKUP($A1342,'13. Updated Demand'!A:Z,23,FALSE))</f>
        <v>0</v>
      </c>
      <c r="AG1342" s="16">
        <f>IF(ISERROR(VLOOKUP($A1342,'13. Updated Demand'!A:Z,24,FALSE)),0,VLOOKUP($A1342,'13. Updated Demand'!A:Z,24,FALSE))</f>
        <v>0</v>
      </c>
      <c r="AH1342" s="16">
        <f>IF(ISERROR(VLOOKUP($A1342,'13. Updated Demand'!A:Z,25,FALSE)),0,VLOOKUP($A1342,'13. Updated Demand'!A:Z,25,FALSE))</f>
        <v>0</v>
      </c>
      <c r="AI1342" s="16">
        <f>IF(ISERROR(VLOOKUP($A1342,'13. Updated Demand'!A:Z,26,FALSE)),0,VLOOKUP($A1342,'13. Updated Demand'!A:Z,26,FALSE))</f>
        <v>0</v>
      </c>
      <c r="AJ1342" s="16">
        <f t="shared" si="252"/>
        <v>0</v>
      </c>
      <c r="AK1342" s="19">
        <v>0</v>
      </c>
      <c r="AL1342" s="16">
        <f t="shared" si="250"/>
        <v>0</v>
      </c>
      <c r="AM1342" s="17">
        <v>0</v>
      </c>
      <c r="AN1342" s="19"/>
      <c r="AO1342" s="19"/>
      <c r="AP1342" s="19">
        <v>135</v>
      </c>
      <c r="AQ1342" s="19" t="s">
        <v>307</v>
      </c>
      <c r="AR1342" s="9" t="s">
        <v>323</v>
      </c>
      <c r="AS1342" s="12">
        <v>0</v>
      </c>
      <c r="AT1342" s="19">
        <v>38.503288599999998</v>
      </c>
      <c r="AU1342" s="19">
        <v>-122.79082268000001</v>
      </c>
      <c r="AV1342" s="19" t="s">
        <v>735</v>
      </c>
    </row>
    <row r="1343" spans="1:48" x14ac:dyDescent="0.25">
      <c r="A1343" s="18" t="s">
        <v>1709</v>
      </c>
      <c r="B1343" s="10">
        <v>19491005</v>
      </c>
      <c r="C1343" s="9">
        <v>18</v>
      </c>
      <c r="D1343" s="8" t="str">
        <f t="shared" si="241"/>
        <v>N</v>
      </c>
      <c r="E1343" s="8" t="str">
        <f t="shared" si="242"/>
        <v>N</v>
      </c>
      <c r="F1343" s="8" t="str">
        <f t="shared" si="243"/>
        <v>N</v>
      </c>
      <c r="G1343" s="8" t="str">
        <f t="shared" si="244"/>
        <v>N</v>
      </c>
      <c r="H1343" s="8" t="str">
        <f t="shared" si="245"/>
        <v>Lower</v>
      </c>
      <c r="I1343" s="8" t="str">
        <f t="shared" si="246"/>
        <v>Outside</v>
      </c>
      <c r="J1343" s="8" t="str">
        <f t="shared" si="247"/>
        <v>Outside</v>
      </c>
      <c r="K1343" s="8" t="str">
        <f t="shared" si="248"/>
        <v>Post-1949</v>
      </c>
      <c r="L1343" s="8">
        <f t="shared" si="249"/>
        <v>1949</v>
      </c>
      <c r="M1343" s="8" t="str">
        <f t="shared" si="254"/>
        <v>Pre-1949 + 1949</v>
      </c>
      <c r="N1343" s="10" t="s">
        <v>241</v>
      </c>
      <c r="O1343" s="10" t="s">
        <v>242</v>
      </c>
      <c r="P1343" s="10" t="s">
        <v>242</v>
      </c>
      <c r="Q1343" s="10" t="s">
        <v>242</v>
      </c>
      <c r="R1343" s="10" t="s">
        <v>241</v>
      </c>
      <c r="S1343" s="10" t="s">
        <v>242</v>
      </c>
      <c r="T1343" s="10" t="s">
        <v>242</v>
      </c>
      <c r="U1343" s="10" t="s">
        <v>242</v>
      </c>
      <c r="V1343" s="10" t="s">
        <v>242</v>
      </c>
      <c r="W1343" s="10" t="s">
        <v>242</v>
      </c>
      <c r="X1343" s="15">
        <f>IF(ISERROR(VLOOKUP($A1343,'13. Updated Demand'!A:Z,15,FALSE)),0,VLOOKUP($A1343,'13. Updated Demand'!A:Z,15,FALSE))</f>
        <v>0</v>
      </c>
      <c r="Y1343" s="16">
        <f>IF(ISERROR(VLOOKUP($A1343,'13. Updated Demand'!A:Z,16,FALSE)),0,VLOOKUP($A1343,'13. Updated Demand'!A:Z,16,FALSE))</f>
        <v>0</v>
      </c>
      <c r="Z1343" s="16">
        <f>IF(ISERROR(VLOOKUP($A1343,'13. Updated Demand'!A:Z,17,FALSE)),0,VLOOKUP($A1343,'13. Updated Demand'!A:Z,17,FALSE))</f>
        <v>0</v>
      </c>
      <c r="AA1343" s="16">
        <f>IF(ISERROR(VLOOKUP($A1343,'13. Updated Demand'!A:Z,18,FALSE)),0,VLOOKUP($A1343,'13. Updated Demand'!A:Z,18,FALSE))</f>
        <v>0</v>
      </c>
      <c r="AB1343" s="16">
        <f>IF(ISERROR(VLOOKUP($A1343,'13. Updated Demand'!A:Z,19,FALSE)),0,VLOOKUP($A1343,'13. Updated Demand'!A:Z,19,FALSE))</f>
        <v>0</v>
      </c>
      <c r="AC1343" s="16">
        <f>IF(ISERROR(VLOOKUP($A1343,'13. Updated Demand'!A:Z,20,FALSE)),0,VLOOKUP($A1343,'13. Updated Demand'!A:Z,20,FALSE))</f>
        <v>0</v>
      </c>
      <c r="AD1343" s="16">
        <f>IF(ISERROR(VLOOKUP($A1343,'13. Updated Demand'!A:Z,21,FALSE)),0,VLOOKUP($A1343,'13. Updated Demand'!A:Z,21,FALSE))</f>
        <v>4.2166666670000001</v>
      </c>
      <c r="AE1343" s="16">
        <f>IF(ISERROR(VLOOKUP($A1343,'13. Updated Demand'!A:Z,22,FALSE)),0,VLOOKUP($A1343,'13. Updated Demand'!A:Z,22,FALSE))</f>
        <v>1.173333333</v>
      </c>
      <c r="AF1343" s="16">
        <f>IF(ISERROR(VLOOKUP($A1343,'13. Updated Demand'!A:Z,23,FALSE)),0,VLOOKUP($A1343,'13. Updated Demand'!A:Z,23,FALSE))</f>
        <v>0</v>
      </c>
      <c r="AG1343" s="16">
        <f>IF(ISERROR(VLOOKUP($A1343,'13. Updated Demand'!A:Z,24,FALSE)),0,VLOOKUP($A1343,'13. Updated Demand'!A:Z,24,FALSE))</f>
        <v>0</v>
      </c>
      <c r="AH1343" s="16">
        <f>IF(ISERROR(VLOOKUP($A1343,'13. Updated Demand'!A:Z,25,FALSE)),0,VLOOKUP($A1343,'13. Updated Demand'!A:Z,25,FALSE))</f>
        <v>0</v>
      </c>
      <c r="AI1343" s="16">
        <f>IF(ISERROR(VLOOKUP($A1343,'13. Updated Demand'!A:Z,26,FALSE)),0,VLOOKUP($A1343,'13. Updated Demand'!A:Z,26,FALSE))</f>
        <v>0</v>
      </c>
      <c r="AJ1343" s="16">
        <f t="shared" si="252"/>
        <v>5.3900000000000006</v>
      </c>
      <c r="AK1343" s="19">
        <v>5.3900000000000006</v>
      </c>
      <c r="AL1343" s="16">
        <f t="shared" si="250"/>
        <v>1.7878016021302796E-2</v>
      </c>
      <c r="AM1343" s="17">
        <v>1.6780821917808223E-2</v>
      </c>
      <c r="AN1343" s="19"/>
      <c r="AO1343" s="19"/>
      <c r="AP1343" s="19">
        <v>321.2</v>
      </c>
      <c r="AQ1343" s="19" t="s">
        <v>307</v>
      </c>
      <c r="AR1343" s="9" t="s">
        <v>352</v>
      </c>
      <c r="AS1343" s="12">
        <v>0</v>
      </c>
      <c r="AT1343" s="19">
        <v>38.517773030000001</v>
      </c>
      <c r="AU1343" s="19">
        <v>-122.88154182</v>
      </c>
      <c r="AV1343" s="19" t="s">
        <v>387</v>
      </c>
    </row>
    <row r="1344" spans="1:48" x14ac:dyDescent="0.25">
      <c r="A1344" s="18" t="s">
        <v>1710</v>
      </c>
      <c r="B1344" s="10">
        <v>19491007</v>
      </c>
      <c r="C1344" s="9">
        <v>12</v>
      </c>
      <c r="D1344" s="8" t="str">
        <f t="shared" si="241"/>
        <v>N</v>
      </c>
      <c r="E1344" s="8" t="str">
        <f t="shared" si="242"/>
        <v>Y</v>
      </c>
      <c r="F1344" s="8" t="str">
        <f t="shared" si="243"/>
        <v>Y</v>
      </c>
      <c r="G1344" s="8" t="str">
        <f t="shared" si="244"/>
        <v>Y</v>
      </c>
      <c r="H1344" s="8" t="str">
        <f t="shared" si="245"/>
        <v>Upper</v>
      </c>
      <c r="I1344" s="8" t="str">
        <f t="shared" si="246"/>
        <v>West Fork and Below Lake</v>
      </c>
      <c r="J1344" s="8" t="str">
        <f t="shared" si="247"/>
        <v>Sonoma (d/s of Clov. Gage)</v>
      </c>
      <c r="K1344" s="8" t="str">
        <f t="shared" si="248"/>
        <v>Post-1949</v>
      </c>
      <c r="L1344" s="8">
        <f t="shared" si="249"/>
        <v>1949</v>
      </c>
      <c r="M1344" s="8" t="str">
        <f t="shared" si="254"/>
        <v>Pre-1949 + 1949</v>
      </c>
      <c r="N1344" s="10" t="s">
        <v>241</v>
      </c>
      <c r="O1344" s="10" t="s">
        <v>241</v>
      </c>
      <c r="P1344" s="10" t="s">
        <v>242</v>
      </c>
      <c r="Q1344" s="10" t="s">
        <v>242</v>
      </c>
      <c r="R1344" s="10" t="s">
        <v>241</v>
      </c>
      <c r="S1344" s="10" t="s">
        <v>242</v>
      </c>
      <c r="T1344" s="10" t="s">
        <v>242</v>
      </c>
      <c r="U1344" s="10" t="s">
        <v>241</v>
      </c>
      <c r="V1344" s="10" t="s">
        <v>241</v>
      </c>
      <c r="W1344" s="10" t="s">
        <v>242</v>
      </c>
      <c r="X1344" s="15">
        <f>IF(ISERROR(VLOOKUP($A1344,'13. Updated Demand'!A:Z,15,FALSE)),0,VLOOKUP($A1344,'13. Updated Demand'!A:Z,15,FALSE))</f>
        <v>0</v>
      </c>
      <c r="Y1344" s="16">
        <f>IF(ISERROR(VLOOKUP($A1344,'13. Updated Demand'!A:Z,16,FALSE)),0,VLOOKUP($A1344,'13. Updated Demand'!A:Z,16,FALSE))</f>
        <v>0</v>
      </c>
      <c r="Z1344" s="16">
        <f>IF(ISERROR(VLOOKUP($A1344,'13. Updated Demand'!A:Z,17,FALSE)),0,VLOOKUP($A1344,'13. Updated Demand'!A:Z,17,FALSE))</f>
        <v>0</v>
      </c>
      <c r="AA1344" s="16">
        <f>IF(ISERROR(VLOOKUP($A1344,'13. Updated Demand'!A:Z,18,FALSE)),0,VLOOKUP($A1344,'13. Updated Demand'!A:Z,18,FALSE))</f>
        <v>0</v>
      </c>
      <c r="AB1344" s="16">
        <f>IF(ISERROR(VLOOKUP($A1344,'13. Updated Demand'!A:Z,19,FALSE)),0,VLOOKUP($A1344,'13. Updated Demand'!A:Z,19,FALSE))</f>
        <v>0</v>
      </c>
      <c r="AC1344" s="16">
        <f>IF(ISERROR(VLOOKUP($A1344,'13. Updated Demand'!A:Z,20,FALSE)),0,VLOOKUP($A1344,'13. Updated Demand'!A:Z,20,FALSE))</f>
        <v>0</v>
      </c>
      <c r="AD1344" s="16">
        <f>IF(ISERROR(VLOOKUP($A1344,'13. Updated Demand'!A:Z,21,FALSE)),0,VLOOKUP($A1344,'13. Updated Demand'!A:Z,21,FALSE))</f>
        <v>0</v>
      </c>
      <c r="AE1344" s="16">
        <f>IF(ISERROR(VLOOKUP($A1344,'13. Updated Demand'!A:Z,22,FALSE)),0,VLOOKUP($A1344,'13. Updated Demand'!A:Z,22,FALSE))</f>
        <v>0</v>
      </c>
      <c r="AF1344" s="16">
        <f>IF(ISERROR(VLOOKUP($A1344,'13. Updated Demand'!A:Z,23,FALSE)),0,VLOOKUP($A1344,'13. Updated Demand'!A:Z,23,FALSE))</f>
        <v>0</v>
      </c>
      <c r="AG1344" s="16">
        <f>IF(ISERROR(VLOOKUP($A1344,'13. Updated Demand'!A:Z,24,FALSE)),0,VLOOKUP($A1344,'13. Updated Demand'!A:Z,24,FALSE))</f>
        <v>0</v>
      </c>
      <c r="AH1344" s="16">
        <f>IF(ISERROR(VLOOKUP($A1344,'13. Updated Demand'!A:Z,25,FALSE)),0,VLOOKUP($A1344,'13. Updated Demand'!A:Z,25,FALSE))</f>
        <v>0</v>
      </c>
      <c r="AI1344" s="16">
        <f>IF(ISERROR(VLOOKUP($A1344,'13. Updated Demand'!A:Z,26,FALSE)),0,VLOOKUP($A1344,'13. Updated Demand'!A:Z,26,FALSE))</f>
        <v>0</v>
      </c>
      <c r="AJ1344" s="16">
        <f t="shared" si="252"/>
        <v>0</v>
      </c>
      <c r="AK1344" s="19">
        <v>0</v>
      </c>
      <c r="AL1344" s="16">
        <f t="shared" si="250"/>
        <v>0</v>
      </c>
      <c r="AM1344" s="17">
        <v>0</v>
      </c>
      <c r="AN1344" s="19"/>
      <c r="AO1344" s="19"/>
      <c r="AP1344" s="19">
        <v>63.9</v>
      </c>
      <c r="AQ1344" s="19" t="s">
        <v>307</v>
      </c>
      <c r="AR1344" s="9" t="s">
        <v>311</v>
      </c>
      <c r="AS1344" s="12">
        <v>0</v>
      </c>
      <c r="AT1344" s="19">
        <v>38.651000000000003</v>
      </c>
      <c r="AU1344" s="19">
        <v>-122.80629999999999</v>
      </c>
      <c r="AV1344" s="19" t="s">
        <v>387</v>
      </c>
    </row>
    <row r="1345" spans="1:48" x14ac:dyDescent="0.25">
      <c r="A1345" s="18" t="s">
        <v>1711</v>
      </c>
      <c r="B1345" s="10">
        <v>19491011</v>
      </c>
      <c r="C1345" s="9">
        <v>23</v>
      </c>
      <c r="D1345" s="8" t="str">
        <f t="shared" si="241"/>
        <v>N</v>
      </c>
      <c r="E1345" s="8" t="str">
        <f t="shared" si="242"/>
        <v>N</v>
      </c>
      <c r="F1345" s="8" t="str">
        <f t="shared" si="243"/>
        <v>N</v>
      </c>
      <c r="G1345" s="8" t="str">
        <f t="shared" si="244"/>
        <v>N</v>
      </c>
      <c r="H1345" s="8" t="str">
        <f t="shared" si="245"/>
        <v>Lower</v>
      </c>
      <c r="I1345" s="8" t="str">
        <f t="shared" si="246"/>
        <v>Outside</v>
      </c>
      <c r="J1345" s="8" t="str">
        <f t="shared" si="247"/>
        <v>Outside</v>
      </c>
      <c r="K1345" s="8" t="str">
        <f t="shared" si="248"/>
        <v>Post-1949</v>
      </c>
      <c r="L1345" s="8">
        <f t="shared" si="249"/>
        <v>1949</v>
      </c>
      <c r="M1345" s="8" t="str">
        <f t="shared" si="254"/>
        <v>Pre-1949 + 1949</v>
      </c>
      <c r="N1345" s="10" t="s">
        <v>242</v>
      </c>
      <c r="O1345" s="10" t="s">
        <v>242</v>
      </c>
      <c r="P1345" s="10" t="s">
        <v>242</v>
      </c>
      <c r="Q1345" s="10" t="s">
        <v>242</v>
      </c>
      <c r="R1345" s="10" t="s">
        <v>241</v>
      </c>
      <c r="S1345" s="10" t="s">
        <v>242</v>
      </c>
      <c r="T1345" s="10" t="s">
        <v>242</v>
      </c>
      <c r="U1345" s="10" t="s">
        <v>242</v>
      </c>
      <c r="V1345" s="10" t="s">
        <v>242</v>
      </c>
      <c r="W1345" s="10" t="s">
        <v>242</v>
      </c>
      <c r="X1345" s="15">
        <f>IF(ISERROR(VLOOKUP($A1345,'13. Updated Demand'!A:Z,15,FALSE)),0,VLOOKUP($A1345,'13. Updated Demand'!A:Z,15,FALSE))</f>
        <v>0</v>
      </c>
      <c r="Y1345" s="16">
        <f>IF(ISERROR(VLOOKUP($A1345,'13. Updated Demand'!A:Z,16,FALSE)),0,VLOOKUP($A1345,'13. Updated Demand'!A:Z,16,FALSE))</f>
        <v>0</v>
      </c>
      <c r="Z1345" s="16">
        <f>IF(ISERROR(VLOOKUP($A1345,'13. Updated Demand'!A:Z,17,FALSE)),0,VLOOKUP($A1345,'13. Updated Demand'!A:Z,17,FALSE))</f>
        <v>0</v>
      </c>
      <c r="AA1345" s="16">
        <f>IF(ISERROR(VLOOKUP($A1345,'13. Updated Demand'!A:Z,18,FALSE)),0,VLOOKUP($A1345,'13. Updated Demand'!A:Z,18,FALSE))</f>
        <v>0</v>
      </c>
      <c r="AB1345" s="16">
        <f>IF(ISERROR(VLOOKUP($A1345,'13. Updated Demand'!A:Z,19,FALSE)),0,VLOOKUP($A1345,'13. Updated Demand'!A:Z,19,FALSE))</f>
        <v>5.233333333</v>
      </c>
      <c r="AC1345" s="16">
        <f>IF(ISERROR(VLOOKUP($A1345,'13. Updated Demand'!A:Z,20,FALSE)),0,VLOOKUP($A1345,'13. Updated Demand'!A:Z,20,FALSE))</f>
        <v>12.03333333</v>
      </c>
      <c r="AD1345" s="16">
        <f>IF(ISERROR(VLOOKUP($A1345,'13. Updated Demand'!A:Z,21,FALSE)),0,VLOOKUP($A1345,'13. Updated Demand'!A:Z,21,FALSE))</f>
        <v>17.166666670000001</v>
      </c>
      <c r="AE1345" s="16">
        <f>IF(ISERROR(VLOOKUP($A1345,'13. Updated Demand'!A:Z,22,FALSE)),0,VLOOKUP($A1345,'13. Updated Demand'!A:Z,22,FALSE))</f>
        <v>17.2</v>
      </c>
      <c r="AF1345" s="16">
        <f>IF(ISERROR(VLOOKUP($A1345,'13. Updated Demand'!A:Z,23,FALSE)),0,VLOOKUP($A1345,'13. Updated Demand'!A:Z,23,FALSE))</f>
        <v>0</v>
      </c>
      <c r="AG1345" s="16">
        <f>IF(ISERROR(VLOOKUP($A1345,'13. Updated Demand'!A:Z,24,FALSE)),0,VLOOKUP($A1345,'13. Updated Demand'!A:Z,24,FALSE))</f>
        <v>0</v>
      </c>
      <c r="AH1345" s="16">
        <f>IF(ISERROR(VLOOKUP($A1345,'13. Updated Demand'!A:Z,25,FALSE)),0,VLOOKUP($A1345,'13. Updated Demand'!A:Z,25,FALSE))</f>
        <v>0</v>
      </c>
      <c r="AI1345" s="16">
        <f>IF(ISERROR(VLOOKUP($A1345,'13. Updated Demand'!A:Z,26,FALSE)),0,VLOOKUP($A1345,'13. Updated Demand'!A:Z,26,FALSE))</f>
        <v>0</v>
      </c>
      <c r="AJ1345" s="16">
        <f t="shared" si="252"/>
        <v>51.633333332999996</v>
      </c>
      <c r="AK1345" s="19">
        <v>51.633333332999996</v>
      </c>
      <c r="AL1345" s="16">
        <f t="shared" si="250"/>
        <v>0.17126188507618581</v>
      </c>
      <c r="AM1345" s="17">
        <v>0.18414170232881596</v>
      </c>
      <c r="AN1345" s="19"/>
      <c r="AO1345" s="19"/>
      <c r="AP1345" s="19">
        <v>280.39999999999998</v>
      </c>
      <c r="AQ1345" s="19" t="s">
        <v>307</v>
      </c>
      <c r="AR1345" s="9" t="s">
        <v>323</v>
      </c>
      <c r="AS1345" s="12">
        <v>0</v>
      </c>
      <c r="AT1345" s="19">
        <v>38.495346009999999</v>
      </c>
      <c r="AU1345" s="19">
        <v>-122.86552438</v>
      </c>
      <c r="AV1345" s="19" t="s">
        <v>735</v>
      </c>
    </row>
    <row r="1346" spans="1:48" x14ac:dyDescent="0.25">
      <c r="A1346" s="18" t="s">
        <v>1712</v>
      </c>
      <c r="B1346" s="10">
        <v>19491020</v>
      </c>
      <c r="C1346" s="9">
        <v>12</v>
      </c>
      <c r="D1346" s="8" t="str">
        <f t="shared" ref="D1346:D1409" si="255">IF(OR(C1346=4,C1346=5,C1346=6),"Y","N")</f>
        <v>N</v>
      </c>
      <c r="E1346" s="8" t="str">
        <f t="shared" ref="E1346:E1409" si="256">IF(AND(C1346&gt;6,C1346&lt;14),"Y","N")</f>
        <v>Y</v>
      </c>
      <c r="F1346" s="8" t="str">
        <f t="shared" ref="F1346:F1409" si="257">IF(C1346&lt;14,"Y","N")</f>
        <v>Y</v>
      </c>
      <c r="G1346" s="8" t="str">
        <f t="shared" ref="G1346:G1409" si="258">IF(OR(C1346=1,AND(C1346&gt;3,C1346&lt;14)),"Y","N")</f>
        <v>Y</v>
      </c>
      <c r="H1346" s="8" t="str">
        <f t="shared" ref="H1346:H1409" si="259">IF(C1346&lt;14,"Upper","Lower")</f>
        <v>Upper</v>
      </c>
      <c r="I1346" s="8" t="str">
        <f t="shared" ref="I1346:I1409" si="260">IF(G1346="Y","West Fork and Below Lake","Outside")</f>
        <v>West Fork and Below Lake</v>
      </c>
      <c r="J1346" s="8" t="str">
        <f t="shared" ref="J1346:J1409" si="261">IF(D1346="Y", "Mendocino (d/s of lake)", IF(E1346="Y", "Sonoma (d/s of Clov. Gage)","Outside"))</f>
        <v>Sonoma (d/s of Clov. Gage)</v>
      </c>
      <c r="K1346" s="8" t="str">
        <f t="shared" ref="K1346:K1409" si="262">IF(P1346="Y","pre-1914",IF(Q1346="Y","Pre-1949",IF(R1346="Y","Post-1949",IF(S1346="Y","Riparian","Unknown"))))</f>
        <v>Post-1949</v>
      </c>
      <c r="L1346" s="8">
        <f t="shared" ref="L1346:L1409" si="263">_xlfn.NUMBERVALUE(LEFT(B1346,4))</f>
        <v>1949</v>
      </c>
      <c r="M1346" s="8" t="str">
        <f t="shared" si="254"/>
        <v>Pre-1949 + 1949</v>
      </c>
      <c r="N1346" s="10" t="s">
        <v>241</v>
      </c>
      <c r="O1346" s="10" t="s">
        <v>241</v>
      </c>
      <c r="P1346" s="10" t="s">
        <v>242</v>
      </c>
      <c r="Q1346" s="10" t="s">
        <v>242</v>
      </c>
      <c r="R1346" s="10" t="s">
        <v>241</v>
      </c>
      <c r="S1346" s="10" t="s">
        <v>242</v>
      </c>
      <c r="T1346" s="10" t="s">
        <v>242</v>
      </c>
      <c r="U1346" s="10" t="s">
        <v>241</v>
      </c>
      <c r="V1346" s="10" t="s">
        <v>241</v>
      </c>
      <c r="W1346" s="10" t="s">
        <v>242</v>
      </c>
      <c r="X1346" s="15">
        <f>IF(ISERROR(VLOOKUP($A1346,'13. Updated Demand'!A:Z,15,FALSE)),0,VLOOKUP($A1346,'13. Updated Demand'!A:Z,15,FALSE))</f>
        <v>0</v>
      </c>
      <c r="Y1346" s="16">
        <f>IF(ISERROR(VLOOKUP($A1346,'13. Updated Demand'!A:Z,16,FALSE)),0,VLOOKUP($A1346,'13. Updated Demand'!A:Z,16,FALSE))</f>
        <v>0</v>
      </c>
      <c r="Z1346" s="16">
        <f>IF(ISERROR(VLOOKUP($A1346,'13. Updated Demand'!A:Z,17,FALSE)),0,VLOOKUP($A1346,'13. Updated Demand'!A:Z,17,FALSE))</f>
        <v>0</v>
      </c>
      <c r="AA1346" s="16">
        <f>IF(ISERROR(VLOOKUP($A1346,'13. Updated Demand'!A:Z,18,FALSE)),0,VLOOKUP($A1346,'13. Updated Demand'!A:Z,18,FALSE))</f>
        <v>0</v>
      </c>
      <c r="AB1346" s="16">
        <f>IF(ISERROR(VLOOKUP($A1346,'13. Updated Demand'!A:Z,19,FALSE)),0,VLOOKUP($A1346,'13. Updated Demand'!A:Z,19,FALSE))</f>
        <v>0</v>
      </c>
      <c r="AC1346" s="16">
        <f>IF(ISERROR(VLOOKUP($A1346,'13. Updated Demand'!A:Z,20,FALSE)),0,VLOOKUP($A1346,'13. Updated Demand'!A:Z,20,FALSE))</f>
        <v>0</v>
      </c>
      <c r="AD1346" s="16">
        <f>IF(ISERROR(VLOOKUP($A1346,'13. Updated Demand'!A:Z,21,FALSE)),0,VLOOKUP($A1346,'13. Updated Demand'!A:Z,21,FALSE))</f>
        <v>0</v>
      </c>
      <c r="AE1346" s="16">
        <f>IF(ISERROR(VLOOKUP($A1346,'13. Updated Demand'!A:Z,22,FALSE)),0,VLOOKUP($A1346,'13. Updated Demand'!A:Z,22,FALSE))</f>
        <v>0</v>
      </c>
      <c r="AF1346" s="16">
        <f>IF(ISERROR(VLOOKUP($A1346,'13. Updated Demand'!A:Z,23,FALSE)),0,VLOOKUP($A1346,'13. Updated Demand'!A:Z,23,FALSE))</f>
        <v>0</v>
      </c>
      <c r="AG1346" s="16">
        <f>IF(ISERROR(VLOOKUP($A1346,'13. Updated Demand'!A:Z,24,FALSE)),0,VLOOKUP($A1346,'13. Updated Demand'!A:Z,24,FALSE))</f>
        <v>0</v>
      </c>
      <c r="AH1346" s="16">
        <f>IF(ISERROR(VLOOKUP($A1346,'13. Updated Demand'!A:Z,25,FALSE)),0,VLOOKUP($A1346,'13. Updated Demand'!A:Z,25,FALSE))</f>
        <v>0</v>
      </c>
      <c r="AI1346" s="16">
        <f>IF(ISERROR(VLOOKUP($A1346,'13. Updated Demand'!A:Z,26,FALSE)),0,VLOOKUP($A1346,'13. Updated Demand'!A:Z,26,FALSE))</f>
        <v>0</v>
      </c>
      <c r="AJ1346" s="16">
        <f t="shared" si="252"/>
        <v>0</v>
      </c>
      <c r="AK1346" s="19">
        <v>0</v>
      </c>
      <c r="AL1346" s="16">
        <f t="shared" ref="AL1346:AL1409" si="264">AK1346/152/1.983471</f>
        <v>0</v>
      </c>
      <c r="AM1346" s="17">
        <v>0</v>
      </c>
      <c r="AN1346" s="19"/>
      <c r="AO1346" s="19"/>
      <c r="AP1346" s="19">
        <v>45.4</v>
      </c>
      <c r="AQ1346" s="19" t="s">
        <v>307</v>
      </c>
      <c r="AR1346" s="9" t="s">
        <v>311</v>
      </c>
      <c r="AS1346" s="12">
        <v>0</v>
      </c>
      <c r="AT1346" s="19">
        <v>38.624478840000002</v>
      </c>
      <c r="AU1346" s="19">
        <v>-122.81737054</v>
      </c>
      <c r="AV1346" s="19" t="s">
        <v>387</v>
      </c>
    </row>
    <row r="1347" spans="1:48" x14ac:dyDescent="0.25">
      <c r="A1347" s="18" t="s">
        <v>1713</v>
      </c>
      <c r="B1347" s="10">
        <v>19491109</v>
      </c>
      <c r="C1347" s="9">
        <v>17</v>
      </c>
      <c r="D1347" s="8" t="str">
        <f t="shared" si="255"/>
        <v>N</v>
      </c>
      <c r="E1347" s="8" t="str">
        <f t="shared" si="256"/>
        <v>N</v>
      </c>
      <c r="F1347" s="8" t="str">
        <f t="shared" si="257"/>
        <v>N</v>
      </c>
      <c r="G1347" s="8" t="str">
        <f t="shared" si="258"/>
        <v>N</v>
      </c>
      <c r="H1347" s="8" t="str">
        <f t="shared" si="259"/>
        <v>Lower</v>
      </c>
      <c r="I1347" s="8" t="str">
        <f t="shared" si="260"/>
        <v>Outside</v>
      </c>
      <c r="J1347" s="8" t="str">
        <f t="shared" si="261"/>
        <v>Outside</v>
      </c>
      <c r="K1347" s="8" t="str">
        <f t="shared" si="262"/>
        <v>Post-1949</v>
      </c>
      <c r="L1347" s="8">
        <f t="shared" si="263"/>
        <v>1949</v>
      </c>
      <c r="M1347" s="8" t="str">
        <f t="shared" si="254"/>
        <v>Pre-1949 + 1949</v>
      </c>
      <c r="N1347" s="10" t="s">
        <v>241</v>
      </c>
      <c r="O1347" s="10" t="s">
        <v>242</v>
      </c>
      <c r="P1347" s="10" t="s">
        <v>242</v>
      </c>
      <c r="Q1347" s="10" t="s">
        <v>242</v>
      </c>
      <c r="R1347" s="10" t="s">
        <v>241</v>
      </c>
      <c r="S1347" s="10" t="s">
        <v>242</v>
      </c>
      <c r="T1347" s="10" t="s">
        <v>242</v>
      </c>
      <c r="U1347" s="10" t="s">
        <v>242</v>
      </c>
      <c r="V1347" s="10" t="s">
        <v>242</v>
      </c>
      <c r="W1347" s="10" t="s">
        <v>242</v>
      </c>
      <c r="X1347" s="15">
        <f>IF(ISERROR(VLOOKUP($A1347,'13. Updated Demand'!A:Z,15,FALSE)),0,VLOOKUP($A1347,'13. Updated Demand'!A:Z,15,FALSE))</f>
        <v>0</v>
      </c>
      <c r="Y1347" s="16">
        <f>IF(ISERROR(VLOOKUP($A1347,'13. Updated Demand'!A:Z,16,FALSE)),0,VLOOKUP($A1347,'13. Updated Demand'!A:Z,16,FALSE))</f>
        <v>0</v>
      </c>
      <c r="Z1347" s="16">
        <f>IF(ISERROR(VLOOKUP($A1347,'13. Updated Demand'!A:Z,17,FALSE)),0,VLOOKUP($A1347,'13. Updated Demand'!A:Z,17,FALSE))</f>
        <v>0</v>
      </c>
      <c r="AA1347" s="16">
        <f>IF(ISERROR(VLOOKUP($A1347,'13. Updated Demand'!A:Z,18,FALSE)),0,VLOOKUP($A1347,'13. Updated Demand'!A:Z,18,FALSE))</f>
        <v>0</v>
      </c>
      <c r="AB1347" s="16">
        <f>IF(ISERROR(VLOOKUP($A1347,'13. Updated Demand'!A:Z,19,FALSE)),0,VLOOKUP($A1347,'13. Updated Demand'!A:Z,19,FALSE))</f>
        <v>3.6666666669999999</v>
      </c>
      <c r="AC1347" s="16">
        <f>IF(ISERROR(VLOOKUP($A1347,'13. Updated Demand'!A:Z,20,FALSE)),0,VLOOKUP($A1347,'13. Updated Demand'!A:Z,20,FALSE))</f>
        <v>7.8666666669999996</v>
      </c>
      <c r="AD1347" s="16">
        <f>IF(ISERROR(VLOOKUP($A1347,'13. Updated Demand'!A:Z,21,FALSE)),0,VLOOKUP($A1347,'13. Updated Demand'!A:Z,21,FALSE))</f>
        <v>10.633333329999999</v>
      </c>
      <c r="AE1347" s="16">
        <f>IF(ISERROR(VLOOKUP($A1347,'13. Updated Demand'!A:Z,22,FALSE)),0,VLOOKUP($A1347,'13. Updated Demand'!A:Z,22,FALSE))</f>
        <v>10.7</v>
      </c>
      <c r="AF1347" s="16">
        <f>IF(ISERROR(VLOOKUP($A1347,'13. Updated Demand'!A:Z,23,FALSE)),0,VLOOKUP($A1347,'13. Updated Demand'!A:Z,23,FALSE))</f>
        <v>10.7</v>
      </c>
      <c r="AG1347" s="16">
        <f>IF(ISERROR(VLOOKUP($A1347,'13. Updated Demand'!A:Z,24,FALSE)),0,VLOOKUP($A1347,'13. Updated Demand'!A:Z,24,FALSE))</f>
        <v>2.3666666670000001</v>
      </c>
      <c r="AH1347" s="16">
        <f>IF(ISERROR(VLOOKUP($A1347,'13. Updated Demand'!A:Z,25,FALSE)),0,VLOOKUP($A1347,'13. Updated Demand'!A:Z,25,FALSE))</f>
        <v>3</v>
      </c>
      <c r="AI1347" s="16">
        <f>IF(ISERROR(VLOOKUP($A1347,'13. Updated Demand'!A:Z,26,FALSE)),0,VLOOKUP($A1347,'13. Updated Demand'!A:Z,26,FALSE))</f>
        <v>0</v>
      </c>
      <c r="AJ1347" s="16">
        <f t="shared" si="252"/>
        <v>48.933333330999993</v>
      </c>
      <c r="AK1347" s="19">
        <v>43.566666663999996</v>
      </c>
      <c r="AL1347" s="16">
        <f t="shared" si="264"/>
        <v>0.14450567061479597</v>
      </c>
      <c r="AM1347" s="17">
        <v>0.63715277774739576</v>
      </c>
      <c r="AN1347" s="19"/>
      <c r="AO1347" s="19"/>
      <c r="AP1347" s="19">
        <v>76.8</v>
      </c>
      <c r="AQ1347" s="19" t="s">
        <v>307</v>
      </c>
      <c r="AR1347" s="9" t="s">
        <v>486</v>
      </c>
      <c r="AS1347" s="12">
        <v>0</v>
      </c>
      <c r="AT1347" s="19">
        <v>38.562477680000001</v>
      </c>
      <c r="AU1347" s="19">
        <v>-122.84743847</v>
      </c>
      <c r="AV1347" s="19" t="s">
        <v>387</v>
      </c>
    </row>
    <row r="1348" spans="1:48" x14ac:dyDescent="0.25">
      <c r="A1348" s="18" t="s">
        <v>1714</v>
      </c>
      <c r="B1348" s="10">
        <v>19491117</v>
      </c>
      <c r="C1348" s="9">
        <v>12</v>
      </c>
      <c r="D1348" s="8" t="str">
        <f t="shared" si="255"/>
        <v>N</v>
      </c>
      <c r="E1348" s="8" t="str">
        <f t="shared" si="256"/>
        <v>Y</v>
      </c>
      <c r="F1348" s="8" t="str">
        <f t="shared" si="257"/>
        <v>Y</v>
      </c>
      <c r="G1348" s="8" t="str">
        <f t="shared" si="258"/>
        <v>Y</v>
      </c>
      <c r="H1348" s="8" t="str">
        <f t="shared" si="259"/>
        <v>Upper</v>
      </c>
      <c r="I1348" s="8" t="str">
        <f t="shared" si="260"/>
        <v>West Fork and Below Lake</v>
      </c>
      <c r="J1348" s="8" t="str">
        <f t="shared" si="261"/>
        <v>Sonoma (d/s of Clov. Gage)</v>
      </c>
      <c r="K1348" s="8" t="str">
        <f t="shared" si="262"/>
        <v>Post-1949</v>
      </c>
      <c r="L1348" s="8">
        <f t="shared" si="263"/>
        <v>1949</v>
      </c>
      <c r="M1348" s="8" t="str">
        <f t="shared" si="254"/>
        <v>Pre-1949 + 1949</v>
      </c>
      <c r="N1348" s="10" t="s">
        <v>241</v>
      </c>
      <c r="O1348" s="10" t="s">
        <v>241</v>
      </c>
      <c r="P1348" s="10" t="s">
        <v>242</v>
      </c>
      <c r="Q1348" s="10" t="s">
        <v>242</v>
      </c>
      <c r="R1348" s="10" t="s">
        <v>241</v>
      </c>
      <c r="S1348" s="10" t="s">
        <v>242</v>
      </c>
      <c r="T1348" s="10" t="s">
        <v>242</v>
      </c>
      <c r="U1348" s="10" t="s">
        <v>242</v>
      </c>
      <c r="V1348" s="10" t="s">
        <v>242</v>
      </c>
      <c r="W1348" s="10" t="s">
        <v>242</v>
      </c>
      <c r="X1348" s="15">
        <f>IF(ISERROR(VLOOKUP($A1348,'13. Updated Demand'!A:Z,15,FALSE)),0,VLOOKUP($A1348,'13. Updated Demand'!A:Z,15,FALSE))</f>
        <v>0</v>
      </c>
      <c r="Y1348" s="16">
        <f>IF(ISERROR(VLOOKUP($A1348,'13. Updated Demand'!A:Z,16,FALSE)),0,VLOOKUP($A1348,'13. Updated Demand'!A:Z,16,FALSE))</f>
        <v>0</v>
      </c>
      <c r="Z1348" s="16">
        <f>IF(ISERROR(VLOOKUP($A1348,'13. Updated Demand'!A:Z,17,FALSE)),0,VLOOKUP($A1348,'13. Updated Demand'!A:Z,17,FALSE))</f>
        <v>0</v>
      </c>
      <c r="AA1348" s="16">
        <f>IF(ISERROR(VLOOKUP($A1348,'13. Updated Demand'!A:Z,18,FALSE)),0,VLOOKUP($A1348,'13. Updated Demand'!A:Z,18,FALSE))</f>
        <v>0</v>
      </c>
      <c r="AB1348" s="16">
        <f>IF(ISERROR(VLOOKUP($A1348,'13. Updated Demand'!A:Z,19,FALSE)),0,VLOOKUP($A1348,'13. Updated Demand'!A:Z,19,FALSE))</f>
        <v>0.28999999999999998</v>
      </c>
      <c r="AC1348" s="16">
        <f>IF(ISERROR(VLOOKUP($A1348,'13. Updated Demand'!A:Z,20,FALSE)),0,VLOOKUP($A1348,'13. Updated Demand'!A:Z,20,FALSE))</f>
        <v>0.57999999999999996</v>
      </c>
      <c r="AD1348" s="16">
        <f>IF(ISERROR(VLOOKUP($A1348,'13. Updated Demand'!A:Z,21,FALSE)),0,VLOOKUP($A1348,'13. Updated Demand'!A:Z,21,FALSE))</f>
        <v>0.57999999999999996</v>
      </c>
      <c r="AE1348" s="16">
        <f>IF(ISERROR(VLOOKUP($A1348,'13. Updated Demand'!A:Z,22,FALSE)),0,VLOOKUP($A1348,'13. Updated Demand'!A:Z,22,FALSE))</f>
        <v>0.49</v>
      </c>
      <c r="AF1348" s="16">
        <f>IF(ISERROR(VLOOKUP($A1348,'13. Updated Demand'!A:Z,23,FALSE)),0,VLOOKUP($A1348,'13. Updated Demand'!A:Z,23,FALSE))</f>
        <v>0.54</v>
      </c>
      <c r="AG1348" s="16">
        <f>IF(ISERROR(VLOOKUP($A1348,'13. Updated Demand'!A:Z,24,FALSE)),0,VLOOKUP($A1348,'13. Updated Demand'!A:Z,24,FALSE))</f>
        <v>0.39</v>
      </c>
      <c r="AH1348" s="16">
        <f>IF(ISERROR(VLOOKUP($A1348,'13. Updated Demand'!A:Z,25,FALSE)),0,VLOOKUP($A1348,'13. Updated Demand'!A:Z,25,FALSE))</f>
        <v>0</v>
      </c>
      <c r="AI1348" s="16">
        <f>IF(ISERROR(VLOOKUP($A1348,'13. Updated Demand'!A:Z,26,FALSE)),0,VLOOKUP($A1348,'13. Updated Demand'!A:Z,26,FALSE))</f>
        <v>0</v>
      </c>
      <c r="AJ1348" s="16">
        <f t="shared" si="252"/>
        <v>2.8699999999999997</v>
      </c>
      <c r="AK1348" s="19">
        <v>2.5042123333333319</v>
      </c>
      <c r="AL1348" s="16">
        <f t="shared" si="264"/>
        <v>8.3061870530755783E-3</v>
      </c>
      <c r="AM1348" s="17">
        <v>4.9691766723842186E-2</v>
      </c>
      <c r="AN1348" s="19"/>
      <c r="AO1348" s="19"/>
      <c r="AP1348" s="19">
        <v>58.3</v>
      </c>
      <c r="AQ1348" s="19" t="s">
        <v>307</v>
      </c>
      <c r="AR1348" s="9" t="s">
        <v>311</v>
      </c>
      <c r="AS1348" s="12">
        <v>0</v>
      </c>
      <c r="AT1348" s="19">
        <v>38.632911460000003</v>
      </c>
      <c r="AU1348" s="19">
        <v>-122.82867022000001</v>
      </c>
      <c r="AV1348" s="19" t="s">
        <v>387</v>
      </c>
    </row>
    <row r="1349" spans="1:48" x14ac:dyDescent="0.25">
      <c r="A1349" s="18" t="s">
        <v>45</v>
      </c>
      <c r="B1349" s="10">
        <v>19491121</v>
      </c>
      <c r="C1349" s="9">
        <v>10</v>
      </c>
      <c r="D1349" s="8" t="str">
        <f t="shared" si="255"/>
        <v>N</v>
      </c>
      <c r="E1349" s="8" t="str">
        <f t="shared" si="256"/>
        <v>Y</v>
      </c>
      <c r="F1349" s="8" t="str">
        <f t="shared" si="257"/>
        <v>Y</v>
      </c>
      <c r="G1349" s="8" t="str">
        <f t="shared" si="258"/>
        <v>Y</v>
      </c>
      <c r="H1349" s="8" t="str">
        <f t="shared" si="259"/>
        <v>Upper</v>
      </c>
      <c r="I1349" s="8" t="str">
        <f t="shared" si="260"/>
        <v>West Fork and Below Lake</v>
      </c>
      <c r="J1349" s="8" t="str">
        <f t="shared" si="261"/>
        <v>Sonoma (d/s of Clov. Gage)</v>
      </c>
      <c r="K1349" s="8" t="str">
        <f t="shared" si="262"/>
        <v>Post-1949</v>
      </c>
      <c r="L1349" s="8">
        <f t="shared" si="263"/>
        <v>1949</v>
      </c>
      <c r="M1349" s="8" t="str">
        <f t="shared" ref="M1349:M1393" si="265">IF(OR(L1349=1949,L1349&lt;1949),"Pre-1949 + 1949",IF(AND(L1349&gt;1949,L1349&lt;1953),"1950-1952",IF(AND(L1349&gt;1952,L1349&lt;1955),"1953-1954",IF(AND(L1349&gt;1954,L1349&lt;1957),"1955-1956",IF(AND(L1349&gt;1956,L1349&lt;1960),"1957-1959",IF(AND(L1349&gt;1959,L1349&lt;1971),"1960-1970",IF(AND(L1349&gt;1970,L1349&lt;1991),"1971-1990",IF(L1349&gt;1990,"1991-present","-"))))))))</f>
        <v>Pre-1949 + 1949</v>
      </c>
      <c r="N1349" s="10" t="s">
        <v>241</v>
      </c>
      <c r="O1349" s="10" t="s">
        <v>241</v>
      </c>
      <c r="P1349" s="10" t="s">
        <v>242</v>
      </c>
      <c r="Q1349" s="10" t="s">
        <v>242</v>
      </c>
      <c r="R1349" s="10" t="s">
        <v>241</v>
      </c>
      <c r="S1349" s="10" t="s">
        <v>242</v>
      </c>
      <c r="T1349" s="10" t="s">
        <v>242</v>
      </c>
      <c r="U1349" s="10" t="s">
        <v>242</v>
      </c>
      <c r="V1349" s="10" t="s">
        <v>242</v>
      </c>
      <c r="W1349" s="10" t="s">
        <v>242</v>
      </c>
      <c r="X1349" s="15">
        <f>IF(ISERROR(VLOOKUP($A1349,'13. Updated Demand'!A:Z,15,FALSE)),0,VLOOKUP($A1349,'13. Updated Demand'!A:Z,15,FALSE))</f>
        <v>0</v>
      </c>
      <c r="Y1349" s="16">
        <f>IF(ISERROR(VLOOKUP($A1349,'13. Updated Demand'!A:Z,16,FALSE)),0,VLOOKUP($A1349,'13. Updated Demand'!A:Z,16,FALSE))</f>
        <v>0</v>
      </c>
      <c r="Z1349" s="16">
        <f>IF(ISERROR(VLOOKUP($A1349,'13. Updated Demand'!A:Z,17,FALSE)),0,VLOOKUP($A1349,'13. Updated Demand'!A:Z,17,FALSE))</f>
        <v>0</v>
      </c>
      <c r="AA1349" s="16">
        <f>IF(ISERROR(VLOOKUP($A1349,'13. Updated Demand'!A:Z,18,FALSE)),0,VLOOKUP($A1349,'13. Updated Demand'!A:Z,18,FALSE))</f>
        <v>0</v>
      </c>
      <c r="AB1349" s="16">
        <f>IF(ISERROR(VLOOKUP($A1349,'13. Updated Demand'!A:Z,19,FALSE)),0,VLOOKUP($A1349,'13. Updated Demand'!A:Z,19,FALSE))</f>
        <v>0.41</v>
      </c>
      <c r="AC1349" s="16">
        <f>IF(ISERROR(VLOOKUP($A1349,'13. Updated Demand'!A:Z,20,FALSE)),0,VLOOKUP($A1349,'13. Updated Demand'!A:Z,20,FALSE))</f>
        <v>1.75</v>
      </c>
      <c r="AD1349" s="16">
        <f>IF(ISERROR(VLOOKUP($A1349,'13. Updated Demand'!A:Z,21,FALSE)),0,VLOOKUP($A1349,'13. Updated Demand'!A:Z,21,FALSE))</f>
        <v>4.4800000000000004</v>
      </c>
      <c r="AE1349" s="16">
        <f>IF(ISERROR(VLOOKUP($A1349,'13. Updated Demand'!A:Z,22,FALSE)),0,VLOOKUP($A1349,'13. Updated Demand'!A:Z,22,FALSE))</f>
        <v>6.55</v>
      </c>
      <c r="AF1349" s="16">
        <f>IF(ISERROR(VLOOKUP($A1349,'13. Updated Demand'!A:Z,23,FALSE)),0,VLOOKUP($A1349,'13. Updated Demand'!A:Z,23,FALSE))</f>
        <v>6.38</v>
      </c>
      <c r="AG1349" s="16">
        <f>IF(ISERROR(VLOOKUP($A1349,'13. Updated Demand'!A:Z,24,FALSE)),0,VLOOKUP($A1349,'13. Updated Demand'!A:Z,24,FALSE))</f>
        <v>0.45</v>
      </c>
      <c r="AH1349" s="16">
        <f>IF(ISERROR(VLOOKUP($A1349,'13. Updated Demand'!A:Z,25,FALSE)),0,VLOOKUP($A1349,'13. Updated Demand'!A:Z,25,FALSE))</f>
        <v>0.28999999999999998</v>
      </c>
      <c r="AI1349" s="16">
        <f>IF(ISERROR(VLOOKUP($A1349,'13. Updated Demand'!A:Z,26,FALSE)),0,VLOOKUP($A1349,'13. Updated Demand'!A:Z,26,FALSE))</f>
        <v>0</v>
      </c>
      <c r="AJ1349" s="16">
        <f t="shared" si="252"/>
        <v>20.309999999999999</v>
      </c>
      <c r="AK1349" s="19">
        <v>19.586666666666666</v>
      </c>
      <c r="AL1349" s="16">
        <f t="shared" si="264"/>
        <v>6.4966742202334699E-2</v>
      </c>
      <c r="AM1349" s="17">
        <v>9.295839048925468E-2</v>
      </c>
      <c r="AN1349" s="19"/>
      <c r="AO1349" s="19"/>
      <c r="AP1349" s="19">
        <v>218.7</v>
      </c>
      <c r="AQ1349" s="19" t="s">
        <v>307</v>
      </c>
      <c r="AR1349" s="9" t="s">
        <v>436</v>
      </c>
      <c r="AS1349" s="12">
        <v>0</v>
      </c>
      <c r="AT1349" s="19">
        <v>38.681298380000001</v>
      </c>
      <c r="AU1349" s="19">
        <v>-122.85866079</v>
      </c>
      <c r="AV1349" s="19" t="s">
        <v>548</v>
      </c>
    </row>
    <row r="1350" spans="1:48" x14ac:dyDescent="0.25">
      <c r="A1350" s="18" t="s">
        <v>1715</v>
      </c>
      <c r="B1350" s="10">
        <v>19480108</v>
      </c>
      <c r="C1350" s="9">
        <v>5</v>
      </c>
      <c r="D1350" s="8" t="str">
        <f t="shared" si="255"/>
        <v>Y</v>
      </c>
      <c r="E1350" s="8" t="str">
        <f t="shared" si="256"/>
        <v>N</v>
      </c>
      <c r="F1350" s="8" t="str">
        <f t="shared" si="257"/>
        <v>Y</v>
      </c>
      <c r="G1350" s="8" t="str">
        <f t="shared" si="258"/>
        <v>Y</v>
      </c>
      <c r="H1350" s="8" t="str">
        <f t="shared" si="259"/>
        <v>Upper</v>
      </c>
      <c r="I1350" s="8" t="str">
        <f t="shared" si="260"/>
        <v>West Fork and Below Lake</v>
      </c>
      <c r="J1350" s="8" t="str">
        <f t="shared" si="261"/>
        <v>Mendocino (d/s of lake)</v>
      </c>
      <c r="K1350" s="8" t="str">
        <f t="shared" si="262"/>
        <v>Pre-1949</v>
      </c>
      <c r="L1350" s="8">
        <f t="shared" si="263"/>
        <v>1948</v>
      </c>
      <c r="M1350" s="8" t="str">
        <f t="shared" si="265"/>
        <v>Pre-1949 + 1949</v>
      </c>
      <c r="N1350" s="10" t="s">
        <v>242</v>
      </c>
      <c r="O1350" s="10" t="s">
        <v>241</v>
      </c>
      <c r="P1350" s="10" t="s">
        <v>242</v>
      </c>
      <c r="Q1350" s="10" t="s">
        <v>241</v>
      </c>
      <c r="R1350" s="10" t="s">
        <v>242</v>
      </c>
      <c r="S1350" s="10" t="s">
        <v>242</v>
      </c>
      <c r="T1350" s="10" t="s">
        <v>242</v>
      </c>
      <c r="U1350" s="10" t="s">
        <v>242</v>
      </c>
      <c r="V1350" s="10" t="s">
        <v>242</v>
      </c>
      <c r="W1350" s="10" t="s">
        <v>242</v>
      </c>
      <c r="X1350" s="15">
        <f>IF(ISERROR(VLOOKUP($A1350,'13. Updated Demand'!A:Z,15,FALSE)),0,VLOOKUP($A1350,'13. Updated Demand'!A:Z,15,FALSE))</f>
        <v>36.299999999999997</v>
      </c>
      <c r="Y1350" s="16">
        <f>IF(ISERROR(VLOOKUP($A1350,'13. Updated Demand'!A:Z,16,FALSE)),0,VLOOKUP($A1350,'13. Updated Demand'!A:Z,16,FALSE))</f>
        <v>1.1000000000000001</v>
      </c>
      <c r="Z1350" s="16">
        <f>IF(ISERROR(VLOOKUP($A1350,'13. Updated Demand'!A:Z,17,FALSE)),0,VLOOKUP($A1350,'13. Updated Demand'!A:Z,17,FALSE))</f>
        <v>0</v>
      </c>
      <c r="AA1350" s="16">
        <f>IF(ISERROR(VLOOKUP($A1350,'13. Updated Demand'!A:Z,18,FALSE)),0,VLOOKUP($A1350,'13. Updated Demand'!A:Z,18,FALSE))</f>
        <v>0</v>
      </c>
      <c r="AB1350" s="16">
        <f>IF(ISERROR(VLOOKUP($A1350,'13. Updated Demand'!A:Z,19,FALSE)),0,VLOOKUP($A1350,'13. Updated Demand'!A:Z,19,FALSE))</f>
        <v>0</v>
      </c>
      <c r="AC1350" s="16">
        <f>IF(ISERROR(VLOOKUP($A1350,'13. Updated Demand'!A:Z,20,FALSE)),0,VLOOKUP($A1350,'13. Updated Demand'!A:Z,20,FALSE))</f>
        <v>0</v>
      </c>
      <c r="AD1350" s="16">
        <f>IF(ISERROR(VLOOKUP($A1350,'13. Updated Demand'!A:Z,21,FALSE)),0,VLOOKUP($A1350,'13. Updated Demand'!A:Z,21,FALSE))</f>
        <v>0</v>
      </c>
      <c r="AE1350" s="16">
        <f>IF(ISERROR(VLOOKUP($A1350,'13. Updated Demand'!A:Z,22,FALSE)),0,VLOOKUP($A1350,'13. Updated Demand'!A:Z,22,FALSE))</f>
        <v>0.63</v>
      </c>
      <c r="AF1350" s="16">
        <f>IF(ISERROR(VLOOKUP($A1350,'13. Updated Demand'!A:Z,23,FALSE)),0,VLOOKUP($A1350,'13. Updated Demand'!A:Z,23,FALSE))</f>
        <v>0</v>
      </c>
      <c r="AG1350" s="16">
        <f>IF(ISERROR(VLOOKUP($A1350,'13. Updated Demand'!A:Z,24,FALSE)),0,VLOOKUP($A1350,'13. Updated Demand'!A:Z,24,FALSE))</f>
        <v>4.93</v>
      </c>
      <c r="AH1350" s="16">
        <f>IF(ISERROR(VLOOKUP($A1350,'13. Updated Demand'!A:Z,25,FALSE)),0,VLOOKUP($A1350,'13. Updated Demand'!A:Z,25,FALSE))</f>
        <v>29.8</v>
      </c>
      <c r="AI1350" s="16">
        <f>IF(ISERROR(VLOOKUP($A1350,'13. Updated Demand'!A:Z,26,FALSE)),0,VLOOKUP($A1350,'13. Updated Demand'!A:Z,26,FALSE))</f>
        <v>31.16</v>
      </c>
      <c r="AJ1350" s="16">
        <f t="shared" si="252"/>
        <v>103.92</v>
      </c>
      <c r="AK1350" s="19">
        <v>0.63333333333333297</v>
      </c>
      <c r="AL1350" s="16">
        <f t="shared" si="264"/>
        <v>2.1006945232204879E-3</v>
      </c>
      <c r="AM1350" s="17">
        <v>1.077029360967185</v>
      </c>
      <c r="AN1350" s="19"/>
      <c r="AO1350" s="19"/>
      <c r="AP1350" s="19">
        <v>96.5</v>
      </c>
      <c r="AQ1350" s="19" t="s">
        <v>307</v>
      </c>
      <c r="AR1350" s="9" t="s">
        <v>333</v>
      </c>
      <c r="AS1350" s="12">
        <v>0</v>
      </c>
      <c r="AT1350" s="19">
        <v>39.039213250000003</v>
      </c>
      <c r="AU1350" s="19">
        <v>-123.19381916</v>
      </c>
      <c r="AV1350" s="19" t="s">
        <v>664</v>
      </c>
    </row>
    <row r="1351" spans="1:48" x14ac:dyDescent="0.25">
      <c r="A1351" s="18" t="s">
        <v>1716</v>
      </c>
      <c r="B1351" s="10">
        <v>19480216</v>
      </c>
      <c r="C1351" s="9">
        <v>18</v>
      </c>
      <c r="D1351" s="8" t="str">
        <f t="shared" si="255"/>
        <v>N</v>
      </c>
      <c r="E1351" s="8" t="str">
        <f t="shared" si="256"/>
        <v>N</v>
      </c>
      <c r="F1351" s="8" t="str">
        <f t="shared" si="257"/>
        <v>N</v>
      </c>
      <c r="G1351" s="8" t="str">
        <f t="shared" si="258"/>
        <v>N</v>
      </c>
      <c r="H1351" s="8" t="str">
        <f t="shared" si="259"/>
        <v>Lower</v>
      </c>
      <c r="I1351" s="8" t="str">
        <f t="shared" si="260"/>
        <v>Outside</v>
      </c>
      <c r="J1351" s="8" t="str">
        <f t="shared" si="261"/>
        <v>Outside</v>
      </c>
      <c r="K1351" s="8" t="str">
        <f t="shared" si="262"/>
        <v>Pre-1949</v>
      </c>
      <c r="L1351" s="8">
        <f t="shared" si="263"/>
        <v>1948</v>
      </c>
      <c r="M1351" s="8" t="str">
        <f t="shared" si="265"/>
        <v>Pre-1949 + 1949</v>
      </c>
      <c r="N1351" s="10" t="s">
        <v>242</v>
      </c>
      <c r="O1351" s="10" t="s">
        <v>242</v>
      </c>
      <c r="P1351" s="10" t="s">
        <v>242</v>
      </c>
      <c r="Q1351" s="10" t="s">
        <v>241</v>
      </c>
      <c r="R1351" s="10" t="s">
        <v>242</v>
      </c>
      <c r="S1351" s="10" t="s">
        <v>242</v>
      </c>
      <c r="T1351" s="10" t="s">
        <v>242</v>
      </c>
      <c r="U1351" s="10" t="s">
        <v>241</v>
      </c>
      <c r="V1351" s="10" t="s">
        <v>241</v>
      </c>
      <c r="W1351" s="10" t="s">
        <v>242</v>
      </c>
      <c r="X1351" s="15">
        <f>IF(ISERROR(VLOOKUP($A1351,'13. Updated Demand'!A:Z,15,FALSE)),0,VLOOKUP($A1351,'13. Updated Demand'!A:Z,15,FALSE))</f>
        <v>0</v>
      </c>
      <c r="Y1351" s="16">
        <f>IF(ISERROR(VLOOKUP($A1351,'13. Updated Demand'!A:Z,16,FALSE)),0,VLOOKUP($A1351,'13. Updated Demand'!A:Z,16,FALSE))</f>
        <v>0</v>
      </c>
      <c r="Z1351" s="16">
        <f>IF(ISERROR(VLOOKUP($A1351,'13. Updated Demand'!A:Z,17,FALSE)),0,VLOOKUP($A1351,'13. Updated Demand'!A:Z,17,FALSE))</f>
        <v>0</v>
      </c>
      <c r="AA1351" s="16">
        <f>IF(ISERROR(VLOOKUP($A1351,'13. Updated Demand'!A:Z,18,FALSE)),0,VLOOKUP($A1351,'13. Updated Demand'!A:Z,18,FALSE))</f>
        <v>0</v>
      </c>
      <c r="AB1351" s="16">
        <f>IF(ISERROR(VLOOKUP($A1351,'13. Updated Demand'!A:Z,19,FALSE)),0,VLOOKUP($A1351,'13. Updated Demand'!A:Z,19,FALSE))</f>
        <v>0</v>
      </c>
      <c r="AC1351" s="16">
        <f>IF(ISERROR(VLOOKUP($A1351,'13. Updated Demand'!A:Z,20,FALSE)),0,VLOOKUP($A1351,'13. Updated Demand'!A:Z,20,FALSE))</f>
        <v>0</v>
      </c>
      <c r="AD1351" s="16">
        <f>IF(ISERROR(VLOOKUP($A1351,'13. Updated Demand'!A:Z,21,FALSE)),0,VLOOKUP($A1351,'13. Updated Demand'!A:Z,21,FALSE))</f>
        <v>0</v>
      </c>
      <c r="AE1351" s="16">
        <f>IF(ISERROR(VLOOKUP($A1351,'13. Updated Demand'!A:Z,22,FALSE)),0,VLOOKUP($A1351,'13. Updated Demand'!A:Z,22,FALSE))</f>
        <v>0</v>
      </c>
      <c r="AF1351" s="16">
        <f>IF(ISERROR(VLOOKUP($A1351,'13. Updated Demand'!A:Z,23,FALSE)),0,VLOOKUP($A1351,'13. Updated Demand'!A:Z,23,FALSE))</f>
        <v>0</v>
      </c>
      <c r="AG1351" s="16">
        <f>IF(ISERROR(VLOOKUP($A1351,'13. Updated Demand'!A:Z,24,FALSE)),0,VLOOKUP($A1351,'13. Updated Demand'!A:Z,24,FALSE))</f>
        <v>0</v>
      </c>
      <c r="AH1351" s="16">
        <f>IF(ISERROR(VLOOKUP($A1351,'13. Updated Demand'!A:Z,25,FALSE)),0,VLOOKUP($A1351,'13. Updated Demand'!A:Z,25,FALSE))</f>
        <v>0</v>
      </c>
      <c r="AI1351" s="16">
        <f>IF(ISERROR(VLOOKUP($A1351,'13. Updated Demand'!A:Z,26,FALSE)),0,VLOOKUP($A1351,'13. Updated Demand'!A:Z,26,FALSE))</f>
        <v>0</v>
      </c>
      <c r="AJ1351" s="16">
        <f t="shared" si="252"/>
        <v>0</v>
      </c>
      <c r="AK1351" s="19">
        <v>0</v>
      </c>
      <c r="AL1351" s="16">
        <f t="shared" si="264"/>
        <v>0</v>
      </c>
      <c r="AM1351" s="17">
        <v>0</v>
      </c>
      <c r="AN1351" s="19"/>
      <c r="AO1351" s="19"/>
      <c r="AP1351" s="19">
        <v>105.5</v>
      </c>
      <c r="AQ1351" s="19" t="s">
        <v>307</v>
      </c>
      <c r="AR1351" s="9" t="s">
        <v>352</v>
      </c>
      <c r="AS1351" s="12">
        <v>0</v>
      </c>
      <c r="AT1351" s="19">
        <v>38.430329149999999</v>
      </c>
      <c r="AU1351" s="19">
        <v>-122.89265374999999</v>
      </c>
      <c r="AV1351" s="19" t="s">
        <v>411</v>
      </c>
    </row>
    <row r="1352" spans="1:48" x14ac:dyDescent="0.25">
      <c r="A1352" s="18" t="s">
        <v>1717</v>
      </c>
      <c r="B1352" s="10">
        <v>19480329</v>
      </c>
      <c r="C1352" s="9">
        <v>18</v>
      </c>
      <c r="D1352" s="8" t="str">
        <f t="shared" si="255"/>
        <v>N</v>
      </c>
      <c r="E1352" s="8" t="str">
        <f t="shared" si="256"/>
        <v>N</v>
      </c>
      <c r="F1352" s="8" t="str">
        <f t="shared" si="257"/>
        <v>N</v>
      </c>
      <c r="G1352" s="8" t="str">
        <f t="shared" si="258"/>
        <v>N</v>
      </c>
      <c r="H1352" s="8" t="str">
        <f t="shared" si="259"/>
        <v>Lower</v>
      </c>
      <c r="I1352" s="8" t="str">
        <f t="shared" si="260"/>
        <v>Outside</v>
      </c>
      <c r="J1352" s="8" t="str">
        <f t="shared" si="261"/>
        <v>Outside</v>
      </c>
      <c r="K1352" s="8" t="str">
        <f t="shared" si="262"/>
        <v>Pre-1949</v>
      </c>
      <c r="L1352" s="8">
        <f t="shared" si="263"/>
        <v>1948</v>
      </c>
      <c r="M1352" s="8" t="str">
        <f t="shared" si="265"/>
        <v>Pre-1949 + 1949</v>
      </c>
      <c r="N1352" s="10" t="s">
        <v>241</v>
      </c>
      <c r="O1352" s="10" t="s">
        <v>242</v>
      </c>
      <c r="P1352" s="10" t="s">
        <v>242</v>
      </c>
      <c r="Q1352" s="10" t="s">
        <v>241</v>
      </c>
      <c r="R1352" s="10" t="s">
        <v>242</v>
      </c>
      <c r="S1352" s="10" t="s">
        <v>242</v>
      </c>
      <c r="T1352" s="10" t="s">
        <v>242</v>
      </c>
      <c r="U1352" s="10" t="s">
        <v>242</v>
      </c>
      <c r="V1352" s="10" t="s">
        <v>242</v>
      </c>
      <c r="W1352" s="10" t="s">
        <v>242</v>
      </c>
      <c r="X1352" s="15">
        <f>IF(ISERROR(VLOOKUP($A1352,'13. Updated Demand'!A:Z,15,FALSE)),0,VLOOKUP($A1352,'13. Updated Demand'!A:Z,15,FALSE))</f>
        <v>0</v>
      </c>
      <c r="Y1352" s="16">
        <f>IF(ISERROR(VLOOKUP($A1352,'13. Updated Demand'!A:Z,16,FALSE)),0,VLOOKUP($A1352,'13. Updated Demand'!A:Z,16,FALSE))</f>
        <v>0</v>
      </c>
      <c r="Z1352" s="16">
        <f>IF(ISERROR(VLOOKUP($A1352,'13. Updated Demand'!A:Z,17,FALSE)),0,VLOOKUP($A1352,'13. Updated Demand'!A:Z,17,FALSE))</f>
        <v>0</v>
      </c>
      <c r="AA1352" s="16">
        <f>IF(ISERROR(VLOOKUP($A1352,'13. Updated Demand'!A:Z,18,FALSE)),0,VLOOKUP($A1352,'13. Updated Demand'!A:Z,18,FALSE))</f>
        <v>0</v>
      </c>
      <c r="AB1352" s="16">
        <f>IF(ISERROR(VLOOKUP($A1352,'13. Updated Demand'!A:Z,19,FALSE)),0,VLOOKUP($A1352,'13. Updated Demand'!A:Z,19,FALSE))</f>
        <v>0</v>
      </c>
      <c r="AC1352" s="16">
        <f>IF(ISERROR(VLOOKUP($A1352,'13. Updated Demand'!A:Z,20,FALSE)),0,VLOOKUP($A1352,'13. Updated Demand'!A:Z,20,FALSE))</f>
        <v>0</v>
      </c>
      <c r="AD1352" s="16">
        <f>IF(ISERROR(VLOOKUP($A1352,'13. Updated Demand'!A:Z,21,FALSE)),0,VLOOKUP($A1352,'13. Updated Demand'!A:Z,21,FALSE))</f>
        <v>0.1</v>
      </c>
      <c r="AE1352" s="16">
        <f>IF(ISERROR(VLOOKUP($A1352,'13. Updated Demand'!A:Z,22,FALSE)),0,VLOOKUP($A1352,'13. Updated Demand'!A:Z,22,FALSE))</f>
        <v>0.133333333</v>
      </c>
      <c r="AF1352" s="16">
        <f>IF(ISERROR(VLOOKUP($A1352,'13. Updated Demand'!A:Z,23,FALSE)),0,VLOOKUP($A1352,'13. Updated Demand'!A:Z,23,FALSE))</f>
        <v>0</v>
      </c>
      <c r="AG1352" s="16">
        <f>IF(ISERROR(VLOOKUP($A1352,'13. Updated Demand'!A:Z,24,FALSE)),0,VLOOKUP($A1352,'13. Updated Demand'!A:Z,24,FALSE))</f>
        <v>0</v>
      </c>
      <c r="AH1352" s="16">
        <f>IF(ISERROR(VLOOKUP($A1352,'13. Updated Demand'!A:Z,25,FALSE)),0,VLOOKUP($A1352,'13. Updated Demand'!A:Z,25,FALSE))</f>
        <v>0</v>
      </c>
      <c r="AI1352" s="16">
        <f>IF(ISERROR(VLOOKUP($A1352,'13. Updated Demand'!A:Z,26,FALSE)),0,VLOOKUP($A1352,'13. Updated Demand'!A:Z,26,FALSE))</f>
        <v>0</v>
      </c>
      <c r="AJ1352" s="16">
        <f t="shared" si="252"/>
        <v>0.233333333</v>
      </c>
      <c r="AK1352" s="19">
        <v>0.233333333</v>
      </c>
      <c r="AL1352" s="16">
        <f t="shared" si="264"/>
        <v>7.7394008639665684E-4</v>
      </c>
      <c r="AM1352" s="17">
        <v>6.3233965582655833E-3</v>
      </c>
      <c r="AN1352" s="19"/>
      <c r="AO1352" s="19"/>
      <c r="AP1352" s="19">
        <v>36.9</v>
      </c>
      <c r="AQ1352" s="19" t="s">
        <v>307</v>
      </c>
      <c r="AR1352" s="9" t="s">
        <v>352</v>
      </c>
      <c r="AS1352" s="12">
        <v>0</v>
      </c>
      <c r="AT1352" s="19">
        <v>38.497923030000003</v>
      </c>
      <c r="AU1352" s="19">
        <v>-122.88720735</v>
      </c>
      <c r="AV1352" s="19" t="s">
        <v>387</v>
      </c>
    </row>
    <row r="1353" spans="1:48" x14ac:dyDescent="0.25">
      <c r="A1353" s="18" t="s">
        <v>1718</v>
      </c>
      <c r="B1353" s="10">
        <v>19480423</v>
      </c>
      <c r="C1353" s="9">
        <v>23</v>
      </c>
      <c r="D1353" s="8" t="str">
        <f t="shared" si="255"/>
        <v>N</v>
      </c>
      <c r="E1353" s="8" t="str">
        <f t="shared" si="256"/>
        <v>N</v>
      </c>
      <c r="F1353" s="8" t="str">
        <f t="shared" si="257"/>
        <v>N</v>
      </c>
      <c r="G1353" s="8" t="str">
        <f t="shared" si="258"/>
        <v>N</v>
      </c>
      <c r="H1353" s="8" t="str">
        <f t="shared" si="259"/>
        <v>Lower</v>
      </c>
      <c r="I1353" s="8" t="str">
        <f t="shared" si="260"/>
        <v>Outside</v>
      </c>
      <c r="J1353" s="8" t="str">
        <f t="shared" si="261"/>
        <v>Outside</v>
      </c>
      <c r="K1353" s="8" t="str">
        <f t="shared" si="262"/>
        <v>Pre-1949</v>
      </c>
      <c r="L1353" s="8">
        <f t="shared" si="263"/>
        <v>1948</v>
      </c>
      <c r="M1353" s="8" t="str">
        <f t="shared" si="265"/>
        <v>Pre-1949 + 1949</v>
      </c>
      <c r="N1353" s="10" t="s">
        <v>242</v>
      </c>
      <c r="O1353" s="10" t="s">
        <v>242</v>
      </c>
      <c r="P1353" s="10" t="s">
        <v>242</v>
      </c>
      <c r="Q1353" s="10" t="s">
        <v>241</v>
      </c>
      <c r="R1353" s="10" t="s">
        <v>242</v>
      </c>
      <c r="S1353" s="10" t="s">
        <v>242</v>
      </c>
      <c r="T1353" s="10" t="s">
        <v>242</v>
      </c>
      <c r="U1353" s="10" t="s">
        <v>242</v>
      </c>
      <c r="V1353" s="10" t="s">
        <v>242</v>
      </c>
      <c r="W1353" s="10" t="s">
        <v>242</v>
      </c>
      <c r="X1353" s="15">
        <f>IF(ISERROR(VLOOKUP($A1353,'13. Updated Demand'!A:Z,15,FALSE)),0,VLOOKUP($A1353,'13. Updated Demand'!A:Z,15,FALSE))</f>
        <v>0</v>
      </c>
      <c r="Y1353" s="16">
        <f>IF(ISERROR(VLOOKUP($A1353,'13. Updated Demand'!A:Z,16,FALSE)),0,VLOOKUP($A1353,'13. Updated Demand'!A:Z,16,FALSE))</f>
        <v>0</v>
      </c>
      <c r="Z1353" s="16">
        <f>IF(ISERROR(VLOOKUP($A1353,'13. Updated Demand'!A:Z,17,FALSE)),0,VLOOKUP($A1353,'13. Updated Demand'!A:Z,17,FALSE))</f>
        <v>0</v>
      </c>
      <c r="AA1353" s="16">
        <f>IF(ISERROR(VLOOKUP($A1353,'13. Updated Demand'!A:Z,18,FALSE)),0,VLOOKUP($A1353,'13. Updated Demand'!A:Z,18,FALSE))</f>
        <v>8.5724333E-2</v>
      </c>
      <c r="AB1353" s="16">
        <f>IF(ISERROR(VLOOKUP($A1353,'13. Updated Demand'!A:Z,19,FALSE)),0,VLOOKUP($A1353,'13. Updated Demand'!A:Z,19,FALSE))</f>
        <v>1.0633333330000001</v>
      </c>
      <c r="AC1353" s="16">
        <f>IF(ISERROR(VLOOKUP($A1353,'13. Updated Demand'!A:Z,20,FALSE)),0,VLOOKUP($A1353,'13. Updated Demand'!A:Z,20,FALSE))</f>
        <v>1E-4</v>
      </c>
      <c r="AD1353" s="16">
        <f>IF(ISERROR(VLOOKUP($A1353,'13. Updated Demand'!A:Z,21,FALSE)),0,VLOOKUP($A1353,'13. Updated Demand'!A:Z,21,FALSE))</f>
        <v>0</v>
      </c>
      <c r="AE1353" s="16">
        <f>IF(ISERROR(VLOOKUP($A1353,'13. Updated Demand'!A:Z,22,FALSE)),0,VLOOKUP($A1353,'13. Updated Demand'!A:Z,22,FALSE))</f>
        <v>3.7133667000000002E-2</v>
      </c>
      <c r="AF1353" s="16">
        <f>IF(ISERROR(VLOOKUP($A1353,'13. Updated Demand'!A:Z,23,FALSE)),0,VLOOKUP($A1353,'13. Updated Demand'!A:Z,23,FALSE))</f>
        <v>0</v>
      </c>
      <c r="AG1353" s="16">
        <f>IF(ISERROR(VLOOKUP($A1353,'13. Updated Demand'!A:Z,24,FALSE)),0,VLOOKUP($A1353,'13. Updated Demand'!A:Z,24,FALSE))</f>
        <v>0</v>
      </c>
      <c r="AH1353" s="16">
        <f>IF(ISERROR(VLOOKUP($A1353,'13. Updated Demand'!A:Z,25,FALSE)),0,VLOOKUP($A1353,'13. Updated Demand'!A:Z,25,FALSE))</f>
        <v>0</v>
      </c>
      <c r="AI1353" s="16">
        <f>IF(ISERROR(VLOOKUP($A1353,'13. Updated Demand'!A:Z,26,FALSE)),0,VLOOKUP($A1353,'13. Updated Demand'!A:Z,26,FALSE))</f>
        <v>0</v>
      </c>
      <c r="AJ1353" s="16">
        <f t="shared" si="252"/>
        <v>1.186291333</v>
      </c>
      <c r="AK1353" s="19">
        <v>1.1005670000000001</v>
      </c>
      <c r="AL1353" s="16">
        <f t="shared" si="264"/>
        <v>3.6504553726376906E-3</v>
      </c>
      <c r="AM1353" s="17">
        <v>9.0143718313069904E-3</v>
      </c>
      <c r="AN1353" s="19"/>
      <c r="AO1353" s="19"/>
      <c r="AP1353" s="19">
        <v>131.6</v>
      </c>
      <c r="AQ1353" s="19" t="s">
        <v>307</v>
      </c>
      <c r="AR1353" s="9" t="s">
        <v>1118</v>
      </c>
      <c r="AS1353" s="12">
        <v>0</v>
      </c>
      <c r="AT1353" s="19">
        <v>38.3782</v>
      </c>
      <c r="AU1353" s="19">
        <v>-122.78579999999999</v>
      </c>
      <c r="AV1353" s="19" t="s">
        <v>1532</v>
      </c>
    </row>
    <row r="1354" spans="1:48" x14ac:dyDescent="0.25">
      <c r="A1354" s="18" t="s">
        <v>1719</v>
      </c>
      <c r="B1354" s="10">
        <v>19480514</v>
      </c>
      <c r="C1354" s="9">
        <v>23</v>
      </c>
      <c r="D1354" s="8" t="str">
        <f t="shared" si="255"/>
        <v>N</v>
      </c>
      <c r="E1354" s="8" t="str">
        <f t="shared" si="256"/>
        <v>N</v>
      </c>
      <c r="F1354" s="8" t="str">
        <f t="shared" si="257"/>
        <v>N</v>
      </c>
      <c r="G1354" s="8" t="str">
        <f t="shared" si="258"/>
        <v>N</v>
      </c>
      <c r="H1354" s="8" t="str">
        <f t="shared" si="259"/>
        <v>Lower</v>
      </c>
      <c r="I1354" s="8" t="str">
        <f t="shared" si="260"/>
        <v>Outside</v>
      </c>
      <c r="J1354" s="8" t="str">
        <f t="shared" si="261"/>
        <v>Outside</v>
      </c>
      <c r="K1354" s="8" t="str">
        <f t="shared" si="262"/>
        <v>Pre-1949</v>
      </c>
      <c r="L1354" s="8">
        <f t="shared" si="263"/>
        <v>1948</v>
      </c>
      <c r="M1354" s="8" t="str">
        <f t="shared" si="265"/>
        <v>Pre-1949 + 1949</v>
      </c>
      <c r="N1354" s="10" t="s">
        <v>242</v>
      </c>
      <c r="O1354" s="10" t="s">
        <v>242</v>
      </c>
      <c r="P1354" s="10" t="s">
        <v>242</v>
      </c>
      <c r="Q1354" s="10" t="s">
        <v>241</v>
      </c>
      <c r="R1354" s="10" t="s">
        <v>242</v>
      </c>
      <c r="S1354" s="10" t="s">
        <v>242</v>
      </c>
      <c r="T1354" s="10" t="s">
        <v>242</v>
      </c>
      <c r="U1354" s="10" t="s">
        <v>241</v>
      </c>
      <c r="V1354" s="10" t="s">
        <v>241</v>
      </c>
      <c r="W1354" s="10" t="s">
        <v>242</v>
      </c>
      <c r="X1354" s="15">
        <f>IF(ISERROR(VLOOKUP($A1354,'13. Updated Demand'!A:Z,15,FALSE)),0,VLOOKUP($A1354,'13. Updated Demand'!A:Z,15,FALSE))</f>
        <v>0</v>
      </c>
      <c r="Y1354" s="16">
        <f>IF(ISERROR(VLOOKUP($A1354,'13. Updated Demand'!A:Z,16,FALSE)),0,VLOOKUP($A1354,'13. Updated Demand'!A:Z,16,FALSE))</f>
        <v>0</v>
      </c>
      <c r="Z1354" s="16">
        <f>IF(ISERROR(VLOOKUP($A1354,'13. Updated Demand'!A:Z,17,FALSE)),0,VLOOKUP($A1354,'13. Updated Demand'!A:Z,17,FALSE))</f>
        <v>0</v>
      </c>
      <c r="AA1354" s="16">
        <f>IF(ISERROR(VLOOKUP($A1354,'13. Updated Demand'!A:Z,18,FALSE)),0,VLOOKUP($A1354,'13. Updated Demand'!A:Z,18,FALSE))</f>
        <v>0</v>
      </c>
      <c r="AB1354" s="16">
        <f>IF(ISERROR(VLOOKUP($A1354,'13. Updated Demand'!A:Z,19,FALSE)),0,VLOOKUP($A1354,'13. Updated Demand'!A:Z,19,FALSE))</f>
        <v>0</v>
      </c>
      <c r="AC1354" s="16">
        <f>IF(ISERROR(VLOOKUP($A1354,'13. Updated Demand'!A:Z,20,FALSE)),0,VLOOKUP($A1354,'13. Updated Demand'!A:Z,20,FALSE))</f>
        <v>0</v>
      </c>
      <c r="AD1354" s="16">
        <f>IF(ISERROR(VLOOKUP($A1354,'13. Updated Demand'!A:Z,21,FALSE)),0,VLOOKUP($A1354,'13. Updated Demand'!A:Z,21,FALSE))</f>
        <v>0</v>
      </c>
      <c r="AE1354" s="16">
        <f>IF(ISERROR(VLOOKUP($A1354,'13. Updated Demand'!A:Z,22,FALSE)),0,VLOOKUP($A1354,'13. Updated Demand'!A:Z,22,FALSE))</f>
        <v>0</v>
      </c>
      <c r="AF1354" s="16">
        <f>IF(ISERROR(VLOOKUP($A1354,'13. Updated Demand'!A:Z,23,FALSE)),0,VLOOKUP($A1354,'13. Updated Demand'!A:Z,23,FALSE))</f>
        <v>0</v>
      </c>
      <c r="AG1354" s="16">
        <f>IF(ISERROR(VLOOKUP($A1354,'13. Updated Demand'!A:Z,24,FALSE)),0,VLOOKUP($A1354,'13. Updated Demand'!A:Z,24,FALSE))</f>
        <v>0</v>
      </c>
      <c r="AH1354" s="16">
        <f>IF(ISERROR(VLOOKUP($A1354,'13. Updated Demand'!A:Z,25,FALSE)),0,VLOOKUP($A1354,'13. Updated Demand'!A:Z,25,FALSE))</f>
        <v>0</v>
      </c>
      <c r="AI1354" s="16">
        <f>IF(ISERROR(VLOOKUP($A1354,'13. Updated Demand'!A:Z,26,FALSE)),0,VLOOKUP($A1354,'13. Updated Demand'!A:Z,26,FALSE))</f>
        <v>0</v>
      </c>
      <c r="AJ1354" s="16">
        <f t="shared" si="252"/>
        <v>0</v>
      </c>
      <c r="AK1354" s="19">
        <v>0</v>
      </c>
      <c r="AL1354" s="16">
        <f t="shared" si="264"/>
        <v>0</v>
      </c>
      <c r="AM1354" s="17">
        <v>0</v>
      </c>
      <c r="AN1354" s="19"/>
      <c r="AO1354" s="19"/>
      <c r="AP1354" s="19">
        <v>89.7</v>
      </c>
      <c r="AQ1354" s="19" t="s">
        <v>307</v>
      </c>
      <c r="AR1354" s="9" t="s">
        <v>1118</v>
      </c>
      <c r="AS1354" s="12">
        <v>0</v>
      </c>
      <c r="AT1354" s="19">
        <v>38.465330190000003</v>
      </c>
      <c r="AU1354" s="19">
        <v>-122.83895246</v>
      </c>
      <c r="AV1354" s="19" t="s">
        <v>1532</v>
      </c>
    </row>
    <row r="1355" spans="1:48" x14ac:dyDescent="0.25">
      <c r="A1355" s="18" t="s">
        <v>1720</v>
      </c>
      <c r="B1355" s="10">
        <v>19480527</v>
      </c>
      <c r="C1355" s="9">
        <v>11</v>
      </c>
      <c r="D1355" s="8" t="str">
        <f t="shared" si="255"/>
        <v>N</v>
      </c>
      <c r="E1355" s="8" t="str">
        <f t="shared" si="256"/>
        <v>Y</v>
      </c>
      <c r="F1355" s="8" t="str">
        <f t="shared" si="257"/>
        <v>Y</v>
      </c>
      <c r="G1355" s="8" t="str">
        <f t="shared" si="258"/>
        <v>Y</v>
      </c>
      <c r="H1355" s="8" t="str">
        <f t="shared" si="259"/>
        <v>Upper</v>
      </c>
      <c r="I1355" s="8" t="str">
        <f t="shared" si="260"/>
        <v>West Fork and Below Lake</v>
      </c>
      <c r="J1355" s="8" t="str">
        <f t="shared" si="261"/>
        <v>Sonoma (d/s of Clov. Gage)</v>
      </c>
      <c r="K1355" s="8" t="str">
        <f t="shared" si="262"/>
        <v>Pre-1949</v>
      </c>
      <c r="L1355" s="8">
        <f t="shared" si="263"/>
        <v>1948</v>
      </c>
      <c r="M1355" s="8" t="str">
        <f t="shared" si="265"/>
        <v>Pre-1949 + 1949</v>
      </c>
      <c r="N1355" s="10" t="s">
        <v>242</v>
      </c>
      <c r="O1355" s="10" t="s">
        <v>241</v>
      </c>
      <c r="P1355" s="10" t="s">
        <v>242</v>
      </c>
      <c r="Q1355" s="10" t="s">
        <v>241</v>
      </c>
      <c r="R1355" s="10" t="s">
        <v>242</v>
      </c>
      <c r="S1355" s="10" t="s">
        <v>242</v>
      </c>
      <c r="T1355" s="10" t="s">
        <v>242</v>
      </c>
      <c r="U1355" s="10" t="s">
        <v>241</v>
      </c>
      <c r="V1355" s="10" t="s">
        <v>241</v>
      </c>
      <c r="W1355" s="10" t="s">
        <v>242</v>
      </c>
      <c r="X1355" s="15">
        <f>IF(ISERROR(VLOOKUP($A1355,'13. Updated Demand'!A:Z,15,FALSE)),0,VLOOKUP($A1355,'13. Updated Demand'!A:Z,15,FALSE))</f>
        <v>0</v>
      </c>
      <c r="Y1355" s="16">
        <f>IF(ISERROR(VLOOKUP($A1355,'13. Updated Demand'!A:Z,16,FALSE)),0,VLOOKUP($A1355,'13. Updated Demand'!A:Z,16,FALSE))</f>
        <v>0</v>
      </c>
      <c r="Z1355" s="16">
        <f>IF(ISERROR(VLOOKUP($A1355,'13. Updated Demand'!A:Z,17,FALSE)),0,VLOOKUP($A1355,'13. Updated Demand'!A:Z,17,FALSE))</f>
        <v>0</v>
      </c>
      <c r="AA1355" s="16">
        <f>IF(ISERROR(VLOOKUP($A1355,'13. Updated Demand'!A:Z,18,FALSE)),0,VLOOKUP($A1355,'13. Updated Demand'!A:Z,18,FALSE))</f>
        <v>0</v>
      </c>
      <c r="AB1355" s="16">
        <f>IF(ISERROR(VLOOKUP($A1355,'13. Updated Demand'!A:Z,19,FALSE)),0,VLOOKUP($A1355,'13. Updated Demand'!A:Z,19,FALSE))</f>
        <v>0</v>
      </c>
      <c r="AC1355" s="16">
        <f>IF(ISERROR(VLOOKUP($A1355,'13. Updated Demand'!A:Z,20,FALSE)),0,VLOOKUP($A1355,'13. Updated Demand'!A:Z,20,FALSE))</f>
        <v>0</v>
      </c>
      <c r="AD1355" s="16">
        <f>IF(ISERROR(VLOOKUP($A1355,'13. Updated Demand'!A:Z,21,FALSE)),0,VLOOKUP($A1355,'13. Updated Demand'!A:Z,21,FALSE))</f>
        <v>0</v>
      </c>
      <c r="AE1355" s="16">
        <f>IF(ISERROR(VLOOKUP($A1355,'13. Updated Demand'!A:Z,22,FALSE)),0,VLOOKUP($A1355,'13. Updated Demand'!A:Z,22,FALSE))</f>
        <v>0</v>
      </c>
      <c r="AF1355" s="16">
        <f>IF(ISERROR(VLOOKUP($A1355,'13. Updated Demand'!A:Z,23,FALSE)),0,VLOOKUP($A1355,'13. Updated Demand'!A:Z,23,FALSE))</f>
        <v>0</v>
      </c>
      <c r="AG1355" s="16">
        <f>IF(ISERROR(VLOOKUP($A1355,'13. Updated Demand'!A:Z,24,FALSE)),0,VLOOKUP($A1355,'13. Updated Demand'!A:Z,24,FALSE))</f>
        <v>0</v>
      </c>
      <c r="AH1355" s="16">
        <f>IF(ISERROR(VLOOKUP($A1355,'13. Updated Demand'!A:Z,25,FALSE)),0,VLOOKUP($A1355,'13. Updated Demand'!A:Z,25,FALSE))</f>
        <v>0</v>
      </c>
      <c r="AI1355" s="16">
        <f>IF(ISERROR(VLOOKUP($A1355,'13. Updated Demand'!A:Z,26,FALSE)),0,VLOOKUP($A1355,'13. Updated Demand'!A:Z,26,FALSE))</f>
        <v>0</v>
      </c>
      <c r="AJ1355" s="16">
        <f t="shared" si="252"/>
        <v>0</v>
      </c>
      <c r="AK1355" s="19">
        <v>0</v>
      </c>
      <c r="AL1355" s="16">
        <f t="shared" si="264"/>
        <v>0</v>
      </c>
      <c r="AM1355" s="17">
        <v>0</v>
      </c>
      <c r="AN1355" s="19"/>
      <c r="AO1355" s="19"/>
      <c r="AP1355" s="19">
        <v>21.8</v>
      </c>
      <c r="AQ1355" s="19" t="s">
        <v>307</v>
      </c>
      <c r="AR1355" s="9" t="s">
        <v>308</v>
      </c>
      <c r="AS1355" s="12">
        <v>0</v>
      </c>
      <c r="AT1355" s="19">
        <v>38.659607899999997</v>
      </c>
      <c r="AU1355" s="19">
        <v>-122.73827274999999</v>
      </c>
      <c r="AV1355" s="19" t="s">
        <v>609</v>
      </c>
    </row>
    <row r="1356" spans="1:48" x14ac:dyDescent="0.25">
      <c r="A1356" s="18" t="s">
        <v>1721</v>
      </c>
      <c r="B1356" s="10">
        <v>19481103</v>
      </c>
      <c r="C1356" s="9">
        <v>23</v>
      </c>
      <c r="D1356" s="8" t="str">
        <f t="shared" si="255"/>
        <v>N</v>
      </c>
      <c r="E1356" s="8" t="str">
        <f t="shared" si="256"/>
        <v>N</v>
      </c>
      <c r="F1356" s="8" t="str">
        <f t="shared" si="257"/>
        <v>N</v>
      </c>
      <c r="G1356" s="8" t="str">
        <f t="shared" si="258"/>
        <v>N</v>
      </c>
      <c r="H1356" s="8" t="str">
        <f t="shared" si="259"/>
        <v>Lower</v>
      </c>
      <c r="I1356" s="8" t="str">
        <f t="shared" si="260"/>
        <v>Outside</v>
      </c>
      <c r="J1356" s="8" t="str">
        <f t="shared" si="261"/>
        <v>Outside</v>
      </c>
      <c r="K1356" s="8" t="str">
        <f t="shared" si="262"/>
        <v>Pre-1949</v>
      </c>
      <c r="L1356" s="8">
        <f t="shared" si="263"/>
        <v>1948</v>
      </c>
      <c r="M1356" s="8" t="str">
        <f t="shared" si="265"/>
        <v>Pre-1949 + 1949</v>
      </c>
      <c r="N1356" s="10" t="s">
        <v>242</v>
      </c>
      <c r="O1356" s="10" t="s">
        <v>242</v>
      </c>
      <c r="P1356" s="10" t="s">
        <v>242</v>
      </c>
      <c r="Q1356" s="10" t="s">
        <v>241</v>
      </c>
      <c r="R1356" s="10" t="s">
        <v>242</v>
      </c>
      <c r="S1356" s="10" t="s">
        <v>242</v>
      </c>
      <c r="T1356" s="10" t="s">
        <v>242</v>
      </c>
      <c r="U1356" s="10" t="s">
        <v>241</v>
      </c>
      <c r="V1356" s="10" t="s">
        <v>241</v>
      </c>
      <c r="W1356" s="10" t="s">
        <v>242</v>
      </c>
      <c r="X1356" s="15">
        <f>IF(ISERROR(VLOOKUP($A1356,'13. Updated Demand'!A:Z,15,FALSE)),0,VLOOKUP($A1356,'13. Updated Demand'!A:Z,15,FALSE))</f>
        <v>0</v>
      </c>
      <c r="Y1356" s="16">
        <f>IF(ISERROR(VLOOKUP($A1356,'13. Updated Demand'!A:Z,16,FALSE)),0,VLOOKUP($A1356,'13. Updated Demand'!A:Z,16,FALSE))</f>
        <v>0</v>
      </c>
      <c r="Z1356" s="16">
        <f>IF(ISERROR(VLOOKUP($A1356,'13. Updated Demand'!A:Z,17,FALSE)),0,VLOOKUP($A1356,'13. Updated Demand'!A:Z,17,FALSE))</f>
        <v>0</v>
      </c>
      <c r="AA1356" s="16">
        <f>IF(ISERROR(VLOOKUP($A1356,'13. Updated Demand'!A:Z,18,FALSE)),0,VLOOKUP($A1356,'13. Updated Demand'!A:Z,18,FALSE))</f>
        <v>0</v>
      </c>
      <c r="AB1356" s="16">
        <f>IF(ISERROR(VLOOKUP($A1356,'13. Updated Demand'!A:Z,19,FALSE)),0,VLOOKUP($A1356,'13. Updated Demand'!A:Z,19,FALSE))</f>
        <v>0</v>
      </c>
      <c r="AC1356" s="16">
        <f>IF(ISERROR(VLOOKUP($A1356,'13. Updated Demand'!A:Z,20,FALSE)),0,VLOOKUP($A1356,'13. Updated Demand'!A:Z,20,FALSE))</f>
        <v>0</v>
      </c>
      <c r="AD1356" s="16">
        <f>IF(ISERROR(VLOOKUP($A1356,'13. Updated Demand'!A:Z,21,FALSE)),0,VLOOKUP($A1356,'13. Updated Demand'!A:Z,21,FALSE))</f>
        <v>0</v>
      </c>
      <c r="AE1356" s="16">
        <f>IF(ISERROR(VLOOKUP($A1356,'13. Updated Demand'!A:Z,22,FALSE)),0,VLOOKUP($A1356,'13. Updated Demand'!A:Z,22,FALSE))</f>
        <v>0</v>
      </c>
      <c r="AF1356" s="16">
        <f>IF(ISERROR(VLOOKUP($A1356,'13. Updated Demand'!A:Z,23,FALSE)),0,VLOOKUP($A1356,'13. Updated Demand'!A:Z,23,FALSE))</f>
        <v>0</v>
      </c>
      <c r="AG1356" s="16">
        <f>IF(ISERROR(VLOOKUP($A1356,'13. Updated Demand'!A:Z,24,FALSE)),0,VLOOKUP($A1356,'13. Updated Demand'!A:Z,24,FALSE))</f>
        <v>0</v>
      </c>
      <c r="AH1356" s="16">
        <f>IF(ISERROR(VLOOKUP($A1356,'13. Updated Demand'!A:Z,25,FALSE)),0,VLOOKUP($A1356,'13. Updated Demand'!A:Z,25,FALSE))</f>
        <v>0</v>
      </c>
      <c r="AI1356" s="16">
        <f>IF(ISERROR(VLOOKUP($A1356,'13. Updated Demand'!A:Z,26,FALSE)),0,VLOOKUP($A1356,'13. Updated Demand'!A:Z,26,FALSE))</f>
        <v>0</v>
      </c>
      <c r="AJ1356" s="16">
        <f t="shared" si="252"/>
        <v>0</v>
      </c>
      <c r="AK1356" s="19">
        <v>0</v>
      </c>
      <c r="AL1356" s="16">
        <f t="shared" si="264"/>
        <v>0</v>
      </c>
      <c r="AM1356" s="17">
        <v>0</v>
      </c>
      <c r="AN1356" s="19"/>
      <c r="AO1356" s="19"/>
      <c r="AP1356" s="19">
        <v>6.3</v>
      </c>
      <c r="AQ1356" s="19" t="s">
        <v>307</v>
      </c>
      <c r="AR1356" s="9" t="s">
        <v>323</v>
      </c>
      <c r="AS1356" s="12">
        <v>0</v>
      </c>
      <c r="AT1356" s="19">
        <v>38.548200000000001</v>
      </c>
      <c r="AU1356" s="19">
        <v>-122.6691</v>
      </c>
      <c r="AV1356" s="19" t="s">
        <v>417</v>
      </c>
    </row>
    <row r="1357" spans="1:48" x14ac:dyDescent="0.25">
      <c r="A1357" s="18" t="s">
        <v>1722</v>
      </c>
      <c r="B1357" s="10">
        <v>19481223</v>
      </c>
      <c r="C1357" s="9">
        <v>18</v>
      </c>
      <c r="D1357" s="8" t="str">
        <f t="shared" si="255"/>
        <v>N</v>
      </c>
      <c r="E1357" s="8" t="str">
        <f t="shared" si="256"/>
        <v>N</v>
      </c>
      <c r="F1357" s="8" t="str">
        <f t="shared" si="257"/>
        <v>N</v>
      </c>
      <c r="G1357" s="8" t="str">
        <f t="shared" si="258"/>
        <v>N</v>
      </c>
      <c r="H1357" s="8" t="str">
        <f t="shared" si="259"/>
        <v>Lower</v>
      </c>
      <c r="I1357" s="8" t="str">
        <f t="shared" si="260"/>
        <v>Outside</v>
      </c>
      <c r="J1357" s="8" t="str">
        <f t="shared" si="261"/>
        <v>Outside</v>
      </c>
      <c r="K1357" s="8" t="str">
        <f t="shared" si="262"/>
        <v>Pre-1949</v>
      </c>
      <c r="L1357" s="8">
        <f t="shared" si="263"/>
        <v>1948</v>
      </c>
      <c r="M1357" s="8" t="str">
        <f t="shared" si="265"/>
        <v>Pre-1949 + 1949</v>
      </c>
      <c r="N1357" s="10" t="s">
        <v>242</v>
      </c>
      <c r="O1357" s="10" t="s">
        <v>242</v>
      </c>
      <c r="P1357" s="10" t="s">
        <v>242</v>
      </c>
      <c r="Q1357" s="10" t="s">
        <v>241</v>
      </c>
      <c r="R1357" s="10" t="s">
        <v>242</v>
      </c>
      <c r="S1357" s="10" t="s">
        <v>242</v>
      </c>
      <c r="T1357" s="10" t="s">
        <v>242</v>
      </c>
      <c r="U1357" s="10" t="s">
        <v>241</v>
      </c>
      <c r="V1357" s="10" t="s">
        <v>241</v>
      </c>
      <c r="W1357" s="10" t="s">
        <v>242</v>
      </c>
      <c r="X1357" s="15">
        <f>IF(ISERROR(VLOOKUP($A1357,'13. Updated Demand'!A:Z,15,FALSE)),0,VLOOKUP($A1357,'13. Updated Demand'!A:Z,15,FALSE))</f>
        <v>0</v>
      </c>
      <c r="Y1357" s="16">
        <f>IF(ISERROR(VLOOKUP($A1357,'13. Updated Demand'!A:Z,16,FALSE)),0,VLOOKUP($A1357,'13. Updated Demand'!A:Z,16,FALSE))</f>
        <v>0</v>
      </c>
      <c r="Z1357" s="16">
        <f>IF(ISERROR(VLOOKUP($A1357,'13. Updated Demand'!A:Z,17,FALSE)),0,VLOOKUP($A1357,'13. Updated Demand'!A:Z,17,FALSE))</f>
        <v>0</v>
      </c>
      <c r="AA1357" s="16">
        <f>IF(ISERROR(VLOOKUP($A1357,'13. Updated Demand'!A:Z,18,FALSE)),0,VLOOKUP($A1357,'13. Updated Demand'!A:Z,18,FALSE))</f>
        <v>0</v>
      </c>
      <c r="AB1357" s="16">
        <f>IF(ISERROR(VLOOKUP($A1357,'13. Updated Demand'!A:Z,19,FALSE)),0,VLOOKUP($A1357,'13. Updated Demand'!A:Z,19,FALSE))</f>
        <v>0</v>
      </c>
      <c r="AC1357" s="16">
        <f>IF(ISERROR(VLOOKUP($A1357,'13. Updated Demand'!A:Z,20,FALSE)),0,VLOOKUP($A1357,'13. Updated Demand'!A:Z,20,FALSE))</f>
        <v>0</v>
      </c>
      <c r="AD1357" s="16">
        <f>IF(ISERROR(VLOOKUP($A1357,'13. Updated Demand'!A:Z,21,FALSE)),0,VLOOKUP($A1357,'13. Updated Demand'!A:Z,21,FALSE))</f>
        <v>0</v>
      </c>
      <c r="AE1357" s="16">
        <f>IF(ISERROR(VLOOKUP($A1357,'13. Updated Demand'!A:Z,22,FALSE)),0,VLOOKUP($A1357,'13. Updated Demand'!A:Z,22,FALSE))</f>
        <v>0</v>
      </c>
      <c r="AF1357" s="16">
        <f>IF(ISERROR(VLOOKUP($A1357,'13. Updated Demand'!A:Z,23,FALSE)),0,VLOOKUP($A1357,'13. Updated Demand'!A:Z,23,FALSE))</f>
        <v>0</v>
      </c>
      <c r="AG1357" s="16">
        <f>IF(ISERROR(VLOOKUP($A1357,'13. Updated Demand'!A:Z,24,FALSE)),0,VLOOKUP($A1357,'13. Updated Demand'!A:Z,24,FALSE))</f>
        <v>0</v>
      </c>
      <c r="AH1357" s="16">
        <f>IF(ISERROR(VLOOKUP($A1357,'13. Updated Demand'!A:Z,25,FALSE)),0,VLOOKUP($A1357,'13. Updated Demand'!A:Z,25,FALSE))</f>
        <v>0</v>
      </c>
      <c r="AI1357" s="16">
        <f>IF(ISERROR(VLOOKUP($A1357,'13. Updated Demand'!A:Z,26,FALSE)),0,VLOOKUP($A1357,'13. Updated Demand'!A:Z,26,FALSE))</f>
        <v>0</v>
      </c>
      <c r="AJ1357" s="16">
        <f t="shared" si="252"/>
        <v>0</v>
      </c>
      <c r="AK1357" s="19">
        <v>0</v>
      </c>
      <c r="AL1357" s="16">
        <f t="shared" si="264"/>
        <v>0</v>
      </c>
      <c r="AM1357" s="17">
        <v>0</v>
      </c>
      <c r="AN1357" s="19"/>
      <c r="AO1357" s="19"/>
      <c r="AP1357" s="19">
        <v>14.6</v>
      </c>
      <c r="AQ1357" s="19" t="s">
        <v>307</v>
      </c>
      <c r="AR1357" s="9" t="s">
        <v>352</v>
      </c>
      <c r="AS1357" s="12">
        <v>0</v>
      </c>
      <c r="AT1357" s="19">
        <v>38.46353122</v>
      </c>
      <c r="AU1357" s="19">
        <v>-122.89586199999999</v>
      </c>
      <c r="AV1357" s="19" t="s">
        <v>417</v>
      </c>
    </row>
    <row r="1358" spans="1:48" x14ac:dyDescent="0.25">
      <c r="A1358" s="18" t="s">
        <v>1723</v>
      </c>
      <c r="B1358" s="10">
        <v>19470428</v>
      </c>
      <c r="C1358" s="9">
        <v>9</v>
      </c>
      <c r="D1358" s="8" t="str">
        <f t="shared" si="255"/>
        <v>N</v>
      </c>
      <c r="E1358" s="8" t="str">
        <f t="shared" si="256"/>
        <v>Y</v>
      </c>
      <c r="F1358" s="8" t="str">
        <f t="shared" si="257"/>
        <v>Y</v>
      </c>
      <c r="G1358" s="8" t="str">
        <f t="shared" si="258"/>
        <v>Y</v>
      </c>
      <c r="H1358" s="8" t="str">
        <f t="shared" si="259"/>
        <v>Upper</v>
      </c>
      <c r="I1358" s="8" t="str">
        <f t="shared" si="260"/>
        <v>West Fork and Below Lake</v>
      </c>
      <c r="J1358" s="8" t="str">
        <f t="shared" si="261"/>
        <v>Sonoma (d/s of Clov. Gage)</v>
      </c>
      <c r="K1358" s="8" t="str">
        <f t="shared" si="262"/>
        <v>Pre-1949</v>
      </c>
      <c r="L1358" s="8">
        <f t="shared" si="263"/>
        <v>1947</v>
      </c>
      <c r="M1358" s="8" t="str">
        <f t="shared" si="265"/>
        <v>Pre-1949 + 1949</v>
      </c>
      <c r="N1358" s="10" t="s">
        <v>241</v>
      </c>
      <c r="O1358" s="10" t="s">
        <v>241</v>
      </c>
      <c r="P1358" s="10" t="s">
        <v>242</v>
      </c>
      <c r="Q1358" s="10" t="s">
        <v>241</v>
      </c>
      <c r="R1358" s="10" t="s">
        <v>242</v>
      </c>
      <c r="S1358" s="10" t="s">
        <v>242</v>
      </c>
      <c r="T1358" s="10" t="s">
        <v>242</v>
      </c>
      <c r="U1358" s="10" t="s">
        <v>242</v>
      </c>
      <c r="V1358" s="10" t="s">
        <v>242</v>
      </c>
      <c r="W1358" s="10" t="s">
        <v>242</v>
      </c>
      <c r="X1358" s="15">
        <f>IF(ISERROR(VLOOKUP($A1358,'13. Updated Demand'!A:Z,15,FALSE)),0,VLOOKUP($A1358,'13. Updated Demand'!A:Z,15,FALSE))</f>
        <v>0</v>
      </c>
      <c r="Y1358" s="16">
        <f>IF(ISERROR(VLOOKUP($A1358,'13. Updated Demand'!A:Z,16,FALSE)),0,VLOOKUP($A1358,'13. Updated Demand'!A:Z,16,FALSE))</f>
        <v>0</v>
      </c>
      <c r="Z1358" s="16">
        <f>IF(ISERROR(VLOOKUP($A1358,'13. Updated Demand'!A:Z,17,FALSE)),0,VLOOKUP($A1358,'13. Updated Demand'!A:Z,17,FALSE))</f>
        <v>0.66</v>
      </c>
      <c r="AA1358" s="16">
        <f>IF(ISERROR(VLOOKUP($A1358,'13. Updated Demand'!A:Z,18,FALSE)),0,VLOOKUP($A1358,'13. Updated Demand'!A:Z,18,FALSE))</f>
        <v>2.5</v>
      </c>
      <c r="AB1358" s="16">
        <f>IF(ISERROR(VLOOKUP($A1358,'13. Updated Demand'!A:Z,19,FALSE)),0,VLOOKUP($A1358,'13. Updated Demand'!A:Z,19,FALSE))</f>
        <v>3</v>
      </c>
      <c r="AC1358" s="16">
        <f>IF(ISERROR(VLOOKUP($A1358,'13. Updated Demand'!A:Z,20,FALSE)),0,VLOOKUP($A1358,'13. Updated Demand'!A:Z,20,FALSE))</f>
        <v>3.33</v>
      </c>
      <c r="AD1358" s="16">
        <f>IF(ISERROR(VLOOKUP($A1358,'13. Updated Demand'!A:Z,21,FALSE)),0,VLOOKUP($A1358,'13. Updated Demand'!A:Z,21,FALSE))</f>
        <v>3.66</v>
      </c>
      <c r="AE1358" s="16">
        <f>IF(ISERROR(VLOOKUP($A1358,'13. Updated Demand'!A:Z,22,FALSE)),0,VLOOKUP($A1358,'13. Updated Demand'!A:Z,22,FALSE))</f>
        <v>4.33</v>
      </c>
      <c r="AF1358" s="16">
        <f>IF(ISERROR(VLOOKUP($A1358,'13. Updated Demand'!A:Z,23,FALSE)),0,VLOOKUP($A1358,'13. Updated Demand'!A:Z,23,FALSE))</f>
        <v>2.66</v>
      </c>
      <c r="AG1358" s="16">
        <f>IF(ISERROR(VLOOKUP($A1358,'13. Updated Demand'!A:Z,24,FALSE)),0,VLOOKUP($A1358,'13. Updated Demand'!A:Z,24,FALSE))</f>
        <v>3.33</v>
      </c>
      <c r="AH1358" s="16">
        <f>IF(ISERROR(VLOOKUP($A1358,'13. Updated Demand'!A:Z,25,FALSE)),0,VLOOKUP($A1358,'13. Updated Demand'!A:Z,25,FALSE))</f>
        <v>2.33</v>
      </c>
      <c r="AI1358" s="16">
        <f>IF(ISERROR(VLOOKUP($A1358,'13. Updated Demand'!A:Z,26,FALSE)),0,VLOOKUP($A1358,'13. Updated Demand'!A:Z,26,FALSE))</f>
        <v>0</v>
      </c>
      <c r="AJ1358" s="16">
        <f t="shared" si="252"/>
        <v>25.799999999999997</v>
      </c>
      <c r="AK1358" s="19">
        <v>17</v>
      </c>
      <c r="AL1358" s="16">
        <f t="shared" si="264"/>
        <v>5.6387063518023653E-2</v>
      </c>
      <c r="AM1358" s="17">
        <v>0.24325172630257366</v>
      </c>
      <c r="AN1358" s="19"/>
      <c r="AO1358" s="19"/>
      <c r="AP1358" s="19">
        <v>106.2</v>
      </c>
      <c r="AQ1358" s="19" t="s">
        <v>307</v>
      </c>
      <c r="AR1358" s="9" t="s">
        <v>354</v>
      </c>
      <c r="AS1358" s="12">
        <v>0</v>
      </c>
      <c r="AT1358" s="19">
        <v>38.836282339999997</v>
      </c>
      <c r="AU1358" s="19">
        <v>-123.01536531000001</v>
      </c>
      <c r="AV1358" s="19" t="s">
        <v>387</v>
      </c>
    </row>
    <row r="1359" spans="1:48" x14ac:dyDescent="0.25">
      <c r="A1359" s="18" t="s">
        <v>1724</v>
      </c>
      <c r="B1359" s="10">
        <v>19470507</v>
      </c>
      <c r="C1359" s="9">
        <v>23</v>
      </c>
      <c r="D1359" s="8" t="str">
        <f t="shared" si="255"/>
        <v>N</v>
      </c>
      <c r="E1359" s="8" t="str">
        <f t="shared" si="256"/>
        <v>N</v>
      </c>
      <c r="F1359" s="8" t="str">
        <f t="shared" si="257"/>
        <v>N</v>
      </c>
      <c r="G1359" s="8" t="str">
        <f t="shared" si="258"/>
        <v>N</v>
      </c>
      <c r="H1359" s="8" t="str">
        <f t="shared" si="259"/>
        <v>Lower</v>
      </c>
      <c r="I1359" s="8" t="str">
        <f t="shared" si="260"/>
        <v>Outside</v>
      </c>
      <c r="J1359" s="8" t="str">
        <f t="shared" si="261"/>
        <v>Outside</v>
      </c>
      <c r="K1359" s="8" t="str">
        <f t="shared" si="262"/>
        <v>Pre-1949</v>
      </c>
      <c r="L1359" s="8">
        <f t="shared" si="263"/>
        <v>1947</v>
      </c>
      <c r="M1359" s="8" t="str">
        <f t="shared" si="265"/>
        <v>Pre-1949 + 1949</v>
      </c>
      <c r="N1359" s="10" t="s">
        <v>242</v>
      </c>
      <c r="O1359" s="10" t="s">
        <v>242</v>
      </c>
      <c r="P1359" s="10" t="s">
        <v>242</v>
      </c>
      <c r="Q1359" s="10" t="s">
        <v>241</v>
      </c>
      <c r="R1359" s="10" t="s">
        <v>242</v>
      </c>
      <c r="S1359" s="10" t="s">
        <v>242</v>
      </c>
      <c r="T1359" s="10" t="s">
        <v>241</v>
      </c>
      <c r="U1359" s="10" t="s">
        <v>241</v>
      </c>
      <c r="V1359" s="10" t="s">
        <v>241</v>
      </c>
      <c r="W1359" s="10" t="s">
        <v>242</v>
      </c>
      <c r="X1359" s="15">
        <f>IF(ISERROR(VLOOKUP($A1359,'13. Updated Demand'!A:Z,15,FALSE)),0,VLOOKUP($A1359,'13. Updated Demand'!A:Z,15,FALSE))</f>
        <v>0</v>
      </c>
      <c r="Y1359" s="16">
        <f>IF(ISERROR(VLOOKUP($A1359,'13. Updated Demand'!A:Z,16,FALSE)),0,VLOOKUP($A1359,'13. Updated Demand'!A:Z,16,FALSE))</f>
        <v>0</v>
      </c>
      <c r="Z1359" s="16">
        <f>IF(ISERROR(VLOOKUP($A1359,'13. Updated Demand'!A:Z,17,FALSE)),0,VLOOKUP($A1359,'13. Updated Demand'!A:Z,17,FALSE))</f>
        <v>0</v>
      </c>
      <c r="AA1359" s="16">
        <f>IF(ISERROR(VLOOKUP($A1359,'13. Updated Demand'!A:Z,18,FALSE)),0,VLOOKUP($A1359,'13. Updated Demand'!A:Z,18,FALSE))</f>
        <v>0</v>
      </c>
      <c r="AB1359" s="16">
        <f>IF(ISERROR(VLOOKUP($A1359,'13. Updated Demand'!A:Z,19,FALSE)),0,VLOOKUP($A1359,'13. Updated Demand'!A:Z,19,FALSE))</f>
        <v>0</v>
      </c>
      <c r="AC1359" s="16">
        <f>IF(ISERROR(VLOOKUP($A1359,'13. Updated Demand'!A:Z,20,FALSE)),0,VLOOKUP($A1359,'13. Updated Demand'!A:Z,20,FALSE))</f>
        <v>0</v>
      </c>
      <c r="AD1359" s="16">
        <f>IF(ISERROR(VLOOKUP($A1359,'13. Updated Demand'!A:Z,21,FALSE)),0,VLOOKUP($A1359,'13. Updated Demand'!A:Z,21,FALSE))</f>
        <v>0</v>
      </c>
      <c r="AE1359" s="16">
        <f>IF(ISERROR(VLOOKUP($A1359,'13. Updated Demand'!A:Z,22,FALSE)),0,VLOOKUP($A1359,'13. Updated Demand'!A:Z,22,FALSE))</f>
        <v>0</v>
      </c>
      <c r="AF1359" s="16">
        <f>IF(ISERROR(VLOOKUP($A1359,'13. Updated Demand'!A:Z,23,FALSE)),0,VLOOKUP($A1359,'13. Updated Demand'!A:Z,23,FALSE))</f>
        <v>0</v>
      </c>
      <c r="AG1359" s="16">
        <f>IF(ISERROR(VLOOKUP($A1359,'13. Updated Demand'!A:Z,24,FALSE)),0,VLOOKUP($A1359,'13. Updated Demand'!A:Z,24,FALSE))</f>
        <v>0</v>
      </c>
      <c r="AH1359" s="16">
        <f>IF(ISERROR(VLOOKUP($A1359,'13. Updated Demand'!A:Z,25,FALSE)),0,VLOOKUP($A1359,'13. Updated Demand'!A:Z,25,FALSE))</f>
        <v>0</v>
      </c>
      <c r="AI1359" s="16">
        <f>IF(ISERROR(VLOOKUP($A1359,'13. Updated Demand'!A:Z,26,FALSE)),0,VLOOKUP($A1359,'13. Updated Demand'!A:Z,26,FALSE))</f>
        <v>0</v>
      </c>
      <c r="AJ1359" s="16">
        <f t="shared" si="252"/>
        <v>0</v>
      </c>
      <c r="AK1359" s="19">
        <v>0</v>
      </c>
      <c r="AL1359" s="16">
        <f t="shared" si="264"/>
        <v>0</v>
      </c>
      <c r="AM1359" s="17">
        <v>0</v>
      </c>
      <c r="AN1359" s="19"/>
      <c r="AO1359" s="19"/>
      <c r="AP1359" s="19">
        <v>7.1</v>
      </c>
      <c r="AQ1359" s="19" t="s">
        <v>307</v>
      </c>
      <c r="AR1359" s="9" t="s">
        <v>323</v>
      </c>
      <c r="AS1359" s="12">
        <v>3.4039024194010059E-4</v>
      </c>
      <c r="AT1359" s="19">
        <v>38.490239160000002</v>
      </c>
      <c r="AU1359" s="19">
        <v>-122.63554993</v>
      </c>
      <c r="AV1359" s="19" t="s">
        <v>417</v>
      </c>
    </row>
    <row r="1360" spans="1:48" x14ac:dyDescent="0.25">
      <c r="A1360" s="18" t="s">
        <v>1725</v>
      </c>
      <c r="B1360" s="10">
        <v>19470922</v>
      </c>
      <c r="C1360" s="9">
        <v>23</v>
      </c>
      <c r="D1360" s="8" t="str">
        <f t="shared" si="255"/>
        <v>N</v>
      </c>
      <c r="E1360" s="8" t="str">
        <f t="shared" si="256"/>
        <v>N</v>
      </c>
      <c r="F1360" s="8" t="str">
        <f t="shared" si="257"/>
        <v>N</v>
      </c>
      <c r="G1360" s="8" t="str">
        <f t="shared" si="258"/>
        <v>N</v>
      </c>
      <c r="H1360" s="8" t="str">
        <f t="shared" si="259"/>
        <v>Lower</v>
      </c>
      <c r="I1360" s="8" t="str">
        <f t="shared" si="260"/>
        <v>Outside</v>
      </c>
      <c r="J1360" s="8" t="str">
        <f t="shared" si="261"/>
        <v>Outside</v>
      </c>
      <c r="K1360" s="8" t="str">
        <f t="shared" si="262"/>
        <v>Pre-1949</v>
      </c>
      <c r="L1360" s="8">
        <f t="shared" si="263"/>
        <v>1947</v>
      </c>
      <c r="M1360" s="8" t="str">
        <f t="shared" si="265"/>
        <v>Pre-1949 + 1949</v>
      </c>
      <c r="N1360" s="10" t="s">
        <v>242</v>
      </c>
      <c r="O1360" s="10" t="s">
        <v>242</v>
      </c>
      <c r="P1360" s="10" t="s">
        <v>242</v>
      </c>
      <c r="Q1360" s="10" t="s">
        <v>241</v>
      </c>
      <c r="R1360" s="10" t="s">
        <v>242</v>
      </c>
      <c r="S1360" s="10" t="s">
        <v>242</v>
      </c>
      <c r="T1360" s="10" t="s">
        <v>242</v>
      </c>
      <c r="U1360" s="10" t="s">
        <v>242</v>
      </c>
      <c r="V1360" s="10" t="s">
        <v>241</v>
      </c>
      <c r="W1360" s="10" t="s">
        <v>242</v>
      </c>
      <c r="X1360" s="15">
        <f>IF(ISERROR(VLOOKUP($A1360,'13. Updated Demand'!A:Z,15,FALSE)),0,VLOOKUP($A1360,'13. Updated Demand'!A:Z,15,FALSE))</f>
        <v>3</v>
      </c>
      <c r="Y1360" s="16">
        <f>IF(ISERROR(VLOOKUP($A1360,'13. Updated Demand'!A:Z,16,FALSE)),0,VLOOKUP($A1360,'13. Updated Demand'!A:Z,16,FALSE))</f>
        <v>2</v>
      </c>
      <c r="Z1360" s="16">
        <f>IF(ISERROR(VLOOKUP($A1360,'13. Updated Demand'!A:Z,17,FALSE)),0,VLOOKUP($A1360,'13. Updated Demand'!A:Z,17,FALSE))</f>
        <v>1</v>
      </c>
      <c r="AA1360" s="16">
        <f>IF(ISERROR(VLOOKUP($A1360,'13. Updated Demand'!A:Z,18,FALSE)),0,VLOOKUP($A1360,'13. Updated Demand'!A:Z,18,FALSE))</f>
        <v>1</v>
      </c>
      <c r="AB1360" s="16">
        <f>IF(ISERROR(VLOOKUP($A1360,'13. Updated Demand'!A:Z,19,FALSE)),0,VLOOKUP($A1360,'13. Updated Demand'!A:Z,19,FALSE))</f>
        <v>0</v>
      </c>
      <c r="AC1360" s="16">
        <f>IF(ISERROR(VLOOKUP($A1360,'13. Updated Demand'!A:Z,20,FALSE)),0,VLOOKUP($A1360,'13. Updated Demand'!A:Z,20,FALSE))</f>
        <v>0</v>
      </c>
      <c r="AD1360" s="16">
        <f>IF(ISERROR(VLOOKUP($A1360,'13. Updated Demand'!A:Z,21,FALSE)),0,VLOOKUP($A1360,'13. Updated Demand'!A:Z,21,FALSE))</f>
        <v>0</v>
      </c>
      <c r="AE1360" s="16">
        <f>IF(ISERROR(VLOOKUP($A1360,'13. Updated Demand'!A:Z,22,FALSE)),0,VLOOKUP($A1360,'13. Updated Demand'!A:Z,22,FALSE))</f>
        <v>0</v>
      </c>
      <c r="AF1360" s="16">
        <f>IF(ISERROR(VLOOKUP($A1360,'13. Updated Demand'!A:Z,23,FALSE)),0,VLOOKUP($A1360,'13. Updated Demand'!A:Z,23,FALSE))</f>
        <v>0</v>
      </c>
      <c r="AG1360" s="16">
        <f>IF(ISERROR(VLOOKUP($A1360,'13. Updated Demand'!A:Z,24,FALSE)),0,VLOOKUP($A1360,'13. Updated Demand'!A:Z,24,FALSE))</f>
        <v>1</v>
      </c>
      <c r="AH1360" s="16">
        <f>IF(ISERROR(VLOOKUP($A1360,'13. Updated Demand'!A:Z,25,FALSE)),0,VLOOKUP($A1360,'13. Updated Demand'!A:Z,25,FALSE))</f>
        <v>1</v>
      </c>
      <c r="AI1360" s="16">
        <f>IF(ISERROR(VLOOKUP($A1360,'13. Updated Demand'!A:Z,26,FALSE)),0,VLOOKUP($A1360,'13. Updated Demand'!A:Z,26,FALSE))</f>
        <v>2</v>
      </c>
      <c r="AJ1360" s="16">
        <f t="shared" ref="AJ1360:AJ1423" si="266">SUM(X1360:AI1360)</f>
        <v>11</v>
      </c>
      <c r="AK1360" s="19">
        <v>0</v>
      </c>
      <c r="AL1360" s="16">
        <f t="shared" si="264"/>
        <v>0</v>
      </c>
      <c r="AM1360" s="17">
        <v>1</v>
      </c>
      <c r="AN1360" s="19"/>
      <c r="AO1360" s="19"/>
      <c r="AP1360" s="19">
        <v>11</v>
      </c>
      <c r="AQ1360" s="19" t="s">
        <v>307</v>
      </c>
      <c r="AR1360" s="9" t="s">
        <v>378</v>
      </c>
      <c r="AS1360" s="12">
        <v>3.4039024194010059E-4</v>
      </c>
      <c r="AT1360" s="19">
        <v>38.393955429999998</v>
      </c>
      <c r="AU1360" s="19">
        <v>-122.66679653</v>
      </c>
      <c r="AV1360" s="19" t="s">
        <v>417</v>
      </c>
    </row>
    <row r="1361" spans="1:48" x14ac:dyDescent="0.25">
      <c r="A1361" s="18" t="s">
        <v>1726</v>
      </c>
      <c r="B1361" s="10">
        <v>19471224</v>
      </c>
      <c r="C1361" s="9">
        <v>23</v>
      </c>
      <c r="D1361" s="8" t="str">
        <f t="shared" si="255"/>
        <v>N</v>
      </c>
      <c r="E1361" s="8" t="str">
        <f t="shared" si="256"/>
        <v>N</v>
      </c>
      <c r="F1361" s="8" t="str">
        <f t="shared" si="257"/>
        <v>N</v>
      </c>
      <c r="G1361" s="8" t="str">
        <f t="shared" si="258"/>
        <v>N</v>
      </c>
      <c r="H1361" s="8" t="str">
        <f t="shared" si="259"/>
        <v>Lower</v>
      </c>
      <c r="I1361" s="8" t="str">
        <f t="shared" si="260"/>
        <v>Outside</v>
      </c>
      <c r="J1361" s="8" t="str">
        <f t="shared" si="261"/>
        <v>Outside</v>
      </c>
      <c r="K1361" s="8" t="str">
        <f t="shared" si="262"/>
        <v>Pre-1949</v>
      </c>
      <c r="L1361" s="8">
        <f t="shared" si="263"/>
        <v>1947</v>
      </c>
      <c r="M1361" s="8" t="str">
        <f t="shared" si="265"/>
        <v>Pre-1949 + 1949</v>
      </c>
      <c r="N1361" s="10" t="s">
        <v>242</v>
      </c>
      <c r="O1361" s="10" t="s">
        <v>242</v>
      </c>
      <c r="P1361" s="10" t="s">
        <v>242</v>
      </c>
      <c r="Q1361" s="10" t="s">
        <v>241</v>
      </c>
      <c r="R1361" s="10" t="s">
        <v>242</v>
      </c>
      <c r="S1361" s="10" t="s">
        <v>242</v>
      </c>
      <c r="T1361" s="10" t="s">
        <v>242</v>
      </c>
      <c r="U1361" s="10" t="s">
        <v>241</v>
      </c>
      <c r="V1361" s="10" t="s">
        <v>241</v>
      </c>
      <c r="W1361" s="10" t="s">
        <v>242</v>
      </c>
      <c r="X1361" s="15">
        <f>IF(ISERROR(VLOOKUP($A1361,'13. Updated Demand'!A:Z,15,FALSE)),0,VLOOKUP($A1361,'13. Updated Demand'!A:Z,15,FALSE))</f>
        <v>0</v>
      </c>
      <c r="Y1361" s="16">
        <f>IF(ISERROR(VLOOKUP($A1361,'13. Updated Demand'!A:Z,16,FALSE)),0,VLOOKUP($A1361,'13. Updated Demand'!A:Z,16,FALSE))</f>
        <v>0</v>
      </c>
      <c r="Z1361" s="16">
        <f>IF(ISERROR(VLOOKUP($A1361,'13. Updated Demand'!A:Z,17,FALSE)),0,VLOOKUP($A1361,'13. Updated Demand'!A:Z,17,FALSE))</f>
        <v>0</v>
      </c>
      <c r="AA1361" s="16">
        <f>IF(ISERROR(VLOOKUP($A1361,'13. Updated Demand'!A:Z,18,FALSE)),0,VLOOKUP($A1361,'13. Updated Demand'!A:Z,18,FALSE))</f>
        <v>0</v>
      </c>
      <c r="AB1361" s="16">
        <f>IF(ISERROR(VLOOKUP($A1361,'13. Updated Demand'!A:Z,19,FALSE)),0,VLOOKUP($A1361,'13. Updated Demand'!A:Z,19,FALSE))</f>
        <v>0</v>
      </c>
      <c r="AC1361" s="16">
        <f>IF(ISERROR(VLOOKUP($A1361,'13. Updated Demand'!A:Z,20,FALSE)),0,VLOOKUP($A1361,'13. Updated Demand'!A:Z,20,FALSE))</f>
        <v>0</v>
      </c>
      <c r="AD1361" s="16">
        <f>IF(ISERROR(VLOOKUP($A1361,'13. Updated Demand'!A:Z,21,FALSE)),0,VLOOKUP($A1361,'13. Updated Demand'!A:Z,21,FALSE))</f>
        <v>0</v>
      </c>
      <c r="AE1361" s="16">
        <f>IF(ISERROR(VLOOKUP($A1361,'13. Updated Demand'!A:Z,22,FALSE)),0,VLOOKUP($A1361,'13. Updated Demand'!A:Z,22,FALSE))</f>
        <v>0</v>
      </c>
      <c r="AF1361" s="16">
        <f>IF(ISERROR(VLOOKUP($A1361,'13. Updated Demand'!A:Z,23,FALSE)),0,VLOOKUP($A1361,'13. Updated Demand'!A:Z,23,FALSE))</f>
        <v>0</v>
      </c>
      <c r="AG1361" s="16">
        <f>IF(ISERROR(VLOOKUP($A1361,'13. Updated Demand'!A:Z,24,FALSE)),0,VLOOKUP($A1361,'13. Updated Demand'!A:Z,24,FALSE))</f>
        <v>0</v>
      </c>
      <c r="AH1361" s="16">
        <f>IF(ISERROR(VLOOKUP($A1361,'13. Updated Demand'!A:Z,25,FALSE)),0,VLOOKUP($A1361,'13. Updated Demand'!A:Z,25,FALSE))</f>
        <v>0</v>
      </c>
      <c r="AI1361" s="16">
        <f>IF(ISERROR(VLOOKUP($A1361,'13. Updated Demand'!A:Z,26,FALSE)),0,VLOOKUP($A1361,'13. Updated Demand'!A:Z,26,FALSE))</f>
        <v>0</v>
      </c>
      <c r="AJ1361" s="16">
        <f t="shared" si="266"/>
        <v>0</v>
      </c>
      <c r="AK1361" s="19">
        <v>0</v>
      </c>
      <c r="AL1361" s="16">
        <f t="shared" si="264"/>
        <v>0</v>
      </c>
      <c r="AM1361" s="17">
        <v>0</v>
      </c>
      <c r="AN1361" s="19"/>
      <c r="AO1361" s="19"/>
      <c r="AP1361" s="19">
        <v>2.2000000000000002</v>
      </c>
      <c r="AQ1361" s="19" t="s">
        <v>307</v>
      </c>
      <c r="AR1361" s="9" t="s">
        <v>323</v>
      </c>
      <c r="AS1361" s="12">
        <v>3.4039024194010059E-4</v>
      </c>
      <c r="AT1361" s="19">
        <v>38.520329480000001</v>
      </c>
      <c r="AU1361" s="19">
        <v>-122.60575768</v>
      </c>
      <c r="AV1361" s="19" t="s">
        <v>430</v>
      </c>
    </row>
    <row r="1362" spans="1:48" x14ac:dyDescent="0.25">
      <c r="A1362" s="18" t="s">
        <v>1727</v>
      </c>
      <c r="B1362" s="10">
        <v>19460313</v>
      </c>
      <c r="C1362" s="9">
        <v>18</v>
      </c>
      <c r="D1362" s="8" t="str">
        <f t="shared" si="255"/>
        <v>N</v>
      </c>
      <c r="E1362" s="8" t="str">
        <f t="shared" si="256"/>
        <v>N</v>
      </c>
      <c r="F1362" s="8" t="str">
        <f t="shared" si="257"/>
        <v>N</v>
      </c>
      <c r="G1362" s="8" t="str">
        <f t="shared" si="258"/>
        <v>N</v>
      </c>
      <c r="H1362" s="8" t="str">
        <f t="shared" si="259"/>
        <v>Lower</v>
      </c>
      <c r="I1362" s="8" t="str">
        <f t="shared" si="260"/>
        <v>Outside</v>
      </c>
      <c r="J1362" s="8" t="str">
        <f t="shared" si="261"/>
        <v>Outside</v>
      </c>
      <c r="K1362" s="8" t="str">
        <f t="shared" si="262"/>
        <v>Pre-1949</v>
      </c>
      <c r="L1362" s="8">
        <f t="shared" si="263"/>
        <v>1946</v>
      </c>
      <c r="M1362" s="8" t="str">
        <f t="shared" si="265"/>
        <v>Pre-1949 + 1949</v>
      </c>
      <c r="N1362" s="10" t="s">
        <v>242</v>
      </c>
      <c r="O1362" s="10" t="s">
        <v>242</v>
      </c>
      <c r="P1362" s="10" t="s">
        <v>242</v>
      </c>
      <c r="Q1362" s="10" t="s">
        <v>241</v>
      </c>
      <c r="R1362" s="10" t="s">
        <v>242</v>
      </c>
      <c r="S1362" s="10" t="s">
        <v>242</v>
      </c>
      <c r="T1362" s="10" t="s">
        <v>242</v>
      </c>
      <c r="U1362" s="10" t="s">
        <v>242</v>
      </c>
      <c r="V1362" s="10" t="s">
        <v>242</v>
      </c>
      <c r="W1362" s="10" t="s">
        <v>242</v>
      </c>
      <c r="X1362" s="15">
        <f>IF(ISERROR(VLOOKUP($A1362,'13. Updated Demand'!A:Z,15,FALSE)),0,VLOOKUP($A1362,'13. Updated Demand'!A:Z,15,FALSE))</f>
        <v>0</v>
      </c>
      <c r="Y1362" s="16">
        <f>IF(ISERROR(VLOOKUP($A1362,'13. Updated Demand'!A:Z,16,FALSE)),0,VLOOKUP($A1362,'13. Updated Demand'!A:Z,16,FALSE))</f>
        <v>0</v>
      </c>
      <c r="Z1362" s="16">
        <f>IF(ISERROR(VLOOKUP($A1362,'13. Updated Demand'!A:Z,17,FALSE)),0,VLOOKUP($A1362,'13. Updated Demand'!A:Z,17,FALSE))</f>
        <v>0</v>
      </c>
      <c r="AA1362" s="16">
        <f>IF(ISERROR(VLOOKUP($A1362,'13. Updated Demand'!A:Z,18,FALSE)),0,VLOOKUP($A1362,'13. Updated Demand'!A:Z,18,FALSE))</f>
        <v>0</v>
      </c>
      <c r="AB1362" s="16">
        <f>IF(ISERROR(VLOOKUP($A1362,'13. Updated Demand'!A:Z,19,FALSE)),0,VLOOKUP($A1362,'13. Updated Demand'!A:Z,19,FALSE))</f>
        <v>7.1379333000000003E-2</v>
      </c>
      <c r="AC1362" s="16">
        <f>IF(ISERROR(VLOOKUP($A1362,'13. Updated Demand'!A:Z,20,FALSE)),0,VLOOKUP($A1362,'13. Updated Demand'!A:Z,20,FALSE))</f>
        <v>0.204295333</v>
      </c>
      <c r="AD1362" s="16">
        <f>IF(ISERROR(VLOOKUP($A1362,'13. Updated Demand'!A:Z,21,FALSE)),0,VLOOKUP($A1362,'13. Updated Demand'!A:Z,21,FALSE))</f>
        <v>0.24039033300000001</v>
      </c>
      <c r="AE1362" s="16">
        <f>IF(ISERROR(VLOOKUP($A1362,'13. Updated Demand'!A:Z,22,FALSE)),0,VLOOKUP($A1362,'13. Updated Demand'!A:Z,22,FALSE))</f>
        <v>0.47015933300000001</v>
      </c>
      <c r="AF1362" s="16">
        <f>IF(ISERROR(VLOOKUP($A1362,'13. Updated Demand'!A:Z,23,FALSE)),0,VLOOKUP($A1362,'13. Updated Demand'!A:Z,23,FALSE))</f>
        <v>0.110238</v>
      </c>
      <c r="AG1362" s="16">
        <f>IF(ISERROR(VLOOKUP($A1362,'13. Updated Demand'!A:Z,24,FALSE)),0,VLOOKUP($A1362,'13. Updated Demand'!A:Z,24,FALSE))</f>
        <v>3.2761332999999997E-2</v>
      </c>
      <c r="AH1362" s="16">
        <f>IF(ISERROR(VLOOKUP($A1362,'13. Updated Demand'!A:Z,25,FALSE)),0,VLOOKUP($A1362,'13. Updated Demand'!A:Z,25,FALSE))</f>
        <v>0</v>
      </c>
      <c r="AI1362" s="16">
        <f>IF(ISERROR(VLOOKUP($A1362,'13. Updated Demand'!A:Z,26,FALSE)),0,VLOOKUP($A1362,'13. Updated Demand'!A:Z,26,FALSE))</f>
        <v>0</v>
      </c>
      <c r="AJ1362" s="16">
        <f t="shared" si="266"/>
        <v>1.129223665</v>
      </c>
      <c r="AK1362" s="19">
        <v>1.096462332</v>
      </c>
      <c r="AL1362" s="16">
        <f t="shared" si="264"/>
        <v>3.6368406564473142E-3</v>
      </c>
      <c r="AM1362" s="17">
        <v>3.6544455177993533E-2</v>
      </c>
      <c r="AN1362" s="19"/>
      <c r="AO1362" s="19"/>
      <c r="AP1362" s="19">
        <v>30.9</v>
      </c>
      <c r="AQ1362" s="19" t="s">
        <v>307</v>
      </c>
      <c r="AR1362" s="9" t="s">
        <v>352</v>
      </c>
      <c r="AS1362" s="12">
        <v>0</v>
      </c>
      <c r="AT1362" s="19">
        <v>38.391139789999997</v>
      </c>
      <c r="AU1362" s="19">
        <v>-122.88239584999999</v>
      </c>
      <c r="AV1362" s="19" t="s">
        <v>1728</v>
      </c>
    </row>
    <row r="1363" spans="1:48" x14ac:dyDescent="0.25">
      <c r="A1363" s="18" t="s">
        <v>72</v>
      </c>
      <c r="B1363" s="10">
        <v>19460423</v>
      </c>
      <c r="C1363" s="9">
        <v>2</v>
      </c>
      <c r="D1363" s="8" t="str">
        <f t="shared" si="255"/>
        <v>N</v>
      </c>
      <c r="E1363" s="8" t="str">
        <f t="shared" si="256"/>
        <v>N</v>
      </c>
      <c r="F1363" s="8" t="str">
        <f t="shared" si="257"/>
        <v>Y</v>
      </c>
      <c r="G1363" s="8" t="str">
        <f t="shared" si="258"/>
        <v>N</v>
      </c>
      <c r="H1363" s="8" t="str">
        <f t="shared" si="259"/>
        <v>Upper</v>
      </c>
      <c r="I1363" s="8" t="str">
        <f t="shared" si="260"/>
        <v>Outside</v>
      </c>
      <c r="J1363" s="8" t="str">
        <f t="shared" si="261"/>
        <v>Outside</v>
      </c>
      <c r="K1363" s="8" t="str">
        <f t="shared" si="262"/>
        <v>Pre-1949</v>
      </c>
      <c r="L1363" s="8">
        <f t="shared" si="263"/>
        <v>1946</v>
      </c>
      <c r="M1363" s="8" t="str">
        <f t="shared" si="265"/>
        <v>Pre-1949 + 1949</v>
      </c>
      <c r="N1363" s="10" t="s">
        <v>242</v>
      </c>
      <c r="O1363" s="10" t="s">
        <v>241</v>
      </c>
      <c r="P1363" s="10" t="s">
        <v>242</v>
      </c>
      <c r="Q1363" s="10" t="s">
        <v>241</v>
      </c>
      <c r="R1363" s="10" t="s">
        <v>242</v>
      </c>
      <c r="S1363" s="10" t="s">
        <v>242</v>
      </c>
      <c r="T1363" s="10" t="s">
        <v>242</v>
      </c>
      <c r="U1363" s="10" t="s">
        <v>242</v>
      </c>
      <c r="V1363" s="10" t="s">
        <v>242</v>
      </c>
      <c r="W1363" s="10" t="s">
        <v>242</v>
      </c>
      <c r="X1363" s="15">
        <f>IF(ISERROR(VLOOKUP($A1363,'13. Updated Demand'!A:Z,15,FALSE)),0,VLOOKUP($A1363,'13. Updated Demand'!A:Z,15,FALSE))</f>
        <v>0</v>
      </c>
      <c r="Y1363" s="16">
        <f>IF(ISERROR(VLOOKUP($A1363,'13. Updated Demand'!A:Z,16,FALSE)),0,VLOOKUP($A1363,'13. Updated Demand'!A:Z,16,FALSE))</f>
        <v>0</v>
      </c>
      <c r="Z1363" s="16">
        <f>IF(ISERROR(VLOOKUP($A1363,'13. Updated Demand'!A:Z,17,FALSE)),0,VLOOKUP($A1363,'13. Updated Demand'!A:Z,17,FALSE))</f>
        <v>0</v>
      </c>
      <c r="AA1363" s="16">
        <f>IF(ISERROR(VLOOKUP($A1363,'13. Updated Demand'!A:Z,18,FALSE)),0,VLOOKUP($A1363,'13. Updated Demand'!A:Z,18,FALSE))</f>
        <v>0</v>
      </c>
      <c r="AB1363" s="16">
        <f>IF(ISERROR(VLOOKUP($A1363,'13. Updated Demand'!A:Z,19,FALSE)),0,VLOOKUP($A1363,'13. Updated Demand'!A:Z,19,FALSE))</f>
        <v>0</v>
      </c>
      <c r="AC1363" s="16">
        <f>IF(ISERROR(VLOOKUP($A1363,'13. Updated Demand'!A:Z,20,FALSE)),0,VLOOKUP($A1363,'13. Updated Demand'!A:Z,20,FALSE))</f>
        <v>2.66</v>
      </c>
      <c r="AD1363" s="16">
        <f>IF(ISERROR(VLOOKUP($A1363,'13. Updated Demand'!A:Z,21,FALSE)),0,VLOOKUP($A1363,'13. Updated Demand'!A:Z,21,FALSE))</f>
        <v>10.19</v>
      </c>
      <c r="AE1363" s="16">
        <f>IF(ISERROR(VLOOKUP($A1363,'13. Updated Demand'!A:Z,22,FALSE)),0,VLOOKUP($A1363,'13. Updated Demand'!A:Z,22,FALSE))</f>
        <v>19.45</v>
      </c>
      <c r="AF1363" s="16">
        <f>IF(ISERROR(VLOOKUP($A1363,'13. Updated Demand'!A:Z,23,FALSE)),0,VLOOKUP($A1363,'13. Updated Demand'!A:Z,23,FALSE))</f>
        <v>21.71</v>
      </c>
      <c r="AG1363" s="16">
        <f>IF(ISERROR(VLOOKUP($A1363,'13. Updated Demand'!A:Z,24,FALSE)),0,VLOOKUP($A1363,'13. Updated Demand'!A:Z,24,FALSE))</f>
        <v>9.6</v>
      </c>
      <c r="AH1363" s="16">
        <f>IF(ISERROR(VLOOKUP($A1363,'13. Updated Demand'!A:Z,25,FALSE)),0,VLOOKUP($A1363,'13. Updated Demand'!A:Z,25,FALSE))</f>
        <v>0</v>
      </c>
      <c r="AI1363" s="16">
        <f>IF(ISERROR(VLOOKUP($A1363,'13. Updated Demand'!A:Z,26,FALSE)),0,VLOOKUP($A1363,'13. Updated Demand'!A:Z,26,FALSE))</f>
        <v>0</v>
      </c>
      <c r="AJ1363" s="16">
        <f t="shared" si="266"/>
        <v>63.61</v>
      </c>
      <c r="AK1363" s="19">
        <v>54.033333337000002</v>
      </c>
      <c r="AL1363" s="16">
        <f t="shared" si="264"/>
        <v>0.1792224117037626</v>
      </c>
      <c r="AM1363" s="17">
        <v>9.5292502750823613E-2</v>
      </c>
      <c r="AN1363" s="19"/>
      <c r="AO1363" s="19"/>
      <c r="AP1363" s="19">
        <v>667.8</v>
      </c>
      <c r="AQ1363" s="19" t="s">
        <v>307</v>
      </c>
      <c r="AR1363" s="9" t="s">
        <v>348</v>
      </c>
      <c r="AS1363" s="12">
        <v>0</v>
      </c>
      <c r="AT1363" s="19">
        <v>39.334625099999997</v>
      </c>
      <c r="AU1363" s="19">
        <v>-123.10986229</v>
      </c>
      <c r="AV1363" s="19" t="s">
        <v>542</v>
      </c>
    </row>
    <row r="1364" spans="1:48" x14ac:dyDescent="0.25">
      <c r="A1364" s="18" t="s">
        <v>1729</v>
      </c>
      <c r="B1364" s="10">
        <v>19460325</v>
      </c>
      <c r="C1364" s="9">
        <v>16</v>
      </c>
      <c r="D1364" s="8" t="str">
        <f t="shared" si="255"/>
        <v>N</v>
      </c>
      <c r="E1364" s="8" t="str">
        <f t="shared" si="256"/>
        <v>N</v>
      </c>
      <c r="F1364" s="8" t="str">
        <f t="shared" si="257"/>
        <v>N</v>
      </c>
      <c r="G1364" s="8" t="str">
        <f t="shared" si="258"/>
        <v>N</v>
      </c>
      <c r="H1364" s="8" t="str">
        <f t="shared" si="259"/>
        <v>Lower</v>
      </c>
      <c r="I1364" s="8" t="str">
        <f t="shared" si="260"/>
        <v>Outside</v>
      </c>
      <c r="J1364" s="8" t="str">
        <f t="shared" si="261"/>
        <v>Outside</v>
      </c>
      <c r="K1364" s="8" t="str">
        <f t="shared" si="262"/>
        <v>Pre-1949</v>
      </c>
      <c r="L1364" s="8">
        <f t="shared" si="263"/>
        <v>1946</v>
      </c>
      <c r="M1364" s="8" t="str">
        <f t="shared" si="265"/>
        <v>Pre-1949 + 1949</v>
      </c>
      <c r="N1364" s="10" t="s">
        <v>242</v>
      </c>
      <c r="O1364" s="10" t="s">
        <v>242</v>
      </c>
      <c r="P1364" s="10" t="s">
        <v>242</v>
      </c>
      <c r="Q1364" s="10" t="s">
        <v>241</v>
      </c>
      <c r="R1364" s="10" t="s">
        <v>242</v>
      </c>
      <c r="S1364" s="10" t="s">
        <v>242</v>
      </c>
      <c r="T1364" s="10" t="s">
        <v>242</v>
      </c>
      <c r="U1364" s="10" t="s">
        <v>241</v>
      </c>
      <c r="V1364" s="10" t="s">
        <v>241</v>
      </c>
      <c r="W1364" s="10" t="s">
        <v>242</v>
      </c>
      <c r="X1364" s="15">
        <f>IF(ISERROR(VLOOKUP($A1364,'13. Updated Demand'!A:Z,15,FALSE)),0,VLOOKUP($A1364,'13. Updated Demand'!A:Z,15,FALSE))</f>
        <v>0</v>
      </c>
      <c r="Y1364" s="16">
        <f>IF(ISERROR(VLOOKUP($A1364,'13. Updated Demand'!A:Z,16,FALSE)),0,VLOOKUP($A1364,'13. Updated Demand'!A:Z,16,FALSE))</f>
        <v>0</v>
      </c>
      <c r="Z1364" s="16">
        <f>IF(ISERROR(VLOOKUP($A1364,'13. Updated Demand'!A:Z,17,FALSE)),0,VLOOKUP($A1364,'13. Updated Demand'!A:Z,17,FALSE))</f>
        <v>0</v>
      </c>
      <c r="AA1364" s="16">
        <f>IF(ISERROR(VLOOKUP($A1364,'13. Updated Demand'!A:Z,18,FALSE)),0,VLOOKUP($A1364,'13. Updated Demand'!A:Z,18,FALSE))</f>
        <v>0</v>
      </c>
      <c r="AB1364" s="16">
        <f>IF(ISERROR(VLOOKUP($A1364,'13. Updated Demand'!A:Z,19,FALSE)),0,VLOOKUP($A1364,'13. Updated Demand'!A:Z,19,FALSE))</f>
        <v>0</v>
      </c>
      <c r="AC1364" s="16">
        <f>IF(ISERROR(VLOOKUP($A1364,'13. Updated Demand'!A:Z,20,FALSE)),0,VLOOKUP($A1364,'13. Updated Demand'!A:Z,20,FALSE))</f>
        <v>0</v>
      </c>
      <c r="AD1364" s="16">
        <f>IF(ISERROR(VLOOKUP($A1364,'13. Updated Demand'!A:Z,21,FALSE)),0,VLOOKUP($A1364,'13. Updated Demand'!A:Z,21,FALSE))</f>
        <v>0</v>
      </c>
      <c r="AE1364" s="16">
        <f>IF(ISERROR(VLOOKUP($A1364,'13. Updated Demand'!A:Z,22,FALSE)),0,VLOOKUP($A1364,'13. Updated Demand'!A:Z,22,FALSE))</f>
        <v>0</v>
      </c>
      <c r="AF1364" s="16">
        <f>IF(ISERROR(VLOOKUP($A1364,'13. Updated Demand'!A:Z,23,FALSE)),0,VLOOKUP($A1364,'13. Updated Demand'!A:Z,23,FALSE))</f>
        <v>0</v>
      </c>
      <c r="AG1364" s="16">
        <f>IF(ISERROR(VLOOKUP($A1364,'13. Updated Demand'!A:Z,24,FALSE)),0,VLOOKUP($A1364,'13. Updated Demand'!A:Z,24,FALSE))</f>
        <v>0</v>
      </c>
      <c r="AH1364" s="16">
        <f>IF(ISERROR(VLOOKUP($A1364,'13. Updated Demand'!A:Z,25,FALSE)),0,VLOOKUP($A1364,'13. Updated Demand'!A:Z,25,FALSE))</f>
        <v>0</v>
      </c>
      <c r="AI1364" s="16">
        <f>IF(ISERROR(VLOOKUP($A1364,'13. Updated Demand'!A:Z,26,FALSE)),0,VLOOKUP($A1364,'13. Updated Demand'!A:Z,26,FALSE))</f>
        <v>0</v>
      </c>
      <c r="AJ1364" s="16">
        <f t="shared" si="266"/>
        <v>0</v>
      </c>
      <c r="AK1364" s="19">
        <v>0</v>
      </c>
      <c r="AL1364" s="16">
        <f t="shared" si="264"/>
        <v>0</v>
      </c>
      <c r="AM1364" s="17">
        <v>0</v>
      </c>
      <c r="AN1364" s="19"/>
      <c r="AO1364" s="19"/>
      <c r="AP1364" s="19">
        <v>6.4</v>
      </c>
      <c r="AQ1364" s="19" t="s">
        <v>307</v>
      </c>
      <c r="AR1364" s="9" t="s">
        <v>394</v>
      </c>
      <c r="AS1364" s="12">
        <v>3.4039024194010059E-4</v>
      </c>
      <c r="AT1364" s="19">
        <v>38.5895297</v>
      </c>
      <c r="AU1364" s="19">
        <v>-122.90164183</v>
      </c>
      <c r="AV1364" s="19" t="s">
        <v>406</v>
      </c>
    </row>
    <row r="1365" spans="1:48" x14ac:dyDescent="0.25">
      <c r="A1365" s="18" t="s">
        <v>1730</v>
      </c>
      <c r="B1365" s="10">
        <v>19450208</v>
      </c>
      <c r="C1365" s="9">
        <v>18</v>
      </c>
      <c r="D1365" s="8" t="str">
        <f t="shared" si="255"/>
        <v>N</v>
      </c>
      <c r="E1365" s="8" t="str">
        <f t="shared" si="256"/>
        <v>N</v>
      </c>
      <c r="F1365" s="8" t="str">
        <f t="shared" si="257"/>
        <v>N</v>
      </c>
      <c r="G1365" s="8" t="str">
        <f t="shared" si="258"/>
        <v>N</v>
      </c>
      <c r="H1365" s="8" t="str">
        <f t="shared" si="259"/>
        <v>Lower</v>
      </c>
      <c r="I1365" s="8" t="str">
        <f t="shared" si="260"/>
        <v>Outside</v>
      </c>
      <c r="J1365" s="8" t="str">
        <f t="shared" si="261"/>
        <v>Outside</v>
      </c>
      <c r="K1365" s="8" t="str">
        <f t="shared" si="262"/>
        <v>Pre-1949</v>
      </c>
      <c r="L1365" s="8">
        <f t="shared" si="263"/>
        <v>1945</v>
      </c>
      <c r="M1365" s="8" t="str">
        <f t="shared" si="265"/>
        <v>Pre-1949 + 1949</v>
      </c>
      <c r="N1365" s="10" t="s">
        <v>241</v>
      </c>
      <c r="O1365" s="10" t="s">
        <v>242</v>
      </c>
      <c r="P1365" s="10" t="s">
        <v>242</v>
      </c>
      <c r="Q1365" s="10" t="s">
        <v>241</v>
      </c>
      <c r="R1365" s="10" t="s">
        <v>242</v>
      </c>
      <c r="S1365" s="10" t="s">
        <v>242</v>
      </c>
      <c r="T1365" s="10" t="s">
        <v>242</v>
      </c>
      <c r="U1365" s="10" t="s">
        <v>241</v>
      </c>
      <c r="V1365" s="10" t="s">
        <v>241</v>
      </c>
      <c r="W1365" s="10" t="s">
        <v>242</v>
      </c>
      <c r="X1365" s="15">
        <f>IF(ISERROR(VLOOKUP($A1365,'13. Updated Demand'!A:Z,15,FALSE)),0,VLOOKUP($A1365,'13. Updated Demand'!A:Z,15,FALSE))</f>
        <v>0</v>
      </c>
      <c r="Y1365" s="16">
        <f>IF(ISERROR(VLOOKUP($A1365,'13. Updated Demand'!A:Z,16,FALSE)),0,VLOOKUP($A1365,'13. Updated Demand'!A:Z,16,FALSE))</f>
        <v>0</v>
      </c>
      <c r="Z1365" s="16">
        <f>IF(ISERROR(VLOOKUP($A1365,'13. Updated Demand'!A:Z,17,FALSE)),0,VLOOKUP($A1365,'13. Updated Demand'!A:Z,17,FALSE))</f>
        <v>0</v>
      </c>
      <c r="AA1365" s="16">
        <f>IF(ISERROR(VLOOKUP($A1365,'13. Updated Demand'!A:Z,18,FALSE)),0,VLOOKUP($A1365,'13. Updated Demand'!A:Z,18,FALSE))</f>
        <v>0</v>
      </c>
      <c r="AB1365" s="16">
        <f>IF(ISERROR(VLOOKUP($A1365,'13. Updated Demand'!A:Z,19,FALSE)),0,VLOOKUP($A1365,'13. Updated Demand'!A:Z,19,FALSE))</f>
        <v>0</v>
      </c>
      <c r="AC1365" s="16">
        <f>IF(ISERROR(VLOOKUP($A1365,'13. Updated Demand'!A:Z,20,FALSE)),0,VLOOKUP($A1365,'13. Updated Demand'!A:Z,20,FALSE))</f>
        <v>0</v>
      </c>
      <c r="AD1365" s="16">
        <f>IF(ISERROR(VLOOKUP($A1365,'13. Updated Demand'!A:Z,21,FALSE)),0,VLOOKUP($A1365,'13. Updated Demand'!A:Z,21,FALSE))</f>
        <v>0</v>
      </c>
      <c r="AE1365" s="16">
        <f>IF(ISERROR(VLOOKUP($A1365,'13. Updated Demand'!A:Z,22,FALSE)),0,VLOOKUP($A1365,'13. Updated Demand'!A:Z,22,FALSE))</f>
        <v>0</v>
      </c>
      <c r="AF1365" s="16">
        <f>IF(ISERROR(VLOOKUP($A1365,'13. Updated Demand'!A:Z,23,FALSE)),0,VLOOKUP($A1365,'13. Updated Demand'!A:Z,23,FALSE))</f>
        <v>0</v>
      </c>
      <c r="AG1365" s="16">
        <f>IF(ISERROR(VLOOKUP($A1365,'13. Updated Demand'!A:Z,24,FALSE)),0,VLOOKUP($A1365,'13. Updated Demand'!A:Z,24,FALSE))</f>
        <v>0</v>
      </c>
      <c r="AH1365" s="16">
        <f>IF(ISERROR(VLOOKUP($A1365,'13. Updated Demand'!A:Z,25,FALSE)),0,VLOOKUP($A1365,'13. Updated Demand'!A:Z,25,FALSE))</f>
        <v>0</v>
      </c>
      <c r="AI1365" s="16">
        <f>IF(ISERROR(VLOOKUP($A1365,'13. Updated Demand'!A:Z,26,FALSE)),0,VLOOKUP($A1365,'13. Updated Demand'!A:Z,26,FALSE))</f>
        <v>0</v>
      </c>
      <c r="AJ1365" s="16">
        <f t="shared" si="266"/>
        <v>0</v>
      </c>
      <c r="AK1365" s="19">
        <v>0</v>
      </c>
      <c r="AL1365" s="16">
        <f t="shared" si="264"/>
        <v>0</v>
      </c>
      <c r="AM1365" s="17">
        <v>0</v>
      </c>
      <c r="AN1365" s="19"/>
      <c r="AO1365" s="19"/>
      <c r="AP1365" s="19">
        <v>18.2</v>
      </c>
      <c r="AQ1365" s="19" t="s">
        <v>307</v>
      </c>
      <c r="AR1365" s="9" t="s">
        <v>352</v>
      </c>
      <c r="AS1365" s="12">
        <v>0</v>
      </c>
      <c r="AT1365" s="19">
        <v>38.518316280000001</v>
      </c>
      <c r="AU1365" s="19">
        <v>-122.87767359999999</v>
      </c>
      <c r="AV1365" s="19" t="s">
        <v>387</v>
      </c>
    </row>
    <row r="1366" spans="1:48" x14ac:dyDescent="0.25">
      <c r="A1366" s="18" t="s">
        <v>1731</v>
      </c>
      <c r="B1366" s="10">
        <v>19440407</v>
      </c>
      <c r="C1366" s="9">
        <v>18</v>
      </c>
      <c r="D1366" s="8" t="str">
        <f t="shared" si="255"/>
        <v>N</v>
      </c>
      <c r="E1366" s="8" t="str">
        <f t="shared" si="256"/>
        <v>N</v>
      </c>
      <c r="F1366" s="8" t="str">
        <f t="shared" si="257"/>
        <v>N</v>
      </c>
      <c r="G1366" s="8" t="str">
        <f t="shared" si="258"/>
        <v>N</v>
      </c>
      <c r="H1366" s="8" t="str">
        <f t="shared" si="259"/>
        <v>Lower</v>
      </c>
      <c r="I1366" s="8" t="str">
        <f t="shared" si="260"/>
        <v>Outside</v>
      </c>
      <c r="J1366" s="8" t="str">
        <f t="shared" si="261"/>
        <v>Outside</v>
      </c>
      <c r="K1366" s="8" t="str">
        <f t="shared" si="262"/>
        <v>Pre-1949</v>
      </c>
      <c r="L1366" s="8">
        <f t="shared" si="263"/>
        <v>1944</v>
      </c>
      <c r="M1366" s="8" t="str">
        <f t="shared" si="265"/>
        <v>Pre-1949 + 1949</v>
      </c>
      <c r="N1366" s="10" t="s">
        <v>241</v>
      </c>
      <c r="O1366" s="10" t="s">
        <v>242</v>
      </c>
      <c r="P1366" s="10" t="s">
        <v>242</v>
      </c>
      <c r="Q1366" s="10" t="s">
        <v>241</v>
      </c>
      <c r="R1366" s="10" t="s">
        <v>242</v>
      </c>
      <c r="S1366" s="10" t="s">
        <v>242</v>
      </c>
      <c r="T1366" s="10" t="s">
        <v>242</v>
      </c>
      <c r="U1366" s="10" t="s">
        <v>242</v>
      </c>
      <c r="V1366" s="10" t="s">
        <v>242</v>
      </c>
      <c r="W1366" s="10" t="s">
        <v>242</v>
      </c>
      <c r="X1366" s="15">
        <f>IF(ISERROR(VLOOKUP($A1366,'13. Updated Demand'!A:Z,15,FALSE)),0,VLOOKUP($A1366,'13. Updated Demand'!A:Z,15,FALSE))</f>
        <v>0</v>
      </c>
      <c r="Y1366" s="16">
        <f>IF(ISERROR(VLOOKUP($A1366,'13. Updated Demand'!A:Z,16,FALSE)),0,VLOOKUP($A1366,'13. Updated Demand'!A:Z,16,FALSE))</f>
        <v>0</v>
      </c>
      <c r="Z1366" s="16">
        <f>IF(ISERROR(VLOOKUP($A1366,'13. Updated Demand'!A:Z,17,FALSE)),0,VLOOKUP($A1366,'13. Updated Demand'!A:Z,17,FALSE))</f>
        <v>0</v>
      </c>
      <c r="AA1366" s="16">
        <f>IF(ISERROR(VLOOKUP($A1366,'13. Updated Demand'!A:Z,18,FALSE)),0,VLOOKUP($A1366,'13. Updated Demand'!A:Z,18,FALSE))</f>
        <v>0</v>
      </c>
      <c r="AB1366" s="16">
        <f>IF(ISERROR(VLOOKUP($A1366,'13. Updated Demand'!A:Z,19,FALSE)),0,VLOOKUP($A1366,'13. Updated Demand'!A:Z,19,FALSE))</f>
        <v>0</v>
      </c>
      <c r="AC1366" s="16">
        <f>IF(ISERROR(VLOOKUP($A1366,'13. Updated Demand'!A:Z,20,FALSE)),0,VLOOKUP($A1366,'13. Updated Demand'!A:Z,20,FALSE))</f>
        <v>10.43333333</v>
      </c>
      <c r="AD1366" s="16">
        <f>IF(ISERROR(VLOOKUP($A1366,'13. Updated Demand'!A:Z,21,FALSE)),0,VLOOKUP($A1366,'13. Updated Demand'!A:Z,21,FALSE))</f>
        <v>43.066666669999996</v>
      </c>
      <c r="AE1366" s="16">
        <f>IF(ISERROR(VLOOKUP($A1366,'13. Updated Demand'!A:Z,22,FALSE)),0,VLOOKUP($A1366,'13. Updated Demand'!A:Z,22,FALSE))</f>
        <v>38.233333330000001</v>
      </c>
      <c r="AF1366" s="16">
        <f>IF(ISERROR(VLOOKUP($A1366,'13. Updated Demand'!A:Z,23,FALSE)),0,VLOOKUP($A1366,'13. Updated Demand'!A:Z,23,FALSE))</f>
        <v>37.166666669999998</v>
      </c>
      <c r="AG1366" s="16">
        <f>IF(ISERROR(VLOOKUP($A1366,'13. Updated Demand'!A:Z,24,FALSE)),0,VLOOKUP($A1366,'13. Updated Demand'!A:Z,24,FALSE))</f>
        <v>4.9666666670000001</v>
      </c>
      <c r="AH1366" s="16">
        <f>IF(ISERROR(VLOOKUP($A1366,'13. Updated Demand'!A:Z,25,FALSE)),0,VLOOKUP($A1366,'13. Updated Demand'!A:Z,25,FALSE))</f>
        <v>0</v>
      </c>
      <c r="AI1366" s="16">
        <f>IF(ISERROR(VLOOKUP($A1366,'13. Updated Demand'!A:Z,26,FALSE)),0,VLOOKUP($A1366,'13. Updated Demand'!A:Z,26,FALSE))</f>
        <v>0</v>
      </c>
      <c r="AJ1366" s="16">
        <f t="shared" si="266"/>
        <v>133.86666666699998</v>
      </c>
      <c r="AK1366" s="19">
        <v>128.89999999999998</v>
      </c>
      <c r="AL1366" s="16">
        <f t="shared" si="264"/>
        <v>0.42754661691019102</v>
      </c>
      <c r="AM1366" s="17">
        <v>0.36675799086849309</v>
      </c>
      <c r="AN1366" s="19"/>
      <c r="AO1366" s="19"/>
      <c r="AP1366" s="19">
        <v>365</v>
      </c>
      <c r="AQ1366" s="19" t="s">
        <v>307</v>
      </c>
      <c r="AR1366" s="9" t="s">
        <v>352</v>
      </c>
      <c r="AS1366" s="12">
        <v>0</v>
      </c>
      <c r="AT1366" s="19">
        <v>38.517773259999998</v>
      </c>
      <c r="AU1366" s="19">
        <v>-122.88154163</v>
      </c>
      <c r="AV1366" s="19" t="s">
        <v>387</v>
      </c>
    </row>
    <row r="1367" spans="1:48" x14ac:dyDescent="0.25">
      <c r="A1367" s="18" t="s">
        <v>1732</v>
      </c>
      <c r="B1367" s="10">
        <v>19441115</v>
      </c>
      <c r="C1367" s="9">
        <v>18</v>
      </c>
      <c r="D1367" s="8" t="str">
        <f t="shared" si="255"/>
        <v>N</v>
      </c>
      <c r="E1367" s="8" t="str">
        <f t="shared" si="256"/>
        <v>N</v>
      </c>
      <c r="F1367" s="8" t="str">
        <f t="shared" si="257"/>
        <v>N</v>
      </c>
      <c r="G1367" s="8" t="str">
        <f t="shared" si="258"/>
        <v>N</v>
      </c>
      <c r="H1367" s="8" t="str">
        <f t="shared" si="259"/>
        <v>Lower</v>
      </c>
      <c r="I1367" s="8" t="str">
        <f t="shared" si="260"/>
        <v>Outside</v>
      </c>
      <c r="J1367" s="8" t="str">
        <f t="shared" si="261"/>
        <v>Outside</v>
      </c>
      <c r="K1367" s="8" t="str">
        <f t="shared" si="262"/>
        <v>Pre-1949</v>
      </c>
      <c r="L1367" s="8">
        <f t="shared" si="263"/>
        <v>1944</v>
      </c>
      <c r="M1367" s="8" t="str">
        <f t="shared" si="265"/>
        <v>Pre-1949 + 1949</v>
      </c>
      <c r="N1367" s="10" t="s">
        <v>242</v>
      </c>
      <c r="O1367" s="10" t="s">
        <v>242</v>
      </c>
      <c r="P1367" s="10" t="s">
        <v>242</v>
      </c>
      <c r="Q1367" s="10" t="s">
        <v>241</v>
      </c>
      <c r="R1367" s="10" t="s">
        <v>242</v>
      </c>
      <c r="S1367" s="10" t="s">
        <v>242</v>
      </c>
      <c r="T1367" s="10" t="s">
        <v>242</v>
      </c>
      <c r="U1367" s="10" t="s">
        <v>241</v>
      </c>
      <c r="V1367" s="10" t="s">
        <v>241</v>
      </c>
      <c r="W1367" s="10" t="s">
        <v>242</v>
      </c>
      <c r="X1367" s="15">
        <f>IF(ISERROR(VLOOKUP($A1367,'13. Updated Demand'!A:Z,15,FALSE)),0,VLOOKUP($A1367,'13. Updated Demand'!A:Z,15,FALSE))</f>
        <v>0</v>
      </c>
      <c r="Y1367" s="16">
        <f>IF(ISERROR(VLOOKUP($A1367,'13. Updated Demand'!A:Z,16,FALSE)),0,VLOOKUP($A1367,'13. Updated Demand'!A:Z,16,FALSE))</f>
        <v>0</v>
      </c>
      <c r="Z1367" s="16">
        <f>IF(ISERROR(VLOOKUP($A1367,'13. Updated Demand'!A:Z,17,FALSE)),0,VLOOKUP($A1367,'13. Updated Demand'!A:Z,17,FALSE))</f>
        <v>0</v>
      </c>
      <c r="AA1367" s="16">
        <f>IF(ISERROR(VLOOKUP($A1367,'13. Updated Demand'!A:Z,18,FALSE)),0,VLOOKUP($A1367,'13. Updated Demand'!A:Z,18,FALSE))</f>
        <v>0</v>
      </c>
      <c r="AB1367" s="16">
        <f>IF(ISERROR(VLOOKUP($A1367,'13. Updated Demand'!A:Z,19,FALSE)),0,VLOOKUP($A1367,'13. Updated Demand'!A:Z,19,FALSE))</f>
        <v>0</v>
      </c>
      <c r="AC1367" s="16">
        <f>IF(ISERROR(VLOOKUP($A1367,'13. Updated Demand'!A:Z,20,FALSE)),0,VLOOKUP($A1367,'13. Updated Demand'!A:Z,20,FALSE))</f>
        <v>0</v>
      </c>
      <c r="AD1367" s="16">
        <f>IF(ISERROR(VLOOKUP($A1367,'13. Updated Demand'!A:Z,21,FALSE)),0,VLOOKUP($A1367,'13. Updated Demand'!A:Z,21,FALSE))</f>
        <v>0</v>
      </c>
      <c r="AE1367" s="16">
        <f>IF(ISERROR(VLOOKUP($A1367,'13. Updated Demand'!A:Z,22,FALSE)),0,VLOOKUP($A1367,'13. Updated Demand'!A:Z,22,FALSE))</f>
        <v>0</v>
      </c>
      <c r="AF1367" s="16">
        <f>IF(ISERROR(VLOOKUP($A1367,'13. Updated Demand'!A:Z,23,FALSE)),0,VLOOKUP($A1367,'13. Updated Demand'!A:Z,23,FALSE))</f>
        <v>0</v>
      </c>
      <c r="AG1367" s="16">
        <f>IF(ISERROR(VLOOKUP($A1367,'13. Updated Demand'!A:Z,24,FALSE)),0,VLOOKUP($A1367,'13. Updated Demand'!A:Z,24,FALSE))</f>
        <v>0</v>
      </c>
      <c r="AH1367" s="16">
        <f>IF(ISERROR(VLOOKUP($A1367,'13. Updated Demand'!A:Z,25,FALSE)),0,VLOOKUP($A1367,'13. Updated Demand'!A:Z,25,FALSE))</f>
        <v>0</v>
      </c>
      <c r="AI1367" s="16">
        <f>IF(ISERROR(VLOOKUP($A1367,'13. Updated Demand'!A:Z,26,FALSE)),0,VLOOKUP($A1367,'13. Updated Demand'!A:Z,26,FALSE))</f>
        <v>0</v>
      </c>
      <c r="AJ1367" s="16">
        <f t="shared" si="266"/>
        <v>0</v>
      </c>
      <c r="AK1367" s="19">
        <v>0</v>
      </c>
      <c r="AL1367" s="16">
        <f t="shared" si="264"/>
        <v>0</v>
      </c>
      <c r="AM1367" s="17">
        <v>0</v>
      </c>
      <c r="AN1367" s="19"/>
      <c r="AO1367" s="19"/>
      <c r="AP1367" s="19">
        <v>20</v>
      </c>
      <c r="AQ1367" s="19" t="s">
        <v>307</v>
      </c>
      <c r="AR1367" s="9" t="s">
        <v>352</v>
      </c>
      <c r="AS1367" s="12">
        <v>0</v>
      </c>
      <c r="AT1367" s="19">
        <v>38.389177740000001</v>
      </c>
      <c r="AU1367" s="19">
        <v>-122.88760526</v>
      </c>
      <c r="AV1367" s="19" t="s">
        <v>1733</v>
      </c>
    </row>
    <row r="1368" spans="1:48" x14ac:dyDescent="0.25">
      <c r="A1368" s="18" t="s">
        <v>1734</v>
      </c>
      <c r="B1368" s="10">
        <v>19400220</v>
      </c>
      <c r="C1368" s="9">
        <v>1</v>
      </c>
      <c r="D1368" s="8" t="str">
        <f t="shared" si="255"/>
        <v>N</v>
      </c>
      <c r="E1368" s="8" t="str">
        <f t="shared" si="256"/>
        <v>N</v>
      </c>
      <c r="F1368" s="8" t="str">
        <f t="shared" si="257"/>
        <v>Y</v>
      </c>
      <c r="G1368" s="8" t="str">
        <f t="shared" si="258"/>
        <v>Y</v>
      </c>
      <c r="H1368" s="8" t="str">
        <f t="shared" si="259"/>
        <v>Upper</v>
      </c>
      <c r="I1368" s="8" t="str">
        <f t="shared" si="260"/>
        <v>West Fork and Below Lake</v>
      </c>
      <c r="J1368" s="8" t="str">
        <f t="shared" si="261"/>
        <v>Outside</v>
      </c>
      <c r="K1368" s="8" t="str">
        <f t="shared" si="262"/>
        <v>Pre-1949</v>
      </c>
      <c r="L1368" s="8">
        <f t="shared" si="263"/>
        <v>1940</v>
      </c>
      <c r="M1368" s="8" t="str">
        <f t="shared" si="265"/>
        <v>Pre-1949 + 1949</v>
      </c>
      <c r="N1368" s="10" t="s">
        <v>242</v>
      </c>
      <c r="O1368" s="10" t="s">
        <v>241</v>
      </c>
      <c r="P1368" s="10" t="s">
        <v>242</v>
      </c>
      <c r="Q1368" s="10" t="s">
        <v>241</v>
      </c>
      <c r="R1368" s="10" t="s">
        <v>242</v>
      </c>
      <c r="S1368" s="10" t="s">
        <v>242</v>
      </c>
      <c r="T1368" s="10" t="s">
        <v>242</v>
      </c>
      <c r="U1368" s="10" t="s">
        <v>242</v>
      </c>
      <c r="V1368" s="10" t="s">
        <v>242</v>
      </c>
      <c r="W1368" s="10" t="s">
        <v>242</v>
      </c>
      <c r="X1368" s="15">
        <f>IF(ISERROR(VLOOKUP($A1368,'13. Updated Demand'!A:Z,15,FALSE)),0,VLOOKUP($A1368,'13. Updated Demand'!A:Z,15,FALSE))</f>
        <v>0</v>
      </c>
      <c r="Y1368" s="16">
        <f>IF(ISERROR(VLOOKUP($A1368,'13. Updated Demand'!A:Z,16,FALSE)),0,VLOOKUP($A1368,'13. Updated Demand'!A:Z,16,FALSE))</f>
        <v>0</v>
      </c>
      <c r="Z1368" s="16">
        <f>IF(ISERROR(VLOOKUP($A1368,'13. Updated Demand'!A:Z,17,FALSE)),0,VLOOKUP($A1368,'13. Updated Demand'!A:Z,17,FALSE))</f>
        <v>0</v>
      </c>
      <c r="AA1368" s="16">
        <f>IF(ISERROR(VLOOKUP($A1368,'13. Updated Demand'!A:Z,18,FALSE)),0,VLOOKUP($A1368,'13. Updated Demand'!A:Z,18,FALSE))</f>
        <v>0</v>
      </c>
      <c r="AB1368" s="16">
        <f>IF(ISERROR(VLOOKUP($A1368,'13. Updated Demand'!A:Z,19,FALSE)),0,VLOOKUP($A1368,'13. Updated Demand'!A:Z,19,FALSE))</f>
        <v>6.5979999999999997E-3</v>
      </c>
      <c r="AC1368" s="16">
        <f>IF(ISERROR(VLOOKUP($A1368,'13. Updated Demand'!A:Z,20,FALSE)),0,VLOOKUP($A1368,'13. Updated Demand'!A:Z,20,FALSE))</f>
        <v>6.4446670000000003E-3</v>
      </c>
      <c r="AD1368" s="16">
        <f>IF(ISERROR(VLOOKUP($A1368,'13. Updated Demand'!A:Z,21,FALSE)),0,VLOOKUP($A1368,'13. Updated Demand'!A:Z,21,FALSE))</f>
        <v>8.2349999999999993E-3</v>
      </c>
      <c r="AE1368" s="16">
        <f>IF(ISERROR(VLOOKUP($A1368,'13. Updated Demand'!A:Z,22,FALSE)),0,VLOOKUP($A1368,'13. Updated Demand'!A:Z,22,FALSE))</f>
        <v>8.286E-3</v>
      </c>
      <c r="AF1368" s="16">
        <f>IF(ISERROR(VLOOKUP($A1368,'13. Updated Demand'!A:Z,23,FALSE)),0,VLOOKUP($A1368,'13. Updated Demand'!A:Z,23,FALSE))</f>
        <v>9.5646670000000007E-3</v>
      </c>
      <c r="AG1368" s="16">
        <f>IF(ISERROR(VLOOKUP($A1368,'13. Updated Demand'!A:Z,24,FALSE)),0,VLOOKUP($A1368,'13. Updated Demand'!A:Z,24,FALSE))</f>
        <v>3.5799999999999997E-4</v>
      </c>
      <c r="AH1368" s="16">
        <f>IF(ISERROR(VLOOKUP($A1368,'13. Updated Demand'!A:Z,25,FALSE)),0,VLOOKUP($A1368,'13. Updated Demand'!A:Z,25,FALSE))</f>
        <v>0</v>
      </c>
      <c r="AI1368" s="16">
        <f>IF(ISERROR(VLOOKUP($A1368,'13. Updated Demand'!A:Z,26,FALSE)),0,VLOOKUP($A1368,'13. Updated Demand'!A:Z,26,FALSE))</f>
        <v>0</v>
      </c>
      <c r="AJ1368" s="16">
        <f t="shared" si="266"/>
        <v>3.9486333999999998E-2</v>
      </c>
      <c r="AK1368" s="19">
        <v>3.9128334000000001E-2</v>
      </c>
      <c r="AL1368" s="16">
        <f t="shared" si="264"/>
        <v>1.2978422674190848E-4</v>
      </c>
      <c r="AM1368" s="17">
        <v>9.098233640552995E-4</v>
      </c>
      <c r="AN1368" s="19"/>
      <c r="AO1368" s="19"/>
      <c r="AP1368" s="19">
        <v>43.4</v>
      </c>
      <c r="AQ1368" s="19" t="s">
        <v>307</v>
      </c>
      <c r="AR1368" s="9" t="s">
        <v>317</v>
      </c>
      <c r="AS1368" s="12">
        <v>0</v>
      </c>
      <c r="AT1368" s="19">
        <v>39.275169980000001</v>
      </c>
      <c r="AU1368" s="19">
        <v>-123.20784842</v>
      </c>
      <c r="AV1368" s="19" t="s">
        <v>456</v>
      </c>
    </row>
    <row r="1369" spans="1:48" x14ac:dyDescent="0.25">
      <c r="A1369" s="18" t="s">
        <v>1735</v>
      </c>
      <c r="B1369" s="10">
        <v>19400220</v>
      </c>
      <c r="C1369" s="9">
        <v>1</v>
      </c>
      <c r="D1369" s="8" t="str">
        <f t="shared" si="255"/>
        <v>N</v>
      </c>
      <c r="E1369" s="8" t="str">
        <f t="shared" si="256"/>
        <v>N</v>
      </c>
      <c r="F1369" s="8" t="str">
        <f t="shared" si="257"/>
        <v>Y</v>
      </c>
      <c r="G1369" s="8" t="str">
        <f t="shared" si="258"/>
        <v>Y</v>
      </c>
      <c r="H1369" s="8" t="str">
        <f t="shared" si="259"/>
        <v>Upper</v>
      </c>
      <c r="I1369" s="8" t="str">
        <f t="shared" si="260"/>
        <v>West Fork and Below Lake</v>
      </c>
      <c r="J1369" s="8" t="str">
        <f t="shared" si="261"/>
        <v>Outside</v>
      </c>
      <c r="K1369" s="8" t="str">
        <f t="shared" si="262"/>
        <v>Pre-1949</v>
      </c>
      <c r="L1369" s="8">
        <f t="shared" si="263"/>
        <v>1940</v>
      </c>
      <c r="M1369" s="8" t="str">
        <f t="shared" si="265"/>
        <v>Pre-1949 + 1949</v>
      </c>
      <c r="N1369" s="10" t="s">
        <v>242</v>
      </c>
      <c r="O1369" s="10" t="s">
        <v>241</v>
      </c>
      <c r="P1369" s="10" t="s">
        <v>242</v>
      </c>
      <c r="Q1369" s="10" t="s">
        <v>241</v>
      </c>
      <c r="R1369" s="10" t="s">
        <v>242</v>
      </c>
      <c r="S1369" s="10" t="s">
        <v>242</v>
      </c>
      <c r="T1369" s="10" t="s">
        <v>242</v>
      </c>
      <c r="U1369" s="10" t="s">
        <v>241</v>
      </c>
      <c r="V1369" s="10" t="s">
        <v>241</v>
      </c>
      <c r="W1369" s="10" t="s">
        <v>242</v>
      </c>
      <c r="X1369" s="15">
        <f>IF(ISERROR(VLOOKUP($A1369,'13. Updated Demand'!A:Z,15,FALSE)),0,VLOOKUP($A1369,'13. Updated Demand'!A:Z,15,FALSE))</f>
        <v>0</v>
      </c>
      <c r="Y1369" s="16">
        <f>IF(ISERROR(VLOOKUP($A1369,'13. Updated Demand'!A:Z,16,FALSE)),0,VLOOKUP($A1369,'13. Updated Demand'!A:Z,16,FALSE))</f>
        <v>0</v>
      </c>
      <c r="Z1369" s="16">
        <f>IF(ISERROR(VLOOKUP($A1369,'13. Updated Demand'!A:Z,17,FALSE)),0,VLOOKUP($A1369,'13. Updated Demand'!A:Z,17,FALSE))</f>
        <v>0</v>
      </c>
      <c r="AA1369" s="16">
        <f>IF(ISERROR(VLOOKUP($A1369,'13. Updated Demand'!A:Z,18,FALSE)),0,VLOOKUP($A1369,'13. Updated Demand'!A:Z,18,FALSE))</f>
        <v>0</v>
      </c>
      <c r="AB1369" s="16">
        <f>IF(ISERROR(VLOOKUP($A1369,'13. Updated Demand'!A:Z,19,FALSE)),0,VLOOKUP($A1369,'13. Updated Demand'!A:Z,19,FALSE))</f>
        <v>0</v>
      </c>
      <c r="AC1369" s="16">
        <f>IF(ISERROR(VLOOKUP($A1369,'13. Updated Demand'!A:Z,20,FALSE)),0,VLOOKUP($A1369,'13. Updated Demand'!A:Z,20,FALSE))</f>
        <v>0</v>
      </c>
      <c r="AD1369" s="16">
        <f>IF(ISERROR(VLOOKUP($A1369,'13. Updated Demand'!A:Z,21,FALSE)),0,VLOOKUP($A1369,'13. Updated Demand'!A:Z,21,FALSE))</f>
        <v>0</v>
      </c>
      <c r="AE1369" s="16">
        <f>IF(ISERROR(VLOOKUP($A1369,'13. Updated Demand'!A:Z,22,FALSE)),0,VLOOKUP($A1369,'13. Updated Demand'!A:Z,22,FALSE))</f>
        <v>0</v>
      </c>
      <c r="AF1369" s="16">
        <f>IF(ISERROR(VLOOKUP($A1369,'13. Updated Demand'!A:Z,23,FALSE)),0,VLOOKUP($A1369,'13. Updated Demand'!A:Z,23,FALSE))</f>
        <v>0</v>
      </c>
      <c r="AG1369" s="16">
        <f>IF(ISERROR(VLOOKUP($A1369,'13. Updated Demand'!A:Z,24,FALSE)),0,VLOOKUP($A1369,'13. Updated Demand'!A:Z,24,FALSE))</f>
        <v>0</v>
      </c>
      <c r="AH1369" s="16">
        <f>IF(ISERROR(VLOOKUP($A1369,'13. Updated Demand'!A:Z,25,FALSE)),0,VLOOKUP($A1369,'13. Updated Demand'!A:Z,25,FALSE))</f>
        <v>0</v>
      </c>
      <c r="AI1369" s="16">
        <f>IF(ISERROR(VLOOKUP($A1369,'13. Updated Demand'!A:Z,26,FALSE)),0,VLOOKUP($A1369,'13. Updated Demand'!A:Z,26,FALSE))</f>
        <v>0</v>
      </c>
      <c r="AJ1369" s="16">
        <f t="shared" si="266"/>
        <v>0</v>
      </c>
      <c r="AK1369" s="19">
        <v>0</v>
      </c>
      <c r="AL1369" s="16">
        <f t="shared" si="264"/>
        <v>0</v>
      </c>
      <c r="AM1369" s="17">
        <v>0</v>
      </c>
      <c r="AN1369" s="19"/>
      <c r="AO1369" s="19"/>
      <c r="AP1369" s="19">
        <v>159.69999999999999</v>
      </c>
      <c r="AQ1369" s="19" t="s">
        <v>307</v>
      </c>
      <c r="AR1369" s="9" t="s">
        <v>317</v>
      </c>
      <c r="AS1369" s="12">
        <v>0</v>
      </c>
      <c r="AT1369" s="19">
        <v>39.273699999999998</v>
      </c>
      <c r="AU1369" s="19">
        <v>-123.2077</v>
      </c>
      <c r="AV1369" s="19" t="s">
        <v>456</v>
      </c>
    </row>
    <row r="1370" spans="1:48" x14ac:dyDescent="0.25">
      <c r="A1370" s="18" t="s">
        <v>1736</v>
      </c>
      <c r="B1370" s="10">
        <v>19400828</v>
      </c>
      <c r="C1370" s="9">
        <v>19</v>
      </c>
      <c r="D1370" s="8" t="str">
        <f t="shared" si="255"/>
        <v>N</v>
      </c>
      <c r="E1370" s="8" t="str">
        <f t="shared" si="256"/>
        <v>N</v>
      </c>
      <c r="F1370" s="8" t="str">
        <f t="shared" si="257"/>
        <v>N</v>
      </c>
      <c r="G1370" s="8" t="str">
        <f t="shared" si="258"/>
        <v>N</v>
      </c>
      <c r="H1370" s="8" t="str">
        <f t="shared" si="259"/>
        <v>Lower</v>
      </c>
      <c r="I1370" s="8" t="str">
        <f t="shared" si="260"/>
        <v>Outside</v>
      </c>
      <c r="J1370" s="8" t="str">
        <f t="shared" si="261"/>
        <v>Outside</v>
      </c>
      <c r="K1370" s="8" t="str">
        <f t="shared" si="262"/>
        <v>Pre-1949</v>
      </c>
      <c r="L1370" s="8">
        <f t="shared" si="263"/>
        <v>1940</v>
      </c>
      <c r="M1370" s="8" t="str">
        <f t="shared" si="265"/>
        <v>Pre-1949 + 1949</v>
      </c>
      <c r="N1370" s="10" t="s">
        <v>242</v>
      </c>
      <c r="O1370" s="10" t="s">
        <v>242</v>
      </c>
      <c r="P1370" s="10" t="s">
        <v>242</v>
      </c>
      <c r="Q1370" s="10" t="s">
        <v>241</v>
      </c>
      <c r="R1370" s="10" t="s">
        <v>242</v>
      </c>
      <c r="S1370" s="10" t="s">
        <v>242</v>
      </c>
      <c r="T1370" s="10" t="s">
        <v>242</v>
      </c>
      <c r="U1370" s="10" t="s">
        <v>241</v>
      </c>
      <c r="V1370" s="10" t="s">
        <v>241</v>
      </c>
      <c r="W1370" s="10" t="s">
        <v>242</v>
      </c>
      <c r="X1370" s="15">
        <f>IF(ISERROR(VLOOKUP($A1370,'13. Updated Demand'!A:Z,15,FALSE)),0,VLOOKUP($A1370,'13. Updated Demand'!A:Z,15,FALSE))</f>
        <v>0</v>
      </c>
      <c r="Y1370" s="16">
        <f>IF(ISERROR(VLOOKUP($A1370,'13. Updated Demand'!A:Z,16,FALSE)),0,VLOOKUP($A1370,'13. Updated Demand'!A:Z,16,FALSE))</f>
        <v>0</v>
      </c>
      <c r="Z1370" s="16">
        <f>IF(ISERROR(VLOOKUP($A1370,'13. Updated Demand'!A:Z,17,FALSE)),0,VLOOKUP($A1370,'13. Updated Demand'!A:Z,17,FALSE))</f>
        <v>0</v>
      </c>
      <c r="AA1370" s="16">
        <f>IF(ISERROR(VLOOKUP($A1370,'13. Updated Demand'!A:Z,18,FALSE)),0,VLOOKUP($A1370,'13. Updated Demand'!A:Z,18,FALSE))</f>
        <v>0</v>
      </c>
      <c r="AB1370" s="16">
        <f>IF(ISERROR(VLOOKUP($A1370,'13. Updated Demand'!A:Z,19,FALSE)),0,VLOOKUP($A1370,'13. Updated Demand'!A:Z,19,FALSE))</f>
        <v>0</v>
      </c>
      <c r="AC1370" s="16">
        <f>IF(ISERROR(VLOOKUP($A1370,'13. Updated Demand'!A:Z,20,FALSE)),0,VLOOKUP($A1370,'13. Updated Demand'!A:Z,20,FALSE))</f>
        <v>0</v>
      </c>
      <c r="AD1370" s="16">
        <f>IF(ISERROR(VLOOKUP($A1370,'13. Updated Demand'!A:Z,21,FALSE)),0,VLOOKUP($A1370,'13. Updated Demand'!A:Z,21,FALSE))</f>
        <v>0</v>
      </c>
      <c r="AE1370" s="16">
        <f>IF(ISERROR(VLOOKUP($A1370,'13. Updated Demand'!A:Z,22,FALSE)),0,VLOOKUP($A1370,'13. Updated Demand'!A:Z,22,FALSE))</f>
        <v>0</v>
      </c>
      <c r="AF1370" s="16">
        <f>IF(ISERROR(VLOOKUP($A1370,'13. Updated Demand'!A:Z,23,FALSE)),0,VLOOKUP($A1370,'13. Updated Demand'!A:Z,23,FALSE))</f>
        <v>0</v>
      </c>
      <c r="AG1370" s="16">
        <f>IF(ISERROR(VLOOKUP($A1370,'13. Updated Demand'!A:Z,24,FALSE)),0,VLOOKUP($A1370,'13. Updated Demand'!A:Z,24,FALSE))</f>
        <v>0</v>
      </c>
      <c r="AH1370" s="16">
        <f>IF(ISERROR(VLOOKUP($A1370,'13. Updated Demand'!A:Z,25,FALSE)),0,VLOOKUP($A1370,'13. Updated Demand'!A:Z,25,FALSE))</f>
        <v>0</v>
      </c>
      <c r="AI1370" s="16">
        <f>IF(ISERROR(VLOOKUP($A1370,'13. Updated Demand'!A:Z,26,FALSE)),0,VLOOKUP($A1370,'13. Updated Demand'!A:Z,26,FALSE))</f>
        <v>0</v>
      </c>
      <c r="AJ1370" s="16">
        <f t="shared" si="266"/>
        <v>0</v>
      </c>
      <c r="AK1370" s="19">
        <v>0</v>
      </c>
      <c r="AL1370" s="16">
        <f t="shared" si="264"/>
        <v>0</v>
      </c>
      <c r="AM1370" s="17">
        <v>0</v>
      </c>
      <c r="AN1370" s="19"/>
      <c r="AO1370" s="19"/>
      <c r="AP1370" s="19">
        <v>0.3</v>
      </c>
      <c r="AQ1370" s="19" t="s">
        <v>307</v>
      </c>
      <c r="AR1370" s="9" t="s">
        <v>684</v>
      </c>
      <c r="AS1370" s="12">
        <v>3.4039024194010059E-4</v>
      </c>
      <c r="AT1370" s="19">
        <v>38.514842350000002</v>
      </c>
      <c r="AU1370" s="19">
        <v>-122.93565123</v>
      </c>
      <c r="AV1370" s="19" t="s">
        <v>417</v>
      </c>
    </row>
    <row r="1371" spans="1:48" x14ac:dyDescent="0.25">
      <c r="A1371" s="18" t="s">
        <v>1737</v>
      </c>
      <c r="B1371" s="10">
        <v>19391127</v>
      </c>
      <c r="C1371" s="9">
        <v>20</v>
      </c>
      <c r="D1371" s="8" t="str">
        <f t="shared" si="255"/>
        <v>N</v>
      </c>
      <c r="E1371" s="8" t="str">
        <f t="shared" si="256"/>
        <v>N</v>
      </c>
      <c r="F1371" s="8" t="str">
        <f t="shared" si="257"/>
        <v>N</v>
      </c>
      <c r="G1371" s="8" t="str">
        <f t="shared" si="258"/>
        <v>N</v>
      </c>
      <c r="H1371" s="8" t="str">
        <f t="shared" si="259"/>
        <v>Lower</v>
      </c>
      <c r="I1371" s="8" t="str">
        <f t="shared" si="260"/>
        <v>Outside</v>
      </c>
      <c r="J1371" s="8" t="str">
        <f t="shared" si="261"/>
        <v>Outside</v>
      </c>
      <c r="K1371" s="8" t="str">
        <f t="shared" si="262"/>
        <v>Pre-1949</v>
      </c>
      <c r="L1371" s="8">
        <f t="shared" si="263"/>
        <v>1939</v>
      </c>
      <c r="M1371" s="8" t="str">
        <f t="shared" si="265"/>
        <v>Pre-1949 + 1949</v>
      </c>
      <c r="N1371" s="10" t="s">
        <v>242</v>
      </c>
      <c r="O1371" s="10" t="s">
        <v>242</v>
      </c>
      <c r="P1371" s="10" t="s">
        <v>242</v>
      </c>
      <c r="Q1371" s="10" t="s">
        <v>241</v>
      </c>
      <c r="R1371" s="10" t="s">
        <v>242</v>
      </c>
      <c r="S1371" s="10" t="s">
        <v>242</v>
      </c>
      <c r="T1371" s="10" t="s">
        <v>242</v>
      </c>
      <c r="U1371" s="10" t="s">
        <v>242</v>
      </c>
      <c r="V1371" s="10" t="s">
        <v>242</v>
      </c>
      <c r="W1371" s="10" t="s">
        <v>242</v>
      </c>
      <c r="X1371" s="15">
        <f>IF(ISERROR(VLOOKUP($A1371,'13. Updated Demand'!A:Z,15,FALSE)),0,VLOOKUP($A1371,'13. Updated Demand'!A:Z,15,FALSE))</f>
        <v>3.6830000000000001E-3</v>
      </c>
      <c r="Y1371" s="16">
        <f>IF(ISERROR(VLOOKUP($A1371,'13. Updated Demand'!A:Z,16,FALSE)),0,VLOOKUP($A1371,'13. Updated Demand'!A:Z,16,FALSE))</f>
        <v>3.6830000000000001E-3</v>
      </c>
      <c r="Z1371" s="16">
        <f>IF(ISERROR(VLOOKUP($A1371,'13. Updated Demand'!A:Z,17,FALSE)),0,VLOOKUP($A1371,'13. Updated Demand'!A:Z,17,FALSE))</f>
        <v>3.6830000000000001E-3</v>
      </c>
      <c r="AA1371" s="16">
        <f>IF(ISERROR(VLOOKUP($A1371,'13. Updated Demand'!A:Z,18,FALSE)),0,VLOOKUP($A1371,'13. Updated Demand'!A:Z,18,FALSE))</f>
        <v>3.6830000000000001E-3</v>
      </c>
      <c r="AB1371" s="16">
        <f>IF(ISERROR(VLOOKUP($A1371,'13. Updated Demand'!A:Z,19,FALSE)),0,VLOOKUP($A1371,'13. Updated Demand'!A:Z,19,FALSE))</f>
        <v>3.6830000000000001E-3</v>
      </c>
      <c r="AC1371" s="16">
        <f>IF(ISERROR(VLOOKUP($A1371,'13. Updated Demand'!A:Z,20,FALSE)),0,VLOOKUP($A1371,'13. Updated Demand'!A:Z,20,FALSE))</f>
        <v>4.6030000000000003E-3</v>
      </c>
      <c r="AD1371" s="16">
        <f>IF(ISERROR(VLOOKUP($A1371,'13. Updated Demand'!A:Z,21,FALSE)),0,VLOOKUP($A1371,'13. Updated Demand'!A:Z,21,FALSE))</f>
        <v>4.6030000000000003E-3</v>
      </c>
      <c r="AE1371" s="16">
        <f>IF(ISERROR(VLOOKUP($A1371,'13. Updated Demand'!A:Z,22,FALSE)),0,VLOOKUP($A1371,'13. Updated Demand'!A:Z,22,FALSE))</f>
        <v>4.6030000000000003E-3</v>
      </c>
      <c r="AF1371" s="16">
        <f>IF(ISERROR(VLOOKUP($A1371,'13. Updated Demand'!A:Z,23,FALSE)),0,VLOOKUP($A1371,'13. Updated Demand'!A:Z,23,FALSE))</f>
        <v>4.6030000000000003E-3</v>
      </c>
      <c r="AG1371" s="16">
        <f>IF(ISERROR(VLOOKUP($A1371,'13. Updated Demand'!A:Z,24,FALSE)),0,VLOOKUP($A1371,'13. Updated Demand'!A:Z,24,FALSE))</f>
        <v>4.2963330000000003E-3</v>
      </c>
      <c r="AH1371" s="16">
        <f>IF(ISERROR(VLOOKUP($A1371,'13. Updated Demand'!A:Z,25,FALSE)),0,VLOOKUP($A1371,'13. Updated Demand'!A:Z,25,FALSE))</f>
        <v>3.6830000000000001E-3</v>
      </c>
      <c r="AI1371" s="16">
        <f>IF(ISERROR(VLOOKUP($A1371,'13. Updated Demand'!A:Z,26,FALSE)),0,VLOOKUP($A1371,'13. Updated Demand'!A:Z,26,FALSE))</f>
        <v>3.6830000000000001E-3</v>
      </c>
      <c r="AJ1371" s="16">
        <f t="shared" si="266"/>
        <v>4.8489333000000003E-2</v>
      </c>
      <c r="AK1371" s="19">
        <v>2.2095E-2</v>
      </c>
      <c r="AL1371" s="16">
        <f t="shared" si="264"/>
        <v>7.3286598142984269E-5</v>
      </c>
      <c r="AM1371" s="17">
        <v>0.48489333000000001</v>
      </c>
      <c r="AN1371" s="19"/>
      <c r="AO1371" s="19"/>
      <c r="AP1371" s="19">
        <v>0.1</v>
      </c>
      <c r="AQ1371" s="19" t="s">
        <v>307</v>
      </c>
      <c r="AR1371" s="9" t="s">
        <v>329</v>
      </c>
      <c r="AS1371" s="12">
        <v>3.4039024194010059E-4</v>
      </c>
      <c r="AT1371" s="19">
        <v>38.513282420000003</v>
      </c>
      <c r="AU1371" s="19">
        <v>-123.11213565</v>
      </c>
      <c r="AV1371" s="19" t="s">
        <v>430</v>
      </c>
    </row>
    <row r="1372" spans="1:48" x14ac:dyDescent="0.25">
      <c r="A1372" s="18" t="s">
        <v>1738</v>
      </c>
      <c r="B1372" s="10">
        <v>19391003</v>
      </c>
      <c r="C1372" s="9">
        <v>19</v>
      </c>
      <c r="D1372" s="8" t="str">
        <f t="shared" si="255"/>
        <v>N</v>
      </c>
      <c r="E1372" s="8" t="str">
        <f t="shared" si="256"/>
        <v>N</v>
      </c>
      <c r="F1372" s="8" t="str">
        <f t="shared" si="257"/>
        <v>N</v>
      </c>
      <c r="G1372" s="8" t="str">
        <f t="shared" si="258"/>
        <v>N</v>
      </c>
      <c r="H1372" s="8" t="str">
        <f t="shared" si="259"/>
        <v>Lower</v>
      </c>
      <c r="I1372" s="8" t="str">
        <f t="shared" si="260"/>
        <v>Outside</v>
      </c>
      <c r="J1372" s="8" t="str">
        <f t="shared" si="261"/>
        <v>Outside</v>
      </c>
      <c r="K1372" s="8" t="str">
        <f t="shared" si="262"/>
        <v>Pre-1949</v>
      </c>
      <c r="L1372" s="8">
        <f t="shared" si="263"/>
        <v>1939</v>
      </c>
      <c r="M1372" s="8" t="str">
        <f t="shared" si="265"/>
        <v>Pre-1949 + 1949</v>
      </c>
      <c r="N1372" s="10" t="s">
        <v>242</v>
      </c>
      <c r="O1372" s="10" t="s">
        <v>242</v>
      </c>
      <c r="P1372" s="10" t="s">
        <v>242</v>
      </c>
      <c r="Q1372" s="10" t="s">
        <v>241</v>
      </c>
      <c r="R1372" s="10" t="s">
        <v>242</v>
      </c>
      <c r="S1372" s="10" t="s">
        <v>242</v>
      </c>
      <c r="T1372" s="10" t="s">
        <v>242</v>
      </c>
      <c r="U1372" s="10" t="s">
        <v>242</v>
      </c>
      <c r="V1372" s="10" t="s">
        <v>242</v>
      </c>
      <c r="W1372" s="10" t="s">
        <v>242</v>
      </c>
      <c r="X1372" s="15">
        <f>IF(ISERROR(VLOOKUP($A1372,'13. Updated Demand'!A:Z,15,FALSE)),0,VLOOKUP($A1372,'13. Updated Demand'!A:Z,15,FALSE))</f>
        <v>9.2069999999999999E-3</v>
      </c>
      <c r="Y1372" s="16">
        <f>IF(ISERROR(VLOOKUP($A1372,'13. Updated Demand'!A:Z,16,FALSE)),0,VLOOKUP($A1372,'13. Updated Demand'!A:Z,16,FALSE))</f>
        <v>9.2069999999999999E-3</v>
      </c>
      <c r="Z1372" s="16">
        <f>IF(ISERROR(VLOOKUP($A1372,'13. Updated Demand'!A:Z,17,FALSE)),0,VLOOKUP($A1372,'13. Updated Demand'!A:Z,17,FALSE))</f>
        <v>9.2069999999999999E-3</v>
      </c>
      <c r="AA1372" s="16">
        <f>IF(ISERROR(VLOOKUP($A1372,'13. Updated Demand'!A:Z,18,FALSE)),0,VLOOKUP($A1372,'13. Updated Demand'!A:Z,18,FALSE))</f>
        <v>1.5344E-2</v>
      </c>
      <c r="AB1372" s="16">
        <f>IF(ISERROR(VLOOKUP($A1372,'13. Updated Demand'!A:Z,19,FALSE)),0,VLOOKUP($A1372,'13. Updated Demand'!A:Z,19,FALSE))</f>
        <v>2.1482000000000001E-2</v>
      </c>
      <c r="AC1372" s="16">
        <f>IF(ISERROR(VLOOKUP($A1372,'13. Updated Demand'!A:Z,20,FALSE)),0,VLOOKUP($A1372,'13. Updated Demand'!A:Z,20,FALSE))</f>
        <v>2.1482000000000001E-2</v>
      </c>
      <c r="AD1372" s="16">
        <f>IF(ISERROR(VLOOKUP($A1372,'13. Updated Demand'!A:Z,21,FALSE)),0,VLOOKUP($A1372,'13. Updated Demand'!A:Z,21,FALSE))</f>
        <v>2.1482000000000001E-2</v>
      </c>
      <c r="AE1372" s="16">
        <f>IF(ISERROR(VLOOKUP($A1372,'13. Updated Demand'!A:Z,22,FALSE)),0,VLOOKUP($A1372,'13. Updated Demand'!A:Z,22,FALSE))</f>
        <v>2.1482000000000001E-2</v>
      </c>
      <c r="AF1372" s="16">
        <f>IF(ISERROR(VLOOKUP($A1372,'13. Updated Demand'!A:Z,23,FALSE)),0,VLOOKUP($A1372,'13. Updated Demand'!A:Z,23,FALSE))</f>
        <v>1.2482E-2</v>
      </c>
      <c r="AG1372" s="16">
        <f>IF(ISERROR(VLOOKUP($A1372,'13. Updated Demand'!A:Z,24,FALSE)),0,VLOOKUP($A1372,'13. Updated Demand'!A:Z,24,FALSE))</f>
        <v>1.2482E-2</v>
      </c>
      <c r="AH1372" s="16">
        <f>IF(ISERROR(VLOOKUP($A1372,'13. Updated Demand'!A:Z,25,FALSE)),0,VLOOKUP($A1372,'13. Updated Demand'!A:Z,25,FALSE))</f>
        <v>9.2069999999999999E-3</v>
      </c>
      <c r="AI1372" s="16">
        <f>IF(ISERROR(VLOOKUP($A1372,'13. Updated Demand'!A:Z,26,FALSE)),0,VLOOKUP($A1372,'13. Updated Demand'!A:Z,26,FALSE))</f>
        <v>9.2069999999999999E-3</v>
      </c>
      <c r="AJ1372" s="16">
        <f t="shared" si="266"/>
        <v>0.17227099999999998</v>
      </c>
      <c r="AK1372" s="19">
        <v>9.8409999999999997E-2</v>
      </c>
      <c r="AL1372" s="16">
        <f t="shared" si="264"/>
        <v>3.2641476004757107E-4</v>
      </c>
      <c r="AM1372" s="17">
        <v>0.57423666666666662</v>
      </c>
      <c r="AN1372" s="19"/>
      <c r="AO1372" s="19"/>
      <c r="AP1372" s="19">
        <v>0.3</v>
      </c>
      <c r="AQ1372" s="19" t="s">
        <v>307</v>
      </c>
      <c r="AR1372" s="9" t="s">
        <v>684</v>
      </c>
      <c r="AS1372" s="12">
        <v>3.4039024194010059E-4</v>
      </c>
      <c r="AT1372" s="19">
        <v>38.516239169999999</v>
      </c>
      <c r="AU1372" s="19">
        <v>-122.93269853</v>
      </c>
      <c r="AV1372" s="19" t="s">
        <v>417</v>
      </c>
    </row>
    <row r="1373" spans="1:48" x14ac:dyDescent="0.25">
      <c r="A1373" s="18" t="s">
        <v>1739</v>
      </c>
      <c r="B1373" s="10">
        <v>19370517</v>
      </c>
      <c r="C1373" s="9">
        <v>9</v>
      </c>
      <c r="D1373" s="8" t="str">
        <f t="shared" si="255"/>
        <v>N</v>
      </c>
      <c r="E1373" s="8" t="str">
        <f t="shared" si="256"/>
        <v>Y</v>
      </c>
      <c r="F1373" s="8" t="str">
        <f t="shared" si="257"/>
        <v>Y</v>
      </c>
      <c r="G1373" s="8" t="str">
        <f t="shared" si="258"/>
        <v>Y</v>
      </c>
      <c r="H1373" s="8" t="str">
        <f t="shared" si="259"/>
        <v>Upper</v>
      </c>
      <c r="I1373" s="8" t="str">
        <f t="shared" si="260"/>
        <v>West Fork and Below Lake</v>
      </c>
      <c r="J1373" s="8" t="str">
        <f t="shared" si="261"/>
        <v>Sonoma (d/s of Clov. Gage)</v>
      </c>
      <c r="K1373" s="8" t="str">
        <f t="shared" si="262"/>
        <v>Pre-1949</v>
      </c>
      <c r="L1373" s="8">
        <f t="shared" si="263"/>
        <v>1937</v>
      </c>
      <c r="M1373" s="8" t="str">
        <f t="shared" si="265"/>
        <v>Pre-1949 + 1949</v>
      </c>
      <c r="N1373" s="10" t="s">
        <v>241</v>
      </c>
      <c r="O1373" s="10" t="s">
        <v>241</v>
      </c>
      <c r="P1373" s="10" t="s">
        <v>242</v>
      </c>
      <c r="Q1373" s="10" t="s">
        <v>241</v>
      </c>
      <c r="R1373" s="10" t="s">
        <v>242</v>
      </c>
      <c r="S1373" s="10" t="s">
        <v>242</v>
      </c>
      <c r="T1373" s="10" t="s">
        <v>242</v>
      </c>
      <c r="U1373" s="10" t="s">
        <v>241</v>
      </c>
      <c r="V1373" s="10" t="s">
        <v>241</v>
      </c>
      <c r="W1373" s="10" t="s">
        <v>242</v>
      </c>
      <c r="X1373" s="15">
        <f>IF(ISERROR(VLOOKUP($A1373,'13. Updated Demand'!A:Z,15,FALSE)),0,VLOOKUP($A1373,'13. Updated Demand'!A:Z,15,FALSE))</f>
        <v>0</v>
      </c>
      <c r="Y1373" s="16">
        <f>IF(ISERROR(VLOOKUP($A1373,'13. Updated Demand'!A:Z,16,FALSE)),0,VLOOKUP($A1373,'13. Updated Demand'!A:Z,16,FALSE))</f>
        <v>0</v>
      </c>
      <c r="Z1373" s="16">
        <f>IF(ISERROR(VLOOKUP($A1373,'13. Updated Demand'!A:Z,17,FALSE)),0,VLOOKUP($A1373,'13. Updated Demand'!A:Z,17,FALSE))</f>
        <v>0</v>
      </c>
      <c r="AA1373" s="16">
        <f>IF(ISERROR(VLOOKUP($A1373,'13. Updated Demand'!A:Z,18,FALSE)),0,VLOOKUP($A1373,'13. Updated Demand'!A:Z,18,FALSE))</f>
        <v>0</v>
      </c>
      <c r="AB1373" s="16">
        <f>IF(ISERROR(VLOOKUP($A1373,'13. Updated Demand'!A:Z,19,FALSE)),0,VLOOKUP($A1373,'13. Updated Demand'!A:Z,19,FALSE))</f>
        <v>0</v>
      </c>
      <c r="AC1373" s="16">
        <f>IF(ISERROR(VLOOKUP($A1373,'13. Updated Demand'!A:Z,20,FALSE)),0,VLOOKUP($A1373,'13. Updated Demand'!A:Z,20,FALSE))</f>
        <v>0</v>
      </c>
      <c r="AD1373" s="16">
        <f>IF(ISERROR(VLOOKUP($A1373,'13. Updated Demand'!A:Z,21,FALSE)),0,VLOOKUP($A1373,'13. Updated Demand'!A:Z,21,FALSE))</f>
        <v>0</v>
      </c>
      <c r="AE1373" s="16">
        <f>IF(ISERROR(VLOOKUP($A1373,'13. Updated Demand'!A:Z,22,FALSE)),0,VLOOKUP($A1373,'13. Updated Demand'!A:Z,22,FALSE))</f>
        <v>0</v>
      </c>
      <c r="AF1373" s="16">
        <f>IF(ISERROR(VLOOKUP($A1373,'13. Updated Demand'!A:Z,23,FALSE)),0,VLOOKUP($A1373,'13. Updated Demand'!A:Z,23,FALSE))</f>
        <v>0</v>
      </c>
      <c r="AG1373" s="16">
        <f>IF(ISERROR(VLOOKUP($A1373,'13. Updated Demand'!A:Z,24,FALSE)),0,VLOOKUP($A1373,'13. Updated Demand'!A:Z,24,FALSE))</f>
        <v>0</v>
      </c>
      <c r="AH1373" s="16">
        <f>IF(ISERROR(VLOOKUP($A1373,'13. Updated Demand'!A:Z,25,FALSE)),0,VLOOKUP($A1373,'13. Updated Demand'!A:Z,25,FALSE))</f>
        <v>0</v>
      </c>
      <c r="AI1373" s="16">
        <f>IF(ISERROR(VLOOKUP($A1373,'13. Updated Demand'!A:Z,26,FALSE)),0,VLOOKUP($A1373,'13. Updated Demand'!A:Z,26,FALSE))</f>
        <v>0</v>
      </c>
      <c r="AJ1373" s="16">
        <f t="shared" si="266"/>
        <v>0</v>
      </c>
      <c r="AK1373" s="19">
        <v>0</v>
      </c>
      <c r="AL1373" s="16">
        <f t="shared" si="264"/>
        <v>0</v>
      </c>
      <c r="AM1373" s="17">
        <v>0</v>
      </c>
      <c r="AN1373" s="19"/>
      <c r="AO1373" s="19"/>
      <c r="AP1373" s="19">
        <v>183.5</v>
      </c>
      <c r="AQ1373" s="19" t="s">
        <v>307</v>
      </c>
      <c r="AR1373" s="9" t="s">
        <v>354</v>
      </c>
      <c r="AS1373" s="12">
        <v>0</v>
      </c>
      <c r="AT1373" s="19">
        <v>38.720195650000001</v>
      </c>
      <c r="AU1373" s="19">
        <v>-122.90750202</v>
      </c>
      <c r="AV1373" s="19" t="s">
        <v>387</v>
      </c>
    </row>
    <row r="1374" spans="1:48" x14ac:dyDescent="0.25">
      <c r="A1374" s="18" t="s">
        <v>1740</v>
      </c>
      <c r="B1374" s="10">
        <v>19310328</v>
      </c>
      <c r="C1374" s="9">
        <v>23</v>
      </c>
      <c r="D1374" s="8" t="str">
        <f t="shared" si="255"/>
        <v>N</v>
      </c>
      <c r="E1374" s="8" t="str">
        <f t="shared" si="256"/>
        <v>N</v>
      </c>
      <c r="F1374" s="8" t="str">
        <f t="shared" si="257"/>
        <v>N</v>
      </c>
      <c r="G1374" s="8" t="str">
        <f t="shared" si="258"/>
        <v>N</v>
      </c>
      <c r="H1374" s="8" t="str">
        <f t="shared" si="259"/>
        <v>Lower</v>
      </c>
      <c r="I1374" s="8" t="str">
        <f t="shared" si="260"/>
        <v>Outside</v>
      </c>
      <c r="J1374" s="8" t="str">
        <f t="shared" si="261"/>
        <v>Outside</v>
      </c>
      <c r="K1374" s="8" t="str">
        <f t="shared" si="262"/>
        <v>Pre-1949</v>
      </c>
      <c r="L1374" s="8">
        <f t="shared" si="263"/>
        <v>1931</v>
      </c>
      <c r="M1374" s="8" t="str">
        <f t="shared" si="265"/>
        <v>Pre-1949 + 1949</v>
      </c>
      <c r="N1374" s="10" t="s">
        <v>242</v>
      </c>
      <c r="O1374" s="10" t="s">
        <v>242</v>
      </c>
      <c r="P1374" s="10" t="s">
        <v>242</v>
      </c>
      <c r="Q1374" s="10" t="s">
        <v>241</v>
      </c>
      <c r="R1374" s="10" t="s">
        <v>242</v>
      </c>
      <c r="S1374" s="10" t="s">
        <v>242</v>
      </c>
      <c r="T1374" s="10" t="s">
        <v>242</v>
      </c>
      <c r="U1374" s="10" t="s">
        <v>242</v>
      </c>
      <c r="V1374" s="10" t="s">
        <v>242</v>
      </c>
      <c r="W1374" s="10" t="s">
        <v>242</v>
      </c>
      <c r="X1374" s="15">
        <f>IF(ISERROR(VLOOKUP($A1374,'13. Updated Demand'!A:Z,15,FALSE)),0,VLOOKUP($A1374,'13. Updated Demand'!A:Z,15,FALSE))</f>
        <v>1.1962667E-2</v>
      </c>
      <c r="Y1374" s="16">
        <f>IF(ISERROR(VLOOKUP($A1374,'13. Updated Demand'!A:Z,16,FALSE)),0,VLOOKUP($A1374,'13. Updated Demand'!A:Z,16,FALSE))</f>
        <v>1.0465667E-2</v>
      </c>
      <c r="Z1374" s="16">
        <f>IF(ISERROR(VLOOKUP($A1374,'13. Updated Demand'!A:Z,17,FALSE)),0,VLOOKUP($A1374,'13. Updated Demand'!A:Z,17,FALSE))</f>
        <v>1.2781667E-2</v>
      </c>
      <c r="AA1374" s="16">
        <f>IF(ISERROR(VLOOKUP($A1374,'13. Updated Demand'!A:Z,18,FALSE)),0,VLOOKUP($A1374,'13. Updated Demand'!A:Z,18,FALSE))</f>
        <v>1.8741667E-2</v>
      </c>
      <c r="AB1374" s="16">
        <f>IF(ISERROR(VLOOKUP($A1374,'13. Updated Demand'!A:Z,19,FALSE)),0,VLOOKUP($A1374,'13. Updated Demand'!A:Z,19,FALSE))</f>
        <v>2.2275333000000001E-2</v>
      </c>
      <c r="AC1374" s="16">
        <f>IF(ISERROR(VLOOKUP($A1374,'13. Updated Demand'!A:Z,20,FALSE)),0,VLOOKUP($A1374,'13. Updated Demand'!A:Z,20,FALSE))</f>
        <v>2.0174667E-2</v>
      </c>
      <c r="AD1374" s="16">
        <f>IF(ISERROR(VLOOKUP($A1374,'13. Updated Demand'!A:Z,21,FALSE)),0,VLOOKUP($A1374,'13. Updated Demand'!A:Z,21,FALSE))</f>
        <v>2.5719333E-2</v>
      </c>
      <c r="AE1374" s="16">
        <f>IF(ISERROR(VLOOKUP($A1374,'13. Updated Demand'!A:Z,22,FALSE)),0,VLOOKUP($A1374,'13. Updated Demand'!A:Z,22,FALSE))</f>
        <v>2.2730332999999998E-2</v>
      </c>
      <c r="AF1374" s="16">
        <f>IF(ISERROR(VLOOKUP($A1374,'13. Updated Demand'!A:Z,23,FALSE)),0,VLOOKUP($A1374,'13. Updated Demand'!A:Z,23,FALSE))</f>
        <v>2.3809332999999998E-2</v>
      </c>
      <c r="AG1374" s="16">
        <f>IF(ISERROR(VLOOKUP($A1374,'13. Updated Demand'!A:Z,24,FALSE)),0,VLOOKUP($A1374,'13. Updated Demand'!A:Z,24,FALSE))</f>
        <v>1.9190667000000002E-2</v>
      </c>
      <c r="AH1374" s="16">
        <f>IF(ISERROR(VLOOKUP($A1374,'13. Updated Demand'!A:Z,25,FALSE)),0,VLOOKUP($A1374,'13. Updated Demand'!A:Z,25,FALSE))</f>
        <v>1.0986667E-2</v>
      </c>
      <c r="AI1374" s="16">
        <f>IF(ISERROR(VLOOKUP($A1374,'13. Updated Demand'!A:Z,26,FALSE)),0,VLOOKUP($A1374,'13. Updated Demand'!A:Z,26,FALSE))</f>
        <v>8.1326669999999997E-3</v>
      </c>
      <c r="AJ1374" s="16">
        <f t="shared" si="266"/>
        <v>0.20697066800000002</v>
      </c>
      <c r="AK1374" s="19">
        <v>0.11470899999999989</v>
      </c>
      <c r="AL1374" s="16">
        <f t="shared" si="264"/>
        <v>3.804766864169982E-4</v>
      </c>
      <c r="AM1374" s="17">
        <v>7.9604102564102594E-2</v>
      </c>
      <c r="AN1374" s="19"/>
      <c r="AO1374" s="19"/>
      <c r="AP1374" s="19">
        <v>2.6</v>
      </c>
      <c r="AQ1374" s="19" t="s">
        <v>307</v>
      </c>
      <c r="AR1374" s="9" t="s">
        <v>323</v>
      </c>
      <c r="AS1374" s="12">
        <v>3.4039024194010059E-4</v>
      </c>
      <c r="AT1374" s="19">
        <v>38.544800000000002</v>
      </c>
      <c r="AU1374" s="19">
        <v>-122.6026</v>
      </c>
      <c r="AV1374" s="19" t="s">
        <v>1741</v>
      </c>
    </row>
    <row r="1375" spans="1:48" x14ac:dyDescent="0.25">
      <c r="A1375" s="18" t="s">
        <v>1742</v>
      </c>
      <c r="B1375" s="10">
        <v>19310714</v>
      </c>
      <c r="C1375" s="9">
        <v>19</v>
      </c>
      <c r="D1375" s="8" t="str">
        <f t="shared" si="255"/>
        <v>N</v>
      </c>
      <c r="E1375" s="8" t="str">
        <f t="shared" si="256"/>
        <v>N</v>
      </c>
      <c r="F1375" s="8" t="str">
        <f t="shared" si="257"/>
        <v>N</v>
      </c>
      <c r="G1375" s="8" t="str">
        <f t="shared" si="258"/>
        <v>N</v>
      </c>
      <c r="H1375" s="8" t="str">
        <f t="shared" si="259"/>
        <v>Lower</v>
      </c>
      <c r="I1375" s="8" t="str">
        <f t="shared" si="260"/>
        <v>Outside</v>
      </c>
      <c r="J1375" s="8" t="str">
        <f t="shared" si="261"/>
        <v>Outside</v>
      </c>
      <c r="K1375" s="8" t="str">
        <f t="shared" si="262"/>
        <v>Pre-1949</v>
      </c>
      <c r="L1375" s="8">
        <f t="shared" si="263"/>
        <v>1931</v>
      </c>
      <c r="M1375" s="8" t="str">
        <f t="shared" si="265"/>
        <v>Pre-1949 + 1949</v>
      </c>
      <c r="N1375" s="10" t="s">
        <v>242</v>
      </c>
      <c r="O1375" s="10" t="s">
        <v>242</v>
      </c>
      <c r="P1375" s="10" t="s">
        <v>242</v>
      </c>
      <c r="Q1375" s="10" t="s">
        <v>241</v>
      </c>
      <c r="R1375" s="10" t="s">
        <v>242</v>
      </c>
      <c r="S1375" s="10" t="s">
        <v>242</v>
      </c>
      <c r="T1375" s="10" t="s">
        <v>242</v>
      </c>
      <c r="U1375" s="10" t="s">
        <v>241</v>
      </c>
      <c r="V1375" s="10" t="s">
        <v>241</v>
      </c>
      <c r="W1375" s="10" t="s">
        <v>242</v>
      </c>
      <c r="X1375" s="15">
        <f>IF(ISERROR(VLOOKUP($A1375,'13. Updated Demand'!A:Z,15,FALSE)),0,VLOOKUP($A1375,'13. Updated Demand'!A:Z,15,FALSE))</f>
        <v>0</v>
      </c>
      <c r="Y1375" s="16">
        <f>IF(ISERROR(VLOOKUP($A1375,'13. Updated Demand'!A:Z,16,FALSE)),0,VLOOKUP($A1375,'13. Updated Demand'!A:Z,16,FALSE))</f>
        <v>0</v>
      </c>
      <c r="Z1375" s="16">
        <f>IF(ISERROR(VLOOKUP($A1375,'13. Updated Demand'!A:Z,17,FALSE)),0,VLOOKUP($A1375,'13. Updated Demand'!A:Z,17,FALSE))</f>
        <v>0</v>
      </c>
      <c r="AA1375" s="16">
        <f>IF(ISERROR(VLOOKUP($A1375,'13. Updated Demand'!A:Z,18,FALSE)),0,VLOOKUP($A1375,'13. Updated Demand'!A:Z,18,FALSE))</f>
        <v>0</v>
      </c>
      <c r="AB1375" s="16">
        <f>IF(ISERROR(VLOOKUP($A1375,'13. Updated Demand'!A:Z,19,FALSE)),0,VLOOKUP($A1375,'13. Updated Demand'!A:Z,19,FALSE))</f>
        <v>0</v>
      </c>
      <c r="AC1375" s="16">
        <f>IF(ISERROR(VLOOKUP($A1375,'13. Updated Demand'!A:Z,20,FALSE)),0,VLOOKUP($A1375,'13. Updated Demand'!A:Z,20,FALSE))</f>
        <v>0</v>
      </c>
      <c r="AD1375" s="16">
        <f>IF(ISERROR(VLOOKUP($A1375,'13. Updated Demand'!A:Z,21,FALSE)),0,VLOOKUP($A1375,'13. Updated Demand'!A:Z,21,FALSE))</f>
        <v>0</v>
      </c>
      <c r="AE1375" s="16">
        <f>IF(ISERROR(VLOOKUP($A1375,'13. Updated Demand'!A:Z,22,FALSE)),0,VLOOKUP($A1375,'13. Updated Demand'!A:Z,22,FALSE))</f>
        <v>0</v>
      </c>
      <c r="AF1375" s="16">
        <f>IF(ISERROR(VLOOKUP($A1375,'13. Updated Demand'!A:Z,23,FALSE)),0,VLOOKUP($A1375,'13. Updated Demand'!A:Z,23,FALSE))</f>
        <v>0</v>
      </c>
      <c r="AG1375" s="16">
        <f>IF(ISERROR(VLOOKUP($A1375,'13. Updated Demand'!A:Z,24,FALSE)),0,VLOOKUP($A1375,'13. Updated Demand'!A:Z,24,FALSE))</f>
        <v>0</v>
      </c>
      <c r="AH1375" s="16">
        <f>IF(ISERROR(VLOOKUP($A1375,'13. Updated Demand'!A:Z,25,FALSE)),0,VLOOKUP($A1375,'13. Updated Demand'!A:Z,25,FALSE))</f>
        <v>0</v>
      </c>
      <c r="AI1375" s="16">
        <f>IF(ISERROR(VLOOKUP($A1375,'13. Updated Demand'!A:Z,26,FALSE)),0,VLOOKUP($A1375,'13. Updated Demand'!A:Z,26,FALSE))</f>
        <v>0</v>
      </c>
      <c r="AJ1375" s="16">
        <f t="shared" si="266"/>
        <v>0</v>
      </c>
      <c r="AK1375" s="19">
        <v>0</v>
      </c>
      <c r="AL1375" s="16">
        <f t="shared" si="264"/>
        <v>0</v>
      </c>
      <c r="AM1375" s="17">
        <v>0</v>
      </c>
      <c r="AN1375" s="19"/>
      <c r="AO1375" s="19"/>
      <c r="AP1375" s="19">
        <v>28</v>
      </c>
      <c r="AQ1375" s="19" t="s">
        <v>307</v>
      </c>
      <c r="AR1375" s="9" t="s">
        <v>684</v>
      </c>
      <c r="AS1375" s="12">
        <v>3.4039024194010059E-4</v>
      </c>
      <c r="AT1375" s="19">
        <v>38.515722269999998</v>
      </c>
      <c r="AU1375" s="19">
        <v>-122.92867225000001</v>
      </c>
      <c r="AV1375" s="19" t="s">
        <v>417</v>
      </c>
    </row>
    <row r="1376" spans="1:48" x14ac:dyDescent="0.25">
      <c r="A1376" s="18" t="s">
        <v>1743</v>
      </c>
      <c r="B1376" s="10">
        <v>19300416</v>
      </c>
      <c r="C1376" s="9">
        <v>1</v>
      </c>
      <c r="D1376" s="8" t="str">
        <f t="shared" si="255"/>
        <v>N</v>
      </c>
      <c r="E1376" s="8" t="str">
        <f t="shared" si="256"/>
        <v>N</v>
      </c>
      <c r="F1376" s="8" t="str">
        <f t="shared" si="257"/>
        <v>Y</v>
      </c>
      <c r="G1376" s="8" t="str">
        <f t="shared" si="258"/>
        <v>Y</v>
      </c>
      <c r="H1376" s="8" t="str">
        <f t="shared" si="259"/>
        <v>Upper</v>
      </c>
      <c r="I1376" s="8" t="str">
        <f t="shared" si="260"/>
        <v>West Fork and Below Lake</v>
      </c>
      <c r="J1376" s="8" t="str">
        <f t="shared" si="261"/>
        <v>Outside</v>
      </c>
      <c r="K1376" s="8" t="str">
        <f t="shared" si="262"/>
        <v>Pre-1949</v>
      </c>
      <c r="L1376" s="8">
        <f t="shared" si="263"/>
        <v>1930</v>
      </c>
      <c r="M1376" s="8" t="str">
        <f t="shared" si="265"/>
        <v>Pre-1949 + 1949</v>
      </c>
      <c r="N1376" s="10" t="s">
        <v>242</v>
      </c>
      <c r="O1376" s="10" t="s">
        <v>241</v>
      </c>
      <c r="P1376" s="10" t="s">
        <v>242</v>
      </c>
      <c r="Q1376" s="10" t="s">
        <v>241</v>
      </c>
      <c r="R1376" s="10" t="s">
        <v>242</v>
      </c>
      <c r="S1376" s="10" t="s">
        <v>242</v>
      </c>
      <c r="T1376" s="10" t="s">
        <v>242</v>
      </c>
      <c r="U1376" s="10" t="s">
        <v>241</v>
      </c>
      <c r="V1376" s="10" t="s">
        <v>241</v>
      </c>
      <c r="W1376" s="10" t="s">
        <v>242</v>
      </c>
      <c r="X1376" s="15">
        <f>IF(ISERROR(VLOOKUP($A1376,'13. Updated Demand'!A:Z,15,FALSE)),0,VLOOKUP($A1376,'13. Updated Demand'!A:Z,15,FALSE))</f>
        <v>0</v>
      </c>
      <c r="Y1376" s="16">
        <f>IF(ISERROR(VLOOKUP($A1376,'13. Updated Demand'!A:Z,16,FALSE)),0,VLOOKUP($A1376,'13. Updated Demand'!A:Z,16,FALSE))</f>
        <v>0</v>
      </c>
      <c r="Z1376" s="16">
        <f>IF(ISERROR(VLOOKUP($A1376,'13. Updated Demand'!A:Z,17,FALSE)),0,VLOOKUP($A1376,'13. Updated Demand'!A:Z,17,FALSE))</f>
        <v>0</v>
      </c>
      <c r="AA1376" s="16">
        <f>IF(ISERROR(VLOOKUP($A1376,'13. Updated Demand'!A:Z,18,FALSE)),0,VLOOKUP($A1376,'13. Updated Demand'!A:Z,18,FALSE))</f>
        <v>0</v>
      </c>
      <c r="AB1376" s="16">
        <f>IF(ISERROR(VLOOKUP($A1376,'13. Updated Demand'!A:Z,19,FALSE)),0,VLOOKUP($A1376,'13. Updated Demand'!A:Z,19,FALSE))</f>
        <v>0</v>
      </c>
      <c r="AC1376" s="16">
        <f>IF(ISERROR(VLOOKUP($A1376,'13. Updated Demand'!A:Z,20,FALSE)),0,VLOOKUP($A1376,'13. Updated Demand'!A:Z,20,FALSE))</f>
        <v>0</v>
      </c>
      <c r="AD1376" s="16">
        <f>IF(ISERROR(VLOOKUP($A1376,'13. Updated Demand'!A:Z,21,FALSE)),0,VLOOKUP($A1376,'13. Updated Demand'!A:Z,21,FALSE))</f>
        <v>0</v>
      </c>
      <c r="AE1376" s="16">
        <f>IF(ISERROR(VLOOKUP($A1376,'13. Updated Demand'!A:Z,22,FALSE)),0,VLOOKUP($A1376,'13. Updated Demand'!A:Z,22,FALSE))</f>
        <v>0</v>
      </c>
      <c r="AF1376" s="16">
        <f>IF(ISERROR(VLOOKUP($A1376,'13. Updated Demand'!A:Z,23,FALSE)),0,VLOOKUP($A1376,'13. Updated Demand'!A:Z,23,FALSE))</f>
        <v>0</v>
      </c>
      <c r="AG1376" s="16">
        <f>IF(ISERROR(VLOOKUP($A1376,'13. Updated Demand'!A:Z,24,FALSE)),0,VLOOKUP($A1376,'13. Updated Demand'!A:Z,24,FALSE))</f>
        <v>0</v>
      </c>
      <c r="AH1376" s="16">
        <f>IF(ISERROR(VLOOKUP($A1376,'13. Updated Demand'!A:Z,25,FALSE)),0,VLOOKUP($A1376,'13. Updated Demand'!A:Z,25,FALSE))</f>
        <v>0</v>
      </c>
      <c r="AI1376" s="16">
        <f>IF(ISERROR(VLOOKUP($A1376,'13. Updated Demand'!A:Z,26,FALSE)),0,VLOOKUP($A1376,'13. Updated Demand'!A:Z,26,FALSE))</f>
        <v>0</v>
      </c>
      <c r="AJ1376" s="16">
        <f t="shared" si="266"/>
        <v>0</v>
      </c>
      <c r="AK1376" s="19">
        <v>0</v>
      </c>
      <c r="AL1376" s="16">
        <f t="shared" si="264"/>
        <v>0</v>
      </c>
      <c r="AM1376" s="17">
        <v>0</v>
      </c>
      <c r="AN1376" s="19"/>
      <c r="AO1376" s="19"/>
      <c r="AP1376" s="19">
        <v>365</v>
      </c>
      <c r="AQ1376" s="19" t="s">
        <v>307</v>
      </c>
      <c r="AR1376" s="9" t="s">
        <v>317</v>
      </c>
      <c r="AS1376" s="12">
        <v>0</v>
      </c>
      <c r="AT1376" s="19">
        <v>39.249927040000003</v>
      </c>
      <c r="AU1376" s="19">
        <v>-123.20600424</v>
      </c>
      <c r="AV1376" s="19" t="s">
        <v>713</v>
      </c>
    </row>
    <row r="1377" spans="1:48" x14ac:dyDescent="0.25">
      <c r="A1377" s="18" t="s">
        <v>1744</v>
      </c>
      <c r="B1377" s="10">
        <v>19300926</v>
      </c>
      <c r="C1377" s="9">
        <v>1</v>
      </c>
      <c r="D1377" s="8" t="str">
        <f t="shared" si="255"/>
        <v>N</v>
      </c>
      <c r="E1377" s="8" t="str">
        <f t="shared" si="256"/>
        <v>N</v>
      </c>
      <c r="F1377" s="8" t="str">
        <f t="shared" si="257"/>
        <v>Y</v>
      </c>
      <c r="G1377" s="8" t="str">
        <f t="shared" si="258"/>
        <v>Y</v>
      </c>
      <c r="H1377" s="8" t="str">
        <f t="shared" si="259"/>
        <v>Upper</v>
      </c>
      <c r="I1377" s="8" t="str">
        <f t="shared" si="260"/>
        <v>West Fork and Below Lake</v>
      </c>
      <c r="J1377" s="8" t="str">
        <f t="shared" si="261"/>
        <v>Outside</v>
      </c>
      <c r="K1377" s="8" t="str">
        <f t="shared" si="262"/>
        <v>Pre-1949</v>
      </c>
      <c r="L1377" s="8">
        <f t="shared" si="263"/>
        <v>1930</v>
      </c>
      <c r="M1377" s="8" t="str">
        <f t="shared" si="265"/>
        <v>Pre-1949 + 1949</v>
      </c>
      <c r="N1377" s="10" t="s">
        <v>242</v>
      </c>
      <c r="O1377" s="10" t="s">
        <v>241</v>
      </c>
      <c r="P1377" s="10" t="s">
        <v>242</v>
      </c>
      <c r="Q1377" s="10" t="s">
        <v>241</v>
      </c>
      <c r="R1377" s="10" t="s">
        <v>242</v>
      </c>
      <c r="S1377" s="10" t="s">
        <v>242</v>
      </c>
      <c r="T1377" s="10" t="s">
        <v>242</v>
      </c>
      <c r="U1377" s="10" t="s">
        <v>241</v>
      </c>
      <c r="V1377" s="10" t="s">
        <v>241</v>
      </c>
      <c r="W1377" s="10" t="s">
        <v>242</v>
      </c>
      <c r="X1377" s="15">
        <f>IF(ISERROR(VLOOKUP($A1377,'13. Updated Demand'!A:Z,15,FALSE)),0,VLOOKUP($A1377,'13. Updated Demand'!A:Z,15,FALSE))</f>
        <v>0</v>
      </c>
      <c r="Y1377" s="16">
        <f>IF(ISERROR(VLOOKUP($A1377,'13. Updated Demand'!A:Z,16,FALSE)),0,VLOOKUP($A1377,'13. Updated Demand'!A:Z,16,FALSE))</f>
        <v>0</v>
      </c>
      <c r="Z1377" s="16">
        <f>IF(ISERROR(VLOOKUP($A1377,'13. Updated Demand'!A:Z,17,FALSE)),0,VLOOKUP($A1377,'13. Updated Demand'!A:Z,17,FALSE))</f>
        <v>0</v>
      </c>
      <c r="AA1377" s="16">
        <f>IF(ISERROR(VLOOKUP($A1377,'13. Updated Demand'!A:Z,18,FALSE)),0,VLOOKUP($A1377,'13. Updated Demand'!A:Z,18,FALSE))</f>
        <v>0</v>
      </c>
      <c r="AB1377" s="16">
        <f>IF(ISERROR(VLOOKUP($A1377,'13. Updated Demand'!A:Z,19,FALSE)),0,VLOOKUP($A1377,'13. Updated Demand'!A:Z,19,FALSE))</f>
        <v>0</v>
      </c>
      <c r="AC1377" s="16">
        <f>IF(ISERROR(VLOOKUP($A1377,'13. Updated Demand'!A:Z,20,FALSE)),0,VLOOKUP($A1377,'13. Updated Demand'!A:Z,20,FALSE))</f>
        <v>0</v>
      </c>
      <c r="AD1377" s="16">
        <f>IF(ISERROR(VLOOKUP($A1377,'13. Updated Demand'!A:Z,21,FALSE)),0,VLOOKUP($A1377,'13. Updated Demand'!A:Z,21,FALSE))</f>
        <v>0</v>
      </c>
      <c r="AE1377" s="16">
        <f>IF(ISERROR(VLOOKUP($A1377,'13. Updated Demand'!A:Z,22,FALSE)),0,VLOOKUP($A1377,'13. Updated Demand'!A:Z,22,FALSE))</f>
        <v>0</v>
      </c>
      <c r="AF1377" s="16">
        <f>IF(ISERROR(VLOOKUP($A1377,'13. Updated Demand'!A:Z,23,FALSE)),0,VLOOKUP($A1377,'13. Updated Demand'!A:Z,23,FALSE))</f>
        <v>0</v>
      </c>
      <c r="AG1377" s="16">
        <f>IF(ISERROR(VLOOKUP($A1377,'13. Updated Demand'!A:Z,24,FALSE)),0,VLOOKUP($A1377,'13. Updated Demand'!A:Z,24,FALSE))</f>
        <v>0</v>
      </c>
      <c r="AH1377" s="16">
        <f>IF(ISERROR(VLOOKUP($A1377,'13. Updated Demand'!A:Z,25,FALSE)),0,VLOOKUP($A1377,'13. Updated Demand'!A:Z,25,FALSE))</f>
        <v>0</v>
      </c>
      <c r="AI1377" s="16">
        <f>IF(ISERROR(VLOOKUP($A1377,'13. Updated Demand'!A:Z,26,FALSE)),0,VLOOKUP($A1377,'13. Updated Demand'!A:Z,26,FALSE))</f>
        <v>0</v>
      </c>
      <c r="AJ1377" s="16">
        <f t="shared" si="266"/>
        <v>0</v>
      </c>
      <c r="AK1377" s="19">
        <v>0</v>
      </c>
      <c r="AL1377" s="16">
        <f t="shared" si="264"/>
        <v>0</v>
      </c>
      <c r="AM1377" s="17">
        <v>0</v>
      </c>
      <c r="AN1377" s="19"/>
      <c r="AO1377" s="19"/>
      <c r="AP1377" s="19">
        <v>15.2</v>
      </c>
      <c r="AQ1377" s="19" t="s">
        <v>307</v>
      </c>
      <c r="AR1377" s="9" t="s">
        <v>317</v>
      </c>
      <c r="AS1377" s="12">
        <v>0</v>
      </c>
      <c r="AT1377" s="19">
        <v>39.286404109999999</v>
      </c>
      <c r="AU1377" s="19">
        <v>-123.21016064</v>
      </c>
      <c r="AV1377" s="19" t="s">
        <v>456</v>
      </c>
    </row>
    <row r="1378" spans="1:48" x14ac:dyDescent="0.25">
      <c r="A1378" s="18" t="s">
        <v>1745</v>
      </c>
      <c r="B1378" s="10">
        <v>19301226</v>
      </c>
      <c r="C1378" s="9">
        <v>5</v>
      </c>
      <c r="D1378" s="8" t="str">
        <f t="shared" si="255"/>
        <v>Y</v>
      </c>
      <c r="E1378" s="8" t="str">
        <f t="shared" si="256"/>
        <v>N</v>
      </c>
      <c r="F1378" s="8" t="str">
        <f t="shared" si="257"/>
        <v>Y</v>
      </c>
      <c r="G1378" s="8" t="str">
        <f t="shared" si="258"/>
        <v>Y</v>
      </c>
      <c r="H1378" s="8" t="str">
        <f t="shared" si="259"/>
        <v>Upper</v>
      </c>
      <c r="I1378" s="8" t="str">
        <f t="shared" si="260"/>
        <v>West Fork and Below Lake</v>
      </c>
      <c r="J1378" s="8" t="str">
        <f t="shared" si="261"/>
        <v>Mendocino (d/s of lake)</v>
      </c>
      <c r="K1378" s="8" t="str">
        <f t="shared" si="262"/>
        <v>Pre-1949</v>
      </c>
      <c r="L1378" s="8">
        <f t="shared" si="263"/>
        <v>1930</v>
      </c>
      <c r="M1378" s="8" t="str">
        <f t="shared" si="265"/>
        <v>Pre-1949 + 1949</v>
      </c>
      <c r="N1378" s="10" t="s">
        <v>241</v>
      </c>
      <c r="O1378" s="10" t="s">
        <v>241</v>
      </c>
      <c r="P1378" s="10" t="s">
        <v>242</v>
      </c>
      <c r="Q1378" s="10" t="s">
        <v>241</v>
      </c>
      <c r="R1378" s="10" t="s">
        <v>242</v>
      </c>
      <c r="S1378" s="10" t="s">
        <v>242</v>
      </c>
      <c r="T1378" s="10" t="s">
        <v>242</v>
      </c>
      <c r="U1378" s="10" t="s">
        <v>241</v>
      </c>
      <c r="V1378" s="10" t="s">
        <v>241</v>
      </c>
      <c r="W1378" s="10" t="s">
        <v>242</v>
      </c>
      <c r="X1378" s="15">
        <f>IF(ISERROR(VLOOKUP($A1378,'13. Updated Demand'!A:Z,15,FALSE)),0,VLOOKUP($A1378,'13. Updated Demand'!A:Z,15,FALSE))</f>
        <v>0</v>
      </c>
      <c r="Y1378" s="16">
        <f>IF(ISERROR(VLOOKUP($A1378,'13. Updated Demand'!A:Z,16,FALSE)),0,VLOOKUP($A1378,'13. Updated Demand'!A:Z,16,FALSE))</f>
        <v>0</v>
      </c>
      <c r="Z1378" s="16">
        <f>IF(ISERROR(VLOOKUP($A1378,'13. Updated Demand'!A:Z,17,FALSE)),0,VLOOKUP($A1378,'13. Updated Demand'!A:Z,17,FALSE))</f>
        <v>0</v>
      </c>
      <c r="AA1378" s="16">
        <f>IF(ISERROR(VLOOKUP($A1378,'13. Updated Demand'!A:Z,18,FALSE)),0,VLOOKUP($A1378,'13. Updated Demand'!A:Z,18,FALSE))</f>
        <v>0</v>
      </c>
      <c r="AB1378" s="16">
        <f>IF(ISERROR(VLOOKUP($A1378,'13. Updated Demand'!A:Z,19,FALSE)),0,VLOOKUP($A1378,'13. Updated Demand'!A:Z,19,FALSE))</f>
        <v>0</v>
      </c>
      <c r="AC1378" s="16">
        <f>IF(ISERROR(VLOOKUP($A1378,'13. Updated Demand'!A:Z,20,FALSE)),0,VLOOKUP($A1378,'13. Updated Demand'!A:Z,20,FALSE))</f>
        <v>0</v>
      </c>
      <c r="AD1378" s="16">
        <f>IF(ISERROR(VLOOKUP($A1378,'13. Updated Demand'!A:Z,21,FALSE)),0,VLOOKUP($A1378,'13. Updated Demand'!A:Z,21,FALSE))</f>
        <v>0</v>
      </c>
      <c r="AE1378" s="16">
        <f>IF(ISERROR(VLOOKUP($A1378,'13. Updated Demand'!A:Z,22,FALSE)),0,VLOOKUP($A1378,'13. Updated Demand'!A:Z,22,FALSE))</f>
        <v>0</v>
      </c>
      <c r="AF1378" s="16">
        <f>IF(ISERROR(VLOOKUP($A1378,'13. Updated Demand'!A:Z,23,FALSE)),0,VLOOKUP($A1378,'13. Updated Demand'!A:Z,23,FALSE))</f>
        <v>0</v>
      </c>
      <c r="AG1378" s="16">
        <f>IF(ISERROR(VLOOKUP($A1378,'13. Updated Demand'!A:Z,24,FALSE)),0,VLOOKUP($A1378,'13. Updated Demand'!A:Z,24,FALSE))</f>
        <v>0</v>
      </c>
      <c r="AH1378" s="16">
        <f>IF(ISERROR(VLOOKUP($A1378,'13. Updated Demand'!A:Z,25,FALSE)),0,VLOOKUP($A1378,'13. Updated Demand'!A:Z,25,FALSE))</f>
        <v>0</v>
      </c>
      <c r="AI1378" s="16">
        <f>IF(ISERROR(VLOOKUP($A1378,'13. Updated Demand'!A:Z,26,FALSE)),0,VLOOKUP($A1378,'13. Updated Demand'!A:Z,26,FALSE))</f>
        <v>0</v>
      </c>
      <c r="AJ1378" s="16">
        <f t="shared" si="266"/>
        <v>0</v>
      </c>
      <c r="AK1378" s="19">
        <v>0</v>
      </c>
      <c r="AL1378" s="16">
        <f t="shared" si="264"/>
        <v>0</v>
      </c>
      <c r="AM1378" s="17">
        <v>0</v>
      </c>
      <c r="AN1378" s="19"/>
      <c r="AO1378" s="19"/>
      <c r="AP1378" s="19">
        <v>29.4</v>
      </c>
      <c r="AQ1378" s="19" t="s">
        <v>307</v>
      </c>
      <c r="AR1378" s="9" t="s">
        <v>333</v>
      </c>
      <c r="AS1378" s="12">
        <v>0</v>
      </c>
      <c r="AT1378" s="19">
        <v>39.107756180000003</v>
      </c>
      <c r="AU1378" s="19">
        <v>-123.18596230999999</v>
      </c>
      <c r="AV1378" s="19" t="s">
        <v>387</v>
      </c>
    </row>
    <row r="1379" spans="1:48" x14ac:dyDescent="0.25">
      <c r="A1379" s="18" t="s">
        <v>121</v>
      </c>
      <c r="B1379" s="10">
        <v>19301226</v>
      </c>
      <c r="C1379" s="9">
        <v>5</v>
      </c>
      <c r="D1379" s="8" t="str">
        <f t="shared" si="255"/>
        <v>Y</v>
      </c>
      <c r="E1379" s="8" t="str">
        <f t="shared" si="256"/>
        <v>N</v>
      </c>
      <c r="F1379" s="8" t="str">
        <f t="shared" si="257"/>
        <v>Y</v>
      </c>
      <c r="G1379" s="8" t="str">
        <f t="shared" si="258"/>
        <v>Y</v>
      </c>
      <c r="H1379" s="8" t="str">
        <f t="shared" si="259"/>
        <v>Upper</v>
      </c>
      <c r="I1379" s="8" t="str">
        <f t="shared" si="260"/>
        <v>West Fork and Below Lake</v>
      </c>
      <c r="J1379" s="8" t="str">
        <f t="shared" si="261"/>
        <v>Mendocino (d/s of lake)</v>
      </c>
      <c r="K1379" s="8" t="str">
        <f t="shared" si="262"/>
        <v>Pre-1949</v>
      </c>
      <c r="L1379" s="8">
        <f t="shared" si="263"/>
        <v>1930</v>
      </c>
      <c r="M1379" s="8" t="str">
        <f t="shared" si="265"/>
        <v>Pre-1949 + 1949</v>
      </c>
      <c r="N1379" s="10" t="s">
        <v>241</v>
      </c>
      <c r="O1379" s="10" t="s">
        <v>241</v>
      </c>
      <c r="P1379" s="10" t="s">
        <v>242</v>
      </c>
      <c r="Q1379" s="10" t="s">
        <v>241</v>
      </c>
      <c r="R1379" s="10" t="s">
        <v>242</v>
      </c>
      <c r="S1379" s="10" t="s">
        <v>242</v>
      </c>
      <c r="T1379" s="10" t="s">
        <v>242</v>
      </c>
      <c r="U1379" s="10" t="s">
        <v>242</v>
      </c>
      <c r="V1379" s="10" t="s">
        <v>242</v>
      </c>
      <c r="W1379" s="10" t="s">
        <v>242</v>
      </c>
      <c r="X1379" s="15">
        <f>IF(ISERROR(VLOOKUP($A1379,'13. Updated Demand'!A:Z,15,FALSE)),0,VLOOKUP($A1379,'13. Updated Demand'!A:Z,15,FALSE))</f>
        <v>0</v>
      </c>
      <c r="Y1379" s="16">
        <f>IF(ISERROR(VLOOKUP($A1379,'13. Updated Demand'!A:Z,16,FALSE)),0,VLOOKUP($A1379,'13. Updated Demand'!A:Z,16,FALSE))</f>
        <v>0</v>
      </c>
      <c r="Z1379" s="16">
        <f>IF(ISERROR(VLOOKUP($A1379,'13. Updated Demand'!A:Z,17,FALSE)),0,VLOOKUP($A1379,'13. Updated Demand'!A:Z,17,FALSE))</f>
        <v>0</v>
      </c>
      <c r="AA1379" s="16">
        <f>IF(ISERROR(VLOOKUP($A1379,'13. Updated Demand'!A:Z,18,FALSE)),0,VLOOKUP($A1379,'13. Updated Demand'!A:Z,18,FALSE))</f>
        <v>0</v>
      </c>
      <c r="AB1379" s="16">
        <f>IF(ISERROR(VLOOKUP($A1379,'13. Updated Demand'!A:Z,19,FALSE)),0,VLOOKUP($A1379,'13. Updated Demand'!A:Z,19,FALSE))</f>
        <v>0.18</v>
      </c>
      <c r="AC1379" s="16">
        <f>IF(ISERROR(VLOOKUP($A1379,'13. Updated Demand'!A:Z,20,FALSE)),0,VLOOKUP($A1379,'13. Updated Demand'!A:Z,20,FALSE))</f>
        <v>2.4700000000000002</v>
      </c>
      <c r="AD1379" s="16">
        <f>IF(ISERROR(VLOOKUP($A1379,'13. Updated Demand'!A:Z,21,FALSE)),0,VLOOKUP($A1379,'13. Updated Demand'!A:Z,21,FALSE))</f>
        <v>4.01</v>
      </c>
      <c r="AE1379" s="16">
        <f>IF(ISERROR(VLOOKUP($A1379,'13. Updated Demand'!A:Z,22,FALSE)),0,VLOOKUP($A1379,'13. Updated Demand'!A:Z,22,FALSE))</f>
        <v>3.15</v>
      </c>
      <c r="AF1379" s="16">
        <f>IF(ISERROR(VLOOKUP($A1379,'13. Updated Demand'!A:Z,23,FALSE)),0,VLOOKUP($A1379,'13. Updated Demand'!A:Z,23,FALSE))</f>
        <v>0</v>
      </c>
      <c r="AG1379" s="16">
        <f>IF(ISERROR(VLOOKUP($A1379,'13. Updated Demand'!A:Z,24,FALSE)),0,VLOOKUP($A1379,'13. Updated Demand'!A:Z,24,FALSE))</f>
        <v>0</v>
      </c>
      <c r="AH1379" s="16">
        <f>IF(ISERROR(VLOOKUP($A1379,'13. Updated Demand'!A:Z,25,FALSE)),0,VLOOKUP($A1379,'13. Updated Demand'!A:Z,25,FALSE))</f>
        <v>0</v>
      </c>
      <c r="AI1379" s="16">
        <f>IF(ISERROR(VLOOKUP($A1379,'13. Updated Demand'!A:Z,26,FALSE)),0,VLOOKUP($A1379,'13. Updated Demand'!A:Z,26,FALSE))</f>
        <v>0</v>
      </c>
      <c r="AJ1379" s="16">
        <f t="shared" si="266"/>
        <v>9.81</v>
      </c>
      <c r="AK1379" s="19">
        <v>9.8166666666666611</v>
      </c>
      <c r="AL1379" s="16">
        <f t="shared" si="264"/>
        <v>3.256076510991756E-2</v>
      </c>
      <c r="AM1379" s="26">
        <v>8.8678109003312203E-2</v>
      </c>
      <c r="AN1379" s="19"/>
      <c r="AO1379" s="19"/>
      <c r="AP1379" s="19">
        <v>110.7</v>
      </c>
      <c r="AQ1379" s="19" t="s">
        <v>307</v>
      </c>
      <c r="AR1379" s="9" t="s">
        <v>333</v>
      </c>
      <c r="AS1379" s="12">
        <v>0</v>
      </c>
      <c r="AT1379" s="19">
        <v>39.106675860000003</v>
      </c>
      <c r="AU1379" s="19">
        <v>-123.18418199</v>
      </c>
      <c r="AV1379" s="19" t="s">
        <v>387</v>
      </c>
    </row>
    <row r="1380" spans="1:48" x14ac:dyDescent="0.25">
      <c r="A1380" s="18" t="s">
        <v>1746</v>
      </c>
      <c r="B1380" s="10">
        <v>19291021</v>
      </c>
      <c r="C1380" s="9">
        <v>1</v>
      </c>
      <c r="D1380" s="8" t="str">
        <f t="shared" si="255"/>
        <v>N</v>
      </c>
      <c r="E1380" s="8" t="str">
        <f t="shared" si="256"/>
        <v>N</v>
      </c>
      <c r="F1380" s="8" t="str">
        <f t="shared" si="257"/>
        <v>Y</v>
      </c>
      <c r="G1380" s="8" t="str">
        <f t="shared" si="258"/>
        <v>Y</v>
      </c>
      <c r="H1380" s="8" t="str">
        <f t="shared" si="259"/>
        <v>Upper</v>
      </c>
      <c r="I1380" s="8" t="str">
        <f t="shared" si="260"/>
        <v>West Fork and Below Lake</v>
      </c>
      <c r="J1380" s="8" t="str">
        <f t="shared" si="261"/>
        <v>Outside</v>
      </c>
      <c r="K1380" s="8" t="str">
        <f t="shared" si="262"/>
        <v>Pre-1949</v>
      </c>
      <c r="L1380" s="8">
        <f t="shared" si="263"/>
        <v>1929</v>
      </c>
      <c r="M1380" s="8" t="str">
        <f t="shared" si="265"/>
        <v>Pre-1949 + 1949</v>
      </c>
      <c r="N1380" s="10" t="s">
        <v>242</v>
      </c>
      <c r="O1380" s="10" t="s">
        <v>241</v>
      </c>
      <c r="P1380" s="10" t="s">
        <v>242</v>
      </c>
      <c r="Q1380" s="10" t="s">
        <v>241</v>
      </c>
      <c r="R1380" s="10" t="s">
        <v>242</v>
      </c>
      <c r="S1380" s="10" t="s">
        <v>242</v>
      </c>
      <c r="T1380" s="10" t="s">
        <v>242</v>
      </c>
      <c r="U1380" s="10" t="s">
        <v>241</v>
      </c>
      <c r="V1380" s="10" t="s">
        <v>241</v>
      </c>
      <c r="W1380" s="10" t="s">
        <v>242</v>
      </c>
      <c r="X1380" s="15">
        <f>IF(ISERROR(VLOOKUP($A1380,'13. Updated Demand'!A:Z,15,FALSE)),0,VLOOKUP($A1380,'13. Updated Demand'!A:Z,15,FALSE))</f>
        <v>0</v>
      </c>
      <c r="Y1380" s="16">
        <f>IF(ISERROR(VLOOKUP($A1380,'13. Updated Demand'!A:Z,16,FALSE)),0,VLOOKUP($A1380,'13. Updated Demand'!A:Z,16,FALSE))</f>
        <v>0</v>
      </c>
      <c r="Z1380" s="16">
        <f>IF(ISERROR(VLOOKUP($A1380,'13. Updated Demand'!A:Z,17,FALSE)),0,VLOOKUP($A1380,'13. Updated Demand'!A:Z,17,FALSE))</f>
        <v>0</v>
      </c>
      <c r="AA1380" s="16">
        <f>IF(ISERROR(VLOOKUP($A1380,'13. Updated Demand'!A:Z,18,FALSE)),0,VLOOKUP($A1380,'13. Updated Demand'!A:Z,18,FALSE))</f>
        <v>0</v>
      </c>
      <c r="AB1380" s="16">
        <f>IF(ISERROR(VLOOKUP($A1380,'13. Updated Demand'!A:Z,19,FALSE)),0,VLOOKUP($A1380,'13. Updated Demand'!A:Z,19,FALSE))</f>
        <v>0</v>
      </c>
      <c r="AC1380" s="16">
        <f>IF(ISERROR(VLOOKUP($A1380,'13. Updated Demand'!A:Z,20,FALSE)),0,VLOOKUP($A1380,'13. Updated Demand'!A:Z,20,FALSE))</f>
        <v>0</v>
      </c>
      <c r="AD1380" s="16">
        <f>IF(ISERROR(VLOOKUP($A1380,'13. Updated Demand'!A:Z,21,FALSE)),0,VLOOKUP($A1380,'13. Updated Demand'!A:Z,21,FALSE))</f>
        <v>0</v>
      </c>
      <c r="AE1380" s="16">
        <f>IF(ISERROR(VLOOKUP($A1380,'13. Updated Demand'!A:Z,22,FALSE)),0,VLOOKUP($A1380,'13. Updated Demand'!A:Z,22,FALSE))</f>
        <v>0</v>
      </c>
      <c r="AF1380" s="16">
        <f>IF(ISERROR(VLOOKUP($A1380,'13. Updated Demand'!A:Z,23,FALSE)),0,VLOOKUP($A1380,'13. Updated Demand'!A:Z,23,FALSE))</f>
        <v>0</v>
      </c>
      <c r="AG1380" s="16">
        <f>IF(ISERROR(VLOOKUP($A1380,'13. Updated Demand'!A:Z,24,FALSE)),0,VLOOKUP($A1380,'13. Updated Demand'!A:Z,24,FALSE))</f>
        <v>0</v>
      </c>
      <c r="AH1380" s="16">
        <f>IF(ISERROR(VLOOKUP($A1380,'13. Updated Demand'!A:Z,25,FALSE)),0,VLOOKUP($A1380,'13. Updated Demand'!A:Z,25,FALSE))</f>
        <v>0</v>
      </c>
      <c r="AI1380" s="16">
        <f>IF(ISERROR(VLOOKUP($A1380,'13. Updated Demand'!A:Z,26,FALSE)),0,VLOOKUP($A1380,'13. Updated Demand'!A:Z,26,FALSE))</f>
        <v>0</v>
      </c>
      <c r="AJ1380" s="16">
        <f t="shared" si="266"/>
        <v>0</v>
      </c>
      <c r="AK1380" s="19">
        <v>0</v>
      </c>
      <c r="AL1380" s="16">
        <f t="shared" si="264"/>
        <v>0</v>
      </c>
      <c r="AM1380" s="26">
        <v>0</v>
      </c>
      <c r="AN1380" s="19"/>
      <c r="AO1380" s="19"/>
      <c r="AP1380" s="19">
        <v>86.3</v>
      </c>
      <c r="AQ1380" s="19" t="s">
        <v>307</v>
      </c>
      <c r="AR1380" s="9" t="s">
        <v>317</v>
      </c>
      <c r="AS1380" s="12">
        <v>0</v>
      </c>
      <c r="AT1380" s="19">
        <v>39.290525799999998</v>
      </c>
      <c r="AU1380" s="19">
        <v>-123.20987791</v>
      </c>
      <c r="AV1380" s="19" t="s">
        <v>456</v>
      </c>
    </row>
    <row r="1381" spans="1:48" x14ac:dyDescent="0.25">
      <c r="A1381" s="18" t="s">
        <v>110</v>
      </c>
      <c r="B1381" s="10">
        <v>19251112</v>
      </c>
      <c r="C1381" s="9">
        <v>4</v>
      </c>
      <c r="D1381" s="8" t="str">
        <f t="shared" si="255"/>
        <v>Y</v>
      </c>
      <c r="E1381" s="8" t="str">
        <f t="shared" si="256"/>
        <v>N</v>
      </c>
      <c r="F1381" s="8" t="str">
        <f t="shared" si="257"/>
        <v>Y</v>
      </c>
      <c r="G1381" s="8" t="str">
        <f t="shared" si="258"/>
        <v>Y</v>
      </c>
      <c r="H1381" s="8" t="str">
        <f t="shared" si="259"/>
        <v>Upper</v>
      </c>
      <c r="I1381" s="8" t="str">
        <f t="shared" si="260"/>
        <v>West Fork and Below Lake</v>
      </c>
      <c r="J1381" s="8" t="str">
        <f t="shared" si="261"/>
        <v>Mendocino (d/s of lake)</v>
      </c>
      <c r="K1381" s="8" t="str">
        <f t="shared" si="262"/>
        <v>Pre-1949</v>
      </c>
      <c r="L1381" s="8">
        <f t="shared" si="263"/>
        <v>1925</v>
      </c>
      <c r="M1381" s="8" t="str">
        <f t="shared" si="265"/>
        <v>Pre-1949 + 1949</v>
      </c>
      <c r="N1381" s="10" t="s">
        <v>241</v>
      </c>
      <c r="O1381" s="10" t="s">
        <v>241</v>
      </c>
      <c r="P1381" s="10" t="s">
        <v>242</v>
      </c>
      <c r="Q1381" s="10" t="s">
        <v>241</v>
      </c>
      <c r="R1381" s="10" t="s">
        <v>242</v>
      </c>
      <c r="S1381" s="10" t="s">
        <v>242</v>
      </c>
      <c r="T1381" s="10" t="s">
        <v>242</v>
      </c>
      <c r="U1381" s="10" t="s">
        <v>242</v>
      </c>
      <c r="V1381" s="10" t="s">
        <v>242</v>
      </c>
      <c r="W1381" s="10" t="s">
        <v>242</v>
      </c>
      <c r="X1381" s="15">
        <f>IF(ISERROR(VLOOKUP($A1381,'13. Updated Demand'!A:Z,15,FALSE)),0,VLOOKUP($A1381,'13. Updated Demand'!A:Z,15,FALSE))</f>
        <v>0</v>
      </c>
      <c r="Y1381" s="16">
        <f>IF(ISERROR(VLOOKUP($A1381,'13. Updated Demand'!A:Z,16,FALSE)),0,VLOOKUP($A1381,'13. Updated Demand'!A:Z,16,FALSE))</f>
        <v>0</v>
      </c>
      <c r="Z1381" s="16">
        <f>IF(ISERROR(VLOOKUP($A1381,'13. Updated Demand'!A:Z,17,FALSE)),0,VLOOKUP($A1381,'13. Updated Demand'!A:Z,17,FALSE))</f>
        <v>0</v>
      </c>
      <c r="AA1381" s="16">
        <f>IF(ISERROR(VLOOKUP($A1381,'13. Updated Demand'!A:Z,18,FALSE)),0,VLOOKUP($A1381,'13. Updated Demand'!A:Z,18,FALSE))</f>
        <v>0</v>
      </c>
      <c r="AB1381" s="16">
        <f>IF(ISERROR(VLOOKUP($A1381,'13. Updated Demand'!A:Z,19,FALSE)),0,VLOOKUP($A1381,'13. Updated Demand'!A:Z,19,FALSE))</f>
        <v>0</v>
      </c>
      <c r="AC1381" s="16">
        <f>IF(ISERROR(VLOOKUP($A1381,'13. Updated Demand'!A:Z,20,FALSE)),0,VLOOKUP($A1381,'13. Updated Demand'!A:Z,20,FALSE))</f>
        <v>6.33</v>
      </c>
      <c r="AD1381" s="16">
        <f>IF(ISERROR(VLOOKUP($A1381,'13. Updated Demand'!A:Z,21,FALSE)),0,VLOOKUP($A1381,'13. Updated Demand'!A:Z,21,FALSE))</f>
        <v>16.329999999999998</v>
      </c>
      <c r="AE1381" s="16">
        <f>IF(ISERROR(VLOOKUP($A1381,'13. Updated Demand'!A:Z,22,FALSE)),0,VLOOKUP($A1381,'13. Updated Demand'!A:Z,22,FALSE))</f>
        <v>10.46</v>
      </c>
      <c r="AF1381" s="16">
        <f>IF(ISERROR(VLOOKUP($A1381,'13. Updated Demand'!A:Z,23,FALSE)),0,VLOOKUP($A1381,'13. Updated Demand'!A:Z,23,FALSE))</f>
        <v>0</v>
      </c>
      <c r="AG1381" s="16">
        <f>IF(ISERROR(VLOOKUP($A1381,'13. Updated Demand'!A:Z,24,FALSE)),0,VLOOKUP($A1381,'13. Updated Demand'!A:Z,24,FALSE))</f>
        <v>0</v>
      </c>
      <c r="AH1381" s="16">
        <f>IF(ISERROR(VLOOKUP($A1381,'13. Updated Demand'!A:Z,25,FALSE)),0,VLOOKUP($A1381,'13. Updated Demand'!A:Z,25,FALSE))</f>
        <v>0</v>
      </c>
      <c r="AI1381" s="16">
        <f>IF(ISERROR(VLOOKUP($A1381,'13. Updated Demand'!A:Z,26,FALSE)),0,VLOOKUP($A1381,'13. Updated Demand'!A:Z,26,FALSE))</f>
        <v>0</v>
      </c>
      <c r="AJ1381" s="16">
        <f t="shared" si="266"/>
        <v>33.119999999999997</v>
      </c>
      <c r="AK1381" s="19">
        <v>33.133333333333326</v>
      </c>
      <c r="AL1381" s="16">
        <f t="shared" si="264"/>
        <v>0.10989949242532451</v>
      </c>
      <c r="AM1381" s="26">
        <v>0.90776255707762532</v>
      </c>
      <c r="AN1381" s="19"/>
      <c r="AO1381" s="19"/>
      <c r="AP1381" s="19">
        <v>36.5</v>
      </c>
      <c r="AQ1381" s="19" t="s">
        <v>307</v>
      </c>
      <c r="AR1381" s="9" t="s">
        <v>331</v>
      </c>
      <c r="AS1381" s="12">
        <v>0</v>
      </c>
      <c r="AT1381" s="19">
        <v>39.156293179999999</v>
      </c>
      <c r="AU1381" s="19">
        <v>-123.18654033</v>
      </c>
      <c r="AV1381" s="19" t="s">
        <v>387</v>
      </c>
    </row>
    <row r="1382" spans="1:48" x14ac:dyDescent="0.25">
      <c r="A1382" s="18" t="s">
        <v>1747</v>
      </c>
      <c r="B1382" s="10">
        <v>19250601</v>
      </c>
      <c r="C1382" s="9">
        <v>16</v>
      </c>
      <c r="D1382" s="8" t="str">
        <f t="shared" si="255"/>
        <v>N</v>
      </c>
      <c r="E1382" s="8" t="str">
        <f t="shared" si="256"/>
        <v>N</v>
      </c>
      <c r="F1382" s="8" t="str">
        <f t="shared" si="257"/>
        <v>N</v>
      </c>
      <c r="G1382" s="8" t="str">
        <f t="shared" si="258"/>
        <v>N</v>
      </c>
      <c r="H1382" s="8" t="str">
        <f t="shared" si="259"/>
        <v>Lower</v>
      </c>
      <c r="I1382" s="8" t="str">
        <f t="shared" si="260"/>
        <v>Outside</v>
      </c>
      <c r="J1382" s="8" t="str">
        <f t="shared" si="261"/>
        <v>Outside</v>
      </c>
      <c r="K1382" s="8" t="str">
        <f t="shared" si="262"/>
        <v>Pre-1949</v>
      </c>
      <c r="L1382" s="8">
        <f t="shared" si="263"/>
        <v>1925</v>
      </c>
      <c r="M1382" s="8" t="str">
        <f t="shared" si="265"/>
        <v>Pre-1949 + 1949</v>
      </c>
      <c r="N1382" s="10" t="s">
        <v>242</v>
      </c>
      <c r="O1382" s="10" t="s">
        <v>242</v>
      </c>
      <c r="P1382" s="10" t="s">
        <v>242</v>
      </c>
      <c r="Q1382" s="10" t="s">
        <v>241</v>
      </c>
      <c r="R1382" s="10" t="s">
        <v>242</v>
      </c>
      <c r="S1382" s="10" t="s">
        <v>242</v>
      </c>
      <c r="T1382" s="10" t="s">
        <v>242</v>
      </c>
      <c r="U1382" s="10" t="s">
        <v>242</v>
      </c>
      <c r="V1382" s="10" t="s">
        <v>242</v>
      </c>
      <c r="W1382" s="10" t="s">
        <v>242</v>
      </c>
      <c r="X1382" s="15">
        <f>IF(ISERROR(VLOOKUP($A1382,'13. Updated Demand'!A:Z,15,FALSE)),0,VLOOKUP($A1382,'13. Updated Demand'!A:Z,15,FALSE))</f>
        <v>0</v>
      </c>
      <c r="Y1382" s="16">
        <f>IF(ISERROR(VLOOKUP($A1382,'13. Updated Demand'!A:Z,16,FALSE)),0,VLOOKUP($A1382,'13. Updated Demand'!A:Z,16,FALSE))</f>
        <v>0</v>
      </c>
      <c r="Z1382" s="16">
        <f>IF(ISERROR(VLOOKUP($A1382,'13. Updated Demand'!A:Z,17,FALSE)),0,VLOOKUP($A1382,'13. Updated Demand'!A:Z,17,FALSE))</f>
        <v>0</v>
      </c>
      <c r="AA1382" s="16">
        <f>IF(ISERROR(VLOOKUP($A1382,'13. Updated Demand'!A:Z,18,FALSE)),0,VLOOKUP($A1382,'13. Updated Demand'!A:Z,18,FALSE))</f>
        <v>6.6666700000000002E-4</v>
      </c>
      <c r="AB1382" s="16">
        <f>IF(ISERROR(VLOOKUP($A1382,'13. Updated Demand'!A:Z,19,FALSE)),0,VLOOKUP($A1382,'13. Updated Demand'!A:Z,19,FALSE))</f>
        <v>6.9999999999999999E-4</v>
      </c>
      <c r="AC1382" s="16">
        <f>IF(ISERROR(VLOOKUP($A1382,'13. Updated Demand'!A:Z,20,FALSE)),0,VLOOKUP($A1382,'13. Updated Demand'!A:Z,20,FALSE))</f>
        <v>6.9999999999999999E-4</v>
      </c>
      <c r="AD1382" s="16">
        <f>IF(ISERROR(VLOOKUP($A1382,'13. Updated Demand'!A:Z,21,FALSE)),0,VLOOKUP($A1382,'13. Updated Demand'!A:Z,21,FALSE))</f>
        <v>6.9999999999999999E-4</v>
      </c>
      <c r="AE1382" s="16">
        <f>IF(ISERROR(VLOOKUP($A1382,'13. Updated Demand'!A:Z,22,FALSE)),0,VLOOKUP($A1382,'13. Updated Demand'!A:Z,22,FALSE))</f>
        <v>6.9999999999999999E-4</v>
      </c>
      <c r="AF1382" s="16">
        <f>IF(ISERROR(VLOOKUP($A1382,'13. Updated Demand'!A:Z,23,FALSE)),0,VLOOKUP($A1382,'13. Updated Demand'!A:Z,23,FALSE))</f>
        <v>6.9999999999999999E-4</v>
      </c>
      <c r="AG1382" s="16">
        <f>IF(ISERROR(VLOOKUP($A1382,'13. Updated Demand'!A:Z,24,FALSE)),0,VLOOKUP($A1382,'13. Updated Demand'!A:Z,24,FALSE))</f>
        <v>6.6666700000000002E-4</v>
      </c>
      <c r="AH1382" s="16">
        <f>IF(ISERROR(VLOOKUP($A1382,'13. Updated Demand'!A:Z,25,FALSE)),0,VLOOKUP($A1382,'13. Updated Demand'!A:Z,25,FALSE))</f>
        <v>0</v>
      </c>
      <c r="AI1382" s="16">
        <f>IF(ISERROR(VLOOKUP($A1382,'13. Updated Demand'!A:Z,26,FALSE)),0,VLOOKUP($A1382,'13. Updated Demand'!A:Z,26,FALSE))</f>
        <v>0</v>
      </c>
      <c r="AJ1382" s="16">
        <f t="shared" si="266"/>
        <v>4.8333339999999999E-3</v>
      </c>
      <c r="AK1382" s="19">
        <v>3.5000000000000001E-3</v>
      </c>
      <c r="AL1382" s="16">
        <f t="shared" si="264"/>
        <v>1.1609101312534283E-5</v>
      </c>
      <c r="AM1382" s="26">
        <v>1.1646587951807228E-4</v>
      </c>
      <c r="AN1382" s="19"/>
      <c r="AO1382" s="19"/>
      <c r="AP1382" s="19">
        <v>41.5</v>
      </c>
      <c r="AQ1382" s="19" t="s">
        <v>307</v>
      </c>
      <c r="AR1382" s="9" t="s">
        <v>394</v>
      </c>
      <c r="AS1382" s="12">
        <v>0</v>
      </c>
      <c r="AT1382" s="19">
        <v>38.595529519999999</v>
      </c>
      <c r="AU1382" s="19">
        <v>-122.90696635</v>
      </c>
      <c r="AV1382" s="19" t="s">
        <v>406</v>
      </c>
    </row>
    <row r="1383" spans="1:48" x14ac:dyDescent="0.25">
      <c r="A1383" s="18" t="s">
        <v>1748</v>
      </c>
      <c r="B1383" s="10">
        <v>19241107</v>
      </c>
      <c r="C1383" s="9">
        <v>1</v>
      </c>
      <c r="D1383" s="8" t="str">
        <f t="shared" si="255"/>
        <v>N</v>
      </c>
      <c r="E1383" s="8" t="str">
        <f t="shared" si="256"/>
        <v>N</v>
      </c>
      <c r="F1383" s="8" t="str">
        <f t="shared" si="257"/>
        <v>Y</v>
      </c>
      <c r="G1383" s="8" t="str">
        <f t="shared" si="258"/>
        <v>Y</v>
      </c>
      <c r="H1383" s="8" t="str">
        <f t="shared" si="259"/>
        <v>Upper</v>
      </c>
      <c r="I1383" s="8" t="str">
        <f t="shared" si="260"/>
        <v>West Fork and Below Lake</v>
      </c>
      <c r="J1383" s="8" t="str">
        <f t="shared" si="261"/>
        <v>Outside</v>
      </c>
      <c r="K1383" s="8" t="str">
        <f t="shared" si="262"/>
        <v>Pre-1949</v>
      </c>
      <c r="L1383" s="8">
        <f t="shared" si="263"/>
        <v>1924</v>
      </c>
      <c r="M1383" s="8" t="str">
        <f t="shared" si="265"/>
        <v>Pre-1949 + 1949</v>
      </c>
      <c r="N1383" s="10" t="s">
        <v>242</v>
      </c>
      <c r="O1383" s="10" t="s">
        <v>241</v>
      </c>
      <c r="P1383" s="10" t="s">
        <v>242</v>
      </c>
      <c r="Q1383" s="10" t="s">
        <v>241</v>
      </c>
      <c r="R1383" s="10" t="s">
        <v>242</v>
      </c>
      <c r="S1383" s="10" t="s">
        <v>242</v>
      </c>
      <c r="T1383" s="10" t="s">
        <v>242</v>
      </c>
      <c r="U1383" s="10" t="s">
        <v>241</v>
      </c>
      <c r="V1383" s="10" t="s">
        <v>241</v>
      </c>
      <c r="W1383" s="10" t="s">
        <v>242</v>
      </c>
      <c r="X1383" s="15">
        <f>IF(ISERROR(VLOOKUP($A1383,'13. Updated Demand'!A:Z,15,FALSE)),0,VLOOKUP($A1383,'13. Updated Demand'!A:Z,15,FALSE))</f>
        <v>0</v>
      </c>
      <c r="Y1383" s="16">
        <f>IF(ISERROR(VLOOKUP($A1383,'13. Updated Demand'!A:Z,16,FALSE)),0,VLOOKUP($A1383,'13. Updated Demand'!A:Z,16,FALSE))</f>
        <v>0</v>
      </c>
      <c r="Z1383" s="16">
        <f>IF(ISERROR(VLOOKUP($A1383,'13. Updated Demand'!A:Z,17,FALSE)),0,VLOOKUP($A1383,'13. Updated Demand'!A:Z,17,FALSE))</f>
        <v>0</v>
      </c>
      <c r="AA1383" s="16">
        <f>IF(ISERROR(VLOOKUP($A1383,'13. Updated Demand'!A:Z,18,FALSE)),0,VLOOKUP($A1383,'13. Updated Demand'!A:Z,18,FALSE))</f>
        <v>0</v>
      </c>
      <c r="AB1383" s="16">
        <f>IF(ISERROR(VLOOKUP($A1383,'13. Updated Demand'!A:Z,19,FALSE)),0,VLOOKUP($A1383,'13. Updated Demand'!A:Z,19,FALSE))</f>
        <v>0</v>
      </c>
      <c r="AC1383" s="16">
        <f>IF(ISERROR(VLOOKUP($A1383,'13. Updated Demand'!A:Z,20,FALSE)),0,VLOOKUP($A1383,'13. Updated Demand'!A:Z,20,FALSE))</f>
        <v>0</v>
      </c>
      <c r="AD1383" s="16">
        <f>IF(ISERROR(VLOOKUP($A1383,'13. Updated Demand'!A:Z,21,FALSE)),0,VLOOKUP($A1383,'13. Updated Demand'!A:Z,21,FALSE))</f>
        <v>0</v>
      </c>
      <c r="AE1383" s="16">
        <f>IF(ISERROR(VLOOKUP($A1383,'13. Updated Demand'!A:Z,22,FALSE)),0,VLOOKUP($A1383,'13. Updated Demand'!A:Z,22,FALSE))</f>
        <v>0</v>
      </c>
      <c r="AF1383" s="16">
        <f>IF(ISERROR(VLOOKUP($A1383,'13. Updated Demand'!A:Z,23,FALSE)),0,VLOOKUP($A1383,'13. Updated Demand'!A:Z,23,FALSE))</f>
        <v>0</v>
      </c>
      <c r="AG1383" s="16">
        <f>IF(ISERROR(VLOOKUP($A1383,'13. Updated Demand'!A:Z,24,FALSE)),0,VLOOKUP($A1383,'13. Updated Demand'!A:Z,24,FALSE))</f>
        <v>0</v>
      </c>
      <c r="AH1383" s="16">
        <f>IF(ISERROR(VLOOKUP($A1383,'13. Updated Demand'!A:Z,25,FALSE)),0,VLOOKUP($A1383,'13. Updated Demand'!A:Z,25,FALSE))</f>
        <v>0</v>
      </c>
      <c r="AI1383" s="16">
        <f>IF(ISERROR(VLOOKUP($A1383,'13. Updated Demand'!A:Z,26,FALSE)),0,VLOOKUP($A1383,'13. Updated Demand'!A:Z,26,FALSE))</f>
        <v>0</v>
      </c>
      <c r="AJ1383" s="16">
        <f t="shared" si="266"/>
        <v>0</v>
      </c>
      <c r="AK1383" s="19">
        <v>0</v>
      </c>
      <c r="AL1383" s="16">
        <f t="shared" si="264"/>
        <v>0</v>
      </c>
      <c r="AM1383" s="26">
        <v>0</v>
      </c>
      <c r="AN1383" s="19"/>
      <c r="AO1383" s="19"/>
      <c r="AP1383" s="19">
        <v>67.8</v>
      </c>
      <c r="AQ1383" s="19" t="s">
        <v>307</v>
      </c>
      <c r="AR1383" s="9" t="s">
        <v>317</v>
      </c>
      <c r="AS1383" s="12">
        <v>0</v>
      </c>
      <c r="AT1383" s="19">
        <v>39.279284390000001</v>
      </c>
      <c r="AU1383" s="19">
        <v>-123.2082721</v>
      </c>
      <c r="AV1383" s="19" t="s">
        <v>456</v>
      </c>
    </row>
    <row r="1384" spans="1:48" x14ac:dyDescent="0.25">
      <c r="A1384" s="18" t="s">
        <v>48</v>
      </c>
      <c r="B1384" s="10">
        <v>19241107</v>
      </c>
      <c r="C1384" s="9">
        <v>5</v>
      </c>
      <c r="D1384" s="8" t="str">
        <f t="shared" si="255"/>
        <v>Y</v>
      </c>
      <c r="E1384" s="8" t="str">
        <f t="shared" si="256"/>
        <v>N</v>
      </c>
      <c r="F1384" s="8" t="str">
        <f t="shared" si="257"/>
        <v>Y</v>
      </c>
      <c r="G1384" s="8" t="str">
        <f t="shared" si="258"/>
        <v>Y</v>
      </c>
      <c r="H1384" s="8" t="str">
        <f t="shared" si="259"/>
        <v>Upper</v>
      </c>
      <c r="I1384" s="8" t="str">
        <f t="shared" si="260"/>
        <v>West Fork and Below Lake</v>
      </c>
      <c r="J1384" s="8" t="str">
        <f t="shared" si="261"/>
        <v>Mendocino (d/s of lake)</v>
      </c>
      <c r="K1384" s="8" t="str">
        <f t="shared" si="262"/>
        <v>Pre-1949</v>
      </c>
      <c r="L1384" s="8">
        <f t="shared" si="263"/>
        <v>1924</v>
      </c>
      <c r="M1384" s="8" t="str">
        <f t="shared" si="265"/>
        <v>Pre-1949 + 1949</v>
      </c>
      <c r="N1384" s="10" t="s">
        <v>241</v>
      </c>
      <c r="O1384" s="10" t="s">
        <v>241</v>
      </c>
      <c r="P1384" s="10" t="s">
        <v>242</v>
      </c>
      <c r="Q1384" s="10" t="s">
        <v>241</v>
      </c>
      <c r="R1384" s="10" t="s">
        <v>242</v>
      </c>
      <c r="S1384" s="10" t="s">
        <v>242</v>
      </c>
      <c r="T1384" s="10" t="s">
        <v>242</v>
      </c>
      <c r="U1384" s="10" t="s">
        <v>242</v>
      </c>
      <c r="V1384" s="10" t="s">
        <v>242</v>
      </c>
      <c r="W1384" s="10" t="s">
        <v>242</v>
      </c>
      <c r="X1384" s="15">
        <f>IF(ISERROR(VLOOKUP($A1384,'13. Updated Demand'!A:Z,15,FALSE)),0,VLOOKUP($A1384,'13. Updated Demand'!A:Z,15,FALSE))</f>
        <v>0</v>
      </c>
      <c r="Y1384" s="16">
        <f>IF(ISERROR(VLOOKUP($A1384,'13. Updated Demand'!A:Z,16,FALSE)),0,VLOOKUP($A1384,'13. Updated Demand'!A:Z,16,FALSE))</f>
        <v>0</v>
      </c>
      <c r="Z1384" s="16">
        <f>IF(ISERROR(VLOOKUP($A1384,'13. Updated Demand'!A:Z,17,FALSE)),0,VLOOKUP($A1384,'13. Updated Demand'!A:Z,17,FALSE))</f>
        <v>0</v>
      </c>
      <c r="AA1384" s="16">
        <f>IF(ISERROR(VLOOKUP($A1384,'13. Updated Demand'!A:Z,18,FALSE)),0,VLOOKUP($A1384,'13. Updated Demand'!A:Z,18,FALSE))</f>
        <v>0</v>
      </c>
      <c r="AB1384" s="16">
        <f>IF(ISERROR(VLOOKUP($A1384,'13. Updated Demand'!A:Z,19,FALSE)),0,VLOOKUP($A1384,'13. Updated Demand'!A:Z,19,FALSE))</f>
        <v>0</v>
      </c>
      <c r="AC1384" s="16">
        <f>IF(ISERROR(VLOOKUP($A1384,'13. Updated Demand'!A:Z,20,FALSE)),0,VLOOKUP($A1384,'13. Updated Demand'!A:Z,20,FALSE))</f>
        <v>2.69</v>
      </c>
      <c r="AD1384" s="16">
        <f>IF(ISERROR(VLOOKUP($A1384,'13. Updated Demand'!A:Z,21,FALSE)),0,VLOOKUP($A1384,'13. Updated Demand'!A:Z,21,FALSE))</f>
        <v>2.61</v>
      </c>
      <c r="AE1384" s="16">
        <f>IF(ISERROR(VLOOKUP($A1384,'13. Updated Demand'!A:Z,22,FALSE)),0,VLOOKUP($A1384,'13. Updated Demand'!A:Z,22,FALSE))</f>
        <v>2.16</v>
      </c>
      <c r="AF1384" s="16">
        <f>IF(ISERROR(VLOOKUP($A1384,'13. Updated Demand'!A:Z,23,FALSE)),0,VLOOKUP($A1384,'13. Updated Demand'!A:Z,23,FALSE))</f>
        <v>1.3</v>
      </c>
      <c r="AG1384" s="16">
        <f>IF(ISERROR(VLOOKUP($A1384,'13. Updated Demand'!A:Z,24,FALSE)),0,VLOOKUP($A1384,'13. Updated Demand'!A:Z,24,FALSE))</f>
        <v>0</v>
      </c>
      <c r="AH1384" s="16">
        <f>IF(ISERROR(VLOOKUP($A1384,'13. Updated Demand'!A:Z,25,FALSE)),0,VLOOKUP($A1384,'13. Updated Demand'!A:Z,25,FALSE))</f>
        <v>0</v>
      </c>
      <c r="AI1384" s="16">
        <f>IF(ISERROR(VLOOKUP($A1384,'13. Updated Demand'!A:Z,26,FALSE)),0,VLOOKUP($A1384,'13. Updated Demand'!A:Z,26,FALSE))</f>
        <v>0</v>
      </c>
      <c r="AJ1384" s="16">
        <f t="shared" si="266"/>
        <v>8.76</v>
      </c>
      <c r="AK1384" s="19">
        <v>8.7666666666666586</v>
      </c>
      <c r="AL1384" s="16">
        <f t="shared" si="264"/>
        <v>2.9078034716157272E-2</v>
      </c>
      <c r="AM1384" s="26">
        <v>9.6020445418035699E-2</v>
      </c>
      <c r="AN1384" s="19"/>
      <c r="AO1384" s="19"/>
      <c r="AP1384" s="19">
        <v>91.3</v>
      </c>
      <c r="AQ1384" s="19" t="s">
        <v>307</v>
      </c>
      <c r="AR1384" s="9" t="s">
        <v>333</v>
      </c>
      <c r="AS1384" s="12">
        <v>0</v>
      </c>
      <c r="AT1384" s="19">
        <v>39.084579570000002</v>
      </c>
      <c r="AU1384" s="19">
        <v>-123.17083989</v>
      </c>
      <c r="AV1384" s="19" t="s">
        <v>387</v>
      </c>
    </row>
    <row r="1385" spans="1:48" x14ac:dyDescent="0.25">
      <c r="A1385" s="18" t="s">
        <v>1749</v>
      </c>
      <c r="B1385" s="10">
        <v>19230516</v>
      </c>
      <c r="C1385" s="9">
        <v>4</v>
      </c>
      <c r="D1385" s="8" t="str">
        <f t="shared" si="255"/>
        <v>Y</v>
      </c>
      <c r="E1385" s="8" t="str">
        <f t="shared" si="256"/>
        <v>N</v>
      </c>
      <c r="F1385" s="8" t="str">
        <f t="shared" si="257"/>
        <v>Y</v>
      </c>
      <c r="G1385" s="8" t="str">
        <f t="shared" si="258"/>
        <v>Y</v>
      </c>
      <c r="H1385" s="8" t="str">
        <f t="shared" si="259"/>
        <v>Upper</v>
      </c>
      <c r="I1385" s="8" t="str">
        <f t="shared" si="260"/>
        <v>West Fork and Below Lake</v>
      </c>
      <c r="J1385" s="8" t="str">
        <f t="shared" si="261"/>
        <v>Mendocino (d/s of lake)</v>
      </c>
      <c r="K1385" s="8" t="str">
        <f t="shared" si="262"/>
        <v>Pre-1949</v>
      </c>
      <c r="L1385" s="8">
        <f t="shared" si="263"/>
        <v>1923</v>
      </c>
      <c r="M1385" s="8" t="str">
        <f t="shared" si="265"/>
        <v>Pre-1949 + 1949</v>
      </c>
      <c r="N1385" s="10" t="s">
        <v>241</v>
      </c>
      <c r="O1385" s="10" t="s">
        <v>241</v>
      </c>
      <c r="P1385" s="10" t="s">
        <v>242</v>
      </c>
      <c r="Q1385" s="10" t="s">
        <v>241</v>
      </c>
      <c r="R1385" s="10" t="s">
        <v>242</v>
      </c>
      <c r="S1385" s="10" t="s">
        <v>242</v>
      </c>
      <c r="T1385" s="10" t="s">
        <v>242</v>
      </c>
      <c r="U1385" s="10" t="s">
        <v>241</v>
      </c>
      <c r="V1385" s="10" t="s">
        <v>241</v>
      </c>
      <c r="W1385" s="10" t="s">
        <v>242</v>
      </c>
      <c r="X1385" s="15">
        <f>IF(ISERROR(VLOOKUP($A1385,'13. Updated Demand'!A:Z,15,FALSE)),0,VLOOKUP($A1385,'13. Updated Demand'!A:Z,15,FALSE))</f>
        <v>0</v>
      </c>
      <c r="Y1385" s="16">
        <f>IF(ISERROR(VLOOKUP($A1385,'13. Updated Demand'!A:Z,16,FALSE)),0,VLOOKUP($A1385,'13. Updated Demand'!A:Z,16,FALSE))</f>
        <v>0</v>
      </c>
      <c r="Z1385" s="16">
        <f>IF(ISERROR(VLOOKUP($A1385,'13. Updated Demand'!A:Z,17,FALSE)),0,VLOOKUP($A1385,'13. Updated Demand'!A:Z,17,FALSE))</f>
        <v>0</v>
      </c>
      <c r="AA1385" s="16">
        <f>IF(ISERROR(VLOOKUP($A1385,'13. Updated Demand'!A:Z,18,FALSE)),0,VLOOKUP($A1385,'13. Updated Demand'!A:Z,18,FALSE))</f>
        <v>0</v>
      </c>
      <c r="AB1385" s="16">
        <f>IF(ISERROR(VLOOKUP($A1385,'13. Updated Demand'!A:Z,19,FALSE)),0,VLOOKUP($A1385,'13. Updated Demand'!A:Z,19,FALSE))</f>
        <v>0</v>
      </c>
      <c r="AC1385" s="16">
        <f>IF(ISERROR(VLOOKUP($A1385,'13. Updated Demand'!A:Z,20,FALSE)),0,VLOOKUP($A1385,'13. Updated Demand'!A:Z,20,FALSE))</f>
        <v>0</v>
      </c>
      <c r="AD1385" s="16">
        <f>IF(ISERROR(VLOOKUP($A1385,'13. Updated Demand'!A:Z,21,FALSE)),0,VLOOKUP($A1385,'13. Updated Demand'!A:Z,21,FALSE))</f>
        <v>0</v>
      </c>
      <c r="AE1385" s="16">
        <f>IF(ISERROR(VLOOKUP($A1385,'13. Updated Demand'!A:Z,22,FALSE)),0,VLOOKUP($A1385,'13. Updated Demand'!A:Z,22,FALSE))</f>
        <v>0</v>
      </c>
      <c r="AF1385" s="16">
        <f>IF(ISERROR(VLOOKUP($A1385,'13. Updated Demand'!A:Z,23,FALSE)),0,VLOOKUP($A1385,'13. Updated Demand'!A:Z,23,FALSE))</f>
        <v>0</v>
      </c>
      <c r="AG1385" s="16">
        <f>IF(ISERROR(VLOOKUP($A1385,'13. Updated Demand'!A:Z,24,FALSE)),0,VLOOKUP($A1385,'13. Updated Demand'!A:Z,24,FALSE))</f>
        <v>0</v>
      </c>
      <c r="AH1385" s="16">
        <f>IF(ISERROR(VLOOKUP($A1385,'13. Updated Demand'!A:Z,25,FALSE)),0,VLOOKUP($A1385,'13. Updated Demand'!A:Z,25,FALSE))</f>
        <v>0</v>
      </c>
      <c r="AI1385" s="16">
        <f>IF(ISERROR(VLOOKUP($A1385,'13. Updated Demand'!A:Z,26,FALSE)),0,VLOOKUP($A1385,'13. Updated Demand'!A:Z,26,FALSE))</f>
        <v>0</v>
      </c>
      <c r="AJ1385" s="16">
        <f t="shared" si="266"/>
        <v>0</v>
      </c>
      <c r="AK1385" s="19">
        <v>0</v>
      </c>
      <c r="AL1385" s="16">
        <f t="shared" si="264"/>
        <v>0</v>
      </c>
      <c r="AM1385" s="26">
        <v>0</v>
      </c>
      <c r="AN1385" s="19"/>
      <c r="AO1385" s="19"/>
      <c r="AP1385" s="19">
        <v>118.9</v>
      </c>
      <c r="AQ1385" s="19" t="s">
        <v>307</v>
      </c>
      <c r="AR1385" s="9" t="s">
        <v>331</v>
      </c>
      <c r="AS1385" s="12">
        <v>0</v>
      </c>
      <c r="AT1385" s="19">
        <v>39.121693559999997</v>
      </c>
      <c r="AU1385" s="19">
        <v>-123.19254099</v>
      </c>
      <c r="AV1385" s="19" t="s">
        <v>1257</v>
      </c>
    </row>
    <row r="1386" spans="1:48" x14ac:dyDescent="0.25">
      <c r="A1386" s="18" t="s">
        <v>1750</v>
      </c>
      <c r="B1386" s="10">
        <v>19230803</v>
      </c>
      <c r="C1386" s="9">
        <v>6</v>
      </c>
      <c r="D1386" s="8" t="str">
        <f t="shared" si="255"/>
        <v>Y</v>
      </c>
      <c r="E1386" s="8" t="str">
        <f t="shared" si="256"/>
        <v>N</v>
      </c>
      <c r="F1386" s="8" t="str">
        <f t="shared" si="257"/>
        <v>Y</v>
      </c>
      <c r="G1386" s="8" t="str">
        <f t="shared" si="258"/>
        <v>Y</v>
      </c>
      <c r="H1386" s="8" t="str">
        <f t="shared" si="259"/>
        <v>Upper</v>
      </c>
      <c r="I1386" s="8" t="str">
        <f t="shared" si="260"/>
        <v>West Fork and Below Lake</v>
      </c>
      <c r="J1386" s="8" t="str">
        <f t="shared" si="261"/>
        <v>Mendocino (d/s of lake)</v>
      </c>
      <c r="K1386" s="8" t="str">
        <f t="shared" si="262"/>
        <v>Pre-1949</v>
      </c>
      <c r="L1386" s="8">
        <f t="shared" si="263"/>
        <v>1923</v>
      </c>
      <c r="M1386" s="8" t="str">
        <f t="shared" si="265"/>
        <v>Pre-1949 + 1949</v>
      </c>
      <c r="N1386" s="10" t="s">
        <v>241</v>
      </c>
      <c r="O1386" s="10" t="s">
        <v>241</v>
      </c>
      <c r="P1386" s="10" t="s">
        <v>242</v>
      </c>
      <c r="Q1386" s="10" t="s">
        <v>241</v>
      </c>
      <c r="R1386" s="10" t="s">
        <v>242</v>
      </c>
      <c r="S1386" s="10" t="s">
        <v>242</v>
      </c>
      <c r="T1386" s="10" t="s">
        <v>242</v>
      </c>
      <c r="U1386" s="10" t="s">
        <v>242</v>
      </c>
      <c r="V1386" s="10" t="s">
        <v>242</v>
      </c>
      <c r="W1386" s="10" t="s">
        <v>242</v>
      </c>
      <c r="X1386" s="15">
        <f>IF(ISERROR(VLOOKUP($A1386,'13. Updated Demand'!A:Z,15,FALSE)),0,VLOOKUP($A1386,'13. Updated Demand'!A:Z,15,FALSE))</f>
        <v>0.03</v>
      </c>
      <c r="Y1386" s="16">
        <f>IF(ISERROR(VLOOKUP($A1386,'13. Updated Demand'!A:Z,16,FALSE)),0,VLOOKUP($A1386,'13. Updated Demand'!A:Z,16,FALSE))</f>
        <v>0</v>
      </c>
      <c r="Z1386" s="16">
        <f>IF(ISERROR(VLOOKUP($A1386,'13. Updated Demand'!A:Z,17,FALSE)),0,VLOOKUP($A1386,'13. Updated Demand'!A:Z,17,FALSE))</f>
        <v>0</v>
      </c>
      <c r="AA1386" s="16">
        <f>IF(ISERROR(VLOOKUP($A1386,'13. Updated Demand'!A:Z,18,FALSE)),0,VLOOKUP($A1386,'13. Updated Demand'!A:Z,18,FALSE))</f>
        <v>6.6666666666666697E-3</v>
      </c>
      <c r="AB1386" s="16">
        <f>IF(ISERROR(VLOOKUP($A1386,'13. Updated Demand'!A:Z,19,FALSE)),0,VLOOKUP($A1386,'13. Updated Demand'!A:Z,19,FALSE))</f>
        <v>0.1</v>
      </c>
      <c r="AC1386" s="16">
        <f>IF(ISERROR(VLOOKUP($A1386,'13. Updated Demand'!A:Z,20,FALSE)),0,VLOOKUP($A1386,'13. Updated Demand'!A:Z,20,FALSE))</f>
        <v>0.18</v>
      </c>
      <c r="AD1386" s="16">
        <f>IF(ISERROR(VLOOKUP($A1386,'13. Updated Demand'!A:Z,21,FALSE)),0,VLOOKUP($A1386,'13. Updated Demand'!A:Z,21,FALSE))</f>
        <v>2.9</v>
      </c>
      <c r="AE1386" s="16">
        <f>IF(ISERROR(VLOOKUP($A1386,'13. Updated Demand'!A:Z,22,FALSE)),0,VLOOKUP($A1386,'13. Updated Demand'!A:Z,22,FALSE))</f>
        <v>3.6</v>
      </c>
      <c r="AF1386" s="16">
        <f>IF(ISERROR(VLOOKUP($A1386,'13. Updated Demand'!A:Z,23,FALSE)),0,VLOOKUP($A1386,'13. Updated Demand'!A:Z,23,FALSE))</f>
        <v>0.21</v>
      </c>
      <c r="AG1386" s="16">
        <f>IF(ISERROR(VLOOKUP($A1386,'13. Updated Demand'!A:Z,24,FALSE)),0,VLOOKUP($A1386,'13. Updated Demand'!A:Z,24,FALSE))</f>
        <v>0.16</v>
      </c>
      <c r="AH1386" s="16">
        <f>IF(ISERROR(VLOOKUP($A1386,'13. Updated Demand'!A:Z,25,FALSE)),0,VLOOKUP($A1386,'13. Updated Demand'!A:Z,25,FALSE))</f>
        <v>0</v>
      </c>
      <c r="AI1386" s="16">
        <f>IF(ISERROR(VLOOKUP($A1386,'13. Updated Demand'!A:Z,26,FALSE)),0,VLOOKUP($A1386,'13. Updated Demand'!A:Z,26,FALSE))</f>
        <v>0</v>
      </c>
      <c r="AJ1386" s="16">
        <f t="shared" si="266"/>
        <v>7.1866666666666665</v>
      </c>
      <c r="AK1386" s="19">
        <v>7.0233333333333299</v>
      </c>
      <c r="AL1386" s="16">
        <f t="shared" si="264"/>
        <v>2.329559663381878E-2</v>
      </c>
      <c r="AM1386" s="26">
        <v>5.6378280072746138E-2</v>
      </c>
      <c r="AN1386" s="19"/>
      <c r="AO1386" s="20">
        <v>44317</v>
      </c>
      <c r="AP1386" s="19">
        <v>128.30000000000001</v>
      </c>
      <c r="AQ1386" s="19" t="s">
        <v>307</v>
      </c>
      <c r="AR1386" s="9" t="s">
        <v>319</v>
      </c>
      <c r="AS1386" s="12">
        <v>0</v>
      </c>
      <c r="AT1386" s="19">
        <v>39.009172380000003</v>
      </c>
      <c r="AU1386" s="19">
        <v>-123.11673826000001</v>
      </c>
      <c r="AV1386" s="19" t="s">
        <v>387</v>
      </c>
    </row>
    <row r="1387" spans="1:48" x14ac:dyDescent="0.25">
      <c r="A1387" s="21" t="s">
        <v>86</v>
      </c>
      <c r="B1387" s="22">
        <v>19230820</v>
      </c>
      <c r="C1387" s="9">
        <v>4</v>
      </c>
      <c r="D1387" s="8" t="str">
        <f t="shared" si="255"/>
        <v>Y</v>
      </c>
      <c r="E1387" s="8" t="str">
        <f t="shared" si="256"/>
        <v>N</v>
      </c>
      <c r="F1387" s="8" t="str">
        <f t="shared" si="257"/>
        <v>Y</v>
      </c>
      <c r="G1387" s="8" t="str">
        <f t="shared" si="258"/>
        <v>Y</v>
      </c>
      <c r="H1387" s="8" t="str">
        <f t="shared" si="259"/>
        <v>Upper</v>
      </c>
      <c r="I1387" s="8" t="str">
        <f t="shared" si="260"/>
        <v>West Fork and Below Lake</v>
      </c>
      <c r="J1387" s="8" t="str">
        <f t="shared" si="261"/>
        <v>Mendocino (d/s of lake)</v>
      </c>
      <c r="K1387" s="8" t="str">
        <f t="shared" si="262"/>
        <v>Pre-1949</v>
      </c>
      <c r="L1387" s="8">
        <f t="shared" si="263"/>
        <v>1923</v>
      </c>
      <c r="M1387" s="8" t="str">
        <f t="shared" si="265"/>
        <v>Pre-1949 + 1949</v>
      </c>
      <c r="N1387" s="10" t="s">
        <v>241</v>
      </c>
      <c r="O1387" s="10" t="s">
        <v>241</v>
      </c>
      <c r="P1387" s="10" t="s">
        <v>242</v>
      </c>
      <c r="Q1387" s="10" t="s">
        <v>241</v>
      </c>
      <c r="R1387" s="10" t="s">
        <v>242</v>
      </c>
      <c r="S1387" s="10" t="s">
        <v>242</v>
      </c>
      <c r="T1387" s="10" t="s">
        <v>242</v>
      </c>
      <c r="U1387" s="10" t="s">
        <v>242</v>
      </c>
      <c r="V1387" s="10" t="s">
        <v>242</v>
      </c>
      <c r="W1387" s="10" t="s">
        <v>242</v>
      </c>
      <c r="X1387" s="15">
        <f>IF(ISERROR(VLOOKUP($A1387,'13. Updated Demand'!A:Z,15,FALSE)),0,VLOOKUP($A1387,'13. Updated Demand'!A:Z,15,FALSE))</f>
        <v>0</v>
      </c>
      <c r="Y1387" s="16">
        <f>IF(ISERROR(VLOOKUP($A1387,'13. Updated Demand'!A:Z,16,FALSE)),0,VLOOKUP($A1387,'13. Updated Demand'!A:Z,16,FALSE))</f>
        <v>0</v>
      </c>
      <c r="Z1387" s="16">
        <f>IF(ISERROR(VLOOKUP($A1387,'13. Updated Demand'!A:Z,17,FALSE)),0,VLOOKUP($A1387,'13. Updated Demand'!A:Z,17,FALSE))</f>
        <v>0</v>
      </c>
      <c r="AA1387" s="16">
        <f>IF(ISERROR(VLOOKUP($A1387,'13. Updated Demand'!A:Z,18,FALSE)),0,VLOOKUP($A1387,'13. Updated Demand'!A:Z,18,FALSE))</f>
        <v>0</v>
      </c>
      <c r="AB1387" s="16">
        <f>IF(ISERROR(VLOOKUP($A1387,'13. Updated Demand'!A:Z,19,FALSE)),0,VLOOKUP($A1387,'13. Updated Demand'!A:Z,19,FALSE))</f>
        <v>0</v>
      </c>
      <c r="AC1387" s="16">
        <f>IF(ISERROR(VLOOKUP($A1387,'13. Updated Demand'!A:Z,20,FALSE)),0,VLOOKUP($A1387,'13. Updated Demand'!A:Z,20,FALSE))</f>
        <v>4.32</v>
      </c>
      <c r="AD1387" s="16">
        <f>IF(ISERROR(VLOOKUP($A1387,'13. Updated Demand'!A:Z,21,FALSE)),0,VLOOKUP($A1387,'13. Updated Demand'!A:Z,21,FALSE))</f>
        <v>4.8600000000000003</v>
      </c>
      <c r="AE1387" s="16">
        <f>IF(ISERROR(VLOOKUP($A1387,'13. Updated Demand'!A:Z,22,FALSE)),0,VLOOKUP($A1387,'13. Updated Demand'!A:Z,22,FALSE))</f>
        <v>2.2599999999999998</v>
      </c>
      <c r="AF1387" s="16">
        <f>IF(ISERROR(VLOOKUP($A1387,'13. Updated Demand'!A:Z,23,FALSE)),0,VLOOKUP($A1387,'13. Updated Demand'!A:Z,23,FALSE))</f>
        <v>0</v>
      </c>
      <c r="AG1387" s="16">
        <f>IF(ISERROR(VLOOKUP($A1387,'13. Updated Demand'!A:Z,24,FALSE)),0,VLOOKUP($A1387,'13. Updated Demand'!A:Z,24,FALSE))</f>
        <v>0</v>
      </c>
      <c r="AH1387" s="16">
        <f>IF(ISERROR(VLOOKUP($A1387,'13. Updated Demand'!A:Z,25,FALSE)),0,VLOOKUP($A1387,'13. Updated Demand'!A:Z,25,FALSE))</f>
        <v>0</v>
      </c>
      <c r="AI1387" s="16">
        <f>IF(ISERROR(VLOOKUP($A1387,'13. Updated Demand'!A:Z,26,FALSE)),0,VLOOKUP($A1387,'13. Updated Demand'!A:Z,26,FALSE))</f>
        <v>0</v>
      </c>
      <c r="AJ1387" s="16">
        <f t="shared" si="266"/>
        <v>11.44</v>
      </c>
      <c r="AK1387" s="19">
        <v>11.45333333333333</v>
      </c>
      <c r="AL1387" s="16">
        <f t="shared" si="264"/>
        <v>3.7989402009397884E-2</v>
      </c>
      <c r="AM1387" s="26">
        <v>0.42263222632226305</v>
      </c>
      <c r="AN1387" s="23"/>
      <c r="AO1387" s="24">
        <v>44469</v>
      </c>
      <c r="AP1387" s="23">
        <v>27.1</v>
      </c>
      <c r="AQ1387" s="23" t="s">
        <v>307</v>
      </c>
      <c r="AR1387" s="9" t="s">
        <v>331</v>
      </c>
      <c r="AS1387" s="12">
        <v>0.15601216585669261</v>
      </c>
      <c r="AT1387" s="23">
        <v>39.18737144</v>
      </c>
      <c r="AU1387" s="23">
        <v>-123.20105721</v>
      </c>
      <c r="AV1387" s="23" t="s">
        <v>387</v>
      </c>
    </row>
    <row r="1388" spans="1:48" x14ac:dyDescent="0.25">
      <c r="A1388" s="18" t="s">
        <v>1751</v>
      </c>
      <c r="B1388" s="10">
        <v>19230908</v>
      </c>
      <c r="C1388" s="9">
        <v>17</v>
      </c>
      <c r="D1388" s="8" t="str">
        <f t="shared" si="255"/>
        <v>N</v>
      </c>
      <c r="E1388" s="8" t="str">
        <f t="shared" si="256"/>
        <v>N</v>
      </c>
      <c r="F1388" s="8" t="str">
        <f t="shared" si="257"/>
        <v>N</v>
      </c>
      <c r="G1388" s="8" t="str">
        <f t="shared" si="258"/>
        <v>N</v>
      </c>
      <c r="H1388" s="8" t="str">
        <f t="shared" si="259"/>
        <v>Lower</v>
      </c>
      <c r="I1388" s="8" t="str">
        <f t="shared" si="260"/>
        <v>Outside</v>
      </c>
      <c r="J1388" s="8" t="str">
        <f t="shared" si="261"/>
        <v>Outside</v>
      </c>
      <c r="K1388" s="8" t="str">
        <f t="shared" si="262"/>
        <v>Pre-1949</v>
      </c>
      <c r="L1388" s="8">
        <f t="shared" si="263"/>
        <v>1923</v>
      </c>
      <c r="M1388" s="8" t="str">
        <f t="shared" si="265"/>
        <v>Pre-1949 + 1949</v>
      </c>
      <c r="N1388" s="10" t="s">
        <v>241</v>
      </c>
      <c r="O1388" s="10" t="s">
        <v>242</v>
      </c>
      <c r="P1388" s="10" t="s">
        <v>242</v>
      </c>
      <c r="Q1388" s="10" t="s">
        <v>241</v>
      </c>
      <c r="R1388" s="10" t="s">
        <v>242</v>
      </c>
      <c r="S1388" s="10" t="s">
        <v>242</v>
      </c>
      <c r="T1388" s="10" t="s">
        <v>242</v>
      </c>
      <c r="U1388" s="10" t="s">
        <v>241</v>
      </c>
      <c r="V1388" s="10" t="s">
        <v>241</v>
      </c>
      <c r="W1388" s="10" t="s">
        <v>242</v>
      </c>
      <c r="X1388" s="15">
        <f>IF(ISERROR(VLOOKUP($A1388,'13. Updated Demand'!A:Z,15,FALSE)),0,VLOOKUP($A1388,'13. Updated Demand'!A:Z,15,FALSE))</f>
        <v>0</v>
      </c>
      <c r="Y1388" s="16">
        <f>IF(ISERROR(VLOOKUP($A1388,'13. Updated Demand'!A:Z,16,FALSE)),0,VLOOKUP($A1388,'13. Updated Demand'!A:Z,16,FALSE))</f>
        <v>0</v>
      </c>
      <c r="Z1388" s="16">
        <f>IF(ISERROR(VLOOKUP($A1388,'13. Updated Demand'!A:Z,17,FALSE)),0,VLOOKUP($A1388,'13. Updated Demand'!A:Z,17,FALSE))</f>
        <v>0</v>
      </c>
      <c r="AA1388" s="16">
        <f>IF(ISERROR(VLOOKUP($A1388,'13. Updated Demand'!A:Z,18,FALSE)),0,VLOOKUP($A1388,'13. Updated Demand'!A:Z,18,FALSE))</f>
        <v>0</v>
      </c>
      <c r="AB1388" s="16">
        <f>IF(ISERROR(VLOOKUP($A1388,'13. Updated Demand'!A:Z,19,FALSE)),0,VLOOKUP($A1388,'13. Updated Demand'!A:Z,19,FALSE))</f>
        <v>0</v>
      </c>
      <c r="AC1388" s="16">
        <f>IF(ISERROR(VLOOKUP($A1388,'13. Updated Demand'!A:Z,20,FALSE)),0,VLOOKUP($A1388,'13. Updated Demand'!A:Z,20,FALSE))</f>
        <v>0</v>
      </c>
      <c r="AD1388" s="16">
        <f>IF(ISERROR(VLOOKUP($A1388,'13. Updated Demand'!A:Z,21,FALSE)),0,VLOOKUP($A1388,'13. Updated Demand'!A:Z,21,FALSE))</f>
        <v>0</v>
      </c>
      <c r="AE1388" s="16">
        <f>IF(ISERROR(VLOOKUP($A1388,'13. Updated Demand'!A:Z,22,FALSE)),0,VLOOKUP($A1388,'13. Updated Demand'!A:Z,22,FALSE))</f>
        <v>0</v>
      </c>
      <c r="AF1388" s="16">
        <f>IF(ISERROR(VLOOKUP($A1388,'13. Updated Demand'!A:Z,23,FALSE)),0,VLOOKUP($A1388,'13. Updated Demand'!A:Z,23,FALSE))</f>
        <v>0</v>
      </c>
      <c r="AG1388" s="16">
        <f>IF(ISERROR(VLOOKUP($A1388,'13. Updated Demand'!A:Z,24,FALSE)),0,VLOOKUP($A1388,'13. Updated Demand'!A:Z,24,FALSE))</f>
        <v>0</v>
      </c>
      <c r="AH1388" s="16">
        <f>IF(ISERROR(VLOOKUP($A1388,'13. Updated Demand'!A:Z,25,FALSE)),0,VLOOKUP($A1388,'13. Updated Demand'!A:Z,25,FALSE))</f>
        <v>0</v>
      </c>
      <c r="AI1388" s="16">
        <f>IF(ISERROR(VLOOKUP($A1388,'13. Updated Demand'!A:Z,26,FALSE)),0,VLOOKUP($A1388,'13. Updated Demand'!A:Z,26,FALSE))</f>
        <v>0</v>
      </c>
      <c r="AJ1388" s="16">
        <f t="shared" si="266"/>
        <v>0</v>
      </c>
      <c r="AK1388" s="19">
        <v>0</v>
      </c>
      <c r="AL1388" s="16">
        <f t="shared" si="264"/>
        <v>0</v>
      </c>
      <c r="AM1388" s="26">
        <v>0</v>
      </c>
      <c r="AN1388" s="19"/>
      <c r="AO1388" s="25">
        <f>+AO1387-AO1386</f>
        <v>152</v>
      </c>
      <c r="AP1388" s="19">
        <v>182</v>
      </c>
      <c r="AQ1388" s="19" t="s">
        <v>307</v>
      </c>
      <c r="AR1388" s="9" t="s">
        <v>486</v>
      </c>
      <c r="AS1388" s="12">
        <v>0</v>
      </c>
      <c r="AT1388" s="19">
        <v>38.536279280000002</v>
      </c>
      <c r="AU1388" s="19">
        <v>-122.86251095</v>
      </c>
      <c r="AV1388" s="19" t="s">
        <v>387</v>
      </c>
    </row>
    <row r="1389" spans="1:48" x14ac:dyDescent="0.25">
      <c r="A1389" s="18" t="s">
        <v>1752</v>
      </c>
      <c r="B1389" s="10">
        <v>19220116</v>
      </c>
      <c r="C1389" s="9">
        <v>1</v>
      </c>
      <c r="D1389" s="8" t="str">
        <f t="shared" si="255"/>
        <v>N</v>
      </c>
      <c r="E1389" s="8" t="str">
        <f t="shared" si="256"/>
        <v>N</v>
      </c>
      <c r="F1389" s="8" t="str">
        <f t="shared" si="257"/>
        <v>Y</v>
      </c>
      <c r="G1389" s="8" t="str">
        <f t="shared" si="258"/>
        <v>Y</v>
      </c>
      <c r="H1389" s="8" t="str">
        <f t="shared" si="259"/>
        <v>Upper</v>
      </c>
      <c r="I1389" s="8" t="str">
        <f t="shared" si="260"/>
        <v>West Fork and Below Lake</v>
      </c>
      <c r="J1389" s="8" t="str">
        <f t="shared" si="261"/>
        <v>Outside</v>
      </c>
      <c r="K1389" s="8" t="str">
        <f t="shared" si="262"/>
        <v>Pre-1949</v>
      </c>
      <c r="L1389" s="8">
        <f t="shared" si="263"/>
        <v>1922</v>
      </c>
      <c r="M1389" s="8" t="str">
        <f t="shared" si="265"/>
        <v>Pre-1949 + 1949</v>
      </c>
      <c r="N1389" s="10" t="s">
        <v>242</v>
      </c>
      <c r="O1389" s="10" t="s">
        <v>241</v>
      </c>
      <c r="P1389" s="10" t="s">
        <v>242</v>
      </c>
      <c r="Q1389" s="10" t="s">
        <v>241</v>
      </c>
      <c r="R1389" s="10" t="s">
        <v>242</v>
      </c>
      <c r="S1389" s="10" t="s">
        <v>242</v>
      </c>
      <c r="T1389" s="10" t="s">
        <v>242</v>
      </c>
      <c r="U1389" s="10" t="s">
        <v>241</v>
      </c>
      <c r="V1389" s="10" t="s">
        <v>241</v>
      </c>
      <c r="W1389" s="10" t="s">
        <v>242</v>
      </c>
      <c r="X1389" s="15">
        <f>IF(ISERROR(VLOOKUP($A1389,'13. Updated Demand'!A:Z,15,FALSE)),0,VLOOKUP($A1389,'13. Updated Demand'!A:Z,15,FALSE))</f>
        <v>0</v>
      </c>
      <c r="Y1389" s="16">
        <f>IF(ISERROR(VLOOKUP($A1389,'13. Updated Demand'!A:Z,16,FALSE)),0,VLOOKUP($A1389,'13. Updated Demand'!A:Z,16,FALSE))</f>
        <v>0</v>
      </c>
      <c r="Z1389" s="16">
        <f>IF(ISERROR(VLOOKUP($A1389,'13. Updated Demand'!A:Z,17,FALSE)),0,VLOOKUP($A1389,'13. Updated Demand'!A:Z,17,FALSE))</f>
        <v>0</v>
      </c>
      <c r="AA1389" s="16">
        <f>IF(ISERROR(VLOOKUP($A1389,'13. Updated Demand'!A:Z,18,FALSE)),0,VLOOKUP($A1389,'13. Updated Demand'!A:Z,18,FALSE))</f>
        <v>0</v>
      </c>
      <c r="AB1389" s="16">
        <f>IF(ISERROR(VLOOKUP($A1389,'13. Updated Demand'!A:Z,19,FALSE)),0,VLOOKUP($A1389,'13. Updated Demand'!A:Z,19,FALSE))</f>
        <v>0</v>
      </c>
      <c r="AC1389" s="16">
        <f>IF(ISERROR(VLOOKUP($A1389,'13. Updated Demand'!A:Z,20,FALSE)),0,VLOOKUP($A1389,'13. Updated Demand'!A:Z,20,FALSE))</f>
        <v>0</v>
      </c>
      <c r="AD1389" s="16">
        <f>IF(ISERROR(VLOOKUP($A1389,'13. Updated Demand'!A:Z,21,FALSE)),0,VLOOKUP($A1389,'13. Updated Demand'!A:Z,21,FALSE))</f>
        <v>0</v>
      </c>
      <c r="AE1389" s="16">
        <f>IF(ISERROR(VLOOKUP($A1389,'13. Updated Demand'!A:Z,22,FALSE)),0,VLOOKUP($A1389,'13. Updated Demand'!A:Z,22,FALSE))</f>
        <v>0</v>
      </c>
      <c r="AF1389" s="16">
        <f>IF(ISERROR(VLOOKUP($A1389,'13. Updated Demand'!A:Z,23,FALSE)),0,VLOOKUP($A1389,'13. Updated Demand'!A:Z,23,FALSE))</f>
        <v>0</v>
      </c>
      <c r="AG1389" s="16">
        <f>IF(ISERROR(VLOOKUP($A1389,'13. Updated Demand'!A:Z,24,FALSE)),0,VLOOKUP($A1389,'13. Updated Demand'!A:Z,24,FALSE))</f>
        <v>0</v>
      </c>
      <c r="AH1389" s="16">
        <f>IF(ISERROR(VLOOKUP($A1389,'13. Updated Demand'!A:Z,25,FALSE)),0,VLOOKUP($A1389,'13. Updated Demand'!A:Z,25,FALSE))</f>
        <v>0</v>
      </c>
      <c r="AI1389" s="16">
        <f>IF(ISERROR(VLOOKUP($A1389,'13. Updated Demand'!A:Z,26,FALSE)),0,VLOOKUP($A1389,'13. Updated Demand'!A:Z,26,FALSE))</f>
        <v>0</v>
      </c>
      <c r="AJ1389" s="16">
        <f t="shared" si="266"/>
        <v>0</v>
      </c>
      <c r="AK1389" s="19">
        <v>0</v>
      </c>
      <c r="AL1389" s="16">
        <f t="shared" si="264"/>
        <v>0</v>
      </c>
      <c r="AM1389" s="26">
        <v>0</v>
      </c>
      <c r="AN1389" s="19"/>
      <c r="AO1389" s="19"/>
      <c r="AP1389" s="19">
        <v>46.7</v>
      </c>
      <c r="AQ1389" s="19" t="s">
        <v>307</v>
      </c>
      <c r="AR1389" s="9" t="s">
        <v>317</v>
      </c>
      <c r="AS1389" s="12">
        <v>0</v>
      </c>
      <c r="AT1389" s="19">
        <v>39.214562049999998</v>
      </c>
      <c r="AU1389" s="19">
        <v>-123.20045973000001</v>
      </c>
      <c r="AV1389" s="19" t="s">
        <v>456</v>
      </c>
    </row>
    <row r="1390" spans="1:48" x14ac:dyDescent="0.25">
      <c r="A1390" s="18" t="s">
        <v>1753</v>
      </c>
      <c r="B1390" s="10">
        <v>19220714</v>
      </c>
      <c r="C1390" s="9">
        <v>13</v>
      </c>
      <c r="D1390" s="8" t="str">
        <f t="shared" si="255"/>
        <v>N</v>
      </c>
      <c r="E1390" s="8" t="str">
        <f t="shared" si="256"/>
        <v>Y</v>
      </c>
      <c r="F1390" s="8" t="str">
        <f t="shared" si="257"/>
        <v>Y</v>
      </c>
      <c r="G1390" s="8" t="str">
        <f t="shared" si="258"/>
        <v>Y</v>
      </c>
      <c r="H1390" s="8" t="str">
        <f t="shared" si="259"/>
        <v>Upper</v>
      </c>
      <c r="I1390" s="8" t="str">
        <f t="shared" si="260"/>
        <v>West Fork and Below Lake</v>
      </c>
      <c r="J1390" s="8" t="str">
        <f t="shared" si="261"/>
        <v>Sonoma (d/s of Clov. Gage)</v>
      </c>
      <c r="K1390" s="8" t="str">
        <f t="shared" si="262"/>
        <v>Pre-1949</v>
      </c>
      <c r="L1390" s="8">
        <f t="shared" si="263"/>
        <v>1922</v>
      </c>
      <c r="M1390" s="8" t="str">
        <f t="shared" si="265"/>
        <v>Pre-1949 + 1949</v>
      </c>
      <c r="N1390" s="10" t="s">
        <v>242</v>
      </c>
      <c r="O1390" s="10" t="s">
        <v>241</v>
      </c>
      <c r="P1390" s="10" t="s">
        <v>242</v>
      </c>
      <c r="Q1390" s="10" t="s">
        <v>241</v>
      </c>
      <c r="R1390" s="10" t="s">
        <v>242</v>
      </c>
      <c r="S1390" s="10" t="s">
        <v>242</v>
      </c>
      <c r="T1390" s="10" t="s">
        <v>242</v>
      </c>
      <c r="U1390" s="10" t="s">
        <v>241</v>
      </c>
      <c r="V1390" s="10" t="s">
        <v>241</v>
      </c>
      <c r="W1390" s="10" t="s">
        <v>242</v>
      </c>
      <c r="X1390" s="15">
        <f>IF(ISERROR(VLOOKUP($A1390,'13. Updated Demand'!A:Z,15,FALSE)),0,VLOOKUP($A1390,'13. Updated Demand'!A:Z,15,FALSE))</f>
        <v>0</v>
      </c>
      <c r="Y1390" s="16">
        <f>IF(ISERROR(VLOOKUP($A1390,'13. Updated Demand'!A:Z,16,FALSE)),0,VLOOKUP($A1390,'13. Updated Demand'!A:Z,16,FALSE))</f>
        <v>0</v>
      </c>
      <c r="Z1390" s="16">
        <f>IF(ISERROR(VLOOKUP($A1390,'13. Updated Demand'!A:Z,17,FALSE)),0,VLOOKUP($A1390,'13. Updated Demand'!A:Z,17,FALSE))</f>
        <v>0</v>
      </c>
      <c r="AA1390" s="16">
        <f>IF(ISERROR(VLOOKUP($A1390,'13. Updated Demand'!A:Z,18,FALSE)),0,VLOOKUP($A1390,'13. Updated Demand'!A:Z,18,FALSE))</f>
        <v>0</v>
      </c>
      <c r="AB1390" s="16">
        <f>IF(ISERROR(VLOOKUP($A1390,'13. Updated Demand'!A:Z,19,FALSE)),0,VLOOKUP($A1390,'13. Updated Demand'!A:Z,19,FALSE))</f>
        <v>0</v>
      </c>
      <c r="AC1390" s="16">
        <f>IF(ISERROR(VLOOKUP($A1390,'13. Updated Demand'!A:Z,20,FALSE)),0,VLOOKUP($A1390,'13. Updated Demand'!A:Z,20,FALSE))</f>
        <v>0</v>
      </c>
      <c r="AD1390" s="16">
        <f>IF(ISERROR(VLOOKUP($A1390,'13. Updated Demand'!A:Z,21,FALSE)),0,VLOOKUP($A1390,'13. Updated Demand'!A:Z,21,FALSE))</f>
        <v>0</v>
      </c>
      <c r="AE1390" s="16">
        <f>IF(ISERROR(VLOOKUP($A1390,'13. Updated Demand'!A:Z,22,FALSE)),0,VLOOKUP($A1390,'13. Updated Demand'!A:Z,22,FALSE))</f>
        <v>0</v>
      </c>
      <c r="AF1390" s="16">
        <f>IF(ISERROR(VLOOKUP($A1390,'13. Updated Demand'!A:Z,23,FALSE)),0,VLOOKUP($A1390,'13. Updated Demand'!A:Z,23,FALSE))</f>
        <v>0</v>
      </c>
      <c r="AG1390" s="16">
        <f>IF(ISERROR(VLOOKUP($A1390,'13. Updated Demand'!A:Z,24,FALSE)),0,VLOOKUP($A1390,'13. Updated Demand'!A:Z,24,FALSE))</f>
        <v>0</v>
      </c>
      <c r="AH1390" s="16">
        <f>IF(ISERROR(VLOOKUP($A1390,'13. Updated Demand'!A:Z,25,FALSE)),0,VLOOKUP($A1390,'13. Updated Demand'!A:Z,25,FALSE))</f>
        <v>0</v>
      </c>
      <c r="AI1390" s="16">
        <f>IF(ISERROR(VLOOKUP($A1390,'13. Updated Demand'!A:Z,26,FALSE)),0,VLOOKUP($A1390,'13. Updated Demand'!A:Z,26,FALSE))</f>
        <v>0</v>
      </c>
      <c r="AJ1390" s="16">
        <f t="shared" si="266"/>
        <v>0</v>
      </c>
      <c r="AK1390" s="19">
        <v>0</v>
      </c>
      <c r="AL1390" s="16">
        <f t="shared" si="264"/>
        <v>0</v>
      </c>
      <c r="AM1390" s="26">
        <v>0</v>
      </c>
      <c r="AN1390" s="19"/>
      <c r="AO1390" s="19"/>
      <c r="AP1390" s="19">
        <v>18.3</v>
      </c>
      <c r="AQ1390" s="19" t="s">
        <v>307</v>
      </c>
      <c r="AR1390" s="9" t="s">
        <v>507</v>
      </c>
      <c r="AS1390" s="12">
        <v>0</v>
      </c>
      <c r="AT1390" s="19">
        <v>38.604198400000001</v>
      </c>
      <c r="AU1390" s="19">
        <v>-122.85003381</v>
      </c>
      <c r="AV1390" s="19" t="s">
        <v>387</v>
      </c>
    </row>
    <row r="1391" spans="1:48" x14ac:dyDescent="0.25">
      <c r="A1391" s="18" t="s">
        <v>1754</v>
      </c>
      <c r="B1391" s="10">
        <v>19200826</v>
      </c>
      <c r="C1391" s="9">
        <v>4</v>
      </c>
      <c r="D1391" s="8" t="str">
        <f t="shared" si="255"/>
        <v>Y</v>
      </c>
      <c r="E1391" s="8" t="str">
        <f t="shared" si="256"/>
        <v>N</v>
      </c>
      <c r="F1391" s="8" t="str">
        <f t="shared" si="257"/>
        <v>Y</v>
      </c>
      <c r="G1391" s="8" t="str">
        <f t="shared" si="258"/>
        <v>Y</v>
      </c>
      <c r="H1391" s="8" t="str">
        <f t="shared" si="259"/>
        <v>Upper</v>
      </c>
      <c r="I1391" s="8" t="str">
        <f t="shared" si="260"/>
        <v>West Fork and Below Lake</v>
      </c>
      <c r="J1391" s="8" t="str">
        <f t="shared" si="261"/>
        <v>Mendocino (d/s of lake)</v>
      </c>
      <c r="K1391" s="8" t="str">
        <f t="shared" si="262"/>
        <v>Pre-1949</v>
      </c>
      <c r="L1391" s="8">
        <f t="shared" si="263"/>
        <v>1920</v>
      </c>
      <c r="M1391" s="8" t="str">
        <f t="shared" si="265"/>
        <v>Pre-1949 + 1949</v>
      </c>
      <c r="N1391" s="10" t="s">
        <v>241</v>
      </c>
      <c r="O1391" s="10" t="s">
        <v>241</v>
      </c>
      <c r="P1391" s="10" t="s">
        <v>242</v>
      </c>
      <c r="Q1391" s="10" t="s">
        <v>241</v>
      </c>
      <c r="R1391" s="10" t="s">
        <v>242</v>
      </c>
      <c r="S1391" s="10" t="s">
        <v>242</v>
      </c>
      <c r="T1391" s="10" t="s">
        <v>241</v>
      </c>
      <c r="U1391" s="10" t="s">
        <v>241</v>
      </c>
      <c r="V1391" s="10" t="s">
        <v>241</v>
      </c>
      <c r="W1391" s="10" t="s">
        <v>242</v>
      </c>
      <c r="X1391" s="15">
        <f>IF(ISERROR(VLOOKUP($A1391,'13. Updated Demand'!A:Z,15,FALSE)),0,VLOOKUP($A1391,'13. Updated Demand'!A:Z,15,FALSE))</f>
        <v>0</v>
      </c>
      <c r="Y1391" s="16">
        <f>IF(ISERROR(VLOOKUP($A1391,'13. Updated Demand'!A:Z,16,FALSE)),0,VLOOKUP($A1391,'13. Updated Demand'!A:Z,16,FALSE))</f>
        <v>0</v>
      </c>
      <c r="Z1391" s="16">
        <f>IF(ISERROR(VLOOKUP($A1391,'13. Updated Demand'!A:Z,17,FALSE)),0,VLOOKUP($A1391,'13. Updated Demand'!A:Z,17,FALSE))</f>
        <v>0</v>
      </c>
      <c r="AA1391" s="16">
        <f>IF(ISERROR(VLOOKUP($A1391,'13. Updated Demand'!A:Z,18,FALSE)),0,VLOOKUP($A1391,'13. Updated Demand'!A:Z,18,FALSE))</f>
        <v>0</v>
      </c>
      <c r="AB1391" s="16">
        <f>IF(ISERROR(VLOOKUP($A1391,'13. Updated Demand'!A:Z,19,FALSE)),0,VLOOKUP($A1391,'13. Updated Demand'!A:Z,19,FALSE))</f>
        <v>0</v>
      </c>
      <c r="AC1391" s="16">
        <f>IF(ISERROR(VLOOKUP($A1391,'13. Updated Demand'!A:Z,20,FALSE)),0,VLOOKUP($A1391,'13. Updated Demand'!A:Z,20,FALSE))</f>
        <v>0</v>
      </c>
      <c r="AD1391" s="16">
        <f>IF(ISERROR(VLOOKUP($A1391,'13. Updated Demand'!A:Z,21,FALSE)),0,VLOOKUP($A1391,'13. Updated Demand'!A:Z,21,FALSE))</f>
        <v>0</v>
      </c>
      <c r="AE1391" s="16">
        <f>IF(ISERROR(VLOOKUP($A1391,'13. Updated Demand'!A:Z,22,FALSE)),0,VLOOKUP($A1391,'13. Updated Demand'!A:Z,22,FALSE))</f>
        <v>0</v>
      </c>
      <c r="AF1391" s="16">
        <f>IF(ISERROR(VLOOKUP($A1391,'13. Updated Demand'!A:Z,23,FALSE)),0,VLOOKUP($A1391,'13. Updated Demand'!A:Z,23,FALSE))</f>
        <v>0</v>
      </c>
      <c r="AG1391" s="16">
        <f>IF(ISERROR(VLOOKUP($A1391,'13. Updated Demand'!A:Z,24,FALSE)),0,VLOOKUP($A1391,'13. Updated Demand'!A:Z,24,FALSE))</f>
        <v>0</v>
      </c>
      <c r="AH1391" s="16">
        <f>IF(ISERROR(VLOOKUP($A1391,'13. Updated Demand'!A:Z,25,FALSE)),0,VLOOKUP($A1391,'13. Updated Demand'!A:Z,25,FALSE))</f>
        <v>0</v>
      </c>
      <c r="AI1391" s="16">
        <f>IF(ISERROR(VLOOKUP($A1391,'13. Updated Demand'!A:Z,26,FALSE)),0,VLOOKUP($A1391,'13. Updated Demand'!A:Z,26,FALSE))</f>
        <v>0</v>
      </c>
      <c r="AJ1391" s="16">
        <f t="shared" si="266"/>
        <v>0</v>
      </c>
      <c r="AK1391" s="19">
        <v>0</v>
      </c>
      <c r="AL1391" s="16">
        <f t="shared" si="264"/>
        <v>0</v>
      </c>
      <c r="AM1391" s="26">
        <v>0</v>
      </c>
      <c r="AN1391" s="19"/>
      <c r="AO1391" s="19"/>
      <c r="AP1391" s="19">
        <v>369.2</v>
      </c>
      <c r="AQ1391" s="19" t="s">
        <v>307</v>
      </c>
      <c r="AR1391" s="9" t="s">
        <v>331</v>
      </c>
      <c r="AS1391" s="12">
        <v>3.4039024194010059E-4</v>
      </c>
      <c r="AT1391" s="19">
        <v>39.137683670000001</v>
      </c>
      <c r="AU1391" s="19">
        <v>-123.18628701</v>
      </c>
      <c r="AV1391" s="19" t="s">
        <v>387</v>
      </c>
    </row>
    <row r="1392" spans="1:48" x14ac:dyDescent="0.25">
      <c r="A1392" s="18" t="s">
        <v>1755</v>
      </c>
      <c r="B1392" s="10">
        <v>19190307</v>
      </c>
      <c r="C1392" s="9">
        <v>23</v>
      </c>
      <c r="D1392" s="8" t="str">
        <f t="shared" si="255"/>
        <v>N</v>
      </c>
      <c r="E1392" s="8" t="str">
        <f t="shared" si="256"/>
        <v>N</v>
      </c>
      <c r="F1392" s="8" t="str">
        <f t="shared" si="257"/>
        <v>N</v>
      </c>
      <c r="G1392" s="8" t="str">
        <f t="shared" si="258"/>
        <v>N</v>
      </c>
      <c r="H1392" s="8" t="str">
        <f t="shared" si="259"/>
        <v>Lower</v>
      </c>
      <c r="I1392" s="8" t="str">
        <f t="shared" si="260"/>
        <v>Outside</v>
      </c>
      <c r="J1392" s="8" t="str">
        <f t="shared" si="261"/>
        <v>Outside</v>
      </c>
      <c r="K1392" s="8" t="str">
        <f t="shared" si="262"/>
        <v>Pre-1949</v>
      </c>
      <c r="L1392" s="8">
        <f t="shared" si="263"/>
        <v>1919</v>
      </c>
      <c r="M1392" s="8" t="str">
        <f t="shared" si="265"/>
        <v>Pre-1949 + 1949</v>
      </c>
      <c r="N1392" s="10" t="s">
        <v>242</v>
      </c>
      <c r="O1392" s="10" t="s">
        <v>242</v>
      </c>
      <c r="P1392" s="10" t="s">
        <v>242</v>
      </c>
      <c r="Q1392" s="10" t="s">
        <v>241</v>
      </c>
      <c r="R1392" s="10" t="s">
        <v>242</v>
      </c>
      <c r="S1392" s="10" t="s">
        <v>242</v>
      </c>
      <c r="T1392" s="10" t="s">
        <v>242</v>
      </c>
      <c r="U1392" s="10" t="s">
        <v>241</v>
      </c>
      <c r="V1392" s="10" t="s">
        <v>241</v>
      </c>
      <c r="W1392" s="10" t="s">
        <v>242</v>
      </c>
      <c r="X1392" s="15">
        <f>IF(ISERROR(VLOOKUP($A1392,'13. Updated Demand'!A:Z,15,FALSE)),0,VLOOKUP($A1392,'13. Updated Demand'!A:Z,15,FALSE))</f>
        <v>0</v>
      </c>
      <c r="Y1392" s="16">
        <f>IF(ISERROR(VLOOKUP($A1392,'13. Updated Demand'!A:Z,16,FALSE)),0,VLOOKUP($A1392,'13. Updated Demand'!A:Z,16,FALSE))</f>
        <v>0</v>
      </c>
      <c r="Z1392" s="16">
        <f>IF(ISERROR(VLOOKUP($A1392,'13. Updated Demand'!A:Z,17,FALSE)),0,VLOOKUP($A1392,'13. Updated Demand'!A:Z,17,FALSE))</f>
        <v>0</v>
      </c>
      <c r="AA1392" s="16">
        <f>IF(ISERROR(VLOOKUP($A1392,'13. Updated Demand'!A:Z,18,FALSE)),0,VLOOKUP($A1392,'13. Updated Demand'!A:Z,18,FALSE))</f>
        <v>0</v>
      </c>
      <c r="AB1392" s="16">
        <f>IF(ISERROR(VLOOKUP($A1392,'13. Updated Demand'!A:Z,19,FALSE)),0,VLOOKUP($A1392,'13. Updated Demand'!A:Z,19,FALSE))</f>
        <v>0</v>
      </c>
      <c r="AC1392" s="16">
        <f>IF(ISERROR(VLOOKUP($A1392,'13. Updated Demand'!A:Z,20,FALSE)),0,VLOOKUP($A1392,'13. Updated Demand'!A:Z,20,FALSE))</f>
        <v>0</v>
      </c>
      <c r="AD1392" s="16">
        <f>IF(ISERROR(VLOOKUP($A1392,'13. Updated Demand'!A:Z,21,FALSE)),0,VLOOKUP($A1392,'13. Updated Demand'!A:Z,21,FALSE))</f>
        <v>0</v>
      </c>
      <c r="AE1392" s="16">
        <f>IF(ISERROR(VLOOKUP($A1392,'13. Updated Demand'!A:Z,22,FALSE)),0,VLOOKUP($A1392,'13. Updated Demand'!A:Z,22,FALSE))</f>
        <v>0</v>
      </c>
      <c r="AF1392" s="16">
        <f>IF(ISERROR(VLOOKUP($A1392,'13. Updated Demand'!A:Z,23,FALSE)),0,VLOOKUP($A1392,'13. Updated Demand'!A:Z,23,FALSE))</f>
        <v>0</v>
      </c>
      <c r="AG1392" s="16">
        <f>IF(ISERROR(VLOOKUP($A1392,'13. Updated Demand'!A:Z,24,FALSE)),0,VLOOKUP($A1392,'13. Updated Demand'!A:Z,24,FALSE))</f>
        <v>0</v>
      </c>
      <c r="AH1392" s="16">
        <f>IF(ISERROR(VLOOKUP($A1392,'13. Updated Demand'!A:Z,25,FALSE)),0,VLOOKUP($A1392,'13. Updated Demand'!A:Z,25,FALSE))</f>
        <v>0</v>
      </c>
      <c r="AI1392" s="16">
        <f>IF(ISERROR(VLOOKUP($A1392,'13. Updated Demand'!A:Z,26,FALSE)),0,VLOOKUP($A1392,'13. Updated Demand'!A:Z,26,FALSE))</f>
        <v>0</v>
      </c>
      <c r="AJ1392" s="16">
        <f t="shared" si="266"/>
        <v>0</v>
      </c>
      <c r="AK1392" s="19">
        <v>0</v>
      </c>
      <c r="AL1392" s="16">
        <f t="shared" si="264"/>
        <v>0</v>
      </c>
      <c r="AM1392" s="26">
        <v>0</v>
      </c>
      <c r="AN1392" s="19"/>
      <c r="AO1392" s="19"/>
      <c r="AP1392" s="19">
        <v>343.6</v>
      </c>
      <c r="AQ1392" s="19" t="s">
        <v>307</v>
      </c>
      <c r="AR1392" s="9" t="s">
        <v>323</v>
      </c>
      <c r="AS1392" s="12">
        <v>0</v>
      </c>
      <c r="AT1392" s="19">
        <v>38.508886369999999</v>
      </c>
      <c r="AU1392" s="19">
        <v>-122.77515777000001</v>
      </c>
      <c r="AV1392" s="19" t="s">
        <v>735</v>
      </c>
    </row>
    <row r="1393" spans="1:48" x14ac:dyDescent="0.25">
      <c r="A1393" s="18" t="s">
        <v>1756</v>
      </c>
      <c r="B1393" s="10">
        <v>19180726</v>
      </c>
      <c r="C1393" s="9">
        <v>23</v>
      </c>
      <c r="D1393" s="8" t="str">
        <f t="shared" si="255"/>
        <v>N</v>
      </c>
      <c r="E1393" s="8" t="str">
        <f t="shared" si="256"/>
        <v>N</v>
      </c>
      <c r="F1393" s="8" t="str">
        <f t="shared" si="257"/>
        <v>N</v>
      </c>
      <c r="G1393" s="8" t="str">
        <f t="shared" si="258"/>
        <v>N</v>
      </c>
      <c r="H1393" s="8" t="str">
        <f t="shared" si="259"/>
        <v>Lower</v>
      </c>
      <c r="I1393" s="8" t="str">
        <f t="shared" si="260"/>
        <v>Outside</v>
      </c>
      <c r="J1393" s="8" t="str">
        <f t="shared" si="261"/>
        <v>Outside</v>
      </c>
      <c r="K1393" s="8" t="str">
        <f t="shared" si="262"/>
        <v>Pre-1949</v>
      </c>
      <c r="L1393" s="8">
        <f t="shared" si="263"/>
        <v>1918</v>
      </c>
      <c r="M1393" s="8" t="str">
        <f t="shared" si="265"/>
        <v>Pre-1949 + 1949</v>
      </c>
      <c r="N1393" s="10" t="s">
        <v>242</v>
      </c>
      <c r="O1393" s="10" t="s">
        <v>242</v>
      </c>
      <c r="P1393" s="10" t="s">
        <v>242</v>
      </c>
      <c r="Q1393" s="10" t="s">
        <v>241</v>
      </c>
      <c r="R1393" s="10" t="s">
        <v>242</v>
      </c>
      <c r="S1393" s="10" t="s">
        <v>242</v>
      </c>
      <c r="T1393" s="10" t="s">
        <v>242</v>
      </c>
      <c r="U1393" s="10" t="s">
        <v>242</v>
      </c>
      <c r="V1393" s="10" t="s">
        <v>242</v>
      </c>
      <c r="W1393" s="10" t="s">
        <v>242</v>
      </c>
      <c r="X1393" s="15">
        <f>IF(ISERROR(VLOOKUP($A1393,'13. Updated Demand'!A:Z,15,FALSE)),0,VLOOKUP($A1393,'13. Updated Demand'!A:Z,15,FALSE))</f>
        <v>0</v>
      </c>
      <c r="Y1393" s="16">
        <f>IF(ISERROR(VLOOKUP($A1393,'13. Updated Demand'!A:Z,16,FALSE)),0,VLOOKUP($A1393,'13. Updated Demand'!A:Z,16,FALSE))</f>
        <v>0</v>
      </c>
      <c r="Z1393" s="16">
        <f>IF(ISERROR(VLOOKUP($A1393,'13. Updated Demand'!A:Z,17,FALSE)),0,VLOOKUP($A1393,'13. Updated Demand'!A:Z,17,FALSE))</f>
        <v>0</v>
      </c>
      <c r="AA1393" s="16">
        <f>IF(ISERROR(VLOOKUP($A1393,'13. Updated Demand'!A:Z,18,FALSE)),0,VLOOKUP($A1393,'13. Updated Demand'!A:Z,18,FALSE))</f>
        <v>0</v>
      </c>
      <c r="AB1393" s="16">
        <f>IF(ISERROR(VLOOKUP($A1393,'13. Updated Demand'!A:Z,19,FALSE)),0,VLOOKUP($A1393,'13. Updated Demand'!A:Z,19,FALSE))</f>
        <v>1</v>
      </c>
      <c r="AC1393" s="16">
        <f>IF(ISERROR(VLOOKUP($A1393,'13. Updated Demand'!A:Z,20,FALSE)),0,VLOOKUP($A1393,'13. Updated Demand'!A:Z,20,FALSE))</f>
        <v>2.21</v>
      </c>
      <c r="AD1393" s="16">
        <f>IF(ISERROR(VLOOKUP($A1393,'13. Updated Demand'!A:Z,21,FALSE)),0,VLOOKUP($A1393,'13. Updated Demand'!A:Z,21,FALSE))</f>
        <v>2.8833333329999999</v>
      </c>
      <c r="AE1393" s="16">
        <f>IF(ISERROR(VLOOKUP($A1393,'13. Updated Demand'!A:Z,22,FALSE)),0,VLOOKUP($A1393,'13. Updated Demand'!A:Z,22,FALSE))</f>
        <v>3.496666667</v>
      </c>
      <c r="AF1393" s="16">
        <f>IF(ISERROR(VLOOKUP($A1393,'13. Updated Demand'!A:Z,23,FALSE)),0,VLOOKUP($A1393,'13. Updated Demand'!A:Z,23,FALSE))</f>
        <v>2.246666667</v>
      </c>
      <c r="AG1393" s="16">
        <f>IF(ISERROR(VLOOKUP($A1393,'13. Updated Demand'!A:Z,24,FALSE)),0,VLOOKUP($A1393,'13. Updated Demand'!A:Z,24,FALSE))</f>
        <v>1.536666667</v>
      </c>
      <c r="AH1393" s="16">
        <f>IF(ISERROR(VLOOKUP($A1393,'13. Updated Demand'!A:Z,25,FALSE)),0,VLOOKUP($A1393,'13. Updated Demand'!A:Z,25,FALSE))</f>
        <v>0.1</v>
      </c>
      <c r="AI1393" s="16">
        <f>IF(ISERROR(VLOOKUP($A1393,'13. Updated Demand'!A:Z,26,FALSE)),0,VLOOKUP($A1393,'13. Updated Demand'!A:Z,26,FALSE))</f>
        <v>0</v>
      </c>
      <c r="AJ1393" s="16">
        <f t="shared" si="266"/>
        <v>13.473333333999999</v>
      </c>
      <c r="AK1393" s="19">
        <v>11.836666666999999</v>
      </c>
      <c r="AL1393" s="16">
        <f t="shared" si="264"/>
        <v>3.9260875011400138E-2</v>
      </c>
      <c r="AM1393" s="26">
        <v>0.14108202443979057</v>
      </c>
      <c r="AN1393" s="19"/>
      <c r="AO1393" s="19"/>
      <c r="AP1393" s="19">
        <v>95.5</v>
      </c>
      <c r="AQ1393" s="19" t="s">
        <v>307</v>
      </c>
      <c r="AR1393" s="9" t="s">
        <v>725</v>
      </c>
      <c r="AS1393" s="12">
        <v>0</v>
      </c>
      <c r="AT1393" s="19">
        <v>38.43642414</v>
      </c>
      <c r="AU1393" s="19">
        <v>-122.72793928</v>
      </c>
      <c r="AV1393" s="19" t="s">
        <v>1251</v>
      </c>
    </row>
    <row r="1394" spans="1:48" x14ac:dyDescent="0.25">
      <c r="A1394" s="18" t="s">
        <v>1757</v>
      </c>
      <c r="B1394" s="10">
        <v>19140101</v>
      </c>
      <c r="C1394" s="9">
        <v>22</v>
      </c>
      <c r="D1394" s="8" t="str">
        <f t="shared" si="255"/>
        <v>N</v>
      </c>
      <c r="E1394" s="8" t="str">
        <f t="shared" si="256"/>
        <v>N</v>
      </c>
      <c r="F1394" s="8" t="str">
        <f t="shared" si="257"/>
        <v>N</v>
      </c>
      <c r="G1394" s="8" t="str">
        <f t="shared" si="258"/>
        <v>N</v>
      </c>
      <c r="H1394" s="8" t="str">
        <f t="shared" si="259"/>
        <v>Lower</v>
      </c>
      <c r="I1394" s="8" t="str">
        <f t="shared" si="260"/>
        <v>Outside</v>
      </c>
      <c r="J1394" s="8" t="str">
        <f t="shared" si="261"/>
        <v>Outside</v>
      </c>
      <c r="K1394" s="8" t="str">
        <f t="shared" si="262"/>
        <v>pre-1914</v>
      </c>
      <c r="L1394" s="8">
        <f t="shared" si="263"/>
        <v>1914</v>
      </c>
      <c r="M1394" s="8" t="s">
        <v>179</v>
      </c>
      <c r="N1394" s="10" t="s">
        <v>242</v>
      </c>
      <c r="O1394" s="10" t="s">
        <v>242</v>
      </c>
      <c r="P1394" s="10" t="s">
        <v>241</v>
      </c>
      <c r="Q1394" s="10" t="s">
        <v>242</v>
      </c>
      <c r="R1394" s="10" t="s">
        <v>242</v>
      </c>
      <c r="S1394" s="10" t="s">
        <v>242</v>
      </c>
      <c r="T1394" s="10" t="s">
        <v>242</v>
      </c>
      <c r="U1394" s="10" t="s">
        <v>242</v>
      </c>
      <c r="V1394" s="10" t="s">
        <v>242</v>
      </c>
      <c r="W1394" s="10" t="s">
        <v>242</v>
      </c>
      <c r="X1394" s="15">
        <f>IF(ISERROR(VLOOKUP($A1394,'13. Updated Demand'!A:Z,15,FALSE)),0,VLOOKUP($A1394,'13. Updated Demand'!A:Z,15,FALSE))</f>
        <v>0.228325</v>
      </c>
      <c r="Y1394" s="16">
        <f>IF(ISERROR(VLOOKUP($A1394,'13. Updated Demand'!A:Z,16,FALSE)),0,VLOOKUP($A1394,'13. Updated Demand'!A:Z,16,FALSE))</f>
        <v>0.164983667</v>
      </c>
      <c r="Z1394" s="16">
        <f>IF(ISERROR(VLOOKUP($A1394,'13. Updated Demand'!A:Z,17,FALSE)),0,VLOOKUP($A1394,'13. Updated Demand'!A:Z,17,FALSE))</f>
        <v>0.228325</v>
      </c>
      <c r="AA1394" s="16">
        <f>IF(ISERROR(VLOOKUP($A1394,'13. Updated Demand'!A:Z,18,FALSE)),0,VLOOKUP($A1394,'13. Updated Demand'!A:Z,18,FALSE))</f>
        <v>0.22095999999999999</v>
      </c>
      <c r="AB1394" s="16">
        <f>IF(ISERROR(VLOOKUP($A1394,'13. Updated Demand'!A:Z,19,FALSE)),0,VLOOKUP($A1394,'13. Updated Demand'!A:Z,19,FALSE))</f>
        <v>0.13699500000000001</v>
      </c>
      <c r="AC1394" s="16">
        <f>IF(ISERROR(VLOOKUP($A1394,'13. Updated Demand'!A:Z,20,FALSE)),0,VLOOKUP($A1394,'13. Updated Demand'!A:Z,20,FALSE))</f>
        <v>8.8384000000000004E-2</v>
      </c>
      <c r="AD1394" s="16">
        <f>IF(ISERROR(VLOOKUP($A1394,'13. Updated Demand'!A:Z,21,FALSE)),0,VLOOKUP($A1394,'13. Updated Demand'!A:Z,21,FALSE))</f>
        <v>9.1330333E-2</v>
      </c>
      <c r="AE1394" s="16">
        <f>IF(ISERROR(VLOOKUP($A1394,'13. Updated Demand'!A:Z,22,FALSE)),0,VLOOKUP($A1394,'13. Updated Demand'!A:Z,22,FALSE))</f>
        <v>9.1330333E-2</v>
      </c>
      <c r="AF1394" s="16">
        <f>IF(ISERROR(VLOOKUP($A1394,'13. Updated Demand'!A:Z,23,FALSE)),0,VLOOKUP($A1394,'13. Updated Demand'!A:Z,23,FALSE))</f>
        <v>8.8384000000000004E-2</v>
      </c>
      <c r="AG1394" s="16">
        <f>IF(ISERROR(VLOOKUP($A1394,'13. Updated Demand'!A:Z,24,FALSE)),0,VLOOKUP($A1394,'13. Updated Demand'!A:Z,24,FALSE))</f>
        <v>0.114162667</v>
      </c>
      <c r="AH1394" s="16">
        <f>IF(ISERROR(VLOOKUP($A1394,'13. Updated Demand'!A:Z,25,FALSE)),0,VLOOKUP($A1394,'13. Updated Demand'!A:Z,25,FALSE))</f>
        <v>0.17676800000000001</v>
      </c>
      <c r="AI1394" s="16">
        <f>IF(ISERROR(VLOOKUP($A1394,'13. Updated Demand'!A:Z,26,FALSE)),0,VLOOKUP($A1394,'13. Updated Demand'!A:Z,26,FALSE))</f>
        <v>0.18265999999999999</v>
      </c>
      <c r="AJ1394" s="16">
        <f t="shared" si="266"/>
        <v>1.812608</v>
      </c>
      <c r="AK1394" s="19">
        <v>0.49642366599999999</v>
      </c>
      <c r="AL1394" s="16">
        <f t="shared" si="264"/>
        <v>1.64658075215248E-3</v>
      </c>
      <c r="AM1394" s="26">
        <v>0.10008879072335726</v>
      </c>
      <c r="AN1394" s="19">
        <v>18.11</v>
      </c>
      <c r="AO1394" s="19" t="s">
        <v>1758</v>
      </c>
      <c r="AP1394" s="19">
        <v>0</v>
      </c>
      <c r="AQ1394" s="19" t="s">
        <v>307</v>
      </c>
      <c r="AR1394" s="9" t="s">
        <v>314</v>
      </c>
      <c r="AS1394" s="12">
        <v>3.4039024194010059E-4</v>
      </c>
      <c r="AT1394" s="19">
        <v>38.781554069999999</v>
      </c>
      <c r="AU1394" s="19">
        <v>-123.05563228</v>
      </c>
      <c r="AV1394" s="19" t="s">
        <v>430</v>
      </c>
    </row>
    <row r="1395" spans="1:48" x14ac:dyDescent="0.25">
      <c r="A1395" s="18" t="s">
        <v>1759</v>
      </c>
      <c r="B1395" s="10">
        <v>19140101</v>
      </c>
      <c r="C1395" s="9">
        <v>9</v>
      </c>
      <c r="D1395" s="8" t="str">
        <f t="shared" si="255"/>
        <v>N</v>
      </c>
      <c r="E1395" s="8" t="str">
        <f t="shared" si="256"/>
        <v>Y</v>
      </c>
      <c r="F1395" s="8" t="str">
        <f t="shared" si="257"/>
        <v>Y</v>
      </c>
      <c r="G1395" s="8" t="str">
        <f t="shared" si="258"/>
        <v>Y</v>
      </c>
      <c r="H1395" s="8" t="str">
        <f t="shared" si="259"/>
        <v>Upper</v>
      </c>
      <c r="I1395" s="8" t="str">
        <f t="shared" si="260"/>
        <v>West Fork and Below Lake</v>
      </c>
      <c r="J1395" s="8" t="str">
        <f t="shared" si="261"/>
        <v>Sonoma (d/s of Clov. Gage)</v>
      </c>
      <c r="K1395" s="8" t="str">
        <f t="shared" si="262"/>
        <v>pre-1914</v>
      </c>
      <c r="L1395" s="8">
        <f t="shared" si="263"/>
        <v>1914</v>
      </c>
      <c r="M1395" s="8" t="s">
        <v>179</v>
      </c>
      <c r="N1395" s="10" t="s">
        <v>242</v>
      </c>
      <c r="O1395" s="10" t="s">
        <v>241</v>
      </c>
      <c r="P1395" s="10" t="s">
        <v>241</v>
      </c>
      <c r="Q1395" s="10" t="s">
        <v>242</v>
      </c>
      <c r="R1395" s="10" t="s">
        <v>242</v>
      </c>
      <c r="S1395" s="10" t="s">
        <v>242</v>
      </c>
      <c r="T1395" s="10" t="s">
        <v>242</v>
      </c>
      <c r="U1395" s="10" t="s">
        <v>242</v>
      </c>
      <c r="V1395" s="10" t="s">
        <v>242</v>
      </c>
      <c r="W1395" s="10" t="s">
        <v>242</v>
      </c>
      <c r="X1395" s="15">
        <f>IF(ISERROR(VLOOKUP($A1395,'13. Updated Demand'!A:Z,15,FALSE)),0,VLOOKUP($A1395,'13. Updated Demand'!A:Z,15,FALSE))</f>
        <v>0.22</v>
      </c>
      <c r="Y1395" s="16">
        <f>IF(ISERROR(VLOOKUP($A1395,'13. Updated Demand'!A:Z,16,FALSE)),0,VLOOKUP($A1395,'13. Updated Demand'!A:Z,16,FALSE))</f>
        <v>0.16</v>
      </c>
      <c r="Z1395" s="16">
        <f>IF(ISERROR(VLOOKUP($A1395,'13. Updated Demand'!A:Z,17,FALSE)),0,VLOOKUP($A1395,'13. Updated Demand'!A:Z,17,FALSE))</f>
        <v>0.22</v>
      </c>
      <c r="AA1395" s="16">
        <f>IF(ISERROR(VLOOKUP($A1395,'13. Updated Demand'!A:Z,18,FALSE)),0,VLOOKUP($A1395,'13. Updated Demand'!A:Z,18,FALSE))</f>
        <v>0.22</v>
      </c>
      <c r="AB1395" s="16">
        <f>IF(ISERROR(VLOOKUP($A1395,'13. Updated Demand'!A:Z,19,FALSE)),0,VLOOKUP($A1395,'13. Updated Demand'!A:Z,19,FALSE))</f>
        <v>0.13</v>
      </c>
      <c r="AC1395" s="16">
        <f>IF(ISERROR(VLOOKUP($A1395,'13. Updated Demand'!A:Z,20,FALSE)),0,VLOOKUP($A1395,'13. Updated Demand'!A:Z,20,FALSE))</f>
        <v>0.08</v>
      </c>
      <c r="AD1395" s="16">
        <f>IF(ISERROR(VLOOKUP($A1395,'13. Updated Demand'!A:Z,21,FALSE)),0,VLOOKUP($A1395,'13. Updated Demand'!A:Z,21,FALSE))</f>
        <v>0.09</v>
      </c>
      <c r="AE1395" s="16">
        <f>IF(ISERROR(VLOOKUP($A1395,'13. Updated Demand'!A:Z,22,FALSE)),0,VLOOKUP($A1395,'13. Updated Demand'!A:Z,22,FALSE))</f>
        <v>0.09</v>
      </c>
      <c r="AF1395" s="16">
        <f>IF(ISERROR(VLOOKUP($A1395,'13. Updated Demand'!A:Z,23,FALSE)),0,VLOOKUP($A1395,'13. Updated Demand'!A:Z,23,FALSE))</f>
        <v>0.08</v>
      </c>
      <c r="AG1395" s="16">
        <f>IF(ISERROR(VLOOKUP($A1395,'13. Updated Demand'!A:Z,24,FALSE)),0,VLOOKUP($A1395,'13. Updated Demand'!A:Z,24,FALSE))</f>
        <v>0.11</v>
      </c>
      <c r="AH1395" s="16">
        <f>IF(ISERROR(VLOOKUP($A1395,'13. Updated Demand'!A:Z,25,FALSE)),0,VLOOKUP($A1395,'13. Updated Demand'!A:Z,25,FALSE))</f>
        <v>0.17</v>
      </c>
      <c r="AI1395" s="16">
        <f>IF(ISERROR(VLOOKUP($A1395,'13. Updated Demand'!A:Z,26,FALSE)),0,VLOOKUP($A1395,'13. Updated Demand'!A:Z,26,FALSE))</f>
        <v>0.18</v>
      </c>
      <c r="AJ1395" s="16">
        <f t="shared" si="266"/>
        <v>1.7500000000000002</v>
      </c>
      <c r="AK1395" s="19">
        <v>0.49642366599999999</v>
      </c>
      <c r="AL1395" s="16">
        <f t="shared" si="264"/>
        <v>1.64658075215248E-3</v>
      </c>
      <c r="AM1395" s="26">
        <v>5.004439536167863E-2</v>
      </c>
      <c r="AN1395" s="19">
        <v>36.22</v>
      </c>
      <c r="AO1395" s="19" t="s">
        <v>1758</v>
      </c>
      <c r="AP1395" s="19">
        <v>0</v>
      </c>
      <c r="AQ1395" s="19" t="s">
        <v>307</v>
      </c>
      <c r="AR1395" s="9" t="s">
        <v>354</v>
      </c>
      <c r="AS1395" s="12">
        <v>3.4039024194010059E-4</v>
      </c>
      <c r="AT1395" s="19">
        <v>38.786253379999998</v>
      </c>
      <c r="AU1395" s="19">
        <v>-123.05219339</v>
      </c>
      <c r="AV1395" s="19" t="s">
        <v>430</v>
      </c>
    </row>
    <row r="1396" spans="1:48" x14ac:dyDescent="0.25">
      <c r="A1396" s="18" t="s">
        <v>1760</v>
      </c>
      <c r="B1396" s="10">
        <v>19140101</v>
      </c>
      <c r="C1396" s="9">
        <v>9</v>
      </c>
      <c r="D1396" s="8" t="str">
        <f t="shared" si="255"/>
        <v>N</v>
      </c>
      <c r="E1396" s="8" t="str">
        <f t="shared" si="256"/>
        <v>Y</v>
      </c>
      <c r="F1396" s="8" t="str">
        <f t="shared" si="257"/>
        <v>Y</v>
      </c>
      <c r="G1396" s="8" t="str">
        <f t="shared" si="258"/>
        <v>Y</v>
      </c>
      <c r="H1396" s="8" t="str">
        <f t="shared" si="259"/>
        <v>Upper</v>
      </c>
      <c r="I1396" s="8" t="str">
        <f t="shared" si="260"/>
        <v>West Fork and Below Lake</v>
      </c>
      <c r="J1396" s="8" t="str">
        <f t="shared" si="261"/>
        <v>Sonoma (d/s of Clov. Gage)</v>
      </c>
      <c r="K1396" s="8" t="str">
        <f t="shared" si="262"/>
        <v>pre-1914</v>
      </c>
      <c r="L1396" s="8">
        <f t="shared" si="263"/>
        <v>1914</v>
      </c>
      <c r="M1396" s="8" t="s">
        <v>179</v>
      </c>
      <c r="N1396" s="10" t="s">
        <v>242</v>
      </c>
      <c r="O1396" s="10" t="s">
        <v>241</v>
      </c>
      <c r="P1396" s="10" t="s">
        <v>241</v>
      </c>
      <c r="Q1396" s="10" t="s">
        <v>242</v>
      </c>
      <c r="R1396" s="10" t="s">
        <v>242</v>
      </c>
      <c r="S1396" s="10" t="s">
        <v>242</v>
      </c>
      <c r="T1396" s="10" t="s">
        <v>242</v>
      </c>
      <c r="U1396" s="10" t="s">
        <v>242</v>
      </c>
      <c r="V1396" s="10" t="s">
        <v>242</v>
      </c>
      <c r="W1396" s="10" t="s">
        <v>242</v>
      </c>
      <c r="X1396" s="15">
        <f>IF(ISERROR(VLOOKUP($A1396,'13. Updated Demand'!A:Z,15,FALSE)),0,VLOOKUP($A1396,'13. Updated Demand'!A:Z,15,FALSE))</f>
        <v>0.11</v>
      </c>
      <c r="Y1396" s="16">
        <f>IF(ISERROR(VLOOKUP($A1396,'13. Updated Demand'!A:Z,16,FALSE)),0,VLOOKUP($A1396,'13. Updated Demand'!A:Z,16,FALSE))</f>
        <v>0.08</v>
      </c>
      <c r="Z1396" s="16">
        <f>IF(ISERROR(VLOOKUP($A1396,'13. Updated Demand'!A:Z,17,FALSE)),0,VLOOKUP($A1396,'13. Updated Demand'!A:Z,17,FALSE))</f>
        <v>0.11</v>
      </c>
      <c r="AA1396" s="16">
        <f>IF(ISERROR(VLOOKUP($A1396,'13. Updated Demand'!A:Z,18,FALSE)),0,VLOOKUP($A1396,'13. Updated Demand'!A:Z,18,FALSE))</f>
        <v>0.11</v>
      </c>
      <c r="AB1396" s="16">
        <f>IF(ISERROR(VLOOKUP($A1396,'13. Updated Demand'!A:Z,19,FALSE)),0,VLOOKUP($A1396,'13. Updated Demand'!A:Z,19,FALSE))</f>
        <v>0.09</v>
      </c>
      <c r="AC1396" s="16">
        <f>IF(ISERROR(VLOOKUP($A1396,'13. Updated Demand'!A:Z,20,FALSE)),0,VLOOKUP($A1396,'13. Updated Demand'!A:Z,20,FALSE))</f>
        <v>0.05</v>
      </c>
      <c r="AD1396" s="16">
        <f>IF(ISERROR(VLOOKUP($A1396,'13. Updated Demand'!A:Z,21,FALSE)),0,VLOOKUP($A1396,'13. Updated Demand'!A:Z,21,FALSE))</f>
        <v>0.05</v>
      </c>
      <c r="AE1396" s="16">
        <f>IF(ISERROR(VLOOKUP($A1396,'13. Updated Demand'!A:Z,22,FALSE)),0,VLOOKUP($A1396,'13. Updated Demand'!A:Z,22,FALSE))</f>
        <v>0.05</v>
      </c>
      <c r="AF1396" s="16">
        <f>IF(ISERROR(VLOOKUP($A1396,'13. Updated Demand'!A:Z,23,FALSE)),0,VLOOKUP($A1396,'13. Updated Demand'!A:Z,23,FALSE))</f>
        <v>0.05</v>
      </c>
      <c r="AG1396" s="16">
        <f>IF(ISERROR(VLOOKUP($A1396,'13. Updated Demand'!A:Z,24,FALSE)),0,VLOOKUP($A1396,'13. Updated Demand'!A:Z,24,FALSE))</f>
        <v>0.05</v>
      </c>
      <c r="AH1396" s="16">
        <f>IF(ISERROR(VLOOKUP($A1396,'13. Updated Demand'!A:Z,25,FALSE)),0,VLOOKUP($A1396,'13. Updated Demand'!A:Z,25,FALSE))</f>
        <v>0.08</v>
      </c>
      <c r="AI1396" s="16">
        <f>IF(ISERROR(VLOOKUP($A1396,'13. Updated Demand'!A:Z,26,FALSE)),0,VLOOKUP($A1396,'13. Updated Demand'!A:Z,26,FALSE))</f>
        <v>0.09</v>
      </c>
      <c r="AJ1396" s="16">
        <f t="shared" si="266"/>
        <v>0.92000000000000015</v>
      </c>
      <c r="AK1396" s="19">
        <v>0.31634200000000001</v>
      </c>
      <c r="AL1396" s="16">
        <f t="shared" si="264"/>
        <v>1.0492703792599201E-3</v>
      </c>
      <c r="AM1396" s="26">
        <v>2.6903239480949758E-2</v>
      </c>
      <c r="AN1396" s="19">
        <v>36.22</v>
      </c>
      <c r="AO1396" s="19" t="s">
        <v>1758</v>
      </c>
      <c r="AP1396" s="19">
        <v>0</v>
      </c>
      <c r="AQ1396" s="19" t="s">
        <v>307</v>
      </c>
      <c r="AR1396" s="9" t="s">
        <v>354</v>
      </c>
      <c r="AS1396" s="12">
        <v>3.4039024194010059E-4</v>
      </c>
      <c r="AT1396" s="19">
        <v>38.786253379999998</v>
      </c>
      <c r="AU1396" s="19">
        <v>-123.05219339</v>
      </c>
      <c r="AV1396" s="19" t="s">
        <v>430</v>
      </c>
    </row>
    <row r="1397" spans="1:48" x14ac:dyDescent="0.25">
      <c r="A1397" s="18" t="s">
        <v>1761</v>
      </c>
      <c r="B1397" s="10">
        <v>19140101</v>
      </c>
      <c r="C1397" s="9">
        <v>22</v>
      </c>
      <c r="D1397" s="8" t="str">
        <f t="shared" si="255"/>
        <v>N</v>
      </c>
      <c r="E1397" s="8" t="str">
        <f t="shared" si="256"/>
        <v>N</v>
      </c>
      <c r="F1397" s="8" t="str">
        <f t="shared" si="257"/>
        <v>N</v>
      </c>
      <c r="G1397" s="8" t="str">
        <f t="shared" si="258"/>
        <v>N</v>
      </c>
      <c r="H1397" s="8" t="str">
        <f t="shared" si="259"/>
        <v>Lower</v>
      </c>
      <c r="I1397" s="8" t="str">
        <f t="shared" si="260"/>
        <v>Outside</v>
      </c>
      <c r="J1397" s="8" t="str">
        <f t="shared" si="261"/>
        <v>Outside</v>
      </c>
      <c r="K1397" s="8" t="str">
        <f t="shared" si="262"/>
        <v>pre-1914</v>
      </c>
      <c r="L1397" s="8">
        <f t="shared" si="263"/>
        <v>1914</v>
      </c>
      <c r="M1397" s="8" t="s">
        <v>179</v>
      </c>
      <c r="N1397" s="10" t="s">
        <v>242</v>
      </c>
      <c r="O1397" s="10" t="s">
        <v>242</v>
      </c>
      <c r="P1397" s="10" t="s">
        <v>241</v>
      </c>
      <c r="Q1397" s="10" t="s">
        <v>242</v>
      </c>
      <c r="R1397" s="10" t="s">
        <v>242</v>
      </c>
      <c r="S1397" s="10" t="s">
        <v>242</v>
      </c>
      <c r="T1397" s="10" t="s">
        <v>242</v>
      </c>
      <c r="U1397" s="10" t="s">
        <v>242</v>
      </c>
      <c r="V1397" s="10" t="s">
        <v>242</v>
      </c>
      <c r="W1397" s="10" t="s">
        <v>242</v>
      </c>
      <c r="X1397" s="15">
        <f>IF(ISERROR(VLOOKUP($A1397,'13. Updated Demand'!A:Z,15,FALSE)),0,VLOOKUP($A1397,'13. Updated Demand'!A:Z,15,FALSE))</f>
        <v>0.114162667</v>
      </c>
      <c r="Y1397" s="16">
        <f>IF(ISERROR(VLOOKUP($A1397,'13. Updated Demand'!A:Z,16,FALSE)),0,VLOOKUP($A1397,'13. Updated Demand'!A:Z,16,FALSE))</f>
        <v>8.2491999999999996E-2</v>
      </c>
      <c r="Z1397" s="16">
        <f>IF(ISERROR(VLOOKUP($A1397,'13. Updated Demand'!A:Z,17,FALSE)),0,VLOOKUP($A1397,'13. Updated Demand'!A:Z,17,FALSE))</f>
        <v>0.102746333</v>
      </c>
      <c r="AA1397" s="16">
        <f>IF(ISERROR(VLOOKUP($A1397,'13. Updated Demand'!A:Z,18,FALSE)),0,VLOOKUP($A1397,'13. Updated Demand'!A:Z,18,FALSE))</f>
        <v>9.8695332999999996E-2</v>
      </c>
      <c r="AB1397" s="16">
        <f>IF(ISERROR(VLOOKUP($A1397,'13. Updated Demand'!A:Z,19,FALSE)),0,VLOOKUP($A1397,'13. Updated Demand'!A:Z,19,FALSE))</f>
        <v>7.9913999999999999E-2</v>
      </c>
      <c r="AC1397" s="16">
        <f>IF(ISERROR(VLOOKUP($A1397,'13. Updated Demand'!A:Z,20,FALSE)),0,VLOOKUP($A1397,'13. Updated Demand'!A:Z,20,FALSE))</f>
        <v>4.3455332999999999E-2</v>
      </c>
      <c r="AD1397" s="16">
        <f>IF(ISERROR(VLOOKUP($A1397,'13. Updated Demand'!A:Z,21,FALSE)),0,VLOOKUP($A1397,'13. Updated Demand'!A:Z,21,FALSE))</f>
        <v>4.5665333000000002E-2</v>
      </c>
      <c r="AE1397" s="16">
        <f>IF(ISERROR(VLOOKUP($A1397,'13. Updated Demand'!A:Z,22,FALSE)),0,VLOOKUP($A1397,'13. Updated Demand'!A:Z,22,FALSE))</f>
        <v>4.5665333000000002E-2</v>
      </c>
      <c r="AF1397" s="16">
        <f>IF(ISERROR(VLOOKUP($A1397,'13. Updated Demand'!A:Z,23,FALSE)),0,VLOOKUP($A1397,'13. Updated Demand'!A:Z,23,FALSE))</f>
        <v>4.3823666999999997E-2</v>
      </c>
      <c r="AG1397" s="16">
        <f>IF(ISERROR(VLOOKUP($A1397,'13. Updated Demand'!A:Z,24,FALSE)),0,VLOOKUP($A1397,'13. Updated Demand'!A:Z,24,FALSE))</f>
        <v>4.5665333000000002E-2</v>
      </c>
      <c r="AH1397" s="16">
        <f>IF(ISERROR(VLOOKUP($A1397,'13. Updated Demand'!A:Z,25,FALSE)),0,VLOOKUP($A1397,'13. Updated Demand'!A:Z,25,FALSE))</f>
        <v>7.6599333000000006E-2</v>
      </c>
      <c r="AI1397" s="16">
        <f>IF(ISERROR(VLOOKUP($A1397,'13. Updated Demand'!A:Z,26,FALSE)),0,VLOOKUP($A1397,'13. Updated Demand'!A:Z,26,FALSE))</f>
        <v>7.9913999999999999E-2</v>
      </c>
      <c r="AJ1397" s="16">
        <f t="shared" si="266"/>
        <v>0.85879866499999991</v>
      </c>
      <c r="AK1397" s="19">
        <v>0.25852366599999999</v>
      </c>
      <c r="AL1397" s="16">
        <f t="shared" si="264"/>
        <v>8.5749355150907829E-4</v>
      </c>
      <c r="AM1397" s="26">
        <v>0.11855310118718938</v>
      </c>
      <c r="AN1397" s="19">
        <v>7.2439999999999998</v>
      </c>
      <c r="AO1397" s="19" t="s">
        <v>1758</v>
      </c>
      <c r="AP1397" s="19">
        <v>0</v>
      </c>
      <c r="AQ1397" s="19" t="s">
        <v>307</v>
      </c>
      <c r="AR1397" s="9" t="s">
        <v>314</v>
      </c>
      <c r="AS1397" s="12">
        <v>3.4039024194010059E-4</v>
      </c>
      <c r="AT1397" s="19">
        <v>38.784867869999999</v>
      </c>
      <c r="AU1397" s="19">
        <v>-123.05357631</v>
      </c>
      <c r="AV1397" s="19" t="s">
        <v>430</v>
      </c>
    </row>
    <row r="1398" spans="1:48" x14ac:dyDescent="0.25">
      <c r="A1398" s="18" t="s">
        <v>1762</v>
      </c>
      <c r="B1398" s="10">
        <v>19140101</v>
      </c>
      <c r="C1398" s="9">
        <v>6</v>
      </c>
      <c r="D1398" s="8" t="str">
        <f t="shared" si="255"/>
        <v>Y</v>
      </c>
      <c r="E1398" s="8" t="str">
        <f t="shared" si="256"/>
        <v>N</v>
      </c>
      <c r="F1398" s="8" t="str">
        <f t="shared" si="257"/>
        <v>Y</v>
      </c>
      <c r="G1398" s="8" t="str">
        <f t="shared" si="258"/>
        <v>Y</v>
      </c>
      <c r="H1398" s="8" t="str">
        <f t="shared" si="259"/>
        <v>Upper</v>
      </c>
      <c r="I1398" s="8" t="str">
        <f t="shared" si="260"/>
        <v>West Fork and Below Lake</v>
      </c>
      <c r="J1398" s="8" t="str">
        <f t="shared" si="261"/>
        <v>Mendocino (d/s of lake)</v>
      </c>
      <c r="K1398" s="8" t="str">
        <f t="shared" si="262"/>
        <v>pre-1914</v>
      </c>
      <c r="L1398" s="8">
        <f t="shared" si="263"/>
        <v>1914</v>
      </c>
      <c r="M1398" s="8" t="s">
        <v>179</v>
      </c>
      <c r="N1398" s="10" t="s">
        <v>241</v>
      </c>
      <c r="O1398" s="10" t="s">
        <v>241</v>
      </c>
      <c r="P1398" s="10" t="s">
        <v>241</v>
      </c>
      <c r="Q1398" s="10" t="s">
        <v>242</v>
      </c>
      <c r="R1398" s="10" t="s">
        <v>242</v>
      </c>
      <c r="S1398" s="10" t="s">
        <v>242</v>
      </c>
      <c r="T1398" s="10" t="s">
        <v>242</v>
      </c>
      <c r="U1398" s="10" t="s">
        <v>241</v>
      </c>
      <c r="V1398" s="10" t="s">
        <v>241</v>
      </c>
      <c r="W1398" s="10" t="s">
        <v>242</v>
      </c>
      <c r="X1398" s="15">
        <f>IF(ISERROR(VLOOKUP($A1398,'13. Updated Demand'!A:Z,15,FALSE)),0,VLOOKUP($A1398,'13. Updated Demand'!A:Z,15,FALSE))</f>
        <v>0</v>
      </c>
      <c r="Y1398" s="16">
        <f>IF(ISERROR(VLOOKUP($A1398,'13. Updated Demand'!A:Z,16,FALSE)),0,VLOOKUP($A1398,'13. Updated Demand'!A:Z,16,FALSE))</f>
        <v>0</v>
      </c>
      <c r="Z1398" s="16">
        <f>IF(ISERROR(VLOOKUP($A1398,'13. Updated Demand'!A:Z,17,FALSE)),0,VLOOKUP($A1398,'13. Updated Demand'!A:Z,17,FALSE))</f>
        <v>0</v>
      </c>
      <c r="AA1398" s="16">
        <f>IF(ISERROR(VLOOKUP($A1398,'13. Updated Demand'!A:Z,18,FALSE)),0,VLOOKUP($A1398,'13. Updated Demand'!A:Z,18,FALSE))</f>
        <v>0</v>
      </c>
      <c r="AB1398" s="16">
        <f>IF(ISERROR(VLOOKUP($A1398,'13. Updated Demand'!A:Z,19,FALSE)),0,VLOOKUP($A1398,'13. Updated Demand'!A:Z,19,FALSE))</f>
        <v>0</v>
      </c>
      <c r="AC1398" s="16">
        <f>IF(ISERROR(VLOOKUP($A1398,'13. Updated Demand'!A:Z,20,FALSE)),0,VLOOKUP($A1398,'13. Updated Demand'!A:Z,20,FALSE))</f>
        <v>0</v>
      </c>
      <c r="AD1398" s="16">
        <f>IF(ISERROR(VLOOKUP($A1398,'13. Updated Demand'!A:Z,21,FALSE)),0,VLOOKUP($A1398,'13. Updated Demand'!A:Z,21,FALSE))</f>
        <v>0</v>
      </c>
      <c r="AE1398" s="16">
        <f>IF(ISERROR(VLOOKUP($A1398,'13. Updated Demand'!A:Z,22,FALSE)),0,VLOOKUP($A1398,'13. Updated Demand'!A:Z,22,FALSE))</f>
        <v>0</v>
      </c>
      <c r="AF1398" s="16">
        <f>IF(ISERROR(VLOOKUP($A1398,'13. Updated Demand'!A:Z,23,FALSE)),0,VLOOKUP($A1398,'13. Updated Demand'!A:Z,23,FALSE))</f>
        <v>0</v>
      </c>
      <c r="AG1398" s="16">
        <f>IF(ISERROR(VLOOKUP($A1398,'13. Updated Demand'!A:Z,24,FALSE)),0,VLOOKUP($A1398,'13. Updated Demand'!A:Z,24,FALSE))</f>
        <v>0</v>
      </c>
      <c r="AH1398" s="16">
        <f>IF(ISERROR(VLOOKUP($A1398,'13. Updated Demand'!A:Z,25,FALSE)),0,VLOOKUP($A1398,'13. Updated Demand'!A:Z,25,FALSE))</f>
        <v>0</v>
      </c>
      <c r="AI1398" s="16">
        <f>IF(ISERROR(VLOOKUP($A1398,'13. Updated Demand'!A:Z,26,FALSE)),0,VLOOKUP($A1398,'13. Updated Demand'!A:Z,26,FALSE))</f>
        <v>0</v>
      </c>
      <c r="AJ1398" s="16">
        <f t="shared" si="266"/>
        <v>0</v>
      </c>
      <c r="AK1398" s="19">
        <v>0</v>
      </c>
      <c r="AL1398" s="16">
        <f t="shared" si="264"/>
        <v>0</v>
      </c>
      <c r="AM1398" s="26">
        <v>0</v>
      </c>
      <c r="AN1398" s="19">
        <v>2419.4960000000001</v>
      </c>
      <c r="AO1398" s="19" t="s">
        <v>1758</v>
      </c>
      <c r="AP1398" s="19">
        <v>0</v>
      </c>
      <c r="AQ1398" s="19" t="s">
        <v>307</v>
      </c>
      <c r="AR1398" s="9" t="s">
        <v>319</v>
      </c>
      <c r="AS1398" s="12">
        <v>0</v>
      </c>
      <c r="AT1398" s="19">
        <v>38.928618200000003</v>
      </c>
      <c r="AU1398" s="19">
        <v>-123.05871308</v>
      </c>
      <c r="AV1398" s="19" t="s">
        <v>1320</v>
      </c>
    </row>
    <row r="1399" spans="1:48" x14ac:dyDescent="0.25">
      <c r="A1399" s="18" t="s">
        <v>1763</v>
      </c>
      <c r="B1399" s="10">
        <v>19140101</v>
      </c>
      <c r="C1399" s="9">
        <v>6</v>
      </c>
      <c r="D1399" s="8" t="str">
        <f t="shared" si="255"/>
        <v>Y</v>
      </c>
      <c r="E1399" s="8" t="str">
        <f t="shared" si="256"/>
        <v>N</v>
      </c>
      <c r="F1399" s="8" t="str">
        <f t="shared" si="257"/>
        <v>Y</v>
      </c>
      <c r="G1399" s="8" t="str">
        <f t="shared" si="258"/>
        <v>Y</v>
      </c>
      <c r="H1399" s="8" t="str">
        <f t="shared" si="259"/>
        <v>Upper</v>
      </c>
      <c r="I1399" s="8" t="str">
        <f t="shared" si="260"/>
        <v>West Fork and Below Lake</v>
      </c>
      <c r="J1399" s="8" t="str">
        <f t="shared" si="261"/>
        <v>Mendocino (d/s of lake)</v>
      </c>
      <c r="K1399" s="8" t="str">
        <f t="shared" si="262"/>
        <v>pre-1914</v>
      </c>
      <c r="L1399" s="8">
        <f t="shared" si="263"/>
        <v>1914</v>
      </c>
      <c r="M1399" s="8" t="s">
        <v>179</v>
      </c>
      <c r="N1399" s="10" t="s">
        <v>241</v>
      </c>
      <c r="O1399" s="10" t="s">
        <v>241</v>
      </c>
      <c r="P1399" s="10" t="s">
        <v>241</v>
      </c>
      <c r="Q1399" s="10" t="s">
        <v>242</v>
      </c>
      <c r="R1399" s="10" t="s">
        <v>242</v>
      </c>
      <c r="S1399" s="10" t="s">
        <v>242</v>
      </c>
      <c r="T1399" s="10" t="s">
        <v>242</v>
      </c>
      <c r="U1399" s="10" t="s">
        <v>241</v>
      </c>
      <c r="V1399" s="10" t="s">
        <v>241</v>
      </c>
      <c r="W1399" s="10" t="s">
        <v>242</v>
      </c>
      <c r="X1399" s="15">
        <f>IF(ISERROR(VLOOKUP($A1399,'13. Updated Demand'!A:Z,15,FALSE)),0,VLOOKUP($A1399,'13. Updated Demand'!A:Z,15,FALSE))</f>
        <v>0</v>
      </c>
      <c r="Y1399" s="16">
        <f>IF(ISERROR(VLOOKUP($A1399,'13. Updated Demand'!A:Z,16,FALSE)),0,VLOOKUP($A1399,'13. Updated Demand'!A:Z,16,FALSE))</f>
        <v>0</v>
      </c>
      <c r="Z1399" s="16">
        <f>IF(ISERROR(VLOOKUP($A1399,'13. Updated Demand'!A:Z,17,FALSE)),0,VLOOKUP($A1399,'13. Updated Demand'!A:Z,17,FALSE))</f>
        <v>0</v>
      </c>
      <c r="AA1399" s="16">
        <f>IF(ISERROR(VLOOKUP($A1399,'13. Updated Demand'!A:Z,18,FALSE)),0,VLOOKUP($A1399,'13. Updated Demand'!A:Z,18,FALSE))</f>
        <v>0</v>
      </c>
      <c r="AB1399" s="16">
        <f>IF(ISERROR(VLOOKUP($A1399,'13. Updated Demand'!A:Z,19,FALSE)),0,VLOOKUP($A1399,'13. Updated Demand'!A:Z,19,FALSE))</f>
        <v>0</v>
      </c>
      <c r="AC1399" s="16">
        <f>IF(ISERROR(VLOOKUP($A1399,'13. Updated Demand'!A:Z,20,FALSE)),0,VLOOKUP($A1399,'13. Updated Demand'!A:Z,20,FALSE))</f>
        <v>0</v>
      </c>
      <c r="AD1399" s="16">
        <f>IF(ISERROR(VLOOKUP($A1399,'13. Updated Demand'!A:Z,21,FALSE)),0,VLOOKUP($A1399,'13. Updated Demand'!A:Z,21,FALSE))</f>
        <v>0</v>
      </c>
      <c r="AE1399" s="16">
        <f>IF(ISERROR(VLOOKUP($A1399,'13. Updated Demand'!A:Z,22,FALSE)),0,VLOOKUP($A1399,'13. Updated Demand'!A:Z,22,FALSE))</f>
        <v>0</v>
      </c>
      <c r="AF1399" s="16">
        <f>IF(ISERROR(VLOOKUP($A1399,'13. Updated Demand'!A:Z,23,FALSE)),0,VLOOKUP($A1399,'13. Updated Demand'!A:Z,23,FALSE))</f>
        <v>0</v>
      </c>
      <c r="AG1399" s="16">
        <f>IF(ISERROR(VLOOKUP($A1399,'13. Updated Demand'!A:Z,24,FALSE)),0,VLOOKUP($A1399,'13. Updated Demand'!A:Z,24,FALSE))</f>
        <v>0</v>
      </c>
      <c r="AH1399" s="16">
        <f>IF(ISERROR(VLOOKUP($A1399,'13. Updated Demand'!A:Z,25,FALSE)),0,VLOOKUP($A1399,'13. Updated Demand'!A:Z,25,FALSE))</f>
        <v>0</v>
      </c>
      <c r="AI1399" s="16">
        <f>IF(ISERROR(VLOOKUP($A1399,'13. Updated Demand'!A:Z,26,FALSE)),0,VLOOKUP($A1399,'13. Updated Demand'!A:Z,26,FALSE))</f>
        <v>0</v>
      </c>
      <c r="AJ1399" s="16">
        <f t="shared" si="266"/>
        <v>0</v>
      </c>
      <c r="AK1399" s="19">
        <v>0</v>
      </c>
      <c r="AL1399" s="16">
        <f t="shared" si="264"/>
        <v>0</v>
      </c>
      <c r="AM1399" s="26">
        <v>0</v>
      </c>
      <c r="AN1399" s="19">
        <v>2419.4960000000001</v>
      </c>
      <c r="AO1399" s="19" t="s">
        <v>1758</v>
      </c>
      <c r="AP1399" s="19">
        <v>0</v>
      </c>
      <c r="AQ1399" s="19" t="s">
        <v>307</v>
      </c>
      <c r="AR1399" s="9" t="s">
        <v>319</v>
      </c>
      <c r="AS1399" s="12">
        <v>0</v>
      </c>
      <c r="AT1399" s="19">
        <v>38.929325730000002</v>
      </c>
      <c r="AU1399" s="19">
        <v>-123.06062557</v>
      </c>
      <c r="AV1399" s="19" t="s">
        <v>1320</v>
      </c>
    </row>
    <row r="1400" spans="1:48" x14ac:dyDescent="0.25">
      <c r="A1400" s="18" t="s">
        <v>90</v>
      </c>
      <c r="B1400" s="10">
        <v>19140101</v>
      </c>
      <c r="C1400" s="9">
        <v>4</v>
      </c>
      <c r="D1400" s="8" t="str">
        <f t="shared" si="255"/>
        <v>Y</v>
      </c>
      <c r="E1400" s="8" t="str">
        <f t="shared" si="256"/>
        <v>N</v>
      </c>
      <c r="F1400" s="8" t="str">
        <f t="shared" si="257"/>
        <v>Y</v>
      </c>
      <c r="G1400" s="8" t="str">
        <f t="shared" si="258"/>
        <v>Y</v>
      </c>
      <c r="H1400" s="8" t="str">
        <f t="shared" si="259"/>
        <v>Upper</v>
      </c>
      <c r="I1400" s="8" t="str">
        <f t="shared" si="260"/>
        <v>West Fork and Below Lake</v>
      </c>
      <c r="J1400" s="8" t="str">
        <f t="shared" si="261"/>
        <v>Mendocino (d/s of lake)</v>
      </c>
      <c r="K1400" s="8" t="str">
        <f t="shared" si="262"/>
        <v>pre-1914</v>
      </c>
      <c r="L1400" s="8">
        <f t="shared" si="263"/>
        <v>1914</v>
      </c>
      <c r="M1400" s="8" t="s">
        <v>179</v>
      </c>
      <c r="N1400" s="10" t="s">
        <v>241</v>
      </c>
      <c r="O1400" s="10" t="s">
        <v>241</v>
      </c>
      <c r="P1400" s="10" t="s">
        <v>241</v>
      </c>
      <c r="Q1400" s="10" t="s">
        <v>242</v>
      </c>
      <c r="R1400" s="10" t="s">
        <v>242</v>
      </c>
      <c r="S1400" s="10" t="s">
        <v>242</v>
      </c>
      <c r="T1400" s="10" t="s">
        <v>242</v>
      </c>
      <c r="U1400" s="10" t="s">
        <v>242</v>
      </c>
      <c r="V1400" s="10" t="s">
        <v>242</v>
      </c>
      <c r="W1400" s="10" t="s">
        <v>242</v>
      </c>
      <c r="X1400" s="15">
        <f>IF(ISERROR(VLOOKUP($A1400,'13. Updated Demand'!A:Z,15,FALSE)),0,VLOOKUP($A1400,'13. Updated Demand'!A:Z,15,FALSE))</f>
        <v>17.73</v>
      </c>
      <c r="Y1400" s="16">
        <f>IF(ISERROR(VLOOKUP($A1400,'13. Updated Demand'!A:Z,16,FALSE)),0,VLOOKUP($A1400,'13. Updated Demand'!A:Z,16,FALSE))</f>
        <v>12.93</v>
      </c>
      <c r="Z1400" s="16">
        <f>IF(ISERROR(VLOOKUP($A1400,'13. Updated Demand'!A:Z,17,FALSE)),0,VLOOKUP($A1400,'13. Updated Demand'!A:Z,17,FALSE))</f>
        <v>13.8</v>
      </c>
      <c r="AA1400" s="16">
        <f>IF(ISERROR(VLOOKUP($A1400,'13. Updated Demand'!A:Z,18,FALSE)),0,VLOOKUP($A1400,'13. Updated Demand'!A:Z,18,FALSE))</f>
        <v>24.66</v>
      </c>
      <c r="AB1400" s="16">
        <f>IF(ISERROR(VLOOKUP($A1400,'13. Updated Demand'!A:Z,19,FALSE)),0,VLOOKUP($A1400,'13. Updated Demand'!A:Z,19,FALSE))</f>
        <v>34.229999999999997</v>
      </c>
      <c r="AC1400" s="16">
        <f>IF(ISERROR(VLOOKUP($A1400,'13. Updated Demand'!A:Z,20,FALSE)),0,VLOOKUP($A1400,'13. Updated Demand'!A:Z,20,FALSE))</f>
        <v>10.5</v>
      </c>
      <c r="AD1400" s="16">
        <f>IF(ISERROR(VLOOKUP($A1400,'13. Updated Demand'!A:Z,21,FALSE)),0,VLOOKUP($A1400,'13. Updated Demand'!A:Z,21,FALSE))</f>
        <v>8.16</v>
      </c>
      <c r="AE1400" s="16">
        <f>IF(ISERROR(VLOOKUP($A1400,'13. Updated Demand'!A:Z,22,FALSE)),0,VLOOKUP($A1400,'13. Updated Demand'!A:Z,22,FALSE))</f>
        <v>0</v>
      </c>
      <c r="AF1400" s="16">
        <f>IF(ISERROR(VLOOKUP($A1400,'13. Updated Demand'!A:Z,23,FALSE)),0,VLOOKUP($A1400,'13. Updated Demand'!A:Z,23,FALSE))</f>
        <v>0</v>
      </c>
      <c r="AG1400" s="16">
        <f>IF(ISERROR(VLOOKUP($A1400,'13. Updated Demand'!A:Z,24,FALSE)),0,VLOOKUP($A1400,'13. Updated Demand'!A:Z,24,FALSE))</f>
        <v>13.06</v>
      </c>
      <c r="AH1400" s="16">
        <f>IF(ISERROR(VLOOKUP($A1400,'13. Updated Demand'!A:Z,25,FALSE)),0,VLOOKUP($A1400,'13. Updated Demand'!A:Z,25,FALSE))</f>
        <v>22.66</v>
      </c>
      <c r="AI1400" s="16">
        <f>IF(ISERROR(VLOOKUP($A1400,'13. Updated Demand'!A:Z,26,FALSE)),0,VLOOKUP($A1400,'13. Updated Demand'!A:Z,26,FALSE))</f>
        <v>25.73</v>
      </c>
      <c r="AJ1400" s="16">
        <f t="shared" si="266"/>
        <v>183.45999999999998</v>
      </c>
      <c r="AK1400" s="19">
        <v>52.89999999999997</v>
      </c>
      <c r="AL1400" s="16">
        <f t="shared" si="264"/>
        <v>0.1754632741237323</v>
      </c>
      <c r="AM1400" s="26">
        <v>0.34987995399507604</v>
      </c>
      <c r="AN1400" s="19">
        <v>524.46559999999999</v>
      </c>
      <c r="AO1400" s="19" t="s">
        <v>1758</v>
      </c>
      <c r="AP1400" s="19">
        <v>0</v>
      </c>
      <c r="AQ1400" s="19" t="s">
        <v>307</v>
      </c>
      <c r="AR1400" s="9" t="s">
        <v>331</v>
      </c>
      <c r="AS1400" s="12">
        <v>0.688652008225066</v>
      </c>
      <c r="AT1400" s="19">
        <v>39.1526</v>
      </c>
      <c r="AU1400" s="19">
        <v>-123.1895</v>
      </c>
      <c r="AV1400" s="19"/>
    </row>
    <row r="1401" spans="1:48" x14ac:dyDescent="0.25">
      <c r="A1401" s="18" t="s">
        <v>91</v>
      </c>
      <c r="B1401" s="10">
        <v>19140101</v>
      </c>
      <c r="C1401" s="9">
        <v>4</v>
      </c>
      <c r="D1401" s="8" t="str">
        <f t="shared" si="255"/>
        <v>Y</v>
      </c>
      <c r="E1401" s="8" t="str">
        <f t="shared" si="256"/>
        <v>N</v>
      </c>
      <c r="F1401" s="8" t="str">
        <f t="shared" si="257"/>
        <v>Y</v>
      </c>
      <c r="G1401" s="8" t="str">
        <f t="shared" si="258"/>
        <v>Y</v>
      </c>
      <c r="H1401" s="8" t="str">
        <f t="shared" si="259"/>
        <v>Upper</v>
      </c>
      <c r="I1401" s="8" t="str">
        <f t="shared" si="260"/>
        <v>West Fork and Below Lake</v>
      </c>
      <c r="J1401" s="8" t="str">
        <f t="shared" si="261"/>
        <v>Mendocino (d/s of lake)</v>
      </c>
      <c r="K1401" s="8" t="str">
        <f t="shared" si="262"/>
        <v>pre-1914</v>
      </c>
      <c r="L1401" s="8">
        <f t="shared" si="263"/>
        <v>1914</v>
      </c>
      <c r="M1401" s="8" t="s">
        <v>179</v>
      </c>
      <c r="N1401" s="10" t="s">
        <v>241</v>
      </c>
      <c r="O1401" s="10" t="s">
        <v>241</v>
      </c>
      <c r="P1401" s="10" t="s">
        <v>241</v>
      </c>
      <c r="Q1401" s="10" t="s">
        <v>242</v>
      </c>
      <c r="R1401" s="10" t="s">
        <v>242</v>
      </c>
      <c r="S1401" s="10" t="s">
        <v>242</v>
      </c>
      <c r="T1401" s="10" t="s">
        <v>242</v>
      </c>
      <c r="U1401" s="10" t="s">
        <v>242</v>
      </c>
      <c r="V1401" s="10" t="s">
        <v>242</v>
      </c>
      <c r="W1401" s="10" t="s">
        <v>242</v>
      </c>
      <c r="X1401" s="15">
        <f>IF(ISERROR(VLOOKUP($A1401,'13. Updated Demand'!A:Z,15,FALSE)),0,VLOOKUP($A1401,'13. Updated Demand'!A:Z,15,FALSE))</f>
        <v>2.2599999999999998</v>
      </c>
      <c r="Y1401" s="16">
        <f>IF(ISERROR(VLOOKUP($A1401,'13. Updated Demand'!A:Z,16,FALSE)),0,VLOOKUP($A1401,'13. Updated Demand'!A:Z,16,FALSE))</f>
        <v>0</v>
      </c>
      <c r="Z1401" s="16">
        <f>IF(ISERROR(VLOOKUP($A1401,'13. Updated Demand'!A:Z,17,FALSE)),0,VLOOKUP($A1401,'13. Updated Demand'!A:Z,17,FALSE))</f>
        <v>0</v>
      </c>
      <c r="AA1401" s="16">
        <f>IF(ISERROR(VLOOKUP($A1401,'13. Updated Demand'!A:Z,18,FALSE)),0,VLOOKUP($A1401,'13. Updated Demand'!A:Z,18,FALSE))</f>
        <v>2.16</v>
      </c>
      <c r="AB1401" s="16">
        <f>IF(ISERROR(VLOOKUP($A1401,'13. Updated Demand'!A:Z,19,FALSE)),0,VLOOKUP($A1401,'13. Updated Demand'!A:Z,19,FALSE))</f>
        <v>71.2</v>
      </c>
      <c r="AC1401" s="16">
        <f>IF(ISERROR(VLOOKUP($A1401,'13. Updated Demand'!A:Z,20,FALSE)),0,VLOOKUP($A1401,'13. Updated Demand'!A:Z,20,FALSE))</f>
        <v>116.33</v>
      </c>
      <c r="AD1401" s="16">
        <f>IF(ISERROR(VLOOKUP($A1401,'13. Updated Demand'!A:Z,21,FALSE)),0,VLOOKUP($A1401,'13. Updated Demand'!A:Z,21,FALSE))</f>
        <v>164.03</v>
      </c>
      <c r="AE1401" s="16">
        <f>IF(ISERROR(VLOOKUP($A1401,'13. Updated Demand'!A:Z,22,FALSE)),0,VLOOKUP($A1401,'13. Updated Demand'!A:Z,22,FALSE))</f>
        <v>172.2</v>
      </c>
      <c r="AF1401" s="16">
        <f>IF(ISERROR(VLOOKUP($A1401,'13. Updated Demand'!A:Z,23,FALSE)),0,VLOOKUP($A1401,'13. Updated Demand'!A:Z,23,FALSE))</f>
        <v>166.6</v>
      </c>
      <c r="AG1401" s="16">
        <f>IF(ISERROR(VLOOKUP($A1401,'13. Updated Demand'!A:Z,24,FALSE)),0,VLOOKUP($A1401,'13. Updated Demand'!A:Z,24,FALSE))</f>
        <v>159.1</v>
      </c>
      <c r="AH1401" s="16">
        <f>IF(ISERROR(VLOOKUP($A1401,'13. Updated Demand'!A:Z,25,FALSE)),0,VLOOKUP($A1401,'13. Updated Demand'!A:Z,25,FALSE))</f>
        <v>119.46</v>
      </c>
      <c r="AI1401" s="16">
        <f>IF(ISERROR(VLOOKUP($A1401,'13. Updated Demand'!A:Z,26,FALSE)),0,VLOOKUP($A1401,'13. Updated Demand'!A:Z,26,FALSE))</f>
        <v>23.5</v>
      </c>
      <c r="AJ1401" s="16">
        <f t="shared" si="266"/>
        <v>996.84000000000015</v>
      </c>
      <c r="AK1401" s="19">
        <v>690.36666666666599</v>
      </c>
      <c r="AL1401" s="16">
        <f t="shared" si="264"/>
        <v>2.2898675931799741</v>
      </c>
      <c r="AM1401" s="26"/>
      <c r="AN1401" s="19">
        <v>0</v>
      </c>
      <c r="AO1401" s="19" t="s">
        <v>1758</v>
      </c>
      <c r="AP1401" s="19">
        <v>0</v>
      </c>
      <c r="AQ1401" s="19" t="s">
        <v>307</v>
      </c>
      <c r="AR1401" s="9" t="s">
        <v>331</v>
      </c>
      <c r="AS1401" s="12">
        <v>0.688652008225066</v>
      </c>
      <c r="AT1401" s="19">
        <v>39.160400000000003</v>
      </c>
      <c r="AU1401" s="19">
        <v>-123.19280000000001</v>
      </c>
      <c r="AV1401" s="19"/>
    </row>
    <row r="1402" spans="1:48" x14ac:dyDescent="0.25">
      <c r="A1402" s="18" t="s">
        <v>1764</v>
      </c>
      <c r="B1402" s="10">
        <v>19140101</v>
      </c>
      <c r="C1402" s="9">
        <v>21</v>
      </c>
      <c r="D1402" s="8" t="str">
        <f t="shared" si="255"/>
        <v>N</v>
      </c>
      <c r="E1402" s="8" t="str">
        <f t="shared" si="256"/>
        <v>N</v>
      </c>
      <c r="F1402" s="8" t="str">
        <f t="shared" si="257"/>
        <v>N</v>
      </c>
      <c r="G1402" s="8" t="str">
        <f t="shared" si="258"/>
        <v>N</v>
      </c>
      <c r="H1402" s="8" t="str">
        <f t="shared" si="259"/>
        <v>Lower</v>
      </c>
      <c r="I1402" s="8" t="str">
        <f t="shared" si="260"/>
        <v>Outside</v>
      </c>
      <c r="J1402" s="8" t="str">
        <f t="shared" si="261"/>
        <v>Outside</v>
      </c>
      <c r="K1402" s="8" t="str">
        <f t="shared" si="262"/>
        <v>pre-1914</v>
      </c>
      <c r="L1402" s="8">
        <f t="shared" si="263"/>
        <v>1914</v>
      </c>
      <c r="M1402" s="8" t="s">
        <v>179</v>
      </c>
      <c r="N1402" s="10" t="s">
        <v>242</v>
      </c>
      <c r="O1402" s="10" t="s">
        <v>242</v>
      </c>
      <c r="P1402" s="10" t="s">
        <v>241</v>
      </c>
      <c r="Q1402" s="10" t="s">
        <v>242</v>
      </c>
      <c r="R1402" s="10" t="s">
        <v>242</v>
      </c>
      <c r="S1402" s="10" t="s">
        <v>242</v>
      </c>
      <c r="T1402" s="10" t="s">
        <v>242</v>
      </c>
      <c r="U1402" s="10" t="s">
        <v>242</v>
      </c>
      <c r="V1402" s="10" t="s">
        <v>242</v>
      </c>
      <c r="W1402" s="10" t="s">
        <v>242</v>
      </c>
      <c r="X1402" s="15">
        <f>IF(ISERROR(VLOOKUP($A1402,'13. Updated Demand'!A:Z,15,FALSE)),0,VLOOKUP($A1402,'13. Updated Demand'!A:Z,15,FALSE))</f>
        <v>2.0439999999999998E-3</v>
      </c>
      <c r="Y1402" s="16">
        <f>IF(ISERROR(VLOOKUP($A1402,'13. Updated Demand'!A:Z,16,FALSE)),0,VLOOKUP($A1402,'13. Updated Demand'!A:Z,16,FALSE))</f>
        <v>2.0439999999999998E-3</v>
      </c>
      <c r="Z1402" s="16">
        <f>IF(ISERROR(VLOOKUP($A1402,'13. Updated Demand'!A:Z,17,FALSE)),0,VLOOKUP($A1402,'13. Updated Demand'!A:Z,17,FALSE))</f>
        <v>2.0439999999999998E-3</v>
      </c>
      <c r="AA1402" s="16">
        <f>IF(ISERROR(VLOOKUP($A1402,'13. Updated Demand'!A:Z,18,FALSE)),0,VLOOKUP($A1402,'13. Updated Demand'!A:Z,18,FALSE))</f>
        <v>2.0439999999999998E-3</v>
      </c>
      <c r="AB1402" s="16">
        <f>IF(ISERROR(VLOOKUP($A1402,'13. Updated Demand'!A:Z,19,FALSE)),0,VLOOKUP($A1402,'13. Updated Demand'!A:Z,19,FALSE))</f>
        <v>2.0439999999999998E-3</v>
      </c>
      <c r="AC1402" s="16">
        <f>IF(ISERROR(VLOOKUP($A1402,'13. Updated Demand'!A:Z,20,FALSE)),0,VLOOKUP($A1402,'13. Updated Demand'!A:Z,20,FALSE))</f>
        <v>2.0439999999999998E-3</v>
      </c>
      <c r="AD1402" s="16">
        <f>IF(ISERROR(VLOOKUP($A1402,'13. Updated Demand'!A:Z,21,FALSE)),0,VLOOKUP($A1402,'13. Updated Demand'!A:Z,21,FALSE))</f>
        <v>2.0439999999999998E-3</v>
      </c>
      <c r="AE1402" s="16">
        <f>IF(ISERROR(VLOOKUP($A1402,'13. Updated Demand'!A:Z,22,FALSE)),0,VLOOKUP($A1402,'13. Updated Demand'!A:Z,22,FALSE))</f>
        <v>2.0439999999999998E-3</v>
      </c>
      <c r="AF1402" s="16">
        <f>IF(ISERROR(VLOOKUP($A1402,'13. Updated Demand'!A:Z,23,FALSE)),0,VLOOKUP($A1402,'13. Updated Demand'!A:Z,23,FALSE))</f>
        <v>2.0439999999999998E-3</v>
      </c>
      <c r="AG1402" s="16">
        <f>IF(ISERROR(VLOOKUP($A1402,'13. Updated Demand'!A:Z,24,FALSE)),0,VLOOKUP($A1402,'13. Updated Demand'!A:Z,24,FALSE))</f>
        <v>2.0439999999999998E-3</v>
      </c>
      <c r="AH1402" s="16">
        <f>IF(ISERROR(VLOOKUP($A1402,'13. Updated Demand'!A:Z,25,FALSE)),0,VLOOKUP($A1402,'13. Updated Demand'!A:Z,25,FALSE))</f>
        <v>2.0439999999999998E-3</v>
      </c>
      <c r="AI1402" s="16">
        <f>IF(ISERROR(VLOOKUP($A1402,'13. Updated Demand'!A:Z,26,FALSE)),0,VLOOKUP($A1402,'13. Updated Demand'!A:Z,26,FALSE))</f>
        <v>2.0439999999999998E-3</v>
      </c>
      <c r="AJ1402" s="16">
        <f t="shared" si="266"/>
        <v>2.4528000000000005E-2</v>
      </c>
      <c r="AK1402" s="19">
        <v>1.022E-2</v>
      </c>
      <c r="AL1402" s="16">
        <f t="shared" si="264"/>
        <v>3.3898575832600101E-5</v>
      </c>
      <c r="AM1402" s="26">
        <v>7.665000000000001E-2</v>
      </c>
      <c r="AN1402" s="19">
        <v>0.32</v>
      </c>
      <c r="AO1402" s="19" t="s">
        <v>1758</v>
      </c>
      <c r="AP1402" s="19">
        <v>0</v>
      </c>
      <c r="AQ1402" s="19" t="s">
        <v>307</v>
      </c>
      <c r="AR1402" s="9" t="s">
        <v>403</v>
      </c>
      <c r="AS1402" s="12">
        <v>3.4039024194010059E-4</v>
      </c>
      <c r="AT1402" s="19">
        <v>38.411799999999999</v>
      </c>
      <c r="AU1402" s="19">
        <v>-122.947</v>
      </c>
      <c r="AV1402" s="19" t="s">
        <v>395</v>
      </c>
    </row>
    <row r="1403" spans="1:48" x14ac:dyDescent="0.25">
      <c r="A1403" s="18" t="s">
        <v>1765</v>
      </c>
      <c r="B1403" s="10">
        <v>19130101</v>
      </c>
      <c r="C1403" s="9">
        <v>4</v>
      </c>
      <c r="D1403" s="8" t="str">
        <f t="shared" si="255"/>
        <v>Y</v>
      </c>
      <c r="E1403" s="8" t="str">
        <f t="shared" si="256"/>
        <v>N</v>
      </c>
      <c r="F1403" s="8" t="str">
        <f t="shared" si="257"/>
        <v>Y</v>
      </c>
      <c r="G1403" s="8" t="str">
        <f t="shared" si="258"/>
        <v>Y</v>
      </c>
      <c r="H1403" s="8" t="str">
        <f t="shared" si="259"/>
        <v>Upper</v>
      </c>
      <c r="I1403" s="8" t="str">
        <f t="shared" si="260"/>
        <v>West Fork and Below Lake</v>
      </c>
      <c r="J1403" s="8" t="str">
        <f t="shared" si="261"/>
        <v>Mendocino (d/s of lake)</v>
      </c>
      <c r="K1403" s="8" t="str">
        <f t="shared" si="262"/>
        <v>pre-1914</v>
      </c>
      <c r="L1403" s="8">
        <f t="shared" si="263"/>
        <v>1913</v>
      </c>
      <c r="M1403" s="8" t="s">
        <v>179</v>
      </c>
      <c r="N1403" s="10" t="s">
        <v>242</v>
      </c>
      <c r="O1403" s="10" t="s">
        <v>241</v>
      </c>
      <c r="P1403" s="10" t="s">
        <v>241</v>
      </c>
      <c r="Q1403" s="10" t="s">
        <v>242</v>
      </c>
      <c r="R1403" s="10" t="s">
        <v>242</v>
      </c>
      <c r="S1403" s="10" t="s">
        <v>242</v>
      </c>
      <c r="T1403" s="10" t="s">
        <v>241</v>
      </c>
      <c r="U1403" s="10" t="s">
        <v>241</v>
      </c>
      <c r="V1403" s="10" t="s">
        <v>241</v>
      </c>
      <c r="W1403" s="10" t="s">
        <v>242</v>
      </c>
      <c r="X1403" s="15">
        <f>IF(ISERROR(VLOOKUP($A1403,'13. Updated Demand'!A:Z,15,FALSE)),0,VLOOKUP($A1403,'13. Updated Demand'!A:Z,15,FALSE))</f>
        <v>0</v>
      </c>
      <c r="Y1403" s="16">
        <f>IF(ISERROR(VLOOKUP($A1403,'13. Updated Demand'!A:Z,16,FALSE)),0,VLOOKUP($A1403,'13. Updated Demand'!A:Z,16,FALSE))</f>
        <v>0</v>
      </c>
      <c r="Z1403" s="16">
        <f>IF(ISERROR(VLOOKUP($A1403,'13. Updated Demand'!A:Z,17,FALSE)),0,VLOOKUP($A1403,'13. Updated Demand'!A:Z,17,FALSE))</f>
        <v>0</v>
      </c>
      <c r="AA1403" s="16">
        <f>IF(ISERROR(VLOOKUP($A1403,'13. Updated Demand'!A:Z,18,FALSE)),0,VLOOKUP($A1403,'13. Updated Demand'!A:Z,18,FALSE))</f>
        <v>0</v>
      </c>
      <c r="AB1403" s="16">
        <f>IF(ISERROR(VLOOKUP($A1403,'13. Updated Demand'!A:Z,19,FALSE)),0,VLOOKUP($A1403,'13. Updated Demand'!A:Z,19,FALSE))</f>
        <v>0</v>
      </c>
      <c r="AC1403" s="16">
        <f>IF(ISERROR(VLOOKUP($A1403,'13. Updated Demand'!A:Z,20,FALSE)),0,VLOOKUP($A1403,'13. Updated Demand'!A:Z,20,FALSE))</f>
        <v>0</v>
      </c>
      <c r="AD1403" s="16">
        <f>IF(ISERROR(VLOOKUP($A1403,'13. Updated Demand'!A:Z,21,FALSE)),0,VLOOKUP($A1403,'13. Updated Demand'!A:Z,21,FALSE))</f>
        <v>0</v>
      </c>
      <c r="AE1403" s="16">
        <f>IF(ISERROR(VLOOKUP($A1403,'13. Updated Demand'!A:Z,22,FALSE)),0,VLOOKUP($A1403,'13. Updated Demand'!A:Z,22,FALSE))</f>
        <v>0</v>
      </c>
      <c r="AF1403" s="16">
        <f>IF(ISERROR(VLOOKUP($A1403,'13. Updated Demand'!A:Z,23,FALSE)),0,VLOOKUP($A1403,'13. Updated Demand'!A:Z,23,FALSE))</f>
        <v>0</v>
      </c>
      <c r="AG1403" s="16">
        <f>IF(ISERROR(VLOOKUP($A1403,'13. Updated Demand'!A:Z,24,FALSE)),0,VLOOKUP($A1403,'13. Updated Demand'!A:Z,24,FALSE))</f>
        <v>0</v>
      </c>
      <c r="AH1403" s="16">
        <f>IF(ISERROR(VLOOKUP($A1403,'13. Updated Demand'!A:Z,25,FALSE)),0,VLOOKUP($A1403,'13. Updated Demand'!A:Z,25,FALSE))</f>
        <v>0</v>
      </c>
      <c r="AI1403" s="16">
        <f>IF(ISERROR(VLOOKUP($A1403,'13. Updated Demand'!A:Z,26,FALSE)),0,VLOOKUP($A1403,'13. Updated Demand'!A:Z,26,FALSE))</f>
        <v>0</v>
      </c>
      <c r="AJ1403" s="16">
        <f t="shared" si="266"/>
        <v>0</v>
      </c>
      <c r="AK1403" s="19">
        <v>0</v>
      </c>
      <c r="AL1403" s="16">
        <f t="shared" si="264"/>
        <v>0</v>
      </c>
      <c r="AM1403" s="26">
        <v>0</v>
      </c>
      <c r="AN1403" s="19">
        <v>0</v>
      </c>
      <c r="AO1403" s="19" t="s">
        <v>1758</v>
      </c>
      <c r="AP1403" s="19">
        <v>0</v>
      </c>
      <c r="AQ1403" s="19" t="s">
        <v>307</v>
      </c>
      <c r="AR1403" s="9" t="s">
        <v>331</v>
      </c>
      <c r="AS1403" s="12">
        <v>0</v>
      </c>
      <c r="AT1403" s="19">
        <v>39.127600000000001</v>
      </c>
      <c r="AU1403" s="19">
        <v>-123.1301</v>
      </c>
      <c r="AV1403" s="19" t="s">
        <v>406</v>
      </c>
    </row>
    <row r="1404" spans="1:48" x14ac:dyDescent="0.25">
      <c r="A1404" s="18" t="s">
        <v>1766</v>
      </c>
      <c r="B1404" s="10">
        <v>19130101</v>
      </c>
      <c r="C1404" s="9">
        <v>18</v>
      </c>
      <c r="D1404" s="8" t="str">
        <f t="shared" si="255"/>
        <v>N</v>
      </c>
      <c r="E1404" s="8" t="str">
        <f t="shared" si="256"/>
        <v>N</v>
      </c>
      <c r="F1404" s="8" t="str">
        <f t="shared" si="257"/>
        <v>N</v>
      </c>
      <c r="G1404" s="8" t="str">
        <f t="shared" si="258"/>
        <v>N</v>
      </c>
      <c r="H1404" s="8" t="str">
        <f t="shared" si="259"/>
        <v>Lower</v>
      </c>
      <c r="I1404" s="8" t="str">
        <f t="shared" si="260"/>
        <v>Outside</v>
      </c>
      <c r="J1404" s="8" t="str">
        <f t="shared" si="261"/>
        <v>Outside</v>
      </c>
      <c r="K1404" s="8" t="str">
        <f t="shared" si="262"/>
        <v>pre-1914</v>
      </c>
      <c r="L1404" s="8">
        <f t="shared" si="263"/>
        <v>1913</v>
      </c>
      <c r="M1404" s="8" t="s">
        <v>179</v>
      </c>
      <c r="N1404" s="10" t="s">
        <v>242</v>
      </c>
      <c r="O1404" s="10" t="s">
        <v>242</v>
      </c>
      <c r="P1404" s="10" t="s">
        <v>241</v>
      </c>
      <c r="Q1404" s="10" t="s">
        <v>242</v>
      </c>
      <c r="R1404" s="10" t="s">
        <v>242</v>
      </c>
      <c r="S1404" s="10" t="s">
        <v>242</v>
      </c>
      <c r="T1404" s="10" t="s">
        <v>242</v>
      </c>
      <c r="U1404" s="10" t="s">
        <v>241</v>
      </c>
      <c r="V1404" s="10" t="s">
        <v>241</v>
      </c>
      <c r="W1404" s="10" t="s">
        <v>242</v>
      </c>
      <c r="X1404" s="15">
        <f>IF(ISERROR(VLOOKUP($A1404,'13. Updated Demand'!A:Z,15,FALSE)),0,VLOOKUP($A1404,'13. Updated Demand'!A:Z,15,FALSE))</f>
        <v>0</v>
      </c>
      <c r="Y1404" s="16">
        <f>IF(ISERROR(VLOOKUP($A1404,'13. Updated Demand'!A:Z,16,FALSE)),0,VLOOKUP($A1404,'13. Updated Demand'!A:Z,16,FALSE))</f>
        <v>0</v>
      </c>
      <c r="Z1404" s="16">
        <f>IF(ISERROR(VLOOKUP($A1404,'13. Updated Demand'!A:Z,17,FALSE)),0,VLOOKUP($A1404,'13. Updated Demand'!A:Z,17,FALSE))</f>
        <v>0</v>
      </c>
      <c r="AA1404" s="16">
        <f>IF(ISERROR(VLOOKUP($A1404,'13. Updated Demand'!A:Z,18,FALSE)),0,VLOOKUP($A1404,'13. Updated Demand'!A:Z,18,FALSE))</f>
        <v>0</v>
      </c>
      <c r="AB1404" s="16">
        <f>IF(ISERROR(VLOOKUP($A1404,'13. Updated Demand'!A:Z,19,FALSE)),0,VLOOKUP($A1404,'13. Updated Demand'!A:Z,19,FALSE))</f>
        <v>0</v>
      </c>
      <c r="AC1404" s="16">
        <f>IF(ISERROR(VLOOKUP($A1404,'13. Updated Demand'!A:Z,20,FALSE)),0,VLOOKUP($A1404,'13. Updated Demand'!A:Z,20,FALSE))</f>
        <v>0</v>
      </c>
      <c r="AD1404" s="16">
        <f>IF(ISERROR(VLOOKUP($A1404,'13. Updated Demand'!A:Z,21,FALSE)),0,VLOOKUP($A1404,'13. Updated Demand'!A:Z,21,FALSE))</f>
        <v>0</v>
      </c>
      <c r="AE1404" s="16">
        <f>IF(ISERROR(VLOOKUP($A1404,'13. Updated Demand'!A:Z,22,FALSE)),0,VLOOKUP($A1404,'13. Updated Demand'!A:Z,22,FALSE))</f>
        <v>0</v>
      </c>
      <c r="AF1404" s="16">
        <f>IF(ISERROR(VLOOKUP($A1404,'13. Updated Demand'!A:Z,23,FALSE)),0,VLOOKUP($A1404,'13. Updated Demand'!A:Z,23,FALSE))</f>
        <v>0</v>
      </c>
      <c r="AG1404" s="16">
        <f>IF(ISERROR(VLOOKUP($A1404,'13. Updated Demand'!A:Z,24,FALSE)),0,VLOOKUP($A1404,'13. Updated Demand'!A:Z,24,FALSE))</f>
        <v>0</v>
      </c>
      <c r="AH1404" s="16">
        <f>IF(ISERROR(VLOOKUP($A1404,'13. Updated Demand'!A:Z,25,FALSE)),0,VLOOKUP($A1404,'13. Updated Demand'!A:Z,25,FALSE))</f>
        <v>0</v>
      </c>
      <c r="AI1404" s="16">
        <f>IF(ISERROR(VLOOKUP($A1404,'13. Updated Demand'!A:Z,26,FALSE)),0,VLOOKUP($A1404,'13. Updated Demand'!A:Z,26,FALSE))</f>
        <v>0</v>
      </c>
      <c r="AJ1404" s="16">
        <f t="shared" si="266"/>
        <v>0</v>
      </c>
      <c r="AK1404" s="19">
        <v>0</v>
      </c>
      <c r="AL1404" s="16">
        <f t="shared" si="264"/>
        <v>0</v>
      </c>
      <c r="AM1404" s="26">
        <v>0</v>
      </c>
      <c r="AN1404" s="19">
        <v>11.7</v>
      </c>
      <c r="AO1404" s="19" t="s">
        <v>1758</v>
      </c>
      <c r="AP1404" s="19">
        <v>0</v>
      </c>
      <c r="AQ1404" s="19" t="s">
        <v>307</v>
      </c>
      <c r="AR1404" s="9" t="s">
        <v>352</v>
      </c>
      <c r="AS1404" s="12">
        <v>0</v>
      </c>
      <c r="AT1404" s="19">
        <v>38.426614569999998</v>
      </c>
      <c r="AU1404" s="19">
        <v>-122.89671276999999</v>
      </c>
      <c r="AV1404" s="19" t="s">
        <v>320</v>
      </c>
    </row>
    <row r="1405" spans="1:48" x14ac:dyDescent="0.25">
      <c r="A1405" s="18" t="s">
        <v>1767</v>
      </c>
      <c r="B1405" s="10">
        <v>19120101</v>
      </c>
      <c r="C1405" s="9">
        <v>12</v>
      </c>
      <c r="D1405" s="8" t="str">
        <f t="shared" si="255"/>
        <v>N</v>
      </c>
      <c r="E1405" s="8" t="str">
        <f t="shared" si="256"/>
        <v>Y</v>
      </c>
      <c r="F1405" s="8" t="str">
        <f t="shared" si="257"/>
        <v>Y</v>
      </c>
      <c r="G1405" s="8" t="str">
        <f t="shared" si="258"/>
        <v>Y</v>
      </c>
      <c r="H1405" s="8" t="str">
        <f t="shared" si="259"/>
        <v>Upper</v>
      </c>
      <c r="I1405" s="8" t="str">
        <f t="shared" si="260"/>
        <v>West Fork and Below Lake</v>
      </c>
      <c r="J1405" s="8" t="str">
        <f t="shared" si="261"/>
        <v>Sonoma (d/s of Clov. Gage)</v>
      </c>
      <c r="K1405" s="8" t="str">
        <f t="shared" si="262"/>
        <v>pre-1914</v>
      </c>
      <c r="L1405" s="8">
        <f t="shared" si="263"/>
        <v>1912</v>
      </c>
      <c r="M1405" s="8" t="s">
        <v>179</v>
      </c>
      <c r="N1405" s="10" t="s">
        <v>241</v>
      </c>
      <c r="O1405" s="10" t="s">
        <v>241</v>
      </c>
      <c r="P1405" s="10" t="s">
        <v>241</v>
      </c>
      <c r="Q1405" s="10" t="s">
        <v>242</v>
      </c>
      <c r="R1405" s="10" t="s">
        <v>242</v>
      </c>
      <c r="S1405" s="10" t="s">
        <v>242</v>
      </c>
      <c r="T1405" s="10" t="s">
        <v>242</v>
      </c>
      <c r="U1405" s="10" t="s">
        <v>242</v>
      </c>
      <c r="V1405" s="10" t="s">
        <v>241</v>
      </c>
      <c r="W1405" s="10" t="s">
        <v>242</v>
      </c>
      <c r="X1405" s="15">
        <f>IF(ISERROR(VLOOKUP($A1405,'13. Updated Demand'!A:Z,15,FALSE)),0,VLOOKUP($A1405,'13. Updated Demand'!A:Z,15,FALSE))</f>
        <v>0.18</v>
      </c>
      <c r="Y1405" s="16">
        <f>IF(ISERROR(VLOOKUP($A1405,'13. Updated Demand'!A:Z,16,FALSE)),0,VLOOKUP($A1405,'13. Updated Demand'!A:Z,16,FALSE))</f>
        <v>0.18</v>
      </c>
      <c r="Z1405" s="16">
        <f>IF(ISERROR(VLOOKUP($A1405,'13. Updated Demand'!A:Z,17,FALSE)),0,VLOOKUP($A1405,'13. Updated Demand'!A:Z,17,FALSE))</f>
        <v>0.18</v>
      </c>
      <c r="AA1405" s="16">
        <f>IF(ISERROR(VLOOKUP($A1405,'13. Updated Demand'!A:Z,18,FALSE)),0,VLOOKUP($A1405,'13. Updated Demand'!A:Z,18,FALSE))</f>
        <v>0.16</v>
      </c>
      <c r="AB1405" s="16">
        <f>IF(ISERROR(VLOOKUP($A1405,'13. Updated Demand'!A:Z,19,FALSE)),0,VLOOKUP($A1405,'13. Updated Demand'!A:Z,19,FALSE))</f>
        <v>0</v>
      </c>
      <c r="AC1405" s="16">
        <f>IF(ISERROR(VLOOKUP($A1405,'13. Updated Demand'!A:Z,20,FALSE)),0,VLOOKUP($A1405,'13. Updated Demand'!A:Z,20,FALSE))</f>
        <v>0</v>
      </c>
      <c r="AD1405" s="16">
        <f>IF(ISERROR(VLOOKUP($A1405,'13. Updated Demand'!A:Z,21,FALSE)),0,VLOOKUP($A1405,'13. Updated Demand'!A:Z,21,FALSE))</f>
        <v>0</v>
      </c>
      <c r="AE1405" s="16">
        <f>IF(ISERROR(VLOOKUP($A1405,'13. Updated Demand'!A:Z,22,FALSE)),0,VLOOKUP($A1405,'13. Updated Demand'!A:Z,22,FALSE))</f>
        <v>0</v>
      </c>
      <c r="AF1405" s="16">
        <f>IF(ISERROR(VLOOKUP($A1405,'13. Updated Demand'!A:Z,23,FALSE)),0,VLOOKUP($A1405,'13. Updated Demand'!A:Z,23,FALSE))</f>
        <v>0</v>
      </c>
      <c r="AG1405" s="16">
        <f>IF(ISERROR(VLOOKUP($A1405,'13. Updated Demand'!A:Z,24,FALSE)),0,VLOOKUP($A1405,'13. Updated Demand'!A:Z,24,FALSE))</f>
        <v>0</v>
      </c>
      <c r="AH1405" s="16">
        <f>IF(ISERROR(VLOOKUP($A1405,'13. Updated Demand'!A:Z,25,FALSE)),0,VLOOKUP($A1405,'13. Updated Demand'!A:Z,25,FALSE))</f>
        <v>0.02</v>
      </c>
      <c r="AI1405" s="16">
        <f>IF(ISERROR(VLOOKUP($A1405,'13. Updated Demand'!A:Z,26,FALSE)),0,VLOOKUP($A1405,'13. Updated Demand'!A:Z,26,FALSE))</f>
        <v>0.02</v>
      </c>
      <c r="AJ1405" s="16">
        <f t="shared" si="266"/>
        <v>0.7400000000000001</v>
      </c>
      <c r="AK1405" s="19">
        <v>0</v>
      </c>
      <c r="AL1405" s="16">
        <f t="shared" si="264"/>
        <v>0</v>
      </c>
      <c r="AM1405" s="26">
        <v>0</v>
      </c>
      <c r="AN1405" s="19">
        <v>0</v>
      </c>
      <c r="AO1405" s="19" t="s">
        <v>1758</v>
      </c>
      <c r="AP1405" s="19">
        <v>0</v>
      </c>
      <c r="AQ1405" s="19" t="s">
        <v>307</v>
      </c>
      <c r="AR1405" s="9" t="s">
        <v>311</v>
      </c>
      <c r="AS1405" s="12">
        <v>0</v>
      </c>
      <c r="AT1405" s="19">
        <v>38.612233449999998</v>
      </c>
      <c r="AU1405" s="19">
        <v>-122.78118104000001</v>
      </c>
      <c r="AV1405" s="19" t="s">
        <v>417</v>
      </c>
    </row>
    <row r="1406" spans="1:48" x14ac:dyDescent="0.25">
      <c r="A1406" s="18" t="s">
        <v>1768</v>
      </c>
      <c r="B1406" s="10">
        <v>19120101</v>
      </c>
      <c r="C1406" s="9">
        <v>12</v>
      </c>
      <c r="D1406" s="8" t="str">
        <f t="shared" si="255"/>
        <v>N</v>
      </c>
      <c r="E1406" s="8" t="str">
        <f t="shared" si="256"/>
        <v>Y</v>
      </c>
      <c r="F1406" s="8" t="str">
        <f t="shared" si="257"/>
        <v>Y</v>
      </c>
      <c r="G1406" s="8" t="str">
        <f t="shared" si="258"/>
        <v>Y</v>
      </c>
      <c r="H1406" s="8" t="str">
        <f t="shared" si="259"/>
        <v>Upper</v>
      </c>
      <c r="I1406" s="8" t="str">
        <f t="shared" si="260"/>
        <v>West Fork and Below Lake</v>
      </c>
      <c r="J1406" s="8" t="str">
        <f t="shared" si="261"/>
        <v>Sonoma (d/s of Clov. Gage)</v>
      </c>
      <c r="K1406" s="8" t="str">
        <f t="shared" si="262"/>
        <v>pre-1914</v>
      </c>
      <c r="L1406" s="8">
        <f t="shared" si="263"/>
        <v>1912</v>
      </c>
      <c r="M1406" s="8" t="s">
        <v>179</v>
      </c>
      <c r="N1406" s="10" t="s">
        <v>242</v>
      </c>
      <c r="O1406" s="10" t="s">
        <v>241</v>
      </c>
      <c r="P1406" s="10" t="s">
        <v>241</v>
      </c>
      <c r="Q1406" s="10" t="s">
        <v>242</v>
      </c>
      <c r="R1406" s="10" t="s">
        <v>242</v>
      </c>
      <c r="S1406" s="10" t="s">
        <v>242</v>
      </c>
      <c r="T1406" s="10" t="s">
        <v>242</v>
      </c>
      <c r="U1406" s="10" t="s">
        <v>242</v>
      </c>
      <c r="V1406" s="10" t="s">
        <v>242</v>
      </c>
      <c r="W1406" s="10" t="s">
        <v>242</v>
      </c>
      <c r="X1406" s="15">
        <f>IF(ISERROR(VLOOKUP($A1406,'13. Updated Demand'!A:Z,15,FALSE)),0,VLOOKUP($A1406,'13. Updated Demand'!A:Z,15,FALSE))</f>
        <v>0</v>
      </c>
      <c r="Y1406" s="16">
        <f>IF(ISERROR(VLOOKUP($A1406,'13. Updated Demand'!A:Z,16,FALSE)),0,VLOOKUP($A1406,'13. Updated Demand'!A:Z,16,FALSE))</f>
        <v>0</v>
      </c>
      <c r="Z1406" s="16">
        <f>IF(ISERROR(VLOOKUP($A1406,'13. Updated Demand'!A:Z,17,FALSE)),0,VLOOKUP($A1406,'13. Updated Demand'!A:Z,17,FALSE))</f>
        <v>0.42</v>
      </c>
      <c r="AA1406" s="16">
        <f>IF(ISERROR(VLOOKUP($A1406,'13. Updated Demand'!A:Z,18,FALSE)),0,VLOOKUP($A1406,'13. Updated Demand'!A:Z,18,FALSE))</f>
        <v>1.1299999999999999</v>
      </c>
      <c r="AB1406" s="16">
        <f>IF(ISERROR(VLOOKUP($A1406,'13. Updated Demand'!A:Z,19,FALSE)),0,VLOOKUP($A1406,'13. Updated Demand'!A:Z,19,FALSE))</f>
        <v>0.39</v>
      </c>
      <c r="AC1406" s="16">
        <f>IF(ISERROR(VLOOKUP($A1406,'13. Updated Demand'!A:Z,20,FALSE)),0,VLOOKUP($A1406,'13. Updated Demand'!A:Z,20,FALSE))</f>
        <v>0</v>
      </c>
      <c r="AD1406" s="16">
        <f>IF(ISERROR(VLOOKUP($A1406,'13. Updated Demand'!A:Z,21,FALSE)),0,VLOOKUP($A1406,'13. Updated Demand'!A:Z,21,FALSE))</f>
        <v>0</v>
      </c>
      <c r="AE1406" s="16">
        <f>IF(ISERROR(VLOOKUP($A1406,'13. Updated Demand'!A:Z,22,FALSE)),0,VLOOKUP($A1406,'13. Updated Demand'!A:Z,22,FALSE))</f>
        <v>0</v>
      </c>
      <c r="AF1406" s="16">
        <f>IF(ISERROR(VLOOKUP($A1406,'13. Updated Demand'!A:Z,23,FALSE)),0,VLOOKUP($A1406,'13. Updated Demand'!A:Z,23,FALSE))</f>
        <v>0</v>
      </c>
      <c r="AG1406" s="16">
        <f>IF(ISERROR(VLOOKUP($A1406,'13. Updated Demand'!A:Z,24,FALSE)),0,VLOOKUP($A1406,'13. Updated Demand'!A:Z,24,FALSE))</f>
        <v>0</v>
      </c>
      <c r="AH1406" s="16">
        <f>IF(ISERROR(VLOOKUP($A1406,'13. Updated Demand'!A:Z,25,FALSE)),0,VLOOKUP($A1406,'13. Updated Demand'!A:Z,25,FALSE))</f>
        <v>0</v>
      </c>
      <c r="AI1406" s="16">
        <f>IF(ISERROR(VLOOKUP($A1406,'13. Updated Demand'!A:Z,26,FALSE)),0,VLOOKUP($A1406,'13. Updated Demand'!A:Z,26,FALSE))</f>
        <v>0</v>
      </c>
      <c r="AJ1406" s="16">
        <f t="shared" si="266"/>
        <v>1.94</v>
      </c>
      <c r="AK1406" s="19">
        <v>0.39895533300000002</v>
      </c>
      <c r="AL1406" s="16">
        <f t="shared" si="264"/>
        <v>1.3232893942779576E-3</v>
      </c>
      <c r="AM1406" s="26">
        <v>0</v>
      </c>
      <c r="AN1406" s="19">
        <v>0</v>
      </c>
      <c r="AO1406" s="19" t="s">
        <v>1758</v>
      </c>
      <c r="AP1406" s="19">
        <v>0</v>
      </c>
      <c r="AQ1406" s="19" t="s">
        <v>307</v>
      </c>
      <c r="AR1406" s="9" t="s">
        <v>311</v>
      </c>
      <c r="AS1406" s="12">
        <v>0</v>
      </c>
      <c r="AT1406" s="19">
        <v>38.581099999999999</v>
      </c>
      <c r="AU1406" s="19">
        <v>-122.673</v>
      </c>
      <c r="AV1406" s="19" t="s">
        <v>1254</v>
      </c>
    </row>
    <row r="1407" spans="1:48" x14ac:dyDescent="0.25">
      <c r="A1407" s="18" t="s">
        <v>1769</v>
      </c>
      <c r="B1407" s="10">
        <v>19110101</v>
      </c>
      <c r="C1407" s="9">
        <v>1</v>
      </c>
      <c r="D1407" s="8" t="str">
        <f t="shared" si="255"/>
        <v>N</v>
      </c>
      <c r="E1407" s="8" t="str">
        <f t="shared" si="256"/>
        <v>N</v>
      </c>
      <c r="F1407" s="8" t="str">
        <f t="shared" si="257"/>
        <v>Y</v>
      </c>
      <c r="G1407" s="8" t="str">
        <f t="shared" si="258"/>
        <v>Y</v>
      </c>
      <c r="H1407" s="8" t="str">
        <f t="shared" si="259"/>
        <v>Upper</v>
      </c>
      <c r="I1407" s="8" t="str">
        <f t="shared" si="260"/>
        <v>West Fork and Below Lake</v>
      </c>
      <c r="J1407" s="8" t="str">
        <f t="shared" si="261"/>
        <v>Outside</v>
      </c>
      <c r="K1407" s="8" t="str">
        <f t="shared" si="262"/>
        <v>pre-1914</v>
      </c>
      <c r="L1407" s="8">
        <f t="shared" si="263"/>
        <v>1911</v>
      </c>
      <c r="M1407" s="8" t="s">
        <v>179</v>
      </c>
      <c r="N1407" s="10" t="s">
        <v>242</v>
      </c>
      <c r="O1407" s="10" t="s">
        <v>241</v>
      </c>
      <c r="P1407" s="10" t="s">
        <v>241</v>
      </c>
      <c r="Q1407" s="10" t="s">
        <v>242</v>
      </c>
      <c r="R1407" s="10" t="s">
        <v>242</v>
      </c>
      <c r="S1407" s="10" t="s">
        <v>242</v>
      </c>
      <c r="T1407" s="10" t="s">
        <v>242</v>
      </c>
      <c r="U1407" s="10" t="s">
        <v>241</v>
      </c>
      <c r="V1407" s="10" t="s">
        <v>241</v>
      </c>
      <c r="W1407" s="10" t="s">
        <v>242</v>
      </c>
      <c r="X1407" s="15">
        <f>IF(ISERROR(VLOOKUP($A1407,'13. Updated Demand'!A:Z,15,FALSE)),0,VLOOKUP($A1407,'13. Updated Demand'!A:Z,15,FALSE))</f>
        <v>0</v>
      </c>
      <c r="Y1407" s="16">
        <f>IF(ISERROR(VLOOKUP($A1407,'13. Updated Demand'!A:Z,16,FALSE)),0,VLOOKUP($A1407,'13. Updated Demand'!A:Z,16,FALSE))</f>
        <v>0</v>
      </c>
      <c r="Z1407" s="16">
        <f>IF(ISERROR(VLOOKUP($A1407,'13. Updated Demand'!A:Z,17,FALSE)),0,VLOOKUP($A1407,'13. Updated Demand'!A:Z,17,FALSE))</f>
        <v>0</v>
      </c>
      <c r="AA1407" s="16">
        <f>IF(ISERROR(VLOOKUP($A1407,'13. Updated Demand'!A:Z,18,FALSE)),0,VLOOKUP($A1407,'13. Updated Demand'!A:Z,18,FALSE))</f>
        <v>0</v>
      </c>
      <c r="AB1407" s="16">
        <f>IF(ISERROR(VLOOKUP($A1407,'13. Updated Demand'!A:Z,19,FALSE)),0,VLOOKUP($A1407,'13. Updated Demand'!A:Z,19,FALSE))</f>
        <v>0</v>
      </c>
      <c r="AC1407" s="16">
        <f>IF(ISERROR(VLOOKUP($A1407,'13. Updated Demand'!A:Z,20,FALSE)),0,VLOOKUP($A1407,'13. Updated Demand'!A:Z,20,FALSE))</f>
        <v>0</v>
      </c>
      <c r="AD1407" s="16">
        <f>IF(ISERROR(VLOOKUP($A1407,'13. Updated Demand'!A:Z,21,FALSE)),0,VLOOKUP($A1407,'13. Updated Demand'!A:Z,21,FALSE))</f>
        <v>0</v>
      </c>
      <c r="AE1407" s="16">
        <f>IF(ISERROR(VLOOKUP($A1407,'13. Updated Demand'!A:Z,22,FALSE)),0,VLOOKUP($A1407,'13. Updated Demand'!A:Z,22,FALSE))</f>
        <v>0</v>
      </c>
      <c r="AF1407" s="16">
        <f>IF(ISERROR(VLOOKUP($A1407,'13. Updated Demand'!A:Z,23,FALSE)),0,VLOOKUP($A1407,'13. Updated Demand'!A:Z,23,FALSE))</f>
        <v>0</v>
      </c>
      <c r="AG1407" s="16">
        <f>IF(ISERROR(VLOOKUP($A1407,'13. Updated Demand'!A:Z,24,FALSE)),0,VLOOKUP($A1407,'13. Updated Demand'!A:Z,24,FALSE))</f>
        <v>0</v>
      </c>
      <c r="AH1407" s="16">
        <f>IF(ISERROR(VLOOKUP($A1407,'13. Updated Demand'!A:Z,25,FALSE)),0,VLOOKUP($A1407,'13. Updated Demand'!A:Z,25,FALSE))</f>
        <v>0</v>
      </c>
      <c r="AI1407" s="16">
        <f>IF(ISERROR(VLOOKUP($A1407,'13. Updated Demand'!A:Z,26,FALSE)),0,VLOOKUP($A1407,'13. Updated Demand'!A:Z,26,FALSE))</f>
        <v>0</v>
      </c>
      <c r="AJ1407" s="16">
        <f t="shared" si="266"/>
        <v>0</v>
      </c>
      <c r="AK1407" s="19">
        <v>0</v>
      </c>
      <c r="AL1407" s="16">
        <f t="shared" si="264"/>
        <v>0</v>
      </c>
      <c r="AM1407" s="26">
        <v>0</v>
      </c>
      <c r="AN1407" s="19">
        <v>0</v>
      </c>
      <c r="AO1407" s="19" t="s">
        <v>1758</v>
      </c>
      <c r="AP1407" s="19">
        <v>0</v>
      </c>
      <c r="AQ1407" s="19" t="s">
        <v>307</v>
      </c>
      <c r="AR1407" s="9" t="s">
        <v>317</v>
      </c>
      <c r="AS1407" s="12">
        <v>0</v>
      </c>
      <c r="AT1407" s="19">
        <v>39.211842519999998</v>
      </c>
      <c r="AU1407" s="19">
        <v>-123.22441581</v>
      </c>
      <c r="AV1407" s="19" t="s">
        <v>1770</v>
      </c>
    </row>
    <row r="1408" spans="1:48" x14ac:dyDescent="0.25">
      <c r="A1408" s="18" t="s">
        <v>1771</v>
      </c>
      <c r="B1408" s="10">
        <v>19110101</v>
      </c>
      <c r="C1408" s="9">
        <v>1</v>
      </c>
      <c r="D1408" s="8" t="str">
        <f t="shared" si="255"/>
        <v>N</v>
      </c>
      <c r="E1408" s="8" t="str">
        <f t="shared" si="256"/>
        <v>N</v>
      </c>
      <c r="F1408" s="8" t="str">
        <f t="shared" si="257"/>
        <v>Y</v>
      </c>
      <c r="G1408" s="8" t="str">
        <f t="shared" si="258"/>
        <v>Y</v>
      </c>
      <c r="H1408" s="8" t="str">
        <f t="shared" si="259"/>
        <v>Upper</v>
      </c>
      <c r="I1408" s="8" t="str">
        <f t="shared" si="260"/>
        <v>West Fork and Below Lake</v>
      </c>
      <c r="J1408" s="8" t="str">
        <f t="shared" si="261"/>
        <v>Outside</v>
      </c>
      <c r="K1408" s="8" t="str">
        <f t="shared" si="262"/>
        <v>pre-1914</v>
      </c>
      <c r="L1408" s="8">
        <f t="shared" si="263"/>
        <v>1911</v>
      </c>
      <c r="M1408" s="8" t="s">
        <v>179</v>
      </c>
      <c r="N1408" s="10" t="s">
        <v>242</v>
      </c>
      <c r="O1408" s="10" t="s">
        <v>241</v>
      </c>
      <c r="P1408" s="10" t="s">
        <v>241</v>
      </c>
      <c r="Q1408" s="10" t="s">
        <v>242</v>
      </c>
      <c r="R1408" s="10" t="s">
        <v>242</v>
      </c>
      <c r="S1408" s="10" t="s">
        <v>242</v>
      </c>
      <c r="T1408" s="10" t="s">
        <v>242</v>
      </c>
      <c r="U1408" s="10" t="s">
        <v>241</v>
      </c>
      <c r="V1408" s="10" t="s">
        <v>241</v>
      </c>
      <c r="W1408" s="10" t="s">
        <v>242</v>
      </c>
      <c r="X1408" s="15">
        <f>IF(ISERROR(VLOOKUP($A1408,'13. Updated Demand'!A:Z,15,FALSE)),0,VLOOKUP($A1408,'13. Updated Demand'!A:Z,15,FALSE))</f>
        <v>0</v>
      </c>
      <c r="Y1408" s="16">
        <f>IF(ISERROR(VLOOKUP($A1408,'13. Updated Demand'!A:Z,16,FALSE)),0,VLOOKUP($A1408,'13. Updated Demand'!A:Z,16,FALSE))</f>
        <v>0</v>
      </c>
      <c r="Z1408" s="16">
        <f>IF(ISERROR(VLOOKUP($A1408,'13. Updated Demand'!A:Z,17,FALSE)),0,VLOOKUP($A1408,'13. Updated Demand'!A:Z,17,FALSE))</f>
        <v>0</v>
      </c>
      <c r="AA1408" s="16">
        <f>IF(ISERROR(VLOOKUP($A1408,'13. Updated Demand'!A:Z,18,FALSE)),0,VLOOKUP($A1408,'13. Updated Demand'!A:Z,18,FALSE))</f>
        <v>0</v>
      </c>
      <c r="AB1408" s="16">
        <f>IF(ISERROR(VLOOKUP($A1408,'13. Updated Demand'!A:Z,19,FALSE)),0,VLOOKUP($A1408,'13. Updated Demand'!A:Z,19,FALSE))</f>
        <v>0</v>
      </c>
      <c r="AC1408" s="16">
        <f>IF(ISERROR(VLOOKUP($A1408,'13. Updated Demand'!A:Z,20,FALSE)),0,VLOOKUP($A1408,'13. Updated Demand'!A:Z,20,FALSE))</f>
        <v>0</v>
      </c>
      <c r="AD1408" s="16">
        <f>IF(ISERROR(VLOOKUP($A1408,'13. Updated Demand'!A:Z,21,FALSE)),0,VLOOKUP($A1408,'13. Updated Demand'!A:Z,21,FALSE))</f>
        <v>0</v>
      </c>
      <c r="AE1408" s="16">
        <f>IF(ISERROR(VLOOKUP($A1408,'13. Updated Demand'!A:Z,22,FALSE)),0,VLOOKUP($A1408,'13. Updated Demand'!A:Z,22,FALSE))</f>
        <v>0</v>
      </c>
      <c r="AF1408" s="16">
        <f>IF(ISERROR(VLOOKUP($A1408,'13. Updated Demand'!A:Z,23,FALSE)),0,VLOOKUP($A1408,'13. Updated Demand'!A:Z,23,FALSE))</f>
        <v>0</v>
      </c>
      <c r="AG1408" s="16">
        <f>IF(ISERROR(VLOOKUP($A1408,'13. Updated Demand'!A:Z,24,FALSE)),0,VLOOKUP($A1408,'13. Updated Demand'!A:Z,24,FALSE))</f>
        <v>0</v>
      </c>
      <c r="AH1408" s="16">
        <f>IF(ISERROR(VLOOKUP($A1408,'13. Updated Demand'!A:Z,25,FALSE)),0,VLOOKUP($A1408,'13. Updated Demand'!A:Z,25,FALSE))</f>
        <v>0</v>
      </c>
      <c r="AI1408" s="16">
        <f>IF(ISERROR(VLOOKUP($A1408,'13. Updated Demand'!A:Z,26,FALSE)),0,VLOOKUP($A1408,'13. Updated Demand'!A:Z,26,FALSE))</f>
        <v>0</v>
      </c>
      <c r="AJ1408" s="16">
        <f t="shared" si="266"/>
        <v>0</v>
      </c>
      <c r="AK1408" s="19">
        <v>0</v>
      </c>
      <c r="AL1408" s="16">
        <f t="shared" si="264"/>
        <v>0</v>
      </c>
      <c r="AM1408" s="26">
        <v>0</v>
      </c>
      <c r="AN1408" s="19">
        <v>362.2</v>
      </c>
      <c r="AO1408" s="19" t="s">
        <v>1758</v>
      </c>
      <c r="AP1408" s="19">
        <v>0</v>
      </c>
      <c r="AQ1408" s="19" t="s">
        <v>307</v>
      </c>
      <c r="AR1408" s="9" t="s">
        <v>317</v>
      </c>
      <c r="AS1408" s="12">
        <v>0</v>
      </c>
      <c r="AT1408" s="19">
        <v>39.204740780000002</v>
      </c>
      <c r="AU1408" s="19">
        <v>-123.21024247</v>
      </c>
      <c r="AV1408" s="19" t="s">
        <v>1770</v>
      </c>
    </row>
    <row r="1409" spans="1:48" x14ac:dyDescent="0.25">
      <c r="A1409" s="18" t="s">
        <v>1772</v>
      </c>
      <c r="B1409" s="10">
        <v>19110101</v>
      </c>
      <c r="C1409" s="9">
        <v>1</v>
      </c>
      <c r="D1409" s="8" t="str">
        <f t="shared" si="255"/>
        <v>N</v>
      </c>
      <c r="E1409" s="8" t="str">
        <f t="shared" si="256"/>
        <v>N</v>
      </c>
      <c r="F1409" s="8" t="str">
        <f t="shared" si="257"/>
        <v>Y</v>
      </c>
      <c r="G1409" s="8" t="str">
        <f t="shared" si="258"/>
        <v>Y</v>
      </c>
      <c r="H1409" s="8" t="str">
        <f t="shared" si="259"/>
        <v>Upper</v>
      </c>
      <c r="I1409" s="8" t="str">
        <f t="shared" si="260"/>
        <v>West Fork and Below Lake</v>
      </c>
      <c r="J1409" s="8" t="str">
        <f t="shared" si="261"/>
        <v>Outside</v>
      </c>
      <c r="K1409" s="8" t="str">
        <f t="shared" si="262"/>
        <v>pre-1914</v>
      </c>
      <c r="L1409" s="8">
        <f t="shared" si="263"/>
        <v>1911</v>
      </c>
      <c r="M1409" s="8" t="s">
        <v>179</v>
      </c>
      <c r="N1409" s="10" t="s">
        <v>242</v>
      </c>
      <c r="O1409" s="10" t="s">
        <v>241</v>
      </c>
      <c r="P1409" s="10" t="s">
        <v>241</v>
      </c>
      <c r="Q1409" s="10" t="s">
        <v>242</v>
      </c>
      <c r="R1409" s="10" t="s">
        <v>242</v>
      </c>
      <c r="S1409" s="10" t="s">
        <v>242</v>
      </c>
      <c r="T1409" s="10" t="s">
        <v>242</v>
      </c>
      <c r="U1409" s="10" t="s">
        <v>242</v>
      </c>
      <c r="V1409" s="10" t="s">
        <v>241</v>
      </c>
      <c r="W1409" s="10" t="s">
        <v>242</v>
      </c>
      <c r="X1409" s="15">
        <f>IF(ISERROR(VLOOKUP($A1409,'13. Updated Demand'!A:Z,15,FALSE)),0,VLOOKUP($A1409,'13. Updated Demand'!A:Z,15,FALSE))</f>
        <v>0</v>
      </c>
      <c r="Y1409" s="16">
        <f>IF(ISERROR(VLOOKUP($A1409,'13. Updated Demand'!A:Z,16,FALSE)),0,VLOOKUP($A1409,'13. Updated Demand'!A:Z,16,FALSE))</f>
        <v>2</v>
      </c>
      <c r="Z1409" s="16">
        <f>IF(ISERROR(VLOOKUP($A1409,'13. Updated Demand'!A:Z,17,FALSE)),0,VLOOKUP($A1409,'13. Updated Demand'!A:Z,17,FALSE))</f>
        <v>0</v>
      </c>
      <c r="AA1409" s="16">
        <f>IF(ISERROR(VLOOKUP($A1409,'13. Updated Demand'!A:Z,18,FALSE)),0,VLOOKUP($A1409,'13. Updated Demand'!A:Z,18,FALSE))</f>
        <v>0</v>
      </c>
      <c r="AB1409" s="16">
        <f>IF(ISERROR(VLOOKUP($A1409,'13. Updated Demand'!A:Z,19,FALSE)),0,VLOOKUP($A1409,'13. Updated Demand'!A:Z,19,FALSE))</f>
        <v>0</v>
      </c>
      <c r="AC1409" s="16">
        <f>IF(ISERROR(VLOOKUP($A1409,'13. Updated Demand'!A:Z,20,FALSE)),0,VLOOKUP($A1409,'13. Updated Demand'!A:Z,20,FALSE))</f>
        <v>0</v>
      </c>
      <c r="AD1409" s="16">
        <f>IF(ISERROR(VLOOKUP($A1409,'13. Updated Demand'!A:Z,21,FALSE)),0,VLOOKUP($A1409,'13. Updated Demand'!A:Z,21,FALSE))</f>
        <v>0</v>
      </c>
      <c r="AE1409" s="16">
        <f>IF(ISERROR(VLOOKUP($A1409,'13. Updated Demand'!A:Z,22,FALSE)),0,VLOOKUP($A1409,'13. Updated Demand'!A:Z,22,FALSE))</f>
        <v>0</v>
      </c>
      <c r="AF1409" s="16">
        <f>IF(ISERROR(VLOOKUP($A1409,'13. Updated Demand'!A:Z,23,FALSE)),0,VLOOKUP($A1409,'13. Updated Demand'!A:Z,23,FALSE))</f>
        <v>0</v>
      </c>
      <c r="AG1409" s="16">
        <f>IF(ISERROR(VLOOKUP($A1409,'13. Updated Demand'!A:Z,24,FALSE)),0,VLOOKUP($A1409,'13. Updated Demand'!A:Z,24,FALSE))</f>
        <v>0</v>
      </c>
      <c r="AH1409" s="16">
        <f>IF(ISERROR(VLOOKUP($A1409,'13. Updated Demand'!A:Z,25,FALSE)),0,VLOOKUP($A1409,'13. Updated Demand'!A:Z,25,FALSE))</f>
        <v>0</v>
      </c>
      <c r="AI1409" s="16">
        <f>IF(ISERROR(VLOOKUP($A1409,'13. Updated Demand'!A:Z,26,FALSE)),0,VLOOKUP($A1409,'13. Updated Demand'!A:Z,26,FALSE))</f>
        <v>0</v>
      </c>
      <c r="AJ1409" s="16">
        <f t="shared" si="266"/>
        <v>2</v>
      </c>
      <c r="AK1409" s="19">
        <v>0</v>
      </c>
      <c r="AL1409" s="16">
        <f t="shared" si="264"/>
        <v>0</v>
      </c>
      <c r="AM1409" s="26">
        <v>4.1300008631701803E-3</v>
      </c>
      <c r="AN1409" s="19">
        <v>484.26139999999998</v>
      </c>
      <c r="AO1409" s="19" t="s">
        <v>1758</v>
      </c>
      <c r="AP1409" s="19">
        <v>0</v>
      </c>
      <c r="AQ1409" s="19" t="s">
        <v>307</v>
      </c>
      <c r="AR1409" s="9" t="s">
        <v>317</v>
      </c>
      <c r="AS1409" s="12">
        <v>0</v>
      </c>
      <c r="AT1409" s="19">
        <v>39.219499999999996</v>
      </c>
      <c r="AU1409" s="19">
        <v>-123.21769999999999</v>
      </c>
      <c r="AV1409" s="19" t="s">
        <v>385</v>
      </c>
    </row>
    <row r="1410" spans="1:48" x14ac:dyDescent="0.25">
      <c r="A1410" s="18" t="s">
        <v>1773</v>
      </c>
      <c r="B1410" s="10">
        <v>19110101</v>
      </c>
      <c r="C1410" s="9">
        <v>1</v>
      </c>
      <c r="D1410" s="8" t="str">
        <f t="shared" ref="D1410:D1473" si="267">IF(OR(C1410=4,C1410=5,C1410=6),"Y","N")</f>
        <v>N</v>
      </c>
      <c r="E1410" s="8" t="str">
        <f t="shared" ref="E1410:E1473" si="268">IF(AND(C1410&gt;6,C1410&lt;14),"Y","N")</f>
        <v>N</v>
      </c>
      <c r="F1410" s="8" t="str">
        <f t="shared" ref="F1410:F1473" si="269">IF(C1410&lt;14,"Y","N")</f>
        <v>Y</v>
      </c>
      <c r="G1410" s="8" t="str">
        <f t="shared" ref="G1410:G1473" si="270">IF(OR(C1410=1,AND(C1410&gt;3,C1410&lt;14)),"Y","N")</f>
        <v>Y</v>
      </c>
      <c r="H1410" s="8" t="str">
        <f t="shared" ref="H1410:H1473" si="271">IF(C1410&lt;14,"Upper","Lower")</f>
        <v>Upper</v>
      </c>
      <c r="I1410" s="8" t="str">
        <f t="shared" ref="I1410:I1473" si="272">IF(G1410="Y","West Fork and Below Lake","Outside")</f>
        <v>West Fork and Below Lake</v>
      </c>
      <c r="J1410" s="8" t="str">
        <f t="shared" ref="J1410:J1473" si="273">IF(D1410="Y", "Mendocino (d/s of lake)", IF(E1410="Y", "Sonoma (d/s of Clov. Gage)","Outside"))</f>
        <v>Outside</v>
      </c>
      <c r="K1410" s="8" t="str">
        <f t="shared" ref="K1410:K1473" si="274">IF(P1410="Y","pre-1914",IF(Q1410="Y","Pre-1949",IF(R1410="Y","Post-1949",IF(S1410="Y","Riparian","Unknown"))))</f>
        <v>pre-1914</v>
      </c>
      <c r="L1410" s="8">
        <f t="shared" ref="L1410:L1473" si="275">_xlfn.NUMBERVALUE(LEFT(B1410,4))</f>
        <v>1911</v>
      </c>
      <c r="M1410" s="8" t="s">
        <v>179</v>
      </c>
      <c r="N1410" s="10" t="s">
        <v>242</v>
      </c>
      <c r="O1410" s="10" t="s">
        <v>241</v>
      </c>
      <c r="P1410" s="10" t="s">
        <v>241</v>
      </c>
      <c r="Q1410" s="10" t="s">
        <v>242</v>
      </c>
      <c r="R1410" s="10" t="s">
        <v>242</v>
      </c>
      <c r="S1410" s="10" t="s">
        <v>242</v>
      </c>
      <c r="T1410" s="10" t="s">
        <v>242</v>
      </c>
      <c r="U1410" s="10" t="s">
        <v>241</v>
      </c>
      <c r="V1410" s="10" t="s">
        <v>241</v>
      </c>
      <c r="W1410" s="10" t="s">
        <v>242</v>
      </c>
      <c r="X1410" s="15">
        <f>IF(ISERROR(VLOOKUP($A1410,'13. Updated Demand'!A:Z,15,FALSE)),0,VLOOKUP($A1410,'13. Updated Demand'!A:Z,15,FALSE))</f>
        <v>0</v>
      </c>
      <c r="Y1410" s="16">
        <f>IF(ISERROR(VLOOKUP($A1410,'13. Updated Demand'!A:Z,16,FALSE)),0,VLOOKUP($A1410,'13. Updated Demand'!A:Z,16,FALSE))</f>
        <v>0</v>
      </c>
      <c r="Z1410" s="16">
        <f>IF(ISERROR(VLOOKUP($A1410,'13. Updated Demand'!A:Z,17,FALSE)),0,VLOOKUP($A1410,'13. Updated Demand'!A:Z,17,FALSE))</f>
        <v>0</v>
      </c>
      <c r="AA1410" s="16">
        <f>IF(ISERROR(VLOOKUP($A1410,'13. Updated Demand'!A:Z,18,FALSE)),0,VLOOKUP($A1410,'13. Updated Demand'!A:Z,18,FALSE))</f>
        <v>0</v>
      </c>
      <c r="AB1410" s="16">
        <f>IF(ISERROR(VLOOKUP($A1410,'13. Updated Demand'!A:Z,19,FALSE)),0,VLOOKUP($A1410,'13. Updated Demand'!A:Z,19,FALSE))</f>
        <v>0</v>
      </c>
      <c r="AC1410" s="16">
        <f>IF(ISERROR(VLOOKUP($A1410,'13. Updated Demand'!A:Z,20,FALSE)),0,VLOOKUP($A1410,'13. Updated Demand'!A:Z,20,FALSE))</f>
        <v>0</v>
      </c>
      <c r="AD1410" s="16">
        <f>IF(ISERROR(VLOOKUP($A1410,'13. Updated Demand'!A:Z,21,FALSE)),0,VLOOKUP($A1410,'13. Updated Demand'!A:Z,21,FALSE))</f>
        <v>0</v>
      </c>
      <c r="AE1410" s="16">
        <f>IF(ISERROR(VLOOKUP($A1410,'13. Updated Demand'!A:Z,22,FALSE)),0,VLOOKUP($A1410,'13. Updated Demand'!A:Z,22,FALSE))</f>
        <v>0</v>
      </c>
      <c r="AF1410" s="16">
        <f>IF(ISERROR(VLOOKUP($A1410,'13. Updated Demand'!A:Z,23,FALSE)),0,VLOOKUP($A1410,'13. Updated Demand'!A:Z,23,FALSE))</f>
        <v>0</v>
      </c>
      <c r="AG1410" s="16">
        <f>IF(ISERROR(VLOOKUP($A1410,'13. Updated Demand'!A:Z,24,FALSE)),0,VLOOKUP($A1410,'13. Updated Demand'!A:Z,24,FALSE))</f>
        <v>0</v>
      </c>
      <c r="AH1410" s="16">
        <f>IF(ISERROR(VLOOKUP($A1410,'13. Updated Demand'!A:Z,25,FALSE)),0,VLOOKUP($A1410,'13. Updated Demand'!A:Z,25,FALSE))</f>
        <v>0</v>
      </c>
      <c r="AI1410" s="16">
        <f>IF(ISERROR(VLOOKUP($A1410,'13. Updated Demand'!A:Z,26,FALSE)),0,VLOOKUP($A1410,'13. Updated Demand'!A:Z,26,FALSE))</f>
        <v>0</v>
      </c>
      <c r="AJ1410" s="16">
        <f t="shared" si="266"/>
        <v>0</v>
      </c>
      <c r="AK1410" s="19">
        <v>0</v>
      </c>
      <c r="AL1410" s="16">
        <f t="shared" ref="AL1410:AL1473" si="276">AK1410/152/1.983471</f>
        <v>0</v>
      </c>
      <c r="AM1410" s="26">
        <v>0</v>
      </c>
      <c r="AN1410" s="19">
        <v>484.26139999999998</v>
      </c>
      <c r="AO1410" s="19" t="s">
        <v>1758</v>
      </c>
      <c r="AP1410" s="19">
        <v>0</v>
      </c>
      <c r="AQ1410" s="19" t="s">
        <v>307</v>
      </c>
      <c r="AR1410" s="9" t="s">
        <v>317</v>
      </c>
      <c r="AS1410" s="12">
        <v>0</v>
      </c>
      <c r="AT1410" s="19">
        <v>39.204700000000003</v>
      </c>
      <c r="AU1410" s="19">
        <v>-123.2102</v>
      </c>
      <c r="AV1410" s="19" t="s">
        <v>1770</v>
      </c>
    </row>
    <row r="1411" spans="1:48" x14ac:dyDescent="0.25">
      <c r="A1411" s="18" t="s">
        <v>1774</v>
      </c>
      <c r="B1411" s="10">
        <v>19110101</v>
      </c>
      <c r="C1411" s="9">
        <v>1</v>
      </c>
      <c r="D1411" s="8" t="str">
        <f t="shared" si="267"/>
        <v>N</v>
      </c>
      <c r="E1411" s="8" t="str">
        <f t="shared" si="268"/>
        <v>N</v>
      </c>
      <c r="F1411" s="8" t="str">
        <f t="shared" si="269"/>
        <v>Y</v>
      </c>
      <c r="G1411" s="8" t="str">
        <f t="shared" si="270"/>
        <v>Y</v>
      </c>
      <c r="H1411" s="8" t="str">
        <f t="shared" si="271"/>
        <v>Upper</v>
      </c>
      <c r="I1411" s="8" t="str">
        <f t="shared" si="272"/>
        <v>West Fork and Below Lake</v>
      </c>
      <c r="J1411" s="8" t="str">
        <f t="shared" si="273"/>
        <v>Outside</v>
      </c>
      <c r="K1411" s="8" t="str">
        <f t="shared" si="274"/>
        <v>pre-1914</v>
      </c>
      <c r="L1411" s="8">
        <f t="shared" si="275"/>
        <v>1911</v>
      </c>
      <c r="M1411" s="8" t="s">
        <v>179</v>
      </c>
      <c r="N1411" s="10" t="s">
        <v>242</v>
      </c>
      <c r="O1411" s="10" t="s">
        <v>241</v>
      </c>
      <c r="P1411" s="10" t="s">
        <v>241</v>
      </c>
      <c r="Q1411" s="10" t="s">
        <v>242</v>
      </c>
      <c r="R1411" s="10" t="s">
        <v>242</v>
      </c>
      <c r="S1411" s="10" t="s">
        <v>242</v>
      </c>
      <c r="T1411" s="10" t="s">
        <v>242</v>
      </c>
      <c r="U1411" s="10" t="s">
        <v>241</v>
      </c>
      <c r="V1411" s="10" t="s">
        <v>241</v>
      </c>
      <c r="W1411" s="10" t="s">
        <v>242</v>
      </c>
      <c r="X1411" s="15">
        <f>IF(ISERROR(VLOOKUP($A1411,'13. Updated Demand'!A:Z,15,FALSE)),0,VLOOKUP($A1411,'13. Updated Demand'!A:Z,15,FALSE))</f>
        <v>0</v>
      </c>
      <c r="Y1411" s="16">
        <f>IF(ISERROR(VLOOKUP($A1411,'13. Updated Demand'!A:Z,16,FALSE)),0,VLOOKUP($A1411,'13. Updated Demand'!A:Z,16,FALSE))</f>
        <v>0</v>
      </c>
      <c r="Z1411" s="16">
        <f>IF(ISERROR(VLOOKUP($A1411,'13. Updated Demand'!A:Z,17,FALSE)),0,VLOOKUP($A1411,'13. Updated Demand'!A:Z,17,FALSE))</f>
        <v>0</v>
      </c>
      <c r="AA1411" s="16">
        <f>IF(ISERROR(VLOOKUP($A1411,'13. Updated Demand'!A:Z,18,FALSE)),0,VLOOKUP($A1411,'13. Updated Demand'!A:Z,18,FALSE))</f>
        <v>0</v>
      </c>
      <c r="AB1411" s="16">
        <f>IF(ISERROR(VLOOKUP($A1411,'13. Updated Demand'!A:Z,19,FALSE)),0,VLOOKUP($A1411,'13. Updated Demand'!A:Z,19,FALSE))</f>
        <v>0</v>
      </c>
      <c r="AC1411" s="16">
        <f>IF(ISERROR(VLOOKUP($A1411,'13. Updated Demand'!A:Z,20,FALSE)),0,VLOOKUP($A1411,'13. Updated Demand'!A:Z,20,FALSE))</f>
        <v>0</v>
      </c>
      <c r="AD1411" s="16">
        <f>IF(ISERROR(VLOOKUP($A1411,'13. Updated Demand'!A:Z,21,FALSE)),0,VLOOKUP($A1411,'13. Updated Demand'!A:Z,21,FALSE))</f>
        <v>0</v>
      </c>
      <c r="AE1411" s="16">
        <f>IF(ISERROR(VLOOKUP($A1411,'13. Updated Demand'!A:Z,22,FALSE)),0,VLOOKUP($A1411,'13. Updated Demand'!A:Z,22,FALSE))</f>
        <v>0</v>
      </c>
      <c r="AF1411" s="16">
        <f>IF(ISERROR(VLOOKUP($A1411,'13. Updated Demand'!A:Z,23,FALSE)),0,VLOOKUP($A1411,'13. Updated Demand'!A:Z,23,FALSE))</f>
        <v>0</v>
      </c>
      <c r="AG1411" s="16">
        <f>IF(ISERROR(VLOOKUP($A1411,'13. Updated Demand'!A:Z,24,FALSE)),0,VLOOKUP($A1411,'13. Updated Demand'!A:Z,24,FALSE))</f>
        <v>0</v>
      </c>
      <c r="AH1411" s="16">
        <f>IF(ISERROR(VLOOKUP($A1411,'13. Updated Demand'!A:Z,25,FALSE)),0,VLOOKUP($A1411,'13. Updated Demand'!A:Z,25,FALSE))</f>
        <v>0</v>
      </c>
      <c r="AI1411" s="16">
        <f>IF(ISERROR(VLOOKUP($A1411,'13. Updated Demand'!A:Z,26,FALSE)),0,VLOOKUP($A1411,'13. Updated Demand'!A:Z,26,FALSE))</f>
        <v>0</v>
      </c>
      <c r="AJ1411" s="16">
        <f t="shared" si="266"/>
        <v>0</v>
      </c>
      <c r="AK1411" s="19">
        <v>0</v>
      </c>
      <c r="AL1411" s="16">
        <f t="shared" si="276"/>
        <v>0</v>
      </c>
      <c r="AM1411" s="26">
        <v>0</v>
      </c>
      <c r="AN1411" s="19">
        <v>484.26139999999998</v>
      </c>
      <c r="AO1411" s="19" t="s">
        <v>1758</v>
      </c>
      <c r="AP1411" s="19">
        <v>0</v>
      </c>
      <c r="AQ1411" s="19" t="s">
        <v>307</v>
      </c>
      <c r="AR1411" s="9" t="s">
        <v>317</v>
      </c>
      <c r="AS1411" s="12">
        <v>0</v>
      </c>
      <c r="AT1411" s="19">
        <v>39.2119</v>
      </c>
      <c r="AU1411" s="19">
        <v>-123.2244</v>
      </c>
      <c r="AV1411" s="19" t="s">
        <v>1770</v>
      </c>
    </row>
    <row r="1412" spans="1:48" x14ac:dyDescent="0.25">
      <c r="A1412" s="18" t="s">
        <v>1775</v>
      </c>
      <c r="B1412" s="10">
        <v>19100101</v>
      </c>
      <c r="C1412" s="9">
        <v>16</v>
      </c>
      <c r="D1412" s="8" t="str">
        <f t="shared" si="267"/>
        <v>N</v>
      </c>
      <c r="E1412" s="8" t="str">
        <f t="shared" si="268"/>
        <v>N</v>
      </c>
      <c r="F1412" s="8" t="str">
        <f t="shared" si="269"/>
        <v>N</v>
      </c>
      <c r="G1412" s="8" t="str">
        <f t="shared" si="270"/>
        <v>N</v>
      </c>
      <c r="H1412" s="8" t="str">
        <f t="shared" si="271"/>
        <v>Lower</v>
      </c>
      <c r="I1412" s="8" t="str">
        <f t="shared" si="272"/>
        <v>Outside</v>
      </c>
      <c r="J1412" s="8" t="str">
        <f t="shared" si="273"/>
        <v>Outside</v>
      </c>
      <c r="K1412" s="8" t="str">
        <f t="shared" si="274"/>
        <v>pre-1914</v>
      </c>
      <c r="L1412" s="8">
        <f t="shared" si="275"/>
        <v>1910</v>
      </c>
      <c r="M1412" s="8" t="s">
        <v>179</v>
      </c>
      <c r="N1412" s="10" t="s">
        <v>242</v>
      </c>
      <c r="O1412" s="10" t="s">
        <v>242</v>
      </c>
      <c r="P1412" s="10" t="s">
        <v>241</v>
      </c>
      <c r="Q1412" s="10" t="s">
        <v>242</v>
      </c>
      <c r="R1412" s="10" t="s">
        <v>242</v>
      </c>
      <c r="S1412" s="10" t="s">
        <v>242</v>
      </c>
      <c r="T1412" s="10" t="s">
        <v>242</v>
      </c>
      <c r="U1412" s="10" t="s">
        <v>242</v>
      </c>
      <c r="V1412" s="10" t="s">
        <v>242</v>
      </c>
      <c r="W1412" s="10" t="s">
        <v>242</v>
      </c>
      <c r="X1412" s="15">
        <f>IF(ISERROR(VLOOKUP($A1412,'13. Updated Demand'!A:Z,15,FALSE)),0,VLOOKUP($A1412,'13. Updated Demand'!A:Z,15,FALSE))</f>
        <v>0.2</v>
      </c>
      <c r="Y1412" s="16">
        <f>IF(ISERROR(VLOOKUP($A1412,'13. Updated Demand'!A:Z,16,FALSE)),0,VLOOKUP($A1412,'13. Updated Demand'!A:Z,16,FALSE))</f>
        <v>0.2</v>
      </c>
      <c r="Z1412" s="16">
        <f>IF(ISERROR(VLOOKUP($A1412,'13. Updated Demand'!A:Z,17,FALSE)),0,VLOOKUP($A1412,'13. Updated Demand'!A:Z,17,FALSE))</f>
        <v>0.2</v>
      </c>
      <c r="AA1412" s="16">
        <f>IF(ISERROR(VLOOKUP($A1412,'13. Updated Demand'!A:Z,18,FALSE)),0,VLOOKUP($A1412,'13. Updated Demand'!A:Z,18,FALSE))</f>
        <v>0.2</v>
      </c>
      <c r="AB1412" s="16">
        <f>IF(ISERROR(VLOOKUP($A1412,'13. Updated Demand'!A:Z,19,FALSE)),0,VLOOKUP($A1412,'13. Updated Demand'!A:Z,19,FALSE))</f>
        <v>0.27500000000000002</v>
      </c>
      <c r="AC1412" s="16">
        <f>IF(ISERROR(VLOOKUP($A1412,'13. Updated Demand'!A:Z,20,FALSE)),0,VLOOKUP($A1412,'13. Updated Demand'!A:Z,20,FALSE))</f>
        <v>0.5</v>
      </c>
      <c r="AD1412" s="16">
        <f>IF(ISERROR(VLOOKUP($A1412,'13. Updated Demand'!A:Z,21,FALSE)),0,VLOOKUP($A1412,'13. Updated Demand'!A:Z,21,FALSE))</f>
        <v>0.5</v>
      </c>
      <c r="AE1412" s="16">
        <f>IF(ISERROR(VLOOKUP($A1412,'13. Updated Demand'!A:Z,22,FALSE)),0,VLOOKUP($A1412,'13. Updated Demand'!A:Z,22,FALSE))</f>
        <v>0.5</v>
      </c>
      <c r="AF1412" s="16">
        <f>IF(ISERROR(VLOOKUP($A1412,'13. Updated Demand'!A:Z,23,FALSE)),0,VLOOKUP($A1412,'13. Updated Demand'!A:Z,23,FALSE))</f>
        <v>0.5</v>
      </c>
      <c r="AG1412" s="16">
        <f>IF(ISERROR(VLOOKUP($A1412,'13. Updated Demand'!A:Z,24,FALSE)),0,VLOOKUP($A1412,'13. Updated Demand'!A:Z,24,FALSE))</f>
        <v>0.5</v>
      </c>
      <c r="AH1412" s="16">
        <f>IF(ISERROR(VLOOKUP($A1412,'13. Updated Demand'!A:Z,25,FALSE)),0,VLOOKUP($A1412,'13. Updated Demand'!A:Z,25,FALSE))</f>
        <v>0.5</v>
      </c>
      <c r="AI1412" s="16">
        <f>IF(ISERROR(VLOOKUP($A1412,'13. Updated Demand'!A:Z,26,FALSE)),0,VLOOKUP($A1412,'13. Updated Demand'!A:Z,26,FALSE))</f>
        <v>0.5</v>
      </c>
      <c r="AJ1412" s="16">
        <f t="shared" si="266"/>
        <v>4.5750000000000002</v>
      </c>
      <c r="AK1412" s="19">
        <v>2.2749999999999999</v>
      </c>
      <c r="AL1412" s="16">
        <f t="shared" si="276"/>
        <v>7.5459158531472831E-3</v>
      </c>
      <c r="AM1412" s="26">
        <v>0.45750000000000002</v>
      </c>
      <c r="AN1412" s="19">
        <v>10</v>
      </c>
      <c r="AO1412" s="19" t="s">
        <v>1758</v>
      </c>
      <c r="AP1412" s="19">
        <v>0</v>
      </c>
      <c r="AQ1412" s="19" t="s">
        <v>307</v>
      </c>
      <c r="AR1412" s="9" t="s">
        <v>394</v>
      </c>
      <c r="AS1412" s="12">
        <v>3.4039024194010059E-4</v>
      </c>
      <c r="AT1412" s="19">
        <v>38.585417999999997</v>
      </c>
      <c r="AU1412" s="19">
        <v>-122.94246</v>
      </c>
      <c r="AV1412" s="19" t="s">
        <v>385</v>
      </c>
    </row>
    <row r="1413" spans="1:48" x14ac:dyDescent="0.25">
      <c r="A1413" s="18" t="s">
        <v>1776</v>
      </c>
      <c r="B1413" s="10">
        <v>19100101</v>
      </c>
      <c r="C1413" s="9">
        <v>16</v>
      </c>
      <c r="D1413" s="8" t="str">
        <f t="shared" si="267"/>
        <v>N</v>
      </c>
      <c r="E1413" s="8" t="str">
        <f t="shared" si="268"/>
        <v>N</v>
      </c>
      <c r="F1413" s="8" t="str">
        <f t="shared" si="269"/>
        <v>N</v>
      </c>
      <c r="G1413" s="8" t="str">
        <f t="shared" si="270"/>
        <v>N</v>
      </c>
      <c r="H1413" s="8" t="str">
        <f t="shared" si="271"/>
        <v>Lower</v>
      </c>
      <c r="I1413" s="8" t="str">
        <f t="shared" si="272"/>
        <v>Outside</v>
      </c>
      <c r="J1413" s="8" t="str">
        <f t="shared" si="273"/>
        <v>Outside</v>
      </c>
      <c r="K1413" s="8" t="str">
        <f t="shared" si="274"/>
        <v>pre-1914</v>
      </c>
      <c r="L1413" s="8">
        <f t="shared" si="275"/>
        <v>1910</v>
      </c>
      <c r="M1413" s="8" t="s">
        <v>179</v>
      </c>
      <c r="N1413" s="10" t="s">
        <v>242</v>
      </c>
      <c r="O1413" s="10" t="s">
        <v>242</v>
      </c>
      <c r="P1413" s="10" t="s">
        <v>241</v>
      </c>
      <c r="Q1413" s="10" t="s">
        <v>242</v>
      </c>
      <c r="R1413" s="10" t="s">
        <v>242</v>
      </c>
      <c r="S1413" s="10" t="s">
        <v>242</v>
      </c>
      <c r="T1413" s="10" t="s">
        <v>242</v>
      </c>
      <c r="U1413" s="10" t="s">
        <v>242</v>
      </c>
      <c r="V1413" s="10" t="s">
        <v>242</v>
      </c>
      <c r="W1413" s="10" t="s">
        <v>242</v>
      </c>
      <c r="X1413" s="15">
        <f>IF(ISERROR(VLOOKUP($A1413,'13. Updated Demand'!A:Z,15,FALSE)),0,VLOOKUP($A1413,'13. Updated Demand'!A:Z,15,FALSE))</f>
        <v>0.133333333</v>
      </c>
      <c r="Y1413" s="16">
        <f>IF(ISERROR(VLOOKUP($A1413,'13. Updated Demand'!A:Z,16,FALSE)),0,VLOOKUP($A1413,'13. Updated Demand'!A:Z,16,FALSE))</f>
        <v>0.133333333</v>
      </c>
      <c r="Z1413" s="16">
        <f>IF(ISERROR(VLOOKUP($A1413,'13. Updated Demand'!A:Z,17,FALSE)),0,VLOOKUP($A1413,'13. Updated Demand'!A:Z,17,FALSE))</f>
        <v>0.133333333</v>
      </c>
      <c r="AA1413" s="16">
        <f>IF(ISERROR(VLOOKUP($A1413,'13. Updated Demand'!A:Z,18,FALSE)),0,VLOOKUP($A1413,'13. Updated Demand'!A:Z,18,FALSE))</f>
        <v>0.133333333</v>
      </c>
      <c r="AB1413" s="16">
        <f>IF(ISERROR(VLOOKUP($A1413,'13. Updated Demand'!A:Z,19,FALSE)),0,VLOOKUP($A1413,'13. Updated Demand'!A:Z,19,FALSE))</f>
        <v>0.133333333</v>
      </c>
      <c r="AC1413" s="16">
        <f>IF(ISERROR(VLOOKUP($A1413,'13. Updated Demand'!A:Z,20,FALSE)),0,VLOOKUP($A1413,'13. Updated Demand'!A:Z,20,FALSE))</f>
        <v>0.16666666699999999</v>
      </c>
      <c r="AD1413" s="16">
        <f>IF(ISERROR(VLOOKUP($A1413,'13. Updated Demand'!A:Z,21,FALSE)),0,VLOOKUP($A1413,'13. Updated Demand'!A:Z,21,FALSE))</f>
        <v>0.16666666699999999</v>
      </c>
      <c r="AE1413" s="16">
        <f>IF(ISERROR(VLOOKUP($A1413,'13. Updated Demand'!A:Z,22,FALSE)),0,VLOOKUP($A1413,'13. Updated Demand'!A:Z,22,FALSE))</f>
        <v>0.16666666699999999</v>
      </c>
      <c r="AF1413" s="16">
        <f>IF(ISERROR(VLOOKUP($A1413,'13. Updated Demand'!A:Z,23,FALSE)),0,VLOOKUP($A1413,'13. Updated Demand'!A:Z,23,FALSE))</f>
        <v>0.16666666699999999</v>
      </c>
      <c r="AG1413" s="16">
        <f>IF(ISERROR(VLOOKUP($A1413,'13. Updated Demand'!A:Z,24,FALSE)),0,VLOOKUP($A1413,'13. Updated Demand'!A:Z,24,FALSE))</f>
        <v>0.16666666699999999</v>
      </c>
      <c r="AH1413" s="16">
        <f>IF(ISERROR(VLOOKUP($A1413,'13. Updated Demand'!A:Z,25,FALSE)),0,VLOOKUP($A1413,'13. Updated Demand'!A:Z,25,FALSE))</f>
        <v>0.133333333</v>
      </c>
      <c r="AI1413" s="16">
        <f>IF(ISERROR(VLOOKUP($A1413,'13. Updated Demand'!A:Z,26,FALSE)),0,VLOOKUP($A1413,'13. Updated Demand'!A:Z,26,FALSE))</f>
        <v>0.133333333</v>
      </c>
      <c r="AJ1413" s="16">
        <f t="shared" si="266"/>
        <v>1.7666666659999994</v>
      </c>
      <c r="AK1413" s="19">
        <v>0.80000000100000002</v>
      </c>
      <c r="AL1413" s="16">
        <f t="shared" si="276"/>
        <v>2.6535088747532934E-3</v>
      </c>
      <c r="AM1413" s="26">
        <v>12.251502538141466</v>
      </c>
      <c r="AN1413" s="19">
        <v>0.14419999999999999</v>
      </c>
      <c r="AO1413" s="19" t="s">
        <v>1758</v>
      </c>
      <c r="AP1413" s="19">
        <v>0</v>
      </c>
      <c r="AQ1413" s="19" t="s">
        <v>307</v>
      </c>
      <c r="AR1413" s="9" t="s">
        <v>394</v>
      </c>
      <c r="AS1413" s="12">
        <v>3.4039024194010059E-4</v>
      </c>
      <c r="AT1413" s="19">
        <v>38.595529519999999</v>
      </c>
      <c r="AU1413" s="19">
        <v>-122.90696635</v>
      </c>
      <c r="AV1413" s="19" t="s">
        <v>406</v>
      </c>
    </row>
    <row r="1414" spans="1:48" x14ac:dyDescent="0.25">
      <c r="A1414" s="18" t="s">
        <v>1777</v>
      </c>
      <c r="B1414" s="10">
        <v>19100101</v>
      </c>
      <c r="C1414" s="9">
        <v>5</v>
      </c>
      <c r="D1414" s="8" t="str">
        <f t="shared" si="267"/>
        <v>Y</v>
      </c>
      <c r="E1414" s="8" t="str">
        <f t="shared" si="268"/>
        <v>N</v>
      </c>
      <c r="F1414" s="8" t="str">
        <f t="shared" si="269"/>
        <v>Y</v>
      </c>
      <c r="G1414" s="8" t="str">
        <f t="shared" si="270"/>
        <v>Y</v>
      </c>
      <c r="H1414" s="8" t="str">
        <f t="shared" si="271"/>
        <v>Upper</v>
      </c>
      <c r="I1414" s="8" t="str">
        <f t="shared" si="272"/>
        <v>West Fork and Below Lake</v>
      </c>
      <c r="J1414" s="8" t="str">
        <f t="shared" si="273"/>
        <v>Mendocino (d/s of lake)</v>
      </c>
      <c r="K1414" s="8" t="str">
        <f t="shared" si="274"/>
        <v>pre-1914</v>
      </c>
      <c r="L1414" s="8">
        <f t="shared" si="275"/>
        <v>1910</v>
      </c>
      <c r="M1414" s="8" t="s">
        <v>179</v>
      </c>
      <c r="N1414" s="10" t="s">
        <v>242</v>
      </c>
      <c r="O1414" s="10" t="s">
        <v>241</v>
      </c>
      <c r="P1414" s="10" t="s">
        <v>241</v>
      </c>
      <c r="Q1414" s="10" t="s">
        <v>242</v>
      </c>
      <c r="R1414" s="10" t="s">
        <v>242</v>
      </c>
      <c r="S1414" s="10" t="s">
        <v>242</v>
      </c>
      <c r="T1414" s="10" t="s">
        <v>242</v>
      </c>
      <c r="U1414" s="10" t="s">
        <v>242</v>
      </c>
      <c r="V1414" s="10" t="s">
        <v>242</v>
      </c>
      <c r="W1414" s="10" t="s">
        <v>242</v>
      </c>
      <c r="X1414" s="15">
        <f>IF(ISERROR(VLOOKUP($A1414,'13. Updated Demand'!A:Z,15,FALSE)),0,VLOOKUP($A1414,'13. Updated Demand'!A:Z,15,FALSE))</f>
        <v>0</v>
      </c>
      <c r="Y1414" s="16">
        <f>IF(ISERROR(VLOOKUP($A1414,'13. Updated Demand'!A:Z,16,FALSE)),0,VLOOKUP($A1414,'13. Updated Demand'!A:Z,16,FALSE))</f>
        <v>0</v>
      </c>
      <c r="Z1414" s="16">
        <f>IF(ISERROR(VLOOKUP($A1414,'13. Updated Demand'!A:Z,17,FALSE)),0,VLOOKUP($A1414,'13. Updated Demand'!A:Z,17,FALSE))</f>
        <v>0</v>
      </c>
      <c r="AA1414" s="16">
        <f>IF(ISERROR(VLOOKUP($A1414,'13. Updated Demand'!A:Z,18,FALSE)),0,VLOOKUP($A1414,'13. Updated Demand'!A:Z,18,FALSE))</f>
        <v>0</v>
      </c>
      <c r="AB1414" s="16">
        <f>IF(ISERROR(VLOOKUP($A1414,'13. Updated Demand'!A:Z,19,FALSE)),0,VLOOKUP($A1414,'13. Updated Demand'!A:Z,19,FALSE))</f>
        <v>0.4</v>
      </c>
      <c r="AC1414" s="16">
        <f>IF(ISERROR(VLOOKUP($A1414,'13. Updated Demand'!A:Z,20,FALSE)),0,VLOOKUP($A1414,'13. Updated Demand'!A:Z,20,FALSE))</f>
        <v>0.48</v>
      </c>
      <c r="AD1414" s="16">
        <f>IF(ISERROR(VLOOKUP($A1414,'13. Updated Demand'!A:Z,21,FALSE)),0,VLOOKUP($A1414,'13. Updated Demand'!A:Z,21,FALSE))</f>
        <v>0.47</v>
      </c>
      <c r="AE1414" s="16">
        <f>IF(ISERROR(VLOOKUP($A1414,'13. Updated Demand'!A:Z,22,FALSE)),0,VLOOKUP($A1414,'13. Updated Demand'!A:Z,22,FALSE))</f>
        <v>0.49</v>
      </c>
      <c r="AF1414" s="16">
        <f>IF(ISERROR(VLOOKUP($A1414,'13. Updated Demand'!A:Z,23,FALSE)),0,VLOOKUP($A1414,'13. Updated Demand'!A:Z,23,FALSE))</f>
        <v>0.48</v>
      </c>
      <c r="AG1414" s="16">
        <f>IF(ISERROR(VLOOKUP($A1414,'13. Updated Demand'!A:Z,24,FALSE)),0,VLOOKUP($A1414,'13. Updated Demand'!A:Z,24,FALSE))</f>
        <v>0.38</v>
      </c>
      <c r="AH1414" s="16">
        <f>IF(ISERROR(VLOOKUP($A1414,'13. Updated Demand'!A:Z,25,FALSE)),0,VLOOKUP($A1414,'13. Updated Demand'!A:Z,25,FALSE))</f>
        <v>0</v>
      </c>
      <c r="AI1414" s="16">
        <f>IF(ISERROR(VLOOKUP($A1414,'13. Updated Demand'!A:Z,26,FALSE)),0,VLOOKUP($A1414,'13. Updated Demand'!A:Z,26,FALSE))</f>
        <v>0</v>
      </c>
      <c r="AJ1414" s="16">
        <f t="shared" si="266"/>
        <v>2.7</v>
      </c>
      <c r="AK1414" s="19">
        <v>2.346666666</v>
      </c>
      <c r="AL1414" s="16">
        <f t="shared" si="276"/>
        <v>7.7836260206688703E-3</v>
      </c>
      <c r="AM1414" s="26">
        <v>0.67338242875791232</v>
      </c>
      <c r="AN1414" s="19">
        <v>4.0601000000000003</v>
      </c>
      <c r="AO1414" s="19" t="s">
        <v>1758</v>
      </c>
      <c r="AP1414" s="19">
        <v>0</v>
      </c>
      <c r="AQ1414" s="19" t="s">
        <v>307</v>
      </c>
      <c r="AR1414" s="9" t="s">
        <v>333</v>
      </c>
      <c r="AS1414" s="12">
        <v>0</v>
      </c>
      <c r="AT1414" s="19">
        <v>39.092079099999999</v>
      </c>
      <c r="AU1414" s="19">
        <v>-123.21512348</v>
      </c>
      <c r="AV1414" s="19" t="s">
        <v>1438</v>
      </c>
    </row>
    <row r="1415" spans="1:48" x14ac:dyDescent="0.25">
      <c r="A1415" s="18" t="s">
        <v>1778</v>
      </c>
      <c r="B1415" s="10">
        <v>19100101</v>
      </c>
      <c r="C1415" s="9">
        <v>6</v>
      </c>
      <c r="D1415" s="8" t="str">
        <f t="shared" si="267"/>
        <v>Y</v>
      </c>
      <c r="E1415" s="8" t="str">
        <f t="shared" si="268"/>
        <v>N</v>
      </c>
      <c r="F1415" s="8" t="str">
        <f t="shared" si="269"/>
        <v>Y</v>
      </c>
      <c r="G1415" s="8" t="str">
        <f t="shared" si="270"/>
        <v>Y</v>
      </c>
      <c r="H1415" s="8" t="str">
        <f t="shared" si="271"/>
        <v>Upper</v>
      </c>
      <c r="I1415" s="8" t="str">
        <f t="shared" si="272"/>
        <v>West Fork and Below Lake</v>
      </c>
      <c r="J1415" s="8" t="str">
        <f t="shared" si="273"/>
        <v>Mendocino (d/s of lake)</v>
      </c>
      <c r="K1415" s="8" t="str">
        <f t="shared" si="274"/>
        <v>pre-1914</v>
      </c>
      <c r="L1415" s="8">
        <f t="shared" si="275"/>
        <v>1910</v>
      </c>
      <c r="M1415" s="8" t="s">
        <v>179</v>
      </c>
      <c r="N1415" s="10" t="s">
        <v>242</v>
      </c>
      <c r="O1415" s="10" t="s">
        <v>241</v>
      </c>
      <c r="P1415" s="10" t="s">
        <v>241</v>
      </c>
      <c r="Q1415" s="10" t="s">
        <v>242</v>
      </c>
      <c r="R1415" s="10" t="s">
        <v>242</v>
      </c>
      <c r="S1415" s="10" t="s">
        <v>242</v>
      </c>
      <c r="T1415" s="10" t="s">
        <v>242</v>
      </c>
      <c r="U1415" s="10" t="s">
        <v>241</v>
      </c>
      <c r="V1415" s="10" t="s">
        <v>241</v>
      </c>
      <c r="W1415" s="10" t="s">
        <v>242</v>
      </c>
      <c r="X1415" s="15">
        <f>IF(ISERROR(VLOOKUP($A1415,'13. Updated Demand'!A:Z,15,FALSE)),0,VLOOKUP($A1415,'13. Updated Demand'!A:Z,15,FALSE))</f>
        <v>0</v>
      </c>
      <c r="Y1415" s="16">
        <f>IF(ISERROR(VLOOKUP($A1415,'13. Updated Demand'!A:Z,16,FALSE)),0,VLOOKUP($A1415,'13. Updated Demand'!A:Z,16,FALSE))</f>
        <v>0</v>
      </c>
      <c r="Z1415" s="16">
        <f>IF(ISERROR(VLOOKUP($A1415,'13. Updated Demand'!A:Z,17,FALSE)),0,VLOOKUP($A1415,'13. Updated Demand'!A:Z,17,FALSE))</f>
        <v>0</v>
      </c>
      <c r="AA1415" s="16">
        <f>IF(ISERROR(VLOOKUP($A1415,'13. Updated Demand'!A:Z,18,FALSE)),0,VLOOKUP($A1415,'13. Updated Demand'!A:Z,18,FALSE))</f>
        <v>0</v>
      </c>
      <c r="AB1415" s="16">
        <f>IF(ISERROR(VLOOKUP($A1415,'13. Updated Demand'!A:Z,19,FALSE)),0,VLOOKUP($A1415,'13. Updated Demand'!A:Z,19,FALSE))</f>
        <v>0</v>
      </c>
      <c r="AC1415" s="16">
        <f>IF(ISERROR(VLOOKUP($A1415,'13. Updated Demand'!A:Z,20,FALSE)),0,VLOOKUP($A1415,'13. Updated Demand'!A:Z,20,FALSE))</f>
        <v>0</v>
      </c>
      <c r="AD1415" s="16">
        <f>IF(ISERROR(VLOOKUP($A1415,'13. Updated Demand'!A:Z,21,FALSE)),0,VLOOKUP($A1415,'13. Updated Demand'!A:Z,21,FALSE))</f>
        <v>0</v>
      </c>
      <c r="AE1415" s="16">
        <f>IF(ISERROR(VLOOKUP($A1415,'13. Updated Demand'!A:Z,22,FALSE)),0,VLOOKUP($A1415,'13. Updated Demand'!A:Z,22,FALSE))</f>
        <v>0</v>
      </c>
      <c r="AF1415" s="16">
        <f>IF(ISERROR(VLOOKUP($A1415,'13. Updated Demand'!A:Z,23,FALSE)),0,VLOOKUP($A1415,'13. Updated Demand'!A:Z,23,FALSE))</f>
        <v>0</v>
      </c>
      <c r="AG1415" s="16">
        <f>IF(ISERROR(VLOOKUP($A1415,'13. Updated Demand'!A:Z,24,FALSE)),0,VLOOKUP($A1415,'13. Updated Demand'!A:Z,24,FALSE))</f>
        <v>0</v>
      </c>
      <c r="AH1415" s="16">
        <f>IF(ISERROR(VLOOKUP($A1415,'13. Updated Demand'!A:Z,25,FALSE)),0,VLOOKUP($A1415,'13. Updated Demand'!A:Z,25,FALSE))</f>
        <v>0</v>
      </c>
      <c r="AI1415" s="16">
        <f>IF(ISERROR(VLOOKUP($A1415,'13. Updated Demand'!A:Z,26,FALSE)),0,VLOOKUP($A1415,'13. Updated Demand'!A:Z,26,FALSE))</f>
        <v>0</v>
      </c>
      <c r="AJ1415" s="16">
        <f t="shared" si="266"/>
        <v>0</v>
      </c>
      <c r="AK1415" s="19">
        <v>0</v>
      </c>
      <c r="AL1415" s="16">
        <f t="shared" si="276"/>
        <v>0</v>
      </c>
      <c r="AM1415" s="26">
        <v>0</v>
      </c>
      <c r="AN1415" s="19">
        <v>0</v>
      </c>
      <c r="AO1415" s="19" t="s">
        <v>1758</v>
      </c>
      <c r="AP1415" s="19">
        <v>0</v>
      </c>
      <c r="AQ1415" s="19" t="s">
        <v>307</v>
      </c>
      <c r="AR1415" s="9" t="s">
        <v>319</v>
      </c>
      <c r="AS1415" s="12">
        <v>0</v>
      </c>
      <c r="AT1415" s="19">
        <v>38.974231420000002</v>
      </c>
      <c r="AU1415" s="19">
        <v>-123.09490572999999</v>
      </c>
      <c r="AV1415" s="19" t="s">
        <v>476</v>
      </c>
    </row>
    <row r="1416" spans="1:48" x14ac:dyDescent="0.25">
      <c r="A1416" s="18" t="s">
        <v>1779</v>
      </c>
      <c r="B1416" s="10">
        <v>19090101</v>
      </c>
      <c r="C1416" s="9">
        <v>1</v>
      </c>
      <c r="D1416" s="8" t="str">
        <f t="shared" si="267"/>
        <v>N</v>
      </c>
      <c r="E1416" s="8" t="str">
        <f t="shared" si="268"/>
        <v>N</v>
      </c>
      <c r="F1416" s="8" t="str">
        <f t="shared" si="269"/>
        <v>Y</v>
      </c>
      <c r="G1416" s="8" t="str">
        <f t="shared" si="270"/>
        <v>Y</v>
      </c>
      <c r="H1416" s="8" t="str">
        <f t="shared" si="271"/>
        <v>Upper</v>
      </c>
      <c r="I1416" s="8" t="str">
        <f t="shared" si="272"/>
        <v>West Fork and Below Lake</v>
      </c>
      <c r="J1416" s="8" t="str">
        <f t="shared" si="273"/>
        <v>Outside</v>
      </c>
      <c r="K1416" s="8" t="str">
        <f t="shared" si="274"/>
        <v>pre-1914</v>
      </c>
      <c r="L1416" s="8">
        <f t="shared" si="275"/>
        <v>1909</v>
      </c>
      <c r="M1416" s="8" t="s">
        <v>179</v>
      </c>
      <c r="N1416" s="10" t="s">
        <v>242</v>
      </c>
      <c r="O1416" s="10" t="s">
        <v>241</v>
      </c>
      <c r="P1416" s="10" t="s">
        <v>241</v>
      </c>
      <c r="Q1416" s="10" t="s">
        <v>242</v>
      </c>
      <c r="R1416" s="10" t="s">
        <v>242</v>
      </c>
      <c r="S1416" s="10" t="s">
        <v>242</v>
      </c>
      <c r="T1416" s="10" t="s">
        <v>242</v>
      </c>
      <c r="U1416" s="10" t="s">
        <v>241</v>
      </c>
      <c r="V1416" s="10" t="s">
        <v>241</v>
      </c>
      <c r="W1416" s="10" t="s">
        <v>242</v>
      </c>
      <c r="X1416" s="15">
        <f>IF(ISERROR(VLOOKUP($A1416,'13. Updated Demand'!A:Z,15,FALSE)),0,VLOOKUP($A1416,'13. Updated Demand'!A:Z,15,FALSE))</f>
        <v>0</v>
      </c>
      <c r="Y1416" s="16">
        <f>IF(ISERROR(VLOOKUP($A1416,'13. Updated Demand'!A:Z,16,FALSE)),0,VLOOKUP($A1416,'13. Updated Demand'!A:Z,16,FALSE))</f>
        <v>0</v>
      </c>
      <c r="Z1416" s="16">
        <f>IF(ISERROR(VLOOKUP($A1416,'13. Updated Demand'!A:Z,17,FALSE)),0,VLOOKUP($A1416,'13. Updated Demand'!A:Z,17,FALSE))</f>
        <v>0</v>
      </c>
      <c r="AA1416" s="16">
        <f>IF(ISERROR(VLOOKUP($A1416,'13. Updated Demand'!A:Z,18,FALSE)),0,VLOOKUP($A1416,'13. Updated Demand'!A:Z,18,FALSE))</f>
        <v>0</v>
      </c>
      <c r="AB1416" s="16">
        <f>IF(ISERROR(VLOOKUP($A1416,'13. Updated Demand'!A:Z,19,FALSE)),0,VLOOKUP($A1416,'13. Updated Demand'!A:Z,19,FALSE))</f>
        <v>0</v>
      </c>
      <c r="AC1416" s="16">
        <f>IF(ISERROR(VLOOKUP($A1416,'13. Updated Demand'!A:Z,20,FALSE)),0,VLOOKUP($A1416,'13. Updated Demand'!A:Z,20,FALSE))</f>
        <v>0</v>
      </c>
      <c r="AD1416" s="16">
        <f>IF(ISERROR(VLOOKUP($A1416,'13. Updated Demand'!A:Z,21,FALSE)),0,VLOOKUP($A1416,'13. Updated Demand'!A:Z,21,FALSE))</f>
        <v>0</v>
      </c>
      <c r="AE1416" s="16">
        <f>IF(ISERROR(VLOOKUP($A1416,'13. Updated Demand'!A:Z,22,FALSE)),0,VLOOKUP($A1416,'13. Updated Demand'!A:Z,22,FALSE))</f>
        <v>0</v>
      </c>
      <c r="AF1416" s="16">
        <f>IF(ISERROR(VLOOKUP($A1416,'13. Updated Demand'!A:Z,23,FALSE)),0,VLOOKUP($A1416,'13. Updated Demand'!A:Z,23,FALSE))</f>
        <v>0</v>
      </c>
      <c r="AG1416" s="16">
        <f>IF(ISERROR(VLOOKUP($A1416,'13. Updated Demand'!A:Z,24,FALSE)),0,VLOOKUP($A1416,'13. Updated Demand'!A:Z,24,FALSE))</f>
        <v>0</v>
      </c>
      <c r="AH1416" s="16">
        <f>IF(ISERROR(VLOOKUP($A1416,'13. Updated Demand'!A:Z,25,FALSE)),0,VLOOKUP($A1416,'13. Updated Demand'!A:Z,25,FALSE))</f>
        <v>0</v>
      </c>
      <c r="AI1416" s="16">
        <f>IF(ISERROR(VLOOKUP($A1416,'13. Updated Demand'!A:Z,26,FALSE)),0,VLOOKUP($A1416,'13. Updated Demand'!A:Z,26,FALSE))</f>
        <v>0</v>
      </c>
      <c r="AJ1416" s="16">
        <f t="shared" si="266"/>
        <v>0</v>
      </c>
      <c r="AK1416" s="19">
        <v>0</v>
      </c>
      <c r="AL1416" s="16">
        <f t="shared" si="276"/>
        <v>0</v>
      </c>
      <c r="AM1416" s="26">
        <v>0</v>
      </c>
      <c r="AN1416" s="19">
        <v>726.21100000000001</v>
      </c>
      <c r="AO1416" s="19" t="s">
        <v>1758</v>
      </c>
      <c r="AP1416" s="19">
        <v>0</v>
      </c>
      <c r="AQ1416" s="19" t="s">
        <v>307</v>
      </c>
      <c r="AR1416" s="9" t="s">
        <v>317</v>
      </c>
      <c r="AS1416" s="12">
        <v>0</v>
      </c>
      <c r="AT1416" s="19">
        <v>39.280500000000004</v>
      </c>
      <c r="AU1416" s="19">
        <v>-123.2093</v>
      </c>
      <c r="AV1416" s="19" t="s">
        <v>1780</v>
      </c>
    </row>
    <row r="1417" spans="1:48" x14ac:dyDescent="0.25">
      <c r="A1417" s="18" t="s">
        <v>1781</v>
      </c>
      <c r="B1417" s="10">
        <v>19080101</v>
      </c>
      <c r="C1417" s="9">
        <v>16</v>
      </c>
      <c r="D1417" s="8" t="str">
        <f t="shared" si="267"/>
        <v>N</v>
      </c>
      <c r="E1417" s="8" t="str">
        <f t="shared" si="268"/>
        <v>N</v>
      </c>
      <c r="F1417" s="8" t="str">
        <f t="shared" si="269"/>
        <v>N</v>
      </c>
      <c r="G1417" s="8" t="str">
        <f t="shared" si="270"/>
        <v>N</v>
      </c>
      <c r="H1417" s="8" t="str">
        <f t="shared" si="271"/>
        <v>Lower</v>
      </c>
      <c r="I1417" s="8" t="str">
        <f t="shared" si="272"/>
        <v>Outside</v>
      </c>
      <c r="J1417" s="8" t="str">
        <f t="shared" si="273"/>
        <v>Outside</v>
      </c>
      <c r="K1417" s="8" t="str">
        <f t="shared" si="274"/>
        <v>pre-1914</v>
      </c>
      <c r="L1417" s="8">
        <f t="shared" si="275"/>
        <v>1908</v>
      </c>
      <c r="M1417" s="8" t="s">
        <v>179</v>
      </c>
      <c r="N1417" s="10" t="s">
        <v>242</v>
      </c>
      <c r="O1417" s="10" t="s">
        <v>242</v>
      </c>
      <c r="P1417" s="10" t="s">
        <v>241</v>
      </c>
      <c r="Q1417" s="10" t="s">
        <v>242</v>
      </c>
      <c r="R1417" s="10" t="s">
        <v>242</v>
      </c>
      <c r="S1417" s="10" t="s">
        <v>242</v>
      </c>
      <c r="T1417" s="10" t="s">
        <v>242</v>
      </c>
      <c r="U1417" s="10" t="s">
        <v>242</v>
      </c>
      <c r="V1417" s="10" t="s">
        <v>242</v>
      </c>
      <c r="W1417" s="10" t="s">
        <v>242</v>
      </c>
      <c r="X1417" s="15">
        <f>IF(ISERROR(VLOOKUP($A1417,'13. Updated Demand'!A:Z,15,FALSE)),0,VLOOKUP($A1417,'13. Updated Demand'!A:Z,15,FALSE))</f>
        <v>0.06</v>
      </c>
      <c r="Y1417" s="16">
        <f>IF(ISERROR(VLOOKUP($A1417,'13. Updated Demand'!A:Z,16,FALSE)),0,VLOOKUP($A1417,'13. Updated Demand'!A:Z,16,FALSE))</f>
        <v>0.06</v>
      </c>
      <c r="Z1417" s="16">
        <f>IF(ISERROR(VLOOKUP($A1417,'13. Updated Demand'!A:Z,17,FALSE)),0,VLOOKUP($A1417,'13. Updated Demand'!A:Z,17,FALSE))</f>
        <v>0.06</v>
      </c>
      <c r="AA1417" s="16">
        <f>IF(ISERROR(VLOOKUP($A1417,'13. Updated Demand'!A:Z,18,FALSE)),0,VLOOKUP($A1417,'13. Updated Demand'!A:Z,18,FALSE))</f>
        <v>0.06</v>
      </c>
      <c r="AB1417" s="16">
        <f>IF(ISERROR(VLOOKUP($A1417,'13. Updated Demand'!A:Z,19,FALSE)),0,VLOOKUP($A1417,'13. Updated Demand'!A:Z,19,FALSE))</f>
        <v>0.06</v>
      </c>
      <c r="AC1417" s="16">
        <f>IF(ISERROR(VLOOKUP($A1417,'13. Updated Demand'!A:Z,20,FALSE)),0,VLOOKUP($A1417,'13. Updated Demand'!A:Z,20,FALSE))</f>
        <v>0.06</v>
      </c>
      <c r="AD1417" s="16">
        <f>IF(ISERROR(VLOOKUP($A1417,'13. Updated Demand'!A:Z,21,FALSE)),0,VLOOKUP($A1417,'13. Updated Demand'!A:Z,21,FALSE))</f>
        <v>0.06</v>
      </c>
      <c r="AE1417" s="16">
        <f>IF(ISERROR(VLOOKUP($A1417,'13. Updated Demand'!A:Z,22,FALSE)),0,VLOOKUP($A1417,'13. Updated Demand'!A:Z,22,FALSE))</f>
        <v>0.06</v>
      </c>
      <c r="AF1417" s="16">
        <f>IF(ISERROR(VLOOKUP($A1417,'13. Updated Demand'!A:Z,23,FALSE)),0,VLOOKUP($A1417,'13. Updated Demand'!A:Z,23,FALSE))</f>
        <v>0.06</v>
      </c>
      <c r="AG1417" s="16">
        <f>IF(ISERROR(VLOOKUP($A1417,'13. Updated Demand'!A:Z,24,FALSE)),0,VLOOKUP($A1417,'13. Updated Demand'!A:Z,24,FALSE))</f>
        <v>0.06</v>
      </c>
      <c r="AH1417" s="16">
        <f>IF(ISERROR(VLOOKUP($A1417,'13. Updated Demand'!A:Z,25,FALSE)),0,VLOOKUP($A1417,'13. Updated Demand'!A:Z,25,FALSE))</f>
        <v>0.06</v>
      </c>
      <c r="AI1417" s="16">
        <f>IF(ISERROR(VLOOKUP($A1417,'13. Updated Demand'!A:Z,26,FALSE)),0,VLOOKUP($A1417,'13. Updated Demand'!A:Z,26,FALSE))</f>
        <v>0.06</v>
      </c>
      <c r="AJ1417" s="16">
        <f t="shared" si="266"/>
        <v>0.7200000000000002</v>
      </c>
      <c r="AK1417" s="19">
        <v>0.3</v>
      </c>
      <c r="AL1417" s="16">
        <f t="shared" si="276"/>
        <v>9.9506582678865279E-4</v>
      </c>
      <c r="AM1417" s="26">
        <v>0.97759674134419572</v>
      </c>
      <c r="AN1417" s="19">
        <v>0.73650000000000004</v>
      </c>
      <c r="AO1417" s="19" t="s">
        <v>1758</v>
      </c>
      <c r="AP1417" s="19">
        <v>0</v>
      </c>
      <c r="AQ1417" s="19" t="s">
        <v>307</v>
      </c>
      <c r="AR1417" s="9" t="s">
        <v>394</v>
      </c>
      <c r="AS1417" s="12">
        <v>3.4039024194010059E-4</v>
      </c>
      <c r="AT1417" s="19">
        <v>38.586902000000002</v>
      </c>
      <c r="AU1417" s="19">
        <v>-122.943189</v>
      </c>
      <c r="AV1417" s="19" t="s">
        <v>315</v>
      </c>
    </row>
    <row r="1418" spans="1:48" x14ac:dyDescent="0.25">
      <c r="A1418" s="18" t="s">
        <v>1782</v>
      </c>
      <c r="B1418" s="10">
        <v>19080101</v>
      </c>
      <c r="C1418" s="9">
        <v>4</v>
      </c>
      <c r="D1418" s="8" t="str">
        <f t="shared" si="267"/>
        <v>Y</v>
      </c>
      <c r="E1418" s="8" t="str">
        <f t="shared" si="268"/>
        <v>N</v>
      </c>
      <c r="F1418" s="8" t="str">
        <f t="shared" si="269"/>
        <v>Y</v>
      </c>
      <c r="G1418" s="8" t="str">
        <f t="shared" si="270"/>
        <v>Y</v>
      </c>
      <c r="H1418" s="8" t="str">
        <f t="shared" si="271"/>
        <v>Upper</v>
      </c>
      <c r="I1418" s="8" t="str">
        <f t="shared" si="272"/>
        <v>West Fork and Below Lake</v>
      </c>
      <c r="J1418" s="8" t="str">
        <f t="shared" si="273"/>
        <v>Mendocino (d/s of lake)</v>
      </c>
      <c r="K1418" s="8" t="str">
        <f t="shared" si="274"/>
        <v>pre-1914</v>
      </c>
      <c r="L1418" s="8">
        <f t="shared" si="275"/>
        <v>1908</v>
      </c>
      <c r="M1418" s="8" t="s">
        <v>179</v>
      </c>
      <c r="N1418" s="10" t="s">
        <v>242</v>
      </c>
      <c r="O1418" s="10" t="s">
        <v>241</v>
      </c>
      <c r="P1418" s="10" t="s">
        <v>241</v>
      </c>
      <c r="Q1418" s="10" t="s">
        <v>242</v>
      </c>
      <c r="R1418" s="10" t="s">
        <v>242</v>
      </c>
      <c r="S1418" s="10" t="s">
        <v>242</v>
      </c>
      <c r="T1418" s="10" t="s">
        <v>242</v>
      </c>
      <c r="U1418" s="10" t="s">
        <v>242</v>
      </c>
      <c r="V1418" s="10" t="s">
        <v>241</v>
      </c>
      <c r="W1418" s="10" t="s">
        <v>242</v>
      </c>
      <c r="X1418" s="15">
        <f>IF(ISERROR(VLOOKUP($A1418,'13. Updated Demand'!A:Z,15,FALSE)),0,VLOOKUP($A1418,'13. Updated Demand'!A:Z,15,FALSE))</f>
        <v>0</v>
      </c>
      <c r="Y1418" s="16">
        <f>IF(ISERROR(VLOOKUP($A1418,'13. Updated Demand'!A:Z,16,FALSE)),0,VLOOKUP($A1418,'13. Updated Demand'!A:Z,16,FALSE))</f>
        <v>0</v>
      </c>
      <c r="Z1418" s="16">
        <f>IF(ISERROR(VLOOKUP($A1418,'13. Updated Demand'!A:Z,17,FALSE)),0,VLOOKUP($A1418,'13. Updated Demand'!A:Z,17,FALSE))</f>
        <v>0</v>
      </c>
      <c r="AA1418" s="16">
        <f>IF(ISERROR(VLOOKUP($A1418,'13. Updated Demand'!A:Z,18,FALSE)),0,VLOOKUP($A1418,'13. Updated Demand'!A:Z,18,FALSE))</f>
        <v>0</v>
      </c>
      <c r="AB1418" s="16">
        <f>IF(ISERROR(VLOOKUP($A1418,'13. Updated Demand'!A:Z,19,FALSE)),0,VLOOKUP($A1418,'13. Updated Demand'!A:Z,19,FALSE))</f>
        <v>0</v>
      </c>
      <c r="AC1418" s="16">
        <f>IF(ISERROR(VLOOKUP($A1418,'13. Updated Demand'!A:Z,20,FALSE)),0,VLOOKUP($A1418,'13. Updated Demand'!A:Z,20,FALSE))</f>
        <v>0</v>
      </c>
      <c r="AD1418" s="16">
        <f>IF(ISERROR(VLOOKUP($A1418,'13. Updated Demand'!A:Z,21,FALSE)),0,VLOOKUP($A1418,'13. Updated Demand'!A:Z,21,FALSE))</f>
        <v>0</v>
      </c>
      <c r="AE1418" s="16">
        <f>IF(ISERROR(VLOOKUP($A1418,'13. Updated Demand'!A:Z,22,FALSE)),0,VLOOKUP($A1418,'13. Updated Demand'!A:Z,22,FALSE))</f>
        <v>0</v>
      </c>
      <c r="AF1418" s="16">
        <f>IF(ISERROR(VLOOKUP($A1418,'13. Updated Demand'!A:Z,23,FALSE)),0,VLOOKUP($A1418,'13. Updated Demand'!A:Z,23,FALSE))</f>
        <v>0</v>
      </c>
      <c r="AG1418" s="16">
        <f>IF(ISERROR(VLOOKUP($A1418,'13. Updated Demand'!A:Z,24,FALSE)),0,VLOOKUP($A1418,'13. Updated Demand'!A:Z,24,FALSE))</f>
        <v>0</v>
      </c>
      <c r="AH1418" s="16">
        <f>IF(ISERROR(VLOOKUP($A1418,'13. Updated Demand'!A:Z,25,FALSE)),0,VLOOKUP($A1418,'13. Updated Demand'!A:Z,25,FALSE))</f>
        <v>0</v>
      </c>
      <c r="AI1418" s="16">
        <f>IF(ISERROR(VLOOKUP($A1418,'13. Updated Demand'!A:Z,26,FALSE)),0,VLOOKUP($A1418,'13. Updated Demand'!A:Z,26,FALSE))</f>
        <v>15</v>
      </c>
      <c r="AJ1418" s="16">
        <f t="shared" si="266"/>
        <v>15</v>
      </c>
      <c r="AK1418" s="19">
        <v>0</v>
      </c>
      <c r="AL1418" s="16">
        <f t="shared" si="276"/>
        <v>0</v>
      </c>
      <c r="AM1418" s="26">
        <v>0</v>
      </c>
      <c r="AN1418" s="19">
        <v>0</v>
      </c>
      <c r="AO1418" s="19" t="s">
        <v>1758</v>
      </c>
      <c r="AP1418" s="19">
        <v>0</v>
      </c>
      <c r="AQ1418" s="19" t="s">
        <v>307</v>
      </c>
      <c r="AR1418" s="9" t="s">
        <v>331</v>
      </c>
      <c r="AS1418" s="12">
        <v>0</v>
      </c>
      <c r="AT1418" s="19">
        <v>39.131500000000003</v>
      </c>
      <c r="AU1418" s="19">
        <v>-123.1348</v>
      </c>
      <c r="AV1418" s="19" t="s">
        <v>406</v>
      </c>
    </row>
    <row r="1419" spans="1:48" x14ac:dyDescent="0.25">
      <c r="A1419" s="18" t="s">
        <v>1783</v>
      </c>
      <c r="B1419" s="10">
        <v>19060101</v>
      </c>
      <c r="C1419" s="9">
        <v>21</v>
      </c>
      <c r="D1419" s="8" t="str">
        <f t="shared" si="267"/>
        <v>N</v>
      </c>
      <c r="E1419" s="8" t="str">
        <f t="shared" si="268"/>
        <v>N</v>
      </c>
      <c r="F1419" s="8" t="str">
        <f t="shared" si="269"/>
        <v>N</v>
      </c>
      <c r="G1419" s="8" t="str">
        <f t="shared" si="270"/>
        <v>N</v>
      </c>
      <c r="H1419" s="8" t="str">
        <f t="shared" si="271"/>
        <v>Lower</v>
      </c>
      <c r="I1419" s="8" t="str">
        <f t="shared" si="272"/>
        <v>Outside</v>
      </c>
      <c r="J1419" s="8" t="str">
        <f t="shared" si="273"/>
        <v>Outside</v>
      </c>
      <c r="K1419" s="8" t="str">
        <f t="shared" si="274"/>
        <v>pre-1914</v>
      </c>
      <c r="L1419" s="8">
        <f t="shared" si="275"/>
        <v>1906</v>
      </c>
      <c r="M1419" s="8" t="s">
        <v>179</v>
      </c>
      <c r="N1419" s="10" t="s">
        <v>242</v>
      </c>
      <c r="O1419" s="10" t="s">
        <v>242</v>
      </c>
      <c r="P1419" s="10" t="s">
        <v>241</v>
      </c>
      <c r="Q1419" s="10" t="s">
        <v>242</v>
      </c>
      <c r="R1419" s="10" t="s">
        <v>242</v>
      </c>
      <c r="S1419" s="10" t="s">
        <v>242</v>
      </c>
      <c r="T1419" s="10" t="s">
        <v>242</v>
      </c>
      <c r="U1419" s="10" t="s">
        <v>242</v>
      </c>
      <c r="V1419" s="10" t="s">
        <v>242</v>
      </c>
      <c r="W1419" s="10" t="s">
        <v>242</v>
      </c>
      <c r="X1419" s="15">
        <f>IF(ISERROR(VLOOKUP($A1419,'13. Updated Demand'!A:Z,15,FALSE)),0,VLOOKUP($A1419,'13. Updated Demand'!A:Z,15,FALSE))</f>
        <v>0</v>
      </c>
      <c r="Y1419" s="16">
        <f>IF(ISERROR(VLOOKUP($A1419,'13. Updated Demand'!A:Z,16,FALSE)),0,VLOOKUP($A1419,'13. Updated Demand'!A:Z,16,FALSE))</f>
        <v>0</v>
      </c>
      <c r="Z1419" s="16">
        <f>IF(ISERROR(VLOOKUP($A1419,'13. Updated Demand'!A:Z,17,FALSE)),0,VLOOKUP($A1419,'13. Updated Demand'!A:Z,17,FALSE))</f>
        <v>0</v>
      </c>
      <c r="AA1419" s="16">
        <f>IF(ISERROR(VLOOKUP($A1419,'13. Updated Demand'!A:Z,18,FALSE)),0,VLOOKUP($A1419,'13. Updated Demand'!A:Z,18,FALSE))</f>
        <v>0</v>
      </c>
      <c r="AB1419" s="16">
        <f>IF(ISERROR(VLOOKUP($A1419,'13. Updated Demand'!A:Z,19,FALSE)),0,VLOOKUP($A1419,'13. Updated Demand'!A:Z,19,FALSE))</f>
        <v>0</v>
      </c>
      <c r="AC1419" s="16">
        <f>IF(ISERROR(VLOOKUP($A1419,'13. Updated Demand'!A:Z,20,FALSE)),0,VLOOKUP($A1419,'13. Updated Demand'!A:Z,20,FALSE))</f>
        <v>0</v>
      </c>
      <c r="AD1419" s="16">
        <f>IF(ISERROR(VLOOKUP($A1419,'13. Updated Demand'!A:Z,21,FALSE)),0,VLOOKUP($A1419,'13. Updated Demand'!A:Z,21,FALSE))</f>
        <v>0</v>
      </c>
      <c r="AE1419" s="16">
        <f>IF(ISERROR(VLOOKUP($A1419,'13. Updated Demand'!A:Z,22,FALSE)),0,VLOOKUP($A1419,'13. Updated Demand'!A:Z,22,FALSE))</f>
        <v>0.83986700000000003</v>
      </c>
      <c r="AF1419" s="16">
        <f>IF(ISERROR(VLOOKUP($A1419,'13. Updated Demand'!A:Z,23,FALSE)),0,VLOOKUP($A1419,'13. Updated Demand'!A:Z,23,FALSE))</f>
        <v>5.0671315000000003</v>
      </c>
      <c r="AG1419" s="16">
        <f>IF(ISERROR(VLOOKUP($A1419,'13. Updated Demand'!A:Z,24,FALSE)),0,VLOOKUP($A1419,'13. Updated Demand'!A:Z,24,FALSE))</f>
        <v>4.0221650000000002</v>
      </c>
      <c r="AH1419" s="16">
        <f>IF(ISERROR(VLOOKUP($A1419,'13. Updated Demand'!A:Z,25,FALSE)),0,VLOOKUP($A1419,'13. Updated Demand'!A:Z,25,FALSE))</f>
        <v>4.0484470000000004</v>
      </c>
      <c r="AI1419" s="16">
        <f>IF(ISERROR(VLOOKUP($A1419,'13. Updated Demand'!A:Z,26,FALSE)),0,VLOOKUP($A1419,'13. Updated Demand'!A:Z,26,FALSE))</f>
        <v>0.28729399999999999</v>
      </c>
      <c r="AJ1419" s="16">
        <f t="shared" si="266"/>
        <v>14.2649045</v>
      </c>
      <c r="AK1419" s="19">
        <v>5.9069985000000003</v>
      </c>
      <c r="AL1419" s="16">
        <f t="shared" si="276"/>
        <v>1.9592841154139441E-2</v>
      </c>
      <c r="AM1419" s="26">
        <v>0.35409789451212847</v>
      </c>
      <c r="AN1419" s="19">
        <v>40.285200000000003</v>
      </c>
      <c r="AO1419" s="19" t="s">
        <v>1758</v>
      </c>
      <c r="AP1419" s="19">
        <v>0</v>
      </c>
      <c r="AQ1419" s="19" t="s">
        <v>307</v>
      </c>
      <c r="AR1419" s="9" t="s">
        <v>403</v>
      </c>
      <c r="AS1419" s="12">
        <v>0</v>
      </c>
      <c r="AT1419" s="19">
        <v>38.416133539999997</v>
      </c>
      <c r="AU1419" s="19">
        <v>-122.95111521</v>
      </c>
      <c r="AV1419" s="19" t="s">
        <v>1784</v>
      </c>
    </row>
    <row r="1420" spans="1:48" x14ac:dyDescent="0.25">
      <c r="A1420" s="18" t="s">
        <v>1785</v>
      </c>
      <c r="B1420" s="10">
        <v>19050101</v>
      </c>
      <c r="C1420" s="9">
        <v>21</v>
      </c>
      <c r="D1420" s="8" t="str">
        <f t="shared" si="267"/>
        <v>N</v>
      </c>
      <c r="E1420" s="8" t="str">
        <f t="shared" si="268"/>
        <v>N</v>
      </c>
      <c r="F1420" s="8" t="str">
        <f t="shared" si="269"/>
        <v>N</v>
      </c>
      <c r="G1420" s="8" t="str">
        <f t="shared" si="270"/>
        <v>N</v>
      </c>
      <c r="H1420" s="8" t="str">
        <f t="shared" si="271"/>
        <v>Lower</v>
      </c>
      <c r="I1420" s="8" t="str">
        <f t="shared" si="272"/>
        <v>Outside</v>
      </c>
      <c r="J1420" s="8" t="str">
        <f t="shared" si="273"/>
        <v>Outside</v>
      </c>
      <c r="K1420" s="8" t="str">
        <f t="shared" si="274"/>
        <v>pre-1914</v>
      </c>
      <c r="L1420" s="8">
        <f t="shared" si="275"/>
        <v>1905</v>
      </c>
      <c r="M1420" s="8" t="s">
        <v>179</v>
      </c>
      <c r="N1420" s="10" t="s">
        <v>241</v>
      </c>
      <c r="O1420" s="10" t="s">
        <v>242</v>
      </c>
      <c r="P1420" s="10" t="s">
        <v>241</v>
      </c>
      <c r="Q1420" s="10" t="s">
        <v>242</v>
      </c>
      <c r="R1420" s="10" t="s">
        <v>242</v>
      </c>
      <c r="S1420" s="10" t="s">
        <v>242</v>
      </c>
      <c r="T1420" s="10" t="s">
        <v>242</v>
      </c>
      <c r="U1420" s="10" t="s">
        <v>242</v>
      </c>
      <c r="V1420" s="10" t="s">
        <v>242</v>
      </c>
      <c r="W1420" s="10" t="s">
        <v>242</v>
      </c>
      <c r="X1420" s="15">
        <f>IF(ISERROR(VLOOKUP($A1420,'13. Updated Demand'!A:Z,15,FALSE)),0,VLOOKUP($A1420,'13. Updated Demand'!A:Z,15,FALSE))</f>
        <v>11.99</v>
      </c>
      <c r="Y1420" s="16">
        <f>IF(ISERROR(VLOOKUP($A1420,'13. Updated Demand'!A:Z,16,FALSE)),0,VLOOKUP($A1420,'13. Updated Demand'!A:Z,16,FALSE))</f>
        <v>10.64</v>
      </c>
      <c r="Z1420" s="16">
        <f>IF(ISERROR(VLOOKUP($A1420,'13. Updated Demand'!A:Z,17,FALSE)),0,VLOOKUP($A1420,'13. Updated Demand'!A:Z,17,FALSE))</f>
        <v>12.266666669999999</v>
      </c>
      <c r="AA1420" s="16">
        <f>IF(ISERROR(VLOOKUP($A1420,'13. Updated Demand'!A:Z,18,FALSE)),0,VLOOKUP($A1420,'13. Updated Demand'!A:Z,18,FALSE))</f>
        <v>11.78333333</v>
      </c>
      <c r="AB1420" s="16">
        <f>IF(ISERROR(VLOOKUP($A1420,'13. Updated Demand'!A:Z,19,FALSE)),0,VLOOKUP($A1420,'13. Updated Demand'!A:Z,19,FALSE))</f>
        <v>15.12</v>
      </c>
      <c r="AC1420" s="16">
        <f>IF(ISERROR(VLOOKUP($A1420,'13. Updated Demand'!A:Z,20,FALSE)),0,VLOOKUP($A1420,'13. Updated Demand'!A:Z,20,FALSE))</f>
        <v>19.87</v>
      </c>
      <c r="AD1420" s="16">
        <f>IF(ISERROR(VLOOKUP($A1420,'13. Updated Demand'!A:Z,21,FALSE)),0,VLOOKUP($A1420,'13. Updated Demand'!A:Z,21,FALSE))</f>
        <v>23.223333329999999</v>
      </c>
      <c r="AE1420" s="16">
        <f>IF(ISERROR(VLOOKUP($A1420,'13. Updated Demand'!A:Z,22,FALSE)),0,VLOOKUP($A1420,'13. Updated Demand'!A:Z,22,FALSE))</f>
        <v>23.68</v>
      </c>
      <c r="AF1420" s="16">
        <f>IF(ISERROR(VLOOKUP($A1420,'13. Updated Demand'!A:Z,23,FALSE)),0,VLOOKUP($A1420,'13. Updated Demand'!A:Z,23,FALSE))</f>
        <v>20.52333333</v>
      </c>
      <c r="AG1420" s="16">
        <f>IF(ISERROR(VLOOKUP($A1420,'13. Updated Demand'!A:Z,24,FALSE)),0,VLOOKUP($A1420,'13. Updated Demand'!A:Z,24,FALSE))</f>
        <v>16.573333330000001</v>
      </c>
      <c r="AH1420" s="16">
        <f>IF(ISERROR(VLOOKUP($A1420,'13. Updated Demand'!A:Z,25,FALSE)),0,VLOOKUP($A1420,'13. Updated Demand'!A:Z,25,FALSE))</f>
        <v>14.14</v>
      </c>
      <c r="AI1420" s="16">
        <f>IF(ISERROR(VLOOKUP($A1420,'13. Updated Demand'!A:Z,26,FALSE)),0,VLOOKUP($A1420,'13. Updated Demand'!A:Z,26,FALSE))</f>
        <v>12.543333329999999</v>
      </c>
      <c r="AJ1420" s="16">
        <f t="shared" si="266"/>
        <v>192.35333331999999</v>
      </c>
      <c r="AK1420" s="19">
        <v>102.41666665999999</v>
      </c>
      <c r="AL1420" s="16">
        <f t="shared" si="276"/>
        <v>0.33970441695656911</v>
      </c>
      <c r="AM1420" s="26">
        <v>1.0621387814467145</v>
      </c>
      <c r="AN1420" s="19">
        <v>181.1</v>
      </c>
      <c r="AO1420" s="19" t="s">
        <v>1758</v>
      </c>
      <c r="AP1420" s="19">
        <v>0</v>
      </c>
      <c r="AQ1420" s="19" t="s">
        <v>307</v>
      </c>
      <c r="AR1420" s="9" t="s">
        <v>403</v>
      </c>
      <c r="AS1420" s="12">
        <v>0</v>
      </c>
      <c r="AT1420" s="19">
        <v>38.471594580000001</v>
      </c>
      <c r="AU1420" s="19">
        <v>-123.01682418999999</v>
      </c>
      <c r="AV1420" s="19" t="s">
        <v>548</v>
      </c>
    </row>
    <row r="1421" spans="1:48" x14ac:dyDescent="0.25">
      <c r="A1421" s="18" t="s">
        <v>1786</v>
      </c>
      <c r="B1421" s="10">
        <v>19050101</v>
      </c>
      <c r="C1421" s="9">
        <v>9</v>
      </c>
      <c r="D1421" s="8" t="str">
        <f t="shared" si="267"/>
        <v>N</v>
      </c>
      <c r="E1421" s="8" t="str">
        <f t="shared" si="268"/>
        <v>Y</v>
      </c>
      <c r="F1421" s="8" t="str">
        <f t="shared" si="269"/>
        <v>Y</v>
      </c>
      <c r="G1421" s="8" t="str">
        <f t="shared" si="270"/>
        <v>Y</v>
      </c>
      <c r="H1421" s="8" t="str">
        <f t="shared" si="271"/>
        <v>Upper</v>
      </c>
      <c r="I1421" s="8" t="str">
        <f t="shared" si="272"/>
        <v>West Fork and Below Lake</v>
      </c>
      <c r="J1421" s="8" t="str">
        <f t="shared" si="273"/>
        <v>Sonoma (d/s of Clov. Gage)</v>
      </c>
      <c r="K1421" s="8" t="str">
        <f t="shared" si="274"/>
        <v>pre-1914</v>
      </c>
      <c r="L1421" s="8">
        <f t="shared" si="275"/>
        <v>1905</v>
      </c>
      <c r="M1421" s="8" t="s">
        <v>179</v>
      </c>
      <c r="N1421" s="10" t="s">
        <v>241</v>
      </c>
      <c r="O1421" s="10" t="s">
        <v>241</v>
      </c>
      <c r="P1421" s="10" t="s">
        <v>241</v>
      </c>
      <c r="Q1421" s="10" t="s">
        <v>242</v>
      </c>
      <c r="R1421" s="10" t="s">
        <v>242</v>
      </c>
      <c r="S1421" s="10" t="s">
        <v>242</v>
      </c>
      <c r="T1421" s="10" t="s">
        <v>242</v>
      </c>
      <c r="U1421" s="10" t="s">
        <v>242</v>
      </c>
      <c r="V1421" s="10" t="s">
        <v>242</v>
      </c>
      <c r="W1421" s="10" t="s">
        <v>242</v>
      </c>
      <c r="X1421" s="15">
        <f>IF(ISERROR(VLOOKUP($A1421,'13. Updated Demand'!A:Z,15,FALSE)),0,VLOOKUP($A1421,'13. Updated Demand'!A:Z,15,FALSE))</f>
        <v>0.56000000000000005</v>
      </c>
      <c r="Y1421" s="16">
        <f>IF(ISERROR(VLOOKUP($A1421,'13. Updated Demand'!A:Z,16,FALSE)),0,VLOOKUP($A1421,'13. Updated Demand'!A:Z,16,FALSE))</f>
        <v>0.56000000000000005</v>
      </c>
      <c r="Z1421" s="16">
        <f>IF(ISERROR(VLOOKUP($A1421,'13. Updated Demand'!A:Z,17,FALSE)),0,VLOOKUP($A1421,'13. Updated Demand'!A:Z,17,FALSE))</f>
        <v>0.56000000000000005</v>
      </c>
      <c r="AA1421" s="16">
        <f>IF(ISERROR(VLOOKUP($A1421,'13. Updated Demand'!A:Z,18,FALSE)),0,VLOOKUP($A1421,'13. Updated Demand'!A:Z,18,FALSE))</f>
        <v>1</v>
      </c>
      <c r="AB1421" s="16">
        <f>IF(ISERROR(VLOOKUP($A1421,'13. Updated Demand'!A:Z,19,FALSE)),0,VLOOKUP($A1421,'13. Updated Demand'!A:Z,19,FALSE))</f>
        <v>1</v>
      </c>
      <c r="AC1421" s="16">
        <f>IF(ISERROR(VLOOKUP($A1421,'13. Updated Demand'!A:Z,20,FALSE)),0,VLOOKUP($A1421,'13. Updated Demand'!A:Z,20,FALSE))</f>
        <v>2.5</v>
      </c>
      <c r="AD1421" s="16">
        <f>IF(ISERROR(VLOOKUP($A1421,'13. Updated Demand'!A:Z,21,FALSE)),0,VLOOKUP($A1421,'13. Updated Demand'!A:Z,21,FALSE))</f>
        <v>3.06</v>
      </c>
      <c r="AE1421" s="16">
        <f>IF(ISERROR(VLOOKUP($A1421,'13. Updated Demand'!A:Z,22,FALSE)),0,VLOOKUP($A1421,'13. Updated Demand'!A:Z,22,FALSE))</f>
        <v>3.06</v>
      </c>
      <c r="AF1421" s="16">
        <f>IF(ISERROR(VLOOKUP($A1421,'13. Updated Demand'!A:Z,23,FALSE)),0,VLOOKUP($A1421,'13. Updated Demand'!A:Z,23,FALSE))</f>
        <v>3.06</v>
      </c>
      <c r="AG1421" s="16">
        <f>IF(ISERROR(VLOOKUP($A1421,'13. Updated Demand'!A:Z,24,FALSE)),0,VLOOKUP($A1421,'13. Updated Demand'!A:Z,24,FALSE))</f>
        <v>3.06</v>
      </c>
      <c r="AH1421" s="16">
        <f>IF(ISERROR(VLOOKUP($A1421,'13. Updated Demand'!A:Z,25,FALSE)),0,VLOOKUP($A1421,'13. Updated Demand'!A:Z,25,FALSE))</f>
        <v>2.06</v>
      </c>
      <c r="AI1421" s="16">
        <f>IF(ISERROR(VLOOKUP($A1421,'13. Updated Demand'!A:Z,26,FALSE)),0,VLOOKUP($A1421,'13. Updated Demand'!A:Z,26,FALSE))</f>
        <v>0.6</v>
      </c>
      <c r="AJ1421" s="16">
        <f t="shared" si="266"/>
        <v>21.080000000000002</v>
      </c>
      <c r="AK1421" s="19">
        <v>12.70000000000001</v>
      </c>
      <c r="AL1421" s="16">
        <f t="shared" si="276"/>
        <v>4.2124453334053E-2</v>
      </c>
      <c r="AM1421" s="26">
        <v>1.0063492063492074</v>
      </c>
      <c r="AN1421" s="19">
        <v>21</v>
      </c>
      <c r="AO1421" s="19" t="s">
        <v>1758</v>
      </c>
      <c r="AP1421" s="19">
        <v>0</v>
      </c>
      <c r="AQ1421" s="19" t="s">
        <v>307</v>
      </c>
      <c r="AR1421" s="9" t="s">
        <v>354</v>
      </c>
      <c r="AS1421" s="12">
        <v>0</v>
      </c>
      <c r="AT1421" s="19">
        <v>38.721480460000002</v>
      </c>
      <c r="AU1421" s="19">
        <v>-122.91873538999999</v>
      </c>
      <c r="AV1421" s="19" t="s">
        <v>548</v>
      </c>
    </row>
    <row r="1422" spans="1:48" x14ac:dyDescent="0.25">
      <c r="A1422" s="18" t="s">
        <v>1787</v>
      </c>
      <c r="B1422" s="10">
        <v>19050101</v>
      </c>
      <c r="C1422" s="9">
        <v>1</v>
      </c>
      <c r="D1422" s="8" t="str">
        <f t="shared" si="267"/>
        <v>N</v>
      </c>
      <c r="E1422" s="8" t="str">
        <f t="shared" si="268"/>
        <v>N</v>
      </c>
      <c r="F1422" s="8" t="str">
        <f t="shared" si="269"/>
        <v>Y</v>
      </c>
      <c r="G1422" s="8" t="str">
        <f t="shared" si="270"/>
        <v>Y</v>
      </c>
      <c r="H1422" s="8" t="str">
        <f t="shared" si="271"/>
        <v>Upper</v>
      </c>
      <c r="I1422" s="8" t="str">
        <f t="shared" si="272"/>
        <v>West Fork and Below Lake</v>
      </c>
      <c r="J1422" s="8" t="str">
        <f t="shared" si="273"/>
        <v>Outside</v>
      </c>
      <c r="K1422" s="8" t="str">
        <f t="shared" si="274"/>
        <v>pre-1914</v>
      </c>
      <c r="L1422" s="8">
        <f t="shared" si="275"/>
        <v>1905</v>
      </c>
      <c r="M1422" s="8" t="s">
        <v>179</v>
      </c>
      <c r="N1422" s="10" t="s">
        <v>242</v>
      </c>
      <c r="O1422" s="10" t="s">
        <v>241</v>
      </c>
      <c r="P1422" s="10" t="s">
        <v>241</v>
      </c>
      <c r="Q1422" s="10" t="s">
        <v>242</v>
      </c>
      <c r="R1422" s="10" t="s">
        <v>242</v>
      </c>
      <c r="S1422" s="10" t="s">
        <v>242</v>
      </c>
      <c r="T1422" s="10" t="s">
        <v>242</v>
      </c>
      <c r="U1422" s="10" t="s">
        <v>242</v>
      </c>
      <c r="V1422" s="10" t="s">
        <v>242</v>
      </c>
      <c r="W1422" s="10" t="s">
        <v>242</v>
      </c>
      <c r="X1422" s="15">
        <f>IF(ISERROR(VLOOKUP($A1422,'13. Updated Demand'!A:Z,15,FALSE)),0,VLOOKUP($A1422,'13. Updated Demand'!A:Z,15,FALSE))</f>
        <v>0.5</v>
      </c>
      <c r="Y1422" s="16">
        <f>IF(ISERROR(VLOOKUP($A1422,'13. Updated Demand'!A:Z,16,FALSE)),0,VLOOKUP($A1422,'13. Updated Demand'!A:Z,16,FALSE))</f>
        <v>0.5</v>
      </c>
      <c r="Z1422" s="16">
        <f>IF(ISERROR(VLOOKUP($A1422,'13. Updated Demand'!A:Z,17,FALSE)),0,VLOOKUP($A1422,'13. Updated Demand'!A:Z,17,FALSE))</f>
        <v>0.25</v>
      </c>
      <c r="AA1422" s="16">
        <f>IF(ISERROR(VLOOKUP($A1422,'13. Updated Demand'!A:Z,18,FALSE)),0,VLOOKUP($A1422,'13. Updated Demand'!A:Z,18,FALSE))</f>
        <v>0.25</v>
      </c>
      <c r="AB1422" s="16">
        <f>IF(ISERROR(VLOOKUP($A1422,'13. Updated Demand'!A:Z,19,FALSE)),0,VLOOKUP($A1422,'13. Updated Demand'!A:Z,19,FALSE))</f>
        <v>0.05</v>
      </c>
      <c r="AC1422" s="16">
        <f>IF(ISERROR(VLOOKUP($A1422,'13. Updated Demand'!A:Z,20,FALSE)),0,VLOOKUP($A1422,'13. Updated Demand'!A:Z,20,FALSE))</f>
        <v>0.08</v>
      </c>
      <c r="AD1422" s="16">
        <f>IF(ISERROR(VLOOKUP($A1422,'13. Updated Demand'!A:Z,21,FALSE)),0,VLOOKUP($A1422,'13. Updated Demand'!A:Z,21,FALSE))</f>
        <v>0.11</v>
      </c>
      <c r="AE1422" s="16">
        <f>IF(ISERROR(VLOOKUP($A1422,'13. Updated Demand'!A:Z,22,FALSE)),0,VLOOKUP($A1422,'13. Updated Demand'!A:Z,22,FALSE))</f>
        <v>0.1</v>
      </c>
      <c r="AF1422" s="16">
        <f>IF(ISERROR(VLOOKUP($A1422,'13. Updated Demand'!A:Z,23,FALSE)),0,VLOOKUP($A1422,'13. Updated Demand'!A:Z,23,FALSE))</f>
        <v>0.06</v>
      </c>
      <c r="AG1422" s="16">
        <f>IF(ISERROR(VLOOKUP($A1422,'13. Updated Demand'!A:Z,24,FALSE)),0,VLOOKUP($A1422,'13. Updated Demand'!A:Z,24,FALSE))</f>
        <v>0</v>
      </c>
      <c r="AH1422" s="16">
        <f>IF(ISERROR(VLOOKUP($A1422,'13. Updated Demand'!A:Z,25,FALSE)),0,VLOOKUP($A1422,'13. Updated Demand'!A:Z,25,FALSE))</f>
        <v>0</v>
      </c>
      <c r="AI1422" s="16">
        <f>IF(ISERROR(VLOOKUP($A1422,'13. Updated Demand'!A:Z,26,FALSE)),0,VLOOKUP($A1422,'13. Updated Demand'!A:Z,26,FALSE))</f>
        <v>0.08</v>
      </c>
      <c r="AJ1422" s="16">
        <f t="shared" si="266"/>
        <v>1.9800000000000004</v>
      </c>
      <c r="AK1422" s="19">
        <v>0.41666666699999999</v>
      </c>
      <c r="AL1422" s="16">
        <f t="shared" si="276"/>
        <v>1.382035871645424E-3</v>
      </c>
      <c r="AM1422" s="26">
        <v>0.25099141609356962</v>
      </c>
      <c r="AN1422" s="19">
        <v>7.9683999999999999</v>
      </c>
      <c r="AO1422" s="19" t="s">
        <v>1758</v>
      </c>
      <c r="AP1422" s="19">
        <v>0</v>
      </c>
      <c r="AQ1422" s="19" t="s">
        <v>307</v>
      </c>
      <c r="AR1422" s="9" t="s">
        <v>317</v>
      </c>
      <c r="AS1422" s="12">
        <v>3.4039024194010059E-4</v>
      </c>
      <c r="AT1422" s="19">
        <v>39.289499999999997</v>
      </c>
      <c r="AU1422" s="19">
        <v>-123.3283</v>
      </c>
      <c r="AV1422" s="19" t="s">
        <v>1788</v>
      </c>
    </row>
    <row r="1423" spans="1:48" x14ac:dyDescent="0.25">
      <c r="A1423" s="18" t="s">
        <v>1789</v>
      </c>
      <c r="B1423" s="10">
        <v>19050101</v>
      </c>
      <c r="C1423" s="9">
        <v>1</v>
      </c>
      <c r="D1423" s="8" t="str">
        <f t="shared" si="267"/>
        <v>N</v>
      </c>
      <c r="E1423" s="8" t="str">
        <f t="shared" si="268"/>
        <v>N</v>
      </c>
      <c r="F1423" s="8" t="str">
        <f t="shared" si="269"/>
        <v>Y</v>
      </c>
      <c r="G1423" s="8" t="str">
        <f t="shared" si="270"/>
        <v>Y</v>
      </c>
      <c r="H1423" s="8" t="str">
        <f t="shared" si="271"/>
        <v>Upper</v>
      </c>
      <c r="I1423" s="8" t="str">
        <f t="shared" si="272"/>
        <v>West Fork and Below Lake</v>
      </c>
      <c r="J1423" s="8" t="str">
        <f t="shared" si="273"/>
        <v>Outside</v>
      </c>
      <c r="K1423" s="8" t="str">
        <f t="shared" si="274"/>
        <v>pre-1914</v>
      </c>
      <c r="L1423" s="8">
        <f t="shared" si="275"/>
        <v>1905</v>
      </c>
      <c r="M1423" s="8" t="s">
        <v>179</v>
      </c>
      <c r="N1423" s="10" t="s">
        <v>242</v>
      </c>
      <c r="O1423" s="10" t="s">
        <v>241</v>
      </c>
      <c r="P1423" s="10" t="s">
        <v>241</v>
      </c>
      <c r="Q1423" s="10" t="s">
        <v>242</v>
      </c>
      <c r="R1423" s="10" t="s">
        <v>242</v>
      </c>
      <c r="S1423" s="10" t="s">
        <v>242</v>
      </c>
      <c r="T1423" s="10" t="s">
        <v>241</v>
      </c>
      <c r="U1423" s="10" t="s">
        <v>241</v>
      </c>
      <c r="V1423" s="10" t="s">
        <v>241</v>
      </c>
      <c r="W1423" s="10" t="s">
        <v>242</v>
      </c>
      <c r="X1423" s="15">
        <f>IF(ISERROR(VLOOKUP($A1423,'13. Updated Demand'!A:Z,15,FALSE)),0,VLOOKUP($A1423,'13. Updated Demand'!A:Z,15,FALSE))</f>
        <v>0</v>
      </c>
      <c r="Y1423" s="16">
        <f>IF(ISERROR(VLOOKUP($A1423,'13. Updated Demand'!A:Z,16,FALSE)),0,VLOOKUP($A1423,'13. Updated Demand'!A:Z,16,FALSE))</f>
        <v>0</v>
      </c>
      <c r="Z1423" s="16">
        <f>IF(ISERROR(VLOOKUP($A1423,'13. Updated Demand'!A:Z,17,FALSE)),0,VLOOKUP($A1423,'13. Updated Demand'!A:Z,17,FALSE))</f>
        <v>0</v>
      </c>
      <c r="AA1423" s="16">
        <f>IF(ISERROR(VLOOKUP($A1423,'13. Updated Demand'!A:Z,18,FALSE)),0,VLOOKUP($A1423,'13. Updated Demand'!A:Z,18,FALSE))</f>
        <v>0</v>
      </c>
      <c r="AB1423" s="16">
        <f>IF(ISERROR(VLOOKUP($A1423,'13. Updated Demand'!A:Z,19,FALSE)),0,VLOOKUP($A1423,'13. Updated Demand'!A:Z,19,FALSE))</f>
        <v>0</v>
      </c>
      <c r="AC1423" s="16">
        <f>IF(ISERROR(VLOOKUP($A1423,'13. Updated Demand'!A:Z,20,FALSE)),0,VLOOKUP($A1423,'13. Updated Demand'!A:Z,20,FALSE))</f>
        <v>0</v>
      </c>
      <c r="AD1423" s="16">
        <f>IF(ISERROR(VLOOKUP($A1423,'13. Updated Demand'!A:Z,21,FALSE)),0,VLOOKUP($A1423,'13. Updated Demand'!A:Z,21,FALSE))</f>
        <v>0</v>
      </c>
      <c r="AE1423" s="16">
        <f>IF(ISERROR(VLOOKUP($A1423,'13. Updated Demand'!A:Z,22,FALSE)),0,VLOOKUP($A1423,'13. Updated Demand'!A:Z,22,FALSE))</f>
        <v>0</v>
      </c>
      <c r="AF1423" s="16">
        <f>IF(ISERROR(VLOOKUP($A1423,'13. Updated Demand'!A:Z,23,FALSE)),0,VLOOKUP($A1423,'13. Updated Demand'!A:Z,23,FALSE))</f>
        <v>0</v>
      </c>
      <c r="AG1423" s="16">
        <f>IF(ISERROR(VLOOKUP($A1423,'13. Updated Demand'!A:Z,24,FALSE)),0,VLOOKUP($A1423,'13. Updated Demand'!A:Z,24,FALSE))</f>
        <v>0</v>
      </c>
      <c r="AH1423" s="16">
        <f>IF(ISERROR(VLOOKUP($A1423,'13. Updated Demand'!A:Z,25,FALSE)),0,VLOOKUP($A1423,'13. Updated Demand'!A:Z,25,FALSE))</f>
        <v>0</v>
      </c>
      <c r="AI1423" s="16">
        <f>IF(ISERROR(VLOOKUP($A1423,'13. Updated Demand'!A:Z,26,FALSE)),0,VLOOKUP($A1423,'13. Updated Demand'!A:Z,26,FALSE))</f>
        <v>0</v>
      </c>
      <c r="AJ1423" s="16">
        <f t="shared" si="266"/>
        <v>0</v>
      </c>
      <c r="AK1423" s="19">
        <v>0</v>
      </c>
      <c r="AL1423" s="16">
        <f t="shared" si="276"/>
        <v>0</v>
      </c>
      <c r="AM1423" s="26">
        <v>0</v>
      </c>
      <c r="AN1423" s="19">
        <v>4.4999999999999998E-2</v>
      </c>
      <c r="AO1423" s="19" t="s">
        <v>1758</v>
      </c>
      <c r="AP1423" s="19">
        <v>0</v>
      </c>
      <c r="AQ1423" s="19" t="s">
        <v>307</v>
      </c>
      <c r="AR1423" s="9" t="s">
        <v>317</v>
      </c>
      <c r="AS1423" s="12">
        <v>3.4039024194010059E-4</v>
      </c>
      <c r="AT1423" s="19">
        <v>39.291400000000003</v>
      </c>
      <c r="AU1423" s="19">
        <v>-123.33669999999999</v>
      </c>
      <c r="AV1423" s="19" t="s">
        <v>1788</v>
      </c>
    </row>
    <row r="1424" spans="1:48" x14ac:dyDescent="0.25">
      <c r="A1424" s="18" t="s">
        <v>1790</v>
      </c>
      <c r="B1424" s="10">
        <v>19050101</v>
      </c>
      <c r="C1424" s="9">
        <v>1</v>
      </c>
      <c r="D1424" s="8" t="str">
        <f t="shared" si="267"/>
        <v>N</v>
      </c>
      <c r="E1424" s="8" t="str">
        <f t="shared" si="268"/>
        <v>N</v>
      </c>
      <c r="F1424" s="8" t="str">
        <f t="shared" si="269"/>
        <v>Y</v>
      </c>
      <c r="G1424" s="8" t="str">
        <f t="shared" si="270"/>
        <v>Y</v>
      </c>
      <c r="H1424" s="8" t="str">
        <f t="shared" si="271"/>
        <v>Upper</v>
      </c>
      <c r="I1424" s="8" t="str">
        <f t="shared" si="272"/>
        <v>West Fork and Below Lake</v>
      </c>
      <c r="J1424" s="8" t="str">
        <f t="shared" si="273"/>
        <v>Outside</v>
      </c>
      <c r="K1424" s="8" t="str">
        <f t="shared" si="274"/>
        <v>pre-1914</v>
      </c>
      <c r="L1424" s="8">
        <f t="shared" si="275"/>
        <v>1905</v>
      </c>
      <c r="M1424" s="8" t="s">
        <v>179</v>
      </c>
      <c r="N1424" s="10" t="s">
        <v>242</v>
      </c>
      <c r="O1424" s="10" t="s">
        <v>241</v>
      </c>
      <c r="P1424" s="10" t="s">
        <v>241</v>
      </c>
      <c r="Q1424" s="10" t="s">
        <v>242</v>
      </c>
      <c r="R1424" s="10" t="s">
        <v>242</v>
      </c>
      <c r="S1424" s="10" t="s">
        <v>242</v>
      </c>
      <c r="T1424" s="10" t="s">
        <v>242</v>
      </c>
      <c r="U1424" s="10" t="s">
        <v>242</v>
      </c>
      <c r="V1424" s="10" t="s">
        <v>242</v>
      </c>
      <c r="W1424" s="10" t="s">
        <v>242</v>
      </c>
      <c r="X1424" s="15">
        <f>IF(ISERROR(VLOOKUP($A1424,'13. Updated Demand'!A:Z,15,FALSE)),0,VLOOKUP($A1424,'13. Updated Demand'!A:Z,15,FALSE))</f>
        <v>0.02</v>
      </c>
      <c r="Y1424" s="16">
        <f>IF(ISERROR(VLOOKUP($A1424,'13. Updated Demand'!A:Z,16,FALSE)),0,VLOOKUP($A1424,'13. Updated Demand'!A:Z,16,FALSE))</f>
        <v>0.02</v>
      </c>
      <c r="Z1424" s="16">
        <f>IF(ISERROR(VLOOKUP($A1424,'13. Updated Demand'!A:Z,17,FALSE)),0,VLOOKUP($A1424,'13. Updated Demand'!A:Z,17,FALSE))</f>
        <v>0.03</v>
      </c>
      <c r="AA1424" s="16">
        <f>IF(ISERROR(VLOOKUP($A1424,'13. Updated Demand'!A:Z,18,FALSE)),0,VLOOKUP($A1424,'13. Updated Demand'!A:Z,18,FALSE))</f>
        <v>0.03</v>
      </c>
      <c r="AB1424" s="16">
        <f>IF(ISERROR(VLOOKUP($A1424,'13. Updated Demand'!A:Z,19,FALSE)),0,VLOOKUP($A1424,'13. Updated Demand'!A:Z,19,FALSE))</f>
        <v>0.04</v>
      </c>
      <c r="AC1424" s="16">
        <f>IF(ISERROR(VLOOKUP($A1424,'13. Updated Demand'!A:Z,20,FALSE)),0,VLOOKUP($A1424,'13. Updated Demand'!A:Z,20,FALSE))</f>
        <v>0.05</v>
      </c>
      <c r="AD1424" s="16">
        <f>IF(ISERROR(VLOOKUP($A1424,'13. Updated Demand'!A:Z,21,FALSE)),0,VLOOKUP($A1424,'13. Updated Demand'!A:Z,21,FALSE))</f>
        <v>0.06</v>
      </c>
      <c r="AE1424" s="16">
        <f>IF(ISERROR(VLOOKUP($A1424,'13. Updated Demand'!A:Z,22,FALSE)),0,VLOOKUP($A1424,'13. Updated Demand'!A:Z,22,FALSE))</f>
        <v>7.0000000000000007E-2</v>
      </c>
      <c r="AF1424" s="16">
        <f>IF(ISERROR(VLOOKUP($A1424,'13. Updated Demand'!A:Z,23,FALSE)),0,VLOOKUP($A1424,'13. Updated Demand'!A:Z,23,FALSE))</f>
        <v>0.05</v>
      </c>
      <c r="AG1424" s="16">
        <f>IF(ISERROR(VLOOKUP($A1424,'13. Updated Demand'!A:Z,24,FALSE)),0,VLOOKUP($A1424,'13. Updated Demand'!A:Z,24,FALSE))</f>
        <v>0.04</v>
      </c>
      <c r="AH1424" s="16">
        <f>IF(ISERROR(VLOOKUP($A1424,'13. Updated Demand'!A:Z,25,FALSE)),0,VLOOKUP($A1424,'13. Updated Demand'!A:Z,25,FALSE))</f>
        <v>0.03</v>
      </c>
      <c r="AI1424" s="16">
        <f>IF(ISERROR(VLOOKUP($A1424,'13. Updated Demand'!A:Z,26,FALSE)),0,VLOOKUP($A1424,'13. Updated Demand'!A:Z,26,FALSE))</f>
        <v>0.02</v>
      </c>
      <c r="AJ1424" s="16">
        <f t="shared" ref="AJ1424:AJ1487" si="277">SUM(X1424:AI1424)</f>
        <v>0.45999999999999996</v>
      </c>
      <c r="AK1424" s="19">
        <v>0.27333333300000001</v>
      </c>
      <c r="AL1424" s="16">
        <f t="shared" si="276"/>
        <v>9.0661552996847714E-4</v>
      </c>
      <c r="AM1424" s="26">
        <v>1.2382243185583054E-2</v>
      </c>
      <c r="AN1424" s="19">
        <v>39.841999999999999</v>
      </c>
      <c r="AO1424" s="19" t="s">
        <v>1758</v>
      </c>
      <c r="AP1424" s="19">
        <v>0</v>
      </c>
      <c r="AQ1424" s="19" t="s">
        <v>307</v>
      </c>
      <c r="AR1424" s="9" t="s">
        <v>317</v>
      </c>
      <c r="AS1424" s="12">
        <v>0</v>
      </c>
      <c r="AT1424" s="19">
        <v>39.289299999999997</v>
      </c>
      <c r="AU1424" s="19">
        <v>-123.32689999999999</v>
      </c>
      <c r="AV1424" s="19" t="s">
        <v>406</v>
      </c>
    </row>
    <row r="1425" spans="1:48" x14ac:dyDescent="0.25">
      <c r="A1425" s="18" t="s">
        <v>1791</v>
      </c>
      <c r="B1425" s="10">
        <v>19050101</v>
      </c>
      <c r="C1425" s="9">
        <v>21</v>
      </c>
      <c r="D1425" s="8" t="str">
        <f t="shared" si="267"/>
        <v>N</v>
      </c>
      <c r="E1425" s="8" t="str">
        <f t="shared" si="268"/>
        <v>N</v>
      </c>
      <c r="F1425" s="8" t="str">
        <f t="shared" si="269"/>
        <v>N</v>
      </c>
      <c r="G1425" s="8" t="str">
        <f t="shared" si="270"/>
        <v>N</v>
      </c>
      <c r="H1425" s="8" t="str">
        <f t="shared" si="271"/>
        <v>Lower</v>
      </c>
      <c r="I1425" s="8" t="str">
        <f t="shared" si="272"/>
        <v>Outside</v>
      </c>
      <c r="J1425" s="8" t="str">
        <f t="shared" si="273"/>
        <v>Outside</v>
      </c>
      <c r="K1425" s="8" t="str">
        <f t="shared" si="274"/>
        <v>pre-1914</v>
      </c>
      <c r="L1425" s="8">
        <f t="shared" si="275"/>
        <v>1905</v>
      </c>
      <c r="M1425" s="8" t="s">
        <v>179</v>
      </c>
      <c r="N1425" s="10" t="s">
        <v>242</v>
      </c>
      <c r="O1425" s="10" t="s">
        <v>242</v>
      </c>
      <c r="P1425" s="10" t="s">
        <v>241</v>
      </c>
      <c r="Q1425" s="10" t="s">
        <v>242</v>
      </c>
      <c r="R1425" s="10" t="s">
        <v>242</v>
      </c>
      <c r="S1425" s="10" t="s">
        <v>242</v>
      </c>
      <c r="T1425" s="10" t="s">
        <v>242</v>
      </c>
      <c r="U1425" s="10" t="s">
        <v>242</v>
      </c>
      <c r="V1425" s="10" t="s">
        <v>242</v>
      </c>
      <c r="W1425" s="10" t="s">
        <v>242</v>
      </c>
      <c r="X1425" s="15">
        <f>IF(ISERROR(VLOOKUP($A1425,'13. Updated Demand'!A:Z,15,FALSE)),0,VLOOKUP($A1425,'13. Updated Demand'!A:Z,15,FALSE))</f>
        <v>0</v>
      </c>
      <c r="Y1425" s="16">
        <f>IF(ISERROR(VLOOKUP($A1425,'13. Updated Demand'!A:Z,16,FALSE)),0,VLOOKUP($A1425,'13. Updated Demand'!A:Z,16,FALSE))</f>
        <v>0</v>
      </c>
      <c r="Z1425" s="16">
        <f>IF(ISERROR(VLOOKUP($A1425,'13. Updated Demand'!A:Z,17,FALSE)),0,VLOOKUP($A1425,'13. Updated Demand'!A:Z,17,FALSE))</f>
        <v>0</v>
      </c>
      <c r="AA1425" s="16">
        <f>IF(ISERROR(VLOOKUP($A1425,'13. Updated Demand'!A:Z,18,FALSE)),0,VLOOKUP($A1425,'13. Updated Demand'!A:Z,18,FALSE))</f>
        <v>0</v>
      </c>
      <c r="AB1425" s="16">
        <f>IF(ISERROR(VLOOKUP($A1425,'13. Updated Demand'!A:Z,19,FALSE)),0,VLOOKUP($A1425,'13. Updated Demand'!A:Z,19,FALSE))</f>
        <v>0</v>
      </c>
      <c r="AC1425" s="16">
        <f>IF(ISERROR(VLOOKUP($A1425,'13. Updated Demand'!A:Z,20,FALSE)),0,VLOOKUP($A1425,'13. Updated Demand'!A:Z,20,FALSE))</f>
        <v>6.12855E-2</v>
      </c>
      <c r="AD1425" s="16">
        <f>IF(ISERROR(VLOOKUP($A1425,'13. Updated Demand'!A:Z,21,FALSE)),0,VLOOKUP($A1425,'13. Updated Demand'!A:Z,21,FALSE))</f>
        <v>6.12855E-2</v>
      </c>
      <c r="AE1425" s="16">
        <f>IF(ISERROR(VLOOKUP($A1425,'13. Updated Demand'!A:Z,22,FALSE)),0,VLOOKUP($A1425,'13. Updated Demand'!A:Z,22,FALSE))</f>
        <v>6.12855E-2</v>
      </c>
      <c r="AF1425" s="16">
        <f>IF(ISERROR(VLOOKUP($A1425,'13. Updated Demand'!A:Z,23,FALSE)),0,VLOOKUP($A1425,'13. Updated Demand'!A:Z,23,FALSE))</f>
        <v>6.12855E-2</v>
      </c>
      <c r="AG1425" s="16">
        <f>IF(ISERROR(VLOOKUP($A1425,'13. Updated Demand'!A:Z,24,FALSE)),0,VLOOKUP($A1425,'13. Updated Demand'!A:Z,24,FALSE))</f>
        <v>6.12855E-2</v>
      </c>
      <c r="AH1425" s="16">
        <f>IF(ISERROR(VLOOKUP($A1425,'13. Updated Demand'!A:Z,25,FALSE)),0,VLOOKUP($A1425,'13. Updated Demand'!A:Z,25,FALSE))</f>
        <v>0</v>
      </c>
      <c r="AI1425" s="16">
        <f>IF(ISERROR(VLOOKUP($A1425,'13. Updated Demand'!A:Z,26,FALSE)),0,VLOOKUP($A1425,'13. Updated Demand'!A:Z,26,FALSE))</f>
        <v>0</v>
      </c>
      <c r="AJ1425" s="16">
        <f t="shared" si="277"/>
        <v>0.30642750000000002</v>
      </c>
      <c r="AK1425" s="19">
        <v>0.245142</v>
      </c>
      <c r="AL1425" s="16">
        <f t="shared" si="276"/>
        <v>8.1310808970207963E-4</v>
      </c>
      <c r="AM1425" s="26">
        <v>3.4546505073280724</v>
      </c>
      <c r="AN1425" s="19">
        <v>8.8700000000000001E-2</v>
      </c>
      <c r="AO1425" s="19" t="s">
        <v>1758</v>
      </c>
      <c r="AP1425" s="19">
        <v>0</v>
      </c>
      <c r="AQ1425" s="19" t="s">
        <v>307</v>
      </c>
      <c r="AR1425" s="9" t="s">
        <v>403</v>
      </c>
      <c r="AS1425" s="12">
        <v>0</v>
      </c>
      <c r="AT1425" s="19">
        <v>38.430799999999998</v>
      </c>
      <c r="AU1425" s="19">
        <v>-122.96469999999999</v>
      </c>
      <c r="AV1425" s="19" t="s">
        <v>1784</v>
      </c>
    </row>
    <row r="1426" spans="1:48" x14ac:dyDescent="0.25">
      <c r="A1426" s="18" t="s">
        <v>1792</v>
      </c>
      <c r="B1426" s="10">
        <v>19030101</v>
      </c>
      <c r="C1426" s="9">
        <v>11</v>
      </c>
      <c r="D1426" s="8" t="str">
        <f t="shared" si="267"/>
        <v>N</v>
      </c>
      <c r="E1426" s="8" t="str">
        <f t="shared" si="268"/>
        <v>Y</v>
      </c>
      <c r="F1426" s="8" t="str">
        <f t="shared" si="269"/>
        <v>Y</v>
      </c>
      <c r="G1426" s="8" t="str">
        <f t="shared" si="270"/>
        <v>Y</v>
      </c>
      <c r="H1426" s="8" t="str">
        <f t="shared" si="271"/>
        <v>Upper</v>
      </c>
      <c r="I1426" s="8" t="str">
        <f t="shared" si="272"/>
        <v>West Fork and Below Lake</v>
      </c>
      <c r="J1426" s="8" t="str">
        <f t="shared" si="273"/>
        <v>Sonoma (d/s of Clov. Gage)</v>
      </c>
      <c r="K1426" s="8" t="str">
        <f t="shared" si="274"/>
        <v>pre-1914</v>
      </c>
      <c r="L1426" s="8">
        <f t="shared" si="275"/>
        <v>1903</v>
      </c>
      <c r="M1426" s="8" t="s">
        <v>179</v>
      </c>
      <c r="N1426" s="10" t="s">
        <v>242</v>
      </c>
      <c r="O1426" s="10" t="s">
        <v>241</v>
      </c>
      <c r="P1426" s="10" t="s">
        <v>241</v>
      </c>
      <c r="Q1426" s="10" t="s">
        <v>242</v>
      </c>
      <c r="R1426" s="10" t="s">
        <v>242</v>
      </c>
      <c r="S1426" s="10" t="s">
        <v>242</v>
      </c>
      <c r="T1426" s="10" t="s">
        <v>242</v>
      </c>
      <c r="U1426" s="10" t="s">
        <v>242</v>
      </c>
      <c r="V1426" s="10" t="s">
        <v>242</v>
      </c>
      <c r="W1426" s="10" t="s">
        <v>242</v>
      </c>
      <c r="X1426" s="15">
        <f>IF(ISERROR(VLOOKUP($A1426,'13. Updated Demand'!A:Z,15,FALSE)),0,VLOOKUP($A1426,'13. Updated Demand'!A:Z,15,FALSE))</f>
        <v>1.0200000000000001E-5</v>
      </c>
      <c r="Y1426" s="16">
        <f>IF(ISERROR(VLOOKUP($A1426,'13. Updated Demand'!A:Z,16,FALSE)),0,VLOOKUP($A1426,'13. Updated Demand'!A:Z,16,FALSE))</f>
        <v>0</v>
      </c>
      <c r="Z1426" s="16">
        <f>IF(ISERROR(VLOOKUP($A1426,'13. Updated Demand'!A:Z,17,FALSE)),0,VLOOKUP($A1426,'13. Updated Demand'!A:Z,17,FALSE))</f>
        <v>0.4</v>
      </c>
      <c r="AA1426" s="16">
        <f>IF(ISERROR(VLOOKUP($A1426,'13. Updated Demand'!A:Z,18,FALSE)),0,VLOOKUP($A1426,'13. Updated Demand'!A:Z,18,FALSE))</f>
        <v>0.12</v>
      </c>
      <c r="AB1426" s="16">
        <f>IF(ISERROR(VLOOKUP($A1426,'13. Updated Demand'!A:Z,19,FALSE)),0,VLOOKUP($A1426,'13. Updated Demand'!A:Z,19,FALSE))</f>
        <v>0.08</v>
      </c>
      <c r="AC1426" s="16">
        <f>IF(ISERROR(VLOOKUP($A1426,'13. Updated Demand'!A:Z,20,FALSE)),0,VLOOKUP($A1426,'13. Updated Demand'!A:Z,20,FALSE))</f>
        <v>0.09</v>
      </c>
      <c r="AD1426" s="16">
        <f>IF(ISERROR(VLOOKUP($A1426,'13. Updated Demand'!A:Z,21,FALSE)),0,VLOOKUP($A1426,'13. Updated Demand'!A:Z,21,FALSE))</f>
        <v>0.02</v>
      </c>
      <c r="AE1426" s="16">
        <f>IF(ISERROR(VLOOKUP($A1426,'13. Updated Demand'!A:Z,22,FALSE)),0,VLOOKUP($A1426,'13. Updated Demand'!A:Z,22,FALSE))</f>
        <v>0.13</v>
      </c>
      <c r="AF1426" s="16">
        <f>IF(ISERROR(VLOOKUP($A1426,'13. Updated Demand'!A:Z,23,FALSE)),0,VLOOKUP($A1426,'13. Updated Demand'!A:Z,23,FALSE))</f>
        <v>0.09</v>
      </c>
      <c r="AG1426" s="16">
        <f>IF(ISERROR(VLOOKUP($A1426,'13. Updated Demand'!A:Z,24,FALSE)),0,VLOOKUP($A1426,'13. Updated Demand'!A:Z,24,FALSE))</f>
        <v>0.05</v>
      </c>
      <c r="AH1426" s="16">
        <f>IF(ISERROR(VLOOKUP($A1426,'13. Updated Demand'!A:Z,25,FALSE)),0,VLOOKUP($A1426,'13. Updated Demand'!A:Z,25,FALSE))</f>
        <v>4.4805699999999997E-3</v>
      </c>
      <c r="AI1426" s="16">
        <f>IF(ISERROR(VLOOKUP($A1426,'13. Updated Demand'!A:Z,26,FALSE)),0,VLOOKUP($A1426,'13. Updated Demand'!A:Z,26,FALSE))</f>
        <v>0.04</v>
      </c>
      <c r="AJ1426" s="16">
        <f t="shared" si="277"/>
        <v>1.0244907699999999</v>
      </c>
      <c r="AK1426" s="19">
        <v>0.42752627700000001</v>
      </c>
      <c r="AL1426" s="16">
        <f t="shared" si="276"/>
        <v>1.4180559609895985E-3</v>
      </c>
      <c r="AM1426" s="26">
        <v>12.658780999999999</v>
      </c>
      <c r="AN1426" s="19">
        <v>8.4000000000000005E-2</v>
      </c>
      <c r="AO1426" s="19" t="s">
        <v>1758</v>
      </c>
      <c r="AP1426" s="19">
        <v>0</v>
      </c>
      <c r="AQ1426" s="19" t="s">
        <v>307</v>
      </c>
      <c r="AR1426" s="9" t="s">
        <v>308</v>
      </c>
      <c r="AS1426" s="12">
        <v>3.4039024194010059E-4</v>
      </c>
      <c r="AT1426" s="19">
        <v>38.634523110000003</v>
      </c>
      <c r="AU1426" s="19">
        <v>-122.66309227000001</v>
      </c>
      <c r="AV1426" s="19" t="s">
        <v>358</v>
      </c>
    </row>
    <row r="1427" spans="1:48" x14ac:dyDescent="0.25">
      <c r="A1427" s="18" t="s">
        <v>1793</v>
      </c>
      <c r="B1427" s="10">
        <v>19030101</v>
      </c>
      <c r="C1427" s="9">
        <v>11</v>
      </c>
      <c r="D1427" s="8" t="str">
        <f t="shared" si="267"/>
        <v>N</v>
      </c>
      <c r="E1427" s="8" t="str">
        <f t="shared" si="268"/>
        <v>Y</v>
      </c>
      <c r="F1427" s="8" t="str">
        <f t="shared" si="269"/>
        <v>Y</v>
      </c>
      <c r="G1427" s="8" t="str">
        <f t="shared" si="270"/>
        <v>Y</v>
      </c>
      <c r="H1427" s="8" t="str">
        <f t="shared" si="271"/>
        <v>Upper</v>
      </c>
      <c r="I1427" s="8" t="str">
        <f t="shared" si="272"/>
        <v>West Fork and Below Lake</v>
      </c>
      <c r="J1427" s="8" t="str">
        <f t="shared" si="273"/>
        <v>Sonoma (d/s of Clov. Gage)</v>
      </c>
      <c r="K1427" s="8" t="str">
        <f t="shared" si="274"/>
        <v>pre-1914</v>
      </c>
      <c r="L1427" s="8">
        <f t="shared" si="275"/>
        <v>1903</v>
      </c>
      <c r="M1427" s="8" t="s">
        <v>179</v>
      </c>
      <c r="N1427" s="10" t="s">
        <v>242</v>
      </c>
      <c r="O1427" s="10" t="s">
        <v>241</v>
      </c>
      <c r="P1427" s="10" t="s">
        <v>241</v>
      </c>
      <c r="Q1427" s="10" t="s">
        <v>242</v>
      </c>
      <c r="R1427" s="10" t="s">
        <v>242</v>
      </c>
      <c r="S1427" s="10" t="s">
        <v>242</v>
      </c>
      <c r="T1427" s="10" t="s">
        <v>242</v>
      </c>
      <c r="U1427" s="10" t="s">
        <v>242</v>
      </c>
      <c r="V1427" s="10" t="s">
        <v>242</v>
      </c>
      <c r="W1427" s="10" t="s">
        <v>242</v>
      </c>
      <c r="X1427" s="15">
        <f>IF(ISERROR(VLOOKUP($A1427,'13. Updated Demand'!A:Z,15,FALSE)),0,VLOOKUP($A1427,'13. Updated Demand'!A:Z,15,FALSE))</f>
        <v>0.05</v>
      </c>
      <c r="Y1427" s="16">
        <f>IF(ISERROR(VLOOKUP($A1427,'13. Updated Demand'!A:Z,16,FALSE)),0,VLOOKUP($A1427,'13. Updated Demand'!A:Z,16,FALSE))</f>
        <v>0.05</v>
      </c>
      <c r="Z1427" s="16">
        <f>IF(ISERROR(VLOOKUP($A1427,'13. Updated Demand'!A:Z,17,FALSE)),0,VLOOKUP($A1427,'13. Updated Demand'!A:Z,17,FALSE))</f>
        <v>0.05</v>
      </c>
      <c r="AA1427" s="16">
        <f>IF(ISERROR(VLOOKUP($A1427,'13. Updated Demand'!A:Z,18,FALSE)),0,VLOOKUP($A1427,'13. Updated Demand'!A:Z,18,FALSE))</f>
        <v>0.05</v>
      </c>
      <c r="AB1427" s="16">
        <f>IF(ISERROR(VLOOKUP($A1427,'13. Updated Demand'!A:Z,19,FALSE)),0,VLOOKUP($A1427,'13. Updated Demand'!A:Z,19,FALSE))</f>
        <v>0.05</v>
      </c>
      <c r="AC1427" s="16">
        <f>IF(ISERROR(VLOOKUP($A1427,'13. Updated Demand'!A:Z,20,FALSE)),0,VLOOKUP($A1427,'13. Updated Demand'!A:Z,20,FALSE))</f>
        <v>0.05</v>
      </c>
      <c r="AD1427" s="16">
        <f>IF(ISERROR(VLOOKUP($A1427,'13. Updated Demand'!A:Z,21,FALSE)),0,VLOOKUP($A1427,'13. Updated Demand'!A:Z,21,FALSE))</f>
        <v>0.06</v>
      </c>
      <c r="AE1427" s="16">
        <f>IF(ISERROR(VLOOKUP($A1427,'13. Updated Demand'!A:Z,22,FALSE)),0,VLOOKUP($A1427,'13. Updated Demand'!A:Z,22,FALSE))</f>
        <v>0.06</v>
      </c>
      <c r="AF1427" s="16">
        <f>IF(ISERROR(VLOOKUP($A1427,'13. Updated Demand'!A:Z,23,FALSE)),0,VLOOKUP($A1427,'13. Updated Demand'!A:Z,23,FALSE))</f>
        <v>0.05</v>
      </c>
      <c r="AG1427" s="16">
        <f>IF(ISERROR(VLOOKUP($A1427,'13. Updated Demand'!A:Z,24,FALSE)),0,VLOOKUP($A1427,'13. Updated Demand'!A:Z,24,FALSE))</f>
        <v>0.05</v>
      </c>
      <c r="AH1427" s="16">
        <f>IF(ISERROR(VLOOKUP($A1427,'13. Updated Demand'!A:Z,25,FALSE)),0,VLOOKUP($A1427,'13. Updated Demand'!A:Z,25,FALSE))</f>
        <v>0.05</v>
      </c>
      <c r="AI1427" s="16">
        <f>IF(ISERROR(VLOOKUP($A1427,'13. Updated Demand'!A:Z,26,FALSE)),0,VLOOKUP($A1427,'13. Updated Demand'!A:Z,26,FALSE))</f>
        <v>0.05</v>
      </c>
      <c r="AJ1427" s="16">
        <f t="shared" si="277"/>
        <v>0.62000000000000011</v>
      </c>
      <c r="AK1427" s="19">
        <v>0.29399900000000001</v>
      </c>
      <c r="AL1427" s="16">
        <f t="shared" si="276"/>
        <v>9.7516119336679046E-4</v>
      </c>
      <c r="AM1427" s="26">
        <v>3.9822380952380945</v>
      </c>
      <c r="AN1427" s="19">
        <v>0.16800000000000001</v>
      </c>
      <c r="AO1427" s="19" t="s">
        <v>1758</v>
      </c>
      <c r="AP1427" s="19">
        <v>0</v>
      </c>
      <c r="AQ1427" s="19" t="s">
        <v>307</v>
      </c>
      <c r="AR1427" s="9" t="s">
        <v>308</v>
      </c>
      <c r="AS1427" s="12">
        <v>3.4039024194010059E-4</v>
      </c>
      <c r="AT1427" s="19">
        <v>38.634523110000003</v>
      </c>
      <c r="AU1427" s="19">
        <v>-122.66309227000001</v>
      </c>
      <c r="AV1427" s="19" t="s">
        <v>358</v>
      </c>
    </row>
    <row r="1428" spans="1:48" x14ac:dyDescent="0.25">
      <c r="A1428" s="18" t="s">
        <v>1794</v>
      </c>
      <c r="B1428" s="10">
        <v>19020101</v>
      </c>
      <c r="C1428" s="9">
        <v>9</v>
      </c>
      <c r="D1428" s="8" t="str">
        <f t="shared" si="267"/>
        <v>N</v>
      </c>
      <c r="E1428" s="8" t="str">
        <f t="shared" si="268"/>
        <v>Y</v>
      </c>
      <c r="F1428" s="8" t="str">
        <f t="shared" si="269"/>
        <v>Y</v>
      </c>
      <c r="G1428" s="8" t="str">
        <f t="shared" si="270"/>
        <v>Y</v>
      </c>
      <c r="H1428" s="8" t="str">
        <f t="shared" si="271"/>
        <v>Upper</v>
      </c>
      <c r="I1428" s="8" t="str">
        <f t="shared" si="272"/>
        <v>West Fork and Below Lake</v>
      </c>
      <c r="J1428" s="8" t="str">
        <f t="shared" si="273"/>
        <v>Sonoma (d/s of Clov. Gage)</v>
      </c>
      <c r="K1428" s="8" t="str">
        <f t="shared" si="274"/>
        <v>pre-1914</v>
      </c>
      <c r="L1428" s="8">
        <f t="shared" si="275"/>
        <v>1902</v>
      </c>
      <c r="M1428" s="8" t="s">
        <v>179</v>
      </c>
      <c r="N1428" s="10" t="s">
        <v>241</v>
      </c>
      <c r="O1428" s="10" t="s">
        <v>241</v>
      </c>
      <c r="P1428" s="10" t="s">
        <v>241</v>
      </c>
      <c r="Q1428" s="10" t="s">
        <v>242</v>
      </c>
      <c r="R1428" s="10" t="s">
        <v>242</v>
      </c>
      <c r="S1428" s="10" t="s">
        <v>242</v>
      </c>
      <c r="T1428" s="10" t="s">
        <v>242</v>
      </c>
      <c r="U1428" s="10" t="s">
        <v>242</v>
      </c>
      <c r="V1428" s="10" t="s">
        <v>242</v>
      </c>
      <c r="W1428" s="10" t="s">
        <v>242</v>
      </c>
      <c r="X1428" s="15">
        <f>IF(ISERROR(VLOOKUP($A1428,'13. Updated Demand'!A:Z,15,FALSE)),0,VLOOKUP($A1428,'13. Updated Demand'!A:Z,15,FALSE))</f>
        <v>0</v>
      </c>
      <c r="Y1428" s="16">
        <f>IF(ISERROR(VLOOKUP($A1428,'13. Updated Demand'!A:Z,16,FALSE)),0,VLOOKUP($A1428,'13. Updated Demand'!A:Z,16,FALSE))</f>
        <v>0</v>
      </c>
      <c r="Z1428" s="16">
        <f>IF(ISERROR(VLOOKUP($A1428,'13. Updated Demand'!A:Z,17,FALSE)),0,VLOOKUP($A1428,'13. Updated Demand'!A:Z,17,FALSE))</f>
        <v>0</v>
      </c>
      <c r="AA1428" s="16">
        <f>IF(ISERROR(VLOOKUP($A1428,'13. Updated Demand'!A:Z,18,FALSE)),0,VLOOKUP($A1428,'13. Updated Demand'!A:Z,18,FALSE))</f>
        <v>1.2</v>
      </c>
      <c r="AB1428" s="16">
        <f>IF(ISERROR(VLOOKUP($A1428,'13. Updated Demand'!A:Z,19,FALSE)),0,VLOOKUP($A1428,'13. Updated Demand'!A:Z,19,FALSE))</f>
        <v>1.73</v>
      </c>
      <c r="AC1428" s="16">
        <f>IF(ISERROR(VLOOKUP($A1428,'13. Updated Demand'!A:Z,20,FALSE)),0,VLOOKUP($A1428,'13. Updated Demand'!A:Z,20,FALSE))</f>
        <v>2.86</v>
      </c>
      <c r="AD1428" s="16">
        <f>IF(ISERROR(VLOOKUP($A1428,'13. Updated Demand'!A:Z,21,FALSE)),0,VLOOKUP($A1428,'13. Updated Demand'!A:Z,21,FALSE))</f>
        <v>3.63</v>
      </c>
      <c r="AE1428" s="16">
        <f>IF(ISERROR(VLOOKUP($A1428,'13. Updated Demand'!A:Z,22,FALSE)),0,VLOOKUP($A1428,'13. Updated Demand'!A:Z,22,FALSE))</f>
        <v>1.26</v>
      </c>
      <c r="AF1428" s="16">
        <f>IF(ISERROR(VLOOKUP($A1428,'13. Updated Demand'!A:Z,23,FALSE)),0,VLOOKUP($A1428,'13. Updated Demand'!A:Z,23,FALSE))</f>
        <v>1.76</v>
      </c>
      <c r="AG1428" s="16">
        <f>IF(ISERROR(VLOOKUP($A1428,'13. Updated Demand'!A:Z,24,FALSE)),0,VLOOKUP($A1428,'13. Updated Demand'!A:Z,24,FALSE))</f>
        <v>0.2</v>
      </c>
      <c r="AH1428" s="16">
        <f>IF(ISERROR(VLOOKUP($A1428,'13. Updated Demand'!A:Z,25,FALSE)),0,VLOOKUP($A1428,'13. Updated Demand'!A:Z,25,FALSE))</f>
        <v>0.1</v>
      </c>
      <c r="AI1428" s="16">
        <f>IF(ISERROR(VLOOKUP($A1428,'13. Updated Demand'!A:Z,26,FALSE)),0,VLOOKUP($A1428,'13. Updated Demand'!A:Z,26,FALSE))</f>
        <v>0</v>
      </c>
      <c r="AJ1428" s="16">
        <f t="shared" si="277"/>
        <v>12.739999999999997</v>
      </c>
      <c r="AK1428" s="19">
        <v>11.266666666666669</v>
      </c>
      <c r="AL1428" s="16">
        <f t="shared" si="276"/>
        <v>3.7370249939396083E-2</v>
      </c>
      <c r="AM1428" s="26">
        <v>7.8327913777941391E-2</v>
      </c>
      <c r="AN1428" s="19">
        <v>162.99</v>
      </c>
      <c r="AO1428" s="19" t="s">
        <v>1758</v>
      </c>
      <c r="AP1428" s="19">
        <v>0</v>
      </c>
      <c r="AQ1428" s="19" t="s">
        <v>307</v>
      </c>
      <c r="AR1428" s="9" t="s">
        <v>354</v>
      </c>
      <c r="AS1428" s="12">
        <v>3.4039024194010059E-4</v>
      </c>
      <c r="AT1428" s="19">
        <v>38.736499999999999</v>
      </c>
      <c r="AU1428" s="19">
        <v>-122.93859999999999</v>
      </c>
      <c r="AV1428" s="19" t="s">
        <v>387</v>
      </c>
    </row>
    <row r="1429" spans="1:48" x14ac:dyDescent="0.25">
      <c r="A1429" s="18" t="s">
        <v>1795</v>
      </c>
      <c r="B1429" s="10">
        <v>19020101</v>
      </c>
      <c r="C1429" s="9">
        <v>9</v>
      </c>
      <c r="D1429" s="8" t="str">
        <f t="shared" si="267"/>
        <v>N</v>
      </c>
      <c r="E1429" s="8" t="str">
        <f t="shared" si="268"/>
        <v>Y</v>
      </c>
      <c r="F1429" s="8" t="str">
        <f t="shared" si="269"/>
        <v>Y</v>
      </c>
      <c r="G1429" s="8" t="str">
        <f t="shared" si="270"/>
        <v>Y</v>
      </c>
      <c r="H1429" s="8" t="str">
        <f t="shared" si="271"/>
        <v>Upper</v>
      </c>
      <c r="I1429" s="8" t="str">
        <f t="shared" si="272"/>
        <v>West Fork and Below Lake</v>
      </c>
      <c r="J1429" s="8" t="str">
        <f t="shared" si="273"/>
        <v>Sonoma (d/s of Clov. Gage)</v>
      </c>
      <c r="K1429" s="8" t="str">
        <f t="shared" si="274"/>
        <v>pre-1914</v>
      </c>
      <c r="L1429" s="8">
        <f t="shared" si="275"/>
        <v>1902</v>
      </c>
      <c r="M1429" s="8" t="s">
        <v>179</v>
      </c>
      <c r="N1429" s="10" t="s">
        <v>241</v>
      </c>
      <c r="O1429" s="10" t="s">
        <v>241</v>
      </c>
      <c r="P1429" s="10" t="s">
        <v>241</v>
      </c>
      <c r="Q1429" s="10" t="s">
        <v>242</v>
      </c>
      <c r="R1429" s="10" t="s">
        <v>242</v>
      </c>
      <c r="S1429" s="10" t="s">
        <v>242</v>
      </c>
      <c r="T1429" s="10" t="s">
        <v>242</v>
      </c>
      <c r="U1429" s="10" t="s">
        <v>241</v>
      </c>
      <c r="V1429" s="10" t="s">
        <v>241</v>
      </c>
      <c r="W1429" s="10" t="s">
        <v>242</v>
      </c>
      <c r="X1429" s="15">
        <f>IF(ISERROR(VLOOKUP($A1429,'13. Updated Demand'!A:Z,15,FALSE)),0,VLOOKUP($A1429,'13. Updated Demand'!A:Z,15,FALSE))</f>
        <v>0</v>
      </c>
      <c r="Y1429" s="16">
        <f>IF(ISERROR(VLOOKUP($A1429,'13. Updated Demand'!A:Z,16,FALSE)),0,VLOOKUP($A1429,'13. Updated Demand'!A:Z,16,FALSE))</f>
        <v>0</v>
      </c>
      <c r="Z1429" s="16">
        <f>IF(ISERROR(VLOOKUP($A1429,'13. Updated Demand'!A:Z,17,FALSE)),0,VLOOKUP($A1429,'13. Updated Demand'!A:Z,17,FALSE))</f>
        <v>0</v>
      </c>
      <c r="AA1429" s="16">
        <f>IF(ISERROR(VLOOKUP($A1429,'13. Updated Demand'!A:Z,18,FALSE)),0,VLOOKUP($A1429,'13. Updated Demand'!A:Z,18,FALSE))</f>
        <v>0</v>
      </c>
      <c r="AB1429" s="16">
        <f>IF(ISERROR(VLOOKUP($A1429,'13. Updated Demand'!A:Z,19,FALSE)),0,VLOOKUP($A1429,'13. Updated Demand'!A:Z,19,FALSE))</f>
        <v>0</v>
      </c>
      <c r="AC1429" s="16">
        <f>IF(ISERROR(VLOOKUP($A1429,'13. Updated Demand'!A:Z,20,FALSE)),0,VLOOKUP($A1429,'13. Updated Demand'!A:Z,20,FALSE))</f>
        <v>0</v>
      </c>
      <c r="AD1429" s="16">
        <f>IF(ISERROR(VLOOKUP($A1429,'13. Updated Demand'!A:Z,21,FALSE)),0,VLOOKUP($A1429,'13. Updated Demand'!A:Z,21,FALSE))</f>
        <v>0</v>
      </c>
      <c r="AE1429" s="16">
        <f>IF(ISERROR(VLOOKUP($A1429,'13. Updated Demand'!A:Z,22,FALSE)),0,VLOOKUP($A1429,'13. Updated Demand'!A:Z,22,FALSE))</f>
        <v>0</v>
      </c>
      <c r="AF1429" s="16">
        <f>IF(ISERROR(VLOOKUP($A1429,'13. Updated Demand'!A:Z,23,FALSE)),0,VLOOKUP($A1429,'13. Updated Demand'!A:Z,23,FALSE))</f>
        <v>0</v>
      </c>
      <c r="AG1429" s="16">
        <f>IF(ISERROR(VLOOKUP($A1429,'13. Updated Demand'!A:Z,24,FALSE)),0,VLOOKUP($A1429,'13. Updated Demand'!A:Z,24,FALSE))</f>
        <v>0</v>
      </c>
      <c r="AH1429" s="16">
        <f>IF(ISERROR(VLOOKUP($A1429,'13. Updated Demand'!A:Z,25,FALSE)),0,VLOOKUP($A1429,'13. Updated Demand'!A:Z,25,FALSE))</f>
        <v>0</v>
      </c>
      <c r="AI1429" s="16">
        <f>IF(ISERROR(VLOOKUP($A1429,'13. Updated Demand'!A:Z,26,FALSE)),0,VLOOKUP($A1429,'13. Updated Demand'!A:Z,26,FALSE))</f>
        <v>0</v>
      </c>
      <c r="AJ1429" s="16">
        <f t="shared" si="277"/>
        <v>0</v>
      </c>
      <c r="AK1429" s="19">
        <v>0</v>
      </c>
      <c r="AL1429" s="16">
        <f t="shared" si="276"/>
        <v>0</v>
      </c>
      <c r="AM1429" s="26">
        <v>0</v>
      </c>
      <c r="AN1429" s="19">
        <v>79.683999999999997</v>
      </c>
      <c r="AO1429" s="19" t="s">
        <v>1758</v>
      </c>
      <c r="AP1429" s="19">
        <v>0</v>
      </c>
      <c r="AQ1429" s="19" t="s">
        <v>307</v>
      </c>
      <c r="AR1429" s="9" t="s">
        <v>354</v>
      </c>
      <c r="AS1429" s="12">
        <v>3.4039024194010059E-4</v>
      </c>
      <c r="AT1429" s="19">
        <v>38.738100000000003</v>
      </c>
      <c r="AU1429" s="19">
        <v>-122.941</v>
      </c>
      <c r="AV1429" s="19" t="s">
        <v>387</v>
      </c>
    </row>
    <row r="1430" spans="1:48" x14ac:dyDescent="0.25">
      <c r="A1430" s="18" t="s">
        <v>1796</v>
      </c>
      <c r="B1430" s="10">
        <v>19020101</v>
      </c>
      <c r="C1430" s="9">
        <v>9</v>
      </c>
      <c r="D1430" s="8" t="str">
        <f t="shared" si="267"/>
        <v>N</v>
      </c>
      <c r="E1430" s="8" t="str">
        <f t="shared" si="268"/>
        <v>Y</v>
      </c>
      <c r="F1430" s="8" t="str">
        <f t="shared" si="269"/>
        <v>Y</v>
      </c>
      <c r="G1430" s="8" t="str">
        <f t="shared" si="270"/>
        <v>Y</v>
      </c>
      <c r="H1430" s="8" t="str">
        <f t="shared" si="271"/>
        <v>Upper</v>
      </c>
      <c r="I1430" s="8" t="str">
        <f t="shared" si="272"/>
        <v>West Fork and Below Lake</v>
      </c>
      <c r="J1430" s="8" t="str">
        <f t="shared" si="273"/>
        <v>Sonoma (d/s of Clov. Gage)</v>
      </c>
      <c r="K1430" s="8" t="str">
        <f t="shared" si="274"/>
        <v>pre-1914</v>
      </c>
      <c r="L1430" s="8">
        <f t="shared" si="275"/>
        <v>1902</v>
      </c>
      <c r="M1430" s="8" t="s">
        <v>179</v>
      </c>
      <c r="N1430" s="10" t="s">
        <v>241</v>
      </c>
      <c r="O1430" s="10" t="s">
        <v>241</v>
      </c>
      <c r="P1430" s="10" t="s">
        <v>241</v>
      </c>
      <c r="Q1430" s="10" t="s">
        <v>242</v>
      </c>
      <c r="R1430" s="10" t="s">
        <v>242</v>
      </c>
      <c r="S1430" s="10" t="s">
        <v>242</v>
      </c>
      <c r="T1430" s="10" t="s">
        <v>242</v>
      </c>
      <c r="U1430" s="10" t="s">
        <v>241</v>
      </c>
      <c r="V1430" s="10" t="s">
        <v>241</v>
      </c>
      <c r="W1430" s="10" t="s">
        <v>242</v>
      </c>
      <c r="X1430" s="15">
        <f>IF(ISERROR(VLOOKUP($A1430,'13. Updated Demand'!A:Z,15,FALSE)),0,VLOOKUP($A1430,'13. Updated Demand'!A:Z,15,FALSE))</f>
        <v>0</v>
      </c>
      <c r="Y1430" s="16">
        <f>IF(ISERROR(VLOOKUP($A1430,'13. Updated Demand'!A:Z,16,FALSE)),0,VLOOKUP($A1430,'13. Updated Demand'!A:Z,16,FALSE))</f>
        <v>0</v>
      </c>
      <c r="Z1430" s="16">
        <f>IF(ISERROR(VLOOKUP($A1430,'13. Updated Demand'!A:Z,17,FALSE)),0,VLOOKUP($A1430,'13. Updated Demand'!A:Z,17,FALSE))</f>
        <v>0</v>
      </c>
      <c r="AA1430" s="16">
        <f>IF(ISERROR(VLOOKUP($A1430,'13. Updated Demand'!A:Z,18,FALSE)),0,VLOOKUP($A1430,'13. Updated Demand'!A:Z,18,FALSE))</f>
        <v>0</v>
      </c>
      <c r="AB1430" s="16">
        <f>IF(ISERROR(VLOOKUP($A1430,'13. Updated Demand'!A:Z,19,FALSE)),0,VLOOKUP($A1430,'13. Updated Demand'!A:Z,19,FALSE))</f>
        <v>0</v>
      </c>
      <c r="AC1430" s="16">
        <f>IF(ISERROR(VLOOKUP($A1430,'13. Updated Demand'!A:Z,20,FALSE)),0,VLOOKUP($A1430,'13. Updated Demand'!A:Z,20,FALSE))</f>
        <v>0</v>
      </c>
      <c r="AD1430" s="16">
        <f>IF(ISERROR(VLOOKUP($A1430,'13. Updated Demand'!A:Z,21,FALSE)),0,VLOOKUP($A1430,'13. Updated Demand'!A:Z,21,FALSE))</f>
        <v>0</v>
      </c>
      <c r="AE1430" s="16">
        <f>IF(ISERROR(VLOOKUP($A1430,'13. Updated Demand'!A:Z,22,FALSE)),0,VLOOKUP($A1430,'13. Updated Demand'!A:Z,22,FALSE))</f>
        <v>0</v>
      </c>
      <c r="AF1430" s="16">
        <f>IF(ISERROR(VLOOKUP($A1430,'13. Updated Demand'!A:Z,23,FALSE)),0,VLOOKUP($A1430,'13. Updated Demand'!A:Z,23,FALSE))</f>
        <v>0</v>
      </c>
      <c r="AG1430" s="16">
        <f>IF(ISERROR(VLOOKUP($A1430,'13. Updated Demand'!A:Z,24,FALSE)),0,VLOOKUP($A1430,'13. Updated Demand'!A:Z,24,FALSE))</f>
        <v>0</v>
      </c>
      <c r="AH1430" s="16">
        <f>IF(ISERROR(VLOOKUP($A1430,'13. Updated Demand'!A:Z,25,FALSE)),0,VLOOKUP($A1430,'13. Updated Demand'!A:Z,25,FALSE))</f>
        <v>0</v>
      </c>
      <c r="AI1430" s="16">
        <f>IF(ISERROR(VLOOKUP($A1430,'13. Updated Demand'!A:Z,26,FALSE)),0,VLOOKUP($A1430,'13. Updated Demand'!A:Z,26,FALSE))</f>
        <v>0</v>
      </c>
      <c r="AJ1430" s="16">
        <f t="shared" si="277"/>
        <v>0</v>
      </c>
      <c r="AK1430" s="19">
        <v>0</v>
      </c>
      <c r="AL1430" s="16">
        <f t="shared" si="276"/>
        <v>0</v>
      </c>
      <c r="AM1430" s="26">
        <v>0</v>
      </c>
      <c r="AN1430" s="19">
        <v>32.597999999999999</v>
      </c>
      <c r="AO1430" s="19" t="s">
        <v>1758</v>
      </c>
      <c r="AP1430" s="19">
        <v>0</v>
      </c>
      <c r="AQ1430" s="19" t="s">
        <v>307</v>
      </c>
      <c r="AR1430" s="9" t="s">
        <v>354</v>
      </c>
      <c r="AS1430" s="12">
        <v>3.4039024194010059E-4</v>
      </c>
      <c r="AT1430" s="19">
        <v>38.738300000000002</v>
      </c>
      <c r="AU1430" s="19">
        <v>-122.9404</v>
      </c>
      <c r="AV1430" s="19" t="s">
        <v>387</v>
      </c>
    </row>
    <row r="1431" spans="1:48" x14ac:dyDescent="0.25">
      <c r="A1431" s="18" t="s">
        <v>1797</v>
      </c>
      <c r="B1431" s="10">
        <v>19020101</v>
      </c>
      <c r="C1431" s="9">
        <v>9</v>
      </c>
      <c r="D1431" s="8" t="str">
        <f t="shared" si="267"/>
        <v>N</v>
      </c>
      <c r="E1431" s="8" t="str">
        <f t="shared" si="268"/>
        <v>Y</v>
      </c>
      <c r="F1431" s="8" t="str">
        <f t="shared" si="269"/>
        <v>Y</v>
      </c>
      <c r="G1431" s="8" t="str">
        <f t="shared" si="270"/>
        <v>Y</v>
      </c>
      <c r="H1431" s="8" t="str">
        <f t="shared" si="271"/>
        <v>Upper</v>
      </c>
      <c r="I1431" s="8" t="str">
        <f t="shared" si="272"/>
        <v>West Fork and Below Lake</v>
      </c>
      <c r="J1431" s="8" t="str">
        <f t="shared" si="273"/>
        <v>Sonoma (d/s of Clov. Gage)</v>
      </c>
      <c r="K1431" s="8" t="str">
        <f t="shared" si="274"/>
        <v>pre-1914</v>
      </c>
      <c r="L1431" s="8">
        <f t="shared" si="275"/>
        <v>1902</v>
      </c>
      <c r="M1431" s="8" t="s">
        <v>179</v>
      </c>
      <c r="N1431" s="10" t="s">
        <v>241</v>
      </c>
      <c r="O1431" s="10" t="s">
        <v>241</v>
      </c>
      <c r="P1431" s="10" t="s">
        <v>241</v>
      </c>
      <c r="Q1431" s="10" t="s">
        <v>242</v>
      </c>
      <c r="R1431" s="10" t="s">
        <v>242</v>
      </c>
      <c r="S1431" s="10" t="s">
        <v>242</v>
      </c>
      <c r="T1431" s="10" t="s">
        <v>242</v>
      </c>
      <c r="U1431" s="10" t="s">
        <v>241</v>
      </c>
      <c r="V1431" s="10" t="s">
        <v>241</v>
      </c>
      <c r="W1431" s="10" t="s">
        <v>242</v>
      </c>
      <c r="X1431" s="15">
        <f>IF(ISERROR(VLOOKUP($A1431,'13. Updated Demand'!A:Z,15,FALSE)),0,VLOOKUP($A1431,'13. Updated Demand'!A:Z,15,FALSE))</f>
        <v>0</v>
      </c>
      <c r="Y1431" s="16">
        <f>IF(ISERROR(VLOOKUP($A1431,'13. Updated Demand'!A:Z,16,FALSE)),0,VLOOKUP($A1431,'13. Updated Demand'!A:Z,16,FALSE))</f>
        <v>0</v>
      </c>
      <c r="Z1431" s="16">
        <f>IF(ISERROR(VLOOKUP($A1431,'13. Updated Demand'!A:Z,17,FALSE)),0,VLOOKUP($A1431,'13. Updated Demand'!A:Z,17,FALSE))</f>
        <v>0</v>
      </c>
      <c r="AA1431" s="16">
        <f>IF(ISERROR(VLOOKUP($A1431,'13. Updated Demand'!A:Z,18,FALSE)),0,VLOOKUP($A1431,'13. Updated Demand'!A:Z,18,FALSE))</f>
        <v>0</v>
      </c>
      <c r="AB1431" s="16">
        <f>IF(ISERROR(VLOOKUP($A1431,'13. Updated Demand'!A:Z,19,FALSE)),0,VLOOKUP($A1431,'13. Updated Demand'!A:Z,19,FALSE))</f>
        <v>0</v>
      </c>
      <c r="AC1431" s="16">
        <f>IF(ISERROR(VLOOKUP($A1431,'13. Updated Demand'!A:Z,20,FALSE)),0,VLOOKUP($A1431,'13. Updated Demand'!A:Z,20,FALSE))</f>
        <v>0</v>
      </c>
      <c r="AD1431" s="16">
        <f>IF(ISERROR(VLOOKUP($A1431,'13. Updated Demand'!A:Z,21,FALSE)),0,VLOOKUP($A1431,'13. Updated Demand'!A:Z,21,FALSE))</f>
        <v>0</v>
      </c>
      <c r="AE1431" s="16">
        <f>IF(ISERROR(VLOOKUP($A1431,'13. Updated Demand'!A:Z,22,FALSE)),0,VLOOKUP($A1431,'13. Updated Demand'!A:Z,22,FALSE))</f>
        <v>0</v>
      </c>
      <c r="AF1431" s="16">
        <f>IF(ISERROR(VLOOKUP($A1431,'13. Updated Demand'!A:Z,23,FALSE)),0,VLOOKUP($A1431,'13. Updated Demand'!A:Z,23,FALSE))</f>
        <v>0</v>
      </c>
      <c r="AG1431" s="16">
        <f>IF(ISERROR(VLOOKUP($A1431,'13. Updated Demand'!A:Z,24,FALSE)),0,VLOOKUP($A1431,'13. Updated Demand'!A:Z,24,FALSE))</f>
        <v>0</v>
      </c>
      <c r="AH1431" s="16">
        <f>IF(ISERROR(VLOOKUP($A1431,'13. Updated Demand'!A:Z,25,FALSE)),0,VLOOKUP($A1431,'13. Updated Demand'!A:Z,25,FALSE))</f>
        <v>0</v>
      </c>
      <c r="AI1431" s="16">
        <f>IF(ISERROR(VLOOKUP($A1431,'13. Updated Demand'!A:Z,26,FALSE)),0,VLOOKUP($A1431,'13. Updated Demand'!A:Z,26,FALSE))</f>
        <v>0</v>
      </c>
      <c r="AJ1431" s="16">
        <f t="shared" si="277"/>
        <v>0</v>
      </c>
      <c r="AK1431" s="19">
        <v>0</v>
      </c>
      <c r="AL1431" s="16">
        <f t="shared" si="276"/>
        <v>0</v>
      </c>
      <c r="AM1431" s="26">
        <v>0</v>
      </c>
      <c r="AN1431" s="19">
        <v>119.526</v>
      </c>
      <c r="AO1431" s="19" t="s">
        <v>1758</v>
      </c>
      <c r="AP1431" s="19">
        <v>0</v>
      </c>
      <c r="AQ1431" s="19" t="s">
        <v>307</v>
      </c>
      <c r="AR1431" s="9" t="s">
        <v>354</v>
      </c>
      <c r="AS1431" s="12">
        <v>3.4039024194010059E-4</v>
      </c>
      <c r="AT1431" s="19">
        <v>38.738100000000003</v>
      </c>
      <c r="AU1431" s="19">
        <v>-122.9391</v>
      </c>
      <c r="AV1431" s="19" t="s">
        <v>387</v>
      </c>
    </row>
    <row r="1432" spans="1:48" x14ac:dyDescent="0.25">
      <c r="A1432" s="18" t="s">
        <v>1798</v>
      </c>
      <c r="B1432" s="10">
        <v>19020101</v>
      </c>
      <c r="C1432" s="9">
        <v>9</v>
      </c>
      <c r="D1432" s="8" t="str">
        <f t="shared" si="267"/>
        <v>N</v>
      </c>
      <c r="E1432" s="8" t="str">
        <f t="shared" si="268"/>
        <v>Y</v>
      </c>
      <c r="F1432" s="8" t="str">
        <f t="shared" si="269"/>
        <v>Y</v>
      </c>
      <c r="G1432" s="8" t="str">
        <f t="shared" si="270"/>
        <v>Y</v>
      </c>
      <c r="H1432" s="8" t="str">
        <f t="shared" si="271"/>
        <v>Upper</v>
      </c>
      <c r="I1432" s="8" t="str">
        <f t="shared" si="272"/>
        <v>West Fork and Below Lake</v>
      </c>
      <c r="J1432" s="8" t="str">
        <f t="shared" si="273"/>
        <v>Sonoma (d/s of Clov. Gage)</v>
      </c>
      <c r="K1432" s="8" t="str">
        <f t="shared" si="274"/>
        <v>pre-1914</v>
      </c>
      <c r="L1432" s="8">
        <f t="shared" si="275"/>
        <v>1902</v>
      </c>
      <c r="M1432" s="8" t="s">
        <v>179</v>
      </c>
      <c r="N1432" s="10" t="s">
        <v>241</v>
      </c>
      <c r="O1432" s="10" t="s">
        <v>241</v>
      </c>
      <c r="P1432" s="10" t="s">
        <v>241</v>
      </c>
      <c r="Q1432" s="10" t="s">
        <v>242</v>
      </c>
      <c r="R1432" s="10" t="s">
        <v>242</v>
      </c>
      <c r="S1432" s="10" t="s">
        <v>242</v>
      </c>
      <c r="T1432" s="10" t="s">
        <v>242</v>
      </c>
      <c r="U1432" s="10" t="s">
        <v>242</v>
      </c>
      <c r="V1432" s="10" t="s">
        <v>242</v>
      </c>
      <c r="W1432" s="10" t="s">
        <v>242</v>
      </c>
      <c r="X1432" s="15">
        <f>IF(ISERROR(VLOOKUP($A1432,'13. Updated Demand'!A:Z,15,FALSE)),0,VLOOKUP($A1432,'13. Updated Demand'!A:Z,15,FALSE))</f>
        <v>0</v>
      </c>
      <c r="Y1432" s="16">
        <f>IF(ISERROR(VLOOKUP($A1432,'13. Updated Demand'!A:Z,16,FALSE)),0,VLOOKUP($A1432,'13. Updated Demand'!A:Z,16,FALSE))</f>
        <v>0</v>
      </c>
      <c r="Z1432" s="16">
        <f>IF(ISERROR(VLOOKUP($A1432,'13. Updated Demand'!A:Z,17,FALSE)),0,VLOOKUP($A1432,'13. Updated Demand'!A:Z,17,FALSE))</f>
        <v>0</v>
      </c>
      <c r="AA1432" s="16">
        <f>IF(ISERROR(VLOOKUP($A1432,'13. Updated Demand'!A:Z,18,FALSE)),0,VLOOKUP($A1432,'13. Updated Demand'!A:Z,18,FALSE))</f>
        <v>1.3</v>
      </c>
      <c r="AB1432" s="16">
        <f>IF(ISERROR(VLOOKUP($A1432,'13. Updated Demand'!A:Z,19,FALSE)),0,VLOOKUP($A1432,'13. Updated Demand'!A:Z,19,FALSE))</f>
        <v>7.26</v>
      </c>
      <c r="AC1432" s="16">
        <f>IF(ISERROR(VLOOKUP($A1432,'13. Updated Demand'!A:Z,20,FALSE)),0,VLOOKUP($A1432,'13. Updated Demand'!A:Z,20,FALSE))</f>
        <v>15.96</v>
      </c>
      <c r="AD1432" s="16">
        <f>IF(ISERROR(VLOOKUP($A1432,'13. Updated Demand'!A:Z,21,FALSE)),0,VLOOKUP($A1432,'13. Updated Demand'!A:Z,21,FALSE))</f>
        <v>26.43</v>
      </c>
      <c r="AE1432" s="16">
        <f>IF(ISERROR(VLOOKUP($A1432,'13. Updated Demand'!A:Z,22,FALSE)),0,VLOOKUP($A1432,'13. Updated Demand'!A:Z,22,FALSE))</f>
        <v>23</v>
      </c>
      <c r="AF1432" s="16">
        <f>IF(ISERROR(VLOOKUP($A1432,'13. Updated Demand'!A:Z,23,FALSE)),0,VLOOKUP($A1432,'13. Updated Demand'!A:Z,23,FALSE))</f>
        <v>14.73</v>
      </c>
      <c r="AG1432" s="16">
        <f>IF(ISERROR(VLOOKUP($A1432,'13. Updated Demand'!A:Z,24,FALSE)),0,VLOOKUP($A1432,'13. Updated Demand'!A:Z,24,FALSE))</f>
        <v>0.8</v>
      </c>
      <c r="AH1432" s="16">
        <f>IF(ISERROR(VLOOKUP($A1432,'13. Updated Demand'!A:Z,25,FALSE)),0,VLOOKUP($A1432,'13. Updated Demand'!A:Z,25,FALSE))</f>
        <v>0.1</v>
      </c>
      <c r="AI1432" s="16">
        <f>IF(ISERROR(VLOOKUP($A1432,'13. Updated Demand'!A:Z,26,FALSE)),0,VLOOKUP($A1432,'13. Updated Demand'!A:Z,26,FALSE))</f>
        <v>0</v>
      </c>
      <c r="AJ1432" s="16">
        <f t="shared" si="277"/>
        <v>89.58</v>
      </c>
      <c r="AK1432" s="19">
        <v>87.399999999999977</v>
      </c>
      <c r="AL1432" s="16">
        <f t="shared" si="276"/>
        <v>0.28989584420442743</v>
      </c>
      <c r="AM1432" s="26">
        <v>0.36921961149525684</v>
      </c>
      <c r="AN1432" s="19">
        <v>242.67400000000001</v>
      </c>
      <c r="AO1432" s="19" t="s">
        <v>1758</v>
      </c>
      <c r="AP1432" s="19">
        <v>0</v>
      </c>
      <c r="AQ1432" s="19" t="s">
        <v>307</v>
      </c>
      <c r="AR1432" s="9" t="s">
        <v>354</v>
      </c>
      <c r="AS1432" s="12">
        <v>3.4039024194010059E-4</v>
      </c>
      <c r="AT1432" s="19">
        <v>38.7378</v>
      </c>
      <c r="AU1432" s="19">
        <v>-122.9391</v>
      </c>
      <c r="AV1432" s="19" t="s">
        <v>387</v>
      </c>
    </row>
    <row r="1433" spans="1:48" x14ac:dyDescent="0.25">
      <c r="A1433" s="18" t="s">
        <v>1799</v>
      </c>
      <c r="B1433" s="10">
        <v>19020101</v>
      </c>
      <c r="C1433" s="9">
        <v>9</v>
      </c>
      <c r="D1433" s="8" t="str">
        <f t="shared" si="267"/>
        <v>N</v>
      </c>
      <c r="E1433" s="8" t="str">
        <f t="shared" si="268"/>
        <v>Y</v>
      </c>
      <c r="F1433" s="8" t="str">
        <f t="shared" si="269"/>
        <v>Y</v>
      </c>
      <c r="G1433" s="8" t="str">
        <f t="shared" si="270"/>
        <v>Y</v>
      </c>
      <c r="H1433" s="8" t="str">
        <f t="shared" si="271"/>
        <v>Upper</v>
      </c>
      <c r="I1433" s="8" t="str">
        <f t="shared" si="272"/>
        <v>West Fork and Below Lake</v>
      </c>
      <c r="J1433" s="8" t="str">
        <f t="shared" si="273"/>
        <v>Sonoma (d/s of Clov. Gage)</v>
      </c>
      <c r="K1433" s="8" t="str">
        <f t="shared" si="274"/>
        <v>pre-1914</v>
      </c>
      <c r="L1433" s="8">
        <f t="shared" si="275"/>
        <v>1902</v>
      </c>
      <c r="M1433" s="8" t="s">
        <v>179</v>
      </c>
      <c r="N1433" s="10" t="s">
        <v>241</v>
      </c>
      <c r="O1433" s="10" t="s">
        <v>241</v>
      </c>
      <c r="P1433" s="10" t="s">
        <v>241</v>
      </c>
      <c r="Q1433" s="10" t="s">
        <v>242</v>
      </c>
      <c r="R1433" s="10" t="s">
        <v>242</v>
      </c>
      <c r="S1433" s="10" t="s">
        <v>242</v>
      </c>
      <c r="T1433" s="10" t="s">
        <v>242</v>
      </c>
      <c r="U1433" s="10" t="s">
        <v>241</v>
      </c>
      <c r="V1433" s="10" t="s">
        <v>241</v>
      </c>
      <c r="W1433" s="10" t="s">
        <v>242</v>
      </c>
      <c r="X1433" s="15">
        <f>IF(ISERROR(VLOOKUP($A1433,'13. Updated Demand'!A:Z,15,FALSE)),0,VLOOKUP($A1433,'13. Updated Demand'!A:Z,15,FALSE))</f>
        <v>0</v>
      </c>
      <c r="Y1433" s="16">
        <f>IF(ISERROR(VLOOKUP($A1433,'13. Updated Demand'!A:Z,16,FALSE)),0,VLOOKUP($A1433,'13. Updated Demand'!A:Z,16,FALSE))</f>
        <v>0</v>
      </c>
      <c r="Z1433" s="16">
        <f>IF(ISERROR(VLOOKUP($A1433,'13. Updated Demand'!A:Z,17,FALSE)),0,VLOOKUP($A1433,'13. Updated Demand'!A:Z,17,FALSE))</f>
        <v>0</v>
      </c>
      <c r="AA1433" s="16">
        <f>IF(ISERROR(VLOOKUP($A1433,'13. Updated Demand'!A:Z,18,FALSE)),0,VLOOKUP($A1433,'13. Updated Demand'!A:Z,18,FALSE))</f>
        <v>0</v>
      </c>
      <c r="AB1433" s="16">
        <f>IF(ISERROR(VLOOKUP($A1433,'13. Updated Demand'!A:Z,19,FALSE)),0,VLOOKUP($A1433,'13. Updated Demand'!A:Z,19,FALSE))</f>
        <v>0</v>
      </c>
      <c r="AC1433" s="16">
        <f>IF(ISERROR(VLOOKUP($A1433,'13. Updated Demand'!A:Z,20,FALSE)),0,VLOOKUP($A1433,'13. Updated Demand'!A:Z,20,FALSE))</f>
        <v>0</v>
      </c>
      <c r="AD1433" s="16">
        <f>IF(ISERROR(VLOOKUP($A1433,'13. Updated Demand'!A:Z,21,FALSE)),0,VLOOKUP($A1433,'13. Updated Demand'!A:Z,21,FALSE))</f>
        <v>0</v>
      </c>
      <c r="AE1433" s="16">
        <f>IF(ISERROR(VLOOKUP($A1433,'13. Updated Demand'!A:Z,22,FALSE)),0,VLOOKUP($A1433,'13. Updated Demand'!A:Z,22,FALSE))</f>
        <v>0</v>
      </c>
      <c r="AF1433" s="16">
        <f>IF(ISERROR(VLOOKUP($A1433,'13. Updated Demand'!A:Z,23,FALSE)),0,VLOOKUP($A1433,'13. Updated Demand'!A:Z,23,FALSE))</f>
        <v>0</v>
      </c>
      <c r="AG1433" s="16">
        <f>IF(ISERROR(VLOOKUP($A1433,'13. Updated Demand'!A:Z,24,FALSE)),0,VLOOKUP($A1433,'13. Updated Demand'!A:Z,24,FALSE))</f>
        <v>0</v>
      </c>
      <c r="AH1433" s="16">
        <f>IF(ISERROR(VLOOKUP($A1433,'13. Updated Demand'!A:Z,25,FALSE)),0,VLOOKUP($A1433,'13. Updated Demand'!A:Z,25,FALSE))</f>
        <v>0</v>
      </c>
      <c r="AI1433" s="16">
        <f>IF(ISERROR(VLOOKUP($A1433,'13. Updated Demand'!A:Z,26,FALSE)),0,VLOOKUP($A1433,'13. Updated Demand'!A:Z,26,FALSE))</f>
        <v>0</v>
      </c>
      <c r="AJ1433" s="16">
        <f t="shared" si="277"/>
        <v>0</v>
      </c>
      <c r="AK1433" s="19">
        <v>0</v>
      </c>
      <c r="AL1433" s="16">
        <f t="shared" si="276"/>
        <v>0</v>
      </c>
      <c r="AM1433" s="26">
        <v>0</v>
      </c>
      <c r="AN1433" s="19">
        <v>79.683999999999997</v>
      </c>
      <c r="AO1433" s="19" t="s">
        <v>1758</v>
      </c>
      <c r="AP1433" s="19">
        <v>0</v>
      </c>
      <c r="AQ1433" s="19" t="s">
        <v>307</v>
      </c>
      <c r="AR1433" s="9" t="s">
        <v>354</v>
      </c>
      <c r="AS1433" s="12">
        <v>3.4039024194010059E-4</v>
      </c>
      <c r="AT1433" s="19">
        <v>38.735300000000002</v>
      </c>
      <c r="AU1433" s="19">
        <v>-122.93819999999999</v>
      </c>
      <c r="AV1433" s="19" t="s">
        <v>387</v>
      </c>
    </row>
    <row r="1434" spans="1:48" x14ac:dyDescent="0.25">
      <c r="A1434" s="18" t="s">
        <v>1800</v>
      </c>
      <c r="B1434" s="10">
        <v>19010101</v>
      </c>
      <c r="C1434" s="9">
        <v>19</v>
      </c>
      <c r="D1434" s="8" t="str">
        <f t="shared" si="267"/>
        <v>N</v>
      </c>
      <c r="E1434" s="8" t="str">
        <f t="shared" si="268"/>
        <v>N</v>
      </c>
      <c r="F1434" s="8" t="str">
        <f t="shared" si="269"/>
        <v>N</v>
      </c>
      <c r="G1434" s="8" t="str">
        <f t="shared" si="270"/>
        <v>N</v>
      </c>
      <c r="H1434" s="8" t="str">
        <f t="shared" si="271"/>
        <v>Lower</v>
      </c>
      <c r="I1434" s="8" t="str">
        <f t="shared" si="272"/>
        <v>Outside</v>
      </c>
      <c r="J1434" s="8" t="str">
        <f t="shared" si="273"/>
        <v>Outside</v>
      </c>
      <c r="K1434" s="8" t="str">
        <f t="shared" si="274"/>
        <v>pre-1914</v>
      </c>
      <c r="L1434" s="8">
        <f t="shared" si="275"/>
        <v>1901</v>
      </c>
      <c r="M1434" s="8" t="s">
        <v>179</v>
      </c>
      <c r="N1434" s="10" t="s">
        <v>241</v>
      </c>
      <c r="O1434" s="10" t="s">
        <v>242</v>
      </c>
      <c r="P1434" s="10" t="s">
        <v>241</v>
      </c>
      <c r="Q1434" s="10" t="s">
        <v>242</v>
      </c>
      <c r="R1434" s="10" t="s">
        <v>242</v>
      </c>
      <c r="S1434" s="10" t="s">
        <v>242</v>
      </c>
      <c r="T1434" s="10" t="s">
        <v>242</v>
      </c>
      <c r="U1434" s="10" t="s">
        <v>242</v>
      </c>
      <c r="V1434" s="10" t="s">
        <v>242</v>
      </c>
      <c r="W1434" s="10" t="s">
        <v>242</v>
      </c>
      <c r="X1434" s="15">
        <f>IF(ISERROR(VLOOKUP($A1434,'13. Updated Demand'!A:Z,15,FALSE)),0,VLOOKUP($A1434,'13. Updated Demand'!A:Z,15,FALSE))</f>
        <v>37.503333329999997</v>
      </c>
      <c r="Y1434" s="16">
        <f>IF(ISERROR(VLOOKUP($A1434,'13. Updated Demand'!A:Z,16,FALSE)),0,VLOOKUP($A1434,'13. Updated Demand'!A:Z,16,FALSE))</f>
        <v>32.943333330000002</v>
      </c>
      <c r="Z1434" s="16">
        <f>IF(ISERROR(VLOOKUP($A1434,'13. Updated Demand'!A:Z,17,FALSE)),0,VLOOKUP($A1434,'13. Updated Demand'!A:Z,17,FALSE))</f>
        <v>40.14</v>
      </c>
      <c r="AA1434" s="16">
        <f>IF(ISERROR(VLOOKUP($A1434,'13. Updated Demand'!A:Z,18,FALSE)),0,VLOOKUP($A1434,'13. Updated Demand'!A:Z,18,FALSE))</f>
        <v>36.583333330000002</v>
      </c>
      <c r="AB1434" s="16">
        <f>IF(ISERROR(VLOOKUP($A1434,'13. Updated Demand'!A:Z,19,FALSE)),0,VLOOKUP($A1434,'13. Updated Demand'!A:Z,19,FALSE))</f>
        <v>42.16</v>
      </c>
      <c r="AC1434" s="16">
        <f>IF(ISERROR(VLOOKUP($A1434,'13. Updated Demand'!A:Z,20,FALSE)),0,VLOOKUP($A1434,'13. Updated Demand'!A:Z,20,FALSE))</f>
        <v>45.79</v>
      </c>
      <c r="AD1434" s="16">
        <f>IF(ISERROR(VLOOKUP($A1434,'13. Updated Demand'!A:Z,21,FALSE)),0,VLOOKUP($A1434,'13. Updated Demand'!A:Z,21,FALSE))</f>
        <v>54.47666667</v>
      </c>
      <c r="AE1434" s="16">
        <f>IF(ISERROR(VLOOKUP($A1434,'13. Updated Demand'!A:Z,22,FALSE)),0,VLOOKUP($A1434,'13. Updated Demand'!A:Z,22,FALSE))</f>
        <v>53.186666670000001</v>
      </c>
      <c r="AF1434" s="16">
        <f>IF(ISERROR(VLOOKUP($A1434,'13. Updated Demand'!A:Z,23,FALSE)),0,VLOOKUP($A1434,'13. Updated Demand'!A:Z,23,FALSE))</f>
        <v>46.863333330000003</v>
      </c>
      <c r="AG1434" s="16">
        <f>IF(ISERROR(VLOOKUP($A1434,'13. Updated Demand'!A:Z,24,FALSE)),0,VLOOKUP($A1434,'13. Updated Demand'!A:Z,24,FALSE))</f>
        <v>42.313333329999999</v>
      </c>
      <c r="AH1434" s="16">
        <f>IF(ISERROR(VLOOKUP($A1434,'13. Updated Demand'!A:Z,25,FALSE)),0,VLOOKUP($A1434,'13. Updated Demand'!A:Z,25,FALSE))</f>
        <v>37.15666667</v>
      </c>
      <c r="AI1434" s="16">
        <f>IF(ISERROR(VLOOKUP($A1434,'13. Updated Demand'!A:Z,26,FALSE)),0,VLOOKUP($A1434,'13. Updated Demand'!A:Z,26,FALSE))</f>
        <v>33.666666669999998</v>
      </c>
      <c r="AJ1434" s="16">
        <f t="shared" si="277"/>
        <v>502.78333332999995</v>
      </c>
      <c r="AK1434" s="19">
        <v>242.47666666999999</v>
      </c>
      <c r="AL1434" s="16">
        <f t="shared" si="276"/>
        <v>0.80426748265646697</v>
      </c>
      <c r="AM1434" s="26">
        <v>0</v>
      </c>
      <c r="AN1434" s="19">
        <v>0</v>
      </c>
      <c r="AO1434" s="19" t="s">
        <v>1758</v>
      </c>
      <c r="AP1434" s="19">
        <v>0</v>
      </c>
      <c r="AQ1434" s="19" t="s">
        <v>307</v>
      </c>
      <c r="AR1434" s="9" t="s">
        <v>684</v>
      </c>
      <c r="AS1434" s="12">
        <v>0</v>
      </c>
      <c r="AT1434" s="19">
        <v>38.510044000000001</v>
      </c>
      <c r="AU1434" s="19">
        <v>-122.9845182</v>
      </c>
      <c r="AV1434" s="19" t="s">
        <v>548</v>
      </c>
    </row>
    <row r="1435" spans="1:48" x14ac:dyDescent="0.25">
      <c r="A1435" s="18" t="s">
        <v>1801</v>
      </c>
      <c r="B1435" s="10">
        <v>19010101</v>
      </c>
      <c r="C1435" s="9">
        <v>21</v>
      </c>
      <c r="D1435" s="8" t="str">
        <f t="shared" si="267"/>
        <v>N</v>
      </c>
      <c r="E1435" s="8" t="str">
        <f t="shared" si="268"/>
        <v>N</v>
      </c>
      <c r="F1435" s="8" t="str">
        <f t="shared" si="269"/>
        <v>N</v>
      </c>
      <c r="G1435" s="8" t="str">
        <f t="shared" si="270"/>
        <v>N</v>
      </c>
      <c r="H1435" s="8" t="str">
        <f t="shared" si="271"/>
        <v>Lower</v>
      </c>
      <c r="I1435" s="8" t="str">
        <f t="shared" si="272"/>
        <v>Outside</v>
      </c>
      <c r="J1435" s="8" t="str">
        <f t="shared" si="273"/>
        <v>Outside</v>
      </c>
      <c r="K1435" s="8" t="str">
        <f t="shared" si="274"/>
        <v>pre-1914</v>
      </c>
      <c r="L1435" s="8">
        <f t="shared" si="275"/>
        <v>1901</v>
      </c>
      <c r="M1435" s="8" t="s">
        <v>179</v>
      </c>
      <c r="N1435" s="10" t="s">
        <v>241</v>
      </c>
      <c r="O1435" s="10" t="s">
        <v>242</v>
      </c>
      <c r="P1435" s="10" t="s">
        <v>241</v>
      </c>
      <c r="Q1435" s="10" t="s">
        <v>242</v>
      </c>
      <c r="R1435" s="10" t="s">
        <v>242</v>
      </c>
      <c r="S1435" s="10" t="s">
        <v>242</v>
      </c>
      <c r="T1435" s="10" t="s">
        <v>242</v>
      </c>
      <c r="U1435" s="10" t="s">
        <v>242</v>
      </c>
      <c r="V1435" s="10" t="s">
        <v>242</v>
      </c>
      <c r="W1435" s="10" t="s">
        <v>242</v>
      </c>
      <c r="X1435" s="15">
        <f>IF(ISERROR(VLOOKUP($A1435,'13. Updated Demand'!A:Z,15,FALSE)),0,VLOOKUP($A1435,'13. Updated Demand'!A:Z,15,FALSE))</f>
        <v>1.1000000000000001</v>
      </c>
      <c r="Y1435" s="16">
        <f>IF(ISERROR(VLOOKUP($A1435,'13. Updated Demand'!A:Z,16,FALSE)),0,VLOOKUP($A1435,'13. Updated Demand'!A:Z,16,FALSE))</f>
        <v>0.93333333299999999</v>
      </c>
      <c r="Z1435" s="16">
        <f>IF(ISERROR(VLOOKUP($A1435,'13. Updated Demand'!A:Z,17,FALSE)),0,VLOOKUP($A1435,'13. Updated Demand'!A:Z,17,FALSE))</f>
        <v>1.1666666670000001</v>
      </c>
      <c r="AA1435" s="16">
        <f>IF(ISERROR(VLOOKUP($A1435,'13. Updated Demand'!A:Z,18,FALSE)),0,VLOOKUP($A1435,'13. Updated Demand'!A:Z,18,FALSE))</f>
        <v>1.1000000000000001</v>
      </c>
      <c r="AB1435" s="16">
        <f>IF(ISERROR(VLOOKUP($A1435,'13. Updated Demand'!A:Z,19,FALSE)),0,VLOOKUP($A1435,'13. Updated Demand'!A:Z,19,FALSE))</f>
        <v>4.4333333330000002</v>
      </c>
      <c r="AC1435" s="16">
        <f>IF(ISERROR(VLOOKUP($A1435,'13. Updated Demand'!A:Z,20,FALSE)),0,VLOOKUP($A1435,'13. Updated Demand'!A:Z,20,FALSE))</f>
        <v>8.5666666669999998</v>
      </c>
      <c r="AD1435" s="16">
        <f>IF(ISERROR(VLOOKUP($A1435,'13. Updated Demand'!A:Z,21,FALSE)),0,VLOOKUP($A1435,'13. Updated Demand'!A:Z,21,FALSE))</f>
        <v>12.66666667</v>
      </c>
      <c r="AE1435" s="16">
        <f>IF(ISERROR(VLOOKUP($A1435,'13. Updated Demand'!A:Z,22,FALSE)),0,VLOOKUP($A1435,'13. Updated Demand'!A:Z,22,FALSE))</f>
        <v>5.4</v>
      </c>
      <c r="AF1435" s="16">
        <f>IF(ISERROR(VLOOKUP($A1435,'13. Updated Demand'!A:Z,23,FALSE)),0,VLOOKUP($A1435,'13. Updated Demand'!A:Z,23,FALSE))</f>
        <v>5.1666666670000003</v>
      </c>
      <c r="AG1435" s="16">
        <f>IF(ISERROR(VLOOKUP($A1435,'13. Updated Demand'!A:Z,24,FALSE)),0,VLOOKUP($A1435,'13. Updated Demand'!A:Z,24,FALSE))</f>
        <v>2.2000000000000002</v>
      </c>
      <c r="AH1435" s="16">
        <f>IF(ISERROR(VLOOKUP($A1435,'13. Updated Demand'!A:Z,25,FALSE)),0,VLOOKUP($A1435,'13. Updated Demand'!A:Z,25,FALSE))</f>
        <v>2.5666666669999998</v>
      </c>
      <c r="AI1435" s="16">
        <f>IF(ISERROR(VLOOKUP($A1435,'13. Updated Demand'!A:Z,26,FALSE)),0,VLOOKUP($A1435,'13. Updated Demand'!A:Z,26,FALSE))</f>
        <v>1.3</v>
      </c>
      <c r="AJ1435" s="16">
        <f t="shared" si="277"/>
        <v>46.600000004000002</v>
      </c>
      <c r="AK1435" s="19">
        <v>36.233333336999998</v>
      </c>
      <c r="AL1435" s="16">
        <f t="shared" si="276"/>
        <v>0.12018183931430251</v>
      </c>
      <c r="AM1435" s="26">
        <v>0.22223281989603702</v>
      </c>
      <c r="AN1435" s="19">
        <v>209.69</v>
      </c>
      <c r="AO1435" s="19" t="s">
        <v>1758</v>
      </c>
      <c r="AP1435" s="19">
        <v>0</v>
      </c>
      <c r="AQ1435" s="19" t="s">
        <v>307</v>
      </c>
      <c r="AR1435" s="9" t="s">
        <v>403</v>
      </c>
      <c r="AS1435" s="12">
        <v>3.4039024194010059E-4</v>
      </c>
      <c r="AT1435" s="19">
        <v>38.474699999999999</v>
      </c>
      <c r="AU1435" s="19">
        <v>-122.99299999999999</v>
      </c>
      <c r="AV1435" s="19" t="s">
        <v>387</v>
      </c>
    </row>
    <row r="1436" spans="1:48" x14ac:dyDescent="0.25">
      <c r="A1436" s="18" t="s">
        <v>1802</v>
      </c>
      <c r="B1436" s="10">
        <v>19000101</v>
      </c>
      <c r="C1436" s="9">
        <v>18</v>
      </c>
      <c r="D1436" s="8" t="str">
        <f t="shared" si="267"/>
        <v>N</v>
      </c>
      <c r="E1436" s="8" t="str">
        <f t="shared" si="268"/>
        <v>N</v>
      </c>
      <c r="F1436" s="8" t="str">
        <f t="shared" si="269"/>
        <v>N</v>
      </c>
      <c r="G1436" s="8" t="str">
        <f t="shared" si="270"/>
        <v>N</v>
      </c>
      <c r="H1436" s="8" t="str">
        <f t="shared" si="271"/>
        <v>Lower</v>
      </c>
      <c r="I1436" s="8" t="str">
        <f t="shared" si="272"/>
        <v>Outside</v>
      </c>
      <c r="J1436" s="8" t="str">
        <f t="shared" si="273"/>
        <v>Outside</v>
      </c>
      <c r="K1436" s="8" t="str">
        <f t="shared" si="274"/>
        <v>pre-1914</v>
      </c>
      <c r="L1436" s="8">
        <f t="shared" si="275"/>
        <v>1900</v>
      </c>
      <c r="M1436" s="8" t="s">
        <v>179</v>
      </c>
      <c r="N1436" s="10" t="s">
        <v>242</v>
      </c>
      <c r="O1436" s="10" t="s">
        <v>242</v>
      </c>
      <c r="P1436" s="10" t="s">
        <v>241</v>
      </c>
      <c r="Q1436" s="10" t="s">
        <v>242</v>
      </c>
      <c r="R1436" s="10" t="s">
        <v>242</v>
      </c>
      <c r="S1436" s="10" t="s">
        <v>242</v>
      </c>
      <c r="T1436" s="10" t="s">
        <v>241</v>
      </c>
      <c r="U1436" s="10" t="s">
        <v>241</v>
      </c>
      <c r="V1436" s="10" t="s">
        <v>241</v>
      </c>
      <c r="W1436" s="10" t="s">
        <v>242</v>
      </c>
      <c r="X1436" s="15">
        <f>IF(ISERROR(VLOOKUP($A1436,'13. Updated Demand'!A:Z,15,FALSE)),0,VLOOKUP($A1436,'13. Updated Demand'!A:Z,15,FALSE))</f>
        <v>0</v>
      </c>
      <c r="Y1436" s="16">
        <f>IF(ISERROR(VLOOKUP($A1436,'13. Updated Demand'!A:Z,16,FALSE)),0,VLOOKUP($A1436,'13. Updated Demand'!A:Z,16,FALSE))</f>
        <v>0</v>
      </c>
      <c r="Z1436" s="16">
        <f>IF(ISERROR(VLOOKUP($A1436,'13. Updated Demand'!A:Z,17,FALSE)),0,VLOOKUP($A1436,'13. Updated Demand'!A:Z,17,FALSE))</f>
        <v>0</v>
      </c>
      <c r="AA1436" s="16">
        <f>IF(ISERROR(VLOOKUP($A1436,'13. Updated Demand'!A:Z,18,FALSE)),0,VLOOKUP($A1436,'13. Updated Demand'!A:Z,18,FALSE))</f>
        <v>0</v>
      </c>
      <c r="AB1436" s="16">
        <f>IF(ISERROR(VLOOKUP($A1436,'13. Updated Demand'!A:Z,19,FALSE)),0,VLOOKUP($A1436,'13. Updated Demand'!A:Z,19,FALSE))</f>
        <v>0</v>
      </c>
      <c r="AC1436" s="16">
        <f>IF(ISERROR(VLOOKUP($A1436,'13. Updated Demand'!A:Z,20,FALSE)),0,VLOOKUP($A1436,'13. Updated Demand'!A:Z,20,FALSE))</f>
        <v>0</v>
      </c>
      <c r="AD1436" s="16">
        <f>IF(ISERROR(VLOOKUP($A1436,'13. Updated Demand'!A:Z,21,FALSE)),0,VLOOKUP($A1436,'13. Updated Demand'!A:Z,21,FALSE))</f>
        <v>0</v>
      </c>
      <c r="AE1436" s="16">
        <f>IF(ISERROR(VLOOKUP($A1436,'13. Updated Demand'!A:Z,22,FALSE)),0,VLOOKUP($A1436,'13. Updated Demand'!A:Z,22,FALSE))</f>
        <v>0</v>
      </c>
      <c r="AF1436" s="16">
        <f>IF(ISERROR(VLOOKUP($A1436,'13. Updated Demand'!A:Z,23,FALSE)),0,VLOOKUP($A1436,'13. Updated Demand'!A:Z,23,FALSE))</f>
        <v>0</v>
      </c>
      <c r="AG1436" s="16">
        <f>IF(ISERROR(VLOOKUP($A1436,'13. Updated Demand'!A:Z,24,FALSE)),0,VLOOKUP($A1436,'13. Updated Demand'!A:Z,24,FALSE))</f>
        <v>0</v>
      </c>
      <c r="AH1436" s="16">
        <f>IF(ISERROR(VLOOKUP($A1436,'13. Updated Demand'!A:Z,25,FALSE)),0,VLOOKUP($A1436,'13. Updated Demand'!A:Z,25,FALSE))</f>
        <v>0</v>
      </c>
      <c r="AI1436" s="16">
        <f>IF(ISERROR(VLOOKUP($A1436,'13. Updated Demand'!A:Z,26,FALSE)),0,VLOOKUP($A1436,'13. Updated Demand'!A:Z,26,FALSE))</f>
        <v>0</v>
      </c>
      <c r="AJ1436" s="16">
        <f t="shared" si="277"/>
        <v>0</v>
      </c>
      <c r="AK1436" s="19">
        <v>0</v>
      </c>
      <c r="AL1436" s="16">
        <f t="shared" si="276"/>
        <v>0</v>
      </c>
      <c r="AM1436" s="26">
        <v>0</v>
      </c>
      <c r="AN1436" s="19">
        <v>7.9683999999999999</v>
      </c>
      <c r="AO1436" s="19" t="s">
        <v>1758</v>
      </c>
      <c r="AP1436" s="19">
        <v>0</v>
      </c>
      <c r="AQ1436" s="19" t="s">
        <v>307</v>
      </c>
      <c r="AR1436" s="9" t="s">
        <v>352</v>
      </c>
      <c r="AS1436" s="12">
        <v>3.4039024194010059E-4</v>
      </c>
      <c r="AT1436" s="19">
        <v>38.438550249999999</v>
      </c>
      <c r="AU1436" s="19">
        <v>-122.89485113000001</v>
      </c>
      <c r="AV1436" s="19" t="s">
        <v>1803</v>
      </c>
    </row>
    <row r="1437" spans="1:48" x14ac:dyDescent="0.25">
      <c r="A1437" s="18" t="s">
        <v>1804</v>
      </c>
      <c r="B1437" s="10">
        <v>19000101</v>
      </c>
      <c r="C1437" s="9">
        <v>23</v>
      </c>
      <c r="D1437" s="8" t="str">
        <f t="shared" si="267"/>
        <v>N</v>
      </c>
      <c r="E1437" s="8" t="str">
        <f t="shared" si="268"/>
        <v>N</v>
      </c>
      <c r="F1437" s="8" t="str">
        <f t="shared" si="269"/>
        <v>N</v>
      </c>
      <c r="G1437" s="8" t="str">
        <f t="shared" si="270"/>
        <v>N</v>
      </c>
      <c r="H1437" s="8" t="str">
        <f t="shared" si="271"/>
        <v>Lower</v>
      </c>
      <c r="I1437" s="8" t="str">
        <f t="shared" si="272"/>
        <v>Outside</v>
      </c>
      <c r="J1437" s="8" t="str">
        <f t="shared" si="273"/>
        <v>Outside</v>
      </c>
      <c r="K1437" s="8" t="str">
        <f t="shared" si="274"/>
        <v>pre-1914</v>
      </c>
      <c r="L1437" s="8">
        <f t="shared" si="275"/>
        <v>1900</v>
      </c>
      <c r="M1437" s="8" t="s">
        <v>179</v>
      </c>
      <c r="N1437" s="10" t="s">
        <v>242</v>
      </c>
      <c r="O1437" s="10" t="s">
        <v>242</v>
      </c>
      <c r="P1437" s="10" t="s">
        <v>241</v>
      </c>
      <c r="Q1437" s="10" t="s">
        <v>242</v>
      </c>
      <c r="R1437" s="10" t="s">
        <v>242</v>
      </c>
      <c r="S1437" s="10" t="s">
        <v>242</v>
      </c>
      <c r="T1437" s="10" t="s">
        <v>242</v>
      </c>
      <c r="U1437" s="10" t="s">
        <v>242</v>
      </c>
      <c r="V1437" s="10" t="s">
        <v>242</v>
      </c>
      <c r="W1437" s="10" t="s">
        <v>242</v>
      </c>
      <c r="X1437" s="15">
        <f>IF(ISERROR(VLOOKUP($A1437,'13. Updated Demand'!A:Z,15,FALSE)),0,VLOOKUP($A1437,'13. Updated Demand'!A:Z,15,FALSE))</f>
        <v>0</v>
      </c>
      <c r="Y1437" s="16">
        <f>IF(ISERROR(VLOOKUP($A1437,'13. Updated Demand'!A:Z,16,FALSE)),0,VLOOKUP($A1437,'13. Updated Demand'!A:Z,16,FALSE))</f>
        <v>0</v>
      </c>
      <c r="Z1437" s="16">
        <f>IF(ISERROR(VLOOKUP($A1437,'13. Updated Demand'!A:Z,17,FALSE)),0,VLOOKUP($A1437,'13. Updated Demand'!A:Z,17,FALSE))</f>
        <v>0.66666666699999999</v>
      </c>
      <c r="AA1437" s="16">
        <f>IF(ISERROR(VLOOKUP($A1437,'13. Updated Demand'!A:Z,18,FALSE)),0,VLOOKUP($A1437,'13. Updated Demand'!A:Z,18,FALSE))</f>
        <v>0.73333333300000003</v>
      </c>
      <c r="AB1437" s="16">
        <f>IF(ISERROR(VLOOKUP($A1437,'13. Updated Demand'!A:Z,19,FALSE)),0,VLOOKUP($A1437,'13. Updated Demand'!A:Z,19,FALSE))</f>
        <v>1.5333333330000001</v>
      </c>
      <c r="AC1437" s="16">
        <f>IF(ISERROR(VLOOKUP($A1437,'13. Updated Demand'!A:Z,20,FALSE)),0,VLOOKUP($A1437,'13. Updated Demand'!A:Z,20,FALSE))</f>
        <v>0.7</v>
      </c>
      <c r="AD1437" s="16">
        <f>IF(ISERROR(VLOOKUP($A1437,'13. Updated Demand'!A:Z,21,FALSE)),0,VLOOKUP($A1437,'13. Updated Demand'!A:Z,21,FALSE))</f>
        <v>1.233333333</v>
      </c>
      <c r="AE1437" s="16">
        <f>IF(ISERROR(VLOOKUP($A1437,'13. Updated Demand'!A:Z,22,FALSE)),0,VLOOKUP($A1437,'13. Updated Demand'!A:Z,22,FALSE))</f>
        <v>0.233333333</v>
      </c>
      <c r="AF1437" s="16">
        <f>IF(ISERROR(VLOOKUP($A1437,'13. Updated Demand'!A:Z,23,FALSE)),0,VLOOKUP($A1437,'13. Updated Demand'!A:Z,23,FALSE))</f>
        <v>0</v>
      </c>
      <c r="AG1437" s="16">
        <f>IF(ISERROR(VLOOKUP($A1437,'13. Updated Demand'!A:Z,24,FALSE)),0,VLOOKUP($A1437,'13. Updated Demand'!A:Z,24,FALSE))</f>
        <v>0</v>
      </c>
      <c r="AH1437" s="16">
        <f>IF(ISERROR(VLOOKUP($A1437,'13. Updated Demand'!A:Z,25,FALSE)),0,VLOOKUP($A1437,'13. Updated Demand'!A:Z,25,FALSE))</f>
        <v>0.5</v>
      </c>
      <c r="AI1437" s="16">
        <f>IF(ISERROR(VLOOKUP($A1437,'13. Updated Demand'!A:Z,26,FALSE)),0,VLOOKUP($A1437,'13. Updated Demand'!A:Z,26,FALSE))</f>
        <v>0</v>
      </c>
      <c r="AJ1437" s="16">
        <f t="shared" si="277"/>
        <v>5.5999999990000005</v>
      </c>
      <c r="AK1437" s="19">
        <v>3.6999999990000001</v>
      </c>
      <c r="AL1437" s="16">
        <f t="shared" si="276"/>
        <v>1.2272478527076499E-2</v>
      </c>
      <c r="AM1437" s="26">
        <v>3.0922142457205967E-2</v>
      </c>
      <c r="AN1437" s="19">
        <v>181.1</v>
      </c>
      <c r="AO1437" s="19" t="s">
        <v>1758</v>
      </c>
      <c r="AP1437" s="19">
        <v>0</v>
      </c>
      <c r="AQ1437" s="19" t="s">
        <v>307</v>
      </c>
      <c r="AR1437" s="9" t="s">
        <v>323</v>
      </c>
      <c r="AS1437" s="12">
        <v>0</v>
      </c>
      <c r="AT1437" s="19">
        <v>38.494364570000002</v>
      </c>
      <c r="AU1437" s="19">
        <v>-122.81064071</v>
      </c>
      <c r="AV1437" s="19" t="s">
        <v>735</v>
      </c>
    </row>
    <row r="1438" spans="1:48" x14ac:dyDescent="0.25">
      <c r="A1438" s="18" t="s">
        <v>1805</v>
      </c>
      <c r="B1438" s="10">
        <v>19000101</v>
      </c>
      <c r="C1438" s="9">
        <v>9</v>
      </c>
      <c r="D1438" s="8" t="str">
        <f t="shared" si="267"/>
        <v>N</v>
      </c>
      <c r="E1438" s="8" t="str">
        <f t="shared" si="268"/>
        <v>Y</v>
      </c>
      <c r="F1438" s="8" t="str">
        <f t="shared" si="269"/>
        <v>Y</v>
      </c>
      <c r="G1438" s="8" t="str">
        <f t="shared" si="270"/>
        <v>Y</v>
      </c>
      <c r="H1438" s="8" t="str">
        <f t="shared" si="271"/>
        <v>Upper</v>
      </c>
      <c r="I1438" s="8" t="str">
        <f t="shared" si="272"/>
        <v>West Fork and Below Lake</v>
      </c>
      <c r="J1438" s="8" t="str">
        <f t="shared" si="273"/>
        <v>Sonoma (d/s of Clov. Gage)</v>
      </c>
      <c r="K1438" s="8" t="str">
        <f t="shared" si="274"/>
        <v>pre-1914</v>
      </c>
      <c r="L1438" s="8">
        <f t="shared" si="275"/>
        <v>1900</v>
      </c>
      <c r="M1438" s="8" t="s">
        <v>179</v>
      </c>
      <c r="N1438" s="10" t="s">
        <v>242</v>
      </c>
      <c r="O1438" s="10" t="s">
        <v>241</v>
      </c>
      <c r="P1438" s="10" t="s">
        <v>241</v>
      </c>
      <c r="Q1438" s="10" t="s">
        <v>242</v>
      </c>
      <c r="R1438" s="10" t="s">
        <v>242</v>
      </c>
      <c r="S1438" s="10" t="s">
        <v>242</v>
      </c>
      <c r="T1438" s="10" t="s">
        <v>242</v>
      </c>
      <c r="U1438" s="10" t="s">
        <v>242</v>
      </c>
      <c r="V1438" s="10" t="s">
        <v>242</v>
      </c>
      <c r="W1438" s="10" t="s">
        <v>242</v>
      </c>
      <c r="X1438" s="15">
        <f>IF(ISERROR(VLOOKUP($A1438,'13. Updated Demand'!A:Z,15,FALSE)),0,VLOOKUP($A1438,'13. Updated Demand'!A:Z,15,FALSE))</f>
        <v>0.03</v>
      </c>
      <c r="Y1438" s="16">
        <f>IF(ISERROR(VLOOKUP($A1438,'13. Updated Demand'!A:Z,16,FALSE)),0,VLOOKUP($A1438,'13. Updated Demand'!A:Z,16,FALSE))</f>
        <v>0.03</v>
      </c>
      <c r="Z1438" s="16">
        <f>IF(ISERROR(VLOOKUP($A1438,'13. Updated Demand'!A:Z,17,FALSE)),0,VLOOKUP($A1438,'13. Updated Demand'!A:Z,17,FALSE))</f>
        <v>0.03</v>
      </c>
      <c r="AA1438" s="16">
        <f>IF(ISERROR(VLOOKUP($A1438,'13. Updated Demand'!A:Z,18,FALSE)),0,VLOOKUP($A1438,'13. Updated Demand'!A:Z,18,FALSE))</f>
        <v>0.03</v>
      </c>
      <c r="AB1438" s="16">
        <f>IF(ISERROR(VLOOKUP($A1438,'13. Updated Demand'!A:Z,19,FALSE)),0,VLOOKUP($A1438,'13. Updated Demand'!A:Z,19,FALSE))</f>
        <v>0.03</v>
      </c>
      <c r="AC1438" s="16">
        <f>IF(ISERROR(VLOOKUP($A1438,'13. Updated Demand'!A:Z,20,FALSE)),0,VLOOKUP($A1438,'13. Updated Demand'!A:Z,20,FALSE))</f>
        <v>0.04</v>
      </c>
      <c r="AD1438" s="16">
        <f>IF(ISERROR(VLOOKUP($A1438,'13. Updated Demand'!A:Z,21,FALSE)),0,VLOOKUP($A1438,'13. Updated Demand'!A:Z,21,FALSE))</f>
        <v>0.04</v>
      </c>
      <c r="AE1438" s="16">
        <f>IF(ISERROR(VLOOKUP($A1438,'13. Updated Demand'!A:Z,22,FALSE)),0,VLOOKUP($A1438,'13. Updated Demand'!A:Z,22,FALSE))</f>
        <v>0.04</v>
      </c>
      <c r="AF1438" s="16">
        <f>IF(ISERROR(VLOOKUP($A1438,'13. Updated Demand'!A:Z,23,FALSE)),0,VLOOKUP($A1438,'13. Updated Demand'!A:Z,23,FALSE))</f>
        <v>0.03</v>
      </c>
      <c r="AG1438" s="16">
        <f>IF(ISERROR(VLOOKUP($A1438,'13. Updated Demand'!A:Z,24,FALSE)),0,VLOOKUP($A1438,'13. Updated Demand'!A:Z,24,FALSE))</f>
        <v>0.03</v>
      </c>
      <c r="AH1438" s="16">
        <f>IF(ISERROR(VLOOKUP($A1438,'13. Updated Demand'!A:Z,25,FALSE)),0,VLOOKUP($A1438,'13. Updated Demand'!A:Z,25,FALSE))</f>
        <v>0.03</v>
      </c>
      <c r="AI1438" s="16">
        <f>IF(ISERROR(VLOOKUP($A1438,'13. Updated Demand'!A:Z,26,FALSE)),0,VLOOKUP($A1438,'13. Updated Demand'!A:Z,26,FALSE))</f>
        <v>0.03</v>
      </c>
      <c r="AJ1438" s="16">
        <f t="shared" si="277"/>
        <v>0.39000000000000012</v>
      </c>
      <c r="AK1438" s="19">
        <v>0.200500333</v>
      </c>
      <c r="AL1438" s="16">
        <f t="shared" si="276"/>
        <v>6.6503676542681734E-4</v>
      </c>
      <c r="AM1438" s="26">
        <v>0.27334523642408576</v>
      </c>
      <c r="AN1438" s="19">
        <v>1.6242000000000001</v>
      </c>
      <c r="AO1438" s="19" t="s">
        <v>1758</v>
      </c>
      <c r="AP1438" s="19">
        <v>0</v>
      </c>
      <c r="AQ1438" s="19" t="s">
        <v>307</v>
      </c>
      <c r="AR1438" s="9" t="s">
        <v>354</v>
      </c>
      <c r="AS1438" s="12">
        <v>3.4039024194010059E-4</v>
      </c>
      <c r="AT1438" s="19">
        <v>38.760149759999997</v>
      </c>
      <c r="AU1438" s="19">
        <v>-123.00761654</v>
      </c>
      <c r="AV1438" s="19" t="s">
        <v>417</v>
      </c>
    </row>
    <row r="1439" spans="1:48" x14ac:dyDescent="0.25">
      <c r="A1439" s="18" t="s">
        <v>1806</v>
      </c>
      <c r="B1439" s="10">
        <v>19000101</v>
      </c>
      <c r="C1439" s="9">
        <v>23</v>
      </c>
      <c r="D1439" s="8" t="str">
        <f t="shared" si="267"/>
        <v>N</v>
      </c>
      <c r="E1439" s="8" t="str">
        <f t="shared" si="268"/>
        <v>N</v>
      </c>
      <c r="F1439" s="8" t="str">
        <f t="shared" si="269"/>
        <v>N</v>
      </c>
      <c r="G1439" s="8" t="str">
        <f t="shared" si="270"/>
        <v>N</v>
      </c>
      <c r="H1439" s="8" t="str">
        <f t="shared" si="271"/>
        <v>Lower</v>
      </c>
      <c r="I1439" s="8" t="str">
        <f t="shared" si="272"/>
        <v>Outside</v>
      </c>
      <c r="J1439" s="8" t="str">
        <f t="shared" si="273"/>
        <v>Outside</v>
      </c>
      <c r="K1439" s="8" t="str">
        <f t="shared" si="274"/>
        <v>pre-1914</v>
      </c>
      <c r="L1439" s="8">
        <f t="shared" si="275"/>
        <v>1900</v>
      </c>
      <c r="M1439" s="8" t="s">
        <v>179</v>
      </c>
      <c r="N1439" s="10" t="s">
        <v>242</v>
      </c>
      <c r="O1439" s="10" t="s">
        <v>242</v>
      </c>
      <c r="P1439" s="10" t="s">
        <v>241</v>
      </c>
      <c r="Q1439" s="10" t="s">
        <v>242</v>
      </c>
      <c r="R1439" s="10" t="s">
        <v>242</v>
      </c>
      <c r="S1439" s="10" t="s">
        <v>242</v>
      </c>
      <c r="T1439" s="10" t="s">
        <v>242</v>
      </c>
      <c r="U1439" s="10" t="s">
        <v>242</v>
      </c>
      <c r="V1439" s="10" t="s">
        <v>242</v>
      </c>
      <c r="W1439" s="10" t="s">
        <v>242</v>
      </c>
      <c r="X1439" s="15">
        <f>IF(ISERROR(VLOOKUP($A1439,'13. Updated Demand'!A:Z,15,FALSE)),0,VLOOKUP($A1439,'13. Updated Demand'!A:Z,15,FALSE))</f>
        <v>0.01</v>
      </c>
      <c r="Y1439" s="16">
        <f>IF(ISERROR(VLOOKUP($A1439,'13. Updated Demand'!A:Z,16,FALSE)),0,VLOOKUP($A1439,'13. Updated Demand'!A:Z,16,FALSE))</f>
        <v>0.01</v>
      </c>
      <c r="Z1439" s="16">
        <f>IF(ISERROR(VLOOKUP($A1439,'13. Updated Demand'!A:Z,17,FALSE)),0,VLOOKUP($A1439,'13. Updated Demand'!A:Z,17,FALSE))</f>
        <v>1.3333332999999999E-2</v>
      </c>
      <c r="AA1439" s="16">
        <f>IF(ISERROR(VLOOKUP($A1439,'13. Updated Demand'!A:Z,18,FALSE)),0,VLOOKUP($A1439,'13. Updated Demand'!A:Z,18,FALSE))</f>
        <v>1.6666667E-2</v>
      </c>
      <c r="AB1439" s="16">
        <f>IF(ISERROR(VLOOKUP($A1439,'13. Updated Demand'!A:Z,19,FALSE)),0,VLOOKUP($A1439,'13. Updated Demand'!A:Z,19,FALSE))</f>
        <v>5.3333332999999997E-2</v>
      </c>
      <c r="AC1439" s="16">
        <f>IF(ISERROR(VLOOKUP($A1439,'13. Updated Demand'!A:Z,20,FALSE)),0,VLOOKUP($A1439,'13. Updated Demand'!A:Z,20,FALSE))</f>
        <v>6.6666666999999999E-2</v>
      </c>
      <c r="AD1439" s="16">
        <f>IF(ISERROR(VLOOKUP($A1439,'13. Updated Demand'!A:Z,21,FALSE)),0,VLOOKUP($A1439,'13. Updated Demand'!A:Z,21,FALSE))</f>
        <v>4.3333333000000002E-2</v>
      </c>
      <c r="AE1439" s="16">
        <f>IF(ISERROR(VLOOKUP($A1439,'13. Updated Demand'!A:Z,22,FALSE)),0,VLOOKUP($A1439,'13. Updated Demand'!A:Z,22,FALSE))</f>
        <v>0.06</v>
      </c>
      <c r="AF1439" s="16">
        <f>IF(ISERROR(VLOOKUP($A1439,'13. Updated Demand'!A:Z,23,FALSE)),0,VLOOKUP($A1439,'13. Updated Demand'!A:Z,23,FALSE))</f>
        <v>1.3333332999999999E-2</v>
      </c>
      <c r="AG1439" s="16">
        <f>IF(ISERROR(VLOOKUP($A1439,'13. Updated Demand'!A:Z,24,FALSE)),0,VLOOKUP($A1439,'13. Updated Demand'!A:Z,24,FALSE))</f>
        <v>0</v>
      </c>
      <c r="AH1439" s="16">
        <f>IF(ISERROR(VLOOKUP($A1439,'13. Updated Demand'!A:Z,25,FALSE)),0,VLOOKUP($A1439,'13. Updated Demand'!A:Z,25,FALSE))</f>
        <v>0</v>
      </c>
      <c r="AI1439" s="16">
        <f>IF(ISERROR(VLOOKUP($A1439,'13. Updated Demand'!A:Z,26,FALSE)),0,VLOOKUP($A1439,'13. Updated Demand'!A:Z,26,FALSE))</f>
        <v>0</v>
      </c>
      <c r="AJ1439" s="16">
        <f t="shared" si="277"/>
        <v>0.28666666599999996</v>
      </c>
      <c r="AK1439" s="19">
        <v>0.236666666</v>
      </c>
      <c r="AL1439" s="16">
        <f t="shared" si="276"/>
        <v>7.8499637225534638E-4</v>
      </c>
      <c r="AM1439" s="26">
        <v>0</v>
      </c>
      <c r="AN1439" s="19">
        <v>0</v>
      </c>
      <c r="AO1439" s="19" t="s">
        <v>1758</v>
      </c>
      <c r="AP1439" s="19">
        <v>0</v>
      </c>
      <c r="AQ1439" s="19" t="s">
        <v>307</v>
      </c>
      <c r="AR1439" s="9" t="s">
        <v>323</v>
      </c>
      <c r="AS1439" s="12">
        <v>3.4039024194010059E-4</v>
      </c>
      <c r="AT1439" s="19">
        <v>38.53619467</v>
      </c>
      <c r="AU1439" s="19">
        <v>-122.68772903</v>
      </c>
      <c r="AV1439" s="19" t="s">
        <v>430</v>
      </c>
    </row>
    <row r="1440" spans="1:48" x14ac:dyDescent="0.25">
      <c r="A1440" s="18" t="s">
        <v>1807</v>
      </c>
      <c r="B1440" s="10">
        <v>19000101</v>
      </c>
      <c r="C1440" s="9">
        <v>9</v>
      </c>
      <c r="D1440" s="8" t="str">
        <f t="shared" si="267"/>
        <v>N</v>
      </c>
      <c r="E1440" s="8" t="str">
        <f t="shared" si="268"/>
        <v>Y</v>
      </c>
      <c r="F1440" s="8" t="str">
        <f t="shared" si="269"/>
        <v>Y</v>
      </c>
      <c r="G1440" s="8" t="str">
        <f t="shared" si="270"/>
        <v>Y</v>
      </c>
      <c r="H1440" s="8" t="str">
        <f t="shared" si="271"/>
        <v>Upper</v>
      </c>
      <c r="I1440" s="8" t="str">
        <f t="shared" si="272"/>
        <v>West Fork and Below Lake</v>
      </c>
      <c r="J1440" s="8" t="str">
        <f t="shared" si="273"/>
        <v>Sonoma (d/s of Clov. Gage)</v>
      </c>
      <c r="K1440" s="8" t="str">
        <f t="shared" si="274"/>
        <v>pre-1914</v>
      </c>
      <c r="L1440" s="8">
        <f t="shared" si="275"/>
        <v>1900</v>
      </c>
      <c r="M1440" s="8" t="s">
        <v>179</v>
      </c>
      <c r="N1440" s="10" t="s">
        <v>241</v>
      </c>
      <c r="O1440" s="10" t="s">
        <v>241</v>
      </c>
      <c r="P1440" s="10" t="s">
        <v>241</v>
      </c>
      <c r="Q1440" s="10" t="s">
        <v>242</v>
      </c>
      <c r="R1440" s="10" t="s">
        <v>242</v>
      </c>
      <c r="S1440" s="10" t="s">
        <v>242</v>
      </c>
      <c r="T1440" s="10" t="s">
        <v>242</v>
      </c>
      <c r="U1440" s="10" t="s">
        <v>242</v>
      </c>
      <c r="V1440" s="10" t="s">
        <v>242</v>
      </c>
      <c r="W1440" s="10" t="s">
        <v>242</v>
      </c>
      <c r="X1440" s="15">
        <f>IF(ISERROR(VLOOKUP($A1440,'13. Updated Demand'!A:Z,15,FALSE)),0,VLOOKUP($A1440,'13. Updated Demand'!A:Z,15,FALSE))</f>
        <v>0</v>
      </c>
      <c r="Y1440" s="16">
        <f>IF(ISERROR(VLOOKUP($A1440,'13. Updated Demand'!A:Z,16,FALSE)),0,VLOOKUP($A1440,'13. Updated Demand'!A:Z,16,FALSE))</f>
        <v>0</v>
      </c>
      <c r="Z1440" s="16">
        <f>IF(ISERROR(VLOOKUP($A1440,'13. Updated Demand'!A:Z,17,FALSE)),0,VLOOKUP($A1440,'13. Updated Demand'!A:Z,17,FALSE))</f>
        <v>0</v>
      </c>
      <c r="AA1440" s="16">
        <f>IF(ISERROR(VLOOKUP($A1440,'13. Updated Demand'!A:Z,18,FALSE)),0,VLOOKUP($A1440,'13. Updated Demand'!A:Z,18,FALSE))</f>
        <v>0.61</v>
      </c>
      <c r="AB1440" s="16">
        <f>IF(ISERROR(VLOOKUP($A1440,'13. Updated Demand'!A:Z,19,FALSE)),0,VLOOKUP($A1440,'13. Updated Demand'!A:Z,19,FALSE))</f>
        <v>1.84</v>
      </c>
      <c r="AC1440" s="16">
        <f>IF(ISERROR(VLOOKUP($A1440,'13. Updated Demand'!A:Z,20,FALSE)),0,VLOOKUP($A1440,'13. Updated Demand'!A:Z,20,FALSE))</f>
        <v>2.4500000000000002</v>
      </c>
      <c r="AD1440" s="16">
        <f>IF(ISERROR(VLOOKUP($A1440,'13. Updated Demand'!A:Z,21,FALSE)),0,VLOOKUP($A1440,'13. Updated Demand'!A:Z,21,FALSE))</f>
        <v>2.4500000000000002</v>
      </c>
      <c r="AE1440" s="16">
        <f>IF(ISERROR(VLOOKUP($A1440,'13. Updated Demand'!A:Z,22,FALSE)),0,VLOOKUP($A1440,'13. Updated Demand'!A:Z,22,FALSE))</f>
        <v>2.2400000000000002</v>
      </c>
      <c r="AF1440" s="16">
        <f>IF(ISERROR(VLOOKUP($A1440,'13. Updated Demand'!A:Z,23,FALSE)),0,VLOOKUP($A1440,'13. Updated Demand'!A:Z,23,FALSE))</f>
        <v>1.84</v>
      </c>
      <c r="AG1440" s="16">
        <f>IF(ISERROR(VLOOKUP($A1440,'13. Updated Demand'!A:Z,24,FALSE)),0,VLOOKUP($A1440,'13. Updated Demand'!A:Z,24,FALSE))</f>
        <v>0</v>
      </c>
      <c r="AH1440" s="16">
        <f>IF(ISERROR(VLOOKUP($A1440,'13. Updated Demand'!A:Z,25,FALSE)),0,VLOOKUP($A1440,'13. Updated Demand'!A:Z,25,FALSE))</f>
        <v>0</v>
      </c>
      <c r="AI1440" s="16">
        <f>IF(ISERROR(VLOOKUP($A1440,'13. Updated Demand'!A:Z,26,FALSE)),0,VLOOKUP($A1440,'13. Updated Demand'!A:Z,26,FALSE))</f>
        <v>0</v>
      </c>
      <c r="AJ1440" s="16">
        <f t="shared" si="277"/>
        <v>11.43</v>
      </c>
      <c r="AK1440" s="19">
        <v>10.82666666666667</v>
      </c>
      <c r="AL1440" s="16">
        <f t="shared" si="276"/>
        <v>3.5910820060106055E-2</v>
      </c>
      <c r="AM1440" s="26">
        <v>1.3458823529411768</v>
      </c>
      <c r="AN1440" s="19">
        <v>8.5</v>
      </c>
      <c r="AO1440" s="19" t="s">
        <v>1758</v>
      </c>
      <c r="AP1440" s="19">
        <v>0</v>
      </c>
      <c r="AQ1440" s="19" t="s">
        <v>307</v>
      </c>
      <c r="AR1440" s="9" t="s">
        <v>354</v>
      </c>
      <c r="AS1440" s="12">
        <v>3.4039024194010059E-4</v>
      </c>
      <c r="AT1440" s="19">
        <v>38.729953430000002</v>
      </c>
      <c r="AU1440" s="19">
        <v>-122.92375269999999</v>
      </c>
      <c r="AV1440" s="19" t="s">
        <v>548</v>
      </c>
    </row>
    <row r="1441" spans="1:48" x14ac:dyDescent="0.25">
      <c r="A1441" s="18" t="s">
        <v>1808</v>
      </c>
      <c r="B1441" s="10">
        <v>19000101</v>
      </c>
      <c r="C1441" s="9">
        <v>1</v>
      </c>
      <c r="D1441" s="8" t="str">
        <f t="shared" si="267"/>
        <v>N</v>
      </c>
      <c r="E1441" s="8" t="str">
        <f t="shared" si="268"/>
        <v>N</v>
      </c>
      <c r="F1441" s="8" t="str">
        <f t="shared" si="269"/>
        <v>Y</v>
      </c>
      <c r="G1441" s="8" t="str">
        <f t="shared" si="270"/>
        <v>Y</v>
      </c>
      <c r="H1441" s="8" t="str">
        <f t="shared" si="271"/>
        <v>Upper</v>
      </c>
      <c r="I1441" s="8" t="str">
        <f t="shared" si="272"/>
        <v>West Fork and Below Lake</v>
      </c>
      <c r="J1441" s="8" t="str">
        <f t="shared" si="273"/>
        <v>Outside</v>
      </c>
      <c r="K1441" s="8" t="str">
        <f t="shared" si="274"/>
        <v>pre-1914</v>
      </c>
      <c r="L1441" s="8">
        <f t="shared" si="275"/>
        <v>1900</v>
      </c>
      <c r="M1441" s="8" t="s">
        <v>179</v>
      </c>
      <c r="N1441" s="10" t="s">
        <v>242</v>
      </c>
      <c r="O1441" s="10" t="s">
        <v>241</v>
      </c>
      <c r="P1441" s="10" t="s">
        <v>241</v>
      </c>
      <c r="Q1441" s="10" t="s">
        <v>242</v>
      </c>
      <c r="R1441" s="10" t="s">
        <v>242</v>
      </c>
      <c r="S1441" s="10" t="s">
        <v>242</v>
      </c>
      <c r="T1441" s="10" t="s">
        <v>242</v>
      </c>
      <c r="U1441" s="10" t="s">
        <v>242</v>
      </c>
      <c r="V1441" s="10" t="s">
        <v>242</v>
      </c>
      <c r="W1441" s="10" t="s">
        <v>242</v>
      </c>
      <c r="X1441" s="15">
        <f>IF(ISERROR(VLOOKUP($A1441,'13. Updated Demand'!A:Z,15,FALSE)),0,VLOOKUP($A1441,'13. Updated Demand'!A:Z,15,FALSE))</f>
        <v>0</v>
      </c>
      <c r="Y1441" s="16">
        <f>IF(ISERROR(VLOOKUP($A1441,'13. Updated Demand'!A:Z,16,FALSE)),0,VLOOKUP($A1441,'13. Updated Demand'!A:Z,16,FALSE))</f>
        <v>0</v>
      </c>
      <c r="Z1441" s="16">
        <f>IF(ISERROR(VLOOKUP($A1441,'13. Updated Demand'!A:Z,17,FALSE)),0,VLOOKUP($A1441,'13. Updated Demand'!A:Z,17,FALSE))</f>
        <v>0</v>
      </c>
      <c r="AA1441" s="16">
        <f>IF(ISERROR(VLOOKUP($A1441,'13. Updated Demand'!A:Z,18,FALSE)),0,VLOOKUP($A1441,'13. Updated Demand'!A:Z,18,FALSE))</f>
        <v>0</v>
      </c>
      <c r="AB1441" s="16">
        <f>IF(ISERROR(VLOOKUP($A1441,'13. Updated Demand'!A:Z,19,FALSE)),0,VLOOKUP($A1441,'13. Updated Demand'!A:Z,19,FALSE))</f>
        <v>0.22</v>
      </c>
      <c r="AC1441" s="16">
        <f>IF(ISERROR(VLOOKUP($A1441,'13. Updated Demand'!A:Z,20,FALSE)),0,VLOOKUP($A1441,'13. Updated Demand'!A:Z,20,FALSE))</f>
        <v>0.56999999999999995</v>
      </c>
      <c r="AD1441" s="16">
        <f>IF(ISERROR(VLOOKUP($A1441,'13. Updated Demand'!A:Z,21,FALSE)),0,VLOOKUP($A1441,'13. Updated Demand'!A:Z,21,FALSE))</f>
        <v>0.52</v>
      </c>
      <c r="AE1441" s="16">
        <f>IF(ISERROR(VLOOKUP($A1441,'13. Updated Demand'!A:Z,22,FALSE)),0,VLOOKUP($A1441,'13. Updated Demand'!A:Z,22,FALSE))</f>
        <v>0.47</v>
      </c>
      <c r="AF1441" s="16">
        <f>IF(ISERROR(VLOOKUP($A1441,'13. Updated Demand'!A:Z,23,FALSE)),0,VLOOKUP($A1441,'13. Updated Demand'!A:Z,23,FALSE))</f>
        <v>0.39</v>
      </c>
      <c r="AG1441" s="16">
        <f>IF(ISERROR(VLOOKUP($A1441,'13. Updated Demand'!A:Z,24,FALSE)),0,VLOOKUP($A1441,'13. Updated Demand'!A:Z,24,FALSE))</f>
        <v>0.01</v>
      </c>
      <c r="AH1441" s="16">
        <f>IF(ISERROR(VLOOKUP($A1441,'13. Updated Demand'!A:Z,25,FALSE)),0,VLOOKUP($A1441,'13. Updated Demand'!A:Z,25,FALSE))</f>
        <v>0</v>
      </c>
      <c r="AI1441" s="16">
        <f>IF(ISERROR(VLOOKUP($A1441,'13. Updated Demand'!A:Z,26,FALSE)),0,VLOOKUP($A1441,'13. Updated Demand'!A:Z,26,FALSE))</f>
        <v>0</v>
      </c>
      <c r="AJ1441" s="16">
        <f t="shared" si="277"/>
        <v>2.1799999999999997</v>
      </c>
      <c r="AK1441" s="19">
        <v>2.1992886669999998</v>
      </c>
      <c r="AL1441" s="16">
        <f t="shared" si="276"/>
        <v>7.2947899859175623E-3</v>
      </c>
      <c r="AM1441" s="26">
        <v>1.5251242407509662</v>
      </c>
      <c r="AN1441" s="19">
        <v>1.4488000000000001</v>
      </c>
      <c r="AO1441" s="19" t="s">
        <v>1758</v>
      </c>
      <c r="AP1441" s="19">
        <v>0</v>
      </c>
      <c r="AQ1441" s="19" t="s">
        <v>307</v>
      </c>
      <c r="AR1441" s="9" t="s">
        <v>317</v>
      </c>
      <c r="AS1441" s="12">
        <v>3.4039024194010059E-4</v>
      </c>
      <c r="AT1441" s="19">
        <v>39.33</v>
      </c>
      <c r="AU1441" s="19">
        <v>-123.2375</v>
      </c>
      <c r="AV1441" s="19" t="s">
        <v>1809</v>
      </c>
    </row>
    <row r="1442" spans="1:48" x14ac:dyDescent="0.25">
      <c r="A1442" s="18" t="s">
        <v>1810</v>
      </c>
      <c r="B1442" s="10">
        <v>19000101</v>
      </c>
      <c r="C1442" s="9">
        <v>1</v>
      </c>
      <c r="D1442" s="8" t="str">
        <f t="shared" si="267"/>
        <v>N</v>
      </c>
      <c r="E1442" s="8" t="str">
        <f t="shared" si="268"/>
        <v>N</v>
      </c>
      <c r="F1442" s="8" t="str">
        <f t="shared" si="269"/>
        <v>Y</v>
      </c>
      <c r="G1442" s="8" t="str">
        <f t="shared" si="270"/>
        <v>Y</v>
      </c>
      <c r="H1442" s="8" t="str">
        <f t="shared" si="271"/>
        <v>Upper</v>
      </c>
      <c r="I1442" s="8" t="str">
        <f t="shared" si="272"/>
        <v>West Fork and Below Lake</v>
      </c>
      <c r="J1442" s="8" t="str">
        <f t="shared" si="273"/>
        <v>Outside</v>
      </c>
      <c r="K1442" s="8" t="str">
        <f t="shared" si="274"/>
        <v>pre-1914</v>
      </c>
      <c r="L1442" s="8">
        <f t="shared" si="275"/>
        <v>1900</v>
      </c>
      <c r="M1442" s="8" t="s">
        <v>179</v>
      </c>
      <c r="N1442" s="10" t="s">
        <v>242</v>
      </c>
      <c r="O1442" s="10" t="s">
        <v>241</v>
      </c>
      <c r="P1442" s="10" t="s">
        <v>241</v>
      </c>
      <c r="Q1442" s="10" t="s">
        <v>242</v>
      </c>
      <c r="R1442" s="10" t="s">
        <v>242</v>
      </c>
      <c r="S1442" s="10" t="s">
        <v>242</v>
      </c>
      <c r="T1442" s="10" t="s">
        <v>242</v>
      </c>
      <c r="U1442" s="10" t="s">
        <v>242</v>
      </c>
      <c r="V1442" s="10" t="s">
        <v>242</v>
      </c>
      <c r="W1442" s="10" t="s">
        <v>242</v>
      </c>
      <c r="X1442" s="15">
        <f>IF(ISERROR(VLOOKUP($A1442,'13. Updated Demand'!A:Z,15,FALSE)),0,VLOOKUP($A1442,'13. Updated Demand'!A:Z,15,FALSE))</f>
        <v>0.41</v>
      </c>
      <c r="Y1442" s="16">
        <f>IF(ISERROR(VLOOKUP($A1442,'13. Updated Demand'!A:Z,16,FALSE)),0,VLOOKUP($A1442,'13. Updated Demand'!A:Z,16,FALSE))</f>
        <v>0.37</v>
      </c>
      <c r="Z1442" s="16">
        <f>IF(ISERROR(VLOOKUP($A1442,'13. Updated Demand'!A:Z,17,FALSE)),0,VLOOKUP($A1442,'13. Updated Demand'!A:Z,17,FALSE))</f>
        <v>0.41</v>
      </c>
      <c r="AA1442" s="16">
        <f>IF(ISERROR(VLOOKUP($A1442,'13. Updated Demand'!A:Z,18,FALSE)),0,VLOOKUP($A1442,'13. Updated Demand'!A:Z,18,FALSE))</f>
        <v>0.4</v>
      </c>
      <c r="AB1442" s="16">
        <f>IF(ISERROR(VLOOKUP($A1442,'13. Updated Demand'!A:Z,19,FALSE)),0,VLOOKUP($A1442,'13. Updated Demand'!A:Z,19,FALSE))</f>
        <v>0.41</v>
      </c>
      <c r="AC1442" s="16">
        <f>IF(ISERROR(VLOOKUP($A1442,'13. Updated Demand'!A:Z,20,FALSE)),0,VLOOKUP($A1442,'13. Updated Demand'!A:Z,20,FALSE))</f>
        <v>0.4</v>
      </c>
      <c r="AD1442" s="16">
        <f>IF(ISERROR(VLOOKUP($A1442,'13. Updated Demand'!A:Z,21,FALSE)),0,VLOOKUP($A1442,'13. Updated Demand'!A:Z,21,FALSE))</f>
        <v>0.41</v>
      </c>
      <c r="AE1442" s="16">
        <f>IF(ISERROR(VLOOKUP($A1442,'13. Updated Demand'!A:Z,22,FALSE)),0,VLOOKUP($A1442,'13. Updated Demand'!A:Z,22,FALSE))</f>
        <v>0.41</v>
      </c>
      <c r="AF1442" s="16">
        <f>IF(ISERROR(VLOOKUP($A1442,'13. Updated Demand'!A:Z,23,FALSE)),0,VLOOKUP($A1442,'13. Updated Demand'!A:Z,23,FALSE))</f>
        <v>0.4</v>
      </c>
      <c r="AG1442" s="16">
        <f>IF(ISERROR(VLOOKUP($A1442,'13. Updated Demand'!A:Z,24,FALSE)),0,VLOOKUP($A1442,'13. Updated Demand'!A:Z,24,FALSE))</f>
        <v>0.27</v>
      </c>
      <c r="AH1442" s="16">
        <f>IF(ISERROR(VLOOKUP($A1442,'13. Updated Demand'!A:Z,25,FALSE)),0,VLOOKUP($A1442,'13. Updated Demand'!A:Z,25,FALSE))</f>
        <v>0.26</v>
      </c>
      <c r="AI1442" s="16">
        <f>IF(ISERROR(VLOOKUP($A1442,'13. Updated Demand'!A:Z,26,FALSE)),0,VLOOKUP($A1442,'13. Updated Demand'!A:Z,26,FALSE))</f>
        <v>0.27</v>
      </c>
      <c r="AJ1442" s="16">
        <f t="shared" si="277"/>
        <v>4.42</v>
      </c>
      <c r="AK1442" s="19">
        <v>2.0516489999999998</v>
      </c>
      <c r="AL1442" s="16">
        <f t="shared" si="276"/>
        <v>6.8050860282170408E-3</v>
      </c>
      <c r="AM1442" s="26">
        <v>0.34275461684765945</v>
      </c>
      <c r="AN1442" s="19">
        <v>13.039199999999999</v>
      </c>
      <c r="AO1442" s="19" t="s">
        <v>1758</v>
      </c>
      <c r="AP1442" s="19">
        <v>0</v>
      </c>
      <c r="AQ1442" s="19" t="s">
        <v>307</v>
      </c>
      <c r="AR1442" s="9" t="s">
        <v>317</v>
      </c>
      <c r="AS1442" s="12">
        <v>3.4039024194010059E-4</v>
      </c>
      <c r="AT1442" s="19">
        <v>39.333199999999998</v>
      </c>
      <c r="AU1442" s="19">
        <v>-123.2406</v>
      </c>
      <c r="AV1442" s="19" t="s">
        <v>1811</v>
      </c>
    </row>
    <row r="1443" spans="1:48" x14ac:dyDescent="0.25">
      <c r="A1443" s="18" t="s">
        <v>1812</v>
      </c>
      <c r="B1443" s="10">
        <v>19000101</v>
      </c>
      <c r="C1443" s="9">
        <v>1</v>
      </c>
      <c r="D1443" s="8" t="str">
        <f t="shared" si="267"/>
        <v>N</v>
      </c>
      <c r="E1443" s="8" t="str">
        <f t="shared" si="268"/>
        <v>N</v>
      </c>
      <c r="F1443" s="8" t="str">
        <f t="shared" si="269"/>
        <v>Y</v>
      </c>
      <c r="G1443" s="8" t="str">
        <f t="shared" si="270"/>
        <v>Y</v>
      </c>
      <c r="H1443" s="8" t="str">
        <f t="shared" si="271"/>
        <v>Upper</v>
      </c>
      <c r="I1443" s="8" t="str">
        <f t="shared" si="272"/>
        <v>West Fork and Below Lake</v>
      </c>
      <c r="J1443" s="8" t="str">
        <f t="shared" si="273"/>
        <v>Outside</v>
      </c>
      <c r="K1443" s="8" t="str">
        <f t="shared" si="274"/>
        <v>pre-1914</v>
      </c>
      <c r="L1443" s="8">
        <f t="shared" si="275"/>
        <v>1900</v>
      </c>
      <c r="M1443" s="8" t="s">
        <v>179</v>
      </c>
      <c r="N1443" s="10" t="s">
        <v>242</v>
      </c>
      <c r="O1443" s="10" t="s">
        <v>241</v>
      </c>
      <c r="P1443" s="10" t="s">
        <v>241</v>
      </c>
      <c r="Q1443" s="10" t="s">
        <v>242</v>
      </c>
      <c r="R1443" s="10" t="s">
        <v>242</v>
      </c>
      <c r="S1443" s="10" t="s">
        <v>242</v>
      </c>
      <c r="T1443" s="10" t="s">
        <v>242</v>
      </c>
      <c r="U1443" s="10" t="s">
        <v>241</v>
      </c>
      <c r="V1443" s="10" t="s">
        <v>241</v>
      </c>
      <c r="W1443" s="10" t="s">
        <v>242</v>
      </c>
      <c r="X1443" s="15">
        <f>IF(ISERROR(VLOOKUP($A1443,'13. Updated Demand'!A:Z,15,FALSE)),0,VLOOKUP($A1443,'13. Updated Demand'!A:Z,15,FALSE))</f>
        <v>0</v>
      </c>
      <c r="Y1443" s="16">
        <f>IF(ISERROR(VLOOKUP($A1443,'13. Updated Demand'!A:Z,16,FALSE)),0,VLOOKUP($A1443,'13. Updated Demand'!A:Z,16,FALSE))</f>
        <v>0</v>
      </c>
      <c r="Z1443" s="16">
        <f>IF(ISERROR(VLOOKUP($A1443,'13. Updated Demand'!A:Z,17,FALSE)),0,VLOOKUP($A1443,'13. Updated Demand'!A:Z,17,FALSE))</f>
        <v>0</v>
      </c>
      <c r="AA1443" s="16">
        <f>IF(ISERROR(VLOOKUP($A1443,'13. Updated Demand'!A:Z,18,FALSE)),0,VLOOKUP($A1443,'13. Updated Demand'!A:Z,18,FALSE))</f>
        <v>0</v>
      </c>
      <c r="AB1443" s="16">
        <f>IF(ISERROR(VLOOKUP($A1443,'13. Updated Demand'!A:Z,19,FALSE)),0,VLOOKUP($A1443,'13. Updated Demand'!A:Z,19,FALSE))</f>
        <v>0</v>
      </c>
      <c r="AC1443" s="16">
        <f>IF(ISERROR(VLOOKUP($A1443,'13. Updated Demand'!A:Z,20,FALSE)),0,VLOOKUP($A1443,'13. Updated Demand'!A:Z,20,FALSE))</f>
        <v>0</v>
      </c>
      <c r="AD1443" s="16">
        <f>IF(ISERROR(VLOOKUP($A1443,'13. Updated Demand'!A:Z,21,FALSE)),0,VLOOKUP($A1443,'13. Updated Demand'!A:Z,21,FALSE))</f>
        <v>0</v>
      </c>
      <c r="AE1443" s="16">
        <f>IF(ISERROR(VLOOKUP($A1443,'13. Updated Demand'!A:Z,22,FALSE)),0,VLOOKUP($A1443,'13. Updated Demand'!A:Z,22,FALSE))</f>
        <v>0</v>
      </c>
      <c r="AF1443" s="16">
        <f>IF(ISERROR(VLOOKUP($A1443,'13. Updated Demand'!A:Z,23,FALSE)),0,VLOOKUP($A1443,'13. Updated Demand'!A:Z,23,FALSE))</f>
        <v>0</v>
      </c>
      <c r="AG1443" s="16">
        <f>IF(ISERROR(VLOOKUP($A1443,'13. Updated Demand'!A:Z,24,FALSE)),0,VLOOKUP($A1443,'13. Updated Demand'!A:Z,24,FALSE))</f>
        <v>0</v>
      </c>
      <c r="AH1443" s="16">
        <f>IF(ISERROR(VLOOKUP($A1443,'13. Updated Demand'!A:Z,25,FALSE)),0,VLOOKUP($A1443,'13. Updated Demand'!A:Z,25,FALSE))</f>
        <v>0</v>
      </c>
      <c r="AI1443" s="16">
        <f>IF(ISERROR(VLOOKUP($A1443,'13. Updated Demand'!A:Z,26,FALSE)),0,VLOOKUP($A1443,'13. Updated Demand'!A:Z,26,FALSE))</f>
        <v>0</v>
      </c>
      <c r="AJ1443" s="16">
        <f t="shared" si="277"/>
        <v>0</v>
      </c>
      <c r="AK1443" s="19">
        <v>0</v>
      </c>
      <c r="AL1443" s="16">
        <f t="shared" si="276"/>
        <v>0</v>
      </c>
      <c r="AM1443" s="26">
        <v>0</v>
      </c>
      <c r="AN1443" s="19">
        <v>1.85</v>
      </c>
      <c r="AO1443" s="19" t="s">
        <v>1758</v>
      </c>
      <c r="AP1443" s="19">
        <v>0</v>
      </c>
      <c r="AQ1443" s="19" t="s">
        <v>307</v>
      </c>
      <c r="AR1443" s="9" t="s">
        <v>317</v>
      </c>
      <c r="AS1443" s="12">
        <v>0</v>
      </c>
      <c r="AT1443" s="19">
        <v>39.273299999999999</v>
      </c>
      <c r="AU1443" s="19">
        <v>-123.2086</v>
      </c>
      <c r="AV1443" s="19" t="s">
        <v>1813</v>
      </c>
    </row>
    <row r="1444" spans="1:48" x14ac:dyDescent="0.25">
      <c r="A1444" s="18" t="s">
        <v>1814</v>
      </c>
      <c r="B1444" s="10">
        <v>19000101</v>
      </c>
      <c r="C1444" s="9">
        <v>18</v>
      </c>
      <c r="D1444" s="8" t="str">
        <f t="shared" si="267"/>
        <v>N</v>
      </c>
      <c r="E1444" s="8" t="str">
        <f t="shared" si="268"/>
        <v>N</v>
      </c>
      <c r="F1444" s="8" t="str">
        <f t="shared" si="269"/>
        <v>N</v>
      </c>
      <c r="G1444" s="8" t="str">
        <f t="shared" si="270"/>
        <v>N</v>
      </c>
      <c r="H1444" s="8" t="str">
        <f t="shared" si="271"/>
        <v>Lower</v>
      </c>
      <c r="I1444" s="8" t="str">
        <f t="shared" si="272"/>
        <v>Outside</v>
      </c>
      <c r="J1444" s="8" t="str">
        <f t="shared" si="273"/>
        <v>Outside</v>
      </c>
      <c r="K1444" s="8" t="str">
        <f t="shared" si="274"/>
        <v>pre-1914</v>
      </c>
      <c r="L1444" s="8">
        <f t="shared" si="275"/>
        <v>1900</v>
      </c>
      <c r="M1444" s="8" t="s">
        <v>179</v>
      </c>
      <c r="N1444" s="10" t="s">
        <v>242</v>
      </c>
      <c r="O1444" s="10" t="s">
        <v>242</v>
      </c>
      <c r="P1444" s="10" t="s">
        <v>241</v>
      </c>
      <c r="Q1444" s="10" t="s">
        <v>242</v>
      </c>
      <c r="R1444" s="10" t="s">
        <v>242</v>
      </c>
      <c r="S1444" s="10" t="s">
        <v>242</v>
      </c>
      <c r="T1444" s="10" t="s">
        <v>242</v>
      </c>
      <c r="U1444" s="10" t="s">
        <v>242</v>
      </c>
      <c r="V1444" s="10" t="s">
        <v>242</v>
      </c>
      <c r="W1444" s="10" t="s">
        <v>242</v>
      </c>
      <c r="X1444" s="15">
        <f>IF(ISERROR(VLOOKUP($A1444,'13. Updated Demand'!A:Z,15,FALSE)),0,VLOOKUP($A1444,'13. Updated Demand'!A:Z,15,FALSE))</f>
        <v>0</v>
      </c>
      <c r="Y1444" s="16">
        <f>IF(ISERROR(VLOOKUP($A1444,'13. Updated Demand'!A:Z,16,FALSE)),0,VLOOKUP($A1444,'13. Updated Demand'!A:Z,16,FALSE))</f>
        <v>0</v>
      </c>
      <c r="Z1444" s="16">
        <f>IF(ISERROR(VLOOKUP($A1444,'13. Updated Demand'!A:Z,17,FALSE)),0,VLOOKUP($A1444,'13. Updated Demand'!A:Z,17,FALSE))</f>
        <v>2.7299999999999998E-3</v>
      </c>
      <c r="AA1444" s="16">
        <f>IF(ISERROR(VLOOKUP($A1444,'13. Updated Demand'!A:Z,18,FALSE)),0,VLOOKUP($A1444,'13. Updated Demand'!A:Z,18,FALSE))</f>
        <v>2.7299999999999998E-3</v>
      </c>
      <c r="AB1444" s="16">
        <f>IF(ISERROR(VLOOKUP($A1444,'13. Updated Demand'!A:Z,19,FALSE)),0,VLOOKUP($A1444,'13. Updated Demand'!A:Z,19,FALSE))</f>
        <v>2.7299999999999998E-3</v>
      </c>
      <c r="AC1444" s="16">
        <f>IF(ISERROR(VLOOKUP($A1444,'13. Updated Demand'!A:Z,20,FALSE)),0,VLOOKUP($A1444,'13. Updated Demand'!A:Z,20,FALSE))</f>
        <v>2.7299999999999998E-3</v>
      </c>
      <c r="AD1444" s="16">
        <f>IF(ISERROR(VLOOKUP($A1444,'13. Updated Demand'!A:Z,21,FALSE)),0,VLOOKUP($A1444,'13. Updated Demand'!A:Z,21,FALSE))</f>
        <v>2.7299999999999998E-3</v>
      </c>
      <c r="AE1444" s="16">
        <f>IF(ISERROR(VLOOKUP($A1444,'13. Updated Demand'!A:Z,22,FALSE)),0,VLOOKUP($A1444,'13. Updated Demand'!A:Z,22,FALSE))</f>
        <v>2.7299999999999998E-3</v>
      </c>
      <c r="AF1444" s="16">
        <f>IF(ISERROR(VLOOKUP($A1444,'13. Updated Demand'!A:Z,23,FALSE)),0,VLOOKUP($A1444,'13. Updated Demand'!A:Z,23,FALSE))</f>
        <v>2.7299999999999998E-3</v>
      </c>
      <c r="AG1444" s="16">
        <f>IF(ISERROR(VLOOKUP($A1444,'13. Updated Demand'!A:Z,24,FALSE)),0,VLOOKUP($A1444,'13. Updated Demand'!A:Z,24,FALSE))</f>
        <v>2.7299999999999998E-3</v>
      </c>
      <c r="AH1444" s="16">
        <f>IF(ISERROR(VLOOKUP($A1444,'13. Updated Demand'!A:Z,25,FALSE)),0,VLOOKUP($A1444,'13. Updated Demand'!A:Z,25,FALSE))</f>
        <v>2.7299999999999998E-3</v>
      </c>
      <c r="AI1444" s="16">
        <f>IF(ISERROR(VLOOKUP($A1444,'13. Updated Demand'!A:Z,26,FALSE)),0,VLOOKUP($A1444,'13. Updated Demand'!A:Z,26,FALSE))</f>
        <v>0</v>
      </c>
      <c r="AJ1444" s="16">
        <f t="shared" si="277"/>
        <v>2.4569999999999998E-2</v>
      </c>
      <c r="AK1444" s="19">
        <v>1.3649999999999999E-2</v>
      </c>
      <c r="AL1444" s="16">
        <f t="shared" si="276"/>
        <v>4.5275495118883693E-5</v>
      </c>
      <c r="AM1444" s="26">
        <v>1.0028571428571427</v>
      </c>
      <c r="AN1444" s="19">
        <v>2.4500000000000001E-2</v>
      </c>
      <c r="AO1444" s="19" t="s">
        <v>1758</v>
      </c>
      <c r="AP1444" s="19">
        <v>0</v>
      </c>
      <c r="AQ1444" s="19" t="s">
        <v>307</v>
      </c>
      <c r="AR1444" s="9" t="s">
        <v>352</v>
      </c>
      <c r="AS1444" s="12">
        <v>0</v>
      </c>
      <c r="AT1444" s="19">
        <v>38.417700000000004</v>
      </c>
      <c r="AU1444" s="19">
        <v>-122.9006</v>
      </c>
      <c r="AV1444" s="19" t="s">
        <v>411</v>
      </c>
    </row>
    <row r="1445" spans="1:48" x14ac:dyDescent="0.25">
      <c r="A1445" s="18" t="s">
        <v>1815</v>
      </c>
      <c r="B1445" s="10">
        <v>19000101</v>
      </c>
      <c r="C1445" s="9">
        <v>18</v>
      </c>
      <c r="D1445" s="8" t="str">
        <f t="shared" si="267"/>
        <v>N</v>
      </c>
      <c r="E1445" s="8" t="str">
        <f t="shared" si="268"/>
        <v>N</v>
      </c>
      <c r="F1445" s="8" t="str">
        <f t="shared" si="269"/>
        <v>N</v>
      </c>
      <c r="G1445" s="8" t="str">
        <f t="shared" si="270"/>
        <v>N</v>
      </c>
      <c r="H1445" s="8" t="str">
        <f t="shared" si="271"/>
        <v>Lower</v>
      </c>
      <c r="I1445" s="8" t="str">
        <f t="shared" si="272"/>
        <v>Outside</v>
      </c>
      <c r="J1445" s="8" t="str">
        <f t="shared" si="273"/>
        <v>Outside</v>
      </c>
      <c r="K1445" s="8" t="str">
        <f t="shared" si="274"/>
        <v>pre-1914</v>
      </c>
      <c r="L1445" s="8">
        <f t="shared" si="275"/>
        <v>1900</v>
      </c>
      <c r="M1445" s="8" t="s">
        <v>179</v>
      </c>
      <c r="N1445" s="10" t="s">
        <v>242</v>
      </c>
      <c r="O1445" s="10" t="s">
        <v>242</v>
      </c>
      <c r="P1445" s="10" t="s">
        <v>241</v>
      </c>
      <c r="Q1445" s="10" t="s">
        <v>242</v>
      </c>
      <c r="R1445" s="10" t="s">
        <v>242</v>
      </c>
      <c r="S1445" s="10" t="s">
        <v>242</v>
      </c>
      <c r="T1445" s="10" t="s">
        <v>242</v>
      </c>
      <c r="U1445" s="10" t="s">
        <v>242</v>
      </c>
      <c r="V1445" s="10" t="s">
        <v>242</v>
      </c>
      <c r="W1445" s="10" t="s">
        <v>242</v>
      </c>
      <c r="X1445" s="15">
        <f>IF(ISERROR(VLOOKUP($A1445,'13. Updated Demand'!A:Z,15,FALSE)),0,VLOOKUP($A1445,'13. Updated Demand'!A:Z,15,FALSE))</f>
        <v>0</v>
      </c>
      <c r="Y1445" s="16">
        <f>IF(ISERROR(VLOOKUP($A1445,'13. Updated Demand'!A:Z,16,FALSE)),0,VLOOKUP($A1445,'13. Updated Demand'!A:Z,16,FALSE))</f>
        <v>0</v>
      </c>
      <c r="Z1445" s="16">
        <f>IF(ISERROR(VLOOKUP($A1445,'13. Updated Demand'!A:Z,17,FALSE)),0,VLOOKUP($A1445,'13. Updated Demand'!A:Z,17,FALSE))</f>
        <v>1.5</v>
      </c>
      <c r="AA1445" s="16">
        <f>IF(ISERROR(VLOOKUP($A1445,'13. Updated Demand'!A:Z,18,FALSE)),0,VLOOKUP($A1445,'13. Updated Demand'!A:Z,18,FALSE))</f>
        <v>3.5</v>
      </c>
      <c r="AB1445" s="16">
        <f>IF(ISERROR(VLOOKUP($A1445,'13. Updated Demand'!A:Z,19,FALSE)),0,VLOOKUP($A1445,'13. Updated Demand'!A:Z,19,FALSE))</f>
        <v>2.5</v>
      </c>
      <c r="AC1445" s="16">
        <f>IF(ISERROR(VLOOKUP($A1445,'13. Updated Demand'!A:Z,20,FALSE)),0,VLOOKUP($A1445,'13. Updated Demand'!A:Z,20,FALSE))</f>
        <v>2.5</v>
      </c>
      <c r="AD1445" s="16">
        <f>IF(ISERROR(VLOOKUP($A1445,'13. Updated Demand'!A:Z,21,FALSE)),0,VLOOKUP($A1445,'13. Updated Demand'!A:Z,21,FALSE))</f>
        <v>2</v>
      </c>
      <c r="AE1445" s="16">
        <f>IF(ISERROR(VLOOKUP($A1445,'13. Updated Demand'!A:Z,22,FALSE)),0,VLOOKUP($A1445,'13. Updated Demand'!A:Z,22,FALSE))</f>
        <v>2.5</v>
      </c>
      <c r="AF1445" s="16">
        <f>IF(ISERROR(VLOOKUP($A1445,'13. Updated Demand'!A:Z,23,FALSE)),0,VLOOKUP($A1445,'13. Updated Demand'!A:Z,23,FALSE))</f>
        <v>2</v>
      </c>
      <c r="AG1445" s="16">
        <f>IF(ISERROR(VLOOKUP($A1445,'13. Updated Demand'!A:Z,24,FALSE)),0,VLOOKUP($A1445,'13. Updated Demand'!A:Z,24,FALSE))</f>
        <v>1</v>
      </c>
      <c r="AH1445" s="16">
        <f>IF(ISERROR(VLOOKUP($A1445,'13. Updated Demand'!A:Z,25,FALSE)),0,VLOOKUP($A1445,'13. Updated Demand'!A:Z,25,FALSE))</f>
        <v>0</v>
      </c>
      <c r="AI1445" s="16">
        <f>IF(ISERROR(VLOOKUP($A1445,'13. Updated Demand'!A:Z,26,FALSE)),0,VLOOKUP($A1445,'13. Updated Demand'!A:Z,26,FALSE))</f>
        <v>0</v>
      </c>
      <c r="AJ1445" s="16">
        <f t="shared" si="277"/>
        <v>17.5</v>
      </c>
      <c r="AK1445" s="19">
        <v>11.5</v>
      </c>
      <c r="AL1445" s="16">
        <f t="shared" si="276"/>
        <v>3.8144190026898353E-2</v>
      </c>
      <c r="AM1445" s="26">
        <v>1.0294117647058822</v>
      </c>
      <c r="AN1445" s="19">
        <v>17</v>
      </c>
      <c r="AO1445" s="19" t="s">
        <v>1758</v>
      </c>
      <c r="AP1445" s="19">
        <v>0</v>
      </c>
      <c r="AQ1445" s="19" t="s">
        <v>307</v>
      </c>
      <c r="AR1445" s="9" t="s">
        <v>352</v>
      </c>
      <c r="AS1445" s="12">
        <v>0</v>
      </c>
      <c r="AT1445" s="19">
        <v>38.4176</v>
      </c>
      <c r="AU1445" s="19">
        <v>-122.9</v>
      </c>
      <c r="AV1445" s="19" t="s">
        <v>411</v>
      </c>
    </row>
    <row r="1446" spans="1:48" x14ac:dyDescent="0.25">
      <c r="A1446" s="18" t="s">
        <v>1816</v>
      </c>
      <c r="B1446" s="10">
        <v>19000101</v>
      </c>
      <c r="C1446" s="9">
        <v>2</v>
      </c>
      <c r="D1446" s="8" t="str">
        <f t="shared" si="267"/>
        <v>N</v>
      </c>
      <c r="E1446" s="8" t="str">
        <f t="shared" si="268"/>
        <v>N</v>
      </c>
      <c r="F1446" s="8" t="str">
        <f t="shared" si="269"/>
        <v>Y</v>
      </c>
      <c r="G1446" s="8" t="str">
        <f t="shared" si="270"/>
        <v>N</v>
      </c>
      <c r="H1446" s="8" t="str">
        <f t="shared" si="271"/>
        <v>Upper</v>
      </c>
      <c r="I1446" s="8" t="str">
        <f t="shared" si="272"/>
        <v>Outside</v>
      </c>
      <c r="J1446" s="8" t="str">
        <f t="shared" si="273"/>
        <v>Outside</v>
      </c>
      <c r="K1446" s="8" t="str">
        <f t="shared" si="274"/>
        <v>pre-1914</v>
      </c>
      <c r="L1446" s="8">
        <f t="shared" si="275"/>
        <v>1900</v>
      </c>
      <c r="M1446" s="8" t="s">
        <v>179</v>
      </c>
      <c r="N1446" s="10" t="s">
        <v>242</v>
      </c>
      <c r="O1446" s="10" t="s">
        <v>241</v>
      </c>
      <c r="P1446" s="10" t="s">
        <v>241</v>
      </c>
      <c r="Q1446" s="10" t="s">
        <v>242</v>
      </c>
      <c r="R1446" s="10" t="s">
        <v>242</v>
      </c>
      <c r="S1446" s="10" t="s">
        <v>242</v>
      </c>
      <c r="T1446" s="10" t="s">
        <v>242</v>
      </c>
      <c r="U1446" s="10" t="s">
        <v>241</v>
      </c>
      <c r="V1446" s="10" t="s">
        <v>241</v>
      </c>
      <c r="W1446" s="10" t="s">
        <v>242</v>
      </c>
      <c r="X1446" s="15">
        <f>IF(ISERROR(VLOOKUP($A1446,'13. Updated Demand'!A:Z,15,FALSE)),0,VLOOKUP($A1446,'13. Updated Demand'!A:Z,15,FALSE))</f>
        <v>0</v>
      </c>
      <c r="Y1446" s="16">
        <f>IF(ISERROR(VLOOKUP($A1446,'13. Updated Demand'!A:Z,16,FALSE)),0,VLOOKUP($A1446,'13. Updated Demand'!A:Z,16,FALSE))</f>
        <v>0</v>
      </c>
      <c r="Z1446" s="16">
        <f>IF(ISERROR(VLOOKUP($A1446,'13. Updated Demand'!A:Z,17,FALSE)),0,VLOOKUP($A1446,'13. Updated Demand'!A:Z,17,FALSE))</f>
        <v>0</v>
      </c>
      <c r="AA1446" s="16">
        <f>IF(ISERROR(VLOOKUP($A1446,'13. Updated Demand'!A:Z,18,FALSE)),0,VLOOKUP($A1446,'13. Updated Demand'!A:Z,18,FALSE))</f>
        <v>0</v>
      </c>
      <c r="AB1446" s="16">
        <f>IF(ISERROR(VLOOKUP($A1446,'13. Updated Demand'!A:Z,19,FALSE)),0,VLOOKUP($A1446,'13. Updated Demand'!A:Z,19,FALSE))</f>
        <v>0</v>
      </c>
      <c r="AC1446" s="16">
        <f>IF(ISERROR(VLOOKUP($A1446,'13. Updated Demand'!A:Z,20,FALSE)),0,VLOOKUP($A1446,'13. Updated Demand'!A:Z,20,FALSE))</f>
        <v>0</v>
      </c>
      <c r="AD1446" s="16">
        <f>IF(ISERROR(VLOOKUP($A1446,'13. Updated Demand'!A:Z,21,FALSE)),0,VLOOKUP($A1446,'13. Updated Demand'!A:Z,21,FALSE))</f>
        <v>0</v>
      </c>
      <c r="AE1446" s="16">
        <f>IF(ISERROR(VLOOKUP($A1446,'13. Updated Demand'!A:Z,22,FALSE)),0,VLOOKUP($A1446,'13. Updated Demand'!A:Z,22,FALSE))</f>
        <v>0</v>
      </c>
      <c r="AF1446" s="16">
        <f>IF(ISERROR(VLOOKUP($A1446,'13. Updated Demand'!A:Z,23,FALSE)),0,VLOOKUP($A1446,'13. Updated Demand'!A:Z,23,FALSE))</f>
        <v>0</v>
      </c>
      <c r="AG1446" s="16">
        <f>IF(ISERROR(VLOOKUP($A1446,'13. Updated Demand'!A:Z,24,FALSE)),0,VLOOKUP($A1446,'13. Updated Demand'!A:Z,24,FALSE))</f>
        <v>0</v>
      </c>
      <c r="AH1446" s="16">
        <f>IF(ISERROR(VLOOKUP($A1446,'13. Updated Demand'!A:Z,25,FALSE)),0,VLOOKUP($A1446,'13. Updated Demand'!A:Z,25,FALSE))</f>
        <v>0</v>
      </c>
      <c r="AI1446" s="16">
        <f>IF(ISERROR(VLOOKUP($A1446,'13. Updated Demand'!A:Z,26,FALSE)),0,VLOOKUP($A1446,'13. Updated Demand'!A:Z,26,FALSE))</f>
        <v>0</v>
      </c>
      <c r="AJ1446" s="16">
        <f t="shared" si="277"/>
        <v>0</v>
      </c>
      <c r="AK1446" s="19">
        <v>0</v>
      </c>
      <c r="AL1446" s="16">
        <f t="shared" si="276"/>
        <v>0</v>
      </c>
      <c r="AM1446" s="26">
        <v>0</v>
      </c>
      <c r="AN1446" s="19">
        <v>15.9368</v>
      </c>
      <c r="AO1446" s="19" t="s">
        <v>1758</v>
      </c>
      <c r="AP1446" s="19">
        <v>0</v>
      </c>
      <c r="AQ1446" s="19" t="s">
        <v>307</v>
      </c>
      <c r="AR1446" s="9" t="s">
        <v>348</v>
      </c>
      <c r="AS1446" s="12">
        <v>3.4039024194010059E-4</v>
      </c>
      <c r="AT1446" s="19">
        <v>39.272913690000003</v>
      </c>
      <c r="AU1446" s="19">
        <v>-123.10253365</v>
      </c>
      <c r="AV1446" s="19" t="s">
        <v>430</v>
      </c>
    </row>
    <row r="1447" spans="1:48" x14ac:dyDescent="0.25">
      <c r="A1447" s="18" t="s">
        <v>1817</v>
      </c>
      <c r="B1447" s="10">
        <v>18990101</v>
      </c>
      <c r="C1447" s="9">
        <v>23</v>
      </c>
      <c r="D1447" s="8" t="str">
        <f t="shared" si="267"/>
        <v>N</v>
      </c>
      <c r="E1447" s="8" t="str">
        <f t="shared" si="268"/>
        <v>N</v>
      </c>
      <c r="F1447" s="8" t="str">
        <f t="shared" si="269"/>
        <v>N</v>
      </c>
      <c r="G1447" s="8" t="str">
        <f t="shared" si="270"/>
        <v>N</v>
      </c>
      <c r="H1447" s="8" t="str">
        <f t="shared" si="271"/>
        <v>Lower</v>
      </c>
      <c r="I1447" s="8" t="str">
        <f t="shared" si="272"/>
        <v>Outside</v>
      </c>
      <c r="J1447" s="8" t="str">
        <f t="shared" si="273"/>
        <v>Outside</v>
      </c>
      <c r="K1447" s="8" t="str">
        <f t="shared" si="274"/>
        <v>pre-1914</v>
      </c>
      <c r="L1447" s="8">
        <f t="shared" si="275"/>
        <v>1899</v>
      </c>
      <c r="M1447" s="8" t="s">
        <v>179</v>
      </c>
      <c r="N1447" s="10" t="s">
        <v>242</v>
      </c>
      <c r="O1447" s="10" t="s">
        <v>242</v>
      </c>
      <c r="P1447" s="10" t="s">
        <v>241</v>
      </c>
      <c r="Q1447" s="10" t="s">
        <v>242</v>
      </c>
      <c r="R1447" s="10" t="s">
        <v>242</v>
      </c>
      <c r="S1447" s="10" t="s">
        <v>242</v>
      </c>
      <c r="T1447" s="10" t="s">
        <v>241</v>
      </c>
      <c r="U1447" s="10" t="s">
        <v>241</v>
      </c>
      <c r="V1447" s="10" t="s">
        <v>241</v>
      </c>
      <c r="W1447" s="10" t="s">
        <v>242</v>
      </c>
      <c r="X1447" s="15">
        <f>IF(ISERROR(VLOOKUP($A1447,'13. Updated Demand'!A:Z,15,FALSE)),0,VLOOKUP($A1447,'13. Updated Demand'!A:Z,15,FALSE))</f>
        <v>0</v>
      </c>
      <c r="Y1447" s="16">
        <f>IF(ISERROR(VLOOKUP($A1447,'13. Updated Demand'!A:Z,16,FALSE)),0,VLOOKUP($A1447,'13. Updated Demand'!A:Z,16,FALSE))</f>
        <v>0</v>
      </c>
      <c r="Z1447" s="16">
        <f>IF(ISERROR(VLOOKUP($A1447,'13. Updated Demand'!A:Z,17,FALSE)),0,VLOOKUP($A1447,'13. Updated Demand'!A:Z,17,FALSE))</f>
        <v>0</v>
      </c>
      <c r="AA1447" s="16">
        <f>IF(ISERROR(VLOOKUP($A1447,'13. Updated Demand'!A:Z,18,FALSE)),0,VLOOKUP($A1447,'13. Updated Demand'!A:Z,18,FALSE))</f>
        <v>0</v>
      </c>
      <c r="AB1447" s="16">
        <f>IF(ISERROR(VLOOKUP($A1447,'13. Updated Demand'!A:Z,19,FALSE)),0,VLOOKUP($A1447,'13. Updated Demand'!A:Z,19,FALSE))</f>
        <v>0</v>
      </c>
      <c r="AC1447" s="16">
        <f>IF(ISERROR(VLOOKUP($A1447,'13. Updated Demand'!A:Z,20,FALSE)),0,VLOOKUP($A1447,'13. Updated Demand'!A:Z,20,FALSE))</f>
        <v>0</v>
      </c>
      <c r="AD1447" s="16">
        <f>IF(ISERROR(VLOOKUP($A1447,'13. Updated Demand'!A:Z,21,FALSE)),0,VLOOKUP($A1447,'13. Updated Demand'!A:Z,21,FALSE))</f>
        <v>0</v>
      </c>
      <c r="AE1447" s="16">
        <f>IF(ISERROR(VLOOKUP($A1447,'13. Updated Demand'!A:Z,22,FALSE)),0,VLOOKUP($A1447,'13. Updated Demand'!A:Z,22,FALSE))</f>
        <v>0</v>
      </c>
      <c r="AF1447" s="16">
        <f>IF(ISERROR(VLOOKUP($A1447,'13. Updated Demand'!A:Z,23,FALSE)),0,VLOOKUP($A1447,'13. Updated Demand'!A:Z,23,FALSE))</f>
        <v>0</v>
      </c>
      <c r="AG1447" s="16">
        <f>IF(ISERROR(VLOOKUP($A1447,'13. Updated Demand'!A:Z,24,FALSE)),0,VLOOKUP($A1447,'13. Updated Demand'!A:Z,24,FALSE))</f>
        <v>0</v>
      </c>
      <c r="AH1447" s="16">
        <f>IF(ISERROR(VLOOKUP($A1447,'13. Updated Demand'!A:Z,25,FALSE)),0,VLOOKUP($A1447,'13. Updated Demand'!A:Z,25,FALSE))</f>
        <v>0</v>
      </c>
      <c r="AI1447" s="16">
        <f>IF(ISERROR(VLOOKUP($A1447,'13. Updated Demand'!A:Z,26,FALSE)),0,VLOOKUP($A1447,'13. Updated Demand'!A:Z,26,FALSE))</f>
        <v>0</v>
      </c>
      <c r="AJ1447" s="16">
        <f t="shared" si="277"/>
        <v>0</v>
      </c>
      <c r="AK1447" s="19">
        <v>0</v>
      </c>
      <c r="AL1447" s="16">
        <f t="shared" si="276"/>
        <v>0</v>
      </c>
      <c r="AM1447" s="26">
        <v>0</v>
      </c>
      <c r="AN1447" s="19">
        <v>0</v>
      </c>
      <c r="AO1447" s="19" t="s">
        <v>1758</v>
      </c>
      <c r="AP1447" s="19">
        <v>0</v>
      </c>
      <c r="AQ1447" s="19" t="s">
        <v>307</v>
      </c>
      <c r="AR1447" s="9" t="s">
        <v>323</v>
      </c>
      <c r="AS1447" s="12">
        <v>0</v>
      </c>
      <c r="AT1447" s="19">
        <v>38.515241660000001</v>
      </c>
      <c r="AU1447" s="19">
        <v>-122.72664438</v>
      </c>
      <c r="AV1447" s="19" t="s">
        <v>735</v>
      </c>
    </row>
    <row r="1448" spans="1:48" x14ac:dyDescent="0.25">
      <c r="A1448" s="18" t="s">
        <v>1818</v>
      </c>
      <c r="B1448" s="10">
        <v>18970101</v>
      </c>
      <c r="C1448" s="9">
        <v>20</v>
      </c>
      <c r="D1448" s="8" t="str">
        <f t="shared" si="267"/>
        <v>N</v>
      </c>
      <c r="E1448" s="8" t="str">
        <f t="shared" si="268"/>
        <v>N</v>
      </c>
      <c r="F1448" s="8" t="str">
        <f t="shared" si="269"/>
        <v>N</v>
      </c>
      <c r="G1448" s="8" t="str">
        <f t="shared" si="270"/>
        <v>N</v>
      </c>
      <c r="H1448" s="8" t="str">
        <f t="shared" si="271"/>
        <v>Lower</v>
      </c>
      <c r="I1448" s="8" t="str">
        <f t="shared" si="272"/>
        <v>Outside</v>
      </c>
      <c r="J1448" s="8" t="str">
        <f t="shared" si="273"/>
        <v>Outside</v>
      </c>
      <c r="K1448" s="8" t="str">
        <f t="shared" si="274"/>
        <v>pre-1914</v>
      </c>
      <c r="L1448" s="8">
        <f t="shared" si="275"/>
        <v>1897</v>
      </c>
      <c r="M1448" s="8" t="s">
        <v>179</v>
      </c>
      <c r="N1448" s="10" t="s">
        <v>242</v>
      </c>
      <c r="O1448" s="10" t="s">
        <v>242</v>
      </c>
      <c r="P1448" s="10" t="s">
        <v>241</v>
      </c>
      <c r="Q1448" s="10" t="s">
        <v>242</v>
      </c>
      <c r="R1448" s="10" t="s">
        <v>242</v>
      </c>
      <c r="S1448" s="10" t="s">
        <v>242</v>
      </c>
      <c r="T1448" s="10" t="s">
        <v>241</v>
      </c>
      <c r="U1448" s="10" t="s">
        <v>241</v>
      </c>
      <c r="V1448" s="10" t="s">
        <v>241</v>
      </c>
      <c r="W1448" s="10" t="s">
        <v>242</v>
      </c>
      <c r="X1448" s="15">
        <f>IF(ISERROR(VLOOKUP($A1448,'13. Updated Demand'!A:Z,15,FALSE)),0,VLOOKUP($A1448,'13. Updated Demand'!A:Z,15,FALSE))</f>
        <v>0</v>
      </c>
      <c r="Y1448" s="16">
        <f>IF(ISERROR(VLOOKUP($A1448,'13. Updated Demand'!A:Z,16,FALSE)),0,VLOOKUP($A1448,'13. Updated Demand'!A:Z,16,FALSE))</f>
        <v>0</v>
      </c>
      <c r="Z1448" s="16">
        <f>IF(ISERROR(VLOOKUP($A1448,'13. Updated Demand'!A:Z,17,FALSE)),0,VLOOKUP($A1448,'13. Updated Demand'!A:Z,17,FALSE))</f>
        <v>0</v>
      </c>
      <c r="AA1448" s="16">
        <f>IF(ISERROR(VLOOKUP($A1448,'13. Updated Demand'!A:Z,18,FALSE)),0,VLOOKUP($A1448,'13. Updated Demand'!A:Z,18,FALSE))</f>
        <v>0</v>
      </c>
      <c r="AB1448" s="16">
        <f>IF(ISERROR(VLOOKUP($A1448,'13. Updated Demand'!A:Z,19,FALSE)),0,VLOOKUP($A1448,'13. Updated Demand'!A:Z,19,FALSE))</f>
        <v>0</v>
      </c>
      <c r="AC1448" s="16">
        <f>IF(ISERROR(VLOOKUP($A1448,'13. Updated Demand'!A:Z,20,FALSE)),0,VLOOKUP($A1448,'13. Updated Demand'!A:Z,20,FALSE))</f>
        <v>0</v>
      </c>
      <c r="AD1448" s="16">
        <f>IF(ISERROR(VLOOKUP($A1448,'13. Updated Demand'!A:Z,21,FALSE)),0,VLOOKUP($A1448,'13. Updated Demand'!A:Z,21,FALSE))</f>
        <v>0</v>
      </c>
      <c r="AE1448" s="16">
        <f>IF(ISERROR(VLOOKUP($A1448,'13. Updated Demand'!A:Z,22,FALSE)),0,VLOOKUP($A1448,'13. Updated Demand'!A:Z,22,FALSE))</f>
        <v>0</v>
      </c>
      <c r="AF1448" s="16">
        <f>IF(ISERROR(VLOOKUP($A1448,'13. Updated Demand'!A:Z,23,FALSE)),0,VLOOKUP($A1448,'13. Updated Demand'!A:Z,23,FALSE))</f>
        <v>0</v>
      </c>
      <c r="AG1448" s="16">
        <f>IF(ISERROR(VLOOKUP($A1448,'13. Updated Demand'!A:Z,24,FALSE)),0,VLOOKUP($A1448,'13. Updated Demand'!A:Z,24,FALSE))</f>
        <v>0</v>
      </c>
      <c r="AH1448" s="16">
        <f>IF(ISERROR(VLOOKUP($A1448,'13. Updated Demand'!A:Z,25,FALSE)),0,VLOOKUP($A1448,'13. Updated Demand'!A:Z,25,FALSE))</f>
        <v>0</v>
      </c>
      <c r="AI1448" s="16">
        <f>IF(ISERROR(VLOOKUP($A1448,'13. Updated Demand'!A:Z,26,FALSE)),0,VLOOKUP($A1448,'13. Updated Demand'!A:Z,26,FALSE))</f>
        <v>0</v>
      </c>
      <c r="AJ1448" s="16">
        <f t="shared" si="277"/>
        <v>0</v>
      </c>
      <c r="AK1448" s="19">
        <v>0</v>
      </c>
      <c r="AL1448" s="16">
        <f t="shared" si="276"/>
        <v>0</v>
      </c>
      <c r="AM1448" s="26">
        <v>0</v>
      </c>
      <c r="AN1448" s="19">
        <v>0.62439999999999996</v>
      </c>
      <c r="AO1448" s="19" t="s">
        <v>1758</v>
      </c>
      <c r="AP1448" s="19">
        <v>0</v>
      </c>
      <c r="AQ1448" s="19" t="s">
        <v>307</v>
      </c>
      <c r="AR1448" s="9" t="s">
        <v>329</v>
      </c>
      <c r="AS1448" s="12">
        <v>3.4039024194010059E-4</v>
      </c>
      <c r="AT1448" s="19">
        <v>38.555399999999999</v>
      </c>
      <c r="AU1448" s="19">
        <v>-123.10625</v>
      </c>
      <c r="AV1448" s="19" t="s">
        <v>1819</v>
      </c>
    </row>
    <row r="1449" spans="1:48" x14ac:dyDescent="0.25">
      <c r="A1449" s="18" t="s">
        <v>1820</v>
      </c>
      <c r="B1449" s="10">
        <v>18970101</v>
      </c>
      <c r="C1449" s="9">
        <v>20</v>
      </c>
      <c r="D1449" s="8" t="str">
        <f t="shared" si="267"/>
        <v>N</v>
      </c>
      <c r="E1449" s="8" t="str">
        <f t="shared" si="268"/>
        <v>N</v>
      </c>
      <c r="F1449" s="8" t="str">
        <f t="shared" si="269"/>
        <v>N</v>
      </c>
      <c r="G1449" s="8" t="str">
        <f t="shared" si="270"/>
        <v>N</v>
      </c>
      <c r="H1449" s="8" t="str">
        <f t="shared" si="271"/>
        <v>Lower</v>
      </c>
      <c r="I1449" s="8" t="str">
        <f t="shared" si="272"/>
        <v>Outside</v>
      </c>
      <c r="J1449" s="8" t="str">
        <f t="shared" si="273"/>
        <v>Outside</v>
      </c>
      <c r="K1449" s="8" t="str">
        <f t="shared" si="274"/>
        <v>pre-1914</v>
      </c>
      <c r="L1449" s="8">
        <f t="shared" si="275"/>
        <v>1897</v>
      </c>
      <c r="M1449" s="8" t="s">
        <v>179</v>
      </c>
      <c r="N1449" s="10" t="s">
        <v>242</v>
      </c>
      <c r="O1449" s="10" t="s">
        <v>242</v>
      </c>
      <c r="P1449" s="10" t="s">
        <v>241</v>
      </c>
      <c r="Q1449" s="10" t="s">
        <v>242</v>
      </c>
      <c r="R1449" s="10" t="s">
        <v>242</v>
      </c>
      <c r="S1449" s="10" t="s">
        <v>242</v>
      </c>
      <c r="T1449" s="10" t="s">
        <v>242</v>
      </c>
      <c r="U1449" s="10" t="s">
        <v>242</v>
      </c>
      <c r="V1449" s="10" t="s">
        <v>242</v>
      </c>
      <c r="W1449" s="10" t="s">
        <v>242</v>
      </c>
      <c r="X1449" s="15">
        <f>IF(ISERROR(VLOOKUP($A1449,'13. Updated Demand'!A:Z,15,FALSE)),0,VLOOKUP($A1449,'13. Updated Demand'!A:Z,15,FALSE))</f>
        <v>0.49268223799999999</v>
      </c>
      <c r="Y1449" s="16">
        <f>IF(ISERROR(VLOOKUP($A1449,'13. Updated Demand'!A:Z,16,FALSE)),0,VLOOKUP($A1449,'13. Updated Demand'!A:Z,16,FALSE))</f>
        <v>0.49268223799999999</v>
      </c>
      <c r="Z1449" s="16">
        <f>IF(ISERROR(VLOOKUP($A1449,'13. Updated Demand'!A:Z,17,FALSE)),0,VLOOKUP($A1449,'13. Updated Demand'!A:Z,17,FALSE))</f>
        <v>0.49268223799999999</v>
      </c>
      <c r="AA1449" s="16">
        <f>IF(ISERROR(VLOOKUP($A1449,'13. Updated Demand'!A:Z,18,FALSE)),0,VLOOKUP($A1449,'13. Updated Demand'!A:Z,18,FALSE))</f>
        <v>0.49268223799999999</v>
      </c>
      <c r="AB1449" s="16">
        <f>IF(ISERROR(VLOOKUP($A1449,'13. Updated Demand'!A:Z,19,FALSE)),0,VLOOKUP($A1449,'13. Updated Demand'!A:Z,19,FALSE))</f>
        <v>0.49268223799999999</v>
      </c>
      <c r="AC1449" s="16">
        <f>IF(ISERROR(VLOOKUP($A1449,'13. Updated Demand'!A:Z,20,FALSE)),0,VLOOKUP($A1449,'13. Updated Demand'!A:Z,20,FALSE))</f>
        <v>0.49268223799999999</v>
      </c>
      <c r="AD1449" s="16">
        <f>IF(ISERROR(VLOOKUP($A1449,'13. Updated Demand'!A:Z,21,FALSE)),0,VLOOKUP($A1449,'13. Updated Demand'!A:Z,21,FALSE))</f>
        <v>0.96280815500000005</v>
      </c>
      <c r="AE1449" s="16">
        <f>IF(ISERROR(VLOOKUP($A1449,'13. Updated Demand'!A:Z,22,FALSE)),0,VLOOKUP($A1449,'13. Updated Demand'!A:Z,22,FALSE))</f>
        <v>0.61169982599999995</v>
      </c>
      <c r="AF1449" s="16">
        <f>IF(ISERROR(VLOOKUP($A1449,'13. Updated Demand'!A:Z,23,FALSE)),0,VLOOKUP($A1449,'13. Updated Demand'!A:Z,23,FALSE))</f>
        <v>0.21768231499999999</v>
      </c>
      <c r="AG1449" s="16">
        <f>IF(ISERROR(VLOOKUP($A1449,'13. Updated Demand'!A:Z,24,FALSE)),0,VLOOKUP($A1449,'13. Updated Demand'!A:Z,24,FALSE))</f>
        <v>0.33076160599999999</v>
      </c>
      <c r="AH1449" s="16">
        <f>IF(ISERROR(VLOOKUP($A1449,'13. Updated Demand'!A:Z,25,FALSE)),0,VLOOKUP($A1449,'13. Updated Demand'!A:Z,25,FALSE))</f>
        <v>0.38367536099999999</v>
      </c>
      <c r="AI1449" s="16">
        <f>IF(ISERROR(VLOOKUP($A1449,'13. Updated Demand'!A:Z,26,FALSE)),0,VLOOKUP($A1449,'13. Updated Demand'!A:Z,26,FALSE))</f>
        <v>0.43110808299999998</v>
      </c>
      <c r="AJ1449" s="16">
        <f t="shared" si="277"/>
        <v>5.8938287740000002</v>
      </c>
      <c r="AK1449" s="19">
        <v>2.7775547719999998</v>
      </c>
      <c r="AL1449" s="16">
        <f t="shared" si="276"/>
        <v>9.212832785503158E-3</v>
      </c>
      <c r="AM1449" s="26">
        <v>9.4391876585522105</v>
      </c>
      <c r="AN1449" s="19">
        <v>0.62439999999999996</v>
      </c>
      <c r="AO1449" s="19" t="s">
        <v>1758</v>
      </c>
      <c r="AP1449" s="19">
        <v>0</v>
      </c>
      <c r="AQ1449" s="19" t="s">
        <v>307</v>
      </c>
      <c r="AR1449" s="9" t="s">
        <v>329</v>
      </c>
      <c r="AS1449" s="12">
        <v>3.4039024194010059E-4</v>
      </c>
      <c r="AT1449" s="19">
        <v>38.555399999999999</v>
      </c>
      <c r="AU1449" s="19">
        <v>-123.10625</v>
      </c>
      <c r="AV1449" s="19" t="s">
        <v>1821</v>
      </c>
    </row>
    <row r="1450" spans="1:48" x14ac:dyDescent="0.25">
      <c r="A1450" s="18" t="s">
        <v>1822</v>
      </c>
      <c r="B1450" s="10">
        <v>18950101</v>
      </c>
      <c r="C1450" s="9">
        <v>12</v>
      </c>
      <c r="D1450" s="8" t="str">
        <f t="shared" si="267"/>
        <v>N</v>
      </c>
      <c r="E1450" s="8" t="str">
        <f t="shared" si="268"/>
        <v>Y</v>
      </c>
      <c r="F1450" s="8" t="str">
        <f t="shared" si="269"/>
        <v>Y</v>
      </c>
      <c r="G1450" s="8" t="str">
        <f t="shared" si="270"/>
        <v>Y</v>
      </c>
      <c r="H1450" s="8" t="str">
        <f t="shared" si="271"/>
        <v>Upper</v>
      </c>
      <c r="I1450" s="8" t="str">
        <f t="shared" si="272"/>
        <v>West Fork and Below Lake</v>
      </c>
      <c r="J1450" s="8" t="str">
        <f t="shared" si="273"/>
        <v>Sonoma (d/s of Clov. Gage)</v>
      </c>
      <c r="K1450" s="8" t="str">
        <f t="shared" si="274"/>
        <v>pre-1914</v>
      </c>
      <c r="L1450" s="8">
        <f t="shared" si="275"/>
        <v>1895</v>
      </c>
      <c r="M1450" s="8" t="s">
        <v>179</v>
      </c>
      <c r="N1450" s="10" t="s">
        <v>241</v>
      </c>
      <c r="O1450" s="10" t="s">
        <v>241</v>
      </c>
      <c r="P1450" s="10" t="s">
        <v>241</v>
      </c>
      <c r="Q1450" s="10" t="s">
        <v>242</v>
      </c>
      <c r="R1450" s="10" t="s">
        <v>242</v>
      </c>
      <c r="S1450" s="10" t="s">
        <v>242</v>
      </c>
      <c r="T1450" s="10" t="s">
        <v>242</v>
      </c>
      <c r="U1450" s="10" t="s">
        <v>242</v>
      </c>
      <c r="V1450" s="10" t="s">
        <v>242</v>
      </c>
      <c r="W1450" s="10" t="s">
        <v>242</v>
      </c>
      <c r="X1450" s="15">
        <f>IF(ISERROR(VLOOKUP($A1450,'13. Updated Demand'!A:Z,15,FALSE)),0,VLOOKUP($A1450,'13. Updated Demand'!A:Z,15,FALSE))</f>
        <v>0</v>
      </c>
      <c r="Y1450" s="16">
        <f>IF(ISERROR(VLOOKUP($A1450,'13. Updated Demand'!A:Z,16,FALSE)),0,VLOOKUP($A1450,'13. Updated Demand'!A:Z,16,FALSE))</f>
        <v>0.6</v>
      </c>
      <c r="Z1450" s="16">
        <f>IF(ISERROR(VLOOKUP($A1450,'13. Updated Demand'!A:Z,17,FALSE)),0,VLOOKUP($A1450,'13. Updated Demand'!A:Z,17,FALSE))</f>
        <v>0</v>
      </c>
      <c r="AA1450" s="16">
        <f>IF(ISERROR(VLOOKUP($A1450,'13. Updated Demand'!A:Z,18,FALSE)),0,VLOOKUP($A1450,'13. Updated Demand'!A:Z,18,FALSE))</f>
        <v>0.1</v>
      </c>
      <c r="AB1450" s="16">
        <f>IF(ISERROR(VLOOKUP($A1450,'13. Updated Demand'!A:Z,19,FALSE)),0,VLOOKUP($A1450,'13. Updated Demand'!A:Z,19,FALSE))</f>
        <v>0.53</v>
      </c>
      <c r="AC1450" s="16">
        <f>IF(ISERROR(VLOOKUP($A1450,'13. Updated Demand'!A:Z,20,FALSE)),0,VLOOKUP($A1450,'13. Updated Demand'!A:Z,20,FALSE))</f>
        <v>2.2000000000000002</v>
      </c>
      <c r="AD1450" s="16">
        <f>IF(ISERROR(VLOOKUP($A1450,'13. Updated Demand'!A:Z,21,FALSE)),0,VLOOKUP($A1450,'13. Updated Demand'!A:Z,21,FALSE))</f>
        <v>3.06</v>
      </c>
      <c r="AE1450" s="16">
        <f>IF(ISERROR(VLOOKUP($A1450,'13. Updated Demand'!A:Z,22,FALSE)),0,VLOOKUP($A1450,'13. Updated Demand'!A:Z,22,FALSE))</f>
        <v>2.46</v>
      </c>
      <c r="AF1450" s="16">
        <f>IF(ISERROR(VLOOKUP($A1450,'13. Updated Demand'!A:Z,23,FALSE)),0,VLOOKUP($A1450,'13. Updated Demand'!A:Z,23,FALSE))</f>
        <v>1.66</v>
      </c>
      <c r="AG1450" s="16">
        <f>IF(ISERROR(VLOOKUP($A1450,'13. Updated Demand'!A:Z,24,FALSE)),0,VLOOKUP($A1450,'13. Updated Demand'!A:Z,24,FALSE))</f>
        <v>0.43</v>
      </c>
      <c r="AH1450" s="16">
        <f>IF(ISERROR(VLOOKUP($A1450,'13. Updated Demand'!A:Z,25,FALSE)),0,VLOOKUP($A1450,'13. Updated Demand'!A:Z,25,FALSE))</f>
        <v>0.3</v>
      </c>
      <c r="AI1450" s="16">
        <f>IF(ISERROR(VLOOKUP($A1450,'13. Updated Demand'!A:Z,26,FALSE)),0,VLOOKUP($A1450,'13. Updated Demand'!A:Z,26,FALSE))</f>
        <v>0</v>
      </c>
      <c r="AJ1450" s="16">
        <f t="shared" si="277"/>
        <v>11.34</v>
      </c>
      <c r="AK1450" s="19">
        <v>9.9333333333333425</v>
      </c>
      <c r="AL1450" s="16">
        <f t="shared" si="276"/>
        <v>3.2947735153668757E-2</v>
      </c>
      <c r="AM1450" s="26">
        <v>0.11623071626752846</v>
      </c>
      <c r="AN1450" s="19">
        <v>97.793999999999997</v>
      </c>
      <c r="AO1450" s="19" t="s">
        <v>1758</v>
      </c>
      <c r="AP1450" s="19">
        <v>0</v>
      </c>
      <c r="AQ1450" s="19" t="s">
        <v>307</v>
      </c>
      <c r="AR1450" s="9" t="s">
        <v>311</v>
      </c>
      <c r="AS1450" s="12">
        <v>0</v>
      </c>
      <c r="AT1450" s="19">
        <v>38.633899999999997</v>
      </c>
      <c r="AU1450" s="19">
        <v>-122.8516</v>
      </c>
      <c r="AV1450" s="19" t="s">
        <v>387</v>
      </c>
    </row>
    <row r="1451" spans="1:48" x14ac:dyDescent="0.25">
      <c r="A1451" s="18" t="s">
        <v>1823</v>
      </c>
      <c r="B1451" s="10">
        <v>18950101</v>
      </c>
      <c r="C1451" s="9">
        <v>12</v>
      </c>
      <c r="D1451" s="8" t="str">
        <f t="shared" si="267"/>
        <v>N</v>
      </c>
      <c r="E1451" s="8" t="str">
        <f t="shared" si="268"/>
        <v>Y</v>
      </c>
      <c r="F1451" s="8" t="str">
        <f t="shared" si="269"/>
        <v>Y</v>
      </c>
      <c r="G1451" s="8" t="str">
        <f t="shared" si="270"/>
        <v>Y</v>
      </c>
      <c r="H1451" s="8" t="str">
        <f t="shared" si="271"/>
        <v>Upper</v>
      </c>
      <c r="I1451" s="8" t="str">
        <f t="shared" si="272"/>
        <v>West Fork and Below Lake</v>
      </c>
      <c r="J1451" s="8" t="str">
        <f t="shared" si="273"/>
        <v>Sonoma (d/s of Clov. Gage)</v>
      </c>
      <c r="K1451" s="8" t="str">
        <f t="shared" si="274"/>
        <v>pre-1914</v>
      </c>
      <c r="L1451" s="8">
        <f t="shared" si="275"/>
        <v>1895</v>
      </c>
      <c r="M1451" s="8" t="s">
        <v>179</v>
      </c>
      <c r="N1451" s="10" t="s">
        <v>241</v>
      </c>
      <c r="O1451" s="10" t="s">
        <v>241</v>
      </c>
      <c r="P1451" s="10" t="s">
        <v>241</v>
      </c>
      <c r="Q1451" s="10" t="s">
        <v>242</v>
      </c>
      <c r="R1451" s="10" t="s">
        <v>242</v>
      </c>
      <c r="S1451" s="10" t="s">
        <v>242</v>
      </c>
      <c r="T1451" s="10" t="s">
        <v>242</v>
      </c>
      <c r="U1451" s="10" t="s">
        <v>242</v>
      </c>
      <c r="V1451" s="10" t="s">
        <v>242</v>
      </c>
      <c r="W1451" s="10" t="s">
        <v>242</v>
      </c>
      <c r="X1451" s="15">
        <f>IF(ISERROR(VLOOKUP($A1451,'13. Updated Demand'!A:Z,15,FALSE)),0,VLOOKUP($A1451,'13. Updated Demand'!A:Z,15,FALSE))</f>
        <v>0</v>
      </c>
      <c r="Y1451" s="16">
        <f>IF(ISERROR(VLOOKUP($A1451,'13. Updated Demand'!A:Z,16,FALSE)),0,VLOOKUP($A1451,'13. Updated Demand'!A:Z,16,FALSE))</f>
        <v>0.4</v>
      </c>
      <c r="Z1451" s="16">
        <f>IF(ISERROR(VLOOKUP($A1451,'13. Updated Demand'!A:Z,17,FALSE)),0,VLOOKUP($A1451,'13. Updated Demand'!A:Z,17,FALSE))</f>
        <v>0</v>
      </c>
      <c r="AA1451" s="16">
        <f>IF(ISERROR(VLOOKUP($A1451,'13. Updated Demand'!A:Z,18,FALSE)),0,VLOOKUP($A1451,'13. Updated Demand'!A:Z,18,FALSE))</f>
        <v>0.03</v>
      </c>
      <c r="AB1451" s="16">
        <f>IF(ISERROR(VLOOKUP($A1451,'13. Updated Demand'!A:Z,19,FALSE)),0,VLOOKUP($A1451,'13. Updated Demand'!A:Z,19,FALSE))</f>
        <v>0.46</v>
      </c>
      <c r="AC1451" s="16">
        <f>IF(ISERROR(VLOOKUP($A1451,'13. Updated Demand'!A:Z,20,FALSE)),0,VLOOKUP($A1451,'13. Updated Demand'!A:Z,20,FALSE))</f>
        <v>1.26</v>
      </c>
      <c r="AD1451" s="16">
        <f>IF(ISERROR(VLOOKUP($A1451,'13. Updated Demand'!A:Z,21,FALSE)),0,VLOOKUP($A1451,'13. Updated Demand'!A:Z,21,FALSE))</f>
        <v>2.46</v>
      </c>
      <c r="AE1451" s="16">
        <f>IF(ISERROR(VLOOKUP($A1451,'13. Updated Demand'!A:Z,22,FALSE)),0,VLOOKUP($A1451,'13. Updated Demand'!A:Z,22,FALSE))</f>
        <v>2.2599999999999998</v>
      </c>
      <c r="AF1451" s="16">
        <f>IF(ISERROR(VLOOKUP($A1451,'13. Updated Demand'!A:Z,23,FALSE)),0,VLOOKUP($A1451,'13. Updated Demand'!A:Z,23,FALSE))</f>
        <v>2</v>
      </c>
      <c r="AG1451" s="16">
        <f>IF(ISERROR(VLOOKUP($A1451,'13. Updated Demand'!A:Z,24,FALSE)),0,VLOOKUP($A1451,'13. Updated Demand'!A:Z,24,FALSE))</f>
        <v>0.4</v>
      </c>
      <c r="AH1451" s="16">
        <f>IF(ISERROR(VLOOKUP($A1451,'13. Updated Demand'!A:Z,25,FALSE)),0,VLOOKUP($A1451,'13. Updated Demand'!A:Z,25,FALSE))</f>
        <v>0.06</v>
      </c>
      <c r="AI1451" s="16">
        <f>IF(ISERROR(VLOOKUP($A1451,'13. Updated Demand'!A:Z,26,FALSE)),0,VLOOKUP($A1451,'13. Updated Demand'!A:Z,26,FALSE))</f>
        <v>0</v>
      </c>
      <c r="AJ1451" s="16">
        <f t="shared" si="277"/>
        <v>9.3300000000000018</v>
      </c>
      <c r="AK1451" s="19">
        <v>8.4666666666666757</v>
      </c>
      <c r="AL1451" s="16">
        <f t="shared" si="276"/>
        <v>2.8082968889368676E-2</v>
      </c>
      <c r="AM1451" s="26">
        <v>0.19892678644749345</v>
      </c>
      <c r="AN1451" s="19">
        <v>47.085999999999999</v>
      </c>
      <c r="AO1451" s="19" t="s">
        <v>1758</v>
      </c>
      <c r="AP1451" s="19">
        <v>0</v>
      </c>
      <c r="AQ1451" s="19" t="s">
        <v>307</v>
      </c>
      <c r="AR1451" s="9" t="s">
        <v>311</v>
      </c>
      <c r="AS1451" s="12">
        <v>0</v>
      </c>
      <c r="AT1451" s="19">
        <v>38.633499999999998</v>
      </c>
      <c r="AU1451" s="19">
        <v>-122.8533</v>
      </c>
      <c r="AV1451" s="19" t="s">
        <v>387</v>
      </c>
    </row>
    <row r="1452" spans="1:48" x14ac:dyDescent="0.25">
      <c r="A1452" s="18" t="s">
        <v>1824</v>
      </c>
      <c r="B1452" s="10">
        <v>18910101</v>
      </c>
      <c r="C1452" s="9">
        <v>13</v>
      </c>
      <c r="D1452" s="8" t="str">
        <f t="shared" si="267"/>
        <v>N</v>
      </c>
      <c r="E1452" s="8" t="str">
        <f t="shared" si="268"/>
        <v>Y</v>
      </c>
      <c r="F1452" s="8" t="str">
        <f t="shared" si="269"/>
        <v>Y</v>
      </c>
      <c r="G1452" s="8" t="str">
        <f t="shared" si="270"/>
        <v>Y</v>
      </c>
      <c r="H1452" s="8" t="str">
        <f t="shared" si="271"/>
        <v>Upper</v>
      </c>
      <c r="I1452" s="8" t="str">
        <f t="shared" si="272"/>
        <v>West Fork and Below Lake</v>
      </c>
      <c r="J1452" s="8" t="str">
        <f t="shared" si="273"/>
        <v>Sonoma (d/s of Clov. Gage)</v>
      </c>
      <c r="K1452" s="8" t="str">
        <f t="shared" si="274"/>
        <v>pre-1914</v>
      </c>
      <c r="L1452" s="8">
        <f t="shared" si="275"/>
        <v>1891</v>
      </c>
      <c r="M1452" s="8" t="s">
        <v>179</v>
      </c>
      <c r="N1452" s="10" t="s">
        <v>241</v>
      </c>
      <c r="O1452" s="10" t="s">
        <v>241</v>
      </c>
      <c r="P1452" s="10" t="s">
        <v>241</v>
      </c>
      <c r="Q1452" s="10" t="s">
        <v>242</v>
      </c>
      <c r="R1452" s="10" t="s">
        <v>242</v>
      </c>
      <c r="S1452" s="10" t="s">
        <v>242</v>
      </c>
      <c r="T1452" s="10" t="s">
        <v>242</v>
      </c>
      <c r="U1452" s="10" t="s">
        <v>241</v>
      </c>
      <c r="V1452" s="10" t="s">
        <v>241</v>
      </c>
      <c r="W1452" s="10" t="s">
        <v>242</v>
      </c>
      <c r="X1452" s="15">
        <f>IF(ISERROR(VLOOKUP($A1452,'13. Updated Demand'!A:Z,15,FALSE)),0,VLOOKUP($A1452,'13. Updated Demand'!A:Z,15,FALSE))</f>
        <v>0</v>
      </c>
      <c r="Y1452" s="16">
        <f>IF(ISERROR(VLOOKUP($A1452,'13. Updated Demand'!A:Z,16,FALSE)),0,VLOOKUP($A1452,'13. Updated Demand'!A:Z,16,FALSE))</f>
        <v>0</v>
      </c>
      <c r="Z1452" s="16">
        <f>IF(ISERROR(VLOOKUP($A1452,'13. Updated Demand'!A:Z,17,FALSE)),0,VLOOKUP($A1452,'13. Updated Demand'!A:Z,17,FALSE))</f>
        <v>0</v>
      </c>
      <c r="AA1452" s="16">
        <f>IF(ISERROR(VLOOKUP($A1452,'13. Updated Demand'!A:Z,18,FALSE)),0,VLOOKUP($A1452,'13. Updated Demand'!A:Z,18,FALSE))</f>
        <v>0</v>
      </c>
      <c r="AB1452" s="16">
        <f>IF(ISERROR(VLOOKUP($A1452,'13. Updated Demand'!A:Z,19,FALSE)),0,VLOOKUP($A1452,'13. Updated Demand'!A:Z,19,FALSE))</f>
        <v>0</v>
      </c>
      <c r="AC1452" s="16">
        <f>IF(ISERROR(VLOOKUP($A1452,'13. Updated Demand'!A:Z,20,FALSE)),0,VLOOKUP($A1452,'13. Updated Demand'!A:Z,20,FALSE))</f>
        <v>0</v>
      </c>
      <c r="AD1452" s="16">
        <f>IF(ISERROR(VLOOKUP($A1452,'13. Updated Demand'!A:Z,21,FALSE)),0,VLOOKUP($A1452,'13. Updated Demand'!A:Z,21,FALSE))</f>
        <v>0</v>
      </c>
      <c r="AE1452" s="16">
        <f>IF(ISERROR(VLOOKUP($A1452,'13. Updated Demand'!A:Z,22,FALSE)),0,VLOOKUP($A1452,'13. Updated Demand'!A:Z,22,FALSE))</f>
        <v>0</v>
      </c>
      <c r="AF1452" s="16">
        <f>IF(ISERROR(VLOOKUP($A1452,'13. Updated Demand'!A:Z,23,FALSE)),0,VLOOKUP($A1452,'13. Updated Demand'!A:Z,23,FALSE))</f>
        <v>0</v>
      </c>
      <c r="AG1452" s="16">
        <f>IF(ISERROR(VLOOKUP($A1452,'13. Updated Demand'!A:Z,24,FALSE)),0,VLOOKUP($A1452,'13. Updated Demand'!A:Z,24,FALSE))</f>
        <v>0</v>
      </c>
      <c r="AH1452" s="16">
        <f>IF(ISERROR(VLOOKUP($A1452,'13. Updated Demand'!A:Z,25,FALSE)),0,VLOOKUP($A1452,'13. Updated Demand'!A:Z,25,FALSE))</f>
        <v>0</v>
      </c>
      <c r="AI1452" s="16">
        <f>IF(ISERROR(VLOOKUP($A1452,'13. Updated Demand'!A:Z,26,FALSE)),0,VLOOKUP($A1452,'13. Updated Demand'!A:Z,26,FALSE))</f>
        <v>0</v>
      </c>
      <c r="AJ1452" s="16">
        <f t="shared" si="277"/>
        <v>0</v>
      </c>
      <c r="AK1452" s="19">
        <v>0</v>
      </c>
      <c r="AL1452" s="16">
        <f t="shared" si="276"/>
        <v>0</v>
      </c>
      <c r="AM1452" s="26">
        <v>0</v>
      </c>
      <c r="AN1452" s="19">
        <v>5.9086999999999996</v>
      </c>
      <c r="AO1452" s="19" t="s">
        <v>1758</v>
      </c>
      <c r="AP1452" s="19">
        <v>0</v>
      </c>
      <c r="AQ1452" s="19" t="s">
        <v>307</v>
      </c>
      <c r="AR1452" s="9" t="s">
        <v>507</v>
      </c>
      <c r="AS1452" s="12">
        <v>3.4039024194010059E-4</v>
      </c>
      <c r="AT1452" s="19">
        <v>38.614222550000001</v>
      </c>
      <c r="AU1452" s="19">
        <v>-122.8309031</v>
      </c>
      <c r="AV1452" s="19" t="s">
        <v>387</v>
      </c>
    </row>
    <row r="1453" spans="1:48" x14ac:dyDescent="0.25">
      <c r="A1453" s="18" t="s">
        <v>1825</v>
      </c>
      <c r="B1453" s="10">
        <v>18900101</v>
      </c>
      <c r="C1453" s="9">
        <v>2</v>
      </c>
      <c r="D1453" s="8" t="str">
        <f t="shared" si="267"/>
        <v>N</v>
      </c>
      <c r="E1453" s="8" t="str">
        <f t="shared" si="268"/>
        <v>N</v>
      </c>
      <c r="F1453" s="8" t="str">
        <f t="shared" si="269"/>
        <v>Y</v>
      </c>
      <c r="G1453" s="8" t="str">
        <f t="shared" si="270"/>
        <v>N</v>
      </c>
      <c r="H1453" s="8" t="str">
        <f t="shared" si="271"/>
        <v>Upper</v>
      </c>
      <c r="I1453" s="8" t="str">
        <f t="shared" si="272"/>
        <v>Outside</v>
      </c>
      <c r="J1453" s="8" t="str">
        <f t="shared" si="273"/>
        <v>Outside</v>
      </c>
      <c r="K1453" s="8" t="str">
        <f t="shared" si="274"/>
        <v>pre-1914</v>
      </c>
      <c r="L1453" s="8">
        <f t="shared" si="275"/>
        <v>1890</v>
      </c>
      <c r="M1453" s="8" t="s">
        <v>179</v>
      </c>
      <c r="N1453" s="10" t="s">
        <v>242</v>
      </c>
      <c r="O1453" s="10" t="s">
        <v>241</v>
      </c>
      <c r="P1453" s="10" t="s">
        <v>241</v>
      </c>
      <c r="Q1453" s="10" t="s">
        <v>242</v>
      </c>
      <c r="R1453" s="10" t="s">
        <v>242</v>
      </c>
      <c r="S1453" s="10" t="s">
        <v>242</v>
      </c>
      <c r="T1453" s="10" t="s">
        <v>241</v>
      </c>
      <c r="U1453" s="10" t="s">
        <v>241</v>
      </c>
      <c r="V1453" s="10" t="s">
        <v>241</v>
      </c>
      <c r="W1453" s="10" t="s">
        <v>242</v>
      </c>
      <c r="X1453" s="15">
        <f>IF(ISERROR(VLOOKUP($A1453,'13. Updated Demand'!A:Z,15,FALSE)),0,VLOOKUP($A1453,'13. Updated Demand'!A:Z,15,FALSE))</f>
        <v>0</v>
      </c>
      <c r="Y1453" s="16">
        <f>IF(ISERROR(VLOOKUP($A1453,'13. Updated Demand'!A:Z,16,FALSE)),0,VLOOKUP($A1453,'13. Updated Demand'!A:Z,16,FALSE))</f>
        <v>0</v>
      </c>
      <c r="Z1453" s="16">
        <f>IF(ISERROR(VLOOKUP($A1453,'13. Updated Demand'!A:Z,17,FALSE)),0,VLOOKUP($A1453,'13. Updated Demand'!A:Z,17,FALSE))</f>
        <v>0</v>
      </c>
      <c r="AA1453" s="16">
        <f>IF(ISERROR(VLOOKUP($A1453,'13. Updated Demand'!A:Z,18,FALSE)),0,VLOOKUP($A1453,'13. Updated Demand'!A:Z,18,FALSE))</f>
        <v>0</v>
      </c>
      <c r="AB1453" s="16">
        <f>IF(ISERROR(VLOOKUP($A1453,'13. Updated Demand'!A:Z,19,FALSE)),0,VLOOKUP($A1453,'13. Updated Demand'!A:Z,19,FALSE))</f>
        <v>0</v>
      </c>
      <c r="AC1453" s="16">
        <f>IF(ISERROR(VLOOKUP($A1453,'13. Updated Demand'!A:Z,20,FALSE)),0,VLOOKUP($A1453,'13. Updated Demand'!A:Z,20,FALSE))</f>
        <v>0</v>
      </c>
      <c r="AD1453" s="16">
        <f>IF(ISERROR(VLOOKUP($A1453,'13. Updated Demand'!A:Z,21,FALSE)),0,VLOOKUP($A1453,'13. Updated Demand'!A:Z,21,FALSE))</f>
        <v>0</v>
      </c>
      <c r="AE1453" s="16">
        <f>IF(ISERROR(VLOOKUP($A1453,'13. Updated Demand'!A:Z,22,FALSE)),0,VLOOKUP($A1453,'13. Updated Demand'!A:Z,22,FALSE))</f>
        <v>0</v>
      </c>
      <c r="AF1453" s="16">
        <f>IF(ISERROR(VLOOKUP($A1453,'13. Updated Demand'!A:Z,23,FALSE)),0,VLOOKUP($A1453,'13. Updated Demand'!A:Z,23,FALSE))</f>
        <v>0</v>
      </c>
      <c r="AG1453" s="16">
        <f>IF(ISERROR(VLOOKUP($A1453,'13. Updated Demand'!A:Z,24,FALSE)),0,VLOOKUP($A1453,'13. Updated Demand'!A:Z,24,FALSE))</f>
        <v>0</v>
      </c>
      <c r="AH1453" s="16">
        <f>IF(ISERROR(VLOOKUP($A1453,'13. Updated Demand'!A:Z,25,FALSE)),0,VLOOKUP($A1453,'13. Updated Demand'!A:Z,25,FALSE))</f>
        <v>0</v>
      </c>
      <c r="AI1453" s="16">
        <f>IF(ISERROR(VLOOKUP($A1453,'13. Updated Demand'!A:Z,26,FALSE)),0,VLOOKUP($A1453,'13. Updated Demand'!A:Z,26,FALSE))</f>
        <v>0</v>
      </c>
      <c r="AJ1453" s="16">
        <f t="shared" si="277"/>
        <v>0</v>
      </c>
      <c r="AK1453" s="19">
        <v>0</v>
      </c>
      <c r="AL1453" s="16">
        <f t="shared" si="276"/>
        <v>0</v>
      </c>
      <c r="AM1453" s="26">
        <v>0</v>
      </c>
      <c r="AN1453" s="19">
        <v>1.38E-2</v>
      </c>
      <c r="AO1453" s="19" t="s">
        <v>1758</v>
      </c>
      <c r="AP1453" s="19">
        <v>0</v>
      </c>
      <c r="AQ1453" s="19" t="s">
        <v>307</v>
      </c>
      <c r="AR1453" s="9" t="s">
        <v>348</v>
      </c>
      <c r="AS1453" s="12">
        <v>0</v>
      </c>
      <c r="AT1453" s="19">
        <v>39.296255559999999</v>
      </c>
      <c r="AU1453" s="19">
        <v>-123.06027778000001</v>
      </c>
      <c r="AV1453" s="19" t="s">
        <v>1826</v>
      </c>
    </row>
    <row r="1454" spans="1:48" x14ac:dyDescent="0.25">
      <c r="A1454" s="18" t="s">
        <v>47</v>
      </c>
      <c r="B1454" s="10">
        <v>18860101</v>
      </c>
      <c r="C1454" s="9">
        <v>9</v>
      </c>
      <c r="D1454" s="8" t="str">
        <f t="shared" si="267"/>
        <v>N</v>
      </c>
      <c r="E1454" s="8" t="str">
        <f t="shared" si="268"/>
        <v>Y</v>
      </c>
      <c r="F1454" s="8" t="str">
        <f t="shared" si="269"/>
        <v>Y</v>
      </c>
      <c r="G1454" s="8" t="str">
        <f t="shared" si="270"/>
        <v>Y</v>
      </c>
      <c r="H1454" s="8" t="str">
        <f t="shared" si="271"/>
        <v>Upper</v>
      </c>
      <c r="I1454" s="8" t="str">
        <f t="shared" si="272"/>
        <v>West Fork and Below Lake</v>
      </c>
      <c r="J1454" s="8" t="str">
        <f t="shared" si="273"/>
        <v>Sonoma (d/s of Clov. Gage)</v>
      </c>
      <c r="K1454" s="8" t="str">
        <f t="shared" si="274"/>
        <v>pre-1914</v>
      </c>
      <c r="L1454" s="8">
        <f t="shared" si="275"/>
        <v>1886</v>
      </c>
      <c r="M1454" s="8" t="s">
        <v>179</v>
      </c>
      <c r="N1454" s="10" t="s">
        <v>241</v>
      </c>
      <c r="O1454" s="10" t="s">
        <v>241</v>
      </c>
      <c r="P1454" s="10" t="s">
        <v>241</v>
      </c>
      <c r="Q1454" s="10" t="s">
        <v>242</v>
      </c>
      <c r="R1454" s="10" t="s">
        <v>242</v>
      </c>
      <c r="S1454" s="10" t="s">
        <v>242</v>
      </c>
      <c r="T1454" s="10" t="s">
        <v>242</v>
      </c>
      <c r="U1454" s="10" t="s">
        <v>242</v>
      </c>
      <c r="V1454" s="10" t="s">
        <v>242</v>
      </c>
      <c r="W1454" s="10" t="s">
        <v>242</v>
      </c>
      <c r="X1454" s="15">
        <f>IF(ISERROR(VLOOKUP($A1454,'13. Updated Demand'!A:Z,15,FALSE)),0,VLOOKUP($A1454,'13. Updated Demand'!A:Z,15,FALSE))</f>
        <v>65.44</v>
      </c>
      <c r="Y1454" s="16">
        <f>IF(ISERROR(VLOOKUP($A1454,'13. Updated Demand'!A:Z,16,FALSE)),0,VLOOKUP($A1454,'13. Updated Demand'!A:Z,16,FALSE))</f>
        <v>58.77</v>
      </c>
      <c r="Z1454" s="16">
        <f>IF(ISERROR(VLOOKUP($A1454,'13. Updated Demand'!A:Z,17,FALSE)),0,VLOOKUP($A1454,'13. Updated Demand'!A:Z,17,FALSE))</f>
        <v>62.69</v>
      </c>
      <c r="AA1454" s="16">
        <f>IF(ISERROR(VLOOKUP($A1454,'13. Updated Demand'!A:Z,18,FALSE)),0,VLOOKUP($A1454,'13. Updated Demand'!A:Z,18,FALSE))</f>
        <v>70.23</v>
      </c>
      <c r="AB1454" s="16">
        <f>IF(ISERROR(VLOOKUP($A1454,'13. Updated Demand'!A:Z,19,FALSE)),0,VLOOKUP($A1454,'13. Updated Demand'!A:Z,19,FALSE))</f>
        <v>110.77</v>
      </c>
      <c r="AC1454" s="16">
        <f>IF(ISERROR(VLOOKUP($A1454,'13. Updated Demand'!A:Z,20,FALSE)),0,VLOOKUP($A1454,'13. Updated Demand'!A:Z,20,FALSE))</f>
        <v>134</v>
      </c>
      <c r="AD1454" s="16">
        <f>IF(ISERROR(VLOOKUP($A1454,'13. Updated Demand'!A:Z,21,FALSE)),0,VLOOKUP($A1454,'13. Updated Demand'!A:Z,21,FALSE))</f>
        <v>151.94999999999999</v>
      </c>
      <c r="AE1454" s="16">
        <f>IF(ISERROR(VLOOKUP($A1454,'13. Updated Demand'!A:Z,22,FALSE)),0,VLOOKUP($A1454,'13. Updated Demand'!A:Z,22,FALSE))</f>
        <v>150.22999999999999</v>
      </c>
      <c r="AF1454" s="16">
        <f>IF(ISERROR(VLOOKUP($A1454,'13. Updated Demand'!A:Z,23,FALSE)),0,VLOOKUP($A1454,'13. Updated Demand'!A:Z,23,FALSE))</f>
        <v>134.58000000000001</v>
      </c>
      <c r="AG1454" s="16">
        <f>IF(ISERROR(VLOOKUP($A1454,'13. Updated Demand'!A:Z,24,FALSE)),0,VLOOKUP($A1454,'13. Updated Demand'!A:Z,24,FALSE))</f>
        <v>113.34</v>
      </c>
      <c r="AH1454" s="16">
        <f>IF(ISERROR(VLOOKUP($A1454,'13. Updated Demand'!A:Z,25,FALSE)),0,VLOOKUP($A1454,'13. Updated Demand'!A:Z,25,FALSE))</f>
        <v>87.58</v>
      </c>
      <c r="AI1454" s="16">
        <f>IF(ISERROR(VLOOKUP($A1454,'13. Updated Demand'!A:Z,26,FALSE)),0,VLOOKUP($A1454,'13. Updated Demand'!A:Z,26,FALSE))</f>
        <v>68.08</v>
      </c>
      <c r="AJ1454" s="16">
        <f t="shared" si="277"/>
        <v>1207.6599999999999</v>
      </c>
      <c r="AK1454" s="19">
        <v>681.54286900000011</v>
      </c>
      <c r="AL1454" s="16">
        <f t="shared" si="276"/>
        <v>2.2606000614446518</v>
      </c>
      <c r="AM1454" s="26">
        <v>0.34403468092796496</v>
      </c>
      <c r="AN1454" s="19">
        <v>3510.4423999999999</v>
      </c>
      <c r="AO1454" s="19" t="s">
        <v>1758</v>
      </c>
      <c r="AP1454" s="19">
        <v>0</v>
      </c>
      <c r="AQ1454" s="19" t="s">
        <v>307</v>
      </c>
      <c r="AR1454" s="9" t="s">
        <v>354</v>
      </c>
      <c r="AS1454" s="12">
        <v>0</v>
      </c>
      <c r="AT1454" s="19">
        <v>38.811331010000004</v>
      </c>
      <c r="AU1454" s="19">
        <v>-123.01114871</v>
      </c>
      <c r="AV1454" s="19" t="s">
        <v>387</v>
      </c>
    </row>
    <row r="1455" spans="1:48" x14ac:dyDescent="0.25">
      <c r="A1455" s="18" t="s">
        <v>52</v>
      </c>
      <c r="B1455" s="10">
        <v>18810101</v>
      </c>
      <c r="C1455" s="9">
        <v>9</v>
      </c>
      <c r="D1455" s="8" t="str">
        <f t="shared" si="267"/>
        <v>N</v>
      </c>
      <c r="E1455" s="8" t="str">
        <f t="shared" si="268"/>
        <v>Y</v>
      </c>
      <c r="F1455" s="8" t="str">
        <f t="shared" si="269"/>
        <v>Y</v>
      </c>
      <c r="G1455" s="8" t="str">
        <f t="shared" si="270"/>
        <v>Y</v>
      </c>
      <c r="H1455" s="8" t="str">
        <f t="shared" si="271"/>
        <v>Upper</v>
      </c>
      <c r="I1455" s="8" t="str">
        <f t="shared" si="272"/>
        <v>West Fork and Below Lake</v>
      </c>
      <c r="J1455" s="8" t="str">
        <f t="shared" si="273"/>
        <v>Sonoma (d/s of Clov. Gage)</v>
      </c>
      <c r="K1455" s="8" t="str">
        <f t="shared" si="274"/>
        <v>pre-1914</v>
      </c>
      <c r="L1455" s="8">
        <f t="shared" si="275"/>
        <v>1881</v>
      </c>
      <c r="M1455" s="8" t="s">
        <v>179</v>
      </c>
      <c r="N1455" s="10" t="s">
        <v>241</v>
      </c>
      <c r="O1455" s="10" t="s">
        <v>241</v>
      </c>
      <c r="P1455" s="10" t="s">
        <v>241</v>
      </c>
      <c r="Q1455" s="10" t="s">
        <v>242</v>
      </c>
      <c r="R1455" s="10" t="s">
        <v>242</v>
      </c>
      <c r="S1455" s="10" t="s">
        <v>242</v>
      </c>
      <c r="T1455" s="10" t="s">
        <v>242</v>
      </c>
      <c r="U1455" s="10" t="s">
        <v>241</v>
      </c>
      <c r="V1455" s="10" t="s">
        <v>241</v>
      </c>
      <c r="W1455" s="10" t="s">
        <v>242</v>
      </c>
      <c r="X1455" s="15">
        <f>IF(ISERROR(VLOOKUP($A1455,'13. Updated Demand'!A:Z,15,FALSE)),0,VLOOKUP($A1455,'13. Updated Demand'!A:Z,15,FALSE))</f>
        <v>0</v>
      </c>
      <c r="Y1455" s="16">
        <f>IF(ISERROR(VLOOKUP($A1455,'13. Updated Demand'!A:Z,16,FALSE)),0,VLOOKUP($A1455,'13. Updated Demand'!A:Z,16,FALSE))</f>
        <v>0</v>
      </c>
      <c r="Z1455" s="16">
        <f>IF(ISERROR(VLOOKUP($A1455,'13. Updated Demand'!A:Z,17,FALSE)),0,VLOOKUP($A1455,'13. Updated Demand'!A:Z,17,FALSE))</f>
        <v>0</v>
      </c>
      <c r="AA1455" s="16">
        <f>IF(ISERROR(VLOOKUP($A1455,'13. Updated Demand'!A:Z,18,FALSE)),0,VLOOKUP($A1455,'13. Updated Demand'!A:Z,18,FALSE))</f>
        <v>0</v>
      </c>
      <c r="AB1455" s="16">
        <f>IF(ISERROR(VLOOKUP($A1455,'13. Updated Demand'!A:Z,19,FALSE)),0,VLOOKUP($A1455,'13. Updated Demand'!A:Z,19,FALSE))</f>
        <v>0</v>
      </c>
      <c r="AC1455" s="16">
        <f>IF(ISERROR(VLOOKUP($A1455,'13. Updated Demand'!A:Z,20,FALSE)),0,VLOOKUP($A1455,'13. Updated Demand'!A:Z,20,FALSE))</f>
        <v>0</v>
      </c>
      <c r="AD1455" s="16">
        <f>IF(ISERROR(VLOOKUP($A1455,'13. Updated Demand'!A:Z,21,FALSE)),0,VLOOKUP($A1455,'13. Updated Demand'!A:Z,21,FALSE))</f>
        <v>0</v>
      </c>
      <c r="AE1455" s="16">
        <f>IF(ISERROR(VLOOKUP($A1455,'13. Updated Demand'!A:Z,22,FALSE)),0,VLOOKUP($A1455,'13. Updated Demand'!A:Z,22,FALSE))</f>
        <v>0</v>
      </c>
      <c r="AF1455" s="16">
        <f>IF(ISERROR(VLOOKUP($A1455,'13. Updated Demand'!A:Z,23,FALSE)),0,VLOOKUP($A1455,'13. Updated Demand'!A:Z,23,FALSE))</f>
        <v>0</v>
      </c>
      <c r="AG1455" s="16">
        <f>IF(ISERROR(VLOOKUP($A1455,'13. Updated Demand'!A:Z,24,FALSE)),0,VLOOKUP($A1455,'13. Updated Demand'!A:Z,24,FALSE))</f>
        <v>0</v>
      </c>
      <c r="AH1455" s="16">
        <f>IF(ISERROR(VLOOKUP($A1455,'13. Updated Demand'!A:Z,25,FALSE)),0,VLOOKUP($A1455,'13. Updated Demand'!A:Z,25,FALSE))</f>
        <v>0</v>
      </c>
      <c r="AI1455" s="16">
        <f>IF(ISERROR(VLOOKUP($A1455,'13. Updated Demand'!A:Z,26,FALSE)),0,VLOOKUP($A1455,'13. Updated Demand'!A:Z,26,FALSE))</f>
        <v>0</v>
      </c>
      <c r="AJ1455" s="16">
        <f t="shared" si="277"/>
        <v>0</v>
      </c>
      <c r="AK1455" s="19">
        <v>0</v>
      </c>
      <c r="AL1455" s="16">
        <f t="shared" si="276"/>
        <v>0</v>
      </c>
      <c r="AM1455" s="26">
        <v>0</v>
      </c>
      <c r="AN1455" s="19">
        <v>33.322400000000002</v>
      </c>
      <c r="AO1455" s="19" t="s">
        <v>1758</v>
      </c>
      <c r="AP1455" s="19">
        <v>0</v>
      </c>
      <c r="AQ1455" s="19" t="s">
        <v>307</v>
      </c>
      <c r="AR1455" s="9" t="s">
        <v>354</v>
      </c>
      <c r="AS1455" s="12">
        <v>3.4039024194010059E-4</v>
      </c>
      <c r="AT1455" s="19">
        <v>38.766327879999999</v>
      </c>
      <c r="AU1455" s="19">
        <v>-122.97543448</v>
      </c>
      <c r="AV1455" s="19" t="s">
        <v>387</v>
      </c>
    </row>
    <row r="1456" spans="1:48" x14ac:dyDescent="0.25">
      <c r="A1456" s="18" t="s">
        <v>1827</v>
      </c>
      <c r="B1456" s="10">
        <v>18780101</v>
      </c>
      <c r="C1456" s="9">
        <v>11</v>
      </c>
      <c r="D1456" s="8" t="str">
        <f t="shared" si="267"/>
        <v>N</v>
      </c>
      <c r="E1456" s="8" t="str">
        <f t="shared" si="268"/>
        <v>Y</v>
      </c>
      <c r="F1456" s="8" t="str">
        <f t="shared" si="269"/>
        <v>Y</v>
      </c>
      <c r="G1456" s="8" t="str">
        <f t="shared" si="270"/>
        <v>Y</v>
      </c>
      <c r="H1456" s="8" t="str">
        <f t="shared" si="271"/>
        <v>Upper</v>
      </c>
      <c r="I1456" s="8" t="str">
        <f t="shared" si="272"/>
        <v>West Fork and Below Lake</v>
      </c>
      <c r="J1456" s="8" t="str">
        <f t="shared" si="273"/>
        <v>Sonoma (d/s of Clov. Gage)</v>
      </c>
      <c r="K1456" s="8" t="str">
        <f t="shared" si="274"/>
        <v>pre-1914</v>
      </c>
      <c r="L1456" s="8">
        <f t="shared" si="275"/>
        <v>1878</v>
      </c>
      <c r="M1456" s="8" t="s">
        <v>179</v>
      </c>
      <c r="N1456" s="10" t="s">
        <v>242</v>
      </c>
      <c r="O1456" s="10" t="s">
        <v>241</v>
      </c>
      <c r="P1456" s="10" t="s">
        <v>241</v>
      </c>
      <c r="Q1456" s="10" t="s">
        <v>242</v>
      </c>
      <c r="R1456" s="10" t="s">
        <v>242</v>
      </c>
      <c r="S1456" s="10" t="s">
        <v>242</v>
      </c>
      <c r="T1456" s="10" t="s">
        <v>242</v>
      </c>
      <c r="U1456" s="10" t="s">
        <v>242</v>
      </c>
      <c r="V1456" s="10" t="s">
        <v>242</v>
      </c>
      <c r="W1456" s="10" t="s">
        <v>242</v>
      </c>
      <c r="X1456" s="15">
        <f>IF(ISERROR(VLOOKUP($A1456,'13. Updated Demand'!A:Z,15,FALSE)),0,VLOOKUP($A1456,'13. Updated Demand'!A:Z,15,FALSE))</f>
        <v>0.06</v>
      </c>
      <c r="Y1456" s="16">
        <f>IF(ISERROR(VLOOKUP($A1456,'13. Updated Demand'!A:Z,16,FALSE)),0,VLOOKUP($A1456,'13. Updated Demand'!A:Z,16,FALSE))</f>
        <v>0.06</v>
      </c>
      <c r="Z1456" s="16">
        <f>IF(ISERROR(VLOOKUP($A1456,'13. Updated Demand'!A:Z,17,FALSE)),0,VLOOKUP($A1456,'13. Updated Demand'!A:Z,17,FALSE))</f>
        <v>0.06</v>
      </c>
      <c r="AA1456" s="16">
        <f>IF(ISERROR(VLOOKUP($A1456,'13. Updated Demand'!A:Z,18,FALSE)),0,VLOOKUP($A1456,'13. Updated Demand'!A:Z,18,FALSE))</f>
        <v>1.73</v>
      </c>
      <c r="AB1456" s="16">
        <f>IF(ISERROR(VLOOKUP($A1456,'13. Updated Demand'!A:Z,19,FALSE)),0,VLOOKUP($A1456,'13. Updated Demand'!A:Z,19,FALSE))</f>
        <v>2.0499999999999998</v>
      </c>
      <c r="AC1456" s="16">
        <f>IF(ISERROR(VLOOKUP($A1456,'13. Updated Demand'!A:Z,20,FALSE)),0,VLOOKUP($A1456,'13. Updated Demand'!A:Z,20,FALSE))</f>
        <v>2.0499999999999998</v>
      </c>
      <c r="AD1456" s="16">
        <f>IF(ISERROR(VLOOKUP($A1456,'13. Updated Demand'!A:Z,21,FALSE)),0,VLOOKUP($A1456,'13. Updated Demand'!A:Z,21,FALSE))</f>
        <v>5.33</v>
      </c>
      <c r="AE1456" s="16">
        <f>IF(ISERROR(VLOOKUP($A1456,'13. Updated Demand'!A:Z,22,FALSE)),0,VLOOKUP($A1456,'13. Updated Demand'!A:Z,22,FALSE))</f>
        <v>3.71</v>
      </c>
      <c r="AF1456" s="16">
        <f>IF(ISERROR(VLOOKUP($A1456,'13. Updated Demand'!A:Z,23,FALSE)),0,VLOOKUP($A1456,'13. Updated Demand'!A:Z,23,FALSE))</f>
        <v>3.71</v>
      </c>
      <c r="AG1456" s="16">
        <f>IF(ISERROR(VLOOKUP($A1456,'13. Updated Demand'!A:Z,24,FALSE)),0,VLOOKUP($A1456,'13. Updated Demand'!A:Z,24,FALSE))</f>
        <v>0.38</v>
      </c>
      <c r="AH1456" s="16">
        <f>IF(ISERROR(VLOOKUP($A1456,'13. Updated Demand'!A:Z,25,FALSE)),0,VLOOKUP($A1456,'13. Updated Demand'!A:Z,25,FALSE))</f>
        <v>0.06</v>
      </c>
      <c r="AI1456" s="16">
        <f>IF(ISERROR(VLOOKUP($A1456,'13. Updated Demand'!A:Z,26,FALSE)),0,VLOOKUP($A1456,'13. Updated Demand'!A:Z,26,FALSE))</f>
        <v>0.06</v>
      </c>
      <c r="AJ1456" s="16">
        <f t="shared" si="277"/>
        <v>19.259999999999998</v>
      </c>
      <c r="AK1456" s="19">
        <v>16.866666667000001</v>
      </c>
      <c r="AL1456" s="16">
        <f t="shared" si="276"/>
        <v>5.5944812040556548E-2</v>
      </c>
      <c r="AM1456" s="26">
        <v>57.493055559523796</v>
      </c>
      <c r="AN1456" s="19">
        <v>0.33600000000000002</v>
      </c>
      <c r="AO1456" s="19" t="s">
        <v>1758</v>
      </c>
      <c r="AP1456" s="19">
        <v>0</v>
      </c>
      <c r="AQ1456" s="19" t="s">
        <v>307</v>
      </c>
      <c r="AR1456" s="9" t="s">
        <v>308</v>
      </c>
      <c r="AS1456" s="12">
        <v>3.4039024194010059E-4</v>
      </c>
      <c r="AT1456" s="19">
        <v>38.634523110000003</v>
      </c>
      <c r="AU1456" s="19">
        <v>-122.66309227000001</v>
      </c>
      <c r="AV1456" s="19" t="s">
        <v>1828</v>
      </c>
    </row>
    <row r="1457" spans="1:48" x14ac:dyDescent="0.25">
      <c r="A1457" s="18" t="s">
        <v>1829</v>
      </c>
      <c r="B1457" s="10">
        <v>18770101</v>
      </c>
      <c r="C1457" s="9">
        <v>20</v>
      </c>
      <c r="D1457" s="8" t="str">
        <f t="shared" si="267"/>
        <v>N</v>
      </c>
      <c r="E1457" s="8" t="str">
        <f t="shared" si="268"/>
        <v>N</v>
      </c>
      <c r="F1457" s="8" t="str">
        <f t="shared" si="269"/>
        <v>N</v>
      </c>
      <c r="G1457" s="8" t="str">
        <f t="shared" si="270"/>
        <v>N</v>
      </c>
      <c r="H1457" s="8" t="str">
        <f t="shared" si="271"/>
        <v>Lower</v>
      </c>
      <c r="I1457" s="8" t="str">
        <f t="shared" si="272"/>
        <v>Outside</v>
      </c>
      <c r="J1457" s="8" t="str">
        <f t="shared" si="273"/>
        <v>Outside</v>
      </c>
      <c r="K1457" s="8" t="str">
        <f t="shared" si="274"/>
        <v>pre-1914</v>
      </c>
      <c r="L1457" s="8">
        <f t="shared" si="275"/>
        <v>1877</v>
      </c>
      <c r="M1457" s="8" t="s">
        <v>179</v>
      </c>
      <c r="N1457" s="10" t="s">
        <v>242</v>
      </c>
      <c r="O1457" s="10" t="s">
        <v>242</v>
      </c>
      <c r="P1457" s="10" t="s">
        <v>241</v>
      </c>
      <c r="Q1457" s="10" t="s">
        <v>242</v>
      </c>
      <c r="R1457" s="10" t="s">
        <v>242</v>
      </c>
      <c r="S1457" s="10" t="s">
        <v>242</v>
      </c>
      <c r="T1457" s="10" t="s">
        <v>242</v>
      </c>
      <c r="U1457" s="10" t="s">
        <v>242</v>
      </c>
      <c r="V1457" s="10" t="s">
        <v>242</v>
      </c>
      <c r="W1457" s="10" t="s">
        <v>242</v>
      </c>
      <c r="X1457" s="15">
        <f>IF(ISERROR(VLOOKUP($A1457,'13. Updated Demand'!A:Z,15,FALSE)),0,VLOOKUP($A1457,'13. Updated Demand'!A:Z,15,FALSE))</f>
        <v>1.25</v>
      </c>
      <c r="Y1457" s="16">
        <f>IF(ISERROR(VLOOKUP($A1457,'13. Updated Demand'!A:Z,16,FALSE)),0,VLOOKUP($A1457,'13. Updated Demand'!A:Z,16,FALSE))</f>
        <v>1.25</v>
      </c>
      <c r="Z1457" s="16">
        <f>IF(ISERROR(VLOOKUP($A1457,'13. Updated Demand'!A:Z,17,FALSE)),0,VLOOKUP($A1457,'13. Updated Demand'!A:Z,17,FALSE))</f>
        <v>1.25</v>
      </c>
      <c r="AA1457" s="16">
        <f>IF(ISERROR(VLOOKUP($A1457,'13. Updated Demand'!A:Z,18,FALSE)),0,VLOOKUP($A1457,'13. Updated Demand'!A:Z,18,FALSE))</f>
        <v>1.25</v>
      </c>
      <c r="AB1457" s="16">
        <f>IF(ISERROR(VLOOKUP($A1457,'13. Updated Demand'!A:Z,19,FALSE)),0,VLOOKUP($A1457,'13. Updated Demand'!A:Z,19,FALSE))</f>
        <v>1.25</v>
      </c>
      <c r="AC1457" s="16">
        <f>IF(ISERROR(VLOOKUP($A1457,'13. Updated Demand'!A:Z,20,FALSE)),0,VLOOKUP($A1457,'13. Updated Demand'!A:Z,20,FALSE))</f>
        <v>1.25</v>
      </c>
      <c r="AD1457" s="16">
        <f>IF(ISERROR(VLOOKUP($A1457,'13. Updated Demand'!A:Z,21,FALSE)),0,VLOOKUP($A1457,'13. Updated Demand'!A:Z,21,FALSE))</f>
        <v>1.25</v>
      </c>
      <c r="AE1457" s="16">
        <f>IF(ISERROR(VLOOKUP($A1457,'13. Updated Demand'!A:Z,22,FALSE)),0,VLOOKUP($A1457,'13. Updated Demand'!A:Z,22,FALSE))</f>
        <v>1.25</v>
      </c>
      <c r="AF1457" s="16">
        <f>IF(ISERROR(VLOOKUP($A1457,'13. Updated Demand'!A:Z,23,FALSE)),0,VLOOKUP($A1457,'13. Updated Demand'!A:Z,23,FALSE))</f>
        <v>1.25</v>
      </c>
      <c r="AG1457" s="16">
        <f>IF(ISERROR(VLOOKUP($A1457,'13. Updated Demand'!A:Z,24,FALSE)),0,VLOOKUP($A1457,'13. Updated Demand'!A:Z,24,FALSE))</f>
        <v>1.25</v>
      </c>
      <c r="AH1457" s="16">
        <f>IF(ISERROR(VLOOKUP($A1457,'13. Updated Demand'!A:Z,25,FALSE)),0,VLOOKUP($A1457,'13. Updated Demand'!A:Z,25,FALSE))</f>
        <v>1.25</v>
      </c>
      <c r="AI1457" s="16">
        <f>IF(ISERROR(VLOOKUP($A1457,'13. Updated Demand'!A:Z,26,FALSE)),0,VLOOKUP($A1457,'13. Updated Demand'!A:Z,26,FALSE))</f>
        <v>1.25</v>
      </c>
      <c r="AJ1457" s="16">
        <f t="shared" si="277"/>
        <v>15</v>
      </c>
      <c r="AK1457" s="19">
        <v>6.25</v>
      </c>
      <c r="AL1457" s="16">
        <f t="shared" si="276"/>
        <v>2.0730538058096933E-2</v>
      </c>
      <c r="AM1457" s="26">
        <v>0.51766979569298732</v>
      </c>
      <c r="AN1457" s="19">
        <v>28.975999999999999</v>
      </c>
      <c r="AO1457" s="19" t="s">
        <v>1758</v>
      </c>
      <c r="AP1457" s="19">
        <v>0</v>
      </c>
      <c r="AQ1457" s="19" t="s">
        <v>307</v>
      </c>
      <c r="AR1457" s="9" t="s">
        <v>329</v>
      </c>
      <c r="AS1457" s="12">
        <v>3.4039024194010059E-4</v>
      </c>
      <c r="AT1457" s="19">
        <v>38.536000000000001</v>
      </c>
      <c r="AU1457" s="19">
        <v>-123.0894</v>
      </c>
      <c r="AV1457" s="19" t="s">
        <v>737</v>
      </c>
    </row>
    <row r="1458" spans="1:48" x14ac:dyDescent="0.25">
      <c r="A1458" s="18" t="s">
        <v>1830</v>
      </c>
      <c r="B1458" s="10">
        <v>18760101</v>
      </c>
      <c r="C1458" s="9">
        <v>18</v>
      </c>
      <c r="D1458" s="8" t="str">
        <f t="shared" si="267"/>
        <v>N</v>
      </c>
      <c r="E1458" s="8" t="str">
        <f t="shared" si="268"/>
        <v>N</v>
      </c>
      <c r="F1458" s="8" t="str">
        <f t="shared" si="269"/>
        <v>N</v>
      </c>
      <c r="G1458" s="8" t="str">
        <f t="shared" si="270"/>
        <v>N</v>
      </c>
      <c r="H1458" s="8" t="str">
        <f t="shared" si="271"/>
        <v>Lower</v>
      </c>
      <c r="I1458" s="8" t="str">
        <f t="shared" si="272"/>
        <v>Outside</v>
      </c>
      <c r="J1458" s="8" t="str">
        <f t="shared" si="273"/>
        <v>Outside</v>
      </c>
      <c r="K1458" s="8" t="str">
        <f t="shared" si="274"/>
        <v>pre-1914</v>
      </c>
      <c r="L1458" s="8">
        <f t="shared" si="275"/>
        <v>1876</v>
      </c>
      <c r="M1458" s="8" t="s">
        <v>179</v>
      </c>
      <c r="N1458" s="10" t="s">
        <v>242</v>
      </c>
      <c r="O1458" s="10" t="s">
        <v>242</v>
      </c>
      <c r="P1458" s="10" t="s">
        <v>241</v>
      </c>
      <c r="Q1458" s="10" t="s">
        <v>242</v>
      </c>
      <c r="R1458" s="10" t="s">
        <v>242</v>
      </c>
      <c r="S1458" s="10" t="s">
        <v>242</v>
      </c>
      <c r="T1458" s="10" t="s">
        <v>242</v>
      </c>
      <c r="U1458" s="10" t="s">
        <v>242</v>
      </c>
      <c r="V1458" s="10" t="s">
        <v>242</v>
      </c>
      <c r="W1458" s="10" t="s">
        <v>242</v>
      </c>
      <c r="X1458" s="15">
        <f>IF(ISERROR(VLOOKUP($A1458,'13. Updated Demand'!A:Z,15,FALSE)),0,VLOOKUP($A1458,'13. Updated Demand'!A:Z,15,FALSE))</f>
        <v>6.6746666999999996E-2</v>
      </c>
      <c r="Y1458" s="16">
        <f>IF(ISERROR(VLOOKUP($A1458,'13. Updated Demand'!A:Z,16,FALSE)),0,VLOOKUP($A1458,'13. Updated Demand'!A:Z,16,FALSE))</f>
        <v>7.6746667000000005E-2</v>
      </c>
      <c r="Z1458" s="16">
        <f>IF(ISERROR(VLOOKUP($A1458,'13. Updated Demand'!A:Z,17,FALSE)),0,VLOOKUP($A1458,'13. Updated Demand'!A:Z,17,FALSE))</f>
        <v>7.6746667000000005E-2</v>
      </c>
      <c r="AA1458" s="16">
        <f>IF(ISERROR(VLOOKUP($A1458,'13. Updated Demand'!A:Z,18,FALSE)),0,VLOOKUP($A1458,'13. Updated Demand'!A:Z,18,FALSE))</f>
        <v>6.6746666999999996E-2</v>
      </c>
      <c r="AB1458" s="16">
        <f>IF(ISERROR(VLOOKUP($A1458,'13. Updated Demand'!A:Z,19,FALSE)),0,VLOOKUP($A1458,'13. Updated Demand'!A:Z,19,FALSE))</f>
        <v>5.5079999999999997E-2</v>
      </c>
      <c r="AC1458" s="16">
        <f>IF(ISERROR(VLOOKUP($A1458,'13. Updated Demand'!A:Z,20,FALSE)),0,VLOOKUP($A1458,'13. Updated Demand'!A:Z,20,FALSE))</f>
        <v>0</v>
      </c>
      <c r="AD1458" s="16">
        <f>IF(ISERROR(VLOOKUP($A1458,'13. Updated Demand'!A:Z,21,FALSE)),0,VLOOKUP($A1458,'13. Updated Demand'!A:Z,21,FALSE))</f>
        <v>0</v>
      </c>
      <c r="AE1458" s="16">
        <f>IF(ISERROR(VLOOKUP($A1458,'13. Updated Demand'!A:Z,22,FALSE)),0,VLOOKUP($A1458,'13. Updated Demand'!A:Z,22,FALSE))</f>
        <v>0</v>
      </c>
      <c r="AF1458" s="16">
        <f>IF(ISERROR(VLOOKUP($A1458,'13. Updated Demand'!A:Z,23,FALSE)),0,VLOOKUP($A1458,'13. Updated Demand'!A:Z,23,FALSE))</f>
        <v>0</v>
      </c>
      <c r="AG1458" s="16">
        <f>IF(ISERROR(VLOOKUP($A1458,'13. Updated Demand'!A:Z,24,FALSE)),0,VLOOKUP($A1458,'13. Updated Demand'!A:Z,24,FALSE))</f>
        <v>3.508E-2</v>
      </c>
      <c r="AH1458" s="16">
        <f>IF(ISERROR(VLOOKUP($A1458,'13. Updated Demand'!A:Z,25,FALSE)),0,VLOOKUP($A1458,'13. Updated Demand'!A:Z,25,FALSE))</f>
        <v>6.6746666999999996E-2</v>
      </c>
      <c r="AI1458" s="16">
        <f>IF(ISERROR(VLOOKUP($A1458,'13. Updated Demand'!A:Z,26,FALSE)),0,VLOOKUP($A1458,'13. Updated Demand'!A:Z,26,FALSE))</f>
        <v>6.6746666999999996E-2</v>
      </c>
      <c r="AJ1458" s="16">
        <f t="shared" si="277"/>
        <v>0.51064000200000004</v>
      </c>
      <c r="AK1458" s="19">
        <v>5.5079999999999997E-2</v>
      </c>
      <c r="AL1458" s="16">
        <f t="shared" si="276"/>
        <v>1.8269408579839664E-4</v>
      </c>
      <c r="AM1458" s="26">
        <v>1.3277171138845554</v>
      </c>
      <c r="AN1458" s="19">
        <v>0.3846</v>
      </c>
      <c r="AO1458" s="19" t="s">
        <v>1758</v>
      </c>
      <c r="AP1458" s="19">
        <v>0</v>
      </c>
      <c r="AQ1458" s="19" t="s">
        <v>307</v>
      </c>
      <c r="AR1458" s="9" t="s">
        <v>352</v>
      </c>
      <c r="AS1458" s="12">
        <v>3.4039024194010059E-4</v>
      </c>
      <c r="AT1458" s="19">
        <v>38.463985000000001</v>
      </c>
      <c r="AU1458" s="19">
        <v>-122.922991</v>
      </c>
      <c r="AV1458" s="19" t="s">
        <v>315</v>
      </c>
    </row>
    <row r="1459" spans="1:48" x14ac:dyDescent="0.25">
      <c r="A1459" s="18" t="s">
        <v>1831</v>
      </c>
      <c r="B1459" s="10">
        <v>18750101</v>
      </c>
      <c r="C1459" s="9">
        <v>11</v>
      </c>
      <c r="D1459" s="8" t="str">
        <f t="shared" si="267"/>
        <v>N</v>
      </c>
      <c r="E1459" s="8" t="str">
        <f t="shared" si="268"/>
        <v>Y</v>
      </c>
      <c r="F1459" s="8" t="str">
        <f t="shared" si="269"/>
        <v>Y</v>
      </c>
      <c r="G1459" s="8" t="str">
        <f t="shared" si="270"/>
        <v>Y</v>
      </c>
      <c r="H1459" s="8" t="str">
        <f t="shared" si="271"/>
        <v>Upper</v>
      </c>
      <c r="I1459" s="8" t="str">
        <f t="shared" si="272"/>
        <v>West Fork and Below Lake</v>
      </c>
      <c r="J1459" s="8" t="str">
        <f t="shared" si="273"/>
        <v>Sonoma (d/s of Clov. Gage)</v>
      </c>
      <c r="K1459" s="8" t="str">
        <f t="shared" si="274"/>
        <v>pre-1914</v>
      </c>
      <c r="L1459" s="8">
        <f t="shared" si="275"/>
        <v>1875</v>
      </c>
      <c r="M1459" s="8" t="s">
        <v>179</v>
      </c>
      <c r="N1459" s="10" t="s">
        <v>242</v>
      </c>
      <c r="O1459" s="10" t="s">
        <v>241</v>
      </c>
      <c r="P1459" s="10" t="s">
        <v>241</v>
      </c>
      <c r="Q1459" s="10" t="s">
        <v>242</v>
      </c>
      <c r="R1459" s="10" t="s">
        <v>242</v>
      </c>
      <c r="S1459" s="10" t="s">
        <v>242</v>
      </c>
      <c r="T1459" s="10" t="s">
        <v>242</v>
      </c>
      <c r="U1459" s="10" t="s">
        <v>242</v>
      </c>
      <c r="V1459" s="10" t="s">
        <v>242</v>
      </c>
      <c r="W1459" s="10" t="s">
        <v>242</v>
      </c>
      <c r="X1459" s="15">
        <f>IF(ISERROR(VLOOKUP($A1459,'13. Updated Demand'!A:Z,15,FALSE)),0,VLOOKUP($A1459,'13. Updated Demand'!A:Z,15,FALSE))</f>
        <v>0.04</v>
      </c>
      <c r="Y1459" s="16">
        <f>IF(ISERROR(VLOOKUP($A1459,'13. Updated Demand'!A:Z,16,FALSE)),0,VLOOKUP($A1459,'13. Updated Demand'!A:Z,16,FALSE))</f>
        <v>0.03</v>
      </c>
      <c r="Z1459" s="16">
        <f>IF(ISERROR(VLOOKUP($A1459,'13. Updated Demand'!A:Z,17,FALSE)),0,VLOOKUP($A1459,'13. Updated Demand'!A:Z,17,FALSE))</f>
        <v>0.04</v>
      </c>
      <c r="AA1459" s="16">
        <f>IF(ISERROR(VLOOKUP($A1459,'13. Updated Demand'!A:Z,18,FALSE)),0,VLOOKUP($A1459,'13. Updated Demand'!A:Z,18,FALSE))</f>
        <v>0.04</v>
      </c>
      <c r="AB1459" s="16">
        <f>IF(ISERROR(VLOOKUP($A1459,'13. Updated Demand'!A:Z,19,FALSE)),0,VLOOKUP($A1459,'13. Updated Demand'!A:Z,19,FALSE))</f>
        <v>0.06</v>
      </c>
      <c r="AC1459" s="16">
        <f>IF(ISERROR(VLOOKUP($A1459,'13. Updated Demand'!A:Z,20,FALSE)),0,VLOOKUP($A1459,'13. Updated Demand'!A:Z,20,FALSE))</f>
        <v>0.14000000000000001</v>
      </c>
      <c r="AD1459" s="16">
        <f>IF(ISERROR(VLOOKUP($A1459,'13. Updated Demand'!A:Z,21,FALSE)),0,VLOOKUP($A1459,'13. Updated Demand'!A:Z,21,FALSE))</f>
        <v>0.18</v>
      </c>
      <c r="AE1459" s="16">
        <f>IF(ISERROR(VLOOKUP($A1459,'13. Updated Demand'!A:Z,22,FALSE)),0,VLOOKUP($A1459,'13. Updated Demand'!A:Z,22,FALSE))</f>
        <v>0.31</v>
      </c>
      <c r="AF1459" s="16">
        <f>IF(ISERROR(VLOOKUP($A1459,'13. Updated Demand'!A:Z,23,FALSE)),0,VLOOKUP($A1459,'13. Updated Demand'!A:Z,23,FALSE))</f>
        <v>0.33</v>
      </c>
      <c r="AG1459" s="16">
        <f>IF(ISERROR(VLOOKUP($A1459,'13. Updated Demand'!A:Z,24,FALSE)),0,VLOOKUP($A1459,'13. Updated Demand'!A:Z,24,FALSE))</f>
        <v>0.21</v>
      </c>
      <c r="AH1459" s="16">
        <f>IF(ISERROR(VLOOKUP($A1459,'13. Updated Demand'!A:Z,25,FALSE)),0,VLOOKUP($A1459,'13. Updated Demand'!A:Z,25,FALSE))</f>
        <v>0.05</v>
      </c>
      <c r="AI1459" s="16">
        <f>IF(ISERROR(VLOOKUP($A1459,'13. Updated Demand'!A:Z,26,FALSE)),0,VLOOKUP($A1459,'13. Updated Demand'!A:Z,26,FALSE))</f>
        <v>9.8206669999999999E-3</v>
      </c>
      <c r="AJ1459" s="16">
        <f t="shared" si="277"/>
        <v>1.4398206670000002</v>
      </c>
      <c r="AK1459" s="19">
        <v>1.046902333</v>
      </c>
      <c r="AL1459" s="16">
        <f t="shared" si="276"/>
        <v>3.4724557851787147E-3</v>
      </c>
      <c r="AM1459" s="26">
        <v>4.4232450416666662</v>
      </c>
      <c r="AN1459" s="19">
        <v>0.33600000000000002</v>
      </c>
      <c r="AO1459" s="19" t="s">
        <v>1758</v>
      </c>
      <c r="AP1459" s="19">
        <v>0</v>
      </c>
      <c r="AQ1459" s="19" t="s">
        <v>307</v>
      </c>
      <c r="AR1459" s="9" t="s">
        <v>308</v>
      </c>
      <c r="AS1459" s="12">
        <v>3.4039024194010059E-4</v>
      </c>
      <c r="AT1459" s="19">
        <v>38.634523110000003</v>
      </c>
      <c r="AU1459" s="19">
        <v>-122.66309227000001</v>
      </c>
      <c r="AV1459" s="19" t="s">
        <v>358</v>
      </c>
    </row>
    <row r="1460" spans="1:48" x14ac:dyDescent="0.25">
      <c r="A1460" s="18" t="s">
        <v>1832</v>
      </c>
      <c r="B1460" s="10">
        <v>18730101</v>
      </c>
      <c r="C1460" s="9">
        <v>23</v>
      </c>
      <c r="D1460" s="8" t="str">
        <f t="shared" si="267"/>
        <v>N</v>
      </c>
      <c r="E1460" s="8" t="str">
        <f t="shared" si="268"/>
        <v>N</v>
      </c>
      <c r="F1460" s="8" t="str">
        <f t="shared" si="269"/>
        <v>N</v>
      </c>
      <c r="G1460" s="8" t="str">
        <f t="shared" si="270"/>
        <v>N</v>
      </c>
      <c r="H1460" s="8" t="str">
        <f t="shared" si="271"/>
        <v>Lower</v>
      </c>
      <c r="I1460" s="8" t="str">
        <f t="shared" si="272"/>
        <v>Outside</v>
      </c>
      <c r="J1460" s="8" t="str">
        <f t="shared" si="273"/>
        <v>Outside</v>
      </c>
      <c r="K1460" s="8" t="str">
        <f t="shared" si="274"/>
        <v>pre-1914</v>
      </c>
      <c r="L1460" s="8">
        <f t="shared" si="275"/>
        <v>1873</v>
      </c>
      <c r="M1460" s="8" t="s">
        <v>179</v>
      </c>
      <c r="N1460" s="10" t="s">
        <v>242</v>
      </c>
      <c r="O1460" s="10" t="s">
        <v>242</v>
      </c>
      <c r="P1460" s="10" t="s">
        <v>241</v>
      </c>
      <c r="Q1460" s="10" t="s">
        <v>242</v>
      </c>
      <c r="R1460" s="10" t="s">
        <v>242</v>
      </c>
      <c r="S1460" s="10" t="s">
        <v>242</v>
      </c>
      <c r="T1460" s="10" t="s">
        <v>242</v>
      </c>
      <c r="U1460" s="10" t="s">
        <v>241</v>
      </c>
      <c r="V1460" s="10" t="s">
        <v>241</v>
      </c>
      <c r="W1460" s="10" t="s">
        <v>242</v>
      </c>
      <c r="X1460" s="15">
        <f>IF(ISERROR(VLOOKUP($A1460,'13. Updated Demand'!A:Z,15,FALSE)),0,VLOOKUP($A1460,'13. Updated Demand'!A:Z,15,FALSE))</f>
        <v>0</v>
      </c>
      <c r="Y1460" s="16">
        <f>IF(ISERROR(VLOOKUP($A1460,'13. Updated Demand'!A:Z,16,FALSE)),0,VLOOKUP($A1460,'13. Updated Demand'!A:Z,16,FALSE))</f>
        <v>0</v>
      </c>
      <c r="Z1460" s="16">
        <f>IF(ISERROR(VLOOKUP($A1460,'13. Updated Demand'!A:Z,17,FALSE)),0,VLOOKUP($A1460,'13. Updated Demand'!A:Z,17,FALSE))</f>
        <v>0</v>
      </c>
      <c r="AA1460" s="16">
        <f>IF(ISERROR(VLOOKUP($A1460,'13. Updated Demand'!A:Z,18,FALSE)),0,VLOOKUP($A1460,'13. Updated Demand'!A:Z,18,FALSE))</f>
        <v>0</v>
      </c>
      <c r="AB1460" s="16">
        <f>IF(ISERROR(VLOOKUP($A1460,'13. Updated Demand'!A:Z,19,FALSE)),0,VLOOKUP($A1460,'13. Updated Demand'!A:Z,19,FALSE))</f>
        <v>0</v>
      </c>
      <c r="AC1460" s="16">
        <f>IF(ISERROR(VLOOKUP($A1460,'13. Updated Demand'!A:Z,20,FALSE)),0,VLOOKUP($A1460,'13. Updated Demand'!A:Z,20,FALSE))</f>
        <v>0</v>
      </c>
      <c r="AD1460" s="16">
        <f>IF(ISERROR(VLOOKUP($A1460,'13. Updated Demand'!A:Z,21,FALSE)),0,VLOOKUP($A1460,'13. Updated Demand'!A:Z,21,FALSE))</f>
        <v>0</v>
      </c>
      <c r="AE1460" s="16">
        <f>IF(ISERROR(VLOOKUP($A1460,'13. Updated Demand'!A:Z,22,FALSE)),0,VLOOKUP($A1460,'13. Updated Demand'!A:Z,22,FALSE))</f>
        <v>0</v>
      </c>
      <c r="AF1460" s="16">
        <f>IF(ISERROR(VLOOKUP($A1460,'13. Updated Demand'!A:Z,23,FALSE)),0,VLOOKUP($A1460,'13. Updated Demand'!A:Z,23,FALSE))</f>
        <v>0</v>
      </c>
      <c r="AG1460" s="16">
        <f>IF(ISERROR(VLOOKUP($A1460,'13. Updated Demand'!A:Z,24,FALSE)),0,VLOOKUP($A1460,'13. Updated Demand'!A:Z,24,FALSE))</f>
        <v>0</v>
      </c>
      <c r="AH1460" s="16">
        <f>IF(ISERROR(VLOOKUP($A1460,'13. Updated Demand'!A:Z,25,FALSE)),0,VLOOKUP($A1460,'13. Updated Demand'!A:Z,25,FALSE))</f>
        <v>0</v>
      </c>
      <c r="AI1460" s="16">
        <f>IF(ISERROR(VLOOKUP($A1460,'13. Updated Demand'!A:Z,26,FALSE)),0,VLOOKUP($A1460,'13. Updated Demand'!A:Z,26,FALSE))</f>
        <v>0</v>
      </c>
      <c r="AJ1460" s="16">
        <f t="shared" si="277"/>
        <v>0</v>
      </c>
      <c r="AK1460" s="19">
        <v>0</v>
      </c>
      <c r="AL1460" s="16">
        <f t="shared" si="276"/>
        <v>0</v>
      </c>
      <c r="AM1460" s="26">
        <v>0</v>
      </c>
      <c r="AN1460" s="19">
        <v>0</v>
      </c>
      <c r="AO1460" s="19" t="s">
        <v>1758</v>
      </c>
      <c r="AP1460" s="19">
        <v>0</v>
      </c>
      <c r="AQ1460" s="19" t="s">
        <v>307</v>
      </c>
      <c r="AR1460" s="9" t="s">
        <v>378</v>
      </c>
      <c r="AS1460" s="12">
        <v>0</v>
      </c>
      <c r="AT1460" s="19">
        <v>38.454103029999999</v>
      </c>
      <c r="AU1460" s="19">
        <v>-122.66880845</v>
      </c>
      <c r="AV1460" s="19" t="s">
        <v>1251</v>
      </c>
    </row>
    <row r="1461" spans="1:48" x14ac:dyDescent="0.25">
      <c r="A1461" s="18" t="s">
        <v>1833</v>
      </c>
      <c r="B1461" s="10">
        <v>18720101</v>
      </c>
      <c r="C1461" s="9">
        <v>11</v>
      </c>
      <c r="D1461" s="8" t="str">
        <f t="shared" si="267"/>
        <v>N</v>
      </c>
      <c r="E1461" s="8" t="str">
        <f t="shared" si="268"/>
        <v>Y</v>
      </c>
      <c r="F1461" s="8" t="str">
        <f t="shared" si="269"/>
        <v>Y</v>
      </c>
      <c r="G1461" s="8" t="str">
        <f t="shared" si="270"/>
        <v>Y</v>
      </c>
      <c r="H1461" s="8" t="str">
        <f t="shared" si="271"/>
        <v>Upper</v>
      </c>
      <c r="I1461" s="8" t="str">
        <f t="shared" si="272"/>
        <v>West Fork and Below Lake</v>
      </c>
      <c r="J1461" s="8" t="str">
        <f t="shared" si="273"/>
        <v>Sonoma (d/s of Clov. Gage)</v>
      </c>
      <c r="K1461" s="8" t="str">
        <f t="shared" si="274"/>
        <v>pre-1914</v>
      </c>
      <c r="L1461" s="8">
        <f t="shared" si="275"/>
        <v>1872</v>
      </c>
      <c r="M1461" s="8" t="s">
        <v>179</v>
      </c>
      <c r="N1461" s="10" t="s">
        <v>242</v>
      </c>
      <c r="O1461" s="10" t="s">
        <v>241</v>
      </c>
      <c r="P1461" s="10" t="s">
        <v>241</v>
      </c>
      <c r="Q1461" s="10" t="s">
        <v>242</v>
      </c>
      <c r="R1461" s="10" t="s">
        <v>242</v>
      </c>
      <c r="S1461" s="10" t="s">
        <v>242</v>
      </c>
      <c r="T1461" s="10" t="s">
        <v>242</v>
      </c>
      <c r="U1461" s="10" t="s">
        <v>242</v>
      </c>
      <c r="V1461" s="10" t="s">
        <v>242</v>
      </c>
      <c r="W1461" s="10" t="s">
        <v>242</v>
      </c>
      <c r="X1461" s="15">
        <f>IF(ISERROR(VLOOKUP($A1461,'13. Updated Demand'!A:Z,15,FALSE)),0,VLOOKUP($A1461,'13. Updated Demand'!A:Z,15,FALSE))</f>
        <v>0.08</v>
      </c>
      <c r="Y1461" s="16">
        <f>IF(ISERROR(VLOOKUP($A1461,'13. Updated Demand'!A:Z,16,FALSE)),0,VLOOKUP($A1461,'13. Updated Demand'!A:Z,16,FALSE))</f>
        <v>0.09</v>
      </c>
      <c r="Z1461" s="16">
        <f>IF(ISERROR(VLOOKUP($A1461,'13. Updated Demand'!A:Z,17,FALSE)),0,VLOOKUP($A1461,'13. Updated Demand'!A:Z,17,FALSE))</f>
        <v>0.05</v>
      </c>
      <c r="AA1461" s="16">
        <f>IF(ISERROR(VLOOKUP($A1461,'13. Updated Demand'!A:Z,18,FALSE)),0,VLOOKUP($A1461,'13. Updated Demand'!A:Z,18,FALSE))</f>
        <v>0.3</v>
      </c>
      <c r="AB1461" s="16">
        <f>IF(ISERROR(VLOOKUP($A1461,'13. Updated Demand'!A:Z,19,FALSE)),0,VLOOKUP($A1461,'13. Updated Demand'!A:Z,19,FALSE))</f>
        <v>0.76</v>
      </c>
      <c r="AC1461" s="16">
        <f>IF(ISERROR(VLOOKUP($A1461,'13. Updated Demand'!A:Z,20,FALSE)),0,VLOOKUP($A1461,'13. Updated Demand'!A:Z,20,FALSE))</f>
        <v>1.95</v>
      </c>
      <c r="AD1461" s="16">
        <f>IF(ISERROR(VLOOKUP($A1461,'13. Updated Demand'!A:Z,21,FALSE)),0,VLOOKUP($A1461,'13. Updated Demand'!A:Z,21,FALSE))</f>
        <v>2.14</v>
      </c>
      <c r="AE1461" s="16">
        <f>IF(ISERROR(VLOOKUP($A1461,'13. Updated Demand'!A:Z,22,FALSE)),0,VLOOKUP($A1461,'13. Updated Demand'!A:Z,22,FALSE))</f>
        <v>2.12</v>
      </c>
      <c r="AF1461" s="16">
        <f>IF(ISERROR(VLOOKUP($A1461,'13. Updated Demand'!A:Z,23,FALSE)),0,VLOOKUP($A1461,'13. Updated Demand'!A:Z,23,FALSE))</f>
        <v>1.71</v>
      </c>
      <c r="AG1461" s="16">
        <f>IF(ISERROR(VLOOKUP($A1461,'13. Updated Demand'!A:Z,24,FALSE)),0,VLOOKUP($A1461,'13. Updated Demand'!A:Z,24,FALSE))</f>
        <v>1.43</v>
      </c>
      <c r="AH1461" s="16">
        <f>IF(ISERROR(VLOOKUP($A1461,'13. Updated Demand'!A:Z,25,FALSE)),0,VLOOKUP($A1461,'13. Updated Demand'!A:Z,25,FALSE))</f>
        <v>0.24</v>
      </c>
      <c r="AI1461" s="16">
        <f>IF(ISERROR(VLOOKUP($A1461,'13. Updated Demand'!A:Z,26,FALSE)),0,VLOOKUP($A1461,'13. Updated Demand'!A:Z,26,FALSE))</f>
        <v>0.1</v>
      </c>
      <c r="AJ1461" s="16">
        <f t="shared" si="277"/>
        <v>10.969999999999999</v>
      </c>
      <c r="AK1461" s="19">
        <v>8.7036606589999987</v>
      </c>
      <c r="AL1461" s="16">
        <f t="shared" si="276"/>
        <v>2.8869050965785677E-2</v>
      </c>
      <c r="AM1461" s="26">
        <v>0.195414351753529</v>
      </c>
      <c r="AN1461" s="19">
        <v>56.5032</v>
      </c>
      <c r="AO1461" s="19" t="s">
        <v>1758</v>
      </c>
      <c r="AP1461" s="19">
        <v>0</v>
      </c>
      <c r="AQ1461" s="19" t="s">
        <v>307</v>
      </c>
      <c r="AR1461" s="9" t="s">
        <v>308</v>
      </c>
      <c r="AS1461" s="12">
        <v>0</v>
      </c>
      <c r="AT1461" s="19">
        <v>38.6342</v>
      </c>
      <c r="AU1461" s="19">
        <v>-122.6734</v>
      </c>
      <c r="AV1461" s="19" t="s">
        <v>1834</v>
      </c>
    </row>
    <row r="1462" spans="1:48" x14ac:dyDescent="0.25">
      <c r="A1462" s="18" t="s">
        <v>1835</v>
      </c>
      <c r="B1462" s="10">
        <v>18720101</v>
      </c>
      <c r="C1462" s="9">
        <v>11</v>
      </c>
      <c r="D1462" s="8" t="str">
        <f t="shared" si="267"/>
        <v>N</v>
      </c>
      <c r="E1462" s="8" t="str">
        <f t="shared" si="268"/>
        <v>Y</v>
      </c>
      <c r="F1462" s="8" t="str">
        <f t="shared" si="269"/>
        <v>Y</v>
      </c>
      <c r="G1462" s="8" t="str">
        <f t="shared" si="270"/>
        <v>Y</v>
      </c>
      <c r="H1462" s="8" t="str">
        <f t="shared" si="271"/>
        <v>Upper</v>
      </c>
      <c r="I1462" s="8" t="str">
        <f t="shared" si="272"/>
        <v>West Fork and Below Lake</v>
      </c>
      <c r="J1462" s="8" t="str">
        <f t="shared" si="273"/>
        <v>Sonoma (d/s of Clov. Gage)</v>
      </c>
      <c r="K1462" s="8" t="str">
        <f t="shared" si="274"/>
        <v>pre-1914</v>
      </c>
      <c r="L1462" s="8">
        <f t="shared" si="275"/>
        <v>1872</v>
      </c>
      <c r="M1462" s="8" t="s">
        <v>179</v>
      </c>
      <c r="N1462" s="10" t="s">
        <v>242</v>
      </c>
      <c r="O1462" s="10" t="s">
        <v>241</v>
      </c>
      <c r="P1462" s="10" t="s">
        <v>241</v>
      </c>
      <c r="Q1462" s="10" t="s">
        <v>242</v>
      </c>
      <c r="R1462" s="10" t="s">
        <v>242</v>
      </c>
      <c r="S1462" s="10" t="s">
        <v>242</v>
      </c>
      <c r="T1462" s="10" t="s">
        <v>242</v>
      </c>
      <c r="U1462" s="10" t="s">
        <v>242</v>
      </c>
      <c r="V1462" s="10" t="s">
        <v>242</v>
      </c>
      <c r="W1462" s="10" t="s">
        <v>242</v>
      </c>
      <c r="X1462" s="15">
        <f>IF(ISERROR(VLOOKUP($A1462,'13. Updated Demand'!A:Z,15,FALSE)),0,VLOOKUP($A1462,'13. Updated Demand'!A:Z,15,FALSE))</f>
        <v>4.5523330000000004E-3</v>
      </c>
      <c r="Y1462" s="16">
        <f>IF(ISERROR(VLOOKUP($A1462,'13. Updated Demand'!A:Z,16,FALSE)),0,VLOOKUP($A1462,'13. Updated Demand'!A:Z,16,FALSE))</f>
        <v>5.9433330000000003E-3</v>
      </c>
      <c r="Z1462" s="16">
        <f>IF(ISERROR(VLOOKUP($A1462,'13. Updated Demand'!A:Z,17,FALSE)),0,VLOOKUP($A1462,'13. Updated Demand'!A:Z,17,FALSE))</f>
        <v>5.9946670000000004E-3</v>
      </c>
      <c r="AA1462" s="16">
        <f>IF(ISERROR(VLOOKUP($A1462,'13. Updated Demand'!A:Z,18,FALSE)),0,VLOOKUP($A1462,'13. Updated Demand'!A:Z,18,FALSE))</f>
        <v>0.01</v>
      </c>
      <c r="AB1462" s="16">
        <f>IF(ISERROR(VLOOKUP($A1462,'13. Updated Demand'!A:Z,19,FALSE)),0,VLOOKUP($A1462,'13. Updated Demand'!A:Z,19,FALSE))</f>
        <v>0.06</v>
      </c>
      <c r="AC1462" s="16">
        <f>IF(ISERROR(VLOOKUP($A1462,'13. Updated Demand'!A:Z,20,FALSE)),0,VLOOKUP($A1462,'13. Updated Demand'!A:Z,20,FALSE))</f>
        <v>0.06</v>
      </c>
      <c r="AD1462" s="16">
        <f>IF(ISERROR(VLOOKUP($A1462,'13. Updated Demand'!A:Z,21,FALSE)),0,VLOOKUP($A1462,'13. Updated Demand'!A:Z,21,FALSE))</f>
        <v>0.08</v>
      </c>
      <c r="AE1462" s="16">
        <f>IF(ISERROR(VLOOKUP($A1462,'13. Updated Demand'!A:Z,22,FALSE)),0,VLOOKUP($A1462,'13. Updated Demand'!A:Z,22,FALSE))</f>
        <v>0.09</v>
      </c>
      <c r="AF1462" s="16">
        <f>IF(ISERROR(VLOOKUP($A1462,'13. Updated Demand'!A:Z,23,FALSE)),0,VLOOKUP($A1462,'13. Updated Demand'!A:Z,23,FALSE))</f>
        <v>0.08</v>
      </c>
      <c r="AG1462" s="16">
        <f>IF(ISERROR(VLOOKUP($A1462,'13. Updated Demand'!A:Z,24,FALSE)),0,VLOOKUP($A1462,'13. Updated Demand'!A:Z,24,FALSE))</f>
        <v>0.03</v>
      </c>
      <c r="AH1462" s="16">
        <f>IF(ISERROR(VLOOKUP($A1462,'13. Updated Demand'!A:Z,25,FALSE)),0,VLOOKUP($A1462,'13. Updated Demand'!A:Z,25,FALSE))</f>
        <v>0.03</v>
      </c>
      <c r="AI1462" s="16">
        <f>IF(ISERROR(VLOOKUP($A1462,'13. Updated Demand'!A:Z,26,FALSE)),0,VLOOKUP($A1462,'13. Updated Demand'!A:Z,26,FALSE))</f>
        <v>0.02</v>
      </c>
      <c r="AJ1462" s="16">
        <f t="shared" si="277"/>
        <v>0.47649033299999999</v>
      </c>
      <c r="AK1462" s="19">
        <v>0.382331333</v>
      </c>
      <c r="AL1462" s="16">
        <f t="shared" si="276"/>
        <v>1.268149479929509E-3</v>
      </c>
      <c r="AM1462" s="26">
        <v>8.8291931607413394E-3</v>
      </c>
      <c r="AN1462" s="19">
        <v>56.5032</v>
      </c>
      <c r="AO1462" s="19" t="s">
        <v>1758</v>
      </c>
      <c r="AP1462" s="19">
        <v>0</v>
      </c>
      <c r="AQ1462" s="19" t="s">
        <v>307</v>
      </c>
      <c r="AR1462" s="9" t="s">
        <v>308</v>
      </c>
      <c r="AS1462" s="12">
        <v>3.4039024194010059E-4</v>
      </c>
      <c r="AT1462" s="19">
        <v>38.643700000000003</v>
      </c>
      <c r="AU1462" s="19">
        <v>-122.6601</v>
      </c>
      <c r="AV1462" s="19" t="s">
        <v>1836</v>
      </c>
    </row>
    <row r="1463" spans="1:48" x14ac:dyDescent="0.25">
      <c r="A1463" s="18" t="s">
        <v>1837</v>
      </c>
      <c r="B1463" s="10">
        <v>18720101</v>
      </c>
      <c r="C1463" s="9">
        <v>6</v>
      </c>
      <c r="D1463" s="8" t="str">
        <f t="shared" si="267"/>
        <v>Y</v>
      </c>
      <c r="E1463" s="8" t="str">
        <f t="shared" si="268"/>
        <v>N</v>
      </c>
      <c r="F1463" s="8" t="str">
        <f t="shared" si="269"/>
        <v>Y</v>
      </c>
      <c r="G1463" s="8" t="str">
        <f t="shared" si="270"/>
        <v>Y</v>
      </c>
      <c r="H1463" s="8" t="str">
        <f t="shared" si="271"/>
        <v>Upper</v>
      </c>
      <c r="I1463" s="8" t="str">
        <f t="shared" si="272"/>
        <v>West Fork and Below Lake</v>
      </c>
      <c r="J1463" s="8" t="str">
        <f t="shared" si="273"/>
        <v>Mendocino (d/s of lake)</v>
      </c>
      <c r="K1463" s="8" t="str">
        <f t="shared" si="274"/>
        <v>pre-1914</v>
      </c>
      <c r="L1463" s="8">
        <f t="shared" si="275"/>
        <v>1872</v>
      </c>
      <c r="M1463" s="8" t="s">
        <v>179</v>
      </c>
      <c r="N1463" s="10" t="s">
        <v>242</v>
      </c>
      <c r="O1463" s="10" t="s">
        <v>241</v>
      </c>
      <c r="P1463" s="10" t="s">
        <v>241</v>
      </c>
      <c r="Q1463" s="10" t="s">
        <v>242</v>
      </c>
      <c r="R1463" s="10" t="s">
        <v>242</v>
      </c>
      <c r="S1463" s="10" t="s">
        <v>242</v>
      </c>
      <c r="T1463" s="10" t="s">
        <v>242</v>
      </c>
      <c r="U1463" s="10" t="s">
        <v>242</v>
      </c>
      <c r="V1463" s="10" t="s">
        <v>241</v>
      </c>
      <c r="W1463" s="10" t="s">
        <v>242</v>
      </c>
      <c r="X1463" s="15">
        <f>IF(ISERROR(VLOOKUP($A1463,'13. Updated Demand'!A:Z,15,FALSE)),0,VLOOKUP($A1463,'13. Updated Demand'!A:Z,15,FALSE))</f>
        <v>3.33</v>
      </c>
      <c r="Y1463" s="16">
        <f>IF(ISERROR(VLOOKUP($A1463,'13. Updated Demand'!A:Z,16,FALSE)),0,VLOOKUP($A1463,'13. Updated Demand'!A:Z,16,FALSE))</f>
        <v>0</v>
      </c>
      <c r="Z1463" s="16">
        <f>IF(ISERROR(VLOOKUP($A1463,'13. Updated Demand'!A:Z,17,FALSE)),0,VLOOKUP($A1463,'13. Updated Demand'!A:Z,17,FALSE))</f>
        <v>0</v>
      </c>
      <c r="AA1463" s="16">
        <f>IF(ISERROR(VLOOKUP($A1463,'13. Updated Demand'!A:Z,18,FALSE)),0,VLOOKUP($A1463,'13. Updated Demand'!A:Z,18,FALSE))</f>
        <v>0</v>
      </c>
      <c r="AB1463" s="16">
        <f>IF(ISERROR(VLOOKUP($A1463,'13. Updated Demand'!A:Z,19,FALSE)),0,VLOOKUP($A1463,'13. Updated Demand'!A:Z,19,FALSE))</f>
        <v>0</v>
      </c>
      <c r="AC1463" s="16">
        <f>IF(ISERROR(VLOOKUP($A1463,'13. Updated Demand'!A:Z,20,FALSE)),0,VLOOKUP($A1463,'13. Updated Demand'!A:Z,20,FALSE))</f>
        <v>0</v>
      </c>
      <c r="AD1463" s="16">
        <f>IF(ISERROR(VLOOKUP($A1463,'13. Updated Demand'!A:Z,21,FALSE)),0,VLOOKUP($A1463,'13. Updated Demand'!A:Z,21,FALSE))</f>
        <v>0</v>
      </c>
      <c r="AE1463" s="16">
        <f>IF(ISERROR(VLOOKUP($A1463,'13. Updated Demand'!A:Z,22,FALSE)),0,VLOOKUP($A1463,'13. Updated Demand'!A:Z,22,FALSE))</f>
        <v>0</v>
      </c>
      <c r="AF1463" s="16">
        <f>IF(ISERROR(VLOOKUP($A1463,'13. Updated Demand'!A:Z,23,FALSE)),0,VLOOKUP($A1463,'13. Updated Demand'!A:Z,23,FALSE))</f>
        <v>0</v>
      </c>
      <c r="AG1463" s="16">
        <f>IF(ISERROR(VLOOKUP($A1463,'13. Updated Demand'!A:Z,24,FALSE)),0,VLOOKUP($A1463,'13. Updated Demand'!A:Z,24,FALSE))</f>
        <v>0</v>
      </c>
      <c r="AH1463" s="16">
        <f>IF(ISERROR(VLOOKUP($A1463,'13. Updated Demand'!A:Z,25,FALSE)),0,VLOOKUP($A1463,'13. Updated Demand'!A:Z,25,FALSE))</f>
        <v>0</v>
      </c>
      <c r="AI1463" s="16">
        <f>IF(ISERROR(VLOOKUP($A1463,'13. Updated Demand'!A:Z,26,FALSE)),0,VLOOKUP($A1463,'13. Updated Demand'!A:Z,26,FALSE))</f>
        <v>13.53</v>
      </c>
      <c r="AJ1463" s="16">
        <f t="shared" si="277"/>
        <v>16.86</v>
      </c>
      <c r="AK1463" s="19">
        <v>0</v>
      </c>
      <c r="AL1463" s="16">
        <f t="shared" si="276"/>
        <v>0</v>
      </c>
      <c r="AM1463" s="26">
        <v>0</v>
      </c>
      <c r="AN1463" s="19">
        <v>0</v>
      </c>
      <c r="AO1463" s="19" t="s">
        <v>1758</v>
      </c>
      <c r="AP1463" s="19">
        <v>0</v>
      </c>
      <c r="AQ1463" s="19" t="s">
        <v>307</v>
      </c>
      <c r="AR1463" s="9" t="s">
        <v>319</v>
      </c>
      <c r="AS1463" s="12">
        <v>0</v>
      </c>
      <c r="AT1463" s="19">
        <v>38.871200000000002</v>
      </c>
      <c r="AU1463" s="19">
        <v>-122.8914</v>
      </c>
      <c r="AV1463" s="19" t="s">
        <v>438</v>
      </c>
    </row>
    <row r="1464" spans="1:48" x14ac:dyDescent="0.25">
      <c r="A1464" s="18" t="s">
        <v>1838</v>
      </c>
      <c r="B1464" s="10">
        <v>18700101</v>
      </c>
      <c r="C1464" s="9">
        <v>16</v>
      </c>
      <c r="D1464" s="8" t="str">
        <f t="shared" si="267"/>
        <v>N</v>
      </c>
      <c r="E1464" s="8" t="str">
        <f t="shared" si="268"/>
        <v>N</v>
      </c>
      <c r="F1464" s="8" t="str">
        <f t="shared" si="269"/>
        <v>N</v>
      </c>
      <c r="G1464" s="8" t="str">
        <f t="shared" si="270"/>
        <v>N</v>
      </c>
      <c r="H1464" s="8" t="str">
        <f t="shared" si="271"/>
        <v>Lower</v>
      </c>
      <c r="I1464" s="8" t="str">
        <f t="shared" si="272"/>
        <v>Outside</v>
      </c>
      <c r="J1464" s="8" t="str">
        <f t="shared" si="273"/>
        <v>Outside</v>
      </c>
      <c r="K1464" s="8" t="str">
        <f t="shared" si="274"/>
        <v>pre-1914</v>
      </c>
      <c r="L1464" s="8">
        <f t="shared" si="275"/>
        <v>1870</v>
      </c>
      <c r="M1464" s="8" t="s">
        <v>179</v>
      </c>
      <c r="N1464" s="10" t="s">
        <v>242</v>
      </c>
      <c r="O1464" s="10" t="s">
        <v>242</v>
      </c>
      <c r="P1464" s="10" t="s">
        <v>241</v>
      </c>
      <c r="Q1464" s="10" t="s">
        <v>242</v>
      </c>
      <c r="R1464" s="10" t="s">
        <v>242</v>
      </c>
      <c r="S1464" s="10" t="s">
        <v>242</v>
      </c>
      <c r="T1464" s="10" t="s">
        <v>241</v>
      </c>
      <c r="U1464" s="10" t="s">
        <v>241</v>
      </c>
      <c r="V1464" s="10" t="s">
        <v>241</v>
      </c>
      <c r="W1464" s="10" t="s">
        <v>242</v>
      </c>
      <c r="X1464" s="15">
        <f>IF(ISERROR(VLOOKUP($A1464,'13. Updated Demand'!A:Z,15,FALSE)),0,VLOOKUP($A1464,'13. Updated Demand'!A:Z,15,FALSE))</f>
        <v>0</v>
      </c>
      <c r="Y1464" s="16">
        <f>IF(ISERROR(VLOOKUP($A1464,'13. Updated Demand'!A:Z,16,FALSE)),0,VLOOKUP($A1464,'13. Updated Demand'!A:Z,16,FALSE))</f>
        <v>0</v>
      </c>
      <c r="Z1464" s="16">
        <f>IF(ISERROR(VLOOKUP($A1464,'13. Updated Demand'!A:Z,17,FALSE)),0,VLOOKUP($A1464,'13. Updated Demand'!A:Z,17,FALSE))</f>
        <v>0</v>
      </c>
      <c r="AA1464" s="16">
        <f>IF(ISERROR(VLOOKUP($A1464,'13. Updated Demand'!A:Z,18,FALSE)),0,VLOOKUP($A1464,'13. Updated Demand'!A:Z,18,FALSE))</f>
        <v>0</v>
      </c>
      <c r="AB1464" s="16">
        <f>IF(ISERROR(VLOOKUP($A1464,'13. Updated Demand'!A:Z,19,FALSE)),0,VLOOKUP($A1464,'13. Updated Demand'!A:Z,19,FALSE))</f>
        <v>0</v>
      </c>
      <c r="AC1464" s="16">
        <f>IF(ISERROR(VLOOKUP($A1464,'13. Updated Demand'!A:Z,20,FALSE)),0,VLOOKUP($A1464,'13. Updated Demand'!A:Z,20,FALSE))</f>
        <v>0</v>
      </c>
      <c r="AD1464" s="16">
        <f>IF(ISERROR(VLOOKUP($A1464,'13. Updated Demand'!A:Z,21,FALSE)),0,VLOOKUP($A1464,'13. Updated Demand'!A:Z,21,FALSE))</f>
        <v>0</v>
      </c>
      <c r="AE1464" s="16">
        <f>IF(ISERROR(VLOOKUP($A1464,'13. Updated Demand'!A:Z,22,FALSE)),0,VLOOKUP($A1464,'13. Updated Demand'!A:Z,22,FALSE))</f>
        <v>0</v>
      </c>
      <c r="AF1464" s="16">
        <f>IF(ISERROR(VLOOKUP($A1464,'13. Updated Demand'!A:Z,23,FALSE)),0,VLOOKUP($A1464,'13. Updated Demand'!A:Z,23,FALSE))</f>
        <v>0</v>
      </c>
      <c r="AG1464" s="16">
        <f>IF(ISERROR(VLOOKUP($A1464,'13. Updated Demand'!A:Z,24,FALSE)),0,VLOOKUP($A1464,'13. Updated Demand'!A:Z,24,FALSE))</f>
        <v>0</v>
      </c>
      <c r="AH1464" s="16">
        <f>IF(ISERROR(VLOOKUP($A1464,'13. Updated Demand'!A:Z,25,FALSE)),0,VLOOKUP($A1464,'13. Updated Demand'!A:Z,25,FALSE))</f>
        <v>0</v>
      </c>
      <c r="AI1464" s="16">
        <f>IF(ISERROR(VLOOKUP($A1464,'13. Updated Demand'!A:Z,26,FALSE)),0,VLOOKUP($A1464,'13. Updated Demand'!A:Z,26,FALSE))</f>
        <v>0</v>
      </c>
      <c r="AJ1464" s="16">
        <f t="shared" si="277"/>
        <v>0</v>
      </c>
      <c r="AK1464" s="19">
        <v>0</v>
      </c>
      <c r="AL1464" s="16">
        <f t="shared" si="276"/>
        <v>0</v>
      </c>
      <c r="AM1464" s="26">
        <v>0</v>
      </c>
      <c r="AN1464" s="19">
        <v>0.28000000000000003</v>
      </c>
      <c r="AO1464" s="19" t="s">
        <v>1758</v>
      </c>
      <c r="AP1464" s="19">
        <v>0</v>
      </c>
      <c r="AQ1464" s="19" t="s">
        <v>307</v>
      </c>
      <c r="AR1464" s="9" t="s">
        <v>394</v>
      </c>
      <c r="AS1464" s="12">
        <v>3.4039024194010059E-4</v>
      </c>
      <c r="AT1464" s="19">
        <v>38.595529519999999</v>
      </c>
      <c r="AU1464" s="19">
        <v>-122.90696635</v>
      </c>
      <c r="AV1464" s="19" t="s">
        <v>406</v>
      </c>
    </row>
    <row r="1465" spans="1:48" x14ac:dyDescent="0.25">
      <c r="A1465" s="18" t="s">
        <v>1839</v>
      </c>
      <c r="B1465" s="10">
        <v>18700101</v>
      </c>
      <c r="C1465" s="9">
        <v>4</v>
      </c>
      <c r="D1465" s="8" t="str">
        <f t="shared" si="267"/>
        <v>Y</v>
      </c>
      <c r="E1465" s="8" t="str">
        <f t="shared" si="268"/>
        <v>N</v>
      </c>
      <c r="F1465" s="8" t="str">
        <f t="shared" si="269"/>
        <v>Y</v>
      </c>
      <c r="G1465" s="8" t="str">
        <f t="shared" si="270"/>
        <v>Y</v>
      </c>
      <c r="H1465" s="8" t="str">
        <f t="shared" si="271"/>
        <v>Upper</v>
      </c>
      <c r="I1465" s="8" t="str">
        <f t="shared" si="272"/>
        <v>West Fork and Below Lake</v>
      </c>
      <c r="J1465" s="8" t="str">
        <f t="shared" si="273"/>
        <v>Mendocino (d/s of lake)</v>
      </c>
      <c r="K1465" s="8" t="str">
        <f t="shared" si="274"/>
        <v>pre-1914</v>
      </c>
      <c r="L1465" s="8">
        <f t="shared" si="275"/>
        <v>1870</v>
      </c>
      <c r="M1465" s="8" t="s">
        <v>179</v>
      </c>
      <c r="N1465" s="10" t="s">
        <v>241</v>
      </c>
      <c r="O1465" s="10" t="s">
        <v>241</v>
      </c>
      <c r="P1465" s="10" t="s">
        <v>241</v>
      </c>
      <c r="Q1465" s="10" t="s">
        <v>242</v>
      </c>
      <c r="R1465" s="10" t="s">
        <v>242</v>
      </c>
      <c r="S1465" s="10" t="s">
        <v>242</v>
      </c>
      <c r="T1465" s="10" t="s">
        <v>242</v>
      </c>
      <c r="U1465" s="10" t="s">
        <v>241</v>
      </c>
      <c r="V1465" s="10" t="s">
        <v>241</v>
      </c>
      <c r="W1465" s="10" t="s">
        <v>242</v>
      </c>
      <c r="X1465" s="15">
        <f>IF(ISERROR(VLOOKUP($A1465,'13. Updated Demand'!A:Z,15,FALSE)),0,VLOOKUP($A1465,'13. Updated Demand'!A:Z,15,FALSE))</f>
        <v>0</v>
      </c>
      <c r="Y1465" s="16">
        <f>IF(ISERROR(VLOOKUP($A1465,'13. Updated Demand'!A:Z,16,FALSE)),0,VLOOKUP($A1465,'13. Updated Demand'!A:Z,16,FALSE))</f>
        <v>0</v>
      </c>
      <c r="Z1465" s="16">
        <f>IF(ISERROR(VLOOKUP($A1465,'13. Updated Demand'!A:Z,17,FALSE)),0,VLOOKUP($A1465,'13. Updated Demand'!A:Z,17,FALSE))</f>
        <v>0</v>
      </c>
      <c r="AA1465" s="16">
        <f>IF(ISERROR(VLOOKUP($A1465,'13. Updated Demand'!A:Z,18,FALSE)),0,VLOOKUP($A1465,'13. Updated Demand'!A:Z,18,FALSE))</f>
        <v>0</v>
      </c>
      <c r="AB1465" s="16">
        <f>IF(ISERROR(VLOOKUP($A1465,'13. Updated Demand'!A:Z,19,FALSE)),0,VLOOKUP($A1465,'13. Updated Demand'!A:Z,19,FALSE))</f>
        <v>0</v>
      </c>
      <c r="AC1465" s="16">
        <f>IF(ISERROR(VLOOKUP($A1465,'13. Updated Demand'!A:Z,20,FALSE)),0,VLOOKUP($A1465,'13. Updated Demand'!A:Z,20,FALSE))</f>
        <v>0</v>
      </c>
      <c r="AD1465" s="16">
        <f>IF(ISERROR(VLOOKUP($A1465,'13. Updated Demand'!A:Z,21,FALSE)),0,VLOOKUP($A1465,'13. Updated Demand'!A:Z,21,FALSE))</f>
        <v>0</v>
      </c>
      <c r="AE1465" s="16">
        <f>IF(ISERROR(VLOOKUP($A1465,'13. Updated Demand'!A:Z,22,FALSE)),0,VLOOKUP($A1465,'13. Updated Demand'!A:Z,22,FALSE))</f>
        <v>0</v>
      </c>
      <c r="AF1465" s="16">
        <f>IF(ISERROR(VLOOKUP($A1465,'13. Updated Demand'!A:Z,23,FALSE)),0,VLOOKUP($A1465,'13. Updated Demand'!A:Z,23,FALSE))</f>
        <v>0</v>
      </c>
      <c r="AG1465" s="16">
        <f>IF(ISERROR(VLOOKUP($A1465,'13. Updated Demand'!A:Z,24,FALSE)),0,VLOOKUP($A1465,'13. Updated Demand'!A:Z,24,FALSE))</f>
        <v>0</v>
      </c>
      <c r="AH1465" s="16">
        <f>IF(ISERROR(VLOOKUP($A1465,'13. Updated Demand'!A:Z,25,FALSE)),0,VLOOKUP($A1465,'13. Updated Demand'!A:Z,25,FALSE))</f>
        <v>0</v>
      </c>
      <c r="AI1465" s="16">
        <f>IF(ISERROR(VLOOKUP($A1465,'13. Updated Demand'!A:Z,26,FALSE)),0,VLOOKUP($A1465,'13. Updated Demand'!A:Z,26,FALSE))</f>
        <v>0</v>
      </c>
      <c r="AJ1465" s="16">
        <f t="shared" si="277"/>
        <v>0</v>
      </c>
      <c r="AK1465" s="19">
        <v>0</v>
      </c>
      <c r="AL1465" s="16">
        <f t="shared" si="276"/>
        <v>0</v>
      </c>
      <c r="AM1465" s="26">
        <v>0</v>
      </c>
      <c r="AN1465" s="19">
        <v>644.71600000000001</v>
      </c>
      <c r="AO1465" s="19" t="s">
        <v>1758</v>
      </c>
      <c r="AP1465" s="19">
        <v>0</v>
      </c>
      <c r="AQ1465" s="19" t="s">
        <v>307</v>
      </c>
      <c r="AR1465" s="9" t="s">
        <v>331</v>
      </c>
      <c r="AS1465" s="12">
        <v>0</v>
      </c>
      <c r="AT1465" s="19">
        <v>39.115325919999997</v>
      </c>
      <c r="AU1465" s="19">
        <v>-123.18415029000001</v>
      </c>
      <c r="AV1465" s="19" t="s">
        <v>387</v>
      </c>
    </row>
    <row r="1466" spans="1:48" x14ac:dyDescent="0.25">
      <c r="A1466" s="18" t="s">
        <v>1840</v>
      </c>
      <c r="B1466" s="10">
        <v>18690101</v>
      </c>
      <c r="C1466" s="9">
        <v>12</v>
      </c>
      <c r="D1466" s="8" t="str">
        <f t="shared" si="267"/>
        <v>N</v>
      </c>
      <c r="E1466" s="8" t="str">
        <f t="shared" si="268"/>
        <v>Y</v>
      </c>
      <c r="F1466" s="8" t="str">
        <f t="shared" si="269"/>
        <v>Y</v>
      </c>
      <c r="G1466" s="8" t="str">
        <f t="shared" si="270"/>
        <v>Y</v>
      </c>
      <c r="H1466" s="8" t="str">
        <f t="shared" si="271"/>
        <v>Upper</v>
      </c>
      <c r="I1466" s="8" t="str">
        <f t="shared" si="272"/>
        <v>West Fork and Below Lake</v>
      </c>
      <c r="J1466" s="8" t="str">
        <f t="shared" si="273"/>
        <v>Sonoma (d/s of Clov. Gage)</v>
      </c>
      <c r="K1466" s="8" t="str">
        <f t="shared" si="274"/>
        <v>pre-1914</v>
      </c>
      <c r="L1466" s="8">
        <f t="shared" si="275"/>
        <v>1869</v>
      </c>
      <c r="M1466" s="8" t="s">
        <v>179</v>
      </c>
      <c r="N1466" s="10" t="s">
        <v>241</v>
      </c>
      <c r="O1466" s="10" t="s">
        <v>241</v>
      </c>
      <c r="P1466" s="10" t="s">
        <v>241</v>
      </c>
      <c r="Q1466" s="10" t="s">
        <v>242</v>
      </c>
      <c r="R1466" s="10" t="s">
        <v>242</v>
      </c>
      <c r="S1466" s="10" t="s">
        <v>242</v>
      </c>
      <c r="T1466" s="10" t="s">
        <v>242</v>
      </c>
      <c r="U1466" s="10" t="s">
        <v>242</v>
      </c>
      <c r="V1466" s="10" t="s">
        <v>242</v>
      </c>
      <c r="W1466" s="10" t="s">
        <v>242</v>
      </c>
      <c r="X1466" s="15">
        <f>IF(ISERROR(VLOOKUP($A1466,'13. Updated Demand'!A:Z,15,FALSE)),0,VLOOKUP($A1466,'13. Updated Demand'!A:Z,15,FALSE))</f>
        <v>0.63</v>
      </c>
      <c r="Y1466" s="16">
        <f>IF(ISERROR(VLOOKUP($A1466,'13. Updated Demand'!A:Z,16,FALSE)),0,VLOOKUP($A1466,'13. Updated Demand'!A:Z,16,FALSE))</f>
        <v>1.1499999999999999</v>
      </c>
      <c r="Z1466" s="16">
        <f>IF(ISERROR(VLOOKUP($A1466,'13. Updated Demand'!A:Z,17,FALSE)),0,VLOOKUP($A1466,'13. Updated Demand'!A:Z,17,FALSE))</f>
        <v>0.8</v>
      </c>
      <c r="AA1466" s="16">
        <f>IF(ISERROR(VLOOKUP($A1466,'13. Updated Demand'!A:Z,18,FALSE)),0,VLOOKUP($A1466,'13. Updated Demand'!A:Z,18,FALSE))</f>
        <v>1.58</v>
      </c>
      <c r="AB1466" s="16">
        <f>IF(ISERROR(VLOOKUP($A1466,'13. Updated Demand'!A:Z,19,FALSE)),0,VLOOKUP($A1466,'13. Updated Demand'!A:Z,19,FALSE))</f>
        <v>3.43</v>
      </c>
      <c r="AC1466" s="16">
        <f>IF(ISERROR(VLOOKUP($A1466,'13. Updated Demand'!A:Z,20,FALSE)),0,VLOOKUP($A1466,'13. Updated Demand'!A:Z,20,FALSE))</f>
        <v>3.69</v>
      </c>
      <c r="AD1466" s="16">
        <f>IF(ISERROR(VLOOKUP($A1466,'13. Updated Demand'!A:Z,21,FALSE)),0,VLOOKUP($A1466,'13. Updated Demand'!A:Z,21,FALSE))</f>
        <v>4.4000000000000004</v>
      </c>
      <c r="AE1466" s="16">
        <f>IF(ISERROR(VLOOKUP($A1466,'13. Updated Demand'!A:Z,22,FALSE)),0,VLOOKUP($A1466,'13. Updated Demand'!A:Z,22,FALSE))</f>
        <v>4.32</v>
      </c>
      <c r="AF1466" s="16">
        <f>IF(ISERROR(VLOOKUP($A1466,'13. Updated Demand'!A:Z,23,FALSE)),0,VLOOKUP($A1466,'13. Updated Demand'!A:Z,23,FALSE))</f>
        <v>3.95</v>
      </c>
      <c r="AG1466" s="16">
        <f>IF(ISERROR(VLOOKUP($A1466,'13. Updated Demand'!A:Z,24,FALSE)),0,VLOOKUP($A1466,'13. Updated Demand'!A:Z,24,FALSE))</f>
        <v>2.83</v>
      </c>
      <c r="AH1466" s="16">
        <f>IF(ISERROR(VLOOKUP($A1466,'13. Updated Demand'!A:Z,25,FALSE)),0,VLOOKUP($A1466,'13. Updated Demand'!A:Z,25,FALSE))</f>
        <v>1.92</v>
      </c>
      <c r="AI1466" s="16">
        <f>IF(ISERROR(VLOOKUP($A1466,'13. Updated Demand'!A:Z,26,FALSE)),0,VLOOKUP($A1466,'13. Updated Demand'!A:Z,26,FALSE))</f>
        <v>0.84</v>
      </c>
      <c r="AJ1466" s="16">
        <f t="shared" si="277"/>
        <v>29.540000000000003</v>
      </c>
      <c r="AK1466" s="19">
        <v>19.80600033333333</v>
      </c>
      <c r="AL1466" s="16">
        <f t="shared" si="276"/>
        <v>6.5694246990215532E-2</v>
      </c>
      <c r="AM1466" s="26">
        <v>0</v>
      </c>
      <c r="AN1466" s="19">
        <v>0</v>
      </c>
      <c r="AO1466" s="19" t="s">
        <v>1758</v>
      </c>
      <c r="AP1466" s="19">
        <v>0</v>
      </c>
      <c r="AQ1466" s="19" t="s">
        <v>307</v>
      </c>
      <c r="AR1466" s="9" t="s">
        <v>311</v>
      </c>
      <c r="AS1466" s="12">
        <v>3.4039024194010059E-4</v>
      </c>
      <c r="AT1466" s="19">
        <v>38.645728859999998</v>
      </c>
      <c r="AU1466" s="19">
        <v>-122.80220731999999</v>
      </c>
      <c r="AV1466" s="19" t="s">
        <v>387</v>
      </c>
    </row>
    <row r="1467" spans="1:48" x14ac:dyDescent="0.25">
      <c r="A1467" s="18" t="s">
        <v>1841</v>
      </c>
      <c r="B1467" s="10">
        <v>18690101</v>
      </c>
      <c r="C1467" s="9">
        <v>17</v>
      </c>
      <c r="D1467" s="8" t="str">
        <f t="shared" si="267"/>
        <v>N</v>
      </c>
      <c r="E1467" s="8" t="str">
        <f t="shared" si="268"/>
        <v>N</v>
      </c>
      <c r="F1467" s="8" t="str">
        <f t="shared" si="269"/>
        <v>N</v>
      </c>
      <c r="G1467" s="8" t="str">
        <f t="shared" si="270"/>
        <v>N</v>
      </c>
      <c r="H1467" s="8" t="str">
        <f t="shared" si="271"/>
        <v>Lower</v>
      </c>
      <c r="I1467" s="8" t="str">
        <f t="shared" si="272"/>
        <v>Outside</v>
      </c>
      <c r="J1467" s="8" t="str">
        <f t="shared" si="273"/>
        <v>Outside</v>
      </c>
      <c r="K1467" s="8" t="str">
        <f t="shared" si="274"/>
        <v>pre-1914</v>
      </c>
      <c r="L1467" s="8">
        <f t="shared" si="275"/>
        <v>1869</v>
      </c>
      <c r="M1467" s="8" t="s">
        <v>179</v>
      </c>
      <c r="N1467" s="10" t="s">
        <v>241</v>
      </c>
      <c r="O1467" s="10" t="s">
        <v>242</v>
      </c>
      <c r="P1467" s="10" t="s">
        <v>241</v>
      </c>
      <c r="Q1467" s="10" t="s">
        <v>242</v>
      </c>
      <c r="R1467" s="10" t="s">
        <v>242</v>
      </c>
      <c r="S1467" s="10" t="s">
        <v>242</v>
      </c>
      <c r="T1467" s="10" t="s">
        <v>242</v>
      </c>
      <c r="U1467" s="10" t="s">
        <v>242</v>
      </c>
      <c r="V1467" s="10" t="s">
        <v>242</v>
      </c>
      <c r="W1467" s="10" t="s">
        <v>242</v>
      </c>
      <c r="X1467" s="15">
        <f>IF(ISERROR(VLOOKUP($A1467,'13. Updated Demand'!A:Z,15,FALSE)),0,VLOOKUP($A1467,'13. Updated Demand'!A:Z,15,FALSE))</f>
        <v>0</v>
      </c>
      <c r="Y1467" s="16">
        <f>IF(ISERROR(VLOOKUP($A1467,'13. Updated Demand'!A:Z,16,FALSE)),0,VLOOKUP($A1467,'13. Updated Demand'!A:Z,16,FALSE))</f>
        <v>0</v>
      </c>
      <c r="Z1467" s="16">
        <f>IF(ISERROR(VLOOKUP($A1467,'13. Updated Demand'!A:Z,17,FALSE)),0,VLOOKUP($A1467,'13. Updated Demand'!A:Z,17,FALSE))</f>
        <v>0</v>
      </c>
      <c r="AA1467" s="16">
        <f>IF(ISERROR(VLOOKUP($A1467,'13. Updated Demand'!A:Z,18,FALSE)),0,VLOOKUP($A1467,'13. Updated Demand'!A:Z,18,FALSE))</f>
        <v>0</v>
      </c>
      <c r="AB1467" s="16">
        <f>IF(ISERROR(VLOOKUP($A1467,'13. Updated Demand'!A:Z,19,FALSE)),0,VLOOKUP($A1467,'13. Updated Demand'!A:Z,19,FALSE))</f>
        <v>6.6666670000000003E-3</v>
      </c>
      <c r="AC1467" s="16">
        <f>IF(ISERROR(VLOOKUP($A1467,'13. Updated Demand'!A:Z,20,FALSE)),0,VLOOKUP($A1467,'13. Updated Demand'!A:Z,20,FALSE))</f>
        <v>0.16</v>
      </c>
      <c r="AD1467" s="16">
        <f>IF(ISERROR(VLOOKUP($A1467,'13. Updated Demand'!A:Z,21,FALSE)),0,VLOOKUP($A1467,'13. Updated Demand'!A:Z,21,FALSE))</f>
        <v>0.35</v>
      </c>
      <c r="AE1467" s="16">
        <f>IF(ISERROR(VLOOKUP($A1467,'13. Updated Demand'!A:Z,22,FALSE)),0,VLOOKUP($A1467,'13. Updated Demand'!A:Z,22,FALSE))</f>
        <v>0.486666667</v>
      </c>
      <c r="AF1467" s="16">
        <f>IF(ISERROR(VLOOKUP($A1467,'13. Updated Demand'!A:Z,23,FALSE)),0,VLOOKUP($A1467,'13. Updated Demand'!A:Z,23,FALSE))</f>
        <v>0.42</v>
      </c>
      <c r="AG1467" s="16">
        <f>IF(ISERROR(VLOOKUP($A1467,'13. Updated Demand'!A:Z,24,FALSE)),0,VLOOKUP($A1467,'13. Updated Demand'!A:Z,24,FALSE))</f>
        <v>0.54333333299999997</v>
      </c>
      <c r="AH1467" s="16">
        <f>IF(ISERROR(VLOOKUP($A1467,'13. Updated Demand'!A:Z,25,FALSE)),0,VLOOKUP($A1467,'13. Updated Demand'!A:Z,25,FALSE))</f>
        <v>0.15333333299999999</v>
      </c>
      <c r="AI1467" s="16">
        <f>IF(ISERROR(VLOOKUP($A1467,'13. Updated Demand'!A:Z,26,FALSE)),0,VLOOKUP($A1467,'13. Updated Demand'!A:Z,26,FALSE))</f>
        <v>0</v>
      </c>
      <c r="AJ1467" s="16">
        <f t="shared" si="277"/>
        <v>2.1199999999999997</v>
      </c>
      <c r="AK1467" s="19">
        <v>1.4233333339999998</v>
      </c>
      <c r="AL1467" s="16">
        <f t="shared" si="276"/>
        <v>4.7210345359751981E-3</v>
      </c>
      <c r="AM1467" s="26">
        <v>0.15588235294117644</v>
      </c>
      <c r="AN1467" s="19">
        <v>13.6</v>
      </c>
      <c r="AO1467" s="19" t="s">
        <v>1758</v>
      </c>
      <c r="AP1467" s="19">
        <v>0</v>
      </c>
      <c r="AQ1467" s="19" t="s">
        <v>307</v>
      </c>
      <c r="AR1467" s="9" t="s">
        <v>486</v>
      </c>
      <c r="AS1467" s="12">
        <v>0</v>
      </c>
      <c r="AT1467" s="19">
        <v>38.523363660000001</v>
      </c>
      <c r="AU1467" s="19">
        <v>-122.86375321</v>
      </c>
      <c r="AV1467" s="19" t="s">
        <v>548</v>
      </c>
    </row>
    <row r="1468" spans="1:48" x14ac:dyDescent="0.25">
      <c r="A1468" s="18" t="s">
        <v>1842</v>
      </c>
      <c r="B1468" s="10">
        <v>18600101</v>
      </c>
      <c r="C1468" s="9">
        <v>17</v>
      </c>
      <c r="D1468" s="8" t="str">
        <f t="shared" si="267"/>
        <v>N</v>
      </c>
      <c r="E1468" s="8" t="str">
        <f t="shared" si="268"/>
        <v>N</v>
      </c>
      <c r="F1468" s="8" t="str">
        <f t="shared" si="269"/>
        <v>N</v>
      </c>
      <c r="G1468" s="8" t="str">
        <f t="shared" si="270"/>
        <v>N</v>
      </c>
      <c r="H1468" s="8" t="str">
        <f t="shared" si="271"/>
        <v>Lower</v>
      </c>
      <c r="I1468" s="8" t="str">
        <f t="shared" si="272"/>
        <v>Outside</v>
      </c>
      <c r="J1468" s="8" t="str">
        <f t="shared" si="273"/>
        <v>Outside</v>
      </c>
      <c r="K1468" s="8" t="str">
        <f t="shared" si="274"/>
        <v>pre-1914</v>
      </c>
      <c r="L1468" s="8">
        <f t="shared" si="275"/>
        <v>1860</v>
      </c>
      <c r="M1468" s="8" t="s">
        <v>179</v>
      </c>
      <c r="N1468" s="10" t="s">
        <v>241</v>
      </c>
      <c r="O1468" s="10" t="s">
        <v>242</v>
      </c>
      <c r="P1468" s="10" t="s">
        <v>241</v>
      </c>
      <c r="Q1468" s="10" t="s">
        <v>242</v>
      </c>
      <c r="R1468" s="10" t="s">
        <v>242</v>
      </c>
      <c r="S1468" s="10" t="s">
        <v>242</v>
      </c>
      <c r="T1468" s="10" t="s">
        <v>242</v>
      </c>
      <c r="U1468" s="10" t="s">
        <v>241</v>
      </c>
      <c r="V1468" s="10" t="s">
        <v>241</v>
      </c>
      <c r="W1468" s="10" t="s">
        <v>242</v>
      </c>
      <c r="X1468" s="15">
        <f>IF(ISERROR(VLOOKUP($A1468,'13. Updated Demand'!A:Z,15,FALSE)),0,VLOOKUP($A1468,'13. Updated Demand'!A:Z,15,FALSE))</f>
        <v>0</v>
      </c>
      <c r="Y1468" s="16">
        <f>IF(ISERROR(VLOOKUP($A1468,'13. Updated Demand'!A:Z,16,FALSE)),0,VLOOKUP($A1468,'13. Updated Demand'!A:Z,16,FALSE))</f>
        <v>0</v>
      </c>
      <c r="Z1468" s="16">
        <f>IF(ISERROR(VLOOKUP($A1468,'13. Updated Demand'!A:Z,17,FALSE)),0,VLOOKUP($A1468,'13. Updated Demand'!A:Z,17,FALSE))</f>
        <v>0</v>
      </c>
      <c r="AA1468" s="16">
        <f>IF(ISERROR(VLOOKUP($A1468,'13. Updated Demand'!A:Z,18,FALSE)),0,VLOOKUP($A1468,'13. Updated Demand'!A:Z,18,FALSE))</f>
        <v>0</v>
      </c>
      <c r="AB1468" s="16">
        <f>IF(ISERROR(VLOOKUP($A1468,'13. Updated Demand'!A:Z,19,FALSE)),0,VLOOKUP($A1468,'13. Updated Demand'!A:Z,19,FALSE))</f>
        <v>0</v>
      </c>
      <c r="AC1468" s="16">
        <f>IF(ISERROR(VLOOKUP($A1468,'13. Updated Demand'!A:Z,20,FALSE)),0,VLOOKUP($A1468,'13. Updated Demand'!A:Z,20,FALSE))</f>
        <v>0</v>
      </c>
      <c r="AD1468" s="16">
        <f>IF(ISERROR(VLOOKUP($A1468,'13. Updated Demand'!A:Z,21,FALSE)),0,VLOOKUP($A1468,'13. Updated Demand'!A:Z,21,FALSE))</f>
        <v>0</v>
      </c>
      <c r="AE1468" s="16">
        <f>IF(ISERROR(VLOOKUP($A1468,'13. Updated Demand'!A:Z,22,FALSE)),0,VLOOKUP($A1468,'13. Updated Demand'!A:Z,22,FALSE))</f>
        <v>0</v>
      </c>
      <c r="AF1468" s="16">
        <f>IF(ISERROR(VLOOKUP($A1468,'13. Updated Demand'!A:Z,23,FALSE)),0,VLOOKUP($A1468,'13. Updated Demand'!A:Z,23,FALSE))</f>
        <v>0</v>
      </c>
      <c r="AG1468" s="16">
        <f>IF(ISERROR(VLOOKUP($A1468,'13. Updated Demand'!A:Z,24,FALSE)),0,VLOOKUP($A1468,'13. Updated Demand'!A:Z,24,FALSE))</f>
        <v>0</v>
      </c>
      <c r="AH1468" s="16">
        <f>IF(ISERROR(VLOOKUP($A1468,'13. Updated Demand'!A:Z,25,FALSE)),0,VLOOKUP($A1468,'13. Updated Demand'!A:Z,25,FALSE))</f>
        <v>0</v>
      </c>
      <c r="AI1468" s="16">
        <f>IF(ISERROR(VLOOKUP($A1468,'13. Updated Demand'!A:Z,26,FALSE)),0,VLOOKUP($A1468,'13. Updated Demand'!A:Z,26,FALSE))</f>
        <v>0</v>
      </c>
      <c r="AJ1468" s="16">
        <f t="shared" si="277"/>
        <v>0</v>
      </c>
      <c r="AK1468" s="19">
        <v>0</v>
      </c>
      <c r="AL1468" s="16">
        <f t="shared" si="276"/>
        <v>0</v>
      </c>
      <c r="AM1468" s="26">
        <v>0</v>
      </c>
      <c r="AN1468" s="19">
        <v>0</v>
      </c>
      <c r="AO1468" s="19" t="s">
        <v>1758</v>
      </c>
      <c r="AP1468" s="19">
        <v>0</v>
      </c>
      <c r="AQ1468" s="19" t="s">
        <v>307</v>
      </c>
      <c r="AR1468" s="9" t="s">
        <v>486</v>
      </c>
      <c r="AS1468" s="12">
        <v>0</v>
      </c>
      <c r="AT1468" s="19">
        <v>38.539778249999998</v>
      </c>
      <c r="AU1468" s="19">
        <v>-122.8719935</v>
      </c>
      <c r="AV1468" s="19" t="s">
        <v>417</v>
      </c>
    </row>
    <row r="1469" spans="1:48" x14ac:dyDescent="0.25">
      <c r="A1469" s="18" t="s">
        <v>1843</v>
      </c>
      <c r="B1469" s="10">
        <v>18600101</v>
      </c>
      <c r="C1469" s="9">
        <v>17</v>
      </c>
      <c r="D1469" s="8" t="str">
        <f t="shared" si="267"/>
        <v>N</v>
      </c>
      <c r="E1469" s="8" t="str">
        <f t="shared" si="268"/>
        <v>N</v>
      </c>
      <c r="F1469" s="8" t="str">
        <f t="shared" si="269"/>
        <v>N</v>
      </c>
      <c r="G1469" s="8" t="str">
        <f t="shared" si="270"/>
        <v>N</v>
      </c>
      <c r="H1469" s="8" t="str">
        <f t="shared" si="271"/>
        <v>Lower</v>
      </c>
      <c r="I1469" s="8" t="str">
        <f t="shared" si="272"/>
        <v>Outside</v>
      </c>
      <c r="J1469" s="8" t="str">
        <f t="shared" si="273"/>
        <v>Outside</v>
      </c>
      <c r="K1469" s="8" t="str">
        <f t="shared" si="274"/>
        <v>pre-1914</v>
      </c>
      <c r="L1469" s="8">
        <f t="shared" si="275"/>
        <v>1860</v>
      </c>
      <c r="M1469" s="8" t="s">
        <v>179</v>
      </c>
      <c r="N1469" s="10" t="s">
        <v>241</v>
      </c>
      <c r="O1469" s="10" t="s">
        <v>242</v>
      </c>
      <c r="P1469" s="10" t="s">
        <v>241</v>
      </c>
      <c r="Q1469" s="10" t="s">
        <v>242</v>
      </c>
      <c r="R1469" s="10" t="s">
        <v>242</v>
      </c>
      <c r="S1469" s="10" t="s">
        <v>242</v>
      </c>
      <c r="T1469" s="10" t="s">
        <v>242</v>
      </c>
      <c r="U1469" s="10" t="s">
        <v>241</v>
      </c>
      <c r="V1469" s="10" t="s">
        <v>241</v>
      </c>
      <c r="W1469" s="10" t="s">
        <v>242</v>
      </c>
      <c r="X1469" s="15">
        <f>IF(ISERROR(VLOOKUP($A1469,'13. Updated Demand'!A:Z,15,FALSE)),0,VLOOKUP($A1469,'13. Updated Demand'!A:Z,15,FALSE))</f>
        <v>0</v>
      </c>
      <c r="Y1469" s="16">
        <f>IF(ISERROR(VLOOKUP($A1469,'13. Updated Demand'!A:Z,16,FALSE)),0,VLOOKUP($A1469,'13. Updated Demand'!A:Z,16,FALSE))</f>
        <v>0</v>
      </c>
      <c r="Z1469" s="16">
        <f>IF(ISERROR(VLOOKUP($A1469,'13. Updated Demand'!A:Z,17,FALSE)),0,VLOOKUP($A1469,'13. Updated Demand'!A:Z,17,FALSE))</f>
        <v>0</v>
      </c>
      <c r="AA1469" s="16">
        <f>IF(ISERROR(VLOOKUP($A1469,'13. Updated Demand'!A:Z,18,FALSE)),0,VLOOKUP($A1469,'13. Updated Demand'!A:Z,18,FALSE))</f>
        <v>0</v>
      </c>
      <c r="AB1469" s="16">
        <f>IF(ISERROR(VLOOKUP($A1469,'13. Updated Demand'!A:Z,19,FALSE)),0,VLOOKUP($A1469,'13. Updated Demand'!A:Z,19,FALSE))</f>
        <v>0</v>
      </c>
      <c r="AC1469" s="16">
        <f>IF(ISERROR(VLOOKUP($A1469,'13. Updated Demand'!A:Z,20,FALSE)),0,VLOOKUP($A1469,'13. Updated Demand'!A:Z,20,FALSE))</f>
        <v>0</v>
      </c>
      <c r="AD1469" s="16">
        <f>IF(ISERROR(VLOOKUP($A1469,'13. Updated Demand'!A:Z,21,FALSE)),0,VLOOKUP($A1469,'13. Updated Demand'!A:Z,21,FALSE))</f>
        <v>0</v>
      </c>
      <c r="AE1469" s="16">
        <f>IF(ISERROR(VLOOKUP($A1469,'13. Updated Demand'!A:Z,22,FALSE)),0,VLOOKUP($A1469,'13. Updated Demand'!A:Z,22,FALSE))</f>
        <v>0</v>
      </c>
      <c r="AF1469" s="16">
        <f>IF(ISERROR(VLOOKUP($A1469,'13. Updated Demand'!A:Z,23,FALSE)),0,VLOOKUP($A1469,'13. Updated Demand'!A:Z,23,FALSE))</f>
        <v>0</v>
      </c>
      <c r="AG1469" s="16">
        <f>IF(ISERROR(VLOOKUP($A1469,'13. Updated Demand'!A:Z,24,FALSE)),0,VLOOKUP($A1469,'13. Updated Demand'!A:Z,24,FALSE))</f>
        <v>0</v>
      </c>
      <c r="AH1469" s="16">
        <f>IF(ISERROR(VLOOKUP($A1469,'13. Updated Demand'!A:Z,25,FALSE)),0,VLOOKUP($A1469,'13. Updated Demand'!A:Z,25,FALSE))</f>
        <v>0</v>
      </c>
      <c r="AI1469" s="16">
        <f>IF(ISERROR(VLOOKUP($A1469,'13. Updated Demand'!A:Z,26,FALSE)),0,VLOOKUP($A1469,'13. Updated Demand'!A:Z,26,FALSE))</f>
        <v>0</v>
      </c>
      <c r="AJ1469" s="16">
        <f t="shared" si="277"/>
        <v>0</v>
      </c>
      <c r="AK1469" s="19">
        <v>0</v>
      </c>
      <c r="AL1469" s="16">
        <f t="shared" si="276"/>
        <v>0</v>
      </c>
      <c r="AM1469" s="26">
        <v>0</v>
      </c>
      <c r="AN1469" s="19">
        <v>275.27199999999999</v>
      </c>
      <c r="AO1469" s="19" t="s">
        <v>1758</v>
      </c>
      <c r="AP1469" s="19">
        <v>0</v>
      </c>
      <c r="AQ1469" s="19" t="s">
        <v>307</v>
      </c>
      <c r="AR1469" s="9" t="s">
        <v>486</v>
      </c>
      <c r="AS1469" s="12">
        <v>3.4039024194010059E-4</v>
      </c>
      <c r="AT1469" s="19">
        <v>38.539778249999998</v>
      </c>
      <c r="AU1469" s="19">
        <v>-122.8719935</v>
      </c>
      <c r="AV1469" s="19" t="s">
        <v>387</v>
      </c>
    </row>
    <row r="1470" spans="1:48" x14ac:dyDescent="0.25">
      <c r="A1470" s="18" t="s">
        <v>1844</v>
      </c>
      <c r="B1470" s="10">
        <v>18600101</v>
      </c>
      <c r="C1470" s="9">
        <v>17</v>
      </c>
      <c r="D1470" s="8" t="str">
        <f t="shared" si="267"/>
        <v>N</v>
      </c>
      <c r="E1470" s="8" t="str">
        <f t="shared" si="268"/>
        <v>N</v>
      </c>
      <c r="F1470" s="8" t="str">
        <f t="shared" si="269"/>
        <v>N</v>
      </c>
      <c r="G1470" s="8" t="str">
        <f t="shared" si="270"/>
        <v>N</v>
      </c>
      <c r="H1470" s="8" t="str">
        <f t="shared" si="271"/>
        <v>Lower</v>
      </c>
      <c r="I1470" s="8" t="str">
        <f t="shared" si="272"/>
        <v>Outside</v>
      </c>
      <c r="J1470" s="8" t="str">
        <f t="shared" si="273"/>
        <v>Outside</v>
      </c>
      <c r="K1470" s="8" t="str">
        <f t="shared" si="274"/>
        <v>pre-1914</v>
      </c>
      <c r="L1470" s="8">
        <f t="shared" si="275"/>
        <v>1860</v>
      </c>
      <c r="M1470" s="8" t="s">
        <v>179</v>
      </c>
      <c r="N1470" s="10" t="s">
        <v>241</v>
      </c>
      <c r="O1470" s="10" t="s">
        <v>242</v>
      </c>
      <c r="P1470" s="10" t="s">
        <v>241</v>
      </c>
      <c r="Q1470" s="10" t="s">
        <v>242</v>
      </c>
      <c r="R1470" s="10" t="s">
        <v>242</v>
      </c>
      <c r="S1470" s="10" t="s">
        <v>242</v>
      </c>
      <c r="T1470" s="10" t="s">
        <v>242</v>
      </c>
      <c r="U1470" s="10" t="s">
        <v>241</v>
      </c>
      <c r="V1470" s="10" t="s">
        <v>241</v>
      </c>
      <c r="W1470" s="10" t="s">
        <v>242</v>
      </c>
      <c r="X1470" s="15">
        <f>IF(ISERROR(VLOOKUP($A1470,'13. Updated Demand'!A:Z,15,FALSE)),0,VLOOKUP($A1470,'13. Updated Demand'!A:Z,15,FALSE))</f>
        <v>0</v>
      </c>
      <c r="Y1470" s="16">
        <f>IF(ISERROR(VLOOKUP($A1470,'13. Updated Demand'!A:Z,16,FALSE)),0,VLOOKUP($A1470,'13. Updated Demand'!A:Z,16,FALSE))</f>
        <v>0</v>
      </c>
      <c r="Z1470" s="16">
        <f>IF(ISERROR(VLOOKUP($A1470,'13. Updated Demand'!A:Z,17,FALSE)),0,VLOOKUP($A1470,'13. Updated Demand'!A:Z,17,FALSE))</f>
        <v>0</v>
      </c>
      <c r="AA1470" s="16">
        <f>IF(ISERROR(VLOOKUP($A1470,'13. Updated Demand'!A:Z,18,FALSE)),0,VLOOKUP($A1470,'13. Updated Demand'!A:Z,18,FALSE))</f>
        <v>0</v>
      </c>
      <c r="AB1470" s="16">
        <f>IF(ISERROR(VLOOKUP($A1470,'13. Updated Demand'!A:Z,19,FALSE)),0,VLOOKUP($A1470,'13. Updated Demand'!A:Z,19,FALSE))</f>
        <v>0</v>
      </c>
      <c r="AC1470" s="16">
        <f>IF(ISERROR(VLOOKUP($A1470,'13. Updated Demand'!A:Z,20,FALSE)),0,VLOOKUP($A1470,'13. Updated Demand'!A:Z,20,FALSE))</f>
        <v>0</v>
      </c>
      <c r="AD1470" s="16">
        <f>IF(ISERROR(VLOOKUP($A1470,'13. Updated Demand'!A:Z,21,FALSE)),0,VLOOKUP($A1470,'13. Updated Demand'!A:Z,21,FALSE))</f>
        <v>0</v>
      </c>
      <c r="AE1470" s="16">
        <f>IF(ISERROR(VLOOKUP($A1470,'13. Updated Demand'!A:Z,22,FALSE)),0,VLOOKUP($A1470,'13. Updated Demand'!A:Z,22,FALSE))</f>
        <v>0</v>
      </c>
      <c r="AF1470" s="16">
        <f>IF(ISERROR(VLOOKUP($A1470,'13. Updated Demand'!A:Z,23,FALSE)),0,VLOOKUP($A1470,'13. Updated Demand'!A:Z,23,FALSE))</f>
        <v>0</v>
      </c>
      <c r="AG1470" s="16">
        <f>IF(ISERROR(VLOOKUP($A1470,'13. Updated Demand'!A:Z,24,FALSE)),0,VLOOKUP($A1470,'13. Updated Demand'!A:Z,24,FALSE))</f>
        <v>0</v>
      </c>
      <c r="AH1470" s="16">
        <f>IF(ISERROR(VLOOKUP($A1470,'13. Updated Demand'!A:Z,25,FALSE)),0,VLOOKUP($A1470,'13. Updated Demand'!A:Z,25,FALSE))</f>
        <v>0</v>
      </c>
      <c r="AI1470" s="16">
        <f>IF(ISERROR(VLOOKUP($A1470,'13. Updated Demand'!A:Z,26,FALSE)),0,VLOOKUP($A1470,'13. Updated Demand'!A:Z,26,FALSE))</f>
        <v>0</v>
      </c>
      <c r="AJ1470" s="16">
        <f t="shared" si="277"/>
        <v>0</v>
      </c>
      <c r="AK1470" s="19">
        <v>0</v>
      </c>
      <c r="AL1470" s="16">
        <f t="shared" si="276"/>
        <v>0</v>
      </c>
      <c r="AM1470" s="26">
        <v>0</v>
      </c>
      <c r="AN1470" s="19">
        <v>0</v>
      </c>
      <c r="AO1470" s="19" t="s">
        <v>1758</v>
      </c>
      <c r="AP1470" s="19">
        <v>0</v>
      </c>
      <c r="AQ1470" s="19" t="s">
        <v>307</v>
      </c>
      <c r="AR1470" s="9" t="s">
        <v>486</v>
      </c>
      <c r="AS1470" s="12">
        <v>0</v>
      </c>
      <c r="AT1470" s="19">
        <v>38.539778249999998</v>
      </c>
      <c r="AU1470" s="19">
        <v>-122.8719935</v>
      </c>
      <c r="AV1470" s="19" t="s">
        <v>417</v>
      </c>
    </row>
    <row r="1471" spans="1:48" x14ac:dyDescent="0.25">
      <c r="A1471" s="18" t="s">
        <v>1845</v>
      </c>
      <c r="B1471" s="10">
        <v>18600101</v>
      </c>
      <c r="C1471" s="9">
        <v>18</v>
      </c>
      <c r="D1471" s="8" t="str">
        <f t="shared" si="267"/>
        <v>N</v>
      </c>
      <c r="E1471" s="8" t="str">
        <f t="shared" si="268"/>
        <v>N</v>
      </c>
      <c r="F1471" s="8" t="str">
        <f t="shared" si="269"/>
        <v>N</v>
      </c>
      <c r="G1471" s="8" t="str">
        <f t="shared" si="270"/>
        <v>N</v>
      </c>
      <c r="H1471" s="8" t="str">
        <f t="shared" si="271"/>
        <v>Lower</v>
      </c>
      <c r="I1471" s="8" t="str">
        <f t="shared" si="272"/>
        <v>Outside</v>
      </c>
      <c r="J1471" s="8" t="str">
        <f t="shared" si="273"/>
        <v>Outside</v>
      </c>
      <c r="K1471" s="8" t="str">
        <f t="shared" si="274"/>
        <v>pre-1914</v>
      </c>
      <c r="L1471" s="8">
        <f t="shared" si="275"/>
        <v>1860</v>
      </c>
      <c r="M1471" s="8" t="s">
        <v>179</v>
      </c>
      <c r="N1471" s="10" t="s">
        <v>242</v>
      </c>
      <c r="O1471" s="10" t="s">
        <v>242</v>
      </c>
      <c r="P1471" s="10" t="s">
        <v>241</v>
      </c>
      <c r="Q1471" s="10" t="s">
        <v>242</v>
      </c>
      <c r="R1471" s="10" t="s">
        <v>242</v>
      </c>
      <c r="S1471" s="10" t="s">
        <v>242</v>
      </c>
      <c r="T1471" s="10" t="s">
        <v>242</v>
      </c>
      <c r="U1471" s="10" t="s">
        <v>242</v>
      </c>
      <c r="V1471" s="10" t="s">
        <v>242</v>
      </c>
      <c r="W1471" s="10" t="s">
        <v>242</v>
      </c>
      <c r="X1471" s="15">
        <f>IF(ISERROR(VLOOKUP($A1471,'13. Updated Demand'!A:Z,15,FALSE)),0,VLOOKUP($A1471,'13. Updated Demand'!A:Z,15,FALSE))</f>
        <v>1.2699999999999999E-2</v>
      </c>
      <c r="Y1471" s="16">
        <f>IF(ISERROR(VLOOKUP($A1471,'13. Updated Demand'!A:Z,16,FALSE)),0,VLOOKUP($A1471,'13. Updated Demand'!A:Z,16,FALSE))</f>
        <v>3.1513332999999998E-2</v>
      </c>
      <c r="Z1471" s="16">
        <f>IF(ISERROR(VLOOKUP($A1471,'13. Updated Demand'!A:Z,17,FALSE)),0,VLOOKUP($A1471,'13. Updated Demand'!A:Z,17,FALSE))</f>
        <v>2.0406667E-2</v>
      </c>
      <c r="AA1471" s="16">
        <f>IF(ISERROR(VLOOKUP($A1471,'13. Updated Demand'!A:Z,18,FALSE)),0,VLOOKUP($A1471,'13. Updated Demand'!A:Z,18,FALSE))</f>
        <v>3.388E-2</v>
      </c>
      <c r="AB1471" s="16">
        <f>IF(ISERROR(VLOOKUP($A1471,'13. Updated Demand'!A:Z,19,FALSE)),0,VLOOKUP($A1471,'13. Updated Demand'!A:Z,19,FALSE))</f>
        <v>7.8206666999999994E-2</v>
      </c>
      <c r="AC1471" s="16">
        <f>IF(ISERROR(VLOOKUP($A1471,'13. Updated Demand'!A:Z,20,FALSE)),0,VLOOKUP($A1471,'13. Updated Demand'!A:Z,20,FALSE))</f>
        <v>0.111306667</v>
      </c>
      <c r="AD1471" s="16">
        <f>IF(ISERROR(VLOOKUP($A1471,'13. Updated Demand'!A:Z,21,FALSE)),0,VLOOKUP($A1471,'13. Updated Demand'!A:Z,21,FALSE))</f>
        <v>0.215313333</v>
      </c>
      <c r="AE1471" s="16">
        <f>IF(ISERROR(VLOOKUP($A1471,'13. Updated Demand'!A:Z,22,FALSE)),0,VLOOKUP($A1471,'13. Updated Demand'!A:Z,22,FALSE))</f>
        <v>0.23263666699999999</v>
      </c>
      <c r="AF1471" s="16">
        <f>IF(ISERROR(VLOOKUP($A1471,'13. Updated Demand'!A:Z,23,FALSE)),0,VLOOKUP($A1471,'13. Updated Demand'!A:Z,23,FALSE))</f>
        <v>0.23472999999999999</v>
      </c>
      <c r="AG1471" s="16">
        <f>IF(ISERROR(VLOOKUP($A1471,'13. Updated Demand'!A:Z,24,FALSE)),0,VLOOKUP($A1471,'13. Updated Demand'!A:Z,24,FALSE))</f>
        <v>0.151373333</v>
      </c>
      <c r="AH1471" s="16">
        <f>IF(ISERROR(VLOOKUP($A1471,'13. Updated Demand'!A:Z,25,FALSE)),0,VLOOKUP($A1471,'13. Updated Demand'!A:Z,25,FALSE))</f>
        <v>4.5839999999999999E-2</v>
      </c>
      <c r="AI1471" s="16">
        <f>IF(ISERROR(VLOOKUP($A1471,'13. Updated Demand'!A:Z,26,FALSE)),0,VLOOKUP($A1471,'13. Updated Demand'!A:Z,26,FALSE))</f>
        <v>1.8686667000000001E-2</v>
      </c>
      <c r="AJ1471" s="16">
        <f t="shared" si="277"/>
        <v>1.1865933340000001</v>
      </c>
      <c r="AK1471" s="19">
        <v>0.87219333399999999</v>
      </c>
      <c r="AL1471" s="16">
        <f t="shared" si="276"/>
        <v>2.8929659367208714E-3</v>
      </c>
      <c r="AM1471" s="26">
        <v>0.43273160497428981</v>
      </c>
      <c r="AN1471" s="19">
        <v>2.7421000000000002</v>
      </c>
      <c r="AO1471" s="19" t="s">
        <v>1758</v>
      </c>
      <c r="AP1471" s="19">
        <v>0</v>
      </c>
      <c r="AQ1471" s="19" t="s">
        <v>307</v>
      </c>
      <c r="AR1471" s="9" t="s">
        <v>352</v>
      </c>
      <c r="AS1471" s="12">
        <v>0</v>
      </c>
      <c r="AT1471" s="19">
        <v>38.419800000000002</v>
      </c>
      <c r="AU1471" s="19">
        <v>-122.9019</v>
      </c>
      <c r="AV1471" s="19"/>
    </row>
    <row r="1472" spans="1:48" x14ac:dyDescent="0.25">
      <c r="A1472" s="18" t="s">
        <v>1846</v>
      </c>
      <c r="B1472" s="10">
        <v>18600101</v>
      </c>
      <c r="C1472" s="9">
        <v>1</v>
      </c>
      <c r="D1472" s="8" t="str">
        <f t="shared" si="267"/>
        <v>N</v>
      </c>
      <c r="E1472" s="8" t="str">
        <f t="shared" si="268"/>
        <v>N</v>
      </c>
      <c r="F1472" s="8" t="str">
        <f t="shared" si="269"/>
        <v>Y</v>
      </c>
      <c r="G1472" s="8" t="str">
        <f t="shared" si="270"/>
        <v>Y</v>
      </c>
      <c r="H1472" s="8" t="str">
        <f t="shared" si="271"/>
        <v>Upper</v>
      </c>
      <c r="I1472" s="8" t="str">
        <f t="shared" si="272"/>
        <v>West Fork and Below Lake</v>
      </c>
      <c r="J1472" s="8" t="str">
        <f t="shared" si="273"/>
        <v>Outside</v>
      </c>
      <c r="K1472" s="8" t="str">
        <f t="shared" si="274"/>
        <v>pre-1914</v>
      </c>
      <c r="L1472" s="8">
        <f t="shared" si="275"/>
        <v>1860</v>
      </c>
      <c r="M1472" s="8" t="s">
        <v>179</v>
      </c>
      <c r="N1472" s="10" t="s">
        <v>242</v>
      </c>
      <c r="O1472" s="10" t="s">
        <v>241</v>
      </c>
      <c r="P1472" s="10" t="s">
        <v>241</v>
      </c>
      <c r="Q1472" s="10" t="s">
        <v>242</v>
      </c>
      <c r="R1472" s="10" t="s">
        <v>242</v>
      </c>
      <c r="S1472" s="10" t="s">
        <v>242</v>
      </c>
      <c r="T1472" s="10" t="s">
        <v>242</v>
      </c>
      <c r="U1472" s="10" t="s">
        <v>242</v>
      </c>
      <c r="V1472" s="10" t="s">
        <v>242</v>
      </c>
      <c r="W1472" s="10" t="s">
        <v>242</v>
      </c>
      <c r="X1472" s="15">
        <f>IF(ISERROR(VLOOKUP($A1472,'13. Updated Demand'!A:Z,15,FALSE)),0,VLOOKUP($A1472,'13. Updated Demand'!A:Z,15,FALSE))</f>
        <v>7.0000000000000007E-2</v>
      </c>
      <c r="Y1472" s="16">
        <f>IF(ISERROR(VLOOKUP($A1472,'13. Updated Demand'!A:Z,16,FALSE)),0,VLOOKUP($A1472,'13. Updated Demand'!A:Z,16,FALSE))</f>
        <v>0.06</v>
      </c>
      <c r="Z1472" s="16">
        <f>IF(ISERROR(VLOOKUP($A1472,'13. Updated Demand'!A:Z,17,FALSE)),0,VLOOKUP($A1472,'13. Updated Demand'!A:Z,17,FALSE))</f>
        <v>0.06</v>
      </c>
      <c r="AA1472" s="16">
        <f>IF(ISERROR(VLOOKUP($A1472,'13. Updated Demand'!A:Z,18,FALSE)),0,VLOOKUP($A1472,'13. Updated Demand'!A:Z,18,FALSE))</f>
        <v>0.28000000000000003</v>
      </c>
      <c r="AB1472" s="16">
        <f>IF(ISERROR(VLOOKUP($A1472,'13. Updated Demand'!A:Z,19,FALSE)),0,VLOOKUP($A1472,'13. Updated Demand'!A:Z,19,FALSE))</f>
        <v>0.56999999999999995</v>
      </c>
      <c r="AC1472" s="16">
        <f>IF(ISERROR(VLOOKUP($A1472,'13. Updated Demand'!A:Z,20,FALSE)),0,VLOOKUP($A1472,'13. Updated Demand'!A:Z,20,FALSE))</f>
        <v>0.64</v>
      </c>
      <c r="AD1472" s="16">
        <f>IF(ISERROR(VLOOKUP($A1472,'13. Updated Demand'!A:Z,21,FALSE)),0,VLOOKUP($A1472,'13. Updated Demand'!A:Z,21,FALSE))</f>
        <v>0.72</v>
      </c>
      <c r="AE1472" s="16">
        <f>IF(ISERROR(VLOOKUP($A1472,'13. Updated Demand'!A:Z,22,FALSE)),0,VLOOKUP($A1472,'13. Updated Demand'!A:Z,22,FALSE))</f>
        <v>0.67</v>
      </c>
      <c r="AF1472" s="16">
        <f>IF(ISERROR(VLOOKUP($A1472,'13. Updated Demand'!A:Z,23,FALSE)),0,VLOOKUP($A1472,'13. Updated Demand'!A:Z,23,FALSE))</f>
        <v>0.56000000000000005</v>
      </c>
      <c r="AG1472" s="16">
        <f>IF(ISERROR(VLOOKUP($A1472,'13. Updated Demand'!A:Z,24,FALSE)),0,VLOOKUP($A1472,'13. Updated Demand'!A:Z,24,FALSE))</f>
        <v>0.26</v>
      </c>
      <c r="AH1472" s="16">
        <f>IF(ISERROR(VLOOKUP($A1472,'13. Updated Demand'!A:Z,25,FALSE)),0,VLOOKUP($A1472,'13. Updated Demand'!A:Z,25,FALSE))</f>
        <v>7.0000000000000007E-2</v>
      </c>
      <c r="AI1472" s="16">
        <f>IF(ISERROR(VLOOKUP($A1472,'13. Updated Demand'!A:Z,26,FALSE)),0,VLOOKUP($A1472,'13. Updated Demand'!A:Z,26,FALSE))</f>
        <v>0.09</v>
      </c>
      <c r="AJ1472" s="16">
        <f t="shared" si="277"/>
        <v>4.0500000000000007</v>
      </c>
      <c r="AK1472" s="19">
        <v>3.1767719999999997</v>
      </c>
      <c r="AL1472" s="16">
        <f t="shared" si="276"/>
        <v>1.0536990855663472E-2</v>
      </c>
      <c r="AM1472" s="26">
        <v>0.93778777775246069</v>
      </c>
      <c r="AN1472" s="19">
        <v>4.3887999999999998</v>
      </c>
      <c r="AO1472" s="19" t="s">
        <v>1758</v>
      </c>
      <c r="AP1472" s="19">
        <v>0</v>
      </c>
      <c r="AQ1472" s="19" t="s">
        <v>307</v>
      </c>
      <c r="AR1472" s="9" t="s">
        <v>317</v>
      </c>
      <c r="AS1472" s="12">
        <v>3.4039024194010059E-4</v>
      </c>
      <c r="AT1472" s="19">
        <v>39.249600000000001</v>
      </c>
      <c r="AU1472" s="19">
        <v>-123.30240000000001</v>
      </c>
      <c r="AV1472" s="19" t="s">
        <v>1847</v>
      </c>
    </row>
    <row r="1473" spans="1:48" x14ac:dyDescent="0.25">
      <c r="A1473" s="18" t="s">
        <v>1848</v>
      </c>
      <c r="B1473" s="10">
        <v>18560101</v>
      </c>
      <c r="C1473" s="9">
        <v>1</v>
      </c>
      <c r="D1473" s="8" t="str">
        <f t="shared" si="267"/>
        <v>N</v>
      </c>
      <c r="E1473" s="8" t="str">
        <f t="shared" si="268"/>
        <v>N</v>
      </c>
      <c r="F1473" s="8" t="str">
        <f t="shared" si="269"/>
        <v>Y</v>
      </c>
      <c r="G1473" s="8" t="str">
        <f t="shared" si="270"/>
        <v>Y</v>
      </c>
      <c r="H1473" s="8" t="str">
        <f t="shared" si="271"/>
        <v>Upper</v>
      </c>
      <c r="I1473" s="8" t="str">
        <f t="shared" si="272"/>
        <v>West Fork and Below Lake</v>
      </c>
      <c r="J1473" s="8" t="str">
        <f t="shared" si="273"/>
        <v>Outside</v>
      </c>
      <c r="K1473" s="8" t="str">
        <f t="shared" si="274"/>
        <v>pre-1914</v>
      </c>
      <c r="L1473" s="8">
        <f t="shared" si="275"/>
        <v>1856</v>
      </c>
      <c r="M1473" s="8" t="s">
        <v>179</v>
      </c>
      <c r="N1473" s="10" t="s">
        <v>242</v>
      </c>
      <c r="O1473" s="10" t="s">
        <v>241</v>
      </c>
      <c r="P1473" s="10" t="s">
        <v>241</v>
      </c>
      <c r="Q1473" s="10" t="s">
        <v>242</v>
      </c>
      <c r="R1473" s="10" t="s">
        <v>242</v>
      </c>
      <c r="S1473" s="10" t="s">
        <v>242</v>
      </c>
      <c r="T1473" s="10" t="s">
        <v>242</v>
      </c>
      <c r="U1473" s="10" t="s">
        <v>242</v>
      </c>
      <c r="V1473" s="10" t="s">
        <v>242</v>
      </c>
      <c r="W1473" s="10" t="s">
        <v>242</v>
      </c>
      <c r="X1473" s="15">
        <f>IF(ISERROR(VLOOKUP($A1473,'13. Updated Demand'!A:Z,15,FALSE)),0,VLOOKUP($A1473,'13. Updated Demand'!A:Z,15,FALSE))</f>
        <v>0</v>
      </c>
      <c r="Y1473" s="16">
        <f>IF(ISERROR(VLOOKUP($A1473,'13. Updated Demand'!A:Z,16,FALSE)),0,VLOOKUP($A1473,'13. Updated Demand'!A:Z,16,FALSE))</f>
        <v>0</v>
      </c>
      <c r="Z1473" s="16">
        <f>IF(ISERROR(VLOOKUP($A1473,'13. Updated Demand'!A:Z,17,FALSE)),0,VLOOKUP($A1473,'13. Updated Demand'!A:Z,17,FALSE))</f>
        <v>0</v>
      </c>
      <c r="AA1473" s="16">
        <f>IF(ISERROR(VLOOKUP($A1473,'13. Updated Demand'!A:Z,18,FALSE)),0,VLOOKUP($A1473,'13. Updated Demand'!A:Z,18,FALSE))</f>
        <v>0</v>
      </c>
      <c r="AB1473" s="16">
        <f>IF(ISERROR(VLOOKUP($A1473,'13. Updated Demand'!A:Z,19,FALSE)),0,VLOOKUP($A1473,'13. Updated Demand'!A:Z,19,FALSE))</f>
        <v>1.5343329999999999E-3</v>
      </c>
      <c r="AC1473" s="16">
        <f>IF(ISERROR(VLOOKUP($A1473,'13. Updated Demand'!A:Z,20,FALSE)),0,VLOOKUP($A1473,'13. Updated Demand'!A:Z,20,FALSE))</f>
        <v>1.5343329999999999E-3</v>
      </c>
      <c r="AD1473" s="16">
        <f>IF(ISERROR(VLOOKUP($A1473,'13. Updated Demand'!A:Z,21,FALSE)),0,VLOOKUP($A1473,'13. Updated Demand'!A:Z,21,FALSE))</f>
        <v>0.03</v>
      </c>
      <c r="AE1473" s="16">
        <f>IF(ISERROR(VLOOKUP($A1473,'13. Updated Demand'!A:Z,22,FALSE)),0,VLOOKUP($A1473,'13. Updated Demand'!A:Z,22,FALSE))</f>
        <v>0.03</v>
      </c>
      <c r="AF1473" s="16">
        <f>IF(ISERROR(VLOOKUP($A1473,'13. Updated Demand'!A:Z,23,FALSE)),0,VLOOKUP($A1473,'13. Updated Demand'!A:Z,23,FALSE))</f>
        <v>1.5343329999999999E-3</v>
      </c>
      <c r="AG1473" s="16">
        <f>IF(ISERROR(VLOOKUP($A1473,'13. Updated Demand'!A:Z,24,FALSE)),0,VLOOKUP($A1473,'13. Updated Demand'!A:Z,24,FALSE))</f>
        <v>0</v>
      </c>
      <c r="AH1473" s="16">
        <f>IF(ISERROR(VLOOKUP($A1473,'13. Updated Demand'!A:Z,25,FALSE)),0,VLOOKUP($A1473,'13. Updated Demand'!A:Z,25,FALSE))</f>
        <v>0</v>
      </c>
      <c r="AI1473" s="16">
        <f>IF(ISERROR(VLOOKUP($A1473,'13. Updated Demand'!A:Z,26,FALSE)),0,VLOOKUP($A1473,'13. Updated Demand'!A:Z,26,FALSE))</f>
        <v>0</v>
      </c>
      <c r="AJ1473" s="16">
        <f t="shared" si="277"/>
        <v>6.4602998999999994E-2</v>
      </c>
      <c r="AK1473" s="19">
        <v>6.5980998999999999E-2</v>
      </c>
      <c r="AL1473" s="16">
        <f t="shared" si="276"/>
        <v>2.188514577409209E-4</v>
      </c>
      <c r="AM1473" s="26">
        <v>4.0844687918623854E-4</v>
      </c>
      <c r="AN1473" s="19">
        <v>161.5412</v>
      </c>
      <c r="AO1473" s="19" t="s">
        <v>1758</v>
      </c>
      <c r="AP1473" s="19">
        <v>0</v>
      </c>
      <c r="AQ1473" s="19" t="s">
        <v>307</v>
      </c>
      <c r="AR1473" s="9" t="s">
        <v>317</v>
      </c>
      <c r="AS1473" s="12">
        <v>3.4039024194010059E-4</v>
      </c>
      <c r="AT1473" s="19">
        <v>39.2042</v>
      </c>
      <c r="AU1473" s="19">
        <v>-123.2122</v>
      </c>
      <c r="AV1473" s="19" t="s">
        <v>1770</v>
      </c>
    </row>
    <row r="1474" spans="1:48" x14ac:dyDescent="0.25">
      <c r="A1474" s="18" t="s">
        <v>1849</v>
      </c>
      <c r="B1474" s="10">
        <v>18500101</v>
      </c>
      <c r="C1474" s="9">
        <v>15</v>
      </c>
      <c r="D1474" s="8" t="str">
        <f t="shared" ref="D1474:D1537" si="278">IF(OR(C1474=4,C1474=5,C1474=6),"Y","N")</f>
        <v>N</v>
      </c>
      <c r="E1474" s="8" t="str">
        <f t="shared" ref="E1474:E1537" si="279">IF(AND(C1474&gt;6,C1474&lt;14),"Y","N")</f>
        <v>N</v>
      </c>
      <c r="F1474" s="8" t="str">
        <f t="shared" ref="F1474:F1537" si="280">IF(C1474&lt;14,"Y","N")</f>
        <v>N</v>
      </c>
      <c r="G1474" s="8" t="str">
        <f t="shared" ref="G1474:G1537" si="281">IF(OR(C1474=1,AND(C1474&gt;3,C1474&lt;14)),"Y","N")</f>
        <v>N</v>
      </c>
      <c r="H1474" s="8" t="str">
        <f t="shared" ref="H1474:H1537" si="282">IF(C1474&lt;14,"Upper","Lower")</f>
        <v>Lower</v>
      </c>
      <c r="I1474" s="8" t="str">
        <f t="shared" ref="I1474:I1537" si="283">IF(G1474="Y","West Fork and Below Lake","Outside")</f>
        <v>Outside</v>
      </c>
      <c r="J1474" s="8" t="str">
        <f t="shared" ref="J1474:J1537" si="284">IF(D1474="Y", "Mendocino (d/s of lake)", IF(E1474="Y", "Sonoma (d/s of Clov. Gage)","Outside"))</f>
        <v>Outside</v>
      </c>
      <c r="K1474" s="8" t="str">
        <f t="shared" ref="K1474:K1537" si="285">IF(P1474="Y","pre-1914",IF(Q1474="Y","Pre-1949",IF(R1474="Y","Post-1949",IF(S1474="Y","Riparian","Unknown"))))</f>
        <v>pre-1914</v>
      </c>
      <c r="L1474" s="8">
        <f t="shared" ref="L1474:L1537" si="286">_xlfn.NUMBERVALUE(LEFT(B1474,4))</f>
        <v>1850</v>
      </c>
      <c r="M1474" s="8" t="s">
        <v>179</v>
      </c>
      <c r="N1474" s="10" t="s">
        <v>242</v>
      </c>
      <c r="O1474" s="10" t="s">
        <v>242</v>
      </c>
      <c r="P1474" s="10" t="s">
        <v>241</v>
      </c>
      <c r="Q1474" s="10" t="s">
        <v>242</v>
      </c>
      <c r="R1474" s="10" t="s">
        <v>242</v>
      </c>
      <c r="S1474" s="10" t="s">
        <v>242</v>
      </c>
      <c r="T1474" s="10" t="s">
        <v>242</v>
      </c>
      <c r="U1474" s="10" t="s">
        <v>242</v>
      </c>
      <c r="V1474" s="10" t="s">
        <v>242</v>
      </c>
      <c r="W1474" s="10" t="s">
        <v>242</v>
      </c>
      <c r="X1474" s="15">
        <f>IF(ISERROR(VLOOKUP($A1474,'13. Updated Demand'!A:Z,15,FALSE)),0,VLOOKUP($A1474,'13. Updated Demand'!A:Z,15,FALSE))</f>
        <v>0</v>
      </c>
      <c r="Y1474" s="16">
        <f>IF(ISERROR(VLOOKUP($A1474,'13. Updated Demand'!A:Z,16,FALSE)),0,VLOOKUP($A1474,'13. Updated Demand'!A:Z,16,FALSE))</f>
        <v>0</v>
      </c>
      <c r="Z1474" s="16">
        <f>IF(ISERROR(VLOOKUP($A1474,'13. Updated Demand'!A:Z,17,FALSE)),0,VLOOKUP($A1474,'13. Updated Demand'!A:Z,17,FALSE))</f>
        <v>0</v>
      </c>
      <c r="AA1474" s="16">
        <f>IF(ISERROR(VLOOKUP($A1474,'13. Updated Demand'!A:Z,18,FALSE)),0,VLOOKUP($A1474,'13. Updated Demand'!A:Z,18,FALSE))</f>
        <v>0</v>
      </c>
      <c r="AB1474" s="16">
        <f>IF(ISERROR(VLOOKUP($A1474,'13. Updated Demand'!A:Z,19,FALSE)),0,VLOOKUP($A1474,'13. Updated Demand'!A:Z,19,FALSE))</f>
        <v>0.443333333</v>
      </c>
      <c r="AC1474" s="16">
        <f>IF(ISERROR(VLOOKUP($A1474,'13. Updated Demand'!A:Z,20,FALSE)),0,VLOOKUP($A1474,'13. Updated Demand'!A:Z,20,FALSE))</f>
        <v>1.33</v>
      </c>
      <c r="AD1474" s="16">
        <f>IF(ISERROR(VLOOKUP($A1474,'13. Updated Demand'!A:Z,21,FALSE)),0,VLOOKUP($A1474,'13. Updated Demand'!A:Z,21,FALSE))</f>
        <v>1.33</v>
      </c>
      <c r="AE1474" s="16">
        <f>IF(ISERROR(VLOOKUP($A1474,'13. Updated Demand'!A:Z,22,FALSE)),0,VLOOKUP($A1474,'13. Updated Demand'!A:Z,22,FALSE))</f>
        <v>1.33</v>
      </c>
      <c r="AF1474" s="16">
        <f>IF(ISERROR(VLOOKUP($A1474,'13. Updated Demand'!A:Z,23,FALSE)),0,VLOOKUP($A1474,'13. Updated Demand'!A:Z,23,FALSE))</f>
        <v>2.66</v>
      </c>
      <c r="AG1474" s="16">
        <f>IF(ISERROR(VLOOKUP($A1474,'13. Updated Demand'!A:Z,24,FALSE)),0,VLOOKUP($A1474,'13. Updated Demand'!A:Z,24,FALSE))</f>
        <v>1.33</v>
      </c>
      <c r="AH1474" s="16">
        <f>IF(ISERROR(VLOOKUP($A1474,'13. Updated Demand'!A:Z,25,FALSE)),0,VLOOKUP($A1474,'13. Updated Demand'!A:Z,25,FALSE))</f>
        <v>0.443333333</v>
      </c>
      <c r="AI1474" s="16">
        <f>IF(ISERROR(VLOOKUP($A1474,'13. Updated Demand'!A:Z,26,FALSE)),0,VLOOKUP($A1474,'13. Updated Demand'!A:Z,26,FALSE))</f>
        <v>0</v>
      </c>
      <c r="AJ1474" s="16">
        <f t="shared" si="277"/>
        <v>8.8666666660000004</v>
      </c>
      <c r="AK1474" s="19">
        <v>337.76666666666659</v>
      </c>
      <c r="AL1474" s="16">
        <f t="shared" ref="AL1474:AL1537" si="287">AK1474/152/1.983471</f>
        <v>1.1203335580943794</v>
      </c>
      <c r="AM1474" s="26">
        <v>0.83602555966715264</v>
      </c>
      <c r="AN1474" s="19">
        <v>485.34800000000001</v>
      </c>
      <c r="AO1474" s="19" t="s">
        <v>1758</v>
      </c>
      <c r="AP1474" s="19">
        <v>0</v>
      </c>
      <c r="AQ1474" s="19" t="s">
        <v>307</v>
      </c>
      <c r="AR1474" s="9" t="s">
        <v>489</v>
      </c>
      <c r="AS1474" s="12">
        <v>0</v>
      </c>
      <c r="AT1474" s="19">
        <v>38.66360899</v>
      </c>
      <c r="AU1474" s="19">
        <v>-122.94425825</v>
      </c>
      <c r="AV1474" s="19" t="s">
        <v>932</v>
      </c>
    </row>
    <row r="1475" spans="1:48" x14ac:dyDescent="0.25">
      <c r="A1475" s="18" t="s">
        <v>1850</v>
      </c>
      <c r="B1475" s="10">
        <v>18500101</v>
      </c>
      <c r="C1475" s="9">
        <v>11</v>
      </c>
      <c r="D1475" s="8" t="str">
        <f t="shared" si="278"/>
        <v>N</v>
      </c>
      <c r="E1475" s="8" t="str">
        <f t="shared" si="279"/>
        <v>Y</v>
      </c>
      <c r="F1475" s="8" t="str">
        <f t="shared" si="280"/>
        <v>Y</v>
      </c>
      <c r="G1475" s="8" t="str">
        <f t="shared" si="281"/>
        <v>Y</v>
      </c>
      <c r="H1475" s="8" t="str">
        <f t="shared" si="282"/>
        <v>Upper</v>
      </c>
      <c r="I1475" s="8" t="str">
        <f t="shared" si="283"/>
        <v>West Fork and Below Lake</v>
      </c>
      <c r="J1475" s="8" t="str">
        <f t="shared" si="284"/>
        <v>Sonoma (d/s of Clov. Gage)</v>
      </c>
      <c r="K1475" s="8" t="str">
        <f t="shared" si="285"/>
        <v>pre-1914</v>
      </c>
      <c r="L1475" s="8">
        <f t="shared" si="286"/>
        <v>1850</v>
      </c>
      <c r="M1475" s="8" t="s">
        <v>179</v>
      </c>
      <c r="N1475" s="10" t="s">
        <v>242</v>
      </c>
      <c r="O1475" s="10" t="s">
        <v>241</v>
      </c>
      <c r="P1475" s="10" t="s">
        <v>241</v>
      </c>
      <c r="Q1475" s="10" t="s">
        <v>242</v>
      </c>
      <c r="R1475" s="10" t="s">
        <v>242</v>
      </c>
      <c r="S1475" s="10" t="s">
        <v>242</v>
      </c>
      <c r="T1475" s="10" t="s">
        <v>242</v>
      </c>
      <c r="U1475" s="10" t="s">
        <v>242</v>
      </c>
      <c r="V1475" s="10" t="s">
        <v>242</v>
      </c>
      <c r="W1475" s="10" t="s">
        <v>242</v>
      </c>
      <c r="X1475" s="15">
        <f>IF(ISERROR(VLOOKUP($A1475,'13. Updated Demand'!A:Z,15,FALSE)),0,VLOOKUP($A1475,'13. Updated Demand'!A:Z,15,FALSE))</f>
        <v>15.8</v>
      </c>
      <c r="Y1475" s="16">
        <f>IF(ISERROR(VLOOKUP($A1475,'13. Updated Demand'!A:Z,16,FALSE)),0,VLOOKUP($A1475,'13. Updated Demand'!A:Z,16,FALSE))</f>
        <v>21.86</v>
      </c>
      <c r="Z1475" s="16">
        <f>IF(ISERROR(VLOOKUP($A1475,'13. Updated Demand'!A:Z,17,FALSE)),0,VLOOKUP($A1475,'13. Updated Demand'!A:Z,17,FALSE))</f>
        <v>7.63</v>
      </c>
      <c r="AA1475" s="16">
        <f>IF(ISERROR(VLOOKUP($A1475,'13. Updated Demand'!A:Z,18,FALSE)),0,VLOOKUP($A1475,'13. Updated Demand'!A:Z,18,FALSE))</f>
        <v>2.16</v>
      </c>
      <c r="AB1475" s="16">
        <f>IF(ISERROR(VLOOKUP($A1475,'13. Updated Demand'!A:Z,19,FALSE)),0,VLOOKUP($A1475,'13. Updated Demand'!A:Z,19,FALSE))</f>
        <v>8.6999999999999993</v>
      </c>
      <c r="AC1475" s="16">
        <f>IF(ISERROR(VLOOKUP($A1475,'13. Updated Demand'!A:Z,20,FALSE)),0,VLOOKUP($A1475,'13. Updated Demand'!A:Z,20,FALSE))</f>
        <v>13.73</v>
      </c>
      <c r="AD1475" s="16">
        <f>IF(ISERROR(VLOOKUP($A1475,'13. Updated Demand'!A:Z,21,FALSE)),0,VLOOKUP($A1475,'13. Updated Demand'!A:Z,21,FALSE))</f>
        <v>27.4</v>
      </c>
      <c r="AE1475" s="16">
        <f>IF(ISERROR(VLOOKUP($A1475,'13. Updated Demand'!A:Z,22,FALSE)),0,VLOOKUP($A1475,'13. Updated Demand'!A:Z,22,FALSE))</f>
        <v>31.06</v>
      </c>
      <c r="AF1475" s="16">
        <f>IF(ISERROR(VLOOKUP($A1475,'13. Updated Demand'!A:Z,23,FALSE)),0,VLOOKUP($A1475,'13. Updated Demand'!A:Z,23,FALSE))</f>
        <v>17.93</v>
      </c>
      <c r="AG1475" s="16">
        <f>IF(ISERROR(VLOOKUP($A1475,'13. Updated Demand'!A:Z,24,FALSE)),0,VLOOKUP($A1475,'13. Updated Demand'!A:Z,24,FALSE))</f>
        <v>12.56</v>
      </c>
      <c r="AH1475" s="16">
        <f>IF(ISERROR(VLOOKUP($A1475,'13. Updated Demand'!A:Z,25,FALSE)),0,VLOOKUP($A1475,'13. Updated Demand'!A:Z,25,FALSE))</f>
        <v>13.9</v>
      </c>
      <c r="AI1475" s="16">
        <f>IF(ISERROR(VLOOKUP($A1475,'13. Updated Demand'!A:Z,26,FALSE)),0,VLOOKUP($A1475,'13. Updated Demand'!A:Z,26,FALSE))</f>
        <v>28.7</v>
      </c>
      <c r="AJ1475" s="16">
        <f t="shared" si="277"/>
        <v>201.43</v>
      </c>
      <c r="AK1475" s="19">
        <v>98.833333330000002</v>
      </c>
      <c r="AL1475" s="16">
        <f t="shared" si="287"/>
        <v>0.32781890848098316</v>
      </c>
      <c r="AM1475" s="26">
        <v>0.2927528650498416</v>
      </c>
      <c r="AN1475" s="19">
        <v>688.18</v>
      </c>
      <c r="AO1475" s="19" t="s">
        <v>1758</v>
      </c>
      <c r="AP1475" s="19">
        <v>0</v>
      </c>
      <c r="AQ1475" s="19" t="s">
        <v>307</v>
      </c>
      <c r="AR1475" s="9" t="s">
        <v>308</v>
      </c>
      <c r="AS1475" s="12">
        <v>3.4039024194010059E-4</v>
      </c>
      <c r="AT1475" s="19">
        <v>38.6342</v>
      </c>
      <c r="AU1475" s="19">
        <v>-122.6634</v>
      </c>
      <c r="AV1475" s="19" t="s">
        <v>358</v>
      </c>
    </row>
    <row r="1476" spans="1:48" x14ac:dyDescent="0.25">
      <c r="A1476" s="18" t="s">
        <v>1851</v>
      </c>
      <c r="B1476" s="10">
        <v>10000000</v>
      </c>
      <c r="C1476" s="9">
        <v>19</v>
      </c>
      <c r="D1476" s="8" t="str">
        <f t="shared" si="278"/>
        <v>N</v>
      </c>
      <c r="E1476" s="8" t="str">
        <f t="shared" si="279"/>
        <v>N</v>
      </c>
      <c r="F1476" s="8" t="str">
        <f t="shared" si="280"/>
        <v>N</v>
      </c>
      <c r="G1476" s="8" t="str">
        <f t="shared" si="281"/>
        <v>N</v>
      </c>
      <c r="H1476" s="8" t="str">
        <f t="shared" si="282"/>
        <v>Lower</v>
      </c>
      <c r="I1476" s="8" t="str">
        <f t="shared" si="283"/>
        <v>Outside</v>
      </c>
      <c r="J1476" s="8" t="str">
        <f t="shared" si="284"/>
        <v>Outside</v>
      </c>
      <c r="K1476" s="8" t="str">
        <f t="shared" si="285"/>
        <v>Riparian</v>
      </c>
      <c r="L1476" s="8">
        <f t="shared" si="286"/>
        <v>1000</v>
      </c>
      <c r="M1476" s="8" t="str">
        <f t="shared" ref="M1476:M1538" si="288">IF(L1476=1949,"1949",IF(AND(L1476&gt;1949,L1476&lt;1953),"1950-1952",IF(AND(L1476&gt;1952,L1476&lt;1955),"1953-1954",IF(AND(L1476&gt;1954,L1476&lt;1957),"1955-1956",IF(AND(L1476&gt;1956,L1476&lt;1960),"1957-1959",IF(AND(L1476&gt;1959,L1476&lt;1971),"1960-1970",IF(AND(L1476&gt;1970,L1476&lt;1991),"1971-1990",IF(L1476&gt;1990,"1991-present","-"))))))))</f>
        <v>-</v>
      </c>
      <c r="N1476" s="10" t="s">
        <v>241</v>
      </c>
      <c r="O1476" s="10" t="s">
        <v>242</v>
      </c>
      <c r="P1476" s="10" t="s">
        <v>242</v>
      </c>
      <c r="Q1476" s="10" t="s">
        <v>242</v>
      </c>
      <c r="R1476" s="10" t="s">
        <v>242</v>
      </c>
      <c r="S1476" s="10" t="s">
        <v>241</v>
      </c>
      <c r="T1476" s="10" t="s">
        <v>242</v>
      </c>
      <c r="U1476" s="10" t="s">
        <v>242</v>
      </c>
      <c r="V1476" s="10" t="s">
        <v>242</v>
      </c>
      <c r="W1476" s="10" t="s">
        <v>242</v>
      </c>
      <c r="X1476" s="15">
        <f>IF(ISERROR(VLOOKUP($A1476,'13. Updated Demand'!A:Z,15,FALSE)),0,VLOOKUP($A1476,'13. Updated Demand'!A:Z,15,FALSE))</f>
        <v>0</v>
      </c>
      <c r="Y1476" s="16">
        <f>IF(ISERROR(VLOOKUP($A1476,'13. Updated Demand'!A:Z,16,FALSE)),0,VLOOKUP($A1476,'13. Updated Demand'!A:Z,16,FALSE))</f>
        <v>0</v>
      </c>
      <c r="Z1476" s="16">
        <f>IF(ISERROR(VLOOKUP($A1476,'13. Updated Demand'!A:Z,17,FALSE)),0,VLOOKUP($A1476,'13. Updated Demand'!A:Z,17,FALSE))</f>
        <v>0</v>
      </c>
      <c r="AA1476" s="16">
        <f>IF(ISERROR(VLOOKUP($A1476,'13. Updated Demand'!A:Z,18,FALSE)),0,VLOOKUP($A1476,'13. Updated Demand'!A:Z,18,FALSE))</f>
        <v>0</v>
      </c>
      <c r="AB1476" s="16">
        <f>IF(ISERROR(VLOOKUP($A1476,'13. Updated Demand'!A:Z,19,FALSE)),0,VLOOKUP($A1476,'13. Updated Demand'!A:Z,19,FALSE))</f>
        <v>0.37133333299999999</v>
      </c>
      <c r="AC1476" s="16">
        <f>IF(ISERROR(VLOOKUP($A1476,'13. Updated Demand'!A:Z,20,FALSE)),0,VLOOKUP($A1476,'13. Updated Demand'!A:Z,20,FALSE))</f>
        <v>0</v>
      </c>
      <c r="AD1476" s="16">
        <f>IF(ISERROR(VLOOKUP($A1476,'13. Updated Demand'!A:Z,21,FALSE)),0,VLOOKUP($A1476,'13. Updated Demand'!A:Z,21,FALSE))</f>
        <v>1.4706666669999999</v>
      </c>
      <c r="AE1476" s="16">
        <f>IF(ISERROR(VLOOKUP($A1476,'13. Updated Demand'!A:Z,22,FALSE)),0,VLOOKUP($A1476,'13. Updated Demand'!A:Z,22,FALSE))</f>
        <v>0.44566666700000002</v>
      </c>
      <c r="AF1476" s="16">
        <f>IF(ISERROR(VLOOKUP($A1476,'13. Updated Demand'!A:Z,23,FALSE)),0,VLOOKUP($A1476,'13. Updated Demand'!A:Z,23,FALSE))</f>
        <v>1.512</v>
      </c>
      <c r="AG1476" s="16">
        <f>IF(ISERROR(VLOOKUP($A1476,'13. Updated Demand'!A:Z,24,FALSE)),0,VLOOKUP($A1476,'13. Updated Demand'!A:Z,24,FALSE))</f>
        <v>0.17</v>
      </c>
      <c r="AH1476" s="16">
        <f>IF(ISERROR(VLOOKUP($A1476,'13. Updated Demand'!A:Z,25,FALSE)),0,VLOOKUP($A1476,'13. Updated Demand'!A:Z,25,FALSE))</f>
        <v>0.144666667</v>
      </c>
      <c r="AI1476" s="16">
        <f>IF(ISERROR(VLOOKUP($A1476,'13. Updated Demand'!A:Z,26,FALSE)),0,VLOOKUP($A1476,'13. Updated Demand'!A:Z,26,FALSE))</f>
        <v>0</v>
      </c>
      <c r="AJ1476" s="16">
        <f t="shared" si="277"/>
        <v>4.1143333339999995</v>
      </c>
      <c r="AK1476" s="19">
        <v>3.7996666669999999</v>
      </c>
      <c r="AL1476" s="16">
        <f t="shared" si="287"/>
        <v>1.2603061511732131E-2</v>
      </c>
      <c r="AM1476" s="26">
        <v>3.9169951198613825E-3</v>
      </c>
      <c r="AN1476" s="19">
        <v>1050.3800000000001</v>
      </c>
      <c r="AO1476" s="19" t="s">
        <v>1758</v>
      </c>
      <c r="AP1476" s="19">
        <v>0</v>
      </c>
      <c r="AQ1476" s="19" t="s">
        <v>307</v>
      </c>
      <c r="AR1476" s="9" t="s">
        <v>684</v>
      </c>
      <c r="AS1476" s="12">
        <v>0</v>
      </c>
      <c r="AT1476" s="19">
        <v>38.500138370000002</v>
      </c>
      <c r="AU1476" s="19">
        <v>-122.93720595000001</v>
      </c>
      <c r="AV1476" s="19" t="s">
        <v>548</v>
      </c>
    </row>
    <row r="1477" spans="1:48" x14ac:dyDescent="0.25">
      <c r="A1477" s="18" t="s">
        <v>1852</v>
      </c>
      <c r="B1477" s="10">
        <v>10000000</v>
      </c>
      <c r="C1477" s="9">
        <v>19</v>
      </c>
      <c r="D1477" s="8" t="str">
        <f t="shared" si="278"/>
        <v>N</v>
      </c>
      <c r="E1477" s="8" t="str">
        <f t="shared" si="279"/>
        <v>N</v>
      </c>
      <c r="F1477" s="8" t="str">
        <f t="shared" si="280"/>
        <v>N</v>
      </c>
      <c r="G1477" s="8" t="str">
        <f t="shared" si="281"/>
        <v>N</v>
      </c>
      <c r="H1477" s="8" t="str">
        <f t="shared" si="282"/>
        <v>Lower</v>
      </c>
      <c r="I1477" s="8" t="str">
        <f t="shared" si="283"/>
        <v>Outside</v>
      </c>
      <c r="J1477" s="8" t="str">
        <f t="shared" si="284"/>
        <v>Outside</v>
      </c>
      <c r="K1477" s="8" t="str">
        <f t="shared" si="285"/>
        <v>Riparian</v>
      </c>
      <c r="L1477" s="8">
        <f t="shared" si="286"/>
        <v>1000</v>
      </c>
      <c r="M1477" s="8" t="str">
        <f t="shared" si="288"/>
        <v>-</v>
      </c>
      <c r="N1477" s="10" t="s">
        <v>241</v>
      </c>
      <c r="O1477" s="10" t="s">
        <v>242</v>
      </c>
      <c r="P1477" s="10" t="s">
        <v>242</v>
      </c>
      <c r="Q1477" s="10" t="s">
        <v>242</v>
      </c>
      <c r="R1477" s="10" t="s">
        <v>242</v>
      </c>
      <c r="S1477" s="10" t="s">
        <v>241</v>
      </c>
      <c r="T1477" s="10" t="s">
        <v>242</v>
      </c>
      <c r="U1477" s="10" t="s">
        <v>242</v>
      </c>
      <c r="V1477" s="10" t="s">
        <v>242</v>
      </c>
      <c r="W1477" s="10" t="s">
        <v>242</v>
      </c>
      <c r="X1477" s="15">
        <f>IF(ISERROR(VLOOKUP($A1477,'13. Updated Demand'!A:Z,15,FALSE)),0,VLOOKUP($A1477,'13. Updated Demand'!A:Z,15,FALSE))</f>
        <v>0</v>
      </c>
      <c r="Y1477" s="16">
        <f>IF(ISERROR(VLOOKUP($A1477,'13. Updated Demand'!A:Z,16,FALSE)),0,VLOOKUP($A1477,'13. Updated Demand'!A:Z,16,FALSE))</f>
        <v>0</v>
      </c>
      <c r="Z1477" s="16">
        <f>IF(ISERROR(VLOOKUP($A1477,'13. Updated Demand'!A:Z,17,FALSE)),0,VLOOKUP($A1477,'13. Updated Demand'!A:Z,17,FALSE))</f>
        <v>0.91666666699999999</v>
      </c>
      <c r="AA1477" s="16">
        <f>IF(ISERROR(VLOOKUP($A1477,'13. Updated Demand'!A:Z,18,FALSE)),0,VLOOKUP($A1477,'13. Updated Demand'!A:Z,18,FALSE))</f>
        <v>1.0333333330000001</v>
      </c>
      <c r="AB1477" s="16">
        <f>IF(ISERROR(VLOOKUP($A1477,'13. Updated Demand'!A:Z,19,FALSE)),0,VLOOKUP($A1477,'13. Updated Demand'!A:Z,19,FALSE))</f>
        <v>0.83333333300000001</v>
      </c>
      <c r="AC1477" s="16">
        <f>IF(ISERROR(VLOOKUP($A1477,'13. Updated Demand'!A:Z,20,FALSE)),0,VLOOKUP($A1477,'13. Updated Demand'!A:Z,20,FALSE))</f>
        <v>0.26666666700000002</v>
      </c>
      <c r="AD1477" s="16">
        <f>IF(ISERROR(VLOOKUP($A1477,'13. Updated Demand'!A:Z,21,FALSE)),0,VLOOKUP($A1477,'13. Updated Demand'!A:Z,21,FALSE))</f>
        <v>0.1</v>
      </c>
      <c r="AE1477" s="16">
        <f>IF(ISERROR(VLOOKUP($A1477,'13. Updated Demand'!A:Z,22,FALSE)),0,VLOOKUP($A1477,'13. Updated Demand'!A:Z,22,FALSE))</f>
        <v>0.33333333300000001</v>
      </c>
      <c r="AF1477" s="16">
        <f>IF(ISERROR(VLOOKUP($A1477,'13. Updated Demand'!A:Z,23,FALSE)),0,VLOOKUP($A1477,'13. Updated Demand'!A:Z,23,FALSE))</f>
        <v>0.5</v>
      </c>
      <c r="AG1477" s="16">
        <f>IF(ISERROR(VLOOKUP($A1477,'13. Updated Demand'!A:Z,24,FALSE)),0,VLOOKUP($A1477,'13. Updated Demand'!A:Z,24,FALSE))</f>
        <v>0.16666666699999999</v>
      </c>
      <c r="AH1477" s="16">
        <f>IF(ISERROR(VLOOKUP($A1477,'13. Updated Demand'!A:Z,25,FALSE)),0,VLOOKUP($A1477,'13. Updated Demand'!A:Z,25,FALSE))</f>
        <v>6.6666666999999999E-2</v>
      </c>
      <c r="AI1477" s="16">
        <f>IF(ISERROR(VLOOKUP($A1477,'13. Updated Demand'!A:Z,26,FALSE)),0,VLOOKUP($A1477,'13. Updated Demand'!A:Z,26,FALSE))</f>
        <v>0</v>
      </c>
      <c r="AJ1477" s="16">
        <f t="shared" si="277"/>
        <v>4.2166666670000001</v>
      </c>
      <c r="AK1477" s="19">
        <v>2.0333333330000003</v>
      </c>
      <c r="AL1477" s="16">
        <f t="shared" si="287"/>
        <v>6.7443350471285742E-3</v>
      </c>
      <c r="AM1477" s="26">
        <v>0.20690219170755644</v>
      </c>
      <c r="AN1477" s="19">
        <v>20.38</v>
      </c>
      <c r="AO1477" s="19" t="s">
        <v>1758</v>
      </c>
      <c r="AP1477" s="19">
        <v>0</v>
      </c>
      <c r="AQ1477" s="19" t="s">
        <v>307</v>
      </c>
      <c r="AR1477" s="9" t="s">
        <v>684</v>
      </c>
      <c r="AS1477" s="12">
        <v>0</v>
      </c>
      <c r="AT1477" s="19">
        <v>38.517925599999998</v>
      </c>
      <c r="AU1477" s="19">
        <v>-122.97798558</v>
      </c>
      <c r="AV1477" s="19" t="s">
        <v>548</v>
      </c>
    </row>
    <row r="1478" spans="1:48" x14ac:dyDescent="0.25">
      <c r="A1478" s="18" t="s">
        <v>1853</v>
      </c>
      <c r="B1478" s="10">
        <v>10000000</v>
      </c>
      <c r="C1478" s="9">
        <v>2</v>
      </c>
      <c r="D1478" s="8" t="str">
        <f t="shared" si="278"/>
        <v>N</v>
      </c>
      <c r="E1478" s="8" t="str">
        <f t="shared" si="279"/>
        <v>N</v>
      </c>
      <c r="F1478" s="8" t="str">
        <f t="shared" si="280"/>
        <v>Y</v>
      </c>
      <c r="G1478" s="8" t="str">
        <f t="shared" si="281"/>
        <v>N</v>
      </c>
      <c r="H1478" s="8" t="str">
        <f t="shared" si="282"/>
        <v>Upper</v>
      </c>
      <c r="I1478" s="8" t="str">
        <f t="shared" si="283"/>
        <v>Outside</v>
      </c>
      <c r="J1478" s="8" t="str">
        <f t="shared" si="284"/>
        <v>Outside</v>
      </c>
      <c r="K1478" s="8" t="str">
        <f t="shared" si="285"/>
        <v>Riparian</v>
      </c>
      <c r="L1478" s="8">
        <f t="shared" si="286"/>
        <v>1000</v>
      </c>
      <c r="M1478" s="8" t="str">
        <f t="shared" si="288"/>
        <v>-</v>
      </c>
      <c r="N1478" s="10" t="s">
        <v>242</v>
      </c>
      <c r="O1478" s="10" t="s">
        <v>241</v>
      </c>
      <c r="P1478" s="10" t="s">
        <v>242</v>
      </c>
      <c r="Q1478" s="10" t="s">
        <v>242</v>
      </c>
      <c r="R1478" s="10" t="s">
        <v>242</v>
      </c>
      <c r="S1478" s="10" t="s">
        <v>241</v>
      </c>
      <c r="T1478" s="10" t="s">
        <v>242</v>
      </c>
      <c r="U1478" s="10" t="s">
        <v>242</v>
      </c>
      <c r="V1478" s="10" t="s">
        <v>242</v>
      </c>
      <c r="W1478" s="10" t="s">
        <v>242</v>
      </c>
      <c r="X1478" s="15">
        <f>IF(ISERROR(VLOOKUP($A1478,'13. Updated Demand'!A:Z,15,FALSE)),0,VLOOKUP($A1478,'13. Updated Demand'!A:Z,15,FALSE))</f>
        <v>0</v>
      </c>
      <c r="Y1478" s="16">
        <f>IF(ISERROR(VLOOKUP($A1478,'13. Updated Demand'!A:Z,16,FALSE)),0,VLOOKUP($A1478,'13. Updated Demand'!A:Z,16,FALSE))</f>
        <v>0</v>
      </c>
      <c r="Z1478" s="16">
        <f>IF(ISERROR(VLOOKUP($A1478,'13. Updated Demand'!A:Z,17,FALSE)),0,VLOOKUP($A1478,'13. Updated Demand'!A:Z,17,FALSE))</f>
        <v>0</v>
      </c>
      <c r="AA1478" s="16">
        <f>IF(ISERROR(VLOOKUP($A1478,'13. Updated Demand'!A:Z,18,FALSE)),0,VLOOKUP($A1478,'13. Updated Demand'!A:Z,18,FALSE))</f>
        <v>0</v>
      </c>
      <c r="AB1478" s="16">
        <f>IF(ISERROR(VLOOKUP($A1478,'13. Updated Demand'!A:Z,19,FALSE)),0,VLOOKUP($A1478,'13. Updated Demand'!A:Z,19,FALSE))</f>
        <v>0.63</v>
      </c>
      <c r="AC1478" s="16">
        <f>IF(ISERROR(VLOOKUP($A1478,'13. Updated Demand'!A:Z,20,FALSE)),0,VLOOKUP($A1478,'13. Updated Demand'!A:Z,20,FALSE))</f>
        <v>18.36</v>
      </c>
      <c r="AD1478" s="16">
        <f>IF(ISERROR(VLOOKUP($A1478,'13. Updated Demand'!A:Z,21,FALSE)),0,VLOOKUP($A1478,'13. Updated Demand'!A:Z,21,FALSE))</f>
        <v>29.06</v>
      </c>
      <c r="AE1478" s="16">
        <f>IF(ISERROR(VLOOKUP($A1478,'13. Updated Demand'!A:Z,22,FALSE)),0,VLOOKUP($A1478,'13. Updated Demand'!A:Z,22,FALSE))</f>
        <v>28.53</v>
      </c>
      <c r="AF1478" s="16">
        <f>IF(ISERROR(VLOOKUP($A1478,'13. Updated Demand'!A:Z,23,FALSE)),0,VLOOKUP($A1478,'13. Updated Demand'!A:Z,23,FALSE))</f>
        <v>13.46</v>
      </c>
      <c r="AG1478" s="16">
        <f>IF(ISERROR(VLOOKUP($A1478,'13. Updated Demand'!A:Z,24,FALSE)),0,VLOOKUP($A1478,'13. Updated Demand'!A:Z,24,FALSE))</f>
        <v>8.9</v>
      </c>
      <c r="AH1478" s="16">
        <f>IF(ISERROR(VLOOKUP($A1478,'13. Updated Demand'!A:Z,25,FALSE)),0,VLOOKUP($A1478,'13. Updated Demand'!A:Z,25,FALSE))</f>
        <v>4.5</v>
      </c>
      <c r="AI1478" s="16">
        <f>IF(ISERROR(VLOOKUP($A1478,'13. Updated Demand'!A:Z,26,FALSE)),0,VLOOKUP($A1478,'13. Updated Demand'!A:Z,26,FALSE))</f>
        <v>0</v>
      </c>
      <c r="AJ1478" s="16">
        <f t="shared" si="277"/>
        <v>103.44</v>
      </c>
      <c r="AK1478" s="19">
        <v>90.066666673</v>
      </c>
      <c r="AL1478" s="16">
        <f t="shared" si="287"/>
        <v>0.29874087379688913</v>
      </c>
      <c r="AM1478" s="26">
        <v>2.1318037093590581E-2</v>
      </c>
      <c r="AN1478" s="19">
        <v>4853.4799999999996</v>
      </c>
      <c r="AO1478" s="19" t="s">
        <v>1758</v>
      </c>
      <c r="AP1478" s="19">
        <v>0</v>
      </c>
      <c r="AQ1478" s="19" t="s">
        <v>307</v>
      </c>
      <c r="AR1478" s="9" t="s">
        <v>348</v>
      </c>
      <c r="AS1478" s="12">
        <v>0</v>
      </c>
      <c r="AT1478" s="19">
        <v>39.304777059999999</v>
      </c>
      <c r="AU1478" s="19">
        <v>-123.10126409999999</v>
      </c>
      <c r="AV1478" s="19" t="s">
        <v>387</v>
      </c>
    </row>
    <row r="1479" spans="1:48" x14ac:dyDescent="0.25">
      <c r="A1479" s="18" t="s">
        <v>1854</v>
      </c>
      <c r="B1479" s="10">
        <v>10000000</v>
      </c>
      <c r="C1479" s="9">
        <v>2</v>
      </c>
      <c r="D1479" s="8" t="str">
        <f t="shared" si="278"/>
        <v>N</v>
      </c>
      <c r="E1479" s="8" t="str">
        <f t="shared" si="279"/>
        <v>N</v>
      </c>
      <c r="F1479" s="8" t="str">
        <f t="shared" si="280"/>
        <v>Y</v>
      </c>
      <c r="G1479" s="8" t="str">
        <f t="shared" si="281"/>
        <v>N</v>
      </c>
      <c r="H1479" s="8" t="str">
        <f t="shared" si="282"/>
        <v>Upper</v>
      </c>
      <c r="I1479" s="8" t="str">
        <f t="shared" si="283"/>
        <v>Outside</v>
      </c>
      <c r="J1479" s="8" t="str">
        <f t="shared" si="284"/>
        <v>Outside</v>
      </c>
      <c r="K1479" s="8" t="str">
        <f t="shared" si="285"/>
        <v>Riparian</v>
      </c>
      <c r="L1479" s="8">
        <f t="shared" si="286"/>
        <v>1000</v>
      </c>
      <c r="M1479" s="8" t="str">
        <f t="shared" si="288"/>
        <v>-</v>
      </c>
      <c r="N1479" s="10" t="s">
        <v>242</v>
      </c>
      <c r="O1479" s="10" t="s">
        <v>241</v>
      </c>
      <c r="P1479" s="10" t="s">
        <v>242</v>
      </c>
      <c r="Q1479" s="10" t="s">
        <v>242</v>
      </c>
      <c r="R1479" s="10" t="s">
        <v>242</v>
      </c>
      <c r="S1479" s="10" t="s">
        <v>241</v>
      </c>
      <c r="T1479" s="10" t="s">
        <v>242</v>
      </c>
      <c r="U1479" s="10" t="s">
        <v>242</v>
      </c>
      <c r="V1479" s="10" t="s">
        <v>242</v>
      </c>
      <c r="W1479" s="10" t="s">
        <v>242</v>
      </c>
      <c r="X1479" s="15">
        <f>IF(ISERROR(VLOOKUP($A1479,'13. Updated Demand'!A:Z,15,FALSE)),0,VLOOKUP($A1479,'13. Updated Demand'!A:Z,15,FALSE))</f>
        <v>1.72</v>
      </c>
      <c r="Y1479" s="16">
        <f>IF(ISERROR(VLOOKUP($A1479,'13. Updated Demand'!A:Z,16,FALSE)),0,VLOOKUP($A1479,'13. Updated Demand'!A:Z,16,FALSE))</f>
        <v>0.4</v>
      </c>
      <c r="Z1479" s="16">
        <f>IF(ISERROR(VLOOKUP($A1479,'13. Updated Demand'!A:Z,17,FALSE)),0,VLOOKUP($A1479,'13. Updated Demand'!A:Z,17,FALSE))</f>
        <v>7</v>
      </c>
      <c r="AA1479" s="16">
        <f>IF(ISERROR(VLOOKUP($A1479,'13. Updated Demand'!A:Z,18,FALSE)),0,VLOOKUP($A1479,'13. Updated Demand'!A:Z,18,FALSE))</f>
        <v>10.45</v>
      </c>
      <c r="AB1479" s="16">
        <f>IF(ISERROR(VLOOKUP($A1479,'13. Updated Demand'!A:Z,19,FALSE)),0,VLOOKUP($A1479,'13. Updated Demand'!A:Z,19,FALSE))</f>
        <v>12.81</v>
      </c>
      <c r="AC1479" s="16">
        <f>IF(ISERROR(VLOOKUP($A1479,'13. Updated Demand'!A:Z,20,FALSE)),0,VLOOKUP($A1479,'13. Updated Demand'!A:Z,20,FALSE))</f>
        <v>19.34</v>
      </c>
      <c r="AD1479" s="16">
        <f>IF(ISERROR(VLOOKUP($A1479,'13. Updated Demand'!A:Z,21,FALSE)),0,VLOOKUP($A1479,'13. Updated Demand'!A:Z,21,FALSE))</f>
        <v>4.3899999999999997</v>
      </c>
      <c r="AE1479" s="16">
        <f>IF(ISERROR(VLOOKUP($A1479,'13. Updated Demand'!A:Z,22,FALSE)),0,VLOOKUP($A1479,'13. Updated Demand'!A:Z,22,FALSE))</f>
        <v>0</v>
      </c>
      <c r="AF1479" s="16">
        <f>IF(ISERROR(VLOOKUP($A1479,'13. Updated Demand'!A:Z,23,FALSE)),0,VLOOKUP($A1479,'13. Updated Demand'!A:Z,23,FALSE))</f>
        <v>0</v>
      </c>
      <c r="AG1479" s="16">
        <f>IF(ISERROR(VLOOKUP($A1479,'13. Updated Demand'!A:Z,24,FALSE)),0,VLOOKUP($A1479,'13. Updated Demand'!A:Z,24,FALSE))</f>
        <v>0</v>
      </c>
      <c r="AH1479" s="16">
        <f>IF(ISERROR(VLOOKUP($A1479,'13. Updated Demand'!A:Z,25,FALSE)),0,VLOOKUP($A1479,'13. Updated Demand'!A:Z,25,FALSE))</f>
        <v>0.16</v>
      </c>
      <c r="AI1479" s="16">
        <f>IF(ISERROR(VLOOKUP($A1479,'13. Updated Demand'!A:Z,26,FALSE)),0,VLOOKUP($A1479,'13. Updated Demand'!A:Z,26,FALSE))</f>
        <v>6.7</v>
      </c>
      <c r="AJ1479" s="16">
        <f t="shared" si="277"/>
        <v>62.97</v>
      </c>
      <c r="AK1479" s="19">
        <v>36.54666666</v>
      </c>
      <c r="AL1479" s="16">
        <f t="shared" si="287"/>
        <v>0.12122113025467397</v>
      </c>
      <c r="AM1479" s="26">
        <v>31.498333332000001</v>
      </c>
      <c r="AN1479" s="19">
        <v>2</v>
      </c>
      <c r="AO1479" s="19" t="s">
        <v>1758</v>
      </c>
      <c r="AP1479" s="19">
        <v>0</v>
      </c>
      <c r="AQ1479" s="19" t="s">
        <v>307</v>
      </c>
      <c r="AR1479" s="9" t="s">
        <v>348</v>
      </c>
      <c r="AS1479" s="12">
        <v>0</v>
      </c>
      <c r="AT1479" s="19">
        <v>39.225700000000003</v>
      </c>
      <c r="AU1479" s="19">
        <v>-123.1186</v>
      </c>
      <c r="AV1479" s="19" t="s">
        <v>385</v>
      </c>
    </row>
    <row r="1480" spans="1:48" x14ac:dyDescent="0.25">
      <c r="A1480" s="18" t="s">
        <v>1855</v>
      </c>
      <c r="B1480" s="10">
        <v>10000000</v>
      </c>
      <c r="C1480" s="9">
        <v>2</v>
      </c>
      <c r="D1480" s="8" t="str">
        <f t="shared" si="278"/>
        <v>N</v>
      </c>
      <c r="E1480" s="8" t="str">
        <f t="shared" si="279"/>
        <v>N</v>
      </c>
      <c r="F1480" s="8" t="str">
        <f t="shared" si="280"/>
        <v>Y</v>
      </c>
      <c r="G1480" s="8" t="str">
        <f t="shared" si="281"/>
        <v>N</v>
      </c>
      <c r="H1480" s="8" t="str">
        <f t="shared" si="282"/>
        <v>Upper</v>
      </c>
      <c r="I1480" s="8" t="str">
        <f t="shared" si="283"/>
        <v>Outside</v>
      </c>
      <c r="J1480" s="8" t="str">
        <f t="shared" si="284"/>
        <v>Outside</v>
      </c>
      <c r="K1480" s="8" t="str">
        <f t="shared" si="285"/>
        <v>Riparian</v>
      </c>
      <c r="L1480" s="8">
        <f t="shared" si="286"/>
        <v>1000</v>
      </c>
      <c r="M1480" s="8" t="str">
        <f t="shared" si="288"/>
        <v>-</v>
      </c>
      <c r="N1480" s="10" t="s">
        <v>242</v>
      </c>
      <c r="O1480" s="10" t="s">
        <v>241</v>
      </c>
      <c r="P1480" s="10" t="s">
        <v>242</v>
      </c>
      <c r="Q1480" s="10" t="s">
        <v>242</v>
      </c>
      <c r="R1480" s="10" t="s">
        <v>242</v>
      </c>
      <c r="S1480" s="10" t="s">
        <v>241</v>
      </c>
      <c r="T1480" s="10" t="s">
        <v>242</v>
      </c>
      <c r="U1480" s="10" t="s">
        <v>242</v>
      </c>
      <c r="V1480" s="10" t="s">
        <v>242</v>
      </c>
      <c r="W1480" s="10" t="s">
        <v>242</v>
      </c>
      <c r="X1480" s="15">
        <f>IF(ISERROR(VLOOKUP($A1480,'13. Updated Demand'!A:Z,15,FALSE)),0,VLOOKUP($A1480,'13. Updated Demand'!A:Z,15,FALSE))</f>
        <v>0</v>
      </c>
      <c r="Y1480" s="16">
        <f>IF(ISERROR(VLOOKUP($A1480,'13. Updated Demand'!A:Z,16,FALSE)),0,VLOOKUP($A1480,'13. Updated Demand'!A:Z,16,FALSE))</f>
        <v>0</v>
      </c>
      <c r="Z1480" s="16">
        <f>IF(ISERROR(VLOOKUP($A1480,'13. Updated Demand'!A:Z,17,FALSE)),0,VLOOKUP($A1480,'13. Updated Demand'!A:Z,17,FALSE))</f>
        <v>0</v>
      </c>
      <c r="AA1480" s="16">
        <f>IF(ISERROR(VLOOKUP($A1480,'13. Updated Demand'!A:Z,18,FALSE)),0,VLOOKUP($A1480,'13. Updated Demand'!A:Z,18,FALSE))</f>
        <v>4</v>
      </c>
      <c r="AB1480" s="16">
        <f>IF(ISERROR(VLOOKUP($A1480,'13. Updated Demand'!A:Z,19,FALSE)),0,VLOOKUP($A1480,'13. Updated Demand'!A:Z,19,FALSE))</f>
        <v>4</v>
      </c>
      <c r="AC1480" s="16">
        <f>IF(ISERROR(VLOOKUP($A1480,'13. Updated Demand'!A:Z,20,FALSE)),0,VLOOKUP($A1480,'13. Updated Demand'!A:Z,20,FALSE))</f>
        <v>4</v>
      </c>
      <c r="AD1480" s="16">
        <f>IF(ISERROR(VLOOKUP($A1480,'13. Updated Demand'!A:Z,21,FALSE)),0,VLOOKUP($A1480,'13. Updated Demand'!A:Z,21,FALSE))</f>
        <v>4</v>
      </c>
      <c r="AE1480" s="16">
        <f>IF(ISERROR(VLOOKUP($A1480,'13. Updated Demand'!A:Z,22,FALSE)),0,VLOOKUP($A1480,'13. Updated Demand'!A:Z,22,FALSE))</f>
        <v>4</v>
      </c>
      <c r="AF1480" s="16">
        <f>IF(ISERROR(VLOOKUP($A1480,'13. Updated Demand'!A:Z,23,FALSE)),0,VLOOKUP($A1480,'13. Updated Demand'!A:Z,23,FALSE))</f>
        <v>4</v>
      </c>
      <c r="AG1480" s="16">
        <f>IF(ISERROR(VLOOKUP($A1480,'13. Updated Demand'!A:Z,24,FALSE)),0,VLOOKUP($A1480,'13. Updated Demand'!A:Z,24,FALSE))</f>
        <v>0</v>
      </c>
      <c r="AH1480" s="16">
        <f>IF(ISERROR(VLOOKUP($A1480,'13. Updated Demand'!A:Z,25,FALSE)),0,VLOOKUP($A1480,'13. Updated Demand'!A:Z,25,FALSE))</f>
        <v>0</v>
      </c>
      <c r="AI1480" s="16">
        <f>IF(ISERROR(VLOOKUP($A1480,'13. Updated Demand'!A:Z,26,FALSE)),0,VLOOKUP($A1480,'13. Updated Demand'!A:Z,26,FALSE))</f>
        <v>0</v>
      </c>
      <c r="AJ1480" s="16">
        <f t="shared" si="277"/>
        <v>24</v>
      </c>
      <c r="AK1480" s="19">
        <v>20</v>
      </c>
      <c r="AL1480" s="16">
        <f t="shared" si="287"/>
        <v>6.6337721785910173E-2</v>
      </c>
      <c r="AM1480" s="26">
        <v>0.42749505708840241</v>
      </c>
      <c r="AN1480" s="19">
        <v>56.140999999999998</v>
      </c>
      <c r="AO1480" s="19" t="s">
        <v>1758</v>
      </c>
      <c r="AP1480" s="19">
        <v>0</v>
      </c>
      <c r="AQ1480" s="19" t="s">
        <v>307</v>
      </c>
      <c r="AR1480" s="9" t="s">
        <v>348</v>
      </c>
      <c r="AS1480" s="12">
        <v>0</v>
      </c>
      <c r="AT1480" s="19">
        <v>39.296634730000001</v>
      </c>
      <c r="AU1480" s="19">
        <v>-123.06120393</v>
      </c>
      <c r="AV1480" s="19" t="s">
        <v>1083</v>
      </c>
    </row>
    <row r="1481" spans="1:48" x14ac:dyDescent="0.25">
      <c r="A1481" s="18" t="s">
        <v>1856</v>
      </c>
      <c r="B1481" s="10">
        <v>10000000</v>
      </c>
      <c r="C1481" s="9">
        <v>19</v>
      </c>
      <c r="D1481" s="8" t="str">
        <f t="shared" si="278"/>
        <v>N</v>
      </c>
      <c r="E1481" s="8" t="str">
        <f t="shared" si="279"/>
        <v>N</v>
      </c>
      <c r="F1481" s="8" t="str">
        <f t="shared" si="280"/>
        <v>N</v>
      </c>
      <c r="G1481" s="8" t="str">
        <f t="shared" si="281"/>
        <v>N</v>
      </c>
      <c r="H1481" s="8" t="str">
        <f t="shared" si="282"/>
        <v>Lower</v>
      </c>
      <c r="I1481" s="8" t="str">
        <f t="shared" si="283"/>
        <v>Outside</v>
      </c>
      <c r="J1481" s="8" t="str">
        <f t="shared" si="284"/>
        <v>Outside</v>
      </c>
      <c r="K1481" s="8" t="str">
        <f t="shared" si="285"/>
        <v>Riparian</v>
      </c>
      <c r="L1481" s="8">
        <f t="shared" si="286"/>
        <v>1000</v>
      </c>
      <c r="M1481" s="8" t="str">
        <f t="shared" si="288"/>
        <v>-</v>
      </c>
      <c r="N1481" s="10" t="s">
        <v>241</v>
      </c>
      <c r="O1481" s="10" t="s">
        <v>242</v>
      </c>
      <c r="P1481" s="10" t="s">
        <v>242</v>
      </c>
      <c r="Q1481" s="10" t="s">
        <v>242</v>
      </c>
      <c r="R1481" s="10" t="s">
        <v>242</v>
      </c>
      <c r="S1481" s="10" t="s">
        <v>241</v>
      </c>
      <c r="T1481" s="10" t="s">
        <v>242</v>
      </c>
      <c r="U1481" s="10" t="s">
        <v>242</v>
      </c>
      <c r="V1481" s="10" t="s">
        <v>242</v>
      </c>
      <c r="W1481" s="10" t="s">
        <v>242</v>
      </c>
      <c r="X1481" s="15">
        <f>IF(ISERROR(VLOOKUP($A1481,'13. Updated Demand'!A:Z,15,FALSE)),0,VLOOKUP($A1481,'13. Updated Demand'!A:Z,15,FALSE))</f>
        <v>0</v>
      </c>
      <c r="Y1481" s="16">
        <f>IF(ISERROR(VLOOKUP($A1481,'13. Updated Demand'!A:Z,16,FALSE)),0,VLOOKUP($A1481,'13. Updated Demand'!A:Z,16,FALSE))</f>
        <v>0</v>
      </c>
      <c r="Z1481" s="16">
        <f>IF(ISERROR(VLOOKUP($A1481,'13. Updated Demand'!A:Z,17,FALSE)),0,VLOOKUP($A1481,'13. Updated Demand'!A:Z,17,FALSE))</f>
        <v>0</v>
      </c>
      <c r="AA1481" s="16">
        <f>IF(ISERROR(VLOOKUP($A1481,'13. Updated Demand'!A:Z,18,FALSE)),0,VLOOKUP($A1481,'13. Updated Demand'!A:Z,18,FALSE))</f>
        <v>0</v>
      </c>
      <c r="AB1481" s="16">
        <f>IF(ISERROR(VLOOKUP($A1481,'13. Updated Demand'!A:Z,19,FALSE)),0,VLOOKUP($A1481,'13. Updated Demand'!A:Z,19,FALSE))</f>
        <v>0.04</v>
      </c>
      <c r="AC1481" s="16">
        <f>IF(ISERROR(VLOOKUP($A1481,'13. Updated Demand'!A:Z,20,FALSE)),0,VLOOKUP($A1481,'13. Updated Demand'!A:Z,20,FALSE))</f>
        <v>0.21666666700000001</v>
      </c>
      <c r="AD1481" s="16">
        <f>IF(ISERROR(VLOOKUP($A1481,'13. Updated Demand'!A:Z,21,FALSE)),0,VLOOKUP($A1481,'13. Updated Demand'!A:Z,21,FALSE))</f>
        <v>0.366666667</v>
      </c>
      <c r="AE1481" s="16">
        <f>IF(ISERROR(VLOOKUP($A1481,'13. Updated Demand'!A:Z,22,FALSE)),0,VLOOKUP($A1481,'13. Updated Demand'!A:Z,22,FALSE))</f>
        <v>0.28333333300000002</v>
      </c>
      <c r="AF1481" s="16">
        <f>IF(ISERROR(VLOOKUP($A1481,'13. Updated Demand'!A:Z,23,FALSE)),0,VLOOKUP($A1481,'13. Updated Demand'!A:Z,23,FALSE))</f>
        <v>0.366666667</v>
      </c>
      <c r="AG1481" s="16">
        <f>IF(ISERROR(VLOOKUP($A1481,'13. Updated Demand'!A:Z,24,FALSE)),0,VLOOKUP($A1481,'13. Updated Demand'!A:Z,24,FALSE))</f>
        <v>0.1</v>
      </c>
      <c r="AH1481" s="16">
        <f>IF(ISERROR(VLOOKUP($A1481,'13. Updated Demand'!A:Z,25,FALSE)),0,VLOOKUP($A1481,'13. Updated Demand'!A:Z,25,FALSE))</f>
        <v>0</v>
      </c>
      <c r="AI1481" s="16">
        <f>IF(ISERROR(VLOOKUP($A1481,'13. Updated Demand'!A:Z,26,FALSE)),0,VLOOKUP($A1481,'13. Updated Demand'!A:Z,26,FALSE))</f>
        <v>0</v>
      </c>
      <c r="AJ1481" s="16">
        <f t="shared" si="277"/>
        <v>1.3733333340000002</v>
      </c>
      <c r="AK1481" s="19">
        <v>1.2733333340000001</v>
      </c>
      <c r="AL1481" s="16">
        <f t="shared" si="287"/>
        <v>4.2235016225808733E-3</v>
      </c>
      <c r="AM1481" s="26">
        <v>0.12638812203202654</v>
      </c>
      <c r="AN1481" s="19">
        <v>10.866</v>
      </c>
      <c r="AO1481" s="19" t="s">
        <v>1758</v>
      </c>
      <c r="AP1481" s="19">
        <v>0</v>
      </c>
      <c r="AQ1481" s="19" t="s">
        <v>307</v>
      </c>
      <c r="AR1481" s="9" t="s">
        <v>684</v>
      </c>
      <c r="AS1481" s="12">
        <v>0</v>
      </c>
      <c r="AT1481" s="19">
        <v>38.517934439999998</v>
      </c>
      <c r="AU1481" s="19">
        <v>-122.97693709000001</v>
      </c>
      <c r="AV1481" s="19" t="s">
        <v>387</v>
      </c>
    </row>
    <row r="1482" spans="1:48" x14ac:dyDescent="0.25">
      <c r="A1482" s="18" t="s">
        <v>1857</v>
      </c>
      <c r="B1482" s="10">
        <v>10000000</v>
      </c>
      <c r="C1482" s="9">
        <v>2</v>
      </c>
      <c r="D1482" s="8" t="str">
        <f t="shared" si="278"/>
        <v>N</v>
      </c>
      <c r="E1482" s="8" t="str">
        <f t="shared" si="279"/>
        <v>N</v>
      </c>
      <c r="F1482" s="8" t="str">
        <f t="shared" si="280"/>
        <v>Y</v>
      </c>
      <c r="G1482" s="8" t="str">
        <f t="shared" si="281"/>
        <v>N</v>
      </c>
      <c r="H1482" s="8" t="str">
        <f t="shared" si="282"/>
        <v>Upper</v>
      </c>
      <c r="I1482" s="8" t="str">
        <f t="shared" si="283"/>
        <v>Outside</v>
      </c>
      <c r="J1482" s="8" t="str">
        <f t="shared" si="284"/>
        <v>Outside</v>
      </c>
      <c r="K1482" s="8" t="str">
        <f t="shared" si="285"/>
        <v>Riparian</v>
      </c>
      <c r="L1482" s="8">
        <f t="shared" si="286"/>
        <v>1000</v>
      </c>
      <c r="M1482" s="8" t="str">
        <f t="shared" si="288"/>
        <v>-</v>
      </c>
      <c r="N1482" s="10" t="s">
        <v>242</v>
      </c>
      <c r="O1482" s="10" t="s">
        <v>241</v>
      </c>
      <c r="P1482" s="10" t="s">
        <v>242</v>
      </c>
      <c r="Q1482" s="10" t="s">
        <v>242</v>
      </c>
      <c r="R1482" s="10" t="s">
        <v>242</v>
      </c>
      <c r="S1482" s="10" t="s">
        <v>241</v>
      </c>
      <c r="T1482" s="10" t="s">
        <v>242</v>
      </c>
      <c r="U1482" s="10" t="s">
        <v>242</v>
      </c>
      <c r="V1482" s="10" t="s">
        <v>242</v>
      </c>
      <c r="W1482" s="10" t="s">
        <v>242</v>
      </c>
      <c r="X1482" s="15">
        <f>IF(ISERROR(VLOOKUP($A1482,'13. Updated Demand'!A:Z,15,FALSE)),0,VLOOKUP($A1482,'13. Updated Demand'!A:Z,15,FALSE))</f>
        <v>0</v>
      </c>
      <c r="Y1482" s="16">
        <f>IF(ISERROR(VLOOKUP($A1482,'13. Updated Demand'!A:Z,16,FALSE)),0,VLOOKUP($A1482,'13. Updated Demand'!A:Z,16,FALSE))</f>
        <v>0</v>
      </c>
      <c r="Z1482" s="16">
        <f>IF(ISERROR(VLOOKUP($A1482,'13. Updated Demand'!A:Z,17,FALSE)),0,VLOOKUP($A1482,'13. Updated Demand'!A:Z,17,FALSE))</f>
        <v>2</v>
      </c>
      <c r="AA1482" s="16">
        <f>IF(ISERROR(VLOOKUP($A1482,'13. Updated Demand'!A:Z,18,FALSE)),0,VLOOKUP($A1482,'13. Updated Demand'!A:Z,18,FALSE))</f>
        <v>4</v>
      </c>
      <c r="AB1482" s="16">
        <f>IF(ISERROR(VLOOKUP($A1482,'13. Updated Demand'!A:Z,19,FALSE)),0,VLOOKUP($A1482,'13. Updated Demand'!A:Z,19,FALSE))</f>
        <v>3.33</v>
      </c>
      <c r="AC1482" s="16">
        <f>IF(ISERROR(VLOOKUP($A1482,'13. Updated Demand'!A:Z,20,FALSE)),0,VLOOKUP($A1482,'13. Updated Demand'!A:Z,20,FALSE))</f>
        <v>2.66</v>
      </c>
      <c r="AD1482" s="16">
        <f>IF(ISERROR(VLOOKUP($A1482,'13. Updated Demand'!A:Z,21,FALSE)),0,VLOOKUP($A1482,'13. Updated Demand'!A:Z,21,FALSE))</f>
        <v>5.33</v>
      </c>
      <c r="AE1482" s="16">
        <f>IF(ISERROR(VLOOKUP($A1482,'13. Updated Demand'!A:Z,22,FALSE)),0,VLOOKUP($A1482,'13. Updated Demand'!A:Z,22,FALSE))</f>
        <v>3.33</v>
      </c>
      <c r="AF1482" s="16">
        <f>IF(ISERROR(VLOOKUP($A1482,'13. Updated Demand'!A:Z,23,FALSE)),0,VLOOKUP($A1482,'13. Updated Demand'!A:Z,23,FALSE))</f>
        <v>2.66</v>
      </c>
      <c r="AG1482" s="16">
        <f>IF(ISERROR(VLOOKUP($A1482,'13. Updated Demand'!A:Z,24,FALSE)),0,VLOOKUP($A1482,'13. Updated Demand'!A:Z,24,FALSE))</f>
        <v>2.66</v>
      </c>
      <c r="AH1482" s="16">
        <f>IF(ISERROR(VLOOKUP($A1482,'13. Updated Demand'!A:Z,25,FALSE)),0,VLOOKUP($A1482,'13. Updated Demand'!A:Z,25,FALSE))</f>
        <v>0</v>
      </c>
      <c r="AI1482" s="16">
        <f>IF(ISERROR(VLOOKUP($A1482,'13. Updated Demand'!A:Z,26,FALSE)),0,VLOOKUP($A1482,'13. Updated Demand'!A:Z,26,FALSE))</f>
        <v>0</v>
      </c>
      <c r="AJ1482" s="16">
        <f t="shared" si="277"/>
        <v>25.97</v>
      </c>
      <c r="AK1482" s="19">
        <v>17.333333333333332</v>
      </c>
      <c r="AL1482" s="16">
        <f t="shared" si="287"/>
        <v>5.7492692214455486E-2</v>
      </c>
      <c r="AM1482" s="26">
        <v>2.1492079342143984E-2</v>
      </c>
      <c r="AN1482" s="19">
        <v>1209.748</v>
      </c>
      <c r="AO1482" s="19" t="s">
        <v>1758</v>
      </c>
      <c r="AP1482" s="19">
        <v>0</v>
      </c>
      <c r="AQ1482" s="19" t="s">
        <v>307</v>
      </c>
      <c r="AR1482" s="9" t="s">
        <v>348</v>
      </c>
      <c r="AS1482" s="12">
        <v>0</v>
      </c>
      <c r="AT1482" s="19">
        <v>39.294600000000003</v>
      </c>
      <c r="AU1482" s="19">
        <v>-123.1015</v>
      </c>
      <c r="AV1482" s="19" t="s">
        <v>542</v>
      </c>
    </row>
    <row r="1483" spans="1:48" x14ac:dyDescent="0.25">
      <c r="A1483" s="18" t="s">
        <v>1858</v>
      </c>
      <c r="B1483" s="10">
        <v>10000000</v>
      </c>
      <c r="C1483" s="9">
        <v>2</v>
      </c>
      <c r="D1483" s="8" t="str">
        <f t="shared" si="278"/>
        <v>N</v>
      </c>
      <c r="E1483" s="8" t="str">
        <f t="shared" si="279"/>
        <v>N</v>
      </c>
      <c r="F1483" s="8" t="str">
        <f t="shared" si="280"/>
        <v>Y</v>
      </c>
      <c r="G1483" s="8" t="str">
        <f t="shared" si="281"/>
        <v>N</v>
      </c>
      <c r="H1483" s="8" t="str">
        <f t="shared" si="282"/>
        <v>Upper</v>
      </c>
      <c r="I1483" s="8" t="str">
        <f t="shared" si="283"/>
        <v>Outside</v>
      </c>
      <c r="J1483" s="8" t="str">
        <f t="shared" si="284"/>
        <v>Outside</v>
      </c>
      <c r="K1483" s="8" t="str">
        <f t="shared" si="285"/>
        <v>Riparian</v>
      </c>
      <c r="L1483" s="8">
        <f t="shared" si="286"/>
        <v>1000</v>
      </c>
      <c r="M1483" s="8" t="str">
        <f t="shared" si="288"/>
        <v>-</v>
      </c>
      <c r="N1483" s="10" t="s">
        <v>242</v>
      </c>
      <c r="O1483" s="10" t="s">
        <v>241</v>
      </c>
      <c r="P1483" s="10" t="s">
        <v>242</v>
      </c>
      <c r="Q1483" s="10" t="s">
        <v>242</v>
      </c>
      <c r="R1483" s="10" t="s">
        <v>242</v>
      </c>
      <c r="S1483" s="10" t="s">
        <v>241</v>
      </c>
      <c r="T1483" s="10" t="s">
        <v>242</v>
      </c>
      <c r="U1483" s="10" t="s">
        <v>242</v>
      </c>
      <c r="V1483" s="10" t="s">
        <v>242</v>
      </c>
      <c r="W1483" s="10" t="s">
        <v>242</v>
      </c>
      <c r="X1483" s="15">
        <f>IF(ISERROR(VLOOKUP($A1483,'13. Updated Demand'!A:Z,15,FALSE)),0,VLOOKUP($A1483,'13. Updated Demand'!A:Z,15,FALSE))</f>
        <v>0</v>
      </c>
      <c r="Y1483" s="16">
        <f>IF(ISERROR(VLOOKUP($A1483,'13. Updated Demand'!A:Z,16,FALSE)),0,VLOOKUP($A1483,'13. Updated Demand'!A:Z,16,FALSE))</f>
        <v>0</v>
      </c>
      <c r="Z1483" s="16">
        <f>IF(ISERROR(VLOOKUP($A1483,'13. Updated Demand'!A:Z,17,FALSE)),0,VLOOKUP($A1483,'13. Updated Demand'!A:Z,17,FALSE))</f>
        <v>0</v>
      </c>
      <c r="AA1483" s="16">
        <f>IF(ISERROR(VLOOKUP($A1483,'13. Updated Demand'!A:Z,18,FALSE)),0,VLOOKUP($A1483,'13. Updated Demand'!A:Z,18,FALSE))</f>
        <v>3.66</v>
      </c>
      <c r="AB1483" s="16">
        <f>IF(ISERROR(VLOOKUP($A1483,'13. Updated Demand'!A:Z,19,FALSE)),0,VLOOKUP($A1483,'13. Updated Demand'!A:Z,19,FALSE))</f>
        <v>1.33</v>
      </c>
      <c r="AC1483" s="16">
        <f>IF(ISERROR(VLOOKUP($A1483,'13. Updated Demand'!A:Z,20,FALSE)),0,VLOOKUP($A1483,'13. Updated Demand'!A:Z,20,FALSE))</f>
        <v>4.53</v>
      </c>
      <c r="AD1483" s="16">
        <f>IF(ISERROR(VLOOKUP($A1483,'13. Updated Demand'!A:Z,21,FALSE)),0,VLOOKUP($A1483,'13. Updated Demand'!A:Z,21,FALSE))</f>
        <v>1.33</v>
      </c>
      <c r="AE1483" s="16">
        <f>IF(ISERROR(VLOOKUP($A1483,'13. Updated Demand'!A:Z,22,FALSE)),0,VLOOKUP($A1483,'13. Updated Demand'!A:Z,22,FALSE))</f>
        <v>3.06</v>
      </c>
      <c r="AF1483" s="16">
        <f>IF(ISERROR(VLOOKUP($A1483,'13. Updated Demand'!A:Z,23,FALSE)),0,VLOOKUP($A1483,'13. Updated Demand'!A:Z,23,FALSE))</f>
        <v>3.4</v>
      </c>
      <c r="AG1483" s="16">
        <f>IF(ISERROR(VLOOKUP($A1483,'13. Updated Demand'!A:Z,24,FALSE)),0,VLOOKUP($A1483,'13. Updated Demand'!A:Z,24,FALSE))</f>
        <v>0</v>
      </c>
      <c r="AH1483" s="16">
        <f>IF(ISERROR(VLOOKUP($A1483,'13. Updated Demand'!A:Z,25,FALSE)),0,VLOOKUP($A1483,'13. Updated Demand'!A:Z,25,FALSE))</f>
        <v>0</v>
      </c>
      <c r="AI1483" s="16">
        <f>IF(ISERROR(VLOOKUP($A1483,'13. Updated Demand'!A:Z,26,FALSE)),0,VLOOKUP($A1483,'13. Updated Demand'!A:Z,26,FALSE))</f>
        <v>0</v>
      </c>
      <c r="AJ1483" s="16">
        <f t="shared" si="277"/>
        <v>17.309999999999999</v>
      </c>
      <c r="AK1483" s="19">
        <v>13.666666665999999</v>
      </c>
      <c r="AL1483" s="16">
        <f t="shared" si="287"/>
        <v>4.5330776551494027E-2</v>
      </c>
      <c r="AM1483" s="26">
        <v>7.142641293669697E-3</v>
      </c>
      <c r="AN1483" s="19">
        <v>2426.7399999999998</v>
      </c>
      <c r="AO1483" s="19" t="s">
        <v>1758</v>
      </c>
      <c r="AP1483" s="19">
        <v>0</v>
      </c>
      <c r="AQ1483" s="19" t="s">
        <v>307</v>
      </c>
      <c r="AR1483" s="9" t="s">
        <v>348</v>
      </c>
      <c r="AS1483" s="12">
        <v>0</v>
      </c>
      <c r="AT1483" s="19">
        <v>39.295985129999998</v>
      </c>
      <c r="AU1483" s="19">
        <v>-123.10183375</v>
      </c>
      <c r="AV1483" s="19" t="s">
        <v>542</v>
      </c>
    </row>
    <row r="1484" spans="1:48" x14ac:dyDescent="0.25">
      <c r="A1484" s="18" t="s">
        <v>1859</v>
      </c>
      <c r="B1484" s="10">
        <v>10000000</v>
      </c>
      <c r="C1484" s="9">
        <v>2</v>
      </c>
      <c r="D1484" s="8" t="str">
        <f t="shared" si="278"/>
        <v>N</v>
      </c>
      <c r="E1484" s="8" t="str">
        <f t="shared" si="279"/>
        <v>N</v>
      </c>
      <c r="F1484" s="8" t="str">
        <f t="shared" si="280"/>
        <v>Y</v>
      </c>
      <c r="G1484" s="8" t="str">
        <f t="shared" si="281"/>
        <v>N</v>
      </c>
      <c r="H1484" s="8" t="str">
        <f t="shared" si="282"/>
        <v>Upper</v>
      </c>
      <c r="I1484" s="8" t="str">
        <f t="shared" si="283"/>
        <v>Outside</v>
      </c>
      <c r="J1484" s="8" t="str">
        <f t="shared" si="284"/>
        <v>Outside</v>
      </c>
      <c r="K1484" s="8" t="str">
        <f t="shared" si="285"/>
        <v>Riparian</v>
      </c>
      <c r="L1484" s="8">
        <f t="shared" si="286"/>
        <v>1000</v>
      </c>
      <c r="M1484" s="8" t="str">
        <f t="shared" si="288"/>
        <v>-</v>
      </c>
      <c r="N1484" s="10" t="s">
        <v>242</v>
      </c>
      <c r="O1484" s="10" t="s">
        <v>241</v>
      </c>
      <c r="P1484" s="10" t="s">
        <v>242</v>
      </c>
      <c r="Q1484" s="10" t="s">
        <v>242</v>
      </c>
      <c r="R1484" s="10" t="s">
        <v>242</v>
      </c>
      <c r="S1484" s="10" t="s">
        <v>241</v>
      </c>
      <c r="T1484" s="10" t="s">
        <v>242</v>
      </c>
      <c r="U1484" s="10" t="s">
        <v>242</v>
      </c>
      <c r="V1484" s="10" t="s">
        <v>242</v>
      </c>
      <c r="W1484" s="10" t="s">
        <v>242</v>
      </c>
      <c r="X1484" s="15">
        <f>IF(ISERROR(VLOOKUP($A1484,'13. Updated Demand'!A:Z,15,FALSE)),0,VLOOKUP($A1484,'13. Updated Demand'!A:Z,15,FALSE))</f>
        <v>0.08</v>
      </c>
      <c r="Y1484" s="16">
        <f>IF(ISERROR(VLOOKUP($A1484,'13. Updated Demand'!A:Z,16,FALSE)),0,VLOOKUP($A1484,'13. Updated Demand'!A:Z,16,FALSE))</f>
        <v>0.31</v>
      </c>
      <c r="Z1484" s="16">
        <f>IF(ISERROR(VLOOKUP($A1484,'13. Updated Demand'!A:Z,17,FALSE)),0,VLOOKUP($A1484,'13. Updated Demand'!A:Z,17,FALSE))</f>
        <v>0.2</v>
      </c>
      <c r="AA1484" s="16">
        <f>IF(ISERROR(VLOOKUP($A1484,'13. Updated Demand'!A:Z,18,FALSE)),0,VLOOKUP($A1484,'13. Updated Demand'!A:Z,18,FALSE))</f>
        <v>0.45</v>
      </c>
      <c r="AB1484" s="16">
        <f>IF(ISERROR(VLOOKUP($A1484,'13. Updated Demand'!A:Z,19,FALSE)),0,VLOOKUP($A1484,'13. Updated Demand'!A:Z,19,FALSE))</f>
        <v>1.02</v>
      </c>
      <c r="AC1484" s="16">
        <f>IF(ISERROR(VLOOKUP($A1484,'13. Updated Demand'!A:Z,20,FALSE)),0,VLOOKUP($A1484,'13. Updated Demand'!A:Z,20,FALSE))</f>
        <v>1.49</v>
      </c>
      <c r="AD1484" s="16">
        <f>IF(ISERROR(VLOOKUP($A1484,'13. Updated Demand'!A:Z,21,FALSE)),0,VLOOKUP($A1484,'13. Updated Demand'!A:Z,21,FALSE))</f>
        <v>1.51</v>
      </c>
      <c r="AE1484" s="16">
        <f>IF(ISERROR(VLOOKUP($A1484,'13. Updated Demand'!A:Z,22,FALSE)),0,VLOOKUP($A1484,'13. Updated Demand'!A:Z,22,FALSE))</f>
        <v>1.75</v>
      </c>
      <c r="AF1484" s="16">
        <f>IF(ISERROR(VLOOKUP($A1484,'13. Updated Demand'!A:Z,23,FALSE)),0,VLOOKUP($A1484,'13. Updated Demand'!A:Z,23,FALSE))</f>
        <v>1.98</v>
      </c>
      <c r="AG1484" s="16">
        <f>IF(ISERROR(VLOOKUP($A1484,'13. Updated Demand'!A:Z,24,FALSE)),0,VLOOKUP($A1484,'13. Updated Demand'!A:Z,24,FALSE))</f>
        <v>1.49</v>
      </c>
      <c r="AH1484" s="16">
        <f>IF(ISERROR(VLOOKUP($A1484,'13. Updated Demand'!A:Z,25,FALSE)),0,VLOOKUP($A1484,'13. Updated Demand'!A:Z,25,FALSE))</f>
        <v>1.42</v>
      </c>
      <c r="AI1484" s="16">
        <f>IF(ISERROR(VLOOKUP($A1484,'13. Updated Demand'!A:Z,26,FALSE)),0,VLOOKUP($A1484,'13. Updated Demand'!A:Z,26,FALSE))</f>
        <v>0.22</v>
      </c>
      <c r="AJ1484" s="16">
        <f t="shared" si="277"/>
        <v>11.92</v>
      </c>
      <c r="AK1484" s="19">
        <v>7.7749420010000003</v>
      </c>
      <c r="AL1484" s="16">
        <f t="shared" si="287"/>
        <v>2.5788596968196291E-2</v>
      </c>
      <c r="AM1484" s="26">
        <v>7.4317032634524357E-3</v>
      </c>
      <c r="AN1484" s="19">
        <v>1611.79</v>
      </c>
      <c r="AO1484" s="19" t="s">
        <v>1758</v>
      </c>
      <c r="AP1484" s="19">
        <v>0</v>
      </c>
      <c r="AQ1484" s="19" t="s">
        <v>307</v>
      </c>
      <c r="AR1484" s="9" t="s">
        <v>348</v>
      </c>
      <c r="AS1484" s="12">
        <v>0</v>
      </c>
      <c r="AT1484" s="19">
        <v>39.258299999999998</v>
      </c>
      <c r="AU1484" s="19">
        <v>-123.11620000000001</v>
      </c>
      <c r="AV1484" s="19" t="s">
        <v>542</v>
      </c>
    </row>
    <row r="1485" spans="1:48" x14ac:dyDescent="0.25">
      <c r="A1485" s="18" t="s">
        <v>82</v>
      </c>
      <c r="B1485" s="10">
        <v>10000000</v>
      </c>
      <c r="C1485" s="9">
        <v>2</v>
      </c>
      <c r="D1485" s="8" t="str">
        <f t="shared" si="278"/>
        <v>N</v>
      </c>
      <c r="E1485" s="8" t="str">
        <f t="shared" si="279"/>
        <v>N</v>
      </c>
      <c r="F1485" s="8" t="str">
        <f t="shared" si="280"/>
        <v>Y</v>
      </c>
      <c r="G1485" s="8" t="str">
        <f t="shared" si="281"/>
        <v>N</v>
      </c>
      <c r="H1485" s="8" t="str">
        <f t="shared" si="282"/>
        <v>Upper</v>
      </c>
      <c r="I1485" s="8" t="str">
        <f t="shared" si="283"/>
        <v>Outside</v>
      </c>
      <c r="J1485" s="8" t="str">
        <f t="shared" si="284"/>
        <v>Outside</v>
      </c>
      <c r="K1485" s="8" t="str">
        <f t="shared" si="285"/>
        <v>Riparian</v>
      </c>
      <c r="L1485" s="8">
        <f t="shared" si="286"/>
        <v>1000</v>
      </c>
      <c r="M1485" s="8" t="str">
        <f t="shared" si="288"/>
        <v>-</v>
      </c>
      <c r="N1485" s="10" t="s">
        <v>242</v>
      </c>
      <c r="O1485" s="10" t="s">
        <v>241</v>
      </c>
      <c r="P1485" s="10" t="s">
        <v>242</v>
      </c>
      <c r="Q1485" s="10" t="s">
        <v>242</v>
      </c>
      <c r="R1485" s="10" t="s">
        <v>242</v>
      </c>
      <c r="S1485" s="10" t="s">
        <v>241</v>
      </c>
      <c r="T1485" s="10" t="s">
        <v>242</v>
      </c>
      <c r="U1485" s="10" t="s">
        <v>242</v>
      </c>
      <c r="V1485" s="10" t="s">
        <v>242</v>
      </c>
      <c r="W1485" s="10" t="s">
        <v>242</v>
      </c>
      <c r="X1485" s="15">
        <f>IF(ISERROR(VLOOKUP($A1485,'13. Updated Demand'!A:Z,15,FALSE)),0,VLOOKUP($A1485,'13. Updated Demand'!A:Z,15,FALSE))</f>
        <v>0</v>
      </c>
      <c r="Y1485" s="16">
        <f>IF(ISERROR(VLOOKUP($A1485,'13. Updated Demand'!A:Z,16,FALSE)),0,VLOOKUP($A1485,'13. Updated Demand'!A:Z,16,FALSE))</f>
        <v>0</v>
      </c>
      <c r="Z1485" s="16">
        <f>IF(ISERROR(VLOOKUP($A1485,'13. Updated Demand'!A:Z,17,FALSE)),0,VLOOKUP($A1485,'13. Updated Demand'!A:Z,17,FALSE))</f>
        <v>0.2</v>
      </c>
      <c r="AA1485" s="16">
        <f>IF(ISERROR(VLOOKUP($A1485,'13. Updated Demand'!A:Z,18,FALSE)),0,VLOOKUP($A1485,'13. Updated Demand'!A:Z,18,FALSE))</f>
        <v>1.76</v>
      </c>
      <c r="AB1485" s="16">
        <f>IF(ISERROR(VLOOKUP($A1485,'13. Updated Demand'!A:Z,19,FALSE)),0,VLOOKUP($A1485,'13. Updated Demand'!A:Z,19,FALSE))</f>
        <v>0.73</v>
      </c>
      <c r="AC1485" s="16">
        <f>IF(ISERROR(VLOOKUP($A1485,'13. Updated Demand'!A:Z,20,FALSE)),0,VLOOKUP($A1485,'13. Updated Demand'!A:Z,20,FALSE))</f>
        <v>0.93</v>
      </c>
      <c r="AD1485" s="16">
        <f>IF(ISERROR(VLOOKUP($A1485,'13. Updated Demand'!A:Z,21,FALSE)),0,VLOOKUP($A1485,'13. Updated Demand'!A:Z,21,FALSE))</f>
        <v>1.49</v>
      </c>
      <c r="AE1485" s="16">
        <f>IF(ISERROR(VLOOKUP($A1485,'13. Updated Demand'!A:Z,22,FALSE)),0,VLOOKUP($A1485,'13. Updated Demand'!A:Z,22,FALSE))</f>
        <v>2.1</v>
      </c>
      <c r="AF1485" s="16">
        <f>IF(ISERROR(VLOOKUP($A1485,'13. Updated Demand'!A:Z,23,FALSE)),0,VLOOKUP($A1485,'13. Updated Demand'!A:Z,23,FALSE))</f>
        <v>2.38</v>
      </c>
      <c r="AG1485" s="16">
        <f>IF(ISERROR(VLOOKUP($A1485,'13. Updated Demand'!A:Z,24,FALSE)),0,VLOOKUP($A1485,'13. Updated Demand'!A:Z,24,FALSE))</f>
        <v>6.13</v>
      </c>
      <c r="AH1485" s="16">
        <f>IF(ISERROR(VLOOKUP($A1485,'13. Updated Demand'!A:Z,25,FALSE)),0,VLOOKUP($A1485,'13. Updated Demand'!A:Z,25,FALSE))</f>
        <v>0.48</v>
      </c>
      <c r="AI1485" s="16">
        <f>IF(ISERROR(VLOOKUP($A1485,'13. Updated Demand'!A:Z,26,FALSE)),0,VLOOKUP($A1485,'13. Updated Demand'!A:Z,26,FALSE))</f>
        <v>0</v>
      </c>
      <c r="AJ1485" s="16">
        <f t="shared" si="277"/>
        <v>16.2</v>
      </c>
      <c r="AK1485" s="19">
        <v>7.6400000000000006</v>
      </c>
      <c r="AL1485" s="16">
        <f t="shared" si="287"/>
        <v>2.534100972221769E-2</v>
      </c>
      <c r="AM1485" s="26">
        <v>0.4520624303232999</v>
      </c>
      <c r="AN1485" s="19">
        <v>35.880000000000003</v>
      </c>
      <c r="AO1485" s="19" t="s">
        <v>1758</v>
      </c>
      <c r="AP1485" s="19">
        <v>0</v>
      </c>
      <c r="AQ1485" s="19" t="s">
        <v>307</v>
      </c>
      <c r="AR1485" s="9" t="s">
        <v>348</v>
      </c>
      <c r="AS1485" s="12">
        <v>0</v>
      </c>
      <c r="AT1485" s="19">
        <v>39.2699</v>
      </c>
      <c r="AU1485" s="19">
        <v>-123.10120000000001</v>
      </c>
      <c r="AV1485" s="19" t="s">
        <v>387</v>
      </c>
    </row>
    <row r="1486" spans="1:48" x14ac:dyDescent="0.25">
      <c r="A1486" s="18" t="s">
        <v>1860</v>
      </c>
      <c r="B1486" s="10">
        <v>10000000</v>
      </c>
      <c r="C1486" s="9">
        <v>2</v>
      </c>
      <c r="D1486" s="8" t="str">
        <f t="shared" si="278"/>
        <v>N</v>
      </c>
      <c r="E1486" s="8" t="str">
        <f t="shared" si="279"/>
        <v>N</v>
      </c>
      <c r="F1486" s="8" t="str">
        <f t="shared" si="280"/>
        <v>Y</v>
      </c>
      <c r="G1486" s="8" t="str">
        <f t="shared" si="281"/>
        <v>N</v>
      </c>
      <c r="H1486" s="8" t="str">
        <f t="shared" si="282"/>
        <v>Upper</v>
      </c>
      <c r="I1486" s="8" t="str">
        <f t="shared" si="283"/>
        <v>Outside</v>
      </c>
      <c r="J1486" s="8" t="str">
        <f t="shared" si="284"/>
        <v>Outside</v>
      </c>
      <c r="K1486" s="8" t="str">
        <f t="shared" si="285"/>
        <v>Riparian</v>
      </c>
      <c r="L1486" s="8">
        <f t="shared" si="286"/>
        <v>1000</v>
      </c>
      <c r="M1486" s="8" t="str">
        <f t="shared" si="288"/>
        <v>-</v>
      </c>
      <c r="N1486" s="10" t="s">
        <v>242</v>
      </c>
      <c r="O1486" s="10" t="s">
        <v>241</v>
      </c>
      <c r="P1486" s="10" t="s">
        <v>242</v>
      </c>
      <c r="Q1486" s="10" t="s">
        <v>242</v>
      </c>
      <c r="R1486" s="10" t="s">
        <v>242</v>
      </c>
      <c r="S1486" s="10" t="s">
        <v>241</v>
      </c>
      <c r="T1486" s="10" t="s">
        <v>242</v>
      </c>
      <c r="U1486" s="10" t="s">
        <v>242</v>
      </c>
      <c r="V1486" s="10" t="s">
        <v>242</v>
      </c>
      <c r="W1486" s="10" t="s">
        <v>242</v>
      </c>
      <c r="X1486" s="15">
        <f>IF(ISERROR(VLOOKUP($A1486,'13. Updated Demand'!A:Z,15,FALSE)),0,VLOOKUP($A1486,'13. Updated Demand'!A:Z,15,FALSE))</f>
        <v>0</v>
      </c>
      <c r="Y1486" s="16">
        <f>IF(ISERROR(VLOOKUP($A1486,'13. Updated Demand'!A:Z,16,FALSE)),0,VLOOKUP($A1486,'13. Updated Demand'!A:Z,16,FALSE))</f>
        <v>0</v>
      </c>
      <c r="Z1486" s="16">
        <f>IF(ISERROR(VLOOKUP($A1486,'13. Updated Demand'!A:Z,17,FALSE)),0,VLOOKUP($A1486,'13. Updated Demand'!A:Z,17,FALSE))</f>
        <v>0.66</v>
      </c>
      <c r="AA1486" s="16">
        <f>IF(ISERROR(VLOOKUP($A1486,'13. Updated Demand'!A:Z,18,FALSE)),0,VLOOKUP($A1486,'13. Updated Demand'!A:Z,18,FALSE))</f>
        <v>3.56</v>
      </c>
      <c r="AB1486" s="16">
        <f>IF(ISERROR(VLOOKUP($A1486,'13. Updated Demand'!A:Z,19,FALSE)),0,VLOOKUP($A1486,'13. Updated Demand'!A:Z,19,FALSE))</f>
        <v>3.7</v>
      </c>
      <c r="AC1486" s="16">
        <f>IF(ISERROR(VLOOKUP($A1486,'13. Updated Demand'!A:Z,20,FALSE)),0,VLOOKUP($A1486,'13. Updated Demand'!A:Z,20,FALSE))</f>
        <v>0</v>
      </c>
      <c r="AD1486" s="16">
        <f>IF(ISERROR(VLOOKUP($A1486,'13. Updated Demand'!A:Z,21,FALSE)),0,VLOOKUP($A1486,'13. Updated Demand'!A:Z,21,FALSE))</f>
        <v>0</v>
      </c>
      <c r="AE1486" s="16">
        <f>IF(ISERROR(VLOOKUP($A1486,'13. Updated Demand'!A:Z,22,FALSE)),0,VLOOKUP($A1486,'13. Updated Demand'!A:Z,22,FALSE))</f>
        <v>0</v>
      </c>
      <c r="AF1486" s="16">
        <f>IF(ISERROR(VLOOKUP($A1486,'13. Updated Demand'!A:Z,23,FALSE)),0,VLOOKUP($A1486,'13. Updated Demand'!A:Z,23,FALSE))</f>
        <v>0</v>
      </c>
      <c r="AG1486" s="16">
        <f>IF(ISERROR(VLOOKUP($A1486,'13. Updated Demand'!A:Z,24,FALSE)),0,VLOOKUP($A1486,'13. Updated Demand'!A:Z,24,FALSE))</f>
        <v>0</v>
      </c>
      <c r="AH1486" s="16">
        <f>IF(ISERROR(VLOOKUP($A1486,'13. Updated Demand'!A:Z,25,FALSE)),0,VLOOKUP($A1486,'13. Updated Demand'!A:Z,25,FALSE))</f>
        <v>0</v>
      </c>
      <c r="AI1486" s="16">
        <f>IF(ISERROR(VLOOKUP($A1486,'13. Updated Demand'!A:Z,26,FALSE)),0,VLOOKUP($A1486,'13. Updated Demand'!A:Z,26,FALSE))</f>
        <v>0</v>
      </c>
      <c r="AJ1486" s="16">
        <f t="shared" si="277"/>
        <v>7.92</v>
      </c>
      <c r="AK1486" s="19">
        <v>3.7</v>
      </c>
      <c r="AL1486" s="16">
        <f t="shared" si="287"/>
        <v>1.2272478530393385E-2</v>
      </c>
      <c r="AM1486" s="26">
        <v>4.9154363205637756E-3</v>
      </c>
      <c r="AN1486" s="19">
        <v>1613.9631999999999</v>
      </c>
      <c r="AO1486" s="19" t="s">
        <v>1758</v>
      </c>
      <c r="AP1486" s="19">
        <v>0</v>
      </c>
      <c r="AQ1486" s="19" t="s">
        <v>307</v>
      </c>
      <c r="AR1486" s="9" t="s">
        <v>348</v>
      </c>
      <c r="AS1486" s="12">
        <v>0</v>
      </c>
      <c r="AT1486" s="19">
        <v>39.306199999999997</v>
      </c>
      <c r="AU1486" s="19">
        <v>-123.1018</v>
      </c>
      <c r="AV1486" s="19" t="s">
        <v>1813</v>
      </c>
    </row>
    <row r="1487" spans="1:48" x14ac:dyDescent="0.25">
      <c r="A1487" s="18" t="s">
        <v>1861</v>
      </c>
      <c r="B1487" s="10">
        <v>10000000</v>
      </c>
      <c r="C1487" s="9">
        <v>2</v>
      </c>
      <c r="D1487" s="8" t="str">
        <f t="shared" si="278"/>
        <v>N</v>
      </c>
      <c r="E1487" s="8" t="str">
        <f t="shared" si="279"/>
        <v>N</v>
      </c>
      <c r="F1487" s="8" t="str">
        <f t="shared" si="280"/>
        <v>Y</v>
      </c>
      <c r="G1487" s="8" t="str">
        <f t="shared" si="281"/>
        <v>N</v>
      </c>
      <c r="H1487" s="8" t="str">
        <f t="shared" si="282"/>
        <v>Upper</v>
      </c>
      <c r="I1487" s="8" t="str">
        <f t="shared" si="283"/>
        <v>Outside</v>
      </c>
      <c r="J1487" s="8" t="str">
        <f t="shared" si="284"/>
        <v>Outside</v>
      </c>
      <c r="K1487" s="8" t="str">
        <f t="shared" si="285"/>
        <v>Riparian</v>
      </c>
      <c r="L1487" s="8">
        <f t="shared" si="286"/>
        <v>1000</v>
      </c>
      <c r="M1487" s="8" t="str">
        <f t="shared" si="288"/>
        <v>-</v>
      </c>
      <c r="N1487" s="10" t="s">
        <v>242</v>
      </c>
      <c r="O1487" s="10" t="s">
        <v>241</v>
      </c>
      <c r="P1487" s="10" t="s">
        <v>242</v>
      </c>
      <c r="Q1487" s="10" t="s">
        <v>242</v>
      </c>
      <c r="R1487" s="10" t="s">
        <v>242</v>
      </c>
      <c r="S1487" s="10" t="s">
        <v>241</v>
      </c>
      <c r="T1487" s="10" t="s">
        <v>242</v>
      </c>
      <c r="U1487" s="10" t="s">
        <v>242</v>
      </c>
      <c r="V1487" s="10" t="s">
        <v>242</v>
      </c>
      <c r="W1487" s="10" t="s">
        <v>242</v>
      </c>
      <c r="X1487" s="15">
        <f>IF(ISERROR(VLOOKUP($A1487,'13. Updated Demand'!A:Z,15,FALSE)),0,VLOOKUP($A1487,'13. Updated Demand'!A:Z,15,FALSE))</f>
        <v>0</v>
      </c>
      <c r="Y1487" s="16">
        <f>IF(ISERROR(VLOOKUP($A1487,'13. Updated Demand'!A:Z,16,FALSE)),0,VLOOKUP($A1487,'13. Updated Demand'!A:Z,16,FALSE))</f>
        <v>0</v>
      </c>
      <c r="Z1487" s="16">
        <f>IF(ISERROR(VLOOKUP($A1487,'13. Updated Demand'!A:Z,17,FALSE)),0,VLOOKUP($A1487,'13. Updated Demand'!A:Z,17,FALSE))</f>
        <v>3.0688830000000001E-3</v>
      </c>
      <c r="AA1487" s="16">
        <f>IF(ISERROR(VLOOKUP($A1487,'13. Updated Demand'!A:Z,18,FALSE)),0,VLOOKUP($A1487,'13. Updated Demand'!A:Z,18,FALSE))</f>
        <v>0.39</v>
      </c>
      <c r="AB1487" s="16">
        <f>IF(ISERROR(VLOOKUP($A1487,'13. Updated Demand'!A:Z,19,FALSE)),0,VLOOKUP($A1487,'13. Updated Demand'!A:Z,19,FALSE))</f>
        <v>0</v>
      </c>
      <c r="AC1487" s="16">
        <f>IF(ISERROR(VLOOKUP($A1487,'13. Updated Demand'!A:Z,20,FALSE)),0,VLOOKUP($A1487,'13. Updated Demand'!A:Z,20,FALSE))</f>
        <v>0.7</v>
      </c>
      <c r="AD1487" s="16">
        <f>IF(ISERROR(VLOOKUP($A1487,'13. Updated Demand'!A:Z,21,FALSE)),0,VLOOKUP($A1487,'13. Updated Demand'!A:Z,21,FALSE))</f>
        <v>0.89</v>
      </c>
      <c r="AE1487" s="16">
        <f>IF(ISERROR(VLOOKUP($A1487,'13. Updated Demand'!A:Z,22,FALSE)),0,VLOOKUP($A1487,'13. Updated Demand'!A:Z,22,FALSE))</f>
        <v>0.52</v>
      </c>
      <c r="AF1487" s="16">
        <f>IF(ISERROR(VLOOKUP($A1487,'13. Updated Demand'!A:Z,23,FALSE)),0,VLOOKUP($A1487,'13. Updated Demand'!A:Z,23,FALSE))</f>
        <v>0.49</v>
      </c>
      <c r="AG1487" s="16">
        <f>IF(ISERROR(VLOOKUP($A1487,'13. Updated Demand'!A:Z,24,FALSE)),0,VLOOKUP($A1487,'13. Updated Demand'!A:Z,24,FALSE))</f>
        <v>0.14000000000000001</v>
      </c>
      <c r="AH1487" s="16">
        <f>IF(ISERROR(VLOOKUP($A1487,'13. Updated Demand'!A:Z,25,FALSE)),0,VLOOKUP($A1487,'13. Updated Demand'!A:Z,25,FALSE))</f>
        <v>0</v>
      </c>
      <c r="AI1487" s="16">
        <f>IF(ISERROR(VLOOKUP($A1487,'13. Updated Demand'!A:Z,26,FALSE)),0,VLOOKUP($A1487,'13. Updated Demand'!A:Z,26,FALSE))</f>
        <v>0</v>
      </c>
      <c r="AJ1487" s="16">
        <f t="shared" si="277"/>
        <v>3.1330688830000004</v>
      </c>
      <c r="AK1487" s="19">
        <v>2.617385098666666</v>
      </c>
      <c r="AL1487" s="16">
        <f t="shared" si="287"/>
        <v>8.6815682240968181E-3</v>
      </c>
      <c r="AM1487" s="26">
        <v>0.75113467688207836</v>
      </c>
      <c r="AN1487" s="19">
        <v>4.2027999999999999</v>
      </c>
      <c r="AO1487" s="19" t="s">
        <v>1758</v>
      </c>
      <c r="AP1487" s="19">
        <v>0</v>
      </c>
      <c r="AQ1487" s="19" t="s">
        <v>307</v>
      </c>
      <c r="AR1487" s="9" t="s">
        <v>348</v>
      </c>
      <c r="AS1487" s="12">
        <v>0</v>
      </c>
      <c r="AT1487" s="19">
        <v>39.337499999999999</v>
      </c>
      <c r="AU1487" s="19">
        <v>-123.1117</v>
      </c>
      <c r="AV1487" s="19" t="s">
        <v>1862</v>
      </c>
    </row>
    <row r="1488" spans="1:48" x14ac:dyDescent="0.25">
      <c r="A1488" s="18" t="s">
        <v>1863</v>
      </c>
      <c r="B1488" s="10">
        <v>10000000</v>
      </c>
      <c r="C1488" s="9">
        <v>2</v>
      </c>
      <c r="D1488" s="8" t="str">
        <f t="shared" si="278"/>
        <v>N</v>
      </c>
      <c r="E1488" s="8" t="str">
        <f t="shared" si="279"/>
        <v>N</v>
      </c>
      <c r="F1488" s="8" t="str">
        <f t="shared" si="280"/>
        <v>Y</v>
      </c>
      <c r="G1488" s="8" t="str">
        <f t="shared" si="281"/>
        <v>N</v>
      </c>
      <c r="H1488" s="8" t="str">
        <f t="shared" si="282"/>
        <v>Upper</v>
      </c>
      <c r="I1488" s="8" t="str">
        <f t="shared" si="283"/>
        <v>Outside</v>
      </c>
      <c r="J1488" s="8" t="str">
        <f t="shared" si="284"/>
        <v>Outside</v>
      </c>
      <c r="K1488" s="8" t="str">
        <f t="shared" si="285"/>
        <v>Riparian</v>
      </c>
      <c r="L1488" s="8">
        <f t="shared" si="286"/>
        <v>1000</v>
      </c>
      <c r="M1488" s="8" t="str">
        <f t="shared" si="288"/>
        <v>-</v>
      </c>
      <c r="N1488" s="10" t="s">
        <v>242</v>
      </c>
      <c r="O1488" s="10" t="s">
        <v>241</v>
      </c>
      <c r="P1488" s="10" t="s">
        <v>242</v>
      </c>
      <c r="Q1488" s="10" t="s">
        <v>242</v>
      </c>
      <c r="R1488" s="10" t="s">
        <v>242</v>
      </c>
      <c r="S1488" s="10" t="s">
        <v>241</v>
      </c>
      <c r="T1488" s="10" t="s">
        <v>242</v>
      </c>
      <c r="U1488" s="10" t="s">
        <v>242</v>
      </c>
      <c r="V1488" s="10" t="s">
        <v>242</v>
      </c>
      <c r="W1488" s="10" t="s">
        <v>242</v>
      </c>
      <c r="X1488" s="15">
        <f>IF(ISERROR(VLOOKUP($A1488,'13. Updated Demand'!A:Z,15,FALSE)),0,VLOOKUP($A1488,'13. Updated Demand'!A:Z,15,FALSE))</f>
        <v>5.43</v>
      </c>
      <c r="Y1488" s="16">
        <f>IF(ISERROR(VLOOKUP($A1488,'13. Updated Demand'!A:Z,16,FALSE)),0,VLOOKUP($A1488,'13. Updated Demand'!A:Z,16,FALSE))</f>
        <v>6.06</v>
      </c>
      <c r="Z1488" s="16">
        <f>IF(ISERROR(VLOOKUP($A1488,'13. Updated Demand'!A:Z,17,FALSE)),0,VLOOKUP($A1488,'13. Updated Demand'!A:Z,17,FALSE))</f>
        <v>4.43</v>
      </c>
      <c r="AA1488" s="16">
        <f>IF(ISERROR(VLOOKUP($A1488,'13. Updated Demand'!A:Z,18,FALSE)),0,VLOOKUP($A1488,'13. Updated Demand'!A:Z,18,FALSE))</f>
        <v>4.76</v>
      </c>
      <c r="AB1488" s="16">
        <f>IF(ISERROR(VLOOKUP($A1488,'13. Updated Demand'!A:Z,19,FALSE)),0,VLOOKUP($A1488,'13. Updated Demand'!A:Z,19,FALSE))</f>
        <v>2.13</v>
      </c>
      <c r="AC1488" s="16">
        <f>IF(ISERROR(VLOOKUP($A1488,'13. Updated Demand'!A:Z,20,FALSE)),0,VLOOKUP($A1488,'13. Updated Demand'!A:Z,20,FALSE))</f>
        <v>0</v>
      </c>
      <c r="AD1488" s="16">
        <f>IF(ISERROR(VLOOKUP($A1488,'13. Updated Demand'!A:Z,21,FALSE)),0,VLOOKUP($A1488,'13. Updated Demand'!A:Z,21,FALSE))</f>
        <v>0</v>
      </c>
      <c r="AE1488" s="16">
        <f>IF(ISERROR(VLOOKUP($A1488,'13. Updated Demand'!A:Z,22,FALSE)),0,VLOOKUP($A1488,'13. Updated Demand'!A:Z,22,FALSE))</f>
        <v>0</v>
      </c>
      <c r="AF1488" s="16">
        <f>IF(ISERROR(VLOOKUP($A1488,'13. Updated Demand'!A:Z,23,FALSE)),0,VLOOKUP($A1488,'13. Updated Demand'!A:Z,23,FALSE))</f>
        <v>0</v>
      </c>
      <c r="AG1488" s="16">
        <f>IF(ISERROR(VLOOKUP($A1488,'13. Updated Demand'!A:Z,24,FALSE)),0,VLOOKUP($A1488,'13. Updated Demand'!A:Z,24,FALSE))</f>
        <v>0</v>
      </c>
      <c r="AH1488" s="16">
        <f>IF(ISERROR(VLOOKUP($A1488,'13. Updated Demand'!A:Z,25,FALSE)),0,VLOOKUP($A1488,'13. Updated Demand'!A:Z,25,FALSE))</f>
        <v>2.86</v>
      </c>
      <c r="AI1488" s="16">
        <f>IF(ISERROR(VLOOKUP($A1488,'13. Updated Demand'!A:Z,26,FALSE)),0,VLOOKUP($A1488,'13. Updated Demand'!A:Z,26,FALSE))</f>
        <v>5.53</v>
      </c>
      <c r="AJ1488" s="16">
        <f t="shared" ref="AJ1488:AJ1551" si="289">SUM(X1488:AI1488)</f>
        <v>31.2</v>
      </c>
      <c r="AK1488" s="19">
        <v>2.1333333329999999</v>
      </c>
      <c r="AL1488" s="16">
        <f t="shared" si="287"/>
        <v>7.0760236560581235E-3</v>
      </c>
      <c r="AM1488" s="26">
        <v>0.74365079364285713</v>
      </c>
      <c r="AN1488" s="19">
        <v>42</v>
      </c>
      <c r="AO1488" s="19" t="s">
        <v>1758</v>
      </c>
      <c r="AP1488" s="19">
        <v>0</v>
      </c>
      <c r="AQ1488" s="19" t="s">
        <v>307</v>
      </c>
      <c r="AR1488" s="9" t="s">
        <v>348</v>
      </c>
      <c r="AS1488" s="12">
        <v>0</v>
      </c>
      <c r="AT1488" s="19">
        <v>39.301099999999998</v>
      </c>
      <c r="AU1488" s="19">
        <v>-123.11360000000001</v>
      </c>
      <c r="AV1488" s="19" t="s">
        <v>1788</v>
      </c>
    </row>
    <row r="1489" spans="1:48" x14ac:dyDescent="0.25">
      <c r="A1489" s="18" t="s">
        <v>1864</v>
      </c>
      <c r="B1489" s="10">
        <v>10000000</v>
      </c>
      <c r="C1489" s="9">
        <v>2</v>
      </c>
      <c r="D1489" s="8" t="str">
        <f t="shared" si="278"/>
        <v>N</v>
      </c>
      <c r="E1489" s="8" t="str">
        <f t="shared" si="279"/>
        <v>N</v>
      </c>
      <c r="F1489" s="8" t="str">
        <f t="shared" si="280"/>
        <v>Y</v>
      </c>
      <c r="G1489" s="8" t="str">
        <f t="shared" si="281"/>
        <v>N</v>
      </c>
      <c r="H1489" s="8" t="str">
        <f t="shared" si="282"/>
        <v>Upper</v>
      </c>
      <c r="I1489" s="8" t="str">
        <f t="shared" si="283"/>
        <v>Outside</v>
      </c>
      <c r="J1489" s="8" t="str">
        <f t="shared" si="284"/>
        <v>Outside</v>
      </c>
      <c r="K1489" s="8" t="str">
        <f t="shared" si="285"/>
        <v>Riparian</v>
      </c>
      <c r="L1489" s="8">
        <f t="shared" si="286"/>
        <v>1000</v>
      </c>
      <c r="M1489" s="8" t="str">
        <f t="shared" si="288"/>
        <v>-</v>
      </c>
      <c r="N1489" s="10" t="s">
        <v>242</v>
      </c>
      <c r="O1489" s="10" t="s">
        <v>241</v>
      </c>
      <c r="P1489" s="10" t="s">
        <v>242</v>
      </c>
      <c r="Q1489" s="10" t="s">
        <v>242</v>
      </c>
      <c r="R1489" s="10" t="s">
        <v>242</v>
      </c>
      <c r="S1489" s="10" t="s">
        <v>241</v>
      </c>
      <c r="T1489" s="10" t="s">
        <v>242</v>
      </c>
      <c r="U1489" s="10" t="s">
        <v>242</v>
      </c>
      <c r="V1489" s="10" t="s">
        <v>242</v>
      </c>
      <c r="W1489" s="10" t="s">
        <v>242</v>
      </c>
      <c r="X1489" s="15">
        <f>IF(ISERROR(VLOOKUP($A1489,'13. Updated Demand'!A:Z,15,FALSE)),0,VLOOKUP($A1489,'13. Updated Demand'!A:Z,15,FALSE))</f>
        <v>0</v>
      </c>
      <c r="Y1489" s="16">
        <f>IF(ISERROR(VLOOKUP($A1489,'13. Updated Demand'!A:Z,16,FALSE)),0,VLOOKUP($A1489,'13. Updated Demand'!A:Z,16,FALSE))</f>
        <v>0</v>
      </c>
      <c r="Z1489" s="16">
        <f>IF(ISERROR(VLOOKUP($A1489,'13. Updated Demand'!A:Z,17,FALSE)),0,VLOOKUP($A1489,'13. Updated Demand'!A:Z,17,FALSE))</f>
        <v>0.1</v>
      </c>
      <c r="AA1489" s="16">
        <f>IF(ISERROR(VLOOKUP($A1489,'13. Updated Demand'!A:Z,18,FALSE)),0,VLOOKUP($A1489,'13. Updated Demand'!A:Z,18,FALSE))</f>
        <v>3.27</v>
      </c>
      <c r="AB1489" s="16">
        <f>IF(ISERROR(VLOOKUP($A1489,'13. Updated Demand'!A:Z,19,FALSE)),0,VLOOKUP($A1489,'13. Updated Demand'!A:Z,19,FALSE))</f>
        <v>2.0299999999999998</v>
      </c>
      <c r="AC1489" s="16">
        <f>IF(ISERROR(VLOOKUP($A1489,'13. Updated Demand'!A:Z,20,FALSE)),0,VLOOKUP($A1489,'13. Updated Demand'!A:Z,20,FALSE))</f>
        <v>0</v>
      </c>
      <c r="AD1489" s="16">
        <f>IF(ISERROR(VLOOKUP($A1489,'13. Updated Demand'!A:Z,21,FALSE)),0,VLOOKUP($A1489,'13. Updated Demand'!A:Z,21,FALSE))</f>
        <v>0</v>
      </c>
      <c r="AE1489" s="16">
        <f>IF(ISERROR(VLOOKUP($A1489,'13. Updated Demand'!A:Z,22,FALSE)),0,VLOOKUP($A1489,'13. Updated Demand'!A:Z,22,FALSE))</f>
        <v>0</v>
      </c>
      <c r="AF1489" s="16">
        <f>IF(ISERROR(VLOOKUP($A1489,'13. Updated Demand'!A:Z,23,FALSE)),0,VLOOKUP($A1489,'13. Updated Demand'!A:Z,23,FALSE))</f>
        <v>0</v>
      </c>
      <c r="AG1489" s="16">
        <f>IF(ISERROR(VLOOKUP($A1489,'13. Updated Demand'!A:Z,24,FALSE)),0,VLOOKUP($A1489,'13. Updated Demand'!A:Z,24,FALSE))</f>
        <v>0</v>
      </c>
      <c r="AH1489" s="16">
        <f>IF(ISERROR(VLOOKUP($A1489,'13. Updated Demand'!A:Z,25,FALSE)),0,VLOOKUP($A1489,'13. Updated Demand'!A:Z,25,FALSE))</f>
        <v>0</v>
      </c>
      <c r="AI1489" s="16">
        <f>IF(ISERROR(VLOOKUP($A1489,'13. Updated Demand'!A:Z,26,FALSE)),0,VLOOKUP($A1489,'13. Updated Demand'!A:Z,26,FALSE))</f>
        <v>0</v>
      </c>
      <c r="AJ1489" s="16">
        <f t="shared" si="289"/>
        <v>5.4</v>
      </c>
      <c r="AK1489" s="19">
        <v>2.0299999999999998</v>
      </c>
      <c r="AL1489" s="16">
        <f t="shared" si="287"/>
        <v>6.7332787612698836E-3</v>
      </c>
      <c r="AM1489" s="26">
        <v>5.583579790790676E-3</v>
      </c>
      <c r="AN1489" s="19">
        <v>968.52279999999996</v>
      </c>
      <c r="AO1489" s="19" t="s">
        <v>1758</v>
      </c>
      <c r="AP1489" s="19">
        <v>0</v>
      </c>
      <c r="AQ1489" s="19" t="s">
        <v>307</v>
      </c>
      <c r="AR1489" s="9" t="s">
        <v>348</v>
      </c>
      <c r="AS1489" s="12">
        <v>0</v>
      </c>
      <c r="AT1489" s="19">
        <v>39.340400000000002</v>
      </c>
      <c r="AU1489" s="19">
        <v>-123.1143</v>
      </c>
      <c r="AV1489" s="19" t="s">
        <v>1865</v>
      </c>
    </row>
    <row r="1490" spans="1:48" x14ac:dyDescent="0.25">
      <c r="A1490" s="18" t="s">
        <v>1866</v>
      </c>
      <c r="B1490" s="10">
        <v>10000000</v>
      </c>
      <c r="C1490" s="9">
        <v>19</v>
      </c>
      <c r="D1490" s="8" t="str">
        <f t="shared" si="278"/>
        <v>N</v>
      </c>
      <c r="E1490" s="8" t="str">
        <f t="shared" si="279"/>
        <v>N</v>
      </c>
      <c r="F1490" s="8" t="str">
        <f t="shared" si="280"/>
        <v>N</v>
      </c>
      <c r="G1490" s="8" t="str">
        <f t="shared" si="281"/>
        <v>N</v>
      </c>
      <c r="H1490" s="8" t="str">
        <f t="shared" si="282"/>
        <v>Lower</v>
      </c>
      <c r="I1490" s="8" t="str">
        <f t="shared" si="283"/>
        <v>Outside</v>
      </c>
      <c r="J1490" s="8" t="str">
        <f t="shared" si="284"/>
        <v>Outside</v>
      </c>
      <c r="K1490" s="8" t="str">
        <f t="shared" si="285"/>
        <v>Riparian</v>
      </c>
      <c r="L1490" s="8">
        <f t="shared" si="286"/>
        <v>1000</v>
      </c>
      <c r="M1490" s="8" t="str">
        <f t="shared" si="288"/>
        <v>-</v>
      </c>
      <c r="N1490" s="10" t="s">
        <v>241</v>
      </c>
      <c r="O1490" s="10" t="s">
        <v>242</v>
      </c>
      <c r="P1490" s="10" t="s">
        <v>242</v>
      </c>
      <c r="Q1490" s="10" t="s">
        <v>242</v>
      </c>
      <c r="R1490" s="10" t="s">
        <v>242</v>
      </c>
      <c r="S1490" s="10" t="s">
        <v>241</v>
      </c>
      <c r="T1490" s="10" t="s">
        <v>242</v>
      </c>
      <c r="U1490" s="10" t="s">
        <v>242</v>
      </c>
      <c r="V1490" s="10" t="s">
        <v>242</v>
      </c>
      <c r="W1490" s="10" t="s">
        <v>242</v>
      </c>
      <c r="X1490" s="15">
        <f>IF(ISERROR(VLOOKUP($A1490,'13. Updated Demand'!A:Z,15,FALSE)),0,VLOOKUP($A1490,'13. Updated Demand'!A:Z,15,FALSE))</f>
        <v>0</v>
      </c>
      <c r="Y1490" s="16">
        <f>IF(ISERROR(VLOOKUP($A1490,'13. Updated Demand'!A:Z,16,FALSE)),0,VLOOKUP($A1490,'13. Updated Demand'!A:Z,16,FALSE))</f>
        <v>0</v>
      </c>
      <c r="Z1490" s="16">
        <f>IF(ISERROR(VLOOKUP($A1490,'13. Updated Demand'!A:Z,17,FALSE)),0,VLOOKUP($A1490,'13. Updated Demand'!A:Z,17,FALSE))</f>
        <v>0</v>
      </c>
      <c r="AA1490" s="16">
        <f>IF(ISERROR(VLOOKUP($A1490,'13. Updated Demand'!A:Z,18,FALSE)),0,VLOOKUP($A1490,'13. Updated Demand'!A:Z,18,FALSE))</f>
        <v>4.6666667000000002E-2</v>
      </c>
      <c r="AB1490" s="16">
        <f>IF(ISERROR(VLOOKUP($A1490,'13. Updated Demand'!A:Z,19,FALSE)),0,VLOOKUP($A1490,'13. Updated Demand'!A:Z,19,FALSE))</f>
        <v>9.3333333000000004E-2</v>
      </c>
      <c r="AC1490" s="16">
        <f>IF(ISERROR(VLOOKUP($A1490,'13. Updated Demand'!A:Z,20,FALSE)),0,VLOOKUP($A1490,'13. Updated Demand'!A:Z,20,FALSE))</f>
        <v>9.3333333000000004E-2</v>
      </c>
      <c r="AD1490" s="16">
        <f>IF(ISERROR(VLOOKUP($A1490,'13. Updated Demand'!A:Z,21,FALSE)),0,VLOOKUP($A1490,'13. Updated Demand'!A:Z,21,FALSE))</f>
        <v>9.3333333000000004E-2</v>
      </c>
      <c r="AE1490" s="16">
        <f>IF(ISERROR(VLOOKUP($A1490,'13. Updated Demand'!A:Z,22,FALSE)),0,VLOOKUP($A1490,'13. Updated Demand'!A:Z,22,FALSE))</f>
        <v>9.3333333000000004E-2</v>
      </c>
      <c r="AF1490" s="16">
        <f>IF(ISERROR(VLOOKUP($A1490,'13. Updated Demand'!A:Z,23,FALSE)),0,VLOOKUP($A1490,'13. Updated Demand'!A:Z,23,FALSE))</f>
        <v>4.6666667000000002E-2</v>
      </c>
      <c r="AG1490" s="16">
        <f>IF(ISERROR(VLOOKUP($A1490,'13. Updated Demand'!A:Z,24,FALSE)),0,VLOOKUP($A1490,'13. Updated Demand'!A:Z,24,FALSE))</f>
        <v>0</v>
      </c>
      <c r="AH1490" s="16">
        <f>IF(ISERROR(VLOOKUP($A1490,'13. Updated Demand'!A:Z,25,FALSE)),0,VLOOKUP($A1490,'13. Updated Demand'!A:Z,25,FALSE))</f>
        <v>0</v>
      </c>
      <c r="AI1490" s="16">
        <f>IF(ISERROR(VLOOKUP($A1490,'13. Updated Demand'!A:Z,26,FALSE)),0,VLOOKUP($A1490,'13. Updated Demand'!A:Z,26,FALSE))</f>
        <v>0</v>
      </c>
      <c r="AJ1490" s="16">
        <f t="shared" si="289"/>
        <v>0.46666666600000006</v>
      </c>
      <c r="AK1490" s="19">
        <v>0.41999999900000001</v>
      </c>
      <c r="AL1490" s="16">
        <f t="shared" si="287"/>
        <v>1.3930921541872277E-3</v>
      </c>
      <c r="AM1490" s="26">
        <v>3.2210565019326343E-2</v>
      </c>
      <c r="AN1490" s="19">
        <v>14.488</v>
      </c>
      <c r="AO1490" s="19" t="s">
        <v>1758</v>
      </c>
      <c r="AP1490" s="19">
        <v>0</v>
      </c>
      <c r="AQ1490" s="19" t="s">
        <v>307</v>
      </c>
      <c r="AR1490" s="9" t="s">
        <v>684</v>
      </c>
      <c r="AS1490" s="12">
        <v>0</v>
      </c>
      <c r="AT1490" s="19">
        <v>38.516100000000002</v>
      </c>
      <c r="AU1490" s="19">
        <v>-122.98180000000001</v>
      </c>
      <c r="AV1490" s="19" t="s">
        <v>387</v>
      </c>
    </row>
    <row r="1491" spans="1:48" x14ac:dyDescent="0.25">
      <c r="A1491" s="18" t="s">
        <v>1867</v>
      </c>
      <c r="B1491" s="10">
        <v>10000000</v>
      </c>
      <c r="C1491" s="9">
        <v>2</v>
      </c>
      <c r="D1491" s="8" t="str">
        <f t="shared" si="278"/>
        <v>N</v>
      </c>
      <c r="E1491" s="8" t="str">
        <f t="shared" si="279"/>
        <v>N</v>
      </c>
      <c r="F1491" s="8" t="str">
        <f t="shared" si="280"/>
        <v>Y</v>
      </c>
      <c r="G1491" s="8" t="str">
        <f t="shared" si="281"/>
        <v>N</v>
      </c>
      <c r="H1491" s="8" t="str">
        <f t="shared" si="282"/>
        <v>Upper</v>
      </c>
      <c r="I1491" s="8" t="str">
        <f t="shared" si="283"/>
        <v>Outside</v>
      </c>
      <c r="J1491" s="8" t="str">
        <f t="shared" si="284"/>
        <v>Outside</v>
      </c>
      <c r="K1491" s="8" t="str">
        <f t="shared" si="285"/>
        <v>Riparian</v>
      </c>
      <c r="L1491" s="8">
        <f t="shared" si="286"/>
        <v>1000</v>
      </c>
      <c r="M1491" s="8" t="str">
        <f t="shared" si="288"/>
        <v>-</v>
      </c>
      <c r="N1491" s="10" t="s">
        <v>242</v>
      </c>
      <c r="O1491" s="10" t="s">
        <v>241</v>
      </c>
      <c r="P1491" s="10" t="s">
        <v>242</v>
      </c>
      <c r="Q1491" s="10" t="s">
        <v>242</v>
      </c>
      <c r="R1491" s="10" t="s">
        <v>242</v>
      </c>
      <c r="S1491" s="10" t="s">
        <v>241</v>
      </c>
      <c r="T1491" s="10" t="s">
        <v>242</v>
      </c>
      <c r="U1491" s="10" t="s">
        <v>242</v>
      </c>
      <c r="V1491" s="10" t="s">
        <v>242</v>
      </c>
      <c r="W1491" s="10" t="s">
        <v>242</v>
      </c>
      <c r="X1491" s="15">
        <f>IF(ISERROR(VLOOKUP($A1491,'13. Updated Demand'!A:Z,15,FALSE)),0,VLOOKUP($A1491,'13. Updated Demand'!A:Z,15,FALSE))</f>
        <v>0</v>
      </c>
      <c r="Y1491" s="16">
        <f>IF(ISERROR(VLOOKUP($A1491,'13. Updated Demand'!A:Z,16,FALSE)),0,VLOOKUP($A1491,'13. Updated Demand'!A:Z,16,FALSE))</f>
        <v>0</v>
      </c>
      <c r="Z1491" s="16">
        <f>IF(ISERROR(VLOOKUP($A1491,'13. Updated Demand'!A:Z,17,FALSE)),0,VLOOKUP($A1491,'13. Updated Demand'!A:Z,17,FALSE))</f>
        <v>0</v>
      </c>
      <c r="AA1491" s="16">
        <f>IF(ISERROR(VLOOKUP($A1491,'13. Updated Demand'!A:Z,18,FALSE)),0,VLOOKUP($A1491,'13. Updated Demand'!A:Z,18,FALSE))</f>
        <v>0</v>
      </c>
      <c r="AB1491" s="16">
        <f>IF(ISERROR(VLOOKUP($A1491,'13. Updated Demand'!A:Z,19,FALSE)),0,VLOOKUP($A1491,'13. Updated Demand'!A:Z,19,FALSE))</f>
        <v>0.17</v>
      </c>
      <c r="AC1491" s="16">
        <f>IF(ISERROR(VLOOKUP($A1491,'13. Updated Demand'!A:Z,20,FALSE)),0,VLOOKUP($A1491,'13. Updated Demand'!A:Z,20,FALSE))</f>
        <v>0.55000000000000004</v>
      </c>
      <c r="AD1491" s="16">
        <f>IF(ISERROR(VLOOKUP($A1491,'13. Updated Demand'!A:Z,21,FALSE)),0,VLOOKUP($A1491,'13. Updated Demand'!A:Z,21,FALSE))</f>
        <v>0.62</v>
      </c>
      <c r="AE1491" s="16">
        <f>IF(ISERROR(VLOOKUP($A1491,'13. Updated Demand'!A:Z,22,FALSE)),0,VLOOKUP($A1491,'13. Updated Demand'!A:Z,22,FALSE))</f>
        <v>0.35</v>
      </c>
      <c r="AF1491" s="16">
        <f>IF(ISERROR(VLOOKUP($A1491,'13. Updated Demand'!A:Z,23,FALSE)),0,VLOOKUP($A1491,'13. Updated Demand'!A:Z,23,FALSE))</f>
        <v>0.03</v>
      </c>
      <c r="AG1491" s="16">
        <f>IF(ISERROR(VLOOKUP($A1491,'13. Updated Demand'!A:Z,24,FALSE)),0,VLOOKUP($A1491,'13. Updated Demand'!A:Z,24,FALSE))</f>
        <v>0</v>
      </c>
      <c r="AH1491" s="16">
        <f>IF(ISERROR(VLOOKUP($A1491,'13. Updated Demand'!A:Z,25,FALSE)),0,VLOOKUP($A1491,'13. Updated Demand'!A:Z,25,FALSE))</f>
        <v>0</v>
      </c>
      <c r="AI1491" s="16">
        <f>IF(ISERROR(VLOOKUP($A1491,'13. Updated Demand'!A:Z,26,FALSE)),0,VLOOKUP($A1491,'13. Updated Demand'!A:Z,26,FALSE))</f>
        <v>0</v>
      </c>
      <c r="AJ1491" s="16">
        <f t="shared" si="289"/>
        <v>1.72</v>
      </c>
      <c r="AK1491" s="19">
        <v>1.743666666</v>
      </c>
      <c r="AL1491" s="16">
        <f t="shared" si="287"/>
        <v>5.7835437088236789E-3</v>
      </c>
      <c r="AM1491" s="26">
        <v>1.2005234470422508E-2</v>
      </c>
      <c r="AN1491" s="19">
        <v>145.2422</v>
      </c>
      <c r="AO1491" s="19" t="s">
        <v>1758</v>
      </c>
      <c r="AP1491" s="19">
        <v>0</v>
      </c>
      <c r="AQ1491" s="19" t="s">
        <v>307</v>
      </c>
      <c r="AR1491" s="9" t="s">
        <v>348</v>
      </c>
      <c r="AS1491" s="12">
        <v>0</v>
      </c>
      <c r="AT1491" s="19">
        <v>39.323</v>
      </c>
      <c r="AU1491" s="19">
        <v>-123.107</v>
      </c>
      <c r="AV1491" s="19" t="s">
        <v>1868</v>
      </c>
    </row>
    <row r="1492" spans="1:48" x14ac:dyDescent="0.25">
      <c r="A1492" s="18" t="s">
        <v>1869</v>
      </c>
      <c r="B1492" s="10">
        <v>10000000</v>
      </c>
      <c r="C1492" s="9">
        <v>2</v>
      </c>
      <c r="D1492" s="8" t="str">
        <f t="shared" si="278"/>
        <v>N</v>
      </c>
      <c r="E1492" s="8" t="str">
        <f t="shared" si="279"/>
        <v>N</v>
      </c>
      <c r="F1492" s="8" t="str">
        <f t="shared" si="280"/>
        <v>Y</v>
      </c>
      <c r="G1492" s="8" t="str">
        <f t="shared" si="281"/>
        <v>N</v>
      </c>
      <c r="H1492" s="8" t="str">
        <f t="shared" si="282"/>
        <v>Upper</v>
      </c>
      <c r="I1492" s="8" t="str">
        <f t="shared" si="283"/>
        <v>Outside</v>
      </c>
      <c r="J1492" s="8" t="str">
        <f t="shared" si="284"/>
        <v>Outside</v>
      </c>
      <c r="K1492" s="8" t="str">
        <f t="shared" si="285"/>
        <v>Riparian</v>
      </c>
      <c r="L1492" s="8">
        <f t="shared" si="286"/>
        <v>1000</v>
      </c>
      <c r="M1492" s="8" t="str">
        <f t="shared" si="288"/>
        <v>-</v>
      </c>
      <c r="N1492" s="10" t="s">
        <v>242</v>
      </c>
      <c r="O1492" s="10" t="s">
        <v>241</v>
      </c>
      <c r="P1492" s="10" t="s">
        <v>242</v>
      </c>
      <c r="Q1492" s="10" t="s">
        <v>242</v>
      </c>
      <c r="R1492" s="10" t="s">
        <v>242</v>
      </c>
      <c r="S1492" s="10" t="s">
        <v>241</v>
      </c>
      <c r="T1492" s="10" t="s">
        <v>242</v>
      </c>
      <c r="U1492" s="10" t="s">
        <v>242</v>
      </c>
      <c r="V1492" s="10" t="s">
        <v>242</v>
      </c>
      <c r="W1492" s="10" t="s">
        <v>242</v>
      </c>
      <c r="X1492" s="15">
        <f>IF(ISERROR(VLOOKUP($A1492,'13. Updated Demand'!A:Z,15,FALSE)),0,VLOOKUP($A1492,'13. Updated Demand'!A:Z,15,FALSE))</f>
        <v>0</v>
      </c>
      <c r="Y1492" s="16">
        <f>IF(ISERROR(VLOOKUP($A1492,'13. Updated Demand'!A:Z,16,FALSE)),0,VLOOKUP($A1492,'13. Updated Demand'!A:Z,16,FALSE))</f>
        <v>0</v>
      </c>
      <c r="Z1492" s="16">
        <f>IF(ISERROR(VLOOKUP($A1492,'13. Updated Demand'!A:Z,17,FALSE)),0,VLOOKUP($A1492,'13. Updated Demand'!A:Z,17,FALSE))</f>
        <v>0</v>
      </c>
      <c r="AA1492" s="16">
        <f>IF(ISERROR(VLOOKUP($A1492,'13. Updated Demand'!A:Z,18,FALSE)),0,VLOOKUP($A1492,'13. Updated Demand'!A:Z,18,FALSE))</f>
        <v>0</v>
      </c>
      <c r="AB1492" s="16">
        <f>IF(ISERROR(VLOOKUP($A1492,'13. Updated Demand'!A:Z,19,FALSE)),0,VLOOKUP($A1492,'13. Updated Demand'!A:Z,19,FALSE))</f>
        <v>0</v>
      </c>
      <c r="AC1492" s="16">
        <f>IF(ISERROR(VLOOKUP($A1492,'13. Updated Demand'!A:Z,20,FALSE)),0,VLOOKUP($A1492,'13. Updated Demand'!A:Z,20,FALSE))</f>
        <v>0.36</v>
      </c>
      <c r="AD1492" s="16">
        <f>IF(ISERROR(VLOOKUP($A1492,'13. Updated Demand'!A:Z,21,FALSE)),0,VLOOKUP($A1492,'13. Updated Demand'!A:Z,21,FALSE))</f>
        <v>0.36</v>
      </c>
      <c r="AE1492" s="16">
        <f>IF(ISERROR(VLOOKUP($A1492,'13. Updated Demand'!A:Z,22,FALSE)),0,VLOOKUP($A1492,'13. Updated Demand'!A:Z,22,FALSE))</f>
        <v>0.36</v>
      </c>
      <c r="AF1492" s="16">
        <f>IF(ISERROR(VLOOKUP($A1492,'13. Updated Demand'!A:Z,23,FALSE)),0,VLOOKUP($A1492,'13. Updated Demand'!A:Z,23,FALSE))</f>
        <v>0.36</v>
      </c>
      <c r="AG1492" s="16">
        <f>IF(ISERROR(VLOOKUP($A1492,'13. Updated Demand'!A:Z,24,FALSE)),0,VLOOKUP($A1492,'13. Updated Demand'!A:Z,24,FALSE))</f>
        <v>0</v>
      </c>
      <c r="AH1492" s="16">
        <f>IF(ISERROR(VLOOKUP($A1492,'13. Updated Demand'!A:Z,25,FALSE)),0,VLOOKUP($A1492,'13. Updated Demand'!A:Z,25,FALSE))</f>
        <v>0</v>
      </c>
      <c r="AI1492" s="16">
        <f>IF(ISERROR(VLOOKUP($A1492,'13. Updated Demand'!A:Z,26,FALSE)),0,VLOOKUP($A1492,'13. Updated Demand'!A:Z,26,FALSE))</f>
        <v>0</v>
      </c>
      <c r="AJ1492" s="16">
        <f t="shared" si="289"/>
        <v>1.44</v>
      </c>
      <c r="AK1492" s="19">
        <v>1.47306</v>
      </c>
      <c r="AL1492" s="16">
        <f t="shared" si="287"/>
        <v>4.8859722226976422E-3</v>
      </c>
      <c r="AM1492" s="26">
        <v>0.64001564129301358</v>
      </c>
      <c r="AN1492" s="19">
        <v>2.3016000000000001</v>
      </c>
      <c r="AO1492" s="19" t="s">
        <v>1758</v>
      </c>
      <c r="AP1492" s="19">
        <v>0</v>
      </c>
      <c r="AQ1492" s="19" t="s">
        <v>307</v>
      </c>
      <c r="AR1492" s="9" t="s">
        <v>348</v>
      </c>
      <c r="AS1492" s="12">
        <v>0</v>
      </c>
      <c r="AT1492" s="19">
        <v>39.226999999999997</v>
      </c>
      <c r="AU1492" s="19">
        <v>-123.1131</v>
      </c>
      <c r="AV1492" s="19" t="s">
        <v>1870</v>
      </c>
    </row>
    <row r="1493" spans="1:48" x14ac:dyDescent="0.25">
      <c r="A1493" s="18" t="s">
        <v>1871</v>
      </c>
      <c r="B1493" s="10">
        <v>10000000</v>
      </c>
      <c r="C1493" s="9">
        <v>2</v>
      </c>
      <c r="D1493" s="8" t="str">
        <f t="shared" si="278"/>
        <v>N</v>
      </c>
      <c r="E1493" s="8" t="str">
        <f t="shared" si="279"/>
        <v>N</v>
      </c>
      <c r="F1493" s="8" t="str">
        <f t="shared" si="280"/>
        <v>Y</v>
      </c>
      <c r="G1493" s="8" t="str">
        <f t="shared" si="281"/>
        <v>N</v>
      </c>
      <c r="H1493" s="8" t="str">
        <f t="shared" si="282"/>
        <v>Upper</v>
      </c>
      <c r="I1493" s="8" t="str">
        <f t="shared" si="283"/>
        <v>Outside</v>
      </c>
      <c r="J1493" s="8" t="str">
        <f t="shared" si="284"/>
        <v>Outside</v>
      </c>
      <c r="K1493" s="8" t="str">
        <f t="shared" si="285"/>
        <v>Riparian</v>
      </c>
      <c r="L1493" s="8">
        <f t="shared" si="286"/>
        <v>1000</v>
      </c>
      <c r="M1493" s="8" t="str">
        <f t="shared" si="288"/>
        <v>-</v>
      </c>
      <c r="N1493" s="10" t="s">
        <v>242</v>
      </c>
      <c r="O1493" s="10" t="s">
        <v>241</v>
      </c>
      <c r="P1493" s="10" t="s">
        <v>242</v>
      </c>
      <c r="Q1493" s="10" t="s">
        <v>242</v>
      </c>
      <c r="R1493" s="10" t="s">
        <v>242</v>
      </c>
      <c r="S1493" s="10" t="s">
        <v>241</v>
      </c>
      <c r="T1493" s="10" t="s">
        <v>242</v>
      </c>
      <c r="U1493" s="10" t="s">
        <v>242</v>
      </c>
      <c r="V1493" s="10" t="s">
        <v>242</v>
      </c>
      <c r="W1493" s="10" t="s">
        <v>242</v>
      </c>
      <c r="X1493" s="15">
        <f>IF(ISERROR(VLOOKUP($A1493,'13. Updated Demand'!A:Z,15,FALSE)),0,VLOOKUP($A1493,'13. Updated Demand'!A:Z,15,FALSE))</f>
        <v>0</v>
      </c>
      <c r="Y1493" s="16">
        <f>IF(ISERROR(VLOOKUP($A1493,'13. Updated Demand'!A:Z,16,FALSE)),0,VLOOKUP($A1493,'13. Updated Demand'!A:Z,16,FALSE))</f>
        <v>0</v>
      </c>
      <c r="Z1493" s="16">
        <f>IF(ISERROR(VLOOKUP($A1493,'13. Updated Demand'!A:Z,17,FALSE)),0,VLOOKUP($A1493,'13. Updated Demand'!A:Z,17,FALSE))</f>
        <v>0</v>
      </c>
      <c r="AA1493" s="16">
        <f>IF(ISERROR(VLOOKUP($A1493,'13. Updated Demand'!A:Z,18,FALSE)),0,VLOOKUP($A1493,'13. Updated Demand'!A:Z,18,FALSE))</f>
        <v>0.76</v>
      </c>
      <c r="AB1493" s="16">
        <f>IF(ISERROR(VLOOKUP($A1493,'13. Updated Demand'!A:Z,19,FALSE)),0,VLOOKUP($A1493,'13. Updated Demand'!A:Z,19,FALSE))</f>
        <v>0</v>
      </c>
      <c r="AC1493" s="16">
        <f>IF(ISERROR(VLOOKUP($A1493,'13. Updated Demand'!A:Z,20,FALSE)),0,VLOOKUP($A1493,'13. Updated Demand'!A:Z,20,FALSE))</f>
        <v>0.76</v>
      </c>
      <c r="AD1493" s="16">
        <f>IF(ISERROR(VLOOKUP($A1493,'13. Updated Demand'!A:Z,21,FALSE)),0,VLOOKUP($A1493,'13. Updated Demand'!A:Z,21,FALSE))</f>
        <v>0.56000000000000005</v>
      </c>
      <c r="AE1493" s="16">
        <f>IF(ISERROR(VLOOKUP($A1493,'13. Updated Demand'!A:Z,22,FALSE)),0,VLOOKUP($A1493,'13. Updated Demand'!A:Z,22,FALSE))</f>
        <v>0</v>
      </c>
      <c r="AF1493" s="16">
        <f>IF(ISERROR(VLOOKUP($A1493,'13. Updated Demand'!A:Z,23,FALSE)),0,VLOOKUP($A1493,'13. Updated Demand'!A:Z,23,FALSE))</f>
        <v>0</v>
      </c>
      <c r="AG1493" s="16">
        <f>IF(ISERROR(VLOOKUP($A1493,'13. Updated Demand'!A:Z,24,FALSE)),0,VLOOKUP($A1493,'13. Updated Demand'!A:Z,24,FALSE))</f>
        <v>0.7</v>
      </c>
      <c r="AH1493" s="16">
        <f>IF(ISERROR(VLOOKUP($A1493,'13. Updated Demand'!A:Z,25,FALSE)),0,VLOOKUP($A1493,'13. Updated Demand'!A:Z,25,FALSE))</f>
        <v>0</v>
      </c>
      <c r="AI1493" s="16">
        <f>IF(ISERROR(VLOOKUP($A1493,'13. Updated Demand'!A:Z,26,FALSE)),0,VLOOKUP($A1493,'13. Updated Demand'!A:Z,26,FALSE))</f>
        <v>0</v>
      </c>
      <c r="AJ1493" s="16">
        <f t="shared" si="289"/>
        <v>2.7800000000000002</v>
      </c>
      <c r="AK1493" s="19">
        <v>1.333333334</v>
      </c>
      <c r="AL1493" s="16">
        <f t="shared" si="287"/>
        <v>4.422514787938603E-3</v>
      </c>
      <c r="AM1493" s="26">
        <v>0.12673009210562047</v>
      </c>
      <c r="AN1493" s="19">
        <v>22.094200000000001</v>
      </c>
      <c r="AO1493" s="19" t="s">
        <v>1758</v>
      </c>
      <c r="AP1493" s="19">
        <v>0</v>
      </c>
      <c r="AQ1493" s="19" t="s">
        <v>307</v>
      </c>
      <c r="AR1493" s="9" t="s">
        <v>348</v>
      </c>
      <c r="AS1493" s="12">
        <v>0</v>
      </c>
      <c r="AT1493" s="19">
        <v>39.318182880000002</v>
      </c>
      <c r="AU1493" s="19">
        <v>-123.10642224999999</v>
      </c>
      <c r="AV1493" s="19" t="s">
        <v>542</v>
      </c>
    </row>
    <row r="1494" spans="1:48" x14ac:dyDescent="0.25">
      <c r="A1494" s="18" t="s">
        <v>1872</v>
      </c>
      <c r="B1494" s="10">
        <v>10000000</v>
      </c>
      <c r="C1494" s="9">
        <v>2</v>
      </c>
      <c r="D1494" s="8" t="str">
        <f t="shared" si="278"/>
        <v>N</v>
      </c>
      <c r="E1494" s="8" t="str">
        <f t="shared" si="279"/>
        <v>N</v>
      </c>
      <c r="F1494" s="8" t="str">
        <f t="shared" si="280"/>
        <v>Y</v>
      </c>
      <c r="G1494" s="8" t="str">
        <f t="shared" si="281"/>
        <v>N</v>
      </c>
      <c r="H1494" s="8" t="str">
        <f t="shared" si="282"/>
        <v>Upper</v>
      </c>
      <c r="I1494" s="8" t="str">
        <f t="shared" si="283"/>
        <v>Outside</v>
      </c>
      <c r="J1494" s="8" t="str">
        <f t="shared" si="284"/>
        <v>Outside</v>
      </c>
      <c r="K1494" s="8" t="str">
        <f t="shared" si="285"/>
        <v>Riparian</v>
      </c>
      <c r="L1494" s="8">
        <f t="shared" si="286"/>
        <v>1000</v>
      </c>
      <c r="M1494" s="8" t="str">
        <f t="shared" si="288"/>
        <v>-</v>
      </c>
      <c r="N1494" s="10" t="s">
        <v>242</v>
      </c>
      <c r="O1494" s="10" t="s">
        <v>241</v>
      </c>
      <c r="P1494" s="10" t="s">
        <v>242</v>
      </c>
      <c r="Q1494" s="10" t="s">
        <v>242</v>
      </c>
      <c r="R1494" s="10" t="s">
        <v>242</v>
      </c>
      <c r="S1494" s="10" t="s">
        <v>241</v>
      </c>
      <c r="T1494" s="10" t="s">
        <v>242</v>
      </c>
      <c r="U1494" s="10" t="s">
        <v>242</v>
      </c>
      <c r="V1494" s="10" t="s">
        <v>242</v>
      </c>
      <c r="W1494" s="10" t="s">
        <v>242</v>
      </c>
      <c r="X1494" s="15">
        <f>IF(ISERROR(VLOOKUP($A1494,'13. Updated Demand'!A:Z,15,FALSE)),0,VLOOKUP($A1494,'13. Updated Demand'!A:Z,15,FALSE))</f>
        <v>3.33333E-4</v>
      </c>
      <c r="Y1494" s="16">
        <f>IF(ISERROR(VLOOKUP($A1494,'13. Updated Demand'!A:Z,16,FALSE)),0,VLOOKUP($A1494,'13. Updated Demand'!A:Z,16,FALSE))</f>
        <v>6.6666700000000002E-4</v>
      </c>
      <c r="Z1494" s="16">
        <f>IF(ISERROR(VLOOKUP($A1494,'13. Updated Demand'!A:Z,17,FALSE)),0,VLOOKUP($A1494,'13. Updated Demand'!A:Z,17,FALSE))</f>
        <v>3.333333E-3</v>
      </c>
      <c r="AA1494" s="16">
        <f>IF(ISERROR(VLOOKUP($A1494,'13. Updated Demand'!A:Z,18,FALSE)),0,VLOOKUP($A1494,'13. Updated Demand'!A:Z,18,FALSE))</f>
        <v>6.6666670000000003E-3</v>
      </c>
      <c r="AB1494" s="16">
        <f>IF(ISERROR(VLOOKUP($A1494,'13. Updated Demand'!A:Z,19,FALSE)),0,VLOOKUP($A1494,'13. Updated Demand'!A:Z,19,FALSE))</f>
        <v>0.1</v>
      </c>
      <c r="AC1494" s="16">
        <f>IF(ISERROR(VLOOKUP($A1494,'13. Updated Demand'!A:Z,20,FALSE)),0,VLOOKUP($A1494,'13. Updated Demand'!A:Z,20,FALSE))</f>
        <v>7.0000000000000007E-2</v>
      </c>
      <c r="AD1494" s="16">
        <f>IF(ISERROR(VLOOKUP($A1494,'13. Updated Demand'!A:Z,21,FALSE)),0,VLOOKUP($A1494,'13. Updated Demand'!A:Z,21,FALSE))</f>
        <v>0.17</v>
      </c>
      <c r="AE1494" s="16">
        <f>IF(ISERROR(VLOOKUP($A1494,'13. Updated Demand'!A:Z,22,FALSE)),0,VLOOKUP($A1494,'13. Updated Demand'!A:Z,22,FALSE))</f>
        <v>0.17</v>
      </c>
      <c r="AF1494" s="16">
        <f>IF(ISERROR(VLOOKUP($A1494,'13. Updated Demand'!A:Z,23,FALSE)),0,VLOOKUP($A1494,'13. Updated Demand'!A:Z,23,FALSE))</f>
        <v>0.27</v>
      </c>
      <c r="AG1494" s="16">
        <f>IF(ISERROR(VLOOKUP($A1494,'13. Updated Demand'!A:Z,24,FALSE)),0,VLOOKUP($A1494,'13. Updated Demand'!A:Z,24,FALSE))</f>
        <v>0.11</v>
      </c>
      <c r="AH1494" s="16">
        <f>IF(ISERROR(VLOOKUP($A1494,'13. Updated Demand'!A:Z,25,FALSE)),0,VLOOKUP($A1494,'13. Updated Demand'!A:Z,25,FALSE))</f>
        <v>0.03</v>
      </c>
      <c r="AI1494" s="16">
        <f>IF(ISERROR(VLOOKUP($A1494,'13. Updated Demand'!A:Z,26,FALSE)),0,VLOOKUP($A1494,'13. Updated Demand'!A:Z,26,FALSE))</f>
        <v>0.03</v>
      </c>
      <c r="AJ1494" s="16">
        <f t="shared" si="289"/>
        <v>0.96100000000000008</v>
      </c>
      <c r="AK1494" s="19">
        <v>0.8050666660000001</v>
      </c>
      <c r="AL1494" s="16">
        <f t="shared" si="287"/>
        <v>2.670314425410914E-3</v>
      </c>
      <c r="AM1494" s="26">
        <v>5.8805330603757186E-2</v>
      </c>
      <c r="AN1494" s="19">
        <v>17.023399999999999</v>
      </c>
      <c r="AO1494" s="19" t="s">
        <v>1758</v>
      </c>
      <c r="AP1494" s="19">
        <v>0</v>
      </c>
      <c r="AQ1494" s="19" t="s">
        <v>307</v>
      </c>
      <c r="AR1494" s="9" t="s">
        <v>348</v>
      </c>
      <c r="AS1494" s="12">
        <v>3.4039024194010059E-4</v>
      </c>
      <c r="AT1494" s="19">
        <v>39.270000000000003</v>
      </c>
      <c r="AU1494" s="19">
        <v>-123.101</v>
      </c>
      <c r="AV1494" s="19" t="s">
        <v>1873</v>
      </c>
    </row>
    <row r="1495" spans="1:48" x14ac:dyDescent="0.25">
      <c r="A1495" s="18" t="s">
        <v>1874</v>
      </c>
      <c r="B1495" s="10">
        <v>10000000</v>
      </c>
      <c r="C1495" s="9">
        <v>2</v>
      </c>
      <c r="D1495" s="8" t="str">
        <f t="shared" si="278"/>
        <v>N</v>
      </c>
      <c r="E1495" s="8" t="str">
        <f t="shared" si="279"/>
        <v>N</v>
      </c>
      <c r="F1495" s="8" t="str">
        <f t="shared" si="280"/>
        <v>Y</v>
      </c>
      <c r="G1495" s="8" t="str">
        <f t="shared" si="281"/>
        <v>N</v>
      </c>
      <c r="H1495" s="8" t="str">
        <f t="shared" si="282"/>
        <v>Upper</v>
      </c>
      <c r="I1495" s="8" t="str">
        <f t="shared" si="283"/>
        <v>Outside</v>
      </c>
      <c r="J1495" s="8" t="str">
        <f t="shared" si="284"/>
        <v>Outside</v>
      </c>
      <c r="K1495" s="8" t="str">
        <f t="shared" si="285"/>
        <v>Riparian</v>
      </c>
      <c r="L1495" s="8">
        <f t="shared" si="286"/>
        <v>1000</v>
      </c>
      <c r="M1495" s="8" t="str">
        <f t="shared" si="288"/>
        <v>-</v>
      </c>
      <c r="N1495" s="10" t="s">
        <v>242</v>
      </c>
      <c r="O1495" s="10" t="s">
        <v>241</v>
      </c>
      <c r="P1495" s="10" t="s">
        <v>242</v>
      </c>
      <c r="Q1495" s="10" t="s">
        <v>242</v>
      </c>
      <c r="R1495" s="10" t="s">
        <v>242</v>
      </c>
      <c r="S1495" s="10" t="s">
        <v>241</v>
      </c>
      <c r="T1495" s="10" t="s">
        <v>242</v>
      </c>
      <c r="U1495" s="10" t="s">
        <v>242</v>
      </c>
      <c r="V1495" s="10" t="s">
        <v>242</v>
      </c>
      <c r="W1495" s="10" t="s">
        <v>242</v>
      </c>
      <c r="X1495" s="15">
        <f>IF(ISERROR(VLOOKUP($A1495,'13. Updated Demand'!A:Z,15,FALSE)),0,VLOOKUP($A1495,'13. Updated Demand'!A:Z,15,FALSE))</f>
        <v>0</v>
      </c>
      <c r="Y1495" s="16">
        <f>IF(ISERROR(VLOOKUP($A1495,'13. Updated Demand'!A:Z,16,FALSE)),0,VLOOKUP($A1495,'13. Updated Demand'!A:Z,16,FALSE))</f>
        <v>0</v>
      </c>
      <c r="Z1495" s="16">
        <f>IF(ISERROR(VLOOKUP($A1495,'13. Updated Demand'!A:Z,17,FALSE)),0,VLOOKUP($A1495,'13. Updated Demand'!A:Z,17,FALSE))</f>
        <v>0</v>
      </c>
      <c r="AA1495" s="16">
        <f>IF(ISERROR(VLOOKUP($A1495,'13. Updated Demand'!A:Z,18,FALSE)),0,VLOOKUP($A1495,'13. Updated Demand'!A:Z,18,FALSE))</f>
        <v>1E-3</v>
      </c>
      <c r="AB1495" s="16">
        <f>IF(ISERROR(VLOOKUP($A1495,'13. Updated Demand'!A:Z,19,FALSE)),0,VLOOKUP($A1495,'13. Updated Demand'!A:Z,19,FALSE))</f>
        <v>0.01</v>
      </c>
      <c r="AC1495" s="16">
        <f>IF(ISERROR(VLOOKUP($A1495,'13. Updated Demand'!A:Z,20,FALSE)),0,VLOOKUP($A1495,'13. Updated Demand'!A:Z,20,FALSE))</f>
        <v>0.02</v>
      </c>
      <c r="AD1495" s="16">
        <f>IF(ISERROR(VLOOKUP($A1495,'13. Updated Demand'!A:Z,21,FALSE)),0,VLOOKUP($A1495,'13. Updated Demand'!A:Z,21,FALSE))</f>
        <v>0.06</v>
      </c>
      <c r="AE1495" s="16">
        <f>IF(ISERROR(VLOOKUP($A1495,'13. Updated Demand'!A:Z,22,FALSE)),0,VLOOKUP($A1495,'13. Updated Demand'!A:Z,22,FALSE))</f>
        <v>7.0000000000000007E-2</v>
      </c>
      <c r="AF1495" s="16">
        <f>IF(ISERROR(VLOOKUP($A1495,'13. Updated Demand'!A:Z,23,FALSE)),0,VLOOKUP($A1495,'13. Updated Demand'!A:Z,23,FALSE))</f>
        <v>0.06</v>
      </c>
      <c r="AG1495" s="16">
        <f>IF(ISERROR(VLOOKUP($A1495,'13. Updated Demand'!A:Z,24,FALSE)),0,VLOOKUP($A1495,'13. Updated Demand'!A:Z,24,FALSE))</f>
        <v>0.04</v>
      </c>
      <c r="AH1495" s="16">
        <f>IF(ISERROR(VLOOKUP($A1495,'13. Updated Demand'!A:Z,25,FALSE)),0,VLOOKUP($A1495,'13. Updated Demand'!A:Z,25,FALSE))</f>
        <v>0</v>
      </c>
      <c r="AI1495" s="16">
        <f>IF(ISERROR(VLOOKUP($A1495,'13. Updated Demand'!A:Z,26,FALSE)),0,VLOOKUP($A1495,'13. Updated Demand'!A:Z,26,FALSE))</f>
        <v>0</v>
      </c>
      <c r="AJ1495" s="16">
        <f t="shared" si="289"/>
        <v>0.26100000000000001</v>
      </c>
      <c r="AK1495" s="19">
        <v>0.24899999999999997</v>
      </c>
      <c r="AL1495" s="16">
        <f t="shared" si="287"/>
        <v>8.2590463623458176E-4</v>
      </c>
      <c r="AM1495" s="26">
        <v>3.9397684389051037E-2</v>
      </c>
      <c r="AN1495" s="19">
        <v>7.6062000000000003</v>
      </c>
      <c r="AO1495" s="19" t="s">
        <v>1758</v>
      </c>
      <c r="AP1495" s="19">
        <v>0</v>
      </c>
      <c r="AQ1495" s="19" t="s">
        <v>307</v>
      </c>
      <c r="AR1495" s="9" t="s">
        <v>348</v>
      </c>
      <c r="AS1495" s="12">
        <v>0</v>
      </c>
      <c r="AT1495" s="19">
        <v>39.267200000000003</v>
      </c>
      <c r="AU1495" s="19">
        <v>-123.09480000000001</v>
      </c>
      <c r="AV1495" s="19" t="s">
        <v>1875</v>
      </c>
    </row>
    <row r="1496" spans="1:48" x14ac:dyDescent="0.25">
      <c r="A1496" s="18" t="s">
        <v>1876</v>
      </c>
      <c r="B1496" s="10">
        <v>10000000</v>
      </c>
      <c r="C1496" s="9">
        <v>2</v>
      </c>
      <c r="D1496" s="8" t="str">
        <f t="shared" si="278"/>
        <v>N</v>
      </c>
      <c r="E1496" s="8" t="str">
        <f t="shared" si="279"/>
        <v>N</v>
      </c>
      <c r="F1496" s="8" t="str">
        <f t="shared" si="280"/>
        <v>Y</v>
      </c>
      <c r="G1496" s="8" t="str">
        <f t="shared" si="281"/>
        <v>N</v>
      </c>
      <c r="H1496" s="8" t="str">
        <f t="shared" si="282"/>
        <v>Upper</v>
      </c>
      <c r="I1496" s="8" t="str">
        <f t="shared" si="283"/>
        <v>Outside</v>
      </c>
      <c r="J1496" s="8" t="str">
        <f t="shared" si="284"/>
        <v>Outside</v>
      </c>
      <c r="K1496" s="8" t="str">
        <f t="shared" si="285"/>
        <v>Riparian</v>
      </c>
      <c r="L1496" s="8">
        <f t="shared" si="286"/>
        <v>1000</v>
      </c>
      <c r="M1496" s="8" t="str">
        <f t="shared" si="288"/>
        <v>-</v>
      </c>
      <c r="N1496" s="10" t="s">
        <v>242</v>
      </c>
      <c r="O1496" s="10" t="s">
        <v>241</v>
      </c>
      <c r="P1496" s="10" t="s">
        <v>242</v>
      </c>
      <c r="Q1496" s="10" t="s">
        <v>242</v>
      </c>
      <c r="R1496" s="10" t="s">
        <v>242</v>
      </c>
      <c r="S1496" s="10" t="s">
        <v>241</v>
      </c>
      <c r="T1496" s="10" t="s">
        <v>242</v>
      </c>
      <c r="U1496" s="10" t="s">
        <v>242</v>
      </c>
      <c r="V1496" s="10" t="s">
        <v>242</v>
      </c>
      <c r="W1496" s="10" t="s">
        <v>242</v>
      </c>
      <c r="X1496" s="15">
        <f>IF(ISERROR(VLOOKUP($A1496,'13. Updated Demand'!A:Z,15,FALSE)),0,VLOOKUP($A1496,'13. Updated Demand'!A:Z,15,FALSE))</f>
        <v>4.7569999999999999E-3</v>
      </c>
      <c r="Y1496" s="16">
        <f>IF(ISERROR(VLOOKUP($A1496,'13. Updated Demand'!A:Z,16,FALSE)),0,VLOOKUP($A1496,'13. Updated Demand'!A:Z,16,FALSE))</f>
        <v>6.4450000000000002E-3</v>
      </c>
      <c r="Z1496" s="16">
        <f>IF(ISERROR(VLOOKUP($A1496,'13. Updated Demand'!A:Z,17,FALSE)),0,VLOOKUP($A1496,'13. Updated Demand'!A:Z,17,FALSE))</f>
        <v>6.4450000000000002E-3</v>
      </c>
      <c r="AA1496" s="16">
        <f>IF(ISERROR(VLOOKUP($A1496,'13. Updated Demand'!A:Z,18,FALSE)),0,VLOOKUP($A1496,'13. Updated Demand'!A:Z,18,FALSE))</f>
        <v>0.01</v>
      </c>
      <c r="AB1496" s="16">
        <f>IF(ISERROR(VLOOKUP($A1496,'13. Updated Demand'!A:Z,19,FALSE)),0,VLOOKUP($A1496,'13. Updated Demand'!A:Z,19,FALSE))</f>
        <v>0.03</v>
      </c>
      <c r="AC1496" s="16">
        <f>IF(ISERROR(VLOOKUP($A1496,'13. Updated Demand'!A:Z,20,FALSE)),0,VLOOKUP($A1496,'13. Updated Demand'!A:Z,20,FALSE))</f>
        <v>0.03</v>
      </c>
      <c r="AD1496" s="16">
        <f>IF(ISERROR(VLOOKUP($A1496,'13. Updated Demand'!A:Z,21,FALSE)),0,VLOOKUP($A1496,'13. Updated Demand'!A:Z,21,FALSE))</f>
        <v>0.03</v>
      </c>
      <c r="AE1496" s="16">
        <f>IF(ISERROR(VLOOKUP($A1496,'13. Updated Demand'!A:Z,22,FALSE)),0,VLOOKUP($A1496,'13. Updated Demand'!A:Z,22,FALSE))</f>
        <v>0.03</v>
      </c>
      <c r="AF1496" s="16">
        <f>IF(ISERROR(VLOOKUP($A1496,'13. Updated Demand'!A:Z,23,FALSE)),0,VLOOKUP($A1496,'13. Updated Demand'!A:Z,23,FALSE))</f>
        <v>0.03</v>
      </c>
      <c r="AG1496" s="16">
        <f>IF(ISERROR(VLOOKUP($A1496,'13. Updated Demand'!A:Z,24,FALSE)),0,VLOOKUP($A1496,'13. Updated Demand'!A:Z,24,FALSE))</f>
        <v>0.01</v>
      </c>
      <c r="AH1496" s="16">
        <f>IF(ISERROR(VLOOKUP($A1496,'13. Updated Demand'!A:Z,25,FALSE)),0,VLOOKUP($A1496,'13. Updated Demand'!A:Z,25,FALSE))</f>
        <v>0.01</v>
      </c>
      <c r="AI1496" s="16">
        <f>IF(ISERROR(VLOOKUP($A1496,'13. Updated Demand'!A:Z,26,FALSE)),0,VLOOKUP($A1496,'13. Updated Demand'!A:Z,26,FALSE))</f>
        <v>9.5139999999999999E-3</v>
      </c>
      <c r="AJ1496" s="16">
        <f t="shared" si="289"/>
        <v>0.20716100000000001</v>
      </c>
      <c r="AK1496" s="19">
        <v>0.18413499999999999</v>
      </c>
      <c r="AL1496" s="16">
        <f t="shared" si="287"/>
        <v>6.1075482005242855E-4</v>
      </c>
      <c r="AM1496" s="26">
        <v>1.0983253253335752E-2</v>
      </c>
      <c r="AN1496" s="19">
        <v>24.267399999999999</v>
      </c>
      <c r="AO1496" s="19" t="s">
        <v>1758</v>
      </c>
      <c r="AP1496" s="19">
        <v>0</v>
      </c>
      <c r="AQ1496" s="19" t="s">
        <v>307</v>
      </c>
      <c r="AR1496" s="9" t="s">
        <v>348</v>
      </c>
      <c r="AS1496" s="12">
        <v>3.4039024194010059E-4</v>
      </c>
      <c r="AT1496" s="19">
        <v>39.25079289</v>
      </c>
      <c r="AU1496" s="19">
        <v>-123.11878711999999</v>
      </c>
      <c r="AV1496" s="19" t="s">
        <v>542</v>
      </c>
    </row>
    <row r="1497" spans="1:48" x14ac:dyDescent="0.25">
      <c r="A1497" s="18" t="s">
        <v>1877</v>
      </c>
      <c r="B1497" s="10">
        <v>10000000</v>
      </c>
      <c r="C1497" s="9">
        <v>2</v>
      </c>
      <c r="D1497" s="8" t="str">
        <f t="shared" si="278"/>
        <v>N</v>
      </c>
      <c r="E1497" s="8" t="str">
        <f t="shared" si="279"/>
        <v>N</v>
      </c>
      <c r="F1497" s="8" t="str">
        <f t="shared" si="280"/>
        <v>Y</v>
      </c>
      <c r="G1497" s="8" t="str">
        <f t="shared" si="281"/>
        <v>N</v>
      </c>
      <c r="H1497" s="8" t="str">
        <f t="shared" si="282"/>
        <v>Upper</v>
      </c>
      <c r="I1497" s="8" t="str">
        <f t="shared" si="283"/>
        <v>Outside</v>
      </c>
      <c r="J1497" s="8" t="str">
        <f t="shared" si="284"/>
        <v>Outside</v>
      </c>
      <c r="K1497" s="8" t="str">
        <f t="shared" si="285"/>
        <v>Riparian</v>
      </c>
      <c r="L1497" s="8">
        <f t="shared" si="286"/>
        <v>1000</v>
      </c>
      <c r="M1497" s="8" t="str">
        <f t="shared" si="288"/>
        <v>-</v>
      </c>
      <c r="N1497" s="10" t="s">
        <v>242</v>
      </c>
      <c r="O1497" s="10" t="s">
        <v>241</v>
      </c>
      <c r="P1497" s="10" t="s">
        <v>242</v>
      </c>
      <c r="Q1497" s="10" t="s">
        <v>242</v>
      </c>
      <c r="R1497" s="10" t="s">
        <v>242</v>
      </c>
      <c r="S1497" s="10" t="s">
        <v>241</v>
      </c>
      <c r="T1497" s="10" t="s">
        <v>242</v>
      </c>
      <c r="U1497" s="10" t="s">
        <v>242</v>
      </c>
      <c r="V1497" s="10" t="s">
        <v>242</v>
      </c>
      <c r="W1497" s="10" t="s">
        <v>242</v>
      </c>
      <c r="X1497" s="15">
        <f>IF(ISERROR(VLOOKUP($A1497,'13. Updated Demand'!A:Z,15,FALSE)),0,VLOOKUP($A1497,'13. Updated Demand'!A:Z,15,FALSE))</f>
        <v>0.03</v>
      </c>
      <c r="Y1497" s="16">
        <f>IF(ISERROR(VLOOKUP($A1497,'13. Updated Demand'!A:Z,16,FALSE)),0,VLOOKUP($A1497,'13. Updated Demand'!A:Z,16,FALSE))</f>
        <v>0.03</v>
      </c>
      <c r="Z1497" s="16">
        <f>IF(ISERROR(VLOOKUP($A1497,'13. Updated Demand'!A:Z,17,FALSE)),0,VLOOKUP($A1497,'13. Updated Demand'!A:Z,17,FALSE))</f>
        <v>0.03</v>
      </c>
      <c r="AA1497" s="16">
        <f>IF(ISERROR(VLOOKUP($A1497,'13. Updated Demand'!A:Z,18,FALSE)),0,VLOOKUP($A1497,'13. Updated Demand'!A:Z,18,FALSE))</f>
        <v>0.05</v>
      </c>
      <c r="AB1497" s="16">
        <f>IF(ISERROR(VLOOKUP($A1497,'13. Updated Demand'!A:Z,19,FALSE)),0,VLOOKUP($A1497,'13. Updated Demand'!A:Z,19,FALSE))</f>
        <v>0.03</v>
      </c>
      <c r="AC1497" s="16">
        <f>IF(ISERROR(VLOOKUP($A1497,'13. Updated Demand'!A:Z,20,FALSE)),0,VLOOKUP($A1497,'13. Updated Demand'!A:Z,20,FALSE))</f>
        <v>0.03</v>
      </c>
      <c r="AD1497" s="16">
        <f>IF(ISERROR(VLOOKUP($A1497,'13. Updated Demand'!A:Z,21,FALSE)),0,VLOOKUP($A1497,'13. Updated Demand'!A:Z,21,FALSE))</f>
        <v>0.03</v>
      </c>
      <c r="AE1497" s="16">
        <f>IF(ISERROR(VLOOKUP($A1497,'13. Updated Demand'!A:Z,22,FALSE)),0,VLOOKUP($A1497,'13. Updated Demand'!A:Z,22,FALSE))</f>
        <v>0.02</v>
      </c>
      <c r="AF1497" s="16">
        <f>IF(ISERROR(VLOOKUP($A1497,'13. Updated Demand'!A:Z,23,FALSE)),0,VLOOKUP($A1497,'13. Updated Demand'!A:Z,23,FALSE))</f>
        <v>0.02</v>
      </c>
      <c r="AG1497" s="16">
        <f>IF(ISERROR(VLOOKUP($A1497,'13. Updated Demand'!A:Z,24,FALSE)),0,VLOOKUP($A1497,'13. Updated Demand'!A:Z,24,FALSE))</f>
        <v>0.02</v>
      </c>
      <c r="AH1497" s="16">
        <f>IF(ISERROR(VLOOKUP($A1497,'13. Updated Demand'!A:Z,25,FALSE)),0,VLOOKUP($A1497,'13. Updated Demand'!A:Z,25,FALSE))</f>
        <v>0.02</v>
      </c>
      <c r="AI1497" s="16">
        <f>IF(ISERROR(VLOOKUP($A1497,'13. Updated Demand'!A:Z,26,FALSE)),0,VLOOKUP($A1497,'13. Updated Demand'!A:Z,26,FALSE))</f>
        <v>0.02</v>
      </c>
      <c r="AJ1497" s="16">
        <f t="shared" si="289"/>
        <v>0.33000000000000007</v>
      </c>
      <c r="AK1497" s="19">
        <v>0.173904001</v>
      </c>
      <c r="AL1497" s="16">
        <f t="shared" si="287"/>
        <v>5.7681976178973232E-4</v>
      </c>
      <c r="AM1497" s="26">
        <v>0.85610376759061846</v>
      </c>
      <c r="AN1497" s="19">
        <v>0.46899999999999997</v>
      </c>
      <c r="AO1497" s="19" t="s">
        <v>1758</v>
      </c>
      <c r="AP1497" s="19">
        <v>0</v>
      </c>
      <c r="AQ1497" s="19" t="s">
        <v>307</v>
      </c>
      <c r="AR1497" s="9" t="s">
        <v>348</v>
      </c>
      <c r="AS1497" s="12">
        <v>3.4039024194010059E-4</v>
      </c>
      <c r="AT1497" s="19">
        <v>39.294600000000003</v>
      </c>
      <c r="AU1497" s="19">
        <v>-123.03654</v>
      </c>
      <c r="AV1497" s="19" t="s">
        <v>1878</v>
      </c>
    </row>
    <row r="1498" spans="1:48" x14ac:dyDescent="0.25">
      <c r="A1498" s="18" t="s">
        <v>1879</v>
      </c>
      <c r="B1498" s="10">
        <v>10000000</v>
      </c>
      <c r="C1498" s="9">
        <v>2</v>
      </c>
      <c r="D1498" s="8" t="str">
        <f t="shared" si="278"/>
        <v>N</v>
      </c>
      <c r="E1498" s="8" t="str">
        <f t="shared" si="279"/>
        <v>N</v>
      </c>
      <c r="F1498" s="8" t="str">
        <f t="shared" si="280"/>
        <v>Y</v>
      </c>
      <c r="G1498" s="8" t="str">
        <f t="shared" si="281"/>
        <v>N</v>
      </c>
      <c r="H1498" s="8" t="str">
        <f t="shared" si="282"/>
        <v>Upper</v>
      </c>
      <c r="I1498" s="8" t="str">
        <f t="shared" si="283"/>
        <v>Outside</v>
      </c>
      <c r="J1498" s="8" t="str">
        <f t="shared" si="284"/>
        <v>Outside</v>
      </c>
      <c r="K1498" s="8" t="str">
        <f t="shared" si="285"/>
        <v>Riparian</v>
      </c>
      <c r="L1498" s="8">
        <f t="shared" si="286"/>
        <v>1000</v>
      </c>
      <c r="M1498" s="8" t="str">
        <f t="shared" si="288"/>
        <v>-</v>
      </c>
      <c r="N1498" s="10" t="s">
        <v>242</v>
      </c>
      <c r="O1498" s="10" t="s">
        <v>241</v>
      </c>
      <c r="P1498" s="10" t="s">
        <v>242</v>
      </c>
      <c r="Q1498" s="10" t="s">
        <v>242</v>
      </c>
      <c r="R1498" s="10" t="s">
        <v>242</v>
      </c>
      <c r="S1498" s="10" t="s">
        <v>241</v>
      </c>
      <c r="T1498" s="10" t="s">
        <v>242</v>
      </c>
      <c r="U1498" s="10" t="s">
        <v>242</v>
      </c>
      <c r="V1498" s="10" t="s">
        <v>242</v>
      </c>
      <c r="W1498" s="10" t="s">
        <v>242</v>
      </c>
      <c r="X1498" s="15">
        <f>IF(ISERROR(VLOOKUP($A1498,'13. Updated Demand'!A:Z,15,FALSE)),0,VLOOKUP($A1498,'13. Updated Demand'!A:Z,15,FALSE))</f>
        <v>0</v>
      </c>
      <c r="Y1498" s="16">
        <f>IF(ISERROR(VLOOKUP($A1498,'13. Updated Demand'!A:Z,16,FALSE)),0,VLOOKUP($A1498,'13. Updated Demand'!A:Z,16,FALSE))</f>
        <v>0</v>
      </c>
      <c r="Z1498" s="16">
        <f>IF(ISERROR(VLOOKUP($A1498,'13. Updated Demand'!A:Z,17,FALSE)),0,VLOOKUP($A1498,'13. Updated Demand'!A:Z,17,FALSE))</f>
        <v>0</v>
      </c>
      <c r="AA1498" s="16">
        <f>IF(ISERROR(VLOOKUP($A1498,'13. Updated Demand'!A:Z,18,FALSE)),0,VLOOKUP($A1498,'13. Updated Demand'!A:Z,18,FALSE))</f>
        <v>8.9800000000000004E-4</v>
      </c>
      <c r="AB1498" s="16">
        <f>IF(ISERROR(VLOOKUP($A1498,'13. Updated Demand'!A:Z,19,FALSE)),0,VLOOKUP($A1498,'13. Updated Demand'!A:Z,19,FALSE))</f>
        <v>0.01</v>
      </c>
      <c r="AC1498" s="16">
        <f>IF(ISERROR(VLOOKUP($A1498,'13. Updated Demand'!A:Z,20,FALSE)),0,VLOOKUP($A1498,'13. Updated Demand'!A:Z,20,FALSE))</f>
        <v>0.01</v>
      </c>
      <c r="AD1498" s="16">
        <f>IF(ISERROR(VLOOKUP($A1498,'13. Updated Demand'!A:Z,21,FALSE)),0,VLOOKUP($A1498,'13. Updated Demand'!A:Z,21,FALSE))</f>
        <v>0.02</v>
      </c>
      <c r="AE1498" s="16">
        <f>IF(ISERROR(VLOOKUP($A1498,'13. Updated Demand'!A:Z,22,FALSE)),0,VLOOKUP($A1498,'13. Updated Demand'!A:Z,22,FALSE))</f>
        <v>0.01</v>
      </c>
      <c r="AF1498" s="16">
        <f>IF(ISERROR(VLOOKUP($A1498,'13. Updated Demand'!A:Z,23,FALSE)),0,VLOOKUP($A1498,'13. Updated Demand'!A:Z,23,FALSE))</f>
        <v>0.01</v>
      </c>
      <c r="AG1498" s="16">
        <f>IF(ISERROR(VLOOKUP($A1498,'13. Updated Demand'!A:Z,24,FALSE)),0,VLOOKUP($A1498,'13. Updated Demand'!A:Z,24,FALSE))</f>
        <v>0.02</v>
      </c>
      <c r="AH1498" s="16">
        <f>IF(ISERROR(VLOOKUP($A1498,'13. Updated Demand'!A:Z,25,FALSE)),0,VLOOKUP($A1498,'13. Updated Demand'!A:Z,25,FALSE))</f>
        <v>4.0850000000000001E-3</v>
      </c>
      <c r="AI1498" s="16">
        <f>IF(ISERROR(VLOOKUP($A1498,'13. Updated Demand'!A:Z,26,FALSE)),0,VLOOKUP($A1498,'13. Updated Demand'!A:Z,26,FALSE))</f>
        <v>0</v>
      </c>
      <c r="AJ1498" s="16">
        <f t="shared" si="289"/>
        <v>8.4983000000000017E-2</v>
      </c>
      <c r="AK1498" s="19">
        <v>8.3186333333333307E-2</v>
      </c>
      <c r="AL1498" s="16">
        <f t="shared" si="287"/>
        <v>2.7591959185283254E-4</v>
      </c>
      <c r="AM1498" s="26">
        <v>0.1928885057471264</v>
      </c>
      <c r="AN1498" s="19">
        <v>0.57999999999999996</v>
      </c>
      <c r="AO1498" s="19" t="s">
        <v>1758</v>
      </c>
      <c r="AP1498" s="19">
        <v>0</v>
      </c>
      <c r="AQ1498" s="19" t="s">
        <v>307</v>
      </c>
      <c r="AR1498" s="9" t="s">
        <v>348</v>
      </c>
      <c r="AS1498" s="12">
        <v>0</v>
      </c>
      <c r="AT1498" s="19">
        <v>39.349272999999997</v>
      </c>
      <c r="AU1498" s="19">
        <v>-123.12259299999999</v>
      </c>
      <c r="AV1498" s="19" t="s">
        <v>1880</v>
      </c>
    </row>
    <row r="1499" spans="1:48" x14ac:dyDescent="0.25">
      <c r="A1499" s="18" t="s">
        <v>1881</v>
      </c>
      <c r="B1499" s="10">
        <v>10000000</v>
      </c>
      <c r="C1499" s="9">
        <v>2</v>
      </c>
      <c r="D1499" s="8" t="str">
        <f t="shared" si="278"/>
        <v>N</v>
      </c>
      <c r="E1499" s="8" t="str">
        <f t="shared" si="279"/>
        <v>N</v>
      </c>
      <c r="F1499" s="8" t="str">
        <f t="shared" si="280"/>
        <v>Y</v>
      </c>
      <c r="G1499" s="8" t="str">
        <f t="shared" si="281"/>
        <v>N</v>
      </c>
      <c r="H1499" s="8" t="str">
        <f t="shared" si="282"/>
        <v>Upper</v>
      </c>
      <c r="I1499" s="8" t="str">
        <f t="shared" si="283"/>
        <v>Outside</v>
      </c>
      <c r="J1499" s="8" t="str">
        <f t="shared" si="284"/>
        <v>Outside</v>
      </c>
      <c r="K1499" s="8" t="str">
        <f t="shared" si="285"/>
        <v>Riparian</v>
      </c>
      <c r="L1499" s="8">
        <f t="shared" si="286"/>
        <v>1000</v>
      </c>
      <c r="M1499" s="8" t="str">
        <f t="shared" si="288"/>
        <v>-</v>
      </c>
      <c r="N1499" s="10" t="s">
        <v>242</v>
      </c>
      <c r="O1499" s="10" t="s">
        <v>241</v>
      </c>
      <c r="P1499" s="10" t="s">
        <v>242</v>
      </c>
      <c r="Q1499" s="10" t="s">
        <v>242</v>
      </c>
      <c r="R1499" s="10" t="s">
        <v>242</v>
      </c>
      <c r="S1499" s="10" t="s">
        <v>241</v>
      </c>
      <c r="T1499" s="10" t="s">
        <v>242</v>
      </c>
      <c r="U1499" s="10" t="s">
        <v>242</v>
      </c>
      <c r="V1499" s="10" t="s">
        <v>242</v>
      </c>
      <c r="W1499" s="10" t="s">
        <v>242</v>
      </c>
      <c r="X1499" s="15">
        <f>IF(ISERROR(VLOOKUP($A1499,'13. Updated Demand'!A:Z,15,FALSE)),0,VLOOKUP($A1499,'13. Updated Demand'!A:Z,15,FALSE))</f>
        <v>4.6000000000000001E-4</v>
      </c>
      <c r="Y1499" s="16">
        <f>IF(ISERROR(VLOOKUP($A1499,'13. Updated Demand'!A:Z,16,FALSE)),0,VLOOKUP($A1499,'13. Updated Demand'!A:Z,16,FALSE))</f>
        <v>4.6000000000000001E-4</v>
      </c>
      <c r="Z1499" s="16">
        <f>IF(ISERROR(VLOOKUP($A1499,'13. Updated Demand'!A:Z,17,FALSE)),0,VLOOKUP($A1499,'13. Updated Demand'!A:Z,17,FALSE))</f>
        <v>4.6000000000000001E-4</v>
      </c>
      <c r="AA1499" s="16">
        <f>IF(ISERROR(VLOOKUP($A1499,'13. Updated Demand'!A:Z,18,FALSE)),0,VLOOKUP($A1499,'13. Updated Demand'!A:Z,18,FALSE))</f>
        <v>4.6000000000000001E-4</v>
      </c>
      <c r="AB1499" s="16">
        <f>IF(ISERROR(VLOOKUP($A1499,'13. Updated Demand'!A:Z,19,FALSE)),0,VLOOKUP($A1499,'13. Updated Demand'!A:Z,19,FALSE))</f>
        <v>4.6000000000000001E-4</v>
      </c>
      <c r="AC1499" s="16">
        <f>IF(ISERROR(VLOOKUP($A1499,'13. Updated Demand'!A:Z,20,FALSE)),0,VLOOKUP($A1499,'13. Updated Demand'!A:Z,20,FALSE))</f>
        <v>1.2279999999999999E-3</v>
      </c>
      <c r="AD1499" s="16">
        <f>IF(ISERROR(VLOOKUP($A1499,'13. Updated Demand'!A:Z,21,FALSE)),0,VLOOKUP($A1499,'13. Updated Demand'!A:Z,21,FALSE))</f>
        <v>2.4550000000000002E-3</v>
      </c>
      <c r="AE1499" s="16">
        <f>IF(ISERROR(VLOOKUP($A1499,'13. Updated Demand'!A:Z,22,FALSE)),0,VLOOKUP($A1499,'13. Updated Demand'!A:Z,22,FALSE))</f>
        <v>3.6830000000000001E-3</v>
      </c>
      <c r="AF1499" s="16">
        <f>IF(ISERROR(VLOOKUP($A1499,'13. Updated Demand'!A:Z,23,FALSE)),0,VLOOKUP($A1499,'13. Updated Demand'!A:Z,23,FALSE))</f>
        <v>3.6830000000000001E-3</v>
      </c>
      <c r="AG1499" s="16">
        <f>IF(ISERROR(VLOOKUP($A1499,'13. Updated Demand'!A:Z,24,FALSE)),0,VLOOKUP($A1499,'13. Updated Demand'!A:Z,24,FALSE))</f>
        <v>2.4550000000000002E-3</v>
      </c>
      <c r="AH1499" s="16">
        <f>IF(ISERROR(VLOOKUP($A1499,'13. Updated Demand'!A:Z,25,FALSE)),0,VLOOKUP($A1499,'13. Updated Demand'!A:Z,25,FALSE))</f>
        <v>4.6000000000000001E-4</v>
      </c>
      <c r="AI1499" s="16">
        <f>IF(ISERROR(VLOOKUP($A1499,'13. Updated Demand'!A:Z,26,FALSE)),0,VLOOKUP($A1499,'13. Updated Demand'!A:Z,26,FALSE))</f>
        <v>4.6000000000000001E-4</v>
      </c>
      <c r="AJ1499" s="16">
        <f t="shared" si="289"/>
        <v>1.6723999999999999E-2</v>
      </c>
      <c r="AK1499" s="19">
        <v>1.1509E-2</v>
      </c>
      <c r="AL1499" s="16">
        <f t="shared" si="287"/>
        <v>3.8174042001702013E-5</v>
      </c>
      <c r="AM1499" s="26">
        <v>1.847343422070032E-2</v>
      </c>
      <c r="AN1499" s="19">
        <v>0.90529999999999999</v>
      </c>
      <c r="AO1499" s="19" t="s">
        <v>1758</v>
      </c>
      <c r="AP1499" s="19">
        <v>0</v>
      </c>
      <c r="AQ1499" s="19" t="s">
        <v>307</v>
      </c>
      <c r="AR1499" s="9" t="s">
        <v>348</v>
      </c>
      <c r="AS1499" s="12">
        <v>3.4039024194010059E-4</v>
      </c>
      <c r="AT1499" s="19">
        <v>39.220756000000002</v>
      </c>
      <c r="AU1499" s="19">
        <v>-123.078857</v>
      </c>
      <c r="AV1499" s="19" t="s">
        <v>1882</v>
      </c>
    </row>
    <row r="1500" spans="1:48" x14ac:dyDescent="0.25">
      <c r="A1500" s="18" t="s">
        <v>1883</v>
      </c>
      <c r="B1500" s="10">
        <v>10000000</v>
      </c>
      <c r="C1500" s="9">
        <v>2</v>
      </c>
      <c r="D1500" s="8" t="str">
        <f t="shared" si="278"/>
        <v>N</v>
      </c>
      <c r="E1500" s="8" t="str">
        <f t="shared" si="279"/>
        <v>N</v>
      </c>
      <c r="F1500" s="8" t="str">
        <f t="shared" si="280"/>
        <v>Y</v>
      </c>
      <c r="G1500" s="8" t="str">
        <f t="shared" si="281"/>
        <v>N</v>
      </c>
      <c r="H1500" s="8" t="str">
        <f t="shared" si="282"/>
        <v>Upper</v>
      </c>
      <c r="I1500" s="8" t="str">
        <f t="shared" si="283"/>
        <v>Outside</v>
      </c>
      <c r="J1500" s="8" t="str">
        <f t="shared" si="284"/>
        <v>Outside</v>
      </c>
      <c r="K1500" s="8" t="str">
        <f t="shared" si="285"/>
        <v>Riparian</v>
      </c>
      <c r="L1500" s="8">
        <f t="shared" si="286"/>
        <v>1000</v>
      </c>
      <c r="M1500" s="8" t="str">
        <f t="shared" si="288"/>
        <v>-</v>
      </c>
      <c r="N1500" s="10" t="s">
        <v>242</v>
      </c>
      <c r="O1500" s="10" t="s">
        <v>241</v>
      </c>
      <c r="P1500" s="10" t="s">
        <v>242</v>
      </c>
      <c r="Q1500" s="10" t="s">
        <v>242</v>
      </c>
      <c r="R1500" s="10" t="s">
        <v>242</v>
      </c>
      <c r="S1500" s="10" t="s">
        <v>241</v>
      </c>
      <c r="T1500" s="10" t="s">
        <v>242</v>
      </c>
      <c r="U1500" s="10" t="s">
        <v>242</v>
      </c>
      <c r="V1500" s="10" t="s">
        <v>242</v>
      </c>
      <c r="W1500" s="10" t="s">
        <v>242</v>
      </c>
      <c r="X1500" s="15">
        <f>IF(ISERROR(VLOOKUP($A1500,'13. Updated Demand'!A:Z,15,FALSE)),0,VLOOKUP($A1500,'13. Updated Demand'!A:Z,15,FALSE))</f>
        <v>0.23</v>
      </c>
      <c r="Y1500" s="16">
        <f>IF(ISERROR(VLOOKUP($A1500,'13. Updated Demand'!A:Z,16,FALSE)),0,VLOOKUP($A1500,'13. Updated Demand'!A:Z,16,FALSE))</f>
        <v>0.23</v>
      </c>
      <c r="Z1500" s="16">
        <f>IF(ISERROR(VLOOKUP($A1500,'13. Updated Demand'!A:Z,17,FALSE)),0,VLOOKUP($A1500,'13. Updated Demand'!A:Z,17,FALSE))</f>
        <v>0.03</v>
      </c>
      <c r="AA1500" s="16">
        <f>IF(ISERROR(VLOOKUP($A1500,'13. Updated Demand'!A:Z,18,FALSE)),0,VLOOKUP($A1500,'13. Updated Demand'!A:Z,18,FALSE))</f>
        <v>0.02</v>
      </c>
      <c r="AB1500" s="16">
        <f>IF(ISERROR(VLOOKUP($A1500,'13. Updated Demand'!A:Z,19,FALSE)),0,VLOOKUP($A1500,'13. Updated Demand'!A:Z,19,FALSE))</f>
        <v>0.01</v>
      </c>
      <c r="AC1500" s="16">
        <f>IF(ISERROR(VLOOKUP($A1500,'13. Updated Demand'!A:Z,20,FALSE)),0,VLOOKUP($A1500,'13. Updated Demand'!A:Z,20,FALSE))</f>
        <v>0</v>
      </c>
      <c r="AD1500" s="16">
        <f>IF(ISERROR(VLOOKUP($A1500,'13. Updated Demand'!A:Z,21,FALSE)),0,VLOOKUP($A1500,'13. Updated Demand'!A:Z,21,FALSE))</f>
        <v>0</v>
      </c>
      <c r="AE1500" s="16">
        <f>IF(ISERROR(VLOOKUP($A1500,'13. Updated Demand'!A:Z,22,FALSE)),0,VLOOKUP($A1500,'13. Updated Demand'!A:Z,22,FALSE))</f>
        <v>0</v>
      </c>
      <c r="AF1500" s="16">
        <f>IF(ISERROR(VLOOKUP($A1500,'13. Updated Demand'!A:Z,23,FALSE)),0,VLOOKUP($A1500,'13. Updated Demand'!A:Z,23,FALSE))</f>
        <v>0</v>
      </c>
      <c r="AG1500" s="16">
        <f>IF(ISERROR(VLOOKUP($A1500,'13. Updated Demand'!A:Z,24,FALSE)),0,VLOOKUP($A1500,'13. Updated Demand'!A:Z,24,FALSE))</f>
        <v>0</v>
      </c>
      <c r="AH1500" s="16">
        <f>IF(ISERROR(VLOOKUP($A1500,'13. Updated Demand'!A:Z,25,FALSE)),0,VLOOKUP($A1500,'13. Updated Demand'!A:Z,25,FALSE))</f>
        <v>0</v>
      </c>
      <c r="AI1500" s="16">
        <f>IF(ISERROR(VLOOKUP($A1500,'13. Updated Demand'!A:Z,26,FALSE)),0,VLOOKUP($A1500,'13. Updated Demand'!A:Z,26,FALSE))</f>
        <v>0</v>
      </c>
      <c r="AJ1500" s="16">
        <f t="shared" si="289"/>
        <v>0.52</v>
      </c>
      <c r="AK1500" s="19">
        <v>1.0229667E-2</v>
      </c>
      <c r="AL1500" s="16">
        <f t="shared" si="287"/>
        <v>3.3930640170425319E-5</v>
      </c>
      <c r="AM1500" s="26">
        <v>0.40391474430729135</v>
      </c>
      <c r="AN1500" s="19">
        <v>1.3043</v>
      </c>
      <c r="AO1500" s="19" t="s">
        <v>1758</v>
      </c>
      <c r="AP1500" s="19">
        <v>0</v>
      </c>
      <c r="AQ1500" s="19" t="s">
        <v>307</v>
      </c>
      <c r="AR1500" s="9" t="s">
        <v>348</v>
      </c>
      <c r="AS1500" s="12">
        <v>0</v>
      </c>
      <c r="AT1500" s="19">
        <v>39.29298</v>
      </c>
      <c r="AU1500" s="19">
        <v>-123.03757</v>
      </c>
      <c r="AV1500" s="19" t="s">
        <v>1878</v>
      </c>
    </row>
    <row r="1501" spans="1:48" x14ac:dyDescent="0.25">
      <c r="A1501" s="18" t="s">
        <v>1884</v>
      </c>
      <c r="B1501" s="10">
        <v>10000000</v>
      </c>
      <c r="C1501" s="9">
        <v>2</v>
      </c>
      <c r="D1501" s="8" t="str">
        <f t="shared" si="278"/>
        <v>N</v>
      </c>
      <c r="E1501" s="8" t="str">
        <f t="shared" si="279"/>
        <v>N</v>
      </c>
      <c r="F1501" s="8" t="str">
        <f t="shared" si="280"/>
        <v>Y</v>
      </c>
      <c r="G1501" s="8" t="str">
        <f t="shared" si="281"/>
        <v>N</v>
      </c>
      <c r="H1501" s="8" t="str">
        <f t="shared" si="282"/>
        <v>Upper</v>
      </c>
      <c r="I1501" s="8" t="str">
        <f t="shared" si="283"/>
        <v>Outside</v>
      </c>
      <c r="J1501" s="8" t="str">
        <f t="shared" si="284"/>
        <v>Outside</v>
      </c>
      <c r="K1501" s="8" t="str">
        <f t="shared" si="285"/>
        <v>Riparian</v>
      </c>
      <c r="L1501" s="8">
        <f t="shared" si="286"/>
        <v>1000</v>
      </c>
      <c r="M1501" s="8" t="str">
        <f t="shared" si="288"/>
        <v>-</v>
      </c>
      <c r="N1501" s="10" t="s">
        <v>242</v>
      </c>
      <c r="O1501" s="10" t="s">
        <v>241</v>
      </c>
      <c r="P1501" s="10" t="s">
        <v>242</v>
      </c>
      <c r="Q1501" s="10" t="s">
        <v>242</v>
      </c>
      <c r="R1501" s="10" t="s">
        <v>242</v>
      </c>
      <c r="S1501" s="10" t="s">
        <v>241</v>
      </c>
      <c r="T1501" s="10" t="s">
        <v>242</v>
      </c>
      <c r="U1501" s="10" t="s">
        <v>242</v>
      </c>
      <c r="V1501" s="10" t="s">
        <v>241</v>
      </c>
      <c r="W1501" s="10" t="s">
        <v>242</v>
      </c>
      <c r="X1501" s="15">
        <f>IF(ISERROR(VLOOKUP($A1501,'13. Updated Demand'!A:Z,15,FALSE)),0,VLOOKUP($A1501,'13. Updated Demand'!A:Z,15,FALSE))</f>
        <v>0</v>
      </c>
      <c r="Y1501" s="16">
        <f>IF(ISERROR(VLOOKUP($A1501,'13. Updated Demand'!A:Z,16,FALSE)),0,VLOOKUP($A1501,'13. Updated Demand'!A:Z,16,FALSE))</f>
        <v>0</v>
      </c>
      <c r="Z1501" s="16">
        <f>IF(ISERROR(VLOOKUP($A1501,'13. Updated Demand'!A:Z,17,FALSE)),0,VLOOKUP($A1501,'13. Updated Demand'!A:Z,17,FALSE))</f>
        <v>4.7300000000000004</v>
      </c>
      <c r="AA1501" s="16">
        <f>IF(ISERROR(VLOOKUP($A1501,'13. Updated Demand'!A:Z,18,FALSE)),0,VLOOKUP($A1501,'13. Updated Demand'!A:Z,18,FALSE))</f>
        <v>9.4700000000000006</v>
      </c>
      <c r="AB1501" s="16">
        <f>IF(ISERROR(VLOOKUP($A1501,'13. Updated Demand'!A:Z,19,FALSE)),0,VLOOKUP($A1501,'13. Updated Demand'!A:Z,19,FALSE))</f>
        <v>0</v>
      </c>
      <c r="AC1501" s="16">
        <f>IF(ISERROR(VLOOKUP($A1501,'13. Updated Demand'!A:Z,20,FALSE)),0,VLOOKUP($A1501,'13. Updated Demand'!A:Z,20,FALSE))</f>
        <v>0</v>
      </c>
      <c r="AD1501" s="16">
        <f>IF(ISERROR(VLOOKUP($A1501,'13. Updated Demand'!A:Z,21,FALSE)),0,VLOOKUP($A1501,'13. Updated Demand'!A:Z,21,FALSE))</f>
        <v>0</v>
      </c>
      <c r="AE1501" s="16">
        <f>IF(ISERROR(VLOOKUP($A1501,'13. Updated Demand'!A:Z,22,FALSE)),0,VLOOKUP($A1501,'13. Updated Demand'!A:Z,22,FALSE))</f>
        <v>0</v>
      </c>
      <c r="AF1501" s="16">
        <f>IF(ISERROR(VLOOKUP($A1501,'13. Updated Demand'!A:Z,23,FALSE)),0,VLOOKUP($A1501,'13. Updated Demand'!A:Z,23,FALSE))</f>
        <v>0</v>
      </c>
      <c r="AG1501" s="16">
        <f>IF(ISERROR(VLOOKUP($A1501,'13. Updated Demand'!A:Z,24,FALSE)),0,VLOOKUP($A1501,'13. Updated Demand'!A:Z,24,FALSE))</f>
        <v>0</v>
      </c>
      <c r="AH1501" s="16">
        <f>IF(ISERROR(VLOOKUP($A1501,'13. Updated Demand'!A:Z,25,FALSE)),0,VLOOKUP($A1501,'13. Updated Demand'!A:Z,25,FALSE))</f>
        <v>0</v>
      </c>
      <c r="AI1501" s="16">
        <f>IF(ISERROR(VLOOKUP($A1501,'13. Updated Demand'!A:Z,26,FALSE)),0,VLOOKUP($A1501,'13. Updated Demand'!A:Z,26,FALSE))</f>
        <v>0</v>
      </c>
      <c r="AJ1501" s="16">
        <f t="shared" si="289"/>
        <v>14.200000000000001</v>
      </c>
      <c r="AK1501" s="19">
        <v>0</v>
      </c>
      <c r="AL1501" s="16">
        <f t="shared" si="287"/>
        <v>0</v>
      </c>
      <c r="AM1501" s="26">
        <v>2.9336772798740515E-2</v>
      </c>
      <c r="AN1501" s="19">
        <v>484.26139999999998</v>
      </c>
      <c r="AO1501" s="19" t="s">
        <v>1758</v>
      </c>
      <c r="AP1501" s="19">
        <v>0</v>
      </c>
      <c r="AQ1501" s="19" t="s">
        <v>307</v>
      </c>
      <c r="AR1501" s="9" t="s">
        <v>348</v>
      </c>
      <c r="AS1501" s="12">
        <v>0</v>
      </c>
      <c r="AT1501" s="19">
        <v>39.341799999999999</v>
      </c>
      <c r="AU1501" s="19">
        <v>-123.13120000000001</v>
      </c>
      <c r="AV1501" s="19" t="s">
        <v>1862</v>
      </c>
    </row>
    <row r="1502" spans="1:48" x14ac:dyDescent="0.25">
      <c r="A1502" s="18" t="s">
        <v>1885</v>
      </c>
      <c r="B1502" s="10">
        <v>10000000</v>
      </c>
      <c r="C1502" s="9">
        <v>2</v>
      </c>
      <c r="D1502" s="8" t="str">
        <f t="shared" si="278"/>
        <v>N</v>
      </c>
      <c r="E1502" s="8" t="str">
        <f t="shared" si="279"/>
        <v>N</v>
      </c>
      <c r="F1502" s="8" t="str">
        <f t="shared" si="280"/>
        <v>Y</v>
      </c>
      <c r="G1502" s="8" t="str">
        <f t="shared" si="281"/>
        <v>N</v>
      </c>
      <c r="H1502" s="8" t="str">
        <f t="shared" si="282"/>
        <v>Upper</v>
      </c>
      <c r="I1502" s="8" t="str">
        <f t="shared" si="283"/>
        <v>Outside</v>
      </c>
      <c r="J1502" s="8" t="str">
        <f t="shared" si="284"/>
        <v>Outside</v>
      </c>
      <c r="K1502" s="8" t="str">
        <f t="shared" si="285"/>
        <v>Riparian</v>
      </c>
      <c r="L1502" s="8">
        <f t="shared" si="286"/>
        <v>1000</v>
      </c>
      <c r="M1502" s="8" t="str">
        <f t="shared" si="288"/>
        <v>-</v>
      </c>
      <c r="N1502" s="10" t="s">
        <v>242</v>
      </c>
      <c r="O1502" s="10" t="s">
        <v>241</v>
      </c>
      <c r="P1502" s="10" t="s">
        <v>242</v>
      </c>
      <c r="Q1502" s="10" t="s">
        <v>242</v>
      </c>
      <c r="R1502" s="10" t="s">
        <v>242</v>
      </c>
      <c r="S1502" s="10" t="s">
        <v>241</v>
      </c>
      <c r="T1502" s="10" t="s">
        <v>242</v>
      </c>
      <c r="U1502" s="10" t="s">
        <v>242</v>
      </c>
      <c r="V1502" s="10" t="s">
        <v>241</v>
      </c>
      <c r="W1502" s="10" t="s">
        <v>242</v>
      </c>
      <c r="X1502" s="15">
        <f>IF(ISERROR(VLOOKUP($A1502,'13. Updated Demand'!A:Z,15,FALSE)),0,VLOOKUP($A1502,'13. Updated Demand'!A:Z,15,FALSE))</f>
        <v>2</v>
      </c>
      <c r="Y1502" s="16">
        <f>IF(ISERROR(VLOOKUP($A1502,'13. Updated Demand'!A:Z,16,FALSE)),0,VLOOKUP($A1502,'13. Updated Demand'!A:Z,16,FALSE))</f>
        <v>4.3499999999999996</v>
      </c>
      <c r="Z1502" s="16">
        <f>IF(ISERROR(VLOOKUP($A1502,'13. Updated Demand'!A:Z,17,FALSE)),0,VLOOKUP($A1502,'13. Updated Demand'!A:Z,17,FALSE))</f>
        <v>3.26</v>
      </c>
      <c r="AA1502" s="16">
        <f>IF(ISERROR(VLOOKUP($A1502,'13. Updated Demand'!A:Z,18,FALSE)),0,VLOOKUP($A1502,'13. Updated Demand'!A:Z,18,FALSE))</f>
        <v>1.41</v>
      </c>
      <c r="AB1502" s="16">
        <f>IF(ISERROR(VLOOKUP($A1502,'13. Updated Demand'!A:Z,19,FALSE)),0,VLOOKUP($A1502,'13. Updated Demand'!A:Z,19,FALSE))</f>
        <v>0</v>
      </c>
      <c r="AC1502" s="16">
        <f>IF(ISERROR(VLOOKUP($A1502,'13. Updated Demand'!A:Z,20,FALSE)),0,VLOOKUP($A1502,'13. Updated Demand'!A:Z,20,FALSE))</f>
        <v>0</v>
      </c>
      <c r="AD1502" s="16">
        <f>IF(ISERROR(VLOOKUP($A1502,'13. Updated Demand'!A:Z,21,FALSE)),0,VLOOKUP($A1502,'13. Updated Demand'!A:Z,21,FALSE))</f>
        <v>0</v>
      </c>
      <c r="AE1502" s="16">
        <f>IF(ISERROR(VLOOKUP($A1502,'13. Updated Demand'!A:Z,22,FALSE)),0,VLOOKUP($A1502,'13. Updated Demand'!A:Z,22,FALSE))</f>
        <v>0</v>
      </c>
      <c r="AF1502" s="16">
        <f>IF(ISERROR(VLOOKUP($A1502,'13. Updated Demand'!A:Z,23,FALSE)),0,VLOOKUP($A1502,'13. Updated Demand'!A:Z,23,FALSE))</f>
        <v>0</v>
      </c>
      <c r="AG1502" s="16">
        <f>IF(ISERROR(VLOOKUP($A1502,'13. Updated Demand'!A:Z,24,FALSE)),0,VLOOKUP($A1502,'13. Updated Demand'!A:Z,24,FALSE))</f>
        <v>0</v>
      </c>
      <c r="AH1502" s="16">
        <f>IF(ISERROR(VLOOKUP($A1502,'13. Updated Demand'!A:Z,25,FALSE)),0,VLOOKUP($A1502,'13. Updated Demand'!A:Z,25,FALSE))</f>
        <v>0.73</v>
      </c>
      <c r="AI1502" s="16">
        <f>IF(ISERROR(VLOOKUP($A1502,'13. Updated Demand'!A:Z,26,FALSE)),0,VLOOKUP($A1502,'13. Updated Demand'!A:Z,26,FALSE))</f>
        <v>1.2</v>
      </c>
      <c r="AJ1502" s="16">
        <f t="shared" si="289"/>
        <v>12.95</v>
      </c>
      <c r="AK1502" s="19">
        <v>0</v>
      </c>
      <c r="AL1502" s="16">
        <f t="shared" si="287"/>
        <v>0</v>
      </c>
      <c r="AM1502" s="26">
        <v>1.0231127238305592E-2</v>
      </c>
      <c r="AN1502" s="19">
        <v>1267.7</v>
      </c>
      <c r="AO1502" s="19" t="s">
        <v>1758</v>
      </c>
      <c r="AP1502" s="19">
        <v>0</v>
      </c>
      <c r="AQ1502" s="19" t="s">
        <v>307</v>
      </c>
      <c r="AR1502" s="9" t="s">
        <v>348</v>
      </c>
      <c r="AS1502" s="12">
        <v>0</v>
      </c>
      <c r="AT1502" s="19">
        <v>39.287700000000001</v>
      </c>
      <c r="AU1502" s="19">
        <v>-123.1112</v>
      </c>
      <c r="AV1502" s="19" t="s">
        <v>1886</v>
      </c>
    </row>
    <row r="1503" spans="1:48" x14ac:dyDescent="0.25">
      <c r="A1503" s="18" t="s">
        <v>1887</v>
      </c>
      <c r="B1503" s="10">
        <v>10000000</v>
      </c>
      <c r="C1503" s="9">
        <v>2</v>
      </c>
      <c r="D1503" s="8" t="str">
        <f t="shared" si="278"/>
        <v>N</v>
      </c>
      <c r="E1503" s="8" t="str">
        <f t="shared" si="279"/>
        <v>N</v>
      </c>
      <c r="F1503" s="8" t="str">
        <f t="shared" si="280"/>
        <v>Y</v>
      </c>
      <c r="G1503" s="8" t="str">
        <f t="shared" si="281"/>
        <v>N</v>
      </c>
      <c r="H1503" s="8" t="str">
        <f t="shared" si="282"/>
        <v>Upper</v>
      </c>
      <c r="I1503" s="8" t="str">
        <f t="shared" si="283"/>
        <v>Outside</v>
      </c>
      <c r="J1503" s="8" t="str">
        <f t="shared" si="284"/>
        <v>Outside</v>
      </c>
      <c r="K1503" s="8" t="str">
        <f t="shared" si="285"/>
        <v>Riparian</v>
      </c>
      <c r="L1503" s="8">
        <f t="shared" si="286"/>
        <v>1000</v>
      </c>
      <c r="M1503" s="8" t="str">
        <f t="shared" si="288"/>
        <v>-</v>
      </c>
      <c r="N1503" s="10" t="s">
        <v>242</v>
      </c>
      <c r="O1503" s="10" t="s">
        <v>241</v>
      </c>
      <c r="P1503" s="10" t="s">
        <v>242</v>
      </c>
      <c r="Q1503" s="10" t="s">
        <v>242</v>
      </c>
      <c r="R1503" s="10" t="s">
        <v>242</v>
      </c>
      <c r="S1503" s="10" t="s">
        <v>241</v>
      </c>
      <c r="T1503" s="10" t="s">
        <v>242</v>
      </c>
      <c r="U1503" s="10" t="s">
        <v>242</v>
      </c>
      <c r="V1503" s="10" t="s">
        <v>241</v>
      </c>
      <c r="W1503" s="10" t="s">
        <v>242</v>
      </c>
      <c r="X1503" s="15">
        <f>IF(ISERROR(VLOOKUP($A1503,'13. Updated Demand'!A:Z,15,FALSE)),0,VLOOKUP($A1503,'13. Updated Demand'!A:Z,15,FALSE))</f>
        <v>3.33</v>
      </c>
      <c r="Y1503" s="16">
        <f>IF(ISERROR(VLOOKUP($A1503,'13. Updated Demand'!A:Z,16,FALSE)),0,VLOOKUP($A1503,'13. Updated Demand'!A:Z,16,FALSE))</f>
        <v>0.66</v>
      </c>
      <c r="Z1503" s="16">
        <f>IF(ISERROR(VLOOKUP($A1503,'13. Updated Demand'!A:Z,17,FALSE)),0,VLOOKUP($A1503,'13. Updated Demand'!A:Z,17,FALSE))</f>
        <v>1.33</v>
      </c>
      <c r="AA1503" s="16">
        <f>IF(ISERROR(VLOOKUP($A1503,'13. Updated Demand'!A:Z,18,FALSE)),0,VLOOKUP($A1503,'13. Updated Demand'!A:Z,18,FALSE))</f>
        <v>0</v>
      </c>
      <c r="AB1503" s="16">
        <f>IF(ISERROR(VLOOKUP($A1503,'13. Updated Demand'!A:Z,19,FALSE)),0,VLOOKUP($A1503,'13. Updated Demand'!A:Z,19,FALSE))</f>
        <v>0</v>
      </c>
      <c r="AC1503" s="16">
        <f>IF(ISERROR(VLOOKUP($A1503,'13. Updated Demand'!A:Z,20,FALSE)),0,VLOOKUP($A1503,'13. Updated Demand'!A:Z,20,FALSE))</f>
        <v>0</v>
      </c>
      <c r="AD1503" s="16">
        <f>IF(ISERROR(VLOOKUP($A1503,'13. Updated Demand'!A:Z,21,FALSE)),0,VLOOKUP($A1503,'13. Updated Demand'!A:Z,21,FALSE))</f>
        <v>0</v>
      </c>
      <c r="AE1503" s="16">
        <f>IF(ISERROR(VLOOKUP($A1503,'13. Updated Demand'!A:Z,22,FALSE)),0,VLOOKUP($A1503,'13. Updated Demand'!A:Z,22,FALSE))</f>
        <v>0</v>
      </c>
      <c r="AF1503" s="16">
        <f>IF(ISERROR(VLOOKUP($A1503,'13. Updated Demand'!A:Z,23,FALSE)),0,VLOOKUP($A1503,'13. Updated Demand'!A:Z,23,FALSE))</f>
        <v>0</v>
      </c>
      <c r="AG1503" s="16">
        <f>IF(ISERROR(VLOOKUP($A1503,'13. Updated Demand'!A:Z,24,FALSE)),0,VLOOKUP($A1503,'13. Updated Demand'!A:Z,24,FALSE))</f>
        <v>0</v>
      </c>
      <c r="AH1503" s="16">
        <f>IF(ISERROR(VLOOKUP($A1503,'13. Updated Demand'!A:Z,25,FALSE)),0,VLOOKUP($A1503,'13. Updated Demand'!A:Z,25,FALSE))</f>
        <v>0</v>
      </c>
      <c r="AI1503" s="16">
        <f>IF(ISERROR(VLOOKUP($A1503,'13. Updated Demand'!A:Z,26,FALSE)),0,VLOOKUP($A1503,'13. Updated Demand'!A:Z,26,FALSE))</f>
        <v>1</v>
      </c>
      <c r="AJ1503" s="16">
        <f t="shared" si="289"/>
        <v>6.32</v>
      </c>
      <c r="AK1503" s="19">
        <v>0</v>
      </c>
      <c r="AL1503" s="16">
        <f t="shared" si="287"/>
        <v>0</v>
      </c>
      <c r="AM1503" s="26">
        <v>100.21097045886074</v>
      </c>
      <c r="AN1503" s="19">
        <v>6.3200000000000006E-2</v>
      </c>
      <c r="AO1503" s="19" t="s">
        <v>1758</v>
      </c>
      <c r="AP1503" s="19">
        <v>0</v>
      </c>
      <c r="AQ1503" s="19" t="s">
        <v>307</v>
      </c>
      <c r="AR1503" s="9" t="s">
        <v>348</v>
      </c>
      <c r="AS1503" s="12">
        <v>0</v>
      </c>
      <c r="AT1503" s="19">
        <v>39.351300000000002</v>
      </c>
      <c r="AU1503" s="19">
        <v>-123.15600000000001</v>
      </c>
      <c r="AV1503" s="19" t="s">
        <v>414</v>
      </c>
    </row>
    <row r="1504" spans="1:48" x14ac:dyDescent="0.25">
      <c r="A1504" s="18" t="s">
        <v>1888</v>
      </c>
      <c r="B1504" s="10">
        <v>10000000</v>
      </c>
      <c r="C1504" s="9">
        <v>2</v>
      </c>
      <c r="D1504" s="8" t="str">
        <f t="shared" si="278"/>
        <v>N</v>
      </c>
      <c r="E1504" s="8" t="str">
        <f t="shared" si="279"/>
        <v>N</v>
      </c>
      <c r="F1504" s="8" t="str">
        <f t="shared" si="280"/>
        <v>Y</v>
      </c>
      <c r="G1504" s="8" t="str">
        <f t="shared" si="281"/>
        <v>N</v>
      </c>
      <c r="H1504" s="8" t="str">
        <f t="shared" si="282"/>
        <v>Upper</v>
      </c>
      <c r="I1504" s="8" t="str">
        <f t="shared" si="283"/>
        <v>Outside</v>
      </c>
      <c r="J1504" s="8" t="str">
        <f t="shared" si="284"/>
        <v>Outside</v>
      </c>
      <c r="K1504" s="8" t="str">
        <f t="shared" si="285"/>
        <v>Riparian</v>
      </c>
      <c r="L1504" s="8">
        <f t="shared" si="286"/>
        <v>1000</v>
      </c>
      <c r="M1504" s="8" t="str">
        <f t="shared" si="288"/>
        <v>-</v>
      </c>
      <c r="N1504" s="10" t="s">
        <v>242</v>
      </c>
      <c r="O1504" s="10" t="s">
        <v>241</v>
      </c>
      <c r="P1504" s="10" t="s">
        <v>242</v>
      </c>
      <c r="Q1504" s="10" t="s">
        <v>242</v>
      </c>
      <c r="R1504" s="10" t="s">
        <v>242</v>
      </c>
      <c r="S1504" s="10" t="s">
        <v>241</v>
      </c>
      <c r="T1504" s="10" t="s">
        <v>242</v>
      </c>
      <c r="U1504" s="10" t="s">
        <v>242</v>
      </c>
      <c r="V1504" s="10" t="s">
        <v>241</v>
      </c>
      <c r="W1504" s="10" t="s">
        <v>242</v>
      </c>
      <c r="X1504" s="15">
        <f>IF(ISERROR(VLOOKUP($A1504,'13. Updated Demand'!A:Z,15,FALSE)),0,VLOOKUP($A1504,'13. Updated Demand'!A:Z,15,FALSE))</f>
        <v>3</v>
      </c>
      <c r="Y1504" s="16">
        <f>IF(ISERROR(VLOOKUP($A1504,'13. Updated Demand'!A:Z,16,FALSE)),0,VLOOKUP($A1504,'13. Updated Demand'!A:Z,16,FALSE))</f>
        <v>2.5</v>
      </c>
      <c r="Z1504" s="16">
        <f>IF(ISERROR(VLOOKUP($A1504,'13. Updated Demand'!A:Z,17,FALSE)),0,VLOOKUP($A1504,'13. Updated Demand'!A:Z,17,FALSE))</f>
        <v>0.5</v>
      </c>
      <c r="AA1504" s="16">
        <f>IF(ISERROR(VLOOKUP($A1504,'13. Updated Demand'!A:Z,18,FALSE)),0,VLOOKUP($A1504,'13. Updated Demand'!A:Z,18,FALSE))</f>
        <v>0</v>
      </c>
      <c r="AB1504" s="16">
        <f>IF(ISERROR(VLOOKUP($A1504,'13. Updated Demand'!A:Z,19,FALSE)),0,VLOOKUP($A1504,'13. Updated Demand'!A:Z,19,FALSE))</f>
        <v>0</v>
      </c>
      <c r="AC1504" s="16">
        <f>IF(ISERROR(VLOOKUP($A1504,'13. Updated Demand'!A:Z,20,FALSE)),0,VLOOKUP($A1504,'13. Updated Demand'!A:Z,20,FALSE))</f>
        <v>0</v>
      </c>
      <c r="AD1504" s="16">
        <f>IF(ISERROR(VLOOKUP($A1504,'13. Updated Demand'!A:Z,21,FALSE)),0,VLOOKUP($A1504,'13. Updated Demand'!A:Z,21,FALSE))</f>
        <v>0</v>
      </c>
      <c r="AE1504" s="16">
        <f>IF(ISERROR(VLOOKUP($A1504,'13. Updated Demand'!A:Z,22,FALSE)),0,VLOOKUP($A1504,'13. Updated Demand'!A:Z,22,FALSE))</f>
        <v>0</v>
      </c>
      <c r="AF1504" s="16">
        <f>IF(ISERROR(VLOOKUP($A1504,'13. Updated Demand'!A:Z,23,FALSE)),0,VLOOKUP($A1504,'13. Updated Demand'!A:Z,23,FALSE))</f>
        <v>0</v>
      </c>
      <c r="AG1504" s="16">
        <f>IF(ISERROR(VLOOKUP($A1504,'13. Updated Demand'!A:Z,24,FALSE)),0,VLOOKUP($A1504,'13. Updated Demand'!A:Z,24,FALSE))</f>
        <v>0</v>
      </c>
      <c r="AH1504" s="16">
        <f>IF(ISERROR(VLOOKUP($A1504,'13. Updated Demand'!A:Z,25,FALSE)),0,VLOOKUP($A1504,'13. Updated Demand'!A:Z,25,FALSE))</f>
        <v>0</v>
      </c>
      <c r="AI1504" s="16">
        <f>IF(ISERROR(VLOOKUP($A1504,'13. Updated Demand'!A:Z,26,FALSE)),0,VLOOKUP($A1504,'13. Updated Demand'!A:Z,26,FALSE))</f>
        <v>0</v>
      </c>
      <c r="AJ1504" s="16">
        <f t="shared" si="289"/>
        <v>6</v>
      </c>
      <c r="AK1504" s="19">
        <v>0</v>
      </c>
      <c r="AL1504" s="16">
        <f t="shared" si="287"/>
        <v>0</v>
      </c>
      <c r="AM1504" s="26">
        <v>6.1950012947552709E-3</v>
      </c>
      <c r="AN1504" s="19">
        <v>968.52279999999996</v>
      </c>
      <c r="AO1504" s="19" t="s">
        <v>1758</v>
      </c>
      <c r="AP1504" s="19">
        <v>0</v>
      </c>
      <c r="AQ1504" s="19" t="s">
        <v>307</v>
      </c>
      <c r="AR1504" s="9" t="s">
        <v>348</v>
      </c>
      <c r="AS1504" s="12">
        <v>0</v>
      </c>
      <c r="AT1504" s="19">
        <v>39.304600000000001</v>
      </c>
      <c r="AU1504" s="19">
        <v>-123.1015</v>
      </c>
      <c r="AV1504" s="19" t="s">
        <v>542</v>
      </c>
    </row>
    <row r="1505" spans="1:48" x14ac:dyDescent="0.25">
      <c r="A1505" s="18" t="s">
        <v>1889</v>
      </c>
      <c r="B1505" s="10">
        <v>10000000</v>
      </c>
      <c r="C1505" s="9">
        <v>2</v>
      </c>
      <c r="D1505" s="8" t="str">
        <f t="shared" si="278"/>
        <v>N</v>
      </c>
      <c r="E1505" s="8" t="str">
        <f t="shared" si="279"/>
        <v>N</v>
      </c>
      <c r="F1505" s="8" t="str">
        <f t="shared" si="280"/>
        <v>Y</v>
      </c>
      <c r="G1505" s="8" t="str">
        <f t="shared" si="281"/>
        <v>N</v>
      </c>
      <c r="H1505" s="8" t="str">
        <f t="shared" si="282"/>
        <v>Upper</v>
      </c>
      <c r="I1505" s="8" t="str">
        <f t="shared" si="283"/>
        <v>Outside</v>
      </c>
      <c r="J1505" s="8" t="str">
        <f t="shared" si="284"/>
        <v>Outside</v>
      </c>
      <c r="K1505" s="8" t="str">
        <f t="shared" si="285"/>
        <v>Riparian</v>
      </c>
      <c r="L1505" s="8">
        <f t="shared" si="286"/>
        <v>1000</v>
      </c>
      <c r="M1505" s="8" t="str">
        <f t="shared" si="288"/>
        <v>-</v>
      </c>
      <c r="N1505" s="10" t="s">
        <v>242</v>
      </c>
      <c r="O1505" s="10" t="s">
        <v>241</v>
      </c>
      <c r="P1505" s="10" t="s">
        <v>242</v>
      </c>
      <c r="Q1505" s="10" t="s">
        <v>242</v>
      </c>
      <c r="R1505" s="10" t="s">
        <v>242</v>
      </c>
      <c r="S1505" s="10" t="s">
        <v>241</v>
      </c>
      <c r="T1505" s="10" t="s">
        <v>242</v>
      </c>
      <c r="U1505" s="10" t="s">
        <v>242</v>
      </c>
      <c r="V1505" s="10" t="s">
        <v>241</v>
      </c>
      <c r="W1505" s="10" t="s">
        <v>242</v>
      </c>
      <c r="X1505" s="15">
        <f>IF(ISERROR(VLOOKUP($A1505,'13. Updated Demand'!A:Z,15,FALSE)),0,VLOOKUP($A1505,'13. Updated Demand'!A:Z,15,FALSE))</f>
        <v>0</v>
      </c>
      <c r="Y1505" s="16">
        <f>IF(ISERROR(VLOOKUP($A1505,'13. Updated Demand'!A:Z,16,FALSE)),0,VLOOKUP($A1505,'13. Updated Demand'!A:Z,16,FALSE))</f>
        <v>0</v>
      </c>
      <c r="Z1505" s="16">
        <f>IF(ISERROR(VLOOKUP($A1505,'13. Updated Demand'!A:Z,17,FALSE)),0,VLOOKUP($A1505,'13. Updated Demand'!A:Z,17,FALSE))</f>
        <v>0</v>
      </c>
      <c r="AA1505" s="16">
        <f>IF(ISERROR(VLOOKUP($A1505,'13. Updated Demand'!A:Z,18,FALSE)),0,VLOOKUP($A1505,'13. Updated Demand'!A:Z,18,FALSE))</f>
        <v>2.2400000000000002</v>
      </c>
      <c r="AB1505" s="16">
        <f>IF(ISERROR(VLOOKUP($A1505,'13. Updated Demand'!A:Z,19,FALSE)),0,VLOOKUP($A1505,'13. Updated Demand'!A:Z,19,FALSE))</f>
        <v>0</v>
      </c>
      <c r="AC1505" s="16">
        <f>IF(ISERROR(VLOOKUP($A1505,'13. Updated Demand'!A:Z,20,FALSE)),0,VLOOKUP($A1505,'13. Updated Demand'!A:Z,20,FALSE))</f>
        <v>0</v>
      </c>
      <c r="AD1505" s="16">
        <f>IF(ISERROR(VLOOKUP($A1505,'13. Updated Demand'!A:Z,21,FALSE)),0,VLOOKUP($A1505,'13. Updated Demand'!A:Z,21,FALSE))</f>
        <v>0</v>
      </c>
      <c r="AE1505" s="16">
        <f>IF(ISERROR(VLOOKUP($A1505,'13. Updated Demand'!A:Z,22,FALSE)),0,VLOOKUP($A1505,'13. Updated Demand'!A:Z,22,FALSE))</f>
        <v>0</v>
      </c>
      <c r="AF1505" s="16">
        <f>IF(ISERROR(VLOOKUP($A1505,'13. Updated Demand'!A:Z,23,FALSE)),0,VLOOKUP($A1505,'13. Updated Demand'!A:Z,23,FALSE))</f>
        <v>0</v>
      </c>
      <c r="AG1505" s="16">
        <f>IF(ISERROR(VLOOKUP($A1505,'13. Updated Demand'!A:Z,24,FALSE)),0,VLOOKUP($A1505,'13. Updated Demand'!A:Z,24,FALSE))</f>
        <v>0</v>
      </c>
      <c r="AH1505" s="16">
        <f>IF(ISERROR(VLOOKUP($A1505,'13. Updated Demand'!A:Z,25,FALSE)),0,VLOOKUP($A1505,'13. Updated Demand'!A:Z,25,FALSE))</f>
        <v>1.34</v>
      </c>
      <c r="AI1505" s="16">
        <f>IF(ISERROR(VLOOKUP($A1505,'13. Updated Demand'!A:Z,26,FALSE)),0,VLOOKUP($A1505,'13. Updated Demand'!A:Z,26,FALSE))</f>
        <v>0.37</v>
      </c>
      <c r="AJ1505" s="16">
        <f t="shared" si="289"/>
        <v>3.95</v>
      </c>
      <c r="AK1505" s="19">
        <v>0</v>
      </c>
      <c r="AL1505" s="16">
        <f t="shared" si="287"/>
        <v>0</v>
      </c>
      <c r="AM1505" s="26">
        <v>6.2120375483158486E-3</v>
      </c>
      <c r="AN1505" s="19">
        <v>637.47199999999998</v>
      </c>
      <c r="AO1505" s="19" t="s">
        <v>1758</v>
      </c>
      <c r="AP1505" s="19">
        <v>0</v>
      </c>
      <c r="AQ1505" s="19" t="s">
        <v>307</v>
      </c>
      <c r="AR1505" s="9" t="s">
        <v>348</v>
      </c>
      <c r="AS1505" s="12">
        <v>0</v>
      </c>
      <c r="AT1505" s="19">
        <v>39.289200000000001</v>
      </c>
      <c r="AU1505" s="19">
        <v>-123.0979</v>
      </c>
      <c r="AV1505" s="19" t="s">
        <v>542</v>
      </c>
    </row>
    <row r="1506" spans="1:48" x14ac:dyDescent="0.25">
      <c r="A1506" s="18" t="s">
        <v>1890</v>
      </c>
      <c r="B1506" s="10">
        <v>10000000</v>
      </c>
      <c r="C1506" s="9">
        <v>2</v>
      </c>
      <c r="D1506" s="8" t="str">
        <f t="shared" si="278"/>
        <v>N</v>
      </c>
      <c r="E1506" s="8" t="str">
        <f t="shared" si="279"/>
        <v>N</v>
      </c>
      <c r="F1506" s="8" t="str">
        <f t="shared" si="280"/>
        <v>Y</v>
      </c>
      <c r="G1506" s="8" t="str">
        <f t="shared" si="281"/>
        <v>N</v>
      </c>
      <c r="H1506" s="8" t="str">
        <f t="shared" si="282"/>
        <v>Upper</v>
      </c>
      <c r="I1506" s="8" t="str">
        <f t="shared" si="283"/>
        <v>Outside</v>
      </c>
      <c r="J1506" s="8" t="str">
        <f t="shared" si="284"/>
        <v>Outside</v>
      </c>
      <c r="K1506" s="8" t="str">
        <f t="shared" si="285"/>
        <v>Riparian</v>
      </c>
      <c r="L1506" s="8">
        <f t="shared" si="286"/>
        <v>1000</v>
      </c>
      <c r="M1506" s="8" t="str">
        <f t="shared" si="288"/>
        <v>-</v>
      </c>
      <c r="N1506" s="10" t="s">
        <v>242</v>
      </c>
      <c r="O1506" s="10" t="s">
        <v>241</v>
      </c>
      <c r="P1506" s="10" t="s">
        <v>242</v>
      </c>
      <c r="Q1506" s="10" t="s">
        <v>242</v>
      </c>
      <c r="R1506" s="10" t="s">
        <v>242</v>
      </c>
      <c r="S1506" s="10" t="s">
        <v>241</v>
      </c>
      <c r="T1506" s="10" t="s">
        <v>242</v>
      </c>
      <c r="U1506" s="10" t="s">
        <v>242</v>
      </c>
      <c r="V1506" s="10" t="s">
        <v>241</v>
      </c>
      <c r="W1506" s="10" t="s">
        <v>242</v>
      </c>
      <c r="X1506" s="15">
        <f>IF(ISERROR(VLOOKUP($A1506,'13. Updated Demand'!A:Z,15,FALSE)),0,VLOOKUP($A1506,'13. Updated Demand'!A:Z,15,FALSE))</f>
        <v>0</v>
      </c>
      <c r="Y1506" s="16">
        <f>IF(ISERROR(VLOOKUP($A1506,'13. Updated Demand'!A:Z,16,FALSE)),0,VLOOKUP($A1506,'13. Updated Demand'!A:Z,16,FALSE))</f>
        <v>0</v>
      </c>
      <c r="Z1506" s="16">
        <f>IF(ISERROR(VLOOKUP($A1506,'13. Updated Demand'!A:Z,17,FALSE)),0,VLOOKUP($A1506,'13. Updated Demand'!A:Z,17,FALSE))</f>
        <v>0</v>
      </c>
      <c r="AA1506" s="16">
        <f>IF(ISERROR(VLOOKUP($A1506,'13. Updated Demand'!A:Z,18,FALSE)),0,VLOOKUP($A1506,'13. Updated Demand'!A:Z,18,FALSE))</f>
        <v>3.68</v>
      </c>
      <c r="AB1506" s="16">
        <f>IF(ISERROR(VLOOKUP($A1506,'13. Updated Demand'!A:Z,19,FALSE)),0,VLOOKUP($A1506,'13. Updated Demand'!A:Z,19,FALSE))</f>
        <v>0</v>
      </c>
      <c r="AC1506" s="16">
        <f>IF(ISERROR(VLOOKUP($A1506,'13. Updated Demand'!A:Z,20,FALSE)),0,VLOOKUP($A1506,'13. Updated Demand'!A:Z,20,FALSE))</f>
        <v>0</v>
      </c>
      <c r="AD1506" s="16">
        <f>IF(ISERROR(VLOOKUP($A1506,'13. Updated Demand'!A:Z,21,FALSE)),0,VLOOKUP($A1506,'13. Updated Demand'!A:Z,21,FALSE))</f>
        <v>0</v>
      </c>
      <c r="AE1506" s="16">
        <f>IF(ISERROR(VLOOKUP($A1506,'13. Updated Demand'!A:Z,22,FALSE)),0,VLOOKUP($A1506,'13. Updated Demand'!A:Z,22,FALSE))</f>
        <v>0</v>
      </c>
      <c r="AF1506" s="16">
        <f>IF(ISERROR(VLOOKUP($A1506,'13. Updated Demand'!A:Z,23,FALSE)),0,VLOOKUP($A1506,'13. Updated Demand'!A:Z,23,FALSE))</f>
        <v>0</v>
      </c>
      <c r="AG1506" s="16">
        <f>IF(ISERROR(VLOOKUP($A1506,'13. Updated Demand'!A:Z,24,FALSE)),0,VLOOKUP($A1506,'13. Updated Demand'!A:Z,24,FALSE))</f>
        <v>0</v>
      </c>
      <c r="AH1506" s="16">
        <f>IF(ISERROR(VLOOKUP($A1506,'13. Updated Demand'!A:Z,25,FALSE)),0,VLOOKUP($A1506,'13. Updated Demand'!A:Z,25,FALSE))</f>
        <v>0</v>
      </c>
      <c r="AI1506" s="16">
        <f>IF(ISERROR(VLOOKUP($A1506,'13. Updated Demand'!A:Z,26,FALSE)),0,VLOOKUP($A1506,'13. Updated Demand'!A:Z,26,FALSE))</f>
        <v>0</v>
      </c>
      <c r="AJ1506" s="16">
        <f t="shared" si="289"/>
        <v>3.68</v>
      </c>
      <c r="AK1506" s="19">
        <v>0</v>
      </c>
      <c r="AL1506" s="16">
        <f t="shared" si="287"/>
        <v>0</v>
      </c>
      <c r="AM1506" s="26">
        <v>5.5875470006249966E-3</v>
      </c>
      <c r="AN1506" s="19">
        <v>659.20399999999995</v>
      </c>
      <c r="AO1506" s="19" t="s">
        <v>1758</v>
      </c>
      <c r="AP1506" s="19">
        <v>0</v>
      </c>
      <c r="AQ1506" s="19" t="s">
        <v>307</v>
      </c>
      <c r="AR1506" s="9" t="s">
        <v>348</v>
      </c>
      <c r="AS1506" s="12">
        <v>0</v>
      </c>
      <c r="AT1506" s="19">
        <v>39.334699999999998</v>
      </c>
      <c r="AU1506" s="19">
        <v>-123.11020000000001</v>
      </c>
      <c r="AV1506" s="19" t="s">
        <v>1891</v>
      </c>
    </row>
    <row r="1507" spans="1:48" x14ac:dyDescent="0.25">
      <c r="A1507" s="18" t="s">
        <v>1892</v>
      </c>
      <c r="B1507" s="10">
        <v>10000000</v>
      </c>
      <c r="C1507" s="9">
        <v>2</v>
      </c>
      <c r="D1507" s="8" t="str">
        <f t="shared" si="278"/>
        <v>N</v>
      </c>
      <c r="E1507" s="8" t="str">
        <f t="shared" si="279"/>
        <v>N</v>
      </c>
      <c r="F1507" s="8" t="str">
        <f t="shared" si="280"/>
        <v>Y</v>
      </c>
      <c r="G1507" s="8" t="str">
        <f t="shared" si="281"/>
        <v>N</v>
      </c>
      <c r="H1507" s="8" t="str">
        <f t="shared" si="282"/>
        <v>Upper</v>
      </c>
      <c r="I1507" s="8" t="str">
        <f t="shared" si="283"/>
        <v>Outside</v>
      </c>
      <c r="J1507" s="8" t="str">
        <f t="shared" si="284"/>
        <v>Outside</v>
      </c>
      <c r="K1507" s="8" t="str">
        <f t="shared" si="285"/>
        <v>Riparian</v>
      </c>
      <c r="L1507" s="8">
        <f t="shared" si="286"/>
        <v>1000</v>
      </c>
      <c r="M1507" s="8" t="str">
        <f t="shared" si="288"/>
        <v>-</v>
      </c>
      <c r="N1507" s="10" t="s">
        <v>242</v>
      </c>
      <c r="O1507" s="10" t="s">
        <v>241</v>
      </c>
      <c r="P1507" s="10" t="s">
        <v>242</v>
      </c>
      <c r="Q1507" s="10" t="s">
        <v>242</v>
      </c>
      <c r="R1507" s="10" t="s">
        <v>242</v>
      </c>
      <c r="S1507" s="10" t="s">
        <v>241</v>
      </c>
      <c r="T1507" s="10" t="s">
        <v>242</v>
      </c>
      <c r="U1507" s="10" t="s">
        <v>242</v>
      </c>
      <c r="V1507" s="10" t="s">
        <v>241</v>
      </c>
      <c r="W1507" s="10" t="s">
        <v>242</v>
      </c>
      <c r="X1507" s="15">
        <f>IF(ISERROR(VLOOKUP($A1507,'13. Updated Demand'!A:Z,15,FALSE)),0,VLOOKUP($A1507,'13. Updated Demand'!A:Z,15,FALSE))</f>
        <v>1.1000000000000001</v>
      </c>
      <c r="Y1507" s="16">
        <f>IF(ISERROR(VLOOKUP($A1507,'13. Updated Demand'!A:Z,16,FALSE)),0,VLOOKUP($A1507,'13. Updated Demand'!A:Z,16,FALSE))</f>
        <v>1.1000000000000001</v>
      </c>
      <c r="Z1507" s="16">
        <f>IF(ISERROR(VLOOKUP($A1507,'13. Updated Demand'!A:Z,17,FALSE)),0,VLOOKUP($A1507,'13. Updated Demand'!A:Z,17,FALSE))</f>
        <v>1</v>
      </c>
      <c r="AA1507" s="16">
        <f>IF(ISERROR(VLOOKUP($A1507,'13. Updated Demand'!A:Z,18,FALSE)),0,VLOOKUP($A1507,'13. Updated Demand'!A:Z,18,FALSE))</f>
        <v>0</v>
      </c>
      <c r="AB1507" s="16">
        <f>IF(ISERROR(VLOOKUP($A1507,'13. Updated Demand'!A:Z,19,FALSE)),0,VLOOKUP($A1507,'13. Updated Demand'!A:Z,19,FALSE))</f>
        <v>0</v>
      </c>
      <c r="AC1507" s="16">
        <f>IF(ISERROR(VLOOKUP($A1507,'13. Updated Demand'!A:Z,20,FALSE)),0,VLOOKUP($A1507,'13. Updated Demand'!A:Z,20,FALSE))</f>
        <v>0</v>
      </c>
      <c r="AD1507" s="16">
        <f>IF(ISERROR(VLOOKUP($A1507,'13. Updated Demand'!A:Z,21,FALSE)),0,VLOOKUP($A1507,'13. Updated Demand'!A:Z,21,FALSE))</f>
        <v>0</v>
      </c>
      <c r="AE1507" s="16">
        <f>IF(ISERROR(VLOOKUP($A1507,'13. Updated Demand'!A:Z,22,FALSE)),0,VLOOKUP($A1507,'13. Updated Demand'!A:Z,22,FALSE))</f>
        <v>0</v>
      </c>
      <c r="AF1507" s="16">
        <f>IF(ISERROR(VLOOKUP($A1507,'13. Updated Demand'!A:Z,23,FALSE)),0,VLOOKUP($A1507,'13. Updated Demand'!A:Z,23,FALSE))</f>
        <v>0</v>
      </c>
      <c r="AG1507" s="16">
        <f>IF(ISERROR(VLOOKUP($A1507,'13. Updated Demand'!A:Z,24,FALSE)),0,VLOOKUP($A1507,'13. Updated Demand'!A:Z,24,FALSE))</f>
        <v>0</v>
      </c>
      <c r="AH1507" s="16">
        <f>IF(ISERROR(VLOOKUP($A1507,'13. Updated Demand'!A:Z,25,FALSE)),0,VLOOKUP($A1507,'13. Updated Demand'!A:Z,25,FALSE))</f>
        <v>0</v>
      </c>
      <c r="AI1507" s="16">
        <f>IF(ISERROR(VLOOKUP($A1507,'13. Updated Demand'!A:Z,26,FALSE)),0,VLOOKUP($A1507,'13. Updated Demand'!A:Z,26,FALSE))</f>
        <v>0</v>
      </c>
      <c r="AJ1507" s="16">
        <f t="shared" si="289"/>
        <v>3.2</v>
      </c>
      <c r="AK1507" s="19">
        <v>0</v>
      </c>
      <c r="AL1507" s="16">
        <f t="shared" si="287"/>
        <v>0</v>
      </c>
      <c r="AM1507" s="26">
        <v>0.49082765813853618</v>
      </c>
      <c r="AN1507" s="19">
        <v>6.5195999999999996</v>
      </c>
      <c r="AO1507" s="19" t="s">
        <v>1758</v>
      </c>
      <c r="AP1507" s="19">
        <v>0</v>
      </c>
      <c r="AQ1507" s="19" t="s">
        <v>307</v>
      </c>
      <c r="AR1507" s="9" t="s">
        <v>348</v>
      </c>
      <c r="AS1507" s="12">
        <v>0</v>
      </c>
      <c r="AT1507" s="19">
        <v>39.3583</v>
      </c>
      <c r="AU1507" s="19">
        <v>-123.1395</v>
      </c>
      <c r="AV1507" s="19" t="s">
        <v>385</v>
      </c>
    </row>
    <row r="1508" spans="1:48" x14ac:dyDescent="0.25">
      <c r="A1508" s="18" t="s">
        <v>1893</v>
      </c>
      <c r="B1508" s="10">
        <v>10000000</v>
      </c>
      <c r="C1508" s="9">
        <v>23</v>
      </c>
      <c r="D1508" s="8" t="str">
        <f t="shared" si="278"/>
        <v>N</v>
      </c>
      <c r="E1508" s="8" t="str">
        <f t="shared" si="279"/>
        <v>N</v>
      </c>
      <c r="F1508" s="8" t="str">
        <f t="shared" si="280"/>
        <v>N</v>
      </c>
      <c r="G1508" s="8" t="str">
        <f t="shared" si="281"/>
        <v>N</v>
      </c>
      <c r="H1508" s="8" t="str">
        <f t="shared" si="282"/>
        <v>Lower</v>
      </c>
      <c r="I1508" s="8" t="str">
        <f t="shared" si="283"/>
        <v>Outside</v>
      </c>
      <c r="J1508" s="8" t="str">
        <f t="shared" si="284"/>
        <v>Outside</v>
      </c>
      <c r="K1508" s="8" t="str">
        <f t="shared" si="285"/>
        <v>Riparian</v>
      </c>
      <c r="L1508" s="8">
        <f t="shared" si="286"/>
        <v>1000</v>
      </c>
      <c r="M1508" s="8" t="str">
        <f t="shared" si="288"/>
        <v>-</v>
      </c>
      <c r="N1508" s="10" t="s">
        <v>242</v>
      </c>
      <c r="O1508" s="10" t="s">
        <v>242</v>
      </c>
      <c r="P1508" s="10" t="s">
        <v>242</v>
      </c>
      <c r="Q1508" s="10" t="s">
        <v>242</v>
      </c>
      <c r="R1508" s="10" t="s">
        <v>242</v>
      </c>
      <c r="S1508" s="10" t="s">
        <v>241</v>
      </c>
      <c r="T1508" s="10" t="s">
        <v>242</v>
      </c>
      <c r="U1508" s="10" t="s">
        <v>242</v>
      </c>
      <c r="V1508" s="10" t="s">
        <v>241</v>
      </c>
      <c r="W1508" s="10" t="s">
        <v>242</v>
      </c>
      <c r="X1508" s="15">
        <f>IF(ISERROR(VLOOKUP($A1508,'13. Updated Demand'!A:Z,15,FALSE)),0,VLOOKUP($A1508,'13. Updated Demand'!A:Z,15,FALSE))</f>
        <v>0.66666666699999999</v>
      </c>
      <c r="Y1508" s="16">
        <f>IF(ISERROR(VLOOKUP($A1508,'13. Updated Demand'!A:Z,16,FALSE)),0,VLOOKUP($A1508,'13. Updated Demand'!A:Z,16,FALSE))</f>
        <v>0.33333333300000001</v>
      </c>
      <c r="Z1508" s="16">
        <f>IF(ISERROR(VLOOKUP($A1508,'13. Updated Demand'!A:Z,17,FALSE)),0,VLOOKUP($A1508,'13. Updated Demand'!A:Z,17,FALSE))</f>
        <v>0</v>
      </c>
      <c r="AA1508" s="16">
        <f>IF(ISERROR(VLOOKUP($A1508,'13. Updated Demand'!A:Z,18,FALSE)),0,VLOOKUP($A1508,'13. Updated Demand'!A:Z,18,FALSE))</f>
        <v>0</v>
      </c>
      <c r="AB1508" s="16">
        <f>IF(ISERROR(VLOOKUP($A1508,'13. Updated Demand'!A:Z,19,FALSE)),0,VLOOKUP($A1508,'13. Updated Demand'!A:Z,19,FALSE))</f>
        <v>0</v>
      </c>
      <c r="AC1508" s="16">
        <f>IF(ISERROR(VLOOKUP($A1508,'13. Updated Demand'!A:Z,20,FALSE)),0,VLOOKUP($A1508,'13. Updated Demand'!A:Z,20,FALSE))</f>
        <v>0</v>
      </c>
      <c r="AD1508" s="16">
        <f>IF(ISERROR(VLOOKUP($A1508,'13. Updated Demand'!A:Z,21,FALSE)),0,VLOOKUP($A1508,'13. Updated Demand'!A:Z,21,FALSE))</f>
        <v>0</v>
      </c>
      <c r="AE1508" s="16">
        <f>IF(ISERROR(VLOOKUP($A1508,'13. Updated Demand'!A:Z,22,FALSE)),0,VLOOKUP($A1508,'13. Updated Demand'!A:Z,22,FALSE))</f>
        <v>0</v>
      </c>
      <c r="AF1508" s="16">
        <f>IF(ISERROR(VLOOKUP($A1508,'13. Updated Demand'!A:Z,23,FALSE)),0,VLOOKUP($A1508,'13. Updated Demand'!A:Z,23,FALSE))</f>
        <v>0</v>
      </c>
      <c r="AG1508" s="16">
        <f>IF(ISERROR(VLOOKUP($A1508,'13. Updated Demand'!A:Z,24,FALSE)),0,VLOOKUP($A1508,'13. Updated Demand'!A:Z,24,FALSE))</f>
        <v>0</v>
      </c>
      <c r="AH1508" s="16">
        <f>IF(ISERROR(VLOOKUP($A1508,'13. Updated Demand'!A:Z,25,FALSE)),0,VLOOKUP($A1508,'13. Updated Demand'!A:Z,25,FALSE))</f>
        <v>0</v>
      </c>
      <c r="AI1508" s="16">
        <f>IF(ISERROR(VLOOKUP($A1508,'13. Updated Demand'!A:Z,26,FALSE)),0,VLOOKUP($A1508,'13. Updated Demand'!A:Z,26,FALSE))</f>
        <v>0</v>
      </c>
      <c r="AJ1508" s="16">
        <f t="shared" si="289"/>
        <v>1</v>
      </c>
      <c r="AK1508" s="19">
        <v>0</v>
      </c>
      <c r="AL1508" s="16">
        <f t="shared" si="287"/>
        <v>0</v>
      </c>
      <c r="AM1508" s="26">
        <v>0.55797344046423392</v>
      </c>
      <c r="AN1508" s="19">
        <v>1.7922</v>
      </c>
      <c r="AO1508" s="19" t="s">
        <v>1758</v>
      </c>
      <c r="AP1508" s="19">
        <v>0</v>
      </c>
      <c r="AQ1508" s="19" t="s">
        <v>307</v>
      </c>
      <c r="AR1508" s="9" t="s">
        <v>378</v>
      </c>
      <c r="AS1508" s="12">
        <v>3.4039024194010059E-4</v>
      </c>
      <c r="AT1508" s="19">
        <v>38.453127119999998</v>
      </c>
      <c r="AU1508" s="19">
        <v>-122.59157032</v>
      </c>
      <c r="AV1508" s="19" t="s">
        <v>417</v>
      </c>
    </row>
    <row r="1509" spans="1:48" x14ac:dyDescent="0.25">
      <c r="A1509" s="18" t="s">
        <v>1894</v>
      </c>
      <c r="B1509" s="10">
        <v>10000000</v>
      </c>
      <c r="C1509" s="9">
        <v>23</v>
      </c>
      <c r="D1509" s="8" t="str">
        <f t="shared" si="278"/>
        <v>N</v>
      </c>
      <c r="E1509" s="8" t="str">
        <f t="shared" si="279"/>
        <v>N</v>
      </c>
      <c r="F1509" s="8" t="str">
        <f t="shared" si="280"/>
        <v>N</v>
      </c>
      <c r="G1509" s="8" t="str">
        <f t="shared" si="281"/>
        <v>N</v>
      </c>
      <c r="H1509" s="8" t="str">
        <f t="shared" si="282"/>
        <v>Lower</v>
      </c>
      <c r="I1509" s="8" t="str">
        <f t="shared" si="283"/>
        <v>Outside</v>
      </c>
      <c r="J1509" s="8" t="str">
        <f t="shared" si="284"/>
        <v>Outside</v>
      </c>
      <c r="K1509" s="8" t="str">
        <f t="shared" si="285"/>
        <v>Riparian</v>
      </c>
      <c r="L1509" s="8">
        <f t="shared" si="286"/>
        <v>1000</v>
      </c>
      <c r="M1509" s="8" t="str">
        <f t="shared" si="288"/>
        <v>-</v>
      </c>
      <c r="N1509" s="10" t="s">
        <v>242</v>
      </c>
      <c r="O1509" s="10" t="s">
        <v>242</v>
      </c>
      <c r="P1509" s="10" t="s">
        <v>242</v>
      </c>
      <c r="Q1509" s="10" t="s">
        <v>242</v>
      </c>
      <c r="R1509" s="10" t="s">
        <v>242</v>
      </c>
      <c r="S1509" s="10" t="s">
        <v>241</v>
      </c>
      <c r="T1509" s="10" t="s">
        <v>242</v>
      </c>
      <c r="U1509" s="10" t="s">
        <v>241</v>
      </c>
      <c r="V1509" s="10" t="s">
        <v>241</v>
      </c>
      <c r="W1509" s="10" t="s">
        <v>242</v>
      </c>
      <c r="X1509" s="15">
        <f>IF(ISERROR(VLOOKUP($A1509,'13. Updated Demand'!A:Z,15,FALSE)),0,VLOOKUP($A1509,'13. Updated Demand'!A:Z,15,FALSE))</f>
        <v>0</v>
      </c>
      <c r="Y1509" s="16">
        <f>IF(ISERROR(VLOOKUP($A1509,'13. Updated Demand'!A:Z,16,FALSE)),0,VLOOKUP($A1509,'13. Updated Demand'!A:Z,16,FALSE))</f>
        <v>0</v>
      </c>
      <c r="Z1509" s="16">
        <f>IF(ISERROR(VLOOKUP($A1509,'13. Updated Demand'!A:Z,17,FALSE)),0,VLOOKUP($A1509,'13. Updated Demand'!A:Z,17,FALSE))</f>
        <v>0</v>
      </c>
      <c r="AA1509" s="16">
        <f>IF(ISERROR(VLOOKUP($A1509,'13. Updated Demand'!A:Z,18,FALSE)),0,VLOOKUP($A1509,'13. Updated Demand'!A:Z,18,FALSE))</f>
        <v>0</v>
      </c>
      <c r="AB1509" s="16">
        <f>IF(ISERROR(VLOOKUP($A1509,'13. Updated Demand'!A:Z,19,FALSE)),0,VLOOKUP($A1509,'13. Updated Demand'!A:Z,19,FALSE))</f>
        <v>0</v>
      </c>
      <c r="AC1509" s="16">
        <f>IF(ISERROR(VLOOKUP($A1509,'13. Updated Demand'!A:Z,20,FALSE)),0,VLOOKUP($A1509,'13. Updated Demand'!A:Z,20,FALSE))</f>
        <v>0</v>
      </c>
      <c r="AD1509" s="16">
        <f>IF(ISERROR(VLOOKUP($A1509,'13. Updated Demand'!A:Z,21,FALSE)),0,VLOOKUP($A1509,'13. Updated Demand'!A:Z,21,FALSE))</f>
        <v>0</v>
      </c>
      <c r="AE1509" s="16">
        <f>IF(ISERROR(VLOOKUP($A1509,'13. Updated Demand'!A:Z,22,FALSE)),0,VLOOKUP($A1509,'13. Updated Demand'!A:Z,22,FALSE))</f>
        <v>0</v>
      </c>
      <c r="AF1509" s="16">
        <f>IF(ISERROR(VLOOKUP($A1509,'13. Updated Demand'!A:Z,23,FALSE)),0,VLOOKUP($A1509,'13. Updated Demand'!A:Z,23,FALSE))</f>
        <v>0</v>
      </c>
      <c r="AG1509" s="16">
        <f>IF(ISERROR(VLOOKUP($A1509,'13. Updated Demand'!A:Z,24,FALSE)),0,VLOOKUP($A1509,'13. Updated Demand'!A:Z,24,FALSE))</f>
        <v>0</v>
      </c>
      <c r="AH1509" s="16">
        <f>IF(ISERROR(VLOOKUP($A1509,'13. Updated Demand'!A:Z,25,FALSE)),0,VLOOKUP($A1509,'13. Updated Demand'!A:Z,25,FALSE))</f>
        <v>0</v>
      </c>
      <c r="AI1509" s="16">
        <f>IF(ISERROR(VLOOKUP($A1509,'13. Updated Demand'!A:Z,26,FALSE)),0,VLOOKUP($A1509,'13. Updated Demand'!A:Z,26,FALSE))</f>
        <v>0</v>
      </c>
      <c r="AJ1509" s="16">
        <f t="shared" si="289"/>
        <v>0</v>
      </c>
      <c r="AK1509" s="19">
        <v>0</v>
      </c>
      <c r="AL1509" s="16">
        <f t="shared" si="287"/>
        <v>0</v>
      </c>
      <c r="AM1509" s="26">
        <v>0</v>
      </c>
      <c r="AN1509" s="19">
        <v>22.8186</v>
      </c>
      <c r="AO1509" s="19" t="s">
        <v>1758</v>
      </c>
      <c r="AP1509" s="19">
        <v>0</v>
      </c>
      <c r="AQ1509" s="19" t="s">
        <v>307</v>
      </c>
      <c r="AR1509" s="9" t="s">
        <v>1118</v>
      </c>
      <c r="AS1509" s="12">
        <v>0</v>
      </c>
      <c r="AT1509" s="19">
        <v>38.458199999999998</v>
      </c>
      <c r="AU1509" s="19">
        <v>-122.8237</v>
      </c>
      <c r="AV1509" s="19" t="s">
        <v>1532</v>
      </c>
    </row>
    <row r="1510" spans="1:48" x14ac:dyDescent="0.25">
      <c r="A1510" s="18" t="s">
        <v>1895</v>
      </c>
      <c r="B1510" s="10">
        <v>10000000</v>
      </c>
      <c r="C1510" s="9">
        <v>23</v>
      </c>
      <c r="D1510" s="8" t="str">
        <f t="shared" si="278"/>
        <v>N</v>
      </c>
      <c r="E1510" s="8" t="str">
        <f t="shared" si="279"/>
        <v>N</v>
      </c>
      <c r="F1510" s="8" t="str">
        <f t="shared" si="280"/>
        <v>N</v>
      </c>
      <c r="G1510" s="8" t="str">
        <f t="shared" si="281"/>
        <v>N</v>
      </c>
      <c r="H1510" s="8" t="str">
        <f t="shared" si="282"/>
        <v>Lower</v>
      </c>
      <c r="I1510" s="8" t="str">
        <f t="shared" si="283"/>
        <v>Outside</v>
      </c>
      <c r="J1510" s="8" t="str">
        <f t="shared" si="284"/>
        <v>Outside</v>
      </c>
      <c r="K1510" s="8" t="str">
        <f t="shared" si="285"/>
        <v>Riparian</v>
      </c>
      <c r="L1510" s="8">
        <f t="shared" si="286"/>
        <v>1000</v>
      </c>
      <c r="M1510" s="8" t="str">
        <f t="shared" si="288"/>
        <v>-</v>
      </c>
      <c r="N1510" s="10" t="s">
        <v>242</v>
      </c>
      <c r="O1510" s="10" t="s">
        <v>242</v>
      </c>
      <c r="P1510" s="10" t="s">
        <v>242</v>
      </c>
      <c r="Q1510" s="10" t="s">
        <v>242</v>
      </c>
      <c r="R1510" s="10" t="s">
        <v>242</v>
      </c>
      <c r="S1510" s="10" t="s">
        <v>241</v>
      </c>
      <c r="T1510" s="10" t="s">
        <v>242</v>
      </c>
      <c r="U1510" s="10" t="s">
        <v>241</v>
      </c>
      <c r="V1510" s="10" t="s">
        <v>241</v>
      </c>
      <c r="W1510" s="10" t="s">
        <v>242</v>
      </c>
      <c r="X1510" s="15">
        <f>IF(ISERROR(VLOOKUP($A1510,'13. Updated Demand'!A:Z,15,FALSE)),0,VLOOKUP($A1510,'13. Updated Demand'!A:Z,15,FALSE))</f>
        <v>0</v>
      </c>
      <c r="Y1510" s="16">
        <f>IF(ISERROR(VLOOKUP($A1510,'13. Updated Demand'!A:Z,16,FALSE)),0,VLOOKUP($A1510,'13. Updated Demand'!A:Z,16,FALSE))</f>
        <v>0</v>
      </c>
      <c r="Z1510" s="16">
        <f>IF(ISERROR(VLOOKUP($A1510,'13. Updated Demand'!A:Z,17,FALSE)),0,VLOOKUP($A1510,'13. Updated Demand'!A:Z,17,FALSE))</f>
        <v>0</v>
      </c>
      <c r="AA1510" s="16">
        <f>IF(ISERROR(VLOOKUP($A1510,'13. Updated Demand'!A:Z,18,FALSE)),0,VLOOKUP($A1510,'13. Updated Demand'!A:Z,18,FALSE))</f>
        <v>0</v>
      </c>
      <c r="AB1510" s="16">
        <f>IF(ISERROR(VLOOKUP($A1510,'13. Updated Demand'!A:Z,19,FALSE)),0,VLOOKUP($A1510,'13. Updated Demand'!A:Z,19,FALSE))</f>
        <v>0</v>
      </c>
      <c r="AC1510" s="16">
        <f>IF(ISERROR(VLOOKUP($A1510,'13. Updated Demand'!A:Z,20,FALSE)),0,VLOOKUP($A1510,'13. Updated Demand'!A:Z,20,FALSE))</f>
        <v>0</v>
      </c>
      <c r="AD1510" s="16">
        <f>IF(ISERROR(VLOOKUP($A1510,'13. Updated Demand'!A:Z,21,FALSE)),0,VLOOKUP($A1510,'13. Updated Demand'!A:Z,21,FALSE))</f>
        <v>0</v>
      </c>
      <c r="AE1510" s="16">
        <f>IF(ISERROR(VLOOKUP($A1510,'13. Updated Demand'!A:Z,22,FALSE)),0,VLOOKUP($A1510,'13. Updated Demand'!A:Z,22,FALSE))</f>
        <v>0</v>
      </c>
      <c r="AF1510" s="16">
        <f>IF(ISERROR(VLOOKUP($A1510,'13. Updated Demand'!A:Z,23,FALSE)),0,VLOOKUP($A1510,'13. Updated Demand'!A:Z,23,FALSE))</f>
        <v>0</v>
      </c>
      <c r="AG1510" s="16">
        <f>IF(ISERROR(VLOOKUP($A1510,'13. Updated Demand'!A:Z,24,FALSE)),0,VLOOKUP($A1510,'13. Updated Demand'!A:Z,24,FALSE))</f>
        <v>0</v>
      </c>
      <c r="AH1510" s="16">
        <f>IF(ISERROR(VLOOKUP($A1510,'13. Updated Demand'!A:Z,25,FALSE)),0,VLOOKUP($A1510,'13. Updated Demand'!A:Z,25,FALSE))</f>
        <v>0</v>
      </c>
      <c r="AI1510" s="16">
        <f>IF(ISERROR(VLOOKUP($A1510,'13. Updated Demand'!A:Z,26,FALSE)),0,VLOOKUP($A1510,'13. Updated Demand'!A:Z,26,FALSE))</f>
        <v>0</v>
      </c>
      <c r="AJ1510" s="16">
        <f t="shared" si="289"/>
        <v>0</v>
      </c>
      <c r="AK1510" s="19">
        <v>0</v>
      </c>
      <c r="AL1510" s="16">
        <f t="shared" si="287"/>
        <v>0</v>
      </c>
      <c r="AM1510" s="26">
        <v>0</v>
      </c>
      <c r="AN1510" s="19">
        <v>125</v>
      </c>
      <c r="AO1510" s="19" t="s">
        <v>1758</v>
      </c>
      <c r="AP1510" s="19">
        <v>0</v>
      </c>
      <c r="AQ1510" s="19" t="s">
        <v>307</v>
      </c>
      <c r="AR1510" s="9" t="s">
        <v>725</v>
      </c>
      <c r="AS1510" s="12">
        <v>0</v>
      </c>
      <c r="AT1510" s="19">
        <v>38.446949889999999</v>
      </c>
      <c r="AU1510" s="19">
        <v>-122.79753328</v>
      </c>
      <c r="AV1510" s="19" t="s">
        <v>1251</v>
      </c>
    </row>
    <row r="1511" spans="1:48" x14ac:dyDescent="0.25">
      <c r="A1511" s="18" t="s">
        <v>1896</v>
      </c>
      <c r="B1511" s="10">
        <v>10000000</v>
      </c>
      <c r="C1511" s="9">
        <v>14</v>
      </c>
      <c r="D1511" s="8" t="str">
        <f t="shared" si="278"/>
        <v>N</v>
      </c>
      <c r="E1511" s="8" t="str">
        <f t="shared" si="279"/>
        <v>N</v>
      </c>
      <c r="F1511" s="8" t="str">
        <f t="shared" si="280"/>
        <v>N</v>
      </c>
      <c r="G1511" s="8" t="str">
        <f t="shared" si="281"/>
        <v>N</v>
      </c>
      <c r="H1511" s="8" t="str">
        <f t="shared" si="282"/>
        <v>Lower</v>
      </c>
      <c r="I1511" s="8" t="str">
        <f t="shared" si="283"/>
        <v>Outside</v>
      </c>
      <c r="J1511" s="8" t="str">
        <f t="shared" si="284"/>
        <v>Outside</v>
      </c>
      <c r="K1511" s="8" t="str">
        <f t="shared" si="285"/>
        <v>Riparian</v>
      </c>
      <c r="L1511" s="8">
        <f t="shared" si="286"/>
        <v>1000</v>
      </c>
      <c r="M1511" s="8" t="str">
        <f t="shared" si="288"/>
        <v>-</v>
      </c>
      <c r="N1511" s="10" t="s">
        <v>242</v>
      </c>
      <c r="O1511" s="10" t="s">
        <v>242</v>
      </c>
      <c r="P1511" s="10" t="s">
        <v>242</v>
      </c>
      <c r="Q1511" s="10" t="s">
        <v>242</v>
      </c>
      <c r="R1511" s="10" t="s">
        <v>242</v>
      </c>
      <c r="S1511" s="10" t="s">
        <v>241</v>
      </c>
      <c r="T1511" s="10" t="s">
        <v>242</v>
      </c>
      <c r="U1511" s="10" t="s">
        <v>242</v>
      </c>
      <c r="V1511" s="10" t="s">
        <v>242</v>
      </c>
      <c r="W1511" s="10" t="s">
        <v>242</v>
      </c>
      <c r="X1511" s="15">
        <f>IF(ISERROR(VLOOKUP($A1511,'13. Updated Demand'!A:Z,15,FALSE)),0,VLOOKUP($A1511,'13. Updated Demand'!A:Z,15,FALSE))</f>
        <v>0</v>
      </c>
      <c r="Y1511" s="16">
        <f>IF(ISERROR(VLOOKUP($A1511,'13. Updated Demand'!A:Z,16,FALSE)),0,VLOOKUP($A1511,'13. Updated Demand'!A:Z,16,FALSE))</f>
        <v>0</v>
      </c>
      <c r="Z1511" s="16">
        <f>IF(ISERROR(VLOOKUP($A1511,'13. Updated Demand'!A:Z,17,FALSE)),0,VLOOKUP($A1511,'13. Updated Demand'!A:Z,17,FALSE))</f>
        <v>0</v>
      </c>
      <c r="AA1511" s="16">
        <f>IF(ISERROR(VLOOKUP($A1511,'13. Updated Demand'!A:Z,18,FALSE)),0,VLOOKUP($A1511,'13. Updated Demand'!A:Z,18,FALSE))</f>
        <v>0</v>
      </c>
      <c r="AB1511" s="16">
        <f>IF(ISERROR(VLOOKUP($A1511,'13. Updated Demand'!A:Z,19,FALSE)),0,VLOOKUP($A1511,'13. Updated Demand'!A:Z,19,FALSE))</f>
        <v>6.0000000000000002E-6</v>
      </c>
      <c r="AC1511" s="16">
        <f>IF(ISERROR(VLOOKUP($A1511,'13. Updated Demand'!A:Z,20,FALSE)),0,VLOOKUP($A1511,'13. Updated Demand'!A:Z,20,FALSE))</f>
        <v>1.2E-5</v>
      </c>
      <c r="AD1511" s="16">
        <f>IF(ISERROR(VLOOKUP($A1511,'13. Updated Demand'!A:Z,21,FALSE)),0,VLOOKUP($A1511,'13. Updated Demand'!A:Z,21,FALSE))</f>
        <v>1.2E-5</v>
      </c>
      <c r="AE1511" s="16">
        <f>IF(ISERROR(VLOOKUP($A1511,'13. Updated Demand'!A:Z,22,FALSE)),0,VLOOKUP($A1511,'13. Updated Demand'!A:Z,22,FALSE))</f>
        <v>1.2E-5</v>
      </c>
      <c r="AF1511" s="16">
        <f>IF(ISERROR(VLOOKUP($A1511,'13. Updated Demand'!A:Z,23,FALSE)),0,VLOOKUP($A1511,'13. Updated Demand'!A:Z,23,FALSE))</f>
        <v>1.2E-5</v>
      </c>
      <c r="AG1511" s="16">
        <f>IF(ISERROR(VLOOKUP($A1511,'13. Updated Demand'!A:Z,24,FALSE)),0,VLOOKUP($A1511,'13. Updated Demand'!A:Z,24,FALSE))</f>
        <v>6.0000000000000002E-6</v>
      </c>
      <c r="AH1511" s="16">
        <f>IF(ISERROR(VLOOKUP($A1511,'13. Updated Demand'!A:Z,25,FALSE)),0,VLOOKUP($A1511,'13. Updated Demand'!A:Z,25,FALSE))</f>
        <v>0</v>
      </c>
      <c r="AI1511" s="16">
        <f>IF(ISERROR(VLOOKUP($A1511,'13. Updated Demand'!A:Z,26,FALSE)),0,VLOOKUP($A1511,'13. Updated Demand'!A:Z,26,FALSE))</f>
        <v>0</v>
      </c>
      <c r="AJ1511" s="16">
        <f t="shared" si="289"/>
        <v>6.0000000000000008E-5</v>
      </c>
      <c r="AK1511" s="19">
        <f>SUM(AB1511:AF1511)</f>
        <v>5.4000000000000005E-5</v>
      </c>
      <c r="AL1511" s="16">
        <f t="shared" si="287"/>
        <v>1.7911184882195752E-7</v>
      </c>
      <c r="AM1511" s="26">
        <f>AJ1511/AN1511</f>
        <v>0.12000000000000001</v>
      </c>
      <c r="AN1511" s="19">
        <v>5.0000000000000001E-4</v>
      </c>
      <c r="AO1511" s="19" t="s">
        <v>1758</v>
      </c>
      <c r="AP1511" s="19">
        <v>0</v>
      </c>
      <c r="AQ1511" s="19" t="s">
        <v>307</v>
      </c>
      <c r="AR1511" s="9" t="s">
        <v>493</v>
      </c>
      <c r="AS1511" s="12">
        <v>3.4039024194010059E-4</v>
      </c>
      <c r="AT1511" s="19">
        <v>38.730580879999998</v>
      </c>
      <c r="AU1511" s="19">
        <v>-122.98125555999999</v>
      </c>
      <c r="AV1511" s="19" t="s">
        <v>1897</v>
      </c>
    </row>
    <row r="1512" spans="1:48" x14ac:dyDescent="0.25">
      <c r="A1512" s="18" t="s">
        <v>1898</v>
      </c>
      <c r="B1512" s="10">
        <v>10000000</v>
      </c>
      <c r="C1512" s="9">
        <v>21</v>
      </c>
      <c r="D1512" s="8" t="str">
        <f t="shared" si="278"/>
        <v>N</v>
      </c>
      <c r="E1512" s="8" t="str">
        <f t="shared" si="279"/>
        <v>N</v>
      </c>
      <c r="F1512" s="8" t="str">
        <f t="shared" si="280"/>
        <v>N</v>
      </c>
      <c r="G1512" s="8" t="str">
        <f t="shared" si="281"/>
        <v>N</v>
      </c>
      <c r="H1512" s="8" t="str">
        <f t="shared" si="282"/>
        <v>Lower</v>
      </c>
      <c r="I1512" s="8" t="str">
        <f t="shared" si="283"/>
        <v>Outside</v>
      </c>
      <c r="J1512" s="8" t="str">
        <f t="shared" si="284"/>
        <v>Outside</v>
      </c>
      <c r="K1512" s="8" t="str">
        <f t="shared" si="285"/>
        <v>Riparian</v>
      </c>
      <c r="L1512" s="8">
        <f t="shared" si="286"/>
        <v>1000</v>
      </c>
      <c r="M1512" s="8" t="str">
        <f t="shared" si="288"/>
        <v>-</v>
      </c>
      <c r="N1512" s="10" t="s">
        <v>242</v>
      </c>
      <c r="O1512" s="10" t="s">
        <v>242</v>
      </c>
      <c r="P1512" s="10" t="s">
        <v>242</v>
      </c>
      <c r="Q1512" s="10" t="s">
        <v>242</v>
      </c>
      <c r="R1512" s="10" t="s">
        <v>242</v>
      </c>
      <c r="S1512" s="10" t="s">
        <v>241</v>
      </c>
      <c r="T1512" s="10" t="s">
        <v>242</v>
      </c>
      <c r="U1512" s="10" t="s">
        <v>241</v>
      </c>
      <c r="V1512" s="10" t="s">
        <v>241</v>
      </c>
      <c r="W1512" s="10" t="s">
        <v>242</v>
      </c>
      <c r="X1512" s="15">
        <f>IF(ISERROR(VLOOKUP($A1512,'13. Updated Demand'!A:Z,15,FALSE)),0,VLOOKUP($A1512,'13. Updated Demand'!A:Z,15,FALSE))</f>
        <v>0</v>
      </c>
      <c r="Y1512" s="16">
        <f>IF(ISERROR(VLOOKUP($A1512,'13. Updated Demand'!A:Z,16,FALSE)),0,VLOOKUP($A1512,'13. Updated Demand'!A:Z,16,FALSE))</f>
        <v>0</v>
      </c>
      <c r="Z1512" s="16">
        <f>IF(ISERROR(VLOOKUP($A1512,'13. Updated Demand'!A:Z,17,FALSE)),0,VLOOKUP($A1512,'13. Updated Demand'!A:Z,17,FALSE))</f>
        <v>0</v>
      </c>
      <c r="AA1512" s="16">
        <f>IF(ISERROR(VLOOKUP($A1512,'13. Updated Demand'!A:Z,18,FALSE)),0,VLOOKUP($A1512,'13. Updated Demand'!A:Z,18,FALSE))</f>
        <v>0</v>
      </c>
      <c r="AB1512" s="16">
        <f>IF(ISERROR(VLOOKUP($A1512,'13. Updated Demand'!A:Z,19,FALSE)),0,VLOOKUP($A1512,'13. Updated Demand'!A:Z,19,FALSE))</f>
        <v>0</v>
      </c>
      <c r="AC1512" s="16">
        <f>IF(ISERROR(VLOOKUP($A1512,'13. Updated Demand'!A:Z,20,FALSE)),0,VLOOKUP($A1512,'13. Updated Demand'!A:Z,20,FALSE))</f>
        <v>0</v>
      </c>
      <c r="AD1512" s="16">
        <f>IF(ISERROR(VLOOKUP($A1512,'13. Updated Demand'!A:Z,21,FALSE)),0,VLOOKUP($A1512,'13. Updated Demand'!A:Z,21,FALSE))</f>
        <v>0</v>
      </c>
      <c r="AE1512" s="16">
        <f>IF(ISERROR(VLOOKUP($A1512,'13. Updated Demand'!A:Z,22,FALSE)),0,VLOOKUP($A1512,'13. Updated Demand'!A:Z,22,FALSE))</f>
        <v>0</v>
      </c>
      <c r="AF1512" s="16">
        <f>IF(ISERROR(VLOOKUP($A1512,'13. Updated Demand'!A:Z,23,FALSE)),0,VLOOKUP($A1512,'13. Updated Demand'!A:Z,23,FALSE))</f>
        <v>0</v>
      </c>
      <c r="AG1512" s="16">
        <f>IF(ISERROR(VLOOKUP($A1512,'13. Updated Demand'!A:Z,24,FALSE)),0,VLOOKUP($A1512,'13. Updated Demand'!A:Z,24,FALSE))</f>
        <v>0</v>
      </c>
      <c r="AH1512" s="16">
        <f>IF(ISERROR(VLOOKUP($A1512,'13. Updated Demand'!A:Z,25,FALSE)),0,VLOOKUP($A1512,'13. Updated Demand'!A:Z,25,FALSE))</f>
        <v>0</v>
      </c>
      <c r="AI1512" s="16">
        <f>IF(ISERROR(VLOOKUP($A1512,'13. Updated Demand'!A:Z,26,FALSE)),0,VLOOKUP($A1512,'13. Updated Demand'!A:Z,26,FALSE))</f>
        <v>0</v>
      </c>
      <c r="AJ1512" s="16">
        <f t="shared" si="289"/>
        <v>0</v>
      </c>
      <c r="AK1512" s="19">
        <v>0</v>
      </c>
      <c r="AL1512" s="16">
        <f t="shared" si="287"/>
        <v>0</v>
      </c>
      <c r="AM1512" s="26">
        <v>0</v>
      </c>
      <c r="AN1512" s="19">
        <v>9.0549999999999997</v>
      </c>
      <c r="AO1512" s="19" t="s">
        <v>1758</v>
      </c>
      <c r="AP1512" s="19">
        <v>0</v>
      </c>
      <c r="AQ1512" s="19" t="s">
        <v>307</v>
      </c>
      <c r="AR1512" s="9" t="s">
        <v>403</v>
      </c>
      <c r="AS1512" s="12">
        <v>0</v>
      </c>
      <c r="AT1512" s="19">
        <v>38.494569400000003</v>
      </c>
      <c r="AU1512" s="19">
        <v>-123.08738479</v>
      </c>
      <c r="AV1512" s="19" t="s">
        <v>1899</v>
      </c>
    </row>
    <row r="1513" spans="1:48" x14ac:dyDescent="0.25">
      <c r="A1513" s="18" t="s">
        <v>1900</v>
      </c>
      <c r="B1513" s="10">
        <v>10000000</v>
      </c>
      <c r="C1513" s="9">
        <v>6</v>
      </c>
      <c r="D1513" s="8" t="str">
        <f t="shared" si="278"/>
        <v>Y</v>
      </c>
      <c r="E1513" s="8" t="str">
        <f t="shared" si="279"/>
        <v>N</v>
      </c>
      <c r="F1513" s="8" t="str">
        <f t="shared" si="280"/>
        <v>Y</v>
      </c>
      <c r="G1513" s="8" t="str">
        <f t="shared" si="281"/>
        <v>Y</v>
      </c>
      <c r="H1513" s="8" t="str">
        <f t="shared" si="282"/>
        <v>Upper</v>
      </c>
      <c r="I1513" s="8" t="str">
        <f t="shared" si="283"/>
        <v>West Fork and Below Lake</v>
      </c>
      <c r="J1513" s="8" t="str">
        <f t="shared" si="284"/>
        <v>Mendocino (d/s of lake)</v>
      </c>
      <c r="K1513" s="8" t="str">
        <f t="shared" si="285"/>
        <v>Riparian</v>
      </c>
      <c r="L1513" s="8">
        <f t="shared" si="286"/>
        <v>1000</v>
      </c>
      <c r="M1513" s="8" t="str">
        <f t="shared" si="288"/>
        <v>-</v>
      </c>
      <c r="N1513" s="10" t="s">
        <v>242</v>
      </c>
      <c r="O1513" s="10" t="s">
        <v>241</v>
      </c>
      <c r="P1513" s="10" t="s">
        <v>242</v>
      </c>
      <c r="Q1513" s="10" t="s">
        <v>242</v>
      </c>
      <c r="R1513" s="10" t="s">
        <v>242</v>
      </c>
      <c r="S1513" s="10" t="s">
        <v>241</v>
      </c>
      <c r="T1513" s="10" t="s">
        <v>242</v>
      </c>
      <c r="U1513" s="10" t="s">
        <v>241</v>
      </c>
      <c r="V1513" s="10" t="s">
        <v>241</v>
      </c>
      <c r="W1513" s="10" t="s">
        <v>242</v>
      </c>
      <c r="X1513" s="15">
        <f>IF(ISERROR(VLOOKUP($A1513,'13. Updated Demand'!A:Z,15,FALSE)),0,VLOOKUP($A1513,'13. Updated Demand'!A:Z,15,FALSE))</f>
        <v>0</v>
      </c>
      <c r="Y1513" s="16">
        <f>IF(ISERROR(VLOOKUP($A1513,'13. Updated Demand'!A:Z,16,FALSE)),0,VLOOKUP($A1513,'13. Updated Demand'!A:Z,16,FALSE))</f>
        <v>0</v>
      </c>
      <c r="Z1513" s="16">
        <f>IF(ISERROR(VLOOKUP($A1513,'13. Updated Demand'!A:Z,17,FALSE)),0,VLOOKUP($A1513,'13. Updated Demand'!A:Z,17,FALSE))</f>
        <v>0</v>
      </c>
      <c r="AA1513" s="16">
        <f>IF(ISERROR(VLOOKUP($A1513,'13. Updated Demand'!A:Z,18,FALSE)),0,VLOOKUP($A1513,'13. Updated Demand'!A:Z,18,FALSE))</f>
        <v>0</v>
      </c>
      <c r="AB1513" s="16">
        <f>IF(ISERROR(VLOOKUP($A1513,'13. Updated Demand'!A:Z,19,FALSE)),0,VLOOKUP($A1513,'13. Updated Demand'!A:Z,19,FALSE))</f>
        <v>0</v>
      </c>
      <c r="AC1513" s="16">
        <f>IF(ISERROR(VLOOKUP($A1513,'13. Updated Demand'!A:Z,20,FALSE)),0,VLOOKUP($A1513,'13. Updated Demand'!A:Z,20,FALSE))</f>
        <v>0</v>
      </c>
      <c r="AD1513" s="16">
        <f>IF(ISERROR(VLOOKUP($A1513,'13. Updated Demand'!A:Z,21,FALSE)),0,VLOOKUP($A1513,'13. Updated Demand'!A:Z,21,FALSE))</f>
        <v>0</v>
      </c>
      <c r="AE1513" s="16">
        <f>IF(ISERROR(VLOOKUP($A1513,'13. Updated Demand'!A:Z,22,FALSE)),0,VLOOKUP($A1513,'13. Updated Demand'!A:Z,22,FALSE))</f>
        <v>0</v>
      </c>
      <c r="AF1513" s="16">
        <f>IF(ISERROR(VLOOKUP($A1513,'13. Updated Demand'!A:Z,23,FALSE)),0,VLOOKUP($A1513,'13. Updated Demand'!A:Z,23,FALSE))</f>
        <v>0</v>
      </c>
      <c r="AG1513" s="16">
        <f>IF(ISERROR(VLOOKUP($A1513,'13. Updated Demand'!A:Z,24,FALSE)),0,VLOOKUP($A1513,'13. Updated Demand'!A:Z,24,FALSE))</f>
        <v>0</v>
      </c>
      <c r="AH1513" s="16">
        <f>IF(ISERROR(VLOOKUP($A1513,'13. Updated Demand'!A:Z,25,FALSE)),0,VLOOKUP($A1513,'13. Updated Demand'!A:Z,25,FALSE))</f>
        <v>0</v>
      </c>
      <c r="AI1513" s="16">
        <f>IF(ISERROR(VLOOKUP($A1513,'13. Updated Demand'!A:Z,26,FALSE)),0,VLOOKUP($A1513,'13. Updated Demand'!A:Z,26,FALSE))</f>
        <v>0</v>
      </c>
      <c r="AJ1513" s="16">
        <f t="shared" si="289"/>
        <v>0</v>
      </c>
      <c r="AK1513" s="19">
        <v>0</v>
      </c>
      <c r="AL1513" s="16">
        <f t="shared" si="287"/>
        <v>0</v>
      </c>
      <c r="AM1513" s="26">
        <v>0</v>
      </c>
      <c r="AN1513" s="19">
        <v>12.677</v>
      </c>
      <c r="AO1513" s="19" t="s">
        <v>1758</v>
      </c>
      <c r="AP1513" s="19">
        <v>0</v>
      </c>
      <c r="AQ1513" s="19" t="s">
        <v>307</v>
      </c>
      <c r="AR1513" s="9" t="s">
        <v>319</v>
      </c>
      <c r="AS1513" s="12">
        <v>0</v>
      </c>
      <c r="AT1513" s="19">
        <v>38.989169080000003</v>
      </c>
      <c r="AU1513" s="19">
        <v>-123.16849929999999</v>
      </c>
      <c r="AV1513" s="19" t="s">
        <v>362</v>
      </c>
    </row>
    <row r="1514" spans="1:48" x14ac:dyDescent="0.25">
      <c r="A1514" s="18" t="s">
        <v>1901</v>
      </c>
      <c r="B1514" s="10">
        <v>10000000</v>
      </c>
      <c r="C1514" s="9">
        <v>5</v>
      </c>
      <c r="D1514" s="8" t="str">
        <f t="shared" si="278"/>
        <v>Y</v>
      </c>
      <c r="E1514" s="8" t="str">
        <f t="shared" si="279"/>
        <v>N</v>
      </c>
      <c r="F1514" s="8" t="str">
        <f t="shared" si="280"/>
        <v>Y</v>
      </c>
      <c r="G1514" s="8" t="str">
        <f t="shared" si="281"/>
        <v>Y</v>
      </c>
      <c r="H1514" s="8" t="str">
        <f t="shared" si="282"/>
        <v>Upper</v>
      </c>
      <c r="I1514" s="8" t="str">
        <f t="shared" si="283"/>
        <v>West Fork and Below Lake</v>
      </c>
      <c r="J1514" s="8" t="str">
        <f t="shared" si="284"/>
        <v>Mendocino (d/s of lake)</v>
      </c>
      <c r="K1514" s="8" t="str">
        <f t="shared" si="285"/>
        <v>Riparian</v>
      </c>
      <c r="L1514" s="8">
        <f t="shared" si="286"/>
        <v>1000</v>
      </c>
      <c r="M1514" s="8" t="str">
        <f t="shared" si="288"/>
        <v>-</v>
      </c>
      <c r="N1514" s="10" t="s">
        <v>242</v>
      </c>
      <c r="O1514" s="10" t="s">
        <v>241</v>
      </c>
      <c r="P1514" s="10" t="s">
        <v>242</v>
      </c>
      <c r="Q1514" s="10" t="s">
        <v>242</v>
      </c>
      <c r="R1514" s="10" t="s">
        <v>242</v>
      </c>
      <c r="S1514" s="10" t="s">
        <v>241</v>
      </c>
      <c r="T1514" s="10" t="s">
        <v>242</v>
      </c>
      <c r="U1514" s="10" t="s">
        <v>241</v>
      </c>
      <c r="V1514" s="10" t="s">
        <v>241</v>
      </c>
      <c r="W1514" s="10" t="s">
        <v>242</v>
      </c>
      <c r="X1514" s="15">
        <f>IF(ISERROR(VLOOKUP($A1514,'13. Updated Demand'!A:Z,15,FALSE)),0,VLOOKUP($A1514,'13. Updated Demand'!A:Z,15,FALSE))</f>
        <v>0</v>
      </c>
      <c r="Y1514" s="16">
        <f>IF(ISERROR(VLOOKUP($A1514,'13. Updated Demand'!A:Z,16,FALSE)),0,VLOOKUP($A1514,'13. Updated Demand'!A:Z,16,FALSE))</f>
        <v>0</v>
      </c>
      <c r="Z1514" s="16">
        <f>IF(ISERROR(VLOOKUP($A1514,'13. Updated Demand'!A:Z,17,FALSE)),0,VLOOKUP($A1514,'13. Updated Demand'!A:Z,17,FALSE))</f>
        <v>0</v>
      </c>
      <c r="AA1514" s="16">
        <f>IF(ISERROR(VLOOKUP($A1514,'13. Updated Demand'!A:Z,18,FALSE)),0,VLOOKUP($A1514,'13. Updated Demand'!A:Z,18,FALSE))</f>
        <v>0</v>
      </c>
      <c r="AB1514" s="16">
        <f>IF(ISERROR(VLOOKUP($A1514,'13. Updated Demand'!A:Z,19,FALSE)),0,VLOOKUP($A1514,'13. Updated Demand'!A:Z,19,FALSE))</f>
        <v>0</v>
      </c>
      <c r="AC1514" s="16">
        <f>IF(ISERROR(VLOOKUP($A1514,'13. Updated Demand'!A:Z,20,FALSE)),0,VLOOKUP($A1514,'13. Updated Demand'!A:Z,20,FALSE))</f>
        <v>0</v>
      </c>
      <c r="AD1514" s="16">
        <f>IF(ISERROR(VLOOKUP($A1514,'13. Updated Demand'!A:Z,21,FALSE)),0,VLOOKUP($A1514,'13. Updated Demand'!A:Z,21,FALSE))</f>
        <v>0</v>
      </c>
      <c r="AE1514" s="16">
        <f>IF(ISERROR(VLOOKUP($A1514,'13. Updated Demand'!A:Z,22,FALSE)),0,VLOOKUP($A1514,'13. Updated Demand'!A:Z,22,FALSE))</f>
        <v>0</v>
      </c>
      <c r="AF1514" s="16">
        <f>IF(ISERROR(VLOOKUP($A1514,'13. Updated Demand'!A:Z,23,FALSE)),0,VLOOKUP($A1514,'13. Updated Demand'!A:Z,23,FALSE))</f>
        <v>0</v>
      </c>
      <c r="AG1514" s="16">
        <f>IF(ISERROR(VLOOKUP($A1514,'13. Updated Demand'!A:Z,24,FALSE)),0,VLOOKUP($A1514,'13. Updated Demand'!A:Z,24,FALSE))</f>
        <v>0</v>
      </c>
      <c r="AH1514" s="16">
        <f>IF(ISERROR(VLOOKUP($A1514,'13. Updated Demand'!A:Z,25,FALSE)),0,VLOOKUP($A1514,'13. Updated Demand'!A:Z,25,FALSE))</f>
        <v>0</v>
      </c>
      <c r="AI1514" s="16">
        <f>IF(ISERROR(VLOOKUP($A1514,'13. Updated Demand'!A:Z,26,FALSE)),0,VLOOKUP($A1514,'13. Updated Demand'!A:Z,26,FALSE))</f>
        <v>0</v>
      </c>
      <c r="AJ1514" s="16">
        <f t="shared" si="289"/>
        <v>0</v>
      </c>
      <c r="AK1514" s="19">
        <v>0</v>
      </c>
      <c r="AL1514" s="16">
        <f t="shared" si="287"/>
        <v>0</v>
      </c>
      <c r="AM1514" s="26">
        <v>0</v>
      </c>
      <c r="AN1514" s="19">
        <v>39.841999999999999</v>
      </c>
      <c r="AO1514" s="19" t="s">
        <v>1758</v>
      </c>
      <c r="AP1514" s="19">
        <v>0</v>
      </c>
      <c r="AQ1514" s="19" t="s">
        <v>307</v>
      </c>
      <c r="AR1514" s="9" t="s">
        <v>333</v>
      </c>
      <c r="AS1514" s="12">
        <v>0</v>
      </c>
      <c r="AT1514" s="19">
        <v>39.10922867</v>
      </c>
      <c r="AU1514" s="19">
        <v>-123.17611805</v>
      </c>
      <c r="AV1514" s="19" t="s">
        <v>1902</v>
      </c>
    </row>
    <row r="1515" spans="1:48" x14ac:dyDescent="0.25">
      <c r="A1515" s="18" t="s">
        <v>1903</v>
      </c>
      <c r="B1515" s="10">
        <v>10000000</v>
      </c>
      <c r="C1515" s="9">
        <v>17</v>
      </c>
      <c r="D1515" s="8" t="str">
        <f t="shared" si="278"/>
        <v>N</v>
      </c>
      <c r="E1515" s="8" t="str">
        <f t="shared" si="279"/>
        <v>N</v>
      </c>
      <c r="F1515" s="8" t="str">
        <f t="shared" si="280"/>
        <v>N</v>
      </c>
      <c r="G1515" s="8" t="str">
        <f t="shared" si="281"/>
        <v>N</v>
      </c>
      <c r="H1515" s="8" t="str">
        <f t="shared" si="282"/>
        <v>Lower</v>
      </c>
      <c r="I1515" s="8" t="str">
        <f t="shared" si="283"/>
        <v>Outside</v>
      </c>
      <c r="J1515" s="8" t="str">
        <f t="shared" si="284"/>
        <v>Outside</v>
      </c>
      <c r="K1515" s="8" t="str">
        <f t="shared" si="285"/>
        <v>Riparian</v>
      </c>
      <c r="L1515" s="8">
        <f t="shared" si="286"/>
        <v>1000</v>
      </c>
      <c r="M1515" s="8" t="str">
        <f t="shared" si="288"/>
        <v>-</v>
      </c>
      <c r="N1515" s="10" t="s">
        <v>242</v>
      </c>
      <c r="O1515" s="10" t="s">
        <v>242</v>
      </c>
      <c r="P1515" s="10" t="s">
        <v>242</v>
      </c>
      <c r="Q1515" s="10" t="s">
        <v>242</v>
      </c>
      <c r="R1515" s="10" t="s">
        <v>242</v>
      </c>
      <c r="S1515" s="10" t="s">
        <v>241</v>
      </c>
      <c r="T1515" s="10" t="s">
        <v>242</v>
      </c>
      <c r="U1515" s="10" t="s">
        <v>241</v>
      </c>
      <c r="V1515" s="10" t="s">
        <v>241</v>
      </c>
      <c r="W1515" s="10" t="s">
        <v>242</v>
      </c>
      <c r="X1515" s="15">
        <f>IF(ISERROR(VLOOKUP($A1515,'13. Updated Demand'!A:Z,15,FALSE)),0,VLOOKUP($A1515,'13. Updated Demand'!A:Z,15,FALSE))</f>
        <v>0</v>
      </c>
      <c r="Y1515" s="16">
        <f>IF(ISERROR(VLOOKUP($A1515,'13. Updated Demand'!A:Z,16,FALSE)),0,VLOOKUP($A1515,'13. Updated Demand'!A:Z,16,FALSE))</f>
        <v>0</v>
      </c>
      <c r="Z1515" s="16">
        <f>IF(ISERROR(VLOOKUP($A1515,'13. Updated Demand'!A:Z,17,FALSE)),0,VLOOKUP($A1515,'13. Updated Demand'!A:Z,17,FALSE))</f>
        <v>0</v>
      </c>
      <c r="AA1515" s="16">
        <f>IF(ISERROR(VLOOKUP($A1515,'13. Updated Demand'!A:Z,18,FALSE)),0,VLOOKUP($A1515,'13. Updated Demand'!A:Z,18,FALSE))</f>
        <v>0</v>
      </c>
      <c r="AB1515" s="16">
        <f>IF(ISERROR(VLOOKUP($A1515,'13. Updated Demand'!A:Z,19,FALSE)),0,VLOOKUP($A1515,'13. Updated Demand'!A:Z,19,FALSE))</f>
        <v>0</v>
      </c>
      <c r="AC1515" s="16">
        <f>IF(ISERROR(VLOOKUP($A1515,'13. Updated Demand'!A:Z,20,FALSE)),0,VLOOKUP($A1515,'13. Updated Demand'!A:Z,20,FALSE))</f>
        <v>0</v>
      </c>
      <c r="AD1515" s="16">
        <f>IF(ISERROR(VLOOKUP($A1515,'13. Updated Demand'!A:Z,21,FALSE)),0,VLOOKUP($A1515,'13. Updated Demand'!A:Z,21,FALSE))</f>
        <v>0</v>
      </c>
      <c r="AE1515" s="16">
        <f>IF(ISERROR(VLOOKUP($A1515,'13. Updated Demand'!A:Z,22,FALSE)),0,VLOOKUP($A1515,'13. Updated Demand'!A:Z,22,FALSE))</f>
        <v>0</v>
      </c>
      <c r="AF1515" s="16">
        <f>IF(ISERROR(VLOOKUP($A1515,'13. Updated Demand'!A:Z,23,FALSE)),0,VLOOKUP($A1515,'13. Updated Demand'!A:Z,23,FALSE))</f>
        <v>0</v>
      </c>
      <c r="AG1515" s="16">
        <f>IF(ISERROR(VLOOKUP($A1515,'13. Updated Demand'!A:Z,24,FALSE)),0,VLOOKUP($A1515,'13. Updated Demand'!A:Z,24,FALSE))</f>
        <v>0</v>
      </c>
      <c r="AH1515" s="16">
        <f>IF(ISERROR(VLOOKUP($A1515,'13. Updated Demand'!A:Z,25,FALSE)),0,VLOOKUP($A1515,'13. Updated Demand'!A:Z,25,FALSE))</f>
        <v>0</v>
      </c>
      <c r="AI1515" s="16">
        <f>IF(ISERROR(VLOOKUP($A1515,'13. Updated Demand'!A:Z,26,FALSE)),0,VLOOKUP($A1515,'13. Updated Demand'!A:Z,26,FALSE))</f>
        <v>0</v>
      </c>
      <c r="AJ1515" s="16">
        <f t="shared" si="289"/>
        <v>0</v>
      </c>
      <c r="AK1515" s="19">
        <v>0</v>
      </c>
      <c r="AL1515" s="16">
        <f t="shared" si="287"/>
        <v>0</v>
      </c>
      <c r="AM1515" s="26">
        <v>0</v>
      </c>
      <c r="AN1515" s="19">
        <v>0.79479999999999995</v>
      </c>
      <c r="AO1515" s="19" t="s">
        <v>1758</v>
      </c>
      <c r="AP1515" s="19">
        <v>0</v>
      </c>
      <c r="AQ1515" s="19" t="s">
        <v>307</v>
      </c>
      <c r="AR1515" s="9" t="s">
        <v>486</v>
      </c>
      <c r="AS1515" s="12">
        <v>3.4039024194010059E-4</v>
      </c>
      <c r="AT1515" s="19">
        <v>38.593456209999999</v>
      </c>
      <c r="AU1515" s="19">
        <v>-122.81631530999999</v>
      </c>
      <c r="AV1515" s="19" t="s">
        <v>1257</v>
      </c>
    </row>
    <row r="1516" spans="1:48" x14ac:dyDescent="0.25">
      <c r="A1516" s="18" t="s">
        <v>1904</v>
      </c>
      <c r="B1516" s="10">
        <v>10000000</v>
      </c>
      <c r="C1516" s="9">
        <v>12</v>
      </c>
      <c r="D1516" s="8" t="str">
        <f t="shared" si="278"/>
        <v>N</v>
      </c>
      <c r="E1516" s="8" t="str">
        <f t="shared" si="279"/>
        <v>Y</v>
      </c>
      <c r="F1516" s="8" t="str">
        <f t="shared" si="280"/>
        <v>Y</v>
      </c>
      <c r="G1516" s="8" t="str">
        <f t="shared" si="281"/>
        <v>Y</v>
      </c>
      <c r="H1516" s="8" t="str">
        <f t="shared" si="282"/>
        <v>Upper</v>
      </c>
      <c r="I1516" s="8" t="str">
        <f t="shared" si="283"/>
        <v>West Fork and Below Lake</v>
      </c>
      <c r="J1516" s="8" t="str">
        <f t="shared" si="284"/>
        <v>Sonoma (d/s of Clov. Gage)</v>
      </c>
      <c r="K1516" s="8" t="str">
        <f t="shared" si="285"/>
        <v>Riparian</v>
      </c>
      <c r="L1516" s="8">
        <f t="shared" si="286"/>
        <v>1000</v>
      </c>
      <c r="M1516" s="8" t="str">
        <f t="shared" si="288"/>
        <v>-</v>
      </c>
      <c r="N1516" s="10" t="s">
        <v>241</v>
      </c>
      <c r="O1516" s="10" t="s">
        <v>241</v>
      </c>
      <c r="P1516" s="10" t="s">
        <v>242</v>
      </c>
      <c r="Q1516" s="10" t="s">
        <v>242</v>
      </c>
      <c r="R1516" s="10" t="s">
        <v>242</v>
      </c>
      <c r="S1516" s="10" t="s">
        <v>241</v>
      </c>
      <c r="T1516" s="10" t="s">
        <v>242</v>
      </c>
      <c r="U1516" s="10" t="s">
        <v>241</v>
      </c>
      <c r="V1516" s="10" t="s">
        <v>241</v>
      </c>
      <c r="W1516" s="10" t="s">
        <v>242</v>
      </c>
      <c r="X1516" s="15">
        <f>IF(ISERROR(VLOOKUP($A1516,'13. Updated Demand'!A:Z,15,FALSE)),0,VLOOKUP($A1516,'13. Updated Demand'!A:Z,15,FALSE))</f>
        <v>0</v>
      </c>
      <c r="Y1516" s="16">
        <f>IF(ISERROR(VLOOKUP($A1516,'13. Updated Demand'!A:Z,16,FALSE)),0,VLOOKUP($A1516,'13. Updated Demand'!A:Z,16,FALSE))</f>
        <v>0</v>
      </c>
      <c r="Z1516" s="16">
        <f>IF(ISERROR(VLOOKUP($A1516,'13. Updated Demand'!A:Z,17,FALSE)),0,VLOOKUP($A1516,'13. Updated Demand'!A:Z,17,FALSE))</f>
        <v>0</v>
      </c>
      <c r="AA1516" s="16">
        <f>IF(ISERROR(VLOOKUP($A1516,'13. Updated Demand'!A:Z,18,FALSE)),0,VLOOKUP($A1516,'13. Updated Demand'!A:Z,18,FALSE))</f>
        <v>0</v>
      </c>
      <c r="AB1516" s="16">
        <f>IF(ISERROR(VLOOKUP($A1516,'13. Updated Demand'!A:Z,19,FALSE)),0,VLOOKUP($A1516,'13. Updated Demand'!A:Z,19,FALSE))</f>
        <v>0</v>
      </c>
      <c r="AC1516" s="16">
        <f>IF(ISERROR(VLOOKUP($A1516,'13. Updated Demand'!A:Z,20,FALSE)),0,VLOOKUP($A1516,'13. Updated Demand'!A:Z,20,FALSE))</f>
        <v>0</v>
      </c>
      <c r="AD1516" s="16">
        <f>IF(ISERROR(VLOOKUP($A1516,'13. Updated Demand'!A:Z,21,FALSE)),0,VLOOKUP($A1516,'13. Updated Demand'!A:Z,21,FALSE))</f>
        <v>0</v>
      </c>
      <c r="AE1516" s="16">
        <f>IF(ISERROR(VLOOKUP($A1516,'13. Updated Demand'!A:Z,22,FALSE)),0,VLOOKUP($A1516,'13. Updated Demand'!A:Z,22,FALSE))</f>
        <v>0</v>
      </c>
      <c r="AF1516" s="16">
        <f>IF(ISERROR(VLOOKUP($A1516,'13. Updated Demand'!A:Z,23,FALSE)),0,VLOOKUP($A1516,'13. Updated Demand'!A:Z,23,FALSE))</f>
        <v>0</v>
      </c>
      <c r="AG1516" s="16">
        <f>IF(ISERROR(VLOOKUP($A1516,'13. Updated Demand'!A:Z,24,FALSE)),0,VLOOKUP($A1516,'13. Updated Demand'!A:Z,24,FALSE))</f>
        <v>0</v>
      </c>
      <c r="AH1516" s="16">
        <f>IF(ISERROR(VLOOKUP($A1516,'13. Updated Demand'!A:Z,25,FALSE)),0,VLOOKUP($A1516,'13. Updated Demand'!A:Z,25,FALSE))</f>
        <v>0</v>
      </c>
      <c r="AI1516" s="16">
        <f>IF(ISERROR(VLOOKUP($A1516,'13. Updated Demand'!A:Z,26,FALSE)),0,VLOOKUP($A1516,'13. Updated Demand'!A:Z,26,FALSE))</f>
        <v>0</v>
      </c>
      <c r="AJ1516" s="16">
        <f t="shared" si="289"/>
        <v>0</v>
      </c>
      <c r="AK1516" s="19">
        <v>0</v>
      </c>
      <c r="AL1516" s="16">
        <f t="shared" si="287"/>
        <v>0</v>
      </c>
      <c r="AM1516" s="26">
        <v>0</v>
      </c>
      <c r="AN1516" s="19">
        <v>9.7100000000000006E-2</v>
      </c>
      <c r="AO1516" s="19" t="s">
        <v>1758</v>
      </c>
      <c r="AP1516" s="19">
        <v>0</v>
      </c>
      <c r="AQ1516" s="19" t="s">
        <v>307</v>
      </c>
      <c r="AR1516" s="9" t="s">
        <v>311</v>
      </c>
      <c r="AS1516" s="12">
        <v>0</v>
      </c>
      <c r="AT1516" s="19">
        <v>38.601256489999997</v>
      </c>
      <c r="AU1516" s="19">
        <v>-122.80030739999999</v>
      </c>
      <c r="AV1516" s="19" t="s">
        <v>387</v>
      </c>
    </row>
    <row r="1517" spans="1:48" x14ac:dyDescent="0.25">
      <c r="A1517" s="18" t="s">
        <v>1905</v>
      </c>
      <c r="B1517" s="10">
        <v>10000000</v>
      </c>
      <c r="C1517" s="9">
        <v>18</v>
      </c>
      <c r="D1517" s="8" t="str">
        <f t="shared" si="278"/>
        <v>N</v>
      </c>
      <c r="E1517" s="8" t="str">
        <f t="shared" si="279"/>
        <v>N</v>
      </c>
      <c r="F1517" s="8" t="str">
        <f t="shared" si="280"/>
        <v>N</v>
      </c>
      <c r="G1517" s="8" t="str">
        <f t="shared" si="281"/>
        <v>N</v>
      </c>
      <c r="H1517" s="8" t="str">
        <f t="shared" si="282"/>
        <v>Lower</v>
      </c>
      <c r="I1517" s="8" t="str">
        <f t="shared" si="283"/>
        <v>Outside</v>
      </c>
      <c r="J1517" s="8" t="str">
        <f t="shared" si="284"/>
        <v>Outside</v>
      </c>
      <c r="K1517" s="8" t="str">
        <f t="shared" si="285"/>
        <v>Riparian</v>
      </c>
      <c r="L1517" s="8">
        <f t="shared" si="286"/>
        <v>1000</v>
      </c>
      <c r="M1517" s="8" t="str">
        <f t="shared" si="288"/>
        <v>-</v>
      </c>
      <c r="N1517" s="10" t="s">
        <v>242</v>
      </c>
      <c r="O1517" s="10" t="s">
        <v>242</v>
      </c>
      <c r="P1517" s="10" t="s">
        <v>242</v>
      </c>
      <c r="Q1517" s="10" t="s">
        <v>242</v>
      </c>
      <c r="R1517" s="10" t="s">
        <v>242</v>
      </c>
      <c r="S1517" s="10" t="s">
        <v>241</v>
      </c>
      <c r="T1517" s="10" t="s">
        <v>242</v>
      </c>
      <c r="U1517" s="10" t="s">
        <v>242</v>
      </c>
      <c r="V1517" s="10" t="s">
        <v>242</v>
      </c>
      <c r="W1517" s="10" t="s">
        <v>242</v>
      </c>
      <c r="X1517" s="15">
        <f>IF(ISERROR(VLOOKUP($A1517,'13. Updated Demand'!A:Z,15,FALSE)),0,VLOOKUP($A1517,'13. Updated Demand'!A:Z,15,FALSE))</f>
        <v>2.0299999999999999E-5</v>
      </c>
      <c r="Y1517" s="16">
        <f>IF(ISERROR(VLOOKUP($A1517,'13. Updated Demand'!A:Z,16,FALSE)),0,VLOOKUP($A1517,'13. Updated Demand'!A:Z,16,FALSE))</f>
        <v>2.0299999999999999E-5</v>
      </c>
      <c r="Z1517" s="16">
        <f>IF(ISERROR(VLOOKUP($A1517,'13. Updated Demand'!A:Z,17,FALSE)),0,VLOOKUP($A1517,'13. Updated Demand'!A:Z,17,FALSE))</f>
        <v>5.1E-5</v>
      </c>
      <c r="AA1517" s="16">
        <f>IF(ISERROR(VLOOKUP($A1517,'13. Updated Demand'!A:Z,18,FALSE)),0,VLOOKUP($A1517,'13. Updated Demand'!A:Z,18,FALSE))</f>
        <v>6.6299999999999999E-5</v>
      </c>
      <c r="AB1517" s="16">
        <f>IF(ISERROR(VLOOKUP($A1517,'13. Updated Demand'!A:Z,19,FALSE)),0,VLOOKUP($A1517,'13. Updated Demand'!A:Z,19,FALSE))</f>
        <v>1.2300000000000001E-4</v>
      </c>
      <c r="AC1517" s="16">
        <f>IF(ISERROR(VLOOKUP($A1517,'13. Updated Demand'!A:Z,20,FALSE)),0,VLOOKUP($A1517,'13. Updated Demand'!A:Z,20,FALSE))</f>
        <v>1.2799999999999999E-4</v>
      </c>
      <c r="AD1517" s="16">
        <f>IF(ISERROR(VLOOKUP($A1517,'13. Updated Demand'!A:Z,21,FALSE)),0,VLOOKUP($A1517,'13. Updated Demand'!A:Z,21,FALSE))</f>
        <v>1.2799999999999999E-4</v>
      </c>
      <c r="AE1517" s="16">
        <f>IF(ISERROR(VLOOKUP($A1517,'13. Updated Demand'!A:Z,22,FALSE)),0,VLOOKUP($A1517,'13. Updated Demand'!A:Z,22,FALSE))</f>
        <v>1.2799999999999999E-4</v>
      </c>
      <c r="AF1517" s="16">
        <f>IF(ISERROR(VLOOKUP($A1517,'13. Updated Demand'!A:Z,23,FALSE)),0,VLOOKUP($A1517,'13. Updated Demand'!A:Z,23,FALSE))</f>
        <v>9.2299999999999994E-5</v>
      </c>
      <c r="AG1517" s="16">
        <f>IF(ISERROR(VLOOKUP($A1517,'13. Updated Demand'!A:Z,24,FALSE)),0,VLOOKUP($A1517,'13. Updated Demand'!A:Z,24,FALSE))</f>
        <v>6.6299999999999999E-5</v>
      </c>
      <c r="AH1517" s="16">
        <f>IF(ISERROR(VLOOKUP($A1517,'13. Updated Demand'!A:Z,25,FALSE)),0,VLOOKUP($A1517,'13. Updated Demand'!A:Z,25,FALSE))</f>
        <v>5.63E-5</v>
      </c>
      <c r="AI1517" s="16">
        <f>IF(ISERROR(VLOOKUP($A1517,'13. Updated Demand'!A:Z,26,FALSE)),0,VLOOKUP($A1517,'13. Updated Demand'!A:Z,26,FALSE))</f>
        <v>5.1E-5</v>
      </c>
      <c r="AJ1517" s="16">
        <f t="shared" si="289"/>
        <v>9.3080000000000007E-4</v>
      </c>
      <c r="AK1517" s="19">
        <v>5.9929999999999998E-4</v>
      </c>
      <c r="AL1517" s="16">
        <f t="shared" si="287"/>
        <v>1.9878098333147988E-6</v>
      </c>
      <c r="AM1517" s="26">
        <v>5.9831587066915221E-4</v>
      </c>
      <c r="AN1517" s="19">
        <v>1.5557000000000001</v>
      </c>
      <c r="AO1517" s="19" t="s">
        <v>1758</v>
      </c>
      <c r="AP1517" s="19">
        <v>0</v>
      </c>
      <c r="AQ1517" s="19" t="s">
        <v>307</v>
      </c>
      <c r="AR1517" s="9" t="s">
        <v>352</v>
      </c>
      <c r="AS1517" s="12">
        <v>3.4039024194010059E-4</v>
      </c>
      <c r="AT1517" s="19">
        <v>38.441296000000001</v>
      </c>
      <c r="AU1517" s="19">
        <v>-122.89488545</v>
      </c>
      <c r="AV1517" s="19" t="s">
        <v>417</v>
      </c>
    </row>
    <row r="1518" spans="1:48" x14ac:dyDescent="0.25">
      <c r="A1518" s="18" t="s">
        <v>1906</v>
      </c>
      <c r="B1518" s="10">
        <v>10000000</v>
      </c>
      <c r="C1518" s="9">
        <v>23</v>
      </c>
      <c r="D1518" s="8" t="str">
        <f t="shared" si="278"/>
        <v>N</v>
      </c>
      <c r="E1518" s="8" t="str">
        <f t="shared" si="279"/>
        <v>N</v>
      </c>
      <c r="F1518" s="8" t="str">
        <f t="shared" si="280"/>
        <v>N</v>
      </c>
      <c r="G1518" s="8" t="str">
        <f t="shared" si="281"/>
        <v>N</v>
      </c>
      <c r="H1518" s="8" t="str">
        <f t="shared" si="282"/>
        <v>Lower</v>
      </c>
      <c r="I1518" s="8" t="str">
        <f t="shared" si="283"/>
        <v>Outside</v>
      </c>
      <c r="J1518" s="8" t="str">
        <f t="shared" si="284"/>
        <v>Outside</v>
      </c>
      <c r="K1518" s="8" t="str">
        <f t="shared" si="285"/>
        <v>Riparian</v>
      </c>
      <c r="L1518" s="8">
        <f t="shared" si="286"/>
        <v>1000</v>
      </c>
      <c r="M1518" s="8" t="str">
        <f t="shared" si="288"/>
        <v>-</v>
      </c>
      <c r="N1518" s="10" t="s">
        <v>242</v>
      </c>
      <c r="O1518" s="10" t="s">
        <v>242</v>
      </c>
      <c r="P1518" s="10" t="s">
        <v>242</v>
      </c>
      <c r="Q1518" s="10" t="s">
        <v>242</v>
      </c>
      <c r="R1518" s="10" t="s">
        <v>242</v>
      </c>
      <c r="S1518" s="10" t="s">
        <v>241</v>
      </c>
      <c r="T1518" s="10" t="s">
        <v>241</v>
      </c>
      <c r="U1518" s="10" t="s">
        <v>241</v>
      </c>
      <c r="V1518" s="10" t="s">
        <v>241</v>
      </c>
      <c r="W1518" s="10" t="s">
        <v>242</v>
      </c>
      <c r="X1518" s="15">
        <f>IF(ISERROR(VLOOKUP($A1518,'13. Updated Demand'!A:Z,15,FALSE)),0,VLOOKUP($A1518,'13. Updated Demand'!A:Z,15,FALSE))</f>
        <v>0</v>
      </c>
      <c r="Y1518" s="16">
        <f>IF(ISERROR(VLOOKUP($A1518,'13. Updated Demand'!A:Z,16,FALSE)),0,VLOOKUP($A1518,'13. Updated Demand'!A:Z,16,FALSE))</f>
        <v>0</v>
      </c>
      <c r="Z1518" s="16">
        <f>IF(ISERROR(VLOOKUP($A1518,'13. Updated Demand'!A:Z,17,FALSE)),0,VLOOKUP($A1518,'13. Updated Demand'!A:Z,17,FALSE))</f>
        <v>0</v>
      </c>
      <c r="AA1518" s="16">
        <f>IF(ISERROR(VLOOKUP($A1518,'13. Updated Demand'!A:Z,18,FALSE)),0,VLOOKUP($A1518,'13. Updated Demand'!A:Z,18,FALSE))</f>
        <v>0</v>
      </c>
      <c r="AB1518" s="16">
        <f>IF(ISERROR(VLOOKUP($A1518,'13. Updated Demand'!A:Z,19,FALSE)),0,VLOOKUP($A1518,'13. Updated Demand'!A:Z,19,FALSE))</f>
        <v>0</v>
      </c>
      <c r="AC1518" s="16">
        <f>IF(ISERROR(VLOOKUP($A1518,'13. Updated Demand'!A:Z,20,FALSE)),0,VLOOKUP($A1518,'13. Updated Demand'!A:Z,20,FALSE))</f>
        <v>0</v>
      </c>
      <c r="AD1518" s="16">
        <f>IF(ISERROR(VLOOKUP($A1518,'13. Updated Demand'!A:Z,21,FALSE)),0,VLOOKUP($A1518,'13. Updated Demand'!A:Z,21,FALSE))</f>
        <v>0</v>
      </c>
      <c r="AE1518" s="16">
        <f>IF(ISERROR(VLOOKUP($A1518,'13. Updated Demand'!A:Z,22,FALSE)),0,VLOOKUP($A1518,'13. Updated Demand'!A:Z,22,FALSE))</f>
        <v>0</v>
      </c>
      <c r="AF1518" s="16">
        <f>IF(ISERROR(VLOOKUP($A1518,'13. Updated Demand'!A:Z,23,FALSE)),0,VLOOKUP($A1518,'13. Updated Demand'!A:Z,23,FALSE))</f>
        <v>0</v>
      </c>
      <c r="AG1518" s="16">
        <f>IF(ISERROR(VLOOKUP($A1518,'13. Updated Demand'!A:Z,24,FALSE)),0,VLOOKUP($A1518,'13. Updated Demand'!A:Z,24,FALSE))</f>
        <v>0</v>
      </c>
      <c r="AH1518" s="16">
        <f>IF(ISERROR(VLOOKUP($A1518,'13. Updated Demand'!A:Z,25,FALSE)),0,VLOOKUP($A1518,'13. Updated Demand'!A:Z,25,FALSE))</f>
        <v>0</v>
      </c>
      <c r="AI1518" s="16">
        <f>IF(ISERROR(VLOOKUP($A1518,'13. Updated Demand'!A:Z,26,FALSE)),0,VLOOKUP($A1518,'13. Updated Demand'!A:Z,26,FALSE))</f>
        <v>0</v>
      </c>
      <c r="AJ1518" s="16">
        <f t="shared" si="289"/>
        <v>0</v>
      </c>
      <c r="AK1518" s="19">
        <v>0</v>
      </c>
      <c r="AL1518" s="16">
        <f t="shared" si="287"/>
        <v>0</v>
      </c>
      <c r="AM1518" s="26">
        <v>0</v>
      </c>
      <c r="AN1518" s="19">
        <v>0</v>
      </c>
      <c r="AO1518" s="19" t="s">
        <v>1758</v>
      </c>
      <c r="AP1518" s="19">
        <v>0</v>
      </c>
      <c r="AQ1518" s="19" t="s">
        <v>307</v>
      </c>
      <c r="AR1518" s="9" t="s">
        <v>378</v>
      </c>
      <c r="AS1518" s="12">
        <v>0</v>
      </c>
      <c r="AT1518" s="19">
        <v>38.4626643</v>
      </c>
      <c r="AU1518" s="19">
        <v>-122.65626023999999</v>
      </c>
      <c r="AV1518" s="19" t="s">
        <v>1251</v>
      </c>
    </row>
    <row r="1519" spans="1:48" x14ac:dyDescent="0.25">
      <c r="A1519" s="18" t="s">
        <v>1907</v>
      </c>
      <c r="B1519" s="10">
        <v>10000000</v>
      </c>
      <c r="C1519" s="9">
        <v>18</v>
      </c>
      <c r="D1519" s="8" t="str">
        <f t="shared" si="278"/>
        <v>N</v>
      </c>
      <c r="E1519" s="8" t="str">
        <f t="shared" si="279"/>
        <v>N</v>
      </c>
      <c r="F1519" s="8" t="str">
        <f t="shared" si="280"/>
        <v>N</v>
      </c>
      <c r="G1519" s="8" t="str">
        <f t="shared" si="281"/>
        <v>N</v>
      </c>
      <c r="H1519" s="8" t="str">
        <f t="shared" si="282"/>
        <v>Lower</v>
      </c>
      <c r="I1519" s="8" t="str">
        <f t="shared" si="283"/>
        <v>Outside</v>
      </c>
      <c r="J1519" s="8" t="str">
        <f t="shared" si="284"/>
        <v>Outside</v>
      </c>
      <c r="K1519" s="8" t="str">
        <f t="shared" si="285"/>
        <v>Riparian</v>
      </c>
      <c r="L1519" s="8">
        <f t="shared" si="286"/>
        <v>1000</v>
      </c>
      <c r="M1519" s="8" t="str">
        <f t="shared" si="288"/>
        <v>-</v>
      </c>
      <c r="N1519" s="10" t="s">
        <v>242</v>
      </c>
      <c r="O1519" s="10" t="s">
        <v>242</v>
      </c>
      <c r="P1519" s="10" t="s">
        <v>242</v>
      </c>
      <c r="Q1519" s="10" t="s">
        <v>242</v>
      </c>
      <c r="R1519" s="10" t="s">
        <v>242</v>
      </c>
      <c r="S1519" s="10" t="s">
        <v>241</v>
      </c>
      <c r="T1519" s="10" t="s">
        <v>242</v>
      </c>
      <c r="U1519" s="10" t="s">
        <v>242</v>
      </c>
      <c r="V1519" s="10" t="s">
        <v>242</v>
      </c>
      <c r="W1519" s="10" t="s">
        <v>242</v>
      </c>
      <c r="X1519" s="15">
        <f>IF(ISERROR(VLOOKUP($A1519,'13. Updated Demand'!A:Z,15,FALSE)),0,VLOOKUP($A1519,'13. Updated Demand'!A:Z,15,FALSE))</f>
        <v>0.36</v>
      </c>
      <c r="Y1519" s="16">
        <f>IF(ISERROR(VLOOKUP($A1519,'13. Updated Demand'!A:Z,16,FALSE)),0,VLOOKUP($A1519,'13. Updated Demand'!A:Z,16,FALSE))</f>
        <v>0.36</v>
      </c>
      <c r="Z1519" s="16">
        <f>IF(ISERROR(VLOOKUP($A1519,'13. Updated Demand'!A:Z,17,FALSE)),0,VLOOKUP($A1519,'13. Updated Demand'!A:Z,17,FALSE))</f>
        <v>0.36</v>
      </c>
      <c r="AA1519" s="16">
        <f>IF(ISERROR(VLOOKUP($A1519,'13. Updated Demand'!A:Z,18,FALSE)),0,VLOOKUP($A1519,'13. Updated Demand'!A:Z,18,FALSE))</f>
        <v>0.36</v>
      </c>
      <c r="AB1519" s="16">
        <f>IF(ISERROR(VLOOKUP($A1519,'13. Updated Demand'!A:Z,19,FALSE)),0,VLOOKUP($A1519,'13. Updated Demand'!A:Z,19,FALSE))</f>
        <v>0.46</v>
      </c>
      <c r="AC1519" s="16">
        <f>IF(ISERROR(VLOOKUP($A1519,'13. Updated Demand'!A:Z,20,FALSE)),0,VLOOKUP($A1519,'13. Updated Demand'!A:Z,20,FALSE))</f>
        <v>0.55000000000000004</v>
      </c>
      <c r="AD1519" s="16">
        <f>IF(ISERROR(VLOOKUP($A1519,'13. Updated Demand'!A:Z,21,FALSE)),0,VLOOKUP($A1519,'13. Updated Demand'!A:Z,21,FALSE))</f>
        <v>0.69</v>
      </c>
      <c r="AE1519" s="16">
        <f>IF(ISERROR(VLOOKUP($A1519,'13. Updated Demand'!A:Z,22,FALSE)),0,VLOOKUP($A1519,'13. Updated Demand'!A:Z,22,FALSE))</f>
        <v>0.69</v>
      </c>
      <c r="AF1519" s="16">
        <f>IF(ISERROR(VLOOKUP($A1519,'13. Updated Demand'!A:Z,23,FALSE)),0,VLOOKUP($A1519,'13. Updated Demand'!A:Z,23,FALSE))</f>
        <v>0.69</v>
      </c>
      <c r="AG1519" s="16">
        <f>IF(ISERROR(VLOOKUP($A1519,'13. Updated Demand'!A:Z,24,FALSE)),0,VLOOKUP($A1519,'13. Updated Demand'!A:Z,24,FALSE))</f>
        <v>0.36</v>
      </c>
      <c r="AH1519" s="16">
        <f>IF(ISERROR(VLOOKUP($A1519,'13. Updated Demand'!A:Z,25,FALSE)),0,VLOOKUP($A1519,'13. Updated Demand'!A:Z,25,FALSE))</f>
        <v>0.36</v>
      </c>
      <c r="AI1519" s="16">
        <f>IF(ISERROR(VLOOKUP($A1519,'13. Updated Demand'!A:Z,26,FALSE)),0,VLOOKUP($A1519,'13. Updated Demand'!A:Z,26,FALSE))</f>
        <v>0.36</v>
      </c>
      <c r="AJ1519" s="16">
        <f t="shared" si="289"/>
        <v>5.6000000000000005</v>
      </c>
      <c r="AK1519" s="19">
        <v>3.0799999999999996</v>
      </c>
      <c r="AL1519" s="16">
        <f t="shared" si="287"/>
        <v>1.0216009155030167E-2</v>
      </c>
      <c r="AM1519" s="26">
        <v>40.374909877433318</v>
      </c>
      <c r="AN1519" s="19">
        <v>0.13869999999999999</v>
      </c>
      <c r="AO1519" s="19" t="s">
        <v>1758</v>
      </c>
      <c r="AP1519" s="19">
        <v>0</v>
      </c>
      <c r="AQ1519" s="19" t="s">
        <v>307</v>
      </c>
      <c r="AR1519" s="9" t="s">
        <v>352</v>
      </c>
      <c r="AS1519" s="12">
        <v>0</v>
      </c>
      <c r="AT1519" s="19">
        <v>38.442372689999999</v>
      </c>
      <c r="AU1519" s="19">
        <v>-122.89769223</v>
      </c>
      <c r="AV1519" s="19" t="s">
        <v>1803</v>
      </c>
    </row>
    <row r="1520" spans="1:48" x14ac:dyDescent="0.25">
      <c r="A1520" s="18" t="s">
        <v>1908</v>
      </c>
      <c r="B1520" s="10">
        <v>10000000</v>
      </c>
      <c r="C1520" s="9">
        <v>4</v>
      </c>
      <c r="D1520" s="8" t="str">
        <f t="shared" si="278"/>
        <v>Y</v>
      </c>
      <c r="E1520" s="8" t="str">
        <f t="shared" si="279"/>
        <v>N</v>
      </c>
      <c r="F1520" s="8" t="str">
        <f t="shared" si="280"/>
        <v>Y</v>
      </c>
      <c r="G1520" s="8" t="str">
        <f t="shared" si="281"/>
        <v>Y</v>
      </c>
      <c r="H1520" s="8" t="str">
        <f t="shared" si="282"/>
        <v>Upper</v>
      </c>
      <c r="I1520" s="8" t="str">
        <f t="shared" si="283"/>
        <v>West Fork and Below Lake</v>
      </c>
      <c r="J1520" s="8" t="str">
        <f t="shared" si="284"/>
        <v>Mendocino (d/s of lake)</v>
      </c>
      <c r="K1520" s="8" t="str">
        <f t="shared" si="285"/>
        <v>Riparian</v>
      </c>
      <c r="L1520" s="8">
        <f t="shared" si="286"/>
        <v>1000</v>
      </c>
      <c r="M1520" s="8" t="str">
        <f t="shared" si="288"/>
        <v>-</v>
      </c>
      <c r="N1520" s="10" t="s">
        <v>242</v>
      </c>
      <c r="O1520" s="10" t="s">
        <v>241</v>
      </c>
      <c r="P1520" s="10" t="s">
        <v>242</v>
      </c>
      <c r="Q1520" s="10" t="s">
        <v>242</v>
      </c>
      <c r="R1520" s="10" t="s">
        <v>242</v>
      </c>
      <c r="S1520" s="10" t="s">
        <v>241</v>
      </c>
      <c r="T1520" s="10" t="s">
        <v>242</v>
      </c>
      <c r="U1520" s="10" t="s">
        <v>241</v>
      </c>
      <c r="V1520" s="10" t="s">
        <v>241</v>
      </c>
      <c r="W1520" s="10" t="s">
        <v>242</v>
      </c>
      <c r="X1520" s="15">
        <f>IF(ISERROR(VLOOKUP($A1520,'13. Updated Demand'!A:Z,15,FALSE)),0,VLOOKUP($A1520,'13. Updated Demand'!A:Z,15,FALSE))</f>
        <v>0</v>
      </c>
      <c r="Y1520" s="16">
        <f>IF(ISERROR(VLOOKUP($A1520,'13. Updated Demand'!A:Z,16,FALSE)),0,VLOOKUP($A1520,'13. Updated Demand'!A:Z,16,FALSE))</f>
        <v>0</v>
      </c>
      <c r="Z1520" s="16">
        <f>IF(ISERROR(VLOOKUP($A1520,'13. Updated Demand'!A:Z,17,FALSE)),0,VLOOKUP($A1520,'13. Updated Demand'!A:Z,17,FALSE))</f>
        <v>0</v>
      </c>
      <c r="AA1520" s="16">
        <f>IF(ISERROR(VLOOKUP($A1520,'13. Updated Demand'!A:Z,18,FALSE)),0,VLOOKUP($A1520,'13. Updated Demand'!A:Z,18,FALSE))</f>
        <v>0</v>
      </c>
      <c r="AB1520" s="16">
        <f>IF(ISERROR(VLOOKUP($A1520,'13. Updated Demand'!A:Z,19,FALSE)),0,VLOOKUP($A1520,'13. Updated Demand'!A:Z,19,FALSE))</f>
        <v>0</v>
      </c>
      <c r="AC1520" s="16">
        <f>IF(ISERROR(VLOOKUP($A1520,'13. Updated Demand'!A:Z,20,FALSE)),0,VLOOKUP($A1520,'13. Updated Demand'!A:Z,20,FALSE))</f>
        <v>0</v>
      </c>
      <c r="AD1520" s="16">
        <f>IF(ISERROR(VLOOKUP($A1520,'13. Updated Demand'!A:Z,21,FALSE)),0,VLOOKUP($A1520,'13. Updated Demand'!A:Z,21,FALSE))</f>
        <v>0</v>
      </c>
      <c r="AE1520" s="16">
        <f>IF(ISERROR(VLOOKUP($A1520,'13. Updated Demand'!A:Z,22,FALSE)),0,VLOOKUP($A1520,'13. Updated Demand'!A:Z,22,FALSE))</f>
        <v>0</v>
      </c>
      <c r="AF1520" s="16">
        <f>IF(ISERROR(VLOOKUP($A1520,'13. Updated Demand'!A:Z,23,FALSE)),0,VLOOKUP($A1520,'13. Updated Demand'!A:Z,23,FALSE))</f>
        <v>0</v>
      </c>
      <c r="AG1520" s="16">
        <f>IF(ISERROR(VLOOKUP($A1520,'13. Updated Demand'!A:Z,24,FALSE)),0,VLOOKUP($A1520,'13. Updated Demand'!A:Z,24,FALSE))</f>
        <v>0</v>
      </c>
      <c r="AH1520" s="16">
        <f>IF(ISERROR(VLOOKUP($A1520,'13. Updated Demand'!A:Z,25,FALSE)),0,VLOOKUP($A1520,'13. Updated Demand'!A:Z,25,FALSE))</f>
        <v>0</v>
      </c>
      <c r="AI1520" s="16">
        <f>IF(ISERROR(VLOOKUP($A1520,'13. Updated Demand'!A:Z,26,FALSE)),0,VLOOKUP($A1520,'13. Updated Demand'!A:Z,26,FALSE))</f>
        <v>0</v>
      </c>
      <c r="AJ1520" s="16">
        <f t="shared" si="289"/>
        <v>0</v>
      </c>
      <c r="AK1520" s="19">
        <v>0</v>
      </c>
      <c r="AL1520" s="16">
        <f t="shared" si="287"/>
        <v>0</v>
      </c>
      <c r="AM1520" s="26">
        <v>0</v>
      </c>
      <c r="AN1520" s="19">
        <v>0</v>
      </c>
      <c r="AO1520" s="19" t="s">
        <v>1758</v>
      </c>
      <c r="AP1520" s="19">
        <v>0</v>
      </c>
      <c r="AQ1520" s="19" t="s">
        <v>307</v>
      </c>
      <c r="AR1520" s="9" t="s">
        <v>331</v>
      </c>
      <c r="AS1520" s="12">
        <v>0</v>
      </c>
      <c r="AT1520" s="19">
        <v>39.169168409999997</v>
      </c>
      <c r="AU1520" s="19">
        <v>-123.06775908</v>
      </c>
      <c r="AV1520" s="19" t="s">
        <v>1909</v>
      </c>
    </row>
    <row r="1521" spans="1:48" x14ac:dyDescent="0.25">
      <c r="A1521" s="18" t="s">
        <v>1910</v>
      </c>
      <c r="B1521" s="10">
        <v>10000000</v>
      </c>
      <c r="C1521" s="9">
        <v>21</v>
      </c>
      <c r="D1521" s="8" t="str">
        <f t="shared" si="278"/>
        <v>N</v>
      </c>
      <c r="E1521" s="8" t="str">
        <f t="shared" si="279"/>
        <v>N</v>
      </c>
      <c r="F1521" s="8" t="str">
        <f t="shared" si="280"/>
        <v>N</v>
      </c>
      <c r="G1521" s="8" t="str">
        <f t="shared" si="281"/>
        <v>N</v>
      </c>
      <c r="H1521" s="8" t="str">
        <f t="shared" si="282"/>
        <v>Lower</v>
      </c>
      <c r="I1521" s="8" t="str">
        <f t="shared" si="283"/>
        <v>Outside</v>
      </c>
      <c r="J1521" s="8" t="str">
        <f t="shared" si="284"/>
        <v>Outside</v>
      </c>
      <c r="K1521" s="8" t="str">
        <f t="shared" si="285"/>
        <v>Riparian</v>
      </c>
      <c r="L1521" s="8">
        <f t="shared" si="286"/>
        <v>1000</v>
      </c>
      <c r="M1521" s="8" t="str">
        <f t="shared" si="288"/>
        <v>-</v>
      </c>
      <c r="N1521" s="10" t="s">
        <v>242</v>
      </c>
      <c r="O1521" s="10" t="s">
        <v>242</v>
      </c>
      <c r="P1521" s="10" t="s">
        <v>242</v>
      </c>
      <c r="Q1521" s="10" t="s">
        <v>242</v>
      </c>
      <c r="R1521" s="10" t="s">
        <v>242</v>
      </c>
      <c r="S1521" s="10" t="s">
        <v>241</v>
      </c>
      <c r="T1521" s="10" t="s">
        <v>242</v>
      </c>
      <c r="U1521" s="10" t="s">
        <v>242</v>
      </c>
      <c r="V1521" s="10" t="s">
        <v>242</v>
      </c>
      <c r="W1521" s="10" t="s">
        <v>242</v>
      </c>
      <c r="X1521" s="15">
        <f>IF(ISERROR(VLOOKUP($A1521,'13. Updated Demand'!A:Z,15,FALSE)),0,VLOOKUP($A1521,'13. Updated Demand'!A:Z,15,FALSE))</f>
        <v>0</v>
      </c>
      <c r="Y1521" s="16">
        <f>IF(ISERROR(VLOOKUP($A1521,'13. Updated Demand'!A:Z,16,FALSE)),0,VLOOKUP($A1521,'13. Updated Demand'!A:Z,16,FALSE))</f>
        <v>0</v>
      </c>
      <c r="Z1521" s="16">
        <f>IF(ISERROR(VLOOKUP($A1521,'13. Updated Demand'!A:Z,17,FALSE)),0,VLOOKUP($A1521,'13. Updated Demand'!A:Z,17,FALSE))</f>
        <v>0</v>
      </c>
      <c r="AA1521" s="16">
        <f>IF(ISERROR(VLOOKUP($A1521,'13. Updated Demand'!A:Z,18,FALSE)),0,VLOOKUP($A1521,'13. Updated Demand'!A:Z,18,FALSE))</f>
        <v>0</v>
      </c>
      <c r="AB1521" s="16">
        <f>IF(ISERROR(VLOOKUP($A1521,'13. Updated Demand'!A:Z,19,FALSE)),0,VLOOKUP($A1521,'13. Updated Demand'!A:Z,19,FALSE))</f>
        <v>0</v>
      </c>
      <c r="AC1521" s="16">
        <f>IF(ISERROR(VLOOKUP($A1521,'13. Updated Demand'!A:Z,20,FALSE)),0,VLOOKUP($A1521,'13. Updated Demand'!A:Z,20,FALSE))</f>
        <v>0</v>
      </c>
      <c r="AD1521" s="16">
        <f>IF(ISERROR(VLOOKUP($A1521,'13. Updated Demand'!A:Z,21,FALSE)),0,VLOOKUP($A1521,'13. Updated Demand'!A:Z,21,FALSE))</f>
        <v>1.0226670000000001E-3</v>
      </c>
      <c r="AE1521" s="16">
        <f>IF(ISERROR(VLOOKUP($A1521,'13. Updated Demand'!A:Z,22,FALSE)),0,VLOOKUP($A1521,'13. Updated Demand'!A:Z,22,FALSE))</f>
        <v>2.1483330000000001E-3</v>
      </c>
      <c r="AF1521" s="16">
        <f>IF(ISERROR(VLOOKUP($A1521,'13. Updated Demand'!A:Z,23,FALSE)),0,VLOOKUP($A1521,'13. Updated Demand'!A:Z,23,FALSE))</f>
        <v>1.5343329999999999E-3</v>
      </c>
      <c r="AG1521" s="16">
        <f>IF(ISERROR(VLOOKUP($A1521,'13. Updated Demand'!A:Z,24,FALSE)),0,VLOOKUP($A1521,'13. Updated Demand'!A:Z,24,FALSE))</f>
        <v>0</v>
      </c>
      <c r="AH1521" s="16">
        <f>IF(ISERROR(VLOOKUP($A1521,'13. Updated Demand'!A:Z,25,FALSE)),0,VLOOKUP($A1521,'13. Updated Demand'!A:Z,25,FALSE))</f>
        <v>0</v>
      </c>
      <c r="AI1521" s="16">
        <f>IF(ISERROR(VLOOKUP($A1521,'13. Updated Demand'!A:Z,26,FALSE)),0,VLOOKUP($A1521,'13. Updated Demand'!A:Z,26,FALSE))</f>
        <v>0</v>
      </c>
      <c r="AJ1521" s="16">
        <f t="shared" si="289"/>
        <v>4.7053329999999999E-3</v>
      </c>
      <c r="AK1521" s="19">
        <v>4.7053329999999999E-3</v>
      </c>
      <c r="AL1521" s="16">
        <f t="shared" si="287"/>
        <v>1.5607053573203106E-5</v>
      </c>
      <c r="AM1521" s="26">
        <v>7.657173311635475E-3</v>
      </c>
      <c r="AN1521" s="19">
        <v>0.61450000000000005</v>
      </c>
      <c r="AO1521" s="19" t="s">
        <v>1758</v>
      </c>
      <c r="AP1521" s="19">
        <v>0</v>
      </c>
      <c r="AQ1521" s="19" t="s">
        <v>307</v>
      </c>
      <c r="AR1521" s="9" t="s">
        <v>403</v>
      </c>
      <c r="AS1521" s="12">
        <v>3.4039024194010059E-4</v>
      </c>
      <c r="AT1521" s="19">
        <v>38.451942010000003</v>
      </c>
      <c r="AU1521" s="19">
        <v>-123.09407048999999</v>
      </c>
      <c r="AV1521" s="19" t="s">
        <v>1911</v>
      </c>
    </row>
    <row r="1522" spans="1:48" x14ac:dyDescent="0.25">
      <c r="A1522" s="18" t="s">
        <v>1912</v>
      </c>
      <c r="B1522" s="10">
        <v>10000000</v>
      </c>
      <c r="C1522" s="9">
        <v>14</v>
      </c>
      <c r="D1522" s="8" t="str">
        <f t="shared" si="278"/>
        <v>N</v>
      </c>
      <c r="E1522" s="8" t="str">
        <f t="shared" si="279"/>
        <v>N</v>
      </c>
      <c r="F1522" s="8" t="str">
        <f t="shared" si="280"/>
        <v>N</v>
      </c>
      <c r="G1522" s="8" t="str">
        <f t="shared" si="281"/>
        <v>N</v>
      </c>
      <c r="H1522" s="8" t="str">
        <f t="shared" si="282"/>
        <v>Lower</v>
      </c>
      <c r="I1522" s="8" t="str">
        <f t="shared" si="283"/>
        <v>Outside</v>
      </c>
      <c r="J1522" s="8" t="str">
        <f t="shared" si="284"/>
        <v>Outside</v>
      </c>
      <c r="K1522" s="8" t="str">
        <f t="shared" si="285"/>
        <v>Riparian</v>
      </c>
      <c r="L1522" s="8">
        <f t="shared" si="286"/>
        <v>1000</v>
      </c>
      <c r="M1522" s="8" t="str">
        <f t="shared" si="288"/>
        <v>-</v>
      </c>
      <c r="N1522" s="10" t="s">
        <v>242</v>
      </c>
      <c r="O1522" s="10" t="s">
        <v>242</v>
      </c>
      <c r="P1522" s="10" t="s">
        <v>242</v>
      </c>
      <c r="Q1522" s="10" t="s">
        <v>242</v>
      </c>
      <c r="R1522" s="10" t="s">
        <v>242</v>
      </c>
      <c r="S1522" s="10" t="s">
        <v>241</v>
      </c>
      <c r="T1522" s="10" t="s">
        <v>242</v>
      </c>
      <c r="U1522" s="10" t="s">
        <v>242</v>
      </c>
      <c r="V1522" s="10" t="s">
        <v>242</v>
      </c>
      <c r="W1522" s="10" t="s">
        <v>242</v>
      </c>
      <c r="X1522" s="15">
        <f>IF(ISERROR(VLOOKUP($A1522,'13. Updated Demand'!A:Z,15,FALSE)),0,VLOOKUP($A1522,'13. Updated Demand'!A:Z,15,FALSE))</f>
        <v>0</v>
      </c>
      <c r="Y1522" s="16">
        <f>IF(ISERROR(VLOOKUP($A1522,'13. Updated Demand'!A:Z,16,FALSE)),0,VLOOKUP($A1522,'13. Updated Demand'!A:Z,16,FALSE))</f>
        <v>0</v>
      </c>
      <c r="Z1522" s="16">
        <f>IF(ISERROR(VLOOKUP($A1522,'13. Updated Demand'!A:Z,17,FALSE)),0,VLOOKUP($A1522,'13. Updated Demand'!A:Z,17,FALSE))</f>
        <v>0</v>
      </c>
      <c r="AA1522" s="16">
        <f>IF(ISERROR(VLOOKUP($A1522,'13. Updated Demand'!A:Z,18,FALSE)),0,VLOOKUP($A1522,'13. Updated Demand'!A:Z,18,FALSE))</f>
        <v>0</v>
      </c>
      <c r="AB1522" s="16">
        <f>IF(ISERROR(VLOOKUP($A1522,'13. Updated Demand'!A:Z,19,FALSE)),0,VLOOKUP($A1522,'13. Updated Demand'!A:Z,19,FALSE))</f>
        <v>0.59333333300000002</v>
      </c>
      <c r="AC1522" s="16">
        <f>IF(ISERROR(VLOOKUP($A1522,'13. Updated Demand'!A:Z,20,FALSE)),0,VLOOKUP($A1522,'13. Updated Demand'!A:Z,20,FALSE))</f>
        <v>1.693333333</v>
      </c>
      <c r="AD1522" s="16">
        <f>IF(ISERROR(VLOOKUP($A1522,'13. Updated Demand'!A:Z,21,FALSE)),0,VLOOKUP($A1522,'13. Updated Demand'!A:Z,21,FALSE))</f>
        <v>1.993333333</v>
      </c>
      <c r="AE1522" s="16">
        <f>IF(ISERROR(VLOOKUP($A1522,'13. Updated Demand'!A:Z,22,FALSE)),0,VLOOKUP($A1522,'13. Updated Demand'!A:Z,22,FALSE))</f>
        <v>2.3033333329999999</v>
      </c>
      <c r="AF1522" s="16">
        <f>IF(ISERROR(VLOOKUP($A1522,'13. Updated Demand'!A:Z,23,FALSE)),0,VLOOKUP($A1522,'13. Updated Demand'!A:Z,23,FALSE))</f>
        <v>2.4700000000000002</v>
      </c>
      <c r="AG1522" s="16">
        <f>IF(ISERROR(VLOOKUP($A1522,'13. Updated Demand'!A:Z,24,FALSE)),0,VLOOKUP($A1522,'13. Updated Demand'!A:Z,24,FALSE))</f>
        <v>1.653333333</v>
      </c>
      <c r="AH1522" s="16">
        <f>IF(ISERROR(VLOOKUP($A1522,'13. Updated Demand'!A:Z,25,FALSE)),0,VLOOKUP($A1522,'13. Updated Demand'!A:Z,25,FALSE))</f>
        <v>0</v>
      </c>
      <c r="AI1522" s="16">
        <f>IF(ISERROR(VLOOKUP($A1522,'13. Updated Demand'!A:Z,26,FALSE)),0,VLOOKUP($A1522,'13. Updated Demand'!A:Z,26,FALSE))</f>
        <v>0</v>
      </c>
      <c r="AJ1522" s="16">
        <f t="shared" si="289"/>
        <v>10.706666665</v>
      </c>
      <c r="AK1522" s="19">
        <v>9.0533333320000011</v>
      </c>
      <c r="AL1522" s="16">
        <f t="shared" si="287"/>
        <v>3.0028875390666163E-2</v>
      </c>
      <c r="AM1522" s="26">
        <v>5.9120191413583656E-2</v>
      </c>
      <c r="AN1522" s="19">
        <v>181.1</v>
      </c>
      <c r="AO1522" s="19" t="s">
        <v>1758</v>
      </c>
      <c r="AP1522" s="19">
        <v>0</v>
      </c>
      <c r="AQ1522" s="19" t="s">
        <v>307</v>
      </c>
      <c r="AR1522" s="9" t="s">
        <v>493</v>
      </c>
      <c r="AS1522" s="12">
        <v>0</v>
      </c>
      <c r="AT1522" s="19">
        <v>38.706731320000003</v>
      </c>
      <c r="AU1522" s="19">
        <v>-122.97637116</v>
      </c>
      <c r="AV1522" s="19" t="s">
        <v>932</v>
      </c>
    </row>
    <row r="1523" spans="1:48" x14ac:dyDescent="0.25">
      <c r="A1523" s="18" t="s">
        <v>1913</v>
      </c>
      <c r="B1523" s="10">
        <v>10000000</v>
      </c>
      <c r="C1523" s="9">
        <v>21</v>
      </c>
      <c r="D1523" s="8" t="str">
        <f t="shared" si="278"/>
        <v>N</v>
      </c>
      <c r="E1523" s="8" t="str">
        <f t="shared" si="279"/>
        <v>N</v>
      </c>
      <c r="F1523" s="8" t="str">
        <f t="shared" si="280"/>
        <v>N</v>
      </c>
      <c r="G1523" s="8" t="str">
        <f t="shared" si="281"/>
        <v>N</v>
      </c>
      <c r="H1523" s="8" t="str">
        <f t="shared" si="282"/>
        <v>Lower</v>
      </c>
      <c r="I1523" s="8" t="str">
        <f t="shared" si="283"/>
        <v>Outside</v>
      </c>
      <c r="J1523" s="8" t="str">
        <f t="shared" si="284"/>
        <v>Outside</v>
      </c>
      <c r="K1523" s="8" t="str">
        <f t="shared" si="285"/>
        <v>Riparian</v>
      </c>
      <c r="L1523" s="8">
        <f t="shared" si="286"/>
        <v>1000</v>
      </c>
      <c r="M1523" s="8" t="str">
        <f t="shared" si="288"/>
        <v>-</v>
      </c>
      <c r="N1523" s="10" t="s">
        <v>242</v>
      </c>
      <c r="O1523" s="10" t="s">
        <v>242</v>
      </c>
      <c r="P1523" s="10" t="s">
        <v>242</v>
      </c>
      <c r="Q1523" s="10" t="s">
        <v>242</v>
      </c>
      <c r="R1523" s="10" t="s">
        <v>242</v>
      </c>
      <c r="S1523" s="10" t="s">
        <v>241</v>
      </c>
      <c r="T1523" s="10" t="s">
        <v>242</v>
      </c>
      <c r="U1523" s="10" t="s">
        <v>241</v>
      </c>
      <c r="V1523" s="10" t="s">
        <v>241</v>
      </c>
      <c r="W1523" s="10" t="s">
        <v>242</v>
      </c>
      <c r="X1523" s="15">
        <f>IF(ISERROR(VLOOKUP($A1523,'13. Updated Demand'!A:Z,15,FALSE)),0,VLOOKUP($A1523,'13. Updated Demand'!A:Z,15,FALSE))</f>
        <v>0</v>
      </c>
      <c r="Y1523" s="16">
        <f>IF(ISERROR(VLOOKUP($A1523,'13. Updated Demand'!A:Z,16,FALSE)),0,VLOOKUP($A1523,'13. Updated Demand'!A:Z,16,FALSE))</f>
        <v>0</v>
      </c>
      <c r="Z1523" s="16">
        <f>IF(ISERROR(VLOOKUP($A1523,'13. Updated Demand'!A:Z,17,FALSE)),0,VLOOKUP($A1523,'13. Updated Demand'!A:Z,17,FALSE))</f>
        <v>0</v>
      </c>
      <c r="AA1523" s="16">
        <f>IF(ISERROR(VLOOKUP($A1523,'13. Updated Demand'!A:Z,18,FALSE)),0,VLOOKUP($A1523,'13. Updated Demand'!A:Z,18,FALSE))</f>
        <v>0</v>
      </c>
      <c r="AB1523" s="16">
        <f>IF(ISERROR(VLOOKUP($A1523,'13. Updated Demand'!A:Z,19,FALSE)),0,VLOOKUP($A1523,'13. Updated Demand'!A:Z,19,FALSE))</f>
        <v>0</v>
      </c>
      <c r="AC1523" s="16">
        <f>IF(ISERROR(VLOOKUP($A1523,'13. Updated Demand'!A:Z,20,FALSE)),0,VLOOKUP($A1523,'13. Updated Demand'!A:Z,20,FALSE))</f>
        <v>0</v>
      </c>
      <c r="AD1523" s="16">
        <f>IF(ISERROR(VLOOKUP($A1523,'13. Updated Demand'!A:Z,21,FALSE)),0,VLOOKUP($A1523,'13. Updated Demand'!A:Z,21,FALSE))</f>
        <v>0</v>
      </c>
      <c r="AE1523" s="16">
        <f>IF(ISERROR(VLOOKUP($A1523,'13. Updated Demand'!A:Z,22,FALSE)),0,VLOOKUP($A1523,'13. Updated Demand'!A:Z,22,FALSE))</f>
        <v>0</v>
      </c>
      <c r="AF1523" s="16">
        <f>IF(ISERROR(VLOOKUP($A1523,'13. Updated Demand'!A:Z,23,FALSE)),0,VLOOKUP($A1523,'13. Updated Demand'!A:Z,23,FALSE))</f>
        <v>0</v>
      </c>
      <c r="AG1523" s="16">
        <f>IF(ISERROR(VLOOKUP($A1523,'13. Updated Demand'!A:Z,24,FALSE)),0,VLOOKUP($A1523,'13. Updated Demand'!A:Z,24,FALSE))</f>
        <v>0</v>
      </c>
      <c r="AH1523" s="16">
        <f>IF(ISERROR(VLOOKUP($A1523,'13. Updated Demand'!A:Z,25,FALSE)),0,VLOOKUP($A1523,'13. Updated Demand'!A:Z,25,FALSE))</f>
        <v>0</v>
      </c>
      <c r="AI1523" s="16">
        <f>IF(ISERROR(VLOOKUP($A1523,'13. Updated Demand'!A:Z,26,FALSE)),0,VLOOKUP($A1523,'13. Updated Demand'!A:Z,26,FALSE))</f>
        <v>0</v>
      </c>
      <c r="AJ1523" s="16">
        <f t="shared" si="289"/>
        <v>0</v>
      </c>
      <c r="AK1523" s="19">
        <v>0</v>
      </c>
      <c r="AL1523" s="16">
        <f t="shared" si="287"/>
        <v>0</v>
      </c>
      <c r="AM1523" s="26">
        <v>0</v>
      </c>
      <c r="AN1523" s="19">
        <v>0.54920000000000002</v>
      </c>
      <c r="AO1523" s="19" t="s">
        <v>1758</v>
      </c>
      <c r="AP1523" s="19">
        <v>0</v>
      </c>
      <c r="AQ1523" s="19" t="s">
        <v>307</v>
      </c>
      <c r="AR1523" s="9" t="s">
        <v>403</v>
      </c>
      <c r="AS1523" s="12">
        <v>3.4039024194010059E-4</v>
      </c>
      <c r="AT1523" s="19">
        <v>38.45028799</v>
      </c>
      <c r="AU1523" s="19">
        <v>-123.09474360999999</v>
      </c>
      <c r="AV1523" s="19" t="s">
        <v>1911</v>
      </c>
    </row>
    <row r="1524" spans="1:48" x14ac:dyDescent="0.25">
      <c r="A1524" s="18" t="s">
        <v>116</v>
      </c>
      <c r="B1524" s="10">
        <v>10000000</v>
      </c>
      <c r="C1524" s="9">
        <v>12</v>
      </c>
      <c r="D1524" s="8" t="str">
        <f t="shared" si="278"/>
        <v>N</v>
      </c>
      <c r="E1524" s="8" t="str">
        <f t="shared" si="279"/>
        <v>Y</v>
      </c>
      <c r="F1524" s="8" t="str">
        <f t="shared" si="280"/>
        <v>Y</v>
      </c>
      <c r="G1524" s="8" t="str">
        <f t="shared" si="281"/>
        <v>Y</v>
      </c>
      <c r="H1524" s="8" t="str">
        <f t="shared" si="282"/>
        <v>Upper</v>
      </c>
      <c r="I1524" s="8" t="str">
        <f t="shared" si="283"/>
        <v>West Fork and Below Lake</v>
      </c>
      <c r="J1524" s="8" t="str">
        <f t="shared" si="284"/>
        <v>Sonoma (d/s of Clov. Gage)</v>
      </c>
      <c r="K1524" s="8" t="str">
        <f t="shared" si="285"/>
        <v>Riparian</v>
      </c>
      <c r="L1524" s="8">
        <f t="shared" si="286"/>
        <v>1000</v>
      </c>
      <c r="M1524" s="8" t="str">
        <f t="shared" si="288"/>
        <v>-</v>
      </c>
      <c r="N1524" s="10" t="s">
        <v>242</v>
      </c>
      <c r="O1524" s="10" t="s">
        <v>241</v>
      </c>
      <c r="P1524" s="10" t="s">
        <v>242</v>
      </c>
      <c r="Q1524" s="10" t="s">
        <v>242</v>
      </c>
      <c r="R1524" s="10" t="s">
        <v>242</v>
      </c>
      <c r="S1524" s="10" t="s">
        <v>241</v>
      </c>
      <c r="T1524" s="10" t="s">
        <v>242</v>
      </c>
      <c r="U1524" s="10" t="s">
        <v>241</v>
      </c>
      <c r="V1524" s="10" t="s">
        <v>241</v>
      </c>
      <c r="W1524" s="10" t="s">
        <v>242</v>
      </c>
      <c r="X1524" s="15">
        <f>IF(ISERROR(VLOOKUP($A1524,'13. Updated Demand'!A:Z,15,FALSE)),0,VLOOKUP($A1524,'13. Updated Demand'!A:Z,15,FALSE))</f>
        <v>0</v>
      </c>
      <c r="Y1524" s="16">
        <f>IF(ISERROR(VLOOKUP($A1524,'13. Updated Demand'!A:Z,16,FALSE)),0,VLOOKUP($A1524,'13. Updated Demand'!A:Z,16,FALSE))</f>
        <v>0</v>
      </c>
      <c r="Z1524" s="16">
        <f>IF(ISERROR(VLOOKUP($A1524,'13. Updated Demand'!A:Z,17,FALSE)),0,VLOOKUP($A1524,'13. Updated Demand'!A:Z,17,FALSE))</f>
        <v>0</v>
      </c>
      <c r="AA1524" s="16">
        <f>IF(ISERROR(VLOOKUP($A1524,'13. Updated Demand'!A:Z,18,FALSE)),0,VLOOKUP($A1524,'13. Updated Demand'!A:Z,18,FALSE))</f>
        <v>0</v>
      </c>
      <c r="AB1524" s="16">
        <f>IF(ISERROR(VLOOKUP($A1524,'13. Updated Demand'!A:Z,19,FALSE)),0,VLOOKUP($A1524,'13. Updated Demand'!A:Z,19,FALSE))</f>
        <v>0</v>
      </c>
      <c r="AC1524" s="16">
        <f>IF(ISERROR(VLOOKUP($A1524,'13. Updated Demand'!A:Z,20,FALSE)),0,VLOOKUP($A1524,'13. Updated Demand'!A:Z,20,FALSE))</f>
        <v>0</v>
      </c>
      <c r="AD1524" s="16">
        <f>IF(ISERROR(VLOOKUP($A1524,'13. Updated Demand'!A:Z,21,FALSE)),0,VLOOKUP($A1524,'13. Updated Demand'!A:Z,21,FALSE))</f>
        <v>0</v>
      </c>
      <c r="AE1524" s="16">
        <f>IF(ISERROR(VLOOKUP($A1524,'13. Updated Demand'!A:Z,22,FALSE)),0,VLOOKUP($A1524,'13. Updated Demand'!A:Z,22,FALSE))</f>
        <v>0</v>
      </c>
      <c r="AF1524" s="16">
        <f>IF(ISERROR(VLOOKUP($A1524,'13. Updated Demand'!A:Z,23,FALSE)),0,VLOOKUP($A1524,'13. Updated Demand'!A:Z,23,FALSE))</f>
        <v>0</v>
      </c>
      <c r="AG1524" s="16">
        <f>IF(ISERROR(VLOOKUP($A1524,'13. Updated Demand'!A:Z,24,FALSE)),0,VLOOKUP($A1524,'13. Updated Demand'!A:Z,24,FALSE))</f>
        <v>0</v>
      </c>
      <c r="AH1524" s="16">
        <f>IF(ISERROR(VLOOKUP($A1524,'13. Updated Demand'!A:Z,25,FALSE)),0,VLOOKUP($A1524,'13. Updated Demand'!A:Z,25,FALSE))</f>
        <v>0</v>
      </c>
      <c r="AI1524" s="16">
        <f>IF(ISERROR(VLOOKUP($A1524,'13. Updated Demand'!A:Z,26,FALSE)),0,VLOOKUP($A1524,'13. Updated Demand'!A:Z,26,FALSE))</f>
        <v>0</v>
      </c>
      <c r="AJ1524" s="16">
        <f t="shared" si="289"/>
        <v>0</v>
      </c>
      <c r="AK1524" s="19">
        <v>0</v>
      </c>
      <c r="AL1524" s="16">
        <f t="shared" si="287"/>
        <v>0</v>
      </c>
      <c r="AM1524" s="26">
        <v>0</v>
      </c>
      <c r="AN1524" s="19">
        <v>24.267399999999999</v>
      </c>
      <c r="AO1524" s="19" t="s">
        <v>1758</v>
      </c>
      <c r="AP1524" s="19">
        <v>0</v>
      </c>
      <c r="AQ1524" s="19" t="s">
        <v>307</v>
      </c>
      <c r="AR1524" s="9" t="s">
        <v>311</v>
      </c>
      <c r="AS1524" s="12">
        <v>0</v>
      </c>
      <c r="AT1524" s="19">
        <v>38.617552240000002</v>
      </c>
      <c r="AU1524" s="19">
        <v>-122.7448376</v>
      </c>
      <c r="AV1524" s="19" t="s">
        <v>1254</v>
      </c>
    </row>
    <row r="1525" spans="1:48" x14ac:dyDescent="0.25">
      <c r="A1525" s="18" t="s">
        <v>1914</v>
      </c>
      <c r="B1525" s="10">
        <v>10000000</v>
      </c>
      <c r="C1525" s="9">
        <v>15</v>
      </c>
      <c r="D1525" s="8" t="str">
        <f t="shared" si="278"/>
        <v>N</v>
      </c>
      <c r="E1525" s="8" t="str">
        <f t="shared" si="279"/>
        <v>N</v>
      </c>
      <c r="F1525" s="8" t="str">
        <f t="shared" si="280"/>
        <v>N</v>
      </c>
      <c r="G1525" s="8" t="str">
        <f t="shared" si="281"/>
        <v>N</v>
      </c>
      <c r="H1525" s="8" t="str">
        <f t="shared" si="282"/>
        <v>Lower</v>
      </c>
      <c r="I1525" s="8" t="str">
        <f t="shared" si="283"/>
        <v>Outside</v>
      </c>
      <c r="J1525" s="8" t="str">
        <f t="shared" si="284"/>
        <v>Outside</v>
      </c>
      <c r="K1525" s="8" t="str">
        <f t="shared" si="285"/>
        <v>Riparian</v>
      </c>
      <c r="L1525" s="8">
        <f t="shared" si="286"/>
        <v>1000</v>
      </c>
      <c r="M1525" s="8" t="str">
        <f t="shared" si="288"/>
        <v>-</v>
      </c>
      <c r="N1525" s="10" t="s">
        <v>242</v>
      </c>
      <c r="O1525" s="10" t="s">
        <v>242</v>
      </c>
      <c r="P1525" s="10" t="s">
        <v>242</v>
      </c>
      <c r="Q1525" s="10" t="s">
        <v>242</v>
      </c>
      <c r="R1525" s="10" t="s">
        <v>242</v>
      </c>
      <c r="S1525" s="10" t="s">
        <v>241</v>
      </c>
      <c r="T1525" s="10" t="s">
        <v>242</v>
      </c>
      <c r="U1525" s="10" t="s">
        <v>242</v>
      </c>
      <c r="V1525" s="10" t="s">
        <v>242</v>
      </c>
      <c r="W1525" s="10" t="s">
        <v>242</v>
      </c>
      <c r="X1525" s="15">
        <f>IF(ISERROR(VLOOKUP($A1525,'13. Updated Demand'!A:Z,15,FALSE)),0,VLOOKUP($A1525,'13. Updated Demand'!A:Z,15,FALSE))</f>
        <v>0</v>
      </c>
      <c r="Y1525" s="16">
        <f>IF(ISERROR(VLOOKUP($A1525,'13. Updated Demand'!A:Z,16,FALSE)),0,VLOOKUP($A1525,'13. Updated Demand'!A:Z,16,FALSE))</f>
        <v>0</v>
      </c>
      <c r="Z1525" s="16">
        <f>IF(ISERROR(VLOOKUP($A1525,'13. Updated Demand'!A:Z,17,FALSE)),0,VLOOKUP($A1525,'13. Updated Demand'!A:Z,17,FALSE))</f>
        <v>0</v>
      </c>
      <c r="AA1525" s="16">
        <f>IF(ISERROR(VLOOKUP($A1525,'13. Updated Demand'!A:Z,18,FALSE)),0,VLOOKUP($A1525,'13. Updated Demand'!A:Z,18,FALSE))</f>
        <v>0</v>
      </c>
      <c r="AB1525" s="16">
        <f>IF(ISERROR(VLOOKUP($A1525,'13. Updated Demand'!A:Z,19,FALSE)),0,VLOOKUP($A1525,'13. Updated Demand'!A:Z,19,FALSE))</f>
        <v>1.266666667</v>
      </c>
      <c r="AC1525" s="16">
        <f>IF(ISERROR(VLOOKUP($A1525,'13. Updated Demand'!A:Z,20,FALSE)),0,VLOOKUP($A1525,'13. Updated Demand'!A:Z,20,FALSE))</f>
        <v>6.3333333329999997</v>
      </c>
      <c r="AD1525" s="16">
        <f>IF(ISERROR(VLOOKUP($A1525,'13. Updated Demand'!A:Z,21,FALSE)),0,VLOOKUP($A1525,'13. Updated Demand'!A:Z,21,FALSE))</f>
        <v>10.46666667</v>
      </c>
      <c r="AE1525" s="16">
        <f>IF(ISERROR(VLOOKUP($A1525,'13. Updated Demand'!A:Z,22,FALSE)),0,VLOOKUP($A1525,'13. Updated Demand'!A:Z,22,FALSE))</f>
        <v>10</v>
      </c>
      <c r="AF1525" s="16">
        <f>IF(ISERROR(VLOOKUP($A1525,'13. Updated Demand'!A:Z,23,FALSE)),0,VLOOKUP($A1525,'13. Updated Demand'!A:Z,23,FALSE))</f>
        <v>6.733333333</v>
      </c>
      <c r="AG1525" s="16">
        <f>IF(ISERROR(VLOOKUP($A1525,'13. Updated Demand'!A:Z,24,FALSE)),0,VLOOKUP($A1525,'13. Updated Demand'!A:Z,24,FALSE))</f>
        <v>5.3333333329999997</v>
      </c>
      <c r="AH1525" s="16">
        <f>IF(ISERROR(VLOOKUP($A1525,'13. Updated Demand'!A:Z,25,FALSE)),0,VLOOKUP($A1525,'13. Updated Demand'!A:Z,25,FALSE))</f>
        <v>3.0666666669999998</v>
      </c>
      <c r="AI1525" s="16">
        <f>IF(ISERROR(VLOOKUP($A1525,'13. Updated Demand'!A:Z,26,FALSE)),0,VLOOKUP($A1525,'13. Updated Demand'!A:Z,26,FALSE))</f>
        <v>0</v>
      </c>
      <c r="AJ1525" s="16">
        <f t="shared" si="289"/>
        <v>43.200000003</v>
      </c>
      <c r="AK1525" s="19">
        <v>34.800000003000001</v>
      </c>
      <c r="AL1525" s="16">
        <f t="shared" si="287"/>
        <v>0.11542763591743438</v>
      </c>
      <c r="AM1525" s="26">
        <v>0.36142763919983939</v>
      </c>
      <c r="AN1525" s="19">
        <v>119.526</v>
      </c>
      <c r="AO1525" s="19" t="s">
        <v>1758</v>
      </c>
      <c r="AP1525" s="19">
        <v>0</v>
      </c>
      <c r="AQ1525" s="19" t="s">
        <v>307</v>
      </c>
      <c r="AR1525" s="9" t="s">
        <v>489</v>
      </c>
      <c r="AS1525" s="12">
        <v>0</v>
      </c>
      <c r="AT1525" s="19">
        <v>38.661700000000003</v>
      </c>
      <c r="AU1525" s="19">
        <v>-122.9341</v>
      </c>
      <c r="AV1525" s="19" t="s">
        <v>932</v>
      </c>
    </row>
    <row r="1526" spans="1:48" x14ac:dyDescent="0.25">
      <c r="A1526" s="18" t="s">
        <v>1915</v>
      </c>
      <c r="B1526" s="10">
        <v>10000000</v>
      </c>
      <c r="C1526" s="9">
        <v>15</v>
      </c>
      <c r="D1526" s="8" t="str">
        <f t="shared" si="278"/>
        <v>N</v>
      </c>
      <c r="E1526" s="8" t="str">
        <f t="shared" si="279"/>
        <v>N</v>
      </c>
      <c r="F1526" s="8" t="str">
        <f t="shared" si="280"/>
        <v>N</v>
      </c>
      <c r="G1526" s="8" t="str">
        <f t="shared" si="281"/>
        <v>N</v>
      </c>
      <c r="H1526" s="8" t="str">
        <f t="shared" si="282"/>
        <v>Lower</v>
      </c>
      <c r="I1526" s="8" t="str">
        <f t="shared" si="283"/>
        <v>Outside</v>
      </c>
      <c r="J1526" s="8" t="str">
        <f t="shared" si="284"/>
        <v>Outside</v>
      </c>
      <c r="K1526" s="8" t="str">
        <f t="shared" si="285"/>
        <v>Riparian</v>
      </c>
      <c r="L1526" s="8">
        <f t="shared" si="286"/>
        <v>1000</v>
      </c>
      <c r="M1526" s="8" t="str">
        <f t="shared" si="288"/>
        <v>-</v>
      </c>
      <c r="N1526" s="10" t="s">
        <v>242</v>
      </c>
      <c r="O1526" s="10" t="s">
        <v>242</v>
      </c>
      <c r="P1526" s="10" t="s">
        <v>242</v>
      </c>
      <c r="Q1526" s="10" t="s">
        <v>242</v>
      </c>
      <c r="R1526" s="10" t="s">
        <v>242</v>
      </c>
      <c r="S1526" s="10" t="s">
        <v>241</v>
      </c>
      <c r="T1526" s="10" t="s">
        <v>242</v>
      </c>
      <c r="U1526" s="10" t="s">
        <v>242</v>
      </c>
      <c r="V1526" s="10" t="s">
        <v>242</v>
      </c>
      <c r="W1526" s="10" t="s">
        <v>242</v>
      </c>
      <c r="X1526" s="15">
        <f>IF(ISERROR(VLOOKUP($A1526,'13. Updated Demand'!A:Z,15,FALSE)),0,VLOOKUP($A1526,'13. Updated Demand'!A:Z,15,FALSE))</f>
        <v>0</v>
      </c>
      <c r="Y1526" s="16">
        <f>IF(ISERROR(VLOOKUP($A1526,'13. Updated Demand'!A:Z,16,FALSE)),0,VLOOKUP($A1526,'13. Updated Demand'!A:Z,16,FALSE))</f>
        <v>0</v>
      </c>
      <c r="Z1526" s="16">
        <f>IF(ISERROR(VLOOKUP($A1526,'13. Updated Demand'!A:Z,17,FALSE)),0,VLOOKUP($A1526,'13. Updated Demand'!A:Z,17,FALSE))</f>
        <v>0</v>
      </c>
      <c r="AA1526" s="16">
        <f>IF(ISERROR(VLOOKUP($A1526,'13. Updated Demand'!A:Z,18,FALSE)),0,VLOOKUP($A1526,'13. Updated Demand'!A:Z,18,FALSE))</f>
        <v>0.02</v>
      </c>
      <c r="AB1526" s="16">
        <f>IF(ISERROR(VLOOKUP($A1526,'13. Updated Demand'!A:Z,19,FALSE)),0,VLOOKUP($A1526,'13. Updated Demand'!A:Z,19,FALSE))</f>
        <v>0.76</v>
      </c>
      <c r="AC1526" s="16">
        <f>IF(ISERROR(VLOOKUP($A1526,'13. Updated Demand'!A:Z,20,FALSE)),0,VLOOKUP($A1526,'13. Updated Demand'!A:Z,20,FALSE))</f>
        <v>2.4666666670000001</v>
      </c>
      <c r="AD1526" s="16">
        <f>IF(ISERROR(VLOOKUP($A1526,'13. Updated Demand'!A:Z,21,FALSE)),0,VLOOKUP($A1526,'13. Updated Demand'!A:Z,21,FALSE))</f>
        <v>3.7966666670000002</v>
      </c>
      <c r="AE1526" s="16">
        <f>IF(ISERROR(VLOOKUP($A1526,'13. Updated Demand'!A:Z,22,FALSE)),0,VLOOKUP($A1526,'13. Updated Demand'!A:Z,22,FALSE))</f>
        <v>4.2</v>
      </c>
      <c r="AF1526" s="16">
        <f>IF(ISERROR(VLOOKUP($A1526,'13. Updated Demand'!A:Z,23,FALSE)),0,VLOOKUP($A1526,'13. Updated Demand'!A:Z,23,FALSE))</f>
        <v>3.72</v>
      </c>
      <c r="AG1526" s="16">
        <f>IF(ISERROR(VLOOKUP($A1526,'13. Updated Demand'!A:Z,24,FALSE)),0,VLOOKUP($A1526,'13. Updated Demand'!A:Z,24,FALSE))</f>
        <v>2.21</v>
      </c>
      <c r="AH1526" s="16">
        <f>IF(ISERROR(VLOOKUP($A1526,'13. Updated Demand'!A:Z,25,FALSE)),0,VLOOKUP($A1526,'13. Updated Demand'!A:Z,25,FALSE))</f>
        <v>0</v>
      </c>
      <c r="AI1526" s="16">
        <f>IF(ISERROR(VLOOKUP($A1526,'13. Updated Demand'!A:Z,26,FALSE)),0,VLOOKUP($A1526,'13. Updated Demand'!A:Z,26,FALSE))</f>
        <v>0</v>
      </c>
      <c r="AJ1526" s="16">
        <f t="shared" si="289"/>
        <v>17.173333334000002</v>
      </c>
      <c r="AK1526" s="19">
        <v>14.943333334</v>
      </c>
      <c r="AL1526" s="16">
        <f t="shared" si="287"/>
        <v>4.9565334463250482E-2</v>
      </c>
      <c r="AM1526" s="26">
        <v>1.0093707694297018</v>
      </c>
      <c r="AN1526" s="19">
        <v>17.0139</v>
      </c>
      <c r="AO1526" s="19" t="s">
        <v>1758</v>
      </c>
      <c r="AP1526" s="19">
        <v>0</v>
      </c>
      <c r="AQ1526" s="19" t="s">
        <v>307</v>
      </c>
      <c r="AR1526" s="9" t="s">
        <v>489</v>
      </c>
      <c r="AS1526" s="12">
        <v>0</v>
      </c>
      <c r="AT1526" s="19">
        <v>38.676600000000001</v>
      </c>
      <c r="AU1526" s="19">
        <v>-122.9448</v>
      </c>
      <c r="AV1526" s="19" t="s">
        <v>932</v>
      </c>
    </row>
    <row r="1527" spans="1:48" x14ac:dyDescent="0.25">
      <c r="A1527" s="18" t="s">
        <v>1916</v>
      </c>
      <c r="B1527" s="10">
        <v>10000000</v>
      </c>
      <c r="C1527" s="9">
        <v>9</v>
      </c>
      <c r="D1527" s="8" t="str">
        <f t="shared" si="278"/>
        <v>N</v>
      </c>
      <c r="E1527" s="8" t="str">
        <f t="shared" si="279"/>
        <v>Y</v>
      </c>
      <c r="F1527" s="8" t="str">
        <f t="shared" si="280"/>
        <v>Y</v>
      </c>
      <c r="G1527" s="8" t="str">
        <f t="shared" si="281"/>
        <v>Y</v>
      </c>
      <c r="H1527" s="8" t="str">
        <f t="shared" si="282"/>
        <v>Upper</v>
      </c>
      <c r="I1527" s="8" t="str">
        <f t="shared" si="283"/>
        <v>West Fork and Below Lake</v>
      </c>
      <c r="J1527" s="8" t="str">
        <f t="shared" si="284"/>
        <v>Sonoma (d/s of Clov. Gage)</v>
      </c>
      <c r="K1527" s="8" t="str">
        <f t="shared" si="285"/>
        <v>Riparian</v>
      </c>
      <c r="L1527" s="8">
        <f t="shared" si="286"/>
        <v>1000</v>
      </c>
      <c r="M1527" s="8" t="str">
        <f t="shared" si="288"/>
        <v>-</v>
      </c>
      <c r="N1527" s="10" t="s">
        <v>242</v>
      </c>
      <c r="O1527" s="10" t="s">
        <v>241</v>
      </c>
      <c r="P1527" s="10" t="s">
        <v>242</v>
      </c>
      <c r="Q1527" s="10" t="s">
        <v>242</v>
      </c>
      <c r="R1527" s="10" t="s">
        <v>242</v>
      </c>
      <c r="S1527" s="10" t="s">
        <v>241</v>
      </c>
      <c r="T1527" s="10" t="s">
        <v>242</v>
      </c>
      <c r="U1527" s="10" t="s">
        <v>241</v>
      </c>
      <c r="V1527" s="10" t="s">
        <v>241</v>
      </c>
      <c r="W1527" s="10" t="s">
        <v>242</v>
      </c>
      <c r="X1527" s="15">
        <f>IF(ISERROR(VLOOKUP($A1527,'13. Updated Demand'!A:Z,15,FALSE)),0,VLOOKUP($A1527,'13. Updated Demand'!A:Z,15,FALSE))</f>
        <v>0</v>
      </c>
      <c r="Y1527" s="16">
        <f>IF(ISERROR(VLOOKUP($A1527,'13. Updated Demand'!A:Z,16,FALSE)),0,VLOOKUP($A1527,'13. Updated Demand'!A:Z,16,FALSE))</f>
        <v>0</v>
      </c>
      <c r="Z1527" s="16">
        <f>IF(ISERROR(VLOOKUP($A1527,'13. Updated Demand'!A:Z,17,FALSE)),0,VLOOKUP($A1527,'13. Updated Demand'!A:Z,17,FALSE))</f>
        <v>0</v>
      </c>
      <c r="AA1527" s="16">
        <f>IF(ISERROR(VLOOKUP($A1527,'13. Updated Demand'!A:Z,18,FALSE)),0,VLOOKUP($A1527,'13. Updated Demand'!A:Z,18,FALSE))</f>
        <v>0</v>
      </c>
      <c r="AB1527" s="16">
        <f>IF(ISERROR(VLOOKUP($A1527,'13. Updated Demand'!A:Z,19,FALSE)),0,VLOOKUP($A1527,'13. Updated Demand'!A:Z,19,FALSE))</f>
        <v>0</v>
      </c>
      <c r="AC1527" s="16">
        <f>IF(ISERROR(VLOOKUP($A1527,'13. Updated Demand'!A:Z,20,FALSE)),0,VLOOKUP($A1527,'13. Updated Demand'!A:Z,20,FALSE))</f>
        <v>0</v>
      </c>
      <c r="AD1527" s="16">
        <f>IF(ISERROR(VLOOKUP($A1527,'13. Updated Demand'!A:Z,21,FALSE)),0,VLOOKUP($A1527,'13. Updated Demand'!A:Z,21,FALSE))</f>
        <v>0</v>
      </c>
      <c r="AE1527" s="16">
        <f>IF(ISERROR(VLOOKUP($A1527,'13. Updated Demand'!A:Z,22,FALSE)),0,VLOOKUP($A1527,'13. Updated Demand'!A:Z,22,FALSE))</f>
        <v>0</v>
      </c>
      <c r="AF1527" s="16">
        <f>IF(ISERROR(VLOOKUP($A1527,'13. Updated Demand'!A:Z,23,FALSE)),0,VLOOKUP($A1527,'13. Updated Demand'!A:Z,23,FALSE))</f>
        <v>0</v>
      </c>
      <c r="AG1527" s="16">
        <f>IF(ISERROR(VLOOKUP($A1527,'13. Updated Demand'!A:Z,24,FALSE)),0,VLOOKUP($A1527,'13. Updated Demand'!A:Z,24,FALSE))</f>
        <v>0</v>
      </c>
      <c r="AH1527" s="16">
        <f>IF(ISERROR(VLOOKUP($A1527,'13. Updated Demand'!A:Z,25,FALSE)),0,VLOOKUP($A1527,'13. Updated Demand'!A:Z,25,FALSE))</f>
        <v>0</v>
      </c>
      <c r="AI1527" s="16">
        <f>IF(ISERROR(VLOOKUP($A1527,'13. Updated Demand'!A:Z,26,FALSE)),0,VLOOKUP($A1527,'13. Updated Demand'!A:Z,26,FALSE))</f>
        <v>0</v>
      </c>
      <c r="AJ1527" s="16">
        <f t="shared" si="289"/>
        <v>0</v>
      </c>
      <c r="AK1527" s="19">
        <v>0</v>
      </c>
      <c r="AL1527" s="16">
        <f t="shared" si="287"/>
        <v>0</v>
      </c>
      <c r="AM1527" s="26">
        <v>0</v>
      </c>
      <c r="AN1527" s="19">
        <v>0</v>
      </c>
      <c r="AO1527" s="19" t="s">
        <v>1758</v>
      </c>
      <c r="AP1527" s="19">
        <v>0</v>
      </c>
      <c r="AQ1527" s="19" t="s">
        <v>307</v>
      </c>
      <c r="AR1527" s="9" t="s">
        <v>354</v>
      </c>
      <c r="AS1527" s="12">
        <v>3.4039024194010059E-4</v>
      </c>
      <c r="AT1527" s="19">
        <v>38.771559250000003</v>
      </c>
      <c r="AU1527" s="19">
        <v>-123.00602402</v>
      </c>
      <c r="AV1527" s="19" t="s">
        <v>1917</v>
      </c>
    </row>
    <row r="1528" spans="1:48" x14ac:dyDescent="0.25">
      <c r="A1528" s="18" t="s">
        <v>1918</v>
      </c>
      <c r="B1528" s="10">
        <v>10000000</v>
      </c>
      <c r="C1528" s="9">
        <v>9</v>
      </c>
      <c r="D1528" s="8" t="str">
        <f t="shared" si="278"/>
        <v>N</v>
      </c>
      <c r="E1528" s="8" t="str">
        <f t="shared" si="279"/>
        <v>Y</v>
      </c>
      <c r="F1528" s="8" t="str">
        <f t="shared" si="280"/>
        <v>Y</v>
      </c>
      <c r="G1528" s="8" t="str">
        <f t="shared" si="281"/>
        <v>Y</v>
      </c>
      <c r="H1528" s="8" t="str">
        <f t="shared" si="282"/>
        <v>Upper</v>
      </c>
      <c r="I1528" s="8" t="str">
        <f t="shared" si="283"/>
        <v>West Fork and Below Lake</v>
      </c>
      <c r="J1528" s="8" t="str">
        <f t="shared" si="284"/>
        <v>Sonoma (d/s of Clov. Gage)</v>
      </c>
      <c r="K1528" s="8" t="str">
        <f t="shared" si="285"/>
        <v>Riparian</v>
      </c>
      <c r="L1528" s="8">
        <f t="shared" si="286"/>
        <v>1000</v>
      </c>
      <c r="M1528" s="8" t="str">
        <f t="shared" si="288"/>
        <v>-</v>
      </c>
      <c r="N1528" s="10" t="s">
        <v>242</v>
      </c>
      <c r="O1528" s="10" t="s">
        <v>241</v>
      </c>
      <c r="P1528" s="10" t="s">
        <v>242</v>
      </c>
      <c r="Q1528" s="10" t="s">
        <v>242</v>
      </c>
      <c r="R1528" s="10" t="s">
        <v>242</v>
      </c>
      <c r="S1528" s="10" t="s">
        <v>241</v>
      </c>
      <c r="T1528" s="10" t="s">
        <v>242</v>
      </c>
      <c r="U1528" s="10" t="s">
        <v>242</v>
      </c>
      <c r="V1528" s="10" t="s">
        <v>242</v>
      </c>
      <c r="W1528" s="10" t="s">
        <v>242</v>
      </c>
      <c r="X1528" s="15">
        <f>IF(ISERROR(VLOOKUP($A1528,'13. Updated Demand'!A:Z,15,FALSE)),0,VLOOKUP($A1528,'13. Updated Demand'!A:Z,15,FALSE))</f>
        <v>6.6666670000000003E-3</v>
      </c>
      <c r="Y1528" s="16">
        <f>IF(ISERROR(VLOOKUP($A1528,'13. Updated Demand'!A:Z,16,FALSE)),0,VLOOKUP($A1528,'13. Updated Demand'!A:Z,16,FALSE))</f>
        <v>6.6666670000000003E-3</v>
      </c>
      <c r="Z1528" s="16">
        <f>IF(ISERROR(VLOOKUP($A1528,'13. Updated Demand'!A:Z,17,FALSE)),0,VLOOKUP($A1528,'13. Updated Demand'!A:Z,17,FALSE))</f>
        <v>6.6666670000000003E-3</v>
      </c>
      <c r="AA1528" s="16">
        <f>IF(ISERROR(VLOOKUP($A1528,'13. Updated Demand'!A:Z,18,FALSE)),0,VLOOKUP($A1528,'13. Updated Demand'!A:Z,18,FALSE))</f>
        <v>6.6666670000000003E-3</v>
      </c>
      <c r="AB1528" s="16">
        <f>IF(ISERROR(VLOOKUP($A1528,'13. Updated Demand'!A:Z,19,FALSE)),0,VLOOKUP($A1528,'13. Updated Demand'!A:Z,19,FALSE))</f>
        <v>0.33</v>
      </c>
      <c r="AC1528" s="16">
        <f>IF(ISERROR(VLOOKUP($A1528,'13. Updated Demand'!A:Z,20,FALSE)),0,VLOOKUP($A1528,'13. Updated Demand'!A:Z,20,FALSE))</f>
        <v>0.33</v>
      </c>
      <c r="AD1528" s="16">
        <f>IF(ISERROR(VLOOKUP($A1528,'13. Updated Demand'!A:Z,21,FALSE)),0,VLOOKUP($A1528,'13. Updated Demand'!A:Z,21,FALSE))</f>
        <v>0.33</v>
      </c>
      <c r="AE1528" s="16">
        <f>IF(ISERROR(VLOOKUP($A1528,'13. Updated Demand'!A:Z,22,FALSE)),0,VLOOKUP($A1528,'13. Updated Demand'!A:Z,22,FALSE))</f>
        <v>0.33</v>
      </c>
      <c r="AF1528" s="16">
        <f>IF(ISERROR(VLOOKUP($A1528,'13. Updated Demand'!A:Z,23,FALSE)),0,VLOOKUP($A1528,'13. Updated Demand'!A:Z,23,FALSE))</f>
        <v>0.33</v>
      </c>
      <c r="AG1528" s="16">
        <f>IF(ISERROR(VLOOKUP($A1528,'13. Updated Demand'!A:Z,24,FALSE)),0,VLOOKUP($A1528,'13. Updated Demand'!A:Z,24,FALSE))</f>
        <v>6.6666670000000003E-3</v>
      </c>
      <c r="AH1528" s="16">
        <f>IF(ISERROR(VLOOKUP($A1528,'13. Updated Demand'!A:Z,25,FALSE)),0,VLOOKUP($A1528,'13. Updated Demand'!A:Z,25,FALSE))</f>
        <v>6.6666670000000003E-3</v>
      </c>
      <c r="AI1528" s="16">
        <f>IF(ISERROR(VLOOKUP($A1528,'13. Updated Demand'!A:Z,26,FALSE)),0,VLOOKUP($A1528,'13. Updated Demand'!A:Z,26,FALSE))</f>
        <v>6.6666670000000003E-3</v>
      </c>
      <c r="AJ1528" s="16">
        <f t="shared" si="289"/>
        <v>1.6966666690000001</v>
      </c>
      <c r="AK1528" s="19">
        <v>1.6666666650000002</v>
      </c>
      <c r="AL1528" s="16">
        <f t="shared" si="287"/>
        <v>5.5281434766310386E-3</v>
      </c>
      <c r="AM1528" s="26">
        <v>5.129740520958085E-2</v>
      </c>
      <c r="AN1528" s="19">
        <v>33.4</v>
      </c>
      <c r="AO1528" s="19" t="s">
        <v>1758</v>
      </c>
      <c r="AP1528" s="19">
        <v>0</v>
      </c>
      <c r="AQ1528" s="19" t="s">
        <v>307</v>
      </c>
      <c r="AR1528" s="9" t="s">
        <v>354</v>
      </c>
      <c r="AS1528" s="12">
        <v>3.4039024194010059E-4</v>
      </c>
      <c r="AT1528" s="19">
        <v>38.766815510000001</v>
      </c>
      <c r="AU1528" s="19">
        <v>-123.01472596000001</v>
      </c>
      <c r="AV1528" s="19" t="s">
        <v>1682</v>
      </c>
    </row>
    <row r="1529" spans="1:48" x14ac:dyDescent="0.25">
      <c r="A1529" s="18" t="s">
        <v>1919</v>
      </c>
      <c r="B1529" s="10">
        <v>10000000</v>
      </c>
      <c r="C1529" s="9">
        <v>2</v>
      </c>
      <c r="D1529" s="8" t="str">
        <f t="shared" si="278"/>
        <v>N</v>
      </c>
      <c r="E1529" s="8" t="str">
        <f t="shared" si="279"/>
        <v>N</v>
      </c>
      <c r="F1529" s="8" t="str">
        <f t="shared" si="280"/>
        <v>Y</v>
      </c>
      <c r="G1529" s="8" t="str">
        <f t="shared" si="281"/>
        <v>N</v>
      </c>
      <c r="H1529" s="8" t="str">
        <f t="shared" si="282"/>
        <v>Upper</v>
      </c>
      <c r="I1529" s="8" t="str">
        <f t="shared" si="283"/>
        <v>Outside</v>
      </c>
      <c r="J1529" s="8" t="str">
        <f t="shared" si="284"/>
        <v>Outside</v>
      </c>
      <c r="K1529" s="8" t="str">
        <f t="shared" si="285"/>
        <v>Riparian</v>
      </c>
      <c r="L1529" s="8">
        <f t="shared" si="286"/>
        <v>1000</v>
      </c>
      <c r="M1529" s="8" t="str">
        <f t="shared" si="288"/>
        <v>-</v>
      </c>
      <c r="N1529" s="10" t="s">
        <v>242</v>
      </c>
      <c r="O1529" s="10" t="s">
        <v>241</v>
      </c>
      <c r="P1529" s="10" t="s">
        <v>242</v>
      </c>
      <c r="Q1529" s="10" t="s">
        <v>242</v>
      </c>
      <c r="R1529" s="10" t="s">
        <v>242</v>
      </c>
      <c r="S1529" s="10" t="s">
        <v>241</v>
      </c>
      <c r="T1529" s="10" t="s">
        <v>242</v>
      </c>
      <c r="U1529" s="10" t="s">
        <v>242</v>
      </c>
      <c r="V1529" s="10" t="s">
        <v>241</v>
      </c>
      <c r="W1529" s="10" t="s">
        <v>242</v>
      </c>
      <c r="X1529" s="15">
        <f>IF(ISERROR(VLOOKUP($A1529,'13. Updated Demand'!A:Z,15,FALSE)),0,VLOOKUP($A1529,'13. Updated Demand'!A:Z,15,FALSE))</f>
        <v>0</v>
      </c>
      <c r="Y1529" s="16">
        <f>IF(ISERROR(VLOOKUP($A1529,'13. Updated Demand'!A:Z,16,FALSE)),0,VLOOKUP($A1529,'13. Updated Demand'!A:Z,16,FALSE))</f>
        <v>0</v>
      </c>
      <c r="Z1529" s="16">
        <f>IF(ISERROR(VLOOKUP($A1529,'13. Updated Demand'!A:Z,17,FALSE)),0,VLOOKUP($A1529,'13. Updated Demand'!A:Z,17,FALSE))</f>
        <v>1.06</v>
      </c>
      <c r="AA1529" s="16">
        <f>IF(ISERROR(VLOOKUP($A1529,'13. Updated Demand'!A:Z,18,FALSE)),0,VLOOKUP($A1529,'13. Updated Demand'!A:Z,18,FALSE))</f>
        <v>2.13</v>
      </c>
      <c r="AB1529" s="16">
        <f>IF(ISERROR(VLOOKUP($A1529,'13. Updated Demand'!A:Z,19,FALSE)),0,VLOOKUP($A1529,'13. Updated Demand'!A:Z,19,FALSE))</f>
        <v>0</v>
      </c>
      <c r="AC1529" s="16">
        <f>IF(ISERROR(VLOOKUP($A1529,'13. Updated Demand'!A:Z,20,FALSE)),0,VLOOKUP($A1529,'13. Updated Demand'!A:Z,20,FALSE))</f>
        <v>0</v>
      </c>
      <c r="AD1529" s="16">
        <f>IF(ISERROR(VLOOKUP($A1529,'13. Updated Demand'!A:Z,21,FALSE)),0,VLOOKUP($A1529,'13. Updated Demand'!A:Z,21,FALSE))</f>
        <v>0</v>
      </c>
      <c r="AE1529" s="16">
        <f>IF(ISERROR(VLOOKUP($A1529,'13. Updated Demand'!A:Z,22,FALSE)),0,VLOOKUP($A1529,'13. Updated Demand'!A:Z,22,FALSE))</f>
        <v>0</v>
      </c>
      <c r="AF1529" s="16">
        <f>IF(ISERROR(VLOOKUP($A1529,'13. Updated Demand'!A:Z,23,FALSE)),0,VLOOKUP($A1529,'13. Updated Demand'!A:Z,23,FALSE))</f>
        <v>0</v>
      </c>
      <c r="AG1529" s="16">
        <f>IF(ISERROR(VLOOKUP($A1529,'13. Updated Demand'!A:Z,24,FALSE)),0,VLOOKUP($A1529,'13. Updated Demand'!A:Z,24,FALSE))</f>
        <v>0</v>
      </c>
      <c r="AH1529" s="16">
        <f>IF(ISERROR(VLOOKUP($A1529,'13. Updated Demand'!A:Z,25,FALSE)),0,VLOOKUP($A1529,'13. Updated Demand'!A:Z,25,FALSE))</f>
        <v>0</v>
      </c>
      <c r="AI1529" s="16">
        <f>IF(ISERROR(VLOOKUP($A1529,'13. Updated Demand'!A:Z,26,FALSE)),0,VLOOKUP($A1529,'13. Updated Demand'!A:Z,26,FALSE))</f>
        <v>0</v>
      </c>
      <c r="AJ1529" s="16">
        <f t="shared" si="289"/>
        <v>3.19</v>
      </c>
      <c r="AK1529" s="19">
        <v>0</v>
      </c>
      <c r="AL1529" s="16">
        <f t="shared" si="287"/>
        <v>0</v>
      </c>
      <c r="AM1529" s="26">
        <v>4.4275161592797777E-2</v>
      </c>
      <c r="AN1529" s="19">
        <v>72.2</v>
      </c>
      <c r="AO1529" s="19" t="s">
        <v>1758</v>
      </c>
      <c r="AP1529" s="19">
        <v>0</v>
      </c>
      <c r="AQ1529" s="19" t="s">
        <v>307</v>
      </c>
      <c r="AR1529" s="9" t="s">
        <v>348</v>
      </c>
      <c r="AS1529" s="12">
        <v>0</v>
      </c>
      <c r="AT1529" s="19">
        <v>39.33840146</v>
      </c>
      <c r="AU1529" s="19">
        <v>-123.11699372</v>
      </c>
      <c r="AV1529" s="19" t="s">
        <v>1862</v>
      </c>
    </row>
    <row r="1530" spans="1:48" x14ac:dyDescent="0.25">
      <c r="A1530" s="18" t="s">
        <v>1920</v>
      </c>
      <c r="B1530" s="10">
        <v>10000000</v>
      </c>
      <c r="C1530" s="9">
        <v>6</v>
      </c>
      <c r="D1530" s="8" t="str">
        <f t="shared" si="278"/>
        <v>Y</v>
      </c>
      <c r="E1530" s="8" t="str">
        <f t="shared" si="279"/>
        <v>N</v>
      </c>
      <c r="F1530" s="8" t="str">
        <f t="shared" si="280"/>
        <v>Y</v>
      </c>
      <c r="G1530" s="8" t="str">
        <f t="shared" si="281"/>
        <v>Y</v>
      </c>
      <c r="H1530" s="8" t="str">
        <f t="shared" si="282"/>
        <v>Upper</v>
      </c>
      <c r="I1530" s="8" t="str">
        <f t="shared" si="283"/>
        <v>West Fork and Below Lake</v>
      </c>
      <c r="J1530" s="8" t="str">
        <f t="shared" si="284"/>
        <v>Mendocino (d/s of lake)</v>
      </c>
      <c r="K1530" s="8" t="str">
        <f t="shared" si="285"/>
        <v>Riparian</v>
      </c>
      <c r="L1530" s="8">
        <f t="shared" si="286"/>
        <v>1000</v>
      </c>
      <c r="M1530" s="8" t="str">
        <f t="shared" si="288"/>
        <v>-</v>
      </c>
      <c r="N1530" s="10" t="s">
        <v>241</v>
      </c>
      <c r="O1530" s="10" t="s">
        <v>241</v>
      </c>
      <c r="P1530" s="10" t="s">
        <v>242</v>
      </c>
      <c r="Q1530" s="10" t="s">
        <v>242</v>
      </c>
      <c r="R1530" s="10" t="s">
        <v>242</v>
      </c>
      <c r="S1530" s="10" t="s">
        <v>241</v>
      </c>
      <c r="T1530" s="10" t="s">
        <v>242</v>
      </c>
      <c r="U1530" s="10" t="s">
        <v>241</v>
      </c>
      <c r="V1530" s="10" t="s">
        <v>241</v>
      </c>
      <c r="W1530" s="10" t="s">
        <v>242</v>
      </c>
      <c r="X1530" s="15">
        <f>IF(ISERROR(VLOOKUP($A1530,'13. Updated Demand'!A:Z,15,FALSE)),0,VLOOKUP($A1530,'13. Updated Demand'!A:Z,15,FALSE))</f>
        <v>0</v>
      </c>
      <c r="Y1530" s="16">
        <f>IF(ISERROR(VLOOKUP($A1530,'13. Updated Demand'!A:Z,16,FALSE)),0,VLOOKUP($A1530,'13. Updated Demand'!A:Z,16,FALSE))</f>
        <v>0</v>
      </c>
      <c r="Z1530" s="16">
        <f>IF(ISERROR(VLOOKUP($A1530,'13. Updated Demand'!A:Z,17,FALSE)),0,VLOOKUP($A1530,'13. Updated Demand'!A:Z,17,FALSE))</f>
        <v>0</v>
      </c>
      <c r="AA1530" s="16">
        <f>IF(ISERROR(VLOOKUP($A1530,'13. Updated Demand'!A:Z,18,FALSE)),0,VLOOKUP($A1530,'13. Updated Demand'!A:Z,18,FALSE))</f>
        <v>0</v>
      </c>
      <c r="AB1530" s="16">
        <f>IF(ISERROR(VLOOKUP($A1530,'13. Updated Demand'!A:Z,19,FALSE)),0,VLOOKUP($A1530,'13. Updated Demand'!A:Z,19,FALSE))</f>
        <v>0</v>
      </c>
      <c r="AC1530" s="16">
        <f>IF(ISERROR(VLOOKUP($A1530,'13. Updated Demand'!A:Z,20,FALSE)),0,VLOOKUP($A1530,'13. Updated Demand'!A:Z,20,FALSE))</f>
        <v>0</v>
      </c>
      <c r="AD1530" s="16">
        <f>IF(ISERROR(VLOOKUP($A1530,'13. Updated Demand'!A:Z,21,FALSE)),0,VLOOKUP($A1530,'13. Updated Demand'!A:Z,21,FALSE))</f>
        <v>0</v>
      </c>
      <c r="AE1530" s="16">
        <f>IF(ISERROR(VLOOKUP($A1530,'13. Updated Demand'!A:Z,22,FALSE)),0,VLOOKUP($A1530,'13. Updated Demand'!A:Z,22,FALSE))</f>
        <v>0</v>
      </c>
      <c r="AF1530" s="16">
        <f>IF(ISERROR(VLOOKUP($A1530,'13. Updated Demand'!A:Z,23,FALSE)),0,VLOOKUP($A1530,'13. Updated Demand'!A:Z,23,FALSE))</f>
        <v>0</v>
      </c>
      <c r="AG1530" s="16">
        <f>IF(ISERROR(VLOOKUP($A1530,'13. Updated Demand'!A:Z,24,FALSE)),0,VLOOKUP($A1530,'13. Updated Demand'!A:Z,24,FALSE))</f>
        <v>0</v>
      </c>
      <c r="AH1530" s="16">
        <f>IF(ISERROR(VLOOKUP($A1530,'13. Updated Demand'!A:Z,25,FALSE)),0,VLOOKUP($A1530,'13. Updated Demand'!A:Z,25,FALSE))</f>
        <v>0</v>
      </c>
      <c r="AI1530" s="16">
        <f>IF(ISERROR(VLOOKUP($A1530,'13. Updated Demand'!A:Z,26,FALSE)),0,VLOOKUP($A1530,'13. Updated Demand'!A:Z,26,FALSE))</f>
        <v>0</v>
      </c>
      <c r="AJ1530" s="16">
        <f t="shared" si="289"/>
        <v>0</v>
      </c>
      <c r="AK1530" s="19">
        <v>0</v>
      </c>
      <c r="AL1530" s="16">
        <f t="shared" si="287"/>
        <v>0</v>
      </c>
      <c r="AM1530" s="26">
        <v>0</v>
      </c>
      <c r="AN1530" s="19">
        <v>123.57</v>
      </c>
      <c r="AO1530" s="19" t="s">
        <v>1758</v>
      </c>
      <c r="AP1530" s="19">
        <v>0</v>
      </c>
      <c r="AQ1530" s="19" t="s">
        <v>307</v>
      </c>
      <c r="AR1530" s="9" t="s">
        <v>319</v>
      </c>
      <c r="AS1530" s="12">
        <v>0</v>
      </c>
      <c r="AT1530" s="19">
        <v>39.020713890000003</v>
      </c>
      <c r="AU1530" s="19">
        <v>-123.13012055999999</v>
      </c>
      <c r="AV1530" s="19" t="s">
        <v>387</v>
      </c>
    </row>
    <row r="1531" spans="1:48" x14ac:dyDescent="0.25">
      <c r="A1531" s="18" t="s">
        <v>1921</v>
      </c>
      <c r="B1531" s="10">
        <v>10000000</v>
      </c>
      <c r="C1531" s="9">
        <v>5</v>
      </c>
      <c r="D1531" s="8" t="str">
        <f t="shared" si="278"/>
        <v>Y</v>
      </c>
      <c r="E1531" s="8" t="str">
        <f t="shared" si="279"/>
        <v>N</v>
      </c>
      <c r="F1531" s="8" t="str">
        <f t="shared" si="280"/>
        <v>Y</v>
      </c>
      <c r="G1531" s="8" t="str">
        <f t="shared" si="281"/>
        <v>Y</v>
      </c>
      <c r="H1531" s="8" t="str">
        <f t="shared" si="282"/>
        <v>Upper</v>
      </c>
      <c r="I1531" s="8" t="str">
        <f t="shared" si="283"/>
        <v>West Fork and Below Lake</v>
      </c>
      <c r="J1531" s="8" t="str">
        <f t="shared" si="284"/>
        <v>Mendocino (d/s of lake)</v>
      </c>
      <c r="K1531" s="8" t="str">
        <f t="shared" si="285"/>
        <v>Riparian</v>
      </c>
      <c r="L1531" s="8">
        <f t="shared" si="286"/>
        <v>1000</v>
      </c>
      <c r="M1531" s="8" t="str">
        <f t="shared" si="288"/>
        <v>-</v>
      </c>
      <c r="N1531" s="10" t="s">
        <v>241</v>
      </c>
      <c r="O1531" s="10" t="s">
        <v>241</v>
      </c>
      <c r="P1531" s="10" t="s">
        <v>242</v>
      </c>
      <c r="Q1531" s="10" t="s">
        <v>242</v>
      </c>
      <c r="R1531" s="10" t="s">
        <v>242</v>
      </c>
      <c r="S1531" s="10" t="s">
        <v>241</v>
      </c>
      <c r="T1531" s="10" t="s">
        <v>241</v>
      </c>
      <c r="U1531" s="10" t="s">
        <v>241</v>
      </c>
      <c r="V1531" s="10" t="s">
        <v>241</v>
      </c>
      <c r="W1531" s="10" t="s">
        <v>242</v>
      </c>
      <c r="X1531" s="15">
        <f>IF(ISERROR(VLOOKUP($A1531,'13. Updated Demand'!A:Z,15,FALSE)),0,VLOOKUP($A1531,'13. Updated Demand'!A:Z,15,FALSE))</f>
        <v>0</v>
      </c>
      <c r="Y1531" s="16">
        <f>IF(ISERROR(VLOOKUP($A1531,'13. Updated Demand'!A:Z,16,FALSE)),0,VLOOKUP($A1531,'13. Updated Demand'!A:Z,16,FALSE))</f>
        <v>0</v>
      </c>
      <c r="Z1531" s="16">
        <f>IF(ISERROR(VLOOKUP($A1531,'13. Updated Demand'!A:Z,17,FALSE)),0,VLOOKUP($A1531,'13. Updated Demand'!A:Z,17,FALSE))</f>
        <v>0</v>
      </c>
      <c r="AA1531" s="16">
        <f>IF(ISERROR(VLOOKUP($A1531,'13. Updated Demand'!A:Z,18,FALSE)),0,VLOOKUP($A1531,'13. Updated Demand'!A:Z,18,FALSE))</f>
        <v>0</v>
      </c>
      <c r="AB1531" s="16">
        <f>IF(ISERROR(VLOOKUP($A1531,'13. Updated Demand'!A:Z,19,FALSE)),0,VLOOKUP($A1531,'13. Updated Demand'!A:Z,19,FALSE))</f>
        <v>0</v>
      </c>
      <c r="AC1531" s="16">
        <f>IF(ISERROR(VLOOKUP($A1531,'13. Updated Demand'!A:Z,20,FALSE)),0,VLOOKUP($A1531,'13. Updated Demand'!A:Z,20,FALSE))</f>
        <v>0</v>
      </c>
      <c r="AD1531" s="16">
        <f>IF(ISERROR(VLOOKUP($A1531,'13. Updated Demand'!A:Z,21,FALSE)),0,VLOOKUP($A1531,'13. Updated Demand'!A:Z,21,FALSE))</f>
        <v>0</v>
      </c>
      <c r="AE1531" s="16">
        <f>IF(ISERROR(VLOOKUP($A1531,'13. Updated Demand'!A:Z,22,FALSE)),0,VLOOKUP($A1531,'13. Updated Demand'!A:Z,22,FALSE))</f>
        <v>0</v>
      </c>
      <c r="AF1531" s="16">
        <f>IF(ISERROR(VLOOKUP($A1531,'13. Updated Demand'!A:Z,23,FALSE)),0,VLOOKUP($A1531,'13. Updated Demand'!A:Z,23,FALSE))</f>
        <v>0</v>
      </c>
      <c r="AG1531" s="16">
        <f>IF(ISERROR(VLOOKUP($A1531,'13. Updated Demand'!A:Z,24,FALSE)),0,VLOOKUP($A1531,'13. Updated Demand'!A:Z,24,FALSE))</f>
        <v>0</v>
      </c>
      <c r="AH1531" s="16">
        <f>IF(ISERROR(VLOOKUP($A1531,'13. Updated Demand'!A:Z,25,FALSE)),0,VLOOKUP($A1531,'13. Updated Demand'!A:Z,25,FALSE))</f>
        <v>0</v>
      </c>
      <c r="AI1531" s="16">
        <f>IF(ISERROR(VLOOKUP($A1531,'13. Updated Demand'!A:Z,26,FALSE)),0,VLOOKUP($A1531,'13. Updated Demand'!A:Z,26,FALSE))</f>
        <v>0</v>
      </c>
      <c r="AJ1531" s="16">
        <f t="shared" si="289"/>
        <v>0</v>
      </c>
      <c r="AK1531" s="19">
        <v>0</v>
      </c>
      <c r="AL1531" s="16">
        <f t="shared" si="287"/>
        <v>0</v>
      </c>
      <c r="AM1531" s="26">
        <v>0</v>
      </c>
      <c r="AN1531" s="19">
        <v>15.5746</v>
      </c>
      <c r="AO1531" s="19" t="s">
        <v>1758</v>
      </c>
      <c r="AP1531" s="19">
        <v>0</v>
      </c>
      <c r="AQ1531" s="19" t="s">
        <v>307</v>
      </c>
      <c r="AR1531" s="9" t="s">
        <v>333</v>
      </c>
      <c r="AS1531" s="12">
        <v>3.4039024194010059E-4</v>
      </c>
      <c r="AT1531" s="19">
        <v>39.102800000000002</v>
      </c>
      <c r="AU1531" s="19">
        <v>-123.1785</v>
      </c>
      <c r="AV1531" s="19" t="s">
        <v>548</v>
      </c>
    </row>
    <row r="1532" spans="1:48" x14ac:dyDescent="0.25">
      <c r="A1532" s="18" t="s">
        <v>1922</v>
      </c>
      <c r="B1532" s="10">
        <v>10000000</v>
      </c>
      <c r="C1532" s="9">
        <v>1</v>
      </c>
      <c r="D1532" s="8" t="str">
        <f t="shared" si="278"/>
        <v>N</v>
      </c>
      <c r="E1532" s="8" t="str">
        <f t="shared" si="279"/>
        <v>N</v>
      </c>
      <c r="F1532" s="8" t="str">
        <f t="shared" si="280"/>
        <v>Y</v>
      </c>
      <c r="G1532" s="8" t="str">
        <f t="shared" si="281"/>
        <v>Y</v>
      </c>
      <c r="H1532" s="8" t="str">
        <f t="shared" si="282"/>
        <v>Upper</v>
      </c>
      <c r="I1532" s="8" t="str">
        <f t="shared" si="283"/>
        <v>West Fork and Below Lake</v>
      </c>
      <c r="J1532" s="8" t="str">
        <f t="shared" si="284"/>
        <v>Outside</v>
      </c>
      <c r="K1532" s="8" t="str">
        <f t="shared" si="285"/>
        <v>Riparian</v>
      </c>
      <c r="L1532" s="8">
        <f t="shared" si="286"/>
        <v>1000</v>
      </c>
      <c r="M1532" s="8" t="str">
        <f t="shared" si="288"/>
        <v>-</v>
      </c>
      <c r="N1532" s="10" t="s">
        <v>242</v>
      </c>
      <c r="O1532" s="10" t="s">
        <v>241</v>
      </c>
      <c r="P1532" s="10" t="s">
        <v>242</v>
      </c>
      <c r="Q1532" s="10" t="s">
        <v>242</v>
      </c>
      <c r="R1532" s="10" t="s">
        <v>242</v>
      </c>
      <c r="S1532" s="10" t="s">
        <v>241</v>
      </c>
      <c r="T1532" s="10" t="s">
        <v>242</v>
      </c>
      <c r="U1532" s="10" t="s">
        <v>241</v>
      </c>
      <c r="V1532" s="10" t="s">
        <v>241</v>
      </c>
      <c r="W1532" s="10" t="s">
        <v>242</v>
      </c>
      <c r="X1532" s="15">
        <f>IF(ISERROR(VLOOKUP($A1532,'13. Updated Demand'!A:Z,15,FALSE)),0,VLOOKUP($A1532,'13. Updated Demand'!A:Z,15,FALSE))</f>
        <v>0</v>
      </c>
      <c r="Y1532" s="16">
        <f>IF(ISERROR(VLOOKUP($A1532,'13. Updated Demand'!A:Z,16,FALSE)),0,VLOOKUP($A1532,'13. Updated Demand'!A:Z,16,FALSE))</f>
        <v>0</v>
      </c>
      <c r="Z1532" s="16">
        <f>IF(ISERROR(VLOOKUP($A1532,'13. Updated Demand'!A:Z,17,FALSE)),0,VLOOKUP($A1532,'13. Updated Demand'!A:Z,17,FALSE))</f>
        <v>0</v>
      </c>
      <c r="AA1532" s="16">
        <f>IF(ISERROR(VLOOKUP($A1532,'13. Updated Demand'!A:Z,18,FALSE)),0,VLOOKUP($A1532,'13. Updated Demand'!A:Z,18,FALSE))</f>
        <v>0</v>
      </c>
      <c r="AB1532" s="16">
        <f>IF(ISERROR(VLOOKUP($A1532,'13. Updated Demand'!A:Z,19,FALSE)),0,VLOOKUP($A1532,'13. Updated Demand'!A:Z,19,FALSE))</f>
        <v>0</v>
      </c>
      <c r="AC1532" s="16">
        <f>IF(ISERROR(VLOOKUP($A1532,'13. Updated Demand'!A:Z,20,FALSE)),0,VLOOKUP($A1532,'13. Updated Demand'!A:Z,20,FALSE))</f>
        <v>0</v>
      </c>
      <c r="AD1532" s="16">
        <f>IF(ISERROR(VLOOKUP($A1532,'13. Updated Demand'!A:Z,21,FALSE)),0,VLOOKUP($A1532,'13. Updated Demand'!A:Z,21,FALSE))</f>
        <v>0</v>
      </c>
      <c r="AE1532" s="16">
        <f>IF(ISERROR(VLOOKUP($A1532,'13. Updated Demand'!A:Z,22,FALSE)),0,VLOOKUP($A1532,'13. Updated Demand'!A:Z,22,FALSE))</f>
        <v>0</v>
      </c>
      <c r="AF1532" s="16">
        <f>IF(ISERROR(VLOOKUP($A1532,'13. Updated Demand'!A:Z,23,FALSE)),0,VLOOKUP($A1532,'13. Updated Demand'!A:Z,23,FALSE))</f>
        <v>0</v>
      </c>
      <c r="AG1532" s="16">
        <f>IF(ISERROR(VLOOKUP($A1532,'13. Updated Demand'!A:Z,24,FALSE)),0,VLOOKUP($A1532,'13. Updated Demand'!A:Z,24,FALSE))</f>
        <v>0</v>
      </c>
      <c r="AH1532" s="16">
        <f>IF(ISERROR(VLOOKUP($A1532,'13. Updated Demand'!A:Z,25,FALSE)),0,VLOOKUP($A1532,'13. Updated Demand'!A:Z,25,FALSE))</f>
        <v>0</v>
      </c>
      <c r="AI1532" s="16">
        <f>IF(ISERROR(VLOOKUP($A1532,'13. Updated Demand'!A:Z,26,FALSE)),0,VLOOKUP($A1532,'13. Updated Demand'!A:Z,26,FALSE))</f>
        <v>0</v>
      </c>
      <c r="AJ1532" s="16">
        <f t="shared" si="289"/>
        <v>0</v>
      </c>
      <c r="AK1532" s="19">
        <v>0</v>
      </c>
      <c r="AL1532" s="16">
        <f t="shared" si="287"/>
        <v>0</v>
      </c>
      <c r="AM1532" s="26">
        <v>0</v>
      </c>
      <c r="AN1532" s="19">
        <v>26</v>
      </c>
      <c r="AO1532" s="19" t="s">
        <v>1758</v>
      </c>
      <c r="AP1532" s="19">
        <v>0</v>
      </c>
      <c r="AQ1532" s="19" t="s">
        <v>307</v>
      </c>
      <c r="AR1532" s="9" t="s">
        <v>317</v>
      </c>
      <c r="AS1532" s="12">
        <v>0</v>
      </c>
      <c r="AT1532" s="19">
        <v>39.269353590000001</v>
      </c>
      <c r="AU1532" s="19">
        <v>-123.21269461</v>
      </c>
      <c r="AV1532" s="19" t="s">
        <v>1257</v>
      </c>
    </row>
    <row r="1533" spans="1:48" x14ac:dyDescent="0.25">
      <c r="A1533" s="18" t="s">
        <v>1923</v>
      </c>
      <c r="B1533" s="10">
        <v>10000000</v>
      </c>
      <c r="C1533" s="9">
        <v>5</v>
      </c>
      <c r="D1533" s="8" t="str">
        <f t="shared" si="278"/>
        <v>Y</v>
      </c>
      <c r="E1533" s="8" t="str">
        <f t="shared" si="279"/>
        <v>N</v>
      </c>
      <c r="F1533" s="8" t="str">
        <f t="shared" si="280"/>
        <v>Y</v>
      </c>
      <c r="G1533" s="8" t="str">
        <f t="shared" si="281"/>
        <v>Y</v>
      </c>
      <c r="H1533" s="8" t="str">
        <f t="shared" si="282"/>
        <v>Upper</v>
      </c>
      <c r="I1533" s="8" t="str">
        <f t="shared" si="283"/>
        <v>West Fork and Below Lake</v>
      </c>
      <c r="J1533" s="8" t="str">
        <f t="shared" si="284"/>
        <v>Mendocino (d/s of lake)</v>
      </c>
      <c r="K1533" s="8" t="str">
        <f t="shared" si="285"/>
        <v>Riparian</v>
      </c>
      <c r="L1533" s="8">
        <f t="shared" si="286"/>
        <v>1000</v>
      </c>
      <c r="M1533" s="8" t="str">
        <f t="shared" si="288"/>
        <v>-</v>
      </c>
      <c r="N1533" s="10" t="s">
        <v>242</v>
      </c>
      <c r="O1533" s="10" t="s">
        <v>241</v>
      </c>
      <c r="P1533" s="10" t="s">
        <v>242</v>
      </c>
      <c r="Q1533" s="10" t="s">
        <v>242</v>
      </c>
      <c r="R1533" s="10" t="s">
        <v>242</v>
      </c>
      <c r="S1533" s="10" t="s">
        <v>241</v>
      </c>
      <c r="T1533" s="10" t="s">
        <v>242</v>
      </c>
      <c r="U1533" s="10" t="s">
        <v>241</v>
      </c>
      <c r="V1533" s="10" t="s">
        <v>241</v>
      </c>
      <c r="W1533" s="10" t="s">
        <v>242</v>
      </c>
      <c r="X1533" s="15">
        <f>IF(ISERROR(VLOOKUP($A1533,'13. Updated Demand'!A:Z,15,FALSE)),0,VLOOKUP($A1533,'13. Updated Demand'!A:Z,15,FALSE))</f>
        <v>0</v>
      </c>
      <c r="Y1533" s="16">
        <f>IF(ISERROR(VLOOKUP($A1533,'13. Updated Demand'!A:Z,16,FALSE)),0,VLOOKUP($A1533,'13. Updated Demand'!A:Z,16,FALSE))</f>
        <v>0</v>
      </c>
      <c r="Z1533" s="16">
        <f>IF(ISERROR(VLOOKUP($A1533,'13. Updated Demand'!A:Z,17,FALSE)),0,VLOOKUP($A1533,'13. Updated Demand'!A:Z,17,FALSE))</f>
        <v>0</v>
      </c>
      <c r="AA1533" s="16">
        <f>IF(ISERROR(VLOOKUP($A1533,'13. Updated Demand'!A:Z,18,FALSE)),0,VLOOKUP($A1533,'13. Updated Demand'!A:Z,18,FALSE))</f>
        <v>0</v>
      </c>
      <c r="AB1533" s="16">
        <f>IF(ISERROR(VLOOKUP($A1533,'13. Updated Demand'!A:Z,19,FALSE)),0,VLOOKUP($A1533,'13. Updated Demand'!A:Z,19,FALSE))</f>
        <v>0</v>
      </c>
      <c r="AC1533" s="16">
        <f>IF(ISERROR(VLOOKUP($A1533,'13. Updated Demand'!A:Z,20,FALSE)),0,VLOOKUP($A1533,'13. Updated Demand'!A:Z,20,FALSE))</f>
        <v>0</v>
      </c>
      <c r="AD1533" s="16">
        <f>IF(ISERROR(VLOOKUP($A1533,'13. Updated Demand'!A:Z,21,FALSE)),0,VLOOKUP($A1533,'13. Updated Demand'!A:Z,21,FALSE))</f>
        <v>0</v>
      </c>
      <c r="AE1533" s="16">
        <f>IF(ISERROR(VLOOKUP($A1533,'13. Updated Demand'!A:Z,22,FALSE)),0,VLOOKUP($A1533,'13. Updated Demand'!A:Z,22,FALSE))</f>
        <v>0</v>
      </c>
      <c r="AF1533" s="16">
        <f>IF(ISERROR(VLOOKUP($A1533,'13. Updated Demand'!A:Z,23,FALSE)),0,VLOOKUP($A1533,'13. Updated Demand'!A:Z,23,FALSE))</f>
        <v>0</v>
      </c>
      <c r="AG1533" s="16">
        <f>IF(ISERROR(VLOOKUP($A1533,'13. Updated Demand'!A:Z,24,FALSE)),0,VLOOKUP($A1533,'13. Updated Demand'!A:Z,24,FALSE))</f>
        <v>0</v>
      </c>
      <c r="AH1533" s="16">
        <f>IF(ISERROR(VLOOKUP($A1533,'13. Updated Demand'!A:Z,25,FALSE)),0,VLOOKUP($A1533,'13. Updated Demand'!A:Z,25,FALSE))</f>
        <v>0</v>
      </c>
      <c r="AI1533" s="16">
        <f>IF(ISERROR(VLOOKUP($A1533,'13. Updated Demand'!A:Z,26,FALSE)),0,VLOOKUP($A1533,'13. Updated Demand'!A:Z,26,FALSE))</f>
        <v>0</v>
      </c>
      <c r="AJ1533" s="16">
        <f t="shared" si="289"/>
        <v>0</v>
      </c>
      <c r="AK1533" s="19">
        <v>0</v>
      </c>
      <c r="AL1533" s="16">
        <f t="shared" si="287"/>
        <v>0</v>
      </c>
      <c r="AM1533" s="26">
        <v>0</v>
      </c>
      <c r="AN1533" s="19">
        <v>44.550600000000003</v>
      </c>
      <c r="AO1533" s="19" t="s">
        <v>1758</v>
      </c>
      <c r="AP1533" s="19">
        <v>0</v>
      </c>
      <c r="AQ1533" s="19" t="s">
        <v>307</v>
      </c>
      <c r="AR1533" s="9" t="s">
        <v>333</v>
      </c>
      <c r="AS1533" s="12">
        <v>0</v>
      </c>
      <c r="AT1533" s="19">
        <v>39.044998040000003</v>
      </c>
      <c r="AU1533" s="19">
        <v>-123.15991108999999</v>
      </c>
      <c r="AV1533" s="19" t="s">
        <v>1924</v>
      </c>
    </row>
    <row r="1534" spans="1:48" x14ac:dyDescent="0.25">
      <c r="A1534" s="18" t="s">
        <v>1925</v>
      </c>
      <c r="B1534" s="10">
        <v>10000000</v>
      </c>
      <c r="C1534" s="9">
        <v>5</v>
      </c>
      <c r="D1534" s="8" t="str">
        <f t="shared" si="278"/>
        <v>Y</v>
      </c>
      <c r="E1534" s="8" t="str">
        <f t="shared" si="279"/>
        <v>N</v>
      </c>
      <c r="F1534" s="8" t="str">
        <f t="shared" si="280"/>
        <v>Y</v>
      </c>
      <c r="G1534" s="8" t="str">
        <f t="shared" si="281"/>
        <v>Y</v>
      </c>
      <c r="H1534" s="8" t="str">
        <f t="shared" si="282"/>
        <v>Upper</v>
      </c>
      <c r="I1534" s="8" t="str">
        <f t="shared" si="283"/>
        <v>West Fork and Below Lake</v>
      </c>
      <c r="J1534" s="8" t="str">
        <f t="shared" si="284"/>
        <v>Mendocino (d/s of lake)</v>
      </c>
      <c r="K1534" s="8" t="str">
        <f t="shared" si="285"/>
        <v>Riparian</v>
      </c>
      <c r="L1534" s="8">
        <f t="shared" si="286"/>
        <v>1000</v>
      </c>
      <c r="M1534" s="8" t="str">
        <f t="shared" si="288"/>
        <v>-</v>
      </c>
      <c r="N1534" s="10" t="s">
        <v>241</v>
      </c>
      <c r="O1534" s="10" t="s">
        <v>241</v>
      </c>
      <c r="P1534" s="10" t="s">
        <v>242</v>
      </c>
      <c r="Q1534" s="10" t="s">
        <v>242</v>
      </c>
      <c r="R1534" s="10" t="s">
        <v>242</v>
      </c>
      <c r="S1534" s="10" t="s">
        <v>241</v>
      </c>
      <c r="T1534" s="10" t="s">
        <v>242</v>
      </c>
      <c r="U1534" s="10" t="s">
        <v>241</v>
      </c>
      <c r="V1534" s="10" t="s">
        <v>241</v>
      </c>
      <c r="W1534" s="10" t="s">
        <v>242</v>
      </c>
      <c r="X1534" s="15">
        <f>IF(ISERROR(VLOOKUP($A1534,'13. Updated Demand'!A:Z,15,FALSE)),0,VLOOKUP($A1534,'13. Updated Demand'!A:Z,15,FALSE))</f>
        <v>0</v>
      </c>
      <c r="Y1534" s="16">
        <f>IF(ISERROR(VLOOKUP($A1534,'13. Updated Demand'!A:Z,16,FALSE)),0,VLOOKUP($A1534,'13. Updated Demand'!A:Z,16,FALSE))</f>
        <v>0</v>
      </c>
      <c r="Z1534" s="16">
        <f>IF(ISERROR(VLOOKUP($A1534,'13. Updated Demand'!A:Z,17,FALSE)),0,VLOOKUP($A1534,'13. Updated Demand'!A:Z,17,FALSE))</f>
        <v>0</v>
      </c>
      <c r="AA1534" s="16">
        <f>IF(ISERROR(VLOOKUP($A1534,'13. Updated Demand'!A:Z,18,FALSE)),0,VLOOKUP($A1534,'13. Updated Demand'!A:Z,18,FALSE))</f>
        <v>0</v>
      </c>
      <c r="AB1534" s="16">
        <f>IF(ISERROR(VLOOKUP($A1534,'13. Updated Demand'!A:Z,19,FALSE)),0,VLOOKUP($A1534,'13. Updated Demand'!A:Z,19,FALSE))</f>
        <v>0</v>
      </c>
      <c r="AC1534" s="16">
        <f>IF(ISERROR(VLOOKUP($A1534,'13. Updated Demand'!A:Z,20,FALSE)),0,VLOOKUP($A1534,'13. Updated Demand'!A:Z,20,FALSE))</f>
        <v>0</v>
      </c>
      <c r="AD1534" s="16">
        <f>IF(ISERROR(VLOOKUP($A1534,'13. Updated Demand'!A:Z,21,FALSE)),0,VLOOKUP($A1534,'13. Updated Demand'!A:Z,21,FALSE))</f>
        <v>0</v>
      </c>
      <c r="AE1534" s="16">
        <f>IF(ISERROR(VLOOKUP($A1534,'13. Updated Demand'!A:Z,22,FALSE)),0,VLOOKUP($A1534,'13. Updated Demand'!A:Z,22,FALSE))</f>
        <v>0</v>
      </c>
      <c r="AF1534" s="16">
        <f>IF(ISERROR(VLOOKUP($A1534,'13. Updated Demand'!A:Z,23,FALSE)),0,VLOOKUP($A1534,'13. Updated Demand'!A:Z,23,FALSE))</f>
        <v>0</v>
      </c>
      <c r="AG1534" s="16">
        <f>IF(ISERROR(VLOOKUP($A1534,'13. Updated Demand'!A:Z,24,FALSE)),0,VLOOKUP($A1534,'13. Updated Demand'!A:Z,24,FALSE))</f>
        <v>0</v>
      </c>
      <c r="AH1534" s="16">
        <f>IF(ISERROR(VLOOKUP($A1534,'13. Updated Demand'!A:Z,25,FALSE)),0,VLOOKUP($A1534,'13. Updated Demand'!A:Z,25,FALSE))</f>
        <v>0</v>
      </c>
      <c r="AI1534" s="16">
        <f>IF(ISERROR(VLOOKUP($A1534,'13. Updated Demand'!A:Z,26,FALSE)),0,VLOOKUP($A1534,'13. Updated Demand'!A:Z,26,FALSE))</f>
        <v>0</v>
      </c>
      <c r="AJ1534" s="16">
        <f t="shared" si="289"/>
        <v>0</v>
      </c>
      <c r="AK1534" s="19">
        <v>0</v>
      </c>
      <c r="AL1534" s="16">
        <f t="shared" si="287"/>
        <v>0</v>
      </c>
      <c r="AM1534" s="26">
        <v>0</v>
      </c>
      <c r="AN1534" s="19">
        <v>44.550600000000003</v>
      </c>
      <c r="AO1534" s="19" t="s">
        <v>1758</v>
      </c>
      <c r="AP1534" s="19">
        <v>0</v>
      </c>
      <c r="AQ1534" s="19" t="s">
        <v>307</v>
      </c>
      <c r="AR1534" s="9" t="s">
        <v>333</v>
      </c>
      <c r="AS1534" s="12">
        <v>0</v>
      </c>
      <c r="AT1534" s="19">
        <v>39.058878579999998</v>
      </c>
      <c r="AU1534" s="19">
        <v>-123.14464089000001</v>
      </c>
      <c r="AV1534" s="19" t="s">
        <v>387</v>
      </c>
    </row>
    <row r="1535" spans="1:48" x14ac:dyDescent="0.25">
      <c r="A1535" s="18" t="s">
        <v>1926</v>
      </c>
      <c r="B1535" s="10">
        <v>10000000</v>
      </c>
      <c r="C1535" s="9">
        <v>9</v>
      </c>
      <c r="D1535" s="8" t="str">
        <f t="shared" si="278"/>
        <v>N</v>
      </c>
      <c r="E1535" s="8" t="str">
        <f t="shared" si="279"/>
        <v>Y</v>
      </c>
      <c r="F1535" s="8" t="str">
        <f t="shared" si="280"/>
        <v>Y</v>
      </c>
      <c r="G1535" s="8" t="str">
        <f t="shared" si="281"/>
        <v>Y</v>
      </c>
      <c r="H1535" s="8" t="str">
        <f t="shared" si="282"/>
        <v>Upper</v>
      </c>
      <c r="I1535" s="8" t="str">
        <f t="shared" si="283"/>
        <v>West Fork and Below Lake</v>
      </c>
      <c r="J1535" s="8" t="str">
        <f t="shared" si="284"/>
        <v>Sonoma (d/s of Clov. Gage)</v>
      </c>
      <c r="K1535" s="8" t="str">
        <f t="shared" si="285"/>
        <v>Riparian</v>
      </c>
      <c r="L1535" s="8">
        <f t="shared" si="286"/>
        <v>1000</v>
      </c>
      <c r="M1535" s="8" t="str">
        <f t="shared" si="288"/>
        <v>-</v>
      </c>
      <c r="N1535" s="10" t="s">
        <v>242</v>
      </c>
      <c r="O1535" s="10" t="s">
        <v>241</v>
      </c>
      <c r="P1535" s="10" t="s">
        <v>242</v>
      </c>
      <c r="Q1535" s="10" t="s">
        <v>242</v>
      </c>
      <c r="R1535" s="10" t="s">
        <v>242</v>
      </c>
      <c r="S1535" s="10" t="s">
        <v>241</v>
      </c>
      <c r="T1535" s="10" t="s">
        <v>241</v>
      </c>
      <c r="U1535" s="10" t="s">
        <v>241</v>
      </c>
      <c r="V1535" s="10" t="s">
        <v>241</v>
      </c>
      <c r="W1535" s="10" t="s">
        <v>242</v>
      </c>
      <c r="X1535" s="15">
        <f>IF(ISERROR(VLOOKUP($A1535,'13. Updated Demand'!A:Z,15,FALSE)),0,VLOOKUP($A1535,'13. Updated Demand'!A:Z,15,FALSE))</f>
        <v>0</v>
      </c>
      <c r="Y1535" s="16">
        <f>IF(ISERROR(VLOOKUP($A1535,'13. Updated Demand'!A:Z,16,FALSE)),0,VLOOKUP($A1535,'13. Updated Demand'!A:Z,16,FALSE))</f>
        <v>0</v>
      </c>
      <c r="Z1535" s="16">
        <f>IF(ISERROR(VLOOKUP($A1535,'13. Updated Demand'!A:Z,17,FALSE)),0,VLOOKUP($A1535,'13. Updated Demand'!A:Z,17,FALSE))</f>
        <v>0</v>
      </c>
      <c r="AA1535" s="16">
        <f>IF(ISERROR(VLOOKUP($A1535,'13. Updated Demand'!A:Z,18,FALSE)),0,VLOOKUP($A1535,'13. Updated Demand'!A:Z,18,FALSE))</f>
        <v>0</v>
      </c>
      <c r="AB1535" s="16">
        <f>IF(ISERROR(VLOOKUP($A1535,'13. Updated Demand'!A:Z,19,FALSE)),0,VLOOKUP($A1535,'13. Updated Demand'!A:Z,19,FALSE))</f>
        <v>0</v>
      </c>
      <c r="AC1535" s="16">
        <f>IF(ISERROR(VLOOKUP($A1535,'13. Updated Demand'!A:Z,20,FALSE)),0,VLOOKUP($A1535,'13. Updated Demand'!A:Z,20,FALSE))</f>
        <v>0</v>
      </c>
      <c r="AD1535" s="16">
        <f>IF(ISERROR(VLOOKUP($A1535,'13. Updated Demand'!A:Z,21,FALSE)),0,VLOOKUP($A1535,'13. Updated Demand'!A:Z,21,FALSE))</f>
        <v>0</v>
      </c>
      <c r="AE1535" s="16">
        <f>IF(ISERROR(VLOOKUP($A1535,'13. Updated Demand'!A:Z,22,FALSE)),0,VLOOKUP($A1535,'13. Updated Demand'!A:Z,22,FALSE))</f>
        <v>0</v>
      </c>
      <c r="AF1535" s="16">
        <f>IF(ISERROR(VLOOKUP($A1535,'13. Updated Demand'!A:Z,23,FALSE)),0,VLOOKUP($A1535,'13. Updated Demand'!A:Z,23,FALSE))</f>
        <v>0</v>
      </c>
      <c r="AG1535" s="16">
        <f>IF(ISERROR(VLOOKUP($A1535,'13. Updated Demand'!A:Z,24,FALSE)),0,VLOOKUP($A1535,'13. Updated Demand'!A:Z,24,FALSE))</f>
        <v>0</v>
      </c>
      <c r="AH1535" s="16">
        <f>IF(ISERROR(VLOOKUP($A1535,'13. Updated Demand'!A:Z,25,FALSE)),0,VLOOKUP($A1535,'13. Updated Demand'!A:Z,25,FALSE))</f>
        <v>0</v>
      </c>
      <c r="AI1535" s="16">
        <f>IF(ISERROR(VLOOKUP($A1535,'13. Updated Demand'!A:Z,26,FALSE)),0,VLOOKUP($A1535,'13. Updated Demand'!A:Z,26,FALSE))</f>
        <v>0</v>
      </c>
      <c r="AJ1535" s="16">
        <f t="shared" si="289"/>
        <v>0</v>
      </c>
      <c r="AK1535" s="19">
        <v>0</v>
      </c>
      <c r="AL1535" s="16">
        <f t="shared" si="287"/>
        <v>0</v>
      </c>
      <c r="AM1535" s="26">
        <v>0</v>
      </c>
      <c r="AN1535" s="19">
        <v>30.0626</v>
      </c>
      <c r="AO1535" s="19" t="s">
        <v>1758</v>
      </c>
      <c r="AP1535" s="19">
        <v>0</v>
      </c>
      <c r="AQ1535" s="19" t="s">
        <v>307</v>
      </c>
      <c r="AR1535" s="9" t="s">
        <v>354</v>
      </c>
      <c r="AS1535" s="12">
        <v>3.4039024194010059E-4</v>
      </c>
      <c r="AT1535" s="19">
        <v>38.763349669999997</v>
      </c>
      <c r="AU1535" s="19">
        <v>-123.00275144</v>
      </c>
      <c r="AV1535" s="19" t="s">
        <v>1927</v>
      </c>
    </row>
    <row r="1536" spans="1:48" x14ac:dyDescent="0.25">
      <c r="A1536" s="18" t="s">
        <v>1928</v>
      </c>
      <c r="B1536" s="10">
        <v>10000000</v>
      </c>
      <c r="C1536" s="9">
        <v>9</v>
      </c>
      <c r="D1536" s="8" t="str">
        <f t="shared" si="278"/>
        <v>N</v>
      </c>
      <c r="E1536" s="8" t="str">
        <f t="shared" si="279"/>
        <v>Y</v>
      </c>
      <c r="F1536" s="8" t="str">
        <f t="shared" si="280"/>
        <v>Y</v>
      </c>
      <c r="G1536" s="8" t="str">
        <f t="shared" si="281"/>
        <v>Y</v>
      </c>
      <c r="H1536" s="8" t="str">
        <f t="shared" si="282"/>
        <v>Upper</v>
      </c>
      <c r="I1536" s="8" t="str">
        <f t="shared" si="283"/>
        <v>West Fork and Below Lake</v>
      </c>
      <c r="J1536" s="8" t="str">
        <f t="shared" si="284"/>
        <v>Sonoma (d/s of Clov. Gage)</v>
      </c>
      <c r="K1536" s="8" t="str">
        <f t="shared" si="285"/>
        <v>Riparian</v>
      </c>
      <c r="L1536" s="8">
        <f t="shared" si="286"/>
        <v>1000</v>
      </c>
      <c r="M1536" s="8" t="str">
        <f t="shared" si="288"/>
        <v>-</v>
      </c>
      <c r="N1536" s="10" t="s">
        <v>242</v>
      </c>
      <c r="O1536" s="10" t="s">
        <v>241</v>
      </c>
      <c r="P1536" s="10" t="s">
        <v>242</v>
      </c>
      <c r="Q1536" s="10" t="s">
        <v>242</v>
      </c>
      <c r="R1536" s="10" t="s">
        <v>242</v>
      </c>
      <c r="S1536" s="10" t="s">
        <v>241</v>
      </c>
      <c r="T1536" s="10" t="s">
        <v>242</v>
      </c>
      <c r="U1536" s="10" t="s">
        <v>241</v>
      </c>
      <c r="V1536" s="10" t="s">
        <v>241</v>
      </c>
      <c r="W1536" s="10" t="s">
        <v>242</v>
      </c>
      <c r="X1536" s="15">
        <f>IF(ISERROR(VLOOKUP($A1536,'13. Updated Demand'!A:Z,15,FALSE)),0,VLOOKUP($A1536,'13. Updated Demand'!A:Z,15,FALSE))</f>
        <v>0</v>
      </c>
      <c r="Y1536" s="16">
        <f>IF(ISERROR(VLOOKUP($A1536,'13. Updated Demand'!A:Z,16,FALSE)),0,VLOOKUP($A1536,'13. Updated Demand'!A:Z,16,FALSE))</f>
        <v>0</v>
      </c>
      <c r="Z1536" s="16">
        <f>IF(ISERROR(VLOOKUP($A1536,'13. Updated Demand'!A:Z,17,FALSE)),0,VLOOKUP($A1536,'13. Updated Demand'!A:Z,17,FALSE))</f>
        <v>0</v>
      </c>
      <c r="AA1536" s="16">
        <f>IF(ISERROR(VLOOKUP($A1536,'13. Updated Demand'!A:Z,18,FALSE)),0,VLOOKUP($A1536,'13. Updated Demand'!A:Z,18,FALSE))</f>
        <v>0</v>
      </c>
      <c r="AB1536" s="16">
        <f>IF(ISERROR(VLOOKUP($A1536,'13. Updated Demand'!A:Z,19,FALSE)),0,VLOOKUP($A1536,'13. Updated Demand'!A:Z,19,FALSE))</f>
        <v>0</v>
      </c>
      <c r="AC1536" s="16">
        <f>IF(ISERROR(VLOOKUP($A1536,'13. Updated Demand'!A:Z,20,FALSE)),0,VLOOKUP($A1536,'13. Updated Demand'!A:Z,20,FALSE))</f>
        <v>0</v>
      </c>
      <c r="AD1536" s="16">
        <f>IF(ISERROR(VLOOKUP($A1536,'13. Updated Demand'!A:Z,21,FALSE)),0,VLOOKUP($A1536,'13. Updated Demand'!A:Z,21,FALSE))</f>
        <v>0</v>
      </c>
      <c r="AE1536" s="16">
        <f>IF(ISERROR(VLOOKUP($A1536,'13. Updated Demand'!A:Z,22,FALSE)),0,VLOOKUP($A1536,'13. Updated Demand'!A:Z,22,FALSE))</f>
        <v>0</v>
      </c>
      <c r="AF1536" s="16">
        <f>IF(ISERROR(VLOOKUP($A1536,'13. Updated Demand'!A:Z,23,FALSE)),0,VLOOKUP($A1536,'13. Updated Demand'!A:Z,23,FALSE))</f>
        <v>0</v>
      </c>
      <c r="AG1536" s="16">
        <f>IF(ISERROR(VLOOKUP($A1536,'13. Updated Demand'!A:Z,24,FALSE)),0,VLOOKUP($A1536,'13. Updated Demand'!A:Z,24,FALSE))</f>
        <v>0</v>
      </c>
      <c r="AH1536" s="16">
        <f>IF(ISERROR(VLOOKUP($A1536,'13. Updated Demand'!A:Z,25,FALSE)),0,VLOOKUP($A1536,'13. Updated Demand'!A:Z,25,FALSE))</f>
        <v>0</v>
      </c>
      <c r="AI1536" s="16">
        <f>IF(ISERROR(VLOOKUP($A1536,'13. Updated Demand'!A:Z,26,FALSE)),0,VLOOKUP($A1536,'13. Updated Demand'!A:Z,26,FALSE))</f>
        <v>0</v>
      </c>
      <c r="AJ1536" s="16">
        <f t="shared" si="289"/>
        <v>0</v>
      </c>
      <c r="AK1536" s="19">
        <v>0</v>
      </c>
      <c r="AL1536" s="16">
        <f t="shared" si="287"/>
        <v>0</v>
      </c>
      <c r="AM1536" s="26">
        <v>0</v>
      </c>
      <c r="AN1536" s="19">
        <v>0</v>
      </c>
      <c r="AO1536" s="19" t="s">
        <v>1758</v>
      </c>
      <c r="AP1536" s="19">
        <v>0</v>
      </c>
      <c r="AQ1536" s="19" t="s">
        <v>307</v>
      </c>
      <c r="AR1536" s="9" t="s">
        <v>354</v>
      </c>
      <c r="AS1536" s="12">
        <v>0</v>
      </c>
      <c r="AT1536" s="19">
        <v>38.749210339999998</v>
      </c>
      <c r="AU1536" s="19">
        <v>-122.98642162</v>
      </c>
      <c r="AV1536" s="19" t="s">
        <v>417</v>
      </c>
    </row>
    <row r="1537" spans="1:48" x14ac:dyDescent="0.25">
      <c r="A1537" s="18" t="s">
        <v>1929</v>
      </c>
      <c r="B1537" s="10">
        <v>10000000</v>
      </c>
      <c r="C1537" s="9">
        <v>9</v>
      </c>
      <c r="D1537" s="8" t="str">
        <f t="shared" si="278"/>
        <v>N</v>
      </c>
      <c r="E1537" s="8" t="str">
        <f t="shared" si="279"/>
        <v>Y</v>
      </c>
      <c r="F1537" s="8" t="str">
        <f t="shared" si="280"/>
        <v>Y</v>
      </c>
      <c r="G1537" s="8" t="str">
        <f t="shared" si="281"/>
        <v>Y</v>
      </c>
      <c r="H1537" s="8" t="str">
        <f t="shared" si="282"/>
        <v>Upper</v>
      </c>
      <c r="I1537" s="8" t="str">
        <f t="shared" si="283"/>
        <v>West Fork and Below Lake</v>
      </c>
      <c r="J1537" s="8" t="str">
        <f t="shared" si="284"/>
        <v>Sonoma (d/s of Clov. Gage)</v>
      </c>
      <c r="K1537" s="8" t="str">
        <f t="shared" si="285"/>
        <v>Riparian</v>
      </c>
      <c r="L1537" s="8">
        <f t="shared" si="286"/>
        <v>1000</v>
      </c>
      <c r="M1537" s="8" t="str">
        <f t="shared" si="288"/>
        <v>-</v>
      </c>
      <c r="N1537" s="10" t="s">
        <v>242</v>
      </c>
      <c r="O1537" s="10" t="s">
        <v>241</v>
      </c>
      <c r="P1537" s="10" t="s">
        <v>242</v>
      </c>
      <c r="Q1537" s="10" t="s">
        <v>242</v>
      </c>
      <c r="R1537" s="10" t="s">
        <v>242</v>
      </c>
      <c r="S1537" s="10" t="s">
        <v>241</v>
      </c>
      <c r="T1537" s="10" t="s">
        <v>242</v>
      </c>
      <c r="U1537" s="10" t="s">
        <v>241</v>
      </c>
      <c r="V1537" s="10" t="s">
        <v>241</v>
      </c>
      <c r="W1537" s="10" t="s">
        <v>242</v>
      </c>
      <c r="X1537" s="15">
        <f>IF(ISERROR(VLOOKUP($A1537,'13. Updated Demand'!A:Z,15,FALSE)),0,VLOOKUP($A1537,'13. Updated Demand'!A:Z,15,FALSE))</f>
        <v>0</v>
      </c>
      <c r="Y1537" s="16">
        <f>IF(ISERROR(VLOOKUP($A1537,'13. Updated Demand'!A:Z,16,FALSE)),0,VLOOKUP($A1537,'13. Updated Demand'!A:Z,16,FALSE))</f>
        <v>0</v>
      </c>
      <c r="Z1537" s="16">
        <f>IF(ISERROR(VLOOKUP($A1537,'13. Updated Demand'!A:Z,17,FALSE)),0,VLOOKUP($A1537,'13. Updated Demand'!A:Z,17,FALSE))</f>
        <v>0</v>
      </c>
      <c r="AA1537" s="16">
        <f>IF(ISERROR(VLOOKUP($A1537,'13. Updated Demand'!A:Z,18,FALSE)),0,VLOOKUP($A1537,'13. Updated Demand'!A:Z,18,FALSE))</f>
        <v>0</v>
      </c>
      <c r="AB1537" s="16">
        <f>IF(ISERROR(VLOOKUP($A1537,'13. Updated Demand'!A:Z,19,FALSE)),0,VLOOKUP($A1537,'13. Updated Demand'!A:Z,19,FALSE))</f>
        <v>0</v>
      </c>
      <c r="AC1537" s="16">
        <f>IF(ISERROR(VLOOKUP($A1537,'13. Updated Demand'!A:Z,20,FALSE)),0,VLOOKUP($A1537,'13. Updated Demand'!A:Z,20,FALSE))</f>
        <v>0</v>
      </c>
      <c r="AD1537" s="16">
        <f>IF(ISERROR(VLOOKUP($A1537,'13. Updated Demand'!A:Z,21,FALSE)),0,VLOOKUP($A1537,'13. Updated Demand'!A:Z,21,FALSE))</f>
        <v>0</v>
      </c>
      <c r="AE1537" s="16">
        <f>IF(ISERROR(VLOOKUP($A1537,'13. Updated Demand'!A:Z,22,FALSE)),0,VLOOKUP($A1537,'13. Updated Demand'!A:Z,22,FALSE))</f>
        <v>0</v>
      </c>
      <c r="AF1537" s="16">
        <f>IF(ISERROR(VLOOKUP($A1537,'13. Updated Demand'!A:Z,23,FALSE)),0,VLOOKUP($A1537,'13. Updated Demand'!A:Z,23,FALSE))</f>
        <v>0</v>
      </c>
      <c r="AG1537" s="16">
        <f>IF(ISERROR(VLOOKUP($A1537,'13. Updated Demand'!A:Z,24,FALSE)),0,VLOOKUP($A1537,'13. Updated Demand'!A:Z,24,FALSE))</f>
        <v>0</v>
      </c>
      <c r="AH1537" s="16">
        <f>IF(ISERROR(VLOOKUP($A1537,'13. Updated Demand'!A:Z,25,FALSE)),0,VLOOKUP($A1537,'13. Updated Demand'!A:Z,25,FALSE))</f>
        <v>0</v>
      </c>
      <c r="AI1537" s="16">
        <f>IF(ISERROR(VLOOKUP($A1537,'13. Updated Demand'!A:Z,26,FALSE)),0,VLOOKUP($A1537,'13. Updated Demand'!A:Z,26,FALSE))</f>
        <v>0</v>
      </c>
      <c r="AJ1537" s="16">
        <f t="shared" si="289"/>
        <v>0</v>
      </c>
      <c r="AK1537" s="19">
        <v>0</v>
      </c>
      <c r="AL1537" s="16">
        <f t="shared" si="287"/>
        <v>0</v>
      </c>
      <c r="AM1537" s="26">
        <v>0</v>
      </c>
      <c r="AN1537" s="19">
        <v>0</v>
      </c>
      <c r="AO1537" s="19" t="s">
        <v>1758</v>
      </c>
      <c r="AP1537" s="19">
        <v>0</v>
      </c>
      <c r="AQ1537" s="19" t="s">
        <v>307</v>
      </c>
      <c r="AR1537" s="9" t="s">
        <v>354</v>
      </c>
      <c r="AS1537" s="12">
        <v>0</v>
      </c>
      <c r="AT1537" s="19">
        <v>38.749222230000001</v>
      </c>
      <c r="AU1537" s="19">
        <v>-122.9850191</v>
      </c>
      <c r="AV1537" s="19" t="s">
        <v>417</v>
      </c>
    </row>
    <row r="1538" spans="1:48" x14ac:dyDescent="0.25">
      <c r="A1538" s="18" t="s">
        <v>111</v>
      </c>
      <c r="B1538" s="10">
        <v>10000000</v>
      </c>
      <c r="C1538" s="9">
        <v>12</v>
      </c>
      <c r="D1538" s="8" t="str">
        <f t="shared" ref="D1538:D1601" si="290">IF(OR(C1538=4,C1538=5,C1538=6),"Y","N")</f>
        <v>N</v>
      </c>
      <c r="E1538" s="8" t="str">
        <f t="shared" ref="E1538:E1601" si="291">IF(AND(C1538&gt;6,C1538&lt;14),"Y","N")</f>
        <v>Y</v>
      </c>
      <c r="F1538" s="8" t="str">
        <f t="shared" ref="F1538:F1601" si="292">IF(C1538&lt;14,"Y","N")</f>
        <v>Y</v>
      </c>
      <c r="G1538" s="8" t="str">
        <f t="shared" ref="G1538:G1601" si="293">IF(OR(C1538=1,AND(C1538&gt;3,C1538&lt;14)),"Y","N")</f>
        <v>Y</v>
      </c>
      <c r="H1538" s="8" t="str">
        <f t="shared" ref="H1538:H1601" si="294">IF(C1538&lt;14,"Upper","Lower")</f>
        <v>Upper</v>
      </c>
      <c r="I1538" s="8" t="str">
        <f t="shared" ref="I1538:I1601" si="295">IF(G1538="Y","West Fork and Below Lake","Outside")</f>
        <v>West Fork and Below Lake</v>
      </c>
      <c r="J1538" s="8" t="str">
        <f t="shared" ref="J1538:J1601" si="296">IF(D1538="Y", "Mendocino (d/s of lake)", IF(E1538="Y", "Sonoma (d/s of Clov. Gage)","Outside"))</f>
        <v>Sonoma (d/s of Clov. Gage)</v>
      </c>
      <c r="K1538" s="8" t="str">
        <f t="shared" ref="K1538:K1601" si="297">IF(P1538="Y","pre-1914",IF(Q1538="Y","Pre-1949",IF(R1538="Y","Post-1949",IF(S1538="Y","Riparian","Unknown"))))</f>
        <v>Riparian</v>
      </c>
      <c r="L1538" s="8">
        <f t="shared" ref="L1538:L1601" si="298">_xlfn.NUMBERVALUE(LEFT(B1538,4))</f>
        <v>1000</v>
      </c>
      <c r="M1538" s="8" t="str">
        <f t="shared" si="288"/>
        <v>-</v>
      </c>
      <c r="N1538" s="10" t="s">
        <v>241</v>
      </c>
      <c r="O1538" s="10" t="s">
        <v>241</v>
      </c>
      <c r="P1538" s="10" t="s">
        <v>242</v>
      </c>
      <c r="Q1538" s="10" t="s">
        <v>242</v>
      </c>
      <c r="R1538" s="10" t="s">
        <v>242</v>
      </c>
      <c r="S1538" s="10" t="s">
        <v>241</v>
      </c>
      <c r="T1538" s="10" t="s">
        <v>242</v>
      </c>
      <c r="U1538" s="10" t="s">
        <v>242</v>
      </c>
      <c r="V1538" s="10" t="s">
        <v>242</v>
      </c>
      <c r="W1538" s="10" t="s">
        <v>242</v>
      </c>
      <c r="X1538" s="15">
        <f>IF(ISERROR(VLOOKUP($A1538,'13. Updated Demand'!A:Z,15,FALSE)),0,VLOOKUP($A1538,'13. Updated Demand'!A:Z,15,FALSE))</f>
        <v>0</v>
      </c>
      <c r="Y1538" s="16">
        <f>IF(ISERROR(VLOOKUP($A1538,'13. Updated Demand'!A:Z,16,FALSE)),0,VLOOKUP($A1538,'13. Updated Demand'!A:Z,16,FALSE))</f>
        <v>0</v>
      </c>
      <c r="Z1538" s="16">
        <f>IF(ISERROR(VLOOKUP($A1538,'13. Updated Demand'!A:Z,17,FALSE)),0,VLOOKUP($A1538,'13. Updated Demand'!A:Z,17,FALSE))</f>
        <v>0</v>
      </c>
      <c r="AA1538" s="16">
        <f>IF(ISERROR(VLOOKUP($A1538,'13. Updated Demand'!A:Z,18,FALSE)),0,VLOOKUP($A1538,'13. Updated Demand'!A:Z,18,FALSE))</f>
        <v>0</v>
      </c>
      <c r="AB1538" s="16">
        <f>IF(ISERROR(VLOOKUP($A1538,'13. Updated Demand'!A:Z,19,FALSE)),0,VLOOKUP($A1538,'13. Updated Demand'!A:Z,19,FALSE))</f>
        <v>3.89</v>
      </c>
      <c r="AC1538" s="16">
        <f>IF(ISERROR(VLOOKUP($A1538,'13. Updated Demand'!A:Z,20,FALSE)),0,VLOOKUP($A1538,'13. Updated Demand'!A:Z,20,FALSE))</f>
        <v>2.63</v>
      </c>
      <c r="AD1538" s="16">
        <f>IF(ISERROR(VLOOKUP($A1538,'13. Updated Demand'!A:Z,21,FALSE)),0,VLOOKUP($A1538,'13. Updated Demand'!A:Z,21,FALSE))</f>
        <v>13.81</v>
      </c>
      <c r="AE1538" s="16">
        <f>IF(ISERROR(VLOOKUP($A1538,'13. Updated Demand'!A:Z,22,FALSE)),0,VLOOKUP($A1538,'13. Updated Demand'!A:Z,22,FALSE))</f>
        <v>13.34</v>
      </c>
      <c r="AF1538" s="16">
        <f>IF(ISERROR(VLOOKUP($A1538,'13. Updated Demand'!A:Z,23,FALSE)),0,VLOOKUP($A1538,'13. Updated Demand'!A:Z,23,FALSE))</f>
        <v>7.01</v>
      </c>
      <c r="AG1538" s="16">
        <f>IF(ISERROR(VLOOKUP($A1538,'13. Updated Demand'!A:Z,24,FALSE)),0,VLOOKUP($A1538,'13. Updated Demand'!A:Z,24,FALSE))</f>
        <v>4.8499999999999996</v>
      </c>
      <c r="AH1538" s="16">
        <f>IF(ISERROR(VLOOKUP($A1538,'13. Updated Demand'!A:Z,25,FALSE)),0,VLOOKUP($A1538,'13. Updated Demand'!A:Z,25,FALSE))</f>
        <v>11.24</v>
      </c>
      <c r="AI1538" s="16">
        <f>IF(ISERROR(VLOOKUP($A1538,'13. Updated Demand'!A:Z,26,FALSE)),0,VLOOKUP($A1538,'13. Updated Demand'!A:Z,26,FALSE))</f>
        <v>0</v>
      </c>
      <c r="AJ1538" s="16">
        <f t="shared" si="289"/>
        <v>56.77</v>
      </c>
      <c r="AK1538" s="19">
        <v>40.689944666666698</v>
      </c>
      <c r="AL1538" s="16">
        <f t="shared" ref="AL1538:AL1601" si="299">AK1538/152/1.983471</f>
        <v>0.13496391143907074</v>
      </c>
      <c r="AM1538" s="26">
        <v>15.754910109865726</v>
      </c>
      <c r="AN1538" s="19">
        <v>3.6044</v>
      </c>
      <c r="AO1538" s="19" t="s">
        <v>1758</v>
      </c>
      <c r="AP1538" s="19">
        <v>0</v>
      </c>
      <c r="AQ1538" s="19" t="s">
        <v>307</v>
      </c>
      <c r="AR1538" s="9" t="s">
        <v>311</v>
      </c>
      <c r="AS1538" s="12">
        <v>0</v>
      </c>
      <c r="AT1538" s="19">
        <v>38.609099999999998</v>
      </c>
      <c r="AU1538" s="19">
        <v>-122.7839</v>
      </c>
      <c r="AV1538" s="19" t="s">
        <v>387</v>
      </c>
    </row>
    <row r="1539" spans="1:48" x14ac:dyDescent="0.25">
      <c r="A1539" s="18" t="s">
        <v>1930</v>
      </c>
      <c r="B1539" s="10">
        <v>10000000</v>
      </c>
      <c r="C1539" s="9">
        <v>6</v>
      </c>
      <c r="D1539" s="8" t="str">
        <f t="shared" si="290"/>
        <v>Y</v>
      </c>
      <c r="E1539" s="8" t="str">
        <f t="shared" si="291"/>
        <v>N</v>
      </c>
      <c r="F1539" s="8" t="str">
        <f t="shared" si="292"/>
        <v>Y</v>
      </c>
      <c r="G1539" s="8" t="str">
        <f t="shared" si="293"/>
        <v>Y</v>
      </c>
      <c r="H1539" s="8" t="str">
        <f t="shared" si="294"/>
        <v>Upper</v>
      </c>
      <c r="I1539" s="8" t="str">
        <f t="shared" si="295"/>
        <v>West Fork and Below Lake</v>
      </c>
      <c r="J1539" s="8" t="str">
        <f t="shared" si="296"/>
        <v>Mendocino (d/s of lake)</v>
      </c>
      <c r="K1539" s="8" t="str">
        <f t="shared" si="297"/>
        <v>Riparian</v>
      </c>
      <c r="L1539" s="8">
        <f t="shared" si="298"/>
        <v>1000</v>
      </c>
      <c r="M1539" s="8" t="str">
        <f t="shared" ref="M1539:M1602" si="300">IF(L1539=1949,"1949",IF(AND(L1539&gt;1949,L1539&lt;1953),"1950-1952",IF(AND(L1539&gt;1952,L1539&lt;1955),"1953-1954",IF(AND(L1539&gt;1954,L1539&lt;1957),"1955-1956",IF(AND(L1539&gt;1956,L1539&lt;1960),"1957-1959",IF(AND(L1539&gt;1959,L1539&lt;1971),"1960-1970",IF(AND(L1539&gt;1970,L1539&lt;1991),"1971-1990",IF(L1539&gt;1990,"1991-present","-"))))))))</f>
        <v>-</v>
      </c>
      <c r="N1539" s="10" t="s">
        <v>242</v>
      </c>
      <c r="O1539" s="10" t="s">
        <v>241</v>
      </c>
      <c r="P1539" s="10" t="s">
        <v>242</v>
      </c>
      <c r="Q1539" s="10" t="s">
        <v>242</v>
      </c>
      <c r="R1539" s="10" t="s">
        <v>242</v>
      </c>
      <c r="S1539" s="10" t="s">
        <v>241</v>
      </c>
      <c r="T1539" s="10" t="s">
        <v>242</v>
      </c>
      <c r="U1539" s="10" t="s">
        <v>241</v>
      </c>
      <c r="V1539" s="10" t="s">
        <v>241</v>
      </c>
      <c r="W1539" s="10" t="s">
        <v>242</v>
      </c>
      <c r="X1539" s="15">
        <f>IF(ISERROR(VLOOKUP($A1539,'13. Updated Demand'!A:Z,15,FALSE)),0,VLOOKUP($A1539,'13. Updated Demand'!A:Z,15,FALSE))</f>
        <v>0</v>
      </c>
      <c r="Y1539" s="16">
        <f>IF(ISERROR(VLOOKUP($A1539,'13. Updated Demand'!A:Z,16,FALSE)),0,VLOOKUP($A1539,'13. Updated Demand'!A:Z,16,FALSE))</f>
        <v>0</v>
      </c>
      <c r="Z1539" s="16">
        <f>IF(ISERROR(VLOOKUP($A1539,'13. Updated Demand'!A:Z,17,FALSE)),0,VLOOKUP($A1539,'13. Updated Demand'!A:Z,17,FALSE))</f>
        <v>0</v>
      </c>
      <c r="AA1539" s="16">
        <f>IF(ISERROR(VLOOKUP($A1539,'13. Updated Demand'!A:Z,18,FALSE)),0,VLOOKUP($A1539,'13. Updated Demand'!A:Z,18,FALSE))</f>
        <v>0</v>
      </c>
      <c r="AB1539" s="16">
        <f>IF(ISERROR(VLOOKUP($A1539,'13. Updated Demand'!A:Z,19,FALSE)),0,VLOOKUP($A1539,'13. Updated Demand'!A:Z,19,FALSE))</f>
        <v>0</v>
      </c>
      <c r="AC1539" s="16">
        <f>IF(ISERROR(VLOOKUP($A1539,'13. Updated Demand'!A:Z,20,FALSE)),0,VLOOKUP($A1539,'13. Updated Demand'!A:Z,20,FALSE))</f>
        <v>0</v>
      </c>
      <c r="AD1539" s="16">
        <f>IF(ISERROR(VLOOKUP($A1539,'13. Updated Demand'!A:Z,21,FALSE)),0,VLOOKUP($A1539,'13. Updated Demand'!A:Z,21,FALSE))</f>
        <v>0</v>
      </c>
      <c r="AE1539" s="16">
        <f>IF(ISERROR(VLOOKUP($A1539,'13. Updated Demand'!A:Z,22,FALSE)),0,VLOOKUP($A1539,'13. Updated Demand'!A:Z,22,FALSE))</f>
        <v>0</v>
      </c>
      <c r="AF1539" s="16">
        <f>IF(ISERROR(VLOOKUP($A1539,'13. Updated Demand'!A:Z,23,FALSE)),0,VLOOKUP($A1539,'13. Updated Demand'!A:Z,23,FALSE))</f>
        <v>0</v>
      </c>
      <c r="AG1539" s="16">
        <f>IF(ISERROR(VLOOKUP($A1539,'13. Updated Demand'!A:Z,24,FALSE)),0,VLOOKUP($A1539,'13. Updated Demand'!A:Z,24,FALSE))</f>
        <v>0</v>
      </c>
      <c r="AH1539" s="16">
        <f>IF(ISERROR(VLOOKUP($A1539,'13. Updated Demand'!A:Z,25,FALSE)),0,VLOOKUP($A1539,'13. Updated Demand'!A:Z,25,FALSE))</f>
        <v>0</v>
      </c>
      <c r="AI1539" s="16">
        <f>IF(ISERROR(VLOOKUP($A1539,'13. Updated Demand'!A:Z,26,FALSE)),0,VLOOKUP($A1539,'13. Updated Demand'!A:Z,26,FALSE))</f>
        <v>0</v>
      </c>
      <c r="AJ1539" s="16">
        <f t="shared" si="289"/>
        <v>0</v>
      </c>
      <c r="AK1539" s="19">
        <v>0</v>
      </c>
      <c r="AL1539" s="16">
        <f t="shared" si="299"/>
        <v>0</v>
      </c>
      <c r="AM1539" s="26">
        <v>0</v>
      </c>
      <c r="AN1539" s="19">
        <v>1.4001999999999999</v>
      </c>
      <c r="AO1539" s="19" t="s">
        <v>1758</v>
      </c>
      <c r="AP1539" s="19">
        <v>0</v>
      </c>
      <c r="AQ1539" s="19" t="s">
        <v>307</v>
      </c>
      <c r="AR1539" s="9" t="s">
        <v>319</v>
      </c>
      <c r="AS1539" s="12">
        <v>0</v>
      </c>
      <c r="AT1539" s="19">
        <v>38.972416320000001</v>
      </c>
      <c r="AU1539" s="19">
        <v>-123.083445</v>
      </c>
      <c r="AV1539" s="19" t="s">
        <v>476</v>
      </c>
    </row>
    <row r="1540" spans="1:48" x14ac:dyDescent="0.25">
      <c r="A1540" s="18" t="s">
        <v>1931</v>
      </c>
      <c r="B1540" s="10">
        <v>10000000</v>
      </c>
      <c r="C1540" s="9">
        <v>5</v>
      </c>
      <c r="D1540" s="8" t="str">
        <f t="shared" si="290"/>
        <v>Y</v>
      </c>
      <c r="E1540" s="8" t="str">
        <f t="shared" si="291"/>
        <v>N</v>
      </c>
      <c r="F1540" s="8" t="str">
        <f t="shared" si="292"/>
        <v>Y</v>
      </c>
      <c r="G1540" s="8" t="str">
        <f t="shared" si="293"/>
        <v>Y</v>
      </c>
      <c r="H1540" s="8" t="str">
        <f t="shared" si="294"/>
        <v>Upper</v>
      </c>
      <c r="I1540" s="8" t="str">
        <f t="shared" si="295"/>
        <v>West Fork and Below Lake</v>
      </c>
      <c r="J1540" s="8" t="str">
        <f t="shared" si="296"/>
        <v>Mendocino (d/s of lake)</v>
      </c>
      <c r="K1540" s="8" t="str">
        <f t="shared" si="297"/>
        <v>Riparian</v>
      </c>
      <c r="L1540" s="8">
        <f t="shared" si="298"/>
        <v>1000</v>
      </c>
      <c r="M1540" s="8" t="str">
        <f t="shared" si="300"/>
        <v>-</v>
      </c>
      <c r="N1540" s="10" t="s">
        <v>242</v>
      </c>
      <c r="O1540" s="10" t="s">
        <v>241</v>
      </c>
      <c r="P1540" s="10" t="s">
        <v>242</v>
      </c>
      <c r="Q1540" s="10" t="s">
        <v>242</v>
      </c>
      <c r="R1540" s="10" t="s">
        <v>242</v>
      </c>
      <c r="S1540" s="10" t="s">
        <v>241</v>
      </c>
      <c r="T1540" s="10" t="s">
        <v>242</v>
      </c>
      <c r="U1540" s="10" t="s">
        <v>241</v>
      </c>
      <c r="V1540" s="10" t="s">
        <v>241</v>
      </c>
      <c r="W1540" s="10" t="s">
        <v>242</v>
      </c>
      <c r="X1540" s="15">
        <f>IF(ISERROR(VLOOKUP($A1540,'13. Updated Demand'!A:Z,15,FALSE)),0,VLOOKUP($A1540,'13. Updated Demand'!A:Z,15,FALSE))</f>
        <v>0</v>
      </c>
      <c r="Y1540" s="16">
        <f>IF(ISERROR(VLOOKUP($A1540,'13. Updated Demand'!A:Z,16,FALSE)),0,VLOOKUP($A1540,'13. Updated Demand'!A:Z,16,FALSE))</f>
        <v>0</v>
      </c>
      <c r="Z1540" s="16">
        <f>IF(ISERROR(VLOOKUP($A1540,'13. Updated Demand'!A:Z,17,FALSE)),0,VLOOKUP($A1540,'13. Updated Demand'!A:Z,17,FALSE))</f>
        <v>0</v>
      </c>
      <c r="AA1540" s="16">
        <f>IF(ISERROR(VLOOKUP($A1540,'13. Updated Demand'!A:Z,18,FALSE)),0,VLOOKUP($A1540,'13. Updated Demand'!A:Z,18,FALSE))</f>
        <v>0</v>
      </c>
      <c r="AB1540" s="16">
        <f>IF(ISERROR(VLOOKUP($A1540,'13. Updated Demand'!A:Z,19,FALSE)),0,VLOOKUP($A1540,'13. Updated Demand'!A:Z,19,FALSE))</f>
        <v>0</v>
      </c>
      <c r="AC1540" s="16">
        <f>IF(ISERROR(VLOOKUP($A1540,'13. Updated Demand'!A:Z,20,FALSE)),0,VLOOKUP($A1540,'13. Updated Demand'!A:Z,20,FALSE))</f>
        <v>0</v>
      </c>
      <c r="AD1540" s="16">
        <f>IF(ISERROR(VLOOKUP($A1540,'13. Updated Demand'!A:Z,21,FALSE)),0,VLOOKUP($A1540,'13. Updated Demand'!A:Z,21,FALSE))</f>
        <v>0</v>
      </c>
      <c r="AE1540" s="16">
        <f>IF(ISERROR(VLOOKUP($A1540,'13. Updated Demand'!A:Z,22,FALSE)),0,VLOOKUP($A1540,'13. Updated Demand'!A:Z,22,FALSE))</f>
        <v>0</v>
      </c>
      <c r="AF1540" s="16">
        <f>IF(ISERROR(VLOOKUP($A1540,'13. Updated Demand'!A:Z,23,FALSE)),0,VLOOKUP($A1540,'13. Updated Demand'!A:Z,23,FALSE))</f>
        <v>0</v>
      </c>
      <c r="AG1540" s="16">
        <f>IF(ISERROR(VLOOKUP($A1540,'13. Updated Demand'!A:Z,24,FALSE)),0,VLOOKUP($A1540,'13. Updated Demand'!A:Z,24,FALSE))</f>
        <v>0</v>
      </c>
      <c r="AH1540" s="16">
        <f>IF(ISERROR(VLOOKUP($A1540,'13. Updated Demand'!A:Z,25,FALSE)),0,VLOOKUP($A1540,'13. Updated Demand'!A:Z,25,FALSE))</f>
        <v>0</v>
      </c>
      <c r="AI1540" s="16">
        <f>IF(ISERROR(VLOOKUP($A1540,'13. Updated Demand'!A:Z,26,FALSE)),0,VLOOKUP($A1540,'13. Updated Demand'!A:Z,26,FALSE))</f>
        <v>0</v>
      </c>
      <c r="AJ1540" s="16">
        <f t="shared" si="289"/>
        <v>0</v>
      </c>
      <c r="AK1540" s="19">
        <v>0</v>
      </c>
      <c r="AL1540" s="16">
        <f t="shared" si="299"/>
        <v>0</v>
      </c>
      <c r="AM1540" s="26">
        <v>0</v>
      </c>
      <c r="AN1540" s="19">
        <v>27.889399999999998</v>
      </c>
      <c r="AO1540" s="19" t="s">
        <v>1758</v>
      </c>
      <c r="AP1540" s="19">
        <v>0</v>
      </c>
      <c r="AQ1540" s="19" t="s">
        <v>307</v>
      </c>
      <c r="AR1540" s="9" t="s">
        <v>333</v>
      </c>
      <c r="AS1540" s="12">
        <v>0</v>
      </c>
      <c r="AT1540" s="19">
        <v>39.091634249999998</v>
      </c>
      <c r="AU1540" s="19">
        <v>-123.21828723</v>
      </c>
      <c r="AV1540" s="19" t="s">
        <v>1438</v>
      </c>
    </row>
    <row r="1541" spans="1:48" x14ac:dyDescent="0.25">
      <c r="A1541" s="18" t="s">
        <v>1932</v>
      </c>
      <c r="B1541" s="10">
        <v>10000000</v>
      </c>
      <c r="C1541" s="9">
        <v>4</v>
      </c>
      <c r="D1541" s="8" t="str">
        <f t="shared" si="290"/>
        <v>Y</v>
      </c>
      <c r="E1541" s="8" t="str">
        <f t="shared" si="291"/>
        <v>N</v>
      </c>
      <c r="F1541" s="8" t="str">
        <f t="shared" si="292"/>
        <v>Y</v>
      </c>
      <c r="G1541" s="8" t="str">
        <f t="shared" si="293"/>
        <v>Y</v>
      </c>
      <c r="H1541" s="8" t="str">
        <f t="shared" si="294"/>
        <v>Upper</v>
      </c>
      <c r="I1541" s="8" t="str">
        <f t="shared" si="295"/>
        <v>West Fork and Below Lake</v>
      </c>
      <c r="J1541" s="8" t="str">
        <f t="shared" si="296"/>
        <v>Mendocino (d/s of lake)</v>
      </c>
      <c r="K1541" s="8" t="str">
        <f t="shared" si="297"/>
        <v>Riparian</v>
      </c>
      <c r="L1541" s="8">
        <f t="shared" si="298"/>
        <v>1000</v>
      </c>
      <c r="M1541" s="8" t="str">
        <f t="shared" si="300"/>
        <v>-</v>
      </c>
      <c r="N1541" s="10" t="s">
        <v>242</v>
      </c>
      <c r="O1541" s="10" t="s">
        <v>241</v>
      </c>
      <c r="P1541" s="10" t="s">
        <v>242</v>
      </c>
      <c r="Q1541" s="10" t="s">
        <v>242</v>
      </c>
      <c r="R1541" s="10" t="s">
        <v>242</v>
      </c>
      <c r="S1541" s="10" t="s">
        <v>241</v>
      </c>
      <c r="T1541" s="10" t="s">
        <v>242</v>
      </c>
      <c r="U1541" s="10" t="s">
        <v>242</v>
      </c>
      <c r="V1541" s="10" t="s">
        <v>241</v>
      </c>
      <c r="W1541" s="10" t="s">
        <v>242</v>
      </c>
      <c r="X1541" s="15">
        <f>IF(ISERROR(VLOOKUP($A1541,'13. Updated Demand'!A:Z,15,FALSE)),0,VLOOKUP($A1541,'13. Updated Demand'!A:Z,15,FALSE))</f>
        <v>0</v>
      </c>
      <c r="Y1541" s="16">
        <f>IF(ISERROR(VLOOKUP($A1541,'13. Updated Demand'!A:Z,16,FALSE)),0,VLOOKUP($A1541,'13. Updated Demand'!A:Z,16,FALSE))</f>
        <v>0</v>
      </c>
      <c r="Z1541" s="16">
        <f>IF(ISERROR(VLOOKUP($A1541,'13. Updated Demand'!A:Z,17,FALSE)),0,VLOOKUP($A1541,'13. Updated Demand'!A:Z,17,FALSE))</f>
        <v>1.1100000000000001</v>
      </c>
      <c r="AA1541" s="16">
        <f>IF(ISERROR(VLOOKUP($A1541,'13. Updated Demand'!A:Z,18,FALSE)),0,VLOOKUP($A1541,'13. Updated Demand'!A:Z,18,FALSE))</f>
        <v>0</v>
      </c>
      <c r="AB1541" s="16">
        <f>IF(ISERROR(VLOOKUP($A1541,'13. Updated Demand'!A:Z,19,FALSE)),0,VLOOKUP($A1541,'13. Updated Demand'!A:Z,19,FALSE))</f>
        <v>0</v>
      </c>
      <c r="AC1541" s="16">
        <f>IF(ISERROR(VLOOKUP($A1541,'13. Updated Demand'!A:Z,20,FALSE)),0,VLOOKUP($A1541,'13. Updated Demand'!A:Z,20,FALSE))</f>
        <v>0</v>
      </c>
      <c r="AD1541" s="16">
        <f>IF(ISERROR(VLOOKUP($A1541,'13. Updated Demand'!A:Z,21,FALSE)),0,VLOOKUP($A1541,'13. Updated Demand'!A:Z,21,FALSE))</f>
        <v>0</v>
      </c>
      <c r="AE1541" s="16">
        <f>IF(ISERROR(VLOOKUP($A1541,'13. Updated Demand'!A:Z,22,FALSE)),0,VLOOKUP($A1541,'13. Updated Demand'!A:Z,22,FALSE))</f>
        <v>0</v>
      </c>
      <c r="AF1541" s="16">
        <f>IF(ISERROR(VLOOKUP($A1541,'13. Updated Demand'!A:Z,23,FALSE)),0,VLOOKUP($A1541,'13. Updated Demand'!A:Z,23,FALSE))</f>
        <v>0</v>
      </c>
      <c r="AG1541" s="16">
        <f>IF(ISERROR(VLOOKUP($A1541,'13. Updated Demand'!A:Z,24,FALSE)),0,VLOOKUP($A1541,'13. Updated Demand'!A:Z,24,FALSE))</f>
        <v>0</v>
      </c>
      <c r="AH1541" s="16">
        <f>IF(ISERROR(VLOOKUP($A1541,'13. Updated Demand'!A:Z,25,FALSE)),0,VLOOKUP($A1541,'13. Updated Demand'!A:Z,25,FALSE))</f>
        <v>0</v>
      </c>
      <c r="AI1541" s="16">
        <f>IF(ISERROR(VLOOKUP($A1541,'13. Updated Demand'!A:Z,26,FALSE)),0,VLOOKUP($A1541,'13. Updated Demand'!A:Z,26,FALSE))</f>
        <v>0</v>
      </c>
      <c r="AJ1541" s="16">
        <f t="shared" si="289"/>
        <v>1.1100000000000001</v>
      </c>
      <c r="AK1541" s="19">
        <v>0</v>
      </c>
      <c r="AL1541" s="16">
        <f t="shared" si="299"/>
        <v>0</v>
      </c>
      <c r="AM1541" s="26">
        <v>3.3879244270362439E-4</v>
      </c>
      <c r="AN1541" s="19">
        <v>3296.02</v>
      </c>
      <c r="AO1541" s="19" t="s">
        <v>1758</v>
      </c>
      <c r="AP1541" s="19">
        <v>0</v>
      </c>
      <c r="AQ1541" s="19" t="s">
        <v>307</v>
      </c>
      <c r="AR1541" s="9" t="s">
        <v>331</v>
      </c>
      <c r="AS1541" s="12">
        <v>0</v>
      </c>
      <c r="AT1541" s="19">
        <v>39.182724409999999</v>
      </c>
      <c r="AU1541" s="19">
        <v>-123.22549995</v>
      </c>
      <c r="AV1541" s="19" t="s">
        <v>1097</v>
      </c>
    </row>
    <row r="1542" spans="1:48" x14ac:dyDescent="0.25">
      <c r="A1542" s="18" t="s">
        <v>1933</v>
      </c>
      <c r="B1542" s="10">
        <v>10000000</v>
      </c>
      <c r="C1542" s="9">
        <v>2</v>
      </c>
      <c r="D1542" s="8" t="str">
        <f t="shared" si="290"/>
        <v>N</v>
      </c>
      <c r="E1542" s="8" t="str">
        <f t="shared" si="291"/>
        <v>N</v>
      </c>
      <c r="F1542" s="8" t="str">
        <f t="shared" si="292"/>
        <v>Y</v>
      </c>
      <c r="G1542" s="8" t="str">
        <f t="shared" si="293"/>
        <v>N</v>
      </c>
      <c r="H1542" s="8" t="str">
        <f t="shared" si="294"/>
        <v>Upper</v>
      </c>
      <c r="I1542" s="8" t="str">
        <f t="shared" si="295"/>
        <v>Outside</v>
      </c>
      <c r="J1542" s="8" t="str">
        <f t="shared" si="296"/>
        <v>Outside</v>
      </c>
      <c r="K1542" s="8" t="str">
        <f t="shared" si="297"/>
        <v>Riparian</v>
      </c>
      <c r="L1542" s="8">
        <f t="shared" si="298"/>
        <v>1000</v>
      </c>
      <c r="M1542" s="8" t="str">
        <f t="shared" si="300"/>
        <v>-</v>
      </c>
      <c r="N1542" s="10" t="s">
        <v>242</v>
      </c>
      <c r="O1542" s="10" t="s">
        <v>241</v>
      </c>
      <c r="P1542" s="10" t="s">
        <v>242</v>
      </c>
      <c r="Q1542" s="10" t="s">
        <v>242</v>
      </c>
      <c r="R1542" s="10" t="s">
        <v>242</v>
      </c>
      <c r="S1542" s="10" t="s">
        <v>241</v>
      </c>
      <c r="T1542" s="10" t="s">
        <v>242</v>
      </c>
      <c r="U1542" s="10" t="s">
        <v>242</v>
      </c>
      <c r="V1542" s="10" t="s">
        <v>241</v>
      </c>
      <c r="W1542" s="10" t="s">
        <v>242</v>
      </c>
      <c r="X1542" s="15">
        <f>IF(ISERROR(VLOOKUP($A1542,'13. Updated Demand'!A:Z,15,FALSE)),0,VLOOKUP($A1542,'13. Updated Demand'!A:Z,15,FALSE))</f>
        <v>0</v>
      </c>
      <c r="Y1542" s="16">
        <f>IF(ISERROR(VLOOKUP($A1542,'13. Updated Demand'!A:Z,16,FALSE)),0,VLOOKUP($A1542,'13. Updated Demand'!A:Z,16,FALSE))</f>
        <v>0</v>
      </c>
      <c r="Z1542" s="16">
        <f>IF(ISERROR(VLOOKUP($A1542,'13. Updated Demand'!A:Z,17,FALSE)),0,VLOOKUP($A1542,'13. Updated Demand'!A:Z,17,FALSE))</f>
        <v>0</v>
      </c>
      <c r="AA1542" s="16">
        <f>IF(ISERROR(VLOOKUP($A1542,'13. Updated Demand'!A:Z,18,FALSE)),0,VLOOKUP($A1542,'13. Updated Demand'!A:Z,18,FALSE))</f>
        <v>1.95</v>
      </c>
      <c r="AB1542" s="16">
        <f>IF(ISERROR(VLOOKUP($A1542,'13. Updated Demand'!A:Z,19,FALSE)),0,VLOOKUP($A1542,'13. Updated Demand'!A:Z,19,FALSE))</f>
        <v>0</v>
      </c>
      <c r="AC1542" s="16">
        <f>IF(ISERROR(VLOOKUP($A1542,'13. Updated Demand'!A:Z,20,FALSE)),0,VLOOKUP($A1542,'13. Updated Demand'!A:Z,20,FALSE))</f>
        <v>0</v>
      </c>
      <c r="AD1542" s="16">
        <f>IF(ISERROR(VLOOKUP($A1542,'13. Updated Demand'!A:Z,21,FALSE)),0,VLOOKUP($A1542,'13. Updated Demand'!A:Z,21,FALSE))</f>
        <v>0</v>
      </c>
      <c r="AE1542" s="16">
        <f>IF(ISERROR(VLOOKUP($A1542,'13. Updated Demand'!A:Z,22,FALSE)),0,VLOOKUP($A1542,'13. Updated Demand'!A:Z,22,FALSE))</f>
        <v>0</v>
      </c>
      <c r="AF1542" s="16">
        <f>IF(ISERROR(VLOOKUP($A1542,'13. Updated Demand'!A:Z,23,FALSE)),0,VLOOKUP($A1542,'13. Updated Demand'!A:Z,23,FALSE))</f>
        <v>0</v>
      </c>
      <c r="AG1542" s="16">
        <f>IF(ISERROR(VLOOKUP($A1542,'13. Updated Demand'!A:Z,24,FALSE)),0,VLOOKUP($A1542,'13. Updated Demand'!A:Z,24,FALSE))</f>
        <v>0</v>
      </c>
      <c r="AH1542" s="16">
        <f>IF(ISERROR(VLOOKUP($A1542,'13. Updated Demand'!A:Z,25,FALSE)),0,VLOOKUP($A1542,'13. Updated Demand'!A:Z,25,FALSE))</f>
        <v>0.05</v>
      </c>
      <c r="AI1542" s="16">
        <f>IF(ISERROR(VLOOKUP($A1542,'13. Updated Demand'!A:Z,26,FALSE)),0,VLOOKUP($A1542,'13. Updated Demand'!A:Z,26,FALSE))</f>
        <v>0</v>
      </c>
      <c r="AJ1542" s="16">
        <f t="shared" si="289"/>
        <v>2</v>
      </c>
      <c r="AK1542" s="19">
        <v>0</v>
      </c>
      <c r="AL1542" s="16">
        <f t="shared" si="299"/>
        <v>0</v>
      </c>
      <c r="AM1542" s="26">
        <v>8.2689808838194451E-4</v>
      </c>
      <c r="AN1542" s="19">
        <v>2426.7399999999998</v>
      </c>
      <c r="AO1542" s="19" t="s">
        <v>1758</v>
      </c>
      <c r="AP1542" s="19">
        <v>0</v>
      </c>
      <c r="AQ1542" s="19" t="s">
        <v>307</v>
      </c>
      <c r="AR1542" s="9" t="s">
        <v>348</v>
      </c>
      <c r="AS1542" s="12">
        <v>0</v>
      </c>
      <c r="AT1542" s="19">
        <v>39.286412679999998</v>
      </c>
      <c r="AU1542" s="19">
        <v>-123.09779764</v>
      </c>
      <c r="AV1542" s="19" t="s">
        <v>542</v>
      </c>
    </row>
    <row r="1543" spans="1:48" x14ac:dyDescent="0.25">
      <c r="A1543" s="18" t="s">
        <v>1934</v>
      </c>
      <c r="B1543" s="10">
        <v>10000000</v>
      </c>
      <c r="C1543" s="9">
        <v>18</v>
      </c>
      <c r="D1543" s="8" t="str">
        <f t="shared" si="290"/>
        <v>N</v>
      </c>
      <c r="E1543" s="8" t="str">
        <f t="shared" si="291"/>
        <v>N</v>
      </c>
      <c r="F1543" s="8" t="str">
        <f t="shared" si="292"/>
        <v>N</v>
      </c>
      <c r="G1543" s="8" t="str">
        <f t="shared" si="293"/>
        <v>N</v>
      </c>
      <c r="H1543" s="8" t="str">
        <f t="shared" si="294"/>
        <v>Lower</v>
      </c>
      <c r="I1543" s="8" t="str">
        <f t="shared" si="295"/>
        <v>Outside</v>
      </c>
      <c r="J1543" s="8" t="str">
        <f t="shared" si="296"/>
        <v>Outside</v>
      </c>
      <c r="K1543" s="8" t="str">
        <f t="shared" si="297"/>
        <v>Riparian</v>
      </c>
      <c r="L1543" s="8">
        <f t="shared" si="298"/>
        <v>1000</v>
      </c>
      <c r="M1543" s="8" t="str">
        <f t="shared" si="300"/>
        <v>-</v>
      </c>
      <c r="N1543" s="10" t="s">
        <v>242</v>
      </c>
      <c r="O1543" s="10" t="s">
        <v>242</v>
      </c>
      <c r="P1543" s="10" t="s">
        <v>242</v>
      </c>
      <c r="Q1543" s="10" t="s">
        <v>242</v>
      </c>
      <c r="R1543" s="10" t="s">
        <v>242</v>
      </c>
      <c r="S1543" s="10" t="s">
        <v>241</v>
      </c>
      <c r="T1543" s="10" t="s">
        <v>242</v>
      </c>
      <c r="U1543" s="10" t="s">
        <v>241</v>
      </c>
      <c r="V1543" s="10" t="s">
        <v>241</v>
      </c>
      <c r="W1543" s="10" t="s">
        <v>242</v>
      </c>
      <c r="X1543" s="15">
        <f>IF(ISERROR(VLOOKUP($A1543,'13. Updated Demand'!A:Z,15,FALSE)),0,VLOOKUP($A1543,'13. Updated Demand'!A:Z,15,FALSE))</f>
        <v>0</v>
      </c>
      <c r="Y1543" s="16">
        <f>IF(ISERROR(VLOOKUP($A1543,'13. Updated Demand'!A:Z,16,FALSE)),0,VLOOKUP($A1543,'13. Updated Demand'!A:Z,16,FALSE))</f>
        <v>0</v>
      </c>
      <c r="Z1543" s="16">
        <f>IF(ISERROR(VLOOKUP($A1543,'13. Updated Demand'!A:Z,17,FALSE)),0,VLOOKUP($A1543,'13. Updated Demand'!A:Z,17,FALSE))</f>
        <v>0</v>
      </c>
      <c r="AA1543" s="16">
        <f>IF(ISERROR(VLOOKUP($A1543,'13. Updated Demand'!A:Z,18,FALSE)),0,VLOOKUP($A1543,'13. Updated Demand'!A:Z,18,FALSE))</f>
        <v>0</v>
      </c>
      <c r="AB1543" s="16">
        <f>IF(ISERROR(VLOOKUP($A1543,'13. Updated Demand'!A:Z,19,FALSE)),0,VLOOKUP($A1543,'13. Updated Demand'!A:Z,19,FALSE))</f>
        <v>0</v>
      </c>
      <c r="AC1543" s="16">
        <f>IF(ISERROR(VLOOKUP($A1543,'13. Updated Demand'!A:Z,20,FALSE)),0,VLOOKUP($A1543,'13. Updated Demand'!A:Z,20,FALSE))</f>
        <v>0</v>
      </c>
      <c r="AD1543" s="16">
        <f>IF(ISERROR(VLOOKUP($A1543,'13. Updated Demand'!A:Z,21,FALSE)),0,VLOOKUP($A1543,'13. Updated Demand'!A:Z,21,FALSE))</f>
        <v>0</v>
      </c>
      <c r="AE1543" s="16">
        <f>IF(ISERROR(VLOOKUP($A1543,'13. Updated Demand'!A:Z,22,FALSE)),0,VLOOKUP($A1543,'13. Updated Demand'!A:Z,22,FALSE))</f>
        <v>0</v>
      </c>
      <c r="AF1543" s="16">
        <f>IF(ISERROR(VLOOKUP($A1543,'13. Updated Demand'!A:Z,23,FALSE)),0,VLOOKUP($A1543,'13. Updated Demand'!A:Z,23,FALSE))</f>
        <v>0</v>
      </c>
      <c r="AG1543" s="16">
        <f>IF(ISERROR(VLOOKUP($A1543,'13. Updated Demand'!A:Z,24,FALSE)),0,VLOOKUP($A1543,'13. Updated Demand'!A:Z,24,FALSE))</f>
        <v>0</v>
      </c>
      <c r="AH1543" s="16">
        <f>IF(ISERROR(VLOOKUP($A1543,'13. Updated Demand'!A:Z,25,FALSE)),0,VLOOKUP($A1543,'13. Updated Demand'!A:Z,25,FALSE))</f>
        <v>0</v>
      </c>
      <c r="AI1543" s="16">
        <f>IF(ISERROR(VLOOKUP($A1543,'13. Updated Demand'!A:Z,26,FALSE)),0,VLOOKUP($A1543,'13. Updated Demand'!A:Z,26,FALSE))</f>
        <v>0</v>
      </c>
      <c r="AJ1543" s="16">
        <f t="shared" si="289"/>
        <v>0</v>
      </c>
      <c r="AK1543" s="19">
        <v>0</v>
      </c>
      <c r="AL1543" s="16">
        <f t="shared" si="299"/>
        <v>0</v>
      </c>
      <c r="AM1543" s="26">
        <v>0</v>
      </c>
      <c r="AN1543" s="19">
        <v>3.4449999999999998</v>
      </c>
      <c r="AO1543" s="19" t="s">
        <v>1758</v>
      </c>
      <c r="AP1543" s="19">
        <v>0</v>
      </c>
      <c r="AQ1543" s="19" t="s">
        <v>307</v>
      </c>
      <c r="AR1543" s="9" t="s">
        <v>352</v>
      </c>
      <c r="AS1543" s="12">
        <v>0</v>
      </c>
      <c r="AT1543" s="19">
        <v>38.430329149999999</v>
      </c>
      <c r="AU1543" s="19">
        <v>-122.89265374999999</v>
      </c>
      <c r="AV1543" s="19" t="s">
        <v>411</v>
      </c>
    </row>
    <row r="1544" spans="1:48" x14ac:dyDescent="0.25">
      <c r="A1544" s="18" t="s">
        <v>1935</v>
      </c>
      <c r="B1544" s="10">
        <v>10000000</v>
      </c>
      <c r="C1544" s="9">
        <v>20</v>
      </c>
      <c r="D1544" s="8" t="str">
        <f t="shared" si="290"/>
        <v>N</v>
      </c>
      <c r="E1544" s="8" t="str">
        <f t="shared" si="291"/>
        <v>N</v>
      </c>
      <c r="F1544" s="8" t="str">
        <f t="shared" si="292"/>
        <v>N</v>
      </c>
      <c r="G1544" s="8" t="str">
        <f t="shared" si="293"/>
        <v>N</v>
      </c>
      <c r="H1544" s="8" t="str">
        <f t="shared" si="294"/>
        <v>Lower</v>
      </c>
      <c r="I1544" s="8" t="str">
        <f t="shared" si="295"/>
        <v>Outside</v>
      </c>
      <c r="J1544" s="8" t="str">
        <f t="shared" si="296"/>
        <v>Outside</v>
      </c>
      <c r="K1544" s="8" t="str">
        <f t="shared" si="297"/>
        <v>Riparian</v>
      </c>
      <c r="L1544" s="8">
        <f t="shared" si="298"/>
        <v>1000</v>
      </c>
      <c r="M1544" s="8" t="str">
        <f t="shared" si="300"/>
        <v>-</v>
      </c>
      <c r="N1544" s="10" t="s">
        <v>242</v>
      </c>
      <c r="O1544" s="10" t="s">
        <v>242</v>
      </c>
      <c r="P1544" s="10" t="s">
        <v>242</v>
      </c>
      <c r="Q1544" s="10" t="s">
        <v>242</v>
      </c>
      <c r="R1544" s="10" t="s">
        <v>242</v>
      </c>
      <c r="S1544" s="10" t="s">
        <v>241</v>
      </c>
      <c r="T1544" s="10" t="s">
        <v>242</v>
      </c>
      <c r="U1544" s="10" t="s">
        <v>242</v>
      </c>
      <c r="V1544" s="10" t="s">
        <v>242</v>
      </c>
      <c r="W1544" s="10" t="s">
        <v>242</v>
      </c>
      <c r="X1544" s="15">
        <f>IF(ISERROR(VLOOKUP($A1544,'13. Updated Demand'!A:Z,15,FALSE)),0,VLOOKUP($A1544,'13. Updated Demand'!A:Z,15,FALSE))</f>
        <v>5.7299999999999997E-5</v>
      </c>
      <c r="Y1544" s="16">
        <f>IF(ISERROR(VLOOKUP($A1544,'13. Updated Demand'!A:Z,16,FALSE)),0,VLOOKUP($A1544,'13. Updated Demand'!A:Z,16,FALSE))</f>
        <v>5.7299999999999997E-5</v>
      </c>
      <c r="Z1544" s="16">
        <f>IF(ISERROR(VLOOKUP($A1544,'13. Updated Demand'!A:Z,17,FALSE)),0,VLOOKUP($A1544,'13. Updated Demand'!A:Z,17,FALSE))</f>
        <v>5.7299999999999997E-5</v>
      </c>
      <c r="AA1544" s="16">
        <f>IF(ISERROR(VLOOKUP($A1544,'13. Updated Demand'!A:Z,18,FALSE)),0,VLOOKUP($A1544,'13. Updated Demand'!A:Z,18,FALSE))</f>
        <v>5.7299999999999997E-5</v>
      </c>
      <c r="AB1544" s="16">
        <f>IF(ISERROR(VLOOKUP($A1544,'13. Updated Demand'!A:Z,19,FALSE)),0,VLOOKUP($A1544,'13. Updated Demand'!A:Z,19,FALSE))</f>
        <v>4.8566700000000001E-4</v>
      </c>
      <c r="AC1544" s="16">
        <f>IF(ISERROR(VLOOKUP($A1544,'13. Updated Demand'!A:Z,20,FALSE)),0,VLOOKUP($A1544,'13. Updated Demand'!A:Z,20,FALSE))</f>
        <v>4.8566700000000001E-4</v>
      </c>
      <c r="AD1544" s="16">
        <f>IF(ISERROR(VLOOKUP($A1544,'13. Updated Demand'!A:Z,21,FALSE)),0,VLOOKUP($A1544,'13. Updated Demand'!A:Z,21,FALSE))</f>
        <v>4.8566700000000001E-4</v>
      </c>
      <c r="AE1544" s="16">
        <f>IF(ISERROR(VLOOKUP($A1544,'13. Updated Demand'!A:Z,22,FALSE)),0,VLOOKUP($A1544,'13. Updated Demand'!A:Z,22,FALSE))</f>
        <v>4.8566700000000001E-4</v>
      </c>
      <c r="AF1544" s="16">
        <f>IF(ISERROR(VLOOKUP($A1544,'13. Updated Demand'!A:Z,23,FALSE)),0,VLOOKUP($A1544,'13. Updated Demand'!A:Z,23,FALSE))</f>
        <v>4.8566700000000001E-4</v>
      </c>
      <c r="AG1544" s="16">
        <f>IF(ISERROR(VLOOKUP($A1544,'13. Updated Demand'!A:Z,24,FALSE)),0,VLOOKUP($A1544,'13. Updated Demand'!A:Z,24,FALSE))</f>
        <v>4.8566700000000001E-4</v>
      </c>
      <c r="AH1544" s="16">
        <f>IF(ISERROR(VLOOKUP($A1544,'13. Updated Demand'!A:Z,25,FALSE)),0,VLOOKUP($A1544,'13. Updated Demand'!A:Z,25,FALSE))</f>
        <v>5.7299999999999997E-5</v>
      </c>
      <c r="AI1544" s="16">
        <f>IF(ISERROR(VLOOKUP($A1544,'13. Updated Demand'!A:Z,26,FALSE)),0,VLOOKUP($A1544,'13. Updated Demand'!A:Z,26,FALSE))</f>
        <v>5.7299999999999997E-5</v>
      </c>
      <c r="AJ1544" s="16">
        <f t="shared" si="289"/>
        <v>3.2578020000000002E-3</v>
      </c>
      <c r="AK1544" s="19">
        <v>2.4283350000000002E-3</v>
      </c>
      <c r="AL1544" s="16">
        <f t="shared" si="299"/>
        <v>8.0545105816494116E-6</v>
      </c>
      <c r="AM1544" s="26">
        <v>1.5513342857142858E-2</v>
      </c>
      <c r="AN1544" s="19">
        <v>0.21</v>
      </c>
      <c r="AO1544" s="19" t="s">
        <v>1758</v>
      </c>
      <c r="AP1544" s="19">
        <v>0</v>
      </c>
      <c r="AQ1544" s="19" t="s">
        <v>307</v>
      </c>
      <c r="AR1544" s="9" t="s">
        <v>329</v>
      </c>
      <c r="AS1544" s="12">
        <v>3.4039024194010059E-4</v>
      </c>
      <c r="AT1544" s="19">
        <v>38.56035103</v>
      </c>
      <c r="AU1544" s="19">
        <v>-123.10062752</v>
      </c>
      <c r="AV1544" s="19" t="s">
        <v>1936</v>
      </c>
    </row>
    <row r="1545" spans="1:48" x14ac:dyDescent="0.25">
      <c r="A1545" s="18" t="s">
        <v>1937</v>
      </c>
      <c r="B1545" s="10">
        <v>10000000</v>
      </c>
      <c r="C1545" s="9">
        <v>20</v>
      </c>
      <c r="D1545" s="8" t="str">
        <f t="shared" si="290"/>
        <v>N</v>
      </c>
      <c r="E1545" s="8" t="str">
        <f t="shared" si="291"/>
        <v>N</v>
      </c>
      <c r="F1545" s="8" t="str">
        <f t="shared" si="292"/>
        <v>N</v>
      </c>
      <c r="G1545" s="8" t="str">
        <f t="shared" si="293"/>
        <v>N</v>
      </c>
      <c r="H1545" s="8" t="str">
        <f t="shared" si="294"/>
        <v>Lower</v>
      </c>
      <c r="I1545" s="8" t="str">
        <f t="shared" si="295"/>
        <v>Outside</v>
      </c>
      <c r="J1545" s="8" t="str">
        <f t="shared" si="296"/>
        <v>Outside</v>
      </c>
      <c r="K1545" s="8" t="str">
        <f t="shared" si="297"/>
        <v>Riparian</v>
      </c>
      <c r="L1545" s="8">
        <f t="shared" si="298"/>
        <v>1000</v>
      </c>
      <c r="M1545" s="8" t="str">
        <f t="shared" si="300"/>
        <v>-</v>
      </c>
      <c r="N1545" s="10" t="s">
        <v>242</v>
      </c>
      <c r="O1545" s="10" t="s">
        <v>242</v>
      </c>
      <c r="P1545" s="10" t="s">
        <v>242</v>
      </c>
      <c r="Q1545" s="10" t="s">
        <v>242</v>
      </c>
      <c r="R1545" s="10" t="s">
        <v>242</v>
      </c>
      <c r="S1545" s="10" t="s">
        <v>241</v>
      </c>
      <c r="T1545" s="10" t="s">
        <v>242</v>
      </c>
      <c r="U1545" s="10" t="s">
        <v>241</v>
      </c>
      <c r="V1545" s="10" t="s">
        <v>241</v>
      </c>
      <c r="W1545" s="10" t="s">
        <v>242</v>
      </c>
      <c r="X1545" s="15">
        <f>IF(ISERROR(VLOOKUP($A1545,'13. Updated Demand'!A:Z,15,FALSE)),0,VLOOKUP($A1545,'13. Updated Demand'!A:Z,15,FALSE))</f>
        <v>0</v>
      </c>
      <c r="Y1545" s="16">
        <f>IF(ISERROR(VLOOKUP($A1545,'13. Updated Demand'!A:Z,16,FALSE)),0,VLOOKUP($A1545,'13. Updated Demand'!A:Z,16,FALSE))</f>
        <v>0</v>
      </c>
      <c r="Z1545" s="16">
        <f>IF(ISERROR(VLOOKUP($A1545,'13. Updated Demand'!A:Z,17,FALSE)),0,VLOOKUP($A1545,'13. Updated Demand'!A:Z,17,FALSE))</f>
        <v>0</v>
      </c>
      <c r="AA1545" s="16">
        <f>IF(ISERROR(VLOOKUP($A1545,'13. Updated Demand'!A:Z,18,FALSE)),0,VLOOKUP($A1545,'13. Updated Demand'!A:Z,18,FALSE))</f>
        <v>0</v>
      </c>
      <c r="AB1545" s="16">
        <f>IF(ISERROR(VLOOKUP($A1545,'13. Updated Demand'!A:Z,19,FALSE)),0,VLOOKUP($A1545,'13. Updated Demand'!A:Z,19,FALSE))</f>
        <v>0</v>
      </c>
      <c r="AC1545" s="16">
        <f>IF(ISERROR(VLOOKUP($A1545,'13. Updated Demand'!A:Z,20,FALSE)),0,VLOOKUP($A1545,'13. Updated Demand'!A:Z,20,FALSE))</f>
        <v>0</v>
      </c>
      <c r="AD1545" s="16">
        <f>IF(ISERROR(VLOOKUP($A1545,'13. Updated Demand'!A:Z,21,FALSE)),0,VLOOKUP($A1545,'13. Updated Demand'!A:Z,21,FALSE))</f>
        <v>0</v>
      </c>
      <c r="AE1545" s="16">
        <f>IF(ISERROR(VLOOKUP($A1545,'13. Updated Demand'!A:Z,22,FALSE)),0,VLOOKUP($A1545,'13. Updated Demand'!A:Z,22,FALSE))</f>
        <v>0</v>
      </c>
      <c r="AF1545" s="16">
        <f>IF(ISERROR(VLOOKUP($A1545,'13. Updated Demand'!A:Z,23,FALSE)),0,VLOOKUP($A1545,'13. Updated Demand'!A:Z,23,FALSE))</f>
        <v>0</v>
      </c>
      <c r="AG1545" s="16">
        <f>IF(ISERROR(VLOOKUP($A1545,'13. Updated Demand'!A:Z,24,FALSE)),0,VLOOKUP($A1545,'13. Updated Demand'!A:Z,24,FALSE))</f>
        <v>0</v>
      </c>
      <c r="AH1545" s="16">
        <f>IF(ISERROR(VLOOKUP($A1545,'13. Updated Demand'!A:Z,25,FALSE)),0,VLOOKUP($A1545,'13. Updated Demand'!A:Z,25,FALSE))</f>
        <v>0</v>
      </c>
      <c r="AI1545" s="16">
        <f>IF(ISERROR(VLOOKUP($A1545,'13. Updated Demand'!A:Z,26,FALSE)),0,VLOOKUP($A1545,'13. Updated Demand'!A:Z,26,FALSE))</f>
        <v>0</v>
      </c>
      <c r="AJ1545" s="16">
        <f t="shared" si="289"/>
        <v>0</v>
      </c>
      <c r="AK1545" s="19">
        <v>0</v>
      </c>
      <c r="AL1545" s="16">
        <f t="shared" si="299"/>
        <v>0</v>
      </c>
      <c r="AM1545" s="26">
        <v>0</v>
      </c>
      <c r="AN1545" s="19">
        <v>0.17469999999999999</v>
      </c>
      <c r="AO1545" s="19" t="s">
        <v>1758</v>
      </c>
      <c r="AP1545" s="19">
        <v>0</v>
      </c>
      <c r="AQ1545" s="19" t="s">
        <v>307</v>
      </c>
      <c r="AR1545" s="9" t="s">
        <v>329</v>
      </c>
      <c r="AS1545" s="12">
        <v>3.4039024194010059E-4</v>
      </c>
      <c r="AT1545" s="19">
        <v>38.56035103</v>
      </c>
      <c r="AU1545" s="19">
        <v>-123.10062752</v>
      </c>
      <c r="AV1545" s="19" t="s">
        <v>1936</v>
      </c>
    </row>
    <row r="1546" spans="1:48" x14ac:dyDescent="0.25">
      <c r="A1546" s="18" t="s">
        <v>1938</v>
      </c>
      <c r="B1546" s="10">
        <v>10000000</v>
      </c>
      <c r="C1546" s="9">
        <v>20</v>
      </c>
      <c r="D1546" s="8" t="str">
        <f t="shared" si="290"/>
        <v>N</v>
      </c>
      <c r="E1546" s="8" t="str">
        <f t="shared" si="291"/>
        <v>N</v>
      </c>
      <c r="F1546" s="8" t="str">
        <f t="shared" si="292"/>
        <v>N</v>
      </c>
      <c r="G1546" s="8" t="str">
        <f t="shared" si="293"/>
        <v>N</v>
      </c>
      <c r="H1546" s="8" t="str">
        <f t="shared" si="294"/>
        <v>Lower</v>
      </c>
      <c r="I1546" s="8" t="str">
        <f t="shared" si="295"/>
        <v>Outside</v>
      </c>
      <c r="J1546" s="8" t="str">
        <f t="shared" si="296"/>
        <v>Outside</v>
      </c>
      <c r="K1546" s="8" t="str">
        <f t="shared" si="297"/>
        <v>Riparian</v>
      </c>
      <c r="L1546" s="8">
        <f t="shared" si="298"/>
        <v>1000</v>
      </c>
      <c r="M1546" s="8" t="str">
        <f t="shared" si="300"/>
        <v>-</v>
      </c>
      <c r="N1546" s="10" t="s">
        <v>242</v>
      </c>
      <c r="O1546" s="10" t="s">
        <v>242</v>
      </c>
      <c r="P1546" s="10" t="s">
        <v>242</v>
      </c>
      <c r="Q1546" s="10" t="s">
        <v>242</v>
      </c>
      <c r="R1546" s="10" t="s">
        <v>242</v>
      </c>
      <c r="S1546" s="10" t="s">
        <v>241</v>
      </c>
      <c r="T1546" s="10" t="s">
        <v>242</v>
      </c>
      <c r="U1546" s="10" t="s">
        <v>241</v>
      </c>
      <c r="V1546" s="10" t="s">
        <v>241</v>
      </c>
      <c r="W1546" s="10" t="s">
        <v>242</v>
      </c>
      <c r="X1546" s="15">
        <f>IF(ISERROR(VLOOKUP($A1546,'13. Updated Demand'!A:Z,15,FALSE)),0,VLOOKUP($A1546,'13. Updated Demand'!A:Z,15,FALSE))</f>
        <v>0</v>
      </c>
      <c r="Y1546" s="16">
        <f>IF(ISERROR(VLOOKUP($A1546,'13. Updated Demand'!A:Z,16,FALSE)),0,VLOOKUP($A1546,'13. Updated Demand'!A:Z,16,FALSE))</f>
        <v>0</v>
      </c>
      <c r="Z1546" s="16">
        <f>IF(ISERROR(VLOOKUP($A1546,'13. Updated Demand'!A:Z,17,FALSE)),0,VLOOKUP($A1546,'13. Updated Demand'!A:Z,17,FALSE))</f>
        <v>0</v>
      </c>
      <c r="AA1546" s="16">
        <f>IF(ISERROR(VLOOKUP($A1546,'13. Updated Demand'!A:Z,18,FALSE)),0,VLOOKUP($A1546,'13. Updated Demand'!A:Z,18,FALSE))</f>
        <v>0</v>
      </c>
      <c r="AB1546" s="16">
        <f>IF(ISERROR(VLOOKUP($A1546,'13. Updated Demand'!A:Z,19,FALSE)),0,VLOOKUP($A1546,'13. Updated Demand'!A:Z,19,FALSE))</f>
        <v>0</v>
      </c>
      <c r="AC1546" s="16">
        <f>IF(ISERROR(VLOOKUP($A1546,'13. Updated Demand'!A:Z,20,FALSE)),0,VLOOKUP($A1546,'13. Updated Demand'!A:Z,20,FALSE))</f>
        <v>0</v>
      </c>
      <c r="AD1546" s="16">
        <f>IF(ISERROR(VLOOKUP($A1546,'13. Updated Demand'!A:Z,21,FALSE)),0,VLOOKUP($A1546,'13. Updated Demand'!A:Z,21,FALSE))</f>
        <v>0</v>
      </c>
      <c r="AE1546" s="16">
        <f>IF(ISERROR(VLOOKUP($A1546,'13. Updated Demand'!A:Z,22,FALSE)),0,VLOOKUP($A1546,'13. Updated Demand'!A:Z,22,FALSE))</f>
        <v>0</v>
      </c>
      <c r="AF1546" s="16">
        <f>IF(ISERROR(VLOOKUP($A1546,'13. Updated Demand'!A:Z,23,FALSE)),0,VLOOKUP($A1546,'13. Updated Demand'!A:Z,23,FALSE))</f>
        <v>0</v>
      </c>
      <c r="AG1546" s="16">
        <f>IF(ISERROR(VLOOKUP($A1546,'13. Updated Demand'!A:Z,24,FALSE)),0,VLOOKUP($A1546,'13. Updated Demand'!A:Z,24,FALSE))</f>
        <v>0</v>
      </c>
      <c r="AH1546" s="16">
        <f>IF(ISERROR(VLOOKUP($A1546,'13. Updated Demand'!A:Z,25,FALSE)),0,VLOOKUP($A1546,'13. Updated Demand'!A:Z,25,FALSE))</f>
        <v>0</v>
      </c>
      <c r="AI1546" s="16">
        <f>IF(ISERROR(VLOOKUP($A1546,'13. Updated Demand'!A:Z,26,FALSE)),0,VLOOKUP($A1546,'13. Updated Demand'!A:Z,26,FALSE))</f>
        <v>0</v>
      </c>
      <c r="AJ1546" s="16">
        <f t="shared" si="289"/>
        <v>0</v>
      </c>
      <c r="AK1546" s="19">
        <v>0</v>
      </c>
      <c r="AL1546" s="16">
        <f t="shared" si="299"/>
        <v>0</v>
      </c>
      <c r="AM1546" s="26">
        <v>0</v>
      </c>
      <c r="AN1546" s="19">
        <v>7.0000000000000007E-2</v>
      </c>
      <c r="AO1546" s="19" t="s">
        <v>1758</v>
      </c>
      <c r="AP1546" s="19">
        <v>0</v>
      </c>
      <c r="AQ1546" s="19" t="s">
        <v>307</v>
      </c>
      <c r="AR1546" s="9" t="s">
        <v>329</v>
      </c>
      <c r="AS1546" s="12">
        <v>3.4039024194010059E-4</v>
      </c>
      <c r="AT1546" s="19">
        <v>38.56035103</v>
      </c>
      <c r="AU1546" s="19">
        <v>-123.10062752</v>
      </c>
      <c r="AV1546" s="19" t="s">
        <v>1936</v>
      </c>
    </row>
    <row r="1547" spans="1:48" x14ac:dyDescent="0.25">
      <c r="A1547" s="18" t="s">
        <v>1939</v>
      </c>
      <c r="B1547" s="10">
        <v>10000000</v>
      </c>
      <c r="C1547" s="9">
        <v>20</v>
      </c>
      <c r="D1547" s="8" t="str">
        <f t="shared" si="290"/>
        <v>N</v>
      </c>
      <c r="E1547" s="8" t="str">
        <f t="shared" si="291"/>
        <v>N</v>
      </c>
      <c r="F1547" s="8" t="str">
        <f t="shared" si="292"/>
        <v>N</v>
      </c>
      <c r="G1547" s="8" t="str">
        <f t="shared" si="293"/>
        <v>N</v>
      </c>
      <c r="H1547" s="8" t="str">
        <f t="shared" si="294"/>
        <v>Lower</v>
      </c>
      <c r="I1547" s="8" t="str">
        <f t="shared" si="295"/>
        <v>Outside</v>
      </c>
      <c r="J1547" s="8" t="str">
        <f t="shared" si="296"/>
        <v>Outside</v>
      </c>
      <c r="K1547" s="8" t="str">
        <f t="shared" si="297"/>
        <v>Riparian</v>
      </c>
      <c r="L1547" s="8">
        <f t="shared" si="298"/>
        <v>1000</v>
      </c>
      <c r="M1547" s="8" t="str">
        <f t="shared" si="300"/>
        <v>-</v>
      </c>
      <c r="N1547" s="10" t="s">
        <v>242</v>
      </c>
      <c r="O1547" s="10" t="s">
        <v>242</v>
      </c>
      <c r="P1547" s="10" t="s">
        <v>242</v>
      </c>
      <c r="Q1547" s="10" t="s">
        <v>242</v>
      </c>
      <c r="R1547" s="10" t="s">
        <v>242</v>
      </c>
      <c r="S1547" s="10" t="s">
        <v>241</v>
      </c>
      <c r="T1547" s="10" t="s">
        <v>242</v>
      </c>
      <c r="U1547" s="10" t="s">
        <v>241</v>
      </c>
      <c r="V1547" s="10" t="s">
        <v>241</v>
      </c>
      <c r="W1547" s="10" t="s">
        <v>242</v>
      </c>
      <c r="X1547" s="15">
        <f>IF(ISERROR(VLOOKUP($A1547,'13. Updated Demand'!A:Z,15,FALSE)),0,VLOOKUP($A1547,'13. Updated Demand'!A:Z,15,FALSE))</f>
        <v>0</v>
      </c>
      <c r="Y1547" s="16">
        <f>IF(ISERROR(VLOOKUP($A1547,'13. Updated Demand'!A:Z,16,FALSE)),0,VLOOKUP($A1547,'13. Updated Demand'!A:Z,16,FALSE))</f>
        <v>0</v>
      </c>
      <c r="Z1547" s="16">
        <f>IF(ISERROR(VLOOKUP($A1547,'13. Updated Demand'!A:Z,17,FALSE)),0,VLOOKUP($A1547,'13. Updated Demand'!A:Z,17,FALSE))</f>
        <v>0</v>
      </c>
      <c r="AA1547" s="16">
        <f>IF(ISERROR(VLOOKUP($A1547,'13. Updated Demand'!A:Z,18,FALSE)),0,VLOOKUP($A1547,'13. Updated Demand'!A:Z,18,FALSE))</f>
        <v>0</v>
      </c>
      <c r="AB1547" s="16">
        <f>IF(ISERROR(VLOOKUP($A1547,'13. Updated Demand'!A:Z,19,FALSE)),0,VLOOKUP($A1547,'13. Updated Demand'!A:Z,19,FALSE))</f>
        <v>0</v>
      </c>
      <c r="AC1547" s="16">
        <f>IF(ISERROR(VLOOKUP($A1547,'13. Updated Demand'!A:Z,20,FALSE)),0,VLOOKUP($A1547,'13. Updated Demand'!A:Z,20,FALSE))</f>
        <v>0</v>
      </c>
      <c r="AD1547" s="16">
        <f>IF(ISERROR(VLOOKUP($A1547,'13. Updated Demand'!A:Z,21,FALSE)),0,VLOOKUP($A1547,'13. Updated Demand'!A:Z,21,FALSE))</f>
        <v>0</v>
      </c>
      <c r="AE1547" s="16">
        <f>IF(ISERROR(VLOOKUP($A1547,'13. Updated Demand'!A:Z,22,FALSE)),0,VLOOKUP($A1547,'13. Updated Demand'!A:Z,22,FALSE))</f>
        <v>0</v>
      </c>
      <c r="AF1547" s="16">
        <f>IF(ISERROR(VLOOKUP($A1547,'13. Updated Demand'!A:Z,23,FALSE)),0,VLOOKUP($A1547,'13. Updated Demand'!A:Z,23,FALSE))</f>
        <v>0</v>
      </c>
      <c r="AG1547" s="16">
        <f>IF(ISERROR(VLOOKUP($A1547,'13. Updated Demand'!A:Z,24,FALSE)),0,VLOOKUP($A1547,'13. Updated Demand'!A:Z,24,FALSE))</f>
        <v>0</v>
      </c>
      <c r="AH1547" s="16">
        <f>IF(ISERROR(VLOOKUP($A1547,'13. Updated Demand'!A:Z,25,FALSE)),0,VLOOKUP($A1547,'13. Updated Demand'!A:Z,25,FALSE))</f>
        <v>0</v>
      </c>
      <c r="AI1547" s="16">
        <f>IF(ISERROR(VLOOKUP($A1547,'13. Updated Demand'!A:Z,26,FALSE)),0,VLOOKUP($A1547,'13. Updated Demand'!A:Z,26,FALSE))</f>
        <v>0</v>
      </c>
      <c r="AJ1547" s="16">
        <f t="shared" si="289"/>
        <v>0</v>
      </c>
      <c r="AK1547" s="19">
        <v>0</v>
      </c>
      <c r="AL1547" s="16">
        <f t="shared" si="299"/>
        <v>0</v>
      </c>
      <c r="AM1547" s="26">
        <v>0</v>
      </c>
      <c r="AN1547" s="19">
        <v>5.21E-2</v>
      </c>
      <c r="AO1547" s="19" t="s">
        <v>1758</v>
      </c>
      <c r="AP1547" s="19">
        <v>0</v>
      </c>
      <c r="AQ1547" s="19" t="s">
        <v>307</v>
      </c>
      <c r="AR1547" s="9" t="s">
        <v>329</v>
      </c>
      <c r="AS1547" s="12">
        <v>3.4039024194010059E-4</v>
      </c>
      <c r="AT1547" s="19">
        <v>38.563632599999998</v>
      </c>
      <c r="AU1547" s="19">
        <v>-123.10207715</v>
      </c>
      <c r="AV1547" s="19" t="s">
        <v>1936</v>
      </c>
    </row>
    <row r="1548" spans="1:48" x14ac:dyDescent="0.25">
      <c r="A1548" s="18" t="s">
        <v>1940</v>
      </c>
      <c r="B1548" s="10">
        <v>10000000</v>
      </c>
      <c r="C1548" s="9">
        <v>20</v>
      </c>
      <c r="D1548" s="8" t="str">
        <f t="shared" si="290"/>
        <v>N</v>
      </c>
      <c r="E1548" s="8" t="str">
        <f t="shared" si="291"/>
        <v>N</v>
      </c>
      <c r="F1548" s="8" t="str">
        <f t="shared" si="292"/>
        <v>N</v>
      </c>
      <c r="G1548" s="8" t="str">
        <f t="shared" si="293"/>
        <v>N</v>
      </c>
      <c r="H1548" s="8" t="str">
        <f t="shared" si="294"/>
        <v>Lower</v>
      </c>
      <c r="I1548" s="8" t="str">
        <f t="shared" si="295"/>
        <v>Outside</v>
      </c>
      <c r="J1548" s="8" t="str">
        <f t="shared" si="296"/>
        <v>Outside</v>
      </c>
      <c r="K1548" s="8" t="str">
        <f t="shared" si="297"/>
        <v>Riparian</v>
      </c>
      <c r="L1548" s="8">
        <f t="shared" si="298"/>
        <v>1000</v>
      </c>
      <c r="M1548" s="8" t="str">
        <f t="shared" si="300"/>
        <v>-</v>
      </c>
      <c r="N1548" s="10" t="s">
        <v>242</v>
      </c>
      <c r="O1548" s="10" t="s">
        <v>242</v>
      </c>
      <c r="P1548" s="10" t="s">
        <v>242</v>
      </c>
      <c r="Q1548" s="10" t="s">
        <v>242</v>
      </c>
      <c r="R1548" s="10" t="s">
        <v>242</v>
      </c>
      <c r="S1548" s="10" t="s">
        <v>241</v>
      </c>
      <c r="T1548" s="10" t="s">
        <v>242</v>
      </c>
      <c r="U1548" s="10" t="s">
        <v>242</v>
      </c>
      <c r="V1548" s="10" t="s">
        <v>242</v>
      </c>
      <c r="W1548" s="10" t="s">
        <v>242</v>
      </c>
      <c r="X1548" s="15">
        <f>IF(ISERROR(VLOOKUP($A1548,'13. Updated Demand'!A:Z,15,FALSE)),0,VLOOKUP($A1548,'13. Updated Demand'!A:Z,15,FALSE))</f>
        <v>0</v>
      </c>
      <c r="Y1548" s="16">
        <f>IF(ISERROR(VLOOKUP($A1548,'13. Updated Demand'!A:Z,16,FALSE)),0,VLOOKUP($A1548,'13. Updated Demand'!A:Z,16,FALSE))</f>
        <v>0</v>
      </c>
      <c r="Z1548" s="16">
        <f>IF(ISERROR(VLOOKUP($A1548,'13. Updated Demand'!A:Z,17,FALSE)),0,VLOOKUP($A1548,'13. Updated Demand'!A:Z,17,FALSE))</f>
        <v>3.0699999999999998E-4</v>
      </c>
      <c r="AA1548" s="16">
        <f>IF(ISERROR(VLOOKUP($A1548,'13. Updated Demand'!A:Z,18,FALSE)),0,VLOOKUP($A1548,'13. Updated Demand'!A:Z,18,FALSE))</f>
        <v>3.0699999999999998E-4</v>
      </c>
      <c r="AB1548" s="16">
        <f>IF(ISERROR(VLOOKUP($A1548,'13. Updated Demand'!A:Z,19,FALSE)),0,VLOOKUP($A1548,'13. Updated Demand'!A:Z,19,FALSE))</f>
        <v>1.227667E-3</v>
      </c>
      <c r="AC1548" s="16">
        <f>IF(ISERROR(VLOOKUP($A1548,'13. Updated Demand'!A:Z,20,FALSE)),0,VLOOKUP($A1548,'13. Updated Demand'!A:Z,20,FALSE))</f>
        <v>1.534667E-3</v>
      </c>
      <c r="AD1548" s="16">
        <f>IF(ISERROR(VLOOKUP($A1548,'13. Updated Demand'!A:Z,21,FALSE)),0,VLOOKUP($A1548,'13. Updated Demand'!A:Z,21,FALSE))</f>
        <v>1.7899999999999999E-3</v>
      </c>
      <c r="AE1548" s="16">
        <f>IF(ISERROR(VLOOKUP($A1548,'13. Updated Demand'!A:Z,22,FALSE)),0,VLOOKUP($A1548,'13. Updated Demand'!A:Z,22,FALSE))</f>
        <v>1.7899999999999999E-3</v>
      </c>
      <c r="AF1548" s="16">
        <f>IF(ISERROR(VLOOKUP($A1548,'13. Updated Demand'!A:Z,23,FALSE)),0,VLOOKUP($A1548,'13. Updated Demand'!A:Z,23,FALSE))</f>
        <v>1.7390000000000001E-3</v>
      </c>
      <c r="AG1548" s="16">
        <f>IF(ISERROR(VLOOKUP($A1548,'13. Updated Demand'!A:Z,24,FALSE)),0,VLOOKUP($A1548,'13. Updated Demand'!A:Z,24,FALSE))</f>
        <v>1.1253330000000001E-3</v>
      </c>
      <c r="AH1548" s="16">
        <f>IF(ISERROR(VLOOKUP($A1548,'13. Updated Demand'!A:Z,25,FALSE)),0,VLOOKUP($A1548,'13. Updated Demand'!A:Z,25,FALSE))</f>
        <v>2.0466700000000001E-4</v>
      </c>
      <c r="AI1548" s="16">
        <f>IF(ISERROR(VLOOKUP($A1548,'13. Updated Demand'!A:Z,26,FALSE)),0,VLOOKUP($A1548,'13. Updated Demand'!A:Z,26,FALSE))</f>
        <v>2.0466700000000001E-4</v>
      </c>
      <c r="AJ1548" s="16">
        <f t="shared" si="289"/>
        <v>1.0230000999999999E-2</v>
      </c>
      <c r="AK1548" s="19">
        <v>8.081333999999999E-3</v>
      </c>
      <c r="AL1548" s="16">
        <f t="shared" si="299"/>
        <v>2.6804864327550829E-5</v>
      </c>
      <c r="AM1548" s="26">
        <v>5.8557532913566107E-2</v>
      </c>
      <c r="AN1548" s="19">
        <v>0.17469999999999999</v>
      </c>
      <c r="AO1548" s="19" t="s">
        <v>1758</v>
      </c>
      <c r="AP1548" s="19">
        <v>0</v>
      </c>
      <c r="AQ1548" s="19" t="s">
        <v>307</v>
      </c>
      <c r="AR1548" s="9" t="s">
        <v>329</v>
      </c>
      <c r="AS1548" s="12">
        <v>3.4039024194010059E-4</v>
      </c>
      <c r="AT1548" s="19">
        <v>38.563632599999998</v>
      </c>
      <c r="AU1548" s="19">
        <v>-123.10207715</v>
      </c>
      <c r="AV1548" s="19" t="s">
        <v>1936</v>
      </c>
    </row>
    <row r="1549" spans="1:48" x14ac:dyDescent="0.25">
      <c r="A1549" s="18" t="s">
        <v>1941</v>
      </c>
      <c r="B1549" s="10">
        <v>10000000</v>
      </c>
      <c r="C1549" s="9">
        <v>20</v>
      </c>
      <c r="D1549" s="8" t="str">
        <f t="shared" si="290"/>
        <v>N</v>
      </c>
      <c r="E1549" s="8" t="str">
        <f t="shared" si="291"/>
        <v>N</v>
      </c>
      <c r="F1549" s="8" t="str">
        <f t="shared" si="292"/>
        <v>N</v>
      </c>
      <c r="G1549" s="8" t="str">
        <f t="shared" si="293"/>
        <v>N</v>
      </c>
      <c r="H1549" s="8" t="str">
        <f t="shared" si="294"/>
        <v>Lower</v>
      </c>
      <c r="I1549" s="8" t="str">
        <f t="shared" si="295"/>
        <v>Outside</v>
      </c>
      <c r="J1549" s="8" t="str">
        <f t="shared" si="296"/>
        <v>Outside</v>
      </c>
      <c r="K1549" s="8" t="str">
        <f t="shared" si="297"/>
        <v>Riparian</v>
      </c>
      <c r="L1549" s="8">
        <f t="shared" si="298"/>
        <v>1000</v>
      </c>
      <c r="M1549" s="8" t="str">
        <f t="shared" si="300"/>
        <v>-</v>
      </c>
      <c r="N1549" s="10" t="s">
        <v>242</v>
      </c>
      <c r="O1549" s="10" t="s">
        <v>242</v>
      </c>
      <c r="P1549" s="10" t="s">
        <v>242</v>
      </c>
      <c r="Q1549" s="10" t="s">
        <v>242</v>
      </c>
      <c r="R1549" s="10" t="s">
        <v>242</v>
      </c>
      <c r="S1549" s="10" t="s">
        <v>241</v>
      </c>
      <c r="T1549" s="10" t="s">
        <v>242</v>
      </c>
      <c r="U1549" s="10" t="s">
        <v>241</v>
      </c>
      <c r="V1549" s="10" t="s">
        <v>241</v>
      </c>
      <c r="W1549" s="10" t="s">
        <v>242</v>
      </c>
      <c r="X1549" s="15">
        <f>IF(ISERROR(VLOOKUP($A1549,'13. Updated Demand'!A:Z,15,FALSE)),0,VLOOKUP($A1549,'13. Updated Demand'!A:Z,15,FALSE))</f>
        <v>0</v>
      </c>
      <c r="Y1549" s="16">
        <f>IF(ISERROR(VLOOKUP($A1549,'13. Updated Demand'!A:Z,16,FALSE)),0,VLOOKUP($A1549,'13. Updated Demand'!A:Z,16,FALSE))</f>
        <v>0</v>
      </c>
      <c r="Z1549" s="16">
        <f>IF(ISERROR(VLOOKUP($A1549,'13. Updated Demand'!A:Z,17,FALSE)),0,VLOOKUP($A1549,'13. Updated Demand'!A:Z,17,FALSE))</f>
        <v>0</v>
      </c>
      <c r="AA1549" s="16">
        <f>IF(ISERROR(VLOOKUP($A1549,'13. Updated Demand'!A:Z,18,FALSE)),0,VLOOKUP($A1549,'13. Updated Demand'!A:Z,18,FALSE))</f>
        <v>0</v>
      </c>
      <c r="AB1549" s="16">
        <f>IF(ISERROR(VLOOKUP($A1549,'13. Updated Demand'!A:Z,19,FALSE)),0,VLOOKUP($A1549,'13. Updated Demand'!A:Z,19,FALSE))</f>
        <v>0</v>
      </c>
      <c r="AC1549" s="16">
        <f>IF(ISERROR(VLOOKUP($A1549,'13. Updated Demand'!A:Z,20,FALSE)),0,VLOOKUP($A1549,'13. Updated Demand'!A:Z,20,FALSE))</f>
        <v>0</v>
      </c>
      <c r="AD1549" s="16">
        <f>IF(ISERROR(VLOOKUP($A1549,'13. Updated Demand'!A:Z,21,FALSE)),0,VLOOKUP($A1549,'13. Updated Demand'!A:Z,21,FALSE))</f>
        <v>0</v>
      </c>
      <c r="AE1549" s="16">
        <f>IF(ISERROR(VLOOKUP($A1549,'13. Updated Demand'!A:Z,22,FALSE)),0,VLOOKUP($A1549,'13. Updated Demand'!A:Z,22,FALSE))</f>
        <v>0</v>
      </c>
      <c r="AF1549" s="16">
        <f>IF(ISERROR(VLOOKUP($A1549,'13. Updated Demand'!A:Z,23,FALSE)),0,VLOOKUP($A1549,'13. Updated Demand'!A:Z,23,FALSE))</f>
        <v>0</v>
      </c>
      <c r="AG1549" s="16">
        <f>IF(ISERROR(VLOOKUP($A1549,'13. Updated Demand'!A:Z,24,FALSE)),0,VLOOKUP($A1549,'13. Updated Demand'!A:Z,24,FALSE))</f>
        <v>0</v>
      </c>
      <c r="AH1549" s="16">
        <f>IF(ISERROR(VLOOKUP($A1549,'13. Updated Demand'!A:Z,25,FALSE)),0,VLOOKUP($A1549,'13. Updated Demand'!A:Z,25,FALSE))</f>
        <v>0</v>
      </c>
      <c r="AI1549" s="16">
        <f>IF(ISERROR(VLOOKUP($A1549,'13. Updated Demand'!A:Z,26,FALSE)),0,VLOOKUP($A1549,'13. Updated Demand'!A:Z,26,FALSE))</f>
        <v>0</v>
      </c>
      <c r="AJ1549" s="16">
        <f t="shared" si="289"/>
        <v>0</v>
      </c>
      <c r="AK1549" s="19">
        <v>0</v>
      </c>
      <c r="AL1549" s="16">
        <f t="shared" si="299"/>
        <v>0</v>
      </c>
      <c r="AM1549" s="26">
        <v>0</v>
      </c>
      <c r="AN1549" s="19">
        <v>0.35</v>
      </c>
      <c r="AO1549" s="19" t="s">
        <v>1758</v>
      </c>
      <c r="AP1549" s="19">
        <v>0</v>
      </c>
      <c r="AQ1549" s="19" t="s">
        <v>307</v>
      </c>
      <c r="AR1549" s="9" t="s">
        <v>329</v>
      </c>
      <c r="AS1549" s="12">
        <v>3.4039024194010059E-4</v>
      </c>
      <c r="AT1549" s="19">
        <v>38.563632599999998</v>
      </c>
      <c r="AU1549" s="19">
        <v>-123.10207715</v>
      </c>
      <c r="AV1549" s="19" t="s">
        <v>1936</v>
      </c>
    </row>
    <row r="1550" spans="1:48" x14ac:dyDescent="0.25">
      <c r="A1550" s="18" t="s">
        <v>1942</v>
      </c>
      <c r="B1550" s="10">
        <v>10000000</v>
      </c>
      <c r="C1550" s="9">
        <v>20</v>
      </c>
      <c r="D1550" s="8" t="str">
        <f t="shared" si="290"/>
        <v>N</v>
      </c>
      <c r="E1550" s="8" t="str">
        <f t="shared" si="291"/>
        <v>N</v>
      </c>
      <c r="F1550" s="8" t="str">
        <f t="shared" si="292"/>
        <v>N</v>
      </c>
      <c r="G1550" s="8" t="str">
        <f t="shared" si="293"/>
        <v>N</v>
      </c>
      <c r="H1550" s="8" t="str">
        <f t="shared" si="294"/>
        <v>Lower</v>
      </c>
      <c r="I1550" s="8" t="str">
        <f t="shared" si="295"/>
        <v>Outside</v>
      </c>
      <c r="J1550" s="8" t="str">
        <f t="shared" si="296"/>
        <v>Outside</v>
      </c>
      <c r="K1550" s="8" t="str">
        <f t="shared" si="297"/>
        <v>Riparian</v>
      </c>
      <c r="L1550" s="8">
        <f t="shared" si="298"/>
        <v>1000</v>
      </c>
      <c r="M1550" s="8" t="str">
        <f t="shared" si="300"/>
        <v>-</v>
      </c>
      <c r="N1550" s="10" t="s">
        <v>242</v>
      </c>
      <c r="O1550" s="10" t="s">
        <v>242</v>
      </c>
      <c r="P1550" s="10" t="s">
        <v>242</v>
      </c>
      <c r="Q1550" s="10" t="s">
        <v>242</v>
      </c>
      <c r="R1550" s="10" t="s">
        <v>242</v>
      </c>
      <c r="S1550" s="10" t="s">
        <v>241</v>
      </c>
      <c r="T1550" s="10" t="s">
        <v>242</v>
      </c>
      <c r="U1550" s="10" t="s">
        <v>242</v>
      </c>
      <c r="V1550" s="10" t="s">
        <v>242</v>
      </c>
      <c r="W1550" s="10" t="s">
        <v>242</v>
      </c>
      <c r="X1550" s="15">
        <f>IF(ISERROR(VLOOKUP($A1550,'13. Updated Demand'!A:Z,15,FALSE)),0,VLOOKUP($A1550,'13. Updated Demand'!A:Z,15,FALSE))</f>
        <v>4.0933300000000001E-4</v>
      </c>
      <c r="Y1550" s="16">
        <f>IF(ISERROR(VLOOKUP($A1550,'13. Updated Demand'!A:Z,16,FALSE)),0,VLOOKUP($A1550,'13. Updated Demand'!A:Z,16,FALSE))</f>
        <v>4.0933300000000001E-4</v>
      </c>
      <c r="Z1550" s="16">
        <f>IF(ISERROR(VLOOKUP($A1550,'13. Updated Demand'!A:Z,17,FALSE)),0,VLOOKUP($A1550,'13. Updated Demand'!A:Z,17,FALSE))</f>
        <v>1.023E-3</v>
      </c>
      <c r="AA1550" s="16">
        <f>IF(ISERROR(VLOOKUP($A1550,'13. Updated Demand'!A:Z,18,FALSE)),0,VLOOKUP($A1550,'13. Updated Demand'!A:Z,18,FALSE))</f>
        <v>1.023E-3</v>
      </c>
      <c r="AB1550" s="16">
        <f>IF(ISERROR(VLOOKUP($A1550,'13. Updated Demand'!A:Z,19,FALSE)),0,VLOOKUP($A1550,'13. Updated Demand'!A:Z,19,FALSE))</f>
        <v>3.7850000000000002E-3</v>
      </c>
      <c r="AC1550" s="16">
        <f>IF(ISERROR(VLOOKUP($A1550,'13. Updated Demand'!A:Z,20,FALSE)),0,VLOOKUP($A1550,'13. Updated Demand'!A:Z,20,FALSE))</f>
        <v>3.7850000000000002E-3</v>
      </c>
      <c r="AD1550" s="16">
        <f>IF(ISERROR(VLOOKUP($A1550,'13. Updated Demand'!A:Z,21,FALSE)),0,VLOOKUP($A1550,'13. Updated Demand'!A:Z,21,FALSE))</f>
        <v>3.7850000000000002E-3</v>
      </c>
      <c r="AE1550" s="16">
        <f>IF(ISERROR(VLOOKUP($A1550,'13. Updated Demand'!A:Z,22,FALSE)),0,VLOOKUP($A1550,'13. Updated Demand'!A:Z,22,FALSE))</f>
        <v>3.7850000000000002E-3</v>
      </c>
      <c r="AF1550" s="16">
        <f>IF(ISERROR(VLOOKUP($A1550,'13. Updated Demand'!A:Z,23,FALSE)),0,VLOOKUP($A1550,'13. Updated Demand'!A:Z,23,FALSE))</f>
        <v>2.7620000000000001E-3</v>
      </c>
      <c r="AG1550" s="16">
        <f>IF(ISERROR(VLOOKUP($A1550,'13. Updated Demand'!A:Z,24,FALSE)),0,VLOOKUP($A1550,'13. Updated Demand'!A:Z,24,FALSE))</f>
        <v>1.8413329999999999E-3</v>
      </c>
      <c r="AH1550" s="16">
        <f>IF(ISERROR(VLOOKUP($A1550,'13. Updated Demand'!A:Z,25,FALSE)),0,VLOOKUP($A1550,'13. Updated Demand'!A:Z,25,FALSE))</f>
        <v>5.6266699999999998E-4</v>
      </c>
      <c r="AI1550" s="16">
        <f>IF(ISERROR(VLOOKUP($A1550,'13. Updated Demand'!A:Z,26,FALSE)),0,VLOOKUP($A1550,'13. Updated Demand'!A:Z,26,FALSE))</f>
        <v>5.6266699999999998E-4</v>
      </c>
      <c r="AJ1550" s="16">
        <f t="shared" si="289"/>
        <v>2.3733333000000002E-2</v>
      </c>
      <c r="AK1550" s="19">
        <v>1.7902000000000001E-2</v>
      </c>
      <c r="AL1550" s="16">
        <f t="shared" si="299"/>
        <v>5.9378894770568205E-5</v>
      </c>
      <c r="AM1550" s="26">
        <v>0.11301587142857145</v>
      </c>
      <c r="AN1550" s="19">
        <v>0.21</v>
      </c>
      <c r="AO1550" s="19" t="s">
        <v>1758</v>
      </c>
      <c r="AP1550" s="19">
        <v>0</v>
      </c>
      <c r="AQ1550" s="19" t="s">
        <v>307</v>
      </c>
      <c r="AR1550" s="9" t="s">
        <v>329</v>
      </c>
      <c r="AS1550" s="12">
        <v>3.4039024194010059E-4</v>
      </c>
      <c r="AT1550" s="19">
        <v>38.566355000000001</v>
      </c>
      <c r="AU1550" s="19">
        <v>-123.1045676</v>
      </c>
      <c r="AV1550" s="19" t="s">
        <v>1936</v>
      </c>
    </row>
    <row r="1551" spans="1:48" x14ac:dyDescent="0.25">
      <c r="A1551" s="18" t="s">
        <v>1943</v>
      </c>
      <c r="B1551" s="10">
        <v>10000000</v>
      </c>
      <c r="C1551" s="9">
        <v>20</v>
      </c>
      <c r="D1551" s="8" t="str">
        <f t="shared" si="290"/>
        <v>N</v>
      </c>
      <c r="E1551" s="8" t="str">
        <f t="shared" si="291"/>
        <v>N</v>
      </c>
      <c r="F1551" s="8" t="str">
        <f t="shared" si="292"/>
        <v>N</v>
      </c>
      <c r="G1551" s="8" t="str">
        <f t="shared" si="293"/>
        <v>N</v>
      </c>
      <c r="H1551" s="8" t="str">
        <f t="shared" si="294"/>
        <v>Lower</v>
      </c>
      <c r="I1551" s="8" t="str">
        <f t="shared" si="295"/>
        <v>Outside</v>
      </c>
      <c r="J1551" s="8" t="str">
        <f t="shared" si="296"/>
        <v>Outside</v>
      </c>
      <c r="K1551" s="8" t="str">
        <f t="shared" si="297"/>
        <v>Riparian</v>
      </c>
      <c r="L1551" s="8">
        <f t="shared" si="298"/>
        <v>1000</v>
      </c>
      <c r="M1551" s="8" t="str">
        <f t="shared" si="300"/>
        <v>-</v>
      </c>
      <c r="N1551" s="10" t="s">
        <v>242</v>
      </c>
      <c r="O1551" s="10" t="s">
        <v>242</v>
      </c>
      <c r="P1551" s="10" t="s">
        <v>242</v>
      </c>
      <c r="Q1551" s="10" t="s">
        <v>242</v>
      </c>
      <c r="R1551" s="10" t="s">
        <v>242</v>
      </c>
      <c r="S1551" s="10" t="s">
        <v>241</v>
      </c>
      <c r="T1551" s="10" t="s">
        <v>242</v>
      </c>
      <c r="U1551" s="10" t="s">
        <v>242</v>
      </c>
      <c r="V1551" s="10" t="s">
        <v>242</v>
      </c>
      <c r="W1551" s="10" t="s">
        <v>242</v>
      </c>
      <c r="X1551" s="15">
        <f>IF(ISERROR(VLOOKUP($A1551,'13. Updated Demand'!A:Z,15,FALSE)),0,VLOOKUP($A1551,'13. Updated Demand'!A:Z,15,FALSE))</f>
        <v>2.8029333E-2</v>
      </c>
      <c r="Y1551" s="16">
        <f>IF(ISERROR(VLOOKUP($A1551,'13. Updated Demand'!A:Z,16,FALSE)),0,VLOOKUP($A1551,'13. Updated Demand'!A:Z,16,FALSE))</f>
        <v>1.4730666999999999E-2</v>
      </c>
      <c r="Z1551" s="16">
        <f>IF(ISERROR(VLOOKUP($A1551,'13. Updated Demand'!A:Z,17,FALSE)),0,VLOOKUP($A1551,'13. Updated Demand'!A:Z,17,FALSE))</f>
        <v>2.4858000000000002E-2</v>
      </c>
      <c r="AA1551" s="16">
        <f>IF(ISERROR(VLOOKUP($A1551,'13. Updated Demand'!A:Z,18,FALSE)),0,VLOOKUP($A1551,'13. Updated Demand'!A:Z,18,FALSE))</f>
        <v>5.6263000000000001E-2</v>
      </c>
      <c r="AB1551" s="16">
        <f>IF(ISERROR(VLOOKUP($A1551,'13. Updated Demand'!A:Z,19,FALSE)),0,VLOOKUP($A1551,'13. Updated Demand'!A:Z,19,FALSE))</f>
        <v>6.6697332999999998E-2</v>
      </c>
      <c r="AC1551" s="16">
        <f>IF(ISERROR(VLOOKUP($A1551,'13. Updated Demand'!A:Z,20,FALSE)),0,VLOOKUP($A1551,'13. Updated Demand'!A:Z,20,FALSE))</f>
        <v>5.6979000000000002E-2</v>
      </c>
      <c r="AD1551" s="16">
        <f>IF(ISERROR(VLOOKUP($A1551,'13. Updated Demand'!A:Z,21,FALSE)),0,VLOOKUP($A1551,'13. Updated Demand'!A:Z,21,FALSE))</f>
        <v>5.6979000000000002E-2</v>
      </c>
      <c r="AE1551" s="16">
        <f>IF(ISERROR(VLOOKUP($A1551,'13. Updated Demand'!A:Z,22,FALSE)),0,VLOOKUP($A1551,'13. Updated Demand'!A:Z,22,FALSE))</f>
        <v>6.5980999999999998E-2</v>
      </c>
      <c r="AF1551" s="16">
        <f>IF(ISERROR(VLOOKUP($A1551,'13. Updated Demand'!A:Z,23,FALSE)),0,VLOOKUP($A1551,'13. Updated Demand'!A:Z,23,FALSE))</f>
        <v>5.1956333E-2</v>
      </c>
      <c r="AG1551" s="16">
        <f>IF(ISERROR(VLOOKUP($A1551,'13. Updated Demand'!A:Z,24,FALSE)),0,VLOOKUP($A1551,'13. Updated Demand'!A:Z,24,FALSE))</f>
        <v>6.3842999999999997E-2</v>
      </c>
      <c r="AH1551" s="16">
        <f>IF(ISERROR(VLOOKUP($A1551,'13. Updated Demand'!A:Z,25,FALSE)),0,VLOOKUP($A1551,'13. Updated Demand'!A:Z,25,FALSE))</f>
        <v>3.3860000000000001E-2</v>
      </c>
      <c r="AI1551" s="16">
        <f>IF(ISERROR(VLOOKUP($A1551,'13. Updated Demand'!A:Z,26,FALSE)),0,VLOOKUP($A1551,'13. Updated Demand'!A:Z,26,FALSE))</f>
        <v>2.8745E-2</v>
      </c>
      <c r="AJ1551" s="16">
        <f t="shared" si="289"/>
        <v>0.54892166600000003</v>
      </c>
      <c r="AK1551" s="19">
        <v>0.29859266600000001</v>
      </c>
      <c r="AL1551" s="16">
        <f t="shared" si="299"/>
        <v>9.9039786022106003E-4</v>
      </c>
      <c r="AM1551" s="26">
        <v>3.1420816599885519</v>
      </c>
      <c r="AN1551" s="19">
        <v>0.17469999999999999</v>
      </c>
      <c r="AO1551" s="19" t="s">
        <v>1758</v>
      </c>
      <c r="AP1551" s="19">
        <v>0</v>
      </c>
      <c r="AQ1551" s="19" t="s">
        <v>307</v>
      </c>
      <c r="AR1551" s="9" t="s">
        <v>329</v>
      </c>
      <c r="AS1551" s="12">
        <v>3.4039024194010059E-4</v>
      </c>
      <c r="AT1551" s="19">
        <v>38.566355000000001</v>
      </c>
      <c r="AU1551" s="19">
        <v>-123.1045676</v>
      </c>
      <c r="AV1551" s="19" t="s">
        <v>1936</v>
      </c>
    </row>
    <row r="1552" spans="1:48" x14ac:dyDescent="0.25">
      <c r="A1552" s="18" t="s">
        <v>1944</v>
      </c>
      <c r="B1552" s="10">
        <v>10000000</v>
      </c>
      <c r="C1552" s="9">
        <v>20</v>
      </c>
      <c r="D1552" s="8" t="str">
        <f t="shared" si="290"/>
        <v>N</v>
      </c>
      <c r="E1552" s="8" t="str">
        <f t="shared" si="291"/>
        <v>N</v>
      </c>
      <c r="F1552" s="8" t="str">
        <f t="shared" si="292"/>
        <v>N</v>
      </c>
      <c r="G1552" s="8" t="str">
        <f t="shared" si="293"/>
        <v>N</v>
      </c>
      <c r="H1552" s="8" t="str">
        <f t="shared" si="294"/>
        <v>Lower</v>
      </c>
      <c r="I1552" s="8" t="str">
        <f t="shared" si="295"/>
        <v>Outside</v>
      </c>
      <c r="J1552" s="8" t="str">
        <f t="shared" si="296"/>
        <v>Outside</v>
      </c>
      <c r="K1552" s="8" t="str">
        <f t="shared" si="297"/>
        <v>Riparian</v>
      </c>
      <c r="L1552" s="8">
        <f t="shared" si="298"/>
        <v>1000</v>
      </c>
      <c r="M1552" s="8" t="str">
        <f t="shared" si="300"/>
        <v>-</v>
      </c>
      <c r="N1552" s="10" t="s">
        <v>242</v>
      </c>
      <c r="O1552" s="10" t="s">
        <v>242</v>
      </c>
      <c r="P1552" s="10" t="s">
        <v>242</v>
      </c>
      <c r="Q1552" s="10" t="s">
        <v>242</v>
      </c>
      <c r="R1552" s="10" t="s">
        <v>242</v>
      </c>
      <c r="S1552" s="10" t="s">
        <v>241</v>
      </c>
      <c r="T1552" s="10" t="s">
        <v>242</v>
      </c>
      <c r="U1552" s="10" t="s">
        <v>242</v>
      </c>
      <c r="V1552" s="10" t="s">
        <v>242</v>
      </c>
      <c r="W1552" s="10" t="s">
        <v>242</v>
      </c>
      <c r="X1552" s="15">
        <f>IF(ISERROR(VLOOKUP($A1552,'13. Updated Demand'!A:Z,15,FALSE)),0,VLOOKUP($A1552,'13. Updated Demand'!A:Z,15,FALSE))</f>
        <v>1.033333E-3</v>
      </c>
      <c r="Y1552" s="16">
        <f>IF(ISERROR(VLOOKUP($A1552,'13. Updated Demand'!A:Z,16,FALSE)),0,VLOOKUP($A1552,'13. Updated Demand'!A:Z,16,FALSE))</f>
        <v>1.033333E-3</v>
      </c>
      <c r="Z1552" s="16">
        <f>IF(ISERROR(VLOOKUP($A1552,'13. Updated Demand'!A:Z,17,FALSE)),0,VLOOKUP($A1552,'13. Updated Demand'!A:Z,17,FALSE))</f>
        <v>1.1356669999999999E-3</v>
      </c>
      <c r="AA1552" s="16">
        <f>IF(ISERROR(VLOOKUP($A1552,'13. Updated Demand'!A:Z,18,FALSE)),0,VLOOKUP($A1552,'13. Updated Demand'!A:Z,18,FALSE))</f>
        <v>1.892667E-3</v>
      </c>
      <c r="AB1552" s="16">
        <f>IF(ISERROR(VLOOKUP($A1552,'13. Updated Demand'!A:Z,19,FALSE)),0,VLOOKUP($A1552,'13. Updated Demand'!A:Z,19,FALSE))</f>
        <v>3.5806670000000001E-3</v>
      </c>
      <c r="AC1552" s="16">
        <f>IF(ISERROR(VLOOKUP($A1552,'13. Updated Demand'!A:Z,20,FALSE)),0,VLOOKUP($A1552,'13. Updated Demand'!A:Z,20,FALSE))</f>
        <v>3.5806670000000001E-3</v>
      </c>
      <c r="AD1552" s="16">
        <f>IF(ISERROR(VLOOKUP($A1552,'13. Updated Demand'!A:Z,21,FALSE)),0,VLOOKUP($A1552,'13. Updated Demand'!A:Z,21,FALSE))</f>
        <v>3.5806670000000001E-3</v>
      </c>
      <c r="AE1552" s="16">
        <f>IF(ISERROR(VLOOKUP($A1552,'13. Updated Demand'!A:Z,22,FALSE)),0,VLOOKUP($A1552,'13. Updated Demand'!A:Z,22,FALSE))</f>
        <v>3.5806670000000001E-3</v>
      </c>
      <c r="AF1552" s="16">
        <f>IF(ISERROR(VLOOKUP($A1552,'13. Updated Demand'!A:Z,23,FALSE)),0,VLOOKUP($A1552,'13. Updated Demand'!A:Z,23,FALSE))</f>
        <v>2.557667E-3</v>
      </c>
      <c r="AG1552" s="16">
        <f>IF(ISERROR(VLOOKUP($A1552,'13. Updated Demand'!A:Z,24,FALSE)),0,VLOOKUP($A1552,'13. Updated Demand'!A:Z,24,FALSE))</f>
        <v>2.250667E-3</v>
      </c>
      <c r="AH1552" s="16">
        <f>IF(ISERROR(VLOOKUP($A1552,'13. Updated Demand'!A:Z,25,FALSE)),0,VLOOKUP($A1552,'13. Updated Demand'!A:Z,25,FALSE))</f>
        <v>8.7966699999999999E-4</v>
      </c>
      <c r="AI1552" s="16">
        <f>IF(ISERROR(VLOOKUP($A1552,'13. Updated Demand'!A:Z,26,FALSE)),0,VLOOKUP($A1552,'13. Updated Demand'!A:Z,26,FALSE))</f>
        <v>8.7966699999999999E-4</v>
      </c>
      <c r="AJ1552" s="16">
        <f t="shared" ref="AJ1552:AJ1615" si="301">SUM(X1552:AI1552)</f>
        <v>2.5985336000000001E-2</v>
      </c>
      <c r="AK1552" s="19">
        <v>1.6880335E-2</v>
      </c>
      <c r="AL1552" s="16">
        <f t="shared" si="299"/>
        <v>5.5990148344148107E-5</v>
      </c>
      <c r="AM1552" s="26">
        <v>0.19092825863335783</v>
      </c>
      <c r="AN1552" s="19">
        <v>0.1361</v>
      </c>
      <c r="AO1552" s="19" t="s">
        <v>1758</v>
      </c>
      <c r="AP1552" s="19">
        <v>0</v>
      </c>
      <c r="AQ1552" s="19" t="s">
        <v>307</v>
      </c>
      <c r="AR1552" s="9" t="s">
        <v>329</v>
      </c>
      <c r="AS1552" s="12">
        <v>3.4039024194010059E-4</v>
      </c>
      <c r="AT1552" s="19">
        <v>38.56699708</v>
      </c>
      <c r="AU1552" s="19">
        <v>-123.09478371</v>
      </c>
      <c r="AV1552" s="19" t="s">
        <v>430</v>
      </c>
    </row>
    <row r="1553" spans="1:48" x14ac:dyDescent="0.25">
      <c r="A1553" s="18" t="s">
        <v>1945</v>
      </c>
      <c r="B1553" s="10">
        <v>10000000</v>
      </c>
      <c r="C1553" s="9">
        <v>4</v>
      </c>
      <c r="D1553" s="8" t="str">
        <f t="shared" si="290"/>
        <v>Y</v>
      </c>
      <c r="E1553" s="8" t="str">
        <f t="shared" si="291"/>
        <v>N</v>
      </c>
      <c r="F1553" s="8" t="str">
        <f t="shared" si="292"/>
        <v>Y</v>
      </c>
      <c r="G1553" s="8" t="str">
        <f t="shared" si="293"/>
        <v>Y</v>
      </c>
      <c r="H1553" s="8" t="str">
        <f t="shared" si="294"/>
        <v>Upper</v>
      </c>
      <c r="I1553" s="8" t="str">
        <f t="shared" si="295"/>
        <v>West Fork and Below Lake</v>
      </c>
      <c r="J1553" s="8" t="str">
        <f t="shared" si="296"/>
        <v>Mendocino (d/s of lake)</v>
      </c>
      <c r="K1553" s="8" t="str">
        <f t="shared" si="297"/>
        <v>Riparian</v>
      </c>
      <c r="L1553" s="8">
        <f t="shared" si="298"/>
        <v>1000</v>
      </c>
      <c r="M1553" s="8" t="str">
        <f t="shared" si="300"/>
        <v>-</v>
      </c>
      <c r="N1553" s="10" t="s">
        <v>241</v>
      </c>
      <c r="O1553" s="10" t="s">
        <v>241</v>
      </c>
      <c r="P1553" s="10" t="s">
        <v>242</v>
      </c>
      <c r="Q1553" s="10" t="s">
        <v>242</v>
      </c>
      <c r="R1553" s="10" t="s">
        <v>242</v>
      </c>
      <c r="S1553" s="10" t="s">
        <v>241</v>
      </c>
      <c r="T1553" s="10" t="s">
        <v>242</v>
      </c>
      <c r="U1553" s="10" t="s">
        <v>242</v>
      </c>
      <c r="V1553" s="10" t="s">
        <v>242</v>
      </c>
      <c r="W1553" s="10" t="s">
        <v>242</v>
      </c>
      <c r="X1553" s="15">
        <f>IF(ISERROR(VLOOKUP($A1553,'13. Updated Demand'!A:Z,15,FALSE)),0,VLOOKUP($A1553,'13. Updated Demand'!A:Z,15,FALSE))</f>
        <v>0</v>
      </c>
      <c r="Y1553" s="16">
        <f>IF(ISERROR(VLOOKUP($A1553,'13. Updated Demand'!A:Z,16,FALSE)),0,VLOOKUP($A1553,'13. Updated Demand'!A:Z,16,FALSE))</f>
        <v>0</v>
      </c>
      <c r="Z1553" s="16">
        <f>IF(ISERROR(VLOOKUP($A1553,'13. Updated Demand'!A:Z,17,FALSE)),0,VLOOKUP($A1553,'13. Updated Demand'!A:Z,17,FALSE))</f>
        <v>1.17</v>
      </c>
      <c r="AA1553" s="16">
        <f>IF(ISERROR(VLOOKUP($A1553,'13. Updated Demand'!A:Z,18,FALSE)),0,VLOOKUP($A1553,'13. Updated Demand'!A:Z,18,FALSE))</f>
        <v>0.2</v>
      </c>
      <c r="AB1553" s="16">
        <f>IF(ISERROR(VLOOKUP($A1553,'13. Updated Demand'!A:Z,19,FALSE)),0,VLOOKUP($A1553,'13. Updated Demand'!A:Z,19,FALSE))</f>
        <v>0</v>
      </c>
      <c r="AC1553" s="16">
        <f>IF(ISERROR(VLOOKUP($A1553,'13. Updated Demand'!A:Z,20,FALSE)),0,VLOOKUP($A1553,'13. Updated Demand'!A:Z,20,FALSE))</f>
        <v>0.84</v>
      </c>
      <c r="AD1553" s="16">
        <f>IF(ISERROR(VLOOKUP($A1553,'13. Updated Demand'!A:Z,21,FALSE)),0,VLOOKUP($A1553,'13. Updated Demand'!A:Z,21,FALSE))</f>
        <v>3.22</v>
      </c>
      <c r="AE1553" s="16">
        <f>IF(ISERROR(VLOOKUP($A1553,'13. Updated Demand'!A:Z,22,FALSE)),0,VLOOKUP($A1553,'13. Updated Demand'!A:Z,22,FALSE))</f>
        <v>0</v>
      </c>
      <c r="AF1553" s="16">
        <f>IF(ISERROR(VLOOKUP($A1553,'13. Updated Demand'!A:Z,23,FALSE)),0,VLOOKUP($A1553,'13. Updated Demand'!A:Z,23,FALSE))</f>
        <v>0</v>
      </c>
      <c r="AG1553" s="16">
        <f>IF(ISERROR(VLOOKUP($A1553,'13. Updated Demand'!A:Z,24,FALSE)),0,VLOOKUP($A1553,'13. Updated Demand'!A:Z,24,FALSE))</f>
        <v>0</v>
      </c>
      <c r="AH1553" s="16">
        <f>IF(ISERROR(VLOOKUP($A1553,'13. Updated Demand'!A:Z,25,FALSE)),0,VLOOKUP($A1553,'13. Updated Demand'!A:Z,25,FALSE))</f>
        <v>0</v>
      </c>
      <c r="AI1553" s="16">
        <f>IF(ISERROR(VLOOKUP($A1553,'13. Updated Demand'!A:Z,26,FALSE)),0,VLOOKUP($A1553,'13. Updated Demand'!A:Z,26,FALSE))</f>
        <v>0</v>
      </c>
      <c r="AJ1553" s="16">
        <f t="shared" si="301"/>
        <v>5.43</v>
      </c>
      <c r="AK1553" s="19">
        <v>4.0666666666666629</v>
      </c>
      <c r="AL1553" s="16">
        <f t="shared" si="299"/>
        <v>1.3488670096468392E-2</v>
      </c>
      <c r="AM1553" s="26">
        <v>0.22784442994271817</v>
      </c>
      <c r="AN1553" s="19">
        <v>23.905200000000001</v>
      </c>
      <c r="AO1553" s="19" t="s">
        <v>1758</v>
      </c>
      <c r="AP1553" s="19">
        <v>0</v>
      </c>
      <c r="AQ1553" s="19" t="s">
        <v>307</v>
      </c>
      <c r="AR1553" s="9" t="s">
        <v>331</v>
      </c>
      <c r="AS1553" s="12">
        <v>3.4039024194010059E-4</v>
      </c>
      <c r="AT1553" s="19">
        <v>39.139029540000003</v>
      </c>
      <c r="AU1553" s="19">
        <v>-123.18895411</v>
      </c>
      <c r="AV1553" s="19" t="s">
        <v>548</v>
      </c>
    </row>
    <row r="1554" spans="1:48" x14ac:dyDescent="0.25">
      <c r="A1554" s="18" t="s">
        <v>1946</v>
      </c>
      <c r="B1554" s="10">
        <v>10000000</v>
      </c>
      <c r="C1554" s="9">
        <v>1</v>
      </c>
      <c r="D1554" s="8" t="str">
        <f t="shared" si="290"/>
        <v>N</v>
      </c>
      <c r="E1554" s="8" t="str">
        <f t="shared" si="291"/>
        <v>N</v>
      </c>
      <c r="F1554" s="8" t="str">
        <f t="shared" si="292"/>
        <v>Y</v>
      </c>
      <c r="G1554" s="8" t="str">
        <f t="shared" si="293"/>
        <v>Y</v>
      </c>
      <c r="H1554" s="8" t="str">
        <f t="shared" si="294"/>
        <v>Upper</v>
      </c>
      <c r="I1554" s="8" t="str">
        <f t="shared" si="295"/>
        <v>West Fork and Below Lake</v>
      </c>
      <c r="J1554" s="8" t="str">
        <f t="shared" si="296"/>
        <v>Outside</v>
      </c>
      <c r="K1554" s="8" t="str">
        <f t="shared" si="297"/>
        <v>Riparian</v>
      </c>
      <c r="L1554" s="8">
        <f t="shared" si="298"/>
        <v>1000</v>
      </c>
      <c r="M1554" s="8" t="str">
        <f t="shared" si="300"/>
        <v>-</v>
      </c>
      <c r="N1554" s="10" t="s">
        <v>242</v>
      </c>
      <c r="O1554" s="10" t="s">
        <v>241</v>
      </c>
      <c r="P1554" s="10" t="s">
        <v>242</v>
      </c>
      <c r="Q1554" s="10" t="s">
        <v>242</v>
      </c>
      <c r="R1554" s="10" t="s">
        <v>242</v>
      </c>
      <c r="S1554" s="10" t="s">
        <v>241</v>
      </c>
      <c r="T1554" s="10" t="s">
        <v>242</v>
      </c>
      <c r="U1554" s="10" t="s">
        <v>241</v>
      </c>
      <c r="V1554" s="10" t="s">
        <v>241</v>
      </c>
      <c r="W1554" s="10" t="s">
        <v>242</v>
      </c>
      <c r="X1554" s="15">
        <f>IF(ISERROR(VLOOKUP($A1554,'13. Updated Demand'!A:Z,15,FALSE)),0,VLOOKUP($A1554,'13. Updated Demand'!A:Z,15,FALSE))</f>
        <v>0</v>
      </c>
      <c r="Y1554" s="16">
        <f>IF(ISERROR(VLOOKUP($A1554,'13. Updated Demand'!A:Z,16,FALSE)),0,VLOOKUP($A1554,'13. Updated Demand'!A:Z,16,FALSE))</f>
        <v>0</v>
      </c>
      <c r="Z1554" s="16">
        <f>IF(ISERROR(VLOOKUP($A1554,'13. Updated Demand'!A:Z,17,FALSE)),0,VLOOKUP($A1554,'13. Updated Demand'!A:Z,17,FALSE))</f>
        <v>0</v>
      </c>
      <c r="AA1554" s="16">
        <f>IF(ISERROR(VLOOKUP($A1554,'13. Updated Demand'!A:Z,18,FALSE)),0,VLOOKUP($A1554,'13. Updated Demand'!A:Z,18,FALSE))</f>
        <v>0</v>
      </c>
      <c r="AB1554" s="16">
        <f>IF(ISERROR(VLOOKUP($A1554,'13. Updated Demand'!A:Z,19,FALSE)),0,VLOOKUP($A1554,'13. Updated Demand'!A:Z,19,FALSE))</f>
        <v>0</v>
      </c>
      <c r="AC1554" s="16">
        <f>IF(ISERROR(VLOOKUP($A1554,'13. Updated Demand'!A:Z,20,FALSE)),0,VLOOKUP($A1554,'13. Updated Demand'!A:Z,20,FALSE))</f>
        <v>0</v>
      </c>
      <c r="AD1554" s="16">
        <f>IF(ISERROR(VLOOKUP($A1554,'13. Updated Demand'!A:Z,21,FALSE)),0,VLOOKUP($A1554,'13. Updated Demand'!A:Z,21,FALSE))</f>
        <v>0</v>
      </c>
      <c r="AE1554" s="16">
        <f>IF(ISERROR(VLOOKUP($A1554,'13. Updated Demand'!A:Z,22,FALSE)),0,VLOOKUP($A1554,'13. Updated Demand'!A:Z,22,FALSE))</f>
        <v>0</v>
      </c>
      <c r="AF1554" s="16">
        <f>IF(ISERROR(VLOOKUP($A1554,'13. Updated Demand'!A:Z,23,FALSE)),0,VLOOKUP($A1554,'13. Updated Demand'!A:Z,23,FALSE))</f>
        <v>0</v>
      </c>
      <c r="AG1554" s="16">
        <f>IF(ISERROR(VLOOKUP($A1554,'13. Updated Demand'!A:Z,24,FALSE)),0,VLOOKUP($A1554,'13. Updated Demand'!A:Z,24,FALSE))</f>
        <v>0</v>
      </c>
      <c r="AH1554" s="16">
        <f>IF(ISERROR(VLOOKUP($A1554,'13. Updated Demand'!A:Z,25,FALSE)),0,VLOOKUP($A1554,'13. Updated Demand'!A:Z,25,FALSE))</f>
        <v>0</v>
      </c>
      <c r="AI1554" s="16">
        <f>IF(ISERROR(VLOOKUP($A1554,'13. Updated Demand'!A:Z,26,FALSE)),0,VLOOKUP($A1554,'13. Updated Demand'!A:Z,26,FALSE))</f>
        <v>0</v>
      </c>
      <c r="AJ1554" s="16">
        <f t="shared" si="301"/>
        <v>0</v>
      </c>
      <c r="AK1554" s="19">
        <v>0</v>
      </c>
      <c r="AL1554" s="16">
        <f t="shared" si="299"/>
        <v>0</v>
      </c>
      <c r="AM1554" s="26">
        <v>0</v>
      </c>
      <c r="AN1554" s="19">
        <v>0</v>
      </c>
      <c r="AO1554" s="19" t="s">
        <v>1758</v>
      </c>
      <c r="AP1554" s="19">
        <v>0</v>
      </c>
      <c r="AQ1554" s="19" t="s">
        <v>307</v>
      </c>
      <c r="AR1554" s="9" t="s">
        <v>317</v>
      </c>
      <c r="AS1554" s="12">
        <v>0</v>
      </c>
      <c r="AT1554" s="19">
        <v>39.246654360000001</v>
      </c>
      <c r="AU1554" s="19">
        <v>-123.20382956</v>
      </c>
      <c r="AV1554" s="19" t="s">
        <v>456</v>
      </c>
    </row>
    <row r="1555" spans="1:48" x14ac:dyDescent="0.25">
      <c r="A1555" s="18" t="s">
        <v>1947</v>
      </c>
      <c r="B1555" s="10">
        <v>10000000</v>
      </c>
      <c r="C1555" s="9">
        <v>15</v>
      </c>
      <c r="D1555" s="8" t="str">
        <f t="shared" si="290"/>
        <v>N</v>
      </c>
      <c r="E1555" s="8" t="str">
        <f t="shared" si="291"/>
        <v>N</v>
      </c>
      <c r="F1555" s="8" t="str">
        <f t="shared" si="292"/>
        <v>N</v>
      </c>
      <c r="G1555" s="8" t="str">
        <f t="shared" si="293"/>
        <v>N</v>
      </c>
      <c r="H1555" s="8" t="str">
        <f t="shared" si="294"/>
        <v>Lower</v>
      </c>
      <c r="I1555" s="8" t="str">
        <f t="shared" si="295"/>
        <v>Outside</v>
      </c>
      <c r="J1555" s="8" t="str">
        <f t="shared" si="296"/>
        <v>Outside</v>
      </c>
      <c r="K1555" s="8" t="str">
        <f t="shared" si="297"/>
        <v>Riparian</v>
      </c>
      <c r="L1555" s="8">
        <f t="shared" si="298"/>
        <v>1000</v>
      </c>
      <c r="M1555" s="8" t="str">
        <f t="shared" si="300"/>
        <v>-</v>
      </c>
      <c r="N1555" s="10" t="s">
        <v>242</v>
      </c>
      <c r="O1555" s="10" t="s">
        <v>242</v>
      </c>
      <c r="P1555" s="10" t="s">
        <v>242</v>
      </c>
      <c r="Q1555" s="10" t="s">
        <v>242</v>
      </c>
      <c r="R1555" s="10" t="s">
        <v>242</v>
      </c>
      <c r="S1555" s="10" t="s">
        <v>241</v>
      </c>
      <c r="T1555" s="10" t="s">
        <v>242</v>
      </c>
      <c r="U1555" s="10" t="s">
        <v>242</v>
      </c>
      <c r="V1555" s="10" t="s">
        <v>242</v>
      </c>
      <c r="W1555" s="10" t="s">
        <v>242</v>
      </c>
      <c r="X1555" s="15">
        <f>IF(ISERROR(VLOOKUP($A1555,'13. Updated Demand'!A:Z,15,FALSE)),0,VLOOKUP($A1555,'13. Updated Demand'!A:Z,15,FALSE))</f>
        <v>0</v>
      </c>
      <c r="Y1555" s="16">
        <f>IF(ISERROR(VLOOKUP($A1555,'13. Updated Demand'!A:Z,16,FALSE)),0,VLOOKUP($A1555,'13. Updated Demand'!A:Z,16,FALSE))</f>
        <v>0</v>
      </c>
      <c r="Z1555" s="16">
        <f>IF(ISERROR(VLOOKUP($A1555,'13. Updated Demand'!A:Z,17,FALSE)),0,VLOOKUP($A1555,'13. Updated Demand'!A:Z,17,FALSE))</f>
        <v>2</v>
      </c>
      <c r="AA1555" s="16">
        <f>IF(ISERROR(VLOOKUP($A1555,'13. Updated Demand'!A:Z,18,FALSE)),0,VLOOKUP($A1555,'13. Updated Demand'!A:Z,18,FALSE))</f>
        <v>1.5</v>
      </c>
      <c r="AB1555" s="16">
        <f>IF(ISERROR(VLOOKUP($A1555,'13. Updated Demand'!A:Z,19,FALSE)),0,VLOOKUP($A1555,'13. Updated Demand'!A:Z,19,FALSE))</f>
        <v>3</v>
      </c>
      <c r="AC1555" s="16">
        <f>IF(ISERROR(VLOOKUP($A1555,'13. Updated Demand'!A:Z,20,FALSE)),0,VLOOKUP($A1555,'13. Updated Demand'!A:Z,20,FALSE))</f>
        <v>3.5</v>
      </c>
      <c r="AD1555" s="16">
        <f>IF(ISERROR(VLOOKUP($A1555,'13. Updated Demand'!A:Z,21,FALSE)),0,VLOOKUP($A1555,'13. Updated Demand'!A:Z,21,FALSE))</f>
        <v>3.5</v>
      </c>
      <c r="AE1555" s="16">
        <f>IF(ISERROR(VLOOKUP($A1555,'13. Updated Demand'!A:Z,22,FALSE)),0,VLOOKUP($A1555,'13. Updated Demand'!A:Z,22,FALSE))</f>
        <v>4</v>
      </c>
      <c r="AF1555" s="16">
        <f>IF(ISERROR(VLOOKUP($A1555,'13. Updated Demand'!A:Z,23,FALSE)),0,VLOOKUP($A1555,'13. Updated Demand'!A:Z,23,FALSE))</f>
        <v>3.5</v>
      </c>
      <c r="AG1555" s="16">
        <f>IF(ISERROR(VLOOKUP($A1555,'13. Updated Demand'!A:Z,24,FALSE)),0,VLOOKUP($A1555,'13. Updated Demand'!A:Z,24,FALSE))</f>
        <v>3</v>
      </c>
      <c r="AH1555" s="16">
        <f>IF(ISERROR(VLOOKUP($A1555,'13. Updated Demand'!A:Z,25,FALSE)),0,VLOOKUP($A1555,'13. Updated Demand'!A:Z,25,FALSE))</f>
        <v>0</v>
      </c>
      <c r="AI1555" s="16">
        <f>IF(ISERROR(VLOOKUP($A1555,'13. Updated Demand'!A:Z,26,FALSE)),0,VLOOKUP($A1555,'13. Updated Demand'!A:Z,26,FALSE))</f>
        <v>0</v>
      </c>
      <c r="AJ1555" s="16">
        <f t="shared" si="301"/>
        <v>24</v>
      </c>
      <c r="AK1555" s="19">
        <v>17.5</v>
      </c>
      <c r="AL1555" s="16">
        <f t="shared" si="299"/>
        <v>5.8045506562671406E-2</v>
      </c>
      <c r="AM1555" s="26">
        <v>0.46412686134210018</v>
      </c>
      <c r="AN1555" s="19">
        <v>51.71</v>
      </c>
      <c r="AO1555" s="19" t="s">
        <v>1758</v>
      </c>
      <c r="AP1555" s="19">
        <v>0</v>
      </c>
      <c r="AQ1555" s="19" t="s">
        <v>307</v>
      </c>
      <c r="AR1555" s="9" t="s">
        <v>489</v>
      </c>
      <c r="AS1555" s="12">
        <v>0</v>
      </c>
      <c r="AT1555" s="19">
        <v>38.687557099999999</v>
      </c>
      <c r="AU1555" s="19">
        <v>-122.9540354</v>
      </c>
      <c r="AV1555" s="19" t="s">
        <v>701</v>
      </c>
    </row>
    <row r="1556" spans="1:48" x14ac:dyDescent="0.25">
      <c r="A1556" s="18" t="s">
        <v>1948</v>
      </c>
      <c r="B1556" s="10">
        <v>10000000</v>
      </c>
      <c r="C1556" s="9">
        <v>15</v>
      </c>
      <c r="D1556" s="8" t="str">
        <f t="shared" si="290"/>
        <v>N</v>
      </c>
      <c r="E1556" s="8" t="str">
        <f t="shared" si="291"/>
        <v>N</v>
      </c>
      <c r="F1556" s="8" t="str">
        <f t="shared" si="292"/>
        <v>N</v>
      </c>
      <c r="G1556" s="8" t="str">
        <f t="shared" si="293"/>
        <v>N</v>
      </c>
      <c r="H1556" s="8" t="str">
        <f t="shared" si="294"/>
        <v>Lower</v>
      </c>
      <c r="I1556" s="8" t="str">
        <f t="shared" si="295"/>
        <v>Outside</v>
      </c>
      <c r="J1556" s="8" t="str">
        <f t="shared" si="296"/>
        <v>Outside</v>
      </c>
      <c r="K1556" s="8" t="str">
        <f t="shared" si="297"/>
        <v>Riparian</v>
      </c>
      <c r="L1556" s="8">
        <f t="shared" si="298"/>
        <v>1000</v>
      </c>
      <c r="M1556" s="8" t="str">
        <f t="shared" si="300"/>
        <v>-</v>
      </c>
      <c r="N1556" s="10" t="s">
        <v>242</v>
      </c>
      <c r="O1556" s="10" t="s">
        <v>242</v>
      </c>
      <c r="P1556" s="10" t="s">
        <v>242</v>
      </c>
      <c r="Q1556" s="10" t="s">
        <v>242</v>
      </c>
      <c r="R1556" s="10" t="s">
        <v>242</v>
      </c>
      <c r="S1556" s="10" t="s">
        <v>241</v>
      </c>
      <c r="T1556" s="10" t="s">
        <v>242</v>
      </c>
      <c r="U1556" s="10" t="s">
        <v>242</v>
      </c>
      <c r="V1556" s="10" t="s">
        <v>242</v>
      </c>
      <c r="W1556" s="10" t="s">
        <v>242</v>
      </c>
      <c r="X1556" s="15">
        <f>IF(ISERROR(VLOOKUP($A1556,'13. Updated Demand'!A:Z,15,FALSE)),0,VLOOKUP($A1556,'13. Updated Demand'!A:Z,15,FALSE))</f>
        <v>0</v>
      </c>
      <c r="Y1556" s="16">
        <f>IF(ISERROR(VLOOKUP($A1556,'13. Updated Demand'!A:Z,16,FALSE)),0,VLOOKUP($A1556,'13. Updated Demand'!A:Z,16,FALSE))</f>
        <v>0</v>
      </c>
      <c r="Z1556" s="16">
        <f>IF(ISERROR(VLOOKUP($A1556,'13. Updated Demand'!A:Z,17,FALSE)),0,VLOOKUP($A1556,'13. Updated Demand'!A:Z,17,FALSE))</f>
        <v>1</v>
      </c>
      <c r="AA1556" s="16">
        <f>IF(ISERROR(VLOOKUP($A1556,'13. Updated Demand'!A:Z,18,FALSE)),0,VLOOKUP($A1556,'13. Updated Demand'!A:Z,18,FALSE))</f>
        <v>2</v>
      </c>
      <c r="AB1556" s="16">
        <f>IF(ISERROR(VLOOKUP($A1556,'13. Updated Demand'!A:Z,19,FALSE)),0,VLOOKUP($A1556,'13. Updated Demand'!A:Z,19,FALSE))</f>
        <v>0</v>
      </c>
      <c r="AC1556" s="16">
        <f>IF(ISERROR(VLOOKUP($A1556,'13. Updated Demand'!A:Z,20,FALSE)),0,VLOOKUP($A1556,'13. Updated Demand'!A:Z,20,FALSE))</f>
        <v>2</v>
      </c>
      <c r="AD1556" s="16">
        <f>IF(ISERROR(VLOOKUP($A1556,'13. Updated Demand'!A:Z,21,FALSE)),0,VLOOKUP($A1556,'13. Updated Demand'!A:Z,21,FALSE))</f>
        <v>3</v>
      </c>
      <c r="AE1556" s="16">
        <f>IF(ISERROR(VLOOKUP($A1556,'13. Updated Demand'!A:Z,22,FALSE)),0,VLOOKUP($A1556,'13. Updated Demand'!A:Z,22,FALSE))</f>
        <v>3</v>
      </c>
      <c r="AF1556" s="16">
        <f>IF(ISERROR(VLOOKUP($A1556,'13. Updated Demand'!A:Z,23,FALSE)),0,VLOOKUP($A1556,'13. Updated Demand'!A:Z,23,FALSE))</f>
        <v>2.5</v>
      </c>
      <c r="AG1556" s="16">
        <f>IF(ISERROR(VLOOKUP($A1556,'13. Updated Demand'!A:Z,24,FALSE)),0,VLOOKUP($A1556,'13. Updated Demand'!A:Z,24,FALSE))</f>
        <v>2</v>
      </c>
      <c r="AH1556" s="16">
        <f>IF(ISERROR(VLOOKUP($A1556,'13. Updated Demand'!A:Z,25,FALSE)),0,VLOOKUP($A1556,'13. Updated Demand'!A:Z,25,FALSE))</f>
        <v>0</v>
      </c>
      <c r="AI1556" s="16">
        <f>IF(ISERROR(VLOOKUP($A1556,'13. Updated Demand'!A:Z,26,FALSE)),0,VLOOKUP($A1556,'13. Updated Demand'!A:Z,26,FALSE))</f>
        <v>0</v>
      </c>
      <c r="AJ1556" s="16">
        <f t="shared" si="301"/>
        <v>15.5</v>
      </c>
      <c r="AK1556" s="19">
        <v>10.5</v>
      </c>
      <c r="AL1556" s="16">
        <f t="shared" si="299"/>
        <v>3.4827303937602846E-2</v>
      </c>
      <c r="AM1556" s="26">
        <v>3.291848957227201E-2</v>
      </c>
      <c r="AN1556" s="19">
        <v>470.86</v>
      </c>
      <c r="AO1556" s="19" t="s">
        <v>1758</v>
      </c>
      <c r="AP1556" s="19">
        <v>0</v>
      </c>
      <c r="AQ1556" s="19" t="s">
        <v>307</v>
      </c>
      <c r="AR1556" s="9" t="s">
        <v>489</v>
      </c>
      <c r="AS1556" s="12">
        <v>0</v>
      </c>
      <c r="AT1556" s="19">
        <v>38.686327259999999</v>
      </c>
      <c r="AU1556" s="19">
        <v>-122.95331822</v>
      </c>
      <c r="AV1556" s="19" t="s">
        <v>1949</v>
      </c>
    </row>
    <row r="1557" spans="1:48" x14ac:dyDescent="0.25">
      <c r="A1557" s="18" t="s">
        <v>1950</v>
      </c>
      <c r="B1557" s="10">
        <v>10000000</v>
      </c>
      <c r="C1557" s="9">
        <v>12</v>
      </c>
      <c r="D1557" s="8" t="str">
        <f t="shared" si="290"/>
        <v>N</v>
      </c>
      <c r="E1557" s="8" t="str">
        <f t="shared" si="291"/>
        <v>Y</v>
      </c>
      <c r="F1557" s="8" t="str">
        <f t="shared" si="292"/>
        <v>Y</v>
      </c>
      <c r="G1557" s="8" t="str">
        <f t="shared" si="293"/>
        <v>Y</v>
      </c>
      <c r="H1557" s="8" t="str">
        <f t="shared" si="294"/>
        <v>Upper</v>
      </c>
      <c r="I1557" s="8" t="str">
        <f t="shared" si="295"/>
        <v>West Fork and Below Lake</v>
      </c>
      <c r="J1557" s="8" t="str">
        <f t="shared" si="296"/>
        <v>Sonoma (d/s of Clov. Gage)</v>
      </c>
      <c r="K1557" s="8" t="str">
        <f t="shared" si="297"/>
        <v>Riparian</v>
      </c>
      <c r="L1557" s="8">
        <f t="shared" si="298"/>
        <v>1000</v>
      </c>
      <c r="M1557" s="8" t="str">
        <f t="shared" si="300"/>
        <v>-</v>
      </c>
      <c r="N1557" s="10" t="s">
        <v>242</v>
      </c>
      <c r="O1557" s="10" t="s">
        <v>241</v>
      </c>
      <c r="P1557" s="10" t="s">
        <v>242</v>
      </c>
      <c r="Q1557" s="10" t="s">
        <v>242</v>
      </c>
      <c r="R1557" s="10" t="s">
        <v>242</v>
      </c>
      <c r="S1557" s="10" t="s">
        <v>241</v>
      </c>
      <c r="T1557" s="10" t="s">
        <v>242</v>
      </c>
      <c r="U1557" s="10" t="s">
        <v>241</v>
      </c>
      <c r="V1557" s="10" t="s">
        <v>241</v>
      </c>
      <c r="W1557" s="10" t="s">
        <v>242</v>
      </c>
      <c r="X1557" s="15">
        <f>IF(ISERROR(VLOOKUP($A1557,'13. Updated Demand'!A:Z,15,FALSE)),0,VLOOKUP($A1557,'13. Updated Demand'!A:Z,15,FALSE))</f>
        <v>0</v>
      </c>
      <c r="Y1557" s="16">
        <f>IF(ISERROR(VLOOKUP($A1557,'13. Updated Demand'!A:Z,16,FALSE)),0,VLOOKUP($A1557,'13. Updated Demand'!A:Z,16,FALSE))</f>
        <v>0</v>
      </c>
      <c r="Z1557" s="16">
        <f>IF(ISERROR(VLOOKUP($A1557,'13. Updated Demand'!A:Z,17,FALSE)),0,VLOOKUP($A1557,'13. Updated Demand'!A:Z,17,FALSE))</f>
        <v>0</v>
      </c>
      <c r="AA1557" s="16">
        <f>IF(ISERROR(VLOOKUP($A1557,'13. Updated Demand'!A:Z,18,FALSE)),0,VLOOKUP($A1557,'13. Updated Demand'!A:Z,18,FALSE))</f>
        <v>0</v>
      </c>
      <c r="AB1557" s="16">
        <f>IF(ISERROR(VLOOKUP($A1557,'13. Updated Demand'!A:Z,19,FALSE)),0,VLOOKUP($A1557,'13. Updated Demand'!A:Z,19,FALSE))</f>
        <v>0</v>
      </c>
      <c r="AC1557" s="16">
        <f>IF(ISERROR(VLOOKUP($A1557,'13. Updated Demand'!A:Z,20,FALSE)),0,VLOOKUP($A1557,'13. Updated Demand'!A:Z,20,FALSE))</f>
        <v>0</v>
      </c>
      <c r="AD1557" s="16">
        <f>IF(ISERROR(VLOOKUP($A1557,'13. Updated Demand'!A:Z,21,FALSE)),0,VLOOKUP($A1557,'13. Updated Demand'!A:Z,21,FALSE))</f>
        <v>0</v>
      </c>
      <c r="AE1557" s="16">
        <f>IF(ISERROR(VLOOKUP($A1557,'13. Updated Demand'!A:Z,22,FALSE)),0,VLOOKUP($A1557,'13. Updated Demand'!A:Z,22,FALSE))</f>
        <v>0</v>
      </c>
      <c r="AF1557" s="16">
        <f>IF(ISERROR(VLOOKUP($A1557,'13. Updated Demand'!A:Z,23,FALSE)),0,VLOOKUP($A1557,'13. Updated Demand'!A:Z,23,FALSE))</f>
        <v>0</v>
      </c>
      <c r="AG1557" s="16">
        <f>IF(ISERROR(VLOOKUP($A1557,'13. Updated Demand'!A:Z,24,FALSE)),0,VLOOKUP($A1557,'13. Updated Demand'!A:Z,24,FALSE))</f>
        <v>0</v>
      </c>
      <c r="AH1557" s="16">
        <f>IF(ISERROR(VLOOKUP($A1557,'13. Updated Demand'!A:Z,25,FALSE)),0,VLOOKUP($A1557,'13. Updated Demand'!A:Z,25,FALSE))</f>
        <v>0</v>
      </c>
      <c r="AI1557" s="16">
        <f>IF(ISERROR(VLOOKUP($A1557,'13. Updated Demand'!A:Z,26,FALSE)),0,VLOOKUP($A1557,'13. Updated Demand'!A:Z,26,FALSE))</f>
        <v>0</v>
      </c>
      <c r="AJ1557" s="16">
        <f t="shared" si="301"/>
        <v>0</v>
      </c>
      <c r="AK1557" s="19">
        <v>0</v>
      </c>
      <c r="AL1557" s="16">
        <f t="shared" si="299"/>
        <v>0</v>
      </c>
      <c r="AM1557" s="26">
        <v>0</v>
      </c>
      <c r="AN1557" s="19">
        <v>0</v>
      </c>
      <c r="AO1557" s="19" t="s">
        <v>1758</v>
      </c>
      <c r="AP1557" s="19">
        <v>0</v>
      </c>
      <c r="AQ1557" s="19" t="s">
        <v>307</v>
      </c>
      <c r="AR1557" s="9" t="s">
        <v>311</v>
      </c>
      <c r="AS1557" s="12">
        <v>0</v>
      </c>
      <c r="AT1557" s="19">
        <v>38.64943916</v>
      </c>
      <c r="AU1557" s="19">
        <v>-122.78158882</v>
      </c>
      <c r="AV1557" s="19" t="s">
        <v>417</v>
      </c>
    </row>
    <row r="1558" spans="1:48" x14ac:dyDescent="0.25">
      <c r="A1558" s="18" t="s">
        <v>1951</v>
      </c>
      <c r="B1558" s="10">
        <v>10000000</v>
      </c>
      <c r="C1558" s="9">
        <v>5</v>
      </c>
      <c r="D1558" s="8" t="str">
        <f t="shared" si="290"/>
        <v>Y</v>
      </c>
      <c r="E1558" s="8" t="str">
        <f t="shared" si="291"/>
        <v>N</v>
      </c>
      <c r="F1558" s="8" t="str">
        <f t="shared" si="292"/>
        <v>Y</v>
      </c>
      <c r="G1558" s="8" t="str">
        <f t="shared" si="293"/>
        <v>Y</v>
      </c>
      <c r="H1558" s="8" t="str">
        <f t="shared" si="294"/>
        <v>Upper</v>
      </c>
      <c r="I1558" s="8" t="str">
        <f t="shared" si="295"/>
        <v>West Fork and Below Lake</v>
      </c>
      <c r="J1558" s="8" t="str">
        <f t="shared" si="296"/>
        <v>Mendocino (d/s of lake)</v>
      </c>
      <c r="K1558" s="8" t="str">
        <f t="shared" si="297"/>
        <v>Riparian</v>
      </c>
      <c r="L1558" s="8">
        <f t="shared" si="298"/>
        <v>1000</v>
      </c>
      <c r="M1558" s="8" t="str">
        <f t="shared" si="300"/>
        <v>-</v>
      </c>
      <c r="N1558" s="10" t="s">
        <v>242</v>
      </c>
      <c r="O1558" s="10" t="s">
        <v>241</v>
      </c>
      <c r="P1558" s="10" t="s">
        <v>242</v>
      </c>
      <c r="Q1558" s="10" t="s">
        <v>242</v>
      </c>
      <c r="R1558" s="10" t="s">
        <v>242</v>
      </c>
      <c r="S1558" s="10" t="s">
        <v>241</v>
      </c>
      <c r="T1558" s="10" t="s">
        <v>242</v>
      </c>
      <c r="U1558" s="10" t="s">
        <v>242</v>
      </c>
      <c r="V1558" s="10" t="s">
        <v>242</v>
      </c>
      <c r="W1558" s="10" t="s">
        <v>242</v>
      </c>
      <c r="X1558" s="15">
        <f>IF(ISERROR(VLOOKUP($A1558,'13. Updated Demand'!A:Z,15,FALSE)),0,VLOOKUP($A1558,'13. Updated Demand'!A:Z,15,FALSE))</f>
        <v>0</v>
      </c>
      <c r="Y1558" s="16">
        <f>IF(ISERROR(VLOOKUP($A1558,'13. Updated Demand'!A:Z,16,FALSE)),0,VLOOKUP($A1558,'13. Updated Demand'!A:Z,16,FALSE))</f>
        <v>0</v>
      </c>
      <c r="Z1558" s="16">
        <f>IF(ISERROR(VLOOKUP($A1558,'13. Updated Demand'!A:Z,17,FALSE)),0,VLOOKUP($A1558,'13. Updated Demand'!A:Z,17,FALSE))</f>
        <v>0</v>
      </c>
      <c r="AA1558" s="16">
        <f>IF(ISERROR(VLOOKUP($A1558,'13. Updated Demand'!A:Z,18,FALSE)),0,VLOOKUP($A1558,'13. Updated Demand'!A:Z,18,FALSE))</f>
        <v>0</v>
      </c>
      <c r="AB1558" s="16">
        <f>IF(ISERROR(VLOOKUP($A1558,'13. Updated Demand'!A:Z,19,FALSE)),0,VLOOKUP($A1558,'13. Updated Demand'!A:Z,19,FALSE))</f>
        <v>1.55</v>
      </c>
      <c r="AC1558" s="16">
        <f>IF(ISERROR(VLOOKUP($A1558,'13. Updated Demand'!A:Z,20,FALSE)),0,VLOOKUP($A1558,'13. Updated Demand'!A:Z,20,FALSE))</f>
        <v>1.98</v>
      </c>
      <c r="AD1558" s="16">
        <f>IF(ISERROR(VLOOKUP($A1558,'13. Updated Demand'!A:Z,21,FALSE)),0,VLOOKUP($A1558,'13. Updated Demand'!A:Z,21,FALSE))</f>
        <v>2.33</v>
      </c>
      <c r="AE1558" s="16">
        <f>IF(ISERROR(VLOOKUP($A1558,'13. Updated Demand'!A:Z,22,FALSE)),0,VLOOKUP($A1558,'13. Updated Demand'!A:Z,22,FALSE))</f>
        <v>7.99</v>
      </c>
      <c r="AF1558" s="16">
        <f>IF(ISERROR(VLOOKUP($A1558,'13. Updated Demand'!A:Z,23,FALSE)),0,VLOOKUP($A1558,'13. Updated Demand'!A:Z,23,FALSE))</f>
        <v>1.79</v>
      </c>
      <c r="AG1558" s="16">
        <f>IF(ISERROR(VLOOKUP($A1558,'13. Updated Demand'!A:Z,24,FALSE)),0,VLOOKUP($A1558,'13. Updated Demand'!A:Z,24,FALSE))</f>
        <v>1.5</v>
      </c>
      <c r="AH1558" s="16">
        <f>IF(ISERROR(VLOOKUP($A1558,'13. Updated Demand'!A:Z,25,FALSE)),0,VLOOKUP($A1558,'13. Updated Demand'!A:Z,25,FALSE))</f>
        <v>1.1000000000000001</v>
      </c>
      <c r="AI1558" s="16">
        <f>IF(ISERROR(VLOOKUP($A1558,'13. Updated Demand'!A:Z,26,FALSE)),0,VLOOKUP($A1558,'13. Updated Demand'!A:Z,26,FALSE))</f>
        <v>0</v>
      </c>
      <c r="AJ1558" s="16">
        <f t="shared" si="301"/>
        <v>18.240000000000002</v>
      </c>
      <c r="AK1558" s="19">
        <v>15.660000001</v>
      </c>
      <c r="AL1558" s="16">
        <f t="shared" si="299"/>
        <v>5.1942436161684556E-2</v>
      </c>
      <c r="AM1558" s="26">
        <v>5.6602179435932438E-2</v>
      </c>
      <c r="AN1558" s="19">
        <v>322.72019999999998</v>
      </c>
      <c r="AO1558" s="19" t="s">
        <v>1758</v>
      </c>
      <c r="AP1558" s="19">
        <v>0</v>
      </c>
      <c r="AQ1558" s="19" t="s">
        <v>307</v>
      </c>
      <c r="AR1558" s="9" t="s">
        <v>333</v>
      </c>
      <c r="AS1558" s="12">
        <v>0</v>
      </c>
      <c r="AT1558" s="19">
        <v>39.098700000000001</v>
      </c>
      <c r="AU1558" s="19">
        <v>-123.2139</v>
      </c>
      <c r="AV1558" s="19" t="s">
        <v>1438</v>
      </c>
    </row>
    <row r="1559" spans="1:48" x14ac:dyDescent="0.25">
      <c r="A1559" s="18" t="s">
        <v>1952</v>
      </c>
      <c r="B1559" s="10">
        <v>10000000</v>
      </c>
      <c r="C1559" s="9">
        <v>5</v>
      </c>
      <c r="D1559" s="8" t="str">
        <f t="shared" si="290"/>
        <v>Y</v>
      </c>
      <c r="E1559" s="8" t="str">
        <f t="shared" si="291"/>
        <v>N</v>
      </c>
      <c r="F1559" s="8" t="str">
        <f t="shared" si="292"/>
        <v>Y</v>
      </c>
      <c r="G1559" s="8" t="str">
        <f t="shared" si="293"/>
        <v>Y</v>
      </c>
      <c r="H1559" s="8" t="str">
        <f t="shared" si="294"/>
        <v>Upper</v>
      </c>
      <c r="I1559" s="8" t="str">
        <f t="shared" si="295"/>
        <v>West Fork and Below Lake</v>
      </c>
      <c r="J1559" s="8" t="str">
        <f t="shared" si="296"/>
        <v>Mendocino (d/s of lake)</v>
      </c>
      <c r="K1559" s="8" t="str">
        <f t="shared" si="297"/>
        <v>Riparian</v>
      </c>
      <c r="L1559" s="8">
        <f t="shared" si="298"/>
        <v>1000</v>
      </c>
      <c r="M1559" s="8" t="str">
        <f t="shared" si="300"/>
        <v>-</v>
      </c>
      <c r="N1559" s="10" t="s">
        <v>242</v>
      </c>
      <c r="O1559" s="10" t="s">
        <v>241</v>
      </c>
      <c r="P1559" s="10" t="s">
        <v>242</v>
      </c>
      <c r="Q1559" s="10" t="s">
        <v>242</v>
      </c>
      <c r="R1559" s="10" t="s">
        <v>242</v>
      </c>
      <c r="S1559" s="10" t="s">
        <v>241</v>
      </c>
      <c r="T1559" s="10" t="s">
        <v>242</v>
      </c>
      <c r="U1559" s="10" t="s">
        <v>242</v>
      </c>
      <c r="V1559" s="10" t="s">
        <v>242</v>
      </c>
      <c r="W1559" s="10" t="s">
        <v>242</v>
      </c>
      <c r="X1559" s="15">
        <f>IF(ISERROR(VLOOKUP($A1559,'13. Updated Demand'!A:Z,15,FALSE)),0,VLOOKUP($A1559,'13. Updated Demand'!A:Z,15,FALSE))</f>
        <v>0</v>
      </c>
      <c r="Y1559" s="16">
        <f>IF(ISERROR(VLOOKUP($A1559,'13. Updated Demand'!A:Z,16,FALSE)),0,VLOOKUP($A1559,'13. Updated Demand'!A:Z,16,FALSE))</f>
        <v>0</v>
      </c>
      <c r="Z1559" s="16">
        <f>IF(ISERROR(VLOOKUP($A1559,'13. Updated Demand'!A:Z,17,FALSE)),0,VLOOKUP($A1559,'13. Updated Demand'!A:Z,17,FALSE))</f>
        <v>0</v>
      </c>
      <c r="AA1559" s="16">
        <f>IF(ISERROR(VLOOKUP($A1559,'13. Updated Demand'!A:Z,18,FALSE)),0,VLOOKUP($A1559,'13. Updated Demand'!A:Z,18,FALSE))</f>
        <v>0</v>
      </c>
      <c r="AB1559" s="16">
        <f>IF(ISERROR(VLOOKUP($A1559,'13. Updated Demand'!A:Z,19,FALSE)),0,VLOOKUP($A1559,'13. Updated Demand'!A:Z,19,FALSE))</f>
        <v>1.1499999999999999</v>
      </c>
      <c r="AC1559" s="16">
        <f>IF(ISERROR(VLOOKUP($A1559,'13. Updated Demand'!A:Z,20,FALSE)),0,VLOOKUP($A1559,'13. Updated Demand'!A:Z,20,FALSE))</f>
        <v>2.02</v>
      </c>
      <c r="AD1559" s="16">
        <f>IF(ISERROR(VLOOKUP($A1559,'13. Updated Demand'!A:Z,21,FALSE)),0,VLOOKUP($A1559,'13. Updated Demand'!A:Z,21,FALSE))</f>
        <v>4.79</v>
      </c>
      <c r="AE1559" s="16">
        <f>IF(ISERROR(VLOOKUP($A1559,'13. Updated Demand'!A:Z,22,FALSE)),0,VLOOKUP($A1559,'13. Updated Demand'!A:Z,22,FALSE))</f>
        <v>1.84</v>
      </c>
      <c r="AF1559" s="16">
        <f>IF(ISERROR(VLOOKUP($A1559,'13. Updated Demand'!A:Z,23,FALSE)),0,VLOOKUP($A1559,'13. Updated Demand'!A:Z,23,FALSE))</f>
        <v>1.23</v>
      </c>
      <c r="AG1559" s="16">
        <f>IF(ISERROR(VLOOKUP($A1559,'13. Updated Demand'!A:Z,24,FALSE)),0,VLOOKUP($A1559,'13. Updated Demand'!A:Z,24,FALSE))</f>
        <v>0.73</v>
      </c>
      <c r="AH1559" s="16">
        <f>IF(ISERROR(VLOOKUP($A1559,'13. Updated Demand'!A:Z,25,FALSE)),0,VLOOKUP($A1559,'13. Updated Demand'!A:Z,25,FALSE))</f>
        <v>0</v>
      </c>
      <c r="AI1559" s="16">
        <f>IF(ISERROR(VLOOKUP($A1559,'13. Updated Demand'!A:Z,26,FALSE)),0,VLOOKUP($A1559,'13. Updated Demand'!A:Z,26,FALSE))</f>
        <v>0</v>
      </c>
      <c r="AJ1559" s="16">
        <f t="shared" si="301"/>
        <v>11.760000000000002</v>
      </c>
      <c r="AK1559" s="19">
        <v>11.05</v>
      </c>
      <c r="AL1559" s="16">
        <f t="shared" si="299"/>
        <v>3.6651591286715378E-2</v>
      </c>
      <c r="AM1559" s="26">
        <v>4.8708491355224391E-2</v>
      </c>
      <c r="AN1559" s="19">
        <v>241.9496</v>
      </c>
      <c r="AO1559" s="19" t="s">
        <v>1758</v>
      </c>
      <c r="AP1559" s="19">
        <v>0</v>
      </c>
      <c r="AQ1559" s="19" t="s">
        <v>307</v>
      </c>
      <c r="AR1559" s="9" t="s">
        <v>333</v>
      </c>
      <c r="AS1559" s="12">
        <v>0</v>
      </c>
      <c r="AT1559" s="19">
        <v>39.098599999999998</v>
      </c>
      <c r="AU1559" s="19">
        <v>-123.21380000000001</v>
      </c>
      <c r="AV1559" s="19" t="s">
        <v>1438</v>
      </c>
    </row>
    <row r="1560" spans="1:48" x14ac:dyDescent="0.25">
      <c r="A1560" s="18" t="s">
        <v>1953</v>
      </c>
      <c r="B1560" s="10">
        <v>10000000</v>
      </c>
      <c r="C1560" s="9">
        <v>1</v>
      </c>
      <c r="D1560" s="8" t="str">
        <f t="shared" si="290"/>
        <v>N</v>
      </c>
      <c r="E1560" s="8" t="str">
        <f t="shared" si="291"/>
        <v>N</v>
      </c>
      <c r="F1560" s="8" t="str">
        <f t="shared" si="292"/>
        <v>Y</v>
      </c>
      <c r="G1560" s="8" t="str">
        <f t="shared" si="293"/>
        <v>Y</v>
      </c>
      <c r="H1560" s="8" t="str">
        <f t="shared" si="294"/>
        <v>Upper</v>
      </c>
      <c r="I1560" s="8" t="str">
        <f t="shared" si="295"/>
        <v>West Fork and Below Lake</v>
      </c>
      <c r="J1560" s="8" t="str">
        <f t="shared" si="296"/>
        <v>Outside</v>
      </c>
      <c r="K1560" s="8" t="str">
        <f t="shared" si="297"/>
        <v>Riparian</v>
      </c>
      <c r="L1560" s="8">
        <f t="shared" si="298"/>
        <v>1000</v>
      </c>
      <c r="M1560" s="8" t="str">
        <f t="shared" si="300"/>
        <v>-</v>
      </c>
      <c r="N1560" s="10" t="s">
        <v>242</v>
      </c>
      <c r="O1560" s="10" t="s">
        <v>241</v>
      </c>
      <c r="P1560" s="10" t="s">
        <v>242</v>
      </c>
      <c r="Q1560" s="10" t="s">
        <v>242</v>
      </c>
      <c r="R1560" s="10" t="s">
        <v>242</v>
      </c>
      <c r="S1560" s="10" t="s">
        <v>241</v>
      </c>
      <c r="T1560" s="10" t="s">
        <v>241</v>
      </c>
      <c r="U1560" s="10" t="s">
        <v>241</v>
      </c>
      <c r="V1560" s="10" t="s">
        <v>241</v>
      </c>
      <c r="W1560" s="10" t="s">
        <v>242</v>
      </c>
      <c r="X1560" s="15">
        <f>IF(ISERROR(VLOOKUP($A1560,'13. Updated Demand'!A:Z,15,FALSE)),0,VLOOKUP($A1560,'13. Updated Demand'!A:Z,15,FALSE))</f>
        <v>0</v>
      </c>
      <c r="Y1560" s="16">
        <f>IF(ISERROR(VLOOKUP($A1560,'13. Updated Demand'!A:Z,16,FALSE)),0,VLOOKUP($A1560,'13. Updated Demand'!A:Z,16,FALSE))</f>
        <v>0</v>
      </c>
      <c r="Z1560" s="16">
        <f>IF(ISERROR(VLOOKUP($A1560,'13. Updated Demand'!A:Z,17,FALSE)),0,VLOOKUP($A1560,'13. Updated Demand'!A:Z,17,FALSE))</f>
        <v>0</v>
      </c>
      <c r="AA1560" s="16">
        <f>IF(ISERROR(VLOOKUP($A1560,'13. Updated Demand'!A:Z,18,FALSE)),0,VLOOKUP($A1560,'13. Updated Demand'!A:Z,18,FALSE))</f>
        <v>0</v>
      </c>
      <c r="AB1560" s="16">
        <f>IF(ISERROR(VLOOKUP($A1560,'13. Updated Demand'!A:Z,19,FALSE)),0,VLOOKUP($A1560,'13. Updated Demand'!A:Z,19,FALSE))</f>
        <v>0</v>
      </c>
      <c r="AC1560" s="16">
        <f>IF(ISERROR(VLOOKUP($A1560,'13. Updated Demand'!A:Z,20,FALSE)),0,VLOOKUP($A1560,'13. Updated Demand'!A:Z,20,FALSE))</f>
        <v>0</v>
      </c>
      <c r="AD1560" s="16">
        <f>IF(ISERROR(VLOOKUP($A1560,'13. Updated Demand'!A:Z,21,FALSE)),0,VLOOKUP($A1560,'13. Updated Demand'!A:Z,21,FALSE))</f>
        <v>0</v>
      </c>
      <c r="AE1560" s="16">
        <f>IF(ISERROR(VLOOKUP($A1560,'13. Updated Demand'!A:Z,22,FALSE)),0,VLOOKUP($A1560,'13. Updated Demand'!A:Z,22,FALSE))</f>
        <v>0</v>
      </c>
      <c r="AF1560" s="16">
        <f>IF(ISERROR(VLOOKUP($A1560,'13. Updated Demand'!A:Z,23,FALSE)),0,VLOOKUP($A1560,'13. Updated Demand'!A:Z,23,FALSE))</f>
        <v>0</v>
      </c>
      <c r="AG1560" s="16">
        <f>IF(ISERROR(VLOOKUP($A1560,'13. Updated Demand'!A:Z,24,FALSE)),0,VLOOKUP($A1560,'13. Updated Demand'!A:Z,24,FALSE))</f>
        <v>0</v>
      </c>
      <c r="AH1560" s="16">
        <f>IF(ISERROR(VLOOKUP($A1560,'13. Updated Demand'!A:Z,25,FALSE)),0,VLOOKUP($A1560,'13. Updated Demand'!A:Z,25,FALSE))</f>
        <v>0</v>
      </c>
      <c r="AI1560" s="16">
        <f>IF(ISERROR(VLOOKUP($A1560,'13. Updated Demand'!A:Z,26,FALSE)),0,VLOOKUP($A1560,'13. Updated Demand'!A:Z,26,FALSE))</f>
        <v>0</v>
      </c>
      <c r="AJ1560" s="16">
        <f t="shared" si="301"/>
        <v>0</v>
      </c>
      <c r="AK1560" s="19">
        <v>0</v>
      </c>
      <c r="AL1560" s="16">
        <f t="shared" si="299"/>
        <v>0</v>
      </c>
      <c r="AM1560" s="26">
        <v>0</v>
      </c>
      <c r="AN1560" s="19">
        <v>32.235799999999998</v>
      </c>
      <c r="AO1560" s="19" t="s">
        <v>1758</v>
      </c>
      <c r="AP1560" s="19">
        <v>0</v>
      </c>
      <c r="AQ1560" s="19" t="s">
        <v>307</v>
      </c>
      <c r="AR1560" s="9" t="s">
        <v>317</v>
      </c>
      <c r="AS1560" s="12">
        <v>0</v>
      </c>
      <c r="AT1560" s="19">
        <v>39.251010639999997</v>
      </c>
      <c r="AU1560" s="19">
        <v>-123.20743542</v>
      </c>
      <c r="AV1560" s="19" t="s">
        <v>713</v>
      </c>
    </row>
    <row r="1561" spans="1:48" x14ac:dyDescent="0.25">
      <c r="A1561" s="18" t="s">
        <v>1954</v>
      </c>
      <c r="B1561" s="10">
        <v>10000000</v>
      </c>
      <c r="C1561" s="9">
        <v>4</v>
      </c>
      <c r="D1561" s="8" t="str">
        <f t="shared" si="290"/>
        <v>Y</v>
      </c>
      <c r="E1561" s="8" t="str">
        <f t="shared" si="291"/>
        <v>N</v>
      </c>
      <c r="F1561" s="8" t="str">
        <f t="shared" si="292"/>
        <v>Y</v>
      </c>
      <c r="G1561" s="8" t="str">
        <f t="shared" si="293"/>
        <v>Y</v>
      </c>
      <c r="H1561" s="8" t="str">
        <f t="shared" si="294"/>
        <v>Upper</v>
      </c>
      <c r="I1561" s="8" t="str">
        <f t="shared" si="295"/>
        <v>West Fork and Below Lake</v>
      </c>
      <c r="J1561" s="8" t="str">
        <f t="shared" si="296"/>
        <v>Mendocino (d/s of lake)</v>
      </c>
      <c r="K1561" s="8" t="str">
        <f t="shared" si="297"/>
        <v>Riparian</v>
      </c>
      <c r="L1561" s="8">
        <f t="shared" si="298"/>
        <v>1000</v>
      </c>
      <c r="M1561" s="8" t="str">
        <f t="shared" si="300"/>
        <v>-</v>
      </c>
      <c r="N1561" s="10" t="s">
        <v>242</v>
      </c>
      <c r="O1561" s="10" t="s">
        <v>241</v>
      </c>
      <c r="P1561" s="10" t="s">
        <v>242</v>
      </c>
      <c r="Q1561" s="10" t="s">
        <v>242</v>
      </c>
      <c r="R1561" s="10" t="s">
        <v>242</v>
      </c>
      <c r="S1561" s="10" t="s">
        <v>241</v>
      </c>
      <c r="T1561" s="10" t="s">
        <v>242</v>
      </c>
      <c r="U1561" s="10" t="s">
        <v>242</v>
      </c>
      <c r="V1561" s="10" t="s">
        <v>242</v>
      </c>
      <c r="W1561" s="10" t="s">
        <v>242</v>
      </c>
      <c r="X1561" s="15">
        <f>IF(ISERROR(VLOOKUP($A1561,'13. Updated Demand'!A:Z,15,FALSE)),0,VLOOKUP($A1561,'13. Updated Demand'!A:Z,15,FALSE))</f>
        <v>0</v>
      </c>
      <c r="Y1561" s="16">
        <f>IF(ISERROR(VLOOKUP($A1561,'13. Updated Demand'!A:Z,16,FALSE)),0,VLOOKUP($A1561,'13. Updated Demand'!A:Z,16,FALSE))</f>
        <v>0</v>
      </c>
      <c r="Z1561" s="16">
        <f>IF(ISERROR(VLOOKUP($A1561,'13. Updated Demand'!A:Z,17,FALSE)),0,VLOOKUP($A1561,'13. Updated Demand'!A:Z,17,FALSE))</f>
        <v>0</v>
      </c>
      <c r="AA1561" s="16">
        <f>IF(ISERROR(VLOOKUP($A1561,'13. Updated Demand'!A:Z,18,FALSE)),0,VLOOKUP($A1561,'13. Updated Demand'!A:Z,18,FALSE))</f>
        <v>0</v>
      </c>
      <c r="AB1561" s="16">
        <f>IF(ISERROR(VLOOKUP($A1561,'13. Updated Demand'!A:Z,19,FALSE)),0,VLOOKUP($A1561,'13. Updated Demand'!A:Z,19,FALSE))</f>
        <v>0</v>
      </c>
      <c r="AC1561" s="16">
        <f>IF(ISERROR(VLOOKUP($A1561,'13. Updated Demand'!A:Z,20,FALSE)),0,VLOOKUP($A1561,'13. Updated Demand'!A:Z,20,FALSE))</f>
        <v>1.5343329999999999E-3</v>
      </c>
      <c r="AD1561" s="16">
        <f>IF(ISERROR(VLOOKUP($A1561,'13. Updated Demand'!A:Z,21,FALSE)),0,VLOOKUP($A1561,'13. Updated Demand'!A:Z,21,FALSE))</f>
        <v>0.01</v>
      </c>
      <c r="AE1561" s="16">
        <f>IF(ISERROR(VLOOKUP($A1561,'13. Updated Demand'!A:Z,22,FALSE)),0,VLOOKUP($A1561,'13. Updated Demand'!A:Z,22,FALSE))</f>
        <v>0.01</v>
      </c>
      <c r="AF1561" s="16">
        <f>IF(ISERROR(VLOOKUP($A1561,'13. Updated Demand'!A:Z,23,FALSE)),0,VLOOKUP($A1561,'13. Updated Demand'!A:Z,23,FALSE))</f>
        <v>0.01</v>
      </c>
      <c r="AG1561" s="16">
        <f>IF(ISERROR(VLOOKUP($A1561,'13. Updated Demand'!A:Z,24,FALSE)),0,VLOOKUP($A1561,'13. Updated Demand'!A:Z,24,FALSE))</f>
        <v>0</v>
      </c>
      <c r="AH1561" s="16">
        <f>IF(ISERROR(VLOOKUP($A1561,'13. Updated Demand'!A:Z,25,FALSE)),0,VLOOKUP($A1561,'13. Updated Demand'!A:Z,25,FALSE))</f>
        <v>0</v>
      </c>
      <c r="AI1561" s="16">
        <f>IF(ISERROR(VLOOKUP($A1561,'13. Updated Demand'!A:Z,26,FALSE)),0,VLOOKUP($A1561,'13. Updated Demand'!A:Z,26,FALSE))</f>
        <v>0</v>
      </c>
      <c r="AJ1561" s="16">
        <f t="shared" si="301"/>
        <v>3.1534333000000005E-2</v>
      </c>
      <c r="AK1561" s="19">
        <v>4.2787332999999997E-2</v>
      </c>
      <c r="AL1561" s="16">
        <f t="shared" si="299"/>
        <v>1.4192070962575467E-4</v>
      </c>
      <c r="AM1561" s="26">
        <v>2.3770740555555553E-4</v>
      </c>
      <c r="AN1561" s="19">
        <v>180</v>
      </c>
      <c r="AO1561" s="19" t="s">
        <v>1758</v>
      </c>
      <c r="AP1561" s="19">
        <v>0</v>
      </c>
      <c r="AQ1561" s="19" t="s">
        <v>307</v>
      </c>
      <c r="AR1561" s="9" t="s">
        <v>331</v>
      </c>
      <c r="AS1561" s="12">
        <v>0</v>
      </c>
      <c r="AT1561" s="19">
        <v>39.142984349999999</v>
      </c>
      <c r="AU1561" s="19">
        <v>-123.16433649</v>
      </c>
      <c r="AV1561" s="19" t="s">
        <v>1062</v>
      </c>
    </row>
    <row r="1562" spans="1:48" x14ac:dyDescent="0.25">
      <c r="A1562" s="18" t="s">
        <v>1955</v>
      </c>
      <c r="B1562" s="10">
        <v>10000000</v>
      </c>
      <c r="C1562" s="9">
        <v>17</v>
      </c>
      <c r="D1562" s="8" t="str">
        <f t="shared" si="290"/>
        <v>N</v>
      </c>
      <c r="E1562" s="8" t="str">
        <f t="shared" si="291"/>
        <v>N</v>
      </c>
      <c r="F1562" s="8" t="str">
        <f t="shared" si="292"/>
        <v>N</v>
      </c>
      <c r="G1562" s="8" t="str">
        <f t="shared" si="293"/>
        <v>N</v>
      </c>
      <c r="H1562" s="8" t="str">
        <f t="shared" si="294"/>
        <v>Lower</v>
      </c>
      <c r="I1562" s="8" t="str">
        <f t="shared" si="295"/>
        <v>Outside</v>
      </c>
      <c r="J1562" s="8" t="str">
        <f t="shared" si="296"/>
        <v>Outside</v>
      </c>
      <c r="K1562" s="8" t="str">
        <f t="shared" si="297"/>
        <v>Riparian</v>
      </c>
      <c r="L1562" s="8">
        <f t="shared" si="298"/>
        <v>1000</v>
      </c>
      <c r="M1562" s="8" t="str">
        <f t="shared" si="300"/>
        <v>-</v>
      </c>
      <c r="N1562" s="10" t="s">
        <v>241</v>
      </c>
      <c r="O1562" s="10" t="s">
        <v>242</v>
      </c>
      <c r="P1562" s="10" t="s">
        <v>242</v>
      </c>
      <c r="Q1562" s="10" t="s">
        <v>242</v>
      </c>
      <c r="R1562" s="10" t="s">
        <v>242</v>
      </c>
      <c r="S1562" s="10" t="s">
        <v>241</v>
      </c>
      <c r="T1562" s="10" t="s">
        <v>242</v>
      </c>
      <c r="U1562" s="10" t="s">
        <v>242</v>
      </c>
      <c r="V1562" s="10" t="s">
        <v>242</v>
      </c>
      <c r="W1562" s="10" t="s">
        <v>242</v>
      </c>
      <c r="X1562" s="15">
        <f>IF(ISERROR(VLOOKUP($A1562,'13. Updated Demand'!A:Z,15,FALSE)),0,VLOOKUP($A1562,'13. Updated Demand'!A:Z,15,FALSE))</f>
        <v>5.3333332999999997E-2</v>
      </c>
      <c r="Y1562" s="16">
        <f>IF(ISERROR(VLOOKUP($A1562,'13. Updated Demand'!A:Z,16,FALSE)),0,VLOOKUP($A1562,'13. Updated Demand'!A:Z,16,FALSE))</f>
        <v>0.08</v>
      </c>
      <c r="Z1562" s="16">
        <f>IF(ISERROR(VLOOKUP($A1562,'13. Updated Demand'!A:Z,17,FALSE)),0,VLOOKUP($A1562,'13. Updated Demand'!A:Z,17,FALSE))</f>
        <v>0.133333333</v>
      </c>
      <c r="AA1562" s="16">
        <f>IF(ISERROR(VLOOKUP($A1562,'13. Updated Demand'!A:Z,18,FALSE)),0,VLOOKUP($A1562,'13. Updated Demand'!A:Z,18,FALSE))</f>
        <v>0.163333333</v>
      </c>
      <c r="AB1562" s="16">
        <f>IF(ISERROR(VLOOKUP($A1562,'13. Updated Demand'!A:Z,19,FALSE)),0,VLOOKUP($A1562,'13. Updated Demand'!A:Z,19,FALSE))</f>
        <v>1.03</v>
      </c>
      <c r="AC1562" s="16">
        <f>IF(ISERROR(VLOOKUP($A1562,'13. Updated Demand'!A:Z,20,FALSE)),0,VLOOKUP($A1562,'13. Updated Demand'!A:Z,20,FALSE))</f>
        <v>1.6266666670000001</v>
      </c>
      <c r="AD1562" s="16">
        <f>IF(ISERROR(VLOOKUP($A1562,'13. Updated Demand'!A:Z,21,FALSE)),0,VLOOKUP($A1562,'13. Updated Demand'!A:Z,21,FALSE))</f>
        <v>2.5233333330000001</v>
      </c>
      <c r="AE1562" s="16">
        <f>IF(ISERROR(VLOOKUP($A1562,'13. Updated Demand'!A:Z,22,FALSE)),0,VLOOKUP($A1562,'13. Updated Demand'!A:Z,22,FALSE))</f>
        <v>2.096666667</v>
      </c>
      <c r="AF1562" s="16">
        <f>IF(ISERROR(VLOOKUP($A1562,'13. Updated Demand'!A:Z,23,FALSE)),0,VLOOKUP($A1562,'13. Updated Demand'!A:Z,23,FALSE))</f>
        <v>1.54</v>
      </c>
      <c r="AG1562" s="16">
        <f>IF(ISERROR(VLOOKUP($A1562,'13. Updated Demand'!A:Z,24,FALSE)),0,VLOOKUP($A1562,'13. Updated Demand'!A:Z,24,FALSE))</f>
        <v>1.423333333</v>
      </c>
      <c r="AH1562" s="16">
        <f>IF(ISERROR(VLOOKUP($A1562,'13. Updated Demand'!A:Z,25,FALSE)),0,VLOOKUP($A1562,'13. Updated Demand'!A:Z,25,FALSE))</f>
        <v>0.306666667</v>
      </c>
      <c r="AI1562" s="16">
        <f>IF(ISERROR(VLOOKUP($A1562,'13. Updated Demand'!A:Z,26,FALSE)),0,VLOOKUP($A1562,'13. Updated Demand'!A:Z,26,FALSE))</f>
        <v>0.04</v>
      </c>
      <c r="AJ1562" s="16">
        <f t="shared" si="301"/>
        <v>11.016666665999999</v>
      </c>
      <c r="AK1562" s="19">
        <v>8.8166666669999998</v>
      </c>
      <c r="AL1562" s="16">
        <f t="shared" si="299"/>
        <v>2.92438790217277E-2</v>
      </c>
      <c r="AM1562" s="26">
        <v>2.9694519315363879</v>
      </c>
      <c r="AN1562" s="19">
        <v>3.71</v>
      </c>
      <c r="AO1562" s="19" t="s">
        <v>1758</v>
      </c>
      <c r="AP1562" s="19">
        <v>0</v>
      </c>
      <c r="AQ1562" s="19" t="s">
        <v>307</v>
      </c>
      <c r="AR1562" s="9" t="s">
        <v>486</v>
      </c>
      <c r="AS1562" s="12">
        <v>3.4039024194010059E-4</v>
      </c>
      <c r="AT1562" s="19">
        <v>38.536279280000002</v>
      </c>
      <c r="AU1562" s="19">
        <v>-122.86251095</v>
      </c>
      <c r="AV1562" s="19" t="s">
        <v>548</v>
      </c>
    </row>
    <row r="1563" spans="1:48" x14ac:dyDescent="0.25">
      <c r="A1563" s="18" t="s">
        <v>1956</v>
      </c>
      <c r="B1563" s="10">
        <v>10000000</v>
      </c>
      <c r="C1563" s="9">
        <v>17</v>
      </c>
      <c r="D1563" s="8" t="str">
        <f t="shared" si="290"/>
        <v>N</v>
      </c>
      <c r="E1563" s="8" t="str">
        <f t="shared" si="291"/>
        <v>N</v>
      </c>
      <c r="F1563" s="8" t="str">
        <f t="shared" si="292"/>
        <v>N</v>
      </c>
      <c r="G1563" s="8" t="str">
        <f t="shared" si="293"/>
        <v>N</v>
      </c>
      <c r="H1563" s="8" t="str">
        <f t="shared" si="294"/>
        <v>Lower</v>
      </c>
      <c r="I1563" s="8" t="str">
        <f t="shared" si="295"/>
        <v>Outside</v>
      </c>
      <c r="J1563" s="8" t="str">
        <f t="shared" si="296"/>
        <v>Outside</v>
      </c>
      <c r="K1563" s="8" t="str">
        <f t="shared" si="297"/>
        <v>Riparian</v>
      </c>
      <c r="L1563" s="8">
        <f t="shared" si="298"/>
        <v>1000</v>
      </c>
      <c r="M1563" s="8" t="str">
        <f t="shared" si="300"/>
        <v>-</v>
      </c>
      <c r="N1563" s="10" t="s">
        <v>241</v>
      </c>
      <c r="O1563" s="10" t="s">
        <v>242</v>
      </c>
      <c r="P1563" s="10" t="s">
        <v>242</v>
      </c>
      <c r="Q1563" s="10" t="s">
        <v>242</v>
      </c>
      <c r="R1563" s="10" t="s">
        <v>242</v>
      </c>
      <c r="S1563" s="10" t="s">
        <v>241</v>
      </c>
      <c r="T1563" s="10" t="s">
        <v>242</v>
      </c>
      <c r="U1563" s="10" t="s">
        <v>242</v>
      </c>
      <c r="V1563" s="10" t="s">
        <v>242</v>
      </c>
      <c r="W1563" s="10" t="s">
        <v>242</v>
      </c>
      <c r="X1563" s="15">
        <f>IF(ISERROR(VLOOKUP($A1563,'13. Updated Demand'!A:Z,15,FALSE)),0,VLOOKUP($A1563,'13. Updated Demand'!A:Z,15,FALSE))</f>
        <v>0</v>
      </c>
      <c r="Y1563" s="16">
        <f>IF(ISERROR(VLOOKUP($A1563,'13. Updated Demand'!A:Z,16,FALSE)),0,VLOOKUP($A1563,'13. Updated Demand'!A:Z,16,FALSE))</f>
        <v>0</v>
      </c>
      <c r="Z1563" s="16">
        <f>IF(ISERROR(VLOOKUP($A1563,'13. Updated Demand'!A:Z,17,FALSE)),0,VLOOKUP($A1563,'13. Updated Demand'!A:Z,17,FALSE))</f>
        <v>0</v>
      </c>
      <c r="AA1563" s="16">
        <f>IF(ISERROR(VLOOKUP($A1563,'13. Updated Demand'!A:Z,18,FALSE)),0,VLOOKUP($A1563,'13. Updated Demand'!A:Z,18,FALSE))</f>
        <v>0</v>
      </c>
      <c r="AB1563" s="16">
        <f>IF(ISERROR(VLOOKUP($A1563,'13. Updated Demand'!A:Z,19,FALSE)),0,VLOOKUP($A1563,'13. Updated Demand'!A:Z,19,FALSE))</f>
        <v>0</v>
      </c>
      <c r="AC1563" s="16">
        <f>IF(ISERROR(VLOOKUP($A1563,'13. Updated Demand'!A:Z,20,FALSE)),0,VLOOKUP($A1563,'13. Updated Demand'!A:Z,20,FALSE))</f>
        <v>0.193333333</v>
      </c>
      <c r="AD1563" s="16">
        <f>IF(ISERROR(VLOOKUP($A1563,'13. Updated Demand'!A:Z,21,FALSE)),0,VLOOKUP($A1563,'13. Updated Demand'!A:Z,21,FALSE))</f>
        <v>0.236666667</v>
      </c>
      <c r="AE1563" s="16">
        <f>IF(ISERROR(VLOOKUP($A1563,'13. Updated Demand'!A:Z,22,FALSE)),0,VLOOKUP($A1563,'13. Updated Demand'!A:Z,22,FALSE))</f>
        <v>0.43</v>
      </c>
      <c r="AF1563" s="16">
        <f>IF(ISERROR(VLOOKUP($A1563,'13. Updated Demand'!A:Z,23,FALSE)),0,VLOOKUP($A1563,'13. Updated Demand'!A:Z,23,FALSE))</f>
        <v>8.3233333330000008</v>
      </c>
      <c r="AG1563" s="16">
        <f>IF(ISERROR(VLOOKUP($A1563,'13. Updated Demand'!A:Z,24,FALSE)),0,VLOOKUP($A1563,'13. Updated Demand'!A:Z,24,FALSE))</f>
        <v>2.076666667</v>
      </c>
      <c r="AH1563" s="16">
        <f>IF(ISERROR(VLOOKUP($A1563,'13. Updated Demand'!A:Z,25,FALSE)),0,VLOOKUP($A1563,'13. Updated Demand'!A:Z,25,FALSE))</f>
        <v>0</v>
      </c>
      <c r="AI1563" s="16">
        <f>IF(ISERROR(VLOOKUP($A1563,'13. Updated Demand'!A:Z,26,FALSE)),0,VLOOKUP($A1563,'13. Updated Demand'!A:Z,26,FALSE))</f>
        <v>0</v>
      </c>
      <c r="AJ1563" s="16">
        <f t="shared" si="301"/>
        <v>11.26</v>
      </c>
      <c r="AK1563" s="19">
        <v>9.1833333330000002</v>
      </c>
      <c r="AL1563" s="16">
        <f t="shared" si="299"/>
        <v>3.0460070585591463E-2</v>
      </c>
      <c r="AM1563" s="26">
        <v>0.15543898398674766</v>
      </c>
      <c r="AN1563" s="19">
        <v>72.44</v>
      </c>
      <c r="AO1563" s="19" t="s">
        <v>1758</v>
      </c>
      <c r="AP1563" s="19">
        <v>0</v>
      </c>
      <c r="AQ1563" s="19" t="s">
        <v>307</v>
      </c>
      <c r="AR1563" s="9" t="s">
        <v>486</v>
      </c>
      <c r="AS1563" s="12">
        <v>0</v>
      </c>
      <c r="AT1563" s="19">
        <v>38.536279280000002</v>
      </c>
      <c r="AU1563" s="19">
        <v>-122.86251095</v>
      </c>
      <c r="AV1563" s="19" t="s">
        <v>548</v>
      </c>
    </row>
    <row r="1564" spans="1:48" x14ac:dyDescent="0.25">
      <c r="A1564" s="18" t="s">
        <v>1957</v>
      </c>
      <c r="B1564" s="10">
        <v>10000000</v>
      </c>
      <c r="C1564" s="9">
        <v>20</v>
      </c>
      <c r="D1564" s="8" t="str">
        <f t="shared" si="290"/>
        <v>N</v>
      </c>
      <c r="E1564" s="8" t="str">
        <f t="shared" si="291"/>
        <v>N</v>
      </c>
      <c r="F1564" s="8" t="str">
        <f t="shared" si="292"/>
        <v>N</v>
      </c>
      <c r="G1564" s="8" t="str">
        <f t="shared" si="293"/>
        <v>N</v>
      </c>
      <c r="H1564" s="8" t="str">
        <f t="shared" si="294"/>
        <v>Lower</v>
      </c>
      <c r="I1564" s="8" t="str">
        <f t="shared" si="295"/>
        <v>Outside</v>
      </c>
      <c r="J1564" s="8" t="str">
        <f t="shared" si="296"/>
        <v>Outside</v>
      </c>
      <c r="K1564" s="8" t="str">
        <f t="shared" si="297"/>
        <v>Riparian</v>
      </c>
      <c r="L1564" s="8">
        <f t="shared" si="298"/>
        <v>1000</v>
      </c>
      <c r="M1564" s="8" t="str">
        <f t="shared" si="300"/>
        <v>-</v>
      </c>
      <c r="N1564" s="10" t="s">
        <v>242</v>
      </c>
      <c r="O1564" s="10" t="s">
        <v>242</v>
      </c>
      <c r="P1564" s="10" t="s">
        <v>242</v>
      </c>
      <c r="Q1564" s="10" t="s">
        <v>242</v>
      </c>
      <c r="R1564" s="10" t="s">
        <v>242</v>
      </c>
      <c r="S1564" s="10" t="s">
        <v>241</v>
      </c>
      <c r="T1564" s="10" t="s">
        <v>242</v>
      </c>
      <c r="U1564" s="10" t="s">
        <v>242</v>
      </c>
      <c r="V1564" s="10" t="s">
        <v>242</v>
      </c>
      <c r="W1564" s="10" t="s">
        <v>242</v>
      </c>
      <c r="X1564" s="15">
        <f>IF(ISERROR(VLOOKUP($A1564,'13. Updated Demand'!A:Z,15,FALSE)),0,VLOOKUP($A1564,'13. Updated Demand'!A:Z,15,FALSE))</f>
        <v>7.7746669999999999E-3</v>
      </c>
      <c r="Y1564" s="16">
        <f>IF(ISERROR(VLOOKUP($A1564,'13. Updated Demand'!A:Z,16,FALSE)),0,VLOOKUP($A1564,'13. Updated Demand'!A:Z,16,FALSE))</f>
        <v>7.7746669999999999E-3</v>
      </c>
      <c r="Z1564" s="16">
        <f>IF(ISERROR(VLOOKUP($A1564,'13. Updated Demand'!A:Z,17,FALSE)),0,VLOOKUP($A1564,'13. Updated Demand'!A:Z,17,FALSE))</f>
        <v>7.7746669999999999E-3</v>
      </c>
      <c r="AA1564" s="16">
        <f>IF(ISERROR(VLOOKUP($A1564,'13. Updated Demand'!A:Z,18,FALSE)),0,VLOOKUP($A1564,'13. Updated Demand'!A:Z,18,FALSE))</f>
        <v>9.1043329999999992E-3</v>
      </c>
      <c r="AB1564" s="16">
        <f>IF(ISERROR(VLOOKUP($A1564,'13. Updated Demand'!A:Z,19,FALSE)),0,VLOOKUP($A1564,'13. Updated Demand'!A:Z,19,FALSE))</f>
        <v>1.5242E-2</v>
      </c>
      <c r="AC1564" s="16">
        <f>IF(ISERROR(VLOOKUP($A1564,'13. Updated Demand'!A:Z,20,FALSE)),0,VLOOKUP($A1564,'13. Updated Demand'!A:Z,20,FALSE))</f>
        <v>1.5242E-2</v>
      </c>
      <c r="AD1564" s="16">
        <f>IF(ISERROR(VLOOKUP($A1564,'13. Updated Demand'!A:Z,21,FALSE)),0,VLOOKUP($A1564,'13. Updated Demand'!A:Z,21,FALSE))</f>
        <v>1.5242E-2</v>
      </c>
      <c r="AE1564" s="16">
        <f>IF(ISERROR(VLOOKUP($A1564,'13. Updated Demand'!A:Z,22,FALSE)),0,VLOOKUP($A1564,'13. Updated Demand'!A:Z,22,FALSE))</f>
        <v>1.5242E-2</v>
      </c>
      <c r="AF1564" s="16">
        <f>IF(ISERROR(VLOOKUP($A1564,'13. Updated Demand'!A:Z,23,FALSE)),0,VLOOKUP($A1564,'13. Updated Demand'!A:Z,23,FALSE))</f>
        <v>1.5242E-2</v>
      </c>
      <c r="AG1564" s="16">
        <f>IF(ISERROR(VLOOKUP($A1564,'13. Updated Demand'!A:Z,24,FALSE)),0,VLOOKUP($A1564,'13. Updated Demand'!A:Z,24,FALSE))</f>
        <v>1.3912333000000001E-2</v>
      </c>
      <c r="AH1564" s="16">
        <f>IF(ISERROR(VLOOKUP($A1564,'13. Updated Demand'!A:Z,25,FALSE)),0,VLOOKUP($A1564,'13. Updated Demand'!A:Z,25,FALSE))</f>
        <v>7.7746669999999999E-3</v>
      </c>
      <c r="AI1564" s="16">
        <f>IF(ISERROR(VLOOKUP($A1564,'13. Updated Demand'!A:Z,26,FALSE)),0,VLOOKUP($A1564,'13. Updated Demand'!A:Z,26,FALSE))</f>
        <v>7.7746669999999999E-3</v>
      </c>
      <c r="AJ1564" s="16">
        <f t="shared" si="301"/>
        <v>0.13810000100000003</v>
      </c>
      <c r="AK1564" s="19">
        <v>7.621E-2</v>
      </c>
      <c r="AL1564" s="16">
        <f t="shared" si="299"/>
        <v>2.5277988886521072E-4</v>
      </c>
      <c r="AM1564" s="26">
        <v>0.18497187382802038</v>
      </c>
      <c r="AN1564" s="19">
        <v>0.74660000000000004</v>
      </c>
      <c r="AO1564" s="19" t="s">
        <v>1758</v>
      </c>
      <c r="AP1564" s="19">
        <v>0</v>
      </c>
      <c r="AQ1564" s="19" t="s">
        <v>307</v>
      </c>
      <c r="AR1564" s="9" t="s">
        <v>329</v>
      </c>
      <c r="AS1564" s="12">
        <v>3.4039024194010059E-4</v>
      </c>
      <c r="AT1564" s="19">
        <v>38.570321640000003</v>
      </c>
      <c r="AU1564" s="19">
        <v>-123.09168653</v>
      </c>
      <c r="AV1564" s="19" t="s">
        <v>430</v>
      </c>
    </row>
    <row r="1565" spans="1:48" x14ac:dyDescent="0.25">
      <c r="A1565" s="18" t="s">
        <v>1958</v>
      </c>
      <c r="B1565" s="10">
        <v>10000000</v>
      </c>
      <c r="C1565" s="9">
        <v>5</v>
      </c>
      <c r="D1565" s="8" t="str">
        <f t="shared" si="290"/>
        <v>Y</v>
      </c>
      <c r="E1565" s="8" t="str">
        <f t="shared" si="291"/>
        <v>N</v>
      </c>
      <c r="F1565" s="8" t="str">
        <f t="shared" si="292"/>
        <v>Y</v>
      </c>
      <c r="G1565" s="8" t="str">
        <f t="shared" si="293"/>
        <v>Y</v>
      </c>
      <c r="H1565" s="8" t="str">
        <f t="shared" si="294"/>
        <v>Upper</v>
      </c>
      <c r="I1565" s="8" t="str">
        <f t="shared" si="295"/>
        <v>West Fork and Below Lake</v>
      </c>
      <c r="J1565" s="8" t="str">
        <f t="shared" si="296"/>
        <v>Mendocino (d/s of lake)</v>
      </c>
      <c r="K1565" s="8" t="str">
        <f t="shared" si="297"/>
        <v>Riparian</v>
      </c>
      <c r="L1565" s="8">
        <f t="shared" si="298"/>
        <v>1000</v>
      </c>
      <c r="M1565" s="8" t="str">
        <f t="shared" si="300"/>
        <v>-</v>
      </c>
      <c r="N1565" s="10" t="s">
        <v>242</v>
      </c>
      <c r="O1565" s="10" t="s">
        <v>241</v>
      </c>
      <c r="P1565" s="10" t="s">
        <v>242</v>
      </c>
      <c r="Q1565" s="10" t="s">
        <v>242</v>
      </c>
      <c r="R1565" s="10" t="s">
        <v>242</v>
      </c>
      <c r="S1565" s="10" t="s">
        <v>241</v>
      </c>
      <c r="T1565" s="10" t="s">
        <v>242</v>
      </c>
      <c r="U1565" s="10" t="s">
        <v>242</v>
      </c>
      <c r="V1565" s="10" t="s">
        <v>242</v>
      </c>
      <c r="W1565" s="10" t="s">
        <v>242</v>
      </c>
      <c r="X1565" s="15">
        <f>IF(ISERROR(VLOOKUP($A1565,'13. Updated Demand'!A:Z,15,FALSE)),0,VLOOKUP($A1565,'13. Updated Demand'!A:Z,15,FALSE))</f>
        <v>0</v>
      </c>
      <c r="Y1565" s="16">
        <f>IF(ISERROR(VLOOKUP($A1565,'13. Updated Demand'!A:Z,16,FALSE)),0,VLOOKUP($A1565,'13. Updated Demand'!A:Z,16,FALSE))</f>
        <v>0</v>
      </c>
      <c r="Z1565" s="16">
        <f>IF(ISERROR(VLOOKUP($A1565,'13. Updated Demand'!A:Z,17,FALSE)),0,VLOOKUP($A1565,'13. Updated Demand'!A:Z,17,FALSE))</f>
        <v>0</v>
      </c>
      <c r="AA1565" s="16">
        <f>IF(ISERROR(VLOOKUP($A1565,'13. Updated Demand'!A:Z,18,FALSE)),0,VLOOKUP($A1565,'13. Updated Demand'!A:Z,18,FALSE))</f>
        <v>0</v>
      </c>
      <c r="AB1565" s="16">
        <f>IF(ISERROR(VLOOKUP($A1565,'13. Updated Demand'!A:Z,19,FALSE)),0,VLOOKUP($A1565,'13. Updated Demand'!A:Z,19,FALSE))</f>
        <v>0.1</v>
      </c>
      <c r="AC1565" s="16">
        <f>IF(ISERROR(VLOOKUP($A1565,'13. Updated Demand'!A:Z,20,FALSE)),0,VLOOKUP($A1565,'13. Updated Demand'!A:Z,20,FALSE))</f>
        <v>0.28999999999999998</v>
      </c>
      <c r="AD1565" s="16">
        <f>IF(ISERROR(VLOOKUP($A1565,'13. Updated Demand'!A:Z,21,FALSE)),0,VLOOKUP($A1565,'13. Updated Demand'!A:Z,21,FALSE))</f>
        <v>0.42</v>
      </c>
      <c r="AE1565" s="16">
        <f>IF(ISERROR(VLOOKUP($A1565,'13. Updated Demand'!A:Z,22,FALSE)),0,VLOOKUP($A1565,'13. Updated Demand'!A:Z,22,FALSE))</f>
        <v>0.43</v>
      </c>
      <c r="AF1565" s="16">
        <f>IF(ISERROR(VLOOKUP($A1565,'13. Updated Demand'!A:Z,23,FALSE)),0,VLOOKUP($A1565,'13. Updated Demand'!A:Z,23,FALSE))</f>
        <v>0.38</v>
      </c>
      <c r="AG1565" s="16">
        <f>IF(ISERROR(VLOOKUP($A1565,'13. Updated Demand'!A:Z,24,FALSE)),0,VLOOKUP($A1565,'13. Updated Demand'!A:Z,24,FALSE))</f>
        <v>0.25</v>
      </c>
      <c r="AH1565" s="16">
        <f>IF(ISERROR(VLOOKUP($A1565,'13. Updated Demand'!A:Z,25,FALSE)),0,VLOOKUP($A1565,'13. Updated Demand'!A:Z,25,FALSE))</f>
        <v>7.0000000000000007E-2</v>
      </c>
      <c r="AI1565" s="16">
        <f>IF(ISERROR(VLOOKUP($A1565,'13. Updated Demand'!A:Z,26,FALSE)),0,VLOOKUP($A1565,'13. Updated Demand'!A:Z,26,FALSE))</f>
        <v>0</v>
      </c>
      <c r="AJ1565" s="16">
        <f t="shared" si="301"/>
        <v>1.9400000000000002</v>
      </c>
      <c r="AK1565" s="19">
        <v>1.6533436670000001</v>
      </c>
      <c r="AL1565" s="16">
        <f t="shared" si="299"/>
        <v>5.483952609897127E-3</v>
      </c>
      <c r="AM1565" s="26">
        <v>1.1573806744919413</v>
      </c>
      <c r="AN1565" s="19">
        <v>1.7123999999999999</v>
      </c>
      <c r="AO1565" s="19" t="s">
        <v>1758</v>
      </c>
      <c r="AP1565" s="19">
        <v>0</v>
      </c>
      <c r="AQ1565" s="19" t="s">
        <v>307</v>
      </c>
      <c r="AR1565" s="9" t="s">
        <v>333</v>
      </c>
      <c r="AS1565" s="12">
        <v>3.4039024194010059E-4</v>
      </c>
      <c r="AT1565" s="19">
        <v>39.094359849999996</v>
      </c>
      <c r="AU1565" s="19">
        <v>-123.23331061</v>
      </c>
      <c r="AV1565" s="19" t="s">
        <v>1438</v>
      </c>
    </row>
    <row r="1566" spans="1:48" x14ac:dyDescent="0.25">
      <c r="A1566" s="18" t="s">
        <v>1959</v>
      </c>
      <c r="B1566" s="10">
        <v>10000000</v>
      </c>
      <c r="C1566" s="9">
        <v>23</v>
      </c>
      <c r="D1566" s="8" t="str">
        <f t="shared" si="290"/>
        <v>N</v>
      </c>
      <c r="E1566" s="8" t="str">
        <f t="shared" si="291"/>
        <v>N</v>
      </c>
      <c r="F1566" s="8" t="str">
        <f t="shared" si="292"/>
        <v>N</v>
      </c>
      <c r="G1566" s="8" t="str">
        <f t="shared" si="293"/>
        <v>N</v>
      </c>
      <c r="H1566" s="8" t="str">
        <f t="shared" si="294"/>
        <v>Lower</v>
      </c>
      <c r="I1566" s="8" t="str">
        <f t="shared" si="295"/>
        <v>Outside</v>
      </c>
      <c r="J1566" s="8" t="str">
        <f t="shared" si="296"/>
        <v>Outside</v>
      </c>
      <c r="K1566" s="8" t="str">
        <f t="shared" si="297"/>
        <v>Riparian</v>
      </c>
      <c r="L1566" s="8">
        <f t="shared" si="298"/>
        <v>1000</v>
      </c>
      <c r="M1566" s="8" t="str">
        <f t="shared" si="300"/>
        <v>-</v>
      </c>
      <c r="N1566" s="10" t="s">
        <v>242</v>
      </c>
      <c r="O1566" s="10" t="s">
        <v>242</v>
      </c>
      <c r="P1566" s="10" t="s">
        <v>242</v>
      </c>
      <c r="Q1566" s="10" t="s">
        <v>242</v>
      </c>
      <c r="R1566" s="10" t="s">
        <v>242</v>
      </c>
      <c r="S1566" s="10" t="s">
        <v>241</v>
      </c>
      <c r="T1566" s="10" t="s">
        <v>241</v>
      </c>
      <c r="U1566" s="10" t="s">
        <v>241</v>
      </c>
      <c r="V1566" s="10" t="s">
        <v>241</v>
      </c>
      <c r="W1566" s="10" t="s">
        <v>242</v>
      </c>
      <c r="X1566" s="15">
        <f>IF(ISERROR(VLOOKUP($A1566,'13. Updated Demand'!A:Z,15,FALSE)),0,VLOOKUP($A1566,'13. Updated Demand'!A:Z,15,FALSE))</f>
        <v>0</v>
      </c>
      <c r="Y1566" s="16">
        <f>IF(ISERROR(VLOOKUP($A1566,'13. Updated Demand'!A:Z,16,FALSE)),0,VLOOKUP($A1566,'13. Updated Demand'!A:Z,16,FALSE))</f>
        <v>0</v>
      </c>
      <c r="Z1566" s="16">
        <f>IF(ISERROR(VLOOKUP($A1566,'13. Updated Demand'!A:Z,17,FALSE)),0,VLOOKUP($A1566,'13. Updated Demand'!A:Z,17,FALSE))</f>
        <v>0</v>
      </c>
      <c r="AA1566" s="16">
        <f>IF(ISERROR(VLOOKUP($A1566,'13. Updated Demand'!A:Z,18,FALSE)),0,VLOOKUP($A1566,'13. Updated Demand'!A:Z,18,FALSE))</f>
        <v>0</v>
      </c>
      <c r="AB1566" s="16">
        <f>IF(ISERROR(VLOOKUP($A1566,'13. Updated Demand'!A:Z,19,FALSE)),0,VLOOKUP($A1566,'13. Updated Demand'!A:Z,19,FALSE))</f>
        <v>0</v>
      </c>
      <c r="AC1566" s="16">
        <f>IF(ISERROR(VLOOKUP($A1566,'13. Updated Demand'!A:Z,20,FALSE)),0,VLOOKUP($A1566,'13. Updated Demand'!A:Z,20,FALSE))</f>
        <v>0</v>
      </c>
      <c r="AD1566" s="16">
        <f>IF(ISERROR(VLOOKUP($A1566,'13. Updated Demand'!A:Z,21,FALSE)),0,VLOOKUP($A1566,'13. Updated Demand'!A:Z,21,FALSE))</f>
        <v>0</v>
      </c>
      <c r="AE1566" s="16">
        <f>IF(ISERROR(VLOOKUP($A1566,'13. Updated Demand'!A:Z,22,FALSE)),0,VLOOKUP($A1566,'13. Updated Demand'!A:Z,22,FALSE))</f>
        <v>0</v>
      </c>
      <c r="AF1566" s="16">
        <f>IF(ISERROR(VLOOKUP($A1566,'13. Updated Demand'!A:Z,23,FALSE)),0,VLOOKUP($A1566,'13. Updated Demand'!A:Z,23,FALSE))</f>
        <v>0</v>
      </c>
      <c r="AG1566" s="16">
        <f>IF(ISERROR(VLOOKUP($A1566,'13. Updated Demand'!A:Z,24,FALSE)),0,VLOOKUP($A1566,'13. Updated Demand'!A:Z,24,FALSE))</f>
        <v>0</v>
      </c>
      <c r="AH1566" s="16">
        <f>IF(ISERROR(VLOOKUP($A1566,'13. Updated Demand'!A:Z,25,FALSE)),0,VLOOKUP($A1566,'13. Updated Demand'!A:Z,25,FALSE))</f>
        <v>0</v>
      </c>
      <c r="AI1566" s="16">
        <f>IF(ISERROR(VLOOKUP($A1566,'13. Updated Demand'!A:Z,26,FALSE)),0,VLOOKUP($A1566,'13. Updated Demand'!A:Z,26,FALSE))</f>
        <v>0</v>
      </c>
      <c r="AJ1566" s="16">
        <f t="shared" si="301"/>
        <v>0</v>
      </c>
      <c r="AK1566" s="19">
        <v>0</v>
      </c>
      <c r="AL1566" s="16">
        <f t="shared" si="299"/>
        <v>0</v>
      </c>
      <c r="AM1566" s="26">
        <v>0</v>
      </c>
      <c r="AN1566" s="19">
        <v>1.6999999999999999E-3</v>
      </c>
      <c r="AO1566" s="19" t="s">
        <v>1758</v>
      </c>
      <c r="AP1566" s="19">
        <v>0</v>
      </c>
      <c r="AQ1566" s="19" t="s">
        <v>307</v>
      </c>
      <c r="AR1566" s="9" t="s">
        <v>323</v>
      </c>
      <c r="AS1566" s="12">
        <v>0</v>
      </c>
      <c r="AT1566" s="19">
        <v>38.494341040000002</v>
      </c>
      <c r="AU1566" s="19">
        <v>-122.85222108000001</v>
      </c>
      <c r="AV1566" s="19" t="s">
        <v>658</v>
      </c>
    </row>
    <row r="1567" spans="1:48" x14ac:dyDescent="0.25">
      <c r="A1567" s="18" t="s">
        <v>1960</v>
      </c>
      <c r="B1567" s="10">
        <v>10000000</v>
      </c>
      <c r="C1567" s="9">
        <v>1</v>
      </c>
      <c r="D1567" s="8" t="str">
        <f t="shared" si="290"/>
        <v>N</v>
      </c>
      <c r="E1567" s="8" t="str">
        <f t="shared" si="291"/>
        <v>N</v>
      </c>
      <c r="F1567" s="8" t="str">
        <f t="shared" si="292"/>
        <v>Y</v>
      </c>
      <c r="G1567" s="8" t="str">
        <f t="shared" si="293"/>
        <v>Y</v>
      </c>
      <c r="H1567" s="8" t="str">
        <f t="shared" si="294"/>
        <v>Upper</v>
      </c>
      <c r="I1567" s="8" t="str">
        <f t="shared" si="295"/>
        <v>West Fork and Below Lake</v>
      </c>
      <c r="J1567" s="8" t="str">
        <f t="shared" si="296"/>
        <v>Outside</v>
      </c>
      <c r="K1567" s="8" t="str">
        <f t="shared" si="297"/>
        <v>Riparian</v>
      </c>
      <c r="L1567" s="8">
        <f t="shared" si="298"/>
        <v>1000</v>
      </c>
      <c r="M1567" s="8" t="str">
        <f t="shared" si="300"/>
        <v>-</v>
      </c>
      <c r="N1567" s="10" t="s">
        <v>242</v>
      </c>
      <c r="O1567" s="10" t="s">
        <v>241</v>
      </c>
      <c r="P1567" s="10" t="s">
        <v>242</v>
      </c>
      <c r="Q1567" s="10" t="s">
        <v>242</v>
      </c>
      <c r="R1567" s="10" t="s">
        <v>242</v>
      </c>
      <c r="S1567" s="10" t="s">
        <v>241</v>
      </c>
      <c r="T1567" s="10" t="s">
        <v>242</v>
      </c>
      <c r="U1567" s="10" t="s">
        <v>241</v>
      </c>
      <c r="V1567" s="10" t="s">
        <v>241</v>
      </c>
      <c r="W1567" s="10" t="s">
        <v>242</v>
      </c>
      <c r="X1567" s="15">
        <f>IF(ISERROR(VLOOKUP($A1567,'13. Updated Demand'!A:Z,15,FALSE)),0,VLOOKUP($A1567,'13. Updated Demand'!A:Z,15,FALSE))</f>
        <v>0</v>
      </c>
      <c r="Y1567" s="16">
        <f>IF(ISERROR(VLOOKUP($A1567,'13. Updated Demand'!A:Z,16,FALSE)),0,VLOOKUP($A1567,'13. Updated Demand'!A:Z,16,FALSE))</f>
        <v>0</v>
      </c>
      <c r="Z1567" s="16">
        <f>IF(ISERROR(VLOOKUP($A1567,'13. Updated Demand'!A:Z,17,FALSE)),0,VLOOKUP($A1567,'13. Updated Demand'!A:Z,17,FALSE))</f>
        <v>0</v>
      </c>
      <c r="AA1567" s="16">
        <f>IF(ISERROR(VLOOKUP($A1567,'13. Updated Demand'!A:Z,18,FALSE)),0,VLOOKUP($A1567,'13. Updated Demand'!A:Z,18,FALSE))</f>
        <v>0</v>
      </c>
      <c r="AB1567" s="16">
        <f>IF(ISERROR(VLOOKUP($A1567,'13. Updated Demand'!A:Z,19,FALSE)),0,VLOOKUP($A1567,'13. Updated Demand'!A:Z,19,FALSE))</f>
        <v>0</v>
      </c>
      <c r="AC1567" s="16">
        <f>IF(ISERROR(VLOOKUP($A1567,'13. Updated Demand'!A:Z,20,FALSE)),0,VLOOKUP($A1567,'13. Updated Demand'!A:Z,20,FALSE))</f>
        <v>0</v>
      </c>
      <c r="AD1567" s="16">
        <f>IF(ISERROR(VLOOKUP($A1567,'13. Updated Demand'!A:Z,21,FALSE)),0,VLOOKUP($A1567,'13. Updated Demand'!A:Z,21,FALSE))</f>
        <v>0</v>
      </c>
      <c r="AE1567" s="16">
        <f>IF(ISERROR(VLOOKUP($A1567,'13. Updated Demand'!A:Z,22,FALSE)),0,VLOOKUP($A1567,'13. Updated Demand'!A:Z,22,FALSE))</f>
        <v>0</v>
      </c>
      <c r="AF1567" s="16">
        <f>IF(ISERROR(VLOOKUP($A1567,'13. Updated Demand'!A:Z,23,FALSE)),0,VLOOKUP($A1567,'13. Updated Demand'!A:Z,23,FALSE))</f>
        <v>0</v>
      </c>
      <c r="AG1567" s="16">
        <f>IF(ISERROR(VLOOKUP($A1567,'13. Updated Demand'!A:Z,24,FALSE)),0,VLOOKUP($A1567,'13. Updated Demand'!A:Z,24,FALSE))</f>
        <v>0</v>
      </c>
      <c r="AH1567" s="16">
        <f>IF(ISERROR(VLOOKUP($A1567,'13. Updated Demand'!A:Z,25,FALSE)),0,VLOOKUP($A1567,'13. Updated Demand'!A:Z,25,FALSE))</f>
        <v>0</v>
      </c>
      <c r="AI1567" s="16">
        <f>IF(ISERROR(VLOOKUP($A1567,'13. Updated Demand'!A:Z,26,FALSE)),0,VLOOKUP($A1567,'13. Updated Demand'!A:Z,26,FALSE))</f>
        <v>0</v>
      </c>
      <c r="AJ1567" s="16">
        <f t="shared" si="301"/>
        <v>0</v>
      </c>
      <c r="AK1567" s="19">
        <v>0</v>
      </c>
      <c r="AL1567" s="16">
        <f t="shared" si="299"/>
        <v>0</v>
      </c>
      <c r="AM1567" s="26">
        <v>0</v>
      </c>
      <c r="AN1567" s="19">
        <v>4.0220000000000002</v>
      </c>
      <c r="AO1567" s="19" t="s">
        <v>1758</v>
      </c>
      <c r="AP1567" s="19">
        <v>0</v>
      </c>
      <c r="AQ1567" s="19" t="s">
        <v>307</v>
      </c>
      <c r="AR1567" s="9" t="s">
        <v>317</v>
      </c>
      <c r="AS1567" s="12">
        <v>0</v>
      </c>
      <c r="AT1567" s="19">
        <v>39.227268350000003</v>
      </c>
      <c r="AU1567" s="19">
        <v>-123.20650065</v>
      </c>
      <c r="AV1567" s="19" t="s">
        <v>417</v>
      </c>
    </row>
    <row r="1568" spans="1:48" x14ac:dyDescent="0.25">
      <c r="A1568" s="18" t="s">
        <v>1961</v>
      </c>
      <c r="B1568" s="10">
        <v>10000000</v>
      </c>
      <c r="C1568" s="9">
        <v>1</v>
      </c>
      <c r="D1568" s="8" t="str">
        <f t="shared" si="290"/>
        <v>N</v>
      </c>
      <c r="E1568" s="8" t="str">
        <f t="shared" si="291"/>
        <v>N</v>
      </c>
      <c r="F1568" s="8" t="str">
        <f t="shared" si="292"/>
        <v>Y</v>
      </c>
      <c r="G1568" s="8" t="str">
        <f t="shared" si="293"/>
        <v>Y</v>
      </c>
      <c r="H1568" s="8" t="str">
        <f t="shared" si="294"/>
        <v>Upper</v>
      </c>
      <c r="I1568" s="8" t="str">
        <f t="shared" si="295"/>
        <v>West Fork and Below Lake</v>
      </c>
      <c r="J1568" s="8" t="str">
        <f t="shared" si="296"/>
        <v>Outside</v>
      </c>
      <c r="K1568" s="8" t="str">
        <f t="shared" si="297"/>
        <v>Riparian</v>
      </c>
      <c r="L1568" s="8">
        <f t="shared" si="298"/>
        <v>1000</v>
      </c>
      <c r="M1568" s="8" t="str">
        <f t="shared" si="300"/>
        <v>-</v>
      </c>
      <c r="N1568" s="10" t="s">
        <v>242</v>
      </c>
      <c r="O1568" s="10" t="s">
        <v>241</v>
      </c>
      <c r="P1568" s="10" t="s">
        <v>242</v>
      </c>
      <c r="Q1568" s="10" t="s">
        <v>242</v>
      </c>
      <c r="R1568" s="10" t="s">
        <v>242</v>
      </c>
      <c r="S1568" s="10" t="s">
        <v>241</v>
      </c>
      <c r="T1568" s="10" t="s">
        <v>241</v>
      </c>
      <c r="U1568" s="10" t="s">
        <v>241</v>
      </c>
      <c r="V1568" s="10" t="s">
        <v>241</v>
      </c>
      <c r="W1568" s="10" t="s">
        <v>242</v>
      </c>
      <c r="X1568" s="15">
        <f>IF(ISERROR(VLOOKUP($A1568,'13. Updated Demand'!A:Z,15,FALSE)),0,VLOOKUP($A1568,'13. Updated Demand'!A:Z,15,FALSE))</f>
        <v>0</v>
      </c>
      <c r="Y1568" s="16">
        <f>IF(ISERROR(VLOOKUP($A1568,'13. Updated Demand'!A:Z,16,FALSE)),0,VLOOKUP($A1568,'13. Updated Demand'!A:Z,16,FALSE))</f>
        <v>0</v>
      </c>
      <c r="Z1568" s="16">
        <f>IF(ISERROR(VLOOKUP($A1568,'13. Updated Demand'!A:Z,17,FALSE)),0,VLOOKUP($A1568,'13. Updated Demand'!A:Z,17,FALSE))</f>
        <v>0</v>
      </c>
      <c r="AA1568" s="16">
        <f>IF(ISERROR(VLOOKUP($A1568,'13. Updated Demand'!A:Z,18,FALSE)),0,VLOOKUP($A1568,'13. Updated Demand'!A:Z,18,FALSE))</f>
        <v>0</v>
      </c>
      <c r="AB1568" s="16">
        <f>IF(ISERROR(VLOOKUP($A1568,'13. Updated Demand'!A:Z,19,FALSE)),0,VLOOKUP($A1568,'13. Updated Demand'!A:Z,19,FALSE))</f>
        <v>0</v>
      </c>
      <c r="AC1568" s="16">
        <f>IF(ISERROR(VLOOKUP($A1568,'13. Updated Demand'!A:Z,20,FALSE)),0,VLOOKUP($A1568,'13. Updated Demand'!A:Z,20,FALSE))</f>
        <v>0</v>
      </c>
      <c r="AD1568" s="16">
        <f>IF(ISERROR(VLOOKUP($A1568,'13. Updated Demand'!A:Z,21,FALSE)),0,VLOOKUP($A1568,'13. Updated Demand'!A:Z,21,FALSE))</f>
        <v>0</v>
      </c>
      <c r="AE1568" s="16">
        <f>IF(ISERROR(VLOOKUP($A1568,'13. Updated Demand'!A:Z,22,FALSE)),0,VLOOKUP($A1568,'13. Updated Demand'!A:Z,22,FALSE))</f>
        <v>0</v>
      </c>
      <c r="AF1568" s="16">
        <f>IF(ISERROR(VLOOKUP($A1568,'13. Updated Demand'!A:Z,23,FALSE)),0,VLOOKUP($A1568,'13. Updated Demand'!A:Z,23,FALSE))</f>
        <v>0</v>
      </c>
      <c r="AG1568" s="16">
        <f>IF(ISERROR(VLOOKUP($A1568,'13. Updated Demand'!A:Z,24,FALSE)),0,VLOOKUP($A1568,'13. Updated Demand'!A:Z,24,FALSE))</f>
        <v>0</v>
      </c>
      <c r="AH1568" s="16">
        <f>IF(ISERROR(VLOOKUP($A1568,'13. Updated Demand'!A:Z,25,FALSE)),0,VLOOKUP($A1568,'13. Updated Demand'!A:Z,25,FALSE))</f>
        <v>0</v>
      </c>
      <c r="AI1568" s="16">
        <f>IF(ISERROR(VLOOKUP($A1568,'13. Updated Demand'!A:Z,26,FALSE)),0,VLOOKUP($A1568,'13. Updated Demand'!A:Z,26,FALSE))</f>
        <v>0</v>
      </c>
      <c r="AJ1568" s="16">
        <f t="shared" si="301"/>
        <v>0</v>
      </c>
      <c r="AK1568" s="19">
        <v>0</v>
      </c>
      <c r="AL1568" s="16">
        <f t="shared" si="299"/>
        <v>0</v>
      </c>
      <c r="AM1568" s="26">
        <v>0</v>
      </c>
      <c r="AN1568" s="19"/>
      <c r="AO1568" s="19"/>
      <c r="AP1568" s="19">
        <v>0</v>
      </c>
      <c r="AQ1568" s="19" t="s">
        <v>307</v>
      </c>
      <c r="AR1568" s="9" t="s">
        <v>317</v>
      </c>
      <c r="AS1568" s="12">
        <v>0</v>
      </c>
      <c r="AT1568" s="19">
        <v>39.279840749999998</v>
      </c>
      <c r="AU1568" s="19">
        <v>-123.20757499</v>
      </c>
      <c r="AV1568" s="19" t="s">
        <v>456</v>
      </c>
    </row>
    <row r="1569" spans="1:48" x14ac:dyDescent="0.25">
      <c r="A1569" s="18" t="s">
        <v>1962</v>
      </c>
      <c r="B1569" s="10">
        <v>10000000</v>
      </c>
      <c r="C1569" s="9">
        <v>4</v>
      </c>
      <c r="D1569" s="8" t="str">
        <f t="shared" si="290"/>
        <v>Y</v>
      </c>
      <c r="E1569" s="8" t="str">
        <f t="shared" si="291"/>
        <v>N</v>
      </c>
      <c r="F1569" s="8" t="str">
        <f t="shared" si="292"/>
        <v>Y</v>
      </c>
      <c r="G1569" s="8" t="str">
        <f t="shared" si="293"/>
        <v>Y</v>
      </c>
      <c r="H1569" s="8" t="str">
        <f t="shared" si="294"/>
        <v>Upper</v>
      </c>
      <c r="I1569" s="8" t="str">
        <f t="shared" si="295"/>
        <v>West Fork and Below Lake</v>
      </c>
      <c r="J1569" s="8" t="str">
        <f t="shared" si="296"/>
        <v>Mendocino (d/s of lake)</v>
      </c>
      <c r="K1569" s="8" t="str">
        <f t="shared" si="297"/>
        <v>Riparian</v>
      </c>
      <c r="L1569" s="8">
        <f t="shared" si="298"/>
        <v>1000</v>
      </c>
      <c r="M1569" s="8" t="str">
        <f t="shared" si="300"/>
        <v>-</v>
      </c>
      <c r="N1569" s="10" t="s">
        <v>242</v>
      </c>
      <c r="O1569" s="10" t="s">
        <v>241</v>
      </c>
      <c r="P1569" s="10" t="s">
        <v>242</v>
      </c>
      <c r="Q1569" s="10" t="s">
        <v>242</v>
      </c>
      <c r="R1569" s="10" t="s">
        <v>242</v>
      </c>
      <c r="S1569" s="10" t="s">
        <v>241</v>
      </c>
      <c r="T1569" s="10" t="s">
        <v>242</v>
      </c>
      <c r="U1569" s="10" t="s">
        <v>242</v>
      </c>
      <c r="V1569" s="10" t="s">
        <v>241</v>
      </c>
      <c r="W1569" s="10" t="s">
        <v>242</v>
      </c>
      <c r="X1569" s="15">
        <f>IF(ISERROR(VLOOKUP($A1569,'13. Updated Demand'!A:Z,15,FALSE)),0,VLOOKUP($A1569,'13. Updated Demand'!A:Z,15,FALSE))</f>
        <v>0.16</v>
      </c>
      <c r="Y1569" s="16">
        <f>IF(ISERROR(VLOOKUP($A1569,'13. Updated Demand'!A:Z,16,FALSE)),0,VLOOKUP($A1569,'13. Updated Demand'!A:Z,16,FALSE))</f>
        <v>0.66</v>
      </c>
      <c r="Z1569" s="16">
        <f>IF(ISERROR(VLOOKUP($A1569,'13. Updated Demand'!A:Z,17,FALSE)),0,VLOOKUP($A1569,'13. Updated Demand'!A:Z,17,FALSE))</f>
        <v>0</v>
      </c>
      <c r="AA1569" s="16">
        <f>IF(ISERROR(VLOOKUP($A1569,'13. Updated Demand'!A:Z,18,FALSE)),0,VLOOKUP($A1569,'13. Updated Demand'!A:Z,18,FALSE))</f>
        <v>0</v>
      </c>
      <c r="AB1569" s="16">
        <f>IF(ISERROR(VLOOKUP($A1569,'13. Updated Demand'!A:Z,19,FALSE)),0,VLOOKUP($A1569,'13. Updated Demand'!A:Z,19,FALSE))</f>
        <v>0</v>
      </c>
      <c r="AC1569" s="16">
        <f>IF(ISERROR(VLOOKUP($A1569,'13. Updated Demand'!A:Z,20,FALSE)),0,VLOOKUP($A1569,'13. Updated Demand'!A:Z,20,FALSE))</f>
        <v>0</v>
      </c>
      <c r="AD1569" s="16">
        <f>IF(ISERROR(VLOOKUP($A1569,'13. Updated Demand'!A:Z,21,FALSE)),0,VLOOKUP($A1569,'13. Updated Demand'!A:Z,21,FALSE))</f>
        <v>0</v>
      </c>
      <c r="AE1569" s="16">
        <f>IF(ISERROR(VLOOKUP($A1569,'13. Updated Demand'!A:Z,22,FALSE)),0,VLOOKUP($A1569,'13. Updated Demand'!A:Z,22,FALSE))</f>
        <v>0</v>
      </c>
      <c r="AF1569" s="16">
        <f>IF(ISERROR(VLOOKUP($A1569,'13. Updated Demand'!A:Z,23,FALSE)),0,VLOOKUP($A1569,'13. Updated Demand'!A:Z,23,FALSE))</f>
        <v>0</v>
      </c>
      <c r="AG1569" s="16">
        <f>IF(ISERROR(VLOOKUP($A1569,'13. Updated Demand'!A:Z,24,FALSE)),0,VLOOKUP($A1569,'13. Updated Demand'!A:Z,24,FALSE))</f>
        <v>0</v>
      </c>
      <c r="AH1569" s="16">
        <f>IF(ISERROR(VLOOKUP($A1569,'13. Updated Demand'!A:Z,25,FALSE)),0,VLOOKUP($A1569,'13. Updated Demand'!A:Z,25,FALSE))</f>
        <v>0</v>
      </c>
      <c r="AI1569" s="16">
        <f>IF(ISERROR(VLOOKUP($A1569,'13. Updated Demand'!A:Z,26,FALSE)),0,VLOOKUP($A1569,'13. Updated Demand'!A:Z,26,FALSE))</f>
        <v>0</v>
      </c>
      <c r="AJ1569" s="16">
        <f t="shared" si="301"/>
        <v>0.82000000000000006</v>
      </c>
      <c r="AK1569" s="19">
        <v>0</v>
      </c>
      <c r="AL1569" s="16">
        <f t="shared" si="299"/>
        <v>0</v>
      </c>
      <c r="AM1569" s="26">
        <v>4.1306187600807749E-4</v>
      </c>
      <c r="AN1569" s="19">
        <v>2017.454</v>
      </c>
      <c r="AO1569" s="19" t="s">
        <v>1758</v>
      </c>
      <c r="AP1569" s="19">
        <v>0</v>
      </c>
      <c r="AQ1569" s="19" t="s">
        <v>307</v>
      </c>
      <c r="AR1569" s="9" t="s">
        <v>331</v>
      </c>
      <c r="AS1569" s="12">
        <v>0</v>
      </c>
      <c r="AT1569" s="19">
        <v>39.138264249999999</v>
      </c>
      <c r="AU1569" s="19">
        <v>-123.16954798</v>
      </c>
      <c r="AV1569" s="19" t="s">
        <v>1062</v>
      </c>
    </row>
    <row r="1570" spans="1:48" x14ac:dyDescent="0.25">
      <c r="A1570" s="18" t="s">
        <v>1963</v>
      </c>
      <c r="B1570" s="10">
        <v>10000000</v>
      </c>
      <c r="C1570" s="9">
        <v>4</v>
      </c>
      <c r="D1570" s="8" t="str">
        <f t="shared" si="290"/>
        <v>Y</v>
      </c>
      <c r="E1570" s="8" t="str">
        <f t="shared" si="291"/>
        <v>N</v>
      </c>
      <c r="F1570" s="8" t="str">
        <f t="shared" si="292"/>
        <v>Y</v>
      </c>
      <c r="G1570" s="8" t="str">
        <f t="shared" si="293"/>
        <v>Y</v>
      </c>
      <c r="H1570" s="8" t="str">
        <f t="shared" si="294"/>
        <v>Upper</v>
      </c>
      <c r="I1570" s="8" t="str">
        <f t="shared" si="295"/>
        <v>West Fork and Below Lake</v>
      </c>
      <c r="J1570" s="8" t="str">
        <f t="shared" si="296"/>
        <v>Mendocino (d/s of lake)</v>
      </c>
      <c r="K1570" s="8" t="str">
        <f t="shared" si="297"/>
        <v>Riparian</v>
      </c>
      <c r="L1570" s="8">
        <f t="shared" si="298"/>
        <v>1000</v>
      </c>
      <c r="M1570" s="8" t="str">
        <f t="shared" si="300"/>
        <v>-</v>
      </c>
      <c r="N1570" s="10" t="s">
        <v>242</v>
      </c>
      <c r="O1570" s="10" t="s">
        <v>241</v>
      </c>
      <c r="P1570" s="10" t="s">
        <v>242</v>
      </c>
      <c r="Q1570" s="10" t="s">
        <v>242</v>
      </c>
      <c r="R1570" s="10" t="s">
        <v>242</v>
      </c>
      <c r="S1570" s="10" t="s">
        <v>241</v>
      </c>
      <c r="T1570" s="10" t="s">
        <v>242</v>
      </c>
      <c r="U1570" s="10" t="s">
        <v>242</v>
      </c>
      <c r="V1570" s="10" t="s">
        <v>242</v>
      </c>
      <c r="W1570" s="10" t="s">
        <v>242</v>
      </c>
      <c r="X1570" s="15">
        <f>IF(ISERROR(VLOOKUP($A1570,'13. Updated Demand'!A:Z,15,FALSE)),0,VLOOKUP($A1570,'13. Updated Demand'!A:Z,15,FALSE))</f>
        <v>0.36</v>
      </c>
      <c r="Y1570" s="16">
        <f>IF(ISERROR(VLOOKUP($A1570,'13. Updated Demand'!A:Z,16,FALSE)),0,VLOOKUP($A1570,'13. Updated Demand'!A:Z,16,FALSE))</f>
        <v>0.25</v>
      </c>
      <c r="Z1570" s="16">
        <f>IF(ISERROR(VLOOKUP($A1570,'13. Updated Demand'!A:Z,17,FALSE)),0,VLOOKUP($A1570,'13. Updated Demand'!A:Z,17,FALSE))</f>
        <v>0.06</v>
      </c>
      <c r="AA1570" s="16">
        <f>IF(ISERROR(VLOOKUP($A1570,'13. Updated Demand'!A:Z,18,FALSE)),0,VLOOKUP($A1570,'13. Updated Demand'!A:Z,18,FALSE))</f>
        <v>0.04</v>
      </c>
      <c r="AB1570" s="16">
        <f>IF(ISERROR(VLOOKUP($A1570,'13. Updated Demand'!A:Z,19,FALSE)),0,VLOOKUP($A1570,'13. Updated Demand'!A:Z,19,FALSE))</f>
        <v>3.333333E-3</v>
      </c>
      <c r="AC1570" s="16">
        <f>IF(ISERROR(VLOOKUP($A1570,'13. Updated Demand'!A:Z,20,FALSE)),0,VLOOKUP($A1570,'13. Updated Demand'!A:Z,20,FALSE))</f>
        <v>3.333333E-3</v>
      </c>
      <c r="AD1570" s="16">
        <f>IF(ISERROR(VLOOKUP($A1570,'13. Updated Demand'!A:Z,21,FALSE)),0,VLOOKUP($A1570,'13. Updated Demand'!A:Z,21,FALSE))</f>
        <v>3.333333E-3</v>
      </c>
      <c r="AE1570" s="16">
        <f>IF(ISERROR(VLOOKUP($A1570,'13. Updated Demand'!A:Z,22,FALSE)),0,VLOOKUP($A1570,'13. Updated Demand'!A:Z,22,FALSE))</f>
        <v>0</v>
      </c>
      <c r="AF1570" s="16">
        <f>IF(ISERROR(VLOOKUP($A1570,'13. Updated Demand'!A:Z,23,FALSE)),0,VLOOKUP($A1570,'13. Updated Demand'!A:Z,23,FALSE))</f>
        <v>3.333333E-3</v>
      </c>
      <c r="AG1570" s="16">
        <f>IF(ISERROR(VLOOKUP($A1570,'13. Updated Demand'!A:Z,24,FALSE)),0,VLOOKUP($A1570,'13. Updated Demand'!A:Z,24,FALSE))</f>
        <v>0</v>
      </c>
      <c r="AH1570" s="16">
        <f>IF(ISERROR(VLOOKUP($A1570,'13. Updated Demand'!A:Z,25,FALSE)),0,VLOOKUP($A1570,'13. Updated Demand'!A:Z,25,FALSE))</f>
        <v>0.1</v>
      </c>
      <c r="AI1570" s="16">
        <f>IF(ISERROR(VLOOKUP($A1570,'13. Updated Demand'!A:Z,26,FALSE)),0,VLOOKUP($A1570,'13. Updated Demand'!A:Z,26,FALSE))</f>
        <v>3.333333E-3</v>
      </c>
      <c r="AJ1570" s="16">
        <f t="shared" si="301"/>
        <v>0.82666666500000019</v>
      </c>
      <c r="AK1570" s="19">
        <v>1.3333332E-2</v>
      </c>
      <c r="AL1570" s="16">
        <f t="shared" si="299"/>
        <v>4.4225143434758663E-5</v>
      </c>
      <c r="AM1570" s="26">
        <v>1.2873885524789213E-3</v>
      </c>
      <c r="AN1570" s="19">
        <v>644.71600000000001</v>
      </c>
      <c r="AO1570" s="19" t="s">
        <v>1758</v>
      </c>
      <c r="AP1570" s="19">
        <v>0</v>
      </c>
      <c r="AQ1570" s="19" t="s">
        <v>307</v>
      </c>
      <c r="AR1570" s="9" t="s">
        <v>331</v>
      </c>
      <c r="AS1570" s="12">
        <v>0</v>
      </c>
      <c r="AT1570" s="19">
        <v>39.12912893</v>
      </c>
      <c r="AU1570" s="19">
        <v>-123.14930133999999</v>
      </c>
      <c r="AV1570" s="19" t="s">
        <v>417</v>
      </c>
    </row>
    <row r="1571" spans="1:48" x14ac:dyDescent="0.25">
      <c r="A1571" s="18" t="s">
        <v>1964</v>
      </c>
      <c r="B1571" s="10">
        <v>10000000</v>
      </c>
      <c r="C1571" s="9">
        <v>5</v>
      </c>
      <c r="D1571" s="8" t="str">
        <f t="shared" si="290"/>
        <v>Y</v>
      </c>
      <c r="E1571" s="8" t="str">
        <f t="shared" si="291"/>
        <v>N</v>
      </c>
      <c r="F1571" s="8" t="str">
        <f t="shared" si="292"/>
        <v>Y</v>
      </c>
      <c r="G1571" s="8" t="str">
        <f t="shared" si="293"/>
        <v>Y</v>
      </c>
      <c r="H1571" s="8" t="str">
        <f t="shared" si="294"/>
        <v>Upper</v>
      </c>
      <c r="I1571" s="8" t="str">
        <f t="shared" si="295"/>
        <v>West Fork and Below Lake</v>
      </c>
      <c r="J1571" s="8" t="str">
        <f t="shared" si="296"/>
        <v>Mendocino (d/s of lake)</v>
      </c>
      <c r="K1571" s="8" t="str">
        <f t="shared" si="297"/>
        <v>Riparian</v>
      </c>
      <c r="L1571" s="8">
        <f t="shared" si="298"/>
        <v>1000</v>
      </c>
      <c r="M1571" s="8" t="str">
        <f t="shared" si="300"/>
        <v>-</v>
      </c>
      <c r="N1571" s="10" t="s">
        <v>242</v>
      </c>
      <c r="O1571" s="10" t="s">
        <v>241</v>
      </c>
      <c r="P1571" s="10" t="s">
        <v>242</v>
      </c>
      <c r="Q1571" s="10" t="s">
        <v>242</v>
      </c>
      <c r="R1571" s="10" t="s">
        <v>242</v>
      </c>
      <c r="S1571" s="10" t="s">
        <v>241</v>
      </c>
      <c r="T1571" s="10" t="s">
        <v>242</v>
      </c>
      <c r="U1571" s="10" t="s">
        <v>241</v>
      </c>
      <c r="V1571" s="10" t="s">
        <v>241</v>
      </c>
      <c r="W1571" s="10" t="s">
        <v>242</v>
      </c>
      <c r="X1571" s="15">
        <f>IF(ISERROR(VLOOKUP($A1571,'13. Updated Demand'!A:Z,15,FALSE)),0,VLOOKUP($A1571,'13. Updated Demand'!A:Z,15,FALSE))</f>
        <v>0</v>
      </c>
      <c r="Y1571" s="16">
        <f>IF(ISERROR(VLOOKUP($A1571,'13. Updated Demand'!A:Z,16,FALSE)),0,VLOOKUP($A1571,'13. Updated Demand'!A:Z,16,FALSE))</f>
        <v>0</v>
      </c>
      <c r="Z1571" s="16">
        <f>IF(ISERROR(VLOOKUP($A1571,'13. Updated Demand'!A:Z,17,FALSE)),0,VLOOKUP($A1571,'13. Updated Demand'!A:Z,17,FALSE))</f>
        <v>0</v>
      </c>
      <c r="AA1571" s="16">
        <f>IF(ISERROR(VLOOKUP($A1571,'13. Updated Demand'!A:Z,18,FALSE)),0,VLOOKUP($A1571,'13. Updated Demand'!A:Z,18,FALSE))</f>
        <v>0</v>
      </c>
      <c r="AB1571" s="16">
        <f>IF(ISERROR(VLOOKUP($A1571,'13. Updated Demand'!A:Z,19,FALSE)),0,VLOOKUP($A1571,'13. Updated Demand'!A:Z,19,FALSE))</f>
        <v>0</v>
      </c>
      <c r="AC1571" s="16">
        <f>IF(ISERROR(VLOOKUP($A1571,'13. Updated Demand'!A:Z,20,FALSE)),0,VLOOKUP($A1571,'13. Updated Demand'!A:Z,20,FALSE))</f>
        <v>0</v>
      </c>
      <c r="AD1571" s="16">
        <f>IF(ISERROR(VLOOKUP($A1571,'13. Updated Demand'!A:Z,21,FALSE)),0,VLOOKUP($A1571,'13. Updated Demand'!A:Z,21,FALSE))</f>
        <v>0</v>
      </c>
      <c r="AE1571" s="16">
        <f>IF(ISERROR(VLOOKUP($A1571,'13. Updated Demand'!A:Z,22,FALSE)),0,VLOOKUP($A1571,'13. Updated Demand'!A:Z,22,FALSE))</f>
        <v>0</v>
      </c>
      <c r="AF1571" s="16">
        <f>IF(ISERROR(VLOOKUP($A1571,'13. Updated Demand'!A:Z,23,FALSE)),0,VLOOKUP($A1571,'13. Updated Demand'!A:Z,23,FALSE))</f>
        <v>0</v>
      </c>
      <c r="AG1571" s="16">
        <f>IF(ISERROR(VLOOKUP($A1571,'13. Updated Demand'!A:Z,24,FALSE)),0,VLOOKUP($A1571,'13. Updated Demand'!A:Z,24,FALSE))</f>
        <v>0</v>
      </c>
      <c r="AH1571" s="16">
        <f>IF(ISERROR(VLOOKUP($A1571,'13. Updated Demand'!A:Z,25,FALSE)),0,VLOOKUP($A1571,'13. Updated Demand'!A:Z,25,FALSE))</f>
        <v>0</v>
      </c>
      <c r="AI1571" s="16">
        <f>IF(ISERROR(VLOOKUP($A1571,'13. Updated Demand'!A:Z,26,FALSE)),0,VLOOKUP($A1571,'13. Updated Demand'!A:Z,26,FALSE))</f>
        <v>0</v>
      </c>
      <c r="AJ1571" s="16">
        <f t="shared" si="301"/>
        <v>0</v>
      </c>
      <c r="AK1571" s="19">
        <v>0</v>
      </c>
      <c r="AL1571" s="16">
        <f t="shared" si="299"/>
        <v>0</v>
      </c>
      <c r="AM1571" s="26">
        <v>0</v>
      </c>
      <c r="AN1571" s="19">
        <v>1448.8</v>
      </c>
      <c r="AO1571" s="19" t="s">
        <v>1758</v>
      </c>
      <c r="AP1571" s="19">
        <v>0</v>
      </c>
      <c r="AQ1571" s="19" t="s">
        <v>307</v>
      </c>
      <c r="AR1571" s="9" t="s">
        <v>333</v>
      </c>
      <c r="AS1571" s="12">
        <v>0</v>
      </c>
      <c r="AT1571" s="19">
        <v>39.121900189999998</v>
      </c>
      <c r="AU1571" s="19">
        <v>-123.15834968999999</v>
      </c>
      <c r="AV1571" s="19" t="s">
        <v>417</v>
      </c>
    </row>
    <row r="1572" spans="1:48" x14ac:dyDescent="0.25">
      <c r="A1572" s="18" t="s">
        <v>1965</v>
      </c>
      <c r="B1572" s="10">
        <v>10000000</v>
      </c>
      <c r="C1572" s="9">
        <v>12</v>
      </c>
      <c r="D1572" s="8" t="str">
        <f t="shared" si="290"/>
        <v>N</v>
      </c>
      <c r="E1572" s="8" t="str">
        <f t="shared" si="291"/>
        <v>Y</v>
      </c>
      <c r="F1572" s="8" t="str">
        <f t="shared" si="292"/>
        <v>Y</v>
      </c>
      <c r="G1572" s="8" t="str">
        <f t="shared" si="293"/>
        <v>Y</v>
      </c>
      <c r="H1572" s="8" t="str">
        <f t="shared" si="294"/>
        <v>Upper</v>
      </c>
      <c r="I1572" s="8" t="str">
        <f t="shared" si="295"/>
        <v>West Fork and Below Lake</v>
      </c>
      <c r="J1572" s="8" t="str">
        <f t="shared" si="296"/>
        <v>Sonoma (d/s of Clov. Gage)</v>
      </c>
      <c r="K1572" s="8" t="str">
        <f t="shared" si="297"/>
        <v>Riparian</v>
      </c>
      <c r="L1572" s="8">
        <f t="shared" si="298"/>
        <v>1000</v>
      </c>
      <c r="M1572" s="8" t="str">
        <f t="shared" si="300"/>
        <v>-</v>
      </c>
      <c r="N1572" s="10" t="s">
        <v>242</v>
      </c>
      <c r="O1572" s="10" t="s">
        <v>241</v>
      </c>
      <c r="P1572" s="10" t="s">
        <v>242</v>
      </c>
      <c r="Q1572" s="10" t="s">
        <v>242</v>
      </c>
      <c r="R1572" s="10" t="s">
        <v>242</v>
      </c>
      <c r="S1572" s="10" t="s">
        <v>241</v>
      </c>
      <c r="T1572" s="10" t="s">
        <v>242</v>
      </c>
      <c r="U1572" s="10" t="s">
        <v>242</v>
      </c>
      <c r="V1572" s="10" t="s">
        <v>242</v>
      </c>
      <c r="W1572" s="10" t="s">
        <v>242</v>
      </c>
      <c r="X1572" s="15">
        <f>IF(ISERROR(VLOOKUP($A1572,'13. Updated Demand'!A:Z,15,FALSE)),0,VLOOKUP($A1572,'13. Updated Demand'!A:Z,15,FALSE))</f>
        <v>0</v>
      </c>
      <c r="Y1572" s="16">
        <f>IF(ISERROR(VLOOKUP($A1572,'13. Updated Demand'!A:Z,16,FALSE)),0,VLOOKUP($A1572,'13. Updated Demand'!A:Z,16,FALSE))</f>
        <v>0</v>
      </c>
      <c r="Z1572" s="16">
        <f>IF(ISERROR(VLOOKUP($A1572,'13. Updated Demand'!A:Z,17,FALSE)),0,VLOOKUP($A1572,'13. Updated Demand'!A:Z,17,FALSE))</f>
        <v>0</v>
      </c>
      <c r="AA1572" s="16">
        <f>IF(ISERROR(VLOOKUP($A1572,'13. Updated Demand'!A:Z,18,FALSE)),0,VLOOKUP($A1572,'13. Updated Demand'!A:Z,18,FALSE))</f>
        <v>0</v>
      </c>
      <c r="AB1572" s="16">
        <f>IF(ISERROR(VLOOKUP($A1572,'13. Updated Demand'!A:Z,19,FALSE)),0,VLOOKUP($A1572,'13. Updated Demand'!A:Z,19,FALSE))</f>
        <v>0</v>
      </c>
      <c r="AC1572" s="16">
        <f>IF(ISERROR(VLOOKUP($A1572,'13. Updated Demand'!A:Z,20,FALSE)),0,VLOOKUP($A1572,'13. Updated Demand'!A:Z,20,FALSE))</f>
        <v>0</v>
      </c>
      <c r="AD1572" s="16">
        <f>IF(ISERROR(VLOOKUP($A1572,'13. Updated Demand'!A:Z,21,FALSE)),0,VLOOKUP($A1572,'13. Updated Demand'!A:Z,21,FALSE))</f>
        <v>1.5</v>
      </c>
      <c r="AE1572" s="16">
        <f>IF(ISERROR(VLOOKUP($A1572,'13. Updated Demand'!A:Z,22,FALSE)),0,VLOOKUP($A1572,'13. Updated Demand'!A:Z,22,FALSE))</f>
        <v>0</v>
      </c>
      <c r="AF1572" s="16">
        <f>IF(ISERROR(VLOOKUP($A1572,'13. Updated Demand'!A:Z,23,FALSE)),0,VLOOKUP($A1572,'13. Updated Demand'!A:Z,23,FALSE))</f>
        <v>0</v>
      </c>
      <c r="AG1572" s="16">
        <f>IF(ISERROR(VLOOKUP($A1572,'13. Updated Demand'!A:Z,24,FALSE)),0,VLOOKUP($A1572,'13. Updated Demand'!A:Z,24,FALSE))</f>
        <v>0</v>
      </c>
      <c r="AH1572" s="16">
        <f>IF(ISERROR(VLOOKUP($A1572,'13. Updated Demand'!A:Z,25,FALSE)),0,VLOOKUP($A1572,'13. Updated Demand'!A:Z,25,FALSE))</f>
        <v>0</v>
      </c>
      <c r="AI1572" s="16">
        <f>IF(ISERROR(VLOOKUP($A1572,'13. Updated Demand'!A:Z,26,FALSE)),0,VLOOKUP($A1572,'13. Updated Demand'!A:Z,26,FALSE))</f>
        <v>0</v>
      </c>
      <c r="AJ1572" s="16">
        <f t="shared" si="301"/>
        <v>1.5</v>
      </c>
      <c r="AK1572" s="19">
        <v>1.5</v>
      </c>
      <c r="AL1572" s="16">
        <f t="shared" si="299"/>
        <v>4.9753291339432633E-3</v>
      </c>
      <c r="AM1572" s="26">
        <v>2.0706791827719492E-3</v>
      </c>
      <c r="AN1572" s="19">
        <v>724.4</v>
      </c>
      <c r="AO1572" s="19" t="s">
        <v>1758</v>
      </c>
      <c r="AP1572" s="19">
        <v>0</v>
      </c>
      <c r="AQ1572" s="19" t="s">
        <v>307</v>
      </c>
      <c r="AR1572" s="9" t="s">
        <v>311</v>
      </c>
      <c r="AS1572" s="12">
        <v>0</v>
      </c>
      <c r="AT1572" s="19">
        <v>38.633055319999997</v>
      </c>
      <c r="AU1572" s="19">
        <v>-122.76775557000001</v>
      </c>
      <c r="AV1572" s="19" t="s">
        <v>609</v>
      </c>
    </row>
    <row r="1573" spans="1:48" x14ac:dyDescent="0.25">
      <c r="A1573" s="18" t="s">
        <v>1966</v>
      </c>
      <c r="B1573" s="10">
        <v>10000000</v>
      </c>
      <c r="C1573" s="9">
        <v>1</v>
      </c>
      <c r="D1573" s="8" t="str">
        <f t="shared" si="290"/>
        <v>N</v>
      </c>
      <c r="E1573" s="8" t="str">
        <f t="shared" si="291"/>
        <v>N</v>
      </c>
      <c r="F1573" s="8" t="str">
        <f t="shared" si="292"/>
        <v>Y</v>
      </c>
      <c r="G1573" s="8" t="str">
        <f t="shared" si="293"/>
        <v>Y</v>
      </c>
      <c r="H1573" s="8" t="str">
        <f t="shared" si="294"/>
        <v>Upper</v>
      </c>
      <c r="I1573" s="8" t="str">
        <f t="shared" si="295"/>
        <v>West Fork and Below Lake</v>
      </c>
      <c r="J1573" s="8" t="str">
        <f t="shared" si="296"/>
        <v>Outside</v>
      </c>
      <c r="K1573" s="8" t="str">
        <f t="shared" si="297"/>
        <v>Riparian</v>
      </c>
      <c r="L1573" s="8">
        <f t="shared" si="298"/>
        <v>1000</v>
      </c>
      <c r="M1573" s="8" t="str">
        <f t="shared" si="300"/>
        <v>-</v>
      </c>
      <c r="N1573" s="10" t="s">
        <v>242</v>
      </c>
      <c r="O1573" s="10" t="s">
        <v>241</v>
      </c>
      <c r="P1573" s="10" t="s">
        <v>242</v>
      </c>
      <c r="Q1573" s="10" t="s">
        <v>242</v>
      </c>
      <c r="R1573" s="10" t="s">
        <v>242</v>
      </c>
      <c r="S1573" s="10" t="s">
        <v>241</v>
      </c>
      <c r="T1573" s="10" t="s">
        <v>242</v>
      </c>
      <c r="U1573" s="10" t="s">
        <v>242</v>
      </c>
      <c r="V1573" s="10" t="s">
        <v>242</v>
      </c>
      <c r="W1573" s="10" t="s">
        <v>242</v>
      </c>
      <c r="X1573" s="15">
        <f>IF(ISERROR(VLOOKUP($A1573,'13. Updated Demand'!A:Z,15,FALSE)),0,VLOOKUP($A1573,'13. Updated Demand'!A:Z,15,FALSE))</f>
        <v>0.46</v>
      </c>
      <c r="Y1573" s="16">
        <f>IF(ISERROR(VLOOKUP($A1573,'13. Updated Demand'!A:Z,16,FALSE)),0,VLOOKUP($A1573,'13. Updated Demand'!A:Z,16,FALSE))</f>
        <v>0.46</v>
      </c>
      <c r="Z1573" s="16">
        <f>IF(ISERROR(VLOOKUP($A1573,'13. Updated Demand'!A:Z,17,FALSE)),0,VLOOKUP($A1573,'13. Updated Demand'!A:Z,17,FALSE))</f>
        <v>0.46</v>
      </c>
      <c r="AA1573" s="16">
        <f>IF(ISERROR(VLOOKUP($A1573,'13. Updated Demand'!A:Z,18,FALSE)),0,VLOOKUP($A1573,'13. Updated Demand'!A:Z,18,FALSE))</f>
        <v>0.43</v>
      </c>
      <c r="AB1573" s="16">
        <f>IF(ISERROR(VLOOKUP($A1573,'13. Updated Demand'!A:Z,19,FALSE)),0,VLOOKUP($A1573,'13. Updated Demand'!A:Z,19,FALSE))</f>
        <v>0.15</v>
      </c>
      <c r="AC1573" s="16">
        <f>IF(ISERROR(VLOOKUP($A1573,'13. Updated Demand'!A:Z,20,FALSE)),0,VLOOKUP($A1573,'13. Updated Demand'!A:Z,20,FALSE))</f>
        <v>0.26</v>
      </c>
      <c r="AD1573" s="16">
        <f>IF(ISERROR(VLOOKUP($A1573,'13. Updated Demand'!A:Z,21,FALSE)),0,VLOOKUP($A1573,'13. Updated Demand'!A:Z,21,FALSE))</f>
        <v>0.26</v>
      </c>
      <c r="AE1573" s="16">
        <f>IF(ISERROR(VLOOKUP($A1573,'13. Updated Demand'!A:Z,22,FALSE)),0,VLOOKUP($A1573,'13. Updated Demand'!A:Z,22,FALSE))</f>
        <v>0.26</v>
      </c>
      <c r="AF1573" s="16">
        <f>IF(ISERROR(VLOOKUP($A1573,'13. Updated Demand'!A:Z,23,FALSE)),0,VLOOKUP($A1573,'13. Updated Demand'!A:Z,23,FALSE))</f>
        <v>0.26</v>
      </c>
      <c r="AG1573" s="16">
        <f>IF(ISERROR(VLOOKUP($A1573,'13. Updated Demand'!A:Z,24,FALSE)),0,VLOOKUP($A1573,'13. Updated Demand'!A:Z,24,FALSE))</f>
        <v>0.26</v>
      </c>
      <c r="AH1573" s="16">
        <f>IF(ISERROR(VLOOKUP($A1573,'13. Updated Demand'!A:Z,25,FALSE)),0,VLOOKUP($A1573,'13. Updated Demand'!A:Z,25,FALSE))</f>
        <v>0.39</v>
      </c>
      <c r="AI1573" s="16">
        <f>IF(ISERROR(VLOOKUP($A1573,'13. Updated Demand'!A:Z,26,FALSE)),0,VLOOKUP($A1573,'13. Updated Demand'!A:Z,26,FALSE))</f>
        <v>0.62</v>
      </c>
      <c r="AJ1573" s="16">
        <f t="shared" si="301"/>
        <v>4.2699999999999987</v>
      </c>
      <c r="AK1573" s="19">
        <v>1.2196992</v>
      </c>
      <c r="AL1573" s="16">
        <f t="shared" si="299"/>
        <v>4.0456033096048609E-3</v>
      </c>
      <c r="AM1573" s="26">
        <v>140.97306818181818</v>
      </c>
      <c r="AN1573" s="19">
        <v>3.0800000000000001E-2</v>
      </c>
      <c r="AO1573" s="19" t="s">
        <v>1758</v>
      </c>
      <c r="AP1573" s="19">
        <v>0</v>
      </c>
      <c r="AQ1573" s="19" t="s">
        <v>307</v>
      </c>
      <c r="AR1573" s="9" t="s">
        <v>317</v>
      </c>
      <c r="AS1573" s="12">
        <v>3.4039024194010059E-4</v>
      </c>
      <c r="AT1573" s="19">
        <v>39.303938479999999</v>
      </c>
      <c r="AU1573" s="19">
        <v>-123.24014969</v>
      </c>
      <c r="AV1573" s="19" t="s">
        <v>573</v>
      </c>
    </row>
    <row r="1574" spans="1:48" x14ac:dyDescent="0.25">
      <c r="A1574" s="18" t="s">
        <v>1967</v>
      </c>
      <c r="B1574" s="10">
        <v>10000000</v>
      </c>
      <c r="C1574" s="9">
        <v>12</v>
      </c>
      <c r="D1574" s="8" t="str">
        <f t="shared" si="290"/>
        <v>N</v>
      </c>
      <c r="E1574" s="8" t="str">
        <f t="shared" si="291"/>
        <v>Y</v>
      </c>
      <c r="F1574" s="8" t="str">
        <f t="shared" si="292"/>
        <v>Y</v>
      </c>
      <c r="G1574" s="8" t="str">
        <f t="shared" si="293"/>
        <v>Y</v>
      </c>
      <c r="H1574" s="8" t="str">
        <f t="shared" si="294"/>
        <v>Upper</v>
      </c>
      <c r="I1574" s="8" t="str">
        <f t="shared" si="295"/>
        <v>West Fork and Below Lake</v>
      </c>
      <c r="J1574" s="8" t="str">
        <f t="shared" si="296"/>
        <v>Sonoma (d/s of Clov. Gage)</v>
      </c>
      <c r="K1574" s="8" t="str">
        <f t="shared" si="297"/>
        <v>Riparian</v>
      </c>
      <c r="L1574" s="8">
        <f t="shared" si="298"/>
        <v>1000</v>
      </c>
      <c r="M1574" s="8" t="str">
        <f t="shared" si="300"/>
        <v>-</v>
      </c>
      <c r="N1574" s="10" t="s">
        <v>241</v>
      </c>
      <c r="O1574" s="10" t="s">
        <v>241</v>
      </c>
      <c r="P1574" s="10" t="s">
        <v>242</v>
      </c>
      <c r="Q1574" s="10" t="s">
        <v>242</v>
      </c>
      <c r="R1574" s="10" t="s">
        <v>242</v>
      </c>
      <c r="S1574" s="10" t="s">
        <v>241</v>
      </c>
      <c r="T1574" s="10" t="s">
        <v>242</v>
      </c>
      <c r="U1574" s="10" t="s">
        <v>242</v>
      </c>
      <c r="V1574" s="10" t="s">
        <v>242</v>
      </c>
      <c r="W1574" s="10" t="s">
        <v>242</v>
      </c>
      <c r="X1574" s="15">
        <f>IF(ISERROR(VLOOKUP($A1574,'13. Updated Demand'!A:Z,15,FALSE)),0,VLOOKUP($A1574,'13. Updated Demand'!A:Z,15,FALSE))</f>
        <v>0.01</v>
      </c>
      <c r="Y1574" s="16">
        <f>IF(ISERROR(VLOOKUP($A1574,'13. Updated Demand'!A:Z,16,FALSE)),0,VLOOKUP($A1574,'13. Updated Demand'!A:Z,16,FALSE))</f>
        <v>0.09</v>
      </c>
      <c r="Z1574" s="16">
        <f>IF(ISERROR(VLOOKUP($A1574,'13. Updated Demand'!A:Z,17,FALSE)),0,VLOOKUP($A1574,'13. Updated Demand'!A:Z,17,FALSE))</f>
        <v>0.39</v>
      </c>
      <c r="AA1574" s="16">
        <f>IF(ISERROR(VLOOKUP($A1574,'13. Updated Demand'!A:Z,18,FALSE)),0,VLOOKUP($A1574,'13. Updated Demand'!A:Z,18,FALSE))</f>
        <v>0.55000000000000004</v>
      </c>
      <c r="AB1574" s="16">
        <f>IF(ISERROR(VLOOKUP($A1574,'13. Updated Demand'!A:Z,19,FALSE)),0,VLOOKUP($A1574,'13. Updated Demand'!A:Z,19,FALSE))</f>
        <v>0.66</v>
      </c>
      <c r="AC1574" s="16">
        <f>IF(ISERROR(VLOOKUP($A1574,'13. Updated Demand'!A:Z,20,FALSE)),0,VLOOKUP($A1574,'13. Updated Demand'!A:Z,20,FALSE))</f>
        <v>1.1399999999999999</v>
      </c>
      <c r="AD1574" s="16">
        <f>IF(ISERROR(VLOOKUP($A1574,'13. Updated Demand'!A:Z,21,FALSE)),0,VLOOKUP($A1574,'13. Updated Demand'!A:Z,21,FALSE))</f>
        <v>1.76</v>
      </c>
      <c r="AE1574" s="16">
        <f>IF(ISERROR(VLOOKUP($A1574,'13. Updated Demand'!A:Z,22,FALSE)),0,VLOOKUP($A1574,'13. Updated Demand'!A:Z,22,FALSE))</f>
        <v>2.56</v>
      </c>
      <c r="AF1574" s="16">
        <f>IF(ISERROR(VLOOKUP($A1574,'13. Updated Demand'!A:Z,23,FALSE)),0,VLOOKUP($A1574,'13. Updated Demand'!A:Z,23,FALSE))</f>
        <v>2.75</v>
      </c>
      <c r="AG1574" s="16">
        <f>IF(ISERROR(VLOOKUP($A1574,'13. Updated Demand'!A:Z,24,FALSE)),0,VLOOKUP($A1574,'13. Updated Demand'!A:Z,24,FALSE))</f>
        <v>0.93</v>
      </c>
      <c r="AH1574" s="16">
        <f>IF(ISERROR(VLOOKUP($A1574,'13. Updated Demand'!A:Z,25,FALSE)),0,VLOOKUP($A1574,'13. Updated Demand'!A:Z,25,FALSE))</f>
        <v>0.54</v>
      </c>
      <c r="AI1574" s="16">
        <f>IF(ISERROR(VLOOKUP($A1574,'13. Updated Demand'!A:Z,26,FALSE)),0,VLOOKUP($A1574,'13. Updated Demand'!A:Z,26,FALSE))</f>
        <v>0.01</v>
      </c>
      <c r="AJ1574" s="16">
        <f t="shared" si="301"/>
        <v>11.389999999999999</v>
      </c>
      <c r="AK1574" s="19">
        <v>8.8933333333333326</v>
      </c>
      <c r="AL1574" s="16">
        <f t="shared" si="299"/>
        <v>2.9498173620801392E-2</v>
      </c>
      <c r="AM1574" s="26">
        <v>0.44720375439968713</v>
      </c>
      <c r="AN1574" s="19">
        <v>25.57</v>
      </c>
      <c r="AO1574" s="19" t="s">
        <v>1758</v>
      </c>
      <c r="AP1574" s="19">
        <v>0</v>
      </c>
      <c r="AQ1574" s="19" t="s">
        <v>307</v>
      </c>
      <c r="AR1574" s="9" t="s">
        <v>311</v>
      </c>
      <c r="AS1574" s="12">
        <v>0</v>
      </c>
      <c r="AT1574" s="19">
        <v>38.622229709999999</v>
      </c>
      <c r="AU1574" s="19">
        <v>-122.785141</v>
      </c>
      <c r="AV1574" s="19" t="s">
        <v>417</v>
      </c>
    </row>
    <row r="1575" spans="1:48" x14ac:dyDescent="0.25">
      <c r="A1575" s="18" t="s">
        <v>1968</v>
      </c>
      <c r="B1575" s="10">
        <v>10000000</v>
      </c>
      <c r="C1575" s="9">
        <v>12</v>
      </c>
      <c r="D1575" s="8" t="str">
        <f t="shared" si="290"/>
        <v>N</v>
      </c>
      <c r="E1575" s="8" t="str">
        <f t="shared" si="291"/>
        <v>Y</v>
      </c>
      <c r="F1575" s="8" t="str">
        <f t="shared" si="292"/>
        <v>Y</v>
      </c>
      <c r="G1575" s="8" t="str">
        <f t="shared" si="293"/>
        <v>Y</v>
      </c>
      <c r="H1575" s="8" t="str">
        <f t="shared" si="294"/>
        <v>Upper</v>
      </c>
      <c r="I1575" s="8" t="str">
        <f t="shared" si="295"/>
        <v>West Fork and Below Lake</v>
      </c>
      <c r="J1575" s="8" t="str">
        <f t="shared" si="296"/>
        <v>Sonoma (d/s of Clov. Gage)</v>
      </c>
      <c r="K1575" s="8" t="str">
        <f t="shared" si="297"/>
        <v>Riparian</v>
      </c>
      <c r="L1575" s="8">
        <f t="shared" si="298"/>
        <v>1000</v>
      </c>
      <c r="M1575" s="8" t="str">
        <f t="shared" si="300"/>
        <v>-</v>
      </c>
      <c r="N1575" s="10" t="s">
        <v>241</v>
      </c>
      <c r="O1575" s="10" t="s">
        <v>241</v>
      </c>
      <c r="P1575" s="10" t="s">
        <v>242</v>
      </c>
      <c r="Q1575" s="10" t="s">
        <v>242</v>
      </c>
      <c r="R1575" s="10" t="s">
        <v>242</v>
      </c>
      <c r="S1575" s="10" t="s">
        <v>241</v>
      </c>
      <c r="T1575" s="10" t="s">
        <v>242</v>
      </c>
      <c r="U1575" s="10" t="s">
        <v>242</v>
      </c>
      <c r="V1575" s="10" t="s">
        <v>242</v>
      </c>
      <c r="W1575" s="10" t="s">
        <v>242</v>
      </c>
      <c r="X1575" s="15">
        <f>IF(ISERROR(VLOOKUP($A1575,'13. Updated Demand'!A:Z,15,FALSE)),0,VLOOKUP($A1575,'13. Updated Demand'!A:Z,15,FALSE))</f>
        <v>0.01</v>
      </c>
      <c r="Y1575" s="16">
        <f>IF(ISERROR(VLOOKUP($A1575,'13. Updated Demand'!A:Z,16,FALSE)),0,VLOOKUP($A1575,'13. Updated Demand'!A:Z,16,FALSE))</f>
        <v>0.18</v>
      </c>
      <c r="Z1575" s="16">
        <f>IF(ISERROR(VLOOKUP($A1575,'13. Updated Demand'!A:Z,17,FALSE)),0,VLOOKUP($A1575,'13. Updated Demand'!A:Z,17,FALSE))</f>
        <v>0.2</v>
      </c>
      <c r="AA1575" s="16">
        <f>IF(ISERROR(VLOOKUP($A1575,'13. Updated Demand'!A:Z,18,FALSE)),0,VLOOKUP($A1575,'13. Updated Demand'!A:Z,18,FALSE))</f>
        <v>0.31</v>
      </c>
      <c r="AB1575" s="16">
        <f>IF(ISERROR(VLOOKUP($A1575,'13. Updated Demand'!A:Z,19,FALSE)),0,VLOOKUP($A1575,'13. Updated Demand'!A:Z,19,FALSE))</f>
        <v>0.36</v>
      </c>
      <c r="AC1575" s="16">
        <f>IF(ISERROR(VLOOKUP($A1575,'13. Updated Demand'!A:Z,20,FALSE)),0,VLOOKUP($A1575,'13. Updated Demand'!A:Z,20,FALSE))</f>
        <v>0.97</v>
      </c>
      <c r="AD1575" s="16">
        <f>IF(ISERROR(VLOOKUP($A1575,'13. Updated Demand'!A:Z,21,FALSE)),0,VLOOKUP($A1575,'13. Updated Demand'!A:Z,21,FALSE))</f>
        <v>2.19</v>
      </c>
      <c r="AE1575" s="16">
        <f>IF(ISERROR(VLOOKUP($A1575,'13. Updated Demand'!A:Z,22,FALSE)),0,VLOOKUP($A1575,'13. Updated Demand'!A:Z,22,FALSE))</f>
        <v>2.83</v>
      </c>
      <c r="AF1575" s="16">
        <f>IF(ISERROR(VLOOKUP($A1575,'13. Updated Demand'!A:Z,23,FALSE)),0,VLOOKUP($A1575,'13. Updated Demand'!A:Z,23,FALSE))</f>
        <v>3.79</v>
      </c>
      <c r="AG1575" s="16">
        <f>IF(ISERROR(VLOOKUP($A1575,'13. Updated Demand'!A:Z,24,FALSE)),0,VLOOKUP($A1575,'13. Updated Demand'!A:Z,24,FALSE))</f>
        <v>1.83</v>
      </c>
      <c r="AH1575" s="16">
        <f>IF(ISERROR(VLOOKUP($A1575,'13. Updated Demand'!A:Z,25,FALSE)),0,VLOOKUP($A1575,'13. Updated Demand'!A:Z,25,FALSE))</f>
        <v>0.43</v>
      </c>
      <c r="AI1575" s="16">
        <f>IF(ISERROR(VLOOKUP($A1575,'13. Updated Demand'!A:Z,26,FALSE)),0,VLOOKUP($A1575,'13. Updated Demand'!A:Z,26,FALSE))</f>
        <v>8.3333333333333297E-3</v>
      </c>
      <c r="AJ1575" s="16">
        <f t="shared" si="301"/>
        <v>13.108333333333333</v>
      </c>
      <c r="AK1575" s="19">
        <v>10.156666666666663</v>
      </c>
      <c r="AL1575" s="16">
        <f t="shared" si="299"/>
        <v>3.3688506380278038E-2</v>
      </c>
      <c r="AM1575" s="26">
        <v>8.1413699209035587E-2</v>
      </c>
      <c r="AN1575" s="19">
        <v>161.5412</v>
      </c>
      <c r="AO1575" s="19" t="s">
        <v>1758</v>
      </c>
      <c r="AP1575" s="19">
        <v>0</v>
      </c>
      <c r="AQ1575" s="19" t="s">
        <v>307</v>
      </c>
      <c r="AR1575" s="9" t="s">
        <v>311</v>
      </c>
      <c r="AS1575" s="12">
        <v>0</v>
      </c>
      <c r="AT1575" s="19">
        <v>38.622229709999999</v>
      </c>
      <c r="AU1575" s="19">
        <v>-122.785141</v>
      </c>
      <c r="AV1575" s="19" t="s">
        <v>387</v>
      </c>
    </row>
    <row r="1576" spans="1:48" x14ac:dyDescent="0.25">
      <c r="A1576" s="18" t="s">
        <v>1969</v>
      </c>
      <c r="B1576" s="10">
        <v>10000000</v>
      </c>
      <c r="C1576" s="9">
        <v>12</v>
      </c>
      <c r="D1576" s="8" t="str">
        <f t="shared" si="290"/>
        <v>N</v>
      </c>
      <c r="E1576" s="8" t="str">
        <f t="shared" si="291"/>
        <v>Y</v>
      </c>
      <c r="F1576" s="8" t="str">
        <f t="shared" si="292"/>
        <v>Y</v>
      </c>
      <c r="G1576" s="8" t="str">
        <f t="shared" si="293"/>
        <v>Y</v>
      </c>
      <c r="H1576" s="8" t="str">
        <f t="shared" si="294"/>
        <v>Upper</v>
      </c>
      <c r="I1576" s="8" t="str">
        <f t="shared" si="295"/>
        <v>West Fork and Below Lake</v>
      </c>
      <c r="J1576" s="8" t="str">
        <f t="shared" si="296"/>
        <v>Sonoma (d/s of Clov. Gage)</v>
      </c>
      <c r="K1576" s="8" t="str">
        <f t="shared" si="297"/>
        <v>Riparian</v>
      </c>
      <c r="L1576" s="8">
        <f t="shared" si="298"/>
        <v>1000</v>
      </c>
      <c r="M1576" s="8" t="str">
        <f t="shared" si="300"/>
        <v>-</v>
      </c>
      <c r="N1576" s="10" t="s">
        <v>242</v>
      </c>
      <c r="O1576" s="10" t="s">
        <v>241</v>
      </c>
      <c r="P1576" s="10" t="s">
        <v>242</v>
      </c>
      <c r="Q1576" s="10" t="s">
        <v>242</v>
      </c>
      <c r="R1576" s="10" t="s">
        <v>242</v>
      </c>
      <c r="S1576" s="10" t="s">
        <v>241</v>
      </c>
      <c r="T1576" s="10" t="s">
        <v>242</v>
      </c>
      <c r="U1576" s="10" t="s">
        <v>242</v>
      </c>
      <c r="V1576" s="10" t="s">
        <v>242</v>
      </c>
      <c r="W1576" s="10" t="s">
        <v>242</v>
      </c>
      <c r="X1576" s="15">
        <f>IF(ISERROR(VLOOKUP($A1576,'13. Updated Demand'!A:Z,15,FALSE)),0,VLOOKUP($A1576,'13. Updated Demand'!A:Z,15,FALSE))</f>
        <v>0</v>
      </c>
      <c r="Y1576" s="16">
        <f>IF(ISERROR(VLOOKUP($A1576,'13. Updated Demand'!A:Z,16,FALSE)),0,VLOOKUP($A1576,'13. Updated Demand'!A:Z,16,FALSE))</f>
        <v>0.02</v>
      </c>
      <c r="Z1576" s="16">
        <f>IF(ISERROR(VLOOKUP($A1576,'13. Updated Demand'!A:Z,17,FALSE)),0,VLOOKUP($A1576,'13. Updated Demand'!A:Z,17,FALSE))</f>
        <v>0.68</v>
      </c>
      <c r="AA1576" s="16">
        <f>IF(ISERROR(VLOOKUP($A1576,'13. Updated Demand'!A:Z,18,FALSE)),0,VLOOKUP($A1576,'13. Updated Demand'!A:Z,18,FALSE))</f>
        <v>0.68</v>
      </c>
      <c r="AB1576" s="16">
        <f>IF(ISERROR(VLOOKUP($A1576,'13. Updated Demand'!A:Z,19,FALSE)),0,VLOOKUP($A1576,'13. Updated Demand'!A:Z,19,FALSE))</f>
        <v>0.02</v>
      </c>
      <c r="AC1576" s="16">
        <f>IF(ISERROR(VLOOKUP($A1576,'13. Updated Demand'!A:Z,20,FALSE)),0,VLOOKUP($A1576,'13. Updated Demand'!A:Z,20,FALSE))</f>
        <v>0.02</v>
      </c>
      <c r="AD1576" s="16">
        <f>IF(ISERROR(VLOOKUP($A1576,'13. Updated Demand'!A:Z,21,FALSE)),0,VLOOKUP($A1576,'13. Updated Demand'!A:Z,21,FALSE))</f>
        <v>0.02</v>
      </c>
      <c r="AE1576" s="16">
        <f>IF(ISERROR(VLOOKUP($A1576,'13. Updated Demand'!A:Z,22,FALSE)),0,VLOOKUP($A1576,'13. Updated Demand'!A:Z,22,FALSE))</f>
        <v>0.02</v>
      </c>
      <c r="AF1576" s="16">
        <f>IF(ISERROR(VLOOKUP($A1576,'13. Updated Demand'!A:Z,23,FALSE)),0,VLOOKUP($A1576,'13. Updated Demand'!A:Z,23,FALSE))</f>
        <v>0.02</v>
      </c>
      <c r="AG1576" s="16">
        <f>IF(ISERROR(VLOOKUP($A1576,'13. Updated Demand'!A:Z,24,FALSE)),0,VLOOKUP($A1576,'13. Updated Demand'!A:Z,24,FALSE))</f>
        <v>0.02</v>
      </c>
      <c r="AH1576" s="16">
        <f>IF(ISERROR(VLOOKUP($A1576,'13. Updated Demand'!A:Z,25,FALSE)),0,VLOOKUP($A1576,'13. Updated Demand'!A:Z,25,FALSE))</f>
        <v>0.02</v>
      </c>
      <c r="AI1576" s="16">
        <f>IF(ISERROR(VLOOKUP($A1576,'13. Updated Demand'!A:Z,26,FALSE)),0,VLOOKUP($A1576,'13. Updated Demand'!A:Z,26,FALSE))</f>
        <v>0</v>
      </c>
      <c r="AJ1576" s="16">
        <f t="shared" si="301"/>
        <v>1.5200000000000002</v>
      </c>
      <c r="AK1576" s="19">
        <v>0.12833333499999999</v>
      </c>
      <c r="AL1576" s="16">
        <f t="shared" si="299"/>
        <v>4.2566705365440044E-4</v>
      </c>
      <c r="AM1576" s="26">
        <v>8.7060556046383242E-2</v>
      </c>
      <c r="AN1576" s="19">
        <v>18.11</v>
      </c>
      <c r="AO1576" s="19" t="s">
        <v>1758</v>
      </c>
      <c r="AP1576" s="19">
        <v>0</v>
      </c>
      <c r="AQ1576" s="19" t="s">
        <v>307</v>
      </c>
      <c r="AR1576" s="9" t="s">
        <v>311</v>
      </c>
      <c r="AS1576" s="12">
        <v>0</v>
      </c>
      <c r="AT1576" s="19">
        <v>38.66980994</v>
      </c>
      <c r="AU1576" s="19">
        <v>-122.79442211</v>
      </c>
      <c r="AV1576" s="19" t="s">
        <v>417</v>
      </c>
    </row>
    <row r="1577" spans="1:48" x14ac:dyDescent="0.25">
      <c r="A1577" s="18" t="s">
        <v>1970</v>
      </c>
      <c r="B1577" s="10">
        <v>10000000</v>
      </c>
      <c r="C1577" s="9">
        <v>4</v>
      </c>
      <c r="D1577" s="8" t="str">
        <f t="shared" si="290"/>
        <v>Y</v>
      </c>
      <c r="E1577" s="8" t="str">
        <f t="shared" si="291"/>
        <v>N</v>
      </c>
      <c r="F1577" s="8" t="str">
        <f t="shared" si="292"/>
        <v>Y</v>
      </c>
      <c r="G1577" s="8" t="str">
        <f t="shared" si="293"/>
        <v>Y</v>
      </c>
      <c r="H1577" s="8" t="str">
        <f t="shared" si="294"/>
        <v>Upper</v>
      </c>
      <c r="I1577" s="8" t="str">
        <f t="shared" si="295"/>
        <v>West Fork and Below Lake</v>
      </c>
      <c r="J1577" s="8" t="str">
        <f t="shared" si="296"/>
        <v>Mendocino (d/s of lake)</v>
      </c>
      <c r="K1577" s="8" t="str">
        <f t="shared" si="297"/>
        <v>Riparian</v>
      </c>
      <c r="L1577" s="8">
        <f t="shared" si="298"/>
        <v>1000</v>
      </c>
      <c r="M1577" s="8" t="str">
        <f t="shared" si="300"/>
        <v>-</v>
      </c>
      <c r="N1577" s="10" t="s">
        <v>242</v>
      </c>
      <c r="O1577" s="10" t="s">
        <v>241</v>
      </c>
      <c r="P1577" s="10" t="s">
        <v>242</v>
      </c>
      <c r="Q1577" s="10" t="s">
        <v>242</v>
      </c>
      <c r="R1577" s="10" t="s">
        <v>242</v>
      </c>
      <c r="S1577" s="10" t="s">
        <v>241</v>
      </c>
      <c r="T1577" s="10" t="s">
        <v>242</v>
      </c>
      <c r="U1577" s="10" t="s">
        <v>241</v>
      </c>
      <c r="V1577" s="10" t="s">
        <v>241</v>
      </c>
      <c r="W1577" s="10" t="s">
        <v>242</v>
      </c>
      <c r="X1577" s="15">
        <f>IF(ISERROR(VLOOKUP($A1577,'13. Updated Demand'!A:Z,15,FALSE)),0,VLOOKUP($A1577,'13. Updated Demand'!A:Z,15,FALSE))</f>
        <v>0</v>
      </c>
      <c r="Y1577" s="16">
        <f>IF(ISERROR(VLOOKUP($A1577,'13. Updated Demand'!A:Z,16,FALSE)),0,VLOOKUP($A1577,'13. Updated Demand'!A:Z,16,FALSE))</f>
        <v>0</v>
      </c>
      <c r="Z1577" s="16">
        <f>IF(ISERROR(VLOOKUP($A1577,'13. Updated Demand'!A:Z,17,FALSE)),0,VLOOKUP($A1577,'13. Updated Demand'!A:Z,17,FALSE))</f>
        <v>0</v>
      </c>
      <c r="AA1577" s="16">
        <f>IF(ISERROR(VLOOKUP($A1577,'13. Updated Demand'!A:Z,18,FALSE)),0,VLOOKUP($A1577,'13. Updated Demand'!A:Z,18,FALSE))</f>
        <v>0</v>
      </c>
      <c r="AB1577" s="16">
        <f>IF(ISERROR(VLOOKUP($A1577,'13. Updated Demand'!A:Z,19,FALSE)),0,VLOOKUP($A1577,'13. Updated Demand'!A:Z,19,FALSE))</f>
        <v>0</v>
      </c>
      <c r="AC1577" s="16">
        <f>IF(ISERROR(VLOOKUP($A1577,'13. Updated Demand'!A:Z,20,FALSE)),0,VLOOKUP($A1577,'13. Updated Demand'!A:Z,20,FALSE))</f>
        <v>0</v>
      </c>
      <c r="AD1577" s="16">
        <f>IF(ISERROR(VLOOKUP($A1577,'13. Updated Demand'!A:Z,21,FALSE)),0,VLOOKUP($A1577,'13. Updated Demand'!A:Z,21,FALSE))</f>
        <v>0</v>
      </c>
      <c r="AE1577" s="16">
        <f>IF(ISERROR(VLOOKUP($A1577,'13. Updated Demand'!A:Z,22,FALSE)),0,VLOOKUP($A1577,'13. Updated Demand'!A:Z,22,FALSE))</f>
        <v>0</v>
      </c>
      <c r="AF1577" s="16">
        <f>IF(ISERROR(VLOOKUP($A1577,'13. Updated Demand'!A:Z,23,FALSE)),0,VLOOKUP($A1577,'13. Updated Demand'!A:Z,23,FALSE))</f>
        <v>0</v>
      </c>
      <c r="AG1577" s="16">
        <f>IF(ISERROR(VLOOKUP($A1577,'13. Updated Demand'!A:Z,24,FALSE)),0,VLOOKUP($A1577,'13. Updated Demand'!A:Z,24,FALSE))</f>
        <v>0</v>
      </c>
      <c r="AH1577" s="16">
        <f>IF(ISERROR(VLOOKUP($A1577,'13. Updated Demand'!A:Z,25,FALSE)),0,VLOOKUP($A1577,'13. Updated Demand'!A:Z,25,FALSE))</f>
        <v>0</v>
      </c>
      <c r="AI1577" s="16">
        <f>IF(ISERROR(VLOOKUP($A1577,'13. Updated Demand'!A:Z,26,FALSE)),0,VLOOKUP($A1577,'13. Updated Demand'!A:Z,26,FALSE))</f>
        <v>0</v>
      </c>
      <c r="AJ1577" s="16">
        <f t="shared" si="301"/>
        <v>0</v>
      </c>
      <c r="AK1577" s="19">
        <v>0</v>
      </c>
      <c r="AL1577" s="16">
        <f t="shared" si="299"/>
        <v>0</v>
      </c>
      <c r="AM1577" s="26">
        <v>0</v>
      </c>
      <c r="AN1577" s="19">
        <v>1.5</v>
      </c>
      <c r="AO1577" s="19" t="s">
        <v>1758</v>
      </c>
      <c r="AP1577" s="19">
        <v>0</v>
      </c>
      <c r="AQ1577" s="19" t="s">
        <v>307</v>
      </c>
      <c r="AR1577" s="9" t="s">
        <v>331</v>
      </c>
      <c r="AS1577" s="12">
        <v>0</v>
      </c>
      <c r="AT1577" s="19">
        <v>39.169474100000002</v>
      </c>
      <c r="AU1577" s="19">
        <v>-123.10868342000001</v>
      </c>
      <c r="AV1577" s="19" t="s">
        <v>417</v>
      </c>
    </row>
    <row r="1578" spans="1:48" x14ac:dyDescent="0.25">
      <c r="A1578" s="18" t="s">
        <v>1971</v>
      </c>
      <c r="B1578" s="10">
        <v>10000000</v>
      </c>
      <c r="C1578" s="9">
        <v>4</v>
      </c>
      <c r="D1578" s="8" t="str">
        <f t="shared" si="290"/>
        <v>Y</v>
      </c>
      <c r="E1578" s="8" t="str">
        <f t="shared" si="291"/>
        <v>N</v>
      </c>
      <c r="F1578" s="8" t="str">
        <f t="shared" si="292"/>
        <v>Y</v>
      </c>
      <c r="G1578" s="8" t="str">
        <f t="shared" si="293"/>
        <v>Y</v>
      </c>
      <c r="H1578" s="8" t="str">
        <f t="shared" si="294"/>
        <v>Upper</v>
      </c>
      <c r="I1578" s="8" t="str">
        <f t="shared" si="295"/>
        <v>West Fork and Below Lake</v>
      </c>
      <c r="J1578" s="8" t="str">
        <f t="shared" si="296"/>
        <v>Mendocino (d/s of lake)</v>
      </c>
      <c r="K1578" s="8" t="str">
        <f t="shared" si="297"/>
        <v>Riparian</v>
      </c>
      <c r="L1578" s="8">
        <f t="shared" si="298"/>
        <v>1000</v>
      </c>
      <c r="M1578" s="8" t="str">
        <f t="shared" si="300"/>
        <v>-</v>
      </c>
      <c r="N1578" s="10" t="s">
        <v>242</v>
      </c>
      <c r="O1578" s="10" t="s">
        <v>241</v>
      </c>
      <c r="P1578" s="10" t="s">
        <v>242</v>
      </c>
      <c r="Q1578" s="10" t="s">
        <v>242</v>
      </c>
      <c r="R1578" s="10" t="s">
        <v>242</v>
      </c>
      <c r="S1578" s="10" t="s">
        <v>241</v>
      </c>
      <c r="T1578" s="10" t="s">
        <v>242</v>
      </c>
      <c r="U1578" s="10" t="s">
        <v>242</v>
      </c>
      <c r="V1578" s="10" t="s">
        <v>241</v>
      </c>
      <c r="W1578" s="10" t="s">
        <v>242</v>
      </c>
      <c r="X1578" s="15">
        <f>IF(ISERROR(VLOOKUP($A1578,'13. Updated Demand'!A:Z,15,FALSE)),0,VLOOKUP($A1578,'13. Updated Demand'!A:Z,15,FALSE))</f>
        <v>0.75</v>
      </c>
      <c r="Y1578" s="16">
        <f>IF(ISERROR(VLOOKUP($A1578,'13. Updated Demand'!A:Z,16,FALSE)),0,VLOOKUP($A1578,'13. Updated Demand'!A:Z,16,FALSE))</f>
        <v>0</v>
      </c>
      <c r="Z1578" s="16">
        <f>IF(ISERROR(VLOOKUP($A1578,'13. Updated Demand'!A:Z,17,FALSE)),0,VLOOKUP($A1578,'13. Updated Demand'!A:Z,17,FALSE))</f>
        <v>0</v>
      </c>
      <c r="AA1578" s="16">
        <f>IF(ISERROR(VLOOKUP($A1578,'13. Updated Demand'!A:Z,18,FALSE)),0,VLOOKUP($A1578,'13. Updated Demand'!A:Z,18,FALSE))</f>
        <v>0</v>
      </c>
      <c r="AB1578" s="16">
        <f>IF(ISERROR(VLOOKUP($A1578,'13. Updated Demand'!A:Z,19,FALSE)),0,VLOOKUP($A1578,'13. Updated Demand'!A:Z,19,FALSE))</f>
        <v>0</v>
      </c>
      <c r="AC1578" s="16">
        <f>IF(ISERROR(VLOOKUP($A1578,'13. Updated Demand'!A:Z,20,FALSE)),0,VLOOKUP($A1578,'13. Updated Demand'!A:Z,20,FALSE))</f>
        <v>0</v>
      </c>
      <c r="AD1578" s="16">
        <f>IF(ISERROR(VLOOKUP($A1578,'13. Updated Demand'!A:Z,21,FALSE)),0,VLOOKUP($A1578,'13. Updated Demand'!A:Z,21,FALSE))</f>
        <v>0</v>
      </c>
      <c r="AE1578" s="16">
        <f>IF(ISERROR(VLOOKUP($A1578,'13. Updated Demand'!A:Z,22,FALSE)),0,VLOOKUP($A1578,'13. Updated Demand'!A:Z,22,FALSE))</f>
        <v>0</v>
      </c>
      <c r="AF1578" s="16">
        <f>IF(ISERROR(VLOOKUP($A1578,'13. Updated Demand'!A:Z,23,FALSE)),0,VLOOKUP($A1578,'13. Updated Demand'!A:Z,23,FALSE))</f>
        <v>0</v>
      </c>
      <c r="AG1578" s="16">
        <f>IF(ISERROR(VLOOKUP($A1578,'13. Updated Demand'!A:Z,24,FALSE)),0,VLOOKUP($A1578,'13. Updated Demand'!A:Z,24,FALSE))</f>
        <v>0</v>
      </c>
      <c r="AH1578" s="16">
        <f>IF(ISERROR(VLOOKUP($A1578,'13. Updated Demand'!A:Z,25,FALSE)),0,VLOOKUP($A1578,'13. Updated Demand'!A:Z,25,FALSE))</f>
        <v>0</v>
      </c>
      <c r="AI1578" s="16">
        <f>IF(ISERROR(VLOOKUP($A1578,'13. Updated Demand'!A:Z,26,FALSE)),0,VLOOKUP($A1578,'13. Updated Demand'!A:Z,26,FALSE))</f>
        <v>0</v>
      </c>
      <c r="AJ1578" s="16">
        <f t="shared" si="301"/>
        <v>0.75</v>
      </c>
      <c r="AK1578" s="19">
        <v>0</v>
      </c>
      <c r="AL1578" s="16">
        <f t="shared" si="299"/>
        <v>0</v>
      </c>
      <c r="AM1578" s="26">
        <v>0.5</v>
      </c>
      <c r="AN1578" s="19">
        <v>1.5</v>
      </c>
      <c r="AO1578" s="19" t="s">
        <v>1758</v>
      </c>
      <c r="AP1578" s="19">
        <v>0</v>
      </c>
      <c r="AQ1578" s="19" t="s">
        <v>307</v>
      </c>
      <c r="AR1578" s="9" t="s">
        <v>331</v>
      </c>
      <c r="AS1578" s="12">
        <v>0</v>
      </c>
      <c r="AT1578" s="19">
        <v>39.169949379999998</v>
      </c>
      <c r="AU1578" s="19">
        <v>-123.11645158</v>
      </c>
      <c r="AV1578" s="19" t="s">
        <v>417</v>
      </c>
    </row>
    <row r="1579" spans="1:48" x14ac:dyDescent="0.25">
      <c r="A1579" s="18" t="s">
        <v>1972</v>
      </c>
      <c r="B1579" s="10">
        <v>10000000</v>
      </c>
      <c r="C1579" s="9">
        <v>4</v>
      </c>
      <c r="D1579" s="8" t="str">
        <f t="shared" si="290"/>
        <v>Y</v>
      </c>
      <c r="E1579" s="8" t="str">
        <f t="shared" si="291"/>
        <v>N</v>
      </c>
      <c r="F1579" s="8" t="str">
        <f t="shared" si="292"/>
        <v>Y</v>
      </c>
      <c r="G1579" s="8" t="str">
        <f t="shared" si="293"/>
        <v>Y</v>
      </c>
      <c r="H1579" s="8" t="str">
        <f t="shared" si="294"/>
        <v>Upper</v>
      </c>
      <c r="I1579" s="8" t="str">
        <f t="shared" si="295"/>
        <v>West Fork and Below Lake</v>
      </c>
      <c r="J1579" s="8" t="str">
        <f t="shared" si="296"/>
        <v>Mendocino (d/s of lake)</v>
      </c>
      <c r="K1579" s="8" t="str">
        <f t="shared" si="297"/>
        <v>Riparian</v>
      </c>
      <c r="L1579" s="8">
        <f t="shared" si="298"/>
        <v>1000</v>
      </c>
      <c r="M1579" s="8" t="str">
        <f t="shared" si="300"/>
        <v>-</v>
      </c>
      <c r="N1579" s="10" t="s">
        <v>242</v>
      </c>
      <c r="O1579" s="10" t="s">
        <v>241</v>
      </c>
      <c r="P1579" s="10" t="s">
        <v>242</v>
      </c>
      <c r="Q1579" s="10" t="s">
        <v>242</v>
      </c>
      <c r="R1579" s="10" t="s">
        <v>242</v>
      </c>
      <c r="S1579" s="10" t="s">
        <v>241</v>
      </c>
      <c r="T1579" s="10" t="s">
        <v>242</v>
      </c>
      <c r="U1579" s="10" t="s">
        <v>242</v>
      </c>
      <c r="V1579" s="10" t="s">
        <v>241</v>
      </c>
      <c r="W1579" s="10" t="s">
        <v>242</v>
      </c>
      <c r="X1579" s="15">
        <f>IF(ISERROR(VLOOKUP($A1579,'13. Updated Demand'!A:Z,15,FALSE)),0,VLOOKUP($A1579,'13. Updated Demand'!A:Z,15,FALSE))</f>
        <v>0.5</v>
      </c>
      <c r="Y1579" s="16">
        <f>IF(ISERROR(VLOOKUP($A1579,'13. Updated Demand'!A:Z,16,FALSE)),0,VLOOKUP($A1579,'13. Updated Demand'!A:Z,16,FALSE))</f>
        <v>0.5</v>
      </c>
      <c r="Z1579" s="16">
        <f>IF(ISERROR(VLOOKUP($A1579,'13. Updated Demand'!A:Z,17,FALSE)),0,VLOOKUP($A1579,'13. Updated Demand'!A:Z,17,FALSE))</f>
        <v>0.5</v>
      </c>
      <c r="AA1579" s="16">
        <f>IF(ISERROR(VLOOKUP($A1579,'13. Updated Demand'!A:Z,18,FALSE)),0,VLOOKUP($A1579,'13. Updated Demand'!A:Z,18,FALSE))</f>
        <v>0.5</v>
      </c>
      <c r="AB1579" s="16">
        <f>IF(ISERROR(VLOOKUP($A1579,'13. Updated Demand'!A:Z,19,FALSE)),0,VLOOKUP($A1579,'13. Updated Demand'!A:Z,19,FALSE))</f>
        <v>0</v>
      </c>
      <c r="AC1579" s="16">
        <f>IF(ISERROR(VLOOKUP($A1579,'13. Updated Demand'!A:Z,20,FALSE)),0,VLOOKUP($A1579,'13. Updated Demand'!A:Z,20,FALSE))</f>
        <v>0</v>
      </c>
      <c r="AD1579" s="16">
        <f>IF(ISERROR(VLOOKUP($A1579,'13. Updated Demand'!A:Z,21,FALSE)),0,VLOOKUP($A1579,'13. Updated Demand'!A:Z,21,FALSE))</f>
        <v>0</v>
      </c>
      <c r="AE1579" s="16">
        <f>IF(ISERROR(VLOOKUP($A1579,'13. Updated Demand'!A:Z,22,FALSE)),0,VLOOKUP($A1579,'13. Updated Demand'!A:Z,22,FALSE))</f>
        <v>0</v>
      </c>
      <c r="AF1579" s="16">
        <f>IF(ISERROR(VLOOKUP($A1579,'13. Updated Demand'!A:Z,23,FALSE)),0,VLOOKUP($A1579,'13. Updated Demand'!A:Z,23,FALSE))</f>
        <v>0</v>
      </c>
      <c r="AG1579" s="16">
        <f>IF(ISERROR(VLOOKUP($A1579,'13. Updated Demand'!A:Z,24,FALSE)),0,VLOOKUP($A1579,'13. Updated Demand'!A:Z,24,FALSE))</f>
        <v>0</v>
      </c>
      <c r="AH1579" s="16">
        <f>IF(ISERROR(VLOOKUP($A1579,'13. Updated Demand'!A:Z,25,FALSE)),0,VLOOKUP($A1579,'13. Updated Demand'!A:Z,25,FALSE))</f>
        <v>0</v>
      </c>
      <c r="AI1579" s="16">
        <f>IF(ISERROR(VLOOKUP($A1579,'13. Updated Demand'!A:Z,26,FALSE)),0,VLOOKUP($A1579,'13. Updated Demand'!A:Z,26,FALSE))</f>
        <v>0</v>
      </c>
      <c r="AJ1579" s="16">
        <f t="shared" si="301"/>
        <v>2</v>
      </c>
      <c r="AK1579" s="19">
        <v>0</v>
      </c>
      <c r="AL1579" s="16">
        <f t="shared" si="299"/>
        <v>0</v>
      </c>
      <c r="AM1579" s="26">
        <v>0.5</v>
      </c>
      <c r="AN1579" s="19">
        <v>4</v>
      </c>
      <c r="AO1579" s="19" t="s">
        <v>1758</v>
      </c>
      <c r="AP1579" s="19">
        <v>0</v>
      </c>
      <c r="AQ1579" s="19" t="s">
        <v>307</v>
      </c>
      <c r="AR1579" s="9" t="s">
        <v>331</v>
      </c>
      <c r="AS1579" s="12">
        <v>0</v>
      </c>
      <c r="AT1579" s="19">
        <v>39.131613029999997</v>
      </c>
      <c r="AU1579" s="19">
        <v>-123.10527044</v>
      </c>
      <c r="AV1579" s="19" t="s">
        <v>1973</v>
      </c>
    </row>
    <row r="1580" spans="1:48" x14ac:dyDescent="0.25">
      <c r="A1580" s="18" t="s">
        <v>1974</v>
      </c>
      <c r="B1580" s="10">
        <v>10000000</v>
      </c>
      <c r="C1580" s="9">
        <v>4</v>
      </c>
      <c r="D1580" s="8" t="str">
        <f t="shared" si="290"/>
        <v>Y</v>
      </c>
      <c r="E1580" s="8" t="str">
        <f t="shared" si="291"/>
        <v>N</v>
      </c>
      <c r="F1580" s="8" t="str">
        <f t="shared" si="292"/>
        <v>Y</v>
      </c>
      <c r="G1580" s="8" t="str">
        <f t="shared" si="293"/>
        <v>Y</v>
      </c>
      <c r="H1580" s="8" t="str">
        <f t="shared" si="294"/>
        <v>Upper</v>
      </c>
      <c r="I1580" s="8" t="str">
        <f t="shared" si="295"/>
        <v>West Fork and Below Lake</v>
      </c>
      <c r="J1580" s="8" t="str">
        <f t="shared" si="296"/>
        <v>Mendocino (d/s of lake)</v>
      </c>
      <c r="K1580" s="8" t="str">
        <f t="shared" si="297"/>
        <v>Riparian</v>
      </c>
      <c r="L1580" s="8">
        <f t="shared" si="298"/>
        <v>1000</v>
      </c>
      <c r="M1580" s="8" t="str">
        <f t="shared" si="300"/>
        <v>-</v>
      </c>
      <c r="N1580" s="10" t="s">
        <v>242</v>
      </c>
      <c r="O1580" s="10" t="s">
        <v>241</v>
      </c>
      <c r="P1580" s="10" t="s">
        <v>242</v>
      </c>
      <c r="Q1580" s="10" t="s">
        <v>242</v>
      </c>
      <c r="R1580" s="10" t="s">
        <v>242</v>
      </c>
      <c r="S1580" s="10" t="s">
        <v>241</v>
      </c>
      <c r="T1580" s="10" t="s">
        <v>242</v>
      </c>
      <c r="U1580" s="10" t="s">
        <v>242</v>
      </c>
      <c r="V1580" s="10" t="s">
        <v>242</v>
      </c>
      <c r="W1580" s="10" t="s">
        <v>242</v>
      </c>
      <c r="X1580" s="15">
        <f>IF(ISERROR(VLOOKUP($A1580,'13. Updated Demand'!A:Z,15,FALSE)),0,VLOOKUP($A1580,'13. Updated Demand'!A:Z,15,FALSE))</f>
        <v>0.5</v>
      </c>
      <c r="Y1580" s="16">
        <f>IF(ISERROR(VLOOKUP($A1580,'13. Updated Demand'!A:Z,16,FALSE)),0,VLOOKUP($A1580,'13. Updated Demand'!A:Z,16,FALSE))</f>
        <v>0.5</v>
      </c>
      <c r="Z1580" s="16">
        <f>IF(ISERROR(VLOOKUP($A1580,'13. Updated Demand'!A:Z,17,FALSE)),0,VLOOKUP($A1580,'13. Updated Demand'!A:Z,17,FALSE))</f>
        <v>0.5</v>
      </c>
      <c r="AA1580" s="16">
        <f>IF(ISERROR(VLOOKUP($A1580,'13. Updated Demand'!A:Z,18,FALSE)),0,VLOOKUP($A1580,'13. Updated Demand'!A:Z,18,FALSE))</f>
        <v>0.5</v>
      </c>
      <c r="AB1580" s="16">
        <f>IF(ISERROR(VLOOKUP($A1580,'13. Updated Demand'!A:Z,19,FALSE)),0,VLOOKUP($A1580,'13. Updated Demand'!A:Z,19,FALSE))</f>
        <v>0.5</v>
      </c>
      <c r="AC1580" s="16">
        <f>IF(ISERROR(VLOOKUP($A1580,'13. Updated Demand'!A:Z,20,FALSE)),0,VLOOKUP($A1580,'13. Updated Demand'!A:Z,20,FALSE))</f>
        <v>0</v>
      </c>
      <c r="AD1580" s="16">
        <f>IF(ISERROR(VLOOKUP($A1580,'13. Updated Demand'!A:Z,21,FALSE)),0,VLOOKUP($A1580,'13. Updated Demand'!A:Z,21,FALSE))</f>
        <v>0</v>
      </c>
      <c r="AE1580" s="16">
        <f>IF(ISERROR(VLOOKUP($A1580,'13. Updated Demand'!A:Z,22,FALSE)),0,VLOOKUP($A1580,'13. Updated Demand'!A:Z,22,FALSE))</f>
        <v>0</v>
      </c>
      <c r="AF1580" s="16">
        <f>IF(ISERROR(VLOOKUP($A1580,'13. Updated Demand'!A:Z,23,FALSE)),0,VLOOKUP($A1580,'13. Updated Demand'!A:Z,23,FALSE))</f>
        <v>0</v>
      </c>
      <c r="AG1580" s="16">
        <f>IF(ISERROR(VLOOKUP($A1580,'13. Updated Demand'!A:Z,24,FALSE)),0,VLOOKUP($A1580,'13. Updated Demand'!A:Z,24,FALSE))</f>
        <v>0</v>
      </c>
      <c r="AH1580" s="16">
        <f>IF(ISERROR(VLOOKUP($A1580,'13. Updated Demand'!A:Z,25,FALSE)),0,VLOOKUP($A1580,'13. Updated Demand'!A:Z,25,FALSE))</f>
        <v>0</v>
      </c>
      <c r="AI1580" s="16">
        <f>IF(ISERROR(VLOOKUP($A1580,'13. Updated Demand'!A:Z,26,FALSE)),0,VLOOKUP($A1580,'13. Updated Demand'!A:Z,26,FALSE))</f>
        <v>0</v>
      </c>
      <c r="AJ1580" s="16">
        <f t="shared" si="301"/>
        <v>2.5</v>
      </c>
      <c r="AK1580" s="19">
        <v>0.5</v>
      </c>
      <c r="AL1580" s="16">
        <f t="shared" si="299"/>
        <v>1.6584430446477544E-3</v>
      </c>
      <c r="AM1580" s="26">
        <v>0.41666666666666669</v>
      </c>
      <c r="AN1580" s="19">
        <v>6</v>
      </c>
      <c r="AO1580" s="19" t="s">
        <v>1758</v>
      </c>
      <c r="AP1580" s="19">
        <v>0</v>
      </c>
      <c r="AQ1580" s="19" t="s">
        <v>307</v>
      </c>
      <c r="AR1580" s="9" t="s">
        <v>331</v>
      </c>
      <c r="AS1580" s="12">
        <v>0</v>
      </c>
      <c r="AT1580" s="19">
        <v>39.137957739999997</v>
      </c>
      <c r="AU1580" s="19">
        <v>-123.11665263</v>
      </c>
      <c r="AV1580" s="19" t="s">
        <v>417</v>
      </c>
    </row>
    <row r="1581" spans="1:48" x14ac:dyDescent="0.25">
      <c r="A1581" s="18" t="s">
        <v>1975</v>
      </c>
      <c r="B1581" s="10">
        <v>10000000</v>
      </c>
      <c r="C1581" s="9">
        <v>4</v>
      </c>
      <c r="D1581" s="8" t="str">
        <f t="shared" si="290"/>
        <v>Y</v>
      </c>
      <c r="E1581" s="8" t="str">
        <f t="shared" si="291"/>
        <v>N</v>
      </c>
      <c r="F1581" s="8" t="str">
        <f t="shared" si="292"/>
        <v>Y</v>
      </c>
      <c r="G1581" s="8" t="str">
        <f t="shared" si="293"/>
        <v>Y</v>
      </c>
      <c r="H1581" s="8" t="str">
        <f t="shared" si="294"/>
        <v>Upper</v>
      </c>
      <c r="I1581" s="8" t="str">
        <f t="shared" si="295"/>
        <v>West Fork and Below Lake</v>
      </c>
      <c r="J1581" s="8" t="str">
        <f t="shared" si="296"/>
        <v>Mendocino (d/s of lake)</v>
      </c>
      <c r="K1581" s="8" t="str">
        <f t="shared" si="297"/>
        <v>Riparian</v>
      </c>
      <c r="L1581" s="8">
        <f t="shared" si="298"/>
        <v>1000</v>
      </c>
      <c r="M1581" s="8" t="str">
        <f t="shared" si="300"/>
        <v>-</v>
      </c>
      <c r="N1581" s="10" t="s">
        <v>242</v>
      </c>
      <c r="O1581" s="10" t="s">
        <v>241</v>
      </c>
      <c r="P1581" s="10" t="s">
        <v>242</v>
      </c>
      <c r="Q1581" s="10" t="s">
        <v>242</v>
      </c>
      <c r="R1581" s="10" t="s">
        <v>242</v>
      </c>
      <c r="S1581" s="10" t="s">
        <v>241</v>
      </c>
      <c r="T1581" s="10" t="s">
        <v>242</v>
      </c>
      <c r="U1581" s="10" t="s">
        <v>242</v>
      </c>
      <c r="V1581" s="10" t="s">
        <v>241</v>
      </c>
      <c r="W1581" s="10" t="s">
        <v>242</v>
      </c>
      <c r="X1581" s="15">
        <f>IF(ISERROR(VLOOKUP($A1581,'13. Updated Demand'!A:Z,15,FALSE)),0,VLOOKUP($A1581,'13. Updated Demand'!A:Z,15,FALSE))</f>
        <v>0.75</v>
      </c>
      <c r="Y1581" s="16">
        <f>IF(ISERROR(VLOOKUP($A1581,'13. Updated Demand'!A:Z,16,FALSE)),0,VLOOKUP($A1581,'13. Updated Demand'!A:Z,16,FALSE))</f>
        <v>0</v>
      </c>
      <c r="Z1581" s="16">
        <f>IF(ISERROR(VLOOKUP($A1581,'13. Updated Demand'!A:Z,17,FALSE)),0,VLOOKUP($A1581,'13. Updated Demand'!A:Z,17,FALSE))</f>
        <v>0</v>
      </c>
      <c r="AA1581" s="16">
        <f>IF(ISERROR(VLOOKUP($A1581,'13. Updated Demand'!A:Z,18,FALSE)),0,VLOOKUP($A1581,'13. Updated Demand'!A:Z,18,FALSE))</f>
        <v>0</v>
      </c>
      <c r="AB1581" s="16">
        <f>IF(ISERROR(VLOOKUP($A1581,'13. Updated Demand'!A:Z,19,FALSE)),0,VLOOKUP($A1581,'13. Updated Demand'!A:Z,19,FALSE))</f>
        <v>0</v>
      </c>
      <c r="AC1581" s="16">
        <f>IF(ISERROR(VLOOKUP($A1581,'13. Updated Demand'!A:Z,20,FALSE)),0,VLOOKUP($A1581,'13. Updated Demand'!A:Z,20,FALSE))</f>
        <v>0</v>
      </c>
      <c r="AD1581" s="16">
        <f>IF(ISERROR(VLOOKUP($A1581,'13. Updated Demand'!A:Z,21,FALSE)),0,VLOOKUP($A1581,'13. Updated Demand'!A:Z,21,FALSE))</f>
        <v>0</v>
      </c>
      <c r="AE1581" s="16">
        <f>IF(ISERROR(VLOOKUP($A1581,'13. Updated Demand'!A:Z,22,FALSE)),0,VLOOKUP($A1581,'13. Updated Demand'!A:Z,22,FALSE))</f>
        <v>0</v>
      </c>
      <c r="AF1581" s="16">
        <f>IF(ISERROR(VLOOKUP($A1581,'13. Updated Demand'!A:Z,23,FALSE)),0,VLOOKUP($A1581,'13. Updated Demand'!A:Z,23,FALSE))</f>
        <v>0</v>
      </c>
      <c r="AG1581" s="16">
        <f>IF(ISERROR(VLOOKUP($A1581,'13. Updated Demand'!A:Z,24,FALSE)),0,VLOOKUP($A1581,'13. Updated Demand'!A:Z,24,FALSE))</f>
        <v>0</v>
      </c>
      <c r="AH1581" s="16">
        <f>IF(ISERROR(VLOOKUP($A1581,'13. Updated Demand'!A:Z,25,FALSE)),0,VLOOKUP($A1581,'13. Updated Demand'!A:Z,25,FALSE))</f>
        <v>0</v>
      </c>
      <c r="AI1581" s="16">
        <f>IF(ISERROR(VLOOKUP($A1581,'13. Updated Demand'!A:Z,26,FALSE)),0,VLOOKUP($A1581,'13. Updated Demand'!A:Z,26,FALSE))</f>
        <v>0</v>
      </c>
      <c r="AJ1581" s="16">
        <f t="shared" si="301"/>
        <v>0.75</v>
      </c>
      <c r="AK1581" s="19">
        <v>0</v>
      </c>
      <c r="AL1581" s="16">
        <f t="shared" si="299"/>
        <v>0</v>
      </c>
      <c r="AM1581" s="26">
        <v>0.5</v>
      </c>
      <c r="AN1581" s="19">
        <v>1.5</v>
      </c>
      <c r="AO1581" s="19" t="s">
        <v>1758</v>
      </c>
      <c r="AP1581" s="19">
        <v>0</v>
      </c>
      <c r="AQ1581" s="19" t="s">
        <v>307</v>
      </c>
      <c r="AR1581" s="9" t="s">
        <v>331</v>
      </c>
      <c r="AS1581" s="12">
        <v>0</v>
      </c>
      <c r="AT1581" s="19">
        <v>39.169578450000003</v>
      </c>
      <c r="AU1581" s="19">
        <v>-123.12649934</v>
      </c>
      <c r="AV1581" s="19" t="s">
        <v>417</v>
      </c>
    </row>
    <row r="1582" spans="1:48" x14ac:dyDescent="0.25">
      <c r="A1582" s="18" t="s">
        <v>1976</v>
      </c>
      <c r="B1582" s="10">
        <v>10000000</v>
      </c>
      <c r="C1582" s="9">
        <v>12</v>
      </c>
      <c r="D1582" s="8" t="str">
        <f t="shared" si="290"/>
        <v>N</v>
      </c>
      <c r="E1582" s="8" t="str">
        <f t="shared" si="291"/>
        <v>Y</v>
      </c>
      <c r="F1582" s="8" t="str">
        <f t="shared" si="292"/>
        <v>Y</v>
      </c>
      <c r="G1582" s="8" t="str">
        <f t="shared" si="293"/>
        <v>Y</v>
      </c>
      <c r="H1582" s="8" t="str">
        <f t="shared" si="294"/>
        <v>Upper</v>
      </c>
      <c r="I1582" s="8" t="str">
        <f t="shared" si="295"/>
        <v>West Fork and Below Lake</v>
      </c>
      <c r="J1582" s="8" t="str">
        <f t="shared" si="296"/>
        <v>Sonoma (d/s of Clov. Gage)</v>
      </c>
      <c r="K1582" s="8" t="str">
        <f t="shared" si="297"/>
        <v>Riparian</v>
      </c>
      <c r="L1582" s="8">
        <f t="shared" si="298"/>
        <v>1000</v>
      </c>
      <c r="M1582" s="8" t="str">
        <f t="shared" si="300"/>
        <v>-</v>
      </c>
      <c r="N1582" s="10" t="s">
        <v>242</v>
      </c>
      <c r="O1582" s="10" t="s">
        <v>241</v>
      </c>
      <c r="P1582" s="10" t="s">
        <v>242</v>
      </c>
      <c r="Q1582" s="10" t="s">
        <v>242</v>
      </c>
      <c r="R1582" s="10" t="s">
        <v>242</v>
      </c>
      <c r="S1582" s="10" t="s">
        <v>241</v>
      </c>
      <c r="T1582" s="10" t="s">
        <v>242</v>
      </c>
      <c r="U1582" s="10" t="s">
        <v>241</v>
      </c>
      <c r="V1582" s="10" t="s">
        <v>241</v>
      </c>
      <c r="W1582" s="10" t="s">
        <v>242</v>
      </c>
      <c r="X1582" s="15">
        <f>IF(ISERROR(VLOOKUP($A1582,'13. Updated Demand'!A:Z,15,FALSE)),0,VLOOKUP($A1582,'13. Updated Demand'!A:Z,15,FALSE))</f>
        <v>0</v>
      </c>
      <c r="Y1582" s="16">
        <f>IF(ISERROR(VLOOKUP($A1582,'13. Updated Demand'!A:Z,16,FALSE)),0,VLOOKUP($A1582,'13. Updated Demand'!A:Z,16,FALSE))</f>
        <v>0</v>
      </c>
      <c r="Z1582" s="16">
        <f>IF(ISERROR(VLOOKUP($A1582,'13. Updated Demand'!A:Z,17,FALSE)),0,VLOOKUP($A1582,'13. Updated Demand'!A:Z,17,FALSE))</f>
        <v>0</v>
      </c>
      <c r="AA1582" s="16">
        <f>IF(ISERROR(VLOOKUP($A1582,'13. Updated Demand'!A:Z,18,FALSE)),0,VLOOKUP($A1582,'13. Updated Demand'!A:Z,18,FALSE))</f>
        <v>0</v>
      </c>
      <c r="AB1582" s="16">
        <f>IF(ISERROR(VLOOKUP($A1582,'13. Updated Demand'!A:Z,19,FALSE)),0,VLOOKUP($A1582,'13. Updated Demand'!A:Z,19,FALSE))</f>
        <v>0</v>
      </c>
      <c r="AC1582" s="16">
        <f>IF(ISERROR(VLOOKUP($A1582,'13. Updated Demand'!A:Z,20,FALSE)),0,VLOOKUP($A1582,'13. Updated Demand'!A:Z,20,FALSE))</f>
        <v>0</v>
      </c>
      <c r="AD1582" s="16">
        <f>IF(ISERROR(VLOOKUP($A1582,'13. Updated Demand'!A:Z,21,FALSE)),0,VLOOKUP($A1582,'13. Updated Demand'!A:Z,21,FALSE))</f>
        <v>0</v>
      </c>
      <c r="AE1582" s="16">
        <f>IF(ISERROR(VLOOKUP($A1582,'13. Updated Demand'!A:Z,22,FALSE)),0,VLOOKUP($A1582,'13. Updated Demand'!A:Z,22,FALSE))</f>
        <v>0</v>
      </c>
      <c r="AF1582" s="16">
        <f>IF(ISERROR(VLOOKUP($A1582,'13. Updated Demand'!A:Z,23,FALSE)),0,VLOOKUP($A1582,'13. Updated Demand'!A:Z,23,FALSE))</f>
        <v>0</v>
      </c>
      <c r="AG1582" s="16">
        <f>IF(ISERROR(VLOOKUP($A1582,'13. Updated Demand'!A:Z,24,FALSE)),0,VLOOKUP($A1582,'13. Updated Demand'!A:Z,24,FALSE))</f>
        <v>0</v>
      </c>
      <c r="AH1582" s="16">
        <f>IF(ISERROR(VLOOKUP($A1582,'13. Updated Demand'!A:Z,25,FALSE)),0,VLOOKUP($A1582,'13. Updated Demand'!A:Z,25,FALSE))</f>
        <v>0</v>
      </c>
      <c r="AI1582" s="16">
        <f>IF(ISERROR(VLOOKUP($A1582,'13. Updated Demand'!A:Z,26,FALSE)),0,VLOOKUP($A1582,'13. Updated Demand'!A:Z,26,FALSE))</f>
        <v>0</v>
      </c>
      <c r="AJ1582" s="16">
        <f t="shared" si="301"/>
        <v>0</v>
      </c>
      <c r="AK1582" s="19">
        <v>0</v>
      </c>
      <c r="AL1582" s="16">
        <f t="shared" si="299"/>
        <v>0</v>
      </c>
      <c r="AM1582" s="26">
        <v>0</v>
      </c>
      <c r="AN1582" s="19">
        <v>362.2</v>
      </c>
      <c r="AO1582" s="19" t="s">
        <v>1758</v>
      </c>
      <c r="AP1582" s="19">
        <v>0</v>
      </c>
      <c r="AQ1582" s="19" t="s">
        <v>307</v>
      </c>
      <c r="AR1582" s="9" t="s">
        <v>311</v>
      </c>
      <c r="AS1582" s="12">
        <v>0</v>
      </c>
      <c r="AT1582" s="19">
        <v>38.634730490000003</v>
      </c>
      <c r="AU1582" s="19">
        <v>-122.7635724</v>
      </c>
      <c r="AV1582" s="19" t="s">
        <v>609</v>
      </c>
    </row>
    <row r="1583" spans="1:48" x14ac:dyDescent="0.25">
      <c r="A1583" s="18" t="s">
        <v>1977</v>
      </c>
      <c r="B1583" s="10">
        <v>10000000</v>
      </c>
      <c r="C1583" s="9">
        <v>7</v>
      </c>
      <c r="D1583" s="8" t="str">
        <f t="shared" si="290"/>
        <v>N</v>
      </c>
      <c r="E1583" s="8" t="str">
        <f t="shared" si="291"/>
        <v>Y</v>
      </c>
      <c r="F1583" s="8" t="str">
        <f t="shared" si="292"/>
        <v>Y</v>
      </c>
      <c r="G1583" s="8" t="str">
        <f t="shared" si="293"/>
        <v>Y</v>
      </c>
      <c r="H1583" s="8" t="str">
        <f t="shared" si="294"/>
        <v>Upper</v>
      </c>
      <c r="I1583" s="8" t="str">
        <f t="shared" si="295"/>
        <v>West Fork and Below Lake</v>
      </c>
      <c r="J1583" s="8" t="str">
        <f t="shared" si="296"/>
        <v>Sonoma (d/s of Clov. Gage)</v>
      </c>
      <c r="K1583" s="8" t="str">
        <f t="shared" si="297"/>
        <v>Riparian</v>
      </c>
      <c r="L1583" s="8">
        <f t="shared" si="298"/>
        <v>1000</v>
      </c>
      <c r="M1583" s="8" t="str">
        <f t="shared" si="300"/>
        <v>-</v>
      </c>
      <c r="N1583" s="10" t="s">
        <v>242</v>
      </c>
      <c r="O1583" s="10" t="s">
        <v>241</v>
      </c>
      <c r="P1583" s="10" t="s">
        <v>242</v>
      </c>
      <c r="Q1583" s="10" t="s">
        <v>242</v>
      </c>
      <c r="R1583" s="10" t="s">
        <v>242</v>
      </c>
      <c r="S1583" s="10" t="s">
        <v>241</v>
      </c>
      <c r="T1583" s="10" t="s">
        <v>242</v>
      </c>
      <c r="U1583" s="10" t="s">
        <v>242</v>
      </c>
      <c r="V1583" s="10" t="s">
        <v>241</v>
      </c>
      <c r="W1583" s="10" t="s">
        <v>242</v>
      </c>
      <c r="X1583" s="15">
        <f>IF(ISERROR(VLOOKUP($A1583,'13. Updated Demand'!A:Z,15,FALSE)),0,VLOOKUP($A1583,'13. Updated Demand'!A:Z,15,FALSE))</f>
        <v>2.6085000000000001E-3</v>
      </c>
      <c r="Y1583" s="16">
        <f>IF(ISERROR(VLOOKUP($A1583,'13. Updated Demand'!A:Z,16,FALSE)),0,VLOOKUP($A1583,'13. Updated Demand'!A:Z,16,FALSE))</f>
        <v>0</v>
      </c>
      <c r="Z1583" s="16">
        <f>IF(ISERROR(VLOOKUP($A1583,'13. Updated Demand'!A:Z,17,FALSE)),0,VLOOKUP($A1583,'13. Updated Demand'!A:Z,17,FALSE))</f>
        <v>0</v>
      </c>
      <c r="AA1583" s="16">
        <f>IF(ISERROR(VLOOKUP($A1583,'13. Updated Demand'!A:Z,18,FALSE)),0,VLOOKUP($A1583,'13. Updated Demand'!A:Z,18,FALSE))</f>
        <v>0</v>
      </c>
      <c r="AB1583" s="16">
        <f>IF(ISERROR(VLOOKUP($A1583,'13. Updated Demand'!A:Z,19,FALSE)),0,VLOOKUP($A1583,'13. Updated Demand'!A:Z,19,FALSE))</f>
        <v>0</v>
      </c>
      <c r="AC1583" s="16">
        <f>IF(ISERROR(VLOOKUP($A1583,'13. Updated Demand'!A:Z,20,FALSE)),0,VLOOKUP($A1583,'13. Updated Demand'!A:Z,20,FALSE))</f>
        <v>0</v>
      </c>
      <c r="AD1583" s="16">
        <f>IF(ISERROR(VLOOKUP($A1583,'13. Updated Demand'!A:Z,21,FALSE)),0,VLOOKUP($A1583,'13. Updated Demand'!A:Z,21,FALSE))</f>
        <v>0</v>
      </c>
      <c r="AE1583" s="16">
        <f>IF(ISERROR(VLOOKUP($A1583,'13. Updated Demand'!A:Z,22,FALSE)),0,VLOOKUP($A1583,'13. Updated Demand'!A:Z,22,FALSE))</f>
        <v>0</v>
      </c>
      <c r="AF1583" s="16">
        <f>IF(ISERROR(VLOOKUP($A1583,'13. Updated Demand'!A:Z,23,FALSE)),0,VLOOKUP($A1583,'13. Updated Demand'!A:Z,23,FALSE))</f>
        <v>0</v>
      </c>
      <c r="AG1583" s="16">
        <f>IF(ISERROR(VLOOKUP($A1583,'13. Updated Demand'!A:Z,24,FALSE)),0,VLOOKUP($A1583,'13. Updated Demand'!A:Z,24,FALSE))</f>
        <v>0</v>
      </c>
      <c r="AH1583" s="16">
        <f>IF(ISERROR(VLOOKUP($A1583,'13. Updated Demand'!A:Z,25,FALSE)),0,VLOOKUP($A1583,'13. Updated Demand'!A:Z,25,FALSE))</f>
        <v>0</v>
      </c>
      <c r="AI1583" s="16">
        <f>IF(ISERROR(VLOOKUP($A1583,'13. Updated Demand'!A:Z,26,FALSE)),0,VLOOKUP($A1583,'13. Updated Demand'!A:Z,26,FALSE))</f>
        <v>0</v>
      </c>
      <c r="AJ1583" s="16">
        <f t="shared" si="301"/>
        <v>2.6085000000000001E-3</v>
      </c>
      <c r="AK1583" s="19">
        <v>0</v>
      </c>
      <c r="AL1583" s="16">
        <f t="shared" si="299"/>
        <v>0</v>
      </c>
      <c r="AM1583" s="26">
        <v>5.1745685379884949E-3</v>
      </c>
      <c r="AN1583" s="19">
        <v>0.50409999999999999</v>
      </c>
      <c r="AO1583" s="19" t="s">
        <v>1758</v>
      </c>
      <c r="AP1583" s="19">
        <v>0</v>
      </c>
      <c r="AQ1583" s="19" t="s">
        <v>307</v>
      </c>
      <c r="AR1583" s="9" t="s">
        <v>823</v>
      </c>
      <c r="AS1583" s="12">
        <v>3.4039024194010059E-4</v>
      </c>
      <c r="AT1583" s="19">
        <v>38.744493239999997</v>
      </c>
      <c r="AU1583" s="19">
        <v>-122.73284167</v>
      </c>
      <c r="AV1583" s="19" t="s">
        <v>1978</v>
      </c>
    </row>
    <row r="1584" spans="1:48" x14ac:dyDescent="0.25">
      <c r="A1584" s="18" t="s">
        <v>1979</v>
      </c>
      <c r="B1584" s="10">
        <v>10000000</v>
      </c>
      <c r="C1584" s="9">
        <v>5</v>
      </c>
      <c r="D1584" s="8" t="str">
        <f t="shared" si="290"/>
        <v>Y</v>
      </c>
      <c r="E1584" s="8" t="str">
        <f t="shared" si="291"/>
        <v>N</v>
      </c>
      <c r="F1584" s="8" t="str">
        <f t="shared" si="292"/>
        <v>Y</v>
      </c>
      <c r="G1584" s="8" t="str">
        <f t="shared" si="293"/>
        <v>Y</v>
      </c>
      <c r="H1584" s="8" t="str">
        <f t="shared" si="294"/>
        <v>Upper</v>
      </c>
      <c r="I1584" s="8" t="str">
        <f t="shared" si="295"/>
        <v>West Fork and Below Lake</v>
      </c>
      <c r="J1584" s="8" t="str">
        <f t="shared" si="296"/>
        <v>Mendocino (d/s of lake)</v>
      </c>
      <c r="K1584" s="8" t="str">
        <f t="shared" si="297"/>
        <v>Riparian</v>
      </c>
      <c r="L1584" s="8">
        <f t="shared" si="298"/>
        <v>1000</v>
      </c>
      <c r="M1584" s="8" t="str">
        <f t="shared" si="300"/>
        <v>-</v>
      </c>
      <c r="N1584" s="10" t="s">
        <v>242</v>
      </c>
      <c r="O1584" s="10" t="s">
        <v>241</v>
      </c>
      <c r="P1584" s="10" t="s">
        <v>242</v>
      </c>
      <c r="Q1584" s="10" t="s">
        <v>242</v>
      </c>
      <c r="R1584" s="10" t="s">
        <v>242</v>
      </c>
      <c r="S1584" s="10" t="s">
        <v>241</v>
      </c>
      <c r="T1584" s="10" t="s">
        <v>242</v>
      </c>
      <c r="U1584" s="10" t="s">
        <v>241</v>
      </c>
      <c r="V1584" s="10" t="s">
        <v>241</v>
      </c>
      <c r="W1584" s="10" t="s">
        <v>242</v>
      </c>
      <c r="X1584" s="15">
        <f>IF(ISERROR(VLOOKUP($A1584,'13. Updated Demand'!A:Z,15,FALSE)),0,VLOOKUP($A1584,'13. Updated Demand'!A:Z,15,FALSE))</f>
        <v>0</v>
      </c>
      <c r="Y1584" s="16">
        <f>IF(ISERROR(VLOOKUP($A1584,'13. Updated Demand'!A:Z,16,FALSE)),0,VLOOKUP($A1584,'13. Updated Demand'!A:Z,16,FALSE))</f>
        <v>0</v>
      </c>
      <c r="Z1584" s="16">
        <f>IF(ISERROR(VLOOKUP($A1584,'13. Updated Demand'!A:Z,17,FALSE)),0,VLOOKUP($A1584,'13. Updated Demand'!A:Z,17,FALSE))</f>
        <v>0</v>
      </c>
      <c r="AA1584" s="16">
        <f>IF(ISERROR(VLOOKUP($A1584,'13. Updated Demand'!A:Z,18,FALSE)),0,VLOOKUP($A1584,'13. Updated Demand'!A:Z,18,FALSE))</f>
        <v>0</v>
      </c>
      <c r="AB1584" s="16">
        <f>IF(ISERROR(VLOOKUP($A1584,'13. Updated Demand'!A:Z,19,FALSE)),0,VLOOKUP($A1584,'13. Updated Demand'!A:Z,19,FALSE))</f>
        <v>0</v>
      </c>
      <c r="AC1584" s="16">
        <f>IF(ISERROR(VLOOKUP($A1584,'13. Updated Demand'!A:Z,20,FALSE)),0,VLOOKUP($A1584,'13. Updated Demand'!A:Z,20,FALSE))</f>
        <v>0</v>
      </c>
      <c r="AD1584" s="16">
        <f>IF(ISERROR(VLOOKUP($A1584,'13. Updated Demand'!A:Z,21,FALSE)),0,VLOOKUP($A1584,'13. Updated Demand'!A:Z,21,FALSE))</f>
        <v>0</v>
      </c>
      <c r="AE1584" s="16">
        <f>IF(ISERROR(VLOOKUP($A1584,'13. Updated Demand'!A:Z,22,FALSE)),0,VLOOKUP($A1584,'13. Updated Demand'!A:Z,22,FALSE))</f>
        <v>0</v>
      </c>
      <c r="AF1584" s="16">
        <f>IF(ISERROR(VLOOKUP($A1584,'13. Updated Demand'!A:Z,23,FALSE)),0,VLOOKUP($A1584,'13. Updated Demand'!A:Z,23,FALSE))</f>
        <v>0</v>
      </c>
      <c r="AG1584" s="16">
        <f>IF(ISERROR(VLOOKUP($A1584,'13. Updated Demand'!A:Z,24,FALSE)),0,VLOOKUP($A1584,'13. Updated Demand'!A:Z,24,FALSE))</f>
        <v>0</v>
      </c>
      <c r="AH1584" s="16">
        <f>IF(ISERROR(VLOOKUP($A1584,'13. Updated Demand'!A:Z,25,FALSE)),0,VLOOKUP($A1584,'13. Updated Demand'!A:Z,25,FALSE))</f>
        <v>0</v>
      </c>
      <c r="AI1584" s="16">
        <f>IF(ISERROR(VLOOKUP($A1584,'13. Updated Demand'!A:Z,26,FALSE)),0,VLOOKUP($A1584,'13. Updated Demand'!A:Z,26,FALSE))</f>
        <v>0</v>
      </c>
      <c r="AJ1584" s="16">
        <f t="shared" si="301"/>
        <v>0</v>
      </c>
      <c r="AK1584" s="19">
        <v>0</v>
      </c>
      <c r="AL1584" s="16">
        <f t="shared" si="299"/>
        <v>0</v>
      </c>
      <c r="AM1584" s="26">
        <v>0</v>
      </c>
      <c r="AN1584" s="19">
        <v>0.56010000000000004</v>
      </c>
      <c r="AO1584" s="19" t="s">
        <v>1758</v>
      </c>
      <c r="AP1584" s="19">
        <v>0</v>
      </c>
      <c r="AQ1584" s="19" t="s">
        <v>307</v>
      </c>
      <c r="AR1584" s="9" t="s">
        <v>333</v>
      </c>
      <c r="AS1584" s="12">
        <v>0</v>
      </c>
      <c r="AT1584" s="19">
        <v>39.043775459999999</v>
      </c>
      <c r="AU1584" s="19">
        <v>-123.07238622</v>
      </c>
      <c r="AV1584" s="19" t="s">
        <v>417</v>
      </c>
    </row>
    <row r="1585" spans="1:48" x14ac:dyDescent="0.25">
      <c r="A1585" s="18" t="s">
        <v>1980</v>
      </c>
      <c r="B1585" s="10">
        <v>10000000</v>
      </c>
      <c r="C1585" s="9">
        <v>5</v>
      </c>
      <c r="D1585" s="8" t="str">
        <f t="shared" si="290"/>
        <v>Y</v>
      </c>
      <c r="E1585" s="8" t="str">
        <f t="shared" si="291"/>
        <v>N</v>
      </c>
      <c r="F1585" s="8" t="str">
        <f t="shared" si="292"/>
        <v>Y</v>
      </c>
      <c r="G1585" s="8" t="str">
        <f t="shared" si="293"/>
        <v>Y</v>
      </c>
      <c r="H1585" s="8" t="str">
        <f t="shared" si="294"/>
        <v>Upper</v>
      </c>
      <c r="I1585" s="8" t="str">
        <f t="shared" si="295"/>
        <v>West Fork and Below Lake</v>
      </c>
      <c r="J1585" s="8" t="str">
        <f t="shared" si="296"/>
        <v>Mendocino (d/s of lake)</v>
      </c>
      <c r="K1585" s="8" t="str">
        <f t="shared" si="297"/>
        <v>Riparian</v>
      </c>
      <c r="L1585" s="8">
        <f t="shared" si="298"/>
        <v>1000</v>
      </c>
      <c r="M1585" s="8" t="str">
        <f t="shared" si="300"/>
        <v>-</v>
      </c>
      <c r="N1585" s="10" t="s">
        <v>242</v>
      </c>
      <c r="O1585" s="10" t="s">
        <v>241</v>
      </c>
      <c r="P1585" s="10" t="s">
        <v>242</v>
      </c>
      <c r="Q1585" s="10" t="s">
        <v>242</v>
      </c>
      <c r="R1585" s="10" t="s">
        <v>242</v>
      </c>
      <c r="S1585" s="10" t="s">
        <v>241</v>
      </c>
      <c r="T1585" s="10" t="s">
        <v>242</v>
      </c>
      <c r="U1585" s="10" t="s">
        <v>241</v>
      </c>
      <c r="V1585" s="10" t="s">
        <v>241</v>
      </c>
      <c r="W1585" s="10" t="s">
        <v>242</v>
      </c>
      <c r="X1585" s="15">
        <f>IF(ISERROR(VLOOKUP($A1585,'13. Updated Demand'!A:Z,15,FALSE)),0,VLOOKUP($A1585,'13. Updated Demand'!A:Z,15,FALSE))</f>
        <v>0</v>
      </c>
      <c r="Y1585" s="16">
        <f>IF(ISERROR(VLOOKUP($A1585,'13. Updated Demand'!A:Z,16,FALSE)),0,VLOOKUP($A1585,'13. Updated Demand'!A:Z,16,FALSE))</f>
        <v>0</v>
      </c>
      <c r="Z1585" s="16">
        <f>IF(ISERROR(VLOOKUP($A1585,'13. Updated Demand'!A:Z,17,FALSE)),0,VLOOKUP($A1585,'13. Updated Demand'!A:Z,17,FALSE))</f>
        <v>0</v>
      </c>
      <c r="AA1585" s="16">
        <f>IF(ISERROR(VLOOKUP($A1585,'13. Updated Demand'!A:Z,18,FALSE)),0,VLOOKUP($A1585,'13. Updated Demand'!A:Z,18,FALSE))</f>
        <v>0</v>
      </c>
      <c r="AB1585" s="16">
        <f>IF(ISERROR(VLOOKUP($A1585,'13. Updated Demand'!A:Z,19,FALSE)),0,VLOOKUP($A1585,'13. Updated Demand'!A:Z,19,FALSE))</f>
        <v>0</v>
      </c>
      <c r="AC1585" s="16">
        <f>IF(ISERROR(VLOOKUP($A1585,'13. Updated Demand'!A:Z,20,FALSE)),0,VLOOKUP($A1585,'13. Updated Demand'!A:Z,20,FALSE))</f>
        <v>0</v>
      </c>
      <c r="AD1585" s="16">
        <f>IF(ISERROR(VLOOKUP($A1585,'13. Updated Demand'!A:Z,21,FALSE)),0,VLOOKUP($A1585,'13. Updated Demand'!A:Z,21,FALSE))</f>
        <v>0</v>
      </c>
      <c r="AE1585" s="16">
        <f>IF(ISERROR(VLOOKUP($A1585,'13. Updated Demand'!A:Z,22,FALSE)),0,VLOOKUP($A1585,'13. Updated Demand'!A:Z,22,FALSE))</f>
        <v>0</v>
      </c>
      <c r="AF1585" s="16">
        <f>IF(ISERROR(VLOOKUP($A1585,'13. Updated Demand'!A:Z,23,FALSE)),0,VLOOKUP($A1585,'13. Updated Demand'!A:Z,23,FALSE))</f>
        <v>0</v>
      </c>
      <c r="AG1585" s="16">
        <f>IF(ISERROR(VLOOKUP($A1585,'13. Updated Demand'!A:Z,24,FALSE)),0,VLOOKUP($A1585,'13. Updated Demand'!A:Z,24,FALSE))</f>
        <v>0</v>
      </c>
      <c r="AH1585" s="16">
        <f>IF(ISERROR(VLOOKUP($A1585,'13. Updated Demand'!A:Z,25,FALSE)),0,VLOOKUP($A1585,'13. Updated Demand'!A:Z,25,FALSE))</f>
        <v>0</v>
      </c>
      <c r="AI1585" s="16">
        <f>IF(ISERROR(VLOOKUP($A1585,'13. Updated Demand'!A:Z,26,FALSE)),0,VLOOKUP($A1585,'13. Updated Demand'!A:Z,26,FALSE))</f>
        <v>0</v>
      </c>
      <c r="AJ1585" s="16">
        <f t="shared" si="301"/>
        <v>0</v>
      </c>
      <c r="AK1585" s="19">
        <v>0</v>
      </c>
      <c r="AL1585" s="16">
        <f t="shared" si="299"/>
        <v>0</v>
      </c>
      <c r="AM1585" s="26">
        <v>0</v>
      </c>
      <c r="AN1585" s="19">
        <v>0.56010000000000004</v>
      </c>
      <c r="AO1585" s="19" t="s">
        <v>1758</v>
      </c>
      <c r="AP1585" s="19">
        <v>0</v>
      </c>
      <c r="AQ1585" s="19" t="s">
        <v>307</v>
      </c>
      <c r="AR1585" s="9" t="s">
        <v>333</v>
      </c>
      <c r="AS1585" s="12">
        <v>0</v>
      </c>
      <c r="AT1585" s="19">
        <v>39.044411590000003</v>
      </c>
      <c r="AU1585" s="19">
        <v>-123.07785391</v>
      </c>
      <c r="AV1585" s="19" t="s">
        <v>417</v>
      </c>
    </row>
    <row r="1586" spans="1:48" x14ac:dyDescent="0.25">
      <c r="A1586" s="18" t="s">
        <v>1981</v>
      </c>
      <c r="B1586" s="10">
        <v>10000000</v>
      </c>
      <c r="C1586" s="9">
        <v>6</v>
      </c>
      <c r="D1586" s="8" t="str">
        <f t="shared" si="290"/>
        <v>Y</v>
      </c>
      <c r="E1586" s="8" t="str">
        <f t="shared" si="291"/>
        <v>N</v>
      </c>
      <c r="F1586" s="8" t="str">
        <f t="shared" si="292"/>
        <v>Y</v>
      </c>
      <c r="G1586" s="8" t="str">
        <f t="shared" si="293"/>
        <v>Y</v>
      </c>
      <c r="H1586" s="8" t="str">
        <f t="shared" si="294"/>
        <v>Upper</v>
      </c>
      <c r="I1586" s="8" t="str">
        <f t="shared" si="295"/>
        <v>West Fork and Below Lake</v>
      </c>
      <c r="J1586" s="8" t="str">
        <f t="shared" si="296"/>
        <v>Mendocino (d/s of lake)</v>
      </c>
      <c r="K1586" s="8" t="str">
        <f t="shared" si="297"/>
        <v>Riparian</v>
      </c>
      <c r="L1586" s="8">
        <f t="shared" si="298"/>
        <v>1000</v>
      </c>
      <c r="M1586" s="8" t="str">
        <f t="shared" si="300"/>
        <v>-</v>
      </c>
      <c r="N1586" s="10" t="s">
        <v>242</v>
      </c>
      <c r="O1586" s="10" t="s">
        <v>241</v>
      </c>
      <c r="P1586" s="10" t="s">
        <v>242</v>
      </c>
      <c r="Q1586" s="10" t="s">
        <v>242</v>
      </c>
      <c r="R1586" s="10" t="s">
        <v>242</v>
      </c>
      <c r="S1586" s="10" t="s">
        <v>241</v>
      </c>
      <c r="T1586" s="10" t="s">
        <v>242</v>
      </c>
      <c r="U1586" s="10" t="s">
        <v>241</v>
      </c>
      <c r="V1586" s="10" t="s">
        <v>241</v>
      </c>
      <c r="W1586" s="10" t="s">
        <v>242</v>
      </c>
      <c r="X1586" s="15">
        <f>IF(ISERROR(VLOOKUP($A1586,'13. Updated Demand'!A:Z,15,FALSE)),0,VLOOKUP($A1586,'13. Updated Demand'!A:Z,15,FALSE))</f>
        <v>0</v>
      </c>
      <c r="Y1586" s="16">
        <f>IF(ISERROR(VLOOKUP($A1586,'13. Updated Demand'!A:Z,16,FALSE)),0,VLOOKUP($A1586,'13. Updated Demand'!A:Z,16,FALSE))</f>
        <v>0</v>
      </c>
      <c r="Z1586" s="16">
        <f>IF(ISERROR(VLOOKUP($A1586,'13. Updated Demand'!A:Z,17,FALSE)),0,VLOOKUP($A1586,'13. Updated Demand'!A:Z,17,FALSE))</f>
        <v>0</v>
      </c>
      <c r="AA1586" s="16">
        <f>IF(ISERROR(VLOOKUP($A1586,'13. Updated Demand'!A:Z,18,FALSE)),0,VLOOKUP($A1586,'13. Updated Demand'!A:Z,18,FALSE))</f>
        <v>0</v>
      </c>
      <c r="AB1586" s="16">
        <f>IF(ISERROR(VLOOKUP($A1586,'13. Updated Demand'!A:Z,19,FALSE)),0,VLOOKUP($A1586,'13. Updated Demand'!A:Z,19,FALSE))</f>
        <v>0</v>
      </c>
      <c r="AC1586" s="16">
        <f>IF(ISERROR(VLOOKUP($A1586,'13. Updated Demand'!A:Z,20,FALSE)),0,VLOOKUP($A1586,'13. Updated Demand'!A:Z,20,FALSE))</f>
        <v>0</v>
      </c>
      <c r="AD1586" s="16">
        <f>IF(ISERROR(VLOOKUP($A1586,'13. Updated Demand'!A:Z,21,FALSE)),0,VLOOKUP($A1586,'13. Updated Demand'!A:Z,21,FALSE))</f>
        <v>0</v>
      </c>
      <c r="AE1586" s="16">
        <f>IF(ISERROR(VLOOKUP($A1586,'13. Updated Demand'!A:Z,22,FALSE)),0,VLOOKUP($A1586,'13. Updated Demand'!A:Z,22,FALSE))</f>
        <v>0</v>
      </c>
      <c r="AF1586" s="16">
        <f>IF(ISERROR(VLOOKUP($A1586,'13. Updated Demand'!A:Z,23,FALSE)),0,VLOOKUP($A1586,'13. Updated Demand'!A:Z,23,FALSE))</f>
        <v>0</v>
      </c>
      <c r="AG1586" s="16">
        <f>IF(ISERROR(VLOOKUP($A1586,'13. Updated Demand'!A:Z,24,FALSE)),0,VLOOKUP($A1586,'13. Updated Demand'!A:Z,24,FALSE))</f>
        <v>0</v>
      </c>
      <c r="AH1586" s="16">
        <f>IF(ISERROR(VLOOKUP($A1586,'13. Updated Demand'!A:Z,25,FALSE)),0,VLOOKUP($A1586,'13. Updated Demand'!A:Z,25,FALSE))</f>
        <v>0</v>
      </c>
      <c r="AI1586" s="16">
        <f>IF(ISERROR(VLOOKUP($A1586,'13. Updated Demand'!A:Z,26,FALSE)),0,VLOOKUP($A1586,'13. Updated Demand'!A:Z,26,FALSE))</f>
        <v>0</v>
      </c>
      <c r="AJ1586" s="16">
        <f t="shared" si="301"/>
        <v>0</v>
      </c>
      <c r="AK1586" s="19">
        <v>0</v>
      </c>
      <c r="AL1586" s="16">
        <f t="shared" si="299"/>
        <v>0</v>
      </c>
      <c r="AM1586" s="26">
        <v>0</v>
      </c>
      <c r="AN1586" s="19">
        <v>0.56010000000000004</v>
      </c>
      <c r="AO1586" s="19" t="s">
        <v>1758</v>
      </c>
      <c r="AP1586" s="19">
        <v>0</v>
      </c>
      <c r="AQ1586" s="19" t="s">
        <v>307</v>
      </c>
      <c r="AR1586" s="9" t="s">
        <v>319</v>
      </c>
      <c r="AS1586" s="12">
        <v>0</v>
      </c>
      <c r="AT1586" s="19">
        <v>38.94340751</v>
      </c>
      <c r="AU1586" s="19">
        <v>-122.9792715</v>
      </c>
      <c r="AV1586" s="19" t="s">
        <v>417</v>
      </c>
    </row>
    <row r="1587" spans="1:48" x14ac:dyDescent="0.25">
      <c r="A1587" s="18" t="s">
        <v>1982</v>
      </c>
      <c r="B1587" s="10">
        <v>10000000</v>
      </c>
      <c r="C1587" s="9">
        <v>5</v>
      </c>
      <c r="D1587" s="8" t="str">
        <f t="shared" si="290"/>
        <v>Y</v>
      </c>
      <c r="E1587" s="8" t="str">
        <f t="shared" si="291"/>
        <v>N</v>
      </c>
      <c r="F1587" s="8" t="str">
        <f t="shared" si="292"/>
        <v>Y</v>
      </c>
      <c r="G1587" s="8" t="str">
        <f t="shared" si="293"/>
        <v>Y</v>
      </c>
      <c r="H1587" s="8" t="str">
        <f t="shared" si="294"/>
        <v>Upper</v>
      </c>
      <c r="I1587" s="8" t="str">
        <f t="shared" si="295"/>
        <v>West Fork and Below Lake</v>
      </c>
      <c r="J1587" s="8" t="str">
        <f t="shared" si="296"/>
        <v>Mendocino (d/s of lake)</v>
      </c>
      <c r="K1587" s="8" t="str">
        <f t="shared" si="297"/>
        <v>Riparian</v>
      </c>
      <c r="L1587" s="8">
        <f t="shared" si="298"/>
        <v>1000</v>
      </c>
      <c r="M1587" s="8" t="str">
        <f t="shared" si="300"/>
        <v>-</v>
      </c>
      <c r="N1587" s="10" t="s">
        <v>242</v>
      </c>
      <c r="O1587" s="10" t="s">
        <v>241</v>
      </c>
      <c r="P1587" s="10" t="s">
        <v>242</v>
      </c>
      <c r="Q1587" s="10" t="s">
        <v>242</v>
      </c>
      <c r="R1587" s="10" t="s">
        <v>242</v>
      </c>
      <c r="S1587" s="10" t="s">
        <v>241</v>
      </c>
      <c r="T1587" s="10" t="s">
        <v>242</v>
      </c>
      <c r="U1587" s="10" t="s">
        <v>241</v>
      </c>
      <c r="V1587" s="10" t="s">
        <v>241</v>
      </c>
      <c r="W1587" s="10" t="s">
        <v>242</v>
      </c>
      <c r="X1587" s="15">
        <f>IF(ISERROR(VLOOKUP($A1587,'13. Updated Demand'!A:Z,15,FALSE)),0,VLOOKUP($A1587,'13. Updated Demand'!A:Z,15,FALSE))</f>
        <v>0</v>
      </c>
      <c r="Y1587" s="16">
        <f>IF(ISERROR(VLOOKUP($A1587,'13. Updated Demand'!A:Z,16,FALSE)),0,VLOOKUP($A1587,'13. Updated Demand'!A:Z,16,FALSE))</f>
        <v>0</v>
      </c>
      <c r="Z1587" s="16">
        <f>IF(ISERROR(VLOOKUP($A1587,'13. Updated Demand'!A:Z,17,FALSE)),0,VLOOKUP($A1587,'13. Updated Demand'!A:Z,17,FALSE))</f>
        <v>0</v>
      </c>
      <c r="AA1587" s="16">
        <f>IF(ISERROR(VLOOKUP($A1587,'13. Updated Demand'!A:Z,18,FALSE)),0,VLOOKUP($A1587,'13. Updated Demand'!A:Z,18,FALSE))</f>
        <v>0</v>
      </c>
      <c r="AB1587" s="16">
        <f>IF(ISERROR(VLOOKUP($A1587,'13. Updated Demand'!A:Z,19,FALSE)),0,VLOOKUP($A1587,'13. Updated Demand'!A:Z,19,FALSE))</f>
        <v>0</v>
      </c>
      <c r="AC1587" s="16">
        <f>IF(ISERROR(VLOOKUP($A1587,'13. Updated Demand'!A:Z,20,FALSE)),0,VLOOKUP($A1587,'13. Updated Demand'!A:Z,20,FALSE))</f>
        <v>0</v>
      </c>
      <c r="AD1587" s="16">
        <f>IF(ISERROR(VLOOKUP($A1587,'13. Updated Demand'!A:Z,21,FALSE)),0,VLOOKUP($A1587,'13. Updated Demand'!A:Z,21,FALSE))</f>
        <v>0</v>
      </c>
      <c r="AE1587" s="16">
        <f>IF(ISERROR(VLOOKUP($A1587,'13. Updated Demand'!A:Z,22,FALSE)),0,VLOOKUP($A1587,'13. Updated Demand'!A:Z,22,FALSE))</f>
        <v>0</v>
      </c>
      <c r="AF1587" s="16">
        <f>IF(ISERROR(VLOOKUP($A1587,'13. Updated Demand'!A:Z,23,FALSE)),0,VLOOKUP($A1587,'13. Updated Demand'!A:Z,23,FALSE))</f>
        <v>0</v>
      </c>
      <c r="AG1587" s="16">
        <f>IF(ISERROR(VLOOKUP($A1587,'13. Updated Demand'!A:Z,24,FALSE)),0,VLOOKUP($A1587,'13. Updated Demand'!A:Z,24,FALSE))</f>
        <v>0</v>
      </c>
      <c r="AH1587" s="16">
        <f>IF(ISERROR(VLOOKUP($A1587,'13. Updated Demand'!A:Z,25,FALSE)),0,VLOOKUP($A1587,'13. Updated Demand'!A:Z,25,FALSE))</f>
        <v>0</v>
      </c>
      <c r="AI1587" s="16">
        <f>IF(ISERROR(VLOOKUP($A1587,'13. Updated Demand'!A:Z,26,FALSE)),0,VLOOKUP($A1587,'13. Updated Demand'!A:Z,26,FALSE))</f>
        <v>0</v>
      </c>
      <c r="AJ1587" s="16">
        <f t="shared" si="301"/>
        <v>0</v>
      </c>
      <c r="AK1587" s="19">
        <v>0</v>
      </c>
      <c r="AL1587" s="16">
        <f t="shared" si="299"/>
        <v>0</v>
      </c>
      <c r="AM1587" s="26">
        <v>0</v>
      </c>
      <c r="AN1587" s="19">
        <v>0.56010000000000004</v>
      </c>
      <c r="AO1587" s="19" t="s">
        <v>1758</v>
      </c>
      <c r="AP1587" s="19">
        <v>0</v>
      </c>
      <c r="AQ1587" s="19" t="s">
        <v>307</v>
      </c>
      <c r="AR1587" s="9" t="s">
        <v>333</v>
      </c>
      <c r="AS1587" s="12">
        <v>0</v>
      </c>
      <c r="AT1587" s="19">
        <v>39.044269419999999</v>
      </c>
      <c r="AU1587" s="19">
        <v>-123.06341431</v>
      </c>
      <c r="AV1587" s="19" t="s">
        <v>417</v>
      </c>
    </row>
    <row r="1588" spans="1:48" x14ac:dyDescent="0.25">
      <c r="A1588" s="18" t="s">
        <v>1983</v>
      </c>
      <c r="B1588" s="10">
        <v>10000000</v>
      </c>
      <c r="C1588" s="9">
        <v>5</v>
      </c>
      <c r="D1588" s="8" t="str">
        <f t="shared" si="290"/>
        <v>Y</v>
      </c>
      <c r="E1588" s="8" t="str">
        <f t="shared" si="291"/>
        <v>N</v>
      </c>
      <c r="F1588" s="8" t="str">
        <f t="shared" si="292"/>
        <v>Y</v>
      </c>
      <c r="G1588" s="8" t="str">
        <f t="shared" si="293"/>
        <v>Y</v>
      </c>
      <c r="H1588" s="8" t="str">
        <f t="shared" si="294"/>
        <v>Upper</v>
      </c>
      <c r="I1588" s="8" t="str">
        <f t="shared" si="295"/>
        <v>West Fork and Below Lake</v>
      </c>
      <c r="J1588" s="8" t="str">
        <f t="shared" si="296"/>
        <v>Mendocino (d/s of lake)</v>
      </c>
      <c r="K1588" s="8" t="str">
        <f t="shared" si="297"/>
        <v>Riparian</v>
      </c>
      <c r="L1588" s="8">
        <f t="shared" si="298"/>
        <v>1000</v>
      </c>
      <c r="M1588" s="8" t="str">
        <f t="shared" si="300"/>
        <v>-</v>
      </c>
      <c r="N1588" s="10" t="s">
        <v>242</v>
      </c>
      <c r="O1588" s="10" t="s">
        <v>241</v>
      </c>
      <c r="P1588" s="10" t="s">
        <v>242</v>
      </c>
      <c r="Q1588" s="10" t="s">
        <v>242</v>
      </c>
      <c r="R1588" s="10" t="s">
        <v>242</v>
      </c>
      <c r="S1588" s="10" t="s">
        <v>241</v>
      </c>
      <c r="T1588" s="10" t="s">
        <v>242</v>
      </c>
      <c r="U1588" s="10" t="s">
        <v>242</v>
      </c>
      <c r="V1588" s="10" t="s">
        <v>242</v>
      </c>
      <c r="W1588" s="10" t="s">
        <v>242</v>
      </c>
      <c r="X1588" s="15">
        <f>IF(ISERROR(VLOOKUP($A1588,'13. Updated Demand'!A:Z,15,FALSE)),0,VLOOKUP($A1588,'13. Updated Demand'!A:Z,15,FALSE))</f>
        <v>0.26</v>
      </c>
      <c r="Y1588" s="16">
        <f>IF(ISERROR(VLOOKUP($A1588,'13. Updated Demand'!A:Z,16,FALSE)),0,VLOOKUP($A1588,'13. Updated Demand'!A:Z,16,FALSE))</f>
        <v>0.26</v>
      </c>
      <c r="Z1588" s="16">
        <f>IF(ISERROR(VLOOKUP($A1588,'13. Updated Demand'!A:Z,17,FALSE)),0,VLOOKUP($A1588,'13. Updated Demand'!A:Z,17,FALSE))</f>
        <v>0.26</v>
      </c>
      <c r="AA1588" s="16">
        <f>IF(ISERROR(VLOOKUP($A1588,'13. Updated Demand'!A:Z,18,FALSE)),0,VLOOKUP($A1588,'13. Updated Demand'!A:Z,18,FALSE))</f>
        <v>0.26</v>
      </c>
      <c r="AB1588" s="16">
        <f>IF(ISERROR(VLOOKUP($A1588,'13. Updated Demand'!A:Z,19,FALSE)),0,VLOOKUP($A1588,'13. Updated Demand'!A:Z,19,FALSE))</f>
        <v>0.26</v>
      </c>
      <c r="AC1588" s="16">
        <f>IF(ISERROR(VLOOKUP($A1588,'13. Updated Demand'!A:Z,20,FALSE)),0,VLOOKUP($A1588,'13. Updated Demand'!A:Z,20,FALSE))</f>
        <v>0.25</v>
      </c>
      <c r="AD1588" s="16">
        <f>IF(ISERROR(VLOOKUP($A1588,'13. Updated Demand'!A:Z,21,FALSE)),0,VLOOKUP($A1588,'13. Updated Demand'!A:Z,21,FALSE))</f>
        <v>0.25</v>
      </c>
      <c r="AE1588" s="16">
        <f>IF(ISERROR(VLOOKUP($A1588,'13. Updated Demand'!A:Z,22,FALSE)),0,VLOOKUP($A1588,'13. Updated Demand'!A:Z,22,FALSE))</f>
        <v>0.25</v>
      </c>
      <c r="AF1588" s="16">
        <f>IF(ISERROR(VLOOKUP($A1588,'13. Updated Demand'!A:Z,23,FALSE)),0,VLOOKUP($A1588,'13. Updated Demand'!A:Z,23,FALSE))</f>
        <v>0.25</v>
      </c>
      <c r="AG1588" s="16">
        <f>IF(ISERROR(VLOOKUP($A1588,'13. Updated Demand'!A:Z,24,FALSE)),0,VLOOKUP($A1588,'13. Updated Demand'!A:Z,24,FALSE))</f>
        <v>0.25</v>
      </c>
      <c r="AH1588" s="16">
        <f>IF(ISERROR(VLOOKUP($A1588,'13. Updated Demand'!A:Z,25,FALSE)),0,VLOOKUP($A1588,'13. Updated Demand'!A:Z,25,FALSE))</f>
        <v>0.25</v>
      </c>
      <c r="AI1588" s="16">
        <f>IF(ISERROR(VLOOKUP($A1588,'13. Updated Demand'!A:Z,26,FALSE)),0,VLOOKUP($A1588,'13. Updated Demand'!A:Z,26,FALSE))</f>
        <v>0.25</v>
      </c>
      <c r="AJ1588" s="16">
        <f t="shared" si="301"/>
        <v>3.05</v>
      </c>
      <c r="AK1588" s="19">
        <v>1.29199</v>
      </c>
      <c r="AL1588" s="16">
        <f t="shared" si="299"/>
        <v>4.2853836585089048E-3</v>
      </c>
      <c r="AM1588" s="26">
        <v>2.5708393262792426</v>
      </c>
      <c r="AN1588" s="19">
        <v>1.2097</v>
      </c>
      <c r="AO1588" s="19" t="s">
        <v>1758</v>
      </c>
      <c r="AP1588" s="19">
        <v>0</v>
      </c>
      <c r="AQ1588" s="19" t="s">
        <v>307</v>
      </c>
      <c r="AR1588" s="9" t="s">
        <v>333</v>
      </c>
      <c r="AS1588" s="12">
        <v>0</v>
      </c>
      <c r="AT1588" s="19">
        <v>39.121500330000003</v>
      </c>
      <c r="AU1588" s="19">
        <v>-123.14318477</v>
      </c>
      <c r="AV1588" s="19" t="s">
        <v>430</v>
      </c>
    </row>
    <row r="1589" spans="1:48" x14ac:dyDescent="0.25">
      <c r="A1589" s="18" t="s">
        <v>1984</v>
      </c>
      <c r="B1589" s="10">
        <v>10000000</v>
      </c>
      <c r="C1589" s="9">
        <v>4</v>
      </c>
      <c r="D1589" s="8" t="str">
        <f t="shared" si="290"/>
        <v>Y</v>
      </c>
      <c r="E1589" s="8" t="str">
        <f t="shared" si="291"/>
        <v>N</v>
      </c>
      <c r="F1589" s="8" t="str">
        <f t="shared" si="292"/>
        <v>Y</v>
      </c>
      <c r="G1589" s="8" t="str">
        <f t="shared" si="293"/>
        <v>Y</v>
      </c>
      <c r="H1589" s="8" t="str">
        <f t="shared" si="294"/>
        <v>Upper</v>
      </c>
      <c r="I1589" s="8" t="str">
        <f t="shared" si="295"/>
        <v>West Fork and Below Lake</v>
      </c>
      <c r="J1589" s="8" t="str">
        <f t="shared" si="296"/>
        <v>Mendocino (d/s of lake)</v>
      </c>
      <c r="K1589" s="8" t="str">
        <f t="shared" si="297"/>
        <v>Riparian</v>
      </c>
      <c r="L1589" s="8">
        <f t="shared" si="298"/>
        <v>1000</v>
      </c>
      <c r="M1589" s="8" t="str">
        <f t="shared" si="300"/>
        <v>-</v>
      </c>
      <c r="N1589" s="10" t="s">
        <v>242</v>
      </c>
      <c r="O1589" s="10" t="s">
        <v>241</v>
      </c>
      <c r="P1589" s="10" t="s">
        <v>242</v>
      </c>
      <c r="Q1589" s="10" t="s">
        <v>242</v>
      </c>
      <c r="R1589" s="10" t="s">
        <v>242</v>
      </c>
      <c r="S1589" s="10" t="s">
        <v>241</v>
      </c>
      <c r="T1589" s="10" t="s">
        <v>241</v>
      </c>
      <c r="U1589" s="10" t="s">
        <v>241</v>
      </c>
      <c r="V1589" s="10" t="s">
        <v>241</v>
      </c>
      <c r="W1589" s="10" t="s">
        <v>242</v>
      </c>
      <c r="X1589" s="15">
        <f>IF(ISERROR(VLOOKUP($A1589,'13. Updated Demand'!A:Z,15,FALSE)),0,VLOOKUP($A1589,'13. Updated Demand'!A:Z,15,FALSE))</f>
        <v>0</v>
      </c>
      <c r="Y1589" s="16">
        <f>IF(ISERROR(VLOOKUP($A1589,'13. Updated Demand'!A:Z,16,FALSE)),0,VLOOKUP($A1589,'13. Updated Demand'!A:Z,16,FALSE))</f>
        <v>0</v>
      </c>
      <c r="Z1589" s="16">
        <f>IF(ISERROR(VLOOKUP($A1589,'13. Updated Demand'!A:Z,17,FALSE)),0,VLOOKUP($A1589,'13. Updated Demand'!A:Z,17,FALSE))</f>
        <v>0</v>
      </c>
      <c r="AA1589" s="16">
        <f>IF(ISERROR(VLOOKUP($A1589,'13. Updated Demand'!A:Z,18,FALSE)),0,VLOOKUP($A1589,'13. Updated Demand'!A:Z,18,FALSE))</f>
        <v>0</v>
      </c>
      <c r="AB1589" s="16">
        <f>IF(ISERROR(VLOOKUP($A1589,'13. Updated Demand'!A:Z,19,FALSE)),0,VLOOKUP($A1589,'13. Updated Demand'!A:Z,19,FALSE))</f>
        <v>0</v>
      </c>
      <c r="AC1589" s="16">
        <f>IF(ISERROR(VLOOKUP($A1589,'13. Updated Demand'!A:Z,20,FALSE)),0,VLOOKUP($A1589,'13. Updated Demand'!A:Z,20,FALSE))</f>
        <v>0</v>
      </c>
      <c r="AD1589" s="16">
        <f>IF(ISERROR(VLOOKUP($A1589,'13. Updated Demand'!A:Z,21,FALSE)),0,VLOOKUP($A1589,'13. Updated Demand'!A:Z,21,FALSE))</f>
        <v>0</v>
      </c>
      <c r="AE1589" s="16">
        <f>IF(ISERROR(VLOOKUP($A1589,'13. Updated Demand'!A:Z,22,FALSE)),0,VLOOKUP($A1589,'13. Updated Demand'!A:Z,22,FALSE))</f>
        <v>0</v>
      </c>
      <c r="AF1589" s="16">
        <f>IF(ISERROR(VLOOKUP($A1589,'13. Updated Demand'!A:Z,23,FALSE)),0,VLOOKUP($A1589,'13. Updated Demand'!A:Z,23,FALSE))</f>
        <v>0</v>
      </c>
      <c r="AG1589" s="16">
        <f>IF(ISERROR(VLOOKUP($A1589,'13. Updated Demand'!A:Z,24,FALSE)),0,VLOOKUP($A1589,'13. Updated Demand'!A:Z,24,FALSE))</f>
        <v>0</v>
      </c>
      <c r="AH1589" s="16">
        <f>IF(ISERROR(VLOOKUP($A1589,'13. Updated Demand'!A:Z,25,FALSE)),0,VLOOKUP($A1589,'13. Updated Demand'!A:Z,25,FALSE))</f>
        <v>0</v>
      </c>
      <c r="AI1589" s="16">
        <f>IF(ISERROR(VLOOKUP($A1589,'13. Updated Demand'!A:Z,26,FALSE)),0,VLOOKUP($A1589,'13. Updated Demand'!A:Z,26,FALSE))</f>
        <v>0</v>
      </c>
      <c r="AJ1589" s="16">
        <f t="shared" si="301"/>
        <v>0</v>
      </c>
      <c r="AK1589" s="19">
        <v>0</v>
      </c>
      <c r="AL1589" s="16">
        <f t="shared" si="299"/>
        <v>0</v>
      </c>
      <c r="AM1589" s="26">
        <v>0</v>
      </c>
      <c r="AN1589" s="19">
        <v>0.4032</v>
      </c>
      <c r="AO1589" s="19" t="s">
        <v>1758</v>
      </c>
      <c r="AP1589" s="19">
        <v>0</v>
      </c>
      <c r="AQ1589" s="19" t="s">
        <v>307</v>
      </c>
      <c r="AR1589" s="9" t="s">
        <v>331</v>
      </c>
      <c r="AS1589" s="12">
        <v>3.4039024194010059E-4</v>
      </c>
      <c r="AT1589" s="19">
        <v>39.148875820000001</v>
      </c>
      <c r="AU1589" s="19">
        <v>-123.23249653000001</v>
      </c>
      <c r="AV1589" s="19" t="s">
        <v>1550</v>
      </c>
    </row>
    <row r="1590" spans="1:48" x14ac:dyDescent="0.25">
      <c r="A1590" s="18" t="s">
        <v>1985</v>
      </c>
      <c r="B1590" s="10">
        <v>10000000</v>
      </c>
      <c r="C1590" s="9">
        <v>18</v>
      </c>
      <c r="D1590" s="8" t="str">
        <f t="shared" si="290"/>
        <v>N</v>
      </c>
      <c r="E1590" s="8" t="str">
        <f t="shared" si="291"/>
        <v>N</v>
      </c>
      <c r="F1590" s="8" t="str">
        <f t="shared" si="292"/>
        <v>N</v>
      </c>
      <c r="G1590" s="8" t="str">
        <f t="shared" si="293"/>
        <v>N</v>
      </c>
      <c r="H1590" s="8" t="str">
        <f t="shared" si="294"/>
        <v>Lower</v>
      </c>
      <c r="I1590" s="8" t="str">
        <f t="shared" si="295"/>
        <v>Outside</v>
      </c>
      <c r="J1590" s="8" t="str">
        <f t="shared" si="296"/>
        <v>Outside</v>
      </c>
      <c r="K1590" s="8" t="str">
        <f t="shared" si="297"/>
        <v>Riparian</v>
      </c>
      <c r="L1590" s="8">
        <f t="shared" si="298"/>
        <v>1000</v>
      </c>
      <c r="M1590" s="8" t="str">
        <f t="shared" si="300"/>
        <v>-</v>
      </c>
      <c r="N1590" s="10" t="s">
        <v>242</v>
      </c>
      <c r="O1590" s="10" t="s">
        <v>242</v>
      </c>
      <c r="P1590" s="10" t="s">
        <v>242</v>
      </c>
      <c r="Q1590" s="10" t="s">
        <v>242</v>
      </c>
      <c r="R1590" s="10" t="s">
        <v>242</v>
      </c>
      <c r="S1590" s="10" t="s">
        <v>241</v>
      </c>
      <c r="T1590" s="10" t="s">
        <v>242</v>
      </c>
      <c r="U1590" s="10" t="s">
        <v>241</v>
      </c>
      <c r="V1590" s="10" t="s">
        <v>241</v>
      </c>
      <c r="W1590" s="10" t="s">
        <v>242</v>
      </c>
      <c r="X1590" s="15">
        <f>IF(ISERROR(VLOOKUP($A1590,'13. Updated Demand'!A:Z,15,FALSE)),0,VLOOKUP($A1590,'13. Updated Demand'!A:Z,15,FALSE))</f>
        <v>0</v>
      </c>
      <c r="Y1590" s="16">
        <f>IF(ISERROR(VLOOKUP($A1590,'13. Updated Demand'!A:Z,16,FALSE)),0,VLOOKUP($A1590,'13. Updated Demand'!A:Z,16,FALSE))</f>
        <v>0</v>
      </c>
      <c r="Z1590" s="16">
        <f>IF(ISERROR(VLOOKUP($A1590,'13. Updated Demand'!A:Z,17,FALSE)),0,VLOOKUP($A1590,'13. Updated Demand'!A:Z,17,FALSE))</f>
        <v>0</v>
      </c>
      <c r="AA1590" s="16">
        <f>IF(ISERROR(VLOOKUP($A1590,'13. Updated Demand'!A:Z,18,FALSE)),0,VLOOKUP($A1590,'13. Updated Demand'!A:Z,18,FALSE))</f>
        <v>0</v>
      </c>
      <c r="AB1590" s="16">
        <f>IF(ISERROR(VLOOKUP($A1590,'13. Updated Demand'!A:Z,19,FALSE)),0,VLOOKUP($A1590,'13. Updated Demand'!A:Z,19,FALSE))</f>
        <v>0</v>
      </c>
      <c r="AC1590" s="16">
        <f>IF(ISERROR(VLOOKUP($A1590,'13. Updated Demand'!A:Z,20,FALSE)),0,VLOOKUP($A1590,'13. Updated Demand'!A:Z,20,FALSE))</f>
        <v>0</v>
      </c>
      <c r="AD1590" s="16">
        <f>IF(ISERROR(VLOOKUP($A1590,'13. Updated Demand'!A:Z,21,FALSE)),0,VLOOKUP($A1590,'13. Updated Demand'!A:Z,21,FALSE))</f>
        <v>0</v>
      </c>
      <c r="AE1590" s="16">
        <f>IF(ISERROR(VLOOKUP($A1590,'13. Updated Demand'!A:Z,22,FALSE)),0,VLOOKUP($A1590,'13. Updated Demand'!A:Z,22,FALSE))</f>
        <v>0</v>
      </c>
      <c r="AF1590" s="16">
        <f>IF(ISERROR(VLOOKUP($A1590,'13. Updated Demand'!A:Z,23,FALSE)),0,VLOOKUP($A1590,'13. Updated Demand'!A:Z,23,FALSE))</f>
        <v>0</v>
      </c>
      <c r="AG1590" s="16">
        <f>IF(ISERROR(VLOOKUP($A1590,'13. Updated Demand'!A:Z,24,FALSE)),0,VLOOKUP($A1590,'13. Updated Demand'!A:Z,24,FALSE))</f>
        <v>0</v>
      </c>
      <c r="AH1590" s="16">
        <f>IF(ISERROR(VLOOKUP($A1590,'13. Updated Demand'!A:Z,25,FALSE)),0,VLOOKUP($A1590,'13. Updated Demand'!A:Z,25,FALSE))</f>
        <v>0</v>
      </c>
      <c r="AI1590" s="16">
        <f>IF(ISERROR(VLOOKUP($A1590,'13. Updated Demand'!A:Z,26,FALSE)),0,VLOOKUP($A1590,'13. Updated Demand'!A:Z,26,FALSE))</f>
        <v>0</v>
      </c>
      <c r="AJ1590" s="16">
        <f t="shared" si="301"/>
        <v>0</v>
      </c>
      <c r="AK1590" s="19">
        <v>0</v>
      </c>
      <c r="AL1590" s="16">
        <f t="shared" si="299"/>
        <v>0</v>
      </c>
      <c r="AM1590" s="26">
        <v>0</v>
      </c>
      <c r="AN1590" s="19">
        <v>162.99</v>
      </c>
      <c r="AO1590" s="19" t="s">
        <v>1758</v>
      </c>
      <c r="AP1590" s="19">
        <v>0</v>
      </c>
      <c r="AQ1590" s="19" t="s">
        <v>307</v>
      </c>
      <c r="AR1590" s="9" t="s">
        <v>352</v>
      </c>
      <c r="AS1590" s="12">
        <v>0</v>
      </c>
      <c r="AT1590" s="19">
        <v>38.432944339999999</v>
      </c>
      <c r="AU1590" s="19">
        <v>-122.89181356</v>
      </c>
      <c r="AV1590" s="19" t="s">
        <v>1031</v>
      </c>
    </row>
    <row r="1591" spans="1:48" x14ac:dyDescent="0.25">
      <c r="A1591" s="18" t="s">
        <v>1986</v>
      </c>
      <c r="B1591" s="10">
        <v>10000000</v>
      </c>
      <c r="C1591" s="9">
        <v>4</v>
      </c>
      <c r="D1591" s="8" t="str">
        <f t="shared" si="290"/>
        <v>Y</v>
      </c>
      <c r="E1591" s="8" t="str">
        <f t="shared" si="291"/>
        <v>N</v>
      </c>
      <c r="F1591" s="8" t="str">
        <f t="shared" si="292"/>
        <v>Y</v>
      </c>
      <c r="G1591" s="8" t="str">
        <f t="shared" si="293"/>
        <v>Y</v>
      </c>
      <c r="H1591" s="8" t="str">
        <f t="shared" si="294"/>
        <v>Upper</v>
      </c>
      <c r="I1591" s="8" t="str">
        <f t="shared" si="295"/>
        <v>West Fork and Below Lake</v>
      </c>
      <c r="J1591" s="8" t="str">
        <f t="shared" si="296"/>
        <v>Mendocino (d/s of lake)</v>
      </c>
      <c r="K1591" s="8" t="str">
        <f t="shared" si="297"/>
        <v>Riparian</v>
      </c>
      <c r="L1591" s="8">
        <f t="shared" si="298"/>
        <v>1000</v>
      </c>
      <c r="M1591" s="8" t="str">
        <f t="shared" si="300"/>
        <v>-</v>
      </c>
      <c r="N1591" s="10" t="s">
        <v>241</v>
      </c>
      <c r="O1591" s="10" t="s">
        <v>241</v>
      </c>
      <c r="P1591" s="10" t="s">
        <v>242</v>
      </c>
      <c r="Q1591" s="10" t="s">
        <v>242</v>
      </c>
      <c r="R1591" s="10" t="s">
        <v>242</v>
      </c>
      <c r="S1591" s="10" t="s">
        <v>241</v>
      </c>
      <c r="T1591" s="10" t="s">
        <v>242</v>
      </c>
      <c r="U1591" s="10" t="s">
        <v>241</v>
      </c>
      <c r="V1591" s="10" t="s">
        <v>241</v>
      </c>
      <c r="W1591" s="10" t="s">
        <v>242</v>
      </c>
      <c r="X1591" s="15">
        <f>IF(ISERROR(VLOOKUP($A1591,'13. Updated Demand'!A:Z,15,FALSE)),0,VLOOKUP($A1591,'13. Updated Demand'!A:Z,15,FALSE))</f>
        <v>0</v>
      </c>
      <c r="Y1591" s="16">
        <f>IF(ISERROR(VLOOKUP($A1591,'13. Updated Demand'!A:Z,16,FALSE)),0,VLOOKUP($A1591,'13. Updated Demand'!A:Z,16,FALSE))</f>
        <v>0</v>
      </c>
      <c r="Z1591" s="16">
        <f>IF(ISERROR(VLOOKUP($A1591,'13. Updated Demand'!A:Z,17,FALSE)),0,VLOOKUP($A1591,'13. Updated Demand'!A:Z,17,FALSE))</f>
        <v>0</v>
      </c>
      <c r="AA1591" s="16">
        <f>IF(ISERROR(VLOOKUP($A1591,'13. Updated Demand'!A:Z,18,FALSE)),0,VLOOKUP($A1591,'13. Updated Demand'!A:Z,18,FALSE))</f>
        <v>0</v>
      </c>
      <c r="AB1591" s="16">
        <f>IF(ISERROR(VLOOKUP($A1591,'13. Updated Demand'!A:Z,19,FALSE)),0,VLOOKUP($A1591,'13. Updated Demand'!A:Z,19,FALSE))</f>
        <v>0</v>
      </c>
      <c r="AC1591" s="16">
        <f>IF(ISERROR(VLOOKUP($A1591,'13. Updated Demand'!A:Z,20,FALSE)),0,VLOOKUP($A1591,'13. Updated Demand'!A:Z,20,FALSE))</f>
        <v>0</v>
      </c>
      <c r="AD1591" s="16">
        <f>IF(ISERROR(VLOOKUP($A1591,'13. Updated Demand'!A:Z,21,FALSE)),0,VLOOKUP($A1591,'13. Updated Demand'!A:Z,21,FALSE))</f>
        <v>0</v>
      </c>
      <c r="AE1591" s="16">
        <f>IF(ISERROR(VLOOKUP($A1591,'13. Updated Demand'!A:Z,22,FALSE)),0,VLOOKUP($A1591,'13. Updated Demand'!A:Z,22,FALSE))</f>
        <v>0</v>
      </c>
      <c r="AF1591" s="16">
        <f>IF(ISERROR(VLOOKUP($A1591,'13. Updated Demand'!A:Z,23,FALSE)),0,VLOOKUP($A1591,'13. Updated Demand'!A:Z,23,FALSE))</f>
        <v>0</v>
      </c>
      <c r="AG1591" s="16">
        <f>IF(ISERROR(VLOOKUP($A1591,'13. Updated Demand'!A:Z,24,FALSE)),0,VLOOKUP($A1591,'13. Updated Demand'!A:Z,24,FALSE))</f>
        <v>0</v>
      </c>
      <c r="AH1591" s="16">
        <f>IF(ISERROR(VLOOKUP($A1591,'13. Updated Demand'!A:Z,25,FALSE)),0,VLOOKUP($A1591,'13. Updated Demand'!A:Z,25,FALSE))</f>
        <v>0</v>
      </c>
      <c r="AI1591" s="16">
        <f>IF(ISERROR(VLOOKUP($A1591,'13. Updated Demand'!A:Z,26,FALSE)),0,VLOOKUP($A1591,'13. Updated Demand'!A:Z,26,FALSE))</f>
        <v>0</v>
      </c>
      <c r="AJ1591" s="16">
        <f t="shared" si="301"/>
        <v>0</v>
      </c>
      <c r="AK1591" s="19">
        <v>0</v>
      </c>
      <c r="AL1591" s="16">
        <f t="shared" si="299"/>
        <v>0</v>
      </c>
      <c r="AM1591" s="26">
        <v>0</v>
      </c>
      <c r="AN1591" s="19">
        <v>97.793999999999997</v>
      </c>
      <c r="AO1591" s="19" t="s">
        <v>1758</v>
      </c>
      <c r="AP1591" s="19">
        <v>0</v>
      </c>
      <c r="AQ1591" s="19" t="s">
        <v>307</v>
      </c>
      <c r="AR1591" s="9" t="s">
        <v>331</v>
      </c>
      <c r="AS1591" s="12">
        <v>0</v>
      </c>
      <c r="AT1591" s="19">
        <v>39.155554219999999</v>
      </c>
      <c r="AU1591" s="19">
        <v>-123.18411748</v>
      </c>
      <c r="AV1591" s="19" t="s">
        <v>387</v>
      </c>
    </row>
    <row r="1592" spans="1:48" x14ac:dyDescent="0.25">
      <c r="A1592" s="18" t="s">
        <v>1987</v>
      </c>
      <c r="B1592" s="10">
        <v>10000000</v>
      </c>
      <c r="C1592" s="9">
        <v>4</v>
      </c>
      <c r="D1592" s="8" t="str">
        <f t="shared" si="290"/>
        <v>Y</v>
      </c>
      <c r="E1592" s="8" t="str">
        <f t="shared" si="291"/>
        <v>N</v>
      </c>
      <c r="F1592" s="8" t="str">
        <f t="shared" si="292"/>
        <v>Y</v>
      </c>
      <c r="G1592" s="8" t="str">
        <f t="shared" si="293"/>
        <v>Y</v>
      </c>
      <c r="H1592" s="8" t="str">
        <f t="shared" si="294"/>
        <v>Upper</v>
      </c>
      <c r="I1592" s="8" t="str">
        <f t="shared" si="295"/>
        <v>West Fork and Below Lake</v>
      </c>
      <c r="J1592" s="8" t="str">
        <f t="shared" si="296"/>
        <v>Mendocino (d/s of lake)</v>
      </c>
      <c r="K1592" s="8" t="str">
        <f t="shared" si="297"/>
        <v>Riparian</v>
      </c>
      <c r="L1592" s="8">
        <f t="shared" si="298"/>
        <v>1000</v>
      </c>
      <c r="M1592" s="8" t="str">
        <f t="shared" si="300"/>
        <v>-</v>
      </c>
      <c r="N1592" s="10" t="s">
        <v>242</v>
      </c>
      <c r="O1592" s="10" t="s">
        <v>241</v>
      </c>
      <c r="P1592" s="10" t="s">
        <v>242</v>
      </c>
      <c r="Q1592" s="10" t="s">
        <v>242</v>
      </c>
      <c r="R1592" s="10" t="s">
        <v>242</v>
      </c>
      <c r="S1592" s="10" t="s">
        <v>241</v>
      </c>
      <c r="T1592" s="10" t="s">
        <v>242</v>
      </c>
      <c r="U1592" s="10" t="s">
        <v>241</v>
      </c>
      <c r="V1592" s="10" t="s">
        <v>241</v>
      </c>
      <c r="W1592" s="10" t="s">
        <v>242</v>
      </c>
      <c r="X1592" s="15">
        <f>IF(ISERROR(VLOOKUP($A1592,'13. Updated Demand'!A:Z,15,FALSE)),0,VLOOKUP($A1592,'13. Updated Demand'!A:Z,15,FALSE))</f>
        <v>0</v>
      </c>
      <c r="Y1592" s="16">
        <f>IF(ISERROR(VLOOKUP($A1592,'13. Updated Demand'!A:Z,16,FALSE)),0,VLOOKUP($A1592,'13. Updated Demand'!A:Z,16,FALSE))</f>
        <v>0</v>
      </c>
      <c r="Z1592" s="16">
        <f>IF(ISERROR(VLOOKUP($A1592,'13. Updated Demand'!A:Z,17,FALSE)),0,VLOOKUP($A1592,'13. Updated Demand'!A:Z,17,FALSE))</f>
        <v>0</v>
      </c>
      <c r="AA1592" s="16">
        <f>IF(ISERROR(VLOOKUP($A1592,'13. Updated Demand'!A:Z,18,FALSE)),0,VLOOKUP($A1592,'13. Updated Demand'!A:Z,18,FALSE))</f>
        <v>0</v>
      </c>
      <c r="AB1592" s="16">
        <f>IF(ISERROR(VLOOKUP($A1592,'13. Updated Demand'!A:Z,19,FALSE)),0,VLOOKUP($A1592,'13. Updated Demand'!A:Z,19,FALSE))</f>
        <v>0</v>
      </c>
      <c r="AC1592" s="16">
        <f>IF(ISERROR(VLOOKUP($A1592,'13. Updated Demand'!A:Z,20,FALSE)),0,VLOOKUP($A1592,'13. Updated Demand'!A:Z,20,FALSE))</f>
        <v>0</v>
      </c>
      <c r="AD1592" s="16">
        <f>IF(ISERROR(VLOOKUP($A1592,'13. Updated Demand'!A:Z,21,FALSE)),0,VLOOKUP($A1592,'13. Updated Demand'!A:Z,21,FALSE))</f>
        <v>0</v>
      </c>
      <c r="AE1592" s="16">
        <f>IF(ISERROR(VLOOKUP($A1592,'13. Updated Demand'!A:Z,22,FALSE)),0,VLOOKUP($A1592,'13. Updated Demand'!A:Z,22,FALSE))</f>
        <v>0</v>
      </c>
      <c r="AF1592" s="16">
        <f>IF(ISERROR(VLOOKUP($A1592,'13. Updated Demand'!A:Z,23,FALSE)),0,VLOOKUP($A1592,'13. Updated Demand'!A:Z,23,FALSE))</f>
        <v>0</v>
      </c>
      <c r="AG1592" s="16">
        <f>IF(ISERROR(VLOOKUP($A1592,'13. Updated Demand'!A:Z,24,FALSE)),0,VLOOKUP($A1592,'13. Updated Demand'!A:Z,24,FALSE))</f>
        <v>0</v>
      </c>
      <c r="AH1592" s="16">
        <f>IF(ISERROR(VLOOKUP($A1592,'13. Updated Demand'!A:Z,25,FALSE)),0,VLOOKUP($A1592,'13. Updated Demand'!A:Z,25,FALSE))</f>
        <v>0</v>
      </c>
      <c r="AI1592" s="16">
        <f>IF(ISERROR(VLOOKUP($A1592,'13. Updated Demand'!A:Z,26,FALSE)),0,VLOOKUP($A1592,'13. Updated Demand'!A:Z,26,FALSE))</f>
        <v>0</v>
      </c>
      <c r="AJ1592" s="16">
        <f t="shared" si="301"/>
        <v>0</v>
      </c>
      <c r="AK1592" s="19">
        <v>0</v>
      </c>
      <c r="AL1592" s="16">
        <f t="shared" si="299"/>
        <v>0</v>
      </c>
      <c r="AM1592" s="26">
        <v>0</v>
      </c>
      <c r="AN1592" s="19">
        <v>181100</v>
      </c>
      <c r="AO1592" s="19" t="s">
        <v>1758</v>
      </c>
      <c r="AP1592" s="19">
        <v>0</v>
      </c>
      <c r="AQ1592" s="19" t="s">
        <v>307</v>
      </c>
      <c r="AR1592" s="9" t="s">
        <v>331</v>
      </c>
      <c r="AS1592" s="12">
        <v>0</v>
      </c>
      <c r="AT1592" s="19">
        <v>39.200716190000001</v>
      </c>
      <c r="AU1592" s="19">
        <v>-123.22492917</v>
      </c>
      <c r="AV1592" s="19" t="s">
        <v>613</v>
      </c>
    </row>
    <row r="1593" spans="1:48" x14ac:dyDescent="0.25">
      <c r="A1593" s="18" t="s">
        <v>1988</v>
      </c>
      <c r="B1593" s="10">
        <v>10000000</v>
      </c>
      <c r="C1593" s="9">
        <v>9</v>
      </c>
      <c r="D1593" s="8" t="str">
        <f t="shared" si="290"/>
        <v>N</v>
      </c>
      <c r="E1593" s="8" t="str">
        <f t="shared" si="291"/>
        <v>Y</v>
      </c>
      <c r="F1593" s="8" t="str">
        <f t="shared" si="292"/>
        <v>Y</v>
      </c>
      <c r="G1593" s="8" t="str">
        <f t="shared" si="293"/>
        <v>Y</v>
      </c>
      <c r="H1593" s="8" t="str">
        <f t="shared" si="294"/>
        <v>Upper</v>
      </c>
      <c r="I1593" s="8" t="str">
        <f t="shared" si="295"/>
        <v>West Fork and Below Lake</v>
      </c>
      <c r="J1593" s="8" t="str">
        <f t="shared" si="296"/>
        <v>Sonoma (d/s of Clov. Gage)</v>
      </c>
      <c r="K1593" s="8" t="str">
        <f t="shared" si="297"/>
        <v>Riparian</v>
      </c>
      <c r="L1593" s="8">
        <f t="shared" si="298"/>
        <v>1000</v>
      </c>
      <c r="M1593" s="8" t="str">
        <f t="shared" si="300"/>
        <v>-</v>
      </c>
      <c r="N1593" s="10" t="s">
        <v>242</v>
      </c>
      <c r="O1593" s="10" t="s">
        <v>241</v>
      </c>
      <c r="P1593" s="10" t="s">
        <v>242</v>
      </c>
      <c r="Q1593" s="10" t="s">
        <v>242</v>
      </c>
      <c r="R1593" s="10" t="s">
        <v>242</v>
      </c>
      <c r="S1593" s="10" t="s">
        <v>241</v>
      </c>
      <c r="T1593" s="10" t="s">
        <v>242</v>
      </c>
      <c r="U1593" s="10" t="s">
        <v>242</v>
      </c>
      <c r="V1593" s="10" t="s">
        <v>242</v>
      </c>
      <c r="W1593" s="10" t="s">
        <v>242</v>
      </c>
      <c r="X1593" s="15">
        <f>IF(ISERROR(VLOOKUP($A1593,'13. Updated Demand'!A:Z,15,FALSE)),0,VLOOKUP($A1593,'13. Updated Demand'!A:Z,15,FALSE))</f>
        <v>0</v>
      </c>
      <c r="Y1593" s="16">
        <f>IF(ISERROR(VLOOKUP($A1593,'13. Updated Demand'!A:Z,16,FALSE)),0,VLOOKUP($A1593,'13. Updated Demand'!A:Z,16,FALSE))</f>
        <v>0</v>
      </c>
      <c r="Z1593" s="16">
        <f>IF(ISERROR(VLOOKUP($A1593,'13. Updated Demand'!A:Z,17,FALSE)),0,VLOOKUP($A1593,'13. Updated Demand'!A:Z,17,FALSE))</f>
        <v>0</v>
      </c>
      <c r="AA1593" s="16">
        <f>IF(ISERROR(VLOOKUP($A1593,'13. Updated Demand'!A:Z,18,FALSE)),0,VLOOKUP($A1593,'13. Updated Demand'!A:Z,18,FALSE))</f>
        <v>0</v>
      </c>
      <c r="AB1593" s="16">
        <f>IF(ISERROR(VLOOKUP($A1593,'13. Updated Demand'!A:Z,19,FALSE)),0,VLOOKUP($A1593,'13. Updated Demand'!A:Z,19,FALSE))</f>
        <v>1.42</v>
      </c>
      <c r="AC1593" s="16">
        <f>IF(ISERROR(VLOOKUP($A1593,'13. Updated Demand'!A:Z,20,FALSE)),0,VLOOKUP($A1593,'13. Updated Demand'!A:Z,20,FALSE))</f>
        <v>2.02</v>
      </c>
      <c r="AD1593" s="16">
        <f>IF(ISERROR(VLOOKUP($A1593,'13. Updated Demand'!A:Z,21,FALSE)),0,VLOOKUP($A1593,'13. Updated Demand'!A:Z,21,FALSE))</f>
        <v>2.02</v>
      </c>
      <c r="AE1593" s="16">
        <f>IF(ISERROR(VLOOKUP($A1593,'13. Updated Demand'!A:Z,22,FALSE)),0,VLOOKUP($A1593,'13. Updated Demand'!A:Z,22,FALSE))</f>
        <v>2.02</v>
      </c>
      <c r="AF1593" s="16">
        <f>IF(ISERROR(VLOOKUP($A1593,'13. Updated Demand'!A:Z,23,FALSE)),0,VLOOKUP($A1593,'13. Updated Demand'!A:Z,23,FALSE))</f>
        <v>1.42</v>
      </c>
      <c r="AG1593" s="16">
        <f>IF(ISERROR(VLOOKUP($A1593,'13. Updated Demand'!A:Z,24,FALSE)),0,VLOOKUP($A1593,'13. Updated Demand'!A:Z,24,FALSE))</f>
        <v>1.42</v>
      </c>
      <c r="AH1593" s="16">
        <f>IF(ISERROR(VLOOKUP($A1593,'13. Updated Demand'!A:Z,25,FALSE)),0,VLOOKUP($A1593,'13. Updated Demand'!A:Z,25,FALSE))</f>
        <v>0</v>
      </c>
      <c r="AI1593" s="16">
        <f>IF(ISERROR(VLOOKUP($A1593,'13. Updated Demand'!A:Z,26,FALSE)),0,VLOOKUP($A1593,'13. Updated Demand'!A:Z,26,FALSE))</f>
        <v>0</v>
      </c>
      <c r="AJ1593" s="16">
        <f t="shared" si="301"/>
        <v>10.32</v>
      </c>
      <c r="AK1593" s="19">
        <v>8.9304640000000006</v>
      </c>
      <c r="AL1593" s="16">
        <f t="shared" si="299"/>
        <v>2.962133181255433E-2</v>
      </c>
      <c r="AM1593" s="26">
        <v>0.31773412479293212</v>
      </c>
      <c r="AN1593" s="19">
        <v>32.597999999999999</v>
      </c>
      <c r="AO1593" s="19" t="s">
        <v>1758</v>
      </c>
      <c r="AP1593" s="19">
        <v>0</v>
      </c>
      <c r="AQ1593" s="19" t="s">
        <v>307</v>
      </c>
      <c r="AR1593" s="9" t="s">
        <v>354</v>
      </c>
      <c r="AS1593" s="12">
        <v>0</v>
      </c>
      <c r="AT1593" s="19">
        <v>38.754069940000001</v>
      </c>
      <c r="AU1593" s="19">
        <v>-122.9124927</v>
      </c>
      <c r="AV1593" s="19" t="s">
        <v>1989</v>
      </c>
    </row>
    <row r="1594" spans="1:48" x14ac:dyDescent="0.25">
      <c r="A1594" s="18" t="s">
        <v>1990</v>
      </c>
      <c r="B1594" s="10">
        <v>10000000</v>
      </c>
      <c r="C1594" s="9">
        <v>9</v>
      </c>
      <c r="D1594" s="8" t="str">
        <f t="shared" si="290"/>
        <v>N</v>
      </c>
      <c r="E1594" s="8" t="str">
        <f t="shared" si="291"/>
        <v>Y</v>
      </c>
      <c r="F1594" s="8" t="str">
        <f t="shared" si="292"/>
        <v>Y</v>
      </c>
      <c r="G1594" s="8" t="str">
        <f t="shared" si="293"/>
        <v>Y</v>
      </c>
      <c r="H1594" s="8" t="str">
        <f t="shared" si="294"/>
        <v>Upper</v>
      </c>
      <c r="I1594" s="8" t="str">
        <f t="shared" si="295"/>
        <v>West Fork and Below Lake</v>
      </c>
      <c r="J1594" s="8" t="str">
        <f t="shared" si="296"/>
        <v>Sonoma (d/s of Clov. Gage)</v>
      </c>
      <c r="K1594" s="8" t="str">
        <f t="shared" si="297"/>
        <v>Riparian</v>
      </c>
      <c r="L1594" s="8">
        <f t="shared" si="298"/>
        <v>1000</v>
      </c>
      <c r="M1594" s="8" t="str">
        <f t="shared" si="300"/>
        <v>-</v>
      </c>
      <c r="N1594" s="10" t="s">
        <v>241</v>
      </c>
      <c r="O1594" s="10" t="s">
        <v>241</v>
      </c>
      <c r="P1594" s="10" t="s">
        <v>242</v>
      </c>
      <c r="Q1594" s="10" t="s">
        <v>242</v>
      </c>
      <c r="R1594" s="10" t="s">
        <v>242</v>
      </c>
      <c r="S1594" s="10" t="s">
        <v>241</v>
      </c>
      <c r="T1594" s="10" t="s">
        <v>242</v>
      </c>
      <c r="U1594" s="10" t="s">
        <v>242</v>
      </c>
      <c r="V1594" s="10" t="s">
        <v>242</v>
      </c>
      <c r="W1594" s="10" t="s">
        <v>242</v>
      </c>
      <c r="X1594" s="15">
        <f>IF(ISERROR(VLOOKUP($A1594,'13. Updated Demand'!A:Z,15,FALSE)),0,VLOOKUP($A1594,'13. Updated Demand'!A:Z,15,FALSE))</f>
        <v>0</v>
      </c>
      <c r="Y1594" s="16">
        <f>IF(ISERROR(VLOOKUP($A1594,'13. Updated Demand'!A:Z,16,FALSE)),0,VLOOKUP($A1594,'13. Updated Demand'!A:Z,16,FALSE))</f>
        <v>0</v>
      </c>
      <c r="Z1594" s="16">
        <f>IF(ISERROR(VLOOKUP($A1594,'13. Updated Demand'!A:Z,17,FALSE)),0,VLOOKUP($A1594,'13. Updated Demand'!A:Z,17,FALSE))</f>
        <v>0</v>
      </c>
      <c r="AA1594" s="16">
        <f>IF(ISERROR(VLOOKUP($A1594,'13. Updated Demand'!A:Z,18,FALSE)),0,VLOOKUP($A1594,'13. Updated Demand'!A:Z,18,FALSE))</f>
        <v>0</v>
      </c>
      <c r="AB1594" s="16">
        <f>IF(ISERROR(VLOOKUP($A1594,'13. Updated Demand'!A:Z,19,FALSE)),0,VLOOKUP($A1594,'13. Updated Demand'!A:Z,19,FALSE))</f>
        <v>7.4</v>
      </c>
      <c r="AC1594" s="16">
        <f>IF(ISERROR(VLOOKUP($A1594,'13. Updated Demand'!A:Z,20,FALSE)),0,VLOOKUP($A1594,'13. Updated Demand'!A:Z,20,FALSE))</f>
        <v>8.1999999999999993</v>
      </c>
      <c r="AD1594" s="16">
        <f>IF(ISERROR(VLOOKUP($A1594,'13. Updated Demand'!A:Z,21,FALSE)),0,VLOOKUP($A1594,'13. Updated Demand'!A:Z,21,FALSE))</f>
        <v>8.1999999999999993</v>
      </c>
      <c r="AE1594" s="16">
        <f>IF(ISERROR(VLOOKUP($A1594,'13. Updated Demand'!A:Z,22,FALSE)),0,VLOOKUP($A1594,'13. Updated Demand'!A:Z,22,FALSE))</f>
        <v>8.1999999999999993</v>
      </c>
      <c r="AF1594" s="16">
        <f>IF(ISERROR(VLOOKUP($A1594,'13. Updated Demand'!A:Z,23,FALSE)),0,VLOOKUP($A1594,'13. Updated Demand'!A:Z,23,FALSE))</f>
        <v>5.2</v>
      </c>
      <c r="AG1594" s="16">
        <f>IF(ISERROR(VLOOKUP($A1594,'13. Updated Demand'!A:Z,24,FALSE)),0,VLOOKUP($A1594,'13. Updated Demand'!A:Z,24,FALSE))</f>
        <v>5</v>
      </c>
      <c r="AH1594" s="16">
        <f>IF(ISERROR(VLOOKUP($A1594,'13. Updated Demand'!A:Z,25,FALSE)),0,VLOOKUP($A1594,'13. Updated Demand'!A:Z,25,FALSE))</f>
        <v>0</v>
      </c>
      <c r="AI1594" s="16">
        <f>IF(ISERROR(VLOOKUP($A1594,'13. Updated Demand'!A:Z,26,FALSE)),0,VLOOKUP($A1594,'13. Updated Demand'!A:Z,26,FALSE))</f>
        <v>0</v>
      </c>
      <c r="AJ1594" s="16">
        <f t="shared" si="301"/>
        <v>42.199999999999996</v>
      </c>
      <c r="AK1594" s="19">
        <v>37.199999999999996</v>
      </c>
      <c r="AL1594" s="16">
        <f t="shared" si="299"/>
        <v>0.12338816252179292</v>
      </c>
      <c r="AM1594" s="26">
        <v>0.26182070865311236</v>
      </c>
      <c r="AN1594" s="19">
        <v>161.179</v>
      </c>
      <c r="AO1594" s="19" t="s">
        <v>1758</v>
      </c>
      <c r="AP1594" s="19">
        <v>0</v>
      </c>
      <c r="AQ1594" s="19" t="s">
        <v>307</v>
      </c>
      <c r="AR1594" s="9" t="s">
        <v>354</v>
      </c>
      <c r="AS1594" s="12">
        <v>0</v>
      </c>
      <c r="AT1594" s="19">
        <v>38.858847419999996</v>
      </c>
      <c r="AU1594" s="19">
        <v>-123.0409746</v>
      </c>
      <c r="AV1594" s="19" t="s">
        <v>387</v>
      </c>
    </row>
    <row r="1595" spans="1:48" x14ac:dyDescent="0.25">
      <c r="A1595" s="18" t="s">
        <v>1991</v>
      </c>
      <c r="B1595" s="10">
        <v>10000000</v>
      </c>
      <c r="C1595" s="9">
        <v>16</v>
      </c>
      <c r="D1595" s="8" t="str">
        <f t="shared" si="290"/>
        <v>N</v>
      </c>
      <c r="E1595" s="8" t="str">
        <f t="shared" si="291"/>
        <v>N</v>
      </c>
      <c r="F1595" s="8" t="str">
        <f t="shared" si="292"/>
        <v>N</v>
      </c>
      <c r="G1595" s="8" t="str">
        <f t="shared" si="293"/>
        <v>N</v>
      </c>
      <c r="H1595" s="8" t="str">
        <f t="shared" si="294"/>
        <v>Lower</v>
      </c>
      <c r="I1595" s="8" t="str">
        <f t="shared" si="295"/>
        <v>Outside</v>
      </c>
      <c r="J1595" s="8" t="str">
        <f t="shared" si="296"/>
        <v>Outside</v>
      </c>
      <c r="K1595" s="8" t="str">
        <f t="shared" si="297"/>
        <v>Riparian</v>
      </c>
      <c r="L1595" s="8">
        <f t="shared" si="298"/>
        <v>1000</v>
      </c>
      <c r="M1595" s="8" t="str">
        <f t="shared" si="300"/>
        <v>-</v>
      </c>
      <c r="N1595" s="10" t="s">
        <v>242</v>
      </c>
      <c r="O1595" s="10" t="s">
        <v>242</v>
      </c>
      <c r="P1595" s="10" t="s">
        <v>242</v>
      </c>
      <c r="Q1595" s="10" t="s">
        <v>242</v>
      </c>
      <c r="R1595" s="10" t="s">
        <v>242</v>
      </c>
      <c r="S1595" s="10" t="s">
        <v>241</v>
      </c>
      <c r="T1595" s="10" t="s">
        <v>242</v>
      </c>
      <c r="U1595" s="10" t="s">
        <v>242</v>
      </c>
      <c r="V1595" s="10" t="s">
        <v>242</v>
      </c>
      <c r="W1595" s="10" t="s">
        <v>242</v>
      </c>
      <c r="X1595" s="15">
        <f>IF(ISERROR(VLOOKUP($A1595,'13. Updated Demand'!A:Z,15,FALSE)),0,VLOOKUP($A1595,'13. Updated Demand'!A:Z,15,FALSE))</f>
        <v>0</v>
      </c>
      <c r="Y1595" s="16">
        <f>IF(ISERROR(VLOOKUP($A1595,'13. Updated Demand'!A:Z,16,FALSE)),0,VLOOKUP($A1595,'13. Updated Demand'!A:Z,16,FALSE))</f>
        <v>2.1333333329999999</v>
      </c>
      <c r="Z1595" s="16">
        <f>IF(ISERROR(VLOOKUP($A1595,'13. Updated Demand'!A:Z,17,FALSE)),0,VLOOKUP($A1595,'13. Updated Demand'!A:Z,17,FALSE))</f>
        <v>5.4666666670000001</v>
      </c>
      <c r="AA1595" s="16">
        <f>IF(ISERROR(VLOOKUP($A1595,'13. Updated Demand'!A:Z,18,FALSE)),0,VLOOKUP($A1595,'13. Updated Demand'!A:Z,18,FALSE))</f>
        <v>1.9</v>
      </c>
      <c r="AB1595" s="16">
        <f>IF(ISERROR(VLOOKUP($A1595,'13. Updated Demand'!A:Z,19,FALSE)),0,VLOOKUP($A1595,'13. Updated Demand'!A:Z,19,FALSE))</f>
        <v>0</v>
      </c>
      <c r="AC1595" s="16">
        <f>IF(ISERROR(VLOOKUP($A1595,'13. Updated Demand'!A:Z,20,FALSE)),0,VLOOKUP($A1595,'13. Updated Demand'!A:Z,20,FALSE))</f>
        <v>2.1</v>
      </c>
      <c r="AD1595" s="16">
        <f>IF(ISERROR(VLOOKUP($A1595,'13. Updated Demand'!A:Z,21,FALSE)),0,VLOOKUP($A1595,'13. Updated Demand'!A:Z,21,FALSE))</f>
        <v>1.933333333</v>
      </c>
      <c r="AE1595" s="16">
        <f>IF(ISERROR(VLOOKUP($A1595,'13. Updated Demand'!A:Z,22,FALSE)),0,VLOOKUP($A1595,'13. Updated Demand'!A:Z,22,FALSE))</f>
        <v>5.0333333329999999</v>
      </c>
      <c r="AF1595" s="16">
        <f>IF(ISERROR(VLOOKUP($A1595,'13. Updated Demand'!A:Z,23,FALSE)),0,VLOOKUP($A1595,'13. Updated Demand'!A:Z,23,FALSE))</f>
        <v>3</v>
      </c>
      <c r="AG1595" s="16">
        <f>IF(ISERROR(VLOOKUP($A1595,'13. Updated Demand'!A:Z,24,FALSE)),0,VLOOKUP($A1595,'13. Updated Demand'!A:Z,24,FALSE))</f>
        <v>2.6666666669999999</v>
      </c>
      <c r="AH1595" s="16">
        <f>IF(ISERROR(VLOOKUP($A1595,'13. Updated Demand'!A:Z,25,FALSE)),0,VLOOKUP($A1595,'13. Updated Demand'!A:Z,25,FALSE))</f>
        <v>1.1000000000000001</v>
      </c>
      <c r="AI1595" s="16">
        <f>IF(ISERROR(VLOOKUP($A1595,'13. Updated Demand'!A:Z,26,FALSE)),0,VLOOKUP($A1595,'13. Updated Demand'!A:Z,26,FALSE))</f>
        <v>0</v>
      </c>
      <c r="AJ1595" s="16">
        <f t="shared" si="301"/>
        <v>25.333333333000002</v>
      </c>
      <c r="AK1595" s="19">
        <v>12.066666666</v>
      </c>
      <c r="AL1595" s="16">
        <f t="shared" si="299"/>
        <v>4.0023758808621218E-2</v>
      </c>
      <c r="AM1595" s="26">
        <v>2.094096576400083E-2</v>
      </c>
      <c r="AN1595" s="19">
        <v>1209.75</v>
      </c>
      <c r="AO1595" s="19" t="s">
        <v>1758</v>
      </c>
      <c r="AP1595" s="19">
        <v>0</v>
      </c>
      <c r="AQ1595" s="19" t="s">
        <v>307</v>
      </c>
      <c r="AR1595" s="9" t="s">
        <v>394</v>
      </c>
      <c r="AS1595" s="12">
        <v>0</v>
      </c>
      <c r="AT1595" s="19">
        <v>38.596200000000003</v>
      </c>
      <c r="AU1595" s="19">
        <v>-122.8759</v>
      </c>
      <c r="AV1595" s="19" t="s">
        <v>701</v>
      </c>
    </row>
    <row r="1596" spans="1:48" x14ac:dyDescent="0.25">
      <c r="A1596" s="18" t="s">
        <v>1992</v>
      </c>
      <c r="B1596" s="10">
        <v>10000000</v>
      </c>
      <c r="C1596" s="9">
        <v>10</v>
      </c>
      <c r="D1596" s="8" t="str">
        <f t="shared" si="290"/>
        <v>N</v>
      </c>
      <c r="E1596" s="8" t="str">
        <f t="shared" si="291"/>
        <v>Y</v>
      </c>
      <c r="F1596" s="8" t="str">
        <f t="shared" si="292"/>
        <v>Y</v>
      </c>
      <c r="G1596" s="8" t="str">
        <f t="shared" si="293"/>
        <v>Y</v>
      </c>
      <c r="H1596" s="8" t="str">
        <f t="shared" si="294"/>
        <v>Upper</v>
      </c>
      <c r="I1596" s="8" t="str">
        <f t="shared" si="295"/>
        <v>West Fork and Below Lake</v>
      </c>
      <c r="J1596" s="8" t="str">
        <f t="shared" si="296"/>
        <v>Sonoma (d/s of Clov. Gage)</v>
      </c>
      <c r="K1596" s="8" t="str">
        <f t="shared" si="297"/>
        <v>Riparian</v>
      </c>
      <c r="L1596" s="8">
        <f t="shared" si="298"/>
        <v>1000</v>
      </c>
      <c r="M1596" s="8" t="str">
        <f t="shared" si="300"/>
        <v>-</v>
      </c>
      <c r="N1596" s="10" t="s">
        <v>242</v>
      </c>
      <c r="O1596" s="10" t="s">
        <v>241</v>
      </c>
      <c r="P1596" s="10" t="s">
        <v>242</v>
      </c>
      <c r="Q1596" s="10" t="s">
        <v>242</v>
      </c>
      <c r="R1596" s="10" t="s">
        <v>242</v>
      </c>
      <c r="S1596" s="10" t="s">
        <v>241</v>
      </c>
      <c r="T1596" s="10" t="s">
        <v>242</v>
      </c>
      <c r="U1596" s="10" t="s">
        <v>241</v>
      </c>
      <c r="V1596" s="10" t="s">
        <v>241</v>
      </c>
      <c r="W1596" s="10" t="s">
        <v>242</v>
      </c>
      <c r="X1596" s="15">
        <f>IF(ISERROR(VLOOKUP($A1596,'13. Updated Demand'!A:Z,15,FALSE)),0,VLOOKUP($A1596,'13. Updated Demand'!A:Z,15,FALSE))</f>
        <v>0</v>
      </c>
      <c r="Y1596" s="16">
        <f>IF(ISERROR(VLOOKUP($A1596,'13. Updated Demand'!A:Z,16,FALSE)),0,VLOOKUP($A1596,'13. Updated Demand'!A:Z,16,FALSE))</f>
        <v>0</v>
      </c>
      <c r="Z1596" s="16">
        <f>IF(ISERROR(VLOOKUP($A1596,'13. Updated Demand'!A:Z,17,FALSE)),0,VLOOKUP($A1596,'13. Updated Demand'!A:Z,17,FALSE))</f>
        <v>0</v>
      </c>
      <c r="AA1596" s="16">
        <f>IF(ISERROR(VLOOKUP($A1596,'13. Updated Demand'!A:Z,18,FALSE)),0,VLOOKUP($A1596,'13. Updated Demand'!A:Z,18,FALSE))</f>
        <v>0</v>
      </c>
      <c r="AB1596" s="16">
        <f>IF(ISERROR(VLOOKUP($A1596,'13. Updated Demand'!A:Z,19,FALSE)),0,VLOOKUP($A1596,'13. Updated Demand'!A:Z,19,FALSE))</f>
        <v>0</v>
      </c>
      <c r="AC1596" s="16">
        <f>IF(ISERROR(VLOOKUP($A1596,'13. Updated Demand'!A:Z,20,FALSE)),0,VLOOKUP($A1596,'13. Updated Demand'!A:Z,20,FALSE))</f>
        <v>0</v>
      </c>
      <c r="AD1596" s="16">
        <f>IF(ISERROR(VLOOKUP($A1596,'13. Updated Demand'!A:Z,21,FALSE)),0,VLOOKUP($A1596,'13. Updated Demand'!A:Z,21,FALSE))</f>
        <v>0</v>
      </c>
      <c r="AE1596" s="16">
        <f>IF(ISERROR(VLOOKUP($A1596,'13. Updated Demand'!A:Z,22,FALSE)),0,VLOOKUP($A1596,'13. Updated Demand'!A:Z,22,FALSE))</f>
        <v>0</v>
      </c>
      <c r="AF1596" s="16">
        <f>IF(ISERROR(VLOOKUP($A1596,'13. Updated Demand'!A:Z,23,FALSE)),0,VLOOKUP($A1596,'13. Updated Demand'!A:Z,23,FALSE))</f>
        <v>0</v>
      </c>
      <c r="AG1596" s="16">
        <f>IF(ISERROR(VLOOKUP($A1596,'13. Updated Demand'!A:Z,24,FALSE)),0,VLOOKUP($A1596,'13. Updated Demand'!A:Z,24,FALSE))</f>
        <v>0</v>
      </c>
      <c r="AH1596" s="16">
        <f>IF(ISERROR(VLOOKUP($A1596,'13. Updated Demand'!A:Z,25,FALSE)),0,VLOOKUP($A1596,'13. Updated Demand'!A:Z,25,FALSE))</f>
        <v>0</v>
      </c>
      <c r="AI1596" s="16">
        <f>IF(ISERROR(VLOOKUP($A1596,'13. Updated Demand'!A:Z,26,FALSE)),0,VLOOKUP($A1596,'13. Updated Demand'!A:Z,26,FALSE))</f>
        <v>0</v>
      </c>
      <c r="AJ1596" s="16">
        <f t="shared" si="301"/>
        <v>0</v>
      </c>
      <c r="AK1596" s="19">
        <v>0</v>
      </c>
      <c r="AL1596" s="16">
        <f t="shared" si="299"/>
        <v>0</v>
      </c>
      <c r="AM1596" s="26">
        <v>0</v>
      </c>
      <c r="AN1596" s="19">
        <v>8.6928000000000001</v>
      </c>
      <c r="AO1596" s="19" t="s">
        <v>1758</v>
      </c>
      <c r="AP1596" s="19">
        <v>0</v>
      </c>
      <c r="AQ1596" s="19" t="s">
        <v>307</v>
      </c>
      <c r="AR1596" s="9" t="s">
        <v>436</v>
      </c>
      <c r="AS1596" s="12">
        <v>0</v>
      </c>
      <c r="AT1596" s="19">
        <v>38.680318669999998</v>
      </c>
      <c r="AU1596" s="19">
        <v>-122.80364774</v>
      </c>
      <c r="AV1596" s="19" t="s">
        <v>1993</v>
      </c>
    </row>
    <row r="1597" spans="1:48" x14ac:dyDescent="0.25">
      <c r="A1597" s="18" t="s">
        <v>1994</v>
      </c>
      <c r="B1597" s="10">
        <v>10000000</v>
      </c>
      <c r="C1597" s="9">
        <v>16</v>
      </c>
      <c r="D1597" s="8" t="str">
        <f t="shared" si="290"/>
        <v>N</v>
      </c>
      <c r="E1597" s="8" t="str">
        <f t="shared" si="291"/>
        <v>N</v>
      </c>
      <c r="F1597" s="8" t="str">
        <f t="shared" si="292"/>
        <v>N</v>
      </c>
      <c r="G1597" s="8" t="str">
        <f t="shared" si="293"/>
        <v>N</v>
      </c>
      <c r="H1597" s="8" t="str">
        <f t="shared" si="294"/>
        <v>Lower</v>
      </c>
      <c r="I1597" s="8" t="str">
        <f t="shared" si="295"/>
        <v>Outside</v>
      </c>
      <c r="J1597" s="8" t="str">
        <f t="shared" si="296"/>
        <v>Outside</v>
      </c>
      <c r="K1597" s="8" t="str">
        <f t="shared" si="297"/>
        <v>Riparian</v>
      </c>
      <c r="L1597" s="8">
        <f t="shared" si="298"/>
        <v>1000</v>
      </c>
      <c r="M1597" s="8" t="str">
        <f t="shared" si="300"/>
        <v>-</v>
      </c>
      <c r="N1597" s="10" t="s">
        <v>242</v>
      </c>
      <c r="O1597" s="10" t="s">
        <v>242</v>
      </c>
      <c r="P1597" s="10" t="s">
        <v>242</v>
      </c>
      <c r="Q1597" s="10" t="s">
        <v>242</v>
      </c>
      <c r="R1597" s="10" t="s">
        <v>242</v>
      </c>
      <c r="S1597" s="10" t="s">
        <v>241</v>
      </c>
      <c r="T1597" s="10" t="s">
        <v>242</v>
      </c>
      <c r="U1597" s="10" t="s">
        <v>242</v>
      </c>
      <c r="V1597" s="10" t="s">
        <v>242</v>
      </c>
      <c r="W1597" s="10" t="s">
        <v>242</v>
      </c>
      <c r="X1597" s="15">
        <f>IF(ISERROR(VLOOKUP($A1597,'13. Updated Demand'!A:Z,15,FALSE)),0,VLOOKUP($A1597,'13. Updated Demand'!A:Z,15,FALSE))</f>
        <v>0</v>
      </c>
      <c r="Y1597" s="16">
        <f>IF(ISERROR(VLOOKUP($A1597,'13. Updated Demand'!A:Z,16,FALSE)),0,VLOOKUP($A1597,'13. Updated Demand'!A:Z,16,FALSE))</f>
        <v>0</v>
      </c>
      <c r="Z1597" s="16">
        <f>IF(ISERROR(VLOOKUP($A1597,'13. Updated Demand'!A:Z,17,FALSE)),0,VLOOKUP($A1597,'13. Updated Demand'!A:Z,17,FALSE))</f>
        <v>0.14333333300000001</v>
      </c>
      <c r="AA1597" s="16">
        <f>IF(ISERROR(VLOOKUP($A1597,'13. Updated Demand'!A:Z,18,FALSE)),0,VLOOKUP($A1597,'13. Updated Demand'!A:Z,18,FALSE))</f>
        <v>1.3666666670000001</v>
      </c>
      <c r="AB1597" s="16">
        <f>IF(ISERROR(VLOOKUP($A1597,'13. Updated Demand'!A:Z,19,FALSE)),0,VLOOKUP($A1597,'13. Updated Demand'!A:Z,19,FALSE))</f>
        <v>1.403333333</v>
      </c>
      <c r="AC1597" s="16">
        <f>IF(ISERROR(VLOOKUP($A1597,'13. Updated Demand'!A:Z,20,FALSE)),0,VLOOKUP($A1597,'13. Updated Demand'!A:Z,20,FALSE))</f>
        <v>3.07</v>
      </c>
      <c r="AD1597" s="16">
        <f>IF(ISERROR(VLOOKUP($A1597,'13. Updated Demand'!A:Z,21,FALSE)),0,VLOOKUP($A1597,'13. Updated Demand'!A:Z,21,FALSE))</f>
        <v>3.5433333330000001</v>
      </c>
      <c r="AE1597" s="16">
        <f>IF(ISERROR(VLOOKUP($A1597,'13. Updated Demand'!A:Z,22,FALSE)),0,VLOOKUP($A1597,'13. Updated Demand'!A:Z,22,FALSE))</f>
        <v>2.2933333330000001</v>
      </c>
      <c r="AF1597" s="16">
        <f>IF(ISERROR(VLOOKUP($A1597,'13. Updated Demand'!A:Z,23,FALSE)),0,VLOOKUP($A1597,'13. Updated Demand'!A:Z,23,FALSE))</f>
        <v>1.653333333</v>
      </c>
      <c r="AG1597" s="16">
        <f>IF(ISERROR(VLOOKUP($A1597,'13. Updated Demand'!A:Z,24,FALSE)),0,VLOOKUP($A1597,'13. Updated Demand'!A:Z,24,FALSE))</f>
        <v>0</v>
      </c>
      <c r="AH1597" s="16">
        <f>IF(ISERROR(VLOOKUP($A1597,'13. Updated Demand'!A:Z,25,FALSE)),0,VLOOKUP($A1597,'13. Updated Demand'!A:Z,25,FALSE))</f>
        <v>0</v>
      </c>
      <c r="AI1597" s="16">
        <f>IF(ISERROR(VLOOKUP($A1597,'13. Updated Demand'!A:Z,26,FALSE)),0,VLOOKUP($A1597,'13. Updated Demand'!A:Z,26,FALSE))</f>
        <v>0</v>
      </c>
      <c r="AJ1597" s="16">
        <f t="shared" si="301"/>
        <v>13.473333331999999</v>
      </c>
      <c r="AK1597" s="19">
        <v>11.963333331999998</v>
      </c>
      <c r="AL1597" s="16">
        <f t="shared" si="299"/>
        <v>3.9681013910516087E-2</v>
      </c>
      <c r="AM1597" s="26">
        <v>3.7087339120132692E-2</v>
      </c>
      <c r="AN1597" s="19">
        <v>363.28660000000002</v>
      </c>
      <c r="AO1597" s="19" t="s">
        <v>1758</v>
      </c>
      <c r="AP1597" s="19">
        <v>0</v>
      </c>
      <c r="AQ1597" s="19" t="s">
        <v>307</v>
      </c>
      <c r="AR1597" s="9" t="s">
        <v>394</v>
      </c>
      <c r="AS1597" s="12">
        <v>0</v>
      </c>
      <c r="AT1597" s="19">
        <v>38.637099999999997</v>
      </c>
      <c r="AU1597" s="19">
        <v>-122.9021</v>
      </c>
      <c r="AV1597" s="19" t="s">
        <v>701</v>
      </c>
    </row>
    <row r="1598" spans="1:48" x14ac:dyDescent="0.25">
      <c r="A1598" s="18" t="s">
        <v>1995</v>
      </c>
      <c r="B1598" s="10">
        <v>10000000</v>
      </c>
      <c r="C1598" s="9">
        <v>8</v>
      </c>
      <c r="D1598" s="8" t="str">
        <f t="shared" si="290"/>
        <v>N</v>
      </c>
      <c r="E1598" s="8" t="str">
        <f t="shared" si="291"/>
        <v>Y</v>
      </c>
      <c r="F1598" s="8" t="str">
        <f t="shared" si="292"/>
        <v>Y</v>
      </c>
      <c r="G1598" s="8" t="str">
        <f t="shared" si="293"/>
        <v>Y</v>
      </c>
      <c r="H1598" s="8" t="str">
        <f t="shared" si="294"/>
        <v>Upper</v>
      </c>
      <c r="I1598" s="8" t="str">
        <f t="shared" si="295"/>
        <v>West Fork and Below Lake</v>
      </c>
      <c r="J1598" s="8" t="str">
        <f t="shared" si="296"/>
        <v>Sonoma (d/s of Clov. Gage)</v>
      </c>
      <c r="K1598" s="8" t="str">
        <f t="shared" si="297"/>
        <v>Riparian</v>
      </c>
      <c r="L1598" s="8">
        <f t="shared" si="298"/>
        <v>1000</v>
      </c>
      <c r="M1598" s="8" t="str">
        <f t="shared" si="300"/>
        <v>-</v>
      </c>
      <c r="N1598" s="10" t="s">
        <v>242</v>
      </c>
      <c r="O1598" s="10" t="s">
        <v>241</v>
      </c>
      <c r="P1598" s="10" t="s">
        <v>242</v>
      </c>
      <c r="Q1598" s="10" t="s">
        <v>242</v>
      </c>
      <c r="R1598" s="10" t="s">
        <v>242</v>
      </c>
      <c r="S1598" s="10" t="s">
        <v>241</v>
      </c>
      <c r="T1598" s="10" t="s">
        <v>242</v>
      </c>
      <c r="U1598" s="10" t="s">
        <v>242</v>
      </c>
      <c r="V1598" s="10" t="s">
        <v>242</v>
      </c>
      <c r="W1598" s="10" t="s">
        <v>242</v>
      </c>
      <c r="X1598" s="15">
        <f>IF(ISERROR(VLOOKUP($A1598,'13. Updated Demand'!A:Z,15,FALSE)),0,VLOOKUP($A1598,'13. Updated Demand'!A:Z,15,FALSE))</f>
        <v>0.03</v>
      </c>
      <c r="Y1598" s="16">
        <f>IF(ISERROR(VLOOKUP($A1598,'13. Updated Demand'!A:Z,16,FALSE)),0,VLOOKUP($A1598,'13. Updated Demand'!A:Z,16,FALSE))</f>
        <v>0.03</v>
      </c>
      <c r="Z1598" s="16">
        <f>IF(ISERROR(VLOOKUP($A1598,'13. Updated Demand'!A:Z,17,FALSE)),0,VLOOKUP($A1598,'13. Updated Demand'!A:Z,17,FALSE))</f>
        <v>0.03</v>
      </c>
      <c r="AA1598" s="16">
        <f>IF(ISERROR(VLOOKUP($A1598,'13. Updated Demand'!A:Z,18,FALSE)),0,VLOOKUP($A1598,'13. Updated Demand'!A:Z,18,FALSE))</f>
        <v>0.03</v>
      </c>
      <c r="AB1598" s="16">
        <f>IF(ISERROR(VLOOKUP($A1598,'13. Updated Demand'!A:Z,19,FALSE)),0,VLOOKUP($A1598,'13. Updated Demand'!A:Z,19,FALSE))</f>
        <v>0.03</v>
      </c>
      <c r="AC1598" s="16">
        <f>IF(ISERROR(VLOOKUP($A1598,'13. Updated Demand'!A:Z,20,FALSE)),0,VLOOKUP($A1598,'13. Updated Demand'!A:Z,20,FALSE))</f>
        <v>0.03</v>
      </c>
      <c r="AD1598" s="16">
        <f>IF(ISERROR(VLOOKUP($A1598,'13. Updated Demand'!A:Z,21,FALSE)),0,VLOOKUP($A1598,'13. Updated Demand'!A:Z,21,FALSE))</f>
        <v>0.03</v>
      </c>
      <c r="AE1598" s="16">
        <f>IF(ISERROR(VLOOKUP($A1598,'13. Updated Demand'!A:Z,22,FALSE)),0,VLOOKUP($A1598,'13. Updated Demand'!A:Z,22,FALSE))</f>
        <v>0.03</v>
      </c>
      <c r="AF1598" s="16">
        <f>IF(ISERROR(VLOOKUP($A1598,'13. Updated Demand'!A:Z,23,FALSE)),0,VLOOKUP($A1598,'13. Updated Demand'!A:Z,23,FALSE))</f>
        <v>0.03</v>
      </c>
      <c r="AG1598" s="16">
        <f>IF(ISERROR(VLOOKUP($A1598,'13. Updated Demand'!A:Z,24,FALSE)),0,VLOOKUP($A1598,'13. Updated Demand'!A:Z,24,FALSE))</f>
        <v>0.03</v>
      </c>
      <c r="AH1598" s="16">
        <f>IF(ISERROR(VLOOKUP($A1598,'13. Updated Demand'!A:Z,25,FALSE)),0,VLOOKUP($A1598,'13. Updated Demand'!A:Z,25,FALSE))</f>
        <v>0.03</v>
      </c>
      <c r="AI1598" s="16">
        <f>IF(ISERROR(VLOOKUP($A1598,'13. Updated Demand'!A:Z,26,FALSE)),0,VLOOKUP($A1598,'13. Updated Demand'!A:Z,26,FALSE))</f>
        <v>0.03</v>
      </c>
      <c r="AJ1598" s="16">
        <f t="shared" si="301"/>
        <v>0.3600000000000001</v>
      </c>
      <c r="AK1598" s="19">
        <v>0.172541001</v>
      </c>
      <c r="AL1598" s="16">
        <f t="shared" si="299"/>
        <v>5.7229884605002252E-4</v>
      </c>
      <c r="AM1598" s="26">
        <v>1.0241334686425798E-2</v>
      </c>
      <c r="AN1598" s="19">
        <v>40.2042</v>
      </c>
      <c r="AO1598" s="19" t="s">
        <v>1758</v>
      </c>
      <c r="AP1598" s="19">
        <v>0</v>
      </c>
      <c r="AQ1598" s="19" t="s">
        <v>307</v>
      </c>
      <c r="AR1598" s="9" t="s">
        <v>409</v>
      </c>
      <c r="AS1598" s="12">
        <v>3.4039024194010059E-4</v>
      </c>
      <c r="AT1598" s="19">
        <v>38.750091210000001</v>
      </c>
      <c r="AU1598" s="19">
        <v>-122.83915165000001</v>
      </c>
      <c r="AV1598" s="19" t="s">
        <v>430</v>
      </c>
    </row>
    <row r="1599" spans="1:48" x14ac:dyDescent="0.25">
      <c r="A1599" s="18" t="s">
        <v>1996</v>
      </c>
      <c r="B1599" s="10">
        <v>10000000</v>
      </c>
      <c r="C1599" s="9">
        <v>8</v>
      </c>
      <c r="D1599" s="8" t="str">
        <f t="shared" si="290"/>
        <v>N</v>
      </c>
      <c r="E1599" s="8" t="str">
        <f t="shared" si="291"/>
        <v>Y</v>
      </c>
      <c r="F1599" s="8" t="str">
        <f t="shared" si="292"/>
        <v>Y</v>
      </c>
      <c r="G1599" s="8" t="str">
        <f t="shared" si="293"/>
        <v>Y</v>
      </c>
      <c r="H1599" s="8" t="str">
        <f t="shared" si="294"/>
        <v>Upper</v>
      </c>
      <c r="I1599" s="8" t="str">
        <f t="shared" si="295"/>
        <v>West Fork and Below Lake</v>
      </c>
      <c r="J1599" s="8" t="str">
        <f t="shared" si="296"/>
        <v>Sonoma (d/s of Clov. Gage)</v>
      </c>
      <c r="K1599" s="8" t="str">
        <f t="shared" si="297"/>
        <v>Riparian</v>
      </c>
      <c r="L1599" s="8">
        <f t="shared" si="298"/>
        <v>1000</v>
      </c>
      <c r="M1599" s="8" t="str">
        <f t="shared" si="300"/>
        <v>-</v>
      </c>
      <c r="N1599" s="10" t="s">
        <v>242</v>
      </c>
      <c r="O1599" s="10" t="s">
        <v>241</v>
      </c>
      <c r="P1599" s="10" t="s">
        <v>242</v>
      </c>
      <c r="Q1599" s="10" t="s">
        <v>242</v>
      </c>
      <c r="R1599" s="10" t="s">
        <v>242</v>
      </c>
      <c r="S1599" s="10" t="s">
        <v>241</v>
      </c>
      <c r="T1599" s="10" t="s">
        <v>242</v>
      </c>
      <c r="U1599" s="10" t="s">
        <v>242</v>
      </c>
      <c r="V1599" s="10" t="s">
        <v>242</v>
      </c>
      <c r="W1599" s="10" t="s">
        <v>242</v>
      </c>
      <c r="X1599" s="15">
        <f>IF(ISERROR(VLOOKUP($A1599,'13. Updated Demand'!A:Z,15,FALSE)),0,VLOOKUP($A1599,'13. Updated Demand'!A:Z,15,FALSE))</f>
        <v>0.01</v>
      </c>
      <c r="Y1599" s="16">
        <f>IF(ISERROR(VLOOKUP($A1599,'13. Updated Demand'!A:Z,16,FALSE)),0,VLOOKUP($A1599,'13. Updated Demand'!A:Z,16,FALSE))</f>
        <v>0.01</v>
      </c>
      <c r="Z1599" s="16">
        <f>IF(ISERROR(VLOOKUP($A1599,'13. Updated Demand'!A:Z,17,FALSE)),0,VLOOKUP($A1599,'13. Updated Demand'!A:Z,17,FALSE))</f>
        <v>0.01</v>
      </c>
      <c r="AA1599" s="16">
        <f>IF(ISERROR(VLOOKUP($A1599,'13. Updated Demand'!A:Z,18,FALSE)),0,VLOOKUP($A1599,'13. Updated Demand'!A:Z,18,FALSE))</f>
        <v>0.01</v>
      </c>
      <c r="AB1599" s="16">
        <f>IF(ISERROR(VLOOKUP($A1599,'13. Updated Demand'!A:Z,19,FALSE)),0,VLOOKUP($A1599,'13. Updated Demand'!A:Z,19,FALSE))</f>
        <v>0.01</v>
      </c>
      <c r="AC1599" s="16">
        <f>IF(ISERROR(VLOOKUP($A1599,'13. Updated Demand'!A:Z,20,FALSE)),0,VLOOKUP($A1599,'13. Updated Demand'!A:Z,20,FALSE))</f>
        <v>0.01</v>
      </c>
      <c r="AD1599" s="16">
        <f>IF(ISERROR(VLOOKUP($A1599,'13. Updated Demand'!A:Z,21,FALSE)),0,VLOOKUP($A1599,'13. Updated Demand'!A:Z,21,FALSE))</f>
        <v>0.01</v>
      </c>
      <c r="AE1599" s="16">
        <f>IF(ISERROR(VLOOKUP($A1599,'13. Updated Demand'!A:Z,22,FALSE)),0,VLOOKUP($A1599,'13. Updated Demand'!A:Z,22,FALSE))</f>
        <v>0.01</v>
      </c>
      <c r="AF1599" s="16">
        <f>IF(ISERROR(VLOOKUP($A1599,'13. Updated Demand'!A:Z,23,FALSE)),0,VLOOKUP($A1599,'13. Updated Demand'!A:Z,23,FALSE))</f>
        <v>0.01</v>
      </c>
      <c r="AG1599" s="16">
        <f>IF(ISERROR(VLOOKUP($A1599,'13. Updated Demand'!A:Z,24,FALSE)),0,VLOOKUP($A1599,'13. Updated Demand'!A:Z,24,FALSE))</f>
        <v>0.01</v>
      </c>
      <c r="AH1599" s="16">
        <f>IF(ISERROR(VLOOKUP($A1599,'13. Updated Demand'!A:Z,25,FALSE)),0,VLOOKUP($A1599,'13. Updated Demand'!A:Z,25,FALSE))</f>
        <v>0.01</v>
      </c>
      <c r="AI1599" s="16">
        <f>IF(ISERROR(VLOOKUP($A1599,'13. Updated Demand'!A:Z,26,FALSE)),0,VLOOKUP($A1599,'13. Updated Demand'!A:Z,26,FALSE))</f>
        <v>0.01</v>
      </c>
      <c r="AJ1599" s="16">
        <f t="shared" si="301"/>
        <v>0.11999999999999998</v>
      </c>
      <c r="AK1599" s="19">
        <v>7.5708333000000003E-2</v>
      </c>
      <c r="AL1599" s="16">
        <f t="shared" si="299"/>
        <v>2.5111591657145214E-4</v>
      </c>
      <c r="AM1599" s="26">
        <v>4.4117198451903037E-3</v>
      </c>
      <c r="AN1599" s="19">
        <v>40.2042</v>
      </c>
      <c r="AO1599" s="19" t="s">
        <v>1758</v>
      </c>
      <c r="AP1599" s="19">
        <v>0</v>
      </c>
      <c r="AQ1599" s="19" t="s">
        <v>307</v>
      </c>
      <c r="AR1599" s="9" t="s">
        <v>409</v>
      </c>
      <c r="AS1599" s="12">
        <v>3.4039024194010059E-4</v>
      </c>
      <c r="AT1599" s="19">
        <v>38.750300000000003</v>
      </c>
      <c r="AU1599" s="19">
        <v>-122.8394</v>
      </c>
      <c r="AV1599" s="19" t="s">
        <v>430</v>
      </c>
    </row>
    <row r="1600" spans="1:48" x14ac:dyDescent="0.25">
      <c r="A1600" s="18" t="s">
        <v>1997</v>
      </c>
      <c r="B1600" s="10">
        <v>10000000</v>
      </c>
      <c r="C1600" s="9">
        <v>16</v>
      </c>
      <c r="D1600" s="8" t="str">
        <f t="shared" si="290"/>
        <v>N</v>
      </c>
      <c r="E1600" s="8" t="str">
        <f t="shared" si="291"/>
        <v>N</v>
      </c>
      <c r="F1600" s="8" t="str">
        <f t="shared" si="292"/>
        <v>N</v>
      </c>
      <c r="G1600" s="8" t="str">
        <f t="shared" si="293"/>
        <v>N</v>
      </c>
      <c r="H1600" s="8" t="str">
        <f t="shared" si="294"/>
        <v>Lower</v>
      </c>
      <c r="I1600" s="8" t="str">
        <f t="shared" si="295"/>
        <v>Outside</v>
      </c>
      <c r="J1600" s="8" t="str">
        <f t="shared" si="296"/>
        <v>Outside</v>
      </c>
      <c r="K1600" s="8" t="str">
        <f t="shared" si="297"/>
        <v>Riparian</v>
      </c>
      <c r="L1600" s="8">
        <f t="shared" si="298"/>
        <v>1000</v>
      </c>
      <c r="M1600" s="8" t="str">
        <f t="shared" si="300"/>
        <v>-</v>
      </c>
      <c r="N1600" s="10" t="s">
        <v>242</v>
      </c>
      <c r="O1600" s="10" t="s">
        <v>242</v>
      </c>
      <c r="P1600" s="10" t="s">
        <v>242</v>
      </c>
      <c r="Q1600" s="10" t="s">
        <v>242</v>
      </c>
      <c r="R1600" s="10" t="s">
        <v>242</v>
      </c>
      <c r="S1600" s="10" t="s">
        <v>241</v>
      </c>
      <c r="T1600" s="10" t="s">
        <v>242</v>
      </c>
      <c r="U1600" s="10" t="s">
        <v>242</v>
      </c>
      <c r="V1600" s="10" t="s">
        <v>242</v>
      </c>
      <c r="W1600" s="10" t="s">
        <v>242</v>
      </c>
      <c r="X1600" s="15">
        <f>IF(ISERROR(VLOOKUP($A1600,'13. Updated Demand'!A:Z,15,FALSE)),0,VLOOKUP($A1600,'13. Updated Demand'!A:Z,15,FALSE))</f>
        <v>0.02</v>
      </c>
      <c r="Y1600" s="16">
        <f>IF(ISERROR(VLOOKUP($A1600,'13. Updated Demand'!A:Z,16,FALSE)),0,VLOOKUP($A1600,'13. Updated Demand'!A:Z,16,FALSE))</f>
        <v>4.3333333000000002E-2</v>
      </c>
      <c r="Z1600" s="16">
        <f>IF(ISERROR(VLOOKUP($A1600,'13. Updated Demand'!A:Z,17,FALSE)),0,VLOOKUP($A1600,'13. Updated Demand'!A:Z,17,FALSE))</f>
        <v>0.12</v>
      </c>
      <c r="AA1600" s="16">
        <f>IF(ISERROR(VLOOKUP($A1600,'13. Updated Demand'!A:Z,18,FALSE)),0,VLOOKUP($A1600,'13. Updated Demand'!A:Z,18,FALSE))</f>
        <v>0.16</v>
      </c>
      <c r="AB1600" s="16">
        <f>IF(ISERROR(VLOOKUP($A1600,'13. Updated Demand'!A:Z,19,FALSE)),0,VLOOKUP($A1600,'13. Updated Demand'!A:Z,19,FALSE))</f>
        <v>0.556666667</v>
      </c>
      <c r="AC1600" s="16">
        <f>IF(ISERROR(VLOOKUP($A1600,'13. Updated Demand'!A:Z,20,FALSE)),0,VLOOKUP($A1600,'13. Updated Demand'!A:Z,20,FALSE))</f>
        <v>1.086666667</v>
      </c>
      <c r="AD1600" s="16">
        <f>IF(ISERROR(VLOOKUP($A1600,'13. Updated Demand'!A:Z,21,FALSE)),0,VLOOKUP($A1600,'13. Updated Demand'!A:Z,21,FALSE))</f>
        <v>2.923333333</v>
      </c>
      <c r="AE1600" s="16">
        <f>IF(ISERROR(VLOOKUP($A1600,'13. Updated Demand'!A:Z,22,FALSE)),0,VLOOKUP($A1600,'13. Updated Demand'!A:Z,22,FALSE))</f>
        <v>1.836666667</v>
      </c>
      <c r="AF1600" s="16">
        <f>IF(ISERROR(VLOOKUP($A1600,'13. Updated Demand'!A:Z,23,FALSE)),0,VLOOKUP($A1600,'13. Updated Demand'!A:Z,23,FALSE))</f>
        <v>1.586666667</v>
      </c>
      <c r="AG1600" s="16">
        <f>IF(ISERROR(VLOOKUP($A1600,'13. Updated Demand'!A:Z,24,FALSE)),0,VLOOKUP($A1600,'13. Updated Demand'!A:Z,24,FALSE))</f>
        <v>0.59</v>
      </c>
      <c r="AH1600" s="16">
        <f>IF(ISERROR(VLOOKUP($A1600,'13. Updated Demand'!A:Z,25,FALSE)),0,VLOOKUP($A1600,'13. Updated Demand'!A:Z,25,FALSE))</f>
        <v>0.116666667</v>
      </c>
      <c r="AI1600" s="16">
        <f>IF(ISERROR(VLOOKUP($A1600,'13. Updated Demand'!A:Z,26,FALSE)),0,VLOOKUP($A1600,'13. Updated Demand'!A:Z,26,FALSE))</f>
        <v>7.3333333000000001E-2</v>
      </c>
      <c r="AJ1600" s="16">
        <f t="shared" si="301"/>
        <v>9.1133333340000018</v>
      </c>
      <c r="AK1600" s="19">
        <v>7.9900000010000003</v>
      </c>
      <c r="AL1600" s="16">
        <f t="shared" si="299"/>
        <v>2.6501919856788004E-2</v>
      </c>
      <c r="AM1600" s="26">
        <v>0.71758530188976399</v>
      </c>
      <c r="AN1600" s="19">
        <v>12.7</v>
      </c>
      <c r="AO1600" s="19" t="s">
        <v>1758</v>
      </c>
      <c r="AP1600" s="19">
        <v>0</v>
      </c>
      <c r="AQ1600" s="19" t="s">
        <v>307</v>
      </c>
      <c r="AR1600" s="9" t="s">
        <v>394</v>
      </c>
      <c r="AS1600" s="12">
        <v>3.4039024194010059E-4</v>
      </c>
      <c r="AT1600" s="19">
        <v>38.586100000000002</v>
      </c>
      <c r="AU1600" s="19">
        <v>-122.876</v>
      </c>
      <c r="AV1600" s="19" t="s">
        <v>406</v>
      </c>
    </row>
    <row r="1601" spans="1:48" x14ac:dyDescent="0.25">
      <c r="A1601" s="18" t="s">
        <v>1998</v>
      </c>
      <c r="B1601" s="10">
        <v>10000000</v>
      </c>
      <c r="C1601" s="9">
        <v>21</v>
      </c>
      <c r="D1601" s="8" t="str">
        <f t="shared" si="290"/>
        <v>N</v>
      </c>
      <c r="E1601" s="8" t="str">
        <f t="shared" si="291"/>
        <v>N</v>
      </c>
      <c r="F1601" s="8" t="str">
        <f t="shared" si="292"/>
        <v>N</v>
      </c>
      <c r="G1601" s="8" t="str">
        <f t="shared" si="293"/>
        <v>N</v>
      </c>
      <c r="H1601" s="8" t="str">
        <f t="shared" si="294"/>
        <v>Lower</v>
      </c>
      <c r="I1601" s="8" t="str">
        <f t="shared" si="295"/>
        <v>Outside</v>
      </c>
      <c r="J1601" s="8" t="str">
        <f t="shared" si="296"/>
        <v>Outside</v>
      </c>
      <c r="K1601" s="8" t="str">
        <f t="shared" si="297"/>
        <v>Riparian</v>
      </c>
      <c r="L1601" s="8">
        <f t="shared" si="298"/>
        <v>1000</v>
      </c>
      <c r="M1601" s="8" t="str">
        <f t="shared" si="300"/>
        <v>-</v>
      </c>
      <c r="N1601" s="10" t="s">
        <v>242</v>
      </c>
      <c r="O1601" s="10" t="s">
        <v>242</v>
      </c>
      <c r="P1601" s="10" t="s">
        <v>242</v>
      </c>
      <c r="Q1601" s="10" t="s">
        <v>242</v>
      </c>
      <c r="R1601" s="10" t="s">
        <v>242</v>
      </c>
      <c r="S1601" s="10" t="s">
        <v>241</v>
      </c>
      <c r="T1601" s="10" t="s">
        <v>242</v>
      </c>
      <c r="U1601" s="10" t="s">
        <v>242</v>
      </c>
      <c r="V1601" s="10" t="s">
        <v>242</v>
      </c>
      <c r="W1601" s="10" t="s">
        <v>242</v>
      </c>
      <c r="X1601" s="15">
        <f>IF(ISERROR(VLOOKUP($A1601,'13. Updated Demand'!A:Z,15,FALSE)),0,VLOOKUP($A1601,'13. Updated Demand'!A:Z,15,FALSE))</f>
        <v>8.9999999999999993E-3</v>
      </c>
      <c r="Y1601" s="16">
        <f>IF(ISERROR(VLOOKUP($A1601,'13. Updated Demand'!A:Z,16,FALSE)),0,VLOOKUP($A1601,'13. Updated Demand'!A:Z,16,FALSE))</f>
        <v>8.9999999999999993E-3</v>
      </c>
      <c r="Z1601" s="16">
        <f>IF(ISERROR(VLOOKUP($A1601,'13. Updated Demand'!A:Z,17,FALSE)),0,VLOOKUP($A1601,'13. Updated Demand'!A:Z,17,FALSE))</f>
        <v>2.3333333000000001E-2</v>
      </c>
      <c r="AA1601" s="16">
        <f>IF(ISERROR(VLOOKUP($A1601,'13. Updated Demand'!A:Z,18,FALSE)),0,VLOOKUP($A1601,'13. Updated Demand'!A:Z,18,FALSE))</f>
        <v>4.9000000000000002E-2</v>
      </c>
      <c r="AB1601" s="16">
        <f>IF(ISERROR(VLOOKUP($A1601,'13. Updated Demand'!A:Z,19,FALSE)),0,VLOOKUP($A1601,'13. Updated Demand'!A:Z,19,FALSE))</f>
        <v>9.4333333000000005E-2</v>
      </c>
      <c r="AC1601" s="16">
        <f>IF(ISERROR(VLOOKUP($A1601,'13. Updated Demand'!A:Z,20,FALSE)),0,VLOOKUP($A1601,'13. Updated Demand'!A:Z,20,FALSE))</f>
        <v>0.116833333</v>
      </c>
      <c r="AD1601" s="16">
        <f>IF(ISERROR(VLOOKUP($A1601,'13. Updated Demand'!A:Z,21,FALSE)),0,VLOOKUP($A1601,'13. Updated Demand'!A:Z,21,FALSE))</f>
        <v>0.212666667</v>
      </c>
      <c r="AE1601" s="16">
        <f>IF(ISERROR(VLOOKUP($A1601,'13. Updated Demand'!A:Z,22,FALSE)),0,VLOOKUP($A1601,'13. Updated Demand'!A:Z,22,FALSE))</f>
        <v>0.225566667</v>
      </c>
      <c r="AF1601" s="16">
        <f>IF(ISERROR(VLOOKUP($A1601,'13. Updated Demand'!A:Z,23,FALSE)),0,VLOOKUP($A1601,'13. Updated Demand'!A:Z,23,FALSE))</f>
        <v>0.21160000000000001</v>
      </c>
      <c r="AG1601" s="16">
        <f>IF(ISERROR(VLOOKUP($A1601,'13. Updated Demand'!A:Z,24,FALSE)),0,VLOOKUP($A1601,'13. Updated Demand'!A:Z,24,FALSE))</f>
        <v>0.237666667</v>
      </c>
      <c r="AH1601" s="16">
        <f>IF(ISERROR(VLOOKUP($A1601,'13. Updated Demand'!A:Z,25,FALSE)),0,VLOOKUP($A1601,'13. Updated Demand'!A:Z,25,FALSE))</f>
        <v>8.9999999999999993E-3</v>
      </c>
      <c r="AI1601" s="16">
        <f>IF(ISERROR(VLOOKUP($A1601,'13. Updated Demand'!A:Z,26,FALSE)),0,VLOOKUP($A1601,'13. Updated Demand'!A:Z,26,FALSE))</f>
        <v>8.9999999999999993E-3</v>
      </c>
      <c r="AJ1601" s="16">
        <f t="shared" si="301"/>
        <v>1.2069999999999999</v>
      </c>
      <c r="AK1601" s="19">
        <v>0.86099999999999999</v>
      </c>
      <c r="AL1601" s="16">
        <f t="shared" si="299"/>
        <v>2.8558389228834336E-3</v>
      </c>
      <c r="AM1601" s="26">
        <v>0.74829510229386231</v>
      </c>
      <c r="AN1601" s="19">
        <v>1.613</v>
      </c>
      <c r="AO1601" s="19" t="s">
        <v>1758</v>
      </c>
      <c r="AP1601" s="19">
        <v>0</v>
      </c>
      <c r="AQ1601" s="19" t="s">
        <v>307</v>
      </c>
      <c r="AR1601" s="9" t="s">
        <v>403</v>
      </c>
      <c r="AS1601" s="12">
        <v>3.4039024194010059E-4</v>
      </c>
      <c r="AT1601" s="19">
        <v>38.550289970000001</v>
      </c>
      <c r="AU1601" s="19">
        <v>-122.99871115000001</v>
      </c>
      <c r="AV1601" s="19" t="s">
        <v>1999</v>
      </c>
    </row>
    <row r="1602" spans="1:48" x14ac:dyDescent="0.25">
      <c r="A1602" s="18" t="s">
        <v>2000</v>
      </c>
      <c r="B1602" s="10">
        <v>10000000</v>
      </c>
      <c r="C1602" s="9">
        <v>4</v>
      </c>
      <c r="D1602" s="8" t="str">
        <f t="shared" ref="D1602:D1665" si="302">IF(OR(C1602=4,C1602=5,C1602=6),"Y","N")</f>
        <v>Y</v>
      </c>
      <c r="E1602" s="8" t="str">
        <f t="shared" ref="E1602:E1665" si="303">IF(AND(C1602&gt;6,C1602&lt;14),"Y","N")</f>
        <v>N</v>
      </c>
      <c r="F1602" s="8" t="str">
        <f t="shared" ref="F1602:F1665" si="304">IF(C1602&lt;14,"Y","N")</f>
        <v>Y</v>
      </c>
      <c r="G1602" s="8" t="str">
        <f t="shared" ref="G1602:G1665" si="305">IF(OR(C1602=1,AND(C1602&gt;3,C1602&lt;14)),"Y","N")</f>
        <v>Y</v>
      </c>
      <c r="H1602" s="8" t="str">
        <f t="shared" ref="H1602:H1665" si="306">IF(C1602&lt;14,"Upper","Lower")</f>
        <v>Upper</v>
      </c>
      <c r="I1602" s="8" t="str">
        <f t="shared" ref="I1602:I1665" si="307">IF(G1602="Y","West Fork and Below Lake","Outside")</f>
        <v>West Fork and Below Lake</v>
      </c>
      <c r="J1602" s="8" t="str">
        <f t="shared" ref="J1602:J1665" si="308">IF(D1602="Y", "Mendocino (d/s of lake)", IF(E1602="Y", "Sonoma (d/s of Clov. Gage)","Outside"))</f>
        <v>Mendocino (d/s of lake)</v>
      </c>
      <c r="K1602" s="8" t="str">
        <f t="shared" ref="K1602:K1665" si="309">IF(P1602="Y","pre-1914",IF(Q1602="Y","Pre-1949",IF(R1602="Y","Post-1949",IF(S1602="Y","Riparian","Unknown"))))</f>
        <v>Riparian</v>
      </c>
      <c r="L1602" s="8">
        <f t="shared" ref="L1602:L1665" si="310">_xlfn.NUMBERVALUE(LEFT(B1602,4))</f>
        <v>1000</v>
      </c>
      <c r="M1602" s="8" t="str">
        <f t="shared" si="300"/>
        <v>-</v>
      </c>
      <c r="N1602" s="10" t="s">
        <v>242</v>
      </c>
      <c r="O1602" s="10" t="s">
        <v>241</v>
      </c>
      <c r="P1602" s="10" t="s">
        <v>242</v>
      </c>
      <c r="Q1602" s="10" t="s">
        <v>242</v>
      </c>
      <c r="R1602" s="10" t="s">
        <v>242</v>
      </c>
      <c r="S1602" s="10" t="s">
        <v>241</v>
      </c>
      <c r="T1602" s="10" t="s">
        <v>242</v>
      </c>
      <c r="U1602" s="10" t="s">
        <v>242</v>
      </c>
      <c r="V1602" s="10" t="s">
        <v>242</v>
      </c>
      <c r="W1602" s="10" t="s">
        <v>242</v>
      </c>
      <c r="X1602" s="15">
        <f>IF(ISERROR(VLOOKUP($A1602,'13. Updated Demand'!A:Z,15,FALSE)),0,VLOOKUP($A1602,'13. Updated Demand'!A:Z,15,FALSE))</f>
        <v>0</v>
      </c>
      <c r="Y1602" s="16">
        <f>IF(ISERROR(VLOOKUP($A1602,'13. Updated Demand'!A:Z,16,FALSE)),0,VLOOKUP($A1602,'13. Updated Demand'!A:Z,16,FALSE))</f>
        <v>0</v>
      </c>
      <c r="Z1602" s="16">
        <f>IF(ISERROR(VLOOKUP($A1602,'13. Updated Demand'!A:Z,17,FALSE)),0,VLOOKUP($A1602,'13. Updated Demand'!A:Z,17,FALSE))</f>
        <v>0</v>
      </c>
      <c r="AA1602" s="16">
        <f>IF(ISERROR(VLOOKUP($A1602,'13. Updated Demand'!A:Z,18,FALSE)),0,VLOOKUP($A1602,'13. Updated Demand'!A:Z,18,FALSE))</f>
        <v>0</v>
      </c>
      <c r="AB1602" s="16">
        <f>IF(ISERROR(VLOOKUP($A1602,'13. Updated Demand'!A:Z,19,FALSE)),0,VLOOKUP($A1602,'13. Updated Demand'!A:Z,19,FALSE))</f>
        <v>0.1</v>
      </c>
      <c r="AC1602" s="16">
        <f>IF(ISERROR(VLOOKUP($A1602,'13. Updated Demand'!A:Z,20,FALSE)),0,VLOOKUP($A1602,'13. Updated Demand'!A:Z,20,FALSE))</f>
        <v>0.36</v>
      </c>
      <c r="AD1602" s="16">
        <f>IF(ISERROR(VLOOKUP($A1602,'13. Updated Demand'!A:Z,21,FALSE)),0,VLOOKUP($A1602,'13. Updated Demand'!A:Z,21,FALSE))</f>
        <v>0.4</v>
      </c>
      <c r="AE1602" s="16">
        <f>IF(ISERROR(VLOOKUP($A1602,'13. Updated Demand'!A:Z,22,FALSE)),0,VLOOKUP($A1602,'13. Updated Demand'!A:Z,22,FALSE))</f>
        <v>0.93</v>
      </c>
      <c r="AF1602" s="16">
        <f>IF(ISERROR(VLOOKUP($A1602,'13. Updated Demand'!A:Z,23,FALSE)),0,VLOOKUP($A1602,'13. Updated Demand'!A:Z,23,FALSE))</f>
        <v>0.73</v>
      </c>
      <c r="AG1602" s="16">
        <f>IF(ISERROR(VLOOKUP($A1602,'13. Updated Demand'!A:Z,24,FALSE)),0,VLOOKUP($A1602,'13. Updated Demand'!A:Z,24,FALSE))</f>
        <v>0</v>
      </c>
      <c r="AH1602" s="16">
        <f>IF(ISERROR(VLOOKUP($A1602,'13. Updated Demand'!A:Z,25,FALSE)),0,VLOOKUP($A1602,'13. Updated Demand'!A:Z,25,FALSE))</f>
        <v>0</v>
      </c>
      <c r="AI1602" s="16">
        <f>IF(ISERROR(VLOOKUP($A1602,'13. Updated Demand'!A:Z,26,FALSE)),0,VLOOKUP($A1602,'13. Updated Demand'!A:Z,26,FALSE))</f>
        <v>0</v>
      </c>
      <c r="AJ1602" s="16">
        <f t="shared" si="301"/>
        <v>2.52</v>
      </c>
      <c r="AK1602" s="19">
        <v>2.5333333329999999</v>
      </c>
      <c r="AL1602" s="16">
        <f t="shared" ref="AL1602:AL1665" si="311">AK1602/152/1.983471</f>
        <v>8.4027780917763275E-3</v>
      </c>
      <c r="AM1602" s="26">
        <v>0.11281119560570706</v>
      </c>
      <c r="AN1602" s="19">
        <v>22.456399999999999</v>
      </c>
      <c r="AO1602" s="19" t="s">
        <v>1758</v>
      </c>
      <c r="AP1602" s="19">
        <v>0</v>
      </c>
      <c r="AQ1602" s="19" t="s">
        <v>307</v>
      </c>
      <c r="AR1602" s="9" t="s">
        <v>331</v>
      </c>
      <c r="AS1602" s="12">
        <v>0</v>
      </c>
      <c r="AT1602" s="19">
        <v>39.179055179999999</v>
      </c>
      <c r="AU1602" s="19">
        <v>-123.20867794999999</v>
      </c>
      <c r="AV1602" s="19" t="s">
        <v>1097</v>
      </c>
    </row>
    <row r="1603" spans="1:48" x14ac:dyDescent="0.25">
      <c r="A1603" s="18" t="s">
        <v>2001</v>
      </c>
      <c r="B1603" s="10">
        <v>10000000</v>
      </c>
      <c r="C1603" s="9">
        <v>9</v>
      </c>
      <c r="D1603" s="8" t="str">
        <f t="shared" si="302"/>
        <v>N</v>
      </c>
      <c r="E1603" s="8" t="str">
        <f t="shared" si="303"/>
        <v>Y</v>
      </c>
      <c r="F1603" s="8" t="str">
        <f t="shared" si="304"/>
        <v>Y</v>
      </c>
      <c r="G1603" s="8" t="str">
        <f t="shared" si="305"/>
        <v>Y</v>
      </c>
      <c r="H1603" s="8" t="str">
        <f t="shared" si="306"/>
        <v>Upper</v>
      </c>
      <c r="I1603" s="8" t="str">
        <f t="shared" si="307"/>
        <v>West Fork and Below Lake</v>
      </c>
      <c r="J1603" s="8" t="str">
        <f t="shared" si="308"/>
        <v>Sonoma (d/s of Clov. Gage)</v>
      </c>
      <c r="K1603" s="8" t="str">
        <f t="shared" si="309"/>
        <v>Riparian</v>
      </c>
      <c r="L1603" s="8">
        <f t="shared" si="310"/>
        <v>1000</v>
      </c>
      <c r="M1603" s="8" t="str">
        <f t="shared" ref="M1603:M1666" si="312">IF(L1603=1949,"1949",IF(AND(L1603&gt;1949,L1603&lt;1953),"1950-1952",IF(AND(L1603&gt;1952,L1603&lt;1955),"1953-1954",IF(AND(L1603&gt;1954,L1603&lt;1957),"1955-1956",IF(AND(L1603&gt;1956,L1603&lt;1960),"1957-1959",IF(AND(L1603&gt;1959,L1603&lt;1971),"1960-1970",IF(AND(L1603&gt;1970,L1603&lt;1991),"1971-1990",IF(L1603&gt;1990,"1991-present","-"))))))))</f>
        <v>-</v>
      </c>
      <c r="N1603" s="10" t="s">
        <v>241</v>
      </c>
      <c r="O1603" s="10" t="s">
        <v>241</v>
      </c>
      <c r="P1603" s="10" t="s">
        <v>242</v>
      </c>
      <c r="Q1603" s="10" t="s">
        <v>242</v>
      </c>
      <c r="R1603" s="10" t="s">
        <v>242</v>
      </c>
      <c r="S1603" s="10" t="s">
        <v>241</v>
      </c>
      <c r="T1603" s="10" t="s">
        <v>242</v>
      </c>
      <c r="U1603" s="10" t="s">
        <v>242</v>
      </c>
      <c r="V1603" s="10" t="s">
        <v>242</v>
      </c>
      <c r="W1603" s="10" t="s">
        <v>242</v>
      </c>
      <c r="X1603" s="15">
        <f>IF(ISERROR(VLOOKUP($A1603,'13. Updated Demand'!A:Z,15,FALSE)),0,VLOOKUP($A1603,'13. Updated Demand'!A:Z,15,FALSE))</f>
        <v>0</v>
      </c>
      <c r="Y1603" s="16">
        <f>IF(ISERROR(VLOOKUP($A1603,'13. Updated Demand'!A:Z,16,FALSE)),0,VLOOKUP($A1603,'13. Updated Demand'!A:Z,16,FALSE))</f>
        <v>0</v>
      </c>
      <c r="Z1603" s="16">
        <f>IF(ISERROR(VLOOKUP($A1603,'13. Updated Demand'!A:Z,17,FALSE)),0,VLOOKUP($A1603,'13. Updated Demand'!A:Z,17,FALSE))</f>
        <v>0</v>
      </c>
      <c r="AA1603" s="16">
        <f>IF(ISERROR(VLOOKUP($A1603,'13. Updated Demand'!A:Z,18,FALSE)),0,VLOOKUP($A1603,'13. Updated Demand'!A:Z,18,FALSE))</f>
        <v>34.86</v>
      </c>
      <c r="AB1603" s="16">
        <f>IF(ISERROR(VLOOKUP($A1603,'13. Updated Demand'!A:Z,19,FALSE)),0,VLOOKUP($A1603,'13. Updated Demand'!A:Z,19,FALSE))</f>
        <v>9.16</v>
      </c>
      <c r="AC1603" s="16">
        <f>IF(ISERROR(VLOOKUP($A1603,'13. Updated Demand'!A:Z,20,FALSE)),0,VLOOKUP($A1603,'13. Updated Demand'!A:Z,20,FALSE))</f>
        <v>0</v>
      </c>
      <c r="AD1603" s="16">
        <f>IF(ISERROR(VLOOKUP($A1603,'13. Updated Demand'!A:Z,21,FALSE)),0,VLOOKUP($A1603,'13. Updated Demand'!A:Z,21,FALSE))</f>
        <v>11.53</v>
      </c>
      <c r="AE1603" s="16">
        <f>IF(ISERROR(VLOOKUP($A1603,'13. Updated Demand'!A:Z,22,FALSE)),0,VLOOKUP($A1603,'13. Updated Demand'!A:Z,22,FALSE))</f>
        <v>34.700000000000003</v>
      </c>
      <c r="AF1603" s="16">
        <f>IF(ISERROR(VLOOKUP($A1603,'13. Updated Demand'!A:Z,23,FALSE)),0,VLOOKUP($A1603,'13. Updated Demand'!A:Z,23,FALSE))</f>
        <v>19.87</v>
      </c>
      <c r="AG1603" s="16">
        <f>IF(ISERROR(VLOOKUP($A1603,'13. Updated Demand'!A:Z,24,FALSE)),0,VLOOKUP($A1603,'13. Updated Demand'!A:Z,24,FALSE))</f>
        <v>1.86</v>
      </c>
      <c r="AH1603" s="16">
        <f>IF(ISERROR(VLOOKUP($A1603,'13. Updated Demand'!A:Z,25,FALSE)),0,VLOOKUP($A1603,'13. Updated Demand'!A:Z,25,FALSE))</f>
        <v>0</v>
      </c>
      <c r="AI1603" s="16">
        <f>IF(ISERROR(VLOOKUP($A1603,'13. Updated Demand'!A:Z,26,FALSE)),0,VLOOKUP($A1603,'13. Updated Demand'!A:Z,26,FALSE))</f>
        <v>0</v>
      </c>
      <c r="AJ1603" s="16">
        <f t="shared" si="301"/>
        <v>111.98</v>
      </c>
      <c r="AK1603" s="19">
        <v>75.279999999999973</v>
      </c>
      <c r="AL1603" s="16">
        <f t="shared" si="311"/>
        <v>0.24969518480216585</v>
      </c>
      <c r="AM1603" s="26">
        <v>0.10664077127642695</v>
      </c>
      <c r="AN1603" s="19">
        <v>1050.3800000000001</v>
      </c>
      <c r="AO1603" s="19" t="s">
        <v>1758</v>
      </c>
      <c r="AP1603" s="19">
        <v>0</v>
      </c>
      <c r="AQ1603" s="19" t="s">
        <v>307</v>
      </c>
      <c r="AR1603" s="9" t="s">
        <v>354</v>
      </c>
      <c r="AS1603" s="12">
        <v>0</v>
      </c>
      <c r="AT1603" s="19">
        <v>38.768894950000004</v>
      </c>
      <c r="AU1603" s="19">
        <v>-122.98038037000001</v>
      </c>
      <c r="AV1603" s="19" t="s">
        <v>387</v>
      </c>
    </row>
    <row r="1604" spans="1:48" x14ac:dyDescent="0.25">
      <c r="A1604" s="18" t="s">
        <v>2002</v>
      </c>
      <c r="B1604" s="10">
        <v>10000000</v>
      </c>
      <c r="C1604" s="9">
        <v>1</v>
      </c>
      <c r="D1604" s="8" t="str">
        <f t="shared" si="302"/>
        <v>N</v>
      </c>
      <c r="E1604" s="8" t="str">
        <f t="shared" si="303"/>
        <v>N</v>
      </c>
      <c r="F1604" s="8" t="str">
        <f t="shared" si="304"/>
        <v>Y</v>
      </c>
      <c r="G1604" s="8" t="str">
        <f t="shared" si="305"/>
        <v>Y</v>
      </c>
      <c r="H1604" s="8" t="str">
        <f t="shared" si="306"/>
        <v>Upper</v>
      </c>
      <c r="I1604" s="8" t="str">
        <f t="shared" si="307"/>
        <v>West Fork and Below Lake</v>
      </c>
      <c r="J1604" s="8" t="str">
        <f t="shared" si="308"/>
        <v>Outside</v>
      </c>
      <c r="K1604" s="8" t="str">
        <f t="shared" si="309"/>
        <v>Riparian</v>
      </c>
      <c r="L1604" s="8">
        <f t="shared" si="310"/>
        <v>1000</v>
      </c>
      <c r="M1604" s="8" t="str">
        <f t="shared" si="312"/>
        <v>-</v>
      </c>
      <c r="N1604" s="10" t="s">
        <v>242</v>
      </c>
      <c r="O1604" s="10" t="s">
        <v>241</v>
      </c>
      <c r="P1604" s="10" t="s">
        <v>242</v>
      </c>
      <c r="Q1604" s="10" t="s">
        <v>242</v>
      </c>
      <c r="R1604" s="10" t="s">
        <v>242</v>
      </c>
      <c r="S1604" s="10" t="s">
        <v>241</v>
      </c>
      <c r="T1604" s="10" t="s">
        <v>242</v>
      </c>
      <c r="U1604" s="10" t="s">
        <v>242</v>
      </c>
      <c r="V1604" s="10" t="s">
        <v>241</v>
      </c>
      <c r="W1604" s="10" t="s">
        <v>242</v>
      </c>
      <c r="X1604" s="15">
        <f>IF(ISERROR(VLOOKUP($A1604,'13. Updated Demand'!A:Z,15,FALSE)),0,VLOOKUP($A1604,'13. Updated Demand'!A:Z,15,FALSE))</f>
        <v>0</v>
      </c>
      <c r="Y1604" s="16">
        <f>IF(ISERROR(VLOOKUP($A1604,'13. Updated Demand'!A:Z,16,FALSE)),0,VLOOKUP($A1604,'13. Updated Demand'!A:Z,16,FALSE))</f>
        <v>2.83</v>
      </c>
      <c r="Z1604" s="16">
        <f>IF(ISERROR(VLOOKUP($A1604,'13. Updated Demand'!A:Z,17,FALSE)),0,VLOOKUP($A1604,'13. Updated Demand'!A:Z,17,FALSE))</f>
        <v>4.16</v>
      </c>
      <c r="AA1604" s="16">
        <f>IF(ISERROR(VLOOKUP($A1604,'13. Updated Demand'!A:Z,18,FALSE)),0,VLOOKUP($A1604,'13. Updated Demand'!A:Z,18,FALSE))</f>
        <v>2.5</v>
      </c>
      <c r="AB1604" s="16">
        <f>IF(ISERROR(VLOOKUP($A1604,'13. Updated Demand'!A:Z,19,FALSE)),0,VLOOKUP($A1604,'13. Updated Demand'!A:Z,19,FALSE))</f>
        <v>0</v>
      </c>
      <c r="AC1604" s="16">
        <f>IF(ISERROR(VLOOKUP($A1604,'13. Updated Demand'!A:Z,20,FALSE)),0,VLOOKUP($A1604,'13. Updated Demand'!A:Z,20,FALSE))</f>
        <v>0</v>
      </c>
      <c r="AD1604" s="16">
        <f>IF(ISERROR(VLOOKUP($A1604,'13. Updated Demand'!A:Z,21,FALSE)),0,VLOOKUP($A1604,'13. Updated Demand'!A:Z,21,FALSE))</f>
        <v>0</v>
      </c>
      <c r="AE1604" s="16">
        <f>IF(ISERROR(VLOOKUP($A1604,'13. Updated Demand'!A:Z,22,FALSE)),0,VLOOKUP($A1604,'13. Updated Demand'!A:Z,22,FALSE))</f>
        <v>0</v>
      </c>
      <c r="AF1604" s="16">
        <f>IF(ISERROR(VLOOKUP($A1604,'13. Updated Demand'!A:Z,23,FALSE)),0,VLOOKUP($A1604,'13. Updated Demand'!A:Z,23,FALSE))</f>
        <v>0</v>
      </c>
      <c r="AG1604" s="16">
        <f>IF(ISERROR(VLOOKUP($A1604,'13. Updated Demand'!A:Z,24,FALSE)),0,VLOOKUP($A1604,'13. Updated Demand'!A:Z,24,FALSE))</f>
        <v>0</v>
      </c>
      <c r="AH1604" s="16">
        <f>IF(ISERROR(VLOOKUP($A1604,'13. Updated Demand'!A:Z,25,FALSE)),0,VLOOKUP($A1604,'13. Updated Demand'!A:Z,25,FALSE))</f>
        <v>0</v>
      </c>
      <c r="AI1604" s="16">
        <f>IF(ISERROR(VLOOKUP($A1604,'13. Updated Demand'!A:Z,26,FALSE)),0,VLOOKUP($A1604,'13. Updated Demand'!A:Z,26,FALSE))</f>
        <v>0</v>
      </c>
      <c r="AJ1604" s="16">
        <f t="shared" si="301"/>
        <v>9.49</v>
      </c>
      <c r="AK1604" s="19">
        <v>0</v>
      </c>
      <c r="AL1604" s="16">
        <f t="shared" si="311"/>
        <v>0</v>
      </c>
      <c r="AM1604" s="26">
        <v>4.7089053827249596E-3</v>
      </c>
      <c r="AN1604" s="19">
        <v>2017.454</v>
      </c>
      <c r="AO1604" s="19" t="s">
        <v>1758</v>
      </c>
      <c r="AP1604" s="19">
        <v>0</v>
      </c>
      <c r="AQ1604" s="19" t="s">
        <v>307</v>
      </c>
      <c r="AR1604" s="9" t="s">
        <v>317</v>
      </c>
      <c r="AS1604" s="12">
        <v>0</v>
      </c>
      <c r="AT1604" s="19">
        <v>39.292716609999999</v>
      </c>
      <c r="AU1604" s="19">
        <v>-123.21044551999999</v>
      </c>
      <c r="AV1604" s="19" t="s">
        <v>456</v>
      </c>
    </row>
    <row r="1605" spans="1:48" x14ac:dyDescent="0.25">
      <c r="A1605" s="18" t="s">
        <v>2003</v>
      </c>
      <c r="B1605" s="10">
        <v>10000000</v>
      </c>
      <c r="C1605" s="9">
        <v>10</v>
      </c>
      <c r="D1605" s="8" t="str">
        <f t="shared" si="302"/>
        <v>N</v>
      </c>
      <c r="E1605" s="8" t="str">
        <f t="shared" si="303"/>
        <v>Y</v>
      </c>
      <c r="F1605" s="8" t="str">
        <f t="shared" si="304"/>
        <v>Y</v>
      </c>
      <c r="G1605" s="8" t="str">
        <f t="shared" si="305"/>
        <v>Y</v>
      </c>
      <c r="H1605" s="8" t="str">
        <f t="shared" si="306"/>
        <v>Upper</v>
      </c>
      <c r="I1605" s="8" t="str">
        <f t="shared" si="307"/>
        <v>West Fork and Below Lake</v>
      </c>
      <c r="J1605" s="8" t="str">
        <f t="shared" si="308"/>
        <v>Sonoma (d/s of Clov. Gage)</v>
      </c>
      <c r="K1605" s="8" t="str">
        <f t="shared" si="309"/>
        <v>Riparian</v>
      </c>
      <c r="L1605" s="8">
        <f t="shared" si="310"/>
        <v>1000</v>
      </c>
      <c r="M1605" s="8" t="str">
        <f t="shared" si="312"/>
        <v>-</v>
      </c>
      <c r="N1605" s="10" t="s">
        <v>241</v>
      </c>
      <c r="O1605" s="10" t="s">
        <v>241</v>
      </c>
      <c r="P1605" s="10" t="s">
        <v>242</v>
      </c>
      <c r="Q1605" s="10" t="s">
        <v>242</v>
      </c>
      <c r="R1605" s="10" t="s">
        <v>242</v>
      </c>
      <c r="S1605" s="10" t="s">
        <v>241</v>
      </c>
      <c r="T1605" s="10" t="s">
        <v>242</v>
      </c>
      <c r="U1605" s="10" t="s">
        <v>242</v>
      </c>
      <c r="V1605" s="10" t="s">
        <v>242</v>
      </c>
      <c r="W1605" s="10" t="s">
        <v>242</v>
      </c>
      <c r="X1605" s="15">
        <f>IF(ISERROR(VLOOKUP($A1605,'13. Updated Demand'!A:Z,15,FALSE)),0,VLOOKUP($A1605,'13. Updated Demand'!A:Z,15,FALSE))</f>
        <v>0</v>
      </c>
      <c r="Y1605" s="16">
        <f>IF(ISERROR(VLOOKUP($A1605,'13. Updated Demand'!A:Z,16,FALSE)),0,VLOOKUP($A1605,'13. Updated Demand'!A:Z,16,FALSE))</f>
        <v>0</v>
      </c>
      <c r="Z1605" s="16">
        <f>IF(ISERROR(VLOOKUP($A1605,'13. Updated Demand'!A:Z,17,FALSE)),0,VLOOKUP($A1605,'13. Updated Demand'!A:Z,17,FALSE))</f>
        <v>0</v>
      </c>
      <c r="AA1605" s="16">
        <f>IF(ISERROR(VLOOKUP($A1605,'13. Updated Demand'!A:Z,18,FALSE)),0,VLOOKUP($A1605,'13. Updated Demand'!A:Z,18,FALSE))</f>
        <v>0.4</v>
      </c>
      <c r="AB1605" s="16">
        <f>IF(ISERROR(VLOOKUP($A1605,'13. Updated Demand'!A:Z,19,FALSE)),0,VLOOKUP($A1605,'13. Updated Demand'!A:Z,19,FALSE))</f>
        <v>0.2</v>
      </c>
      <c r="AC1605" s="16">
        <f>IF(ISERROR(VLOOKUP($A1605,'13. Updated Demand'!A:Z,20,FALSE)),0,VLOOKUP($A1605,'13. Updated Demand'!A:Z,20,FALSE))</f>
        <v>2.33</v>
      </c>
      <c r="AD1605" s="16">
        <f>IF(ISERROR(VLOOKUP($A1605,'13. Updated Demand'!A:Z,21,FALSE)),0,VLOOKUP($A1605,'13. Updated Demand'!A:Z,21,FALSE))</f>
        <v>2.73</v>
      </c>
      <c r="AE1605" s="16">
        <f>IF(ISERROR(VLOOKUP($A1605,'13. Updated Demand'!A:Z,22,FALSE)),0,VLOOKUP($A1605,'13. Updated Demand'!A:Z,22,FALSE))</f>
        <v>3.36</v>
      </c>
      <c r="AF1605" s="16">
        <f>IF(ISERROR(VLOOKUP($A1605,'13. Updated Demand'!A:Z,23,FALSE)),0,VLOOKUP($A1605,'13. Updated Demand'!A:Z,23,FALSE))</f>
        <v>1.46</v>
      </c>
      <c r="AG1605" s="16">
        <f>IF(ISERROR(VLOOKUP($A1605,'13. Updated Demand'!A:Z,24,FALSE)),0,VLOOKUP($A1605,'13. Updated Demand'!A:Z,24,FALSE))</f>
        <v>1.63</v>
      </c>
      <c r="AH1605" s="16">
        <f>IF(ISERROR(VLOOKUP($A1605,'13. Updated Demand'!A:Z,25,FALSE)),0,VLOOKUP($A1605,'13. Updated Demand'!A:Z,25,FALSE))</f>
        <v>0.06</v>
      </c>
      <c r="AI1605" s="16">
        <f>IF(ISERROR(VLOOKUP($A1605,'13. Updated Demand'!A:Z,26,FALSE)),0,VLOOKUP($A1605,'13. Updated Demand'!A:Z,26,FALSE))</f>
        <v>0</v>
      </c>
      <c r="AJ1605" s="16">
        <f t="shared" si="301"/>
        <v>12.17</v>
      </c>
      <c r="AK1605" s="19">
        <v>10.1</v>
      </c>
      <c r="AL1605" s="16">
        <f t="shared" si="311"/>
        <v>3.3500549501884642E-2</v>
      </c>
      <c r="AM1605" s="26">
        <v>7.8423860395243385E-3</v>
      </c>
      <c r="AN1605" s="19">
        <v>1555.6489999999999</v>
      </c>
      <c r="AO1605" s="19" t="s">
        <v>1758</v>
      </c>
      <c r="AP1605" s="19">
        <v>0</v>
      </c>
      <c r="AQ1605" s="19" t="s">
        <v>307</v>
      </c>
      <c r="AR1605" s="9" t="s">
        <v>436</v>
      </c>
      <c r="AS1605" s="12">
        <v>0</v>
      </c>
      <c r="AT1605" s="19">
        <v>38.699239089999999</v>
      </c>
      <c r="AU1605" s="19">
        <v>-122.86483416</v>
      </c>
      <c r="AV1605" s="19" t="s">
        <v>548</v>
      </c>
    </row>
    <row r="1606" spans="1:48" x14ac:dyDescent="0.25">
      <c r="A1606" s="18" t="s">
        <v>2004</v>
      </c>
      <c r="B1606" s="10">
        <v>10000000</v>
      </c>
      <c r="C1606" s="9">
        <v>16</v>
      </c>
      <c r="D1606" s="8" t="str">
        <f t="shared" si="302"/>
        <v>N</v>
      </c>
      <c r="E1606" s="8" t="str">
        <f t="shared" si="303"/>
        <v>N</v>
      </c>
      <c r="F1606" s="8" t="str">
        <f t="shared" si="304"/>
        <v>N</v>
      </c>
      <c r="G1606" s="8" t="str">
        <f t="shared" si="305"/>
        <v>N</v>
      </c>
      <c r="H1606" s="8" t="str">
        <f t="shared" si="306"/>
        <v>Lower</v>
      </c>
      <c r="I1606" s="8" t="str">
        <f t="shared" si="307"/>
        <v>Outside</v>
      </c>
      <c r="J1606" s="8" t="str">
        <f t="shared" si="308"/>
        <v>Outside</v>
      </c>
      <c r="K1606" s="8" t="str">
        <f t="shared" si="309"/>
        <v>Riparian</v>
      </c>
      <c r="L1606" s="8">
        <f t="shared" si="310"/>
        <v>1000</v>
      </c>
      <c r="M1606" s="8" t="str">
        <f t="shared" si="312"/>
        <v>-</v>
      </c>
      <c r="N1606" s="10" t="s">
        <v>242</v>
      </c>
      <c r="O1606" s="10" t="s">
        <v>242</v>
      </c>
      <c r="P1606" s="10" t="s">
        <v>242</v>
      </c>
      <c r="Q1606" s="10" t="s">
        <v>242</v>
      </c>
      <c r="R1606" s="10" t="s">
        <v>242</v>
      </c>
      <c r="S1606" s="10" t="s">
        <v>241</v>
      </c>
      <c r="T1606" s="10" t="s">
        <v>242</v>
      </c>
      <c r="U1606" s="10" t="s">
        <v>242</v>
      </c>
      <c r="V1606" s="10" t="s">
        <v>242</v>
      </c>
      <c r="W1606" s="10" t="s">
        <v>242</v>
      </c>
      <c r="X1606" s="15">
        <f>IF(ISERROR(VLOOKUP($A1606,'13. Updated Demand'!A:Z,15,FALSE)),0,VLOOKUP($A1606,'13. Updated Demand'!A:Z,15,FALSE))</f>
        <v>0</v>
      </c>
      <c r="Y1606" s="16">
        <f>IF(ISERROR(VLOOKUP($A1606,'13. Updated Demand'!A:Z,16,FALSE)),0,VLOOKUP($A1606,'13. Updated Demand'!A:Z,16,FALSE))</f>
        <v>6.5000000000000002E-2</v>
      </c>
      <c r="Z1606" s="16">
        <f>IF(ISERROR(VLOOKUP($A1606,'13. Updated Demand'!A:Z,17,FALSE)),0,VLOOKUP($A1606,'13. Updated Demand'!A:Z,17,FALSE))</f>
        <v>0</v>
      </c>
      <c r="AA1606" s="16">
        <f>IF(ISERROR(VLOOKUP($A1606,'13. Updated Demand'!A:Z,18,FALSE)),0,VLOOKUP($A1606,'13. Updated Demand'!A:Z,18,FALSE))</f>
        <v>0</v>
      </c>
      <c r="AB1606" s="16">
        <f>IF(ISERROR(VLOOKUP($A1606,'13. Updated Demand'!A:Z,19,FALSE)),0,VLOOKUP($A1606,'13. Updated Demand'!A:Z,19,FALSE))</f>
        <v>0.32200000000000001</v>
      </c>
      <c r="AC1606" s="16">
        <f>IF(ISERROR(VLOOKUP($A1606,'13. Updated Demand'!A:Z,20,FALSE)),0,VLOOKUP($A1606,'13. Updated Demand'!A:Z,20,FALSE))</f>
        <v>1.22</v>
      </c>
      <c r="AD1606" s="16">
        <f>IF(ISERROR(VLOOKUP($A1606,'13. Updated Demand'!A:Z,21,FALSE)),0,VLOOKUP($A1606,'13. Updated Demand'!A:Z,21,FALSE))</f>
        <v>2.19</v>
      </c>
      <c r="AE1606" s="16">
        <f>IF(ISERROR(VLOOKUP($A1606,'13. Updated Demand'!A:Z,22,FALSE)),0,VLOOKUP($A1606,'13. Updated Demand'!A:Z,22,FALSE))</f>
        <v>1.68</v>
      </c>
      <c r="AF1606" s="16">
        <f>IF(ISERROR(VLOOKUP($A1606,'13. Updated Demand'!A:Z,23,FALSE)),0,VLOOKUP($A1606,'13. Updated Demand'!A:Z,23,FALSE))</f>
        <v>0.26700000000000002</v>
      </c>
      <c r="AG1606" s="16">
        <f>IF(ISERROR(VLOOKUP($A1606,'13. Updated Demand'!A:Z,24,FALSE)),0,VLOOKUP($A1606,'13. Updated Demand'!A:Z,24,FALSE))</f>
        <v>7.5999999999999998E-2</v>
      </c>
      <c r="AH1606" s="16">
        <f>IF(ISERROR(VLOOKUP($A1606,'13. Updated Demand'!A:Z,25,FALSE)),0,VLOOKUP($A1606,'13. Updated Demand'!A:Z,25,FALSE))</f>
        <v>0</v>
      </c>
      <c r="AI1606" s="16">
        <f>IF(ISERROR(VLOOKUP($A1606,'13. Updated Demand'!A:Z,26,FALSE)),0,VLOOKUP($A1606,'13. Updated Demand'!A:Z,26,FALSE))</f>
        <v>0</v>
      </c>
      <c r="AJ1606" s="16">
        <f t="shared" si="301"/>
        <v>5.8199999999999994</v>
      </c>
      <c r="AK1606" s="19">
        <v>5.6790000000000003</v>
      </c>
      <c r="AL1606" s="16">
        <f t="shared" si="311"/>
        <v>1.8836596101109198E-2</v>
      </c>
      <c r="AM1606" s="26">
        <v>0.4228544857450085</v>
      </c>
      <c r="AN1606" s="19">
        <v>13.7636</v>
      </c>
      <c r="AO1606" s="19" t="s">
        <v>1758</v>
      </c>
      <c r="AP1606" s="19">
        <v>0</v>
      </c>
      <c r="AQ1606" s="19" t="s">
        <v>307</v>
      </c>
      <c r="AR1606" s="9" t="s">
        <v>394</v>
      </c>
      <c r="AS1606" s="12">
        <v>0</v>
      </c>
      <c r="AT1606" s="19">
        <v>38.627099999999999</v>
      </c>
      <c r="AU1606" s="19">
        <v>-122.8995</v>
      </c>
      <c r="AV1606" s="19" t="s">
        <v>701</v>
      </c>
    </row>
    <row r="1607" spans="1:48" x14ac:dyDescent="0.25">
      <c r="A1607" s="18" t="s">
        <v>2005</v>
      </c>
      <c r="B1607" s="10">
        <v>10000000</v>
      </c>
      <c r="C1607" s="9">
        <v>14</v>
      </c>
      <c r="D1607" s="8" t="str">
        <f t="shared" si="302"/>
        <v>N</v>
      </c>
      <c r="E1607" s="8" t="str">
        <f t="shared" si="303"/>
        <v>N</v>
      </c>
      <c r="F1607" s="8" t="str">
        <f t="shared" si="304"/>
        <v>N</v>
      </c>
      <c r="G1607" s="8" t="str">
        <f t="shared" si="305"/>
        <v>N</v>
      </c>
      <c r="H1607" s="8" t="str">
        <f t="shared" si="306"/>
        <v>Lower</v>
      </c>
      <c r="I1607" s="8" t="str">
        <f t="shared" si="307"/>
        <v>Outside</v>
      </c>
      <c r="J1607" s="8" t="str">
        <f t="shared" si="308"/>
        <v>Outside</v>
      </c>
      <c r="K1607" s="8" t="str">
        <f t="shared" si="309"/>
        <v>Riparian</v>
      </c>
      <c r="L1607" s="8">
        <f t="shared" si="310"/>
        <v>1000</v>
      </c>
      <c r="M1607" s="8" t="str">
        <f t="shared" si="312"/>
        <v>-</v>
      </c>
      <c r="N1607" s="10" t="s">
        <v>242</v>
      </c>
      <c r="O1607" s="10" t="s">
        <v>242</v>
      </c>
      <c r="P1607" s="10" t="s">
        <v>242</v>
      </c>
      <c r="Q1607" s="10" t="s">
        <v>242</v>
      </c>
      <c r="R1607" s="10" t="s">
        <v>242</v>
      </c>
      <c r="S1607" s="10" t="s">
        <v>241</v>
      </c>
      <c r="T1607" s="10" t="s">
        <v>242</v>
      </c>
      <c r="U1607" s="10" t="s">
        <v>242</v>
      </c>
      <c r="V1607" s="10" t="s">
        <v>242</v>
      </c>
      <c r="W1607" s="10" t="s">
        <v>242</v>
      </c>
      <c r="X1607" s="15">
        <f>IF(ISERROR(VLOOKUP($A1607,'13. Updated Demand'!A:Z,15,FALSE)),0,VLOOKUP($A1607,'13. Updated Demand'!A:Z,15,FALSE))</f>
        <v>0</v>
      </c>
      <c r="Y1607" s="16">
        <f>IF(ISERROR(VLOOKUP($A1607,'13. Updated Demand'!A:Z,16,FALSE)),0,VLOOKUP($A1607,'13. Updated Demand'!A:Z,16,FALSE))</f>
        <v>0</v>
      </c>
      <c r="Z1607" s="16">
        <f>IF(ISERROR(VLOOKUP($A1607,'13. Updated Demand'!A:Z,17,FALSE)),0,VLOOKUP($A1607,'13. Updated Demand'!A:Z,17,FALSE))</f>
        <v>6.6666666999999999E-2</v>
      </c>
      <c r="AA1607" s="16">
        <f>IF(ISERROR(VLOOKUP($A1607,'13. Updated Demand'!A:Z,18,FALSE)),0,VLOOKUP($A1607,'13. Updated Demand'!A:Z,18,FALSE))</f>
        <v>0.16666666699999999</v>
      </c>
      <c r="AB1607" s="16">
        <f>IF(ISERROR(VLOOKUP($A1607,'13. Updated Demand'!A:Z,19,FALSE)),0,VLOOKUP($A1607,'13. Updated Demand'!A:Z,19,FALSE))</f>
        <v>0.1</v>
      </c>
      <c r="AC1607" s="16">
        <f>IF(ISERROR(VLOOKUP($A1607,'13. Updated Demand'!A:Z,20,FALSE)),0,VLOOKUP($A1607,'13. Updated Demand'!A:Z,20,FALSE))</f>
        <v>0.83333333300000001</v>
      </c>
      <c r="AD1607" s="16">
        <f>IF(ISERROR(VLOOKUP($A1607,'13. Updated Demand'!A:Z,21,FALSE)),0,VLOOKUP($A1607,'13. Updated Demand'!A:Z,21,FALSE))</f>
        <v>2.0333333329999999</v>
      </c>
      <c r="AE1607" s="16">
        <f>IF(ISERROR(VLOOKUP($A1607,'13. Updated Demand'!A:Z,22,FALSE)),0,VLOOKUP($A1607,'13. Updated Demand'!A:Z,22,FALSE))</f>
        <v>2.266666667</v>
      </c>
      <c r="AF1607" s="16">
        <f>IF(ISERROR(VLOOKUP($A1607,'13. Updated Demand'!A:Z,23,FALSE)),0,VLOOKUP($A1607,'13. Updated Demand'!A:Z,23,FALSE))</f>
        <v>0.53333333299999997</v>
      </c>
      <c r="AG1607" s="16">
        <f>IF(ISERROR(VLOOKUP($A1607,'13. Updated Demand'!A:Z,24,FALSE)),0,VLOOKUP($A1607,'13. Updated Demand'!A:Z,24,FALSE))</f>
        <v>0.6</v>
      </c>
      <c r="AH1607" s="16">
        <f>IF(ISERROR(VLOOKUP($A1607,'13. Updated Demand'!A:Z,25,FALSE)),0,VLOOKUP($A1607,'13. Updated Demand'!A:Z,25,FALSE))</f>
        <v>0</v>
      </c>
      <c r="AI1607" s="16">
        <f>IF(ISERROR(VLOOKUP($A1607,'13. Updated Demand'!A:Z,26,FALSE)),0,VLOOKUP($A1607,'13. Updated Demand'!A:Z,26,FALSE))</f>
        <v>0</v>
      </c>
      <c r="AJ1607" s="16">
        <f t="shared" si="301"/>
        <v>6.6</v>
      </c>
      <c r="AK1607" s="19">
        <v>5.7666666659999999</v>
      </c>
      <c r="AL1607" s="16">
        <f t="shared" si="311"/>
        <v>1.9127376446059514E-2</v>
      </c>
      <c r="AM1607" s="26">
        <v>3.9136548127992167E-3</v>
      </c>
      <c r="AN1607" s="19">
        <v>1686.4032</v>
      </c>
      <c r="AO1607" s="19" t="s">
        <v>1758</v>
      </c>
      <c r="AP1607" s="19">
        <v>0</v>
      </c>
      <c r="AQ1607" s="19" t="s">
        <v>307</v>
      </c>
      <c r="AR1607" s="9" t="s">
        <v>493</v>
      </c>
      <c r="AS1607" s="12">
        <v>0</v>
      </c>
      <c r="AT1607" s="19">
        <v>38.707826670000003</v>
      </c>
      <c r="AU1607" s="19">
        <v>-122.97673664</v>
      </c>
      <c r="AV1607" s="19" t="s">
        <v>932</v>
      </c>
    </row>
    <row r="1608" spans="1:48" x14ac:dyDescent="0.25">
      <c r="A1608" s="18" t="s">
        <v>2006</v>
      </c>
      <c r="B1608" s="10">
        <v>10000000</v>
      </c>
      <c r="C1608" s="9">
        <v>13</v>
      </c>
      <c r="D1608" s="8" t="str">
        <f t="shared" si="302"/>
        <v>N</v>
      </c>
      <c r="E1608" s="8" t="str">
        <f t="shared" si="303"/>
        <v>Y</v>
      </c>
      <c r="F1608" s="8" t="str">
        <f t="shared" si="304"/>
        <v>Y</v>
      </c>
      <c r="G1608" s="8" t="str">
        <f t="shared" si="305"/>
        <v>Y</v>
      </c>
      <c r="H1608" s="8" t="str">
        <f t="shared" si="306"/>
        <v>Upper</v>
      </c>
      <c r="I1608" s="8" t="str">
        <f t="shared" si="307"/>
        <v>West Fork and Below Lake</v>
      </c>
      <c r="J1608" s="8" t="str">
        <f t="shared" si="308"/>
        <v>Sonoma (d/s of Clov. Gage)</v>
      </c>
      <c r="K1608" s="8" t="str">
        <f t="shared" si="309"/>
        <v>Riparian</v>
      </c>
      <c r="L1608" s="8">
        <f t="shared" si="310"/>
        <v>1000</v>
      </c>
      <c r="M1608" s="8" t="str">
        <f t="shared" si="312"/>
        <v>-</v>
      </c>
      <c r="N1608" s="10" t="s">
        <v>242</v>
      </c>
      <c r="O1608" s="10" t="s">
        <v>241</v>
      </c>
      <c r="P1608" s="10" t="s">
        <v>242</v>
      </c>
      <c r="Q1608" s="10" t="s">
        <v>242</v>
      </c>
      <c r="R1608" s="10" t="s">
        <v>242</v>
      </c>
      <c r="S1608" s="10" t="s">
        <v>241</v>
      </c>
      <c r="T1608" s="10" t="s">
        <v>242</v>
      </c>
      <c r="U1608" s="10" t="s">
        <v>241</v>
      </c>
      <c r="V1608" s="10" t="s">
        <v>241</v>
      </c>
      <c r="W1608" s="10" t="s">
        <v>242</v>
      </c>
      <c r="X1608" s="15">
        <f>IF(ISERROR(VLOOKUP($A1608,'13. Updated Demand'!A:Z,15,FALSE)),0,VLOOKUP($A1608,'13. Updated Demand'!A:Z,15,FALSE))</f>
        <v>0</v>
      </c>
      <c r="Y1608" s="16">
        <f>IF(ISERROR(VLOOKUP($A1608,'13. Updated Demand'!A:Z,16,FALSE)),0,VLOOKUP($A1608,'13. Updated Demand'!A:Z,16,FALSE))</f>
        <v>0</v>
      </c>
      <c r="Z1608" s="16">
        <f>IF(ISERROR(VLOOKUP($A1608,'13. Updated Demand'!A:Z,17,FALSE)),0,VLOOKUP($A1608,'13. Updated Demand'!A:Z,17,FALSE))</f>
        <v>0</v>
      </c>
      <c r="AA1608" s="16">
        <f>IF(ISERROR(VLOOKUP($A1608,'13. Updated Demand'!A:Z,18,FALSE)),0,VLOOKUP($A1608,'13. Updated Demand'!A:Z,18,FALSE))</f>
        <v>0</v>
      </c>
      <c r="AB1608" s="16">
        <f>IF(ISERROR(VLOOKUP($A1608,'13. Updated Demand'!A:Z,19,FALSE)),0,VLOOKUP($A1608,'13. Updated Demand'!A:Z,19,FALSE))</f>
        <v>0</v>
      </c>
      <c r="AC1608" s="16">
        <f>IF(ISERROR(VLOOKUP($A1608,'13. Updated Demand'!A:Z,20,FALSE)),0,VLOOKUP($A1608,'13. Updated Demand'!A:Z,20,FALSE))</f>
        <v>0</v>
      </c>
      <c r="AD1608" s="16">
        <f>IF(ISERROR(VLOOKUP($A1608,'13. Updated Demand'!A:Z,21,FALSE)),0,VLOOKUP($A1608,'13. Updated Demand'!A:Z,21,FALSE))</f>
        <v>0</v>
      </c>
      <c r="AE1608" s="16">
        <f>IF(ISERROR(VLOOKUP($A1608,'13. Updated Demand'!A:Z,22,FALSE)),0,VLOOKUP($A1608,'13. Updated Demand'!A:Z,22,FALSE))</f>
        <v>0</v>
      </c>
      <c r="AF1608" s="16">
        <f>IF(ISERROR(VLOOKUP($A1608,'13. Updated Demand'!A:Z,23,FALSE)),0,VLOOKUP($A1608,'13. Updated Demand'!A:Z,23,FALSE))</f>
        <v>0</v>
      </c>
      <c r="AG1608" s="16">
        <f>IF(ISERROR(VLOOKUP($A1608,'13. Updated Demand'!A:Z,24,FALSE)),0,VLOOKUP($A1608,'13. Updated Demand'!A:Z,24,FALSE))</f>
        <v>0</v>
      </c>
      <c r="AH1608" s="16">
        <f>IF(ISERROR(VLOOKUP($A1608,'13. Updated Demand'!A:Z,25,FALSE)),0,VLOOKUP($A1608,'13. Updated Demand'!A:Z,25,FALSE))</f>
        <v>0</v>
      </c>
      <c r="AI1608" s="16">
        <f>IF(ISERROR(VLOOKUP($A1608,'13. Updated Demand'!A:Z,26,FALSE)),0,VLOOKUP($A1608,'13. Updated Demand'!A:Z,26,FALSE))</f>
        <v>0</v>
      </c>
      <c r="AJ1608" s="16">
        <f t="shared" si="301"/>
        <v>0</v>
      </c>
      <c r="AK1608" s="19">
        <v>0</v>
      </c>
      <c r="AL1608" s="16">
        <f t="shared" si="311"/>
        <v>0</v>
      </c>
      <c r="AM1608" s="26">
        <v>0</v>
      </c>
      <c r="AN1608" s="19">
        <v>1686.4032</v>
      </c>
      <c r="AO1608" s="19" t="s">
        <v>1758</v>
      </c>
      <c r="AP1608" s="19">
        <v>0</v>
      </c>
      <c r="AQ1608" s="19" t="s">
        <v>307</v>
      </c>
      <c r="AR1608" s="9" t="s">
        <v>994</v>
      </c>
      <c r="AS1608" s="12">
        <v>0</v>
      </c>
      <c r="AT1608" s="19">
        <v>38.595324179999999</v>
      </c>
      <c r="AU1608" s="19">
        <v>-122.86182506</v>
      </c>
      <c r="AV1608" s="19" t="s">
        <v>548</v>
      </c>
    </row>
    <row r="1609" spans="1:48" x14ac:dyDescent="0.25">
      <c r="A1609" s="18" t="s">
        <v>2007</v>
      </c>
      <c r="B1609" s="10">
        <v>10000000</v>
      </c>
      <c r="C1609" s="9">
        <v>13</v>
      </c>
      <c r="D1609" s="8" t="str">
        <f t="shared" si="302"/>
        <v>N</v>
      </c>
      <c r="E1609" s="8" t="str">
        <f t="shared" si="303"/>
        <v>Y</v>
      </c>
      <c r="F1609" s="8" t="str">
        <f t="shared" si="304"/>
        <v>Y</v>
      </c>
      <c r="G1609" s="8" t="str">
        <f t="shared" si="305"/>
        <v>Y</v>
      </c>
      <c r="H1609" s="8" t="str">
        <f t="shared" si="306"/>
        <v>Upper</v>
      </c>
      <c r="I1609" s="8" t="str">
        <f t="shared" si="307"/>
        <v>West Fork and Below Lake</v>
      </c>
      <c r="J1609" s="8" t="str">
        <f t="shared" si="308"/>
        <v>Sonoma (d/s of Clov. Gage)</v>
      </c>
      <c r="K1609" s="8" t="str">
        <f t="shared" si="309"/>
        <v>Riparian</v>
      </c>
      <c r="L1609" s="8">
        <f t="shared" si="310"/>
        <v>1000</v>
      </c>
      <c r="M1609" s="8" t="str">
        <f t="shared" si="312"/>
        <v>-</v>
      </c>
      <c r="N1609" s="10" t="s">
        <v>242</v>
      </c>
      <c r="O1609" s="10" t="s">
        <v>241</v>
      </c>
      <c r="P1609" s="10" t="s">
        <v>242</v>
      </c>
      <c r="Q1609" s="10" t="s">
        <v>242</v>
      </c>
      <c r="R1609" s="10" t="s">
        <v>242</v>
      </c>
      <c r="S1609" s="10" t="s">
        <v>241</v>
      </c>
      <c r="T1609" s="10" t="s">
        <v>242</v>
      </c>
      <c r="U1609" s="10" t="s">
        <v>242</v>
      </c>
      <c r="V1609" s="10" t="s">
        <v>242</v>
      </c>
      <c r="W1609" s="10" t="s">
        <v>242</v>
      </c>
      <c r="X1609" s="15">
        <f>IF(ISERROR(VLOOKUP($A1609,'13. Updated Demand'!A:Z,15,FALSE)),0,VLOOKUP($A1609,'13. Updated Demand'!A:Z,15,FALSE))</f>
        <v>0</v>
      </c>
      <c r="Y1609" s="16">
        <f>IF(ISERROR(VLOOKUP($A1609,'13. Updated Demand'!A:Z,16,FALSE)),0,VLOOKUP($A1609,'13. Updated Demand'!A:Z,16,FALSE))</f>
        <v>0</v>
      </c>
      <c r="Z1609" s="16">
        <f>IF(ISERROR(VLOOKUP($A1609,'13. Updated Demand'!A:Z,17,FALSE)),0,VLOOKUP($A1609,'13. Updated Demand'!A:Z,17,FALSE))</f>
        <v>0</v>
      </c>
      <c r="AA1609" s="16">
        <f>IF(ISERROR(VLOOKUP($A1609,'13. Updated Demand'!A:Z,18,FALSE)),0,VLOOKUP($A1609,'13. Updated Demand'!A:Z,18,FALSE))</f>
        <v>0</v>
      </c>
      <c r="AB1609" s="16">
        <f>IF(ISERROR(VLOOKUP($A1609,'13. Updated Demand'!A:Z,19,FALSE)),0,VLOOKUP($A1609,'13. Updated Demand'!A:Z,19,FALSE))</f>
        <v>0</v>
      </c>
      <c r="AC1609" s="16">
        <f>IF(ISERROR(VLOOKUP($A1609,'13. Updated Demand'!A:Z,20,FALSE)),0,VLOOKUP($A1609,'13. Updated Demand'!A:Z,20,FALSE))</f>
        <v>2.46</v>
      </c>
      <c r="AD1609" s="16">
        <f>IF(ISERROR(VLOOKUP($A1609,'13. Updated Demand'!A:Z,21,FALSE)),0,VLOOKUP($A1609,'13. Updated Demand'!A:Z,21,FALSE))</f>
        <v>2.63</v>
      </c>
      <c r="AE1609" s="16">
        <f>IF(ISERROR(VLOOKUP($A1609,'13. Updated Demand'!A:Z,22,FALSE)),0,VLOOKUP($A1609,'13. Updated Demand'!A:Z,22,FALSE))</f>
        <v>1.1299999999999999</v>
      </c>
      <c r="AF1609" s="16">
        <f>IF(ISERROR(VLOOKUP($A1609,'13. Updated Demand'!A:Z,23,FALSE)),0,VLOOKUP($A1609,'13. Updated Demand'!A:Z,23,FALSE))</f>
        <v>2.46</v>
      </c>
      <c r="AG1609" s="16">
        <f>IF(ISERROR(VLOOKUP($A1609,'13. Updated Demand'!A:Z,24,FALSE)),0,VLOOKUP($A1609,'13. Updated Demand'!A:Z,24,FALSE))</f>
        <v>0.46</v>
      </c>
      <c r="AH1609" s="16">
        <f>IF(ISERROR(VLOOKUP($A1609,'13. Updated Demand'!A:Z,25,FALSE)),0,VLOOKUP($A1609,'13. Updated Demand'!A:Z,25,FALSE))</f>
        <v>0</v>
      </c>
      <c r="AI1609" s="16">
        <f>IF(ISERROR(VLOOKUP($A1609,'13. Updated Demand'!A:Z,26,FALSE)),0,VLOOKUP($A1609,'13. Updated Demand'!A:Z,26,FALSE))</f>
        <v>0</v>
      </c>
      <c r="AJ1609" s="16">
        <f t="shared" si="301"/>
        <v>9.14</v>
      </c>
      <c r="AK1609" s="19">
        <v>8.6999999999999993</v>
      </c>
      <c r="AL1609" s="16">
        <f t="shared" si="311"/>
        <v>2.8856908976870928E-2</v>
      </c>
      <c r="AM1609" s="26">
        <v>5.4356316846410156E-3</v>
      </c>
      <c r="AN1609" s="19">
        <v>1686.4032</v>
      </c>
      <c r="AO1609" s="19" t="s">
        <v>1758</v>
      </c>
      <c r="AP1609" s="19">
        <v>0</v>
      </c>
      <c r="AQ1609" s="19" t="s">
        <v>307</v>
      </c>
      <c r="AR1609" s="9" t="s">
        <v>994</v>
      </c>
      <c r="AS1609" s="12">
        <v>0</v>
      </c>
      <c r="AT1609" s="19">
        <v>38.595324179999999</v>
      </c>
      <c r="AU1609" s="19">
        <v>-122.86182506</v>
      </c>
      <c r="AV1609" s="19" t="s">
        <v>1320</v>
      </c>
    </row>
    <row r="1610" spans="1:48" x14ac:dyDescent="0.25">
      <c r="A1610" s="18" t="s">
        <v>2008</v>
      </c>
      <c r="B1610" s="10">
        <v>10000000</v>
      </c>
      <c r="C1610" s="9">
        <v>10</v>
      </c>
      <c r="D1610" s="8" t="str">
        <f t="shared" si="302"/>
        <v>N</v>
      </c>
      <c r="E1610" s="8" t="str">
        <f t="shared" si="303"/>
        <v>Y</v>
      </c>
      <c r="F1610" s="8" t="str">
        <f t="shared" si="304"/>
        <v>Y</v>
      </c>
      <c r="G1610" s="8" t="str">
        <f t="shared" si="305"/>
        <v>Y</v>
      </c>
      <c r="H1610" s="8" t="str">
        <f t="shared" si="306"/>
        <v>Upper</v>
      </c>
      <c r="I1610" s="8" t="str">
        <f t="shared" si="307"/>
        <v>West Fork and Below Lake</v>
      </c>
      <c r="J1610" s="8" t="str">
        <f t="shared" si="308"/>
        <v>Sonoma (d/s of Clov. Gage)</v>
      </c>
      <c r="K1610" s="8" t="str">
        <f t="shared" si="309"/>
        <v>Riparian</v>
      </c>
      <c r="L1610" s="8">
        <f t="shared" si="310"/>
        <v>1000</v>
      </c>
      <c r="M1610" s="8" t="str">
        <f t="shared" si="312"/>
        <v>-</v>
      </c>
      <c r="N1610" s="10" t="s">
        <v>241</v>
      </c>
      <c r="O1610" s="10" t="s">
        <v>241</v>
      </c>
      <c r="P1610" s="10" t="s">
        <v>242</v>
      </c>
      <c r="Q1610" s="10" t="s">
        <v>242</v>
      </c>
      <c r="R1610" s="10" t="s">
        <v>242</v>
      </c>
      <c r="S1610" s="10" t="s">
        <v>241</v>
      </c>
      <c r="T1610" s="10" t="s">
        <v>242</v>
      </c>
      <c r="U1610" s="10" t="s">
        <v>241</v>
      </c>
      <c r="V1610" s="10" t="s">
        <v>241</v>
      </c>
      <c r="W1610" s="10" t="s">
        <v>242</v>
      </c>
      <c r="X1610" s="15">
        <f>IF(ISERROR(VLOOKUP($A1610,'13. Updated Demand'!A:Z,15,FALSE)),0,VLOOKUP($A1610,'13. Updated Demand'!A:Z,15,FALSE))</f>
        <v>0</v>
      </c>
      <c r="Y1610" s="16">
        <f>IF(ISERROR(VLOOKUP($A1610,'13. Updated Demand'!A:Z,16,FALSE)),0,VLOOKUP($A1610,'13. Updated Demand'!A:Z,16,FALSE))</f>
        <v>0</v>
      </c>
      <c r="Z1610" s="16">
        <f>IF(ISERROR(VLOOKUP($A1610,'13. Updated Demand'!A:Z,17,FALSE)),0,VLOOKUP($A1610,'13. Updated Demand'!A:Z,17,FALSE))</f>
        <v>0</v>
      </c>
      <c r="AA1610" s="16">
        <f>IF(ISERROR(VLOOKUP($A1610,'13. Updated Demand'!A:Z,18,FALSE)),0,VLOOKUP($A1610,'13. Updated Demand'!A:Z,18,FALSE))</f>
        <v>0</v>
      </c>
      <c r="AB1610" s="16">
        <f>IF(ISERROR(VLOOKUP($A1610,'13. Updated Demand'!A:Z,19,FALSE)),0,VLOOKUP($A1610,'13. Updated Demand'!A:Z,19,FALSE))</f>
        <v>0</v>
      </c>
      <c r="AC1610" s="16">
        <f>IF(ISERROR(VLOOKUP($A1610,'13. Updated Demand'!A:Z,20,FALSE)),0,VLOOKUP($A1610,'13. Updated Demand'!A:Z,20,FALSE))</f>
        <v>0</v>
      </c>
      <c r="AD1610" s="16">
        <f>IF(ISERROR(VLOOKUP($A1610,'13. Updated Demand'!A:Z,21,FALSE)),0,VLOOKUP($A1610,'13. Updated Demand'!A:Z,21,FALSE))</f>
        <v>0</v>
      </c>
      <c r="AE1610" s="16">
        <f>IF(ISERROR(VLOOKUP($A1610,'13. Updated Demand'!A:Z,22,FALSE)),0,VLOOKUP($A1610,'13. Updated Demand'!A:Z,22,FALSE))</f>
        <v>0</v>
      </c>
      <c r="AF1610" s="16">
        <f>IF(ISERROR(VLOOKUP($A1610,'13. Updated Demand'!A:Z,23,FALSE)),0,VLOOKUP($A1610,'13. Updated Demand'!A:Z,23,FALSE))</f>
        <v>0</v>
      </c>
      <c r="AG1610" s="16">
        <f>IF(ISERROR(VLOOKUP($A1610,'13. Updated Demand'!A:Z,24,FALSE)),0,VLOOKUP($A1610,'13. Updated Demand'!A:Z,24,FALSE))</f>
        <v>0</v>
      </c>
      <c r="AH1610" s="16">
        <f>IF(ISERROR(VLOOKUP($A1610,'13. Updated Demand'!A:Z,25,FALSE)),0,VLOOKUP($A1610,'13. Updated Demand'!A:Z,25,FALSE))</f>
        <v>0</v>
      </c>
      <c r="AI1610" s="16">
        <f>IF(ISERROR(VLOOKUP($A1610,'13. Updated Demand'!A:Z,26,FALSE)),0,VLOOKUP($A1610,'13. Updated Demand'!A:Z,26,FALSE))</f>
        <v>0</v>
      </c>
      <c r="AJ1610" s="16">
        <f t="shared" si="301"/>
        <v>0</v>
      </c>
      <c r="AK1610" s="19">
        <v>0</v>
      </c>
      <c r="AL1610" s="16">
        <f t="shared" si="311"/>
        <v>0</v>
      </c>
      <c r="AM1610" s="26">
        <v>0</v>
      </c>
      <c r="AN1610" s="19">
        <v>3839.32</v>
      </c>
      <c r="AO1610" s="19" t="s">
        <v>1758</v>
      </c>
      <c r="AP1610" s="19">
        <v>0</v>
      </c>
      <c r="AQ1610" s="19" t="s">
        <v>307</v>
      </c>
      <c r="AR1610" s="9" t="s">
        <v>436</v>
      </c>
      <c r="AS1610" s="12">
        <v>0</v>
      </c>
      <c r="AT1610" s="19">
        <v>38.713305200000001</v>
      </c>
      <c r="AU1610" s="19">
        <v>-122.89304413000001</v>
      </c>
      <c r="AV1610" s="19" t="s">
        <v>548</v>
      </c>
    </row>
    <row r="1611" spans="1:48" x14ac:dyDescent="0.25">
      <c r="A1611" s="18" t="s">
        <v>2009</v>
      </c>
      <c r="B1611" s="10">
        <v>10000000</v>
      </c>
      <c r="C1611" s="9">
        <v>10</v>
      </c>
      <c r="D1611" s="8" t="str">
        <f t="shared" si="302"/>
        <v>N</v>
      </c>
      <c r="E1611" s="8" t="str">
        <f t="shared" si="303"/>
        <v>Y</v>
      </c>
      <c r="F1611" s="8" t="str">
        <f t="shared" si="304"/>
        <v>Y</v>
      </c>
      <c r="G1611" s="8" t="str">
        <f t="shared" si="305"/>
        <v>Y</v>
      </c>
      <c r="H1611" s="8" t="str">
        <f t="shared" si="306"/>
        <v>Upper</v>
      </c>
      <c r="I1611" s="8" t="str">
        <f t="shared" si="307"/>
        <v>West Fork and Below Lake</v>
      </c>
      <c r="J1611" s="8" t="str">
        <f t="shared" si="308"/>
        <v>Sonoma (d/s of Clov. Gage)</v>
      </c>
      <c r="K1611" s="8" t="str">
        <f t="shared" si="309"/>
        <v>Riparian</v>
      </c>
      <c r="L1611" s="8">
        <f t="shared" si="310"/>
        <v>1000</v>
      </c>
      <c r="M1611" s="8" t="str">
        <f t="shared" si="312"/>
        <v>-</v>
      </c>
      <c r="N1611" s="10" t="s">
        <v>241</v>
      </c>
      <c r="O1611" s="10" t="s">
        <v>241</v>
      </c>
      <c r="P1611" s="10" t="s">
        <v>242</v>
      </c>
      <c r="Q1611" s="10" t="s">
        <v>242</v>
      </c>
      <c r="R1611" s="10" t="s">
        <v>242</v>
      </c>
      <c r="S1611" s="10" t="s">
        <v>241</v>
      </c>
      <c r="T1611" s="10" t="s">
        <v>242</v>
      </c>
      <c r="U1611" s="10" t="s">
        <v>242</v>
      </c>
      <c r="V1611" s="10" t="s">
        <v>241</v>
      </c>
      <c r="W1611" s="10" t="s">
        <v>242</v>
      </c>
      <c r="X1611" s="15">
        <f>IF(ISERROR(VLOOKUP($A1611,'13. Updated Demand'!A:Z,15,FALSE)),0,VLOOKUP($A1611,'13. Updated Demand'!A:Z,15,FALSE))</f>
        <v>0</v>
      </c>
      <c r="Y1611" s="16">
        <f>IF(ISERROR(VLOOKUP($A1611,'13. Updated Demand'!A:Z,16,FALSE)),0,VLOOKUP($A1611,'13. Updated Demand'!A:Z,16,FALSE))</f>
        <v>0</v>
      </c>
      <c r="Z1611" s="16">
        <f>IF(ISERROR(VLOOKUP($A1611,'13. Updated Demand'!A:Z,17,FALSE)),0,VLOOKUP($A1611,'13. Updated Demand'!A:Z,17,FALSE))</f>
        <v>8.3333300000000001E-4</v>
      </c>
      <c r="AA1611" s="16">
        <f>IF(ISERROR(VLOOKUP($A1611,'13. Updated Demand'!A:Z,18,FALSE)),0,VLOOKUP($A1611,'13. Updated Demand'!A:Z,18,FALSE))</f>
        <v>0</v>
      </c>
      <c r="AB1611" s="16">
        <f>IF(ISERROR(VLOOKUP($A1611,'13. Updated Demand'!A:Z,19,FALSE)),0,VLOOKUP($A1611,'13. Updated Demand'!A:Z,19,FALSE))</f>
        <v>0</v>
      </c>
      <c r="AC1611" s="16">
        <f>IF(ISERROR(VLOOKUP($A1611,'13. Updated Demand'!A:Z,20,FALSE)),0,VLOOKUP($A1611,'13. Updated Demand'!A:Z,20,FALSE))</f>
        <v>0</v>
      </c>
      <c r="AD1611" s="16">
        <f>IF(ISERROR(VLOOKUP($A1611,'13. Updated Demand'!A:Z,21,FALSE)),0,VLOOKUP($A1611,'13. Updated Demand'!A:Z,21,FALSE))</f>
        <v>0</v>
      </c>
      <c r="AE1611" s="16">
        <f>IF(ISERROR(VLOOKUP($A1611,'13. Updated Demand'!A:Z,22,FALSE)),0,VLOOKUP($A1611,'13. Updated Demand'!A:Z,22,FALSE))</f>
        <v>0</v>
      </c>
      <c r="AF1611" s="16">
        <f>IF(ISERROR(VLOOKUP($A1611,'13. Updated Demand'!A:Z,23,FALSE)),0,VLOOKUP($A1611,'13. Updated Demand'!A:Z,23,FALSE))</f>
        <v>0</v>
      </c>
      <c r="AG1611" s="16">
        <f>IF(ISERROR(VLOOKUP($A1611,'13. Updated Demand'!A:Z,24,FALSE)),0,VLOOKUP($A1611,'13. Updated Demand'!A:Z,24,FALSE))</f>
        <v>0</v>
      </c>
      <c r="AH1611" s="16">
        <f>IF(ISERROR(VLOOKUP($A1611,'13. Updated Demand'!A:Z,25,FALSE)),0,VLOOKUP($A1611,'13. Updated Demand'!A:Z,25,FALSE))</f>
        <v>0</v>
      </c>
      <c r="AI1611" s="16">
        <f>IF(ISERROR(VLOOKUP($A1611,'13. Updated Demand'!A:Z,26,FALSE)),0,VLOOKUP($A1611,'13. Updated Demand'!A:Z,26,FALSE))</f>
        <v>4.0000000000000002E-4</v>
      </c>
      <c r="AJ1611" s="16">
        <f t="shared" si="301"/>
        <v>1.2333330000000001E-3</v>
      </c>
      <c r="AK1611" s="19">
        <v>0</v>
      </c>
      <c r="AL1611" s="16">
        <f t="shared" si="311"/>
        <v>0</v>
      </c>
      <c r="AM1611" s="26">
        <v>3.2123735453153162E-7</v>
      </c>
      <c r="AN1611" s="19">
        <v>3839.32</v>
      </c>
      <c r="AO1611" s="19" t="s">
        <v>1758</v>
      </c>
      <c r="AP1611" s="19">
        <v>0</v>
      </c>
      <c r="AQ1611" s="19" t="s">
        <v>307</v>
      </c>
      <c r="AR1611" s="9" t="s">
        <v>436</v>
      </c>
      <c r="AS1611" s="12">
        <v>0</v>
      </c>
      <c r="AT1611" s="19">
        <v>38.71167655</v>
      </c>
      <c r="AU1611" s="19">
        <v>-122.89057034</v>
      </c>
      <c r="AV1611" s="19" t="s">
        <v>548</v>
      </c>
    </row>
    <row r="1612" spans="1:48" x14ac:dyDescent="0.25">
      <c r="A1612" s="18" t="s">
        <v>2010</v>
      </c>
      <c r="B1612" s="10">
        <v>10000000</v>
      </c>
      <c r="C1612" s="9">
        <v>10</v>
      </c>
      <c r="D1612" s="8" t="str">
        <f t="shared" si="302"/>
        <v>N</v>
      </c>
      <c r="E1612" s="8" t="str">
        <f t="shared" si="303"/>
        <v>Y</v>
      </c>
      <c r="F1612" s="8" t="str">
        <f t="shared" si="304"/>
        <v>Y</v>
      </c>
      <c r="G1612" s="8" t="str">
        <f t="shared" si="305"/>
        <v>Y</v>
      </c>
      <c r="H1612" s="8" t="str">
        <f t="shared" si="306"/>
        <v>Upper</v>
      </c>
      <c r="I1612" s="8" t="str">
        <f t="shared" si="307"/>
        <v>West Fork and Below Lake</v>
      </c>
      <c r="J1612" s="8" t="str">
        <f t="shared" si="308"/>
        <v>Sonoma (d/s of Clov. Gage)</v>
      </c>
      <c r="K1612" s="8" t="str">
        <f t="shared" si="309"/>
        <v>Riparian</v>
      </c>
      <c r="L1612" s="8">
        <f t="shared" si="310"/>
        <v>1000</v>
      </c>
      <c r="M1612" s="8" t="str">
        <f t="shared" si="312"/>
        <v>-</v>
      </c>
      <c r="N1612" s="10" t="s">
        <v>241</v>
      </c>
      <c r="O1612" s="10" t="s">
        <v>241</v>
      </c>
      <c r="P1612" s="10" t="s">
        <v>242</v>
      </c>
      <c r="Q1612" s="10" t="s">
        <v>242</v>
      </c>
      <c r="R1612" s="10" t="s">
        <v>242</v>
      </c>
      <c r="S1612" s="10" t="s">
        <v>241</v>
      </c>
      <c r="T1612" s="10" t="s">
        <v>242</v>
      </c>
      <c r="U1612" s="10" t="s">
        <v>241</v>
      </c>
      <c r="V1612" s="10" t="s">
        <v>241</v>
      </c>
      <c r="W1612" s="10" t="s">
        <v>242</v>
      </c>
      <c r="X1612" s="15">
        <f>IF(ISERROR(VLOOKUP($A1612,'13. Updated Demand'!A:Z,15,FALSE)),0,VLOOKUP($A1612,'13. Updated Demand'!A:Z,15,FALSE))</f>
        <v>0</v>
      </c>
      <c r="Y1612" s="16">
        <f>IF(ISERROR(VLOOKUP($A1612,'13. Updated Demand'!A:Z,16,FALSE)),0,VLOOKUP($A1612,'13. Updated Demand'!A:Z,16,FALSE))</f>
        <v>0</v>
      </c>
      <c r="Z1612" s="16">
        <f>IF(ISERROR(VLOOKUP($A1612,'13. Updated Demand'!A:Z,17,FALSE)),0,VLOOKUP($A1612,'13. Updated Demand'!A:Z,17,FALSE))</f>
        <v>0</v>
      </c>
      <c r="AA1612" s="16">
        <f>IF(ISERROR(VLOOKUP($A1612,'13. Updated Demand'!A:Z,18,FALSE)),0,VLOOKUP($A1612,'13. Updated Demand'!A:Z,18,FALSE))</f>
        <v>0</v>
      </c>
      <c r="AB1612" s="16">
        <f>IF(ISERROR(VLOOKUP($A1612,'13. Updated Demand'!A:Z,19,FALSE)),0,VLOOKUP($A1612,'13. Updated Demand'!A:Z,19,FALSE))</f>
        <v>0</v>
      </c>
      <c r="AC1612" s="16">
        <f>IF(ISERROR(VLOOKUP($A1612,'13. Updated Demand'!A:Z,20,FALSE)),0,VLOOKUP($A1612,'13. Updated Demand'!A:Z,20,FALSE))</f>
        <v>0</v>
      </c>
      <c r="AD1612" s="16">
        <f>IF(ISERROR(VLOOKUP($A1612,'13. Updated Demand'!A:Z,21,FALSE)),0,VLOOKUP($A1612,'13. Updated Demand'!A:Z,21,FALSE))</f>
        <v>0</v>
      </c>
      <c r="AE1612" s="16">
        <f>IF(ISERROR(VLOOKUP($A1612,'13. Updated Demand'!A:Z,22,FALSE)),0,VLOOKUP($A1612,'13. Updated Demand'!A:Z,22,FALSE))</f>
        <v>0</v>
      </c>
      <c r="AF1612" s="16">
        <f>IF(ISERROR(VLOOKUP($A1612,'13. Updated Demand'!A:Z,23,FALSE)),0,VLOOKUP($A1612,'13. Updated Demand'!A:Z,23,FALSE))</f>
        <v>0</v>
      </c>
      <c r="AG1612" s="16">
        <f>IF(ISERROR(VLOOKUP($A1612,'13. Updated Demand'!A:Z,24,FALSE)),0,VLOOKUP($A1612,'13. Updated Demand'!A:Z,24,FALSE))</f>
        <v>0</v>
      </c>
      <c r="AH1612" s="16">
        <f>IF(ISERROR(VLOOKUP($A1612,'13. Updated Demand'!A:Z,25,FALSE)),0,VLOOKUP($A1612,'13. Updated Demand'!A:Z,25,FALSE))</f>
        <v>0</v>
      </c>
      <c r="AI1612" s="16">
        <f>IF(ISERROR(VLOOKUP($A1612,'13. Updated Demand'!A:Z,26,FALSE)),0,VLOOKUP($A1612,'13. Updated Demand'!A:Z,26,FALSE))</f>
        <v>0</v>
      </c>
      <c r="AJ1612" s="16">
        <f t="shared" si="301"/>
        <v>0</v>
      </c>
      <c r="AK1612" s="19">
        <v>0</v>
      </c>
      <c r="AL1612" s="16">
        <f t="shared" si="311"/>
        <v>0</v>
      </c>
      <c r="AM1612" s="26">
        <v>0</v>
      </c>
      <c r="AN1612" s="19">
        <v>3839.32</v>
      </c>
      <c r="AO1612" s="19" t="s">
        <v>1758</v>
      </c>
      <c r="AP1612" s="19">
        <v>0</v>
      </c>
      <c r="AQ1612" s="19" t="s">
        <v>307</v>
      </c>
      <c r="AR1612" s="9" t="s">
        <v>436</v>
      </c>
      <c r="AS1612" s="12">
        <v>0</v>
      </c>
      <c r="AT1612" s="19">
        <v>38.710446320000003</v>
      </c>
      <c r="AU1612" s="19">
        <v>-122.889854</v>
      </c>
      <c r="AV1612" s="19" t="s">
        <v>548</v>
      </c>
    </row>
    <row r="1613" spans="1:48" x14ac:dyDescent="0.25">
      <c r="A1613" s="18" t="s">
        <v>2011</v>
      </c>
      <c r="B1613" s="10">
        <v>10000000</v>
      </c>
      <c r="C1613" s="9">
        <v>10</v>
      </c>
      <c r="D1613" s="8" t="str">
        <f t="shared" si="302"/>
        <v>N</v>
      </c>
      <c r="E1613" s="8" t="str">
        <f t="shared" si="303"/>
        <v>Y</v>
      </c>
      <c r="F1613" s="8" t="str">
        <f t="shared" si="304"/>
        <v>Y</v>
      </c>
      <c r="G1613" s="8" t="str">
        <f t="shared" si="305"/>
        <v>Y</v>
      </c>
      <c r="H1613" s="8" t="str">
        <f t="shared" si="306"/>
        <v>Upper</v>
      </c>
      <c r="I1613" s="8" t="str">
        <f t="shared" si="307"/>
        <v>West Fork and Below Lake</v>
      </c>
      <c r="J1613" s="8" t="str">
        <f t="shared" si="308"/>
        <v>Sonoma (d/s of Clov. Gage)</v>
      </c>
      <c r="K1613" s="8" t="str">
        <f t="shared" si="309"/>
        <v>Riparian</v>
      </c>
      <c r="L1613" s="8">
        <f t="shared" si="310"/>
        <v>1000</v>
      </c>
      <c r="M1613" s="8" t="str">
        <f t="shared" si="312"/>
        <v>-</v>
      </c>
      <c r="N1613" s="10" t="s">
        <v>241</v>
      </c>
      <c r="O1613" s="10" t="s">
        <v>241</v>
      </c>
      <c r="P1613" s="10" t="s">
        <v>242</v>
      </c>
      <c r="Q1613" s="10" t="s">
        <v>242</v>
      </c>
      <c r="R1613" s="10" t="s">
        <v>242</v>
      </c>
      <c r="S1613" s="10" t="s">
        <v>241</v>
      </c>
      <c r="T1613" s="10" t="s">
        <v>242</v>
      </c>
      <c r="U1613" s="10" t="s">
        <v>241</v>
      </c>
      <c r="V1613" s="10" t="s">
        <v>241</v>
      </c>
      <c r="W1613" s="10" t="s">
        <v>242</v>
      </c>
      <c r="X1613" s="15">
        <f>IF(ISERROR(VLOOKUP($A1613,'13. Updated Demand'!A:Z,15,FALSE)),0,VLOOKUP($A1613,'13. Updated Demand'!A:Z,15,FALSE))</f>
        <v>0</v>
      </c>
      <c r="Y1613" s="16">
        <f>IF(ISERROR(VLOOKUP($A1613,'13. Updated Demand'!A:Z,16,FALSE)),0,VLOOKUP($A1613,'13. Updated Demand'!A:Z,16,FALSE))</f>
        <v>0</v>
      </c>
      <c r="Z1613" s="16">
        <f>IF(ISERROR(VLOOKUP($A1613,'13. Updated Demand'!A:Z,17,FALSE)),0,VLOOKUP($A1613,'13. Updated Demand'!A:Z,17,FALSE))</f>
        <v>0</v>
      </c>
      <c r="AA1613" s="16">
        <f>IF(ISERROR(VLOOKUP($A1613,'13. Updated Demand'!A:Z,18,FALSE)),0,VLOOKUP($A1613,'13. Updated Demand'!A:Z,18,FALSE))</f>
        <v>0</v>
      </c>
      <c r="AB1613" s="16">
        <f>IF(ISERROR(VLOOKUP($A1613,'13. Updated Demand'!A:Z,19,FALSE)),0,VLOOKUP($A1613,'13. Updated Demand'!A:Z,19,FALSE))</f>
        <v>0</v>
      </c>
      <c r="AC1613" s="16">
        <f>IF(ISERROR(VLOOKUP($A1613,'13. Updated Demand'!A:Z,20,FALSE)),0,VLOOKUP($A1613,'13. Updated Demand'!A:Z,20,FALSE))</f>
        <v>0</v>
      </c>
      <c r="AD1613" s="16">
        <f>IF(ISERROR(VLOOKUP($A1613,'13. Updated Demand'!A:Z,21,FALSE)),0,VLOOKUP($A1613,'13. Updated Demand'!A:Z,21,FALSE))</f>
        <v>0</v>
      </c>
      <c r="AE1613" s="16">
        <f>IF(ISERROR(VLOOKUP($A1613,'13. Updated Demand'!A:Z,22,FALSE)),0,VLOOKUP($A1613,'13. Updated Demand'!A:Z,22,FALSE))</f>
        <v>0</v>
      </c>
      <c r="AF1613" s="16">
        <f>IF(ISERROR(VLOOKUP($A1613,'13. Updated Demand'!A:Z,23,FALSE)),0,VLOOKUP($A1613,'13. Updated Demand'!A:Z,23,FALSE))</f>
        <v>0</v>
      </c>
      <c r="AG1613" s="16">
        <f>IF(ISERROR(VLOOKUP($A1613,'13. Updated Demand'!A:Z,24,FALSE)),0,VLOOKUP($A1613,'13. Updated Demand'!A:Z,24,FALSE))</f>
        <v>0</v>
      </c>
      <c r="AH1613" s="16">
        <f>IF(ISERROR(VLOOKUP($A1613,'13. Updated Demand'!A:Z,25,FALSE)),0,VLOOKUP($A1613,'13. Updated Demand'!A:Z,25,FALSE))</f>
        <v>0</v>
      </c>
      <c r="AI1613" s="16">
        <f>IF(ISERROR(VLOOKUP($A1613,'13. Updated Demand'!A:Z,26,FALSE)),0,VLOOKUP($A1613,'13. Updated Demand'!A:Z,26,FALSE))</f>
        <v>0</v>
      </c>
      <c r="AJ1613" s="16">
        <f t="shared" si="301"/>
        <v>0</v>
      </c>
      <c r="AK1613" s="19">
        <v>0</v>
      </c>
      <c r="AL1613" s="16">
        <f t="shared" si="311"/>
        <v>0</v>
      </c>
      <c r="AM1613" s="26">
        <v>0</v>
      </c>
      <c r="AN1613" s="19">
        <v>3839.32</v>
      </c>
      <c r="AO1613" s="19" t="s">
        <v>1758</v>
      </c>
      <c r="AP1613" s="19">
        <v>0</v>
      </c>
      <c r="AQ1613" s="19" t="s">
        <v>307</v>
      </c>
      <c r="AR1613" s="9" t="s">
        <v>436</v>
      </c>
      <c r="AS1613" s="12">
        <v>0</v>
      </c>
      <c r="AT1613" s="19">
        <v>38.709357390000001</v>
      </c>
      <c r="AU1613" s="19">
        <v>-122.88861375</v>
      </c>
      <c r="AV1613" s="19" t="s">
        <v>548</v>
      </c>
    </row>
    <row r="1614" spans="1:48" x14ac:dyDescent="0.25">
      <c r="A1614" s="18" t="s">
        <v>2012</v>
      </c>
      <c r="B1614" s="10">
        <v>10000000</v>
      </c>
      <c r="C1614" s="9">
        <v>10</v>
      </c>
      <c r="D1614" s="8" t="str">
        <f t="shared" si="302"/>
        <v>N</v>
      </c>
      <c r="E1614" s="8" t="str">
        <f t="shared" si="303"/>
        <v>Y</v>
      </c>
      <c r="F1614" s="8" t="str">
        <f t="shared" si="304"/>
        <v>Y</v>
      </c>
      <c r="G1614" s="8" t="str">
        <f t="shared" si="305"/>
        <v>Y</v>
      </c>
      <c r="H1614" s="8" t="str">
        <f t="shared" si="306"/>
        <v>Upper</v>
      </c>
      <c r="I1614" s="8" t="str">
        <f t="shared" si="307"/>
        <v>West Fork and Below Lake</v>
      </c>
      <c r="J1614" s="8" t="str">
        <f t="shared" si="308"/>
        <v>Sonoma (d/s of Clov. Gage)</v>
      </c>
      <c r="K1614" s="8" t="str">
        <f t="shared" si="309"/>
        <v>Riparian</v>
      </c>
      <c r="L1614" s="8">
        <f t="shared" si="310"/>
        <v>1000</v>
      </c>
      <c r="M1614" s="8" t="str">
        <f t="shared" si="312"/>
        <v>-</v>
      </c>
      <c r="N1614" s="10" t="s">
        <v>241</v>
      </c>
      <c r="O1614" s="10" t="s">
        <v>241</v>
      </c>
      <c r="P1614" s="10" t="s">
        <v>242</v>
      </c>
      <c r="Q1614" s="10" t="s">
        <v>242</v>
      </c>
      <c r="R1614" s="10" t="s">
        <v>242</v>
      </c>
      <c r="S1614" s="10" t="s">
        <v>241</v>
      </c>
      <c r="T1614" s="10" t="s">
        <v>242</v>
      </c>
      <c r="U1614" s="10" t="s">
        <v>242</v>
      </c>
      <c r="V1614" s="10" t="s">
        <v>242</v>
      </c>
      <c r="W1614" s="10" t="s">
        <v>242</v>
      </c>
      <c r="X1614" s="15">
        <f>IF(ISERROR(VLOOKUP($A1614,'13. Updated Demand'!A:Z,15,FALSE)),0,VLOOKUP($A1614,'13. Updated Demand'!A:Z,15,FALSE))</f>
        <v>0.02</v>
      </c>
      <c r="Y1614" s="16">
        <f>IF(ISERROR(VLOOKUP($A1614,'13. Updated Demand'!A:Z,16,FALSE)),0,VLOOKUP($A1614,'13. Updated Demand'!A:Z,16,FALSE))</f>
        <v>0.01</v>
      </c>
      <c r="Z1614" s="16">
        <f>IF(ISERROR(VLOOKUP($A1614,'13. Updated Demand'!A:Z,17,FALSE)),0,VLOOKUP($A1614,'13. Updated Demand'!A:Z,17,FALSE))</f>
        <v>0.02</v>
      </c>
      <c r="AA1614" s="16">
        <f>IF(ISERROR(VLOOKUP($A1614,'13. Updated Demand'!A:Z,18,FALSE)),0,VLOOKUP($A1614,'13. Updated Demand'!A:Z,18,FALSE))</f>
        <v>0.02</v>
      </c>
      <c r="AB1614" s="16">
        <f>IF(ISERROR(VLOOKUP($A1614,'13. Updated Demand'!A:Z,19,FALSE)),0,VLOOKUP($A1614,'13. Updated Demand'!A:Z,19,FALSE))</f>
        <v>0.02</v>
      </c>
      <c r="AC1614" s="16">
        <f>IF(ISERROR(VLOOKUP($A1614,'13. Updated Demand'!A:Z,20,FALSE)),0,VLOOKUP($A1614,'13. Updated Demand'!A:Z,20,FALSE))</f>
        <v>0.02</v>
      </c>
      <c r="AD1614" s="16">
        <f>IF(ISERROR(VLOOKUP($A1614,'13. Updated Demand'!A:Z,21,FALSE)),0,VLOOKUP($A1614,'13. Updated Demand'!A:Z,21,FALSE))</f>
        <v>0.02</v>
      </c>
      <c r="AE1614" s="16">
        <f>IF(ISERROR(VLOOKUP($A1614,'13. Updated Demand'!A:Z,22,FALSE)),0,VLOOKUP($A1614,'13. Updated Demand'!A:Z,22,FALSE))</f>
        <v>0.02</v>
      </c>
      <c r="AF1614" s="16">
        <f>IF(ISERROR(VLOOKUP($A1614,'13. Updated Demand'!A:Z,23,FALSE)),0,VLOOKUP($A1614,'13. Updated Demand'!A:Z,23,FALSE))</f>
        <v>0.02</v>
      </c>
      <c r="AG1614" s="16">
        <f>IF(ISERROR(VLOOKUP($A1614,'13. Updated Demand'!A:Z,24,FALSE)),0,VLOOKUP($A1614,'13. Updated Demand'!A:Z,24,FALSE))</f>
        <v>0.02</v>
      </c>
      <c r="AH1614" s="16">
        <f>IF(ISERROR(VLOOKUP($A1614,'13. Updated Demand'!A:Z,25,FALSE)),0,VLOOKUP($A1614,'13. Updated Demand'!A:Z,25,FALSE))</f>
        <v>0.02</v>
      </c>
      <c r="AI1614" s="16">
        <f>IF(ISERROR(VLOOKUP($A1614,'13. Updated Demand'!A:Z,26,FALSE)),0,VLOOKUP($A1614,'13. Updated Demand'!A:Z,26,FALSE))</f>
        <v>0.02</v>
      </c>
      <c r="AJ1614" s="16">
        <f t="shared" si="301"/>
        <v>0.22999999999999995</v>
      </c>
      <c r="AK1614" s="19">
        <v>0.10300000000000001</v>
      </c>
      <c r="AL1614" s="16">
        <f t="shared" si="311"/>
        <v>3.4163926719743749E-4</v>
      </c>
      <c r="AM1614" s="26">
        <v>6.4073846410301813E-5</v>
      </c>
      <c r="AN1614" s="19">
        <v>3839.32</v>
      </c>
      <c r="AO1614" s="19" t="s">
        <v>1758</v>
      </c>
      <c r="AP1614" s="19">
        <v>0</v>
      </c>
      <c r="AQ1614" s="19" t="s">
        <v>307</v>
      </c>
      <c r="AR1614" s="9" t="s">
        <v>436</v>
      </c>
      <c r="AS1614" s="12">
        <v>0</v>
      </c>
      <c r="AT1614" s="19">
        <v>38.712926889999999</v>
      </c>
      <c r="AU1614" s="19">
        <v>-122.88865828</v>
      </c>
      <c r="AV1614" s="19" t="s">
        <v>548</v>
      </c>
    </row>
    <row r="1615" spans="1:48" x14ac:dyDescent="0.25">
      <c r="A1615" s="18" t="s">
        <v>2013</v>
      </c>
      <c r="B1615" s="10">
        <v>10000000</v>
      </c>
      <c r="C1615" s="9">
        <v>23</v>
      </c>
      <c r="D1615" s="8" t="str">
        <f t="shared" si="302"/>
        <v>N</v>
      </c>
      <c r="E1615" s="8" t="str">
        <f t="shared" si="303"/>
        <v>N</v>
      </c>
      <c r="F1615" s="8" t="str">
        <f t="shared" si="304"/>
        <v>N</v>
      </c>
      <c r="G1615" s="8" t="str">
        <f t="shared" si="305"/>
        <v>N</v>
      </c>
      <c r="H1615" s="8" t="str">
        <f t="shared" si="306"/>
        <v>Lower</v>
      </c>
      <c r="I1615" s="8" t="str">
        <f t="shared" si="307"/>
        <v>Outside</v>
      </c>
      <c r="J1615" s="8" t="str">
        <f t="shared" si="308"/>
        <v>Outside</v>
      </c>
      <c r="K1615" s="8" t="str">
        <f t="shared" si="309"/>
        <v>Riparian</v>
      </c>
      <c r="L1615" s="8">
        <f t="shared" si="310"/>
        <v>1000</v>
      </c>
      <c r="M1615" s="8" t="str">
        <f t="shared" si="312"/>
        <v>-</v>
      </c>
      <c r="N1615" s="10" t="s">
        <v>242</v>
      </c>
      <c r="O1615" s="10" t="s">
        <v>242</v>
      </c>
      <c r="P1615" s="10" t="s">
        <v>242</v>
      </c>
      <c r="Q1615" s="10" t="s">
        <v>242</v>
      </c>
      <c r="R1615" s="10" t="s">
        <v>242</v>
      </c>
      <c r="S1615" s="10" t="s">
        <v>241</v>
      </c>
      <c r="T1615" s="10" t="s">
        <v>242</v>
      </c>
      <c r="U1615" s="10" t="s">
        <v>242</v>
      </c>
      <c r="V1615" s="10" t="s">
        <v>242</v>
      </c>
      <c r="W1615" s="10" t="s">
        <v>242</v>
      </c>
      <c r="X1615" s="15">
        <f>IF(ISERROR(VLOOKUP($A1615,'13. Updated Demand'!A:Z,15,FALSE)),0,VLOOKUP($A1615,'13. Updated Demand'!A:Z,15,FALSE))</f>
        <v>0</v>
      </c>
      <c r="Y1615" s="16">
        <f>IF(ISERROR(VLOOKUP($A1615,'13. Updated Demand'!A:Z,16,FALSE)),0,VLOOKUP($A1615,'13. Updated Demand'!A:Z,16,FALSE))</f>
        <v>15.733333330000001</v>
      </c>
      <c r="Z1615" s="16">
        <f>IF(ISERROR(VLOOKUP($A1615,'13. Updated Demand'!A:Z,17,FALSE)),0,VLOOKUP($A1615,'13. Updated Demand'!A:Z,17,FALSE))</f>
        <v>0.76666666699999997</v>
      </c>
      <c r="AA1615" s="16">
        <f>IF(ISERROR(VLOOKUP($A1615,'13. Updated Demand'!A:Z,18,FALSE)),0,VLOOKUP($A1615,'13. Updated Demand'!A:Z,18,FALSE))</f>
        <v>0</v>
      </c>
      <c r="AB1615" s="16">
        <f>IF(ISERROR(VLOOKUP($A1615,'13. Updated Demand'!A:Z,19,FALSE)),0,VLOOKUP($A1615,'13. Updated Demand'!A:Z,19,FALSE))</f>
        <v>1.1666666670000001</v>
      </c>
      <c r="AC1615" s="16">
        <f>IF(ISERROR(VLOOKUP($A1615,'13. Updated Demand'!A:Z,20,FALSE)),0,VLOOKUP($A1615,'13. Updated Demand'!A:Z,20,FALSE))</f>
        <v>5.233333333</v>
      </c>
      <c r="AD1615" s="16">
        <f>IF(ISERROR(VLOOKUP($A1615,'13. Updated Demand'!A:Z,21,FALSE)),0,VLOOKUP($A1615,'13. Updated Demand'!A:Z,21,FALSE))</f>
        <v>9.4666666670000001</v>
      </c>
      <c r="AE1615" s="16">
        <f>IF(ISERROR(VLOOKUP($A1615,'13. Updated Demand'!A:Z,22,FALSE)),0,VLOOKUP($A1615,'13. Updated Demand'!A:Z,22,FALSE))</f>
        <v>17.733333330000001</v>
      </c>
      <c r="AF1615" s="16">
        <f>IF(ISERROR(VLOOKUP($A1615,'13. Updated Demand'!A:Z,23,FALSE)),0,VLOOKUP($A1615,'13. Updated Demand'!A:Z,23,FALSE))</f>
        <v>11.3</v>
      </c>
      <c r="AG1615" s="16">
        <f>IF(ISERROR(VLOOKUP($A1615,'13. Updated Demand'!A:Z,24,FALSE)),0,VLOOKUP($A1615,'13. Updated Demand'!A:Z,24,FALSE))</f>
        <v>1</v>
      </c>
      <c r="AH1615" s="16">
        <f>IF(ISERROR(VLOOKUP($A1615,'13. Updated Demand'!A:Z,25,FALSE)),0,VLOOKUP($A1615,'13. Updated Demand'!A:Z,25,FALSE))</f>
        <v>0</v>
      </c>
      <c r="AI1615" s="16">
        <f>IF(ISERROR(VLOOKUP($A1615,'13. Updated Demand'!A:Z,26,FALSE)),0,VLOOKUP($A1615,'13. Updated Demand'!A:Z,26,FALSE))</f>
        <v>0</v>
      </c>
      <c r="AJ1615" s="16">
        <f t="shared" si="301"/>
        <v>62.399999993999998</v>
      </c>
      <c r="AK1615" s="19">
        <v>44.899999996999995</v>
      </c>
      <c r="AL1615" s="16">
        <f t="shared" si="311"/>
        <v>0.14892818539941768</v>
      </c>
      <c r="AM1615" s="26">
        <v>7.3655625476725411E-2</v>
      </c>
      <c r="AN1615" s="19">
        <v>847.18579999999997</v>
      </c>
      <c r="AO1615" s="19" t="s">
        <v>1758</v>
      </c>
      <c r="AP1615" s="19">
        <v>0</v>
      </c>
      <c r="AQ1615" s="19" t="s">
        <v>307</v>
      </c>
      <c r="AR1615" s="9" t="s">
        <v>391</v>
      </c>
      <c r="AS1615" s="12">
        <v>0</v>
      </c>
      <c r="AT1615" s="19">
        <v>38.519080580000001</v>
      </c>
      <c r="AU1615" s="19">
        <v>-122.82979619</v>
      </c>
      <c r="AV1615" s="19" t="s">
        <v>2014</v>
      </c>
    </row>
    <row r="1616" spans="1:48" x14ac:dyDescent="0.25">
      <c r="A1616" s="18" t="s">
        <v>2015</v>
      </c>
      <c r="B1616" s="10">
        <v>10000000</v>
      </c>
      <c r="C1616" s="9">
        <v>9</v>
      </c>
      <c r="D1616" s="8" t="str">
        <f t="shared" si="302"/>
        <v>N</v>
      </c>
      <c r="E1616" s="8" t="str">
        <f t="shared" si="303"/>
        <v>Y</v>
      </c>
      <c r="F1616" s="8" t="str">
        <f t="shared" si="304"/>
        <v>Y</v>
      </c>
      <c r="G1616" s="8" t="str">
        <f t="shared" si="305"/>
        <v>Y</v>
      </c>
      <c r="H1616" s="8" t="str">
        <f t="shared" si="306"/>
        <v>Upper</v>
      </c>
      <c r="I1616" s="8" t="str">
        <f t="shared" si="307"/>
        <v>West Fork and Below Lake</v>
      </c>
      <c r="J1616" s="8" t="str">
        <f t="shared" si="308"/>
        <v>Sonoma (d/s of Clov. Gage)</v>
      </c>
      <c r="K1616" s="8" t="str">
        <f t="shared" si="309"/>
        <v>Riparian</v>
      </c>
      <c r="L1616" s="8">
        <f t="shared" si="310"/>
        <v>1000</v>
      </c>
      <c r="M1616" s="8" t="str">
        <f t="shared" si="312"/>
        <v>-</v>
      </c>
      <c r="N1616" s="10" t="s">
        <v>241</v>
      </c>
      <c r="O1616" s="10" t="s">
        <v>241</v>
      </c>
      <c r="P1616" s="10" t="s">
        <v>242</v>
      </c>
      <c r="Q1616" s="10" t="s">
        <v>242</v>
      </c>
      <c r="R1616" s="10" t="s">
        <v>242</v>
      </c>
      <c r="S1616" s="10" t="s">
        <v>241</v>
      </c>
      <c r="T1616" s="10" t="s">
        <v>242</v>
      </c>
      <c r="U1616" s="10" t="s">
        <v>242</v>
      </c>
      <c r="V1616" s="10" t="s">
        <v>242</v>
      </c>
      <c r="W1616" s="10" t="s">
        <v>242</v>
      </c>
      <c r="X1616" s="15">
        <f>IF(ISERROR(VLOOKUP($A1616,'13. Updated Demand'!A:Z,15,FALSE)),0,VLOOKUP($A1616,'13. Updated Demand'!A:Z,15,FALSE))</f>
        <v>0.1</v>
      </c>
      <c r="Y1616" s="16">
        <f>IF(ISERROR(VLOOKUP($A1616,'13. Updated Demand'!A:Z,16,FALSE)),0,VLOOKUP($A1616,'13. Updated Demand'!A:Z,16,FALSE))</f>
        <v>0.46</v>
      </c>
      <c r="Z1616" s="16">
        <f>IF(ISERROR(VLOOKUP($A1616,'13. Updated Demand'!A:Z,17,FALSE)),0,VLOOKUP($A1616,'13. Updated Demand'!A:Z,17,FALSE))</f>
        <v>0.06</v>
      </c>
      <c r="AA1616" s="16">
        <f>IF(ISERROR(VLOOKUP($A1616,'13. Updated Demand'!A:Z,18,FALSE)),0,VLOOKUP($A1616,'13. Updated Demand'!A:Z,18,FALSE))</f>
        <v>0</v>
      </c>
      <c r="AB1616" s="16">
        <f>IF(ISERROR(VLOOKUP($A1616,'13. Updated Demand'!A:Z,19,FALSE)),0,VLOOKUP($A1616,'13. Updated Demand'!A:Z,19,FALSE))</f>
        <v>0.33</v>
      </c>
      <c r="AC1616" s="16">
        <f>IF(ISERROR(VLOOKUP($A1616,'13. Updated Demand'!A:Z,20,FALSE)),0,VLOOKUP($A1616,'13. Updated Demand'!A:Z,20,FALSE))</f>
        <v>1.03</v>
      </c>
      <c r="AD1616" s="16">
        <f>IF(ISERROR(VLOOKUP($A1616,'13. Updated Demand'!A:Z,21,FALSE)),0,VLOOKUP($A1616,'13. Updated Demand'!A:Z,21,FALSE))</f>
        <v>0.1</v>
      </c>
      <c r="AE1616" s="16">
        <f>IF(ISERROR(VLOOKUP($A1616,'13. Updated Demand'!A:Z,22,FALSE)),0,VLOOKUP($A1616,'13. Updated Demand'!A:Z,22,FALSE))</f>
        <v>0.16</v>
      </c>
      <c r="AF1616" s="16">
        <f>IF(ISERROR(VLOOKUP($A1616,'13. Updated Demand'!A:Z,23,FALSE)),0,VLOOKUP($A1616,'13. Updated Demand'!A:Z,23,FALSE))</f>
        <v>3.7</v>
      </c>
      <c r="AG1616" s="16">
        <f>IF(ISERROR(VLOOKUP($A1616,'13. Updated Demand'!A:Z,24,FALSE)),0,VLOOKUP($A1616,'13. Updated Demand'!A:Z,24,FALSE))</f>
        <v>1.53</v>
      </c>
      <c r="AH1616" s="16">
        <f>IF(ISERROR(VLOOKUP($A1616,'13. Updated Demand'!A:Z,25,FALSE)),0,VLOOKUP($A1616,'13. Updated Demand'!A:Z,25,FALSE))</f>
        <v>0.76</v>
      </c>
      <c r="AI1616" s="16">
        <f>IF(ISERROR(VLOOKUP($A1616,'13. Updated Demand'!A:Z,26,FALSE)),0,VLOOKUP($A1616,'13. Updated Demand'!A:Z,26,FALSE))</f>
        <v>0</v>
      </c>
      <c r="AJ1616" s="16">
        <f t="shared" ref="AJ1616:AJ1679" si="313">SUM(X1616:AI1616)</f>
        <v>8.23</v>
      </c>
      <c r="AK1616" s="19">
        <v>5.3333333333333304</v>
      </c>
      <c r="AL1616" s="16">
        <f t="shared" si="311"/>
        <v>1.7690059142909369E-2</v>
      </c>
      <c r="AM1616" s="26">
        <v>9.3157086136497601E-3</v>
      </c>
      <c r="AN1616" s="19">
        <v>887.39</v>
      </c>
      <c r="AO1616" s="19" t="s">
        <v>1758</v>
      </c>
      <c r="AP1616" s="19">
        <v>0</v>
      </c>
      <c r="AQ1616" s="19" t="s">
        <v>307</v>
      </c>
      <c r="AR1616" s="9" t="s">
        <v>354</v>
      </c>
      <c r="AS1616" s="12">
        <v>0</v>
      </c>
      <c r="AT1616" s="19">
        <v>38.716367980000001</v>
      </c>
      <c r="AU1616" s="19">
        <v>-122.90535022</v>
      </c>
      <c r="AV1616" s="19" t="s">
        <v>548</v>
      </c>
    </row>
    <row r="1617" spans="1:48" x14ac:dyDescent="0.25">
      <c r="A1617" s="18" t="s">
        <v>2016</v>
      </c>
      <c r="B1617" s="10">
        <v>10000000</v>
      </c>
      <c r="C1617" s="9">
        <v>9</v>
      </c>
      <c r="D1617" s="8" t="str">
        <f t="shared" si="302"/>
        <v>N</v>
      </c>
      <c r="E1617" s="8" t="str">
        <f t="shared" si="303"/>
        <v>Y</v>
      </c>
      <c r="F1617" s="8" t="str">
        <f t="shared" si="304"/>
        <v>Y</v>
      </c>
      <c r="G1617" s="8" t="str">
        <f t="shared" si="305"/>
        <v>Y</v>
      </c>
      <c r="H1617" s="8" t="str">
        <f t="shared" si="306"/>
        <v>Upper</v>
      </c>
      <c r="I1617" s="8" t="str">
        <f t="shared" si="307"/>
        <v>West Fork and Below Lake</v>
      </c>
      <c r="J1617" s="8" t="str">
        <f t="shared" si="308"/>
        <v>Sonoma (d/s of Clov. Gage)</v>
      </c>
      <c r="K1617" s="8" t="str">
        <f t="shared" si="309"/>
        <v>Riparian</v>
      </c>
      <c r="L1617" s="8">
        <f t="shared" si="310"/>
        <v>1000</v>
      </c>
      <c r="M1617" s="8" t="str">
        <f t="shared" si="312"/>
        <v>-</v>
      </c>
      <c r="N1617" s="10" t="s">
        <v>241</v>
      </c>
      <c r="O1617" s="10" t="s">
        <v>241</v>
      </c>
      <c r="P1617" s="10" t="s">
        <v>242</v>
      </c>
      <c r="Q1617" s="10" t="s">
        <v>242</v>
      </c>
      <c r="R1617" s="10" t="s">
        <v>242</v>
      </c>
      <c r="S1617" s="10" t="s">
        <v>241</v>
      </c>
      <c r="T1617" s="10" t="s">
        <v>242</v>
      </c>
      <c r="U1617" s="10" t="s">
        <v>242</v>
      </c>
      <c r="V1617" s="10" t="s">
        <v>241</v>
      </c>
      <c r="W1617" s="10" t="s">
        <v>242</v>
      </c>
      <c r="X1617" s="15">
        <f>IF(ISERROR(VLOOKUP($A1617,'13. Updated Demand'!A:Z,15,FALSE)),0,VLOOKUP($A1617,'13. Updated Demand'!A:Z,15,FALSE))</f>
        <v>0</v>
      </c>
      <c r="Y1617" s="16">
        <f>IF(ISERROR(VLOOKUP($A1617,'13. Updated Demand'!A:Z,16,FALSE)),0,VLOOKUP($A1617,'13. Updated Demand'!A:Z,16,FALSE))</f>
        <v>0.16</v>
      </c>
      <c r="Z1617" s="16">
        <f>IF(ISERROR(VLOOKUP($A1617,'13. Updated Demand'!A:Z,17,FALSE)),0,VLOOKUP($A1617,'13. Updated Demand'!A:Z,17,FALSE))</f>
        <v>0</v>
      </c>
      <c r="AA1617" s="16">
        <f>IF(ISERROR(VLOOKUP($A1617,'13. Updated Demand'!A:Z,18,FALSE)),0,VLOOKUP($A1617,'13. Updated Demand'!A:Z,18,FALSE))</f>
        <v>0</v>
      </c>
      <c r="AB1617" s="16">
        <f>IF(ISERROR(VLOOKUP($A1617,'13. Updated Demand'!A:Z,19,FALSE)),0,VLOOKUP($A1617,'13. Updated Demand'!A:Z,19,FALSE))</f>
        <v>0</v>
      </c>
      <c r="AC1617" s="16">
        <f>IF(ISERROR(VLOOKUP($A1617,'13. Updated Demand'!A:Z,20,FALSE)),0,VLOOKUP($A1617,'13. Updated Demand'!A:Z,20,FALSE))</f>
        <v>0</v>
      </c>
      <c r="AD1617" s="16">
        <f>IF(ISERROR(VLOOKUP($A1617,'13. Updated Demand'!A:Z,21,FALSE)),0,VLOOKUP($A1617,'13. Updated Demand'!A:Z,21,FALSE))</f>
        <v>0</v>
      </c>
      <c r="AE1617" s="16">
        <f>IF(ISERROR(VLOOKUP($A1617,'13. Updated Demand'!A:Z,22,FALSE)),0,VLOOKUP($A1617,'13. Updated Demand'!A:Z,22,FALSE))</f>
        <v>0</v>
      </c>
      <c r="AF1617" s="16">
        <f>IF(ISERROR(VLOOKUP($A1617,'13. Updated Demand'!A:Z,23,FALSE)),0,VLOOKUP($A1617,'13. Updated Demand'!A:Z,23,FALSE))</f>
        <v>0</v>
      </c>
      <c r="AG1617" s="16">
        <f>IF(ISERROR(VLOOKUP($A1617,'13. Updated Demand'!A:Z,24,FALSE)),0,VLOOKUP($A1617,'13. Updated Demand'!A:Z,24,FALSE))</f>
        <v>0</v>
      </c>
      <c r="AH1617" s="16">
        <f>IF(ISERROR(VLOOKUP($A1617,'13. Updated Demand'!A:Z,25,FALSE)),0,VLOOKUP($A1617,'13. Updated Demand'!A:Z,25,FALSE))</f>
        <v>0.56000000000000005</v>
      </c>
      <c r="AI1617" s="16">
        <f>IF(ISERROR(VLOOKUP($A1617,'13. Updated Demand'!A:Z,26,FALSE)),0,VLOOKUP($A1617,'13. Updated Demand'!A:Z,26,FALSE))</f>
        <v>0.8</v>
      </c>
      <c r="AJ1617" s="16">
        <f t="shared" si="313"/>
        <v>1.52</v>
      </c>
      <c r="AK1617" s="19">
        <v>0</v>
      </c>
      <c r="AL1617" s="16">
        <f t="shared" si="311"/>
        <v>0</v>
      </c>
      <c r="AM1617" s="26">
        <v>1.7279136944672964E-3</v>
      </c>
      <c r="AN1617" s="19">
        <v>887.39</v>
      </c>
      <c r="AO1617" s="19" t="s">
        <v>1758</v>
      </c>
      <c r="AP1617" s="19">
        <v>0</v>
      </c>
      <c r="AQ1617" s="19" t="s">
        <v>307</v>
      </c>
      <c r="AR1617" s="9" t="s">
        <v>354</v>
      </c>
      <c r="AS1617" s="12">
        <v>0</v>
      </c>
      <c r="AT1617" s="19">
        <v>38.715404229999997</v>
      </c>
      <c r="AU1617" s="19">
        <v>-122.90568847999999</v>
      </c>
      <c r="AV1617" s="19" t="s">
        <v>548</v>
      </c>
    </row>
    <row r="1618" spans="1:48" x14ac:dyDescent="0.25">
      <c r="A1618" s="18" t="s">
        <v>2017</v>
      </c>
      <c r="B1618" s="10">
        <v>10000000</v>
      </c>
      <c r="C1618" s="9">
        <v>9</v>
      </c>
      <c r="D1618" s="8" t="str">
        <f t="shared" si="302"/>
        <v>N</v>
      </c>
      <c r="E1618" s="8" t="str">
        <f t="shared" si="303"/>
        <v>Y</v>
      </c>
      <c r="F1618" s="8" t="str">
        <f t="shared" si="304"/>
        <v>Y</v>
      </c>
      <c r="G1618" s="8" t="str">
        <f t="shared" si="305"/>
        <v>Y</v>
      </c>
      <c r="H1618" s="8" t="str">
        <f t="shared" si="306"/>
        <v>Upper</v>
      </c>
      <c r="I1618" s="8" t="str">
        <f t="shared" si="307"/>
        <v>West Fork and Below Lake</v>
      </c>
      <c r="J1618" s="8" t="str">
        <f t="shared" si="308"/>
        <v>Sonoma (d/s of Clov. Gage)</v>
      </c>
      <c r="K1618" s="8" t="str">
        <f t="shared" si="309"/>
        <v>Riparian</v>
      </c>
      <c r="L1618" s="8">
        <f t="shared" si="310"/>
        <v>1000</v>
      </c>
      <c r="M1618" s="8" t="str">
        <f t="shared" si="312"/>
        <v>-</v>
      </c>
      <c r="N1618" s="10" t="s">
        <v>241</v>
      </c>
      <c r="O1618" s="10" t="s">
        <v>241</v>
      </c>
      <c r="P1618" s="10" t="s">
        <v>242</v>
      </c>
      <c r="Q1618" s="10" t="s">
        <v>242</v>
      </c>
      <c r="R1618" s="10" t="s">
        <v>242</v>
      </c>
      <c r="S1618" s="10" t="s">
        <v>241</v>
      </c>
      <c r="T1618" s="10" t="s">
        <v>242</v>
      </c>
      <c r="U1618" s="10" t="s">
        <v>242</v>
      </c>
      <c r="V1618" s="10" t="s">
        <v>242</v>
      </c>
      <c r="W1618" s="10" t="s">
        <v>242</v>
      </c>
      <c r="X1618" s="15">
        <f>IF(ISERROR(VLOOKUP($A1618,'13. Updated Demand'!A:Z,15,FALSE)),0,VLOOKUP($A1618,'13. Updated Demand'!A:Z,15,FALSE))</f>
        <v>0</v>
      </c>
      <c r="Y1618" s="16">
        <f>IF(ISERROR(VLOOKUP($A1618,'13. Updated Demand'!A:Z,16,FALSE)),0,VLOOKUP($A1618,'13. Updated Demand'!A:Z,16,FALSE))</f>
        <v>0.46</v>
      </c>
      <c r="Z1618" s="16">
        <f>IF(ISERROR(VLOOKUP($A1618,'13. Updated Demand'!A:Z,17,FALSE)),0,VLOOKUP($A1618,'13. Updated Demand'!A:Z,17,FALSE))</f>
        <v>0</v>
      </c>
      <c r="AA1618" s="16">
        <f>IF(ISERROR(VLOOKUP($A1618,'13. Updated Demand'!A:Z,18,FALSE)),0,VLOOKUP($A1618,'13. Updated Demand'!A:Z,18,FALSE))</f>
        <v>0.03</v>
      </c>
      <c r="AB1618" s="16">
        <f>IF(ISERROR(VLOOKUP($A1618,'13. Updated Demand'!A:Z,19,FALSE)),0,VLOOKUP($A1618,'13. Updated Demand'!A:Z,19,FALSE))</f>
        <v>0.73</v>
      </c>
      <c r="AC1618" s="16">
        <f>IF(ISERROR(VLOOKUP($A1618,'13. Updated Demand'!A:Z,20,FALSE)),0,VLOOKUP($A1618,'13. Updated Demand'!A:Z,20,FALSE))</f>
        <v>1.1299999999999999</v>
      </c>
      <c r="AD1618" s="16">
        <f>IF(ISERROR(VLOOKUP($A1618,'13. Updated Demand'!A:Z,21,FALSE)),0,VLOOKUP($A1618,'13. Updated Demand'!A:Z,21,FALSE))</f>
        <v>2.8</v>
      </c>
      <c r="AE1618" s="16">
        <f>IF(ISERROR(VLOOKUP($A1618,'13. Updated Demand'!A:Z,22,FALSE)),0,VLOOKUP($A1618,'13. Updated Demand'!A:Z,22,FALSE))</f>
        <v>2.2000000000000002</v>
      </c>
      <c r="AF1618" s="16">
        <f>IF(ISERROR(VLOOKUP($A1618,'13. Updated Demand'!A:Z,23,FALSE)),0,VLOOKUP($A1618,'13. Updated Demand'!A:Z,23,FALSE))</f>
        <v>2.1</v>
      </c>
      <c r="AG1618" s="16">
        <f>IF(ISERROR(VLOOKUP($A1618,'13. Updated Demand'!A:Z,24,FALSE)),0,VLOOKUP($A1618,'13. Updated Demand'!A:Z,24,FALSE))</f>
        <v>1.1000000000000001</v>
      </c>
      <c r="AH1618" s="16">
        <f>IF(ISERROR(VLOOKUP($A1618,'13. Updated Demand'!A:Z,25,FALSE)),0,VLOOKUP($A1618,'13. Updated Demand'!A:Z,25,FALSE))</f>
        <v>1.3</v>
      </c>
      <c r="AI1618" s="16">
        <f>IF(ISERROR(VLOOKUP($A1618,'13. Updated Demand'!A:Z,26,FALSE)),0,VLOOKUP($A1618,'13. Updated Demand'!A:Z,26,FALSE))</f>
        <v>0</v>
      </c>
      <c r="AJ1618" s="16">
        <f t="shared" si="313"/>
        <v>11.85</v>
      </c>
      <c r="AK1618" s="19">
        <v>8.9666666666666632</v>
      </c>
      <c r="AL1618" s="16">
        <f t="shared" si="311"/>
        <v>2.9741411934016384E-2</v>
      </c>
      <c r="AM1618" s="26">
        <v>7.3525013870617767E-3</v>
      </c>
      <c r="AN1618" s="19">
        <v>1613.9631999999999</v>
      </c>
      <c r="AO1618" s="19" t="s">
        <v>1758</v>
      </c>
      <c r="AP1618" s="19">
        <v>0</v>
      </c>
      <c r="AQ1618" s="19" t="s">
        <v>307</v>
      </c>
      <c r="AR1618" s="9" t="s">
        <v>354</v>
      </c>
      <c r="AS1618" s="12">
        <v>0</v>
      </c>
      <c r="AT1618" s="19">
        <v>38.715173190000002</v>
      </c>
      <c r="AU1618" s="19">
        <v>-122.90007754</v>
      </c>
      <c r="AV1618" s="19" t="s">
        <v>548</v>
      </c>
    </row>
    <row r="1619" spans="1:48" x14ac:dyDescent="0.25">
      <c r="A1619" s="18" t="s">
        <v>2018</v>
      </c>
      <c r="B1619" s="10">
        <v>10000000</v>
      </c>
      <c r="C1619" s="9">
        <v>9</v>
      </c>
      <c r="D1619" s="8" t="str">
        <f t="shared" si="302"/>
        <v>N</v>
      </c>
      <c r="E1619" s="8" t="str">
        <f t="shared" si="303"/>
        <v>Y</v>
      </c>
      <c r="F1619" s="8" t="str">
        <f t="shared" si="304"/>
        <v>Y</v>
      </c>
      <c r="G1619" s="8" t="str">
        <f t="shared" si="305"/>
        <v>Y</v>
      </c>
      <c r="H1619" s="8" t="str">
        <f t="shared" si="306"/>
        <v>Upper</v>
      </c>
      <c r="I1619" s="8" t="str">
        <f t="shared" si="307"/>
        <v>West Fork and Below Lake</v>
      </c>
      <c r="J1619" s="8" t="str">
        <f t="shared" si="308"/>
        <v>Sonoma (d/s of Clov. Gage)</v>
      </c>
      <c r="K1619" s="8" t="str">
        <f t="shared" si="309"/>
        <v>Riparian</v>
      </c>
      <c r="L1619" s="8">
        <f t="shared" si="310"/>
        <v>1000</v>
      </c>
      <c r="M1619" s="8" t="str">
        <f t="shared" si="312"/>
        <v>-</v>
      </c>
      <c r="N1619" s="10" t="s">
        <v>241</v>
      </c>
      <c r="O1619" s="10" t="s">
        <v>241</v>
      </c>
      <c r="P1619" s="10" t="s">
        <v>242</v>
      </c>
      <c r="Q1619" s="10" t="s">
        <v>242</v>
      </c>
      <c r="R1619" s="10" t="s">
        <v>242</v>
      </c>
      <c r="S1619" s="10" t="s">
        <v>241</v>
      </c>
      <c r="T1619" s="10" t="s">
        <v>242</v>
      </c>
      <c r="U1619" s="10" t="s">
        <v>242</v>
      </c>
      <c r="V1619" s="10" t="s">
        <v>242</v>
      </c>
      <c r="W1619" s="10" t="s">
        <v>242</v>
      </c>
      <c r="X1619" s="15">
        <f>IF(ISERROR(VLOOKUP($A1619,'13. Updated Demand'!A:Z,15,FALSE)),0,VLOOKUP($A1619,'13. Updated Demand'!A:Z,15,FALSE))</f>
        <v>0</v>
      </c>
      <c r="Y1619" s="16">
        <f>IF(ISERROR(VLOOKUP($A1619,'13. Updated Demand'!A:Z,16,FALSE)),0,VLOOKUP($A1619,'13. Updated Demand'!A:Z,16,FALSE))</f>
        <v>0.17</v>
      </c>
      <c r="Z1619" s="16">
        <f>IF(ISERROR(VLOOKUP($A1619,'13. Updated Demand'!A:Z,17,FALSE)),0,VLOOKUP($A1619,'13. Updated Demand'!A:Z,17,FALSE))</f>
        <v>0.06</v>
      </c>
      <c r="AA1619" s="16">
        <f>IF(ISERROR(VLOOKUP($A1619,'13. Updated Demand'!A:Z,18,FALSE)),0,VLOOKUP($A1619,'13. Updated Demand'!A:Z,18,FALSE))</f>
        <v>3.3333333333333301E-3</v>
      </c>
      <c r="AB1619" s="16">
        <f>IF(ISERROR(VLOOKUP($A1619,'13. Updated Demand'!A:Z,19,FALSE)),0,VLOOKUP($A1619,'13. Updated Demand'!A:Z,19,FALSE))</f>
        <v>7.0000000000000007E-2</v>
      </c>
      <c r="AC1619" s="16">
        <f>IF(ISERROR(VLOOKUP($A1619,'13. Updated Demand'!A:Z,20,FALSE)),0,VLOOKUP($A1619,'13. Updated Demand'!A:Z,20,FALSE))</f>
        <v>0.53</v>
      </c>
      <c r="AD1619" s="16">
        <f>IF(ISERROR(VLOOKUP($A1619,'13. Updated Demand'!A:Z,21,FALSE)),0,VLOOKUP($A1619,'13. Updated Demand'!A:Z,21,FALSE))</f>
        <v>0.86</v>
      </c>
      <c r="AE1619" s="16">
        <f>IF(ISERROR(VLOOKUP($A1619,'13. Updated Demand'!A:Z,22,FALSE)),0,VLOOKUP($A1619,'13. Updated Demand'!A:Z,22,FALSE))</f>
        <v>0.86</v>
      </c>
      <c r="AF1619" s="16">
        <f>IF(ISERROR(VLOOKUP($A1619,'13. Updated Demand'!A:Z,23,FALSE)),0,VLOOKUP($A1619,'13. Updated Demand'!A:Z,23,FALSE))</f>
        <v>0.8</v>
      </c>
      <c r="AG1619" s="16">
        <f>IF(ISERROR(VLOOKUP($A1619,'13. Updated Demand'!A:Z,24,FALSE)),0,VLOOKUP($A1619,'13. Updated Demand'!A:Z,24,FALSE))</f>
        <v>0.95</v>
      </c>
      <c r="AH1619" s="16">
        <f>IF(ISERROR(VLOOKUP($A1619,'13. Updated Demand'!A:Z,25,FALSE)),0,VLOOKUP($A1619,'13. Updated Demand'!A:Z,25,FALSE))</f>
        <v>0.36</v>
      </c>
      <c r="AI1619" s="16">
        <f>IF(ISERROR(VLOOKUP($A1619,'13. Updated Demand'!A:Z,26,FALSE)),0,VLOOKUP($A1619,'13. Updated Demand'!A:Z,26,FALSE))</f>
        <v>0</v>
      </c>
      <c r="AJ1619" s="16">
        <f t="shared" si="313"/>
        <v>4.663333333333334</v>
      </c>
      <c r="AK1619" s="19">
        <v>3.1366666666666676</v>
      </c>
      <c r="AL1619" s="16">
        <f t="shared" si="311"/>
        <v>1.0403966033423584E-2</v>
      </c>
      <c r="AM1619" s="26">
        <v>1.1664867369136219E-2</v>
      </c>
      <c r="AN1619" s="19">
        <v>403.49079999999998</v>
      </c>
      <c r="AO1619" s="19" t="s">
        <v>1758</v>
      </c>
      <c r="AP1619" s="19">
        <v>0</v>
      </c>
      <c r="AQ1619" s="19" t="s">
        <v>307</v>
      </c>
      <c r="AR1619" s="9" t="s">
        <v>354</v>
      </c>
      <c r="AS1619" s="12">
        <v>0</v>
      </c>
      <c r="AT1619" s="19">
        <v>38.79283925</v>
      </c>
      <c r="AU1619" s="19">
        <v>-123.0061492</v>
      </c>
      <c r="AV1619" s="19" t="s">
        <v>548</v>
      </c>
    </row>
    <row r="1620" spans="1:48" x14ac:dyDescent="0.25">
      <c r="A1620" s="18" t="s">
        <v>2019</v>
      </c>
      <c r="B1620" s="10">
        <v>10000000</v>
      </c>
      <c r="C1620" s="9">
        <v>23</v>
      </c>
      <c r="D1620" s="8" t="str">
        <f t="shared" si="302"/>
        <v>N</v>
      </c>
      <c r="E1620" s="8" t="str">
        <f t="shared" si="303"/>
        <v>N</v>
      </c>
      <c r="F1620" s="8" t="str">
        <f t="shared" si="304"/>
        <v>N</v>
      </c>
      <c r="G1620" s="8" t="str">
        <f t="shared" si="305"/>
        <v>N</v>
      </c>
      <c r="H1620" s="8" t="str">
        <f t="shared" si="306"/>
        <v>Lower</v>
      </c>
      <c r="I1620" s="8" t="str">
        <f t="shared" si="307"/>
        <v>Outside</v>
      </c>
      <c r="J1620" s="8" t="str">
        <f t="shared" si="308"/>
        <v>Outside</v>
      </c>
      <c r="K1620" s="8" t="str">
        <f t="shared" si="309"/>
        <v>Riparian</v>
      </c>
      <c r="L1620" s="8">
        <f t="shared" si="310"/>
        <v>1000</v>
      </c>
      <c r="M1620" s="8" t="str">
        <f t="shared" si="312"/>
        <v>-</v>
      </c>
      <c r="N1620" s="10" t="s">
        <v>242</v>
      </c>
      <c r="O1620" s="10" t="s">
        <v>242</v>
      </c>
      <c r="P1620" s="10" t="s">
        <v>242</v>
      </c>
      <c r="Q1620" s="10" t="s">
        <v>242</v>
      </c>
      <c r="R1620" s="10" t="s">
        <v>242</v>
      </c>
      <c r="S1620" s="10" t="s">
        <v>241</v>
      </c>
      <c r="T1620" s="10" t="s">
        <v>242</v>
      </c>
      <c r="U1620" s="10" t="s">
        <v>242</v>
      </c>
      <c r="V1620" s="10" t="s">
        <v>242</v>
      </c>
      <c r="W1620" s="10" t="s">
        <v>242</v>
      </c>
      <c r="X1620" s="15">
        <f>IF(ISERROR(VLOOKUP($A1620,'13. Updated Demand'!A:Z,15,FALSE)),0,VLOOKUP($A1620,'13. Updated Demand'!A:Z,15,FALSE))</f>
        <v>6.6666670000000003E-3</v>
      </c>
      <c r="Y1620" s="16">
        <f>IF(ISERROR(VLOOKUP($A1620,'13. Updated Demand'!A:Z,16,FALSE)),0,VLOOKUP($A1620,'13. Updated Demand'!A:Z,16,FALSE))</f>
        <v>1.74</v>
      </c>
      <c r="Z1620" s="16">
        <f>IF(ISERROR(VLOOKUP($A1620,'13. Updated Demand'!A:Z,17,FALSE)),0,VLOOKUP($A1620,'13. Updated Demand'!A:Z,17,FALSE))</f>
        <v>1.4666666669999999</v>
      </c>
      <c r="AA1620" s="16">
        <f>IF(ISERROR(VLOOKUP($A1620,'13. Updated Demand'!A:Z,18,FALSE)),0,VLOOKUP($A1620,'13. Updated Demand'!A:Z,18,FALSE))</f>
        <v>6.6666666999999999E-2</v>
      </c>
      <c r="AB1620" s="16">
        <f>IF(ISERROR(VLOOKUP($A1620,'13. Updated Demand'!A:Z,19,FALSE)),0,VLOOKUP($A1620,'13. Updated Demand'!A:Z,19,FALSE))</f>
        <v>0.42</v>
      </c>
      <c r="AC1620" s="16">
        <f>IF(ISERROR(VLOOKUP($A1620,'13. Updated Demand'!A:Z,20,FALSE)),0,VLOOKUP($A1620,'13. Updated Demand'!A:Z,20,FALSE))</f>
        <v>6.8966666669999999</v>
      </c>
      <c r="AD1620" s="16">
        <f>IF(ISERROR(VLOOKUP($A1620,'13. Updated Demand'!A:Z,21,FALSE)),0,VLOOKUP($A1620,'13. Updated Demand'!A:Z,21,FALSE))</f>
        <v>11.29</v>
      </c>
      <c r="AE1620" s="16">
        <f>IF(ISERROR(VLOOKUP($A1620,'13. Updated Demand'!A:Z,22,FALSE)),0,VLOOKUP($A1620,'13. Updated Demand'!A:Z,22,FALSE))</f>
        <v>15.91333333</v>
      </c>
      <c r="AF1620" s="16">
        <f>IF(ISERROR(VLOOKUP($A1620,'13. Updated Demand'!A:Z,23,FALSE)),0,VLOOKUP($A1620,'13. Updated Demand'!A:Z,23,FALSE))</f>
        <v>4.7566666670000002</v>
      </c>
      <c r="AG1620" s="16">
        <f>IF(ISERROR(VLOOKUP($A1620,'13. Updated Demand'!A:Z,24,FALSE)),0,VLOOKUP($A1620,'13. Updated Demand'!A:Z,24,FALSE))</f>
        <v>1.046666667</v>
      </c>
      <c r="AH1620" s="16">
        <f>IF(ISERROR(VLOOKUP($A1620,'13. Updated Demand'!A:Z,25,FALSE)),0,VLOOKUP($A1620,'13. Updated Demand'!A:Z,25,FALSE))</f>
        <v>0.3</v>
      </c>
      <c r="AI1620" s="16">
        <f>IF(ISERROR(VLOOKUP($A1620,'13. Updated Demand'!A:Z,26,FALSE)),0,VLOOKUP($A1620,'13. Updated Demand'!A:Z,26,FALSE))</f>
        <v>0.01</v>
      </c>
      <c r="AJ1620" s="16">
        <f t="shared" si="313"/>
        <v>43.913333331999986</v>
      </c>
      <c r="AK1620" s="19">
        <v>39.276666663999997</v>
      </c>
      <c r="AL1620" s="16">
        <f t="shared" si="311"/>
        <v>0.13027622929171825</v>
      </c>
      <c r="AM1620" s="26">
        <v>0.1088335430002369</v>
      </c>
      <c r="AN1620" s="19">
        <v>403.49079999999998</v>
      </c>
      <c r="AO1620" s="19" t="s">
        <v>1758</v>
      </c>
      <c r="AP1620" s="19">
        <v>0</v>
      </c>
      <c r="AQ1620" s="19" t="s">
        <v>307</v>
      </c>
      <c r="AR1620" s="9" t="s">
        <v>323</v>
      </c>
      <c r="AS1620" s="12">
        <v>0</v>
      </c>
      <c r="AT1620" s="19">
        <v>38.500831640000001</v>
      </c>
      <c r="AU1620" s="19">
        <v>-122.78869879</v>
      </c>
      <c r="AV1620" s="19" t="s">
        <v>2020</v>
      </c>
    </row>
    <row r="1621" spans="1:48" x14ac:dyDescent="0.25">
      <c r="A1621" s="18" t="s">
        <v>2021</v>
      </c>
      <c r="B1621" s="10">
        <v>10000000</v>
      </c>
      <c r="C1621" s="9">
        <v>23</v>
      </c>
      <c r="D1621" s="8" t="str">
        <f t="shared" si="302"/>
        <v>N</v>
      </c>
      <c r="E1621" s="8" t="str">
        <f t="shared" si="303"/>
        <v>N</v>
      </c>
      <c r="F1621" s="8" t="str">
        <f t="shared" si="304"/>
        <v>N</v>
      </c>
      <c r="G1621" s="8" t="str">
        <f t="shared" si="305"/>
        <v>N</v>
      </c>
      <c r="H1621" s="8" t="str">
        <f t="shared" si="306"/>
        <v>Lower</v>
      </c>
      <c r="I1621" s="8" t="str">
        <f t="shared" si="307"/>
        <v>Outside</v>
      </c>
      <c r="J1621" s="8" t="str">
        <f t="shared" si="308"/>
        <v>Outside</v>
      </c>
      <c r="K1621" s="8" t="str">
        <f t="shared" si="309"/>
        <v>Riparian</v>
      </c>
      <c r="L1621" s="8">
        <f t="shared" si="310"/>
        <v>1000</v>
      </c>
      <c r="M1621" s="8" t="str">
        <f t="shared" si="312"/>
        <v>-</v>
      </c>
      <c r="N1621" s="10" t="s">
        <v>242</v>
      </c>
      <c r="O1621" s="10" t="s">
        <v>242</v>
      </c>
      <c r="P1621" s="10" t="s">
        <v>242</v>
      </c>
      <c r="Q1621" s="10" t="s">
        <v>242</v>
      </c>
      <c r="R1621" s="10" t="s">
        <v>242</v>
      </c>
      <c r="S1621" s="10" t="s">
        <v>241</v>
      </c>
      <c r="T1621" s="10" t="s">
        <v>242</v>
      </c>
      <c r="U1621" s="10" t="s">
        <v>241</v>
      </c>
      <c r="V1621" s="10" t="s">
        <v>241</v>
      </c>
      <c r="W1621" s="10" t="s">
        <v>242</v>
      </c>
      <c r="X1621" s="15">
        <f>IF(ISERROR(VLOOKUP($A1621,'13. Updated Demand'!A:Z,15,FALSE)),0,VLOOKUP($A1621,'13. Updated Demand'!A:Z,15,FALSE))</f>
        <v>0</v>
      </c>
      <c r="Y1621" s="16">
        <f>IF(ISERROR(VLOOKUP($A1621,'13. Updated Demand'!A:Z,16,FALSE)),0,VLOOKUP($A1621,'13. Updated Demand'!A:Z,16,FALSE))</f>
        <v>0</v>
      </c>
      <c r="Z1621" s="16">
        <f>IF(ISERROR(VLOOKUP($A1621,'13. Updated Demand'!A:Z,17,FALSE)),0,VLOOKUP($A1621,'13. Updated Demand'!A:Z,17,FALSE))</f>
        <v>0</v>
      </c>
      <c r="AA1621" s="16">
        <f>IF(ISERROR(VLOOKUP($A1621,'13. Updated Demand'!A:Z,18,FALSE)),0,VLOOKUP($A1621,'13. Updated Demand'!A:Z,18,FALSE))</f>
        <v>0</v>
      </c>
      <c r="AB1621" s="16">
        <f>IF(ISERROR(VLOOKUP($A1621,'13. Updated Demand'!A:Z,19,FALSE)),0,VLOOKUP($A1621,'13. Updated Demand'!A:Z,19,FALSE))</f>
        <v>0</v>
      </c>
      <c r="AC1621" s="16">
        <f>IF(ISERROR(VLOOKUP($A1621,'13. Updated Demand'!A:Z,20,FALSE)),0,VLOOKUP($A1621,'13. Updated Demand'!A:Z,20,FALSE))</f>
        <v>0</v>
      </c>
      <c r="AD1621" s="16">
        <f>IF(ISERROR(VLOOKUP($A1621,'13. Updated Demand'!A:Z,21,FALSE)),0,VLOOKUP($A1621,'13. Updated Demand'!A:Z,21,FALSE))</f>
        <v>0</v>
      </c>
      <c r="AE1621" s="16">
        <f>IF(ISERROR(VLOOKUP($A1621,'13. Updated Demand'!A:Z,22,FALSE)),0,VLOOKUP($A1621,'13. Updated Demand'!A:Z,22,FALSE))</f>
        <v>0</v>
      </c>
      <c r="AF1621" s="16">
        <f>IF(ISERROR(VLOOKUP($A1621,'13. Updated Demand'!A:Z,23,FALSE)),0,VLOOKUP($A1621,'13. Updated Demand'!A:Z,23,FALSE))</f>
        <v>0</v>
      </c>
      <c r="AG1621" s="16">
        <f>IF(ISERROR(VLOOKUP($A1621,'13. Updated Demand'!A:Z,24,FALSE)),0,VLOOKUP($A1621,'13. Updated Demand'!A:Z,24,FALSE))</f>
        <v>0</v>
      </c>
      <c r="AH1621" s="16">
        <f>IF(ISERROR(VLOOKUP($A1621,'13. Updated Demand'!A:Z,25,FALSE)),0,VLOOKUP($A1621,'13. Updated Demand'!A:Z,25,FALSE))</f>
        <v>0</v>
      </c>
      <c r="AI1621" s="16">
        <f>IF(ISERROR(VLOOKUP($A1621,'13. Updated Demand'!A:Z,26,FALSE)),0,VLOOKUP($A1621,'13. Updated Demand'!A:Z,26,FALSE))</f>
        <v>0</v>
      </c>
      <c r="AJ1621" s="16">
        <f t="shared" si="313"/>
        <v>0</v>
      </c>
      <c r="AK1621" s="19">
        <v>0</v>
      </c>
      <c r="AL1621" s="16">
        <f t="shared" si="311"/>
        <v>0</v>
      </c>
      <c r="AM1621" s="26">
        <v>0</v>
      </c>
      <c r="AN1621" s="19">
        <v>968.16060000000004</v>
      </c>
      <c r="AO1621" s="19" t="s">
        <v>1758</v>
      </c>
      <c r="AP1621" s="19">
        <v>0</v>
      </c>
      <c r="AQ1621" s="19" t="s">
        <v>307</v>
      </c>
      <c r="AR1621" s="9" t="s">
        <v>323</v>
      </c>
      <c r="AS1621" s="12">
        <v>0</v>
      </c>
      <c r="AT1621" s="19">
        <v>38.503577450000002</v>
      </c>
      <c r="AU1621" s="19">
        <v>-122.78872911000001</v>
      </c>
      <c r="AV1621" s="19" t="s">
        <v>735</v>
      </c>
    </row>
    <row r="1622" spans="1:48" x14ac:dyDescent="0.25">
      <c r="A1622" s="18" t="s">
        <v>2022</v>
      </c>
      <c r="B1622" s="10">
        <v>10000000</v>
      </c>
      <c r="C1622" s="9">
        <v>9</v>
      </c>
      <c r="D1622" s="8" t="str">
        <f t="shared" si="302"/>
        <v>N</v>
      </c>
      <c r="E1622" s="8" t="str">
        <f t="shared" si="303"/>
        <v>Y</v>
      </c>
      <c r="F1622" s="8" t="str">
        <f t="shared" si="304"/>
        <v>Y</v>
      </c>
      <c r="G1622" s="8" t="str">
        <f t="shared" si="305"/>
        <v>Y</v>
      </c>
      <c r="H1622" s="8" t="str">
        <f t="shared" si="306"/>
        <v>Upper</v>
      </c>
      <c r="I1622" s="8" t="str">
        <f t="shared" si="307"/>
        <v>West Fork and Below Lake</v>
      </c>
      <c r="J1622" s="8" t="str">
        <f t="shared" si="308"/>
        <v>Sonoma (d/s of Clov. Gage)</v>
      </c>
      <c r="K1622" s="8" t="str">
        <f t="shared" si="309"/>
        <v>Riparian</v>
      </c>
      <c r="L1622" s="8">
        <f t="shared" si="310"/>
        <v>1000</v>
      </c>
      <c r="M1622" s="8" t="str">
        <f t="shared" si="312"/>
        <v>-</v>
      </c>
      <c r="N1622" s="10" t="s">
        <v>241</v>
      </c>
      <c r="O1622" s="10" t="s">
        <v>241</v>
      </c>
      <c r="P1622" s="10" t="s">
        <v>242</v>
      </c>
      <c r="Q1622" s="10" t="s">
        <v>242</v>
      </c>
      <c r="R1622" s="10" t="s">
        <v>242</v>
      </c>
      <c r="S1622" s="10" t="s">
        <v>241</v>
      </c>
      <c r="T1622" s="10" t="s">
        <v>242</v>
      </c>
      <c r="U1622" s="10" t="s">
        <v>242</v>
      </c>
      <c r="V1622" s="10" t="s">
        <v>241</v>
      </c>
      <c r="W1622" s="10" t="s">
        <v>242</v>
      </c>
      <c r="X1622" s="15">
        <f>IF(ISERROR(VLOOKUP($A1622,'13. Updated Demand'!A:Z,15,FALSE)),0,VLOOKUP($A1622,'13. Updated Demand'!A:Z,15,FALSE))</f>
        <v>0</v>
      </c>
      <c r="Y1622" s="16">
        <f>IF(ISERROR(VLOOKUP($A1622,'13. Updated Demand'!A:Z,16,FALSE)),0,VLOOKUP($A1622,'13. Updated Demand'!A:Z,16,FALSE))</f>
        <v>0.03</v>
      </c>
      <c r="Z1622" s="16">
        <f>IF(ISERROR(VLOOKUP($A1622,'13. Updated Demand'!A:Z,17,FALSE)),0,VLOOKUP($A1622,'13. Updated Demand'!A:Z,17,FALSE))</f>
        <v>0.9</v>
      </c>
      <c r="AA1622" s="16">
        <f>IF(ISERROR(VLOOKUP($A1622,'13. Updated Demand'!A:Z,18,FALSE)),0,VLOOKUP($A1622,'13. Updated Demand'!A:Z,18,FALSE))</f>
        <v>0</v>
      </c>
      <c r="AB1622" s="16">
        <f>IF(ISERROR(VLOOKUP($A1622,'13. Updated Demand'!A:Z,19,FALSE)),0,VLOOKUP($A1622,'13. Updated Demand'!A:Z,19,FALSE))</f>
        <v>0</v>
      </c>
      <c r="AC1622" s="16">
        <f>IF(ISERROR(VLOOKUP($A1622,'13. Updated Demand'!A:Z,20,FALSE)),0,VLOOKUP($A1622,'13. Updated Demand'!A:Z,20,FALSE))</f>
        <v>0</v>
      </c>
      <c r="AD1622" s="16">
        <f>IF(ISERROR(VLOOKUP($A1622,'13. Updated Demand'!A:Z,21,FALSE)),0,VLOOKUP($A1622,'13. Updated Demand'!A:Z,21,FALSE))</f>
        <v>0</v>
      </c>
      <c r="AE1622" s="16">
        <f>IF(ISERROR(VLOOKUP($A1622,'13. Updated Demand'!A:Z,22,FALSE)),0,VLOOKUP($A1622,'13. Updated Demand'!A:Z,22,FALSE))</f>
        <v>0</v>
      </c>
      <c r="AF1622" s="16">
        <f>IF(ISERROR(VLOOKUP($A1622,'13. Updated Demand'!A:Z,23,FALSE)),0,VLOOKUP($A1622,'13. Updated Demand'!A:Z,23,FALSE))</f>
        <v>0</v>
      </c>
      <c r="AG1622" s="16">
        <f>IF(ISERROR(VLOOKUP($A1622,'13. Updated Demand'!A:Z,24,FALSE)),0,VLOOKUP($A1622,'13. Updated Demand'!A:Z,24,FALSE))</f>
        <v>1.63</v>
      </c>
      <c r="AH1622" s="16">
        <f>IF(ISERROR(VLOOKUP($A1622,'13. Updated Demand'!A:Z,25,FALSE)),0,VLOOKUP($A1622,'13. Updated Demand'!A:Z,25,FALSE))</f>
        <v>0.73</v>
      </c>
      <c r="AI1622" s="16">
        <f>IF(ISERROR(VLOOKUP($A1622,'13. Updated Demand'!A:Z,26,FALSE)),0,VLOOKUP($A1622,'13. Updated Demand'!A:Z,26,FALSE))</f>
        <v>0</v>
      </c>
      <c r="AJ1622" s="16">
        <f t="shared" si="313"/>
        <v>3.29</v>
      </c>
      <c r="AK1622" s="19">
        <v>0</v>
      </c>
      <c r="AL1622" s="16">
        <f t="shared" si="311"/>
        <v>0</v>
      </c>
      <c r="AM1622" s="26">
        <v>1.635725027683405E-3</v>
      </c>
      <c r="AN1622" s="19">
        <v>2017.454</v>
      </c>
      <c r="AO1622" s="19" t="s">
        <v>1758</v>
      </c>
      <c r="AP1622" s="19">
        <v>0</v>
      </c>
      <c r="AQ1622" s="19" t="s">
        <v>307</v>
      </c>
      <c r="AR1622" s="9" t="s">
        <v>354</v>
      </c>
      <c r="AS1622" s="12">
        <v>0</v>
      </c>
      <c r="AT1622" s="19">
        <v>38.809457760000001</v>
      </c>
      <c r="AU1622" s="19">
        <v>-123.00550663</v>
      </c>
      <c r="AV1622" s="19" t="s">
        <v>548</v>
      </c>
    </row>
    <row r="1623" spans="1:48" x14ac:dyDescent="0.25">
      <c r="A1623" s="18" t="s">
        <v>131</v>
      </c>
      <c r="B1623" s="10">
        <v>10000000</v>
      </c>
      <c r="C1623" s="9">
        <v>9</v>
      </c>
      <c r="D1623" s="8" t="str">
        <f t="shared" si="302"/>
        <v>N</v>
      </c>
      <c r="E1623" s="8" t="str">
        <f t="shared" si="303"/>
        <v>Y</v>
      </c>
      <c r="F1623" s="8" t="str">
        <f t="shared" si="304"/>
        <v>Y</v>
      </c>
      <c r="G1623" s="8" t="str">
        <f t="shared" si="305"/>
        <v>Y</v>
      </c>
      <c r="H1623" s="8" t="str">
        <f t="shared" si="306"/>
        <v>Upper</v>
      </c>
      <c r="I1623" s="8" t="str">
        <f t="shared" si="307"/>
        <v>West Fork and Below Lake</v>
      </c>
      <c r="J1623" s="8" t="str">
        <f t="shared" si="308"/>
        <v>Sonoma (d/s of Clov. Gage)</v>
      </c>
      <c r="K1623" s="8" t="str">
        <f t="shared" si="309"/>
        <v>Riparian</v>
      </c>
      <c r="L1623" s="8">
        <f t="shared" si="310"/>
        <v>1000</v>
      </c>
      <c r="M1623" s="8" t="str">
        <f t="shared" si="312"/>
        <v>-</v>
      </c>
      <c r="N1623" s="10" t="s">
        <v>241</v>
      </c>
      <c r="O1623" s="10" t="s">
        <v>241</v>
      </c>
      <c r="P1623" s="10" t="s">
        <v>242</v>
      </c>
      <c r="Q1623" s="10" t="s">
        <v>242</v>
      </c>
      <c r="R1623" s="10" t="s">
        <v>242</v>
      </c>
      <c r="S1623" s="10" t="s">
        <v>241</v>
      </c>
      <c r="T1623" s="10" t="s">
        <v>242</v>
      </c>
      <c r="U1623" s="10" t="s">
        <v>242</v>
      </c>
      <c r="V1623" s="10" t="s">
        <v>241</v>
      </c>
      <c r="W1623" s="10" t="s">
        <v>242</v>
      </c>
      <c r="X1623" s="15">
        <f>IF(ISERROR(VLOOKUP($A1623,'13. Updated Demand'!A:Z,15,FALSE)),0,VLOOKUP($A1623,'13. Updated Demand'!A:Z,15,FALSE))</f>
        <v>0</v>
      </c>
      <c r="Y1623" s="16">
        <f>IF(ISERROR(VLOOKUP($A1623,'13. Updated Demand'!A:Z,16,FALSE)),0,VLOOKUP($A1623,'13. Updated Demand'!A:Z,16,FALSE))</f>
        <v>0.33</v>
      </c>
      <c r="Z1623" s="16">
        <f>IF(ISERROR(VLOOKUP($A1623,'13. Updated Demand'!A:Z,17,FALSE)),0,VLOOKUP($A1623,'13. Updated Demand'!A:Z,17,FALSE))</f>
        <v>1.26</v>
      </c>
      <c r="AA1623" s="16">
        <f>IF(ISERROR(VLOOKUP($A1623,'13. Updated Demand'!A:Z,18,FALSE)),0,VLOOKUP($A1623,'13. Updated Demand'!A:Z,18,FALSE))</f>
        <v>0.4</v>
      </c>
      <c r="AB1623" s="16">
        <f>IF(ISERROR(VLOOKUP($A1623,'13. Updated Demand'!A:Z,19,FALSE)),0,VLOOKUP($A1623,'13. Updated Demand'!A:Z,19,FALSE))</f>
        <v>0</v>
      </c>
      <c r="AC1623" s="16">
        <f>IF(ISERROR(VLOOKUP($A1623,'13. Updated Demand'!A:Z,20,FALSE)),0,VLOOKUP($A1623,'13. Updated Demand'!A:Z,20,FALSE))</f>
        <v>0</v>
      </c>
      <c r="AD1623" s="16">
        <f>IF(ISERROR(VLOOKUP($A1623,'13. Updated Demand'!A:Z,21,FALSE)),0,VLOOKUP($A1623,'13. Updated Demand'!A:Z,21,FALSE))</f>
        <v>0</v>
      </c>
      <c r="AE1623" s="16">
        <f>IF(ISERROR(VLOOKUP($A1623,'13. Updated Demand'!A:Z,22,FALSE)),0,VLOOKUP($A1623,'13. Updated Demand'!A:Z,22,FALSE))</f>
        <v>0</v>
      </c>
      <c r="AF1623" s="16">
        <f>IF(ISERROR(VLOOKUP($A1623,'13. Updated Demand'!A:Z,23,FALSE)),0,VLOOKUP($A1623,'13. Updated Demand'!A:Z,23,FALSE))</f>
        <v>0</v>
      </c>
      <c r="AG1623" s="16">
        <f>IF(ISERROR(VLOOKUP($A1623,'13. Updated Demand'!A:Z,24,FALSE)),0,VLOOKUP($A1623,'13. Updated Demand'!A:Z,24,FALSE))</f>
        <v>0.2</v>
      </c>
      <c r="AH1623" s="16">
        <f>IF(ISERROR(VLOOKUP($A1623,'13. Updated Demand'!A:Z,25,FALSE)),0,VLOOKUP($A1623,'13. Updated Demand'!A:Z,25,FALSE))</f>
        <v>0.5</v>
      </c>
      <c r="AI1623" s="16">
        <f>IF(ISERROR(VLOOKUP($A1623,'13. Updated Demand'!A:Z,26,FALSE)),0,VLOOKUP($A1623,'13. Updated Demand'!A:Z,26,FALSE))</f>
        <v>0</v>
      </c>
      <c r="AJ1623" s="16">
        <f t="shared" si="313"/>
        <v>2.6900000000000004</v>
      </c>
      <c r="AK1623" s="19">
        <v>0</v>
      </c>
      <c r="AL1623" s="16">
        <f t="shared" si="311"/>
        <v>0</v>
      </c>
      <c r="AM1623" s="26">
        <v>2.6814550568269877E-3</v>
      </c>
      <c r="AN1623" s="19">
        <v>1006.9160000000001</v>
      </c>
      <c r="AO1623" s="19" t="s">
        <v>1758</v>
      </c>
      <c r="AP1623" s="19">
        <v>0</v>
      </c>
      <c r="AQ1623" s="19" t="s">
        <v>307</v>
      </c>
      <c r="AR1623" s="9" t="s">
        <v>354</v>
      </c>
      <c r="AS1623" s="12">
        <v>0</v>
      </c>
      <c r="AT1623" s="19">
        <v>38.813046739999997</v>
      </c>
      <c r="AU1623" s="19">
        <v>-123.00327591999999</v>
      </c>
      <c r="AV1623" s="19" t="s">
        <v>548</v>
      </c>
    </row>
    <row r="1624" spans="1:48" x14ac:dyDescent="0.25">
      <c r="A1624" s="18" t="s">
        <v>132</v>
      </c>
      <c r="B1624" s="10">
        <v>10000000</v>
      </c>
      <c r="C1624" s="9">
        <v>9</v>
      </c>
      <c r="D1624" s="8" t="str">
        <f t="shared" si="302"/>
        <v>N</v>
      </c>
      <c r="E1624" s="8" t="str">
        <f t="shared" si="303"/>
        <v>Y</v>
      </c>
      <c r="F1624" s="8" t="str">
        <f t="shared" si="304"/>
        <v>Y</v>
      </c>
      <c r="G1624" s="8" t="str">
        <f t="shared" si="305"/>
        <v>Y</v>
      </c>
      <c r="H1624" s="8" t="str">
        <f t="shared" si="306"/>
        <v>Upper</v>
      </c>
      <c r="I1624" s="8" t="str">
        <f t="shared" si="307"/>
        <v>West Fork and Below Lake</v>
      </c>
      <c r="J1624" s="8" t="str">
        <f t="shared" si="308"/>
        <v>Sonoma (d/s of Clov. Gage)</v>
      </c>
      <c r="K1624" s="8" t="str">
        <f t="shared" si="309"/>
        <v>Riparian</v>
      </c>
      <c r="L1624" s="8">
        <f t="shared" si="310"/>
        <v>1000</v>
      </c>
      <c r="M1624" s="8" t="str">
        <f t="shared" si="312"/>
        <v>-</v>
      </c>
      <c r="N1624" s="10" t="s">
        <v>241</v>
      </c>
      <c r="O1624" s="10" t="s">
        <v>241</v>
      </c>
      <c r="P1624" s="10" t="s">
        <v>242</v>
      </c>
      <c r="Q1624" s="10" t="s">
        <v>242</v>
      </c>
      <c r="R1624" s="10" t="s">
        <v>242</v>
      </c>
      <c r="S1624" s="10" t="s">
        <v>241</v>
      </c>
      <c r="T1624" s="10" t="s">
        <v>242</v>
      </c>
      <c r="U1624" s="10" t="s">
        <v>242</v>
      </c>
      <c r="V1624" s="10" t="s">
        <v>242</v>
      </c>
      <c r="W1624" s="10" t="s">
        <v>242</v>
      </c>
      <c r="X1624" s="15">
        <f>IF(ISERROR(VLOOKUP($A1624,'13. Updated Demand'!A:Z,15,FALSE)),0,VLOOKUP($A1624,'13. Updated Demand'!A:Z,15,FALSE))</f>
        <v>0</v>
      </c>
      <c r="Y1624" s="16">
        <f>IF(ISERROR(VLOOKUP($A1624,'13. Updated Demand'!A:Z,16,FALSE)),0,VLOOKUP($A1624,'13. Updated Demand'!A:Z,16,FALSE))</f>
        <v>0.33</v>
      </c>
      <c r="Z1624" s="16">
        <f>IF(ISERROR(VLOOKUP($A1624,'13. Updated Demand'!A:Z,17,FALSE)),0,VLOOKUP($A1624,'13. Updated Demand'!A:Z,17,FALSE))</f>
        <v>1.26</v>
      </c>
      <c r="AA1624" s="16">
        <f>IF(ISERROR(VLOOKUP($A1624,'13. Updated Demand'!A:Z,18,FALSE)),0,VLOOKUP($A1624,'13. Updated Demand'!A:Z,18,FALSE))</f>
        <v>0.73</v>
      </c>
      <c r="AB1624" s="16">
        <f>IF(ISERROR(VLOOKUP($A1624,'13. Updated Demand'!A:Z,19,FALSE)),0,VLOOKUP($A1624,'13. Updated Demand'!A:Z,19,FALSE))</f>
        <v>0</v>
      </c>
      <c r="AC1624" s="16">
        <f>IF(ISERROR(VLOOKUP($A1624,'13. Updated Demand'!A:Z,20,FALSE)),0,VLOOKUP($A1624,'13. Updated Demand'!A:Z,20,FALSE))</f>
        <v>3.03</v>
      </c>
      <c r="AD1624" s="16">
        <f>IF(ISERROR(VLOOKUP($A1624,'13. Updated Demand'!A:Z,21,FALSE)),0,VLOOKUP($A1624,'13. Updated Demand'!A:Z,21,FALSE))</f>
        <v>3.8</v>
      </c>
      <c r="AE1624" s="16">
        <f>IF(ISERROR(VLOOKUP($A1624,'13. Updated Demand'!A:Z,22,FALSE)),0,VLOOKUP($A1624,'13. Updated Demand'!A:Z,22,FALSE))</f>
        <v>6.2</v>
      </c>
      <c r="AF1624" s="16">
        <f>IF(ISERROR(VLOOKUP($A1624,'13. Updated Demand'!A:Z,23,FALSE)),0,VLOOKUP($A1624,'13. Updated Demand'!A:Z,23,FALSE))</f>
        <v>3.33</v>
      </c>
      <c r="AG1624" s="16">
        <f>IF(ISERROR(VLOOKUP($A1624,'13. Updated Demand'!A:Z,24,FALSE)),0,VLOOKUP($A1624,'13. Updated Demand'!A:Z,24,FALSE))</f>
        <v>0.36</v>
      </c>
      <c r="AH1624" s="16">
        <f>IF(ISERROR(VLOOKUP($A1624,'13. Updated Demand'!A:Z,25,FALSE)),0,VLOOKUP($A1624,'13. Updated Demand'!A:Z,25,FALSE))</f>
        <v>0</v>
      </c>
      <c r="AI1624" s="16">
        <f>IF(ISERROR(VLOOKUP($A1624,'13. Updated Demand'!A:Z,26,FALSE)),0,VLOOKUP($A1624,'13. Updated Demand'!A:Z,26,FALSE))</f>
        <v>0</v>
      </c>
      <c r="AJ1624" s="16">
        <f t="shared" si="313"/>
        <v>19.04</v>
      </c>
      <c r="AK1624" s="19">
        <v>16.36666666666666</v>
      </c>
      <c r="AL1624" s="16">
        <f t="shared" si="311"/>
        <v>5.4286368994803144E-2</v>
      </c>
      <c r="AM1624" s="26">
        <v>2.3712282133044136E-2</v>
      </c>
      <c r="AN1624" s="19">
        <v>804.08399999999995</v>
      </c>
      <c r="AO1624" s="19" t="s">
        <v>1758</v>
      </c>
      <c r="AP1624" s="19">
        <v>0</v>
      </c>
      <c r="AQ1624" s="19" t="s">
        <v>307</v>
      </c>
      <c r="AR1624" s="9" t="s">
        <v>354</v>
      </c>
      <c r="AS1624" s="12">
        <v>0</v>
      </c>
      <c r="AT1624" s="19">
        <v>38.813046739999997</v>
      </c>
      <c r="AU1624" s="19">
        <v>-123.00327591999999</v>
      </c>
      <c r="AV1624" s="19" t="s">
        <v>548</v>
      </c>
    </row>
    <row r="1625" spans="1:48" x14ac:dyDescent="0.25">
      <c r="A1625" s="18" t="s">
        <v>2023</v>
      </c>
      <c r="B1625" s="10">
        <v>10000000</v>
      </c>
      <c r="C1625" s="9">
        <v>18</v>
      </c>
      <c r="D1625" s="8" t="str">
        <f t="shared" si="302"/>
        <v>N</v>
      </c>
      <c r="E1625" s="8" t="str">
        <f t="shared" si="303"/>
        <v>N</v>
      </c>
      <c r="F1625" s="8" t="str">
        <f t="shared" si="304"/>
        <v>N</v>
      </c>
      <c r="G1625" s="8" t="str">
        <f t="shared" si="305"/>
        <v>N</v>
      </c>
      <c r="H1625" s="8" t="str">
        <f t="shared" si="306"/>
        <v>Lower</v>
      </c>
      <c r="I1625" s="8" t="str">
        <f t="shared" si="307"/>
        <v>Outside</v>
      </c>
      <c r="J1625" s="8" t="str">
        <f t="shared" si="308"/>
        <v>Outside</v>
      </c>
      <c r="K1625" s="8" t="str">
        <f t="shared" si="309"/>
        <v>Riparian</v>
      </c>
      <c r="L1625" s="8">
        <f t="shared" si="310"/>
        <v>1000</v>
      </c>
      <c r="M1625" s="8" t="str">
        <f t="shared" si="312"/>
        <v>-</v>
      </c>
      <c r="N1625" s="10" t="s">
        <v>241</v>
      </c>
      <c r="O1625" s="10" t="s">
        <v>242</v>
      </c>
      <c r="P1625" s="10" t="s">
        <v>242</v>
      </c>
      <c r="Q1625" s="10" t="s">
        <v>242</v>
      </c>
      <c r="R1625" s="10" t="s">
        <v>242</v>
      </c>
      <c r="S1625" s="10" t="s">
        <v>241</v>
      </c>
      <c r="T1625" s="10" t="s">
        <v>242</v>
      </c>
      <c r="U1625" s="10" t="s">
        <v>242</v>
      </c>
      <c r="V1625" s="10" t="s">
        <v>242</v>
      </c>
      <c r="W1625" s="10" t="s">
        <v>242</v>
      </c>
      <c r="X1625" s="15">
        <f>IF(ISERROR(VLOOKUP($A1625,'13. Updated Demand'!A:Z,15,FALSE)),0,VLOOKUP($A1625,'13. Updated Demand'!A:Z,15,FALSE))</f>
        <v>0</v>
      </c>
      <c r="Y1625" s="16">
        <f>IF(ISERROR(VLOOKUP($A1625,'13. Updated Demand'!A:Z,16,FALSE)),0,VLOOKUP($A1625,'13. Updated Demand'!A:Z,16,FALSE))</f>
        <v>0</v>
      </c>
      <c r="Z1625" s="16">
        <f>IF(ISERROR(VLOOKUP($A1625,'13. Updated Demand'!A:Z,17,FALSE)),0,VLOOKUP($A1625,'13. Updated Demand'!A:Z,17,FALSE))</f>
        <v>0</v>
      </c>
      <c r="AA1625" s="16">
        <f>IF(ISERROR(VLOOKUP($A1625,'13. Updated Demand'!A:Z,18,FALSE)),0,VLOOKUP($A1625,'13. Updated Demand'!A:Z,18,FALSE))</f>
        <v>0.133333333</v>
      </c>
      <c r="AB1625" s="16">
        <f>IF(ISERROR(VLOOKUP($A1625,'13. Updated Demand'!A:Z,19,FALSE)),0,VLOOKUP($A1625,'13. Updated Demand'!A:Z,19,FALSE))</f>
        <v>0</v>
      </c>
      <c r="AC1625" s="16">
        <f>IF(ISERROR(VLOOKUP($A1625,'13. Updated Demand'!A:Z,20,FALSE)),0,VLOOKUP($A1625,'13. Updated Demand'!A:Z,20,FALSE))</f>
        <v>0.133333333</v>
      </c>
      <c r="AD1625" s="16">
        <f>IF(ISERROR(VLOOKUP($A1625,'13. Updated Demand'!A:Z,21,FALSE)),0,VLOOKUP($A1625,'13. Updated Demand'!A:Z,21,FALSE))</f>
        <v>0.16666666699999999</v>
      </c>
      <c r="AE1625" s="16">
        <f>IF(ISERROR(VLOOKUP($A1625,'13. Updated Demand'!A:Z,22,FALSE)),0,VLOOKUP($A1625,'13. Updated Demand'!A:Z,22,FALSE))</f>
        <v>0</v>
      </c>
      <c r="AF1625" s="16">
        <f>IF(ISERROR(VLOOKUP($A1625,'13. Updated Demand'!A:Z,23,FALSE)),0,VLOOKUP($A1625,'13. Updated Demand'!A:Z,23,FALSE))</f>
        <v>0</v>
      </c>
      <c r="AG1625" s="16">
        <f>IF(ISERROR(VLOOKUP($A1625,'13. Updated Demand'!A:Z,24,FALSE)),0,VLOOKUP($A1625,'13. Updated Demand'!A:Z,24,FALSE))</f>
        <v>0.16666666699999999</v>
      </c>
      <c r="AH1625" s="16">
        <f>IF(ISERROR(VLOOKUP($A1625,'13. Updated Demand'!A:Z,25,FALSE)),0,VLOOKUP($A1625,'13. Updated Demand'!A:Z,25,FALSE))</f>
        <v>0.3</v>
      </c>
      <c r="AI1625" s="16">
        <f>IF(ISERROR(VLOOKUP($A1625,'13. Updated Demand'!A:Z,26,FALSE)),0,VLOOKUP($A1625,'13. Updated Demand'!A:Z,26,FALSE))</f>
        <v>0</v>
      </c>
      <c r="AJ1625" s="16">
        <f t="shared" si="313"/>
        <v>0.89999999999999991</v>
      </c>
      <c r="AK1625" s="19">
        <v>0.3</v>
      </c>
      <c r="AL1625" s="16">
        <f t="shared" si="311"/>
        <v>9.9506582678865279E-4</v>
      </c>
      <c r="AM1625" s="26">
        <v>5.3094338019793561E-4</v>
      </c>
      <c r="AN1625" s="19">
        <v>1695.096</v>
      </c>
      <c r="AO1625" s="19" t="s">
        <v>1758</v>
      </c>
      <c r="AP1625" s="19">
        <v>0</v>
      </c>
      <c r="AQ1625" s="19" t="s">
        <v>307</v>
      </c>
      <c r="AR1625" s="9" t="s">
        <v>352</v>
      </c>
      <c r="AS1625" s="12">
        <v>0</v>
      </c>
      <c r="AT1625" s="19">
        <v>38.503543229999998</v>
      </c>
      <c r="AU1625" s="19">
        <v>-122.90614819</v>
      </c>
      <c r="AV1625" s="19" t="s">
        <v>548</v>
      </c>
    </row>
    <row r="1626" spans="1:48" x14ac:dyDescent="0.25">
      <c r="A1626" s="18" t="s">
        <v>2024</v>
      </c>
      <c r="B1626" s="10">
        <v>10000000</v>
      </c>
      <c r="C1626" s="9">
        <v>18</v>
      </c>
      <c r="D1626" s="8" t="str">
        <f t="shared" si="302"/>
        <v>N</v>
      </c>
      <c r="E1626" s="8" t="str">
        <f t="shared" si="303"/>
        <v>N</v>
      </c>
      <c r="F1626" s="8" t="str">
        <f t="shared" si="304"/>
        <v>N</v>
      </c>
      <c r="G1626" s="8" t="str">
        <f t="shared" si="305"/>
        <v>N</v>
      </c>
      <c r="H1626" s="8" t="str">
        <f t="shared" si="306"/>
        <v>Lower</v>
      </c>
      <c r="I1626" s="8" t="str">
        <f t="shared" si="307"/>
        <v>Outside</v>
      </c>
      <c r="J1626" s="8" t="str">
        <f t="shared" si="308"/>
        <v>Outside</v>
      </c>
      <c r="K1626" s="8" t="str">
        <f t="shared" si="309"/>
        <v>Riparian</v>
      </c>
      <c r="L1626" s="8">
        <f t="shared" si="310"/>
        <v>1000</v>
      </c>
      <c r="M1626" s="8" t="str">
        <f t="shared" si="312"/>
        <v>-</v>
      </c>
      <c r="N1626" s="10" t="s">
        <v>241</v>
      </c>
      <c r="O1626" s="10" t="s">
        <v>242</v>
      </c>
      <c r="P1626" s="10" t="s">
        <v>242</v>
      </c>
      <c r="Q1626" s="10" t="s">
        <v>242</v>
      </c>
      <c r="R1626" s="10" t="s">
        <v>242</v>
      </c>
      <c r="S1626" s="10" t="s">
        <v>241</v>
      </c>
      <c r="T1626" s="10" t="s">
        <v>242</v>
      </c>
      <c r="U1626" s="10" t="s">
        <v>242</v>
      </c>
      <c r="V1626" s="10" t="s">
        <v>242</v>
      </c>
      <c r="W1626" s="10" t="s">
        <v>242</v>
      </c>
      <c r="X1626" s="15">
        <f>IF(ISERROR(VLOOKUP($A1626,'13. Updated Demand'!A:Z,15,FALSE)),0,VLOOKUP($A1626,'13. Updated Demand'!A:Z,15,FALSE))</f>
        <v>0</v>
      </c>
      <c r="Y1626" s="16">
        <f>IF(ISERROR(VLOOKUP($A1626,'13. Updated Demand'!A:Z,16,FALSE)),0,VLOOKUP($A1626,'13. Updated Demand'!A:Z,16,FALSE))</f>
        <v>0</v>
      </c>
      <c r="Z1626" s="16">
        <f>IF(ISERROR(VLOOKUP($A1626,'13. Updated Demand'!A:Z,17,FALSE)),0,VLOOKUP($A1626,'13. Updated Demand'!A:Z,17,FALSE))</f>
        <v>0</v>
      </c>
      <c r="AA1626" s="16">
        <f>IF(ISERROR(VLOOKUP($A1626,'13. Updated Demand'!A:Z,18,FALSE)),0,VLOOKUP($A1626,'13. Updated Demand'!A:Z,18,FALSE))</f>
        <v>0.133333333</v>
      </c>
      <c r="AB1626" s="16">
        <f>IF(ISERROR(VLOOKUP($A1626,'13. Updated Demand'!A:Z,19,FALSE)),0,VLOOKUP($A1626,'13. Updated Demand'!A:Z,19,FALSE))</f>
        <v>0</v>
      </c>
      <c r="AC1626" s="16">
        <f>IF(ISERROR(VLOOKUP($A1626,'13. Updated Demand'!A:Z,20,FALSE)),0,VLOOKUP($A1626,'13. Updated Demand'!A:Z,20,FALSE))</f>
        <v>0.133333333</v>
      </c>
      <c r="AD1626" s="16">
        <f>IF(ISERROR(VLOOKUP($A1626,'13. Updated Demand'!A:Z,21,FALSE)),0,VLOOKUP($A1626,'13. Updated Demand'!A:Z,21,FALSE))</f>
        <v>0.16666666699999999</v>
      </c>
      <c r="AE1626" s="16">
        <f>IF(ISERROR(VLOOKUP($A1626,'13. Updated Demand'!A:Z,22,FALSE)),0,VLOOKUP($A1626,'13. Updated Demand'!A:Z,22,FALSE))</f>
        <v>0</v>
      </c>
      <c r="AF1626" s="16">
        <f>IF(ISERROR(VLOOKUP($A1626,'13. Updated Demand'!A:Z,23,FALSE)),0,VLOOKUP($A1626,'13. Updated Demand'!A:Z,23,FALSE))</f>
        <v>0</v>
      </c>
      <c r="AG1626" s="16">
        <f>IF(ISERROR(VLOOKUP($A1626,'13. Updated Demand'!A:Z,24,FALSE)),0,VLOOKUP($A1626,'13. Updated Demand'!A:Z,24,FALSE))</f>
        <v>0.16666666699999999</v>
      </c>
      <c r="AH1626" s="16">
        <f>IF(ISERROR(VLOOKUP($A1626,'13. Updated Demand'!A:Z,25,FALSE)),0,VLOOKUP($A1626,'13. Updated Demand'!A:Z,25,FALSE))</f>
        <v>0.3</v>
      </c>
      <c r="AI1626" s="16">
        <f>IF(ISERROR(VLOOKUP($A1626,'13. Updated Demand'!A:Z,26,FALSE)),0,VLOOKUP($A1626,'13. Updated Demand'!A:Z,26,FALSE))</f>
        <v>0</v>
      </c>
      <c r="AJ1626" s="16">
        <f t="shared" si="313"/>
        <v>0.89999999999999991</v>
      </c>
      <c r="AK1626" s="19">
        <v>0.3</v>
      </c>
      <c r="AL1626" s="16">
        <f t="shared" si="311"/>
        <v>9.9506582678865279E-4</v>
      </c>
      <c r="AM1626" s="26">
        <v>2.2385720894831881E-3</v>
      </c>
      <c r="AN1626" s="19">
        <v>402.04199999999997</v>
      </c>
      <c r="AO1626" s="19" t="s">
        <v>1758</v>
      </c>
      <c r="AP1626" s="19">
        <v>0</v>
      </c>
      <c r="AQ1626" s="19" t="s">
        <v>307</v>
      </c>
      <c r="AR1626" s="9" t="s">
        <v>352</v>
      </c>
      <c r="AS1626" s="12">
        <v>0</v>
      </c>
      <c r="AT1626" s="19">
        <v>38.50951396</v>
      </c>
      <c r="AU1626" s="19">
        <v>-122.91513601</v>
      </c>
      <c r="AV1626" s="19" t="s">
        <v>548</v>
      </c>
    </row>
    <row r="1627" spans="1:48" x14ac:dyDescent="0.25">
      <c r="A1627" s="18" t="s">
        <v>2025</v>
      </c>
      <c r="B1627" s="10">
        <v>10000000</v>
      </c>
      <c r="C1627" s="9">
        <v>18</v>
      </c>
      <c r="D1627" s="8" t="str">
        <f t="shared" si="302"/>
        <v>N</v>
      </c>
      <c r="E1627" s="8" t="str">
        <f t="shared" si="303"/>
        <v>N</v>
      </c>
      <c r="F1627" s="8" t="str">
        <f t="shared" si="304"/>
        <v>N</v>
      </c>
      <c r="G1627" s="8" t="str">
        <f t="shared" si="305"/>
        <v>N</v>
      </c>
      <c r="H1627" s="8" t="str">
        <f t="shared" si="306"/>
        <v>Lower</v>
      </c>
      <c r="I1627" s="8" t="str">
        <f t="shared" si="307"/>
        <v>Outside</v>
      </c>
      <c r="J1627" s="8" t="str">
        <f t="shared" si="308"/>
        <v>Outside</v>
      </c>
      <c r="K1627" s="8" t="str">
        <f t="shared" si="309"/>
        <v>Riparian</v>
      </c>
      <c r="L1627" s="8">
        <f t="shared" si="310"/>
        <v>1000</v>
      </c>
      <c r="M1627" s="8" t="str">
        <f t="shared" si="312"/>
        <v>-</v>
      </c>
      <c r="N1627" s="10" t="s">
        <v>241</v>
      </c>
      <c r="O1627" s="10" t="s">
        <v>242</v>
      </c>
      <c r="P1627" s="10" t="s">
        <v>242</v>
      </c>
      <c r="Q1627" s="10" t="s">
        <v>242</v>
      </c>
      <c r="R1627" s="10" t="s">
        <v>242</v>
      </c>
      <c r="S1627" s="10" t="s">
        <v>241</v>
      </c>
      <c r="T1627" s="10" t="s">
        <v>242</v>
      </c>
      <c r="U1627" s="10" t="s">
        <v>241</v>
      </c>
      <c r="V1627" s="10" t="s">
        <v>241</v>
      </c>
      <c r="W1627" s="10" t="s">
        <v>242</v>
      </c>
      <c r="X1627" s="15">
        <f>IF(ISERROR(VLOOKUP($A1627,'13. Updated Demand'!A:Z,15,FALSE)),0,VLOOKUP($A1627,'13. Updated Demand'!A:Z,15,FALSE))</f>
        <v>0</v>
      </c>
      <c r="Y1627" s="16">
        <f>IF(ISERROR(VLOOKUP($A1627,'13. Updated Demand'!A:Z,16,FALSE)),0,VLOOKUP($A1627,'13. Updated Demand'!A:Z,16,FALSE))</f>
        <v>0</v>
      </c>
      <c r="Z1627" s="16">
        <f>IF(ISERROR(VLOOKUP($A1627,'13. Updated Demand'!A:Z,17,FALSE)),0,VLOOKUP($A1627,'13. Updated Demand'!A:Z,17,FALSE))</f>
        <v>0</v>
      </c>
      <c r="AA1627" s="16">
        <f>IF(ISERROR(VLOOKUP($A1627,'13. Updated Demand'!A:Z,18,FALSE)),0,VLOOKUP($A1627,'13. Updated Demand'!A:Z,18,FALSE))</f>
        <v>0</v>
      </c>
      <c r="AB1627" s="16">
        <f>IF(ISERROR(VLOOKUP($A1627,'13. Updated Demand'!A:Z,19,FALSE)),0,VLOOKUP($A1627,'13. Updated Demand'!A:Z,19,FALSE))</f>
        <v>0</v>
      </c>
      <c r="AC1627" s="16">
        <f>IF(ISERROR(VLOOKUP($A1627,'13. Updated Demand'!A:Z,20,FALSE)),0,VLOOKUP($A1627,'13. Updated Demand'!A:Z,20,FALSE))</f>
        <v>0</v>
      </c>
      <c r="AD1627" s="16">
        <f>IF(ISERROR(VLOOKUP($A1627,'13. Updated Demand'!A:Z,21,FALSE)),0,VLOOKUP($A1627,'13. Updated Demand'!A:Z,21,FALSE))</f>
        <v>0</v>
      </c>
      <c r="AE1627" s="16">
        <f>IF(ISERROR(VLOOKUP($A1627,'13. Updated Demand'!A:Z,22,FALSE)),0,VLOOKUP($A1627,'13. Updated Demand'!A:Z,22,FALSE))</f>
        <v>0</v>
      </c>
      <c r="AF1627" s="16">
        <f>IF(ISERROR(VLOOKUP($A1627,'13. Updated Demand'!A:Z,23,FALSE)),0,VLOOKUP($A1627,'13. Updated Demand'!A:Z,23,FALSE))</f>
        <v>0</v>
      </c>
      <c r="AG1627" s="16">
        <f>IF(ISERROR(VLOOKUP($A1627,'13. Updated Demand'!A:Z,24,FALSE)),0,VLOOKUP($A1627,'13. Updated Demand'!A:Z,24,FALSE))</f>
        <v>0</v>
      </c>
      <c r="AH1627" s="16">
        <f>IF(ISERROR(VLOOKUP($A1627,'13. Updated Demand'!A:Z,25,FALSE)),0,VLOOKUP($A1627,'13. Updated Demand'!A:Z,25,FALSE))</f>
        <v>0</v>
      </c>
      <c r="AI1627" s="16">
        <f>IF(ISERROR(VLOOKUP($A1627,'13. Updated Demand'!A:Z,26,FALSE)),0,VLOOKUP($A1627,'13. Updated Demand'!A:Z,26,FALSE))</f>
        <v>0</v>
      </c>
      <c r="AJ1627" s="16">
        <f t="shared" si="313"/>
        <v>0</v>
      </c>
      <c r="AK1627" s="19">
        <v>0</v>
      </c>
      <c r="AL1627" s="16">
        <f t="shared" si="311"/>
        <v>0</v>
      </c>
      <c r="AM1627" s="26">
        <v>0</v>
      </c>
      <c r="AN1627" s="19">
        <v>1209.748</v>
      </c>
      <c r="AO1627" s="19" t="s">
        <v>1758</v>
      </c>
      <c r="AP1627" s="19">
        <v>0</v>
      </c>
      <c r="AQ1627" s="19" t="s">
        <v>307</v>
      </c>
      <c r="AR1627" s="9" t="s">
        <v>352</v>
      </c>
      <c r="AS1627" s="12">
        <v>0</v>
      </c>
      <c r="AT1627" s="19">
        <v>38.504221479999998</v>
      </c>
      <c r="AU1627" s="19">
        <v>-122.90720519</v>
      </c>
      <c r="AV1627" s="19" t="s">
        <v>548</v>
      </c>
    </row>
    <row r="1628" spans="1:48" x14ac:dyDescent="0.25">
      <c r="A1628" s="18" t="s">
        <v>2026</v>
      </c>
      <c r="B1628" s="10">
        <v>10000000</v>
      </c>
      <c r="C1628" s="9">
        <v>17</v>
      </c>
      <c r="D1628" s="8" t="str">
        <f t="shared" si="302"/>
        <v>N</v>
      </c>
      <c r="E1628" s="8" t="str">
        <f t="shared" si="303"/>
        <v>N</v>
      </c>
      <c r="F1628" s="8" t="str">
        <f t="shared" si="304"/>
        <v>N</v>
      </c>
      <c r="G1628" s="8" t="str">
        <f t="shared" si="305"/>
        <v>N</v>
      </c>
      <c r="H1628" s="8" t="str">
        <f t="shared" si="306"/>
        <v>Lower</v>
      </c>
      <c r="I1628" s="8" t="str">
        <f t="shared" si="307"/>
        <v>Outside</v>
      </c>
      <c r="J1628" s="8" t="str">
        <f t="shared" si="308"/>
        <v>Outside</v>
      </c>
      <c r="K1628" s="8" t="str">
        <f t="shared" si="309"/>
        <v>Riparian</v>
      </c>
      <c r="L1628" s="8">
        <f t="shared" si="310"/>
        <v>1000</v>
      </c>
      <c r="M1628" s="8" t="str">
        <f t="shared" si="312"/>
        <v>-</v>
      </c>
      <c r="N1628" s="10" t="s">
        <v>241</v>
      </c>
      <c r="O1628" s="10" t="s">
        <v>242</v>
      </c>
      <c r="P1628" s="10" t="s">
        <v>242</v>
      </c>
      <c r="Q1628" s="10" t="s">
        <v>242</v>
      </c>
      <c r="R1628" s="10" t="s">
        <v>242</v>
      </c>
      <c r="S1628" s="10" t="s">
        <v>241</v>
      </c>
      <c r="T1628" s="10" t="s">
        <v>242</v>
      </c>
      <c r="U1628" s="10" t="s">
        <v>242</v>
      </c>
      <c r="V1628" s="10" t="s">
        <v>242</v>
      </c>
      <c r="W1628" s="10" t="s">
        <v>242</v>
      </c>
      <c r="X1628" s="15">
        <f>IF(ISERROR(VLOOKUP($A1628,'13. Updated Demand'!A:Z,15,FALSE)),0,VLOOKUP($A1628,'13. Updated Demand'!A:Z,15,FALSE))</f>
        <v>0</v>
      </c>
      <c r="Y1628" s="16">
        <f>IF(ISERROR(VLOOKUP($A1628,'13. Updated Demand'!A:Z,16,FALSE)),0,VLOOKUP($A1628,'13. Updated Demand'!A:Z,16,FALSE))</f>
        <v>3.2</v>
      </c>
      <c r="Z1628" s="16">
        <f>IF(ISERROR(VLOOKUP($A1628,'13. Updated Demand'!A:Z,17,FALSE)),0,VLOOKUP($A1628,'13. Updated Demand'!A:Z,17,FALSE))</f>
        <v>2.1</v>
      </c>
      <c r="AA1628" s="16">
        <f>IF(ISERROR(VLOOKUP($A1628,'13. Updated Demand'!A:Z,18,FALSE)),0,VLOOKUP($A1628,'13. Updated Demand'!A:Z,18,FALSE))</f>
        <v>6.6666666999999999E-2</v>
      </c>
      <c r="AB1628" s="16">
        <f>IF(ISERROR(VLOOKUP($A1628,'13. Updated Demand'!A:Z,19,FALSE)),0,VLOOKUP($A1628,'13. Updated Demand'!A:Z,19,FALSE))</f>
        <v>0.16666666699999999</v>
      </c>
      <c r="AC1628" s="16">
        <f>IF(ISERROR(VLOOKUP($A1628,'13. Updated Demand'!A:Z,20,FALSE)),0,VLOOKUP($A1628,'13. Updated Demand'!A:Z,20,FALSE))</f>
        <v>1.066666667</v>
      </c>
      <c r="AD1628" s="16">
        <f>IF(ISERROR(VLOOKUP($A1628,'13. Updated Demand'!A:Z,21,FALSE)),0,VLOOKUP($A1628,'13. Updated Demand'!A:Z,21,FALSE))</f>
        <v>1.4666666669999999</v>
      </c>
      <c r="AE1628" s="16">
        <f>IF(ISERROR(VLOOKUP($A1628,'13. Updated Demand'!A:Z,22,FALSE)),0,VLOOKUP($A1628,'13. Updated Demand'!A:Z,22,FALSE))</f>
        <v>5.266666667</v>
      </c>
      <c r="AF1628" s="16">
        <f>IF(ISERROR(VLOOKUP($A1628,'13. Updated Demand'!A:Z,23,FALSE)),0,VLOOKUP($A1628,'13. Updated Demand'!A:Z,23,FALSE))</f>
        <v>1.4666666669999999</v>
      </c>
      <c r="AG1628" s="16">
        <f>IF(ISERROR(VLOOKUP($A1628,'13. Updated Demand'!A:Z,24,FALSE)),0,VLOOKUP($A1628,'13. Updated Demand'!A:Z,24,FALSE))</f>
        <v>0</v>
      </c>
      <c r="AH1628" s="16">
        <f>IF(ISERROR(VLOOKUP($A1628,'13. Updated Demand'!A:Z,25,FALSE)),0,VLOOKUP($A1628,'13. Updated Demand'!A:Z,25,FALSE))</f>
        <v>0.76666666699999997</v>
      </c>
      <c r="AI1628" s="16">
        <f>IF(ISERROR(VLOOKUP($A1628,'13. Updated Demand'!A:Z,26,FALSE)),0,VLOOKUP($A1628,'13. Updated Demand'!A:Z,26,FALSE))</f>
        <v>0</v>
      </c>
      <c r="AJ1628" s="16">
        <f t="shared" si="313"/>
        <v>15.566666669</v>
      </c>
      <c r="AK1628" s="19">
        <v>9.4333333350000004</v>
      </c>
      <c r="AL1628" s="16">
        <f t="shared" si="311"/>
        <v>3.1289292114549117E-2</v>
      </c>
      <c r="AM1628" s="26">
        <v>5.8473601118636297E-3</v>
      </c>
      <c r="AN1628" s="19">
        <v>2662.17</v>
      </c>
      <c r="AO1628" s="19" t="s">
        <v>1758</v>
      </c>
      <c r="AP1628" s="19">
        <v>0</v>
      </c>
      <c r="AQ1628" s="19" t="s">
        <v>307</v>
      </c>
      <c r="AR1628" s="9" t="s">
        <v>486</v>
      </c>
      <c r="AS1628" s="12">
        <v>0</v>
      </c>
      <c r="AT1628" s="19">
        <v>38.560247760000003</v>
      </c>
      <c r="AU1628" s="19">
        <v>-122.85195861</v>
      </c>
      <c r="AV1628" s="19" t="s">
        <v>548</v>
      </c>
    </row>
    <row r="1629" spans="1:48" x14ac:dyDescent="0.25">
      <c r="A1629" s="18" t="s">
        <v>2027</v>
      </c>
      <c r="B1629" s="10">
        <v>10000000</v>
      </c>
      <c r="C1629" s="9">
        <v>17</v>
      </c>
      <c r="D1629" s="8" t="str">
        <f t="shared" si="302"/>
        <v>N</v>
      </c>
      <c r="E1629" s="8" t="str">
        <f t="shared" si="303"/>
        <v>N</v>
      </c>
      <c r="F1629" s="8" t="str">
        <f t="shared" si="304"/>
        <v>N</v>
      </c>
      <c r="G1629" s="8" t="str">
        <f t="shared" si="305"/>
        <v>N</v>
      </c>
      <c r="H1629" s="8" t="str">
        <f t="shared" si="306"/>
        <v>Lower</v>
      </c>
      <c r="I1629" s="8" t="str">
        <f t="shared" si="307"/>
        <v>Outside</v>
      </c>
      <c r="J1629" s="8" t="str">
        <f t="shared" si="308"/>
        <v>Outside</v>
      </c>
      <c r="K1629" s="8" t="str">
        <f t="shared" si="309"/>
        <v>Riparian</v>
      </c>
      <c r="L1629" s="8">
        <f t="shared" si="310"/>
        <v>1000</v>
      </c>
      <c r="M1629" s="8" t="str">
        <f t="shared" si="312"/>
        <v>-</v>
      </c>
      <c r="N1629" s="10" t="s">
        <v>241</v>
      </c>
      <c r="O1629" s="10" t="s">
        <v>242</v>
      </c>
      <c r="P1629" s="10" t="s">
        <v>242</v>
      </c>
      <c r="Q1629" s="10" t="s">
        <v>242</v>
      </c>
      <c r="R1629" s="10" t="s">
        <v>242</v>
      </c>
      <c r="S1629" s="10" t="s">
        <v>241</v>
      </c>
      <c r="T1629" s="10" t="s">
        <v>242</v>
      </c>
      <c r="U1629" s="10" t="s">
        <v>242</v>
      </c>
      <c r="V1629" s="10" t="s">
        <v>242</v>
      </c>
      <c r="W1629" s="10" t="s">
        <v>242</v>
      </c>
      <c r="X1629" s="15">
        <f>IF(ISERROR(VLOOKUP($A1629,'13. Updated Demand'!A:Z,15,FALSE)),0,VLOOKUP($A1629,'13. Updated Demand'!A:Z,15,FALSE))</f>
        <v>0</v>
      </c>
      <c r="Y1629" s="16">
        <f>IF(ISERROR(VLOOKUP($A1629,'13. Updated Demand'!A:Z,16,FALSE)),0,VLOOKUP($A1629,'13. Updated Demand'!A:Z,16,FALSE))</f>
        <v>8.4666666670000001</v>
      </c>
      <c r="Z1629" s="16">
        <f>IF(ISERROR(VLOOKUP($A1629,'13. Updated Demand'!A:Z,17,FALSE)),0,VLOOKUP($A1629,'13. Updated Demand'!A:Z,17,FALSE))</f>
        <v>2.6666666669999999</v>
      </c>
      <c r="AA1629" s="16">
        <f>IF(ISERROR(VLOOKUP($A1629,'13. Updated Demand'!A:Z,18,FALSE)),0,VLOOKUP($A1629,'13. Updated Demand'!A:Z,18,FALSE))</f>
        <v>6.6666666999999999E-2</v>
      </c>
      <c r="AB1629" s="16">
        <f>IF(ISERROR(VLOOKUP($A1629,'13. Updated Demand'!A:Z,19,FALSE)),0,VLOOKUP($A1629,'13. Updated Demand'!A:Z,19,FALSE))</f>
        <v>0.56666666700000001</v>
      </c>
      <c r="AC1629" s="16">
        <f>IF(ISERROR(VLOOKUP($A1629,'13. Updated Demand'!A:Z,20,FALSE)),0,VLOOKUP($A1629,'13. Updated Demand'!A:Z,20,FALSE))</f>
        <v>2.233333333</v>
      </c>
      <c r="AD1629" s="16">
        <f>IF(ISERROR(VLOOKUP($A1629,'13. Updated Demand'!A:Z,21,FALSE)),0,VLOOKUP($A1629,'13. Updated Demand'!A:Z,21,FALSE))</f>
        <v>6.2</v>
      </c>
      <c r="AE1629" s="16">
        <f>IF(ISERROR(VLOOKUP($A1629,'13. Updated Demand'!A:Z,22,FALSE)),0,VLOOKUP($A1629,'13. Updated Demand'!A:Z,22,FALSE))</f>
        <v>6.1333333330000004</v>
      </c>
      <c r="AF1629" s="16">
        <f>IF(ISERROR(VLOOKUP($A1629,'13. Updated Demand'!A:Z,23,FALSE)),0,VLOOKUP($A1629,'13. Updated Demand'!A:Z,23,FALSE))</f>
        <v>2.8666666670000001</v>
      </c>
      <c r="AG1629" s="16">
        <f>IF(ISERROR(VLOOKUP($A1629,'13. Updated Demand'!A:Z,24,FALSE)),0,VLOOKUP($A1629,'13. Updated Demand'!A:Z,24,FALSE))</f>
        <v>0.3</v>
      </c>
      <c r="AH1629" s="16">
        <f>IF(ISERROR(VLOOKUP($A1629,'13. Updated Demand'!A:Z,25,FALSE)),0,VLOOKUP($A1629,'13. Updated Demand'!A:Z,25,FALSE))</f>
        <v>0.4</v>
      </c>
      <c r="AI1629" s="16">
        <f>IF(ISERROR(VLOOKUP($A1629,'13. Updated Demand'!A:Z,26,FALSE)),0,VLOOKUP($A1629,'13. Updated Demand'!A:Z,26,FALSE))</f>
        <v>0</v>
      </c>
      <c r="AJ1629" s="16">
        <f t="shared" si="313"/>
        <v>29.900000000999999</v>
      </c>
      <c r="AK1629" s="19">
        <v>18</v>
      </c>
      <c r="AL1629" s="16">
        <f t="shared" si="311"/>
        <v>5.9703949607319159E-2</v>
      </c>
      <c r="AM1629" s="26">
        <v>7.7150539024239198E-3</v>
      </c>
      <c r="AN1629" s="19">
        <v>3875.54</v>
      </c>
      <c r="AO1629" s="19" t="s">
        <v>1758</v>
      </c>
      <c r="AP1629" s="19">
        <v>0</v>
      </c>
      <c r="AQ1629" s="19" t="s">
        <v>307</v>
      </c>
      <c r="AR1629" s="9" t="s">
        <v>486</v>
      </c>
      <c r="AS1629" s="12">
        <v>0</v>
      </c>
      <c r="AT1629" s="19">
        <v>38.560229759999999</v>
      </c>
      <c r="AU1629" s="19">
        <v>-122.85440656999999</v>
      </c>
      <c r="AV1629" s="19" t="s">
        <v>548</v>
      </c>
    </row>
    <row r="1630" spans="1:48" x14ac:dyDescent="0.25">
      <c r="A1630" s="18" t="s">
        <v>2028</v>
      </c>
      <c r="B1630" s="10">
        <v>10000000</v>
      </c>
      <c r="C1630" s="9">
        <v>17</v>
      </c>
      <c r="D1630" s="8" t="str">
        <f t="shared" si="302"/>
        <v>N</v>
      </c>
      <c r="E1630" s="8" t="str">
        <f t="shared" si="303"/>
        <v>N</v>
      </c>
      <c r="F1630" s="8" t="str">
        <f t="shared" si="304"/>
        <v>N</v>
      </c>
      <c r="G1630" s="8" t="str">
        <f t="shared" si="305"/>
        <v>N</v>
      </c>
      <c r="H1630" s="8" t="str">
        <f t="shared" si="306"/>
        <v>Lower</v>
      </c>
      <c r="I1630" s="8" t="str">
        <f t="shared" si="307"/>
        <v>Outside</v>
      </c>
      <c r="J1630" s="8" t="str">
        <f t="shared" si="308"/>
        <v>Outside</v>
      </c>
      <c r="K1630" s="8" t="str">
        <f t="shared" si="309"/>
        <v>Riparian</v>
      </c>
      <c r="L1630" s="8">
        <f t="shared" si="310"/>
        <v>1000</v>
      </c>
      <c r="M1630" s="8" t="str">
        <f t="shared" si="312"/>
        <v>-</v>
      </c>
      <c r="N1630" s="10" t="s">
        <v>241</v>
      </c>
      <c r="O1630" s="10" t="s">
        <v>242</v>
      </c>
      <c r="P1630" s="10" t="s">
        <v>242</v>
      </c>
      <c r="Q1630" s="10" t="s">
        <v>242</v>
      </c>
      <c r="R1630" s="10" t="s">
        <v>242</v>
      </c>
      <c r="S1630" s="10" t="s">
        <v>241</v>
      </c>
      <c r="T1630" s="10" t="s">
        <v>242</v>
      </c>
      <c r="U1630" s="10" t="s">
        <v>242</v>
      </c>
      <c r="V1630" s="10" t="s">
        <v>242</v>
      </c>
      <c r="W1630" s="10" t="s">
        <v>242</v>
      </c>
      <c r="X1630" s="15">
        <f>IF(ISERROR(VLOOKUP($A1630,'13. Updated Demand'!A:Z,15,FALSE)),0,VLOOKUP($A1630,'13. Updated Demand'!A:Z,15,FALSE))</f>
        <v>0</v>
      </c>
      <c r="Y1630" s="16">
        <f>IF(ISERROR(VLOOKUP($A1630,'13. Updated Demand'!A:Z,16,FALSE)),0,VLOOKUP($A1630,'13. Updated Demand'!A:Z,16,FALSE))</f>
        <v>0.233333333</v>
      </c>
      <c r="Z1630" s="16">
        <f>IF(ISERROR(VLOOKUP($A1630,'13. Updated Demand'!A:Z,17,FALSE)),0,VLOOKUP($A1630,'13. Updated Demand'!A:Z,17,FALSE))</f>
        <v>1.6333333329999999</v>
      </c>
      <c r="AA1630" s="16">
        <f>IF(ISERROR(VLOOKUP($A1630,'13. Updated Demand'!A:Z,18,FALSE)),0,VLOOKUP($A1630,'13. Updated Demand'!A:Z,18,FALSE))</f>
        <v>0.366666667</v>
      </c>
      <c r="AB1630" s="16">
        <f>IF(ISERROR(VLOOKUP($A1630,'13. Updated Demand'!A:Z,19,FALSE)),0,VLOOKUP($A1630,'13. Updated Demand'!A:Z,19,FALSE))</f>
        <v>0.66666666699999999</v>
      </c>
      <c r="AC1630" s="16">
        <f>IF(ISERROR(VLOOKUP($A1630,'13. Updated Demand'!A:Z,20,FALSE)),0,VLOOKUP($A1630,'13. Updated Demand'!A:Z,20,FALSE))</f>
        <v>1.4</v>
      </c>
      <c r="AD1630" s="16">
        <f>IF(ISERROR(VLOOKUP($A1630,'13. Updated Demand'!A:Z,21,FALSE)),0,VLOOKUP($A1630,'13. Updated Demand'!A:Z,21,FALSE))</f>
        <v>2.3333333330000001</v>
      </c>
      <c r="AE1630" s="16">
        <f>IF(ISERROR(VLOOKUP($A1630,'13. Updated Demand'!A:Z,22,FALSE)),0,VLOOKUP($A1630,'13. Updated Demand'!A:Z,22,FALSE))</f>
        <v>1.8</v>
      </c>
      <c r="AF1630" s="16">
        <f>IF(ISERROR(VLOOKUP($A1630,'13. Updated Demand'!A:Z,23,FALSE)),0,VLOOKUP($A1630,'13. Updated Demand'!A:Z,23,FALSE))</f>
        <v>0.96666666700000003</v>
      </c>
      <c r="AG1630" s="16">
        <f>IF(ISERROR(VLOOKUP($A1630,'13. Updated Demand'!A:Z,24,FALSE)),0,VLOOKUP($A1630,'13. Updated Demand'!A:Z,24,FALSE))</f>
        <v>0.53333333299999997</v>
      </c>
      <c r="AH1630" s="16">
        <f>IF(ISERROR(VLOOKUP($A1630,'13. Updated Demand'!A:Z,25,FALSE)),0,VLOOKUP($A1630,'13. Updated Demand'!A:Z,25,FALSE))</f>
        <v>1.1000000000000001</v>
      </c>
      <c r="AI1630" s="16">
        <f>IF(ISERROR(VLOOKUP($A1630,'13. Updated Demand'!A:Z,26,FALSE)),0,VLOOKUP($A1630,'13. Updated Demand'!A:Z,26,FALSE))</f>
        <v>0.1</v>
      </c>
      <c r="AJ1630" s="16">
        <f t="shared" si="313"/>
        <v>11.133333332999999</v>
      </c>
      <c r="AK1630" s="19">
        <v>7.1666666670000003</v>
      </c>
      <c r="AL1630" s="16">
        <f t="shared" si="311"/>
        <v>2.3771016974390109E-2</v>
      </c>
      <c r="AM1630" s="26">
        <v>7.6845205225013801E-3</v>
      </c>
      <c r="AN1630" s="19">
        <v>1448.8</v>
      </c>
      <c r="AO1630" s="19" t="s">
        <v>1758</v>
      </c>
      <c r="AP1630" s="19">
        <v>0</v>
      </c>
      <c r="AQ1630" s="19" t="s">
        <v>307</v>
      </c>
      <c r="AR1630" s="9" t="s">
        <v>486</v>
      </c>
      <c r="AS1630" s="12">
        <v>0</v>
      </c>
      <c r="AT1630" s="19">
        <v>38.556649919999998</v>
      </c>
      <c r="AU1630" s="19">
        <v>-122.85576261999999</v>
      </c>
      <c r="AV1630" s="19" t="s">
        <v>548</v>
      </c>
    </row>
    <row r="1631" spans="1:48" x14ac:dyDescent="0.25">
      <c r="A1631" s="18" t="s">
        <v>2029</v>
      </c>
      <c r="B1631" s="10">
        <v>10000000</v>
      </c>
      <c r="C1631" s="9">
        <v>10</v>
      </c>
      <c r="D1631" s="8" t="str">
        <f t="shared" si="302"/>
        <v>N</v>
      </c>
      <c r="E1631" s="8" t="str">
        <f t="shared" si="303"/>
        <v>Y</v>
      </c>
      <c r="F1631" s="8" t="str">
        <f t="shared" si="304"/>
        <v>Y</v>
      </c>
      <c r="G1631" s="8" t="str">
        <f t="shared" si="305"/>
        <v>Y</v>
      </c>
      <c r="H1631" s="8" t="str">
        <f t="shared" si="306"/>
        <v>Upper</v>
      </c>
      <c r="I1631" s="8" t="str">
        <f t="shared" si="307"/>
        <v>West Fork and Below Lake</v>
      </c>
      <c r="J1631" s="8" t="str">
        <f t="shared" si="308"/>
        <v>Sonoma (d/s of Clov. Gage)</v>
      </c>
      <c r="K1631" s="8" t="str">
        <f t="shared" si="309"/>
        <v>Riparian</v>
      </c>
      <c r="L1631" s="8">
        <f t="shared" si="310"/>
        <v>1000</v>
      </c>
      <c r="M1631" s="8" t="str">
        <f t="shared" si="312"/>
        <v>-</v>
      </c>
      <c r="N1631" s="10" t="s">
        <v>241</v>
      </c>
      <c r="O1631" s="10" t="s">
        <v>241</v>
      </c>
      <c r="P1631" s="10" t="s">
        <v>242</v>
      </c>
      <c r="Q1631" s="10" t="s">
        <v>242</v>
      </c>
      <c r="R1631" s="10" t="s">
        <v>242</v>
      </c>
      <c r="S1631" s="10" t="s">
        <v>241</v>
      </c>
      <c r="T1631" s="10" t="s">
        <v>242</v>
      </c>
      <c r="U1631" s="10" t="s">
        <v>242</v>
      </c>
      <c r="V1631" s="10" t="s">
        <v>242</v>
      </c>
      <c r="W1631" s="10" t="s">
        <v>242</v>
      </c>
      <c r="X1631" s="15">
        <f>IF(ISERROR(VLOOKUP($A1631,'13. Updated Demand'!A:Z,15,FALSE)),0,VLOOKUP($A1631,'13. Updated Demand'!A:Z,15,FALSE))</f>
        <v>0.03</v>
      </c>
      <c r="Y1631" s="16">
        <f>IF(ISERROR(VLOOKUP($A1631,'13. Updated Demand'!A:Z,16,FALSE)),0,VLOOKUP($A1631,'13. Updated Demand'!A:Z,16,FALSE))</f>
        <v>1.56</v>
      </c>
      <c r="Z1631" s="16">
        <f>IF(ISERROR(VLOOKUP($A1631,'13. Updated Demand'!A:Z,17,FALSE)),0,VLOOKUP($A1631,'13. Updated Demand'!A:Z,17,FALSE))</f>
        <v>4.9000000000000004</v>
      </c>
      <c r="AA1631" s="16">
        <f>IF(ISERROR(VLOOKUP($A1631,'13. Updated Demand'!A:Z,18,FALSE)),0,VLOOKUP($A1631,'13. Updated Demand'!A:Z,18,FALSE))</f>
        <v>1.03</v>
      </c>
      <c r="AB1631" s="16">
        <f>IF(ISERROR(VLOOKUP($A1631,'13. Updated Demand'!A:Z,19,FALSE)),0,VLOOKUP($A1631,'13. Updated Demand'!A:Z,19,FALSE))</f>
        <v>4.13</v>
      </c>
      <c r="AC1631" s="16">
        <f>IF(ISERROR(VLOOKUP($A1631,'13. Updated Demand'!A:Z,20,FALSE)),0,VLOOKUP($A1631,'13. Updated Demand'!A:Z,20,FALSE))</f>
        <v>15.23</v>
      </c>
      <c r="AD1631" s="16">
        <f>IF(ISERROR(VLOOKUP($A1631,'13. Updated Demand'!A:Z,21,FALSE)),0,VLOOKUP($A1631,'13. Updated Demand'!A:Z,21,FALSE))</f>
        <v>21.26</v>
      </c>
      <c r="AE1631" s="16">
        <f>IF(ISERROR(VLOOKUP($A1631,'13. Updated Demand'!A:Z,22,FALSE)),0,VLOOKUP($A1631,'13. Updated Demand'!A:Z,22,FALSE))</f>
        <v>23.43</v>
      </c>
      <c r="AF1631" s="16">
        <f>IF(ISERROR(VLOOKUP($A1631,'13. Updated Demand'!A:Z,23,FALSE)),0,VLOOKUP($A1631,'13. Updated Demand'!A:Z,23,FALSE))</f>
        <v>15.86</v>
      </c>
      <c r="AG1631" s="16">
        <f>IF(ISERROR(VLOOKUP($A1631,'13. Updated Demand'!A:Z,24,FALSE)),0,VLOOKUP($A1631,'13. Updated Demand'!A:Z,24,FALSE))</f>
        <v>3.9</v>
      </c>
      <c r="AH1631" s="16">
        <f>IF(ISERROR(VLOOKUP($A1631,'13. Updated Demand'!A:Z,25,FALSE)),0,VLOOKUP($A1631,'13. Updated Demand'!A:Z,25,FALSE))</f>
        <v>2.8</v>
      </c>
      <c r="AI1631" s="16">
        <f>IF(ISERROR(VLOOKUP($A1631,'13. Updated Demand'!A:Z,26,FALSE)),0,VLOOKUP($A1631,'13. Updated Demand'!A:Z,26,FALSE))</f>
        <v>0.23</v>
      </c>
      <c r="AJ1631" s="16">
        <f t="shared" si="313"/>
        <v>94.36</v>
      </c>
      <c r="AK1631" s="19">
        <v>79.933333333333337</v>
      </c>
      <c r="AL1631" s="16">
        <f t="shared" si="311"/>
        <v>0.26512976140435435</v>
      </c>
      <c r="AM1631" s="26">
        <v>5.7155589138500586E-2</v>
      </c>
      <c r="AN1631" s="19">
        <v>1651.6320000000001</v>
      </c>
      <c r="AO1631" s="19" t="s">
        <v>1758</v>
      </c>
      <c r="AP1631" s="19">
        <v>0</v>
      </c>
      <c r="AQ1631" s="19" t="s">
        <v>307</v>
      </c>
      <c r="AR1631" s="9" t="s">
        <v>436</v>
      </c>
      <c r="AS1631" s="12">
        <v>0</v>
      </c>
      <c r="AT1631" s="19">
        <v>38.678505850000001</v>
      </c>
      <c r="AU1631" s="19">
        <v>-122.86493288</v>
      </c>
      <c r="AV1631" s="19" t="s">
        <v>548</v>
      </c>
    </row>
    <row r="1632" spans="1:48" x14ac:dyDescent="0.25">
      <c r="A1632" s="18" t="s">
        <v>2030</v>
      </c>
      <c r="B1632" s="10">
        <v>10000000</v>
      </c>
      <c r="C1632" s="9">
        <v>10</v>
      </c>
      <c r="D1632" s="8" t="str">
        <f t="shared" si="302"/>
        <v>N</v>
      </c>
      <c r="E1632" s="8" t="str">
        <f t="shared" si="303"/>
        <v>Y</v>
      </c>
      <c r="F1632" s="8" t="str">
        <f t="shared" si="304"/>
        <v>Y</v>
      </c>
      <c r="G1632" s="8" t="str">
        <f t="shared" si="305"/>
        <v>Y</v>
      </c>
      <c r="H1632" s="8" t="str">
        <f t="shared" si="306"/>
        <v>Upper</v>
      </c>
      <c r="I1632" s="8" t="str">
        <f t="shared" si="307"/>
        <v>West Fork and Below Lake</v>
      </c>
      <c r="J1632" s="8" t="str">
        <f t="shared" si="308"/>
        <v>Sonoma (d/s of Clov. Gage)</v>
      </c>
      <c r="K1632" s="8" t="str">
        <f t="shared" si="309"/>
        <v>Riparian</v>
      </c>
      <c r="L1632" s="8">
        <f t="shared" si="310"/>
        <v>1000</v>
      </c>
      <c r="M1632" s="8" t="str">
        <f t="shared" si="312"/>
        <v>-</v>
      </c>
      <c r="N1632" s="10" t="s">
        <v>241</v>
      </c>
      <c r="O1632" s="10" t="s">
        <v>241</v>
      </c>
      <c r="P1632" s="10" t="s">
        <v>242</v>
      </c>
      <c r="Q1632" s="10" t="s">
        <v>242</v>
      </c>
      <c r="R1632" s="10" t="s">
        <v>242</v>
      </c>
      <c r="S1632" s="10" t="s">
        <v>241</v>
      </c>
      <c r="T1632" s="10" t="s">
        <v>242</v>
      </c>
      <c r="U1632" s="10" t="s">
        <v>241</v>
      </c>
      <c r="V1632" s="10" t="s">
        <v>241</v>
      </c>
      <c r="W1632" s="10" t="s">
        <v>242</v>
      </c>
      <c r="X1632" s="15">
        <f>IF(ISERROR(VLOOKUP($A1632,'13. Updated Demand'!A:Z,15,FALSE)),0,VLOOKUP($A1632,'13. Updated Demand'!A:Z,15,FALSE))</f>
        <v>0</v>
      </c>
      <c r="Y1632" s="16">
        <f>IF(ISERROR(VLOOKUP($A1632,'13. Updated Demand'!A:Z,16,FALSE)),0,VLOOKUP($A1632,'13. Updated Demand'!A:Z,16,FALSE))</f>
        <v>0</v>
      </c>
      <c r="Z1632" s="16">
        <f>IF(ISERROR(VLOOKUP($A1632,'13. Updated Demand'!A:Z,17,FALSE)),0,VLOOKUP($A1632,'13. Updated Demand'!A:Z,17,FALSE))</f>
        <v>0</v>
      </c>
      <c r="AA1632" s="16">
        <f>IF(ISERROR(VLOOKUP($A1632,'13. Updated Demand'!A:Z,18,FALSE)),0,VLOOKUP($A1632,'13. Updated Demand'!A:Z,18,FALSE))</f>
        <v>0</v>
      </c>
      <c r="AB1632" s="16">
        <f>IF(ISERROR(VLOOKUP($A1632,'13. Updated Demand'!A:Z,19,FALSE)),0,VLOOKUP($A1632,'13. Updated Demand'!A:Z,19,FALSE))</f>
        <v>0</v>
      </c>
      <c r="AC1632" s="16">
        <f>IF(ISERROR(VLOOKUP($A1632,'13. Updated Demand'!A:Z,20,FALSE)),0,VLOOKUP($A1632,'13. Updated Demand'!A:Z,20,FALSE))</f>
        <v>0</v>
      </c>
      <c r="AD1632" s="16">
        <f>IF(ISERROR(VLOOKUP($A1632,'13. Updated Demand'!A:Z,21,FALSE)),0,VLOOKUP($A1632,'13. Updated Demand'!A:Z,21,FALSE))</f>
        <v>0</v>
      </c>
      <c r="AE1632" s="16">
        <f>IF(ISERROR(VLOOKUP($A1632,'13. Updated Demand'!A:Z,22,FALSE)),0,VLOOKUP($A1632,'13. Updated Demand'!A:Z,22,FALSE))</f>
        <v>0</v>
      </c>
      <c r="AF1632" s="16">
        <f>IF(ISERROR(VLOOKUP($A1632,'13. Updated Demand'!A:Z,23,FALSE)),0,VLOOKUP($A1632,'13. Updated Demand'!A:Z,23,FALSE))</f>
        <v>0</v>
      </c>
      <c r="AG1632" s="16">
        <f>IF(ISERROR(VLOOKUP($A1632,'13. Updated Demand'!A:Z,24,FALSE)),0,VLOOKUP($A1632,'13. Updated Demand'!A:Z,24,FALSE))</f>
        <v>0</v>
      </c>
      <c r="AH1632" s="16">
        <f>IF(ISERROR(VLOOKUP($A1632,'13. Updated Demand'!A:Z,25,FALSE)),0,VLOOKUP($A1632,'13. Updated Demand'!A:Z,25,FALSE))</f>
        <v>0</v>
      </c>
      <c r="AI1632" s="16">
        <f>IF(ISERROR(VLOOKUP($A1632,'13. Updated Demand'!A:Z,26,FALSE)),0,VLOOKUP($A1632,'13. Updated Demand'!A:Z,26,FALSE))</f>
        <v>0</v>
      </c>
      <c r="AJ1632" s="16">
        <f t="shared" si="313"/>
        <v>0</v>
      </c>
      <c r="AK1632" s="19">
        <v>0</v>
      </c>
      <c r="AL1632" s="16">
        <f t="shared" si="311"/>
        <v>0</v>
      </c>
      <c r="AM1632" s="26">
        <v>0</v>
      </c>
      <c r="AN1632" s="19">
        <v>481.726</v>
      </c>
      <c r="AO1632" s="19" t="s">
        <v>1758</v>
      </c>
      <c r="AP1632" s="19">
        <v>0</v>
      </c>
      <c r="AQ1632" s="19" t="s">
        <v>307</v>
      </c>
      <c r="AR1632" s="9" t="s">
        <v>436</v>
      </c>
      <c r="AS1632" s="12">
        <v>0</v>
      </c>
      <c r="AT1632" s="19">
        <v>38.679352999999999</v>
      </c>
      <c r="AU1632" s="19">
        <v>-122.86179026000001</v>
      </c>
      <c r="AV1632" s="19" t="s">
        <v>548</v>
      </c>
    </row>
    <row r="1633" spans="1:48" x14ac:dyDescent="0.25">
      <c r="A1633" s="18" t="s">
        <v>2031</v>
      </c>
      <c r="B1633" s="10">
        <v>10000000</v>
      </c>
      <c r="C1633" s="9">
        <v>10</v>
      </c>
      <c r="D1633" s="8" t="str">
        <f t="shared" si="302"/>
        <v>N</v>
      </c>
      <c r="E1633" s="8" t="str">
        <f t="shared" si="303"/>
        <v>Y</v>
      </c>
      <c r="F1633" s="8" t="str">
        <f t="shared" si="304"/>
        <v>Y</v>
      </c>
      <c r="G1633" s="8" t="str">
        <f t="shared" si="305"/>
        <v>Y</v>
      </c>
      <c r="H1633" s="8" t="str">
        <f t="shared" si="306"/>
        <v>Upper</v>
      </c>
      <c r="I1633" s="8" t="str">
        <f t="shared" si="307"/>
        <v>West Fork and Below Lake</v>
      </c>
      <c r="J1633" s="8" t="str">
        <f t="shared" si="308"/>
        <v>Sonoma (d/s of Clov. Gage)</v>
      </c>
      <c r="K1633" s="8" t="str">
        <f t="shared" si="309"/>
        <v>Riparian</v>
      </c>
      <c r="L1633" s="8">
        <f t="shared" si="310"/>
        <v>1000</v>
      </c>
      <c r="M1633" s="8" t="str">
        <f t="shared" si="312"/>
        <v>-</v>
      </c>
      <c r="N1633" s="10" t="s">
        <v>241</v>
      </c>
      <c r="O1633" s="10" t="s">
        <v>241</v>
      </c>
      <c r="P1633" s="10" t="s">
        <v>242</v>
      </c>
      <c r="Q1633" s="10" t="s">
        <v>242</v>
      </c>
      <c r="R1633" s="10" t="s">
        <v>242</v>
      </c>
      <c r="S1633" s="10" t="s">
        <v>241</v>
      </c>
      <c r="T1633" s="10" t="s">
        <v>242</v>
      </c>
      <c r="U1633" s="10" t="s">
        <v>242</v>
      </c>
      <c r="V1633" s="10" t="s">
        <v>242</v>
      </c>
      <c r="W1633" s="10" t="s">
        <v>242</v>
      </c>
      <c r="X1633" s="15">
        <f>IF(ISERROR(VLOOKUP($A1633,'13. Updated Demand'!A:Z,15,FALSE)),0,VLOOKUP($A1633,'13. Updated Demand'!A:Z,15,FALSE))</f>
        <v>0</v>
      </c>
      <c r="Y1633" s="16">
        <f>IF(ISERROR(VLOOKUP($A1633,'13. Updated Demand'!A:Z,16,FALSE)),0,VLOOKUP($A1633,'13. Updated Demand'!A:Z,16,FALSE))</f>
        <v>3.06</v>
      </c>
      <c r="Z1633" s="16">
        <f>IF(ISERROR(VLOOKUP($A1633,'13. Updated Demand'!A:Z,17,FALSE)),0,VLOOKUP($A1633,'13. Updated Demand'!A:Z,17,FALSE))</f>
        <v>0.2</v>
      </c>
      <c r="AA1633" s="16">
        <f>IF(ISERROR(VLOOKUP($A1633,'13. Updated Demand'!A:Z,18,FALSE)),0,VLOOKUP($A1633,'13. Updated Demand'!A:Z,18,FALSE))</f>
        <v>1.9</v>
      </c>
      <c r="AB1633" s="16">
        <f>IF(ISERROR(VLOOKUP($A1633,'13. Updated Demand'!A:Z,19,FALSE)),0,VLOOKUP($A1633,'13. Updated Demand'!A:Z,19,FALSE))</f>
        <v>2.23</v>
      </c>
      <c r="AC1633" s="16">
        <f>IF(ISERROR(VLOOKUP($A1633,'13. Updated Demand'!A:Z,20,FALSE)),0,VLOOKUP($A1633,'13. Updated Demand'!A:Z,20,FALSE))</f>
        <v>0.73</v>
      </c>
      <c r="AD1633" s="16">
        <f>IF(ISERROR(VLOOKUP($A1633,'13. Updated Demand'!A:Z,21,FALSE)),0,VLOOKUP($A1633,'13. Updated Demand'!A:Z,21,FALSE))</f>
        <v>0.5</v>
      </c>
      <c r="AE1633" s="16">
        <f>IF(ISERROR(VLOOKUP($A1633,'13. Updated Demand'!A:Z,22,FALSE)),0,VLOOKUP($A1633,'13. Updated Demand'!A:Z,22,FALSE))</f>
        <v>0.8</v>
      </c>
      <c r="AF1633" s="16">
        <f>IF(ISERROR(VLOOKUP($A1633,'13. Updated Demand'!A:Z,23,FALSE)),0,VLOOKUP($A1633,'13. Updated Demand'!A:Z,23,FALSE))</f>
        <v>2.56</v>
      </c>
      <c r="AG1633" s="16">
        <f>IF(ISERROR(VLOOKUP($A1633,'13. Updated Demand'!A:Z,24,FALSE)),0,VLOOKUP($A1633,'13. Updated Demand'!A:Z,24,FALSE))</f>
        <v>0.73</v>
      </c>
      <c r="AH1633" s="16">
        <f>IF(ISERROR(VLOOKUP($A1633,'13. Updated Demand'!A:Z,25,FALSE)),0,VLOOKUP($A1633,'13. Updated Demand'!A:Z,25,FALSE))</f>
        <v>1.96</v>
      </c>
      <c r="AI1633" s="16">
        <f>IF(ISERROR(VLOOKUP($A1633,'13. Updated Demand'!A:Z,26,FALSE)),0,VLOOKUP($A1633,'13. Updated Demand'!A:Z,26,FALSE))</f>
        <v>0</v>
      </c>
      <c r="AJ1633" s="16">
        <f t="shared" si="313"/>
        <v>14.670000000000002</v>
      </c>
      <c r="AK1633" s="19">
        <v>6.833333333333333</v>
      </c>
      <c r="AL1633" s="16">
        <f t="shared" si="311"/>
        <v>2.2665388276852647E-2</v>
      </c>
      <c r="AM1633" s="26">
        <v>3.6563344128225424E-3</v>
      </c>
      <c r="AN1633" s="19">
        <v>4020.42</v>
      </c>
      <c r="AO1633" s="19" t="s">
        <v>1758</v>
      </c>
      <c r="AP1633" s="19">
        <v>0</v>
      </c>
      <c r="AQ1633" s="19" t="s">
        <v>307</v>
      </c>
      <c r="AR1633" s="9" t="s">
        <v>436</v>
      </c>
      <c r="AS1633" s="12">
        <v>0</v>
      </c>
      <c r="AT1633" s="19">
        <v>38.662538499999997</v>
      </c>
      <c r="AU1633" s="19">
        <v>-122.8328673</v>
      </c>
      <c r="AV1633" s="19" t="s">
        <v>548</v>
      </c>
    </row>
    <row r="1634" spans="1:48" x14ac:dyDescent="0.25">
      <c r="A1634" s="18" t="s">
        <v>2032</v>
      </c>
      <c r="B1634" s="10">
        <v>10000000</v>
      </c>
      <c r="C1634" s="9">
        <v>10</v>
      </c>
      <c r="D1634" s="8" t="str">
        <f t="shared" si="302"/>
        <v>N</v>
      </c>
      <c r="E1634" s="8" t="str">
        <f t="shared" si="303"/>
        <v>Y</v>
      </c>
      <c r="F1634" s="8" t="str">
        <f t="shared" si="304"/>
        <v>Y</v>
      </c>
      <c r="G1634" s="8" t="str">
        <f t="shared" si="305"/>
        <v>Y</v>
      </c>
      <c r="H1634" s="8" t="str">
        <f t="shared" si="306"/>
        <v>Upper</v>
      </c>
      <c r="I1634" s="8" t="str">
        <f t="shared" si="307"/>
        <v>West Fork and Below Lake</v>
      </c>
      <c r="J1634" s="8" t="str">
        <f t="shared" si="308"/>
        <v>Sonoma (d/s of Clov. Gage)</v>
      </c>
      <c r="K1634" s="8" t="str">
        <f t="shared" si="309"/>
        <v>Riparian</v>
      </c>
      <c r="L1634" s="8">
        <f t="shared" si="310"/>
        <v>1000</v>
      </c>
      <c r="M1634" s="8" t="str">
        <f t="shared" si="312"/>
        <v>-</v>
      </c>
      <c r="N1634" s="10" t="s">
        <v>241</v>
      </c>
      <c r="O1634" s="10" t="s">
        <v>241</v>
      </c>
      <c r="P1634" s="10" t="s">
        <v>242</v>
      </c>
      <c r="Q1634" s="10" t="s">
        <v>242</v>
      </c>
      <c r="R1634" s="10" t="s">
        <v>242</v>
      </c>
      <c r="S1634" s="10" t="s">
        <v>241</v>
      </c>
      <c r="T1634" s="10" t="s">
        <v>242</v>
      </c>
      <c r="U1634" s="10" t="s">
        <v>242</v>
      </c>
      <c r="V1634" s="10" t="s">
        <v>242</v>
      </c>
      <c r="W1634" s="10" t="s">
        <v>242</v>
      </c>
      <c r="X1634" s="15">
        <f>IF(ISERROR(VLOOKUP($A1634,'13. Updated Demand'!A:Z,15,FALSE)),0,VLOOKUP($A1634,'13. Updated Demand'!A:Z,15,FALSE))</f>
        <v>0</v>
      </c>
      <c r="Y1634" s="16">
        <f>IF(ISERROR(VLOOKUP($A1634,'13. Updated Demand'!A:Z,16,FALSE)),0,VLOOKUP($A1634,'13. Updated Demand'!A:Z,16,FALSE))</f>
        <v>0.23</v>
      </c>
      <c r="Z1634" s="16">
        <f>IF(ISERROR(VLOOKUP($A1634,'13. Updated Demand'!A:Z,17,FALSE)),0,VLOOKUP($A1634,'13. Updated Demand'!A:Z,17,FALSE))</f>
        <v>0.93</v>
      </c>
      <c r="AA1634" s="16">
        <f>IF(ISERROR(VLOOKUP($A1634,'13. Updated Demand'!A:Z,18,FALSE)),0,VLOOKUP($A1634,'13. Updated Demand'!A:Z,18,FALSE))</f>
        <v>0.4</v>
      </c>
      <c r="AB1634" s="16">
        <f>IF(ISERROR(VLOOKUP($A1634,'13. Updated Demand'!A:Z,19,FALSE)),0,VLOOKUP($A1634,'13. Updated Demand'!A:Z,19,FALSE))</f>
        <v>0.6</v>
      </c>
      <c r="AC1634" s="16">
        <f>IF(ISERROR(VLOOKUP($A1634,'13. Updated Demand'!A:Z,20,FALSE)),0,VLOOKUP($A1634,'13. Updated Demand'!A:Z,20,FALSE))</f>
        <v>3.5</v>
      </c>
      <c r="AD1634" s="16">
        <f>IF(ISERROR(VLOOKUP($A1634,'13. Updated Demand'!A:Z,21,FALSE)),0,VLOOKUP($A1634,'13. Updated Demand'!A:Z,21,FALSE))</f>
        <v>6.73</v>
      </c>
      <c r="AE1634" s="16">
        <f>IF(ISERROR(VLOOKUP($A1634,'13. Updated Demand'!A:Z,22,FALSE)),0,VLOOKUP($A1634,'13. Updated Demand'!A:Z,22,FALSE))</f>
        <v>6.16</v>
      </c>
      <c r="AF1634" s="16">
        <f>IF(ISERROR(VLOOKUP($A1634,'13. Updated Demand'!A:Z,23,FALSE)),0,VLOOKUP($A1634,'13. Updated Demand'!A:Z,23,FALSE))</f>
        <v>3.16</v>
      </c>
      <c r="AG1634" s="16">
        <f>IF(ISERROR(VLOOKUP($A1634,'13. Updated Demand'!A:Z,24,FALSE)),0,VLOOKUP($A1634,'13. Updated Demand'!A:Z,24,FALSE))</f>
        <v>1.1000000000000001</v>
      </c>
      <c r="AH1634" s="16">
        <f>IF(ISERROR(VLOOKUP($A1634,'13. Updated Demand'!A:Z,25,FALSE)),0,VLOOKUP($A1634,'13. Updated Demand'!A:Z,25,FALSE))</f>
        <v>0.9</v>
      </c>
      <c r="AI1634" s="16">
        <f>IF(ISERROR(VLOOKUP($A1634,'13. Updated Demand'!A:Z,26,FALSE)),0,VLOOKUP($A1634,'13. Updated Demand'!A:Z,26,FALSE))</f>
        <v>0</v>
      </c>
      <c r="AJ1634" s="16">
        <f t="shared" si="313"/>
        <v>23.71</v>
      </c>
      <c r="AK1634" s="19">
        <v>20.166666666666671</v>
      </c>
      <c r="AL1634" s="16">
        <f t="shared" si="311"/>
        <v>6.6890536134126113E-2</v>
      </c>
      <c r="AM1634" s="26">
        <v>1.0706779797629832E-2</v>
      </c>
      <c r="AN1634" s="19">
        <v>2216.6640000000002</v>
      </c>
      <c r="AO1634" s="19" t="s">
        <v>1758</v>
      </c>
      <c r="AP1634" s="19">
        <v>0</v>
      </c>
      <c r="AQ1634" s="19" t="s">
        <v>307</v>
      </c>
      <c r="AR1634" s="9" t="s">
        <v>436</v>
      </c>
      <c r="AS1634" s="12">
        <v>0</v>
      </c>
      <c r="AT1634" s="19">
        <v>38.681917009999999</v>
      </c>
      <c r="AU1634" s="19">
        <v>-122.8492092</v>
      </c>
      <c r="AV1634" s="19" t="s">
        <v>548</v>
      </c>
    </row>
    <row r="1635" spans="1:48" x14ac:dyDescent="0.25">
      <c r="A1635" s="18" t="s">
        <v>2033</v>
      </c>
      <c r="B1635" s="10">
        <v>10000000</v>
      </c>
      <c r="C1635" s="9">
        <v>18</v>
      </c>
      <c r="D1635" s="8" t="str">
        <f t="shared" si="302"/>
        <v>N</v>
      </c>
      <c r="E1635" s="8" t="str">
        <f t="shared" si="303"/>
        <v>N</v>
      </c>
      <c r="F1635" s="8" t="str">
        <f t="shared" si="304"/>
        <v>N</v>
      </c>
      <c r="G1635" s="8" t="str">
        <f t="shared" si="305"/>
        <v>N</v>
      </c>
      <c r="H1635" s="8" t="str">
        <f t="shared" si="306"/>
        <v>Lower</v>
      </c>
      <c r="I1635" s="8" t="str">
        <f t="shared" si="307"/>
        <v>Outside</v>
      </c>
      <c r="J1635" s="8" t="str">
        <f t="shared" si="308"/>
        <v>Outside</v>
      </c>
      <c r="K1635" s="8" t="str">
        <f t="shared" si="309"/>
        <v>Riparian</v>
      </c>
      <c r="L1635" s="8">
        <f t="shared" si="310"/>
        <v>1000</v>
      </c>
      <c r="M1635" s="8" t="str">
        <f t="shared" si="312"/>
        <v>-</v>
      </c>
      <c r="N1635" s="10" t="s">
        <v>241</v>
      </c>
      <c r="O1635" s="10" t="s">
        <v>242</v>
      </c>
      <c r="P1635" s="10" t="s">
        <v>242</v>
      </c>
      <c r="Q1635" s="10" t="s">
        <v>242</v>
      </c>
      <c r="R1635" s="10" t="s">
        <v>242</v>
      </c>
      <c r="S1635" s="10" t="s">
        <v>241</v>
      </c>
      <c r="T1635" s="10" t="s">
        <v>242</v>
      </c>
      <c r="U1635" s="10" t="s">
        <v>242</v>
      </c>
      <c r="V1635" s="10" t="s">
        <v>242</v>
      </c>
      <c r="W1635" s="10" t="s">
        <v>242</v>
      </c>
      <c r="X1635" s="15">
        <f>IF(ISERROR(VLOOKUP($A1635,'13. Updated Demand'!A:Z,15,FALSE)),0,VLOOKUP($A1635,'13. Updated Demand'!A:Z,15,FALSE))</f>
        <v>0</v>
      </c>
      <c r="Y1635" s="16">
        <f>IF(ISERROR(VLOOKUP($A1635,'13. Updated Demand'!A:Z,16,FALSE)),0,VLOOKUP($A1635,'13. Updated Demand'!A:Z,16,FALSE))</f>
        <v>0</v>
      </c>
      <c r="Z1635" s="16">
        <f>IF(ISERROR(VLOOKUP($A1635,'13. Updated Demand'!A:Z,17,FALSE)),0,VLOOKUP($A1635,'13. Updated Demand'!A:Z,17,FALSE))</f>
        <v>0.83333333300000001</v>
      </c>
      <c r="AA1635" s="16">
        <f>IF(ISERROR(VLOOKUP($A1635,'13. Updated Demand'!A:Z,18,FALSE)),0,VLOOKUP($A1635,'13. Updated Demand'!A:Z,18,FALSE))</f>
        <v>1.7</v>
      </c>
      <c r="AB1635" s="16">
        <f>IF(ISERROR(VLOOKUP($A1635,'13. Updated Demand'!A:Z,19,FALSE)),0,VLOOKUP($A1635,'13. Updated Demand'!A:Z,19,FALSE))</f>
        <v>3.0333333329999999</v>
      </c>
      <c r="AC1635" s="16">
        <f>IF(ISERROR(VLOOKUP($A1635,'13. Updated Demand'!A:Z,20,FALSE)),0,VLOOKUP($A1635,'13. Updated Demand'!A:Z,20,FALSE))</f>
        <v>3.4333333330000002</v>
      </c>
      <c r="AD1635" s="16">
        <f>IF(ISERROR(VLOOKUP($A1635,'13. Updated Demand'!A:Z,21,FALSE)),0,VLOOKUP($A1635,'13. Updated Demand'!A:Z,21,FALSE))</f>
        <v>4.4666666670000001</v>
      </c>
      <c r="AE1635" s="16">
        <f>IF(ISERROR(VLOOKUP($A1635,'13. Updated Demand'!A:Z,22,FALSE)),0,VLOOKUP($A1635,'13. Updated Demand'!A:Z,22,FALSE))</f>
        <v>3.1</v>
      </c>
      <c r="AF1635" s="16">
        <f>IF(ISERROR(VLOOKUP($A1635,'13. Updated Demand'!A:Z,23,FALSE)),0,VLOOKUP($A1635,'13. Updated Demand'!A:Z,23,FALSE))</f>
        <v>1.4666666669999999</v>
      </c>
      <c r="AG1635" s="16">
        <f>IF(ISERROR(VLOOKUP($A1635,'13. Updated Demand'!A:Z,24,FALSE)),0,VLOOKUP($A1635,'13. Updated Demand'!A:Z,24,FALSE))</f>
        <v>2.1333333329999999</v>
      </c>
      <c r="AH1635" s="16">
        <f>IF(ISERROR(VLOOKUP($A1635,'13. Updated Demand'!A:Z,25,FALSE)),0,VLOOKUP($A1635,'13. Updated Demand'!A:Z,25,FALSE))</f>
        <v>1.3666666670000001</v>
      </c>
      <c r="AI1635" s="16">
        <f>IF(ISERROR(VLOOKUP($A1635,'13. Updated Demand'!A:Z,26,FALSE)),0,VLOOKUP($A1635,'13. Updated Demand'!A:Z,26,FALSE))</f>
        <v>0</v>
      </c>
      <c r="AJ1635" s="16">
        <f t="shared" si="313"/>
        <v>21.533333332999998</v>
      </c>
      <c r="AK1635" s="19">
        <v>15.5</v>
      </c>
      <c r="AL1635" s="16">
        <f t="shared" si="311"/>
        <v>5.1411734384080386E-2</v>
      </c>
      <c r="AM1635" s="26">
        <v>8.0886394681782148E-3</v>
      </c>
      <c r="AN1635" s="19">
        <v>2662.17</v>
      </c>
      <c r="AO1635" s="19" t="s">
        <v>1758</v>
      </c>
      <c r="AP1635" s="19">
        <v>0</v>
      </c>
      <c r="AQ1635" s="19" t="s">
        <v>307</v>
      </c>
      <c r="AR1635" s="9" t="s">
        <v>352</v>
      </c>
      <c r="AS1635" s="12">
        <v>0</v>
      </c>
      <c r="AT1635" s="19">
        <v>38.519013299999997</v>
      </c>
      <c r="AU1635" s="19">
        <v>-122.87628401000001</v>
      </c>
      <c r="AV1635" s="19" t="s">
        <v>548</v>
      </c>
    </row>
    <row r="1636" spans="1:48" x14ac:dyDescent="0.25">
      <c r="A1636" s="18" t="s">
        <v>2034</v>
      </c>
      <c r="B1636" s="10">
        <v>10000000</v>
      </c>
      <c r="C1636" s="9">
        <v>18</v>
      </c>
      <c r="D1636" s="8" t="str">
        <f t="shared" si="302"/>
        <v>N</v>
      </c>
      <c r="E1636" s="8" t="str">
        <f t="shared" si="303"/>
        <v>N</v>
      </c>
      <c r="F1636" s="8" t="str">
        <f t="shared" si="304"/>
        <v>N</v>
      </c>
      <c r="G1636" s="8" t="str">
        <f t="shared" si="305"/>
        <v>N</v>
      </c>
      <c r="H1636" s="8" t="str">
        <f t="shared" si="306"/>
        <v>Lower</v>
      </c>
      <c r="I1636" s="8" t="str">
        <f t="shared" si="307"/>
        <v>Outside</v>
      </c>
      <c r="J1636" s="8" t="str">
        <f t="shared" si="308"/>
        <v>Outside</v>
      </c>
      <c r="K1636" s="8" t="str">
        <f t="shared" si="309"/>
        <v>Riparian</v>
      </c>
      <c r="L1636" s="8">
        <f t="shared" si="310"/>
        <v>1000</v>
      </c>
      <c r="M1636" s="8" t="str">
        <f t="shared" si="312"/>
        <v>-</v>
      </c>
      <c r="N1636" s="10" t="s">
        <v>241</v>
      </c>
      <c r="O1636" s="10" t="s">
        <v>242</v>
      </c>
      <c r="P1636" s="10" t="s">
        <v>242</v>
      </c>
      <c r="Q1636" s="10" t="s">
        <v>242</v>
      </c>
      <c r="R1636" s="10" t="s">
        <v>242</v>
      </c>
      <c r="S1636" s="10" t="s">
        <v>241</v>
      </c>
      <c r="T1636" s="10" t="s">
        <v>242</v>
      </c>
      <c r="U1636" s="10" t="s">
        <v>242</v>
      </c>
      <c r="V1636" s="10" t="s">
        <v>242</v>
      </c>
      <c r="W1636" s="10" t="s">
        <v>242</v>
      </c>
      <c r="X1636" s="15">
        <f>IF(ISERROR(VLOOKUP($A1636,'13. Updated Demand'!A:Z,15,FALSE)),0,VLOOKUP($A1636,'13. Updated Demand'!A:Z,15,FALSE))</f>
        <v>0</v>
      </c>
      <c r="Y1636" s="16">
        <f>IF(ISERROR(VLOOKUP($A1636,'13. Updated Demand'!A:Z,16,FALSE)),0,VLOOKUP($A1636,'13. Updated Demand'!A:Z,16,FALSE))</f>
        <v>0.16666666699999999</v>
      </c>
      <c r="Z1636" s="16">
        <f>IF(ISERROR(VLOOKUP($A1636,'13. Updated Demand'!A:Z,17,FALSE)),0,VLOOKUP($A1636,'13. Updated Demand'!A:Z,17,FALSE))</f>
        <v>0.33333333300000001</v>
      </c>
      <c r="AA1636" s="16">
        <f>IF(ISERROR(VLOOKUP($A1636,'13. Updated Demand'!A:Z,18,FALSE)),0,VLOOKUP($A1636,'13. Updated Demand'!A:Z,18,FALSE))</f>
        <v>0</v>
      </c>
      <c r="AB1636" s="16">
        <f>IF(ISERROR(VLOOKUP($A1636,'13. Updated Demand'!A:Z,19,FALSE)),0,VLOOKUP($A1636,'13. Updated Demand'!A:Z,19,FALSE))</f>
        <v>0.1</v>
      </c>
      <c r="AC1636" s="16">
        <f>IF(ISERROR(VLOOKUP($A1636,'13. Updated Demand'!A:Z,20,FALSE)),0,VLOOKUP($A1636,'13. Updated Demand'!A:Z,20,FALSE))</f>
        <v>0</v>
      </c>
      <c r="AD1636" s="16">
        <f>IF(ISERROR(VLOOKUP($A1636,'13. Updated Demand'!A:Z,21,FALSE)),0,VLOOKUP($A1636,'13. Updated Demand'!A:Z,21,FALSE))</f>
        <v>0</v>
      </c>
      <c r="AE1636" s="16">
        <f>IF(ISERROR(VLOOKUP($A1636,'13. Updated Demand'!A:Z,22,FALSE)),0,VLOOKUP($A1636,'13. Updated Demand'!A:Z,22,FALSE))</f>
        <v>0</v>
      </c>
      <c r="AF1636" s="16">
        <f>IF(ISERROR(VLOOKUP($A1636,'13. Updated Demand'!A:Z,23,FALSE)),0,VLOOKUP($A1636,'13. Updated Demand'!A:Z,23,FALSE))</f>
        <v>0</v>
      </c>
      <c r="AG1636" s="16">
        <f>IF(ISERROR(VLOOKUP($A1636,'13. Updated Demand'!A:Z,24,FALSE)),0,VLOOKUP($A1636,'13. Updated Demand'!A:Z,24,FALSE))</f>
        <v>3.3333333E-2</v>
      </c>
      <c r="AH1636" s="16">
        <f>IF(ISERROR(VLOOKUP($A1636,'13. Updated Demand'!A:Z,25,FALSE)),0,VLOOKUP($A1636,'13. Updated Demand'!A:Z,25,FALSE))</f>
        <v>0.16666666699999999</v>
      </c>
      <c r="AI1636" s="16">
        <f>IF(ISERROR(VLOOKUP($A1636,'13. Updated Demand'!A:Z,26,FALSE)),0,VLOOKUP($A1636,'13. Updated Demand'!A:Z,26,FALSE))</f>
        <v>0</v>
      </c>
      <c r="AJ1636" s="16">
        <f t="shared" si="313"/>
        <v>0.79999999999999993</v>
      </c>
      <c r="AK1636" s="19">
        <v>0.1</v>
      </c>
      <c r="AL1636" s="16">
        <f t="shared" si="311"/>
        <v>3.3168860892955089E-4</v>
      </c>
      <c r="AM1636" s="26">
        <v>7.6162912469772827E-4</v>
      </c>
      <c r="AN1636" s="19">
        <v>1050.3800000000001</v>
      </c>
      <c r="AO1636" s="19" t="s">
        <v>1758</v>
      </c>
      <c r="AP1636" s="19">
        <v>0</v>
      </c>
      <c r="AQ1636" s="19" t="s">
        <v>307</v>
      </c>
      <c r="AR1636" s="9" t="s">
        <v>352</v>
      </c>
      <c r="AS1636" s="12">
        <v>0</v>
      </c>
      <c r="AT1636" s="19">
        <v>38.51816178</v>
      </c>
      <c r="AU1636" s="19">
        <v>-122.87994368</v>
      </c>
      <c r="AV1636" s="19" t="s">
        <v>548</v>
      </c>
    </row>
    <row r="1637" spans="1:48" x14ac:dyDescent="0.25">
      <c r="A1637" s="18" t="s">
        <v>2035</v>
      </c>
      <c r="B1637" s="10">
        <v>10000000</v>
      </c>
      <c r="C1637" s="9">
        <v>10</v>
      </c>
      <c r="D1637" s="8" t="str">
        <f t="shared" si="302"/>
        <v>N</v>
      </c>
      <c r="E1637" s="8" t="str">
        <f t="shared" si="303"/>
        <v>Y</v>
      </c>
      <c r="F1637" s="8" t="str">
        <f t="shared" si="304"/>
        <v>Y</v>
      </c>
      <c r="G1637" s="8" t="str">
        <f t="shared" si="305"/>
        <v>Y</v>
      </c>
      <c r="H1637" s="8" t="str">
        <f t="shared" si="306"/>
        <v>Upper</v>
      </c>
      <c r="I1637" s="8" t="str">
        <f t="shared" si="307"/>
        <v>West Fork and Below Lake</v>
      </c>
      <c r="J1637" s="8" t="str">
        <f t="shared" si="308"/>
        <v>Sonoma (d/s of Clov. Gage)</v>
      </c>
      <c r="K1637" s="8" t="str">
        <f t="shared" si="309"/>
        <v>Riparian</v>
      </c>
      <c r="L1637" s="8">
        <f t="shared" si="310"/>
        <v>1000</v>
      </c>
      <c r="M1637" s="8" t="str">
        <f t="shared" si="312"/>
        <v>-</v>
      </c>
      <c r="N1637" s="10" t="s">
        <v>241</v>
      </c>
      <c r="O1637" s="10" t="s">
        <v>241</v>
      </c>
      <c r="P1637" s="10" t="s">
        <v>242</v>
      </c>
      <c r="Q1637" s="10" t="s">
        <v>242</v>
      </c>
      <c r="R1637" s="10" t="s">
        <v>242</v>
      </c>
      <c r="S1637" s="10" t="s">
        <v>241</v>
      </c>
      <c r="T1637" s="10" t="s">
        <v>242</v>
      </c>
      <c r="U1637" s="10" t="s">
        <v>242</v>
      </c>
      <c r="V1637" s="10" t="s">
        <v>242</v>
      </c>
      <c r="W1637" s="10" t="s">
        <v>242</v>
      </c>
      <c r="X1637" s="15">
        <f>IF(ISERROR(VLOOKUP($A1637,'13. Updated Demand'!A:Z,15,FALSE)),0,VLOOKUP($A1637,'13. Updated Demand'!A:Z,15,FALSE))</f>
        <v>0</v>
      </c>
      <c r="Y1637" s="16">
        <f>IF(ISERROR(VLOOKUP($A1637,'13. Updated Demand'!A:Z,16,FALSE)),0,VLOOKUP($A1637,'13. Updated Demand'!A:Z,16,FALSE))</f>
        <v>0.16</v>
      </c>
      <c r="Z1637" s="16">
        <f>IF(ISERROR(VLOOKUP($A1637,'13. Updated Demand'!A:Z,17,FALSE)),0,VLOOKUP($A1637,'13. Updated Demand'!A:Z,17,FALSE))</f>
        <v>1.86</v>
      </c>
      <c r="AA1637" s="16">
        <f>IF(ISERROR(VLOOKUP($A1637,'13. Updated Demand'!A:Z,18,FALSE)),0,VLOOKUP($A1637,'13. Updated Demand'!A:Z,18,FALSE))</f>
        <v>1.1299999999999999</v>
      </c>
      <c r="AB1637" s="16">
        <f>IF(ISERROR(VLOOKUP($A1637,'13. Updated Demand'!A:Z,19,FALSE)),0,VLOOKUP($A1637,'13. Updated Demand'!A:Z,19,FALSE))</f>
        <v>1.63</v>
      </c>
      <c r="AC1637" s="16">
        <f>IF(ISERROR(VLOOKUP($A1637,'13. Updated Demand'!A:Z,20,FALSE)),0,VLOOKUP($A1637,'13. Updated Demand'!A:Z,20,FALSE))</f>
        <v>5.0999999999999996</v>
      </c>
      <c r="AD1637" s="16">
        <f>IF(ISERROR(VLOOKUP($A1637,'13. Updated Demand'!A:Z,21,FALSE)),0,VLOOKUP($A1637,'13. Updated Demand'!A:Z,21,FALSE))</f>
        <v>7.53</v>
      </c>
      <c r="AE1637" s="16">
        <f>IF(ISERROR(VLOOKUP($A1637,'13. Updated Demand'!A:Z,22,FALSE)),0,VLOOKUP($A1637,'13. Updated Demand'!A:Z,22,FALSE))</f>
        <v>9.66</v>
      </c>
      <c r="AF1637" s="16">
        <f>IF(ISERROR(VLOOKUP($A1637,'13. Updated Demand'!A:Z,23,FALSE)),0,VLOOKUP($A1637,'13. Updated Demand'!A:Z,23,FALSE))</f>
        <v>5.13</v>
      </c>
      <c r="AG1637" s="16">
        <f>IF(ISERROR(VLOOKUP($A1637,'13. Updated Demand'!A:Z,24,FALSE)),0,VLOOKUP($A1637,'13. Updated Demand'!A:Z,24,FALSE))</f>
        <v>0.76</v>
      </c>
      <c r="AH1637" s="16">
        <f>IF(ISERROR(VLOOKUP($A1637,'13. Updated Demand'!A:Z,25,FALSE)),0,VLOOKUP($A1637,'13. Updated Demand'!A:Z,25,FALSE))</f>
        <v>0</v>
      </c>
      <c r="AI1637" s="16">
        <f>IF(ISERROR(VLOOKUP($A1637,'13. Updated Demand'!A:Z,26,FALSE)),0,VLOOKUP($A1637,'13. Updated Demand'!A:Z,26,FALSE))</f>
        <v>0</v>
      </c>
      <c r="AJ1637" s="16">
        <f t="shared" si="313"/>
        <v>32.96</v>
      </c>
      <c r="AK1637" s="19">
        <v>29.066666666666659</v>
      </c>
      <c r="AL1637" s="16">
        <f t="shared" si="311"/>
        <v>9.6410822328856102E-2</v>
      </c>
      <c r="AM1637" s="26">
        <v>7.4680232821283402E-2</v>
      </c>
      <c r="AN1637" s="19">
        <v>441.88400000000001</v>
      </c>
      <c r="AO1637" s="19" t="s">
        <v>1758</v>
      </c>
      <c r="AP1637" s="19">
        <v>0</v>
      </c>
      <c r="AQ1637" s="19" t="s">
        <v>307</v>
      </c>
      <c r="AR1637" s="9" t="s">
        <v>436</v>
      </c>
      <c r="AS1637" s="12">
        <v>0</v>
      </c>
      <c r="AT1637" s="19">
        <v>38.685079020000003</v>
      </c>
      <c r="AU1637" s="19">
        <v>-122.82962728</v>
      </c>
      <c r="AV1637" s="19" t="s">
        <v>548</v>
      </c>
    </row>
    <row r="1638" spans="1:48" x14ac:dyDescent="0.25">
      <c r="A1638" s="18" t="s">
        <v>2036</v>
      </c>
      <c r="B1638" s="10">
        <v>10000000</v>
      </c>
      <c r="C1638" s="9">
        <v>10</v>
      </c>
      <c r="D1638" s="8" t="str">
        <f t="shared" si="302"/>
        <v>N</v>
      </c>
      <c r="E1638" s="8" t="str">
        <f t="shared" si="303"/>
        <v>Y</v>
      </c>
      <c r="F1638" s="8" t="str">
        <f t="shared" si="304"/>
        <v>Y</v>
      </c>
      <c r="G1638" s="8" t="str">
        <f t="shared" si="305"/>
        <v>Y</v>
      </c>
      <c r="H1638" s="8" t="str">
        <f t="shared" si="306"/>
        <v>Upper</v>
      </c>
      <c r="I1638" s="8" t="str">
        <f t="shared" si="307"/>
        <v>West Fork and Below Lake</v>
      </c>
      <c r="J1638" s="8" t="str">
        <f t="shared" si="308"/>
        <v>Sonoma (d/s of Clov. Gage)</v>
      </c>
      <c r="K1638" s="8" t="str">
        <f t="shared" si="309"/>
        <v>Riparian</v>
      </c>
      <c r="L1638" s="8">
        <f t="shared" si="310"/>
        <v>1000</v>
      </c>
      <c r="M1638" s="8" t="str">
        <f t="shared" si="312"/>
        <v>-</v>
      </c>
      <c r="N1638" s="10" t="s">
        <v>241</v>
      </c>
      <c r="O1638" s="10" t="s">
        <v>241</v>
      </c>
      <c r="P1638" s="10" t="s">
        <v>242</v>
      </c>
      <c r="Q1638" s="10" t="s">
        <v>242</v>
      </c>
      <c r="R1638" s="10" t="s">
        <v>242</v>
      </c>
      <c r="S1638" s="10" t="s">
        <v>241</v>
      </c>
      <c r="T1638" s="10" t="s">
        <v>242</v>
      </c>
      <c r="U1638" s="10" t="s">
        <v>242</v>
      </c>
      <c r="V1638" s="10" t="s">
        <v>242</v>
      </c>
      <c r="W1638" s="10" t="s">
        <v>242</v>
      </c>
      <c r="X1638" s="15">
        <f>IF(ISERROR(VLOOKUP($A1638,'13. Updated Demand'!A:Z,15,FALSE)),0,VLOOKUP($A1638,'13. Updated Demand'!A:Z,15,FALSE))</f>
        <v>0</v>
      </c>
      <c r="Y1638" s="16">
        <f>IF(ISERROR(VLOOKUP($A1638,'13. Updated Demand'!A:Z,16,FALSE)),0,VLOOKUP($A1638,'13. Updated Demand'!A:Z,16,FALSE))</f>
        <v>0.06</v>
      </c>
      <c r="Z1638" s="16">
        <f>IF(ISERROR(VLOOKUP($A1638,'13. Updated Demand'!A:Z,17,FALSE)),0,VLOOKUP($A1638,'13. Updated Demand'!A:Z,17,FALSE))</f>
        <v>0.6</v>
      </c>
      <c r="AA1638" s="16">
        <f>IF(ISERROR(VLOOKUP($A1638,'13. Updated Demand'!A:Z,18,FALSE)),0,VLOOKUP($A1638,'13. Updated Demand'!A:Z,18,FALSE))</f>
        <v>0.23</v>
      </c>
      <c r="AB1638" s="16">
        <f>IF(ISERROR(VLOOKUP($A1638,'13. Updated Demand'!A:Z,19,FALSE)),0,VLOOKUP($A1638,'13. Updated Demand'!A:Z,19,FALSE))</f>
        <v>1.5</v>
      </c>
      <c r="AC1638" s="16">
        <f>IF(ISERROR(VLOOKUP($A1638,'13. Updated Demand'!A:Z,20,FALSE)),0,VLOOKUP($A1638,'13. Updated Demand'!A:Z,20,FALSE))</f>
        <v>1.7</v>
      </c>
      <c r="AD1638" s="16">
        <f>IF(ISERROR(VLOOKUP($A1638,'13. Updated Demand'!A:Z,21,FALSE)),0,VLOOKUP($A1638,'13. Updated Demand'!A:Z,21,FALSE))</f>
        <v>5.23</v>
      </c>
      <c r="AE1638" s="16">
        <f>IF(ISERROR(VLOOKUP($A1638,'13. Updated Demand'!A:Z,22,FALSE)),0,VLOOKUP($A1638,'13. Updated Demand'!A:Z,22,FALSE))</f>
        <v>10.6</v>
      </c>
      <c r="AF1638" s="16">
        <f>IF(ISERROR(VLOOKUP($A1638,'13. Updated Demand'!A:Z,23,FALSE)),0,VLOOKUP($A1638,'13. Updated Demand'!A:Z,23,FALSE))</f>
        <v>4.2300000000000004</v>
      </c>
      <c r="AG1638" s="16">
        <f>IF(ISERROR(VLOOKUP($A1638,'13. Updated Demand'!A:Z,24,FALSE)),0,VLOOKUP($A1638,'13. Updated Demand'!A:Z,24,FALSE))</f>
        <v>1.36</v>
      </c>
      <c r="AH1638" s="16">
        <f>IF(ISERROR(VLOOKUP($A1638,'13. Updated Demand'!A:Z,25,FALSE)),0,VLOOKUP($A1638,'13. Updated Demand'!A:Z,25,FALSE))</f>
        <v>0.46</v>
      </c>
      <c r="AI1638" s="16">
        <f>IF(ISERROR(VLOOKUP($A1638,'13. Updated Demand'!A:Z,26,FALSE)),0,VLOOKUP($A1638,'13. Updated Demand'!A:Z,26,FALSE))</f>
        <v>0</v>
      </c>
      <c r="AJ1638" s="16">
        <f t="shared" si="313"/>
        <v>25.970000000000002</v>
      </c>
      <c r="AK1638" s="19">
        <v>23.266666666666662</v>
      </c>
      <c r="AL1638" s="16">
        <f t="shared" si="311"/>
        <v>7.7172883010942162E-2</v>
      </c>
      <c r="AM1638" s="26">
        <v>2.6885222847475996E-2</v>
      </c>
      <c r="AN1638" s="19">
        <v>967.07399999999996</v>
      </c>
      <c r="AO1638" s="19" t="s">
        <v>1758</v>
      </c>
      <c r="AP1638" s="19">
        <v>0</v>
      </c>
      <c r="AQ1638" s="19" t="s">
        <v>307</v>
      </c>
      <c r="AR1638" s="9" t="s">
        <v>436</v>
      </c>
      <c r="AS1638" s="12">
        <v>0</v>
      </c>
      <c r="AT1638" s="19">
        <v>38.663429610000001</v>
      </c>
      <c r="AU1638" s="19">
        <v>-122.82342113999999</v>
      </c>
      <c r="AV1638" s="19" t="s">
        <v>548</v>
      </c>
    </row>
    <row r="1639" spans="1:48" x14ac:dyDescent="0.25">
      <c r="A1639" s="18" t="s">
        <v>2037</v>
      </c>
      <c r="B1639" s="10">
        <v>10000000</v>
      </c>
      <c r="C1639" s="9">
        <v>10</v>
      </c>
      <c r="D1639" s="8" t="str">
        <f t="shared" si="302"/>
        <v>N</v>
      </c>
      <c r="E1639" s="8" t="str">
        <f t="shared" si="303"/>
        <v>Y</v>
      </c>
      <c r="F1639" s="8" t="str">
        <f t="shared" si="304"/>
        <v>Y</v>
      </c>
      <c r="G1639" s="8" t="str">
        <f t="shared" si="305"/>
        <v>Y</v>
      </c>
      <c r="H1639" s="8" t="str">
        <f t="shared" si="306"/>
        <v>Upper</v>
      </c>
      <c r="I1639" s="8" t="str">
        <f t="shared" si="307"/>
        <v>West Fork and Below Lake</v>
      </c>
      <c r="J1639" s="8" t="str">
        <f t="shared" si="308"/>
        <v>Sonoma (d/s of Clov. Gage)</v>
      </c>
      <c r="K1639" s="8" t="str">
        <f t="shared" si="309"/>
        <v>Riparian</v>
      </c>
      <c r="L1639" s="8">
        <f t="shared" si="310"/>
        <v>1000</v>
      </c>
      <c r="M1639" s="8" t="str">
        <f t="shared" si="312"/>
        <v>-</v>
      </c>
      <c r="N1639" s="10" t="s">
        <v>241</v>
      </c>
      <c r="O1639" s="10" t="s">
        <v>241</v>
      </c>
      <c r="P1639" s="10" t="s">
        <v>242</v>
      </c>
      <c r="Q1639" s="10" t="s">
        <v>242</v>
      </c>
      <c r="R1639" s="10" t="s">
        <v>242</v>
      </c>
      <c r="S1639" s="10" t="s">
        <v>241</v>
      </c>
      <c r="T1639" s="10" t="s">
        <v>242</v>
      </c>
      <c r="U1639" s="10" t="s">
        <v>242</v>
      </c>
      <c r="V1639" s="10" t="s">
        <v>242</v>
      </c>
      <c r="W1639" s="10" t="s">
        <v>242</v>
      </c>
      <c r="X1639" s="15">
        <f>IF(ISERROR(VLOOKUP($A1639,'13. Updated Demand'!A:Z,15,FALSE)),0,VLOOKUP($A1639,'13. Updated Demand'!A:Z,15,FALSE))</f>
        <v>0</v>
      </c>
      <c r="Y1639" s="16">
        <f>IF(ISERROR(VLOOKUP($A1639,'13. Updated Demand'!A:Z,16,FALSE)),0,VLOOKUP($A1639,'13. Updated Demand'!A:Z,16,FALSE))</f>
        <v>0</v>
      </c>
      <c r="Z1639" s="16">
        <f>IF(ISERROR(VLOOKUP($A1639,'13. Updated Demand'!A:Z,17,FALSE)),0,VLOOKUP($A1639,'13. Updated Demand'!A:Z,17,FALSE))</f>
        <v>0</v>
      </c>
      <c r="AA1639" s="16">
        <f>IF(ISERROR(VLOOKUP($A1639,'13. Updated Demand'!A:Z,18,FALSE)),0,VLOOKUP($A1639,'13. Updated Demand'!A:Z,18,FALSE))</f>
        <v>0</v>
      </c>
      <c r="AB1639" s="16">
        <f>IF(ISERROR(VLOOKUP($A1639,'13. Updated Demand'!A:Z,19,FALSE)),0,VLOOKUP($A1639,'13. Updated Demand'!A:Z,19,FALSE))</f>
        <v>0</v>
      </c>
      <c r="AC1639" s="16">
        <f>IF(ISERROR(VLOOKUP($A1639,'13. Updated Demand'!A:Z,20,FALSE)),0,VLOOKUP($A1639,'13. Updated Demand'!A:Z,20,FALSE))</f>
        <v>0</v>
      </c>
      <c r="AD1639" s="16">
        <f>IF(ISERROR(VLOOKUP($A1639,'13. Updated Demand'!A:Z,21,FALSE)),0,VLOOKUP($A1639,'13. Updated Demand'!A:Z,21,FALSE))</f>
        <v>0</v>
      </c>
      <c r="AE1639" s="16">
        <f>IF(ISERROR(VLOOKUP($A1639,'13. Updated Demand'!A:Z,22,FALSE)),0,VLOOKUP($A1639,'13. Updated Demand'!A:Z,22,FALSE))</f>
        <v>0</v>
      </c>
      <c r="AF1639" s="16">
        <f>IF(ISERROR(VLOOKUP($A1639,'13. Updated Demand'!A:Z,23,FALSE)),0,VLOOKUP($A1639,'13. Updated Demand'!A:Z,23,FALSE))</f>
        <v>0</v>
      </c>
      <c r="AG1639" s="16">
        <f>IF(ISERROR(VLOOKUP($A1639,'13. Updated Demand'!A:Z,24,FALSE)),0,VLOOKUP($A1639,'13. Updated Demand'!A:Z,24,FALSE))</f>
        <v>0</v>
      </c>
      <c r="AH1639" s="16">
        <f>IF(ISERROR(VLOOKUP($A1639,'13. Updated Demand'!A:Z,25,FALSE)),0,VLOOKUP($A1639,'13. Updated Demand'!A:Z,25,FALSE))</f>
        <v>0</v>
      </c>
      <c r="AI1639" s="16">
        <f>IF(ISERROR(VLOOKUP($A1639,'13. Updated Demand'!A:Z,26,FALSE)),0,VLOOKUP($A1639,'13. Updated Demand'!A:Z,26,FALSE))</f>
        <v>0</v>
      </c>
      <c r="AJ1639" s="16">
        <f t="shared" si="313"/>
        <v>0</v>
      </c>
      <c r="AK1639" s="19">
        <v>2.8000000000000007</v>
      </c>
      <c r="AL1639" s="16">
        <f t="shared" si="311"/>
        <v>9.287281050027428E-3</v>
      </c>
      <c r="AM1639" s="26">
        <v>2.8105026832034447E-3</v>
      </c>
      <c r="AN1639" s="19">
        <v>2419.4960000000001</v>
      </c>
      <c r="AO1639" s="19" t="s">
        <v>1758</v>
      </c>
      <c r="AP1639" s="19">
        <v>0</v>
      </c>
      <c r="AQ1639" s="19" t="s">
        <v>307</v>
      </c>
      <c r="AR1639" s="9" t="s">
        <v>436</v>
      </c>
      <c r="AS1639" s="12">
        <v>0</v>
      </c>
      <c r="AT1639" s="19">
        <v>38.693280710000003</v>
      </c>
      <c r="AU1639" s="19">
        <v>-122.87212006</v>
      </c>
      <c r="AV1639" s="19" t="s">
        <v>548</v>
      </c>
    </row>
    <row r="1640" spans="1:48" x14ac:dyDescent="0.25">
      <c r="A1640" s="18" t="s">
        <v>2038</v>
      </c>
      <c r="B1640" s="10">
        <v>10000000</v>
      </c>
      <c r="C1640" s="9">
        <v>23</v>
      </c>
      <c r="D1640" s="8" t="str">
        <f t="shared" si="302"/>
        <v>N</v>
      </c>
      <c r="E1640" s="8" t="str">
        <f t="shared" si="303"/>
        <v>N</v>
      </c>
      <c r="F1640" s="8" t="str">
        <f t="shared" si="304"/>
        <v>N</v>
      </c>
      <c r="G1640" s="8" t="str">
        <f t="shared" si="305"/>
        <v>N</v>
      </c>
      <c r="H1640" s="8" t="str">
        <f t="shared" si="306"/>
        <v>Lower</v>
      </c>
      <c r="I1640" s="8" t="str">
        <f t="shared" si="307"/>
        <v>Outside</v>
      </c>
      <c r="J1640" s="8" t="str">
        <f t="shared" si="308"/>
        <v>Outside</v>
      </c>
      <c r="K1640" s="8" t="str">
        <f t="shared" si="309"/>
        <v>Riparian</v>
      </c>
      <c r="L1640" s="8">
        <f t="shared" si="310"/>
        <v>1000</v>
      </c>
      <c r="M1640" s="8" t="str">
        <f t="shared" si="312"/>
        <v>-</v>
      </c>
      <c r="N1640" s="10" t="s">
        <v>242</v>
      </c>
      <c r="O1640" s="10" t="s">
        <v>242</v>
      </c>
      <c r="P1640" s="10" t="s">
        <v>242</v>
      </c>
      <c r="Q1640" s="10" t="s">
        <v>242</v>
      </c>
      <c r="R1640" s="10" t="s">
        <v>242</v>
      </c>
      <c r="S1640" s="10" t="s">
        <v>241</v>
      </c>
      <c r="T1640" s="10" t="s">
        <v>242</v>
      </c>
      <c r="U1640" s="10" t="s">
        <v>241</v>
      </c>
      <c r="V1640" s="10" t="s">
        <v>241</v>
      </c>
      <c r="W1640" s="10" t="s">
        <v>242</v>
      </c>
      <c r="X1640" s="15">
        <f>IF(ISERROR(VLOOKUP($A1640,'13. Updated Demand'!A:Z,15,FALSE)),0,VLOOKUP($A1640,'13. Updated Demand'!A:Z,15,FALSE))</f>
        <v>0</v>
      </c>
      <c r="Y1640" s="16">
        <f>IF(ISERROR(VLOOKUP($A1640,'13. Updated Demand'!A:Z,16,FALSE)),0,VLOOKUP($A1640,'13. Updated Demand'!A:Z,16,FALSE))</f>
        <v>0</v>
      </c>
      <c r="Z1640" s="16">
        <f>IF(ISERROR(VLOOKUP($A1640,'13. Updated Demand'!A:Z,17,FALSE)),0,VLOOKUP($A1640,'13. Updated Demand'!A:Z,17,FALSE))</f>
        <v>0</v>
      </c>
      <c r="AA1640" s="16">
        <f>IF(ISERROR(VLOOKUP($A1640,'13. Updated Demand'!A:Z,18,FALSE)),0,VLOOKUP($A1640,'13. Updated Demand'!A:Z,18,FALSE))</f>
        <v>0</v>
      </c>
      <c r="AB1640" s="16">
        <f>IF(ISERROR(VLOOKUP($A1640,'13. Updated Demand'!A:Z,19,FALSE)),0,VLOOKUP($A1640,'13. Updated Demand'!A:Z,19,FALSE))</f>
        <v>0</v>
      </c>
      <c r="AC1640" s="16">
        <f>IF(ISERROR(VLOOKUP($A1640,'13. Updated Demand'!A:Z,20,FALSE)),0,VLOOKUP($A1640,'13. Updated Demand'!A:Z,20,FALSE))</f>
        <v>0</v>
      </c>
      <c r="AD1640" s="16">
        <f>IF(ISERROR(VLOOKUP($A1640,'13. Updated Demand'!A:Z,21,FALSE)),0,VLOOKUP($A1640,'13. Updated Demand'!A:Z,21,FALSE))</f>
        <v>0</v>
      </c>
      <c r="AE1640" s="16">
        <f>IF(ISERROR(VLOOKUP($A1640,'13. Updated Demand'!A:Z,22,FALSE)),0,VLOOKUP($A1640,'13. Updated Demand'!A:Z,22,FALSE))</f>
        <v>0</v>
      </c>
      <c r="AF1640" s="16">
        <f>IF(ISERROR(VLOOKUP($A1640,'13. Updated Demand'!A:Z,23,FALSE)),0,VLOOKUP($A1640,'13. Updated Demand'!A:Z,23,FALSE))</f>
        <v>0</v>
      </c>
      <c r="AG1640" s="16">
        <f>IF(ISERROR(VLOOKUP($A1640,'13. Updated Demand'!A:Z,24,FALSE)),0,VLOOKUP($A1640,'13. Updated Demand'!A:Z,24,FALSE))</f>
        <v>0</v>
      </c>
      <c r="AH1640" s="16">
        <f>IF(ISERROR(VLOOKUP($A1640,'13. Updated Demand'!A:Z,25,FALSE)),0,VLOOKUP($A1640,'13. Updated Demand'!A:Z,25,FALSE))</f>
        <v>0</v>
      </c>
      <c r="AI1640" s="16">
        <f>IF(ISERROR(VLOOKUP($A1640,'13. Updated Demand'!A:Z,26,FALSE)),0,VLOOKUP($A1640,'13. Updated Demand'!A:Z,26,FALSE))</f>
        <v>0</v>
      </c>
      <c r="AJ1640" s="16">
        <f t="shared" si="313"/>
        <v>0</v>
      </c>
      <c r="AK1640" s="19">
        <v>0</v>
      </c>
      <c r="AL1640" s="16">
        <f t="shared" si="311"/>
        <v>0</v>
      </c>
      <c r="AM1640" s="26">
        <v>0</v>
      </c>
      <c r="AN1640" s="19">
        <v>1448.8</v>
      </c>
      <c r="AO1640" s="19" t="s">
        <v>1758</v>
      </c>
      <c r="AP1640" s="19">
        <v>0</v>
      </c>
      <c r="AQ1640" s="19" t="s">
        <v>307</v>
      </c>
      <c r="AR1640" s="9" t="s">
        <v>323</v>
      </c>
      <c r="AS1640" s="12">
        <v>0</v>
      </c>
      <c r="AT1640" s="19">
        <v>38.493589700000001</v>
      </c>
      <c r="AU1640" s="19">
        <v>-122.87929176</v>
      </c>
      <c r="AV1640" s="19" t="s">
        <v>735</v>
      </c>
    </row>
    <row r="1641" spans="1:48" x14ac:dyDescent="0.25">
      <c r="A1641" s="18" t="s">
        <v>2039</v>
      </c>
      <c r="B1641" s="10">
        <v>10000000</v>
      </c>
      <c r="C1641" s="9">
        <v>23</v>
      </c>
      <c r="D1641" s="8" t="str">
        <f t="shared" si="302"/>
        <v>N</v>
      </c>
      <c r="E1641" s="8" t="str">
        <f t="shared" si="303"/>
        <v>N</v>
      </c>
      <c r="F1641" s="8" t="str">
        <f t="shared" si="304"/>
        <v>N</v>
      </c>
      <c r="G1641" s="8" t="str">
        <f t="shared" si="305"/>
        <v>N</v>
      </c>
      <c r="H1641" s="8" t="str">
        <f t="shared" si="306"/>
        <v>Lower</v>
      </c>
      <c r="I1641" s="8" t="str">
        <f t="shared" si="307"/>
        <v>Outside</v>
      </c>
      <c r="J1641" s="8" t="str">
        <f t="shared" si="308"/>
        <v>Outside</v>
      </c>
      <c r="K1641" s="8" t="str">
        <f t="shared" si="309"/>
        <v>Riparian</v>
      </c>
      <c r="L1641" s="8">
        <f t="shared" si="310"/>
        <v>1000</v>
      </c>
      <c r="M1641" s="8" t="str">
        <f t="shared" si="312"/>
        <v>-</v>
      </c>
      <c r="N1641" s="10" t="s">
        <v>242</v>
      </c>
      <c r="O1641" s="10" t="s">
        <v>242</v>
      </c>
      <c r="P1641" s="10" t="s">
        <v>242</v>
      </c>
      <c r="Q1641" s="10" t="s">
        <v>242</v>
      </c>
      <c r="R1641" s="10" t="s">
        <v>242</v>
      </c>
      <c r="S1641" s="10" t="s">
        <v>241</v>
      </c>
      <c r="T1641" s="10" t="s">
        <v>242</v>
      </c>
      <c r="U1641" s="10" t="s">
        <v>241</v>
      </c>
      <c r="V1641" s="10" t="s">
        <v>241</v>
      </c>
      <c r="W1641" s="10" t="s">
        <v>242</v>
      </c>
      <c r="X1641" s="15">
        <f>IF(ISERROR(VLOOKUP($A1641,'13. Updated Demand'!A:Z,15,FALSE)),0,VLOOKUP($A1641,'13. Updated Demand'!A:Z,15,FALSE))</f>
        <v>0</v>
      </c>
      <c r="Y1641" s="16">
        <f>IF(ISERROR(VLOOKUP($A1641,'13. Updated Demand'!A:Z,16,FALSE)),0,VLOOKUP($A1641,'13. Updated Demand'!A:Z,16,FALSE))</f>
        <v>0</v>
      </c>
      <c r="Z1641" s="16">
        <f>IF(ISERROR(VLOOKUP($A1641,'13. Updated Demand'!A:Z,17,FALSE)),0,VLOOKUP($A1641,'13. Updated Demand'!A:Z,17,FALSE))</f>
        <v>0</v>
      </c>
      <c r="AA1641" s="16">
        <f>IF(ISERROR(VLOOKUP($A1641,'13. Updated Demand'!A:Z,18,FALSE)),0,VLOOKUP($A1641,'13. Updated Demand'!A:Z,18,FALSE))</f>
        <v>0</v>
      </c>
      <c r="AB1641" s="16">
        <f>IF(ISERROR(VLOOKUP($A1641,'13. Updated Demand'!A:Z,19,FALSE)),0,VLOOKUP($A1641,'13. Updated Demand'!A:Z,19,FALSE))</f>
        <v>0</v>
      </c>
      <c r="AC1641" s="16">
        <f>IF(ISERROR(VLOOKUP($A1641,'13. Updated Demand'!A:Z,20,FALSE)),0,VLOOKUP($A1641,'13. Updated Demand'!A:Z,20,FALSE))</f>
        <v>0</v>
      </c>
      <c r="AD1641" s="16">
        <f>IF(ISERROR(VLOOKUP($A1641,'13. Updated Demand'!A:Z,21,FALSE)),0,VLOOKUP($A1641,'13. Updated Demand'!A:Z,21,FALSE))</f>
        <v>0</v>
      </c>
      <c r="AE1641" s="16">
        <f>IF(ISERROR(VLOOKUP($A1641,'13. Updated Demand'!A:Z,22,FALSE)),0,VLOOKUP($A1641,'13. Updated Demand'!A:Z,22,FALSE))</f>
        <v>0</v>
      </c>
      <c r="AF1641" s="16">
        <f>IF(ISERROR(VLOOKUP($A1641,'13. Updated Demand'!A:Z,23,FALSE)),0,VLOOKUP($A1641,'13. Updated Demand'!A:Z,23,FALSE))</f>
        <v>0</v>
      </c>
      <c r="AG1641" s="16">
        <f>IF(ISERROR(VLOOKUP($A1641,'13. Updated Demand'!A:Z,24,FALSE)),0,VLOOKUP($A1641,'13. Updated Demand'!A:Z,24,FALSE))</f>
        <v>0</v>
      </c>
      <c r="AH1641" s="16">
        <f>IF(ISERROR(VLOOKUP($A1641,'13. Updated Demand'!A:Z,25,FALSE)),0,VLOOKUP($A1641,'13. Updated Demand'!A:Z,25,FALSE))</f>
        <v>0</v>
      </c>
      <c r="AI1641" s="16">
        <f>IF(ISERROR(VLOOKUP($A1641,'13. Updated Demand'!A:Z,26,FALSE)),0,VLOOKUP($A1641,'13. Updated Demand'!A:Z,26,FALSE))</f>
        <v>0</v>
      </c>
      <c r="AJ1641" s="16">
        <f t="shared" si="313"/>
        <v>0</v>
      </c>
      <c r="AK1641" s="19">
        <v>0</v>
      </c>
      <c r="AL1641" s="16">
        <f t="shared" si="311"/>
        <v>0</v>
      </c>
      <c r="AM1641" s="26">
        <v>0</v>
      </c>
      <c r="AN1641" s="19">
        <v>1369.116</v>
      </c>
      <c r="AO1641" s="19" t="s">
        <v>1758</v>
      </c>
      <c r="AP1641" s="19">
        <v>0</v>
      </c>
      <c r="AQ1641" s="19" t="s">
        <v>307</v>
      </c>
      <c r="AR1641" s="9" t="s">
        <v>323</v>
      </c>
      <c r="AS1641" s="12">
        <v>0</v>
      </c>
      <c r="AT1641" s="19">
        <v>38.49417716</v>
      </c>
      <c r="AU1641" s="19">
        <v>-122.87423242</v>
      </c>
      <c r="AV1641" s="19" t="s">
        <v>735</v>
      </c>
    </row>
    <row r="1642" spans="1:48" x14ac:dyDescent="0.25">
      <c r="A1642" s="18" t="s">
        <v>2040</v>
      </c>
      <c r="B1642" s="10">
        <v>10000000</v>
      </c>
      <c r="C1642" s="9">
        <v>9</v>
      </c>
      <c r="D1642" s="8" t="str">
        <f t="shared" si="302"/>
        <v>N</v>
      </c>
      <c r="E1642" s="8" t="str">
        <f t="shared" si="303"/>
        <v>Y</v>
      </c>
      <c r="F1642" s="8" t="str">
        <f t="shared" si="304"/>
        <v>Y</v>
      </c>
      <c r="G1642" s="8" t="str">
        <f t="shared" si="305"/>
        <v>Y</v>
      </c>
      <c r="H1642" s="8" t="str">
        <f t="shared" si="306"/>
        <v>Upper</v>
      </c>
      <c r="I1642" s="8" t="str">
        <f t="shared" si="307"/>
        <v>West Fork and Below Lake</v>
      </c>
      <c r="J1642" s="8" t="str">
        <f t="shared" si="308"/>
        <v>Sonoma (d/s of Clov. Gage)</v>
      </c>
      <c r="K1642" s="8" t="str">
        <f t="shared" si="309"/>
        <v>Riparian</v>
      </c>
      <c r="L1642" s="8">
        <f t="shared" si="310"/>
        <v>1000</v>
      </c>
      <c r="M1642" s="8" t="str">
        <f t="shared" si="312"/>
        <v>-</v>
      </c>
      <c r="N1642" s="10" t="s">
        <v>241</v>
      </c>
      <c r="O1642" s="10" t="s">
        <v>241</v>
      </c>
      <c r="P1642" s="10" t="s">
        <v>242</v>
      </c>
      <c r="Q1642" s="10" t="s">
        <v>242</v>
      </c>
      <c r="R1642" s="10" t="s">
        <v>242</v>
      </c>
      <c r="S1642" s="10" t="s">
        <v>241</v>
      </c>
      <c r="T1642" s="10" t="s">
        <v>242</v>
      </c>
      <c r="U1642" s="10" t="s">
        <v>242</v>
      </c>
      <c r="V1642" s="10" t="s">
        <v>241</v>
      </c>
      <c r="W1642" s="10" t="s">
        <v>242</v>
      </c>
      <c r="X1642" s="15">
        <f>IF(ISERROR(VLOOKUP($A1642,'13. Updated Demand'!A:Z,15,FALSE)),0,VLOOKUP($A1642,'13. Updated Demand'!A:Z,15,FALSE))</f>
        <v>6.48</v>
      </c>
      <c r="Y1642" s="16">
        <f>IF(ISERROR(VLOOKUP($A1642,'13. Updated Demand'!A:Z,16,FALSE)),0,VLOOKUP($A1642,'13. Updated Demand'!A:Z,16,FALSE))</f>
        <v>3.91</v>
      </c>
      <c r="Z1642" s="16">
        <f>IF(ISERROR(VLOOKUP($A1642,'13. Updated Demand'!A:Z,17,FALSE)),0,VLOOKUP($A1642,'13. Updated Demand'!A:Z,17,FALSE))</f>
        <v>2.3199999999999998</v>
      </c>
      <c r="AA1642" s="16">
        <f>IF(ISERROR(VLOOKUP($A1642,'13. Updated Demand'!A:Z,18,FALSE)),0,VLOOKUP($A1642,'13. Updated Demand'!A:Z,18,FALSE))</f>
        <v>0</v>
      </c>
      <c r="AB1642" s="16">
        <f>IF(ISERROR(VLOOKUP($A1642,'13. Updated Demand'!A:Z,19,FALSE)),0,VLOOKUP($A1642,'13. Updated Demand'!A:Z,19,FALSE))</f>
        <v>0</v>
      </c>
      <c r="AC1642" s="16">
        <f>IF(ISERROR(VLOOKUP($A1642,'13. Updated Demand'!A:Z,20,FALSE)),0,VLOOKUP($A1642,'13. Updated Demand'!A:Z,20,FALSE))</f>
        <v>0</v>
      </c>
      <c r="AD1642" s="16">
        <f>IF(ISERROR(VLOOKUP($A1642,'13. Updated Demand'!A:Z,21,FALSE)),0,VLOOKUP($A1642,'13. Updated Demand'!A:Z,21,FALSE))</f>
        <v>0</v>
      </c>
      <c r="AE1642" s="16">
        <f>IF(ISERROR(VLOOKUP($A1642,'13. Updated Demand'!A:Z,22,FALSE)),0,VLOOKUP($A1642,'13. Updated Demand'!A:Z,22,FALSE))</f>
        <v>0</v>
      </c>
      <c r="AF1642" s="16">
        <f>IF(ISERROR(VLOOKUP($A1642,'13. Updated Demand'!A:Z,23,FALSE)),0,VLOOKUP($A1642,'13. Updated Demand'!A:Z,23,FALSE))</f>
        <v>0</v>
      </c>
      <c r="AG1642" s="16">
        <f>IF(ISERROR(VLOOKUP($A1642,'13. Updated Demand'!A:Z,24,FALSE)),0,VLOOKUP($A1642,'13. Updated Demand'!A:Z,24,FALSE))</f>
        <v>0</v>
      </c>
      <c r="AH1642" s="16">
        <f>IF(ISERROR(VLOOKUP($A1642,'13. Updated Demand'!A:Z,25,FALSE)),0,VLOOKUP($A1642,'13. Updated Demand'!A:Z,25,FALSE))</f>
        <v>0</v>
      </c>
      <c r="AI1642" s="16">
        <f>IF(ISERROR(VLOOKUP($A1642,'13. Updated Demand'!A:Z,26,FALSE)),0,VLOOKUP($A1642,'13. Updated Demand'!A:Z,26,FALSE))</f>
        <v>0</v>
      </c>
      <c r="AJ1642" s="16">
        <f t="shared" si="313"/>
        <v>12.71</v>
      </c>
      <c r="AK1642" s="19">
        <v>0</v>
      </c>
      <c r="AL1642" s="16">
        <f t="shared" si="311"/>
        <v>0</v>
      </c>
      <c r="AM1642" s="26">
        <v>0.29291326154978831</v>
      </c>
      <c r="AN1642" s="19">
        <v>43.463999999999999</v>
      </c>
      <c r="AO1642" s="19" t="s">
        <v>1758</v>
      </c>
      <c r="AP1642" s="19">
        <v>0</v>
      </c>
      <c r="AQ1642" s="19" t="s">
        <v>307</v>
      </c>
      <c r="AR1642" s="9" t="s">
        <v>354</v>
      </c>
      <c r="AS1642" s="12">
        <v>0</v>
      </c>
      <c r="AT1642" s="19">
        <v>38.740246689999999</v>
      </c>
      <c r="AU1642" s="19">
        <v>-122.94818447999999</v>
      </c>
      <c r="AV1642" s="19" t="s">
        <v>417</v>
      </c>
    </row>
    <row r="1643" spans="1:48" x14ac:dyDescent="0.25">
      <c r="A1643" s="18" t="s">
        <v>2041</v>
      </c>
      <c r="B1643" s="10">
        <v>10000000</v>
      </c>
      <c r="C1643" s="9">
        <v>13</v>
      </c>
      <c r="D1643" s="8" t="str">
        <f t="shared" si="302"/>
        <v>N</v>
      </c>
      <c r="E1643" s="8" t="str">
        <f t="shared" si="303"/>
        <v>Y</v>
      </c>
      <c r="F1643" s="8" t="str">
        <f t="shared" si="304"/>
        <v>Y</v>
      </c>
      <c r="G1643" s="8" t="str">
        <f t="shared" si="305"/>
        <v>Y</v>
      </c>
      <c r="H1643" s="8" t="str">
        <f t="shared" si="306"/>
        <v>Upper</v>
      </c>
      <c r="I1643" s="8" t="str">
        <f t="shared" si="307"/>
        <v>West Fork and Below Lake</v>
      </c>
      <c r="J1643" s="8" t="str">
        <f t="shared" si="308"/>
        <v>Sonoma (d/s of Clov. Gage)</v>
      </c>
      <c r="K1643" s="8" t="str">
        <f t="shared" si="309"/>
        <v>Riparian</v>
      </c>
      <c r="L1643" s="8">
        <f t="shared" si="310"/>
        <v>1000</v>
      </c>
      <c r="M1643" s="8" t="str">
        <f t="shared" si="312"/>
        <v>-</v>
      </c>
      <c r="N1643" s="10" t="s">
        <v>241</v>
      </c>
      <c r="O1643" s="10" t="s">
        <v>241</v>
      </c>
      <c r="P1643" s="10" t="s">
        <v>242</v>
      </c>
      <c r="Q1643" s="10" t="s">
        <v>242</v>
      </c>
      <c r="R1643" s="10" t="s">
        <v>242</v>
      </c>
      <c r="S1643" s="10" t="s">
        <v>241</v>
      </c>
      <c r="T1643" s="10" t="s">
        <v>242</v>
      </c>
      <c r="U1643" s="10" t="s">
        <v>242</v>
      </c>
      <c r="V1643" s="10" t="s">
        <v>242</v>
      </c>
      <c r="W1643" s="10" t="s">
        <v>242</v>
      </c>
      <c r="X1643" s="15">
        <f>IF(ISERROR(VLOOKUP($A1643,'13. Updated Demand'!A:Z,15,FALSE)),0,VLOOKUP($A1643,'13. Updated Demand'!A:Z,15,FALSE))</f>
        <v>7.67E-4</v>
      </c>
      <c r="Y1643" s="16">
        <f>IF(ISERROR(VLOOKUP($A1643,'13. Updated Demand'!A:Z,16,FALSE)),0,VLOOKUP($A1643,'13. Updated Demand'!A:Z,16,FALSE))</f>
        <v>7.67E-4</v>
      </c>
      <c r="Z1643" s="16">
        <f>IF(ISERROR(VLOOKUP($A1643,'13. Updated Demand'!A:Z,17,FALSE)),0,VLOOKUP($A1643,'13. Updated Demand'!A:Z,17,FALSE))</f>
        <v>7.67E-4</v>
      </c>
      <c r="AA1643" s="16">
        <f>IF(ISERROR(VLOOKUP($A1643,'13. Updated Demand'!A:Z,18,FALSE)),0,VLOOKUP($A1643,'13. Updated Demand'!A:Z,18,FALSE))</f>
        <v>7.67E-4</v>
      </c>
      <c r="AB1643" s="16">
        <f>IF(ISERROR(VLOOKUP($A1643,'13. Updated Demand'!A:Z,19,FALSE)),0,VLOOKUP($A1643,'13. Updated Demand'!A:Z,19,FALSE))</f>
        <v>1.0740000000000001E-3</v>
      </c>
      <c r="AC1643" s="16">
        <f>IF(ISERROR(VLOOKUP($A1643,'13. Updated Demand'!A:Z,20,FALSE)),0,VLOOKUP($A1643,'13. Updated Demand'!A:Z,20,FALSE))</f>
        <v>1.0740000000000001E-3</v>
      </c>
      <c r="AD1643" s="16">
        <f>IF(ISERROR(VLOOKUP($A1643,'13. Updated Demand'!A:Z,21,FALSE)),0,VLOOKUP($A1643,'13. Updated Demand'!A:Z,21,FALSE))</f>
        <v>1.0740000000000001E-3</v>
      </c>
      <c r="AE1643" s="16">
        <f>IF(ISERROR(VLOOKUP($A1643,'13. Updated Demand'!A:Z,22,FALSE)),0,VLOOKUP($A1643,'13. Updated Demand'!A:Z,22,FALSE))</f>
        <v>1.0740000000000001E-3</v>
      </c>
      <c r="AF1643" s="16">
        <f>IF(ISERROR(VLOOKUP($A1643,'13. Updated Demand'!A:Z,23,FALSE)),0,VLOOKUP($A1643,'13. Updated Demand'!A:Z,23,FALSE))</f>
        <v>1.0740000000000001E-3</v>
      </c>
      <c r="AG1643" s="16">
        <f>IF(ISERROR(VLOOKUP($A1643,'13. Updated Demand'!A:Z,24,FALSE)),0,VLOOKUP($A1643,'13. Updated Demand'!A:Z,24,FALSE))</f>
        <v>1.0740000000000001E-3</v>
      </c>
      <c r="AH1643" s="16">
        <f>IF(ISERROR(VLOOKUP($A1643,'13. Updated Demand'!A:Z,25,FALSE)),0,VLOOKUP($A1643,'13. Updated Demand'!A:Z,25,FALSE))</f>
        <v>7.67E-4</v>
      </c>
      <c r="AI1643" s="16">
        <f>IF(ISERROR(VLOOKUP($A1643,'13. Updated Demand'!A:Z,26,FALSE)),0,VLOOKUP($A1643,'13. Updated Demand'!A:Z,26,FALSE))</f>
        <v>7.67E-4</v>
      </c>
      <c r="AJ1643" s="16">
        <f t="shared" si="313"/>
        <v>1.1046000000000002E-2</v>
      </c>
      <c r="AK1643" s="19">
        <v>5.3700000000000006E-3</v>
      </c>
      <c r="AL1643" s="16">
        <f t="shared" si="311"/>
        <v>1.7811678299516885E-5</v>
      </c>
      <c r="AM1643" s="26">
        <v>8.7666666666666684E-2</v>
      </c>
      <c r="AN1643" s="19">
        <v>0.126</v>
      </c>
      <c r="AO1643" s="19" t="s">
        <v>1758</v>
      </c>
      <c r="AP1643" s="19">
        <v>0</v>
      </c>
      <c r="AQ1643" s="19" t="s">
        <v>307</v>
      </c>
      <c r="AR1643" s="9" t="s">
        <v>507</v>
      </c>
      <c r="AS1643" s="12">
        <v>3.4039024194010059E-4</v>
      </c>
      <c r="AT1643" s="19">
        <v>38.612985690000002</v>
      </c>
      <c r="AU1643" s="19">
        <v>-122.83106368999999</v>
      </c>
      <c r="AV1643" s="19" t="s">
        <v>387</v>
      </c>
    </row>
    <row r="1644" spans="1:48" x14ac:dyDescent="0.25">
      <c r="A1644" s="18" t="s">
        <v>2042</v>
      </c>
      <c r="B1644" s="10">
        <v>10000000</v>
      </c>
      <c r="C1644" s="9">
        <v>10</v>
      </c>
      <c r="D1644" s="8" t="str">
        <f t="shared" si="302"/>
        <v>N</v>
      </c>
      <c r="E1644" s="8" t="str">
        <f t="shared" si="303"/>
        <v>Y</v>
      </c>
      <c r="F1644" s="8" t="str">
        <f t="shared" si="304"/>
        <v>Y</v>
      </c>
      <c r="G1644" s="8" t="str">
        <f t="shared" si="305"/>
        <v>Y</v>
      </c>
      <c r="H1644" s="8" t="str">
        <f t="shared" si="306"/>
        <v>Upper</v>
      </c>
      <c r="I1644" s="8" t="str">
        <f t="shared" si="307"/>
        <v>West Fork and Below Lake</v>
      </c>
      <c r="J1644" s="8" t="str">
        <f t="shared" si="308"/>
        <v>Sonoma (d/s of Clov. Gage)</v>
      </c>
      <c r="K1644" s="8" t="str">
        <f t="shared" si="309"/>
        <v>Riparian</v>
      </c>
      <c r="L1644" s="8">
        <f t="shared" si="310"/>
        <v>1000</v>
      </c>
      <c r="M1644" s="8" t="str">
        <f t="shared" si="312"/>
        <v>-</v>
      </c>
      <c r="N1644" s="10" t="s">
        <v>242</v>
      </c>
      <c r="O1644" s="10" t="s">
        <v>241</v>
      </c>
      <c r="P1644" s="10" t="s">
        <v>242</v>
      </c>
      <c r="Q1644" s="10" t="s">
        <v>242</v>
      </c>
      <c r="R1644" s="10" t="s">
        <v>242</v>
      </c>
      <c r="S1644" s="10" t="s">
        <v>241</v>
      </c>
      <c r="T1644" s="10" t="s">
        <v>242</v>
      </c>
      <c r="U1644" s="10" t="s">
        <v>242</v>
      </c>
      <c r="V1644" s="10" t="s">
        <v>242</v>
      </c>
      <c r="W1644" s="10" t="s">
        <v>242</v>
      </c>
      <c r="X1644" s="15">
        <f>IF(ISERROR(VLOOKUP($A1644,'13. Updated Demand'!A:Z,15,FALSE)),0,VLOOKUP($A1644,'13. Updated Demand'!A:Z,15,FALSE))</f>
        <v>0</v>
      </c>
      <c r="Y1644" s="16">
        <f>IF(ISERROR(VLOOKUP($A1644,'13. Updated Demand'!A:Z,16,FALSE)),0,VLOOKUP($A1644,'13. Updated Demand'!A:Z,16,FALSE))</f>
        <v>0</v>
      </c>
      <c r="Z1644" s="16">
        <f>IF(ISERROR(VLOOKUP($A1644,'13. Updated Demand'!A:Z,17,FALSE)),0,VLOOKUP($A1644,'13. Updated Demand'!A:Z,17,FALSE))</f>
        <v>0</v>
      </c>
      <c r="AA1644" s="16">
        <f>IF(ISERROR(VLOOKUP($A1644,'13. Updated Demand'!A:Z,18,FALSE)),0,VLOOKUP($A1644,'13. Updated Demand'!A:Z,18,FALSE))</f>
        <v>3.34</v>
      </c>
      <c r="AB1644" s="16">
        <f>IF(ISERROR(VLOOKUP($A1644,'13. Updated Demand'!A:Z,19,FALSE)),0,VLOOKUP($A1644,'13. Updated Demand'!A:Z,19,FALSE))</f>
        <v>3.34</v>
      </c>
      <c r="AC1644" s="16">
        <f>IF(ISERROR(VLOOKUP($A1644,'13. Updated Demand'!A:Z,20,FALSE)),0,VLOOKUP($A1644,'13. Updated Demand'!A:Z,20,FALSE))</f>
        <v>3.34</v>
      </c>
      <c r="AD1644" s="16">
        <f>IF(ISERROR(VLOOKUP($A1644,'13. Updated Demand'!A:Z,21,FALSE)),0,VLOOKUP($A1644,'13. Updated Demand'!A:Z,21,FALSE))</f>
        <v>3.34</v>
      </c>
      <c r="AE1644" s="16">
        <f>IF(ISERROR(VLOOKUP($A1644,'13. Updated Demand'!A:Z,22,FALSE)),0,VLOOKUP($A1644,'13. Updated Demand'!A:Z,22,FALSE))</f>
        <v>3.34</v>
      </c>
      <c r="AF1644" s="16">
        <f>IF(ISERROR(VLOOKUP($A1644,'13. Updated Demand'!A:Z,23,FALSE)),0,VLOOKUP($A1644,'13. Updated Demand'!A:Z,23,FALSE))</f>
        <v>3.34</v>
      </c>
      <c r="AG1644" s="16">
        <f>IF(ISERROR(VLOOKUP($A1644,'13. Updated Demand'!A:Z,24,FALSE)),0,VLOOKUP($A1644,'13. Updated Demand'!A:Z,24,FALSE))</f>
        <v>3.34</v>
      </c>
      <c r="AH1644" s="16">
        <f>IF(ISERROR(VLOOKUP($A1644,'13. Updated Demand'!A:Z,25,FALSE)),0,VLOOKUP($A1644,'13. Updated Demand'!A:Z,25,FALSE))</f>
        <v>0</v>
      </c>
      <c r="AI1644" s="16">
        <f>IF(ISERROR(VLOOKUP($A1644,'13. Updated Demand'!A:Z,26,FALSE)),0,VLOOKUP($A1644,'13. Updated Demand'!A:Z,26,FALSE))</f>
        <v>0</v>
      </c>
      <c r="AJ1644" s="16">
        <f t="shared" si="313"/>
        <v>23.38</v>
      </c>
      <c r="AK1644" s="19">
        <v>16.721666665000001</v>
      </c>
      <c r="AL1644" s="16">
        <f t="shared" si="311"/>
        <v>5.5463863550974928E-2</v>
      </c>
      <c r="AM1644" s="26">
        <v>1.6721666665000003</v>
      </c>
      <c r="AN1644" s="19">
        <v>14</v>
      </c>
      <c r="AO1644" s="19" t="s">
        <v>1758</v>
      </c>
      <c r="AP1644" s="19">
        <v>0</v>
      </c>
      <c r="AQ1644" s="19" t="s">
        <v>307</v>
      </c>
      <c r="AR1644" s="9" t="s">
        <v>436</v>
      </c>
      <c r="AS1644" s="12">
        <v>3.4039024194010059E-4</v>
      </c>
      <c r="AT1644" s="19">
        <v>38.701046939999998</v>
      </c>
      <c r="AU1644" s="19">
        <v>-122.82385597</v>
      </c>
      <c r="AV1644" s="19" t="s">
        <v>417</v>
      </c>
    </row>
    <row r="1645" spans="1:48" x14ac:dyDescent="0.25">
      <c r="A1645" s="18" t="s">
        <v>2043</v>
      </c>
      <c r="B1645" s="10">
        <v>10000000</v>
      </c>
      <c r="C1645" s="9">
        <v>10</v>
      </c>
      <c r="D1645" s="8" t="str">
        <f t="shared" si="302"/>
        <v>N</v>
      </c>
      <c r="E1645" s="8" t="str">
        <f t="shared" si="303"/>
        <v>Y</v>
      </c>
      <c r="F1645" s="8" t="str">
        <f t="shared" si="304"/>
        <v>Y</v>
      </c>
      <c r="G1645" s="8" t="str">
        <f t="shared" si="305"/>
        <v>Y</v>
      </c>
      <c r="H1645" s="8" t="str">
        <f t="shared" si="306"/>
        <v>Upper</v>
      </c>
      <c r="I1645" s="8" t="str">
        <f t="shared" si="307"/>
        <v>West Fork and Below Lake</v>
      </c>
      <c r="J1645" s="8" t="str">
        <f t="shared" si="308"/>
        <v>Sonoma (d/s of Clov. Gage)</v>
      </c>
      <c r="K1645" s="8" t="str">
        <f t="shared" si="309"/>
        <v>Riparian</v>
      </c>
      <c r="L1645" s="8">
        <f t="shared" si="310"/>
        <v>1000</v>
      </c>
      <c r="M1645" s="8" t="str">
        <f t="shared" si="312"/>
        <v>-</v>
      </c>
      <c r="N1645" s="10" t="s">
        <v>242</v>
      </c>
      <c r="O1645" s="10" t="s">
        <v>241</v>
      </c>
      <c r="P1645" s="10" t="s">
        <v>242</v>
      </c>
      <c r="Q1645" s="10" t="s">
        <v>242</v>
      </c>
      <c r="R1645" s="10" t="s">
        <v>242</v>
      </c>
      <c r="S1645" s="10" t="s">
        <v>241</v>
      </c>
      <c r="T1645" s="10" t="s">
        <v>242</v>
      </c>
      <c r="U1645" s="10" t="s">
        <v>242</v>
      </c>
      <c r="V1645" s="10" t="s">
        <v>242</v>
      </c>
      <c r="W1645" s="10" t="s">
        <v>242</v>
      </c>
      <c r="X1645" s="15">
        <f>IF(ISERROR(VLOOKUP($A1645,'13. Updated Demand'!A:Z,15,FALSE)),0,VLOOKUP($A1645,'13. Updated Demand'!A:Z,15,FALSE))</f>
        <v>0</v>
      </c>
      <c r="Y1645" s="16">
        <f>IF(ISERROR(VLOOKUP($A1645,'13. Updated Demand'!A:Z,16,FALSE)),0,VLOOKUP($A1645,'13. Updated Demand'!A:Z,16,FALSE))</f>
        <v>0</v>
      </c>
      <c r="Z1645" s="16">
        <f>IF(ISERROR(VLOOKUP($A1645,'13. Updated Demand'!A:Z,17,FALSE)),0,VLOOKUP($A1645,'13. Updated Demand'!A:Z,17,FALSE))</f>
        <v>0</v>
      </c>
      <c r="AA1645" s="16">
        <f>IF(ISERROR(VLOOKUP($A1645,'13. Updated Demand'!A:Z,18,FALSE)),0,VLOOKUP($A1645,'13. Updated Demand'!A:Z,18,FALSE))</f>
        <v>4</v>
      </c>
      <c r="AB1645" s="16">
        <f>IF(ISERROR(VLOOKUP($A1645,'13. Updated Demand'!A:Z,19,FALSE)),0,VLOOKUP($A1645,'13. Updated Demand'!A:Z,19,FALSE))</f>
        <v>4</v>
      </c>
      <c r="AC1645" s="16">
        <f>IF(ISERROR(VLOOKUP($A1645,'13. Updated Demand'!A:Z,20,FALSE)),0,VLOOKUP($A1645,'13. Updated Demand'!A:Z,20,FALSE))</f>
        <v>4</v>
      </c>
      <c r="AD1645" s="16">
        <f>IF(ISERROR(VLOOKUP($A1645,'13. Updated Demand'!A:Z,21,FALSE)),0,VLOOKUP($A1645,'13. Updated Demand'!A:Z,21,FALSE))</f>
        <v>4</v>
      </c>
      <c r="AE1645" s="16">
        <f>IF(ISERROR(VLOOKUP($A1645,'13. Updated Demand'!A:Z,22,FALSE)),0,VLOOKUP($A1645,'13. Updated Demand'!A:Z,22,FALSE))</f>
        <v>4</v>
      </c>
      <c r="AF1645" s="16">
        <f>IF(ISERROR(VLOOKUP($A1645,'13. Updated Demand'!A:Z,23,FALSE)),0,VLOOKUP($A1645,'13. Updated Demand'!A:Z,23,FALSE))</f>
        <v>4</v>
      </c>
      <c r="AG1645" s="16">
        <f>IF(ISERROR(VLOOKUP($A1645,'13. Updated Demand'!A:Z,24,FALSE)),0,VLOOKUP($A1645,'13. Updated Demand'!A:Z,24,FALSE))</f>
        <v>4</v>
      </c>
      <c r="AH1645" s="16">
        <f>IF(ISERROR(VLOOKUP($A1645,'13. Updated Demand'!A:Z,25,FALSE)),0,VLOOKUP($A1645,'13. Updated Demand'!A:Z,25,FALSE))</f>
        <v>0</v>
      </c>
      <c r="AI1645" s="16">
        <f>IF(ISERROR(VLOOKUP($A1645,'13. Updated Demand'!A:Z,26,FALSE)),0,VLOOKUP($A1645,'13. Updated Demand'!A:Z,26,FALSE))</f>
        <v>0</v>
      </c>
      <c r="AJ1645" s="16">
        <f t="shared" si="313"/>
        <v>28</v>
      </c>
      <c r="AK1645" s="19">
        <v>20</v>
      </c>
      <c r="AL1645" s="16">
        <f t="shared" si="311"/>
        <v>6.6337721785910173E-2</v>
      </c>
      <c r="AM1645" s="26">
        <v>0.69644465006143641</v>
      </c>
      <c r="AN1645" s="19">
        <v>40.2042</v>
      </c>
      <c r="AO1645" s="19" t="s">
        <v>1758</v>
      </c>
      <c r="AP1645" s="19">
        <v>0</v>
      </c>
      <c r="AQ1645" s="19" t="s">
        <v>307</v>
      </c>
      <c r="AR1645" s="9" t="s">
        <v>436</v>
      </c>
      <c r="AS1645" s="12">
        <v>0</v>
      </c>
      <c r="AT1645" s="19">
        <v>38.699791449999999</v>
      </c>
      <c r="AU1645" s="19">
        <v>-122.82664482</v>
      </c>
      <c r="AV1645" s="19" t="s">
        <v>417</v>
      </c>
    </row>
    <row r="1646" spans="1:48" x14ac:dyDescent="0.25">
      <c r="A1646" s="18" t="s">
        <v>2044</v>
      </c>
      <c r="B1646" s="10">
        <v>10000000</v>
      </c>
      <c r="C1646" s="9">
        <v>1</v>
      </c>
      <c r="D1646" s="8" t="str">
        <f t="shared" si="302"/>
        <v>N</v>
      </c>
      <c r="E1646" s="8" t="str">
        <f t="shared" si="303"/>
        <v>N</v>
      </c>
      <c r="F1646" s="8" t="str">
        <f t="shared" si="304"/>
        <v>Y</v>
      </c>
      <c r="G1646" s="8" t="str">
        <f t="shared" si="305"/>
        <v>Y</v>
      </c>
      <c r="H1646" s="8" t="str">
        <f t="shared" si="306"/>
        <v>Upper</v>
      </c>
      <c r="I1646" s="8" t="str">
        <f t="shared" si="307"/>
        <v>West Fork and Below Lake</v>
      </c>
      <c r="J1646" s="8" t="str">
        <f t="shared" si="308"/>
        <v>Outside</v>
      </c>
      <c r="K1646" s="8" t="str">
        <f t="shared" si="309"/>
        <v>Riparian</v>
      </c>
      <c r="L1646" s="8">
        <f t="shared" si="310"/>
        <v>1000</v>
      </c>
      <c r="M1646" s="8" t="str">
        <f t="shared" si="312"/>
        <v>-</v>
      </c>
      <c r="N1646" s="10" t="s">
        <v>242</v>
      </c>
      <c r="O1646" s="10" t="s">
        <v>241</v>
      </c>
      <c r="P1646" s="10" t="s">
        <v>242</v>
      </c>
      <c r="Q1646" s="10" t="s">
        <v>242</v>
      </c>
      <c r="R1646" s="10" t="s">
        <v>242</v>
      </c>
      <c r="S1646" s="10" t="s">
        <v>241</v>
      </c>
      <c r="T1646" s="10" t="s">
        <v>242</v>
      </c>
      <c r="U1646" s="10" t="s">
        <v>242</v>
      </c>
      <c r="V1646" s="10" t="s">
        <v>242</v>
      </c>
      <c r="W1646" s="10" t="s">
        <v>242</v>
      </c>
      <c r="X1646" s="15">
        <f>IF(ISERROR(VLOOKUP($A1646,'13. Updated Demand'!A:Z,15,FALSE)),0,VLOOKUP($A1646,'13. Updated Demand'!A:Z,15,FALSE))</f>
        <v>0.03</v>
      </c>
      <c r="Y1646" s="16">
        <f>IF(ISERROR(VLOOKUP($A1646,'13. Updated Demand'!A:Z,16,FALSE)),0,VLOOKUP($A1646,'13. Updated Demand'!A:Z,16,FALSE))</f>
        <v>0.03</v>
      </c>
      <c r="Z1646" s="16">
        <f>IF(ISERROR(VLOOKUP($A1646,'13. Updated Demand'!A:Z,17,FALSE)),0,VLOOKUP($A1646,'13. Updated Demand'!A:Z,17,FALSE))</f>
        <v>0.06</v>
      </c>
      <c r="AA1646" s="16">
        <f>IF(ISERROR(VLOOKUP($A1646,'13. Updated Demand'!A:Z,18,FALSE)),0,VLOOKUP($A1646,'13. Updated Demand'!A:Z,18,FALSE))</f>
        <v>0.13</v>
      </c>
      <c r="AB1646" s="16">
        <f>IF(ISERROR(VLOOKUP($A1646,'13. Updated Demand'!A:Z,19,FALSE)),0,VLOOKUP($A1646,'13. Updated Demand'!A:Z,19,FALSE))</f>
        <v>0.13</v>
      </c>
      <c r="AC1646" s="16">
        <f>IF(ISERROR(VLOOKUP($A1646,'13. Updated Demand'!A:Z,20,FALSE)),0,VLOOKUP($A1646,'13. Updated Demand'!A:Z,20,FALSE))</f>
        <v>0.13</v>
      </c>
      <c r="AD1646" s="16">
        <f>IF(ISERROR(VLOOKUP($A1646,'13. Updated Demand'!A:Z,21,FALSE)),0,VLOOKUP($A1646,'13. Updated Demand'!A:Z,21,FALSE))</f>
        <v>0.13</v>
      </c>
      <c r="AE1646" s="16">
        <f>IF(ISERROR(VLOOKUP($A1646,'13. Updated Demand'!A:Z,22,FALSE)),0,VLOOKUP($A1646,'13. Updated Demand'!A:Z,22,FALSE))</f>
        <v>0.13</v>
      </c>
      <c r="AF1646" s="16">
        <f>IF(ISERROR(VLOOKUP($A1646,'13. Updated Demand'!A:Z,23,FALSE)),0,VLOOKUP($A1646,'13. Updated Demand'!A:Z,23,FALSE))</f>
        <v>0.13</v>
      </c>
      <c r="AG1646" s="16">
        <f>IF(ISERROR(VLOOKUP($A1646,'13. Updated Demand'!A:Z,24,FALSE)),0,VLOOKUP($A1646,'13. Updated Demand'!A:Z,24,FALSE))</f>
        <v>0.06</v>
      </c>
      <c r="AH1646" s="16">
        <f>IF(ISERROR(VLOOKUP($A1646,'13. Updated Demand'!A:Z,25,FALSE)),0,VLOOKUP($A1646,'13. Updated Demand'!A:Z,25,FALSE))</f>
        <v>0.03</v>
      </c>
      <c r="AI1646" s="16">
        <f>IF(ISERROR(VLOOKUP($A1646,'13. Updated Demand'!A:Z,26,FALSE)),0,VLOOKUP($A1646,'13. Updated Demand'!A:Z,26,FALSE))</f>
        <v>0.03</v>
      </c>
      <c r="AJ1646" s="16">
        <f t="shared" si="313"/>
        <v>1.02</v>
      </c>
      <c r="AK1646" s="19">
        <v>0.67761000000000005</v>
      </c>
      <c r="AL1646" s="16">
        <f t="shared" si="311"/>
        <v>2.2475551829675301E-3</v>
      </c>
      <c r="AM1646" s="26">
        <v>7.4502047694643844E-2</v>
      </c>
      <c r="AN1646" s="19">
        <v>14.488</v>
      </c>
      <c r="AO1646" s="19" t="s">
        <v>1758</v>
      </c>
      <c r="AP1646" s="19">
        <v>0</v>
      </c>
      <c r="AQ1646" s="19" t="s">
        <v>307</v>
      </c>
      <c r="AR1646" s="9" t="s">
        <v>317</v>
      </c>
      <c r="AS1646" s="12">
        <v>3.4039024194010059E-4</v>
      </c>
      <c r="AT1646" s="19">
        <v>39.253326020000003</v>
      </c>
      <c r="AU1646" s="19">
        <v>-123.3113101</v>
      </c>
      <c r="AV1646" s="19" t="s">
        <v>417</v>
      </c>
    </row>
    <row r="1647" spans="1:48" x14ac:dyDescent="0.25">
      <c r="A1647" s="18" t="s">
        <v>2045</v>
      </c>
      <c r="B1647" s="10">
        <v>10000000</v>
      </c>
      <c r="C1647" s="9">
        <v>1</v>
      </c>
      <c r="D1647" s="8" t="str">
        <f t="shared" si="302"/>
        <v>N</v>
      </c>
      <c r="E1647" s="8" t="str">
        <f t="shared" si="303"/>
        <v>N</v>
      </c>
      <c r="F1647" s="8" t="str">
        <f t="shared" si="304"/>
        <v>Y</v>
      </c>
      <c r="G1647" s="8" t="str">
        <f t="shared" si="305"/>
        <v>Y</v>
      </c>
      <c r="H1647" s="8" t="str">
        <f t="shared" si="306"/>
        <v>Upper</v>
      </c>
      <c r="I1647" s="8" t="str">
        <f t="shared" si="307"/>
        <v>West Fork and Below Lake</v>
      </c>
      <c r="J1647" s="8" t="str">
        <f t="shared" si="308"/>
        <v>Outside</v>
      </c>
      <c r="K1647" s="8" t="str">
        <f t="shared" si="309"/>
        <v>Riparian</v>
      </c>
      <c r="L1647" s="8">
        <f t="shared" si="310"/>
        <v>1000</v>
      </c>
      <c r="M1647" s="8" t="str">
        <f t="shared" si="312"/>
        <v>-</v>
      </c>
      <c r="N1647" s="10" t="s">
        <v>242</v>
      </c>
      <c r="O1647" s="10" t="s">
        <v>241</v>
      </c>
      <c r="P1647" s="10" t="s">
        <v>242</v>
      </c>
      <c r="Q1647" s="10" t="s">
        <v>242</v>
      </c>
      <c r="R1647" s="10" t="s">
        <v>242</v>
      </c>
      <c r="S1647" s="10" t="s">
        <v>241</v>
      </c>
      <c r="T1647" s="10" t="s">
        <v>242</v>
      </c>
      <c r="U1647" s="10" t="s">
        <v>242</v>
      </c>
      <c r="V1647" s="10" t="s">
        <v>242</v>
      </c>
      <c r="W1647" s="10" t="s">
        <v>242</v>
      </c>
      <c r="X1647" s="15">
        <f>IF(ISERROR(VLOOKUP($A1647,'13. Updated Demand'!A:Z,15,FALSE)),0,VLOOKUP($A1647,'13. Updated Demand'!A:Z,15,FALSE))</f>
        <v>0.06</v>
      </c>
      <c r="Y1647" s="16">
        <f>IF(ISERROR(VLOOKUP($A1647,'13. Updated Demand'!A:Z,16,FALSE)),0,VLOOKUP($A1647,'13. Updated Demand'!A:Z,16,FALSE))</f>
        <v>0.06</v>
      </c>
      <c r="Z1647" s="16">
        <f>IF(ISERROR(VLOOKUP($A1647,'13. Updated Demand'!A:Z,17,FALSE)),0,VLOOKUP($A1647,'13. Updated Demand'!A:Z,17,FALSE))</f>
        <v>0.06</v>
      </c>
      <c r="AA1647" s="16">
        <f>IF(ISERROR(VLOOKUP($A1647,'13. Updated Demand'!A:Z,18,FALSE)),0,VLOOKUP($A1647,'13. Updated Demand'!A:Z,18,FALSE))</f>
        <v>7.0000000000000007E-2</v>
      </c>
      <c r="AB1647" s="16">
        <f>IF(ISERROR(VLOOKUP($A1647,'13. Updated Demand'!A:Z,19,FALSE)),0,VLOOKUP($A1647,'13. Updated Demand'!A:Z,19,FALSE))</f>
        <v>7.0000000000000007E-2</v>
      </c>
      <c r="AC1647" s="16">
        <f>IF(ISERROR(VLOOKUP($A1647,'13. Updated Demand'!A:Z,20,FALSE)),0,VLOOKUP($A1647,'13. Updated Demand'!A:Z,20,FALSE))</f>
        <v>7.0000000000000007E-2</v>
      </c>
      <c r="AD1647" s="16">
        <f>IF(ISERROR(VLOOKUP($A1647,'13. Updated Demand'!A:Z,21,FALSE)),0,VLOOKUP($A1647,'13. Updated Demand'!A:Z,21,FALSE))</f>
        <v>0.04</v>
      </c>
      <c r="AE1647" s="16">
        <f>IF(ISERROR(VLOOKUP($A1647,'13. Updated Demand'!A:Z,22,FALSE)),0,VLOOKUP($A1647,'13. Updated Demand'!A:Z,22,FALSE))</f>
        <v>0.04</v>
      </c>
      <c r="AF1647" s="16">
        <f>IF(ISERROR(VLOOKUP($A1647,'13. Updated Demand'!A:Z,23,FALSE)),0,VLOOKUP($A1647,'13. Updated Demand'!A:Z,23,FALSE))</f>
        <v>0.04</v>
      </c>
      <c r="AG1647" s="16">
        <f>IF(ISERROR(VLOOKUP($A1647,'13. Updated Demand'!A:Z,24,FALSE)),0,VLOOKUP($A1647,'13. Updated Demand'!A:Z,24,FALSE))</f>
        <v>0.04</v>
      </c>
      <c r="AH1647" s="16">
        <f>IF(ISERROR(VLOOKUP($A1647,'13. Updated Demand'!A:Z,25,FALSE)),0,VLOOKUP($A1647,'13. Updated Demand'!A:Z,25,FALSE))</f>
        <v>0.04</v>
      </c>
      <c r="AI1647" s="16">
        <f>IF(ISERROR(VLOOKUP($A1647,'13. Updated Demand'!A:Z,26,FALSE)),0,VLOOKUP($A1647,'13. Updated Demand'!A:Z,26,FALSE))</f>
        <v>0.06</v>
      </c>
      <c r="AJ1647" s="16">
        <f t="shared" si="313"/>
        <v>0.65000000000000013</v>
      </c>
      <c r="AK1647" s="19">
        <v>0.291543</v>
      </c>
      <c r="AL1647" s="16">
        <f t="shared" si="311"/>
        <v>9.6701492113148053E-4</v>
      </c>
      <c r="AM1647" s="26">
        <v>4.8718870789619E-2</v>
      </c>
      <c r="AN1647" s="19">
        <v>14.488</v>
      </c>
      <c r="AO1647" s="19" t="s">
        <v>1758</v>
      </c>
      <c r="AP1647" s="19">
        <v>0</v>
      </c>
      <c r="AQ1647" s="19" t="s">
        <v>307</v>
      </c>
      <c r="AR1647" s="9" t="s">
        <v>317</v>
      </c>
      <c r="AS1647" s="12">
        <v>3.4039024194010059E-4</v>
      </c>
      <c r="AT1647" s="19">
        <v>39.253326020000003</v>
      </c>
      <c r="AU1647" s="19">
        <v>-123.3113101</v>
      </c>
      <c r="AV1647" s="19" t="s">
        <v>417</v>
      </c>
    </row>
    <row r="1648" spans="1:48" x14ac:dyDescent="0.25">
      <c r="A1648" s="18" t="s">
        <v>2046</v>
      </c>
      <c r="B1648" s="10">
        <v>10000000</v>
      </c>
      <c r="C1648" s="9">
        <v>4</v>
      </c>
      <c r="D1648" s="8" t="str">
        <f t="shared" si="302"/>
        <v>Y</v>
      </c>
      <c r="E1648" s="8" t="str">
        <f t="shared" si="303"/>
        <v>N</v>
      </c>
      <c r="F1648" s="8" t="str">
        <f t="shared" si="304"/>
        <v>Y</v>
      </c>
      <c r="G1648" s="8" t="str">
        <f t="shared" si="305"/>
        <v>Y</v>
      </c>
      <c r="H1648" s="8" t="str">
        <f t="shared" si="306"/>
        <v>Upper</v>
      </c>
      <c r="I1648" s="8" t="str">
        <f t="shared" si="307"/>
        <v>West Fork and Below Lake</v>
      </c>
      <c r="J1648" s="8" t="str">
        <f t="shared" si="308"/>
        <v>Mendocino (d/s of lake)</v>
      </c>
      <c r="K1648" s="8" t="str">
        <f t="shared" si="309"/>
        <v>Riparian</v>
      </c>
      <c r="L1648" s="8">
        <f t="shared" si="310"/>
        <v>1000</v>
      </c>
      <c r="M1648" s="8" t="str">
        <f t="shared" si="312"/>
        <v>-</v>
      </c>
      <c r="N1648" s="10" t="s">
        <v>241</v>
      </c>
      <c r="O1648" s="10" t="s">
        <v>241</v>
      </c>
      <c r="P1648" s="10" t="s">
        <v>242</v>
      </c>
      <c r="Q1648" s="10" t="s">
        <v>242</v>
      </c>
      <c r="R1648" s="10" t="s">
        <v>242</v>
      </c>
      <c r="S1648" s="10" t="s">
        <v>241</v>
      </c>
      <c r="T1648" s="10" t="s">
        <v>242</v>
      </c>
      <c r="U1648" s="10" t="s">
        <v>241</v>
      </c>
      <c r="V1648" s="10" t="s">
        <v>241</v>
      </c>
      <c r="W1648" s="10" t="s">
        <v>242</v>
      </c>
      <c r="X1648" s="15">
        <f>IF(ISERROR(VLOOKUP($A1648,'13. Updated Demand'!A:Z,15,FALSE)),0,VLOOKUP($A1648,'13. Updated Demand'!A:Z,15,FALSE))</f>
        <v>0</v>
      </c>
      <c r="Y1648" s="16">
        <f>IF(ISERROR(VLOOKUP($A1648,'13. Updated Demand'!A:Z,16,FALSE)),0,VLOOKUP($A1648,'13. Updated Demand'!A:Z,16,FALSE))</f>
        <v>0</v>
      </c>
      <c r="Z1648" s="16">
        <f>IF(ISERROR(VLOOKUP($A1648,'13. Updated Demand'!A:Z,17,FALSE)),0,VLOOKUP($A1648,'13. Updated Demand'!A:Z,17,FALSE))</f>
        <v>0</v>
      </c>
      <c r="AA1648" s="16">
        <f>IF(ISERROR(VLOOKUP($A1648,'13. Updated Demand'!A:Z,18,FALSE)),0,VLOOKUP($A1648,'13. Updated Demand'!A:Z,18,FALSE))</f>
        <v>0</v>
      </c>
      <c r="AB1648" s="16">
        <f>IF(ISERROR(VLOOKUP($A1648,'13. Updated Demand'!A:Z,19,FALSE)),0,VLOOKUP($A1648,'13. Updated Demand'!A:Z,19,FALSE))</f>
        <v>0</v>
      </c>
      <c r="AC1648" s="16">
        <f>IF(ISERROR(VLOOKUP($A1648,'13. Updated Demand'!A:Z,20,FALSE)),0,VLOOKUP($A1648,'13. Updated Demand'!A:Z,20,FALSE))</f>
        <v>0</v>
      </c>
      <c r="AD1648" s="16">
        <f>IF(ISERROR(VLOOKUP($A1648,'13. Updated Demand'!A:Z,21,FALSE)),0,VLOOKUP($A1648,'13. Updated Demand'!A:Z,21,FALSE))</f>
        <v>0</v>
      </c>
      <c r="AE1648" s="16">
        <f>IF(ISERROR(VLOOKUP($A1648,'13. Updated Demand'!A:Z,22,FALSE)),0,VLOOKUP($A1648,'13. Updated Demand'!A:Z,22,FALSE))</f>
        <v>0</v>
      </c>
      <c r="AF1648" s="16">
        <f>IF(ISERROR(VLOOKUP($A1648,'13. Updated Demand'!A:Z,23,FALSE)),0,VLOOKUP($A1648,'13. Updated Demand'!A:Z,23,FALSE))</f>
        <v>0</v>
      </c>
      <c r="AG1648" s="16">
        <f>IF(ISERROR(VLOOKUP($A1648,'13. Updated Demand'!A:Z,24,FALSE)),0,VLOOKUP($A1648,'13. Updated Demand'!A:Z,24,FALSE))</f>
        <v>0</v>
      </c>
      <c r="AH1648" s="16">
        <f>IF(ISERROR(VLOOKUP($A1648,'13. Updated Demand'!A:Z,25,FALSE)),0,VLOOKUP($A1648,'13. Updated Demand'!A:Z,25,FALSE))</f>
        <v>0</v>
      </c>
      <c r="AI1648" s="16">
        <f>IF(ISERROR(VLOOKUP($A1648,'13. Updated Demand'!A:Z,26,FALSE)),0,VLOOKUP($A1648,'13. Updated Demand'!A:Z,26,FALSE))</f>
        <v>0</v>
      </c>
      <c r="AJ1648" s="16">
        <f t="shared" si="313"/>
        <v>0</v>
      </c>
      <c r="AK1648" s="19">
        <v>0</v>
      </c>
      <c r="AL1648" s="16">
        <f t="shared" si="311"/>
        <v>0</v>
      </c>
      <c r="AM1648" s="26">
        <v>0</v>
      </c>
      <c r="AN1648" s="19">
        <v>108</v>
      </c>
      <c r="AO1648" s="19" t="s">
        <v>1758</v>
      </c>
      <c r="AP1648" s="19">
        <v>0</v>
      </c>
      <c r="AQ1648" s="19" t="s">
        <v>307</v>
      </c>
      <c r="AR1648" s="9" t="s">
        <v>331</v>
      </c>
      <c r="AS1648" s="12">
        <v>0</v>
      </c>
      <c r="AT1648" s="19">
        <v>39.179444029999999</v>
      </c>
      <c r="AU1648" s="19">
        <v>-123.19757102</v>
      </c>
      <c r="AV1648" s="19" t="s">
        <v>387</v>
      </c>
    </row>
    <row r="1649" spans="1:48" x14ac:dyDescent="0.25">
      <c r="A1649" s="18" t="s">
        <v>2047</v>
      </c>
      <c r="B1649" s="10">
        <v>10000000</v>
      </c>
      <c r="C1649" s="9">
        <v>2</v>
      </c>
      <c r="D1649" s="8" t="str">
        <f t="shared" si="302"/>
        <v>N</v>
      </c>
      <c r="E1649" s="8" t="str">
        <f t="shared" si="303"/>
        <v>N</v>
      </c>
      <c r="F1649" s="8" t="str">
        <f t="shared" si="304"/>
        <v>Y</v>
      </c>
      <c r="G1649" s="8" t="str">
        <f t="shared" si="305"/>
        <v>N</v>
      </c>
      <c r="H1649" s="8" t="str">
        <f t="shared" si="306"/>
        <v>Upper</v>
      </c>
      <c r="I1649" s="8" t="str">
        <f t="shared" si="307"/>
        <v>Outside</v>
      </c>
      <c r="J1649" s="8" t="str">
        <f t="shared" si="308"/>
        <v>Outside</v>
      </c>
      <c r="K1649" s="8" t="str">
        <f t="shared" si="309"/>
        <v>Riparian</v>
      </c>
      <c r="L1649" s="8">
        <f t="shared" si="310"/>
        <v>1000</v>
      </c>
      <c r="M1649" s="8" t="str">
        <f t="shared" si="312"/>
        <v>-</v>
      </c>
      <c r="N1649" s="10" t="s">
        <v>242</v>
      </c>
      <c r="O1649" s="10" t="s">
        <v>241</v>
      </c>
      <c r="P1649" s="10" t="s">
        <v>242</v>
      </c>
      <c r="Q1649" s="10" t="s">
        <v>242</v>
      </c>
      <c r="R1649" s="10" t="s">
        <v>242</v>
      </c>
      <c r="S1649" s="10" t="s">
        <v>241</v>
      </c>
      <c r="T1649" s="10" t="s">
        <v>242</v>
      </c>
      <c r="U1649" s="10" t="s">
        <v>242</v>
      </c>
      <c r="V1649" s="10" t="s">
        <v>241</v>
      </c>
      <c r="W1649" s="10" t="s">
        <v>242</v>
      </c>
      <c r="X1649" s="15">
        <f>IF(ISERROR(VLOOKUP($A1649,'13. Updated Demand'!A:Z,15,FALSE)),0,VLOOKUP($A1649,'13. Updated Demand'!A:Z,15,FALSE))</f>
        <v>0</v>
      </c>
      <c r="Y1649" s="16">
        <f>IF(ISERROR(VLOOKUP($A1649,'13. Updated Demand'!A:Z,16,FALSE)),0,VLOOKUP($A1649,'13. Updated Demand'!A:Z,16,FALSE))</f>
        <v>0</v>
      </c>
      <c r="Z1649" s="16">
        <f>IF(ISERROR(VLOOKUP($A1649,'13. Updated Demand'!A:Z,17,FALSE)),0,VLOOKUP($A1649,'13. Updated Demand'!A:Z,17,FALSE))</f>
        <v>0.73</v>
      </c>
      <c r="AA1649" s="16">
        <f>IF(ISERROR(VLOOKUP($A1649,'13. Updated Demand'!A:Z,18,FALSE)),0,VLOOKUP($A1649,'13. Updated Demand'!A:Z,18,FALSE))</f>
        <v>0.73</v>
      </c>
      <c r="AB1649" s="16">
        <f>IF(ISERROR(VLOOKUP($A1649,'13. Updated Demand'!A:Z,19,FALSE)),0,VLOOKUP($A1649,'13. Updated Demand'!A:Z,19,FALSE))</f>
        <v>0</v>
      </c>
      <c r="AC1649" s="16">
        <f>IF(ISERROR(VLOOKUP($A1649,'13. Updated Demand'!A:Z,20,FALSE)),0,VLOOKUP($A1649,'13. Updated Demand'!A:Z,20,FALSE))</f>
        <v>0</v>
      </c>
      <c r="AD1649" s="16">
        <f>IF(ISERROR(VLOOKUP($A1649,'13. Updated Demand'!A:Z,21,FALSE)),0,VLOOKUP($A1649,'13. Updated Demand'!A:Z,21,FALSE))</f>
        <v>0</v>
      </c>
      <c r="AE1649" s="16">
        <f>IF(ISERROR(VLOOKUP($A1649,'13. Updated Demand'!A:Z,22,FALSE)),0,VLOOKUP($A1649,'13. Updated Demand'!A:Z,22,FALSE))</f>
        <v>0</v>
      </c>
      <c r="AF1649" s="16">
        <f>IF(ISERROR(VLOOKUP($A1649,'13. Updated Demand'!A:Z,23,FALSE)),0,VLOOKUP($A1649,'13. Updated Demand'!A:Z,23,FALSE))</f>
        <v>0</v>
      </c>
      <c r="AG1649" s="16">
        <f>IF(ISERROR(VLOOKUP($A1649,'13. Updated Demand'!A:Z,24,FALSE)),0,VLOOKUP($A1649,'13. Updated Demand'!A:Z,24,FALSE))</f>
        <v>7.6666670000000003E-3</v>
      </c>
      <c r="AH1649" s="16">
        <f>IF(ISERROR(VLOOKUP($A1649,'13. Updated Demand'!A:Z,25,FALSE)),0,VLOOKUP($A1649,'13. Updated Demand'!A:Z,25,FALSE))</f>
        <v>0</v>
      </c>
      <c r="AI1649" s="16">
        <f>IF(ISERROR(VLOOKUP($A1649,'13. Updated Demand'!A:Z,26,FALSE)),0,VLOOKUP($A1649,'13. Updated Demand'!A:Z,26,FALSE))</f>
        <v>0</v>
      </c>
      <c r="AJ1649" s="16">
        <f t="shared" si="313"/>
        <v>1.467666667</v>
      </c>
      <c r="AK1649" s="19">
        <v>0</v>
      </c>
      <c r="AL1649" s="16">
        <f t="shared" si="311"/>
        <v>0</v>
      </c>
      <c r="AM1649" s="26">
        <v>546.96444481481478</v>
      </c>
      <c r="AN1649" s="19">
        <v>2.7000000000000001E-3</v>
      </c>
      <c r="AO1649" s="19" t="s">
        <v>1758</v>
      </c>
      <c r="AP1649" s="19">
        <v>0</v>
      </c>
      <c r="AQ1649" s="19" t="s">
        <v>307</v>
      </c>
      <c r="AR1649" s="9" t="s">
        <v>348</v>
      </c>
      <c r="AS1649" s="12">
        <v>3.4039024194010059E-4</v>
      </c>
      <c r="AT1649" s="19">
        <v>39.307949000000001</v>
      </c>
      <c r="AU1649" s="19">
        <v>-123.09672399999999</v>
      </c>
      <c r="AV1649" s="19" t="s">
        <v>2048</v>
      </c>
    </row>
    <row r="1650" spans="1:48" x14ac:dyDescent="0.25">
      <c r="A1650" s="18" t="s">
        <v>2049</v>
      </c>
      <c r="B1650" s="10">
        <v>10000000</v>
      </c>
      <c r="C1650" s="9">
        <v>10</v>
      </c>
      <c r="D1650" s="8" t="str">
        <f t="shared" si="302"/>
        <v>N</v>
      </c>
      <c r="E1650" s="8" t="str">
        <f t="shared" si="303"/>
        <v>Y</v>
      </c>
      <c r="F1650" s="8" t="str">
        <f t="shared" si="304"/>
        <v>Y</v>
      </c>
      <c r="G1650" s="8" t="str">
        <f t="shared" si="305"/>
        <v>Y</v>
      </c>
      <c r="H1650" s="8" t="str">
        <f t="shared" si="306"/>
        <v>Upper</v>
      </c>
      <c r="I1650" s="8" t="str">
        <f t="shared" si="307"/>
        <v>West Fork and Below Lake</v>
      </c>
      <c r="J1650" s="8" t="str">
        <f t="shared" si="308"/>
        <v>Sonoma (d/s of Clov. Gage)</v>
      </c>
      <c r="K1650" s="8" t="str">
        <f t="shared" si="309"/>
        <v>Riparian</v>
      </c>
      <c r="L1650" s="8">
        <f t="shared" si="310"/>
        <v>1000</v>
      </c>
      <c r="M1650" s="8" t="str">
        <f t="shared" si="312"/>
        <v>-</v>
      </c>
      <c r="N1650" s="10" t="s">
        <v>241</v>
      </c>
      <c r="O1650" s="10" t="s">
        <v>241</v>
      </c>
      <c r="P1650" s="10" t="s">
        <v>242</v>
      </c>
      <c r="Q1650" s="10" t="s">
        <v>242</v>
      </c>
      <c r="R1650" s="10" t="s">
        <v>242</v>
      </c>
      <c r="S1650" s="10" t="s">
        <v>241</v>
      </c>
      <c r="T1650" s="10" t="s">
        <v>242</v>
      </c>
      <c r="U1650" s="10" t="s">
        <v>242</v>
      </c>
      <c r="V1650" s="10" t="s">
        <v>242</v>
      </c>
      <c r="W1650" s="10" t="s">
        <v>242</v>
      </c>
      <c r="X1650" s="15">
        <f>IF(ISERROR(VLOOKUP($A1650,'13. Updated Demand'!A:Z,15,FALSE)),0,VLOOKUP($A1650,'13. Updated Demand'!A:Z,15,FALSE))</f>
        <v>0</v>
      </c>
      <c r="Y1650" s="16">
        <f>IF(ISERROR(VLOOKUP($A1650,'13. Updated Demand'!A:Z,16,FALSE)),0,VLOOKUP($A1650,'13. Updated Demand'!A:Z,16,FALSE))</f>
        <v>0</v>
      </c>
      <c r="Z1650" s="16">
        <f>IF(ISERROR(VLOOKUP($A1650,'13. Updated Demand'!A:Z,17,FALSE)),0,VLOOKUP($A1650,'13. Updated Demand'!A:Z,17,FALSE))</f>
        <v>8.07</v>
      </c>
      <c r="AA1650" s="16">
        <f>IF(ISERROR(VLOOKUP($A1650,'13. Updated Demand'!A:Z,18,FALSE)),0,VLOOKUP($A1650,'13. Updated Demand'!A:Z,18,FALSE))</f>
        <v>0</v>
      </c>
      <c r="AB1650" s="16">
        <f>IF(ISERROR(VLOOKUP($A1650,'13. Updated Demand'!A:Z,19,FALSE)),0,VLOOKUP($A1650,'13. Updated Demand'!A:Z,19,FALSE))</f>
        <v>0</v>
      </c>
      <c r="AC1650" s="16">
        <f>IF(ISERROR(VLOOKUP($A1650,'13. Updated Demand'!A:Z,20,FALSE)),0,VLOOKUP($A1650,'13. Updated Demand'!A:Z,20,FALSE))</f>
        <v>9.35</v>
      </c>
      <c r="AD1650" s="16">
        <f>IF(ISERROR(VLOOKUP($A1650,'13. Updated Demand'!A:Z,21,FALSE)),0,VLOOKUP($A1650,'13. Updated Demand'!A:Z,21,FALSE))</f>
        <v>9.35</v>
      </c>
      <c r="AE1650" s="16">
        <f>IF(ISERROR(VLOOKUP($A1650,'13. Updated Demand'!A:Z,22,FALSE)),0,VLOOKUP($A1650,'13. Updated Demand'!A:Z,22,FALSE))</f>
        <v>9.35</v>
      </c>
      <c r="AF1650" s="16">
        <f>IF(ISERROR(VLOOKUP($A1650,'13. Updated Demand'!A:Z,23,FALSE)),0,VLOOKUP($A1650,'13. Updated Demand'!A:Z,23,FALSE))</f>
        <v>9.35</v>
      </c>
      <c r="AG1650" s="16">
        <f>IF(ISERROR(VLOOKUP($A1650,'13. Updated Demand'!A:Z,24,FALSE)),0,VLOOKUP($A1650,'13. Updated Demand'!A:Z,24,FALSE))</f>
        <v>17.68</v>
      </c>
      <c r="AH1650" s="16">
        <f>IF(ISERROR(VLOOKUP($A1650,'13. Updated Demand'!A:Z,25,FALSE)),0,VLOOKUP($A1650,'13. Updated Demand'!A:Z,25,FALSE))</f>
        <v>0</v>
      </c>
      <c r="AI1650" s="16">
        <f>IF(ISERROR(VLOOKUP($A1650,'13. Updated Demand'!A:Z,26,FALSE)),0,VLOOKUP($A1650,'13. Updated Demand'!A:Z,26,FALSE))</f>
        <v>0</v>
      </c>
      <c r="AJ1650" s="16">
        <f t="shared" si="313"/>
        <v>63.150000000000006</v>
      </c>
      <c r="AK1650" s="19">
        <v>37.41333333333332</v>
      </c>
      <c r="AL1650" s="16">
        <f t="shared" si="311"/>
        <v>0.12409576488750926</v>
      </c>
      <c r="AM1650" s="26">
        <v>2.6028059591605746E-2</v>
      </c>
      <c r="AN1650" s="19">
        <v>2426.7399999999998</v>
      </c>
      <c r="AO1650" s="19" t="s">
        <v>1758</v>
      </c>
      <c r="AP1650" s="19">
        <v>0</v>
      </c>
      <c r="AQ1650" s="19" t="s">
        <v>307</v>
      </c>
      <c r="AR1650" s="9" t="s">
        <v>436</v>
      </c>
      <c r="AS1650" s="12">
        <v>0</v>
      </c>
      <c r="AT1650" s="19">
        <v>38.702439509999998</v>
      </c>
      <c r="AU1650" s="19">
        <v>-122.87748872</v>
      </c>
      <c r="AV1650" s="19" t="s">
        <v>387</v>
      </c>
    </row>
    <row r="1651" spans="1:48" x14ac:dyDescent="0.25">
      <c r="A1651" s="18" t="s">
        <v>2050</v>
      </c>
      <c r="B1651" s="10">
        <v>10000000</v>
      </c>
      <c r="C1651" s="9">
        <v>10</v>
      </c>
      <c r="D1651" s="8" t="str">
        <f t="shared" si="302"/>
        <v>N</v>
      </c>
      <c r="E1651" s="8" t="str">
        <f t="shared" si="303"/>
        <v>Y</v>
      </c>
      <c r="F1651" s="8" t="str">
        <f t="shared" si="304"/>
        <v>Y</v>
      </c>
      <c r="G1651" s="8" t="str">
        <f t="shared" si="305"/>
        <v>Y</v>
      </c>
      <c r="H1651" s="8" t="str">
        <f t="shared" si="306"/>
        <v>Upper</v>
      </c>
      <c r="I1651" s="8" t="str">
        <f t="shared" si="307"/>
        <v>West Fork and Below Lake</v>
      </c>
      <c r="J1651" s="8" t="str">
        <f t="shared" si="308"/>
        <v>Sonoma (d/s of Clov. Gage)</v>
      </c>
      <c r="K1651" s="8" t="str">
        <f t="shared" si="309"/>
        <v>Riparian</v>
      </c>
      <c r="L1651" s="8">
        <f t="shared" si="310"/>
        <v>1000</v>
      </c>
      <c r="M1651" s="8" t="str">
        <f t="shared" si="312"/>
        <v>-</v>
      </c>
      <c r="N1651" s="10" t="s">
        <v>241</v>
      </c>
      <c r="O1651" s="10" t="s">
        <v>241</v>
      </c>
      <c r="P1651" s="10" t="s">
        <v>242</v>
      </c>
      <c r="Q1651" s="10" t="s">
        <v>242</v>
      </c>
      <c r="R1651" s="10" t="s">
        <v>242</v>
      </c>
      <c r="S1651" s="10" t="s">
        <v>241</v>
      </c>
      <c r="T1651" s="10" t="s">
        <v>242</v>
      </c>
      <c r="U1651" s="10" t="s">
        <v>242</v>
      </c>
      <c r="V1651" s="10" t="s">
        <v>242</v>
      </c>
      <c r="W1651" s="10" t="s">
        <v>242</v>
      </c>
      <c r="X1651" s="15">
        <f>IF(ISERROR(VLOOKUP($A1651,'13. Updated Demand'!A:Z,15,FALSE)),0,VLOOKUP($A1651,'13. Updated Demand'!A:Z,15,FALSE))</f>
        <v>0</v>
      </c>
      <c r="Y1651" s="16">
        <f>IF(ISERROR(VLOOKUP($A1651,'13. Updated Demand'!A:Z,16,FALSE)),0,VLOOKUP($A1651,'13. Updated Demand'!A:Z,16,FALSE))</f>
        <v>2</v>
      </c>
      <c r="Z1651" s="16">
        <f>IF(ISERROR(VLOOKUP($A1651,'13. Updated Demand'!A:Z,17,FALSE)),0,VLOOKUP($A1651,'13. Updated Demand'!A:Z,17,FALSE))</f>
        <v>0</v>
      </c>
      <c r="AA1651" s="16">
        <f>IF(ISERROR(VLOOKUP($A1651,'13. Updated Demand'!A:Z,18,FALSE)),0,VLOOKUP($A1651,'13. Updated Demand'!A:Z,18,FALSE))</f>
        <v>0</v>
      </c>
      <c r="AB1651" s="16">
        <f>IF(ISERROR(VLOOKUP($A1651,'13. Updated Demand'!A:Z,19,FALSE)),0,VLOOKUP($A1651,'13. Updated Demand'!A:Z,19,FALSE))</f>
        <v>0</v>
      </c>
      <c r="AC1651" s="16">
        <f>IF(ISERROR(VLOOKUP($A1651,'13. Updated Demand'!A:Z,20,FALSE)),0,VLOOKUP($A1651,'13. Updated Demand'!A:Z,20,FALSE))</f>
        <v>6.11</v>
      </c>
      <c r="AD1651" s="16">
        <f>IF(ISERROR(VLOOKUP($A1651,'13. Updated Demand'!A:Z,21,FALSE)),0,VLOOKUP($A1651,'13. Updated Demand'!A:Z,21,FALSE))</f>
        <v>6.11</v>
      </c>
      <c r="AE1651" s="16">
        <f>IF(ISERROR(VLOOKUP($A1651,'13. Updated Demand'!A:Z,22,FALSE)),0,VLOOKUP($A1651,'13. Updated Demand'!A:Z,22,FALSE))</f>
        <v>6.11</v>
      </c>
      <c r="AF1651" s="16">
        <f>IF(ISERROR(VLOOKUP($A1651,'13. Updated Demand'!A:Z,23,FALSE)),0,VLOOKUP($A1651,'13. Updated Demand'!A:Z,23,FALSE))</f>
        <v>6.11</v>
      </c>
      <c r="AG1651" s="16">
        <f>IF(ISERROR(VLOOKUP($A1651,'13. Updated Demand'!A:Z,24,FALSE)),0,VLOOKUP($A1651,'13. Updated Demand'!A:Z,24,FALSE))</f>
        <v>2</v>
      </c>
      <c r="AH1651" s="16">
        <f>IF(ISERROR(VLOOKUP($A1651,'13. Updated Demand'!A:Z,25,FALSE)),0,VLOOKUP($A1651,'13. Updated Demand'!A:Z,25,FALSE))</f>
        <v>0</v>
      </c>
      <c r="AI1651" s="16">
        <f>IF(ISERROR(VLOOKUP($A1651,'13. Updated Demand'!A:Z,26,FALSE)),0,VLOOKUP($A1651,'13. Updated Demand'!A:Z,26,FALSE))</f>
        <v>0</v>
      </c>
      <c r="AJ1651" s="16">
        <f t="shared" si="313"/>
        <v>28.439999999999998</v>
      </c>
      <c r="AK1651" s="19">
        <v>24.466666666666679</v>
      </c>
      <c r="AL1651" s="16">
        <f t="shared" si="311"/>
        <v>8.1153146318096836E-2</v>
      </c>
      <c r="AM1651" s="26">
        <v>2.9115623998745666E-2</v>
      </c>
      <c r="AN1651" s="19">
        <v>977.94</v>
      </c>
      <c r="AO1651" s="19" t="s">
        <v>1758</v>
      </c>
      <c r="AP1651" s="19">
        <v>0</v>
      </c>
      <c r="AQ1651" s="19" t="s">
        <v>307</v>
      </c>
      <c r="AR1651" s="9" t="s">
        <v>436</v>
      </c>
      <c r="AS1651" s="12">
        <v>0</v>
      </c>
      <c r="AT1651" s="19">
        <v>38.691207730000002</v>
      </c>
      <c r="AU1651" s="19">
        <v>-122.85545159</v>
      </c>
      <c r="AV1651" s="19" t="s">
        <v>387</v>
      </c>
    </row>
    <row r="1652" spans="1:48" x14ac:dyDescent="0.25">
      <c r="A1652" s="18" t="s">
        <v>2051</v>
      </c>
      <c r="B1652" s="10">
        <v>10000000</v>
      </c>
      <c r="C1652" s="9">
        <v>21</v>
      </c>
      <c r="D1652" s="8" t="str">
        <f t="shared" si="302"/>
        <v>N</v>
      </c>
      <c r="E1652" s="8" t="str">
        <f t="shared" si="303"/>
        <v>N</v>
      </c>
      <c r="F1652" s="8" t="str">
        <f t="shared" si="304"/>
        <v>N</v>
      </c>
      <c r="G1652" s="8" t="str">
        <f t="shared" si="305"/>
        <v>N</v>
      </c>
      <c r="H1652" s="8" t="str">
        <f t="shared" si="306"/>
        <v>Lower</v>
      </c>
      <c r="I1652" s="8" t="str">
        <f t="shared" si="307"/>
        <v>Outside</v>
      </c>
      <c r="J1652" s="8" t="str">
        <f t="shared" si="308"/>
        <v>Outside</v>
      </c>
      <c r="K1652" s="8" t="str">
        <f t="shared" si="309"/>
        <v>Riparian</v>
      </c>
      <c r="L1652" s="8">
        <f t="shared" si="310"/>
        <v>1000</v>
      </c>
      <c r="M1652" s="8" t="str">
        <f t="shared" si="312"/>
        <v>-</v>
      </c>
      <c r="N1652" s="10" t="s">
        <v>242</v>
      </c>
      <c r="O1652" s="10" t="s">
        <v>242</v>
      </c>
      <c r="P1652" s="10" t="s">
        <v>242</v>
      </c>
      <c r="Q1652" s="10" t="s">
        <v>242</v>
      </c>
      <c r="R1652" s="10" t="s">
        <v>242</v>
      </c>
      <c r="S1652" s="10" t="s">
        <v>241</v>
      </c>
      <c r="T1652" s="10" t="s">
        <v>242</v>
      </c>
      <c r="U1652" s="10" t="s">
        <v>242</v>
      </c>
      <c r="V1652" s="10" t="s">
        <v>242</v>
      </c>
      <c r="W1652" s="10" t="s">
        <v>242</v>
      </c>
      <c r="X1652" s="15">
        <f>IF(ISERROR(VLOOKUP($A1652,'13. Updated Demand'!A:Z,15,FALSE)),0,VLOOKUP($A1652,'13. Updated Demand'!A:Z,15,FALSE))</f>
        <v>1.38E-2</v>
      </c>
      <c r="Y1652" s="16">
        <f>IF(ISERROR(VLOOKUP($A1652,'13. Updated Demand'!A:Z,16,FALSE)),0,VLOOKUP($A1652,'13. Updated Demand'!A:Z,16,FALSE))</f>
        <v>1.38E-2</v>
      </c>
      <c r="Z1652" s="16">
        <f>IF(ISERROR(VLOOKUP($A1652,'13. Updated Demand'!A:Z,17,FALSE)),0,VLOOKUP($A1652,'13. Updated Demand'!A:Z,17,FALSE))</f>
        <v>1.38E-2</v>
      </c>
      <c r="AA1652" s="16">
        <f>IF(ISERROR(VLOOKUP($A1652,'13. Updated Demand'!A:Z,18,FALSE)),0,VLOOKUP($A1652,'13. Updated Demand'!A:Z,18,FALSE))</f>
        <v>1.38E-2</v>
      </c>
      <c r="AB1652" s="16">
        <f>IF(ISERROR(VLOOKUP($A1652,'13. Updated Demand'!A:Z,19,FALSE)),0,VLOOKUP($A1652,'13. Updated Demand'!A:Z,19,FALSE))</f>
        <v>1.38E-2</v>
      </c>
      <c r="AC1652" s="16">
        <f>IF(ISERROR(VLOOKUP($A1652,'13. Updated Demand'!A:Z,20,FALSE)),0,VLOOKUP($A1652,'13. Updated Demand'!A:Z,20,FALSE))</f>
        <v>1.38E-2</v>
      </c>
      <c r="AD1652" s="16">
        <f>IF(ISERROR(VLOOKUP($A1652,'13. Updated Demand'!A:Z,21,FALSE)),0,VLOOKUP($A1652,'13. Updated Demand'!A:Z,21,FALSE))</f>
        <v>4.5999999999999999E-2</v>
      </c>
      <c r="AE1652" s="16">
        <f>IF(ISERROR(VLOOKUP($A1652,'13. Updated Demand'!A:Z,22,FALSE)),0,VLOOKUP($A1652,'13. Updated Demand'!A:Z,22,FALSE))</f>
        <v>4.5999999999999999E-2</v>
      </c>
      <c r="AF1652" s="16">
        <f>IF(ISERROR(VLOOKUP($A1652,'13. Updated Demand'!A:Z,23,FALSE)),0,VLOOKUP($A1652,'13. Updated Demand'!A:Z,23,FALSE))</f>
        <v>4.5999999999999999E-2</v>
      </c>
      <c r="AG1652" s="16">
        <f>IF(ISERROR(VLOOKUP($A1652,'13. Updated Demand'!A:Z,24,FALSE)),0,VLOOKUP($A1652,'13. Updated Demand'!A:Z,24,FALSE))</f>
        <v>4.5999999999999999E-2</v>
      </c>
      <c r="AH1652" s="16">
        <f>IF(ISERROR(VLOOKUP($A1652,'13. Updated Demand'!A:Z,25,FALSE)),0,VLOOKUP($A1652,'13. Updated Demand'!A:Z,25,FALSE))</f>
        <v>4.5999999999999999E-2</v>
      </c>
      <c r="AI1652" s="16">
        <f>IF(ISERROR(VLOOKUP($A1652,'13. Updated Demand'!A:Z,26,FALSE)),0,VLOOKUP($A1652,'13. Updated Demand'!A:Z,26,FALSE))</f>
        <v>4.5999999999999999E-2</v>
      </c>
      <c r="AJ1652" s="16">
        <f t="shared" si="313"/>
        <v>0.35879999999999995</v>
      </c>
      <c r="AK1652" s="19">
        <v>0.1656</v>
      </c>
      <c r="AL1652" s="16">
        <f t="shared" si="311"/>
        <v>5.492763363873363E-4</v>
      </c>
      <c r="AM1652" s="26">
        <v>1.1244124099028516</v>
      </c>
      <c r="AN1652" s="19">
        <v>0.31909999999999999</v>
      </c>
      <c r="AO1652" s="19" t="s">
        <v>1758</v>
      </c>
      <c r="AP1652" s="19">
        <v>0</v>
      </c>
      <c r="AQ1652" s="19" t="s">
        <v>307</v>
      </c>
      <c r="AR1652" s="9" t="s">
        <v>403</v>
      </c>
      <c r="AS1652" s="12">
        <v>3.4039024194010059E-4</v>
      </c>
      <c r="AT1652" s="19">
        <v>38.44636363</v>
      </c>
      <c r="AU1652" s="19">
        <v>-122.98119783999999</v>
      </c>
      <c r="AV1652" s="19" t="s">
        <v>417</v>
      </c>
    </row>
    <row r="1653" spans="1:48" x14ac:dyDescent="0.25">
      <c r="A1653" s="18" t="s">
        <v>2052</v>
      </c>
      <c r="B1653" s="10">
        <v>10000000</v>
      </c>
      <c r="C1653" s="9">
        <v>6</v>
      </c>
      <c r="D1653" s="8" t="str">
        <f t="shared" si="302"/>
        <v>Y</v>
      </c>
      <c r="E1653" s="8" t="str">
        <f t="shared" si="303"/>
        <v>N</v>
      </c>
      <c r="F1653" s="8" t="str">
        <f t="shared" si="304"/>
        <v>Y</v>
      </c>
      <c r="G1653" s="8" t="str">
        <f t="shared" si="305"/>
        <v>Y</v>
      </c>
      <c r="H1653" s="8" t="str">
        <f t="shared" si="306"/>
        <v>Upper</v>
      </c>
      <c r="I1653" s="8" t="str">
        <f t="shared" si="307"/>
        <v>West Fork and Below Lake</v>
      </c>
      <c r="J1653" s="8" t="str">
        <f t="shared" si="308"/>
        <v>Mendocino (d/s of lake)</v>
      </c>
      <c r="K1653" s="8" t="str">
        <f t="shared" si="309"/>
        <v>Riparian</v>
      </c>
      <c r="L1653" s="8">
        <f t="shared" si="310"/>
        <v>1000</v>
      </c>
      <c r="M1653" s="8" t="str">
        <f t="shared" si="312"/>
        <v>-</v>
      </c>
      <c r="N1653" s="10" t="s">
        <v>242</v>
      </c>
      <c r="O1653" s="10" t="s">
        <v>241</v>
      </c>
      <c r="P1653" s="10" t="s">
        <v>242</v>
      </c>
      <c r="Q1653" s="10" t="s">
        <v>242</v>
      </c>
      <c r="R1653" s="10" t="s">
        <v>242</v>
      </c>
      <c r="S1653" s="10" t="s">
        <v>241</v>
      </c>
      <c r="T1653" s="10" t="s">
        <v>242</v>
      </c>
      <c r="U1653" s="10" t="s">
        <v>242</v>
      </c>
      <c r="V1653" s="10" t="s">
        <v>242</v>
      </c>
      <c r="W1653" s="10" t="s">
        <v>242</v>
      </c>
      <c r="X1653" s="15">
        <f>IF(ISERROR(VLOOKUP($A1653,'13. Updated Demand'!A:Z,15,FALSE)),0,VLOOKUP($A1653,'13. Updated Demand'!A:Z,15,FALSE))</f>
        <v>6.8999999999999997E-4</v>
      </c>
      <c r="Y1653" s="16">
        <f>IF(ISERROR(VLOOKUP($A1653,'13. Updated Demand'!A:Z,16,FALSE)),0,VLOOKUP($A1653,'13. Updated Demand'!A:Z,16,FALSE))</f>
        <v>6.8999999999999997E-4</v>
      </c>
      <c r="Z1653" s="16">
        <f>IF(ISERROR(VLOOKUP($A1653,'13. Updated Demand'!A:Z,17,FALSE)),0,VLOOKUP($A1653,'13. Updated Demand'!A:Z,17,FALSE))</f>
        <v>6.8999999999999997E-4</v>
      </c>
      <c r="AA1653" s="16">
        <f>IF(ISERROR(VLOOKUP($A1653,'13. Updated Demand'!A:Z,18,FALSE)),0,VLOOKUP($A1653,'13. Updated Demand'!A:Z,18,FALSE))</f>
        <v>6.8999999999999997E-4</v>
      </c>
      <c r="AB1653" s="16">
        <f>IF(ISERROR(VLOOKUP($A1653,'13. Updated Demand'!A:Z,19,FALSE)),0,VLOOKUP($A1653,'13. Updated Demand'!A:Z,19,FALSE))</f>
        <v>1.6100000000000001E-3</v>
      </c>
      <c r="AC1653" s="16">
        <f>IF(ISERROR(VLOOKUP($A1653,'13. Updated Demand'!A:Z,20,FALSE)),0,VLOOKUP($A1653,'13. Updated Demand'!A:Z,20,FALSE))</f>
        <v>3.8344999999999998E-3</v>
      </c>
      <c r="AD1653" s="16">
        <f>IF(ISERROR(VLOOKUP($A1653,'13. Updated Demand'!A:Z,21,FALSE)),0,VLOOKUP($A1653,'13. Updated Demand'!A:Z,21,FALSE))</f>
        <v>3.8344999999999998E-3</v>
      </c>
      <c r="AE1653" s="16">
        <f>IF(ISERROR(VLOOKUP($A1653,'13. Updated Demand'!A:Z,22,FALSE)),0,VLOOKUP($A1653,'13. Updated Demand'!A:Z,22,FALSE))</f>
        <v>3.8344999999999998E-3</v>
      </c>
      <c r="AF1653" s="16">
        <f>IF(ISERROR(VLOOKUP($A1653,'13. Updated Demand'!A:Z,23,FALSE)),0,VLOOKUP($A1653,'13. Updated Demand'!A:Z,23,FALSE))</f>
        <v>3.8344999999999998E-3</v>
      </c>
      <c r="AG1653" s="16">
        <f>IF(ISERROR(VLOOKUP($A1653,'13. Updated Demand'!A:Z,24,FALSE)),0,VLOOKUP($A1653,'13. Updated Demand'!A:Z,24,FALSE))</f>
        <v>1.9599999999999999E-3</v>
      </c>
      <c r="AH1653" s="16">
        <f>IF(ISERROR(VLOOKUP($A1653,'13. Updated Demand'!A:Z,25,FALSE)),0,VLOOKUP($A1653,'13. Updated Demand'!A:Z,25,FALSE))</f>
        <v>6.8999999999999997E-4</v>
      </c>
      <c r="AI1653" s="16">
        <f>IF(ISERROR(VLOOKUP($A1653,'13. Updated Demand'!A:Z,26,FALSE)),0,VLOOKUP($A1653,'13. Updated Demand'!A:Z,26,FALSE))</f>
        <v>6.8999999999999997E-4</v>
      </c>
      <c r="AJ1653" s="16">
        <f t="shared" si="313"/>
        <v>2.3047999999999999E-2</v>
      </c>
      <c r="AK1653" s="19">
        <v>1.6947999999999998E-2</v>
      </c>
      <c r="AL1653" s="16">
        <f t="shared" si="311"/>
        <v>5.6214585441380278E-5</v>
      </c>
      <c r="AM1653" s="26">
        <v>2.85778053316801E-3</v>
      </c>
      <c r="AN1653" s="19">
        <v>8.0649999999999995</v>
      </c>
      <c r="AO1653" s="19" t="s">
        <v>1758</v>
      </c>
      <c r="AP1653" s="19">
        <v>0</v>
      </c>
      <c r="AQ1653" s="19" t="s">
        <v>307</v>
      </c>
      <c r="AR1653" s="9" t="s">
        <v>319</v>
      </c>
      <c r="AS1653" s="12">
        <v>0</v>
      </c>
      <c r="AT1653" s="19">
        <v>38.994282419999998</v>
      </c>
      <c r="AU1653" s="19">
        <v>-123.19233602</v>
      </c>
      <c r="AV1653" s="19" t="s">
        <v>417</v>
      </c>
    </row>
    <row r="1654" spans="1:48" x14ac:dyDescent="0.25">
      <c r="A1654" s="18" t="s">
        <v>2053</v>
      </c>
      <c r="B1654" s="10">
        <v>10000000</v>
      </c>
      <c r="C1654" s="9">
        <v>4</v>
      </c>
      <c r="D1654" s="8" t="str">
        <f t="shared" si="302"/>
        <v>Y</v>
      </c>
      <c r="E1654" s="8" t="str">
        <f t="shared" si="303"/>
        <v>N</v>
      </c>
      <c r="F1654" s="8" t="str">
        <f t="shared" si="304"/>
        <v>Y</v>
      </c>
      <c r="G1654" s="8" t="str">
        <f t="shared" si="305"/>
        <v>Y</v>
      </c>
      <c r="H1654" s="8" t="str">
        <f t="shared" si="306"/>
        <v>Upper</v>
      </c>
      <c r="I1654" s="8" t="str">
        <f t="shared" si="307"/>
        <v>West Fork and Below Lake</v>
      </c>
      <c r="J1654" s="8" t="str">
        <f t="shared" si="308"/>
        <v>Mendocino (d/s of lake)</v>
      </c>
      <c r="K1654" s="8" t="str">
        <f t="shared" si="309"/>
        <v>Riparian</v>
      </c>
      <c r="L1654" s="8">
        <f t="shared" si="310"/>
        <v>1000</v>
      </c>
      <c r="M1654" s="8" t="str">
        <f t="shared" si="312"/>
        <v>-</v>
      </c>
      <c r="N1654" s="10" t="s">
        <v>242</v>
      </c>
      <c r="O1654" s="10" t="s">
        <v>241</v>
      </c>
      <c r="P1654" s="10" t="s">
        <v>242</v>
      </c>
      <c r="Q1654" s="10" t="s">
        <v>242</v>
      </c>
      <c r="R1654" s="10" t="s">
        <v>242</v>
      </c>
      <c r="S1654" s="10" t="s">
        <v>241</v>
      </c>
      <c r="T1654" s="10" t="s">
        <v>242</v>
      </c>
      <c r="U1654" s="10" t="s">
        <v>241</v>
      </c>
      <c r="V1654" s="10" t="s">
        <v>241</v>
      </c>
      <c r="W1654" s="10" t="s">
        <v>242</v>
      </c>
      <c r="X1654" s="15">
        <f>IF(ISERROR(VLOOKUP($A1654,'13. Updated Demand'!A:Z,15,FALSE)),0,VLOOKUP($A1654,'13. Updated Demand'!A:Z,15,FALSE))</f>
        <v>0</v>
      </c>
      <c r="Y1654" s="16">
        <f>IF(ISERROR(VLOOKUP($A1654,'13. Updated Demand'!A:Z,16,FALSE)),0,VLOOKUP($A1654,'13. Updated Demand'!A:Z,16,FALSE))</f>
        <v>0</v>
      </c>
      <c r="Z1654" s="16">
        <f>IF(ISERROR(VLOOKUP($A1654,'13. Updated Demand'!A:Z,17,FALSE)),0,VLOOKUP($A1654,'13. Updated Demand'!A:Z,17,FALSE))</f>
        <v>0</v>
      </c>
      <c r="AA1654" s="16">
        <f>IF(ISERROR(VLOOKUP($A1654,'13. Updated Demand'!A:Z,18,FALSE)),0,VLOOKUP($A1654,'13. Updated Demand'!A:Z,18,FALSE))</f>
        <v>0</v>
      </c>
      <c r="AB1654" s="16">
        <f>IF(ISERROR(VLOOKUP($A1654,'13. Updated Demand'!A:Z,19,FALSE)),0,VLOOKUP($A1654,'13. Updated Demand'!A:Z,19,FALSE))</f>
        <v>0</v>
      </c>
      <c r="AC1654" s="16">
        <f>IF(ISERROR(VLOOKUP($A1654,'13. Updated Demand'!A:Z,20,FALSE)),0,VLOOKUP($A1654,'13. Updated Demand'!A:Z,20,FALSE))</f>
        <v>0</v>
      </c>
      <c r="AD1654" s="16">
        <f>IF(ISERROR(VLOOKUP($A1654,'13. Updated Demand'!A:Z,21,FALSE)),0,VLOOKUP($A1654,'13. Updated Demand'!A:Z,21,FALSE))</f>
        <v>0</v>
      </c>
      <c r="AE1654" s="16">
        <f>IF(ISERROR(VLOOKUP($A1654,'13. Updated Demand'!A:Z,22,FALSE)),0,VLOOKUP($A1654,'13. Updated Demand'!A:Z,22,FALSE))</f>
        <v>0</v>
      </c>
      <c r="AF1654" s="16">
        <f>IF(ISERROR(VLOOKUP($A1654,'13. Updated Demand'!A:Z,23,FALSE)),0,VLOOKUP($A1654,'13. Updated Demand'!A:Z,23,FALSE))</f>
        <v>0</v>
      </c>
      <c r="AG1654" s="16">
        <f>IF(ISERROR(VLOOKUP($A1654,'13. Updated Demand'!A:Z,24,FALSE)),0,VLOOKUP($A1654,'13. Updated Demand'!A:Z,24,FALSE))</f>
        <v>0</v>
      </c>
      <c r="AH1654" s="16">
        <f>IF(ISERROR(VLOOKUP($A1654,'13. Updated Demand'!A:Z,25,FALSE)),0,VLOOKUP($A1654,'13. Updated Demand'!A:Z,25,FALSE))</f>
        <v>0</v>
      </c>
      <c r="AI1654" s="16">
        <f>IF(ISERROR(VLOOKUP($A1654,'13. Updated Demand'!A:Z,26,FALSE)),0,VLOOKUP($A1654,'13. Updated Demand'!A:Z,26,FALSE))</f>
        <v>0</v>
      </c>
      <c r="AJ1654" s="16">
        <f t="shared" si="313"/>
        <v>0</v>
      </c>
      <c r="AK1654" s="19">
        <v>0</v>
      </c>
      <c r="AL1654" s="16">
        <f t="shared" si="311"/>
        <v>0</v>
      </c>
      <c r="AM1654" s="26">
        <v>0</v>
      </c>
      <c r="AN1654" s="19">
        <v>847.548</v>
      </c>
      <c r="AO1654" s="19" t="s">
        <v>1758</v>
      </c>
      <c r="AP1654" s="19">
        <v>0</v>
      </c>
      <c r="AQ1654" s="19" t="s">
        <v>307</v>
      </c>
      <c r="AR1654" s="9" t="s">
        <v>331</v>
      </c>
      <c r="AS1654" s="12">
        <v>0</v>
      </c>
      <c r="AT1654" s="19">
        <v>39.148793750000003</v>
      </c>
      <c r="AU1654" s="19">
        <v>-123.14609384000001</v>
      </c>
      <c r="AV1654" s="19" t="s">
        <v>1062</v>
      </c>
    </row>
    <row r="1655" spans="1:48" x14ac:dyDescent="0.25">
      <c r="A1655" s="18" t="s">
        <v>2054</v>
      </c>
      <c r="B1655" s="10">
        <v>10000000</v>
      </c>
      <c r="C1655" s="9">
        <v>4</v>
      </c>
      <c r="D1655" s="8" t="str">
        <f t="shared" si="302"/>
        <v>Y</v>
      </c>
      <c r="E1655" s="8" t="str">
        <f t="shared" si="303"/>
        <v>N</v>
      </c>
      <c r="F1655" s="8" t="str">
        <f t="shared" si="304"/>
        <v>Y</v>
      </c>
      <c r="G1655" s="8" t="str">
        <f t="shared" si="305"/>
        <v>Y</v>
      </c>
      <c r="H1655" s="8" t="str">
        <f t="shared" si="306"/>
        <v>Upper</v>
      </c>
      <c r="I1655" s="8" t="str">
        <f t="shared" si="307"/>
        <v>West Fork and Below Lake</v>
      </c>
      <c r="J1655" s="8" t="str">
        <f t="shared" si="308"/>
        <v>Mendocino (d/s of lake)</v>
      </c>
      <c r="K1655" s="8" t="str">
        <f t="shared" si="309"/>
        <v>Riparian</v>
      </c>
      <c r="L1655" s="8">
        <f t="shared" si="310"/>
        <v>1000</v>
      </c>
      <c r="M1655" s="8" t="str">
        <f t="shared" si="312"/>
        <v>-</v>
      </c>
      <c r="N1655" s="10" t="s">
        <v>242</v>
      </c>
      <c r="O1655" s="10" t="s">
        <v>241</v>
      </c>
      <c r="P1655" s="10" t="s">
        <v>242</v>
      </c>
      <c r="Q1655" s="10" t="s">
        <v>242</v>
      </c>
      <c r="R1655" s="10" t="s">
        <v>242</v>
      </c>
      <c r="S1655" s="10" t="s">
        <v>241</v>
      </c>
      <c r="T1655" s="10" t="s">
        <v>242</v>
      </c>
      <c r="U1655" s="10" t="s">
        <v>241</v>
      </c>
      <c r="V1655" s="10" t="s">
        <v>241</v>
      </c>
      <c r="W1655" s="10" t="s">
        <v>242</v>
      </c>
      <c r="X1655" s="15">
        <f>IF(ISERROR(VLOOKUP($A1655,'13. Updated Demand'!A:Z,15,FALSE)),0,VLOOKUP($A1655,'13. Updated Demand'!A:Z,15,FALSE))</f>
        <v>0</v>
      </c>
      <c r="Y1655" s="16">
        <f>IF(ISERROR(VLOOKUP($A1655,'13. Updated Demand'!A:Z,16,FALSE)),0,VLOOKUP($A1655,'13. Updated Demand'!A:Z,16,FALSE))</f>
        <v>0</v>
      </c>
      <c r="Z1655" s="16">
        <f>IF(ISERROR(VLOOKUP($A1655,'13. Updated Demand'!A:Z,17,FALSE)),0,VLOOKUP($A1655,'13. Updated Demand'!A:Z,17,FALSE))</f>
        <v>0</v>
      </c>
      <c r="AA1655" s="16">
        <f>IF(ISERROR(VLOOKUP($A1655,'13. Updated Demand'!A:Z,18,FALSE)),0,VLOOKUP($A1655,'13. Updated Demand'!A:Z,18,FALSE))</f>
        <v>0</v>
      </c>
      <c r="AB1655" s="16">
        <f>IF(ISERROR(VLOOKUP($A1655,'13. Updated Demand'!A:Z,19,FALSE)),0,VLOOKUP($A1655,'13. Updated Demand'!A:Z,19,FALSE))</f>
        <v>0</v>
      </c>
      <c r="AC1655" s="16">
        <f>IF(ISERROR(VLOOKUP($A1655,'13. Updated Demand'!A:Z,20,FALSE)),0,VLOOKUP($A1655,'13. Updated Demand'!A:Z,20,FALSE))</f>
        <v>0</v>
      </c>
      <c r="AD1655" s="16">
        <f>IF(ISERROR(VLOOKUP($A1655,'13. Updated Demand'!A:Z,21,FALSE)),0,VLOOKUP($A1655,'13. Updated Demand'!A:Z,21,FALSE))</f>
        <v>0</v>
      </c>
      <c r="AE1655" s="16">
        <f>IF(ISERROR(VLOOKUP($A1655,'13. Updated Demand'!A:Z,22,FALSE)),0,VLOOKUP($A1655,'13. Updated Demand'!A:Z,22,FALSE))</f>
        <v>0</v>
      </c>
      <c r="AF1655" s="16">
        <f>IF(ISERROR(VLOOKUP($A1655,'13. Updated Demand'!A:Z,23,FALSE)),0,VLOOKUP($A1655,'13. Updated Demand'!A:Z,23,FALSE))</f>
        <v>0</v>
      </c>
      <c r="AG1655" s="16">
        <f>IF(ISERROR(VLOOKUP($A1655,'13. Updated Demand'!A:Z,24,FALSE)),0,VLOOKUP($A1655,'13. Updated Demand'!A:Z,24,FALSE))</f>
        <v>0</v>
      </c>
      <c r="AH1655" s="16">
        <f>IF(ISERROR(VLOOKUP($A1655,'13. Updated Demand'!A:Z,25,FALSE)),0,VLOOKUP($A1655,'13. Updated Demand'!A:Z,25,FALSE))</f>
        <v>0</v>
      </c>
      <c r="AI1655" s="16">
        <f>IF(ISERROR(VLOOKUP($A1655,'13. Updated Demand'!A:Z,26,FALSE)),0,VLOOKUP($A1655,'13. Updated Demand'!A:Z,26,FALSE))</f>
        <v>0</v>
      </c>
      <c r="AJ1655" s="16">
        <f t="shared" si="313"/>
        <v>0</v>
      </c>
      <c r="AK1655" s="19">
        <v>0</v>
      </c>
      <c r="AL1655" s="16">
        <f t="shared" si="311"/>
        <v>0</v>
      </c>
      <c r="AM1655" s="26">
        <v>0</v>
      </c>
      <c r="AN1655" s="19">
        <v>847.548</v>
      </c>
      <c r="AO1655" s="19" t="s">
        <v>1758</v>
      </c>
      <c r="AP1655" s="19">
        <v>0</v>
      </c>
      <c r="AQ1655" s="19" t="s">
        <v>307</v>
      </c>
      <c r="AR1655" s="9" t="s">
        <v>331</v>
      </c>
      <c r="AS1655" s="12">
        <v>0</v>
      </c>
      <c r="AT1655" s="19">
        <v>39.145198270000002</v>
      </c>
      <c r="AU1655" s="19">
        <v>-123.16260968</v>
      </c>
      <c r="AV1655" s="19" t="s">
        <v>417</v>
      </c>
    </row>
    <row r="1656" spans="1:48" x14ac:dyDescent="0.25">
      <c r="A1656" s="18" t="s">
        <v>68</v>
      </c>
      <c r="B1656" s="10">
        <v>10000000</v>
      </c>
      <c r="C1656" s="9">
        <v>12</v>
      </c>
      <c r="D1656" s="8" t="str">
        <f t="shared" si="302"/>
        <v>N</v>
      </c>
      <c r="E1656" s="8" t="str">
        <f t="shared" si="303"/>
        <v>Y</v>
      </c>
      <c r="F1656" s="8" t="str">
        <f t="shared" si="304"/>
        <v>Y</v>
      </c>
      <c r="G1656" s="8" t="str">
        <f t="shared" si="305"/>
        <v>Y</v>
      </c>
      <c r="H1656" s="8" t="str">
        <f t="shared" si="306"/>
        <v>Upper</v>
      </c>
      <c r="I1656" s="8" t="str">
        <f t="shared" si="307"/>
        <v>West Fork and Below Lake</v>
      </c>
      <c r="J1656" s="8" t="str">
        <f t="shared" si="308"/>
        <v>Sonoma (d/s of Clov. Gage)</v>
      </c>
      <c r="K1656" s="8" t="str">
        <f t="shared" si="309"/>
        <v>Riparian</v>
      </c>
      <c r="L1656" s="8">
        <f t="shared" si="310"/>
        <v>1000</v>
      </c>
      <c r="M1656" s="8" t="str">
        <f t="shared" si="312"/>
        <v>-</v>
      </c>
      <c r="N1656" s="10" t="s">
        <v>241</v>
      </c>
      <c r="O1656" s="10" t="s">
        <v>241</v>
      </c>
      <c r="P1656" s="10" t="s">
        <v>242</v>
      </c>
      <c r="Q1656" s="10" t="s">
        <v>242</v>
      </c>
      <c r="R1656" s="10" t="s">
        <v>242</v>
      </c>
      <c r="S1656" s="10" t="s">
        <v>241</v>
      </c>
      <c r="T1656" s="10" t="s">
        <v>242</v>
      </c>
      <c r="U1656" s="10" t="s">
        <v>242</v>
      </c>
      <c r="V1656" s="10" t="s">
        <v>242</v>
      </c>
      <c r="W1656" s="10" t="s">
        <v>242</v>
      </c>
      <c r="X1656" s="15">
        <f>IF(ISERROR(VLOOKUP($A1656,'13. Updated Demand'!A:Z,15,FALSE)),0,VLOOKUP($A1656,'13. Updated Demand'!A:Z,15,FALSE))</f>
        <v>0</v>
      </c>
      <c r="Y1656" s="16">
        <f>IF(ISERROR(VLOOKUP($A1656,'13. Updated Demand'!A:Z,16,FALSE)),0,VLOOKUP($A1656,'13. Updated Demand'!A:Z,16,FALSE))</f>
        <v>0.06</v>
      </c>
      <c r="Z1656" s="16">
        <f>IF(ISERROR(VLOOKUP($A1656,'13. Updated Demand'!A:Z,17,FALSE)),0,VLOOKUP($A1656,'13. Updated Demand'!A:Z,17,FALSE))</f>
        <v>1.03</v>
      </c>
      <c r="AA1656" s="16">
        <f>IF(ISERROR(VLOOKUP($A1656,'13. Updated Demand'!A:Z,18,FALSE)),0,VLOOKUP($A1656,'13. Updated Demand'!A:Z,18,FALSE))</f>
        <v>0.63</v>
      </c>
      <c r="AB1656" s="16">
        <f>IF(ISERROR(VLOOKUP($A1656,'13. Updated Demand'!A:Z,19,FALSE)),0,VLOOKUP($A1656,'13. Updated Demand'!A:Z,19,FALSE))</f>
        <v>3.3</v>
      </c>
      <c r="AC1656" s="16">
        <f>IF(ISERROR(VLOOKUP($A1656,'13. Updated Demand'!A:Z,20,FALSE)),0,VLOOKUP($A1656,'13. Updated Demand'!A:Z,20,FALSE))</f>
        <v>7.56</v>
      </c>
      <c r="AD1656" s="16">
        <f>IF(ISERROR(VLOOKUP($A1656,'13. Updated Demand'!A:Z,21,FALSE)),0,VLOOKUP($A1656,'13. Updated Demand'!A:Z,21,FALSE))</f>
        <v>14</v>
      </c>
      <c r="AE1656" s="16">
        <f>IF(ISERROR(VLOOKUP($A1656,'13. Updated Demand'!A:Z,22,FALSE)),0,VLOOKUP($A1656,'13. Updated Demand'!A:Z,22,FALSE))</f>
        <v>16.46</v>
      </c>
      <c r="AF1656" s="16">
        <f>IF(ISERROR(VLOOKUP($A1656,'13. Updated Demand'!A:Z,23,FALSE)),0,VLOOKUP($A1656,'13. Updated Demand'!A:Z,23,FALSE))</f>
        <v>12.7</v>
      </c>
      <c r="AG1656" s="16">
        <f>IF(ISERROR(VLOOKUP($A1656,'13. Updated Demand'!A:Z,24,FALSE)),0,VLOOKUP($A1656,'13. Updated Demand'!A:Z,24,FALSE))</f>
        <v>6.83</v>
      </c>
      <c r="AH1656" s="16">
        <f>IF(ISERROR(VLOOKUP($A1656,'13. Updated Demand'!A:Z,25,FALSE)),0,VLOOKUP($A1656,'13. Updated Demand'!A:Z,25,FALSE))</f>
        <v>4.4000000000000004</v>
      </c>
      <c r="AI1656" s="16">
        <f>IF(ISERROR(VLOOKUP($A1656,'13. Updated Demand'!A:Z,26,FALSE)),0,VLOOKUP($A1656,'13. Updated Demand'!A:Z,26,FALSE))</f>
        <v>0.23</v>
      </c>
      <c r="AJ1656" s="16">
        <f t="shared" si="313"/>
        <v>67.2</v>
      </c>
      <c r="AK1656" s="19">
        <v>54.033333333333374</v>
      </c>
      <c r="AL1656" s="16">
        <f t="shared" si="311"/>
        <v>0.1792224116916008</v>
      </c>
      <c r="AM1656" s="26">
        <v>0.42187473855060853</v>
      </c>
      <c r="AN1656" s="19">
        <v>159.36799999999999</v>
      </c>
      <c r="AO1656" s="19" t="s">
        <v>1758</v>
      </c>
      <c r="AP1656" s="19">
        <v>0</v>
      </c>
      <c r="AQ1656" s="19" t="s">
        <v>307</v>
      </c>
      <c r="AR1656" s="9" t="s">
        <v>311</v>
      </c>
      <c r="AS1656" s="12">
        <v>3.4039024194010059E-4</v>
      </c>
      <c r="AT1656" s="19">
        <v>38.627837280000001</v>
      </c>
      <c r="AU1656" s="19">
        <v>-122.78835337</v>
      </c>
      <c r="AV1656" s="19" t="s">
        <v>548</v>
      </c>
    </row>
    <row r="1657" spans="1:48" x14ac:dyDescent="0.25">
      <c r="A1657" s="18" t="s">
        <v>2055</v>
      </c>
      <c r="B1657" s="10">
        <v>10000000</v>
      </c>
      <c r="C1657" s="9">
        <v>1</v>
      </c>
      <c r="D1657" s="8" t="str">
        <f t="shared" si="302"/>
        <v>N</v>
      </c>
      <c r="E1657" s="8" t="str">
        <f t="shared" si="303"/>
        <v>N</v>
      </c>
      <c r="F1657" s="8" t="str">
        <f t="shared" si="304"/>
        <v>Y</v>
      </c>
      <c r="G1657" s="8" t="str">
        <f t="shared" si="305"/>
        <v>Y</v>
      </c>
      <c r="H1657" s="8" t="str">
        <f t="shared" si="306"/>
        <v>Upper</v>
      </c>
      <c r="I1657" s="8" t="str">
        <f t="shared" si="307"/>
        <v>West Fork and Below Lake</v>
      </c>
      <c r="J1657" s="8" t="str">
        <f t="shared" si="308"/>
        <v>Outside</v>
      </c>
      <c r="K1657" s="8" t="str">
        <f t="shared" si="309"/>
        <v>Riparian</v>
      </c>
      <c r="L1657" s="8">
        <f t="shared" si="310"/>
        <v>1000</v>
      </c>
      <c r="M1657" s="8" t="str">
        <f t="shared" si="312"/>
        <v>-</v>
      </c>
      <c r="N1657" s="10" t="s">
        <v>242</v>
      </c>
      <c r="O1657" s="10" t="s">
        <v>241</v>
      </c>
      <c r="P1657" s="10" t="s">
        <v>242</v>
      </c>
      <c r="Q1657" s="10" t="s">
        <v>242</v>
      </c>
      <c r="R1657" s="10" t="s">
        <v>242</v>
      </c>
      <c r="S1657" s="10" t="s">
        <v>241</v>
      </c>
      <c r="T1657" s="10" t="s">
        <v>242</v>
      </c>
      <c r="U1657" s="10" t="s">
        <v>242</v>
      </c>
      <c r="V1657" s="10" t="s">
        <v>242</v>
      </c>
      <c r="W1657" s="10" t="s">
        <v>242</v>
      </c>
      <c r="X1657" s="15">
        <f>IF(ISERROR(VLOOKUP($A1657,'13. Updated Demand'!A:Z,15,FALSE)),0,VLOOKUP($A1657,'13. Updated Demand'!A:Z,15,FALSE))</f>
        <v>0.66</v>
      </c>
      <c r="Y1657" s="16">
        <f>IF(ISERROR(VLOOKUP($A1657,'13. Updated Demand'!A:Z,16,FALSE)),0,VLOOKUP($A1657,'13. Updated Demand'!A:Z,16,FALSE))</f>
        <v>0.66</v>
      </c>
      <c r="Z1657" s="16">
        <f>IF(ISERROR(VLOOKUP($A1657,'13. Updated Demand'!A:Z,17,FALSE)),0,VLOOKUP($A1657,'13. Updated Demand'!A:Z,17,FALSE))</f>
        <v>0.66</v>
      </c>
      <c r="AA1657" s="16">
        <f>IF(ISERROR(VLOOKUP($A1657,'13. Updated Demand'!A:Z,18,FALSE)),0,VLOOKUP($A1657,'13. Updated Demand'!A:Z,18,FALSE))</f>
        <v>0.66</v>
      </c>
      <c r="AB1657" s="16">
        <f>IF(ISERROR(VLOOKUP($A1657,'13. Updated Demand'!A:Z,19,FALSE)),0,VLOOKUP($A1657,'13. Updated Demand'!A:Z,19,FALSE))</f>
        <v>0.66</v>
      </c>
      <c r="AC1657" s="16">
        <f>IF(ISERROR(VLOOKUP($A1657,'13. Updated Demand'!A:Z,20,FALSE)),0,VLOOKUP($A1657,'13. Updated Demand'!A:Z,20,FALSE))</f>
        <v>0.66</v>
      </c>
      <c r="AD1657" s="16">
        <f>IF(ISERROR(VLOOKUP($A1657,'13. Updated Demand'!A:Z,21,FALSE)),0,VLOOKUP($A1657,'13. Updated Demand'!A:Z,21,FALSE))</f>
        <v>0.53</v>
      </c>
      <c r="AE1657" s="16">
        <f>IF(ISERROR(VLOOKUP($A1657,'13. Updated Demand'!A:Z,22,FALSE)),0,VLOOKUP($A1657,'13. Updated Demand'!A:Z,22,FALSE))</f>
        <v>0.53</v>
      </c>
      <c r="AF1657" s="16">
        <f>IF(ISERROR(VLOOKUP($A1657,'13. Updated Demand'!A:Z,23,FALSE)),0,VLOOKUP($A1657,'13. Updated Demand'!A:Z,23,FALSE))</f>
        <v>0.53</v>
      </c>
      <c r="AG1657" s="16">
        <f>IF(ISERROR(VLOOKUP($A1657,'13. Updated Demand'!A:Z,24,FALSE)),0,VLOOKUP($A1657,'13. Updated Demand'!A:Z,24,FALSE))</f>
        <v>0.53</v>
      </c>
      <c r="AH1657" s="16">
        <f>IF(ISERROR(VLOOKUP($A1657,'13. Updated Demand'!A:Z,25,FALSE)),0,VLOOKUP($A1657,'13. Updated Demand'!A:Z,25,FALSE))</f>
        <v>0.53</v>
      </c>
      <c r="AI1657" s="16">
        <f>IF(ISERROR(VLOOKUP($A1657,'13. Updated Demand'!A:Z,26,FALSE)),0,VLOOKUP($A1657,'13. Updated Demand'!A:Z,26,FALSE))</f>
        <v>0.53</v>
      </c>
      <c r="AJ1657" s="16">
        <f t="shared" si="313"/>
        <v>7.1400000000000015</v>
      </c>
      <c r="AK1657" s="19">
        <v>2.936925</v>
      </c>
      <c r="AL1657" s="16">
        <f t="shared" si="311"/>
        <v>9.7414456778042117E-3</v>
      </c>
      <c r="AM1657" s="26">
        <v>0.98282824146121683</v>
      </c>
      <c r="AN1657" s="19">
        <v>7.3254000000000001</v>
      </c>
      <c r="AO1657" s="19" t="s">
        <v>1758</v>
      </c>
      <c r="AP1657" s="19">
        <v>0</v>
      </c>
      <c r="AQ1657" s="19" t="s">
        <v>307</v>
      </c>
      <c r="AR1657" s="9" t="s">
        <v>317</v>
      </c>
      <c r="AS1657" s="12">
        <v>3.4039024194010059E-4</v>
      </c>
      <c r="AT1657" s="19">
        <v>39.339399999999998</v>
      </c>
      <c r="AU1657" s="19">
        <v>-123.2349</v>
      </c>
      <c r="AV1657" s="19" t="s">
        <v>2056</v>
      </c>
    </row>
    <row r="1658" spans="1:48" x14ac:dyDescent="0.25">
      <c r="A1658" s="18" t="s">
        <v>2057</v>
      </c>
      <c r="B1658" s="10">
        <v>10000000</v>
      </c>
      <c r="C1658" s="9">
        <v>1</v>
      </c>
      <c r="D1658" s="8" t="str">
        <f t="shared" si="302"/>
        <v>N</v>
      </c>
      <c r="E1658" s="8" t="str">
        <f t="shared" si="303"/>
        <v>N</v>
      </c>
      <c r="F1658" s="8" t="str">
        <f t="shared" si="304"/>
        <v>Y</v>
      </c>
      <c r="G1658" s="8" t="str">
        <f t="shared" si="305"/>
        <v>Y</v>
      </c>
      <c r="H1658" s="8" t="str">
        <f t="shared" si="306"/>
        <v>Upper</v>
      </c>
      <c r="I1658" s="8" t="str">
        <f t="shared" si="307"/>
        <v>West Fork and Below Lake</v>
      </c>
      <c r="J1658" s="8" t="str">
        <f t="shared" si="308"/>
        <v>Outside</v>
      </c>
      <c r="K1658" s="8" t="str">
        <f t="shared" si="309"/>
        <v>Riparian</v>
      </c>
      <c r="L1658" s="8">
        <f t="shared" si="310"/>
        <v>1000</v>
      </c>
      <c r="M1658" s="8" t="str">
        <f t="shared" si="312"/>
        <v>-</v>
      </c>
      <c r="N1658" s="10" t="s">
        <v>242</v>
      </c>
      <c r="O1658" s="10" t="s">
        <v>241</v>
      </c>
      <c r="P1658" s="10" t="s">
        <v>242</v>
      </c>
      <c r="Q1658" s="10" t="s">
        <v>242</v>
      </c>
      <c r="R1658" s="10" t="s">
        <v>242</v>
      </c>
      <c r="S1658" s="10" t="s">
        <v>241</v>
      </c>
      <c r="T1658" s="10" t="s">
        <v>242</v>
      </c>
      <c r="U1658" s="10" t="s">
        <v>242</v>
      </c>
      <c r="V1658" s="10" t="s">
        <v>242</v>
      </c>
      <c r="W1658" s="10" t="s">
        <v>242</v>
      </c>
      <c r="X1658" s="15">
        <f>IF(ISERROR(VLOOKUP($A1658,'13. Updated Demand'!A:Z,15,FALSE)),0,VLOOKUP($A1658,'13. Updated Demand'!A:Z,15,FALSE))</f>
        <v>0.26</v>
      </c>
      <c r="Y1658" s="16">
        <f>IF(ISERROR(VLOOKUP($A1658,'13. Updated Demand'!A:Z,16,FALSE)),0,VLOOKUP($A1658,'13. Updated Demand'!A:Z,16,FALSE))</f>
        <v>0.26</v>
      </c>
      <c r="Z1658" s="16">
        <f>IF(ISERROR(VLOOKUP($A1658,'13. Updated Demand'!A:Z,17,FALSE)),0,VLOOKUP($A1658,'13. Updated Demand'!A:Z,17,FALSE))</f>
        <v>0.26</v>
      </c>
      <c r="AA1658" s="16">
        <f>IF(ISERROR(VLOOKUP($A1658,'13. Updated Demand'!A:Z,18,FALSE)),0,VLOOKUP($A1658,'13. Updated Demand'!A:Z,18,FALSE))</f>
        <v>0.26</v>
      </c>
      <c r="AB1658" s="16">
        <f>IF(ISERROR(VLOOKUP($A1658,'13. Updated Demand'!A:Z,19,FALSE)),0,VLOOKUP($A1658,'13. Updated Demand'!A:Z,19,FALSE))</f>
        <v>0.26</v>
      </c>
      <c r="AC1658" s="16">
        <f>IF(ISERROR(VLOOKUP($A1658,'13. Updated Demand'!A:Z,20,FALSE)),0,VLOOKUP($A1658,'13. Updated Demand'!A:Z,20,FALSE))</f>
        <v>0.26</v>
      </c>
      <c r="AD1658" s="16">
        <f>IF(ISERROR(VLOOKUP($A1658,'13. Updated Demand'!A:Z,21,FALSE)),0,VLOOKUP($A1658,'13. Updated Demand'!A:Z,21,FALSE))</f>
        <v>0.26</v>
      </c>
      <c r="AE1658" s="16">
        <f>IF(ISERROR(VLOOKUP($A1658,'13. Updated Demand'!A:Z,22,FALSE)),0,VLOOKUP($A1658,'13. Updated Demand'!A:Z,22,FALSE))</f>
        <v>0.13</v>
      </c>
      <c r="AF1658" s="16">
        <f>IF(ISERROR(VLOOKUP($A1658,'13. Updated Demand'!A:Z,23,FALSE)),0,VLOOKUP($A1658,'13. Updated Demand'!A:Z,23,FALSE))</f>
        <v>0.13</v>
      </c>
      <c r="AG1658" s="16">
        <f>IF(ISERROR(VLOOKUP($A1658,'13. Updated Demand'!A:Z,24,FALSE)),0,VLOOKUP($A1658,'13. Updated Demand'!A:Z,24,FALSE))</f>
        <v>0.13</v>
      </c>
      <c r="AH1658" s="16">
        <f>IF(ISERROR(VLOOKUP($A1658,'13. Updated Demand'!A:Z,25,FALSE)),0,VLOOKUP($A1658,'13. Updated Demand'!A:Z,25,FALSE))</f>
        <v>0.26</v>
      </c>
      <c r="AI1658" s="16">
        <f>IF(ISERROR(VLOOKUP($A1658,'13. Updated Demand'!A:Z,26,FALSE)),0,VLOOKUP($A1658,'13. Updated Demand'!A:Z,26,FALSE))</f>
        <v>0.26</v>
      </c>
      <c r="AJ1658" s="16">
        <f t="shared" si="313"/>
        <v>2.7299999999999995</v>
      </c>
      <c r="AK1658" s="19">
        <v>1.060608</v>
      </c>
      <c r="AL1658" s="16">
        <f t="shared" si="311"/>
        <v>3.5179159213955314E-3</v>
      </c>
      <c r="AM1658" s="26">
        <v>1.0000344827586207</v>
      </c>
      <c r="AN1658" s="19">
        <v>2.7839999999999998</v>
      </c>
      <c r="AO1658" s="19" t="s">
        <v>1758</v>
      </c>
      <c r="AP1658" s="19">
        <v>0</v>
      </c>
      <c r="AQ1658" s="19" t="s">
        <v>307</v>
      </c>
      <c r="AR1658" s="9" t="s">
        <v>317</v>
      </c>
      <c r="AS1658" s="12">
        <v>3.4039024194010059E-4</v>
      </c>
      <c r="AT1658" s="19">
        <v>39.338585610000003</v>
      </c>
      <c r="AU1658" s="19">
        <v>-123.23545446</v>
      </c>
      <c r="AV1658" s="19" t="s">
        <v>2058</v>
      </c>
    </row>
    <row r="1659" spans="1:48" x14ac:dyDescent="0.25">
      <c r="A1659" s="18" t="s">
        <v>2059</v>
      </c>
      <c r="B1659" s="10">
        <v>10000000</v>
      </c>
      <c r="C1659" s="9">
        <v>1</v>
      </c>
      <c r="D1659" s="8" t="str">
        <f t="shared" si="302"/>
        <v>N</v>
      </c>
      <c r="E1659" s="8" t="str">
        <f t="shared" si="303"/>
        <v>N</v>
      </c>
      <c r="F1659" s="8" t="str">
        <f t="shared" si="304"/>
        <v>Y</v>
      </c>
      <c r="G1659" s="8" t="str">
        <f t="shared" si="305"/>
        <v>Y</v>
      </c>
      <c r="H1659" s="8" t="str">
        <f t="shared" si="306"/>
        <v>Upper</v>
      </c>
      <c r="I1659" s="8" t="str">
        <f t="shared" si="307"/>
        <v>West Fork and Below Lake</v>
      </c>
      <c r="J1659" s="8" t="str">
        <f t="shared" si="308"/>
        <v>Outside</v>
      </c>
      <c r="K1659" s="8" t="str">
        <f t="shared" si="309"/>
        <v>Riparian</v>
      </c>
      <c r="L1659" s="8">
        <f t="shared" si="310"/>
        <v>1000</v>
      </c>
      <c r="M1659" s="8" t="str">
        <f t="shared" si="312"/>
        <v>-</v>
      </c>
      <c r="N1659" s="10" t="s">
        <v>242</v>
      </c>
      <c r="O1659" s="10" t="s">
        <v>241</v>
      </c>
      <c r="P1659" s="10" t="s">
        <v>242</v>
      </c>
      <c r="Q1659" s="10" t="s">
        <v>242</v>
      </c>
      <c r="R1659" s="10" t="s">
        <v>242</v>
      </c>
      <c r="S1659" s="10" t="s">
        <v>241</v>
      </c>
      <c r="T1659" s="10" t="s">
        <v>242</v>
      </c>
      <c r="U1659" s="10" t="s">
        <v>242</v>
      </c>
      <c r="V1659" s="10" t="s">
        <v>242</v>
      </c>
      <c r="W1659" s="10" t="s">
        <v>242</v>
      </c>
      <c r="X1659" s="15">
        <f>IF(ISERROR(VLOOKUP($A1659,'13. Updated Demand'!A:Z,15,FALSE)),0,VLOOKUP($A1659,'13. Updated Demand'!A:Z,15,FALSE))</f>
        <v>0.26</v>
      </c>
      <c r="Y1659" s="16">
        <f>IF(ISERROR(VLOOKUP($A1659,'13. Updated Demand'!A:Z,16,FALSE)),0,VLOOKUP($A1659,'13. Updated Demand'!A:Z,16,FALSE))</f>
        <v>0.26</v>
      </c>
      <c r="Z1659" s="16">
        <f>IF(ISERROR(VLOOKUP($A1659,'13. Updated Demand'!A:Z,17,FALSE)),0,VLOOKUP($A1659,'13. Updated Demand'!A:Z,17,FALSE))</f>
        <v>0.26</v>
      </c>
      <c r="AA1659" s="16">
        <f>IF(ISERROR(VLOOKUP($A1659,'13. Updated Demand'!A:Z,18,FALSE)),0,VLOOKUP($A1659,'13. Updated Demand'!A:Z,18,FALSE))</f>
        <v>0.26</v>
      </c>
      <c r="AB1659" s="16">
        <f>IF(ISERROR(VLOOKUP($A1659,'13. Updated Demand'!A:Z,19,FALSE)),0,VLOOKUP($A1659,'13. Updated Demand'!A:Z,19,FALSE))</f>
        <v>0.26</v>
      </c>
      <c r="AC1659" s="16">
        <f>IF(ISERROR(VLOOKUP($A1659,'13. Updated Demand'!A:Z,20,FALSE)),0,VLOOKUP($A1659,'13. Updated Demand'!A:Z,20,FALSE))</f>
        <v>0.13</v>
      </c>
      <c r="AD1659" s="16">
        <f>IF(ISERROR(VLOOKUP($A1659,'13. Updated Demand'!A:Z,21,FALSE)),0,VLOOKUP($A1659,'13. Updated Demand'!A:Z,21,FALSE))</f>
        <v>0.13</v>
      </c>
      <c r="AE1659" s="16">
        <f>IF(ISERROR(VLOOKUP($A1659,'13. Updated Demand'!A:Z,22,FALSE)),0,VLOOKUP($A1659,'13. Updated Demand'!A:Z,22,FALSE))</f>
        <v>0.13</v>
      </c>
      <c r="AF1659" s="16">
        <f>IF(ISERROR(VLOOKUP($A1659,'13. Updated Demand'!A:Z,23,FALSE)),0,VLOOKUP($A1659,'13. Updated Demand'!A:Z,23,FALSE))</f>
        <v>0.13</v>
      </c>
      <c r="AG1659" s="16">
        <f>IF(ISERROR(VLOOKUP($A1659,'13. Updated Demand'!A:Z,24,FALSE)),0,VLOOKUP($A1659,'13. Updated Demand'!A:Z,24,FALSE))</f>
        <v>0.13</v>
      </c>
      <c r="AH1659" s="16">
        <f>IF(ISERROR(VLOOKUP($A1659,'13. Updated Demand'!A:Z,25,FALSE)),0,VLOOKUP($A1659,'13. Updated Demand'!A:Z,25,FALSE))</f>
        <v>0.13</v>
      </c>
      <c r="AI1659" s="16">
        <f>IF(ISERROR(VLOOKUP($A1659,'13. Updated Demand'!A:Z,26,FALSE)),0,VLOOKUP($A1659,'13. Updated Demand'!A:Z,26,FALSE))</f>
        <v>0.17</v>
      </c>
      <c r="AJ1659" s="16">
        <f t="shared" si="313"/>
        <v>2.2499999999999996</v>
      </c>
      <c r="AK1659" s="19">
        <v>0.79545600000000005</v>
      </c>
      <c r="AL1659" s="16">
        <f t="shared" si="311"/>
        <v>2.6384369410466487E-3</v>
      </c>
      <c r="AM1659" s="26">
        <v>0.82542528735632192</v>
      </c>
      <c r="AN1659" s="19">
        <v>2.7839999999999998</v>
      </c>
      <c r="AO1659" s="19" t="s">
        <v>1758</v>
      </c>
      <c r="AP1659" s="19">
        <v>0</v>
      </c>
      <c r="AQ1659" s="19" t="s">
        <v>307</v>
      </c>
      <c r="AR1659" s="9" t="s">
        <v>317</v>
      </c>
      <c r="AS1659" s="12">
        <v>3.4039024194010059E-4</v>
      </c>
      <c r="AT1659" s="19">
        <v>39.338036549999998</v>
      </c>
      <c r="AU1659" s="19">
        <v>-123.23544484</v>
      </c>
      <c r="AV1659" s="19" t="s">
        <v>2060</v>
      </c>
    </row>
    <row r="1660" spans="1:48" x14ac:dyDescent="0.25">
      <c r="A1660" s="18" t="s">
        <v>2061</v>
      </c>
      <c r="B1660" s="10">
        <v>10000000</v>
      </c>
      <c r="C1660" s="9">
        <v>1</v>
      </c>
      <c r="D1660" s="8" t="str">
        <f t="shared" si="302"/>
        <v>N</v>
      </c>
      <c r="E1660" s="8" t="str">
        <f t="shared" si="303"/>
        <v>N</v>
      </c>
      <c r="F1660" s="8" t="str">
        <f t="shared" si="304"/>
        <v>Y</v>
      </c>
      <c r="G1660" s="8" t="str">
        <f t="shared" si="305"/>
        <v>Y</v>
      </c>
      <c r="H1660" s="8" t="str">
        <f t="shared" si="306"/>
        <v>Upper</v>
      </c>
      <c r="I1660" s="8" t="str">
        <f t="shared" si="307"/>
        <v>West Fork and Below Lake</v>
      </c>
      <c r="J1660" s="8" t="str">
        <f t="shared" si="308"/>
        <v>Outside</v>
      </c>
      <c r="K1660" s="8" t="str">
        <f t="shared" si="309"/>
        <v>Riparian</v>
      </c>
      <c r="L1660" s="8">
        <f t="shared" si="310"/>
        <v>1000</v>
      </c>
      <c r="M1660" s="8" t="str">
        <f t="shared" si="312"/>
        <v>-</v>
      </c>
      <c r="N1660" s="10" t="s">
        <v>242</v>
      </c>
      <c r="O1660" s="10" t="s">
        <v>241</v>
      </c>
      <c r="P1660" s="10" t="s">
        <v>242</v>
      </c>
      <c r="Q1660" s="10" t="s">
        <v>242</v>
      </c>
      <c r="R1660" s="10" t="s">
        <v>242</v>
      </c>
      <c r="S1660" s="10" t="s">
        <v>241</v>
      </c>
      <c r="T1660" s="10" t="s">
        <v>242</v>
      </c>
      <c r="U1660" s="10" t="s">
        <v>242</v>
      </c>
      <c r="V1660" s="10" t="s">
        <v>242</v>
      </c>
      <c r="W1660" s="10" t="s">
        <v>242</v>
      </c>
      <c r="X1660" s="15">
        <f>IF(ISERROR(VLOOKUP($A1660,'13. Updated Demand'!A:Z,15,FALSE)),0,VLOOKUP($A1660,'13. Updated Demand'!A:Z,15,FALSE))</f>
        <v>0.66</v>
      </c>
      <c r="Y1660" s="16">
        <f>IF(ISERROR(VLOOKUP($A1660,'13. Updated Demand'!A:Z,16,FALSE)),0,VLOOKUP($A1660,'13. Updated Demand'!A:Z,16,FALSE))</f>
        <v>0.66</v>
      </c>
      <c r="Z1660" s="16">
        <f>IF(ISERROR(VLOOKUP($A1660,'13. Updated Demand'!A:Z,17,FALSE)),0,VLOOKUP($A1660,'13. Updated Demand'!A:Z,17,FALSE))</f>
        <v>0.66</v>
      </c>
      <c r="AA1660" s="16">
        <f>IF(ISERROR(VLOOKUP($A1660,'13. Updated Demand'!A:Z,18,FALSE)),0,VLOOKUP($A1660,'13. Updated Demand'!A:Z,18,FALSE))</f>
        <v>0.66</v>
      </c>
      <c r="AB1660" s="16">
        <f>IF(ISERROR(VLOOKUP($A1660,'13. Updated Demand'!A:Z,19,FALSE)),0,VLOOKUP($A1660,'13. Updated Demand'!A:Z,19,FALSE))</f>
        <v>0.53</v>
      </c>
      <c r="AC1660" s="16">
        <f>IF(ISERROR(VLOOKUP($A1660,'13. Updated Demand'!A:Z,20,FALSE)),0,VLOOKUP($A1660,'13. Updated Demand'!A:Z,20,FALSE))</f>
        <v>0.53</v>
      </c>
      <c r="AD1660" s="16">
        <f>IF(ISERROR(VLOOKUP($A1660,'13. Updated Demand'!A:Z,21,FALSE)),0,VLOOKUP($A1660,'13. Updated Demand'!A:Z,21,FALSE))</f>
        <v>0.53</v>
      </c>
      <c r="AE1660" s="16">
        <f>IF(ISERROR(VLOOKUP($A1660,'13. Updated Demand'!A:Z,22,FALSE)),0,VLOOKUP($A1660,'13. Updated Demand'!A:Z,22,FALSE))</f>
        <v>0.53</v>
      </c>
      <c r="AF1660" s="16">
        <f>IF(ISERROR(VLOOKUP($A1660,'13. Updated Demand'!A:Z,23,FALSE)),0,VLOOKUP($A1660,'13. Updated Demand'!A:Z,23,FALSE))</f>
        <v>0.53</v>
      </c>
      <c r="AG1660" s="16">
        <f>IF(ISERROR(VLOOKUP($A1660,'13. Updated Demand'!A:Z,24,FALSE)),0,VLOOKUP($A1660,'13. Updated Demand'!A:Z,24,FALSE))</f>
        <v>0.53</v>
      </c>
      <c r="AH1660" s="16">
        <f>IF(ISERROR(VLOOKUP($A1660,'13. Updated Demand'!A:Z,25,FALSE)),0,VLOOKUP($A1660,'13. Updated Demand'!A:Z,25,FALSE))</f>
        <v>0.53</v>
      </c>
      <c r="AI1660" s="16">
        <f>IF(ISERROR(VLOOKUP($A1660,'13. Updated Demand'!A:Z,26,FALSE)),0,VLOOKUP($A1660,'13. Updated Demand'!A:Z,26,FALSE))</f>
        <v>0.53</v>
      </c>
      <c r="AJ1660" s="16">
        <f t="shared" si="313"/>
        <v>6.8800000000000017</v>
      </c>
      <c r="AK1660" s="19">
        <v>2.6515200000000001</v>
      </c>
      <c r="AL1660" s="16">
        <f t="shared" si="311"/>
        <v>8.7947898034888283E-3</v>
      </c>
      <c r="AM1660" s="26">
        <v>0.94546491853639814</v>
      </c>
      <c r="AN1660" s="19">
        <v>7.2915999999999999</v>
      </c>
      <c r="AO1660" s="19" t="s">
        <v>1758</v>
      </c>
      <c r="AP1660" s="19">
        <v>0</v>
      </c>
      <c r="AQ1660" s="19" t="s">
        <v>307</v>
      </c>
      <c r="AR1660" s="9" t="s">
        <v>317</v>
      </c>
      <c r="AS1660" s="12">
        <v>3.4039024194010059E-4</v>
      </c>
      <c r="AT1660" s="19">
        <v>39.327986289999998</v>
      </c>
      <c r="AU1660" s="19">
        <v>-123.23809736</v>
      </c>
      <c r="AV1660" s="19" t="s">
        <v>2062</v>
      </c>
    </row>
    <row r="1661" spans="1:48" x14ac:dyDescent="0.25">
      <c r="A1661" s="18" t="s">
        <v>2063</v>
      </c>
      <c r="B1661" s="10">
        <v>10000000</v>
      </c>
      <c r="C1661" s="9">
        <v>1</v>
      </c>
      <c r="D1661" s="8" t="str">
        <f t="shared" si="302"/>
        <v>N</v>
      </c>
      <c r="E1661" s="8" t="str">
        <f t="shared" si="303"/>
        <v>N</v>
      </c>
      <c r="F1661" s="8" t="str">
        <f t="shared" si="304"/>
        <v>Y</v>
      </c>
      <c r="G1661" s="8" t="str">
        <f t="shared" si="305"/>
        <v>Y</v>
      </c>
      <c r="H1661" s="8" t="str">
        <f t="shared" si="306"/>
        <v>Upper</v>
      </c>
      <c r="I1661" s="8" t="str">
        <f t="shared" si="307"/>
        <v>West Fork and Below Lake</v>
      </c>
      <c r="J1661" s="8" t="str">
        <f t="shared" si="308"/>
        <v>Outside</v>
      </c>
      <c r="K1661" s="8" t="str">
        <f t="shared" si="309"/>
        <v>Riparian</v>
      </c>
      <c r="L1661" s="8">
        <f t="shared" si="310"/>
        <v>1000</v>
      </c>
      <c r="M1661" s="8" t="str">
        <f t="shared" si="312"/>
        <v>-</v>
      </c>
      <c r="N1661" s="10" t="s">
        <v>242</v>
      </c>
      <c r="O1661" s="10" t="s">
        <v>241</v>
      </c>
      <c r="P1661" s="10" t="s">
        <v>242</v>
      </c>
      <c r="Q1661" s="10" t="s">
        <v>242</v>
      </c>
      <c r="R1661" s="10" t="s">
        <v>242</v>
      </c>
      <c r="S1661" s="10" t="s">
        <v>241</v>
      </c>
      <c r="T1661" s="10" t="s">
        <v>242</v>
      </c>
      <c r="U1661" s="10" t="s">
        <v>242</v>
      </c>
      <c r="V1661" s="10" t="s">
        <v>242</v>
      </c>
      <c r="W1661" s="10" t="s">
        <v>242</v>
      </c>
      <c r="X1661" s="15">
        <f>IF(ISERROR(VLOOKUP($A1661,'13. Updated Demand'!A:Z,15,FALSE)),0,VLOOKUP($A1661,'13. Updated Demand'!A:Z,15,FALSE))</f>
        <v>0.66</v>
      </c>
      <c r="Y1661" s="16">
        <f>IF(ISERROR(VLOOKUP($A1661,'13. Updated Demand'!A:Z,16,FALSE)),0,VLOOKUP($A1661,'13. Updated Demand'!A:Z,16,FALSE))</f>
        <v>0.66</v>
      </c>
      <c r="Z1661" s="16">
        <f>IF(ISERROR(VLOOKUP($A1661,'13. Updated Demand'!A:Z,17,FALSE)),0,VLOOKUP($A1661,'13. Updated Demand'!A:Z,17,FALSE))</f>
        <v>0.66</v>
      </c>
      <c r="AA1661" s="16">
        <f>IF(ISERROR(VLOOKUP($A1661,'13. Updated Demand'!A:Z,18,FALSE)),0,VLOOKUP($A1661,'13. Updated Demand'!A:Z,18,FALSE))</f>
        <v>0.66</v>
      </c>
      <c r="AB1661" s="16">
        <f>IF(ISERROR(VLOOKUP($A1661,'13. Updated Demand'!A:Z,19,FALSE)),0,VLOOKUP($A1661,'13. Updated Demand'!A:Z,19,FALSE))</f>
        <v>0.53</v>
      </c>
      <c r="AC1661" s="16">
        <f>IF(ISERROR(VLOOKUP($A1661,'13. Updated Demand'!A:Z,20,FALSE)),0,VLOOKUP($A1661,'13. Updated Demand'!A:Z,20,FALSE))</f>
        <v>0.53</v>
      </c>
      <c r="AD1661" s="16">
        <f>IF(ISERROR(VLOOKUP($A1661,'13. Updated Demand'!A:Z,21,FALSE)),0,VLOOKUP($A1661,'13. Updated Demand'!A:Z,21,FALSE))</f>
        <v>0.53</v>
      </c>
      <c r="AE1661" s="16">
        <f>IF(ISERROR(VLOOKUP($A1661,'13. Updated Demand'!A:Z,22,FALSE)),0,VLOOKUP($A1661,'13. Updated Demand'!A:Z,22,FALSE))</f>
        <v>0.53</v>
      </c>
      <c r="AF1661" s="16">
        <f>IF(ISERROR(VLOOKUP($A1661,'13. Updated Demand'!A:Z,23,FALSE)),0,VLOOKUP($A1661,'13. Updated Demand'!A:Z,23,FALSE))</f>
        <v>0.53</v>
      </c>
      <c r="AG1661" s="16">
        <f>IF(ISERROR(VLOOKUP($A1661,'13. Updated Demand'!A:Z,24,FALSE)),0,VLOOKUP($A1661,'13. Updated Demand'!A:Z,24,FALSE))</f>
        <v>0.53</v>
      </c>
      <c r="AH1661" s="16">
        <f>IF(ISERROR(VLOOKUP($A1661,'13. Updated Demand'!A:Z,25,FALSE)),0,VLOOKUP($A1661,'13. Updated Demand'!A:Z,25,FALSE))</f>
        <v>0.53</v>
      </c>
      <c r="AI1661" s="16">
        <f>IF(ISERROR(VLOOKUP($A1661,'13. Updated Demand'!A:Z,26,FALSE)),0,VLOOKUP($A1661,'13. Updated Demand'!A:Z,26,FALSE))</f>
        <v>0.53</v>
      </c>
      <c r="AJ1661" s="16">
        <f t="shared" si="313"/>
        <v>6.8800000000000017</v>
      </c>
      <c r="AK1661" s="19">
        <v>2.6515200000000001</v>
      </c>
      <c r="AL1661" s="16">
        <f t="shared" si="311"/>
        <v>8.7947898034888283E-3</v>
      </c>
      <c r="AM1661" s="26">
        <v>0.92857843269308482</v>
      </c>
      <c r="AN1661" s="19">
        <v>7.4241999999999999</v>
      </c>
      <c r="AO1661" s="19" t="s">
        <v>1758</v>
      </c>
      <c r="AP1661" s="19">
        <v>0</v>
      </c>
      <c r="AQ1661" s="19" t="s">
        <v>307</v>
      </c>
      <c r="AR1661" s="9" t="s">
        <v>317</v>
      </c>
      <c r="AS1661" s="12">
        <v>3.4039024194010059E-4</v>
      </c>
      <c r="AT1661" s="19">
        <v>39.33616198</v>
      </c>
      <c r="AU1661" s="19">
        <v>-123.25680456000001</v>
      </c>
      <c r="AV1661" s="19" t="s">
        <v>2064</v>
      </c>
    </row>
    <row r="1662" spans="1:48" x14ac:dyDescent="0.25">
      <c r="A1662" s="18" t="s">
        <v>2065</v>
      </c>
      <c r="B1662" s="10">
        <v>10000000</v>
      </c>
      <c r="C1662" s="9">
        <v>1</v>
      </c>
      <c r="D1662" s="8" t="str">
        <f t="shared" si="302"/>
        <v>N</v>
      </c>
      <c r="E1662" s="8" t="str">
        <f t="shared" si="303"/>
        <v>N</v>
      </c>
      <c r="F1662" s="8" t="str">
        <f t="shared" si="304"/>
        <v>Y</v>
      </c>
      <c r="G1662" s="8" t="str">
        <f t="shared" si="305"/>
        <v>Y</v>
      </c>
      <c r="H1662" s="8" t="str">
        <f t="shared" si="306"/>
        <v>Upper</v>
      </c>
      <c r="I1662" s="8" t="str">
        <f t="shared" si="307"/>
        <v>West Fork and Below Lake</v>
      </c>
      <c r="J1662" s="8" t="str">
        <f t="shared" si="308"/>
        <v>Outside</v>
      </c>
      <c r="K1662" s="8" t="str">
        <f t="shared" si="309"/>
        <v>Riparian</v>
      </c>
      <c r="L1662" s="8">
        <f t="shared" si="310"/>
        <v>1000</v>
      </c>
      <c r="M1662" s="8" t="str">
        <f t="shared" si="312"/>
        <v>-</v>
      </c>
      <c r="N1662" s="10" t="s">
        <v>242</v>
      </c>
      <c r="O1662" s="10" t="s">
        <v>241</v>
      </c>
      <c r="P1662" s="10" t="s">
        <v>242</v>
      </c>
      <c r="Q1662" s="10" t="s">
        <v>242</v>
      </c>
      <c r="R1662" s="10" t="s">
        <v>242</v>
      </c>
      <c r="S1662" s="10" t="s">
        <v>241</v>
      </c>
      <c r="T1662" s="10" t="s">
        <v>242</v>
      </c>
      <c r="U1662" s="10" t="s">
        <v>242</v>
      </c>
      <c r="V1662" s="10" t="s">
        <v>242</v>
      </c>
      <c r="W1662" s="10" t="s">
        <v>242</v>
      </c>
      <c r="X1662" s="15">
        <f>IF(ISERROR(VLOOKUP($A1662,'13. Updated Demand'!A:Z,15,FALSE)),0,VLOOKUP($A1662,'13. Updated Demand'!A:Z,15,FALSE))</f>
        <v>0.26</v>
      </c>
      <c r="Y1662" s="16">
        <f>IF(ISERROR(VLOOKUP($A1662,'13. Updated Demand'!A:Z,16,FALSE)),0,VLOOKUP($A1662,'13. Updated Demand'!A:Z,16,FALSE))</f>
        <v>0.26</v>
      </c>
      <c r="Z1662" s="16">
        <f>IF(ISERROR(VLOOKUP($A1662,'13. Updated Demand'!A:Z,17,FALSE)),0,VLOOKUP($A1662,'13. Updated Demand'!A:Z,17,FALSE))</f>
        <v>0.26</v>
      </c>
      <c r="AA1662" s="16">
        <f>IF(ISERROR(VLOOKUP($A1662,'13. Updated Demand'!A:Z,18,FALSE)),0,VLOOKUP($A1662,'13. Updated Demand'!A:Z,18,FALSE))</f>
        <v>0.26</v>
      </c>
      <c r="AB1662" s="16">
        <f>IF(ISERROR(VLOOKUP($A1662,'13. Updated Demand'!A:Z,19,FALSE)),0,VLOOKUP($A1662,'13. Updated Demand'!A:Z,19,FALSE))</f>
        <v>0.13</v>
      </c>
      <c r="AC1662" s="16">
        <f>IF(ISERROR(VLOOKUP($A1662,'13. Updated Demand'!A:Z,20,FALSE)),0,VLOOKUP($A1662,'13. Updated Demand'!A:Z,20,FALSE))</f>
        <v>0.13</v>
      </c>
      <c r="AD1662" s="16">
        <f>IF(ISERROR(VLOOKUP($A1662,'13. Updated Demand'!A:Z,21,FALSE)),0,VLOOKUP($A1662,'13. Updated Demand'!A:Z,21,FALSE))</f>
        <v>0.13</v>
      </c>
      <c r="AE1662" s="16">
        <f>IF(ISERROR(VLOOKUP($A1662,'13. Updated Demand'!A:Z,22,FALSE)),0,VLOOKUP($A1662,'13. Updated Demand'!A:Z,22,FALSE))</f>
        <v>0.13</v>
      </c>
      <c r="AF1662" s="16">
        <f>IF(ISERROR(VLOOKUP($A1662,'13. Updated Demand'!A:Z,23,FALSE)),0,VLOOKUP($A1662,'13. Updated Demand'!A:Z,23,FALSE))</f>
        <v>0.13</v>
      </c>
      <c r="AG1662" s="16">
        <f>IF(ISERROR(VLOOKUP($A1662,'13. Updated Demand'!A:Z,24,FALSE)),0,VLOOKUP($A1662,'13. Updated Demand'!A:Z,24,FALSE))</f>
        <v>0.13</v>
      </c>
      <c r="AH1662" s="16">
        <f>IF(ISERROR(VLOOKUP($A1662,'13. Updated Demand'!A:Z,25,FALSE)),0,VLOOKUP($A1662,'13. Updated Demand'!A:Z,25,FALSE))</f>
        <v>0.13</v>
      </c>
      <c r="AI1662" s="16">
        <f>IF(ISERROR(VLOOKUP($A1662,'13. Updated Demand'!A:Z,26,FALSE)),0,VLOOKUP($A1662,'13. Updated Demand'!A:Z,26,FALSE))</f>
        <v>0.13</v>
      </c>
      <c r="AJ1662" s="16">
        <f t="shared" si="313"/>
        <v>2.0799999999999992</v>
      </c>
      <c r="AK1662" s="19">
        <v>0.66288000000000002</v>
      </c>
      <c r="AL1662" s="16">
        <f t="shared" si="311"/>
        <v>2.1986974508722071E-3</v>
      </c>
      <c r="AM1662" s="26">
        <v>0.80000603432019612</v>
      </c>
      <c r="AN1662" s="19">
        <v>2.6515</v>
      </c>
      <c r="AO1662" s="19" t="s">
        <v>1758</v>
      </c>
      <c r="AP1662" s="19">
        <v>0</v>
      </c>
      <c r="AQ1662" s="19" t="s">
        <v>307</v>
      </c>
      <c r="AR1662" s="9" t="s">
        <v>317</v>
      </c>
      <c r="AS1662" s="12">
        <v>3.4039024194010059E-4</v>
      </c>
      <c r="AT1662" s="19">
        <v>39.336233790000001</v>
      </c>
      <c r="AU1662" s="19">
        <v>-123.25008756</v>
      </c>
      <c r="AV1662" s="19" t="s">
        <v>2066</v>
      </c>
    </row>
    <row r="1663" spans="1:48" x14ac:dyDescent="0.25">
      <c r="A1663" s="18" t="s">
        <v>2067</v>
      </c>
      <c r="B1663" s="10">
        <v>10000000</v>
      </c>
      <c r="C1663" s="9">
        <v>13</v>
      </c>
      <c r="D1663" s="8" t="str">
        <f t="shared" si="302"/>
        <v>N</v>
      </c>
      <c r="E1663" s="8" t="str">
        <f t="shared" si="303"/>
        <v>Y</v>
      </c>
      <c r="F1663" s="8" t="str">
        <f t="shared" si="304"/>
        <v>Y</v>
      </c>
      <c r="G1663" s="8" t="str">
        <f t="shared" si="305"/>
        <v>Y</v>
      </c>
      <c r="H1663" s="8" t="str">
        <f t="shared" si="306"/>
        <v>Upper</v>
      </c>
      <c r="I1663" s="8" t="str">
        <f t="shared" si="307"/>
        <v>West Fork and Below Lake</v>
      </c>
      <c r="J1663" s="8" t="str">
        <f t="shared" si="308"/>
        <v>Sonoma (d/s of Clov. Gage)</v>
      </c>
      <c r="K1663" s="8" t="str">
        <f t="shared" si="309"/>
        <v>Riparian</v>
      </c>
      <c r="L1663" s="8">
        <f t="shared" si="310"/>
        <v>1000</v>
      </c>
      <c r="M1663" s="8" t="str">
        <f t="shared" si="312"/>
        <v>-</v>
      </c>
      <c r="N1663" s="10" t="s">
        <v>242</v>
      </c>
      <c r="O1663" s="10" t="s">
        <v>241</v>
      </c>
      <c r="P1663" s="10" t="s">
        <v>242</v>
      </c>
      <c r="Q1663" s="10" t="s">
        <v>242</v>
      </c>
      <c r="R1663" s="10" t="s">
        <v>242</v>
      </c>
      <c r="S1663" s="10" t="s">
        <v>241</v>
      </c>
      <c r="T1663" s="10" t="s">
        <v>242</v>
      </c>
      <c r="U1663" s="10" t="s">
        <v>242</v>
      </c>
      <c r="V1663" s="10" t="s">
        <v>242</v>
      </c>
      <c r="W1663" s="10" t="s">
        <v>242</v>
      </c>
      <c r="X1663" s="15">
        <f>IF(ISERROR(VLOOKUP($A1663,'13. Updated Demand'!A:Z,15,FALSE)),0,VLOOKUP($A1663,'13. Updated Demand'!A:Z,15,FALSE))</f>
        <v>0</v>
      </c>
      <c r="Y1663" s="16">
        <f>IF(ISERROR(VLOOKUP($A1663,'13. Updated Demand'!A:Z,16,FALSE)),0,VLOOKUP($A1663,'13. Updated Demand'!A:Z,16,FALSE))</f>
        <v>0</v>
      </c>
      <c r="Z1663" s="16">
        <f>IF(ISERROR(VLOOKUP($A1663,'13. Updated Demand'!A:Z,17,FALSE)),0,VLOOKUP($A1663,'13. Updated Demand'!A:Z,17,FALSE))</f>
        <v>0</v>
      </c>
      <c r="AA1663" s="16">
        <f>IF(ISERROR(VLOOKUP($A1663,'13. Updated Demand'!A:Z,18,FALSE)),0,VLOOKUP($A1663,'13. Updated Demand'!A:Z,18,FALSE))</f>
        <v>0</v>
      </c>
      <c r="AB1663" s="16">
        <f>IF(ISERROR(VLOOKUP($A1663,'13. Updated Demand'!A:Z,19,FALSE)),0,VLOOKUP($A1663,'13. Updated Demand'!A:Z,19,FALSE))</f>
        <v>2.5</v>
      </c>
      <c r="AC1663" s="16">
        <f>IF(ISERROR(VLOOKUP($A1663,'13. Updated Demand'!A:Z,20,FALSE)),0,VLOOKUP($A1663,'13. Updated Demand'!A:Z,20,FALSE))</f>
        <v>4.3</v>
      </c>
      <c r="AD1663" s="16">
        <f>IF(ISERROR(VLOOKUP($A1663,'13. Updated Demand'!A:Z,21,FALSE)),0,VLOOKUP($A1663,'13. Updated Demand'!A:Z,21,FALSE))</f>
        <v>6.8</v>
      </c>
      <c r="AE1663" s="16">
        <f>IF(ISERROR(VLOOKUP($A1663,'13. Updated Demand'!A:Z,22,FALSE)),0,VLOOKUP($A1663,'13. Updated Demand'!A:Z,22,FALSE))</f>
        <v>10.3</v>
      </c>
      <c r="AF1663" s="16">
        <f>IF(ISERROR(VLOOKUP($A1663,'13. Updated Demand'!A:Z,23,FALSE)),0,VLOOKUP($A1663,'13. Updated Demand'!A:Z,23,FALSE))</f>
        <v>11.1</v>
      </c>
      <c r="AG1663" s="16">
        <f>IF(ISERROR(VLOOKUP($A1663,'13. Updated Demand'!A:Z,24,FALSE)),0,VLOOKUP($A1663,'13. Updated Demand'!A:Z,24,FALSE))</f>
        <v>7.9</v>
      </c>
      <c r="AH1663" s="16">
        <f>IF(ISERROR(VLOOKUP($A1663,'13. Updated Demand'!A:Z,25,FALSE)),0,VLOOKUP($A1663,'13. Updated Demand'!A:Z,25,FALSE))</f>
        <v>0</v>
      </c>
      <c r="AI1663" s="16">
        <f>IF(ISERROR(VLOOKUP($A1663,'13. Updated Demand'!A:Z,26,FALSE)),0,VLOOKUP($A1663,'13. Updated Demand'!A:Z,26,FALSE))</f>
        <v>0</v>
      </c>
      <c r="AJ1663" s="16">
        <f t="shared" si="313"/>
        <v>42.9</v>
      </c>
      <c r="AK1663" s="19">
        <v>35</v>
      </c>
      <c r="AL1663" s="16">
        <f t="shared" si="311"/>
        <v>0.11609101312534281</v>
      </c>
      <c r="AM1663" s="26">
        <v>6.5801582919197493E-2</v>
      </c>
      <c r="AN1663" s="19">
        <v>651.96</v>
      </c>
      <c r="AO1663" s="19" t="s">
        <v>1758</v>
      </c>
      <c r="AP1663" s="19">
        <v>0</v>
      </c>
      <c r="AQ1663" s="19" t="s">
        <v>307</v>
      </c>
      <c r="AR1663" s="9" t="s">
        <v>994</v>
      </c>
      <c r="AS1663" s="12">
        <v>0</v>
      </c>
      <c r="AT1663" s="19">
        <v>38.589563210000001</v>
      </c>
      <c r="AU1663" s="19">
        <v>-122.86105571</v>
      </c>
      <c r="AV1663" s="19" t="s">
        <v>548</v>
      </c>
    </row>
    <row r="1664" spans="1:48" x14ac:dyDescent="0.25">
      <c r="A1664" s="18" t="s">
        <v>2068</v>
      </c>
      <c r="B1664" s="10">
        <v>10000000</v>
      </c>
      <c r="C1664" s="9">
        <v>10</v>
      </c>
      <c r="D1664" s="8" t="str">
        <f t="shared" si="302"/>
        <v>N</v>
      </c>
      <c r="E1664" s="8" t="str">
        <f t="shared" si="303"/>
        <v>Y</v>
      </c>
      <c r="F1664" s="8" t="str">
        <f t="shared" si="304"/>
        <v>Y</v>
      </c>
      <c r="G1664" s="8" t="str">
        <f t="shared" si="305"/>
        <v>Y</v>
      </c>
      <c r="H1664" s="8" t="str">
        <f t="shared" si="306"/>
        <v>Upper</v>
      </c>
      <c r="I1664" s="8" t="str">
        <f t="shared" si="307"/>
        <v>West Fork and Below Lake</v>
      </c>
      <c r="J1664" s="8" t="str">
        <f t="shared" si="308"/>
        <v>Sonoma (d/s of Clov. Gage)</v>
      </c>
      <c r="K1664" s="8" t="str">
        <f t="shared" si="309"/>
        <v>Riparian</v>
      </c>
      <c r="L1664" s="8">
        <f t="shared" si="310"/>
        <v>1000</v>
      </c>
      <c r="M1664" s="8" t="str">
        <f t="shared" si="312"/>
        <v>-</v>
      </c>
      <c r="N1664" s="10" t="s">
        <v>241</v>
      </c>
      <c r="O1664" s="10" t="s">
        <v>241</v>
      </c>
      <c r="P1664" s="10" t="s">
        <v>242</v>
      </c>
      <c r="Q1664" s="10" t="s">
        <v>242</v>
      </c>
      <c r="R1664" s="10" t="s">
        <v>242</v>
      </c>
      <c r="S1664" s="10" t="s">
        <v>241</v>
      </c>
      <c r="T1664" s="10" t="s">
        <v>242</v>
      </c>
      <c r="U1664" s="10" t="s">
        <v>241</v>
      </c>
      <c r="V1664" s="10" t="s">
        <v>241</v>
      </c>
      <c r="W1664" s="10" t="s">
        <v>242</v>
      </c>
      <c r="X1664" s="15">
        <f>IF(ISERROR(VLOOKUP($A1664,'13. Updated Demand'!A:Z,15,FALSE)),0,VLOOKUP($A1664,'13. Updated Demand'!A:Z,15,FALSE))</f>
        <v>0</v>
      </c>
      <c r="Y1664" s="16">
        <f>IF(ISERROR(VLOOKUP($A1664,'13. Updated Demand'!A:Z,16,FALSE)),0,VLOOKUP($A1664,'13. Updated Demand'!A:Z,16,FALSE))</f>
        <v>0</v>
      </c>
      <c r="Z1664" s="16">
        <f>IF(ISERROR(VLOOKUP($A1664,'13. Updated Demand'!A:Z,17,FALSE)),0,VLOOKUP($A1664,'13. Updated Demand'!A:Z,17,FALSE))</f>
        <v>0</v>
      </c>
      <c r="AA1664" s="16">
        <f>IF(ISERROR(VLOOKUP($A1664,'13. Updated Demand'!A:Z,18,FALSE)),0,VLOOKUP($A1664,'13. Updated Demand'!A:Z,18,FALSE))</f>
        <v>0</v>
      </c>
      <c r="AB1664" s="16">
        <f>IF(ISERROR(VLOOKUP($A1664,'13. Updated Demand'!A:Z,19,FALSE)),0,VLOOKUP($A1664,'13. Updated Demand'!A:Z,19,FALSE))</f>
        <v>0</v>
      </c>
      <c r="AC1664" s="16">
        <f>IF(ISERROR(VLOOKUP($A1664,'13. Updated Demand'!A:Z,20,FALSE)),0,VLOOKUP($A1664,'13. Updated Demand'!A:Z,20,FALSE))</f>
        <v>0</v>
      </c>
      <c r="AD1664" s="16">
        <f>IF(ISERROR(VLOOKUP($A1664,'13. Updated Demand'!A:Z,21,FALSE)),0,VLOOKUP($A1664,'13. Updated Demand'!A:Z,21,FALSE))</f>
        <v>0</v>
      </c>
      <c r="AE1664" s="16">
        <f>IF(ISERROR(VLOOKUP($A1664,'13. Updated Demand'!A:Z,22,FALSE)),0,VLOOKUP($A1664,'13. Updated Demand'!A:Z,22,FALSE))</f>
        <v>0</v>
      </c>
      <c r="AF1664" s="16">
        <f>IF(ISERROR(VLOOKUP($A1664,'13. Updated Demand'!A:Z,23,FALSE)),0,VLOOKUP($A1664,'13. Updated Demand'!A:Z,23,FALSE))</f>
        <v>0</v>
      </c>
      <c r="AG1664" s="16">
        <f>IF(ISERROR(VLOOKUP($A1664,'13. Updated Demand'!A:Z,24,FALSE)),0,VLOOKUP($A1664,'13. Updated Demand'!A:Z,24,FALSE))</f>
        <v>0</v>
      </c>
      <c r="AH1664" s="16">
        <f>IF(ISERROR(VLOOKUP($A1664,'13. Updated Demand'!A:Z,25,FALSE)),0,VLOOKUP($A1664,'13. Updated Demand'!A:Z,25,FALSE))</f>
        <v>0</v>
      </c>
      <c r="AI1664" s="16">
        <f>IF(ISERROR(VLOOKUP($A1664,'13. Updated Demand'!A:Z,26,FALSE)),0,VLOOKUP($A1664,'13. Updated Demand'!A:Z,26,FALSE))</f>
        <v>0</v>
      </c>
      <c r="AJ1664" s="16">
        <f t="shared" si="313"/>
        <v>0</v>
      </c>
      <c r="AK1664" s="19">
        <v>0</v>
      </c>
      <c r="AL1664" s="16">
        <f t="shared" si="311"/>
        <v>0</v>
      </c>
      <c r="AM1664" s="26">
        <v>0</v>
      </c>
      <c r="AN1664" s="19">
        <v>967.07399999999996</v>
      </c>
      <c r="AO1664" s="19" t="s">
        <v>1758</v>
      </c>
      <c r="AP1664" s="19">
        <v>0</v>
      </c>
      <c r="AQ1664" s="19" t="s">
        <v>307</v>
      </c>
      <c r="AR1664" s="9" t="s">
        <v>436</v>
      </c>
      <c r="AS1664" s="12">
        <v>0</v>
      </c>
      <c r="AT1664" s="19">
        <v>38.697160179999997</v>
      </c>
      <c r="AU1664" s="19">
        <v>-122.867437</v>
      </c>
      <c r="AV1664" s="19" t="s">
        <v>548</v>
      </c>
    </row>
    <row r="1665" spans="1:48" x14ac:dyDescent="0.25">
      <c r="A1665" s="18" t="s">
        <v>2069</v>
      </c>
      <c r="B1665" s="10">
        <v>10000000</v>
      </c>
      <c r="C1665" s="9">
        <v>17</v>
      </c>
      <c r="D1665" s="8" t="str">
        <f t="shared" si="302"/>
        <v>N</v>
      </c>
      <c r="E1665" s="8" t="str">
        <f t="shared" si="303"/>
        <v>N</v>
      </c>
      <c r="F1665" s="8" t="str">
        <f t="shared" si="304"/>
        <v>N</v>
      </c>
      <c r="G1665" s="8" t="str">
        <f t="shared" si="305"/>
        <v>N</v>
      </c>
      <c r="H1665" s="8" t="str">
        <f t="shared" si="306"/>
        <v>Lower</v>
      </c>
      <c r="I1665" s="8" t="str">
        <f t="shared" si="307"/>
        <v>Outside</v>
      </c>
      <c r="J1665" s="8" t="str">
        <f t="shared" si="308"/>
        <v>Outside</v>
      </c>
      <c r="K1665" s="8" t="str">
        <f t="shared" si="309"/>
        <v>Riparian</v>
      </c>
      <c r="L1665" s="8">
        <f t="shared" si="310"/>
        <v>1000</v>
      </c>
      <c r="M1665" s="8" t="str">
        <f t="shared" si="312"/>
        <v>-</v>
      </c>
      <c r="N1665" s="10" t="s">
        <v>242</v>
      </c>
      <c r="O1665" s="10" t="s">
        <v>242</v>
      </c>
      <c r="P1665" s="10" t="s">
        <v>242</v>
      </c>
      <c r="Q1665" s="10" t="s">
        <v>242</v>
      </c>
      <c r="R1665" s="10" t="s">
        <v>242</v>
      </c>
      <c r="S1665" s="10" t="s">
        <v>241</v>
      </c>
      <c r="T1665" s="10" t="s">
        <v>242</v>
      </c>
      <c r="U1665" s="10" t="s">
        <v>242</v>
      </c>
      <c r="V1665" s="10" t="s">
        <v>242</v>
      </c>
      <c r="W1665" s="10" t="s">
        <v>242</v>
      </c>
      <c r="X1665" s="15">
        <f>IF(ISERROR(VLOOKUP($A1665,'13. Updated Demand'!A:Z,15,FALSE)),0,VLOOKUP($A1665,'13. Updated Demand'!A:Z,15,FALSE))</f>
        <v>0</v>
      </c>
      <c r="Y1665" s="16">
        <f>IF(ISERROR(VLOOKUP($A1665,'13. Updated Demand'!A:Z,16,FALSE)),0,VLOOKUP($A1665,'13. Updated Demand'!A:Z,16,FALSE))</f>
        <v>0</v>
      </c>
      <c r="Z1665" s="16">
        <f>IF(ISERROR(VLOOKUP($A1665,'13. Updated Demand'!A:Z,17,FALSE)),0,VLOOKUP($A1665,'13. Updated Demand'!A:Z,17,FALSE))</f>
        <v>0</v>
      </c>
      <c r="AA1665" s="16">
        <f>IF(ISERROR(VLOOKUP($A1665,'13. Updated Demand'!A:Z,18,FALSE)),0,VLOOKUP($A1665,'13. Updated Demand'!A:Z,18,FALSE))</f>
        <v>0</v>
      </c>
      <c r="AB1665" s="16">
        <f>IF(ISERROR(VLOOKUP($A1665,'13. Updated Demand'!A:Z,19,FALSE)),0,VLOOKUP($A1665,'13. Updated Demand'!A:Z,19,FALSE))</f>
        <v>3.0789667E-2</v>
      </c>
      <c r="AC1665" s="16">
        <f>IF(ISERROR(VLOOKUP($A1665,'13. Updated Demand'!A:Z,20,FALSE)),0,VLOOKUP($A1665,'13. Updated Demand'!A:Z,20,FALSE))</f>
        <v>0.88529533299999996</v>
      </c>
      <c r="AD1665" s="16">
        <f>IF(ISERROR(VLOOKUP($A1665,'13. Updated Demand'!A:Z,21,FALSE)),0,VLOOKUP($A1665,'13. Updated Demand'!A:Z,21,FALSE))</f>
        <v>1.5098276669999999</v>
      </c>
      <c r="AE1665" s="16">
        <f>IF(ISERROR(VLOOKUP($A1665,'13. Updated Demand'!A:Z,22,FALSE)),0,VLOOKUP($A1665,'13. Updated Demand'!A:Z,22,FALSE))</f>
        <v>1.6341186670000001</v>
      </c>
      <c r="AF1665" s="16">
        <f>IF(ISERROR(VLOOKUP($A1665,'13. Updated Demand'!A:Z,23,FALSE)),0,VLOOKUP($A1665,'13. Updated Demand'!A:Z,23,FALSE))</f>
        <v>0.90885099999999996</v>
      </c>
      <c r="AG1665" s="16">
        <f>IF(ISERROR(VLOOKUP($A1665,'13. Updated Demand'!A:Z,24,FALSE)),0,VLOOKUP($A1665,'13. Updated Demand'!A:Z,24,FALSE))</f>
        <v>0.32093633300000002</v>
      </c>
      <c r="AH1665" s="16">
        <f>IF(ISERROR(VLOOKUP($A1665,'13. Updated Demand'!A:Z,25,FALSE)),0,VLOOKUP($A1665,'13. Updated Demand'!A:Z,25,FALSE))</f>
        <v>7.6666666999999994E-2</v>
      </c>
      <c r="AI1665" s="16">
        <f>IF(ISERROR(VLOOKUP($A1665,'13. Updated Demand'!A:Z,26,FALSE)),0,VLOOKUP($A1665,'13. Updated Demand'!A:Z,26,FALSE))</f>
        <v>0</v>
      </c>
      <c r="AJ1665" s="16">
        <f t="shared" si="313"/>
        <v>5.3664853339999992</v>
      </c>
      <c r="AK1665" s="19">
        <v>4.9688823339999999</v>
      </c>
      <c r="AL1665" s="16">
        <f t="shared" si="311"/>
        <v>1.64812166929908E-2</v>
      </c>
      <c r="AM1665" s="26">
        <v>0.89740557424749146</v>
      </c>
      <c r="AN1665" s="19">
        <v>5.98</v>
      </c>
      <c r="AO1665" s="19" t="s">
        <v>1758</v>
      </c>
      <c r="AP1665" s="19">
        <v>0</v>
      </c>
      <c r="AQ1665" s="19" t="s">
        <v>307</v>
      </c>
      <c r="AR1665" s="9" t="s">
        <v>394</v>
      </c>
      <c r="AS1665" s="12">
        <v>0</v>
      </c>
      <c r="AT1665" s="19">
        <v>38.586399999999998</v>
      </c>
      <c r="AU1665" s="19">
        <v>-122.8638</v>
      </c>
      <c r="AV1665" s="19" t="s">
        <v>932</v>
      </c>
    </row>
    <row r="1666" spans="1:48" x14ac:dyDescent="0.25">
      <c r="A1666" s="18" t="s">
        <v>2070</v>
      </c>
      <c r="B1666" s="10">
        <v>10000000</v>
      </c>
      <c r="C1666" s="9">
        <v>16</v>
      </c>
      <c r="D1666" s="8" t="str">
        <f t="shared" ref="D1666:D1729" si="314">IF(OR(C1666=4,C1666=5,C1666=6),"Y","N")</f>
        <v>N</v>
      </c>
      <c r="E1666" s="8" t="str">
        <f t="shared" ref="E1666:E1729" si="315">IF(AND(C1666&gt;6,C1666&lt;14),"Y","N")</f>
        <v>N</v>
      </c>
      <c r="F1666" s="8" t="str">
        <f t="shared" ref="F1666:F1729" si="316">IF(C1666&lt;14,"Y","N")</f>
        <v>N</v>
      </c>
      <c r="G1666" s="8" t="str">
        <f t="shared" ref="G1666:G1729" si="317">IF(OR(C1666=1,AND(C1666&gt;3,C1666&lt;14)),"Y","N")</f>
        <v>N</v>
      </c>
      <c r="H1666" s="8" t="str">
        <f t="shared" ref="H1666:H1729" si="318">IF(C1666&lt;14,"Upper","Lower")</f>
        <v>Lower</v>
      </c>
      <c r="I1666" s="8" t="str">
        <f t="shared" ref="I1666:I1729" si="319">IF(G1666="Y","West Fork and Below Lake","Outside")</f>
        <v>Outside</v>
      </c>
      <c r="J1666" s="8" t="str">
        <f t="shared" ref="J1666:J1729" si="320">IF(D1666="Y", "Mendocino (d/s of lake)", IF(E1666="Y", "Sonoma (d/s of Clov. Gage)","Outside"))</f>
        <v>Outside</v>
      </c>
      <c r="K1666" s="8" t="str">
        <f t="shared" ref="K1666:K1729" si="321">IF(P1666="Y","pre-1914",IF(Q1666="Y","Pre-1949",IF(R1666="Y","Post-1949",IF(S1666="Y","Riparian","Unknown"))))</f>
        <v>Riparian</v>
      </c>
      <c r="L1666" s="8">
        <f t="shared" ref="L1666:L1729" si="322">_xlfn.NUMBERVALUE(LEFT(B1666,4))</f>
        <v>1000</v>
      </c>
      <c r="M1666" s="8" t="str">
        <f t="shared" si="312"/>
        <v>-</v>
      </c>
      <c r="N1666" s="10" t="s">
        <v>242</v>
      </c>
      <c r="O1666" s="10" t="s">
        <v>242</v>
      </c>
      <c r="P1666" s="10" t="s">
        <v>242</v>
      </c>
      <c r="Q1666" s="10" t="s">
        <v>242</v>
      </c>
      <c r="R1666" s="10" t="s">
        <v>242</v>
      </c>
      <c r="S1666" s="10" t="s">
        <v>241</v>
      </c>
      <c r="T1666" s="10" t="s">
        <v>242</v>
      </c>
      <c r="U1666" s="10" t="s">
        <v>242</v>
      </c>
      <c r="V1666" s="10" t="s">
        <v>242</v>
      </c>
      <c r="W1666" s="10" t="s">
        <v>242</v>
      </c>
      <c r="X1666" s="15">
        <f>IF(ISERROR(VLOOKUP($A1666,'13. Updated Demand'!A:Z,15,FALSE)),0,VLOOKUP($A1666,'13. Updated Demand'!A:Z,15,FALSE))</f>
        <v>0.163333333</v>
      </c>
      <c r="Y1666" s="16">
        <f>IF(ISERROR(VLOOKUP($A1666,'13. Updated Demand'!A:Z,16,FALSE)),0,VLOOKUP($A1666,'13. Updated Demand'!A:Z,16,FALSE))</f>
        <v>0.163333333</v>
      </c>
      <c r="Z1666" s="16">
        <f>IF(ISERROR(VLOOKUP($A1666,'13. Updated Demand'!A:Z,17,FALSE)),0,VLOOKUP($A1666,'13. Updated Demand'!A:Z,17,FALSE))</f>
        <v>0.163333333</v>
      </c>
      <c r="AA1666" s="16">
        <f>IF(ISERROR(VLOOKUP($A1666,'13. Updated Demand'!A:Z,18,FALSE)),0,VLOOKUP($A1666,'13. Updated Demand'!A:Z,18,FALSE))</f>
        <v>0.18666666700000001</v>
      </c>
      <c r="AB1666" s="16">
        <f>IF(ISERROR(VLOOKUP($A1666,'13. Updated Demand'!A:Z,19,FALSE)),0,VLOOKUP($A1666,'13. Updated Demand'!A:Z,19,FALSE))</f>
        <v>0.21</v>
      </c>
      <c r="AC1666" s="16">
        <f>IF(ISERROR(VLOOKUP($A1666,'13. Updated Demand'!A:Z,20,FALSE)),0,VLOOKUP($A1666,'13. Updated Demand'!A:Z,20,FALSE))</f>
        <v>0.926666667</v>
      </c>
      <c r="AD1666" s="16">
        <f>IF(ISERROR(VLOOKUP($A1666,'13. Updated Demand'!A:Z,21,FALSE)),0,VLOOKUP($A1666,'13. Updated Demand'!A:Z,21,FALSE))</f>
        <v>1.276666667</v>
      </c>
      <c r="AE1666" s="16">
        <f>IF(ISERROR(VLOOKUP($A1666,'13. Updated Demand'!A:Z,22,FALSE)),0,VLOOKUP($A1666,'13. Updated Demand'!A:Z,22,FALSE))</f>
        <v>1.51</v>
      </c>
      <c r="AF1666" s="16">
        <f>IF(ISERROR(VLOOKUP($A1666,'13. Updated Demand'!A:Z,23,FALSE)),0,VLOOKUP($A1666,'13. Updated Demand'!A:Z,23,FALSE))</f>
        <v>1.5433333330000001</v>
      </c>
      <c r="AG1666" s="16">
        <f>IF(ISERROR(VLOOKUP($A1666,'13. Updated Demand'!A:Z,24,FALSE)),0,VLOOKUP($A1666,'13. Updated Demand'!A:Z,24,FALSE))</f>
        <v>1.086666667</v>
      </c>
      <c r="AH1666" s="16">
        <f>IF(ISERROR(VLOOKUP($A1666,'13. Updated Demand'!A:Z,25,FALSE)),0,VLOOKUP($A1666,'13. Updated Demand'!A:Z,25,FALSE))</f>
        <v>0.27333333300000001</v>
      </c>
      <c r="AI1666" s="16">
        <f>IF(ISERROR(VLOOKUP($A1666,'13. Updated Demand'!A:Z,26,FALSE)),0,VLOOKUP($A1666,'13. Updated Demand'!A:Z,26,FALSE))</f>
        <v>0.12</v>
      </c>
      <c r="AJ1666" s="16">
        <f t="shared" si="313"/>
        <v>7.6233333329999997</v>
      </c>
      <c r="AK1666" s="19">
        <v>5.4666666670000001</v>
      </c>
      <c r="AL1666" s="16">
        <f t="shared" ref="AL1666:AL1729" si="323">AK1666/152/1.983471</f>
        <v>1.8132310622587744E-2</v>
      </c>
      <c r="AM1666" s="26">
        <v>5.6731276319764955E-2</v>
      </c>
      <c r="AN1666" s="19">
        <v>134.37620000000001</v>
      </c>
      <c r="AO1666" s="19" t="s">
        <v>1758</v>
      </c>
      <c r="AP1666" s="19">
        <v>0</v>
      </c>
      <c r="AQ1666" s="19" t="s">
        <v>307</v>
      </c>
      <c r="AR1666" s="9" t="s">
        <v>394</v>
      </c>
      <c r="AS1666" s="12">
        <v>3.4039024194010059E-4</v>
      </c>
      <c r="AT1666" s="19">
        <v>38.5989</v>
      </c>
      <c r="AU1666" s="19">
        <v>-122.87869999999999</v>
      </c>
      <c r="AV1666" s="19" t="s">
        <v>932</v>
      </c>
    </row>
    <row r="1667" spans="1:48" x14ac:dyDescent="0.25">
      <c r="A1667" s="18" t="s">
        <v>2071</v>
      </c>
      <c r="B1667" s="10">
        <v>10000000</v>
      </c>
      <c r="C1667" s="9">
        <v>17</v>
      </c>
      <c r="D1667" s="8" t="str">
        <f t="shared" si="314"/>
        <v>N</v>
      </c>
      <c r="E1667" s="8" t="str">
        <f t="shared" si="315"/>
        <v>N</v>
      </c>
      <c r="F1667" s="8" t="str">
        <f t="shared" si="316"/>
        <v>N</v>
      </c>
      <c r="G1667" s="8" t="str">
        <f t="shared" si="317"/>
        <v>N</v>
      </c>
      <c r="H1667" s="8" t="str">
        <f t="shared" si="318"/>
        <v>Lower</v>
      </c>
      <c r="I1667" s="8" t="str">
        <f t="shared" si="319"/>
        <v>Outside</v>
      </c>
      <c r="J1667" s="8" t="str">
        <f t="shared" si="320"/>
        <v>Outside</v>
      </c>
      <c r="K1667" s="8" t="str">
        <f t="shared" si="321"/>
        <v>Riparian</v>
      </c>
      <c r="L1667" s="8">
        <f t="shared" si="322"/>
        <v>1000</v>
      </c>
      <c r="M1667" s="8" t="str">
        <f t="shared" ref="M1667:M1730" si="324">IF(L1667=1949,"1949",IF(AND(L1667&gt;1949,L1667&lt;1953),"1950-1952",IF(AND(L1667&gt;1952,L1667&lt;1955),"1953-1954",IF(AND(L1667&gt;1954,L1667&lt;1957),"1955-1956",IF(AND(L1667&gt;1956,L1667&lt;1960),"1957-1959",IF(AND(L1667&gt;1959,L1667&lt;1971),"1960-1970",IF(AND(L1667&gt;1970,L1667&lt;1991),"1971-1990",IF(L1667&gt;1990,"1991-present","-"))))))))</f>
        <v>-</v>
      </c>
      <c r="N1667" s="10" t="s">
        <v>241</v>
      </c>
      <c r="O1667" s="10" t="s">
        <v>242</v>
      </c>
      <c r="P1667" s="10" t="s">
        <v>242</v>
      </c>
      <c r="Q1667" s="10" t="s">
        <v>242</v>
      </c>
      <c r="R1667" s="10" t="s">
        <v>242</v>
      </c>
      <c r="S1667" s="10" t="s">
        <v>241</v>
      </c>
      <c r="T1667" s="10" t="s">
        <v>242</v>
      </c>
      <c r="U1667" s="10" t="s">
        <v>241</v>
      </c>
      <c r="V1667" s="10" t="s">
        <v>241</v>
      </c>
      <c r="W1667" s="10" t="s">
        <v>242</v>
      </c>
      <c r="X1667" s="15">
        <f>IF(ISERROR(VLOOKUP($A1667,'13. Updated Demand'!A:Z,15,FALSE)),0,VLOOKUP($A1667,'13. Updated Demand'!A:Z,15,FALSE))</f>
        <v>0</v>
      </c>
      <c r="Y1667" s="16">
        <f>IF(ISERROR(VLOOKUP($A1667,'13. Updated Demand'!A:Z,16,FALSE)),0,VLOOKUP($A1667,'13. Updated Demand'!A:Z,16,FALSE))</f>
        <v>0</v>
      </c>
      <c r="Z1667" s="16">
        <f>IF(ISERROR(VLOOKUP($A1667,'13. Updated Demand'!A:Z,17,FALSE)),0,VLOOKUP($A1667,'13. Updated Demand'!A:Z,17,FALSE))</f>
        <v>0</v>
      </c>
      <c r="AA1667" s="16">
        <f>IF(ISERROR(VLOOKUP($A1667,'13. Updated Demand'!A:Z,18,FALSE)),0,VLOOKUP($A1667,'13. Updated Demand'!A:Z,18,FALSE))</f>
        <v>0</v>
      </c>
      <c r="AB1667" s="16">
        <f>IF(ISERROR(VLOOKUP($A1667,'13. Updated Demand'!A:Z,19,FALSE)),0,VLOOKUP($A1667,'13. Updated Demand'!A:Z,19,FALSE))</f>
        <v>0</v>
      </c>
      <c r="AC1667" s="16">
        <f>IF(ISERROR(VLOOKUP($A1667,'13. Updated Demand'!A:Z,20,FALSE)),0,VLOOKUP($A1667,'13. Updated Demand'!A:Z,20,FALSE))</f>
        <v>0</v>
      </c>
      <c r="AD1667" s="16">
        <f>IF(ISERROR(VLOOKUP($A1667,'13. Updated Demand'!A:Z,21,FALSE)),0,VLOOKUP($A1667,'13. Updated Demand'!A:Z,21,FALSE))</f>
        <v>0</v>
      </c>
      <c r="AE1667" s="16">
        <f>IF(ISERROR(VLOOKUP($A1667,'13. Updated Demand'!A:Z,22,FALSE)),0,VLOOKUP($A1667,'13. Updated Demand'!A:Z,22,FALSE))</f>
        <v>0</v>
      </c>
      <c r="AF1667" s="16">
        <f>IF(ISERROR(VLOOKUP($A1667,'13. Updated Demand'!A:Z,23,FALSE)),0,VLOOKUP($A1667,'13. Updated Demand'!A:Z,23,FALSE))</f>
        <v>0</v>
      </c>
      <c r="AG1667" s="16">
        <f>IF(ISERROR(VLOOKUP($A1667,'13. Updated Demand'!A:Z,24,FALSE)),0,VLOOKUP($A1667,'13. Updated Demand'!A:Z,24,FALSE))</f>
        <v>0</v>
      </c>
      <c r="AH1667" s="16">
        <f>IF(ISERROR(VLOOKUP($A1667,'13. Updated Demand'!A:Z,25,FALSE)),0,VLOOKUP($A1667,'13. Updated Demand'!A:Z,25,FALSE))</f>
        <v>0</v>
      </c>
      <c r="AI1667" s="16">
        <f>IF(ISERROR(VLOOKUP($A1667,'13. Updated Demand'!A:Z,26,FALSE)),0,VLOOKUP($A1667,'13. Updated Demand'!A:Z,26,FALSE))</f>
        <v>0</v>
      </c>
      <c r="AJ1667" s="16">
        <f t="shared" si="313"/>
        <v>0</v>
      </c>
      <c r="AK1667" s="19">
        <v>0</v>
      </c>
      <c r="AL1667" s="16">
        <f t="shared" si="323"/>
        <v>0</v>
      </c>
      <c r="AM1667" s="26">
        <v>0</v>
      </c>
      <c r="AN1667" s="19">
        <v>39.841999999999999</v>
      </c>
      <c r="AO1667" s="19" t="s">
        <v>1758</v>
      </c>
      <c r="AP1667" s="19">
        <v>0</v>
      </c>
      <c r="AQ1667" s="19" t="s">
        <v>307</v>
      </c>
      <c r="AR1667" s="9" t="s">
        <v>486</v>
      </c>
      <c r="AS1667" s="12">
        <v>3.4039024194010059E-4</v>
      </c>
      <c r="AT1667" s="19">
        <v>38.557998269999999</v>
      </c>
      <c r="AU1667" s="19">
        <v>-122.85910121000001</v>
      </c>
      <c r="AV1667" s="19" t="s">
        <v>548</v>
      </c>
    </row>
    <row r="1668" spans="1:48" x14ac:dyDescent="0.25">
      <c r="A1668" s="18" t="s">
        <v>2072</v>
      </c>
      <c r="B1668" s="10">
        <v>10000000</v>
      </c>
      <c r="C1668" s="9">
        <v>17</v>
      </c>
      <c r="D1668" s="8" t="str">
        <f t="shared" si="314"/>
        <v>N</v>
      </c>
      <c r="E1668" s="8" t="str">
        <f t="shared" si="315"/>
        <v>N</v>
      </c>
      <c r="F1668" s="8" t="str">
        <f t="shared" si="316"/>
        <v>N</v>
      </c>
      <c r="G1668" s="8" t="str">
        <f t="shared" si="317"/>
        <v>N</v>
      </c>
      <c r="H1668" s="8" t="str">
        <f t="shared" si="318"/>
        <v>Lower</v>
      </c>
      <c r="I1668" s="8" t="str">
        <f t="shared" si="319"/>
        <v>Outside</v>
      </c>
      <c r="J1668" s="8" t="str">
        <f t="shared" si="320"/>
        <v>Outside</v>
      </c>
      <c r="K1668" s="8" t="str">
        <f t="shared" si="321"/>
        <v>Riparian</v>
      </c>
      <c r="L1668" s="8">
        <f t="shared" si="322"/>
        <v>1000</v>
      </c>
      <c r="M1668" s="8" t="str">
        <f t="shared" si="324"/>
        <v>-</v>
      </c>
      <c r="N1668" s="10" t="s">
        <v>241</v>
      </c>
      <c r="O1668" s="10" t="s">
        <v>242</v>
      </c>
      <c r="P1668" s="10" t="s">
        <v>242</v>
      </c>
      <c r="Q1668" s="10" t="s">
        <v>242</v>
      </c>
      <c r="R1668" s="10" t="s">
        <v>242</v>
      </c>
      <c r="S1668" s="10" t="s">
        <v>241</v>
      </c>
      <c r="T1668" s="10" t="s">
        <v>242</v>
      </c>
      <c r="U1668" s="10" t="s">
        <v>241</v>
      </c>
      <c r="V1668" s="10" t="s">
        <v>241</v>
      </c>
      <c r="W1668" s="10" t="s">
        <v>242</v>
      </c>
      <c r="X1668" s="15">
        <f>IF(ISERROR(VLOOKUP($A1668,'13. Updated Demand'!A:Z,15,FALSE)),0,VLOOKUP($A1668,'13. Updated Demand'!A:Z,15,FALSE))</f>
        <v>0</v>
      </c>
      <c r="Y1668" s="16">
        <f>IF(ISERROR(VLOOKUP($A1668,'13. Updated Demand'!A:Z,16,FALSE)),0,VLOOKUP($A1668,'13. Updated Demand'!A:Z,16,FALSE))</f>
        <v>0</v>
      </c>
      <c r="Z1668" s="16">
        <f>IF(ISERROR(VLOOKUP($A1668,'13. Updated Demand'!A:Z,17,FALSE)),0,VLOOKUP($A1668,'13. Updated Demand'!A:Z,17,FALSE))</f>
        <v>0</v>
      </c>
      <c r="AA1668" s="16">
        <f>IF(ISERROR(VLOOKUP($A1668,'13. Updated Demand'!A:Z,18,FALSE)),0,VLOOKUP($A1668,'13. Updated Demand'!A:Z,18,FALSE))</f>
        <v>0</v>
      </c>
      <c r="AB1668" s="16">
        <f>IF(ISERROR(VLOOKUP($A1668,'13. Updated Demand'!A:Z,19,FALSE)),0,VLOOKUP($A1668,'13. Updated Demand'!A:Z,19,FALSE))</f>
        <v>0</v>
      </c>
      <c r="AC1668" s="16">
        <f>IF(ISERROR(VLOOKUP($A1668,'13. Updated Demand'!A:Z,20,FALSE)),0,VLOOKUP($A1668,'13. Updated Demand'!A:Z,20,FALSE))</f>
        <v>0</v>
      </c>
      <c r="AD1668" s="16">
        <f>IF(ISERROR(VLOOKUP($A1668,'13. Updated Demand'!A:Z,21,FALSE)),0,VLOOKUP($A1668,'13. Updated Demand'!A:Z,21,FALSE))</f>
        <v>0</v>
      </c>
      <c r="AE1668" s="16">
        <f>IF(ISERROR(VLOOKUP($A1668,'13. Updated Demand'!A:Z,22,FALSE)),0,VLOOKUP($A1668,'13. Updated Demand'!A:Z,22,FALSE))</f>
        <v>0</v>
      </c>
      <c r="AF1668" s="16">
        <f>IF(ISERROR(VLOOKUP($A1668,'13. Updated Demand'!A:Z,23,FALSE)),0,VLOOKUP($A1668,'13. Updated Demand'!A:Z,23,FALSE))</f>
        <v>0</v>
      </c>
      <c r="AG1668" s="16">
        <f>IF(ISERROR(VLOOKUP($A1668,'13. Updated Demand'!A:Z,24,FALSE)),0,VLOOKUP($A1668,'13. Updated Demand'!A:Z,24,FALSE))</f>
        <v>0</v>
      </c>
      <c r="AH1668" s="16">
        <f>IF(ISERROR(VLOOKUP($A1668,'13. Updated Demand'!A:Z,25,FALSE)),0,VLOOKUP($A1668,'13. Updated Demand'!A:Z,25,FALSE))</f>
        <v>0</v>
      </c>
      <c r="AI1668" s="16">
        <f>IF(ISERROR(VLOOKUP($A1668,'13. Updated Demand'!A:Z,26,FALSE)),0,VLOOKUP($A1668,'13. Updated Demand'!A:Z,26,FALSE))</f>
        <v>0</v>
      </c>
      <c r="AJ1668" s="16">
        <f t="shared" si="313"/>
        <v>0</v>
      </c>
      <c r="AK1668" s="19">
        <v>0</v>
      </c>
      <c r="AL1668" s="16">
        <f t="shared" si="323"/>
        <v>0</v>
      </c>
      <c r="AM1668" s="26">
        <v>0</v>
      </c>
      <c r="AN1668" s="19">
        <v>724.4</v>
      </c>
      <c r="AO1668" s="19" t="s">
        <v>1758</v>
      </c>
      <c r="AP1668" s="19">
        <v>0</v>
      </c>
      <c r="AQ1668" s="19" t="s">
        <v>307</v>
      </c>
      <c r="AR1668" s="9" t="s">
        <v>486</v>
      </c>
      <c r="AS1668" s="12">
        <v>0</v>
      </c>
      <c r="AT1668" s="19">
        <v>38.558825890000001</v>
      </c>
      <c r="AU1668" s="19">
        <v>-122.85858657</v>
      </c>
      <c r="AV1668" s="19" t="s">
        <v>548</v>
      </c>
    </row>
    <row r="1669" spans="1:48" x14ac:dyDescent="0.25">
      <c r="A1669" s="18" t="s">
        <v>2073</v>
      </c>
      <c r="B1669" s="10">
        <v>10000000</v>
      </c>
      <c r="C1669" s="9">
        <v>17</v>
      </c>
      <c r="D1669" s="8" t="str">
        <f t="shared" si="314"/>
        <v>N</v>
      </c>
      <c r="E1669" s="8" t="str">
        <f t="shared" si="315"/>
        <v>N</v>
      </c>
      <c r="F1669" s="8" t="str">
        <f t="shared" si="316"/>
        <v>N</v>
      </c>
      <c r="G1669" s="8" t="str">
        <f t="shared" si="317"/>
        <v>N</v>
      </c>
      <c r="H1669" s="8" t="str">
        <f t="shared" si="318"/>
        <v>Lower</v>
      </c>
      <c r="I1669" s="8" t="str">
        <f t="shared" si="319"/>
        <v>Outside</v>
      </c>
      <c r="J1669" s="8" t="str">
        <f t="shared" si="320"/>
        <v>Outside</v>
      </c>
      <c r="K1669" s="8" t="str">
        <f t="shared" si="321"/>
        <v>Riparian</v>
      </c>
      <c r="L1669" s="8">
        <f t="shared" si="322"/>
        <v>1000</v>
      </c>
      <c r="M1669" s="8" t="str">
        <f t="shared" si="324"/>
        <v>-</v>
      </c>
      <c r="N1669" s="10" t="s">
        <v>241</v>
      </c>
      <c r="O1669" s="10" t="s">
        <v>242</v>
      </c>
      <c r="P1669" s="10" t="s">
        <v>242</v>
      </c>
      <c r="Q1669" s="10" t="s">
        <v>242</v>
      </c>
      <c r="R1669" s="10" t="s">
        <v>242</v>
      </c>
      <c r="S1669" s="10" t="s">
        <v>241</v>
      </c>
      <c r="T1669" s="10" t="s">
        <v>242</v>
      </c>
      <c r="U1669" s="10" t="s">
        <v>241</v>
      </c>
      <c r="V1669" s="10" t="s">
        <v>241</v>
      </c>
      <c r="W1669" s="10" t="s">
        <v>242</v>
      </c>
      <c r="X1669" s="15">
        <f>IF(ISERROR(VLOOKUP($A1669,'13. Updated Demand'!A:Z,15,FALSE)),0,VLOOKUP($A1669,'13. Updated Demand'!A:Z,15,FALSE))</f>
        <v>0</v>
      </c>
      <c r="Y1669" s="16">
        <f>IF(ISERROR(VLOOKUP($A1669,'13. Updated Demand'!A:Z,16,FALSE)),0,VLOOKUP($A1669,'13. Updated Demand'!A:Z,16,FALSE))</f>
        <v>0</v>
      </c>
      <c r="Z1669" s="16">
        <f>IF(ISERROR(VLOOKUP($A1669,'13. Updated Demand'!A:Z,17,FALSE)),0,VLOOKUP($A1669,'13. Updated Demand'!A:Z,17,FALSE))</f>
        <v>0</v>
      </c>
      <c r="AA1669" s="16">
        <f>IF(ISERROR(VLOOKUP($A1669,'13. Updated Demand'!A:Z,18,FALSE)),0,VLOOKUP($A1669,'13. Updated Demand'!A:Z,18,FALSE))</f>
        <v>0</v>
      </c>
      <c r="AB1669" s="16">
        <f>IF(ISERROR(VLOOKUP($A1669,'13. Updated Demand'!A:Z,19,FALSE)),0,VLOOKUP($A1669,'13. Updated Demand'!A:Z,19,FALSE))</f>
        <v>0</v>
      </c>
      <c r="AC1669" s="16">
        <f>IF(ISERROR(VLOOKUP($A1669,'13. Updated Demand'!A:Z,20,FALSE)),0,VLOOKUP($A1669,'13. Updated Demand'!A:Z,20,FALSE))</f>
        <v>0</v>
      </c>
      <c r="AD1669" s="16">
        <f>IF(ISERROR(VLOOKUP($A1669,'13. Updated Demand'!A:Z,21,FALSE)),0,VLOOKUP($A1669,'13. Updated Demand'!A:Z,21,FALSE))</f>
        <v>0</v>
      </c>
      <c r="AE1669" s="16">
        <f>IF(ISERROR(VLOOKUP($A1669,'13. Updated Demand'!A:Z,22,FALSE)),0,VLOOKUP($A1669,'13. Updated Demand'!A:Z,22,FALSE))</f>
        <v>0</v>
      </c>
      <c r="AF1669" s="16">
        <f>IF(ISERROR(VLOOKUP($A1669,'13. Updated Demand'!A:Z,23,FALSE)),0,VLOOKUP($A1669,'13. Updated Demand'!A:Z,23,FALSE))</f>
        <v>0</v>
      </c>
      <c r="AG1669" s="16">
        <f>IF(ISERROR(VLOOKUP($A1669,'13. Updated Demand'!A:Z,24,FALSE)),0,VLOOKUP($A1669,'13. Updated Demand'!A:Z,24,FALSE))</f>
        <v>0</v>
      </c>
      <c r="AH1669" s="16">
        <f>IF(ISERROR(VLOOKUP($A1669,'13. Updated Demand'!A:Z,25,FALSE)),0,VLOOKUP($A1669,'13. Updated Demand'!A:Z,25,FALSE))</f>
        <v>0</v>
      </c>
      <c r="AI1669" s="16">
        <f>IF(ISERROR(VLOOKUP($A1669,'13. Updated Demand'!A:Z,26,FALSE)),0,VLOOKUP($A1669,'13. Updated Demand'!A:Z,26,FALSE))</f>
        <v>0</v>
      </c>
      <c r="AJ1669" s="16">
        <f t="shared" si="313"/>
        <v>0</v>
      </c>
      <c r="AK1669" s="19">
        <v>0</v>
      </c>
      <c r="AL1669" s="16">
        <f t="shared" si="323"/>
        <v>0</v>
      </c>
      <c r="AM1669" s="26">
        <v>0</v>
      </c>
      <c r="AN1669" s="19">
        <v>807.70600000000002</v>
      </c>
      <c r="AO1669" s="19" t="s">
        <v>1758</v>
      </c>
      <c r="AP1669" s="19">
        <v>0</v>
      </c>
      <c r="AQ1669" s="19" t="s">
        <v>307</v>
      </c>
      <c r="AR1669" s="9" t="s">
        <v>486</v>
      </c>
      <c r="AS1669" s="12">
        <v>0</v>
      </c>
      <c r="AT1669" s="19">
        <v>38.557998269999999</v>
      </c>
      <c r="AU1669" s="19">
        <v>-122.85910121000001</v>
      </c>
      <c r="AV1669" s="19" t="s">
        <v>548</v>
      </c>
    </row>
    <row r="1670" spans="1:48" x14ac:dyDescent="0.25">
      <c r="A1670" s="18" t="s">
        <v>2074</v>
      </c>
      <c r="B1670" s="10">
        <v>10000000</v>
      </c>
      <c r="C1670" s="9">
        <v>17</v>
      </c>
      <c r="D1670" s="8" t="str">
        <f t="shared" si="314"/>
        <v>N</v>
      </c>
      <c r="E1670" s="8" t="str">
        <f t="shared" si="315"/>
        <v>N</v>
      </c>
      <c r="F1670" s="8" t="str">
        <f t="shared" si="316"/>
        <v>N</v>
      </c>
      <c r="G1670" s="8" t="str">
        <f t="shared" si="317"/>
        <v>N</v>
      </c>
      <c r="H1670" s="8" t="str">
        <f t="shared" si="318"/>
        <v>Lower</v>
      </c>
      <c r="I1670" s="8" t="str">
        <f t="shared" si="319"/>
        <v>Outside</v>
      </c>
      <c r="J1670" s="8" t="str">
        <f t="shared" si="320"/>
        <v>Outside</v>
      </c>
      <c r="K1670" s="8" t="str">
        <f t="shared" si="321"/>
        <v>Riparian</v>
      </c>
      <c r="L1670" s="8">
        <f t="shared" si="322"/>
        <v>1000</v>
      </c>
      <c r="M1670" s="8" t="str">
        <f t="shared" si="324"/>
        <v>-</v>
      </c>
      <c r="N1670" s="10" t="s">
        <v>241</v>
      </c>
      <c r="O1670" s="10" t="s">
        <v>242</v>
      </c>
      <c r="P1670" s="10" t="s">
        <v>242</v>
      </c>
      <c r="Q1670" s="10" t="s">
        <v>242</v>
      </c>
      <c r="R1670" s="10" t="s">
        <v>242</v>
      </c>
      <c r="S1670" s="10" t="s">
        <v>241</v>
      </c>
      <c r="T1670" s="10" t="s">
        <v>242</v>
      </c>
      <c r="U1670" s="10" t="s">
        <v>242</v>
      </c>
      <c r="V1670" s="10" t="s">
        <v>242</v>
      </c>
      <c r="W1670" s="10" t="s">
        <v>242</v>
      </c>
      <c r="X1670" s="15">
        <f>IF(ISERROR(VLOOKUP($A1670,'13. Updated Demand'!A:Z,15,FALSE)),0,VLOOKUP($A1670,'13. Updated Demand'!A:Z,15,FALSE))</f>
        <v>0</v>
      </c>
      <c r="Y1670" s="16">
        <f>IF(ISERROR(VLOOKUP($A1670,'13. Updated Demand'!A:Z,16,FALSE)),0,VLOOKUP($A1670,'13. Updated Demand'!A:Z,16,FALSE))</f>
        <v>0</v>
      </c>
      <c r="Z1670" s="16">
        <f>IF(ISERROR(VLOOKUP($A1670,'13. Updated Demand'!A:Z,17,FALSE)),0,VLOOKUP($A1670,'13. Updated Demand'!A:Z,17,FALSE))</f>
        <v>0</v>
      </c>
      <c r="AA1670" s="16">
        <f>IF(ISERROR(VLOOKUP($A1670,'13. Updated Demand'!A:Z,18,FALSE)),0,VLOOKUP($A1670,'13. Updated Demand'!A:Z,18,FALSE))</f>
        <v>1.1000000000000001</v>
      </c>
      <c r="AB1670" s="16">
        <f>IF(ISERROR(VLOOKUP($A1670,'13. Updated Demand'!A:Z,19,FALSE)),0,VLOOKUP($A1670,'13. Updated Demand'!A:Z,19,FALSE))</f>
        <v>0</v>
      </c>
      <c r="AC1670" s="16">
        <f>IF(ISERROR(VLOOKUP($A1670,'13. Updated Demand'!A:Z,20,FALSE)),0,VLOOKUP($A1670,'13. Updated Demand'!A:Z,20,FALSE))</f>
        <v>2.0666666669999998</v>
      </c>
      <c r="AD1670" s="16">
        <f>IF(ISERROR(VLOOKUP($A1670,'13. Updated Demand'!A:Z,21,FALSE)),0,VLOOKUP($A1670,'13. Updated Demand'!A:Z,21,FALSE))</f>
        <v>2.1666666669999999</v>
      </c>
      <c r="AE1670" s="16">
        <f>IF(ISERROR(VLOOKUP($A1670,'13. Updated Demand'!A:Z,22,FALSE)),0,VLOOKUP($A1670,'13. Updated Demand'!A:Z,22,FALSE))</f>
        <v>2.733333333</v>
      </c>
      <c r="AF1670" s="16">
        <f>IF(ISERROR(VLOOKUP($A1670,'13. Updated Demand'!A:Z,23,FALSE)),0,VLOOKUP($A1670,'13. Updated Demand'!A:Z,23,FALSE))</f>
        <v>1.4</v>
      </c>
      <c r="AG1670" s="16">
        <f>IF(ISERROR(VLOOKUP($A1670,'13. Updated Demand'!A:Z,24,FALSE)),0,VLOOKUP($A1670,'13. Updated Demand'!A:Z,24,FALSE))</f>
        <v>1.433333333</v>
      </c>
      <c r="AH1670" s="16">
        <f>IF(ISERROR(VLOOKUP($A1670,'13. Updated Demand'!A:Z,25,FALSE)),0,VLOOKUP($A1670,'13. Updated Demand'!A:Z,25,FALSE))</f>
        <v>0.1</v>
      </c>
      <c r="AI1670" s="16">
        <f>IF(ISERROR(VLOOKUP($A1670,'13. Updated Demand'!A:Z,26,FALSE)),0,VLOOKUP($A1670,'13. Updated Demand'!A:Z,26,FALSE))</f>
        <v>0</v>
      </c>
      <c r="AJ1670" s="16">
        <f t="shared" si="313"/>
        <v>11</v>
      </c>
      <c r="AK1670" s="19">
        <v>8.3666666669999987</v>
      </c>
      <c r="AL1670" s="16">
        <f t="shared" si="323"/>
        <v>2.7751280281544718E-2</v>
      </c>
      <c r="AM1670" s="26">
        <v>9.0928027985993781E-3</v>
      </c>
      <c r="AN1670" s="19">
        <v>1209.748</v>
      </c>
      <c r="AO1670" s="19" t="s">
        <v>1758</v>
      </c>
      <c r="AP1670" s="19">
        <v>0</v>
      </c>
      <c r="AQ1670" s="19" t="s">
        <v>307</v>
      </c>
      <c r="AR1670" s="9" t="s">
        <v>486</v>
      </c>
      <c r="AS1670" s="12">
        <v>0</v>
      </c>
      <c r="AT1670" s="19">
        <v>38.557307940000001</v>
      </c>
      <c r="AU1670" s="19">
        <v>-122.85961748</v>
      </c>
      <c r="AV1670" s="19" t="s">
        <v>548</v>
      </c>
    </row>
    <row r="1671" spans="1:48" x14ac:dyDescent="0.25">
      <c r="A1671" s="18" t="s">
        <v>2075</v>
      </c>
      <c r="B1671" s="10">
        <v>10000000</v>
      </c>
      <c r="C1671" s="9">
        <v>17</v>
      </c>
      <c r="D1671" s="8" t="str">
        <f t="shared" si="314"/>
        <v>N</v>
      </c>
      <c r="E1671" s="8" t="str">
        <f t="shared" si="315"/>
        <v>N</v>
      </c>
      <c r="F1671" s="8" t="str">
        <f t="shared" si="316"/>
        <v>N</v>
      </c>
      <c r="G1671" s="8" t="str">
        <f t="shared" si="317"/>
        <v>N</v>
      </c>
      <c r="H1671" s="8" t="str">
        <f t="shared" si="318"/>
        <v>Lower</v>
      </c>
      <c r="I1671" s="8" t="str">
        <f t="shared" si="319"/>
        <v>Outside</v>
      </c>
      <c r="J1671" s="8" t="str">
        <f t="shared" si="320"/>
        <v>Outside</v>
      </c>
      <c r="K1671" s="8" t="str">
        <f t="shared" si="321"/>
        <v>Riparian</v>
      </c>
      <c r="L1671" s="8">
        <f t="shared" si="322"/>
        <v>1000</v>
      </c>
      <c r="M1671" s="8" t="str">
        <f t="shared" si="324"/>
        <v>-</v>
      </c>
      <c r="N1671" s="10" t="s">
        <v>241</v>
      </c>
      <c r="O1671" s="10" t="s">
        <v>242</v>
      </c>
      <c r="P1671" s="10" t="s">
        <v>242</v>
      </c>
      <c r="Q1671" s="10" t="s">
        <v>242</v>
      </c>
      <c r="R1671" s="10" t="s">
        <v>242</v>
      </c>
      <c r="S1671" s="10" t="s">
        <v>241</v>
      </c>
      <c r="T1671" s="10" t="s">
        <v>242</v>
      </c>
      <c r="U1671" s="10" t="s">
        <v>241</v>
      </c>
      <c r="V1671" s="10" t="s">
        <v>241</v>
      </c>
      <c r="W1671" s="10" t="s">
        <v>242</v>
      </c>
      <c r="X1671" s="15">
        <f>IF(ISERROR(VLOOKUP($A1671,'13. Updated Demand'!A:Z,15,FALSE)),0,VLOOKUP($A1671,'13. Updated Demand'!A:Z,15,FALSE))</f>
        <v>0</v>
      </c>
      <c r="Y1671" s="16">
        <f>IF(ISERROR(VLOOKUP($A1671,'13. Updated Demand'!A:Z,16,FALSE)),0,VLOOKUP($A1671,'13. Updated Demand'!A:Z,16,FALSE))</f>
        <v>0</v>
      </c>
      <c r="Z1671" s="16">
        <f>IF(ISERROR(VLOOKUP($A1671,'13. Updated Demand'!A:Z,17,FALSE)),0,VLOOKUP($A1671,'13. Updated Demand'!A:Z,17,FALSE))</f>
        <v>0</v>
      </c>
      <c r="AA1671" s="16">
        <f>IF(ISERROR(VLOOKUP($A1671,'13. Updated Demand'!A:Z,18,FALSE)),0,VLOOKUP($A1671,'13. Updated Demand'!A:Z,18,FALSE))</f>
        <v>0</v>
      </c>
      <c r="AB1671" s="16">
        <f>IF(ISERROR(VLOOKUP($A1671,'13. Updated Demand'!A:Z,19,FALSE)),0,VLOOKUP($A1671,'13. Updated Demand'!A:Z,19,FALSE))</f>
        <v>0</v>
      </c>
      <c r="AC1671" s="16">
        <f>IF(ISERROR(VLOOKUP($A1671,'13. Updated Demand'!A:Z,20,FALSE)),0,VLOOKUP($A1671,'13. Updated Demand'!A:Z,20,FALSE))</f>
        <v>0</v>
      </c>
      <c r="AD1671" s="16">
        <f>IF(ISERROR(VLOOKUP($A1671,'13. Updated Demand'!A:Z,21,FALSE)),0,VLOOKUP($A1671,'13. Updated Demand'!A:Z,21,FALSE))</f>
        <v>0</v>
      </c>
      <c r="AE1671" s="16">
        <f>IF(ISERROR(VLOOKUP($A1671,'13. Updated Demand'!A:Z,22,FALSE)),0,VLOOKUP($A1671,'13. Updated Demand'!A:Z,22,FALSE))</f>
        <v>0</v>
      </c>
      <c r="AF1671" s="16">
        <f>IF(ISERROR(VLOOKUP($A1671,'13. Updated Demand'!A:Z,23,FALSE)),0,VLOOKUP($A1671,'13. Updated Demand'!A:Z,23,FALSE))</f>
        <v>0</v>
      </c>
      <c r="AG1671" s="16">
        <f>IF(ISERROR(VLOOKUP($A1671,'13. Updated Demand'!A:Z,24,FALSE)),0,VLOOKUP($A1671,'13. Updated Demand'!A:Z,24,FALSE))</f>
        <v>0</v>
      </c>
      <c r="AH1671" s="16">
        <f>IF(ISERROR(VLOOKUP($A1671,'13. Updated Demand'!A:Z,25,FALSE)),0,VLOOKUP($A1671,'13. Updated Demand'!A:Z,25,FALSE))</f>
        <v>0</v>
      </c>
      <c r="AI1671" s="16">
        <f>IF(ISERROR(VLOOKUP($A1671,'13. Updated Demand'!A:Z,26,FALSE)),0,VLOOKUP($A1671,'13. Updated Demand'!A:Z,26,FALSE))</f>
        <v>0</v>
      </c>
      <c r="AJ1671" s="16">
        <f t="shared" si="313"/>
        <v>0</v>
      </c>
      <c r="AK1671" s="19">
        <v>0</v>
      </c>
      <c r="AL1671" s="16">
        <f t="shared" si="323"/>
        <v>0</v>
      </c>
      <c r="AM1671" s="26">
        <v>0</v>
      </c>
      <c r="AN1671" s="19">
        <v>684.55799999999999</v>
      </c>
      <c r="AO1671" s="19" t="s">
        <v>1758</v>
      </c>
      <c r="AP1671" s="19">
        <v>0</v>
      </c>
      <c r="AQ1671" s="19" t="s">
        <v>307</v>
      </c>
      <c r="AR1671" s="9" t="s">
        <v>486</v>
      </c>
      <c r="AS1671" s="12">
        <v>0</v>
      </c>
      <c r="AT1671" s="19">
        <v>38.556618899999997</v>
      </c>
      <c r="AU1671" s="19">
        <v>-122.85995891</v>
      </c>
      <c r="AV1671" s="19" t="s">
        <v>548</v>
      </c>
    </row>
    <row r="1672" spans="1:48" x14ac:dyDescent="0.25">
      <c r="A1672" s="18" t="s">
        <v>2076</v>
      </c>
      <c r="B1672" s="10">
        <v>10000000</v>
      </c>
      <c r="C1672" s="9">
        <v>17</v>
      </c>
      <c r="D1672" s="8" t="str">
        <f t="shared" si="314"/>
        <v>N</v>
      </c>
      <c r="E1672" s="8" t="str">
        <f t="shared" si="315"/>
        <v>N</v>
      </c>
      <c r="F1672" s="8" t="str">
        <f t="shared" si="316"/>
        <v>N</v>
      </c>
      <c r="G1672" s="8" t="str">
        <f t="shared" si="317"/>
        <v>N</v>
      </c>
      <c r="H1672" s="8" t="str">
        <f t="shared" si="318"/>
        <v>Lower</v>
      </c>
      <c r="I1672" s="8" t="str">
        <f t="shared" si="319"/>
        <v>Outside</v>
      </c>
      <c r="J1672" s="8" t="str">
        <f t="shared" si="320"/>
        <v>Outside</v>
      </c>
      <c r="K1672" s="8" t="str">
        <f t="shared" si="321"/>
        <v>Riparian</v>
      </c>
      <c r="L1672" s="8">
        <f t="shared" si="322"/>
        <v>1000</v>
      </c>
      <c r="M1672" s="8" t="str">
        <f t="shared" si="324"/>
        <v>-</v>
      </c>
      <c r="N1672" s="10" t="s">
        <v>241</v>
      </c>
      <c r="O1672" s="10" t="s">
        <v>242</v>
      </c>
      <c r="P1672" s="10" t="s">
        <v>242</v>
      </c>
      <c r="Q1672" s="10" t="s">
        <v>242</v>
      </c>
      <c r="R1672" s="10" t="s">
        <v>242</v>
      </c>
      <c r="S1672" s="10" t="s">
        <v>241</v>
      </c>
      <c r="T1672" s="10" t="s">
        <v>242</v>
      </c>
      <c r="U1672" s="10" t="s">
        <v>241</v>
      </c>
      <c r="V1672" s="10" t="s">
        <v>241</v>
      </c>
      <c r="W1672" s="10" t="s">
        <v>242</v>
      </c>
      <c r="X1672" s="15">
        <f>IF(ISERROR(VLOOKUP($A1672,'13. Updated Demand'!A:Z,15,FALSE)),0,VLOOKUP($A1672,'13. Updated Demand'!A:Z,15,FALSE))</f>
        <v>0</v>
      </c>
      <c r="Y1672" s="16">
        <f>IF(ISERROR(VLOOKUP($A1672,'13. Updated Demand'!A:Z,16,FALSE)),0,VLOOKUP($A1672,'13. Updated Demand'!A:Z,16,FALSE))</f>
        <v>0</v>
      </c>
      <c r="Z1672" s="16">
        <f>IF(ISERROR(VLOOKUP($A1672,'13. Updated Demand'!A:Z,17,FALSE)),0,VLOOKUP($A1672,'13. Updated Demand'!A:Z,17,FALSE))</f>
        <v>0</v>
      </c>
      <c r="AA1672" s="16">
        <f>IF(ISERROR(VLOOKUP($A1672,'13. Updated Demand'!A:Z,18,FALSE)),0,VLOOKUP($A1672,'13. Updated Demand'!A:Z,18,FALSE))</f>
        <v>0</v>
      </c>
      <c r="AB1672" s="16">
        <f>IF(ISERROR(VLOOKUP($A1672,'13. Updated Demand'!A:Z,19,FALSE)),0,VLOOKUP($A1672,'13. Updated Demand'!A:Z,19,FALSE))</f>
        <v>0</v>
      </c>
      <c r="AC1672" s="16">
        <f>IF(ISERROR(VLOOKUP($A1672,'13. Updated Demand'!A:Z,20,FALSE)),0,VLOOKUP($A1672,'13. Updated Demand'!A:Z,20,FALSE))</f>
        <v>0</v>
      </c>
      <c r="AD1672" s="16">
        <f>IF(ISERROR(VLOOKUP($A1672,'13. Updated Demand'!A:Z,21,FALSE)),0,VLOOKUP($A1672,'13. Updated Demand'!A:Z,21,FALSE))</f>
        <v>0</v>
      </c>
      <c r="AE1672" s="16">
        <f>IF(ISERROR(VLOOKUP($A1672,'13. Updated Demand'!A:Z,22,FALSE)),0,VLOOKUP($A1672,'13. Updated Demand'!A:Z,22,FALSE))</f>
        <v>0</v>
      </c>
      <c r="AF1672" s="16">
        <f>IF(ISERROR(VLOOKUP($A1672,'13. Updated Demand'!A:Z,23,FALSE)),0,VLOOKUP($A1672,'13. Updated Demand'!A:Z,23,FALSE))</f>
        <v>0</v>
      </c>
      <c r="AG1672" s="16">
        <f>IF(ISERROR(VLOOKUP($A1672,'13. Updated Demand'!A:Z,24,FALSE)),0,VLOOKUP($A1672,'13. Updated Demand'!A:Z,24,FALSE))</f>
        <v>0</v>
      </c>
      <c r="AH1672" s="16">
        <f>IF(ISERROR(VLOOKUP($A1672,'13. Updated Demand'!A:Z,25,FALSE)),0,VLOOKUP($A1672,'13. Updated Demand'!A:Z,25,FALSE))</f>
        <v>0</v>
      </c>
      <c r="AI1672" s="16">
        <f>IF(ISERROR(VLOOKUP($A1672,'13. Updated Demand'!A:Z,26,FALSE)),0,VLOOKUP($A1672,'13. Updated Demand'!A:Z,26,FALSE))</f>
        <v>0</v>
      </c>
      <c r="AJ1672" s="16">
        <f t="shared" si="313"/>
        <v>0</v>
      </c>
      <c r="AK1672" s="19">
        <v>0</v>
      </c>
      <c r="AL1672" s="16">
        <f t="shared" si="323"/>
        <v>0</v>
      </c>
      <c r="AM1672" s="26">
        <v>0</v>
      </c>
      <c r="AN1672" s="19">
        <v>39.841999999999999</v>
      </c>
      <c r="AO1672" s="19" t="s">
        <v>1758</v>
      </c>
      <c r="AP1672" s="19">
        <v>0</v>
      </c>
      <c r="AQ1672" s="19" t="s">
        <v>307</v>
      </c>
      <c r="AR1672" s="9" t="s">
        <v>486</v>
      </c>
      <c r="AS1672" s="12">
        <v>3.4039024194010059E-4</v>
      </c>
      <c r="AT1672" s="19">
        <v>38.557702949999999</v>
      </c>
      <c r="AU1672" s="19">
        <v>-122.86189546999999</v>
      </c>
      <c r="AV1672" s="19" t="s">
        <v>548</v>
      </c>
    </row>
    <row r="1673" spans="1:48" x14ac:dyDescent="0.25">
      <c r="A1673" s="18" t="s">
        <v>2077</v>
      </c>
      <c r="B1673" s="10">
        <v>10000000</v>
      </c>
      <c r="C1673" s="9">
        <v>12</v>
      </c>
      <c r="D1673" s="8" t="str">
        <f t="shared" si="314"/>
        <v>N</v>
      </c>
      <c r="E1673" s="8" t="str">
        <f t="shared" si="315"/>
        <v>Y</v>
      </c>
      <c r="F1673" s="8" t="str">
        <f t="shared" si="316"/>
        <v>Y</v>
      </c>
      <c r="G1673" s="8" t="str">
        <f t="shared" si="317"/>
        <v>Y</v>
      </c>
      <c r="H1673" s="8" t="str">
        <f t="shared" si="318"/>
        <v>Upper</v>
      </c>
      <c r="I1673" s="8" t="str">
        <f t="shared" si="319"/>
        <v>West Fork and Below Lake</v>
      </c>
      <c r="J1673" s="8" t="str">
        <f t="shared" si="320"/>
        <v>Sonoma (d/s of Clov. Gage)</v>
      </c>
      <c r="K1673" s="8" t="str">
        <f t="shared" si="321"/>
        <v>Riparian</v>
      </c>
      <c r="L1673" s="8">
        <f t="shared" si="322"/>
        <v>1000</v>
      </c>
      <c r="M1673" s="8" t="str">
        <f t="shared" si="324"/>
        <v>-</v>
      </c>
      <c r="N1673" s="10" t="s">
        <v>241</v>
      </c>
      <c r="O1673" s="10" t="s">
        <v>241</v>
      </c>
      <c r="P1673" s="10" t="s">
        <v>242</v>
      </c>
      <c r="Q1673" s="10" t="s">
        <v>242</v>
      </c>
      <c r="R1673" s="10" t="s">
        <v>242</v>
      </c>
      <c r="S1673" s="10" t="s">
        <v>241</v>
      </c>
      <c r="T1673" s="10" t="s">
        <v>242</v>
      </c>
      <c r="U1673" s="10" t="s">
        <v>242</v>
      </c>
      <c r="V1673" s="10" t="s">
        <v>242</v>
      </c>
      <c r="W1673" s="10" t="s">
        <v>242</v>
      </c>
      <c r="X1673" s="15">
        <f>IF(ISERROR(VLOOKUP($A1673,'13. Updated Demand'!A:Z,15,FALSE)),0,VLOOKUP($A1673,'13. Updated Demand'!A:Z,15,FALSE))</f>
        <v>0.82</v>
      </c>
      <c r="Y1673" s="16">
        <f>IF(ISERROR(VLOOKUP($A1673,'13. Updated Demand'!A:Z,16,FALSE)),0,VLOOKUP($A1673,'13. Updated Demand'!A:Z,16,FALSE))</f>
        <v>0.82</v>
      </c>
      <c r="Z1673" s="16">
        <f>IF(ISERROR(VLOOKUP($A1673,'13. Updated Demand'!A:Z,17,FALSE)),0,VLOOKUP($A1673,'13. Updated Demand'!A:Z,17,FALSE))</f>
        <v>0.82</v>
      </c>
      <c r="AA1673" s="16">
        <f>IF(ISERROR(VLOOKUP($A1673,'13. Updated Demand'!A:Z,18,FALSE)),0,VLOOKUP($A1673,'13. Updated Demand'!A:Z,18,FALSE))</f>
        <v>1.1599999999999999</v>
      </c>
      <c r="AB1673" s="16">
        <f>IF(ISERROR(VLOOKUP($A1673,'13. Updated Demand'!A:Z,19,FALSE)),0,VLOOKUP($A1673,'13. Updated Demand'!A:Z,19,FALSE))</f>
        <v>4</v>
      </c>
      <c r="AC1673" s="16">
        <f>IF(ISERROR(VLOOKUP($A1673,'13. Updated Demand'!A:Z,20,FALSE)),0,VLOOKUP($A1673,'13. Updated Demand'!A:Z,20,FALSE))</f>
        <v>8.08</v>
      </c>
      <c r="AD1673" s="16">
        <f>IF(ISERROR(VLOOKUP($A1673,'13. Updated Demand'!A:Z,21,FALSE)),0,VLOOKUP($A1673,'13. Updated Demand'!A:Z,21,FALSE))</f>
        <v>9.76</v>
      </c>
      <c r="AE1673" s="16">
        <f>IF(ISERROR(VLOOKUP($A1673,'13. Updated Demand'!A:Z,22,FALSE)),0,VLOOKUP($A1673,'13. Updated Demand'!A:Z,22,FALSE))</f>
        <v>11.64</v>
      </c>
      <c r="AF1673" s="16">
        <f>IF(ISERROR(VLOOKUP($A1673,'13. Updated Demand'!A:Z,23,FALSE)),0,VLOOKUP($A1673,'13. Updated Demand'!A:Z,23,FALSE))</f>
        <v>9.84</v>
      </c>
      <c r="AG1673" s="16">
        <f>IF(ISERROR(VLOOKUP($A1673,'13. Updated Demand'!A:Z,24,FALSE)),0,VLOOKUP($A1673,'13. Updated Demand'!A:Z,24,FALSE))</f>
        <v>8.99</v>
      </c>
      <c r="AH1673" s="16">
        <f>IF(ISERROR(VLOOKUP($A1673,'13. Updated Demand'!A:Z,25,FALSE)),0,VLOOKUP($A1673,'13. Updated Demand'!A:Z,25,FALSE))</f>
        <v>2.58</v>
      </c>
      <c r="AI1673" s="16">
        <f>IF(ISERROR(VLOOKUP($A1673,'13. Updated Demand'!A:Z,26,FALSE)),0,VLOOKUP($A1673,'13. Updated Demand'!A:Z,26,FALSE))</f>
        <v>1.8</v>
      </c>
      <c r="AJ1673" s="16">
        <f t="shared" si="313"/>
        <v>60.309999999999995</v>
      </c>
      <c r="AK1673" s="19">
        <v>43.336666666666673</v>
      </c>
      <c r="AL1673" s="16">
        <f t="shared" si="323"/>
        <v>0.14374278682310307</v>
      </c>
      <c r="AM1673" s="26">
        <v>4.9878156442498767E-2</v>
      </c>
      <c r="AN1673" s="19">
        <v>1209.748</v>
      </c>
      <c r="AO1673" s="19" t="s">
        <v>1758</v>
      </c>
      <c r="AP1673" s="19">
        <v>0</v>
      </c>
      <c r="AQ1673" s="19" t="s">
        <v>307</v>
      </c>
      <c r="AR1673" s="9" t="s">
        <v>311</v>
      </c>
      <c r="AS1673" s="12">
        <v>3.4039024194010059E-4</v>
      </c>
      <c r="AT1673" s="19">
        <v>38.63372888</v>
      </c>
      <c r="AU1673" s="19">
        <v>-122.79016900000001</v>
      </c>
      <c r="AV1673" s="19" t="s">
        <v>387</v>
      </c>
    </row>
    <row r="1674" spans="1:48" x14ac:dyDescent="0.25">
      <c r="A1674" s="18" t="s">
        <v>2078</v>
      </c>
      <c r="B1674" s="10">
        <v>10000000</v>
      </c>
      <c r="C1674" s="9">
        <v>11</v>
      </c>
      <c r="D1674" s="8" t="str">
        <f t="shared" si="314"/>
        <v>N</v>
      </c>
      <c r="E1674" s="8" t="str">
        <f t="shared" si="315"/>
        <v>Y</v>
      </c>
      <c r="F1674" s="8" t="str">
        <f t="shared" si="316"/>
        <v>Y</v>
      </c>
      <c r="G1674" s="8" t="str">
        <f t="shared" si="317"/>
        <v>Y</v>
      </c>
      <c r="H1674" s="8" t="str">
        <f t="shared" si="318"/>
        <v>Upper</v>
      </c>
      <c r="I1674" s="8" t="str">
        <f t="shared" si="319"/>
        <v>West Fork and Below Lake</v>
      </c>
      <c r="J1674" s="8" t="str">
        <f t="shared" si="320"/>
        <v>Sonoma (d/s of Clov. Gage)</v>
      </c>
      <c r="K1674" s="8" t="str">
        <f t="shared" si="321"/>
        <v>Riparian</v>
      </c>
      <c r="L1674" s="8">
        <f t="shared" si="322"/>
        <v>1000</v>
      </c>
      <c r="M1674" s="8" t="str">
        <f t="shared" si="324"/>
        <v>-</v>
      </c>
      <c r="N1674" s="10" t="s">
        <v>242</v>
      </c>
      <c r="O1674" s="10" t="s">
        <v>241</v>
      </c>
      <c r="P1674" s="10" t="s">
        <v>242</v>
      </c>
      <c r="Q1674" s="10" t="s">
        <v>242</v>
      </c>
      <c r="R1674" s="10" t="s">
        <v>242</v>
      </c>
      <c r="S1674" s="10" t="s">
        <v>241</v>
      </c>
      <c r="T1674" s="10" t="s">
        <v>242</v>
      </c>
      <c r="U1674" s="10" t="s">
        <v>242</v>
      </c>
      <c r="V1674" s="10" t="s">
        <v>242</v>
      </c>
      <c r="W1674" s="10" t="s">
        <v>242</v>
      </c>
      <c r="X1674" s="15">
        <f>IF(ISERROR(VLOOKUP($A1674,'13. Updated Demand'!A:Z,15,FALSE)),0,VLOOKUP($A1674,'13. Updated Demand'!A:Z,15,FALSE))</f>
        <v>0.02</v>
      </c>
      <c r="Y1674" s="16">
        <f>IF(ISERROR(VLOOKUP($A1674,'13. Updated Demand'!A:Z,16,FALSE)),0,VLOOKUP($A1674,'13. Updated Demand'!A:Z,16,FALSE))</f>
        <v>0.01</v>
      </c>
      <c r="Z1674" s="16">
        <f>IF(ISERROR(VLOOKUP($A1674,'13. Updated Demand'!A:Z,17,FALSE)),0,VLOOKUP($A1674,'13. Updated Demand'!A:Z,17,FALSE))</f>
        <v>0.01</v>
      </c>
      <c r="AA1674" s="16">
        <f>IF(ISERROR(VLOOKUP($A1674,'13. Updated Demand'!A:Z,18,FALSE)),0,VLOOKUP($A1674,'13. Updated Demand'!A:Z,18,FALSE))</f>
        <v>0.03</v>
      </c>
      <c r="AB1674" s="16">
        <f>IF(ISERROR(VLOOKUP($A1674,'13. Updated Demand'!A:Z,19,FALSE)),0,VLOOKUP($A1674,'13. Updated Demand'!A:Z,19,FALSE))</f>
        <v>0.03</v>
      </c>
      <c r="AC1674" s="16">
        <f>IF(ISERROR(VLOOKUP($A1674,'13. Updated Demand'!A:Z,20,FALSE)),0,VLOOKUP($A1674,'13. Updated Demand'!A:Z,20,FALSE))</f>
        <v>0.02</v>
      </c>
      <c r="AD1674" s="16">
        <f>IF(ISERROR(VLOOKUP($A1674,'13. Updated Demand'!A:Z,21,FALSE)),0,VLOOKUP($A1674,'13. Updated Demand'!A:Z,21,FALSE))</f>
        <v>0.02</v>
      </c>
      <c r="AE1674" s="16">
        <f>IF(ISERROR(VLOOKUP($A1674,'13. Updated Demand'!A:Z,22,FALSE)),0,VLOOKUP($A1674,'13. Updated Demand'!A:Z,22,FALSE))</f>
        <v>0.02</v>
      </c>
      <c r="AF1674" s="16">
        <f>IF(ISERROR(VLOOKUP($A1674,'13. Updated Demand'!A:Z,23,FALSE)),0,VLOOKUP($A1674,'13. Updated Demand'!A:Z,23,FALSE))</f>
        <v>0.02</v>
      </c>
      <c r="AG1674" s="16">
        <f>IF(ISERROR(VLOOKUP($A1674,'13. Updated Demand'!A:Z,24,FALSE)),0,VLOOKUP($A1674,'13. Updated Demand'!A:Z,24,FALSE))</f>
        <v>0.01</v>
      </c>
      <c r="AH1674" s="16">
        <f>IF(ISERROR(VLOOKUP($A1674,'13. Updated Demand'!A:Z,25,FALSE)),0,VLOOKUP($A1674,'13. Updated Demand'!A:Z,25,FALSE))</f>
        <v>8.6666669999999994E-3</v>
      </c>
      <c r="AI1674" s="16">
        <f>IF(ISERROR(VLOOKUP($A1674,'13. Updated Demand'!A:Z,26,FALSE)),0,VLOOKUP($A1674,'13. Updated Demand'!A:Z,26,FALSE))</f>
        <v>0.01</v>
      </c>
      <c r="AJ1674" s="16">
        <f t="shared" si="313"/>
        <v>0.208666667</v>
      </c>
      <c r="AK1674" s="19">
        <v>0.13266666700000002</v>
      </c>
      <c r="AL1674" s="16">
        <f t="shared" si="323"/>
        <v>4.4004022228549963E-4</v>
      </c>
      <c r="AM1674" s="26">
        <v>4.7447820033655115E-2</v>
      </c>
      <c r="AN1674" s="19">
        <v>5.6455000000000002</v>
      </c>
      <c r="AO1674" s="19" t="s">
        <v>1758</v>
      </c>
      <c r="AP1674" s="19">
        <v>0</v>
      </c>
      <c r="AQ1674" s="19" t="s">
        <v>307</v>
      </c>
      <c r="AR1674" s="9" t="s">
        <v>308</v>
      </c>
      <c r="AS1674" s="12">
        <v>3.4039024194010059E-4</v>
      </c>
      <c r="AT1674" s="19">
        <v>38.707323209999998</v>
      </c>
      <c r="AU1674" s="19">
        <v>-122.70442263</v>
      </c>
      <c r="AV1674" s="19" t="s">
        <v>2079</v>
      </c>
    </row>
    <row r="1675" spans="1:48" x14ac:dyDescent="0.25">
      <c r="A1675" s="18" t="s">
        <v>2080</v>
      </c>
      <c r="B1675" s="10">
        <v>10000000</v>
      </c>
      <c r="C1675" s="9">
        <v>11</v>
      </c>
      <c r="D1675" s="8" t="str">
        <f t="shared" si="314"/>
        <v>N</v>
      </c>
      <c r="E1675" s="8" t="str">
        <f t="shared" si="315"/>
        <v>Y</v>
      </c>
      <c r="F1675" s="8" t="str">
        <f t="shared" si="316"/>
        <v>Y</v>
      </c>
      <c r="G1675" s="8" t="str">
        <f t="shared" si="317"/>
        <v>Y</v>
      </c>
      <c r="H1675" s="8" t="str">
        <f t="shared" si="318"/>
        <v>Upper</v>
      </c>
      <c r="I1675" s="8" t="str">
        <f t="shared" si="319"/>
        <v>West Fork and Below Lake</v>
      </c>
      <c r="J1675" s="8" t="str">
        <f t="shared" si="320"/>
        <v>Sonoma (d/s of Clov. Gage)</v>
      </c>
      <c r="K1675" s="8" t="str">
        <f t="shared" si="321"/>
        <v>Riparian</v>
      </c>
      <c r="L1675" s="8">
        <f t="shared" si="322"/>
        <v>1000</v>
      </c>
      <c r="M1675" s="8" t="str">
        <f t="shared" si="324"/>
        <v>-</v>
      </c>
      <c r="N1675" s="10" t="s">
        <v>242</v>
      </c>
      <c r="O1675" s="10" t="s">
        <v>241</v>
      </c>
      <c r="P1675" s="10" t="s">
        <v>242</v>
      </c>
      <c r="Q1675" s="10" t="s">
        <v>242</v>
      </c>
      <c r="R1675" s="10" t="s">
        <v>242</v>
      </c>
      <c r="S1675" s="10" t="s">
        <v>241</v>
      </c>
      <c r="T1675" s="10" t="s">
        <v>242</v>
      </c>
      <c r="U1675" s="10" t="s">
        <v>242</v>
      </c>
      <c r="V1675" s="10" t="s">
        <v>242</v>
      </c>
      <c r="W1675" s="10" t="s">
        <v>242</v>
      </c>
      <c r="X1675" s="15">
        <f>IF(ISERROR(VLOOKUP($A1675,'13. Updated Demand'!A:Z,15,FALSE)),0,VLOOKUP($A1675,'13. Updated Demand'!A:Z,15,FALSE))</f>
        <v>0.02</v>
      </c>
      <c r="Y1675" s="16">
        <f>IF(ISERROR(VLOOKUP($A1675,'13. Updated Demand'!A:Z,16,FALSE)),0,VLOOKUP($A1675,'13. Updated Demand'!A:Z,16,FALSE))</f>
        <v>0.01</v>
      </c>
      <c r="Z1675" s="16">
        <f>IF(ISERROR(VLOOKUP($A1675,'13. Updated Demand'!A:Z,17,FALSE)),0,VLOOKUP($A1675,'13. Updated Demand'!A:Z,17,FALSE))</f>
        <v>0.01</v>
      </c>
      <c r="AA1675" s="16">
        <f>IF(ISERROR(VLOOKUP($A1675,'13. Updated Demand'!A:Z,18,FALSE)),0,VLOOKUP($A1675,'13. Updated Demand'!A:Z,18,FALSE))</f>
        <v>0.03</v>
      </c>
      <c r="AB1675" s="16">
        <f>IF(ISERROR(VLOOKUP($A1675,'13. Updated Demand'!A:Z,19,FALSE)),0,VLOOKUP($A1675,'13. Updated Demand'!A:Z,19,FALSE))</f>
        <v>0.03</v>
      </c>
      <c r="AC1675" s="16">
        <f>IF(ISERROR(VLOOKUP($A1675,'13. Updated Demand'!A:Z,20,FALSE)),0,VLOOKUP($A1675,'13. Updated Demand'!A:Z,20,FALSE))</f>
        <v>0.02</v>
      </c>
      <c r="AD1675" s="16">
        <f>IF(ISERROR(VLOOKUP($A1675,'13. Updated Demand'!A:Z,21,FALSE)),0,VLOOKUP($A1675,'13. Updated Demand'!A:Z,21,FALSE))</f>
        <v>0.02</v>
      </c>
      <c r="AE1675" s="16">
        <f>IF(ISERROR(VLOOKUP($A1675,'13. Updated Demand'!A:Z,22,FALSE)),0,VLOOKUP($A1675,'13. Updated Demand'!A:Z,22,FALSE))</f>
        <v>0.02</v>
      </c>
      <c r="AF1675" s="16">
        <f>IF(ISERROR(VLOOKUP($A1675,'13. Updated Demand'!A:Z,23,FALSE)),0,VLOOKUP($A1675,'13. Updated Demand'!A:Z,23,FALSE))</f>
        <v>0.02</v>
      </c>
      <c r="AG1675" s="16">
        <f>IF(ISERROR(VLOOKUP($A1675,'13. Updated Demand'!A:Z,24,FALSE)),0,VLOOKUP($A1675,'13. Updated Demand'!A:Z,24,FALSE))</f>
        <v>0.01</v>
      </c>
      <c r="AH1675" s="16">
        <f>IF(ISERROR(VLOOKUP($A1675,'13. Updated Demand'!A:Z,25,FALSE)),0,VLOOKUP($A1675,'13. Updated Demand'!A:Z,25,FALSE))</f>
        <v>8.6666669999999994E-3</v>
      </c>
      <c r="AI1675" s="16">
        <f>IF(ISERROR(VLOOKUP($A1675,'13. Updated Demand'!A:Z,26,FALSE)),0,VLOOKUP($A1675,'13. Updated Demand'!A:Z,26,FALSE))</f>
        <v>0.01</v>
      </c>
      <c r="AJ1675" s="16">
        <f t="shared" si="313"/>
        <v>0.208666667</v>
      </c>
      <c r="AK1675" s="19">
        <v>0.13266666700000002</v>
      </c>
      <c r="AL1675" s="16">
        <f t="shared" si="323"/>
        <v>4.4004022228549963E-4</v>
      </c>
      <c r="AM1675" s="26">
        <v>4.7447820033655115E-2</v>
      </c>
      <c r="AN1675" s="19">
        <v>5.6455000000000002</v>
      </c>
      <c r="AO1675" s="19" t="s">
        <v>1758</v>
      </c>
      <c r="AP1675" s="19">
        <v>0</v>
      </c>
      <c r="AQ1675" s="19" t="s">
        <v>307</v>
      </c>
      <c r="AR1675" s="9" t="s">
        <v>308</v>
      </c>
      <c r="AS1675" s="12">
        <v>3.4039024194010059E-4</v>
      </c>
      <c r="AT1675" s="19">
        <v>38.707321090000001</v>
      </c>
      <c r="AU1675" s="19">
        <v>-122.70477307</v>
      </c>
      <c r="AV1675" s="19" t="s">
        <v>2079</v>
      </c>
    </row>
    <row r="1676" spans="1:48" x14ac:dyDescent="0.25">
      <c r="A1676" s="18" t="s">
        <v>2081</v>
      </c>
      <c r="B1676" s="10">
        <v>10000000</v>
      </c>
      <c r="C1676" s="9">
        <v>11</v>
      </c>
      <c r="D1676" s="8" t="str">
        <f t="shared" si="314"/>
        <v>N</v>
      </c>
      <c r="E1676" s="8" t="str">
        <f t="shared" si="315"/>
        <v>Y</v>
      </c>
      <c r="F1676" s="8" t="str">
        <f t="shared" si="316"/>
        <v>Y</v>
      </c>
      <c r="G1676" s="8" t="str">
        <f t="shared" si="317"/>
        <v>Y</v>
      </c>
      <c r="H1676" s="8" t="str">
        <f t="shared" si="318"/>
        <v>Upper</v>
      </c>
      <c r="I1676" s="8" t="str">
        <f t="shared" si="319"/>
        <v>West Fork and Below Lake</v>
      </c>
      <c r="J1676" s="8" t="str">
        <f t="shared" si="320"/>
        <v>Sonoma (d/s of Clov. Gage)</v>
      </c>
      <c r="K1676" s="8" t="str">
        <f t="shared" si="321"/>
        <v>Riparian</v>
      </c>
      <c r="L1676" s="8">
        <f t="shared" si="322"/>
        <v>1000</v>
      </c>
      <c r="M1676" s="8" t="str">
        <f t="shared" si="324"/>
        <v>-</v>
      </c>
      <c r="N1676" s="10" t="s">
        <v>242</v>
      </c>
      <c r="O1676" s="10" t="s">
        <v>241</v>
      </c>
      <c r="P1676" s="10" t="s">
        <v>242</v>
      </c>
      <c r="Q1676" s="10" t="s">
        <v>242</v>
      </c>
      <c r="R1676" s="10" t="s">
        <v>242</v>
      </c>
      <c r="S1676" s="10" t="s">
        <v>241</v>
      </c>
      <c r="T1676" s="10" t="s">
        <v>242</v>
      </c>
      <c r="U1676" s="10" t="s">
        <v>242</v>
      </c>
      <c r="V1676" s="10" t="s">
        <v>242</v>
      </c>
      <c r="W1676" s="10" t="s">
        <v>242</v>
      </c>
      <c r="X1676" s="15">
        <f>IF(ISERROR(VLOOKUP($A1676,'13. Updated Demand'!A:Z,15,FALSE)),0,VLOOKUP($A1676,'13. Updated Demand'!A:Z,15,FALSE))</f>
        <v>0.02</v>
      </c>
      <c r="Y1676" s="16">
        <f>IF(ISERROR(VLOOKUP($A1676,'13. Updated Demand'!A:Z,16,FALSE)),0,VLOOKUP($A1676,'13. Updated Demand'!A:Z,16,FALSE))</f>
        <v>0.01</v>
      </c>
      <c r="Z1676" s="16">
        <f>IF(ISERROR(VLOOKUP($A1676,'13. Updated Demand'!A:Z,17,FALSE)),0,VLOOKUP($A1676,'13. Updated Demand'!A:Z,17,FALSE))</f>
        <v>0.01</v>
      </c>
      <c r="AA1676" s="16">
        <f>IF(ISERROR(VLOOKUP($A1676,'13. Updated Demand'!A:Z,18,FALSE)),0,VLOOKUP($A1676,'13. Updated Demand'!A:Z,18,FALSE))</f>
        <v>0.03</v>
      </c>
      <c r="AB1676" s="16">
        <f>IF(ISERROR(VLOOKUP($A1676,'13. Updated Demand'!A:Z,19,FALSE)),0,VLOOKUP($A1676,'13. Updated Demand'!A:Z,19,FALSE))</f>
        <v>0.03</v>
      </c>
      <c r="AC1676" s="16">
        <f>IF(ISERROR(VLOOKUP($A1676,'13. Updated Demand'!A:Z,20,FALSE)),0,VLOOKUP($A1676,'13. Updated Demand'!A:Z,20,FALSE))</f>
        <v>0.02</v>
      </c>
      <c r="AD1676" s="16">
        <f>IF(ISERROR(VLOOKUP($A1676,'13. Updated Demand'!A:Z,21,FALSE)),0,VLOOKUP($A1676,'13. Updated Demand'!A:Z,21,FALSE))</f>
        <v>0.02</v>
      </c>
      <c r="AE1676" s="16">
        <f>IF(ISERROR(VLOOKUP($A1676,'13. Updated Demand'!A:Z,22,FALSE)),0,VLOOKUP($A1676,'13. Updated Demand'!A:Z,22,FALSE))</f>
        <v>0.02</v>
      </c>
      <c r="AF1676" s="16">
        <f>IF(ISERROR(VLOOKUP($A1676,'13. Updated Demand'!A:Z,23,FALSE)),0,VLOOKUP($A1676,'13. Updated Demand'!A:Z,23,FALSE))</f>
        <v>0.02</v>
      </c>
      <c r="AG1676" s="16">
        <f>IF(ISERROR(VLOOKUP($A1676,'13. Updated Demand'!A:Z,24,FALSE)),0,VLOOKUP($A1676,'13. Updated Demand'!A:Z,24,FALSE))</f>
        <v>0.01</v>
      </c>
      <c r="AH1676" s="16">
        <f>IF(ISERROR(VLOOKUP($A1676,'13. Updated Demand'!A:Z,25,FALSE)),0,VLOOKUP($A1676,'13. Updated Demand'!A:Z,25,FALSE))</f>
        <v>8.6666669999999994E-3</v>
      </c>
      <c r="AI1676" s="16">
        <f>IF(ISERROR(VLOOKUP($A1676,'13. Updated Demand'!A:Z,26,FALSE)),0,VLOOKUP($A1676,'13. Updated Demand'!A:Z,26,FALSE))</f>
        <v>0.01</v>
      </c>
      <c r="AJ1676" s="16">
        <f t="shared" si="313"/>
        <v>0.208666667</v>
      </c>
      <c r="AK1676" s="19">
        <v>0.13266666700000002</v>
      </c>
      <c r="AL1676" s="16">
        <f t="shared" si="323"/>
        <v>4.4004022228549963E-4</v>
      </c>
      <c r="AM1676" s="26">
        <v>4.7447820033655115E-2</v>
      </c>
      <c r="AN1676" s="19">
        <v>5.6455000000000002</v>
      </c>
      <c r="AO1676" s="19" t="s">
        <v>1758</v>
      </c>
      <c r="AP1676" s="19">
        <v>0</v>
      </c>
      <c r="AQ1676" s="19" t="s">
        <v>307</v>
      </c>
      <c r="AR1676" s="9" t="s">
        <v>308</v>
      </c>
      <c r="AS1676" s="12">
        <v>3.4039024194010059E-4</v>
      </c>
      <c r="AT1676" s="19">
        <v>38.707318970000003</v>
      </c>
      <c r="AU1676" s="19">
        <v>-122.7051235</v>
      </c>
      <c r="AV1676" s="19" t="s">
        <v>2079</v>
      </c>
    </row>
    <row r="1677" spans="1:48" x14ac:dyDescent="0.25">
      <c r="A1677" s="18" t="s">
        <v>2082</v>
      </c>
      <c r="B1677" s="10">
        <v>10000000</v>
      </c>
      <c r="C1677" s="9">
        <v>11</v>
      </c>
      <c r="D1677" s="8" t="str">
        <f t="shared" si="314"/>
        <v>N</v>
      </c>
      <c r="E1677" s="8" t="str">
        <f t="shared" si="315"/>
        <v>Y</v>
      </c>
      <c r="F1677" s="8" t="str">
        <f t="shared" si="316"/>
        <v>Y</v>
      </c>
      <c r="G1677" s="8" t="str">
        <f t="shared" si="317"/>
        <v>Y</v>
      </c>
      <c r="H1677" s="8" t="str">
        <f t="shared" si="318"/>
        <v>Upper</v>
      </c>
      <c r="I1677" s="8" t="str">
        <f t="shared" si="319"/>
        <v>West Fork and Below Lake</v>
      </c>
      <c r="J1677" s="8" t="str">
        <f t="shared" si="320"/>
        <v>Sonoma (d/s of Clov. Gage)</v>
      </c>
      <c r="K1677" s="8" t="str">
        <f t="shared" si="321"/>
        <v>Riparian</v>
      </c>
      <c r="L1677" s="8">
        <f t="shared" si="322"/>
        <v>1000</v>
      </c>
      <c r="M1677" s="8" t="str">
        <f t="shared" si="324"/>
        <v>-</v>
      </c>
      <c r="N1677" s="10" t="s">
        <v>242</v>
      </c>
      <c r="O1677" s="10" t="s">
        <v>241</v>
      </c>
      <c r="P1677" s="10" t="s">
        <v>242</v>
      </c>
      <c r="Q1677" s="10" t="s">
        <v>242</v>
      </c>
      <c r="R1677" s="10" t="s">
        <v>242</v>
      </c>
      <c r="S1677" s="10" t="s">
        <v>241</v>
      </c>
      <c r="T1677" s="10" t="s">
        <v>242</v>
      </c>
      <c r="U1677" s="10" t="s">
        <v>242</v>
      </c>
      <c r="V1677" s="10" t="s">
        <v>242</v>
      </c>
      <c r="W1677" s="10" t="s">
        <v>242</v>
      </c>
      <c r="X1677" s="15">
        <f>IF(ISERROR(VLOOKUP($A1677,'13. Updated Demand'!A:Z,15,FALSE)),0,VLOOKUP($A1677,'13. Updated Demand'!A:Z,15,FALSE))</f>
        <v>0.02</v>
      </c>
      <c r="Y1677" s="16">
        <f>IF(ISERROR(VLOOKUP($A1677,'13. Updated Demand'!A:Z,16,FALSE)),0,VLOOKUP($A1677,'13. Updated Demand'!A:Z,16,FALSE))</f>
        <v>0.01</v>
      </c>
      <c r="Z1677" s="16">
        <f>IF(ISERROR(VLOOKUP($A1677,'13. Updated Demand'!A:Z,17,FALSE)),0,VLOOKUP($A1677,'13. Updated Demand'!A:Z,17,FALSE))</f>
        <v>0.01</v>
      </c>
      <c r="AA1677" s="16">
        <f>IF(ISERROR(VLOOKUP($A1677,'13. Updated Demand'!A:Z,18,FALSE)),0,VLOOKUP($A1677,'13. Updated Demand'!A:Z,18,FALSE))</f>
        <v>0.03</v>
      </c>
      <c r="AB1677" s="16">
        <f>IF(ISERROR(VLOOKUP($A1677,'13. Updated Demand'!A:Z,19,FALSE)),0,VLOOKUP($A1677,'13. Updated Demand'!A:Z,19,FALSE))</f>
        <v>0.03</v>
      </c>
      <c r="AC1677" s="16">
        <f>IF(ISERROR(VLOOKUP($A1677,'13. Updated Demand'!A:Z,20,FALSE)),0,VLOOKUP($A1677,'13. Updated Demand'!A:Z,20,FALSE))</f>
        <v>0.02</v>
      </c>
      <c r="AD1677" s="16">
        <f>IF(ISERROR(VLOOKUP($A1677,'13. Updated Demand'!A:Z,21,FALSE)),0,VLOOKUP($A1677,'13. Updated Demand'!A:Z,21,FALSE))</f>
        <v>0.02</v>
      </c>
      <c r="AE1677" s="16">
        <f>IF(ISERROR(VLOOKUP($A1677,'13. Updated Demand'!A:Z,22,FALSE)),0,VLOOKUP($A1677,'13. Updated Demand'!A:Z,22,FALSE))</f>
        <v>0.02</v>
      </c>
      <c r="AF1677" s="16">
        <f>IF(ISERROR(VLOOKUP($A1677,'13. Updated Demand'!A:Z,23,FALSE)),0,VLOOKUP($A1677,'13. Updated Demand'!A:Z,23,FALSE))</f>
        <v>0.02</v>
      </c>
      <c r="AG1677" s="16">
        <f>IF(ISERROR(VLOOKUP($A1677,'13. Updated Demand'!A:Z,24,FALSE)),0,VLOOKUP($A1677,'13. Updated Demand'!A:Z,24,FALSE))</f>
        <v>0.01</v>
      </c>
      <c r="AH1677" s="16">
        <f>IF(ISERROR(VLOOKUP($A1677,'13. Updated Demand'!A:Z,25,FALSE)),0,VLOOKUP($A1677,'13. Updated Demand'!A:Z,25,FALSE))</f>
        <v>8.6666669999999994E-3</v>
      </c>
      <c r="AI1677" s="16">
        <f>IF(ISERROR(VLOOKUP($A1677,'13. Updated Demand'!A:Z,26,FALSE)),0,VLOOKUP($A1677,'13. Updated Demand'!A:Z,26,FALSE))</f>
        <v>0.01</v>
      </c>
      <c r="AJ1677" s="16">
        <f t="shared" si="313"/>
        <v>0.208666667</v>
      </c>
      <c r="AK1677" s="19">
        <v>0.13266666700000002</v>
      </c>
      <c r="AL1677" s="16">
        <f t="shared" si="323"/>
        <v>4.4004022228549963E-4</v>
      </c>
      <c r="AM1677" s="26">
        <v>4.7447820033655115E-2</v>
      </c>
      <c r="AN1677" s="19">
        <v>5.6455000000000002</v>
      </c>
      <c r="AO1677" s="19" t="s">
        <v>1758</v>
      </c>
      <c r="AP1677" s="19">
        <v>0</v>
      </c>
      <c r="AQ1677" s="19" t="s">
        <v>307</v>
      </c>
      <c r="AR1677" s="9" t="s">
        <v>308</v>
      </c>
      <c r="AS1677" s="12">
        <v>3.4039024194010059E-4</v>
      </c>
      <c r="AT1677" s="19">
        <v>38.707316849999998</v>
      </c>
      <c r="AU1677" s="19">
        <v>-122.70547394</v>
      </c>
      <c r="AV1677" s="19" t="s">
        <v>2079</v>
      </c>
    </row>
    <row r="1678" spans="1:48" x14ac:dyDescent="0.25">
      <c r="A1678" s="18" t="s">
        <v>2083</v>
      </c>
      <c r="B1678" s="10">
        <v>10000000</v>
      </c>
      <c r="C1678" s="9">
        <v>11</v>
      </c>
      <c r="D1678" s="8" t="str">
        <f t="shared" si="314"/>
        <v>N</v>
      </c>
      <c r="E1678" s="8" t="str">
        <f t="shared" si="315"/>
        <v>Y</v>
      </c>
      <c r="F1678" s="8" t="str">
        <f t="shared" si="316"/>
        <v>Y</v>
      </c>
      <c r="G1678" s="8" t="str">
        <f t="shared" si="317"/>
        <v>Y</v>
      </c>
      <c r="H1678" s="8" t="str">
        <f t="shared" si="318"/>
        <v>Upper</v>
      </c>
      <c r="I1678" s="8" t="str">
        <f t="shared" si="319"/>
        <v>West Fork and Below Lake</v>
      </c>
      <c r="J1678" s="8" t="str">
        <f t="shared" si="320"/>
        <v>Sonoma (d/s of Clov. Gage)</v>
      </c>
      <c r="K1678" s="8" t="str">
        <f t="shared" si="321"/>
        <v>Riparian</v>
      </c>
      <c r="L1678" s="8">
        <f t="shared" si="322"/>
        <v>1000</v>
      </c>
      <c r="M1678" s="8" t="str">
        <f t="shared" si="324"/>
        <v>-</v>
      </c>
      <c r="N1678" s="10" t="s">
        <v>242</v>
      </c>
      <c r="O1678" s="10" t="s">
        <v>241</v>
      </c>
      <c r="P1678" s="10" t="s">
        <v>242</v>
      </c>
      <c r="Q1678" s="10" t="s">
        <v>242</v>
      </c>
      <c r="R1678" s="10" t="s">
        <v>242</v>
      </c>
      <c r="S1678" s="10" t="s">
        <v>241</v>
      </c>
      <c r="T1678" s="10" t="s">
        <v>242</v>
      </c>
      <c r="U1678" s="10" t="s">
        <v>242</v>
      </c>
      <c r="V1678" s="10" t="s">
        <v>242</v>
      </c>
      <c r="W1678" s="10" t="s">
        <v>242</v>
      </c>
      <c r="X1678" s="15">
        <f>IF(ISERROR(VLOOKUP($A1678,'13. Updated Demand'!A:Z,15,FALSE)),0,VLOOKUP($A1678,'13. Updated Demand'!A:Z,15,FALSE))</f>
        <v>0.02</v>
      </c>
      <c r="Y1678" s="16">
        <f>IF(ISERROR(VLOOKUP($A1678,'13. Updated Demand'!A:Z,16,FALSE)),0,VLOOKUP($A1678,'13. Updated Demand'!A:Z,16,FALSE))</f>
        <v>0.01</v>
      </c>
      <c r="Z1678" s="16">
        <f>IF(ISERROR(VLOOKUP($A1678,'13. Updated Demand'!A:Z,17,FALSE)),0,VLOOKUP($A1678,'13. Updated Demand'!A:Z,17,FALSE))</f>
        <v>0.01</v>
      </c>
      <c r="AA1678" s="16">
        <f>IF(ISERROR(VLOOKUP($A1678,'13. Updated Demand'!A:Z,18,FALSE)),0,VLOOKUP($A1678,'13. Updated Demand'!A:Z,18,FALSE))</f>
        <v>0.03</v>
      </c>
      <c r="AB1678" s="16">
        <f>IF(ISERROR(VLOOKUP($A1678,'13. Updated Demand'!A:Z,19,FALSE)),0,VLOOKUP($A1678,'13. Updated Demand'!A:Z,19,FALSE))</f>
        <v>0.03</v>
      </c>
      <c r="AC1678" s="16">
        <f>IF(ISERROR(VLOOKUP($A1678,'13. Updated Demand'!A:Z,20,FALSE)),0,VLOOKUP($A1678,'13. Updated Demand'!A:Z,20,FALSE))</f>
        <v>0.02</v>
      </c>
      <c r="AD1678" s="16">
        <f>IF(ISERROR(VLOOKUP($A1678,'13. Updated Demand'!A:Z,21,FALSE)),0,VLOOKUP($A1678,'13. Updated Demand'!A:Z,21,FALSE))</f>
        <v>0.02</v>
      </c>
      <c r="AE1678" s="16">
        <f>IF(ISERROR(VLOOKUP($A1678,'13. Updated Demand'!A:Z,22,FALSE)),0,VLOOKUP($A1678,'13. Updated Demand'!A:Z,22,FALSE))</f>
        <v>0.02</v>
      </c>
      <c r="AF1678" s="16">
        <f>IF(ISERROR(VLOOKUP($A1678,'13. Updated Demand'!A:Z,23,FALSE)),0,VLOOKUP($A1678,'13. Updated Demand'!A:Z,23,FALSE))</f>
        <v>0.02</v>
      </c>
      <c r="AG1678" s="16">
        <f>IF(ISERROR(VLOOKUP($A1678,'13. Updated Demand'!A:Z,24,FALSE)),0,VLOOKUP($A1678,'13. Updated Demand'!A:Z,24,FALSE))</f>
        <v>0.01</v>
      </c>
      <c r="AH1678" s="16">
        <f>IF(ISERROR(VLOOKUP($A1678,'13. Updated Demand'!A:Z,25,FALSE)),0,VLOOKUP($A1678,'13. Updated Demand'!A:Z,25,FALSE))</f>
        <v>8.6666669999999994E-3</v>
      </c>
      <c r="AI1678" s="16">
        <f>IF(ISERROR(VLOOKUP($A1678,'13. Updated Demand'!A:Z,26,FALSE)),0,VLOOKUP($A1678,'13. Updated Demand'!A:Z,26,FALSE))</f>
        <v>0.01</v>
      </c>
      <c r="AJ1678" s="16">
        <f t="shared" si="313"/>
        <v>0.208666667</v>
      </c>
      <c r="AK1678" s="19">
        <v>0.13266666700000002</v>
      </c>
      <c r="AL1678" s="16">
        <f t="shared" si="323"/>
        <v>4.4004022228549963E-4</v>
      </c>
      <c r="AM1678" s="26">
        <v>4.7447820033655115E-2</v>
      </c>
      <c r="AN1678" s="19">
        <v>5.6455000000000002</v>
      </c>
      <c r="AO1678" s="19" t="s">
        <v>1758</v>
      </c>
      <c r="AP1678" s="19">
        <v>0</v>
      </c>
      <c r="AQ1678" s="19" t="s">
        <v>307</v>
      </c>
      <c r="AR1678" s="9" t="s">
        <v>308</v>
      </c>
      <c r="AS1678" s="12">
        <v>3.4039024194010059E-4</v>
      </c>
      <c r="AT1678" s="19">
        <v>38.70731473</v>
      </c>
      <c r="AU1678" s="19">
        <v>-122.70582437</v>
      </c>
      <c r="AV1678" s="19" t="s">
        <v>2079</v>
      </c>
    </row>
    <row r="1679" spans="1:48" x14ac:dyDescent="0.25">
      <c r="A1679" s="18" t="s">
        <v>2084</v>
      </c>
      <c r="B1679" s="10">
        <v>10000000</v>
      </c>
      <c r="C1679" s="9">
        <v>11</v>
      </c>
      <c r="D1679" s="8" t="str">
        <f t="shared" si="314"/>
        <v>N</v>
      </c>
      <c r="E1679" s="8" t="str">
        <f t="shared" si="315"/>
        <v>Y</v>
      </c>
      <c r="F1679" s="8" t="str">
        <f t="shared" si="316"/>
        <v>Y</v>
      </c>
      <c r="G1679" s="8" t="str">
        <f t="shared" si="317"/>
        <v>Y</v>
      </c>
      <c r="H1679" s="8" t="str">
        <f t="shared" si="318"/>
        <v>Upper</v>
      </c>
      <c r="I1679" s="8" t="str">
        <f t="shared" si="319"/>
        <v>West Fork and Below Lake</v>
      </c>
      <c r="J1679" s="8" t="str">
        <f t="shared" si="320"/>
        <v>Sonoma (d/s of Clov. Gage)</v>
      </c>
      <c r="K1679" s="8" t="str">
        <f t="shared" si="321"/>
        <v>Riparian</v>
      </c>
      <c r="L1679" s="8">
        <f t="shared" si="322"/>
        <v>1000</v>
      </c>
      <c r="M1679" s="8" t="str">
        <f t="shared" si="324"/>
        <v>-</v>
      </c>
      <c r="N1679" s="10" t="s">
        <v>242</v>
      </c>
      <c r="O1679" s="10" t="s">
        <v>241</v>
      </c>
      <c r="P1679" s="10" t="s">
        <v>242</v>
      </c>
      <c r="Q1679" s="10" t="s">
        <v>242</v>
      </c>
      <c r="R1679" s="10" t="s">
        <v>242</v>
      </c>
      <c r="S1679" s="10" t="s">
        <v>241</v>
      </c>
      <c r="T1679" s="10" t="s">
        <v>242</v>
      </c>
      <c r="U1679" s="10" t="s">
        <v>242</v>
      </c>
      <c r="V1679" s="10" t="s">
        <v>242</v>
      </c>
      <c r="W1679" s="10" t="s">
        <v>242</v>
      </c>
      <c r="X1679" s="15">
        <f>IF(ISERROR(VLOOKUP($A1679,'13. Updated Demand'!A:Z,15,FALSE)),0,VLOOKUP($A1679,'13. Updated Demand'!A:Z,15,FALSE))</f>
        <v>8.6E-3</v>
      </c>
      <c r="Y1679" s="16">
        <f>IF(ISERROR(VLOOKUP($A1679,'13. Updated Demand'!A:Z,16,FALSE)),0,VLOOKUP($A1679,'13. Updated Demand'!A:Z,16,FALSE))</f>
        <v>7.9333330000000007E-3</v>
      </c>
      <c r="Z1679" s="16">
        <f>IF(ISERROR(VLOOKUP($A1679,'13. Updated Demand'!A:Z,17,FALSE)),0,VLOOKUP($A1679,'13. Updated Demand'!A:Z,17,FALSE))</f>
        <v>5.333333E-3</v>
      </c>
      <c r="AA1679" s="16">
        <f>IF(ISERROR(VLOOKUP($A1679,'13. Updated Demand'!A:Z,18,FALSE)),0,VLOOKUP($A1679,'13. Updated Demand'!A:Z,18,FALSE))</f>
        <v>0.01</v>
      </c>
      <c r="AB1679" s="16">
        <f>IF(ISERROR(VLOOKUP($A1679,'13. Updated Demand'!A:Z,19,FALSE)),0,VLOOKUP($A1679,'13. Updated Demand'!A:Z,19,FALSE))</f>
        <v>0.01</v>
      </c>
      <c r="AC1679" s="16">
        <f>IF(ISERROR(VLOOKUP($A1679,'13. Updated Demand'!A:Z,20,FALSE)),0,VLOOKUP($A1679,'13. Updated Demand'!A:Z,20,FALSE))</f>
        <v>6.7333330000000002E-3</v>
      </c>
      <c r="AD1679" s="16">
        <f>IF(ISERROR(VLOOKUP($A1679,'13. Updated Demand'!A:Z,21,FALSE)),0,VLOOKUP($A1679,'13. Updated Demand'!A:Z,21,FALSE))</f>
        <v>6.0000000000000001E-3</v>
      </c>
      <c r="AE1679" s="16">
        <f>IF(ISERROR(VLOOKUP($A1679,'13. Updated Demand'!A:Z,22,FALSE)),0,VLOOKUP($A1679,'13. Updated Demand'!A:Z,22,FALSE))</f>
        <v>4.8666669999999999E-3</v>
      </c>
      <c r="AF1679" s="16">
        <f>IF(ISERROR(VLOOKUP($A1679,'13. Updated Demand'!A:Z,23,FALSE)),0,VLOOKUP($A1679,'13. Updated Demand'!A:Z,23,FALSE))</f>
        <v>4.4666669999999997E-3</v>
      </c>
      <c r="AG1679" s="16">
        <f>IF(ISERROR(VLOOKUP($A1679,'13. Updated Demand'!A:Z,24,FALSE)),0,VLOOKUP($A1679,'13. Updated Demand'!A:Z,24,FALSE))</f>
        <v>3.4666670000000001E-3</v>
      </c>
      <c r="AH1679" s="16">
        <f>IF(ISERROR(VLOOKUP($A1679,'13. Updated Demand'!A:Z,25,FALSE)),0,VLOOKUP($A1679,'13. Updated Demand'!A:Z,25,FALSE))</f>
        <v>3.9333329999999998E-3</v>
      </c>
      <c r="AI1679" s="16">
        <f>IF(ISERROR(VLOOKUP($A1679,'13. Updated Demand'!A:Z,26,FALSE)),0,VLOOKUP($A1679,'13. Updated Demand'!A:Z,26,FALSE))</f>
        <v>6.5333329999999997E-3</v>
      </c>
      <c r="AJ1679" s="16">
        <f t="shared" si="313"/>
        <v>7.7866666000000001E-2</v>
      </c>
      <c r="AK1679" s="19">
        <v>3.2199999999999999E-2</v>
      </c>
      <c r="AL1679" s="16">
        <f t="shared" si="323"/>
        <v>1.0680373207531539E-4</v>
      </c>
      <c r="AM1679" s="26">
        <v>1.9508162678239307E-2</v>
      </c>
      <c r="AN1679" s="19">
        <v>4.0324999999999998</v>
      </c>
      <c r="AO1679" s="19" t="s">
        <v>1758</v>
      </c>
      <c r="AP1679" s="19">
        <v>0</v>
      </c>
      <c r="AQ1679" s="19" t="s">
        <v>307</v>
      </c>
      <c r="AR1679" s="9" t="s">
        <v>308</v>
      </c>
      <c r="AS1679" s="12">
        <v>3.4039024194010059E-4</v>
      </c>
      <c r="AT1679" s="19">
        <v>38.695472559999999</v>
      </c>
      <c r="AU1679" s="19">
        <v>-122.71148861</v>
      </c>
      <c r="AV1679" s="19" t="s">
        <v>2085</v>
      </c>
    </row>
    <row r="1680" spans="1:48" x14ac:dyDescent="0.25">
      <c r="A1680" s="18" t="s">
        <v>2086</v>
      </c>
      <c r="B1680" s="10">
        <v>10000000</v>
      </c>
      <c r="C1680" s="9">
        <v>11</v>
      </c>
      <c r="D1680" s="8" t="str">
        <f t="shared" si="314"/>
        <v>N</v>
      </c>
      <c r="E1680" s="8" t="str">
        <f t="shared" si="315"/>
        <v>Y</v>
      </c>
      <c r="F1680" s="8" t="str">
        <f t="shared" si="316"/>
        <v>Y</v>
      </c>
      <c r="G1680" s="8" t="str">
        <f t="shared" si="317"/>
        <v>Y</v>
      </c>
      <c r="H1680" s="8" t="str">
        <f t="shared" si="318"/>
        <v>Upper</v>
      </c>
      <c r="I1680" s="8" t="str">
        <f t="shared" si="319"/>
        <v>West Fork and Below Lake</v>
      </c>
      <c r="J1680" s="8" t="str">
        <f t="shared" si="320"/>
        <v>Sonoma (d/s of Clov. Gage)</v>
      </c>
      <c r="K1680" s="8" t="str">
        <f t="shared" si="321"/>
        <v>Riparian</v>
      </c>
      <c r="L1680" s="8">
        <f t="shared" si="322"/>
        <v>1000</v>
      </c>
      <c r="M1680" s="8" t="str">
        <f t="shared" si="324"/>
        <v>-</v>
      </c>
      <c r="N1680" s="10" t="s">
        <v>242</v>
      </c>
      <c r="O1680" s="10" t="s">
        <v>241</v>
      </c>
      <c r="P1680" s="10" t="s">
        <v>242</v>
      </c>
      <c r="Q1680" s="10" t="s">
        <v>242</v>
      </c>
      <c r="R1680" s="10" t="s">
        <v>242</v>
      </c>
      <c r="S1680" s="10" t="s">
        <v>241</v>
      </c>
      <c r="T1680" s="10" t="s">
        <v>242</v>
      </c>
      <c r="U1680" s="10" t="s">
        <v>242</v>
      </c>
      <c r="V1680" s="10" t="s">
        <v>242</v>
      </c>
      <c r="W1680" s="10" t="s">
        <v>242</v>
      </c>
      <c r="X1680" s="15">
        <f>IF(ISERROR(VLOOKUP($A1680,'13. Updated Demand'!A:Z,15,FALSE)),0,VLOOKUP($A1680,'13. Updated Demand'!A:Z,15,FALSE))</f>
        <v>8.6E-3</v>
      </c>
      <c r="Y1680" s="16">
        <f>IF(ISERROR(VLOOKUP($A1680,'13. Updated Demand'!A:Z,16,FALSE)),0,VLOOKUP($A1680,'13. Updated Demand'!A:Z,16,FALSE))</f>
        <v>7.9333330000000007E-3</v>
      </c>
      <c r="Z1680" s="16">
        <f>IF(ISERROR(VLOOKUP($A1680,'13. Updated Demand'!A:Z,17,FALSE)),0,VLOOKUP($A1680,'13. Updated Demand'!A:Z,17,FALSE))</f>
        <v>5.333333E-3</v>
      </c>
      <c r="AA1680" s="16">
        <f>IF(ISERROR(VLOOKUP($A1680,'13. Updated Demand'!A:Z,18,FALSE)),0,VLOOKUP($A1680,'13. Updated Demand'!A:Z,18,FALSE))</f>
        <v>0.01</v>
      </c>
      <c r="AB1680" s="16">
        <f>IF(ISERROR(VLOOKUP($A1680,'13. Updated Demand'!A:Z,19,FALSE)),0,VLOOKUP($A1680,'13. Updated Demand'!A:Z,19,FALSE))</f>
        <v>0.01</v>
      </c>
      <c r="AC1680" s="16">
        <f>IF(ISERROR(VLOOKUP($A1680,'13. Updated Demand'!A:Z,20,FALSE)),0,VLOOKUP($A1680,'13. Updated Demand'!A:Z,20,FALSE))</f>
        <v>6.7333330000000002E-3</v>
      </c>
      <c r="AD1680" s="16">
        <f>IF(ISERROR(VLOOKUP($A1680,'13. Updated Demand'!A:Z,21,FALSE)),0,VLOOKUP($A1680,'13. Updated Demand'!A:Z,21,FALSE))</f>
        <v>6.0000000000000001E-3</v>
      </c>
      <c r="AE1680" s="16">
        <f>IF(ISERROR(VLOOKUP($A1680,'13. Updated Demand'!A:Z,22,FALSE)),0,VLOOKUP($A1680,'13. Updated Demand'!A:Z,22,FALSE))</f>
        <v>4.8666669999999999E-3</v>
      </c>
      <c r="AF1680" s="16">
        <f>IF(ISERROR(VLOOKUP($A1680,'13. Updated Demand'!A:Z,23,FALSE)),0,VLOOKUP($A1680,'13. Updated Demand'!A:Z,23,FALSE))</f>
        <v>4.4666669999999997E-3</v>
      </c>
      <c r="AG1680" s="16">
        <f>IF(ISERROR(VLOOKUP($A1680,'13. Updated Demand'!A:Z,24,FALSE)),0,VLOOKUP($A1680,'13. Updated Demand'!A:Z,24,FALSE))</f>
        <v>3.4666670000000001E-3</v>
      </c>
      <c r="AH1680" s="16">
        <f>IF(ISERROR(VLOOKUP($A1680,'13. Updated Demand'!A:Z,25,FALSE)),0,VLOOKUP($A1680,'13. Updated Demand'!A:Z,25,FALSE))</f>
        <v>3.9333329999999998E-3</v>
      </c>
      <c r="AI1680" s="16">
        <f>IF(ISERROR(VLOOKUP($A1680,'13. Updated Demand'!A:Z,26,FALSE)),0,VLOOKUP($A1680,'13. Updated Demand'!A:Z,26,FALSE))</f>
        <v>6.5333329999999997E-3</v>
      </c>
      <c r="AJ1680" s="16">
        <f t="shared" ref="AJ1680:AJ1743" si="325">SUM(X1680:AI1680)</f>
        <v>7.7866666000000001E-2</v>
      </c>
      <c r="AK1680" s="19">
        <v>3.2199999999999999E-2</v>
      </c>
      <c r="AL1680" s="16">
        <f t="shared" si="323"/>
        <v>1.0680373207531539E-4</v>
      </c>
      <c r="AM1680" s="26">
        <v>3.2513604463732172E-2</v>
      </c>
      <c r="AN1680" s="19">
        <v>2.4195000000000002</v>
      </c>
      <c r="AO1680" s="19" t="s">
        <v>1758</v>
      </c>
      <c r="AP1680" s="19">
        <v>0</v>
      </c>
      <c r="AQ1680" s="19" t="s">
        <v>307</v>
      </c>
      <c r="AR1680" s="9" t="s">
        <v>308</v>
      </c>
      <c r="AS1680" s="12">
        <v>3.4039024194010059E-4</v>
      </c>
      <c r="AT1680" s="19">
        <v>38.704895200000003</v>
      </c>
      <c r="AU1680" s="19">
        <v>-122.69721450999999</v>
      </c>
      <c r="AV1680" s="19" t="s">
        <v>2087</v>
      </c>
    </row>
    <row r="1681" spans="1:48" x14ac:dyDescent="0.25">
      <c r="A1681" s="18" t="s">
        <v>2088</v>
      </c>
      <c r="B1681" s="10">
        <v>10000000</v>
      </c>
      <c r="C1681" s="9">
        <v>11</v>
      </c>
      <c r="D1681" s="8" t="str">
        <f t="shared" si="314"/>
        <v>N</v>
      </c>
      <c r="E1681" s="8" t="str">
        <f t="shared" si="315"/>
        <v>Y</v>
      </c>
      <c r="F1681" s="8" t="str">
        <f t="shared" si="316"/>
        <v>Y</v>
      </c>
      <c r="G1681" s="8" t="str">
        <f t="shared" si="317"/>
        <v>Y</v>
      </c>
      <c r="H1681" s="8" t="str">
        <f t="shared" si="318"/>
        <v>Upper</v>
      </c>
      <c r="I1681" s="8" t="str">
        <f t="shared" si="319"/>
        <v>West Fork and Below Lake</v>
      </c>
      <c r="J1681" s="8" t="str">
        <f t="shared" si="320"/>
        <v>Sonoma (d/s of Clov. Gage)</v>
      </c>
      <c r="K1681" s="8" t="str">
        <f t="shared" si="321"/>
        <v>Riparian</v>
      </c>
      <c r="L1681" s="8">
        <f t="shared" si="322"/>
        <v>1000</v>
      </c>
      <c r="M1681" s="8" t="str">
        <f t="shared" si="324"/>
        <v>-</v>
      </c>
      <c r="N1681" s="10" t="s">
        <v>242</v>
      </c>
      <c r="O1681" s="10" t="s">
        <v>241</v>
      </c>
      <c r="P1681" s="10" t="s">
        <v>242</v>
      </c>
      <c r="Q1681" s="10" t="s">
        <v>242</v>
      </c>
      <c r="R1681" s="10" t="s">
        <v>242</v>
      </c>
      <c r="S1681" s="10" t="s">
        <v>241</v>
      </c>
      <c r="T1681" s="10" t="s">
        <v>242</v>
      </c>
      <c r="U1681" s="10" t="s">
        <v>242</v>
      </c>
      <c r="V1681" s="10" t="s">
        <v>242</v>
      </c>
      <c r="W1681" s="10" t="s">
        <v>242</v>
      </c>
      <c r="X1681" s="15">
        <f>IF(ISERROR(VLOOKUP($A1681,'13. Updated Demand'!A:Z,15,FALSE)),0,VLOOKUP($A1681,'13. Updated Demand'!A:Z,15,FALSE))</f>
        <v>8.6E-3</v>
      </c>
      <c r="Y1681" s="16">
        <f>IF(ISERROR(VLOOKUP($A1681,'13. Updated Demand'!A:Z,16,FALSE)),0,VLOOKUP($A1681,'13. Updated Demand'!A:Z,16,FALSE))</f>
        <v>7.9333330000000007E-3</v>
      </c>
      <c r="Z1681" s="16">
        <f>IF(ISERROR(VLOOKUP($A1681,'13. Updated Demand'!A:Z,17,FALSE)),0,VLOOKUP($A1681,'13. Updated Demand'!A:Z,17,FALSE))</f>
        <v>5.333333E-3</v>
      </c>
      <c r="AA1681" s="16">
        <f>IF(ISERROR(VLOOKUP($A1681,'13. Updated Demand'!A:Z,18,FALSE)),0,VLOOKUP($A1681,'13. Updated Demand'!A:Z,18,FALSE))</f>
        <v>0.01</v>
      </c>
      <c r="AB1681" s="16">
        <f>IF(ISERROR(VLOOKUP($A1681,'13. Updated Demand'!A:Z,19,FALSE)),0,VLOOKUP($A1681,'13. Updated Demand'!A:Z,19,FALSE))</f>
        <v>0.01</v>
      </c>
      <c r="AC1681" s="16">
        <f>IF(ISERROR(VLOOKUP($A1681,'13. Updated Demand'!A:Z,20,FALSE)),0,VLOOKUP($A1681,'13. Updated Demand'!A:Z,20,FALSE))</f>
        <v>6.7333330000000002E-3</v>
      </c>
      <c r="AD1681" s="16">
        <f>IF(ISERROR(VLOOKUP($A1681,'13. Updated Demand'!A:Z,21,FALSE)),0,VLOOKUP($A1681,'13. Updated Demand'!A:Z,21,FALSE))</f>
        <v>6.0000000000000001E-3</v>
      </c>
      <c r="AE1681" s="16">
        <f>IF(ISERROR(VLOOKUP($A1681,'13. Updated Demand'!A:Z,22,FALSE)),0,VLOOKUP($A1681,'13. Updated Demand'!A:Z,22,FALSE))</f>
        <v>4.8666669999999999E-3</v>
      </c>
      <c r="AF1681" s="16">
        <f>IF(ISERROR(VLOOKUP($A1681,'13. Updated Demand'!A:Z,23,FALSE)),0,VLOOKUP($A1681,'13. Updated Demand'!A:Z,23,FALSE))</f>
        <v>4.4666669999999997E-3</v>
      </c>
      <c r="AG1681" s="16">
        <f>IF(ISERROR(VLOOKUP($A1681,'13. Updated Demand'!A:Z,24,FALSE)),0,VLOOKUP($A1681,'13. Updated Demand'!A:Z,24,FALSE))</f>
        <v>3.4666670000000001E-3</v>
      </c>
      <c r="AH1681" s="16">
        <f>IF(ISERROR(VLOOKUP($A1681,'13. Updated Demand'!A:Z,25,FALSE)),0,VLOOKUP($A1681,'13. Updated Demand'!A:Z,25,FALSE))</f>
        <v>3.9333329999999998E-3</v>
      </c>
      <c r="AI1681" s="16">
        <f>IF(ISERROR(VLOOKUP($A1681,'13. Updated Demand'!A:Z,26,FALSE)),0,VLOOKUP($A1681,'13. Updated Demand'!A:Z,26,FALSE))</f>
        <v>6.5333329999999997E-3</v>
      </c>
      <c r="AJ1681" s="16">
        <f t="shared" si="325"/>
        <v>7.7866666000000001E-2</v>
      </c>
      <c r="AK1681" s="19">
        <v>3.2199999999999999E-2</v>
      </c>
      <c r="AL1681" s="16">
        <f t="shared" si="323"/>
        <v>1.0680373207531539E-4</v>
      </c>
      <c r="AM1681" s="26">
        <v>3.2513604463732172E-2</v>
      </c>
      <c r="AN1681" s="19">
        <v>2.4195000000000002</v>
      </c>
      <c r="AO1681" s="19" t="s">
        <v>1758</v>
      </c>
      <c r="AP1681" s="19">
        <v>0</v>
      </c>
      <c r="AQ1681" s="19" t="s">
        <v>307</v>
      </c>
      <c r="AR1681" s="9" t="s">
        <v>308</v>
      </c>
      <c r="AS1681" s="12">
        <v>3.4039024194010059E-4</v>
      </c>
      <c r="AT1681" s="19">
        <v>38.704875229999999</v>
      </c>
      <c r="AU1681" s="19">
        <v>-122.70054354</v>
      </c>
      <c r="AV1681" s="19" t="s">
        <v>2087</v>
      </c>
    </row>
    <row r="1682" spans="1:48" x14ac:dyDescent="0.25">
      <c r="A1682" s="18" t="s">
        <v>2089</v>
      </c>
      <c r="B1682" s="10">
        <v>10000000</v>
      </c>
      <c r="C1682" s="9">
        <v>1</v>
      </c>
      <c r="D1682" s="8" t="str">
        <f t="shared" si="314"/>
        <v>N</v>
      </c>
      <c r="E1682" s="8" t="str">
        <f t="shared" si="315"/>
        <v>N</v>
      </c>
      <c r="F1682" s="8" t="str">
        <f t="shared" si="316"/>
        <v>Y</v>
      </c>
      <c r="G1682" s="8" t="str">
        <f t="shared" si="317"/>
        <v>Y</v>
      </c>
      <c r="H1682" s="8" t="str">
        <f t="shared" si="318"/>
        <v>Upper</v>
      </c>
      <c r="I1682" s="8" t="str">
        <f t="shared" si="319"/>
        <v>West Fork and Below Lake</v>
      </c>
      <c r="J1682" s="8" t="str">
        <f t="shared" si="320"/>
        <v>Outside</v>
      </c>
      <c r="K1682" s="8" t="str">
        <f t="shared" si="321"/>
        <v>Riparian</v>
      </c>
      <c r="L1682" s="8">
        <f t="shared" si="322"/>
        <v>1000</v>
      </c>
      <c r="M1682" s="8" t="str">
        <f t="shared" si="324"/>
        <v>-</v>
      </c>
      <c r="N1682" s="10" t="s">
        <v>242</v>
      </c>
      <c r="O1682" s="10" t="s">
        <v>241</v>
      </c>
      <c r="P1682" s="10" t="s">
        <v>242</v>
      </c>
      <c r="Q1682" s="10" t="s">
        <v>242</v>
      </c>
      <c r="R1682" s="10" t="s">
        <v>242</v>
      </c>
      <c r="S1682" s="10" t="s">
        <v>241</v>
      </c>
      <c r="T1682" s="10" t="s">
        <v>242</v>
      </c>
      <c r="U1682" s="10" t="s">
        <v>242</v>
      </c>
      <c r="V1682" s="10" t="s">
        <v>241</v>
      </c>
      <c r="W1682" s="10" t="s">
        <v>242</v>
      </c>
      <c r="X1682" s="15">
        <f>IF(ISERROR(VLOOKUP($A1682,'13. Updated Demand'!A:Z,15,FALSE)),0,VLOOKUP($A1682,'13. Updated Demand'!A:Z,15,FALSE))</f>
        <v>3.31</v>
      </c>
      <c r="Y1682" s="16">
        <f>IF(ISERROR(VLOOKUP($A1682,'13. Updated Demand'!A:Z,16,FALSE)),0,VLOOKUP($A1682,'13. Updated Demand'!A:Z,16,FALSE))</f>
        <v>0</v>
      </c>
      <c r="Z1682" s="16">
        <f>IF(ISERROR(VLOOKUP($A1682,'13. Updated Demand'!A:Z,17,FALSE)),0,VLOOKUP($A1682,'13. Updated Demand'!A:Z,17,FALSE))</f>
        <v>0</v>
      </c>
      <c r="AA1682" s="16">
        <f>IF(ISERROR(VLOOKUP($A1682,'13. Updated Demand'!A:Z,18,FALSE)),0,VLOOKUP($A1682,'13. Updated Demand'!A:Z,18,FALSE))</f>
        <v>8.83</v>
      </c>
      <c r="AB1682" s="16">
        <f>IF(ISERROR(VLOOKUP($A1682,'13. Updated Demand'!A:Z,19,FALSE)),0,VLOOKUP($A1682,'13. Updated Demand'!A:Z,19,FALSE))</f>
        <v>0</v>
      </c>
      <c r="AC1682" s="16">
        <f>IF(ISERROR(VLOOKUP($A1682,'13. Updated Demand'!A:Z,20,FALSE)),0,VLOOKUP($A1682,'13. Updated Demand'!A:Z,20,FALSE))</f>
        <v>0</v>
      </c>
      <c r="AD1682" s="16">
        <f>IF(ISERROR(VLOOKUP($A1682,'13. Updated Demand'!A:Z,21,FALSE)),0,VLOOKUP($A1682,'13. Updated Demand'!A:Z,21,FALSE))</f>
        <v>0</v>
      </c>
      <c r="AE1682" s="16">
        <f>IF(ISERROR(VLOOKUP($A1682,'13. Updated Demand'!A:Z,22,FALSE)),0,VLOOKUP($A1682,'13. Updated Demand'!A:Z,22,FALSE))</f>
        <v>0</v>
      </c>
      <c r="AF1682" s="16">
        <f>IF(ISERROR(VLOOKUP($A1682,'13. Updated Demand'!A:Z,23,FALSE)),0,VLOOKUP($A1682,'13. Updated Demand'!A:Z,23,FALSE))</f>
        <v>0</v>
      </c>
      <c r="AG1682" s="16">
        <f>IF(ISERROR(VLOOKUP($A1682,'13. Updated Demand'!A:Z,24,FALSE)),0,VLOOKUP($A1682,'13. Updated Demand'!A:Z,24,FALSE))</f>
        <v>0</v>
      </c>
      <c r="AH1682" s="16">
        <f>IF(ISERROR(VLOOKUP($A1682,'13. Updated Demand'!A:Z,25,FALSE)),0,VLOOKUP($A1682,'13. Updated Demand'!A:Z,25,FALSE))</f>
        <v>0</v>
      </c>
      <c r="AI1682" s="16">
        <f>IF(ISERROR(VLOOKUP($A1682,'13. Updated Demand'!A:Z,26,FALSE)),0,VLOOKUP($A1682,'13. Updated Demand'!A:Z,26,FALSE))</f>
        <v>0</v>
      </c>
      <c r="AJ1682" s="16">
        <f t="shared" si="325"/>
        <v>12.14</v>
      </c>
      <c r="AK1682" s="19">
        <v>0</v>
      </c>
      <c r="AL1682" s="16">
        <f t="shared" si="323"/>
        <v>0</v>
      </c>
      <c r="AM1682" s="26">
        <v>3.3535799740474881E-2</v>
      </c>
      <c r="AN1682" s="19">
        <v>362.2</v>
      </c>
      <c r="AO1682" s="19" t="s">
        <v>1758</v>
      </c>
      <c r="AP1682" s="19">
        <v>0</v>
      </c>
      <c r="AQ1682" s="19" t="s">
        <v>307</v>
      </c>
      <c r="AR1682" s="9" t="s">
        <v>317</v>
      </c>
      <c r="AS1682" s="12">
        <v>0</v>
      </c>
      <c r="AT1682" s="19">
        <v>39.24938341</v>
      </c>
      <c r="AU1682" s="19">
        <v>-123.20546523</v>
      </c>
      <c r="AV1682" s="19" t="s">
        <v>2090</v>
      </c>
    </row>
    <row r="1683" spans="1:48" x14ac:dyDescent="0.25">
      <c r="A1683" s="18" t="s">
        <v>2091</v>
      </c>
      <c r="B1683" s="10">
        <v>10000000</v>
      </c>
      <c r="C1683" s="9">
        <v>2</v>
      </c>
      <c r="D1683" s="8" t="str">
        <f t="shared" si="314"/>
        <v>N</v>
      </c>
      <c r="E1683" s="8" t="str">
        <f t="shared" si="315"/>
        <v>N</v>
      </c>
      <c r="F1683" s="8" t="str">
        <f t="shared" si="316"/>
        <v>Y</v>
      </c>
      <c r="G1683" s="8" t="str">
        <f t="shared" si="317"/>
        <v>N</v>
      </c>
      <c r="H1683" s="8" t="str">
        <f t="shared" si="318"/>
        <v>Upper</v>
      </c>
      <c r="I1683" s="8" t="str">
        <f t="shared" si="319"/>
        <v>Outside</v>
      </c>
      <c r="J1683" s="8" t="str">
        <f t="shared" si="320"/>
        <v>Outside</v>
      </c>
      <c r="K1683" s="8" t="str">
        <f t="shared" si="321"/>
        <v>Riparian</v>
      </c>
      <c r="L1683" s="8">
        <f t="shared" si="322"/>
        <v>1000</v>
      </c>
      <c r="M1683" s="8" t="str">
        <f t="shared" si="324"/>
        <v>-</v>
      </c>
      <c r="N1683" s="10" t="s">
        <v>242</v>
      </c>
      <c r="O1683" s="10" t="s">
        <v>241</v>
      </c>
      <c r="P1683" s="10" t="s">
        <v>242</v>
      </c>
      <c r="Q1683" s="10" t="s">
        <v>242</v>
      </c>
      <c r="R1683" s="10" t="s">
        <v>242</v>
      </c>
      <c r="S1683" s="10" t="s">
        <v>241</v>
      </c>
      <c r="T1683" s="10" t="s">
        <v>242</v>
      </c>
      <c r="U1683" s="10" t="s">
        <v>242</v>
      </c>
      <c r="V1683" s="10" t="s">
        <v>241</v>
      </c>
      <c r="W1683" s="10" t="s">
        <v>242</v>
      </c>
      <c r="X1683" s="15">
        <f>IF(ISERROR(VLOOKUP($A1683,'13. Updated Demand'!A:Z,15,FALSE)),0,VLOOKUP($A1683,'13. Updated Demand'!A:Z,15,FALSE))</f>
        <v>0</v>
      </c>
      <c r="Y1683" s="16">
        <f>IF(ISERROR(VLOOKUP($A1683,'13. Updated Demand'!A:Z,16,FALSE)),0,VLOOKUP($A1683,'13. Updated Demand'!A:Z,16,FALSE))</f>
        <v>0</v>
      </c>
      <c r="Z1683" s="16">
        <f>IF(ISERROR(VLOOKUP($A1683,'13. Updated Demand'!A:Z,17,FALSE)),0,VLOOKUP($A1683,'13. Updated Demand'!A:Z,17,FALSE))</f>
        <v>0</v>
      </c>
      <c r="AA1683" s="16">
        <f>IF(ISERROR(VLOOKUP($A1683,'13. Updated Demand'!A:Z,18,FALSE)),0,VLOOKUP($A1683,'13. Updated Demand'!A:Z,18,FALSE))</f>
        <v>0.03</v>
      </c>
      <c r="AB1683" s="16">
        <f>IF(ISERROR(VLOOKUP($A1683,'13. Updated Demand'!A:Z,19,FALSE)),0,VLOOKUP($A1683,'13. Updated Demand'!A:Z,19,FALSE))</f>
        <v>0</v>
      </c>
      <c r="AC1683" s="16">
        <f>IF(ISERROR(VLOOKUP($A1683,'13. Updated Demand'!A:Z,20,FALSE)),0,VLOOKUP($A1683,'13. Updated Demand'!A:Z,20,FALSE))</f>
        <v>0</v>
      </c>
      <c r="AD1683" s="16">
        <f>IF(ISERROR(VLOOKUP($A1683,'13. Updated Demand'!A:Z,21,FALSE)),0,VLOOKUP($A1683,'13. Updated Demand'!A:Z,21,FALSE))</f>
        <v>0</v>
      </c>
      <c r="AE1683" s="16">
        <f>IF(ISERROR(VLOOKUP($A1683,'13. Updated Demand'!A:Z,22,FALSE)),0,VLOOKUP($A1683,'13. Updated Demand'!A:Z,22,FALSE))</f>
        <v>0</v>
      </c>
      <c r="AF1683" s="16">
        <f>IF(ISERROR(VLOOKUP($A1683,'13. Updated Demand'!A:Z,23,FALSE)),0,VLOOKUP($A1683,'13. Updated Demand'!A:Z,23,FALSE))</f>
        <v>0</v>
      </c>
      <c r="AG1683" s="16">
        <f>IF(ISERROR(VLOOKUP($A1683,'13. Updated Demand'!A:Z,24,FALSE)),0,VLOOKUP($A1683,'13. Updated Demand'!A:Z,24,FALSE))</f>
        <v>0</v>
      </c>
      <c r="AH1683" s="16">
        <f>IF(ISERROR(VLOOKUP($A1683,'13. Updated Demand'!A:Z,25,FALSE)),0,VLOOKUP($A1683,'13. Updated Demand'!A:Z,25,FALSE))</f>
        <v>0</v>
      </c>
      <c r="AI1683" s="16">
        <f>IF(ISERROR(VLOOKUP($A1683,'13. Updated Demand'!A:Z,26,FALSE)),0,VLOOKUP($A1683,'13. Updated Demand'!A:Z,26,FALSE))</f>
        <v>0</v>
      </c>
      <c r="AJ1683" s="16">
        <f t="shared" si="325"/>
        <v>0.03</v>
      </c>
      <c r="AK1683" s="19">
        <v>0</v>
      </c>
      <c r="AL1683" s="16">
        <f t="shared" si="323"/>
        <v>0</v>
      </c>
      <c r="AM1683" s="26">
        <v>4.091913802444183E-5</v>
      </c>
      <c r="AN1683" s="19">
        <v>767.86400000000003</v>
      </c>
      <c r="AO1683" s="19" t="s">
        <v>1758</v>
      </c>
      <c r="AP1683" s="19">
        <v>0</v>
      </c>
      <c r="AQ1683" s="19" t="s">
        <v>307</v>
      </c>
      <c r="AR1683" s="9" t="s">
        <v>348</v>
      </c>
      <c r="AS1683" s="12">
        <v>0</v>
      </c>
      <c r="AT1683" s="19">
        <v>39.3401</v>
      </c>
      <c r="AU1683" s="19">
        <v>-123.1232</v>
      </c>
      <c r="AV1683" s="19" t="s">
        <v>2092</v>
      </c>
    </row>
    <row r="1684" spans="1:48" x14ac:dyDescent="0.25">
      <c r="A1684" s="18" t="s">
        <v>2093</v>
      </c>
      <c r="B1684" s="10">
        <v>10000000</v>
      </c>
      <c r="C1684" s="9">
        <v>10</v>
      </c>
      <c r="D1684" s="8" t="str">
        <f t="shared" si="314"/>
        <v>N</v>
      </c>
      <c r="E1684" s="8" t="str">
        <f t="shared" si="315"/>
        <v>Y</v>
      </c>
      <c r="F1684" s="8" t="str">
        <f t="shared" si="316"/>
        <v>Y</v>
      </c>
      <c r="G1684" s="8" t="str">
        <f t="shared" si="317"/>
        <v>Y</v>
      </c>
      <c r="H1684" s="8" t="str">
        <f t="shared" si="318"/>
        <v>Upper</v>
      </c>
      <c r="I1684" s="8" t="str">
        <f t="shared" si="319"/>
        <v>West Fork and Below Lake</v>
      </c>
      <c r="J1684" s="8" t="str">
        <f t="shared" si="320"/>
        <v>Sonoma (d/s of Clov. Gage)</v>
      </c>
      <c r="K1684" s="8" t="str">
        <f t="shared" si="321"/>
        <v>Riparian</v>
      </c>
      <c r="L1684" s="8">
        <f t="shared" si="322"/>
        <v>1000</v>
      </c>
      <c r="M1684" s="8" t="str">
        <f t="shared" si="324"/>
        <v>-</v>
      </c>
      <c r="N1684" s="10" t="s">
        <v>241</v>
      </c>
      <c r="O1684" s="10" t="s">
        <v>241</v>
      </c>
      <c r="P1684" s="10" t="s">
        <v>242</v>
      </c>
      <c r="Q1684" s="10" t="s">
        <v>242</v>
      </c>
      <c r="R1684" s="10" t="s">
        <v>242</v>
      </c>
      <c r="S1684" s="10" t="s">
        <v>241</v>
      </c>
      <c r="T1684" s="10" t="s">
        <v>242</v>
      </c>
      <c r="U1684" s="10" t="s">
        <v>242</v>
      </c>
      <c r="V1684" s="10" t="s">
        <v>242</v>
      </c>
      <c r="W1684" s="10" t="s">
        <v>242</v>
      </c>
      <c r="X1684" s="15">
        <f>IF(ISERROR(VLOOKUP($A1684,'13. Updated Demand'!A:Z,15,FALSE)),0,VLOOKUP($A1684,'13. Updated Demand'!A:Z,15,FALSE))</f>
        <v>0.1</v>
      </c>
      <c r="Y1684" s="16">
        <f>IF(ISERROR(VLOOKUP($A1684,'13. Updated Demand'!A:Z,16,FALSE)),0,VLOOKUP($A1684,'13. Updated Demand'!A:Z,16,FALSE))</f>
        <v>0.53</v>
      </c>
      <c r="Z1684" s="16">
        <f>IF(ISERROR(VLOOKUP($A1684,'13. Updated Demand'!A:Z,17,FALSE)),0,VLOOKUP($A1684,'13. Updated Demand'!A:Z,17,FALSE))</f>
        <v>0.13</v>
      </c>
      <c r="AA1684" s="16">
        <f>IF(ISERROR(VLOOKUP($A1684,'13. Updated Demand'!A:Z,18,FALSE)),0,VLOOKUP($A1684,'13. Updated Demand'!A:Z,18,FALSE))</f>
        <v>2.13</v>
      </c>
      <c r="AB1684" s="16">
        <f>IF(ISERROR(VLOOKUP($A1684,'13. Updated Demand'!A:Z,19,FALSE)),0,VLOOKUP($A1684,'13. Updated Demand'!A:Z,19,FALSE))</f>
        <v>3.5</v>
      </c>
      <c r="AC1684" s="16">
        <f>IF(ISERROR(VLOOKUP($A1684,'13. Updated Demand'!A:Z,20,FALSE)),0,VLOOKUP($A1684,'13. Updated Demand'!A:Z,20,FALSE))</f>
        <v>8.76</v>
      </c>
      <c r="AD1684" s="16">
        <f>IF(ISERROR(VLOOKUP($A1684,'13. Updated Demand'!A:Z,21,FALSE)),0,VLOOKUP($A1684,'13. Updated Demand'!A:Z,21,FALSE))</f>
        <v>17.2</v>
      </c>
      <c r="AE1684" s="16">
        <f>IF(ISERROR(VLOOKUP($A1684,'13. Updated Demand'!A:Z,22,FALSE)),0,VLOOKUP($A1684,'13. Updated Demand'!A:Z,22,FALSE))</f>
        <v>20.76</v>
      </c>
      <c r="AF1684" s="16">
        <f>IF(ISERROR(VLOOKUP($A1684,'13. Updated Demand'!A:Z,23,FALSE)),0,VLOOKUP($A1684,'13. Updated Demand'!A:Z,23,FALSE))</f>
        <v>13.76</v>
      </c>
      <c r="AG1684" s="16">
        <f>IF(ISERROR(VLOOKUP($A1684,'13. Updated Demand'!A:Z,24,FALSE)),0,VLOOKUP($A1684,'13. Updated Demand'!A:Z,24,FALSE))</f>
        <v>5.96</v>
      </c>
      <c r="AH1684" s="16">
        <f>IF(ISERROR(VLOOKUP($A1684,'13. Updated Demand'!A:Z,25,FALSE)),0,VLOOKUP($A1684,'13. Updated Demand'!A:Z,25,FALSE))</f>
        <v>3.06</v>
      </c>
      <c r="AI1684" s="16">
        <f>IF(ISERROR(VLOOKUP($A1684,'13. Updated Demand'!A:Z,26,FALSE)),0,VLOOKUP($A1684,'13. Updated Demand'!A:Z,26,FALSE))</f>
        <v>0.13</v>
      </c>
      <c r="AJ1684" s="16">
        <f t="shared" si="325"/>
        <v>76.02</v>
      </c>
      <c r="AK1684" s="19">
        <v>64.000000000000071</v>
      </c>
      <c r="AL1684" s="16">
        <f t="shared" si="323"/>
        <v>0.21228070971491281</v>
      </c>
      <c r="AM1684" s="26">
        <v>0.47730200960460528</v>
      </c>
      <c r="AN1684" s="19">
        <v>159.36799999999999</v>
      </c>
      <c r="AO1684" s="19" t="s">
        <v>1758</v>
      </c>
      <c r="AP1684" s="19">
        <v>0</v>
      </c>
      <c r="AQ1684" s="19" t="s">
        <v>307</v>
      </c>
      <c r="AR1684" s="9" t="s">
        <v>436</v>
      </c>
      <c r="AS1684" s="12">
        <v>0</v>
      </c>
      <c r="AT1684" s="19">
        <v>38.695027240000002</v>
      </c>
      <c r="AU1684" s="19">
        <v>-122.87722223999999</v>
      </c>
      <c r="AV1684" s="19" t="s">
        <v>548</v>
      </c>
    </row>
    <row r="1685" spans="1:48" x14ac:dyDescent="0.25">
      <c r="A1685" s="18" t="s">
        <v>2094</v>
      </c>
      <c r="B1685" s="10">
        <v>10000000</v>
      </c>
      <c r="C1685" s="9">
        <v>10</v>
      </c>
      <c r="D1685" s="8" t="str">
        <f t="shared" si="314"/>
        <v>N</v>
      </c>
      <c r="E1685" s="8" t="str">
        <f t="shared" si="315"/>
        <v>Y</v>
      </c>
      <c r="F1685" s="8" t="str">
        <f t="shared" si="316"/>
        <v>Y</v>
      </c>
      <c r="G1685" s="8" t="str">
        <f t="shared" si="317"/>
        <v>Y</v>
      </c>
      <c r="H1685" s="8" t="str">
        <f t="shared" si="318"/>
        <v>Upper</v>
      </c>
      <c r="I1685" s="8" t="str">
        <f t="shared" si="319"/>
        <v>West Fork and Below Lake</v>
      </c>
      <c r="J1685" s="8" t="str">
        <f t="shared" si="320"/>
        <v>Sonoma (d/s of Clov. Gage)</v>
      </c>
      <c r="K1685" s="8" t="str">
        <f t="shared" si="321"/>
        <v>Riparian</v>
      </c>
      <c r="L1685" s="8">
        <f t="shared" si="322"/>
        <v>1000</v>
      </c>
      <c r="M1685" s="8" t="str">
        <f t="shared" si="324"/>
        <v>-</v>
      </c>
      <c r="N1685" s="10" t="s">
        <v>241</v>
      </c>
      <c r="O1685" s="10" t="s">
        <v>241</v>
      </c>
      <c r="P1685" s="10" t="s">
        <v>242</v>
      </c>
      <c r="Q1685" s="10" t="s">
        <v>242</v>
      </c>
      <c r="R1685" s="10" t="s">
        <v>242</v>
      </c>
      <c r="S1685" s="10" t="s">
        <v>241</v>
      </c>
      <c r="T1685" s="10" t="s">
        <v>242</v>
      </c>
      <c r="U1685" s="10" t="s">
        <v>242</v>
      </c>
      <c r="V1685" s="10" t="s">
        <v>242</v>
      </c>
      <c r="W1685" s="10" t="s">
        <v>242</v>
      </c>
      <c r="X1685" s="15">
        <f>IF(ISERROR(VLOOKUP($A1685,'13. Updated Demand'!A:Z,15,FALSE)),0,VLOOKUP($A1685,'13. Updated Demand'!A:Z,15,FALSE))</f>
        <v>0.1</v>
      </c>
      <c r="Y1685" s="16">
        <f>IF(ISERROR(VLOOKUP($A1685,'13. Updated Demand'!A:Z,16,FALSE)),0,VLOOKUP($A1685,'13. Updated Demand'!A:Z,16,FALSE))</f>
        <v>0.1</v>
      </c>
      <c r="Z1685" s="16">
        <f>IF(ISERROR(VLOOKUP($A1685,'13. Updated Demand'!A:Z,17,FALSE)),0,VLOOKUP($A1685,'13. Updated Demand'!A:Z,17,FALSE))</f>
        <v>0.1</v>
      </c>
      <c r="AA1685" s="16">
        <f>IF(ISERROR(VLOOKUP($A1685,'13. Updated Demand'!A:Z,18,FALSE)),0,VLOOKUP($A1685,'13. Updated Demand'!A:Z,18,FALSE))</f>
        <v>0.1</v>
      </c>
      <c r="AB1685" s="16">
        <f>IF(ISERROR(VLOOKUP($A1685,'13. Updated Demand'!A:Z,19,FALSE)),0,VLOOKUP($A1685,'13. Updated Demand'!A:Z,19,FALSE))</f>
        <v>0.1</v>
      </c>
      <c r="AC1685" s="16">
        <f>IF(ISERROR(VLOOKUP($A1685,'13. Updated Demand'!A:Z,20,FALSE)),0,VLOOKUP($A1685,'13. Updated Demand'!A:Z,20,FALSE))</f>
        <v>0.1</v>
      </c>
      <c r="AD1685" s="16">
        <f>IF(ISERROR(VLOOKUP($A1685,'13. Updated Demand'!A:Z,21,FALSE)),0,VLOOKUP($A1685,'13. Updated Demand'!A:Z,21,FALSE))</f>
        <v>0.1</v>
      </c>
      <c r="AE1685" s="16">
        <f>IF(ISERROR(VLOOKUP($A1685,'13. Updated Demand'!A:Z,22,FALSE)),0,VLOOKUP($A1685,'13. Updated Demand'!A:Z,22,FALSE))</f>
        <v>0.1</v>
      </c>
      <c r="AF1685" s="16">
        <f>IF(ISERROR(VLOOKUP($A1685,'13. Updated Demand'!A:Z,23,FALSE)),0,VLOOKUP($A1685,'13. Updated Demand'!A:Z,23,FALSE))</f>
        <v>0.1</v>
      </c>
      <c r="AG1685" s="16">
        <f>IF(ISERROR(VLOOKUP($A1685,'13. Updated Demand'!A:Z,24,FALSE)),0,VLOOKUP($A1685,'13. Updated Demand'!A:Z,24,FALSE))</f>
        <v>0.1</v>
      </c>
      <c r="AH1685" s="16">
        <f>IF(ISERROR(VLOOKUP($A1685,'13. Updated Demand'!A:Z,25,FALSE)),0,VLOOKUP($A1685,'13. Updated Demand'!A:Z,25,FALSE))</f>
        <v>0.1</v>
      </c>
      <c r="AI1685" s="16">
        <f>IF(ISERROR(VLOOKUP($A1685,'13. Updated Demand'!A:Z,26,FALSE)),0,VLOOKUP($A1685,'13. Updated Demand'!A:Z,26,FALSE))</f>
        <v>0.1</v>
      </c>
      <c r="AJ1685" s="16">
        <f t="shared" si="325"/>
        <v>1.2</v>
      </c>
      <c r="AK1685" s="19">
        <v>0.5</v>
      </c>
      <c r="AL1685" s="16">
        <f t="shared" si="323"/>
        <v>1.6584430446477544E-3</v>
      </c>
      <c r="AM1685" s="26">
        <v>9.2030185900975527E-3</v>
      </c>
      <c r="AN1685" s="19">
        <v>130.392</v>
      </c>
      <c r="AO1685" s="19" t="s">
        <v>1758</v>
      </c>
      <c r="AP1685" s="19">
        <v>0</v>
      </c>
      <c r="AQ1685" s="19" t="s">
        <v>307</v>
      </c>
      <c r="AR1685" s="9" t="s">
        <v>436</v>
      </c>
      <c r="AS1685" s="12">
        <v>0</v>
      </c>
      <c r="AT1685" s="19">
        <v>38.693349310000002</v>
      </c>
      <c r="AU1685" s="19">
        <v>-122.88123109</v>
      </c>
      <c r="AV1685" s="19" t="s">
        <v>548</v>
      </c>
    </row>
    <row r="1686" spans="1:48" x14ac:dyDescent="0.25">
      <c r="A1686" s="18" t="s">
        <v>2095</v>
      </c>
      <c r="B1686" s="10">
        <v>10000000</v>
      </c>
      <c r="C1686" s="9">
        <v>10</v>
      </c>
      <c r="D1686" s="8" t="str">
        <f t="shared" si="314"/>
        <v>N</v>
      </c>
      <c r="E1686" s="8" t="str">
        <f t="shared" si="315"/>
        <v>Y</v>
      </c>
      <c r="F1686" s="8" t="str">
        <f t="shared" si="316"/>
        <v>Y</v>
      </c>
      <c r="G1686" s="8" t="str">
        <f t="shared" si="317"/>
        <v>Y</v>
      </c>
      <c r="H1686" s="8" t="str">
        <f t="shared" si="318"/>
        <v>Upper</v>
      </c>
      <c r="I1686" s="8" t="str">
        <f t="shared" si="319"/>
        <v>West Fork and Below Lake</v>
      </c>
      <c r="J1686" s="8" t="str">
        <f t="shared" si="320"/>
        <v>Sonoma (d/s of Clov. Gage)</v>
      </c>
      <c r="K1686" s="8" t="str">
        <f t="shared" si="321"/>
        <v>Riparian</v>
      </c>
      <c r="L1686" s="8">
        <f t="shared" si="322"/>
        <v>1000</v>
      </c>
      <c r="M1686" s="8" t="str">
        <f t="shared" si="324"/>
        <v>-</v>
      </c>
      <c r="N1686" s="10" t="s">
        <v>241</v>
      </c>
      <c r="O1686" s="10" t="s">
        <v>241</v>
      </c>
      <c r="P1686" s="10" t="s">
        <v>242</v>
      </c>
      <c r="Q1686" s="10" t="s">
        <v>242</v>
      </c>
      <c r="R1686" s="10" t="s">
        <v>242</v>
      </c>
      <c r="S1686" s="10" t="s">
        <v>241</v>
      </c>
      <c r="T1686" s="10" t="s">
        <v>242</v>
      </c>
      <c r="U1686" s="10" t="s">
        <v>242</v>
      </c>
      <c r="V1686" s="10" t="s">
        <v>242</v>
      </c>
      <c r="W1686" s="10" t="s">
        <v>242</v>
      </c>
      <c r="X1686" s="15">
        <f>IF(ISERROR(VLOOKUP($A1686,'13. Updated Demand'!A:Z,15,FALSE)),0,VLOOKUP($A1686,'13. Updated Demand'!A:Z,15,FALSE))</f>
        <v>0</v>
      </c>
      <c r="Y1686" s="16">
        <f>IF(ISERROR(VLOOKUP($A1686,'13. Updated Demand'!A:Z,16,FALSE)),0,VLOOKUP($A1686,'13. Updated Demand'!A:Z,16,FALSE))</f>
        <v>0.13</v>
      </c>
      <c r="Z1686" s="16">
        <f>IF(ISERROR(VLOOKUP($A1686,'13. Updated Demand'!A:Z,17,FALSE)),0,VLOOKUP($A1686,'13. Updated Demand'!A:Z,17,FALSE))</f>
        <v>0.03</v>
      </c>
      <c r="AA1686" s="16">
        <f>IF(ISERROR(VLOOKUP($A1686,'13. Updated Demand'!A:Z,18,FALSE)),0,VLOOKUP($A1686,'13. Updated Demand'!A:Z,18,FALSE))</f>
        <v>0.1</v>
      </c>
      <c r="AB1686" s="16">
        <f>IF(ISERROR(VLOOKUP($A1686,'13. Updated Demand'!A:Z,19,FALSE)),0,VLOOKUP($A1686,'13. Updated Demand'!A:Z,19,FALSE))</f>
        <v>0.13</v>
      </c>
      <c r="AC1686" s="16">
        <f>IF(ISERROR(VLOOKUP($A1686,'13. Updated Demand'!A:Z,20,FALSE)),0,VLOOKUP($A1686,'13. Updated Demand'!A:Z,20,FALSE))</f>
        <v>0.26</v>
      </c>
      <c r="AD1686" s="16">
        <f>IF(ISERROR(VLOOKUP($A1686,'13. Updated Demand'!A:Z,21,FALSE)),0,VLOOKUP($A1686,'13. Updated Demand'!A:Z,21,FALSE))</f>
        <v>1.86</v>
      </c>
      <c r="AE1686" s="16">
        <f>IF(ISERROR(VLOOKUP($A1686,'13. Updated Demand'!A:Z,22,FALSE)),0,VLOOKUP($A1686,'13. Updated Demand'!A:Z,22,FALSE))</f>
        <v>1.8</v>
      </c>
      <c r="AF1686" s="16">
        <f>IF(ISERROR(VLOOKUP($A1686,'13. Updated Demand'!A:Z,23,FALSE)),0,VLOOKUP($A1686,'13. Updated Demand'!A:Z,23,FALSE))</f>
        <v>0.96</v>
      </c>
      <c r="AG1686" s="16">
        <f>IF(ISERROR(VLOOKUP($A1686,'13. Updated Demand'!A:Z,24,FALSE)),0,VLOOKUP($A1686,'13. Updated Demand'!A:Z,24,FALSE))</f>
        <v>0.16</v>
      </c>
      <c r="AH1686" s="16">
        <f>IF(ISERROR(VLOOKUP($A1686,'13. Updated Demand'!A:Z,25,FALSE)),0,VLOOKUP($A1686,'13. Updated Demand'!A:Z,25,FALSE))</f>
        <v>0.46</v>
      </c>
      <c r="AI1686" s="16">
        <f>IF(ISERROR(VLOOKUP($A1686,'13. Updated Demand'!A:Z,26,FALSE)),0,VLOOKUP($A1686,'13. Updated Demand'!A:Z,26,FALSE))</f>
        <v>0</v>
      </c>
      <c r="AJ1686" s="16">
        <f t="shared" si="325"/>
        <v>5.8900000000000006</v>
      </c>
      <c r="AK1686" s="19">
        <v>5.0333333333333368</v>
      </c>
      <c r="AL1686" s="16">
        <f t="shared" si="323"/>
        <v>1.6694993316120739E-2</v>
      </c>
      <c r="AM1686" s="26">
        <v>5.2843139001205332E-2</v>
      </c>
      <c r="AN1686" s="19">
        <v>112.282</v>
      </c>
      <c r="AO1686" s="19" t="s">
        <v>1758</v>
      </c>
      <c r="AP1686" s="19">
        <v>0</v>
      </c>
      <c r="AQ1686" s="19" t="s">
        <v>307</v>
      </c>
      <c r="AR1686" s="9" t="s">
        <v>436</v>
      </c>
      <c r="AS1686" s="12">
        <v>0</v>
      </c>
      <c r="AT1686" s="19">
        <v>38.699080809999998</v>
      </c>
      <c r="AU1686" s="19">
        <v>-122.88585744</v>
      </c>
      <c r="AV1686" s="19" t="s">
        <v>548</v>
      </c>
    </row>
    <row r="1687" spans="1:48" x14ac:dyDescent="0.25">
      <c r="A1687" s="18" t="s">
        <v>2096</v>
      </c>
      <c r="B1687" s="10">
        <v>10000000</v>
      </c>
      <c r="C1687" s="9">
        <v>10</v>
      </c>
      <c r="D1687" s="8" t="str">
        <f t="shared" si="314"/>
        <v>N</v>
      </c>
      <c r="E1687" s="8" t="str">
        <f t="shared" si="315"/>
        <v>Y</v>
      </c>
      <c r="F1687" s="8" t="str">
        <f t="shared" si="316"/>
        <v>Y</v>
      </c>
      <c r="G1687" s="8" t="str">
        <f t="shared" si="317"/>
        <v>Y</v>
      </c>
      <c r="H1687" s="8" t="str">
        <f t="shared" si="318"/>
        <v>Upper</v>
      </c>
      <c r="I1687" s="8" t="str">
        <f t="shared" si="319"/>
        <v>West Fork and Below Lake</v>
      </c>
      <c r="J1687" s="8" t="str">
        <f t="shared" si="320"/>
        <v>Sonoma (d/s of Clov. Gage)</v>
      </c>
      <c r="K1687" s="8" t="str">
        <f t="shared" si="321"/>
        <v>Riparian</v>
      </c>
      <c r="L1687" s="8">
        <f t="shared" si="322"/>
        <v>1000</v>
      </c>
      <c r="M1687" s="8" t="str">
        <f t="shared" si="324"/>
        <v>-</v>
      </c>
      <c r="N1687" s="10" t="s">
        <v>241</v>
      </c>
      <c r="O1687" s="10" t="s">
        <v>241</v>
      </c>
      <c r="P1687" s="10" t="s">
        <v>242</v>
      </c>
      <c r="Q1687" s="10" t="s">
        <v>242</v>
      </c>
      <c r="R1687" s="10" t="s">
        <v>242</v>
      </c>
      <c r="S1687" s="10" t="s">
        <v>241</v>
      </c>
      <c r="T1687" s="10" t="s">
        <v>242</v>
      </c>
      <c r="U1687" s="10" t="s">
        <v>242</v>
      </c>
      <c r="V1687" s="10" t="s">
        <v>241</v>
      </c>
      <c r="W1687" s="10" t="s">
        <v>242</v>
      </c>
      <c r="X1687" s="15">
        <f>IF(ISERROR(VLOOKUP($A1687,'13. Updated Demand'!A:Z,15,FALSE)),0,VLOOKUP($A1687,'13. Updated Demand'!A:Z,15,FALSE))</f>
        <v>0</v>
      </c>
      <c r="Y1687" s="16">
        <f>IF(ISERROR(VLOOKUP($A1687,'13. Updated Demand'!A:Z,16,FALSE)),0,VLOOKUP($A1687,'13. Updated Demand'!A:Z,16,FALSE))</f>
        <v>0.8</v>
      </c>
      <c r="Z1687" s="16">
        <f>IF(ISERROR(VLOOKUP($A1687,'13. Updated Demand'!A:Z,17,FALSE)),0,VLOOKUP($A1687,'13. Updated Demand'!A:Z,17,FALSE))</f>
        <v>0.06</v>
      </c>
      <c r="AA1687" s="16">
        <f>IF(ISERROR(VLOOKUP($A1687,'13. Updated Demand'!A:Z,18,FALSE)),0,VLOOKUP($A1687,'13. Updated Demand'!A:Z,18,FALSE))</f>
        <v>0.63</v>
      </c>
      <c r="AB1687" s="16">
        <f>IF(ISERROR(VLOOKUP($A1687,'13. Updated Demand'!A:Z,19,FALSE)),0,VLOOKUP($A1687,'13. Updated Demand'!A:Z,19,FALSE))</f>
        <v>0</v>
      </c>
      <c r="AC1687" s="16">
        <f>IF(ISERROR(VLOOKUP($A1687,'13. Updated Demand'!A:Z,20,FALSE)),0,VLOOKUP($A1687,'13. Updated Demand'!A:Z,20,FALSE))</f>
        <v>0</v>
      </c>
      <c r="AD1687" s="16">
        <f>IF(ISERROR(VLOOKUP($A1687,'13. Updated Demand'!A:Z,21,FALSE)),0,VLOOKUP($A1687,'13. Updated Demand'!A:Z,21,FALSE))</f>
        <v>0</v>
      </c>
      <c r="AE1687" s="16">
        <f>IF(ISERROR(VLOOKUP($A1687,'13. Updated Demand'!A:Z,22,FALSE)),0,VLOOKUP($A1687,'13. Updated Demand'!A:Z,22,FALSE))</f>
        <v>0</v>
      </c>
      <c r="AF1687" s="16">
        <f>IF(ISERROR(VLOOKUP($A1687,'13. Updated Demand'!A:Z,23,FALSE)),0,VLOOKUP($A1687,'13. Updated Demand'!A:Z,23,FALSE))</f>
        <v>0</v>
      </c>
      <c r="AG1687" s="16">
        <f>IF(ISERROR(VLOOKUP($A1687,'13. Updated Demand'!A:Z,24,FALSE)),0,VLOOKUP($A1687,'13. Updated Demand'!A:Z,24,FALSE))</f>
        <v>0</v>
      </c>
      <c r="AH1687" s="16">
        <f>IF(ISERROR(VLOOKUP($A1687,'13. Updated Demand'!A:Z,25,FALSE)),0,VLOOKUP($A1687,'13. Updated Demand'!A:Z,25,FALSE))</f>
        <v>1.53</v>
      </c>
      <c r="AI1687" s="16">
        <f>IF(ISERROR(VLOOKUP($A1687,'13. Updated Demand'!A:Z,26,FALSE)),0,VLOOKUP($A1687,'13. Updated Demand'!A:Z,26,FALSE))</f>
        <v>0</v>
      </c>
      <c r="AJ1687" s="16">
        <f t="shared" si="325"/>
        <v>3.0200000000000005</v>
      </c>
      <c r="AK1687" s="19">
        <v>0</v>
      </c>
      <c r="AL1687" s="16">
        <f t="shared" si="323"/>
        <v>0</v>
      </c>
      <c r="AM1687" s="26">
        <v>6.2498111320811655E-3</v>
      </c>
      <c r="AN1687" s="19">
        <v>485.34800000000001</v>
      </c>
      <c r="AO1687" s="19" t="s">
        <v>1758</v>
      </c>
      <c r="AP1687" s="19">
        <v>0</v>
      </c>
      <c r="AQ1687" s="19" t="s">
        <v>307</v>
      </c>
      <c r="AR1687" s="9" t="s">
        <v>436</v>
      </c>
      <c r="AS1687" s="12">
        <v>0</v>
      </c>
      <c r="AT1687" s="19">
        <v>38.699114530000003</v>
      </c>
      <c r="AU1687" s="19">
        <v>-122.8832297</v>
      </c>
      <c r="AV1687" s="19" t="s">
        <v>548</v>
      </c>
    </row>
    <row r="1688" spans="1:48" x14ac:dyDescent="0.25">
      <c r="A1688" s="18" t="s">
        <v>118</v>
      </c>
      <c r="B1688" s="10">
        <v>10000000</v>
      </c>
      <c r="C1688" s="9">
        <v>6</v>
      </c>
      <c r="D1688" s="8" t="str">
        <f t="shared" si="314"/>
        <v>Y</v>
      </c>
      <c r="E1688" s="8" t="str">
        <f t="shared" si="315"/>
        <v>N</v>
      </c>
      <c r="F1688" s="8" t="str">
        <f t="shared" si="316"/>
        <v>Y</v>
      </c>
      <c r="G1688" s="8" t="str">
        <f t="shared" si="317"/>
        <v>Y</v>
      </c>
      <c r="H1688" s="8" t="str">
        <f t="shared" si="318"/>
        <v>Upper</v>
      </c>
      <c r="I1688" s="8" t="str">
        <f t="shared" si="319"/>
        <v>West Fork and Below Lake</v>
      </c>
      <c r="J1688" s="8" t="str">
        <f t="shared" si="320"/>
        <v>Mendocino (d/s of lake)</v>
      </c>
      <c r="K1688" s="8" t="str">
        <f t="shared" si="321"/>
        <v>Riparian</v>
      </c>
      <c r="L1688" s="8">
        <f t="shared" si="322"/>
        <v>1000</v>
      </c>
      <c r="M1688" s="8" t="str">
        <f t="shared" si="324"/>
        <v>-</v>
      </c>
      <c r="N1688" s="10" t="s">
        <v>241</v>
      </c>
      <c r="O1688" s="10" t="s">
        <v>241</v>
      </c>
      <c r="P1688" s="10" t="s">
        <v>242</v>
      </c>
      <c r="Q1688" s="10" t="s">
        <v>242</v>
      </c>
      <c r="R1688" s="10" t="s">
        <v>242</v>
      </c>
      <c r="S1688" s="10" t="s">
        <v>241</v>
      </c>
      <c r="T1688" s="10" t="s">
        <v>242</v>
      </c>
      <c r="U1688" s="10" t="s">
        <v>242</v>
      </c>
      <c r="V1688" s="10" t="s">
        <v>242</v>
      </c>
      <c r="W1688" s="10" t="s">
        <v>242</v>
      </c>
      <c r="X1688" s="15">
        <f>IF(ISERROR(VLOOKUP($A1688,'13. Updated Demand'!A:Z,15,FALSE)),0,VLOOKUP($A1688,'13. Updated Demand'!A:Z,15,FALSE))</f>
        <v>0</v>
      </c>
      <c r="Y1688" s="16">
        <f>IF(ISERROR(VLOOKUP($A1688,'13. Updated Demand'!A:Z,16,FALSE)),0,VLOOKUP($A1688,'13. Updated Demand'!A:Z,16,FALSE))</f>
        <v>0</v>
      </c>
      <c r="Z1688" s="16">
        <f>IF(ISERROR(VLOOKUP($A1688,'13. Updated Demand'!A:Z,17,FALSE)),0,VLOOKUP($A1688,'13. Updated Demand'!A:Z,17,FALSE))</f>
        <v>0.18</v>
      </c>
      <c r="AA1688" s="16">
        <f>IF(ISERROR(VLOOKUP($A1688,'13. Updated Demand'!A:Z,18,FALSE)),0,VLOOKUP($A1688,'13. Updated Demand'!A:Z,18,FALSE))</f>
        <v>0.05</v>
      </c>
      <c r="AB1688" s="16">
        <f>IF(ISERROR(VLOOKUP($A1688,'13. Updated Demand'!A:Z,19,FALSE)),0,VLOOKUP($A1688,'13. Updated Demand'!A:Z,19,FALSE))</f>
        <v>0.49</v>
      </c>
      <c r="AC1688" s="16">
        <f>IF(ISERROR(VLOOKUP($A1688,'13. Updated Demand'!A:Z,20,FALSE)),0,VLOOKUP($A1688,'13. Updated Demand'!A:Z,20,FALSE))</f>
        <v>4.3600000000000003</v>
      </c>
      <c r="AD1688" s="16">
        <f>IF(ISERROR(VLOOKUP($A1688,'13. Updated Demand'!A:Z,21,FALSE)),0,VLOOKUP($A1688,'13. Updated Demand'!A:Z,21,FALSE))</f>
        <v>9.57</v>
      </c>
      <c r="AE1688" s="16">
        <f>IF(ISERROR(VLOOKUP($A1688,'13. Updated Demand'!A:Z,22,FALSE)),0,VLOOKUP($A1688,'13. Updated Demand'!A:Z,22,FALSE))</f>
        <v>4.1100000000000003</v>
      </c>
      <c r="AF1688" s="16">
        <f>IF(ISERROR(VLOOKUP($A1688,'13. Updated Demand'!A:Z,23,FALSE)),0,VLOOKUP($A1688,'13. Updated Demand'!A:Z,23,FALSE))</f>
        <v>5.92</v>
      </c>
      <c r="AG1688" s="16">
        <f>IF(ISERROR(VLOOKUP($A1688,'13. Updated Demand'!A:Z,24,FALSE)),0,VLOOKUP($A1688,'13. Updated Demand'!A:Z,24,FALSE))</f>
        <v>0</v>
      </c>
      <c r="AH1688" s="16">
        <f>IF(ISERROR(VLOOKUP($A1688,'13. Updated Demand'!A:Z,25,FALSE)),0,VLOOKUP($A1688,'13. Updated Demand'!A:Z,25,FALSE))</f>
        <v>2.4900000000000002</v>
      </c>
      <c r="AI1688" s="16">
        <f>IF(ISERROR(VLOOKUP($A1688,'13. Updated Demand'!A:Z,26,FALSE)),0,VLOOKUP($A1688,'13. Updated Demand'!A:Z,26,FALSE))</f>
        <v>0</v>
      </c>
      <c r="AJ1688" s="16">
        <f t="shared" si="325"/>
        <v>27.17</v>
      </c>
      <c r="AK1688" s="19">
        <v>24.470000000000013</v>
      </c>
      <c r="AL1688" s="16">
        <f t="shared" si="323"/>
        <v>8.1164202605061145E-2</v>
      </c>
      <c r="AM1688" s="26">
        <v>5.6028526610459588E-2</v>
      </c>
      <c r="AN1688" s="19">
        <v>485.34800000000001</v>
      </c>
      <c r="AO1688" s="19" t="s">
        <v>1758</v>
      </c>
      <c r="AP1688" s="19">
        <v>0</v>
      </c>
      <c r="AQ1688" s="19" t="s">
        <v>307</v>
      </c>
      <c r="AR1688" s="9" t="s">
        <v>319</v>
      </c>
      <c r="AS1688" s="12">
        <v>0</v>
      </c>
      <c r="AT1688" s="19">
        <v>38.962053230000002</v>
      </c>
      <c r="AU1688" s="19">
        <v>-123.10509394</v>
      </c>
      <c r="AV1688" s="19" t="s">
        <v>548</v>
      </c>
    </row>
    <row r="1689" spans="1:48" x14ac:dyDescent="0.25">
      <c r="A1689" s="18" t="s">
        <v>97</v>
      </c>
      <c r="B1689" s="10">
        <v>10000000</v>
      </c>
      <c r="C1689" s="9">
        <v>6</v>
      </c>
      <c r="D1689" s="8" t="str">
        <f t="shared" si="314"/>
        <v>Y</v>
      </c>
      <c r="E1689" s="8" t="str">
        <f t="shared" si="315"/>
        <v>N</v>
      </c>
      <c r="F1689" s="8" t="str">
        <f t="shared" si="316"/>
        <v>Y</v>
      </c>
      <c r="G1689" s="8" t="str">
        <f t="shared" si="317"/>
        <v>Y</v>
      </c>
      <c r="H1689" s="8" t="str">
        <f t="shared" si="318"/>
        <v>Upper</v>
      </c>
      <c r="I1689" s="8" t="str">
        <f t="shared" si="319"/>
        <v>West Fork and Below Lake</v>
      </c>
      <c r="J1689" s="8" t="str">
        <f t="shared" si="320"/>
        <v>Mendocino (d/s of lake)</v>
      </c>
      <c r="K1689" s="8" t="str">
        <f t="shared" si="321"/>
        <v>Riparian</v>
      </c>
      <c r="L1689" s="8">
        <f t="shared" si="322"/>
        <v>1000</v>
      </c>
      <c r="M1689" s="8" t="str">
        <f t="shared" si="324"/>
        <v>-</v>
      </c>
      <c r="N1689" s="10" t="s">
        <v>241</v>
      </c>
      <c r="O1689" s="10" t="s">
        <v>241</v>
      </c>
      <c r="P1689" s="10" t="s">
        <v>242</v>
      </c>
      <c r="Q1689" s="10" t="s">
        <v>242</v>
      </c>
      <c r="R1689" s="10" t="s">
        <v>242</v>
      </c>
      <c r="S1689" s="10" t="s">
        <v>241</v>
      </c>
      <c r="T1689" s="10" t="s">
        <v>242</v>
      </c>
      <c r="U1689" s="10" t="s">
        <v>242</v>
      </c>
      <c r="V1689" s="10" t="s">
        <v>241</v>
      </c>
      <c r="W1689" s="10" t="s">
        <v>242</v>
      </c>
      <c r="X1689" s="15">
        <f>IF(ISERROR(VLOOKUP($A1689,'13. Updated Demand'!A:Z,15,FALSE)),0,VLOOKUP($A1689,'13. Updated Demand'!A:Z,15,FALSE))</f>
        <v>0</v>
      </c>
      <c r="Y1689" s="16">
        <f>IF(ISERROR(VLOOKUP($A1689,'13. Updated Demand'!A:Z,16,FALSE)),0,VLOOKUP($A1689,'13. Updated Demand'!A:Z,16,FALSE))</f>
        <v>0</v>
      </c>
      <c r="Z1689" s="16">
        <f>IF(ISERROR(VLOOKUP($A1689,'13. Updated Demand'!A:Z,17,FALSE)),0,VLOOKUP($A1689,'13. Updated Demand'!A:Z,17,FALSE))</f>
        <v>0</v>
      </c>
      <c r="AA1689" s="16">
        <f>IF(ISERROR(VLOOKUP($A1689,'13. Updated Demand'!A:Z,18,FALSE)),0,VLOOKUP($A1689,'13. Updated Demand'!A:Z,18,FALSE))</f>
        <v>0.06</v>
      </c>
      <c r="AB1689" s="16">
        <f>IF(ISERROR(VLOOKUP($A1689,'13. Updated Demand'!A:Z,19,FALSE)),0,VLOOKUP($A1689,'13. Updated Demand'!A:Z,19,FALSE))</f>
        <v>0</v>
      </c>
      <c r="AC1689" s="16">
        <f>IF(ISERROR(VLOOKUP($A1689,'13. Updated Demand'!A:Z,20,FALSE)),0,VLOOKUP($A1689,'13. Updated Demand'!A:Z,20,FALSE))</f>
        <v>0</v>
      </c>
      <c r="AD1689" s="16">
        <f>IF(ISERROR(VLOOKUP($A1689,'13. Updated Demand'!A:Z,21,FALSE)),0,VLOOKUP($A1689,'13. Updated Demand'!A:Z,21,FALSE))</f>
        <v>0</v>
      </c>
      <c r="AE1689" s="16">
        <f>IF(ISERROR(VLOOKUP($A1689,'13. Updated Demand'!A:Z,22,FALSE)),0,VLOOKUP($A1689,'13. Updated Demand'!A:Z,22,FALSE))</f>
        <v>0</v>
      </c>
      <c r="AF1689" s="16">
        <f>IF(ISERROR(VLOOKUP($A1689,'13. Updated Demand'!A:Z,23,FALSE)),0,VLOOKUP($A1689,'13. Updated Demand'!A:Z,23,FALSE))</f>
        <v>0</v>
      </c>
      <c r="AG1689" s="16">
        <f>IF(ISERROR(VLOOKUP($A1689,'13. Updated Demand'!A:Z,24,FALSE)),0,VLOOKUP($A1689,'13. Updated Demand'!A:Z,24,FALSE))</f>
        <v>0</v>
      </c>
      <c r="AH1689" s="16">
        <f>IF(ISERROR(VLOOKUP($A1689,'13. Updated Demand'!A:Z,25,FALSE)),0,VLOOKUP($A1689,'13. Updated Demand'!A:Z,25,FALSE))</f>
        <v>0</v>
      </c>
      <c r="AI1689" s="16">
        <f>IF(ISERROR(VLOOKUP($A1689,'13. Updated Demand'!A:Z,26,FALSE)),0,VLOOKUP($A1689,'13. Updated Demand'!A:Z,26,FALSE))</f>
        <v>0</v>
      </c>
      <c r="AJ1689" s="16">
        <f t="shared" si="325"/>
        <v>0.06</v>
      </c>
      <c r="AK1689" s="19">
        <v>0</v>
      </c>
      <c r="AL1689" s="16">
        <f t="shared" si="323"/>
        <v>0</v>
      </c>
      <c r="AM1689" s="26">
        <v>9.203018590097556E-5</v>
      </c>
      <c r="AN1689" s="19">
        <v>724.4</v>
      </c>
      <c r="AO1689" s="19" t="s">
        <v>1758</v>
      </c>
      <c r="AP1689" s="19">
        <v>0</v>
      </c>
      <c r="AQ1689" s="19" t="s">
        <v>307</v>
      </c>
      <c r="AR1689" s="9" t="s">
        <v>319</v>
      </c>
      <c r="AS1689" s="12">
        <v>0</v>
      </c>
      <c r="AT1689" s="19">
        <v>38.962084849999997</v>
      </c>
      <c r="AU1689" s="19">
        <v>-123.10175303</v>
      </c>
      <c r="AV1689" s="19" t="s">
        <v>548</v>
      </c>
    </row>
    <row r="1690" spans="1:48" x14ac:dyDescent="0.25">
      <c r="A1690" s="18" t="s">
        <v>167</v>
      </c>
      <c r="B1690" s="10">
        <v>10000000</v>
      </c>
      <c r="C1690" s="9">
        <v>6</v>
      </c>
      <c r="D1690" s="8" t="str">
        <f t="shared" si="314"/>
        <v>Y</v>
      </c>
      <c r="E1690" s="8" t="str">
        <f t="shared" si="315"/>
        <v>N</v>
      </c>
      <c r="F1690" s="8" t="str">
        <f t="shared" si="316"/>
        <v>Y</v>
      </c>
      <c r="G1690" s="8" t="str">
        <f t="shared" si="317"/>
        <v>Y</v>
      </c>
      <c r="H1690" s="8" t="str">
        <f t="shared" si="318"/>
        <v>Upper</v>
      </c>
      <c r="I1690" s="8" t="str">
        <f t="shared" si="319"/>
        <v>West Fork and Below Lake</v>
      </c>
      <c r="J1690" s="8" t="str">
        <f t="shared" si="320"/>
        <v>Mendocino (d/s of lake)</v>
      </c>
      <c r="K1690" s="8" t="str">
        <f t="shared" si="321"/>
        <v>Riparian</v>
      </c>
      <c r="L1690" s="8">
        <f t="shared" si="322"/>
        <v>1000</v>
      </c>
      <c r="M1690" s="8" t="str">
        <f t="shared" si="324"/>
        <v>-</v>
      </c>
      <c r="N1690" s="10" t="s">
        <v>241</v>
      </c>
      <c r="O1690" s="10" t="s">
        <v>241</v>
      </c>
      <c r="P1690" s="10" t="s">
        <v>242</v>
      </c>
      <c r="Q1690" s="10" t="s">
        <v>242</v>
      </c>
      <c r="R1690" s="10" t="s">
        <v>242</v>
      </c>
      <c r="S1690" s="10" t="s">
        <v>241</v>
      </c>
      <c r="T1690" s="10" t="s">
        <v>242</v>
      </c>
      <c r="U1690" s="10" t="s">
        <v>242</v>
      </c>
      <c r="V1690" s="10" t="s">
        <v>242</v>
      </c>
      <c r="W1690" s="10" t="s">
        <v>242</v>
      </c>
      <c r="X1690" s="15">
        <f>IF(ISERROR(VLOOKUP($A1690,'13. Updated Demand'!A:Z,15,FALSE)),0,VLOOKUP($A1690,'13. Updated Demand'!A:Z,15,FALSE))</f>
        <v>0</v>
      </c>
      <c r="Y1690" s="16">
        <f>IF(ISERROR(VLOOKUP($A1690,'13. Updated Demand'!A:Z,16,FALSE)),0,VLOOKUP($A1690,'13. Updated Demand'!A:Z,16,FALSE))</f>
        <v>0</v>
      </c>
      <c r="Z1690" s="16">
        <f>IF(ISERROR(VLOOKUP($A1690,'13. Updated Demand'!A:Z,17,FALSE)),0,VLOOKUP($A1690,'13. Updated Demand'!A:Z,17,FALSE))</f>
        <v>0.03</v>
      </c>
      <c r="AA1690" s="16">
        <f>IF(ISERROR(VLOOKUP($A1690,'13. Updated Demand'!A:Z,18,FALSE)),0,VLOOKUP($A1690,'13. Updated Demand'!A:Z,18,FALSE))</f>
        <v>0.08</v>
      </c>
      <c r="AB1690" s="16">
        <f>IF(ISERROR(VLOOKUP($A1690,'13. Updated Demand'!A:Z,19,FALSE)),0,VLOOKUP($A1690,'13. Updated Demand'!A:Z,19,FALSE))</f>
        <v>0.28000000000000003</v>
      </c>
      <c r="AC1690" s="16">
        <f>IF(ISERROR(VLOOKUP($A1690,'13. Updated Demand'!A:Z,20,FALSE)),0,VLOOKUP($A1690,'13. Updated Demand'!A:Z,20,FALSE))</f>
        <v>0.51</v>
      </c>
      <c r="AD1690" s="16">
        <f>IF(ISERROR(VLOOKUP($A1690,'13. Updated Demand'!A:Z,21,FALSE)),0,VLOOKUP($A1690,'13. Updated Demand'!A:Z,21,FALSE))</f>
        <v>1.3</v>
      </c>
      <c r="AE1690" s="16">
        <f>IF(ISERROR(VLOOKUP($A1690,'13. Updated Demand'!A:Z,22,FALSE)),0,VLOOKUP($A1690,'13. Updated Demand'!A:Z,22,FALSE))</f>
        <v>1.25</v>
      </c>
      <c r="AF1690" s="16">
        <f>IF(ISERROR(VLOOKUP($A1690,'13. Updated Demand'!A:Z,23,FALSE)),0,VLOOKUP($A1690,'13. Updated Demand'!A:Z,23,FALSE))</f>
        <v>1.06</v>
      </c>
      <c r="AG1690" s="16">
        <f>IF(ISERROR(VLOOKUP($A1690,'13. Updated Demand'!A:Z,24,FALSE)),0,VLOOKUP($A1690,'13. Updated Demand'!A:Z,24,FALSE))</f>
        <v>0.45</v>
      </c>
      <c r="AH1690" s="16">
        <f>IF(ISERROR(VLOOKUP($A1690,'13. Updated Demand'!A:Z,25,FALSE)),0,VLOOKUP($A1690,'13. Updated Demand'!A:Z,25,FALSE))</f>
        <v>0.35</v>
      </c>
      <c r="AI1690" s="16">
        <f>IF(ISERROR(VLOOKUP($A1690,'13. Updated Demand'!A:Z,26,FALSE)),0,VLOOKUP($A1690,'13. Updated Demand'!A:Z,26,FALSE))</f>
        <v>0</v>
      </c>
      <c r="AJ1690" s="16">
        <f t="shared" si="325"/>
        <v>5.31</v>
      </c>
      <c r="AK1690" s="19">
        <v>4.416666666666667</v>
      </c>
      <c r="AL1690" s="16">
        <f t="shared" si="323"/>
        <v>1.4649580227721833E-2</v>
      </c>
      <c r="AM1690" s="26">
        <v>1.8889785593264329E-2</v>
      </c>
      <c r="AN1690" s="19">
        <v>282.51600000000002</v>
      </c>
      <c r="AO1690" s="19" t="s">
        <v>1758</v>
      </c>
      <c r="AP1690" s="19">
        <v>0</v>
      </c>
      <c r="AQ1690" s="19" t="s">
        <v>307</v>
      </c>
      <c r="AR1690" s="9" t="s">
        <v>319</v>
      </c>
      <c r="AS1690" s="12">
        <v>0</v>
      </c>
      <c r="AT1690" s="19">
        <v>38.96212027</v>
      </c>
      <c r="AU1690" s="19">
        <v>-123.11248123999999</v>
      </c>
      <c r="AV1690" s="19" t="s">
        <v>548</v>
      </c>
    </row>
    <row r="1691" spans="1:48" x14ac:dyDescent="0.25">
      <c r="A1691" s="18" t="s">
        <v>32</v>
      </c>
      <c r="B1691" s="10">
        <v>10000000</v>
      </c>
      <c r="C1691" s="9">
        <v>12</v>
      </c>
      <c r="D1691" s="8" t="str">
        <f t="shared" si="314"/>
        <v>N</v>
      </c>
      <c r="E1691" s="8" t="str">
        <f t="shared" si="315"/>
        <v>Y</v>
      </c>
      <c r="F1691" s="8" t="str">
        <f t="shared" si="316"/>
        <v>Y</v>
      </c>
      <c r="G1691" s="8" t="str">
        <f t="shared" si="317"/>
        <v>Y</v>
      </c>
      <c r="H1691" s="8" t="str">
        <f t="shared" si="318"/>
        <v>Upper</v>
      </c>
      <c r="I1691" s="8" t="str">
        <f t="shared" si="319"/>
        <v>West Fork and Below Lake</v>
      </c>
      <c r="J1691" s="8" t="str">
        <f t="shared" si="320"/>
        <v>Sonoma (d/s of Clov. Gage)</v>
      </c>
      <c r="K1691" s="8" t="str">
        <f t="shared" si="321"/>
        <v>Riparian</v>
      </c>
      <c r="L1691" s="8">
        <f t="shared" si="322"/>
        <v>1000</v>
      </c>
      <c r="M1691" s="8" t="str">
        <f t="shared" si="324"/>
        <v>-</v>
      </c>
      <c r="N1691" s="10" t="s">
        <v>241</v>
      </c>
      <c r="O1691" s="10" t="s">
        <v>241</v>
      </c>
      <c r="P1691" s="10" t="s">
        <v>242</v>
      </c>
      <c r="Q1691" s="10" t="s">
        <v>242</v>
      </c>
      <c r="R1691" s="10" t="s">
        <v>242</v>
      </c>
      <c r="S1691" s="10" t="s">
        <v>241</v>
      </c>
      <c r="T1691" s="10" t="s">
        <v>242</v>
      </c>
      <c r="U1691" s="10" t="s">
        <v>242</v>
      </c>
      <c r="V1691" s="10" t="s">
        <v>242</v>
      </c>
      <c r="W1691" s="10" t="s">
        <v>242</v>
      </c>
      <c r="X1691" s="15">
        <f>IF(ISERROR(VLOOKUP($A1691,'13. Updated Demand'!A:Z,15,FALSE)),0,VLOOKUP($A1691,'13. Updated Demand'!A:Z,15,FALSE))</f>
        <v>0.54</v>
      </c>
      <c r="Y1691" s="16">
        <f>IF(ISERROR(VLOOKUP($A1691,'13. Updated Demand'!A:Z,16,FALSE)),0,VLOOKUP($A1691,'13. Updated Demand'!A:Z,16,FALSE))</f>
        <v>0.91</v>
      </c>
      <c r="Z1691" s="16">
        <f>IF(ISERROR(VLOOKUP($A1691,'13. Updated Demand'!A:Z,17,FALSE)),0,VLOOKUP($A1691,'13. Updated Demand'!A:Z,17,FALSE))</f>
        <v>2.5299999999999998</v>
      </c>
      <c r="AA1691" s="16">
        <f>IF(ISERROR(VLOOKUP($A1691,'13. Updated Demand'!A:Z,18,FALSE)),0,VLOOKUP($A1691,'13. Updated Demand'!A:Z,18,FALSE))</f>
        <v>2.1800000000000002</v>
      </c>
      <c r="AB1691" s="16">
        <f>IF(ISERROR(VLOOKUP($A1691,'13. Updated Demand'!A:Z,19,FALSE)),0,VLOOKUP($A1691,'13. Updated Demand'!A:Z,19,FALSE))</f>
        <v>3.96</v>
      </c>
      <c r="AC1691" s="16">
        <f>IF(ISERROR(VLOOKUP($A1691,'13. Updated Demand'!A:Z,20,FALSE)),0,VLOOKUP($A1691,'13. Updated Demand'!A:Z,20,FALSE))</f>
        <v>5.3</v>
      </c>
      <c r="AD1691" s="16">
        <f>IF(ISERROR(VLOOKUP($A1691,'13. Updated Demand'!A:Z,21,FALSE)),0,VLOOKUP($A1691,'13. Updated Demand'!A:Z,21,FALSE))</f>
        <v>6.56</v>
      </c>
      <c r="AE1691" s="16">
        <f>IF(ISERROR(VLOOKUP($A1691,'13. Updated Demand'!A:Z,22,FALSE)),0,VLOOKUP($A1691,'13. Updated Demand'!A:Z,22,FALSE))</f>
        <v>7.02</v>
      </c>
      <c r="AF1691" s="16">
        <f>IF(ISERROR(VLOOKUP($A1691,'13. Updated Demand'!A:Z,23,FALSE)),0,VLOOKUP($A1691,'13. Updated Demand'!A:Z,23,FALSE))</f>
        <v>4.42</v>
      </c>
      <c r="AG1691" s="16">
        <f>IF(ISERROR(VLOOKUP($A1691,'13. Updated Demand'!A:Z,24,FALSE)),0,VLOOKUP($A1691,'13. Updated Demand'!A:Z,24,FALSE))</f>
        <v>3.29</v>
      </c>
      <c r="AH1691" s="16">
        <f>IF(ISERROR(VLOOKUP($A1691,'13. Updated Demand'!A:Z,25,FALSE)),0,VLOOKUP($A1691,'13. Updated Demand'!A:Z,25,FALSE))</f>
        <v>0.83</v>
      </c>
      <c r="AI1691" s="16">
        <f>IF(ISERROR(VLOOKUP($A1691,'13. Updated Demand'!A:Z,26,FALSE)),0,VLOOKUP($A1691,'13. Updated Demand'!A:Z,26,FALSE))</f>
        <v>0</v>
      </c>
      <c r="AJ1691" s="16">
        <f t="shared" si="325"/>
        <v>37.54</v>
      </c>
      <c r="AK1691" s="19">
        <v>27.27666666666666</v>
      </c>
      <c r="AL1691" s="16">
        <f t="shared" si="323"/>
        <v>9.0473596229017142E-2</v>
      </c>
      <c r="AM1691" s="26">
        <v>2.5869432804882686E-2</v>
      </c>
      <c r="AN1691" s="19">
        <v>1452.422</v>
      </c>
      <c r="AO1691" s="19" t="s">
        <v>1758</v>
      </c>
      <c r="AP1691" s="19">
        <v>0</v>
      </c>
      <c r="AQ1691" s="19" t="s">
        <v>307</v>
      </c>
      <c r="AR1691" s="9" t="s">
        <v>311</v>
      </c>
      <c r="AS1691" s="12">
        <v>0</v>
      </c>
      <c r="AT1691" s="19">
        <v>38.630483239999997</v>
      </c>
      <c r="AU1691" s="19">
        <v>-122.86049953</v>
      </c>
      <c r="AV1691" s="19" t="s">
        <v>548</v>
      </c>
    </row>
    <row r="1692" spans="1:48" x14ac:dyDescent="0.25">
      <c r="A1692" s="18" t="s">
        <v>40</v>
      </c>
      <c r="B1692" s="10">
        <v>10000000</v>
      </c>
      <c r="C1692" s="9">
        <v>10</v>
      </c>
      <c r="D1692" s="8" t="str">
        <f t="shared" si="314"/>
        <v>N</v>
      </c>
      <c r="E1692" s="8" t="str">
        <f t="shared" si="315"/>
        <v>Y</v>
      </c>
      <c r="F1692" s="8" t="str">
        <f t="shared" si="316"/>
        <v>Y</v>
      </c>
      <c r="G1692" s="8" t="str">
        <f t="shared" si="317"/>
        <v>Y</v>
      </c>
      <c r="H1692" s="8" t="str">
        <f t="shared" si="318"/>
        <v>Upper</v>
      </c>
      <c r="I1692" s="8" t="str">
        <f t="shared" si="319"/>
        <v>West Fork and Below Lake</v>
      </c>
      <c r="J1692" s="8" t="str">
        <f t="shared" si="320"/>
        <v>Sonoma (d/s of Clov. Gage)</v>
      </c>
      <c r="K1692" s="8" t="str">
        <f t="shared" si="321"/>
        <v>Riparian</v>
      </c>
      <c r="L1692" s="8">
        <f t="shared" si="322"/>
        <v>1000</v>
      </c>
      <c r="M1692" s="8" t="str">
        <f t="shared" si="324"/>
        <v>-</v>
      </c>
      <c r="N1692" s="10" t="s">
        <v>241</v>
      </c>
      <c r="O1692" s="10" t="s">
        <v>241</v>
      </c>
      <c r="P1692" s="10" t="s">
        <v>242</v>
      </c>
      <c r="Q1692" s="10" t="s">
        <v>242</v>
      </c>
      <c r="R1692" s="10" t="s">
        <v>242</v>
      </c>
      <c r="S1692" s="10" t="s">
        <v>241</v>
      </c>
      <c r="T1692" s="10" t="s">
        <v>242</v>
      </c>
      <c r="U1692" s="10" t="s">
        <v>242</v>
      </c>
      <c r="V1692" s="10" t="s">
        <v>242</v>
      </c>
      <c r="W1692" s="10" t="s">
        <v>242</v>
      </c>
      <c r="X1692" s="15">
        <f>IF(ISERROR(VLOOKUP($A1692,'13. Updated Demand'!A:Z,15,FALSE)),0,VLOOKUP($A1692,'13. Updated Demand'!A:Z,15,FALSE))</f>
        <v>0</v>
      </c>
      <c r="Y1692" s="16">
        <f>IF(ISERROR(VLOOKUP($A1692,'13. Updated Demand'!A:Z,16,FALSE)),0,VLOOKUP($A1692,'13. Updated Demand'!A:Z,16,FALSE))</f>
        <v>0</v>
      </c>
      <c r="Z1692" s="16">
        <f>IF(ISERROR(VLOOKUP($A1692,'13. Updated Demand'!A:Z,17,FALSE)),0,VLOOKUP($A1692,'13. Updated Demand'!A:Z,17,FALSE))</f>
        <v>0</v>
      </c>
      <c r="AA1692" s="16">
        <f>IF(ISERROR(VLOOKUP($A1692,'13. Updated Demand'!A:Z,18,FALSE)),0,VLOOKUP($A1692,'13. Updated Demand'!A:Z,18,FALSE))</f>
        <v>0</v>
      </c>
      <c r="AB1692" s="16">
        <f>IF(ISERROR(VLOOKUP($A1692,'13. Updated Demand'!A:Z,19,FALSE)),0,VLOOKUP($A1692,'13. Updated Demand'!A:Z,19,FALSE))</f>
        <v>0</v>
      </c>
      <c r="AC1692" s="16">
        <f>IF(ISERROR(VLOOKUP($A1692,'13. Updated Demand'!A:Z,20,FALSE)),0,VLOOKUP($A1692,'13. Updated Demand'!A:Z,20,FALSE))</f>
        <v>0.02</v>
      </c>
      <c r="AD1692" s="16">
        <f>IF(ISERROR(VLOOKUP($A1692,'13. Updated Demand'!A:Z,21,FALSE)),0,VLOOKUP($A1692,'13. Updated Demand'!A:Z,21,FALSE))</f>
        <v>0.02</v>
      </c>
      <c r="AE1692" s="16">
        <f>IF(ISERROR(VLOOKUP($A1692,'13. Updated Demand'!A:Z,22,FALSE)),0,VLOOKUP($A1692,'13. Updated Demand'!A:Z,22,FALSE))</f>
        <v>0.08</v>
      </c>
      <c r="AF1692" s="16">
        <f>IF(ISERROR(VLOOKUP($A1692,'13. Updated Demand'!A:Z,23,FALSE)),0,VLOOKUP($A1692,'13. Updated Demand'!A:Z,23,FALSE))</f>
        <v>0.2</v>
      </c>
      <c r="AG1692" s="16">
        <f>IF(ISERROR(VLOOKUP($A1692,'13. Updated Demand'!A:Z,24,FALSE)),0,VLOOKUP($A1692,'13. Updated Demand'!A:Z,24,FALSE))</f>
        <v>0.11</v>
      </c>
      <c r="AH1692" s="16">
        <f>IF(ISERROR(VLOOKUP($A1692,'13. Updated Demand'!A:Z,25,FALSE)),0,VLOOKUP($A1692,'13. Updated Demand'!A:Z,25,FALSE))</f>
        <v>0.03</v>
      </c>
      <c r="AI1692" s="16">
        <f>IF(ISERROR(VLOOKUP($A1692,'13. Updated Demand'!A:Z,26,FALSE)),0,VLOOKUP($A1692,'13. Updated Demand'!A:Z,26,FALSE))</f>
        <v>0</v>
      </c>
      <c r="AJ1692" s="16">
        <f t="shared" si="325"/>
        <v>0.45999999999999996</v>
      </c>
      <c r="AK1692" s="19">
        <v>0.3360000000000003</v>
      </c>
      <c r="AL1692" s="16">
        <f t="shared" si="323"/>
        <v>1.1144737260032921E-3</v>
      </c>
      <c r="AM1692" s="26">
        <v>7.9245154087187345E-4</v>
      </c>
      <c r="AN1692" s="19">
        <v>604.87400000000002</v>
      </c>
      <c r="AO1692" s="19" t="s">
        <v>1758</v>
      </c>
      <c r="AP1692" s="19">
        <v>0</v>
      </c>
      <c r="AQ1692" s="19" t="s">
        <v>307</v>
      </c>
      <c r="AR1692" s="9" t="s">
        <v>436</v>
      </c>
      <c r="AS1692" s="12">
        <v>0</v>
      </c>
      <c r="AT1692" s="19">
        <v>38.7070662</v>
      </c>
      <c r="AU1692" s="19">
        <v>-122.88297781999999</v>
      </c>
      <c r="AV1692" s="19" t="s">
        <v>548</v>
      </c>
    </row>
    <row r="1693" spans="1:48" x14ac:dyDescent="0.25">
      <c r="A1693" s="18" t="s">
        <v>41</v>
      </c>
      <c r="B1693" s="10">
        <v>10000000</v>
      </c>
      <c r="C1693" s="9">
        <v>10</v>
      </c>
      <c r="D1693" s="8" t="str">
        <f t="shared" si="314"/>
        <v>N</v>
      </c>
      <c r="E1693" s="8" t="str">
        <f t="shared" si="315"/>
        <v>Y</v>
      </c>
      <c r="F1693" s="8" t="str">
        <f t="shared" si="316"/>
        <v>Y</v>
      </c>
      <c r="G1693" s="8" t="str">
        <f t="shared" si="317"/>
        <v>Y</v>
      </c>
      <c r="H1693" s="8" t="str">
        <f t="shared" si="318"/>
        <v>Upper</v>
      </c>
      <c r="I1693" s="8" t="str">
        <f t="shared" si="319"/>
        <v>West Fork and Below Lake</v>
      </c>
      <c r="J1693" s="8" t="str">
        <f t="shared" si="320"/>
        <v>Sonoma (d/s of Clov. Gage)</v>
      </c>
      <c r="K1693" s="8" t="str">
        <f t="shared" si="321"/>
        <v>Riparian</v>
      </c>
      <c r="L1693" s="8">
        <f t="shared" si="322"/>
        <v>1000</v>
      </c>
      <c r="M1693" s="8" t="str">
        <f t="shared" si="324"/>
        <v>-</v>
      </c>
      <c r="N1693" s="10" t="s">
        <v>241</v>
      </c>
      <c r="O1693" s="10" t="s">
        <v>241</v>
      </c>
      <c r="P1693" s="10" t="s">
        <v>242</v>
      </c>
      <c r="Q1693" s="10" t="s">
        <v>242</v>
      </c>
      <c r="R1693" s="10" t="s">
        <v>242</v>
      </c>
      <c r="S1693" s="10" t="s">
        <v>241</v>
      </c>
      <c r="T1693" s="10" t="s">
        <v>242</v>
      </c>
      <c r="U1693" s="10" t="s">
        <v>241</v>
      </c>
      <c r="V1693" s="10" t="s">
        <v>241</v>
      </c>
      <c r="W1693" s="10" t="s">
        <v>242</v>
      </c>
      <c r="X1693" s="15">
        <f>IF(ISERROR(VLOOKUP($A1693,'13. Updated Demand'!A:Z,15,FALSE)),0,VLOOKUP($A1693,'13. Updated Demand'!A:Z,15,FALSE))</f>
        <v>0</v>
      </c>
      <c r="Y1693" s="16">
        <f>IF(ISERROR(VLOOKUP($A1693,'13. Updated Demand'!A:Z,16,FALSE)),0,VLOOKUP($A1693,'13. Updated Demand'!A:Z,16,FALSE))</f>
        <v>0</v>
      </c>
      <c r="Z1693" s="16">
        <f>IF(ISERROR(VLOOKUP($A1693,'13. Updated Demand'!A:Z,17,FALSE)),0,VLOOKUP($A1693,'13. Updated Demand'!A:Z,17,FALSE))</f>
        <v>0</v>
      </c>
      <c r="AA1693" s="16">
        <f>IF(ISERROR(VLOOKUP($A1693,'13. Updated Demand'!A:Z,18,FALSE)),0,VLOOKUP($A1693,'13. Updated Demand'!A:Z,18,FALSE))</f>
        <v>0</v>
      </c>
      <c r="AB1693" s="16">
        <f>IF(ISERROR(VLOOKUP($A1693,'13. Updated Demand'!A:Z,19,FALSE)),0,VLOOKUP($A1693,'13. Updated Demand'!A:Z,19,FALSE))</f>
        <v>0</v>
      </c>
      <c r="AC1693" s="16">
        <f>IF(ISERROR(VLOOKUP($A1693,'13. Updated Demand'!A:Z,20,FALSE)),0,VLOOKUP($A1693,'13. Updated Demand'!A:Z,20,FALSE))</f>
        <v>0</v>
      </c>
      <c r="AD1693" s="16">
        <f>IF(ISERROR(VLOOKUP($A1693,'13. Updated Demand'!A:Z,21,FALSE)),0,VLOOKUP($A1693,'13. Updated Demand'!A:Z,21,FALSE))</f>
        <v>0</v>
      </c>
      <c r="AE1693" s="16">
        <f>IF(ISERROR(VLOOKUP($A1693,'13. Updated Demand'!A:Z,22,FALSE)),0,VLOOKUP($A1693,'13. Updated Demand'!A:Z,22,FALSE))</f>
        <v>0</v>
      </c>
      <c r="AF1693" s="16">
        <f>IF(ISERROR(VLOOKUP($A1693,'13. Updated Demand'!A:Z,23,FALSE)),0,VLOOKUP($A1693,'13. Updated Demand'!A:Z,23,FALSE))</f>
        <v>0</v>
      </c>
      <c r="AG1693" s="16">
        <f>IF(ISERROR(VLOOKUP($A1693,'13. Updated Demand'!A:Z,24,FALSE)),0,VLOOKUP($A1693,'13. Updated Demand'!A:Z,24,FALSE))</f>
        <v>0</v>
      </c>
      <c r="AH1693" s="16">
        <f>IF(ISERROR(VLOOKUP($A1693,'13. Updated Demand'!A:Z,25,FALSE)),0,VLOOKUP($A1693,'13. Updated Demand'!A:Z,25,FALSE))</f>
        <v>0</v>
      </c>
      <c r="AI1693" s="16">
        <f>IF(ISERROR(VLOOKUP($A1693,'13. Updated Demand'!A:Z,26,FALSE)),0,VLOOKUP($A1693,'13. Updated Demand'!A:Z,26,FALSE))</f>
        <v>0</v>
      </c>
      <c r="AJ1693" s="16">
        <f t="shared" si="325"/>
        <v>0</v>
      </c>
      <c r="AK1693" s="19">
        <v>0</v>
      </c>
      <c r="AL1693" s="16">
        <f t="shared" si="323"/>
        <v>0</v>
      </c>
      <c r="AM1693" s="26">
        <v>0</v>
      </c>
      <c r="AN1693" s="19">
        <v>1289.432</v>
      </c>
      <c r="AO1693" s="19" t="s">
        <v>1758</v>
      </c>
      <c r="AP1693" s="19">
        <v>0</v>
      </c>
      <c r="AQ1693" s="19" t="s">
        <v>307</v>
      </c>
      <c r="AR1693" s="9" t="s">
        <v>436</v>
      </c>
      <c r="AS1693" s="12">
        <v>0</v>
      </c>
      <c r="AT1693" s="19">
        <v>38.70762732</v>
      </c>
      <c r="AU1693" s="19">
        <v>-122.8814077</v>
      </c>
      <c r="AV1693" s="19" t="s">
        <v>548</v>
      </c>
    </row>
    <row r="1694" spans="1:48" x14ac:dyDescent="0.25">
      <c r="A1694" s="18" t="s">
        <v>2097</v>
      </c>
      <c r="B1694" s="10">
        <v>10000000</v>
      </c>
      <c r="C1694" s="9">
        <v>10</v>
      </c>
      <c r="D1694" s="8" t="str">
        <f t="shared" si="314"/>
        <v>N</v>
      </c>
      <c r="E1694" s="8" t="str">
        <f t="shared" si="315"/>
        <v>Y</v>
      </c>
      <c r="F1694" s="8" t="str">
        <f t="shared" si="316"/>
        <v>Y</v>
      </c>
      <c r="G1694" s="8" t="str">
        <f t="shared" si="317"/>
        <v>Y</v>
      </c>
      <c r="H1694" s="8" t="str">
        <f t="shared" si="318"/>
        <v>Upper</v>
      </c>
      <c r="I1694" s="8" t="str">
        <f t="shared" si="319"/>
        <v>West Fork and Below Lake</v>
      </c>
      <c r="J1694" s="8" t="str">
        <f t="shared" si="320"/>
        <v>Sonoma (d/s of Clov. Gage)</v>
      </c>
      <c r="K1694" s="8" t="str">
        <f t="shared" si="321"/>
        <v>Riparian</v>
      </c>
      <c r="L1694" s="8">
        <f t="shared" si="322"/>
        <v>1000</v>
      </c>
      <c r="M1694" s="8" t="str">
        <f t="shared" si="324"/>
        <v>-</v>
      </c>
      <c r="N1694" s="10" t="s">
        <v>241</v>
      </c>
      <c r="O1694" s="10" t="s">
        <v>241</v>
      </c>
      <c r="P1694" s="10" t="s">
        <v>242</v>
      </c>
      <c r="Q1694" s="10" t="s">
        <v>242</v>
      </c>
      <c r="R1694" s="10" t="s">
        <v>242</v>
      </c>
      <c r="S1694" s="10" t="s">
        <v>241</v>
      </c>
      <c r="T1694" s="10" t="s">
        <v>242</v>
      </c>
      <c r="U1694" s="10" t="s">
        <v>242</v>
      </c>
      <c r="V1694" s="10" t="s">
        <v>242</v>
      </c>
      <c r="W1694" s="10" t="s">
        <v>242</v>
      </c>
      <c r="X1694" s="15">
        <f>IF(ISERROR(VLOOKUP($A1694,'13. Updated Demand'!A:Z,15,FALSE)),0,VLOOKUP($A1694,'13. Updated Demand'!A:Z,15,FALSE))</f>
        <v>0</v>
      </c>
      <c r="Y1694" s="16">
        <f>IF(ISERROR(VLOOKUP($A1694,'13. Updated Demand'!A:Z,16,FALSE)),0,VLOOKUP($A1694,'13. Updated Demand'!A:Z,16,FALSE))</f>
        <v>0</v>
      </c>
      <c r="Z1694" s="16">
        <f>IF(ISERROR(VLOOKUP($A1694,'13. Updated Demand'!A:Z,17,FALSE)),0,VLOOKUP($A1694,'13. Updated Demand'!A:Z,17,FALSE))</f>
        <v>0</v>
      </c>
      <c r="AA1694" s="16">
        <f>IF(ISERROR(VLOOKUP($A1694,'13. Updated Demand'!A:Z,18,FALSE)),0,VLOOKUP($A1694,'13. Updated Demand'!A:Z,18,FALSE))</f>
        <v>1.5</v>
      </c>
      <c r="AB1694" s="16">
        <f>IF(ISERROR(VLOOKUP($A1694,'13. Updated Demand'!A:Z,19,FALSE)),0,VLOOKUP($A1694,'13. Updated Demand'!A:Z,19,FALSE))</f>
        <v>1.5</v>
      </c>
      <c r="AC1694" s="16">
        <f>IF(ISERROR(VLOOKUP($A1694,'13. Updated Demand'!A:Z,20,FALSE)),0,VLOOKUP($A1694,'13. Updated Demand'!A:Z,20,FALSE))</f>
        <v>2</v>
      </c>
      <c r="AD1694" s="16">
        <f>IF(ISERROR(VLOOKUP($A1694,'13. Updated Demand'!A:Z,21,FALSE)),0,VLOOKUP($A1694,'13. Updated Demand'!A:Z,21,FALSE))</f>
        <v>2</v>
      </c>
      <c r="AE1694" s="16">
        <f>IF(ISERROR(VLOOKUP($A1694,'13. Updated Demand'!A:Z,22,FALSE)),0,VLOOKUP($A1694,'13. Updated Demand'!A:Z,22,FALSE))</f>
        <v>2</v>
      </c>
      <c r="AF1694" s="16">
        <f>IF(ISERROR(VLOOKUP($A1694,'13. Updated Demand'!A:Z,23,FALSE)),0,VLOOKUP($A1694,'13. Updated Demand'!A:Z,23,FALSE))</f>
        <v>1</v>
      </c>
      <c r="AG1694" s="16">
        <f>IF(ISERROR(VLOOKUP($A1694,'13. Updated Demand'!A:Z,24,FALSE)),0,VLOOKUP($A1694,'13. Updated Demand'!A:Z,24,FALSE))</f>
        <v>1</v>
      </c>
      <c r="AH1694" s="16">
        <f>IF(ISERROR(VLOOKUP($A1694,'13. Updated Demand'!A:Z,25,FALSE)),0,VLOOKUP($A1694,'13. Updated Demand'!A:Z,25,FALSE))</f>
        <v>0</v>
      </c>
      <c r="AI1694" s="16">
        <f>IF(ISERROR(VLOOKUP($A1694,'13. Updated Demand'!A:Z,26,FALSE)),0,VLOOKUP($A1694,'13. Updated Demand'!A:Z,26,FALSE))</f>
        <v>0</v>
      </c>
      <c r="AJ1694" s="16">
        <f t="shared" si="325"/>
        <v>11</v>
      </c>
      <c r="AK1694" s="19">
        <v>8.5</v>
      </c>
      <c r="AL1694" s="16">
        <f t="shared" si="323"/>
        <v>2.8193531759011826E-2</v>
      </c>
      <c r="AM1694" s="26">
        <v>9.0928027985993781E-3</v>
      </c>
      <c r="AN1694" s="19">
        <v>1209.748</v>
      </c>
      <c r="AO1694" s="19" t="s">
        <v>1758</v>
      </c>
      <c r="AP1694" s="19">
        <v>0</v>
      </c>
      <c r="AQ1694" s="19" t="s">
        <v>307</v>
      </c>
      <c r="AR1694" s="9" t="s">
        <v>436</v>
      </c>
      <c r="AS1694" s="12">
        <v>0</v>
      </c>
      <c r="AT1694" s="19">
        <v>38.705199999999998</v>
      </c>
      <c r="AU1694" s="19">
        <v>-122.87990000000001</v>
      </c>
      <c r="AV1694" s="19"/>
    </row>
    <row r="1695" spans="1:48" x14ac:dyDescent="0.25">
      <c r="A1695" s="18" t="s">
        <v>2098</v>
      </c>
      <c r="B1695" s="10">
        <v>10000000</v>
      </c>
      <c r="C1695" s="9">
        <v>2</v>
      </c>
      <c r="D1695" s="8" t="str">
        <f t="shared" si="314"/>
        <v>N</v>
      </c>
      <c r="E1695" s="8" t="str">
        <f t="shared" si="315"/>
        <v>N</v>
      </c>
      <c r="F1695" s="8" t="str">
        <f t="shared" si="316"/>
        <v>Y</v>
      </c>
      <c r="G1695" s="8" t="str">
        <f t="shared" si="317"/>
        <v>N</v>
      </c>
      <c r="H1695" s="8" t="str">
        <f t="shared" si="318"/>
        <v>Upper</v>
      </c>
      <c r="I1695" s="8" t="str">
        <f t="shared" si="319"/>
        <v>Outside</v>
      </c>
      <c r="J1695" s="8" t="str">
        <f t="shared" si="320"/>
        <v>Outside</v>
      </c>
      <c r="K1695" s="8" t="str">
        <f t="shared" si="321"/>
        <v>Riparian</v>
      </c>
      <c r="L1695" s="8">
        <f t="shared" si="322"/>
        <v>1000</v>
      </c>
      <c r="M1695" s="8" t="str">
        <f t="shared" si="324"/>
        <v>-</v>
      </c>
      <c r="N1695" s="10" t="s">
        <v>242</v>
      </c>
      <c r="O1695" s="10" t="s">
        <v>241</v>
      </c>
      <c r="P1695" s="10" t="s">
        <v>242</v>
      </c>
      <c r="Q1695" s="10" t="s">
        <v>242</v>
      </c>
      <c r="R1695" s="10" t="s">
        <v>242</v>
      </c>
      <c r="S1695" s="10" t="s">
        <v>241</v>
      </c>
      <c r="T1695" s="10" t="s">
        <v>242</v>
      </c>
      <c r="U1695" s="10" t="s">
        <v>241</v>
      </c>
      <c r="V1695" s="10" t="s">
        <v>241</v>
      </c>
      <c r="W1695" s="10" t="s">
        <v>242</v>
      </c>
      <c r="X1695" s="15">
        <f>IF(ISERROR(VLOOKUP($A1695,'13. Updated Demand'!A:Z,15,FALSE)),0,VLOOKUP($A1695,'13. Updated Demand'!A:Z,15,FALSE))</f>
        <v>0</v>
      </c>
      <c r="Y1695" s="16">
        <f>IF(ISERROR(VLOOKUP($A1695,'13. Updated Demand'!A:Z,16,FALSE)),0,VLOOKUP($A1695,'13. Updated Demand'!A:Z,16,FALSE))</f>
        <v>0</v>
      </c>
      <c r="Z1695" s="16">
        <f>IF(ISERROR(VLOOKUP($A1695,'13. Updated Demand'!A:Z,17,FALSE)),0,VLOOKUP($A1695,'13. Updated Demand'!A:Z,17,FALSE))</f>
        <v>0</v>
      </c>
      <c r="AA1695" s="16">
        <f>IF(ISERROR(VLOOKUP($A1695,'13. Updated Demand'!A:Z,18,FALSE)),0,VLOOKUP($A1695,'13. Updated Demand'!A:Z,18,FALSE))</f>
        <v>0</v>
      </c>
      <c r="AB1695" s="16">
        <f>IF(ISERROR(VLOOKUP($A1695,'13. Updated Demand'!A:Z,19,FALSE)),0,VLOOKUP($A1695,'13. Updated Demand'!A:Z,19,FALSE))</f>
        <v>0</v>
      </c>
      <c r="AC1695" s="16">
        <f>IF(ISERROR(VLOOKUP($A1695,'13. Updated Demand'!A:Z,20,FALSE)),0,VLOOKUP($A1695,'13. Updated Demand'!A:Z,20,FALSE))</f>
        <v>0</v>
      </c>
      <c r="AD1695" s="16">
        <f>IF(ISERROR(VLOOKUP($A1695,'13. Updated Demand'!A:Z,21,FALSE)),0,VLOOKUP($A1695,'13. Updated Demand'!A:Z,21,FALSE))</f>
        <v>0</v>
      </c>
      <c r="AE1695" s="16">
        <f>IF(ISERROR(VLOOKUP($A1695,'13. Updated Demand'!A:Z,22,FALSE)),0,VLOOKUP($A1695,'13. Updated Demand'!A:Z,22,FALSE))</f>
        <v>0</v>
      </c>
      <c r="AF1695" s="16">
        <f>IF(ISERROR(VLOOKUP($A1695,'13. Updated Demand'!A:Z,23,FALSE)),0,VLOOKUP($A1695,'13. Updated Demand'!A:Z,23,FALSE))</f>
        <v>0</v>
      </c>
      <c r="AG1695" s="16">
        <f>IF(ISERROR(VLOOKUP($A1695,'13. Updated Demand'!A:Z,24,FALSE)),0,VLOOKUP($A1695,'13. Updated Demand'!A:Z,24,FALSE))</f>
        <v>0</v>
      </c>
      <c r="AH1695" s="16">
        <f>IF(ISERROR(VLOOKUP($A1695,'13. Updated Demand'!A:Z,25,FALSE)),0,VLOOKUP($A1695,'13. Updated Demand'!A:Z,25,FALSE))</f>
        <v>0</v>
      </c>
      <c r="AI1695" s="16">
        <f>IF(ISERROR(VLOOKUP($A1695,'13. Updated Demand'!A:Z,26,FALSE)),0,VLOOKUP($A1695,'13. Updated Demand'!A:Z,26,FALSE))</f>
        <v>0</v>
      </c>
      <c r="AJ1695" s="16">
        <f t="shared" si="325"/>
        <v>0</v>
      </c>
      <c r="AK1695" s="19">
        <v>0</v>
      </c>
      <c r="AL1695" s="16">
        <f t="shared" si="323"/>
        <v>0</v>
      </c>
      <c r="AM1695" s="26">
        <v>0</v>
      </c>
      <c r="AN1695" s="19">
        <v>19.920999999999999</v>
      </c>
      <c r="AO1695" s="19" t="s">
        <v>1758</v>
      </c>
      <c r="AP1695" s="19">
        <v>0</v>
      </c>
      <c r="AQ1695" s="19" t="s">
        <v>307</v>
      </c>
      <c r="AR1695" s="9" t="s">
        <v>348</v>
      </c>
      <c r="AS1695" s="12">
        <v>0</v>
      </c>
      <c r="AT1695" s="19">
        <v>39.339442179999999</v>
      </c>
      <c r="AU1695" s="19">
        <v>-123.12302151</v>
      </c>
      <c r="AV1695" s="19" t="s">
        <v>1862</v>
      </c>
    </row>
    <row r="1696" spans="1:48" x14ac:dyDescent="0.25">
      <c r="A1696" s="18" t="s">
        <v>2099</v>
      </c>
      <c r="B1696" s="10">
        <v>10000000</v>
      </c>
      <c r="C1696" s="9">
        <v>6</v>
      </c>
      <c r="D1696" s="8" t="str">
        <f t="shared" si="314"/>
        <v>Y</v>
      </c>
      <c r="E1696" s="8" t="str">
        <f t="shared" si="315"/>
        <v>N</v>
      </c>
      <c r="F1696" s="8" t="str">
        <f t="shared" si="316"/>
        <v>Y</v>
      </c>
      <c r="G1696" s="8" t="str">
        <f t="shared" si="317"/>
        <v>Y</v>
      </c>
      <c r="H1696" s="8" t="str">
        <f t="shared" si="318"/>
        <v>Upper</v>
      </c>
      <c r="I1696" s="8" t="str">
        <f t="shared" si="319"/>
        <v>West Fork and Below Lake</v>
      </c>
      <c r="J1696" s="8" t="str">
        <f t="shared" si="320"/>
        <v>Mendocino (d/s of lake)</v>
      </c>
      <c r="K1696" s="8" t="str">
        <f t="shared" si="321"/>
        <v>Riparian</v>
      </c>
      <c r="L1696" s="8">
        <f t="shared" si="322"/>
        <v>1000</v>
      </c>
      <c r="M1696" s="8" t="str">
        <f t="shared" si="324"/>
        <v>-</v>
      </c>
      <c r="N1696" s="10" t="s">
        <v>241</v>
      </c>
      <c r="O1696" s="10" t="s">
        <v>241</v>
      </c>
      <c r="P1696" s="10" t="s">
        <v>242</v>
      </c>
      <c r="Q1696" s="10" t="s">
        <v>242</v>
      </c>
      <c r="R1696" s="10" t="s">
        <v>242</v>
      </c>
      <c r="S1696" s="10" t="s">
        <v>241</v>
      </c>
      <c r="T1696" s="10" t="s">
        <v>242</v>
      </c>
      <c r="U1696" s="10" t="s">
        <v>242</v>
      </c>
      <c r="V1696" s="10" t="s">
        <v>242</v>
      </c>
      <c r="W1696" s="10" t="s">
        <v>242</v>
      </c>
      <c r="X1696" s="15">
        <f>IF(ISERROR(VLOOKUP($A1696,'13. Updated Demand'!A:Z,15,FALSE)),0,VLOOKUP($A1696,'13. Updated Demand'!A:Z,15,FALSE))</f>
        <v>0</v>
      </c>
      <c r="Y1696" s="16">
        <f>IF(ISERROR(VLOOKUP($A1696,'13. Updated Demand'!A:Z,16,FALSE)),0,VLOOKUP($A1696,'13. Updated Demand'!A:Z,16,FALSE))</f>
        <v>0</v>
      </c>
      <c r="Z1696" s="16">
        <f>IF(ISERROR(VLOOKUP($A1696,'13. Updated Demand'!A:Z,17,FALSE)),0,VLOOKUP($A1696,'13. Updated Demand'!A:Z,17,FALSE))</f>
        <v>0</v>
      </c>
      <c r="AA1696" s="16">
        <f>IF(ISERROR(VLOOKUP($A1696,'13. Updated Demand'!A:Z,18,FALSE)),0,VLOOKUP($A1696,'13. Updated Demand'!A:Z,18,FALSE))</f>
        <v>1.1000000000000001</v>
      </c>
      <c r="AB1696" s="16">
        <f>IF(ISERROR(VLOOKUP($A1696,'13. Updated Demand'!A:Z,19,FALSE)),0,VLOOKUP($A1696,'13. Updated Demand'!A:Z,19,FALSE))</f>
        <v>10.96</v>
      </c>
      <c r="AC1696" s="16">
        <f>IF(ISERROR(VLOOKUP($A1696,'13. Updated Demand'!A:Z,20,FALSE)),0,VLOOKUP($A1696,'13. Updated Demand'!A:Z,20,FALSE))</f>
        <v>12.3</v>
      </c>
      <c r="AD1696" s="16">
        <f>IF(ISERROR(VLOOKUP($A1696,'13. Updated Demand'!A:Z,21,FALSE)),0,VLOOKUP($A1696,'13. Updated Demand'!A:Z,21,FALSE))</f>
        <v>23.43</v>
      </c>
      <c r="AE1696" s="16">
        <f>IF(ISERROR(VLOOKUP($A1696,'13. Updated Demand'!A:Z,22,FALSE)),0,VLOOKUP($A1696,'13. Updated Demand'!A:Z,22,FALSE))</f>
        <v>0</v>
      </c>
      <c r="AF1696" s="16">
        <f>IF(ISERROR(VLOOKUP($A1696,'13. Updated Demand'!A:Z,23,FALSE)),0,VLOOKUP($A1696,'13. Updated Demand'!A:Z,23,FALSE))</f>
        <v>0</v>
      </c>
      <c r="AG1696" s="16">
        <f>IF(ISERROR(VLOOKUP($A1696,'13. Updated Demand'!A:Z,24,FALSE)),0,VLOOKUP($A1696,'13. Updated Demand'!A:Z,24,FALSE))</f>
        <v>0</v>
      </c>
      <c r="AH1696" s="16">
        <f>IF(ISERROR(VLOOKUP($A1696,'13. Updated Demand'!A:Z,25,FALSE)),0,VLOOKUP($A1696,'13. Updated Demand'!A:Z,25,FALSE))</f>
        <v>0</v>
      </c>
      <c r="AI1696" s="16">
        <f>IF(ISERROR(VLOOKUP($A1696,'13. Updated Demand'!A:Z,26,FALSE)),0,VLOOKUP($A1696,'13. Updated Demand'!A:Z,26,FALSE))</f>
        <v>0</v>
      </c>
      <c r="AJ1696" s="16">
        <f t="shared" si="325"/>
        <v>47.79</v>
      </c>
      <c r="AK1696" s="19">
        <v>46.7</v>
      </c>
      <c r="AL1696" s="16">
        <f t="shared" si="323"/>
        <v>0.15489858037010029</v>
      </c>
      <c r="AM1696" s="26">
        <v>2.693291562897937E-2</v>
      </c>
      <c r="AN1696" s="19">
        <v>1774.78</v>
      </c>
      <c r="AO1696" s="19" t="s">
        <v>1758</v>
      </c>
      <c r="AP1696" s="19">
        <v>0</v>
      </c>
      <c r="AQ1696" s="19" t="s">
        <v>307</v>
      </c>
      <c r="AR1696" s="9" t="s">
        <v>319</v>
      </c>
      <c r="AS1696" s="12">
        <v>0</v>
      </c>
      <c r="AT1696" s="19">
        <v>38.960133030000001</v>
      </c>
      <c r="AU1696" s="19">
        <v>-123.10488821</v>
      </c>
      <c r="AV1696" s="19" t="s">
        <v>387</v>
      </c>
    </row>
    <row r="1697" spans="1:48" x14ac:dyDescent="0.25">
      <c r="A1697" s="18" t="s">
        <v>2100</v>
      </c>
      <c r="B1697" s="10">
        <v>10000000</v>
      </c>
      <c r="C1697" s="9">
        <v>6</v>
      </c>
      <c r="D1697" s="8" t="str">
        <f t="shared" si="314"/>
        <v>Y</v>
      </c>
      <c r="E1697" s="8" t="str">
        <f t="shared" si="315"/>
        <v>N</v>
      </c>
      <c r="F1697" s="8" t="str">
        <f t="shared" si="316"/>
        <v>Y</v>
      </c>
      <c r="G1697" s="8" t="str">
        <f t="shared" si="317"/>
        <v>Y</v>
      </c>
      <c r="H1697" s="8" t="str">
        <f t="shared" si="318"/>
        <v>Upper</v>
      </c>
      <c r="I1697" s="8" t="str">
        <f t="shared" si="319"/>
        <v>West Fork and Below Lake</v>
      </c>
      <c r="J1697" s="8" t="str">
        <f t="shared" si="320"/>
        <v>Mendocino (d/s of lake)</v>
      </c>
      <c r="K1697" s="8" t="str">
        <f t="shared" si="321"/>
        <v>Riparian</v>
      </c>
      <c r="L1697" s="8">
        <f t="shared" si="322"/>
        <v>1000</v>
      </c>
      <c r="M1697" s="8" t="str">
        <f t="shared" si="324"/>
        <v>-</v>
      </c>
      <c r="N1697" s="10" t="s">
        <v>241</v>
      </c>
      <c r="O1697" s="10" t="s">
        <v>241</v>
      </c>
      <c r="P1697" s="10" t="s">
        <v>242</v>
      </c>
      <c r="Q1697" s="10" t="s">
        <v>242</v>
      </c>
      <c r="R1697" s="10" t="s">
        <v>242</v>
      </c>
      <c r="S1697" s="10" t="s">
        <v>241</v>
      </c>
      <c r="T1697" s="10" t="s">
        <v>242</v>
      </c>
      <c r="U1697" s="10" t="s">
        <v>241</v>
      </c>
      <c r="V1697" s="10" t="s">
        <v>241</v>
      </c>
      <c r="W1697" s="10" t="s">
        <v>242</v>
      </c>
      <c r="X1697" s="15">
        <f>IF(ISERROR(VLOOKUP($A1697,'13. Updated Demand'!A:Z,15,FALSE)),0,VLOOKUP($A1697,'13. Updated Demand'!A:Z,15,FALSE))</f>
        <v>0</v>
      </c>
      <c r="Y1697" s="16">
        <f>IF(ISERROR(VLOOKUP($A1697,'13. Updated Demand'!A:Z,16,FALSE)),0,VLOOKUP($A1697,'13. Updated Demand'!A:Z,16,FALSE))</f>
        <v>0</v>
      </c>
      <c r="Z1697" s="16">
        <f>IF(ISERROR(VLOOKUP($A1697,'13. Updated Demand'!A:Z,17,FALSE)),0,VLOOKUP($A1697,'13. Updated Demand'!A:Z,17,FALSE))</f>
        <v>0</v>
      </c>
      <c r="AA1697" s="16">
        <f>IF(ISERROR(VLOOKUP($A1697,'13. Updated Demand'!A:Z,18,FALSE)),0,VLOOKUP($A1697,'13. Updated Demand'!A:Z,18,FALSE))</f>
        <v>0</v>
      </c>
      <c r="AB1697" s="16">
        <f>IF(ISERROR(VLOOKUP($A1697,'13. Updated Demand'!A:Z,19,FALSE)),0,VLOOKUP($A1697,'13. Updated Demand'!A:Z,19,FALSE))</f>
        <v>0</v>
      </c>
      <c r="AC1697" s="16">
        <f>IF(ISERROR(VLOOKUP($A1697,'13. Updated Demand'!A:Z,20,FALSE)),0,VLOOKUP($A1697,'13. Updated Demand'!A:Z,20,FALSE))</f>
        <v>0</v>
      </c>
      <c r="AD1697" s="16">
        <f>IF(ISERROR(VLOOKUP($A1697,'13. Updated Demand'!A:Z,21,FALSE)),0,VLOOKUP($A1697,'13. Updated Demand'!A:Z,21,FALSE))</f>
        <v>0</v>
      </c>
      <c r="AE1697" s="16">
        <f>IF(ISERROR(VLOOKUP($A1697,'13. Updated Demand'!A:Z,22,FALSE)),0,VLOOKUP($A1697,'13. Updated Demand'!A:Z,22,FALSE))</f>
        <v>0</v>
      </c>
      <c r="AF1697" s="16">
        <f>IF(ISERROR(VLOOKUP($A1697,'13. Updated Demand'!A:Z,23,FALSE)),0,VLOOKUP($A1697,'13. Updated Demand'!A:Z,23,FALSE))</f>
        <v>0</v>
      </c>
      <c r="AG1697" s="16">
        <f>IF(ISERROR(VLOOKUP($A1697,'13. Updated Demand'!A:Z,24,FALSE)),0,VLOOKUP($A1697,'13. Updated Demand'!A:Z,24,FALSE))</f>
        <v>0</v>
      </c>
      <c r="AH1697" s="16">
        <f>IF(ISERROR(VLOOKUP($A1697,'13. Updated Demand'!A:Z,25,FALSE)),0,VLOOKUP($A1697,'13. Updated Demand'!A:Z,25,FALSE))</f>
        <v>0</v>
      </c>
      <c r="AI1697" s="16">
        <f>IF(ISERROR(VLOOKUP($A1697,'13. Updated Demand'!A:Z,26,FALSE)),0,VLOOKUP($A1697,'13. Updated Demand'!A:Z,26,FALSE))</f>
        <v>0</v>
      </c>
      <c r="AJ1697" s="16">
        <f t="shared" si="325"/>
        <v>0</v>
      </c>
      <c r="AK1697" s="19">
        <v>0</v>
      </c>
      <c r="AL1697" s="16">
        <f t="shared" si="323"/>
        <v>0</v>
      </c>
      <c r="AM1697" s="26">
        <v>0</v>
      </c>
      <c r="AN1697" s="19">
        <v>31</v>
      </c>
      <c r="AO1697" s="19" t="s">
        <v>1758</v>
      </c>
      <c r="AP1697" s="19">
        <v>0</v>
      </c>
      <c r="AQ1697" s="19" t="s">
        <v>307</v>
      </c>
      <c r="AR1697" s="9" t="s">
        <v>319</v>
      </c>
      <c r="AS1697" s="12">
        <v>0</v>
      </c>
      <c r="AT1697" s="19">
        <v>38.981699999999996</v>
      </c>
      <c r="AU1697" s="19">
        <v>-123.1069</v>
      </c>
      <c r="AV1697" s="19" t="s">
        <v>387</v>
      </c>
    </row>
    <row r="1698" spans="1:48" x14ac:dyDescent="0.25">
      <c r="A1698" s="18" t="s">
        <v>2101</v>
      </c>
      <c r="B1698" s="10">
        <v>10000000</v>
      </c>
      <c r="C1698" s="9">
        <v>6</v>
      </c>
      <c r="D1698" s="8" t="str">
        <f t="shared" si="314"/>
        <v>Y</v>
      </c>
      <c r="E1698" s="8" t="str">
        <f t="shared" si="315"/>
        <v>N</v>
      </c>
      <c r="F1698" s="8" t="str">
        <f t="shared" si="316"/>
        <v>Y</v>
      </c>
      <c r="G1698" s="8" t="str">
        <f t="shared" si="317"/>
        <v>Y</v>
      </c>
      <c r="H1698" s="8" t="str">
        <f t="shared" si="318"/>
        <v>Upper</v>
      </c>
      <c r="I1698" s="8" t="str">
        <f t="shared" si="319"/>
        <v>West Fork and Below Lake</v>
      </c>
      <c r="J1698" s="8" t="str">
        <f t="shared" si="320"/>
        <v>Mendocino (d/s of lake)</v>
      </c>
      <c r="K1698" s="8" t="str">
        <f t="shared" si="321"/>
        <v>Riparian</v>
      </c>
      <c r="L1698" s="8">
        <f t="shared" si="322"/>
        <v>1000</v>
      </c>
      <c r="M1698" s="8" t="str">
        <f t="shared" si="324"/>
        <v>-</v>
      </c>
      <c r="N1698" s="10" t="s">
        <v>241</v>
      </c>
      <c r="O1698" s="10" t="s">
        <v>241</v>
      </c>
      <c r="P1698" s="10" t="s">
        <v>242</v>
      </c>
      <c r="Q1698" s="10" t="s">
        <v>242</v>
      </c>
      <c r="R1698" s="10" t="s">
        <v>242</v>
      </c>
      <c r="S1698" s="10" t="s">
        <v>241</v>
      </c>
      <c r="T1698" s="10" t="s">
        <v>242</v>
      </c>
      <c r="U1698" s="10" t="s">
        <v>242</v>
      </c>
      <c r="V1698" s="10" t="s">
        <v>242</v>
      </c>
      <c r="W1698" s="10" t="s">
        <v>242</v>
      </c>
      <c r="X1698" s="15">
        <f>IF(ISERROR(VLOOKUP($A1698,'13. Updated Demand'!A:Z,15,FALSE)),0,VLOOKUP($A1698,'13. Updated Demand'!A:Z,15,FALSE))</f>
        <v>0</v>
      </c>
      <c r="Y1698" s="16">
        <f>IF(ISERROR(VLOOKUP($A1698,'13. Updated Demand'!A:Z,16,FALSE)),0,VLOOKUP($A1698,'13. Updated Demand'!A:Z,16,FALSE))</f>
        <v>0</v>
      </c>
      <c r="Z1698" s="16">
        <f>IF(ISERROR(VLOOKUP($A1698,'13. Updated Demand'!A:Z,17,FALSE)),0,VLOOKUP($A1698,'13. Updated Demand'!A:Z,17,FALSE))</f>
        <v>0</v>
      </c>
      <c r="AA1698" s="16">
        <f>IF(ISERROR(VLOOKUP($A1698,'13. Updated Demand'!A:Z,18,FALSE)),0,VLOOKUP($A1698,'13. Updated Demand'!A:Z,18,FALSE))</f>
        <v>0.04</v>
      </c>
      <c r="AB1698" s="16">
        <f>IF(ISERROR(VLOOKUP($A1698,'13. Updated Demand'!A:Z,19,FALSE)),0,VLOOKUP($A1698,'13. Updated Demand'!A:Z,19,FALSE))</f>
        <v>6.6666666666666697E-3</v>
      </c>
      <c r="AC1698" s="16">
        <f>IF(ISERROR(VLOOKUP($A1698,'13. Updated Demand'!A:Z,20,FALSE)),0,VLOOKUP($A1698,'13. Updated Demand'!A:Z,20,FALSE))</f>
        <v>0</v>
      </c>
      <c r="AD1698" s="16">
        <f>IF(ISERROR(VLOOKUP($A1698,'13. Updated Demand'!A:Z,21,FALSE)),0,VLOOKUP($A1698,'13. Updated Demand'!A:Z,21,FALSE))</f>
        <v>0</v>
      </c>
      <c r="AE1698" s="16">
        <f>IF(ISERROR(VLOOKUP($A1698,'13. Updated Demand'!A:Z,22,FALSE)),0,VLOOKUP($A1698,'13. Updated Demand'!A:Z,22,FALSE))</f>
        <v>0</v>
      </c>
      <c r="AF1698" s="16">
        <f>IF(ISERROR(VLOOKUP($A1698,'13. Updated Demand'!A:Z,23,FALSE)),0,VLOOKUP($A1698,'13. Updated Demand'!A:Z,23,FALSE))</f>
        <v>0</v>
      </c>
      <c r="AG1698" s="16">
        <f>IF(ISERROR(VLOOKUP($A1698,'13. Updated Demand'!A:Z,24,FALSE)),0,VLOOKUP($A1698,'13. Updated Demand'!A:Z,24,FALSE))</f>
        <v>0</v>
      </c>
      <c r="AH1698" s="16">
        <f>IF(ISERROR(VLOOKUP($A1698,'13. Updated Demand'!A:Z,25,FALSE)),0,VLOOKUP($A1698,'13. Updated Demand'!A:Z,25,FALSE))</f>
        <v>0</v>
      </c>
      <c r="AI1698" s="16">
        <f>IF(ISERROR(VLOOKUP($A1698,'13. Updated Demand'!A:Z,26,FALSE)),0,VLOOKUP($A1698,'13. Updated Demand'!A:Z,26,FALSE))</f>
        <v>0</v>
      </c>
      <c r="AJ1698" s="16">
        <f t="shared" si="325"/>
        <v>4.6666666666666669E-2</v>
      </c>
      <c r="AK1698" s="19">
        <v>6.6666666666666697E-3</v>
      </c>
      <c r="AL1698" s="16">
        <f t="shared" si="323"/>
        <v>2.2112573928636737E-5</v>
      </c>
      <c r="AM1698" s="26">
        <v>5.2434456928838959E-4</v>
      </c>
      <c r="AN1698" s="19">
        <v>89</v>
      </c>
      <c r="AO1698" s="19" t="s">
        <v>1758</v>
      </c>
      <c r="AP1698" s="19">
        <v>0</v>
      </c>
      <c r="AQ1698" s="19" t="s">
        <v>307</v>
      </c>
      <c r="AR1698" s="9" t="s">
        <v>319</v>
      </c>
      <c r="AS1698" s="12">
        <v>0</v>
      </c>
      <c r="AT1698" s="19">
        <v>38.986699999999999</v>
      </c>
      <c r="AU1698" s="19">
        <v>-123.10680000000001</v>
      </c>
      <c r="AV1698" s="19" t="s">
        <v>387</v>
      </c>
    </row>
    <row r="1699" spans="1:48" x14ac:dyDescent="0.25">
      <c r="A1699" s="18" t="s">
        <v>2102</v>
      </c>
      <c r="B1699" s="10">
        <v>10000000</v>
      </c>
      <c r="C1699" s="9">
        <v>6</v>
      </c>
      <c r="D1699" s="8" t="str">
        <f t="shared" si="314"/>
        <v>Y</v>
      </c>
      <c r="E1699" s="8" t="str">
        <f t="shared" si="315"/>
        <v>N</v>
      </c>
      <c r="F1699" s="8" t="str">
        <f t="shared" si="316"/>
        <v>Y</v>
      </c>
      <c r="G1699" s="8" t="str">
        <f t="shared" si="317"/>
        <v>Y</v>
      </c>
      <c r="H1699" s="8" t="str">
        <f t="shared" si="318"/>
        <v>Upper</v>
      </c>
      <c r="I1699" s="8" t="str">
        <f t="shared" si="319"/>
        <v>West Fork and Below Lake</v>
      </c>
      <c r="J1699" s="8" t="str">
        <f t="shared" si="320"/>
        <v>Mendocino (d/s of lake)</v>
      </c>
      <c r="K1699" s="8" t="str">
        <f t="shared" si="321"/>
        <v>Riparian</v>
      </c>
      <c r="L1699" s="8">
        <f t="shared" si="322"/>
        <v>1000</v>
      </c>
      <c r="M1699" s="8" t="str">
        <f t="shared" si="324"/>
        <v>-</v>
      </c>
      <c r="N1699" s="10" t="s">
        <v>241</v>
      </c>
      <c r="O1699" s="10" t="s">
        <v>241</v>
      </c>
      <c r="P1699" s="10" t="s">
        <v>242</v>
      </c>
      <c r="Q1699" s="10" t="s">
        <v>242</v>
      </c>
      <c r="R1699" s="10" t="s">
        <v>242</v>
      </c>
      <c r="S1699" s="10" t="s">
        <v>241</v>
      </c>
      <c r="T1699" s="10" t="s">
        <v>242</v>
      </c>
      <c r="U1699" s="10" t="s">
        <v>242</v>
      </c>
      <c r="V1699" s="10" t="s">
        <v>242</v>
      </c>
      <c r="W1699" s="10" t="s">
        <v>242</v>
      </c>
      <c r="X1699" s="15">
        <f>IF(ISERROR(VLOOKUP($A1699,'13. Updated Demand'!A:Z,15,FALSE)),0,VLOOKUP($A1699,'13. Updated Demand'!A:Z,15,FALSE))</f>
        <v>0</v>
      </c>
      <c r="Y1699" s="16">
        <f>IF(ISERROR(VLOOKUP($A1699,'13. Updated Demand'!A:Z,16,FALSE)),0,VLOOKUP($A1699,'13. Updated Demand'!A:Z,16,FALSE))</f>
        <v>0</v>
      </c>
      <c r="Z1699" s="16">
        <f>IF(ISERROR(VLOOKUP($A1699,'13. Updated Demand'!A:Z,17,FALSE)),0,VLOOKUP($A1699,'13. Updated Demand'!A:Z,17,FALSE))</f>
        <v>0</v>
      </c>
      <c r="AA1699" s="16">
        <f>IF(ISERROR(VLOOKUP($A1699,'13. Updated Demand'!A:Z,18,FALSE)),0,VLOOKUP($A1699,'13. Updated Demand'!A:Z,18,FALSE))</f>
        <v>0</v>
      </c>
      <c r="AB1699" s="16">
        <f>IF(ISERROR(VLOOKUP($A1699,'13. Updated Demand'!A:Z,19,FALSE)),0,VLOOKUP($A1699,'13. Updated Demand'!A:Z,19,FALSE))</f>
        <v>0.11</v>
      </c>
      <c r="AC1699" s="16">
        <f>IF(ISERROR(VLOOKUP($A1699,'13. Updated Demand'!A:Z,20,FALSE)),0,VLOOKUP($A1699,'13. Updated Demand'!A:Z,20,FALSE))</f>
        <v>0</v>
      </c>
      <c r="AD1699" s="16">
        <f>IF(ISERROR(VLOOKUP($A1699,'13. Updated Demand'!A:Z,21,FALSE)),0,VLOOKUP($A1699,'13. Updated Demand'!A:Z,21,FALSE))</f>
        <v>0</v>
      </c>
      <c r="AE1699" s="16">
        <f>IF(ISERROR(VLOOKUP($A1699,'13. Updated Demand'!A:Z,22,FALSE)),0,VLOOKUP($A1699,'13. Updated Demand'!A:Z,22,FALSE))</f>
        <v>0</v>
      </c>
      <c r="AF1699" s="16">
        <f>IF(ISERROR(VLOOKUP($A1699,'13. Updated Demand'!A:Z,23,FALSE)),0,VLOOKUP($A1699,'13. Updated Demand'!A:Z,23,FALSE))</f>
        <v>0</v>
      </c>
      <c r="AG1699" s="16">
        <f>IF(ISERROR(VLOOKUP($A1699,'13. Updated Demand'!A:Z,24,FALSE)),0,VLOOKUP($A1699,'13. Updated Demand'!A:Z,24,FALSE))</f>
        <v>0</v>
      </c>
      <c r="AH1699" s="16">
        <f>IF(ISERROR(VLOOKUP($A1699,'13. Updated Demand'!A:Z,25,FALSE)),0,VLOOKUP($A1699,'13. Updated Demand'!A:Z,25,FALSE))</f>
        <v>0</v>
      </c>
      <c r="AI1699" s="16">
        <f>IF(ISERROR(VLOOKUP($A1699,'13. Updated Demand'!A:Z,26,FALSE)),0,VLOOKUP($A1699,'13. Updated Demand'!A:Z,26,FALSE))</f>
        <v>0</v>
      </c>
      <c r="AJ1699" s="16">
        <f t="shared" si="325"/>
        <v>0.11</v>
      </c>
      <c r="AK1699" s="19">
        <v>0.11</v>
      </c>
      <c r="AL1699" s="16">
        <f t="shared" si="323"/>
        <v>3.6485746982250599E-4</v>
      </c>
      <c r="AM1699" s="26">
        <v>1.2359550561797752E-3</v>
      </c>
      <c r="AN1699" s="19">
        <v>89</v>
      </c>
      <c r="AO1699" s="19" t="s">
        <v>1758</v>
      </c>
      <c r="AP1699" s="19">
        <v>0</v>
      </c>
      <c r="AQ1699" s="19" t="s">
        <v>307</v>
      </c>
      <c r="AR1699" s="9" t="s">
        <v>319</v>
      </c>
      <c r="AS1699" s="12">
        <v>0</v>
      </c>
      <c r="AT1699" s="19">
        <v>38.9758</v>
      </c>
      <c r="AU1699" s="19">
        <v>-123.1083</v>
      </c>
      <c r="AV1699" s="19" t="s">
        <v>387</v>
      </c>
    </row>
    <row r="1700" spans="1:48" x14ac:dyDescent="0.25">
      <c r="A1700" s="18" t="s">
        <v>2103</v>
      </c>
      <c r="B1700" s="10">
        <v>10000000</v>
      </c>
      <c r="C1700" s="9">
        <v>6</v>
      </c>
      <c r="D1700" s="8" t="str">
        <f t="shared" si="314"/>
        <v>Y</v>
      </c>
      <c r="E1700" s="8" t="str">
        <f t="shared" si="315"/>
        <v>N</v>
      </c>
      <c r="F1700" s="8" t="str">
        <f t="shared" si="316"/>
        <v>Y</v>
      </c>
      <c r="G1700" s="8" t="str">
        <f t="shared" si="317"/>
        <v>Y</v>
      </c>
      <c r="H1700" s="8" t="str">
        <f t="shared" si="318"/>
        <v>Upper</v>
      </c>
      <c r="I1700" s="8" t="str">
        <f t="shared" si="319"/>
        <v>West Fork and Below Lake</v>
      </c>
      <c r="J1700" s="8" t="str">
        <f t="shared" si="320"/>
        <v>Mendocino (d/s of lake)</v>
      </c>
      <c r="K1700" s="8" t="str">
        <f t="shared" si="321"/>
        <v>Riparian</v>
      </c>
      <c r="L1700" s="8">
        <f t="shared" si="322"/>
        <v>1000</v>
      </c>
      <c r="M1700" s="8" t="str">
        <f t="shared" si="324"/>
        <v>-</v>
      </c>
      <c r="N1700" s="10" t="s">
        <v>241</v>
      </c>
      <c r="O1700" s="10" t="s">
        <v>241</v>
      </c>
      <c r="P1700" s="10" t="s">
        <v>242</v>
      </c>
      <c r="Q1700" s="10" t="s">
        <v>242</v>
      </c>
      <c r="R1700" s="10" t="s">
        <v>242</v>
      </c>
      <c r="S1700" s="10" t="s">
        <v>241</v>
      </c>
      <c r="T1700" s="10" t="s">
        <v>242</v>
      </c>
      <c r="U1700" s="10" t="s">
        <v>242</v>
      </c>
      <c r="V1700" s="10" t="s">
        <v>241</v>
      </c>
      <c r="W1700" s="10" t="s">
        <v>242</v>
      </c>
      <c r="X1700" s="15">
        <f>IF(ISERROR(VLOOKUP($A1700,'13. Updated Demand'!A:Z,15,FALSE)),0,VLOOKUP($A1700,'13. Updated Demand'!A:Z,15,FALSE))</f>
        <v>0</v>
      </c>
      <c r="Y1700" s="16">
        <f>IF(ISERROR(VLOOKUP($A1700,'13. Updated Demand'!A:Z,16,FALSE)),0,VLOOKUP($A1700,'13. Updated Demand'!A:Z,16,FALSE))</f>
        <v>0</v>
      </c>
      <c r="Z1700" s="16">
        <f>IF(ISERROR(VLOOKUP($A1700,'13. Updated Demand'!A:Z,17,FALSE)),0,VLOOKUP($A1700,'13. Updated Demand'!A:Z,17,FALSE))</f>
        <v>0</v>
      </c>
      <c r="AA1700" s="16">
        <f>IF(ISERROR(VLOOKUP($A1700,'13. Updated Demand'!A:Z,18,FALSE)),0,VLOOKUP($A1700,'13. Updated Demand'!A:Z,18,FALSE))</f>
        <v>6.6666666666666697E-3</v>
      </c>
      <c r="AB1700" s="16">
        <f>IF(ISERROR(VLOOKUP($A1700,'13. Updated Demand'!A:Z,19,FALSE)),0,VLOOKUP($A1700,'13. Updated Demand'!A:Z,19,FALSE))</f>
        <v>0</v>
      </c>
      <c r="AC1700" s="16">
        <f>IF(ISERROR(VLOOKUP($A1700,'13. Updated Demand'!A:Z,20,FALSE)),0,VLOOKUP($A1700,'13. Updated Demand'!A:Z,20,FALSE))</f>
        <v>0</v>
      </c>
      <c r="AD1700" s="16">
        <f>IF(ISERROR(VLOOKUP($A1700,'13. Updated Demand'!A:Z,21,FALSE)),0,VLOOKUP($A1700,'13. Updated Demand'!A:Z,21,FALSE))</f>
        <v>0</v>
      </c>
      <c r="AE1700" s="16">
        <f>IF(ISERROR(VLOOKUP($A1700,'13. Updated Demand'!A:Z,22,FALSE)),0,VLOOKUP($A1700,'13. Updated Demand'!A:Z,22,FALSE))</f>
        <v>0</v>
      </c>
      <c r="AF1700" s="16">
        <f>IF(ISERROR(VLOOKUP($A1700,'13. Updated Demand'!A:Z,23,FALSE)),0,VLOOKUP($A1700,'13. Updated Demand'!A:Z,23,FALSE))</f>
        <v>0</v>
      </c>
      <c r="AG1700" s="16">
        <f>IF(ISERROR(VLOOKUP($A1700,'13. Updated Demand'!A:Z,24,FALSE)),0,VLOOKUP($A1700,'13. Updated Demand'!A:Z,24,FALSE))</f>
        <v>0</v>
      </c>
      <c r="AH1700" s="16">
        <f>IF(ISERROR(VLOOKUP($A1700,'13. Updated Demand'!A:Z,25,FALSE)),0,VLOOKUP($A1700,'13. Updated Demand'!A:Z,25,FALSE))</f>
        <v>0</v>
      </c>
      <c r="AI1700" s="16">
        <f>IF(ISERROR(VLOOKUP($A1700,'13. Updated Demand'!A:Z,26,FALSE)),0,VLOOKUP($A1700,'13. Updated Demand'!A:Z,26,FALSE))</f>
        <v>0</v>
      </c>
      <c r="AJ1700" s="16">
        <f t="shared" si="325"/>
        <v>6.6666666666666697E-3</v>
      </c>
      <c r="AK1700" s="19">
        <v>0</v>
      </c>
      <c r="AL1700" s="16">
        <f t="shared" si="323"/>
        <v>0</v>
      </c>
      <c r="AM1700" s="26">
        <v>1.3333333333333339E-4</v>
      </c>
      <c r="AN1700" s="19">
        <v>50</v>
      </c>
      <c r="AO1700" s="19" t="s">
        <v>1758</v>
      </c>
      <c r="AP1700" s="19">
        <v>0</v>
      </c>
      <c r="AQ1700" s="19" t="s">
        <v>307</v>
      </c>
      <c r="AR1700" s="9" t="s">
        <v>319</v>
      </c>
      <c r="AS1700" s="12">
        <v>0</v>
      </c>
      <c r="AT1700" s="19">
        <v>38.973700000000001</v>
      </c>
      <c r="AU1700" s="19">
        <v>-123.10939999999999</v>
      </c>
      <c r="AV1700" s="19" t="s">
        <v>387</v>
      </c>
    </row>
    <row r="1701" spans="1:48" x14ac:dyDescent="0.25">
      <c r="A1701" s="18" t="s">
        <v>2104</v>
      </c>
      <c r="B1701" s="10">
        <v>10000000</v>
      </c>
      <c r="C1701" s="9">
        <v>4</v>
      </c>
      <c r="D1701" s="8" t="str">
        <f t="shared" si="314"/>
        <v>Y</v>
      </c>
      <c r="E1701" s="8" t="str">
        <f t="shared" si="315"/>
        <v>N</v>
      </c>
      <c r="F1701" s="8" t="str">
        <f t="shared" si="316"/>
        <v>Y</v>
      </c>
      <c r="G1701" s="8" t="str">
        <f t="shared" si="317"/>
        <v>Y</v>
      </c>
      <c r="H1701" s="8" t="str">
        <f t="shared" si="318"/>
        <v>Upper</v>
      </c>
      <c r="I1701" s="8" t="str">
        <f t="shared" si="319"/>
        <v>West Fork and Below Lake</v>
      </c>
      <c r="J1701" s="8" t="str">
        <f t="shared" si="320"/>
        <v>Mendocino (d/s of lake)</v>
      </c>
      <c r="K1701" s="8" t="str">
        <f t="shared" si="321"/>
        <v>Riparian</v>
      </c>
      <c r="L1701" s="8">
        <f t="shared" si="322"/>
        <v>1000</v>
      </c>
      <c r="M1701" s="8" t="str">
        <f t="shared" si="324"/>
        <v>-</v>
      </c>
      <c r="N1701" s="10" t="s">
        <v>241</v>
      </c>
      <c r="O1701" s="10" t="s">
        <v>241</v>
      </c>
      <c r="P1701" s="10" t="s">
        <v>242</v>
      </c>
      <c r="Q1701" s="10" t="s">
        <v>242</v>
      </c>
      <c r="R1701" s="10" t="s">
        <v>242</v>
      </c>
      <c r="S1701" s="10" t="s">
        <v>241</v>
      </c>
      <c r="T1701" s="10" t="s">
        <v>242</v>
      </c>
      <c r="U1701" s="10" t="s">
        <v>242</v>
      </c>
      <c r="V1701" s="10" t="s">
        <v>242</v>
      </c>
      <c r="W1701" s="10" t="s">
        <v>242</v>
      </c>
      <c r="X1701" s="15">
        <f>IF(ISERROR(VLOOKUP($A1701,'13. Updated Demand'!A:Z,15,FALSE)),0,VLOOKUP($A1701,'13. Updated Demand'!A:Z,15,FALSE))</f>
        <v>4.8499999999999996</v>
      </c>
      <c r="Y1701" s="16">
        <f>IF(ISERROR(VLOOKUP($A1701,'13. Updated Demand'!A:Z,16,FALSE)),0,VLOOKUP($A1701,'13. Updated Demand'!A:Z,16,FALSE))</f>
        <v>4.76</v>
      </c>
      <c r="Z1701" s="16">
        <f>IF(ISERROR(VLOOKUP($A1701,'13. Updated Demand'!A:Z,17,FALSE)),0,VLOOKUP($A1701,'13. Updated Demand'!A:Z,17,FALSE))</f>
        <v>4.0599999999999996</v>
      </c>
      <c r="AA1701" s="16">
        <f>IF(ISERROR(VLOOKUP($A1701,'13. Updated Demand'!A:Z,18,FALSE)),0,VLOOKUP($A1701,'13. Updated Demand'!A:Z,18,FALSE))</f>
        <v>5.07</v>
      </c>
      <c r="AB1701" s="16">
        <f>IF(ISERROR(VLOOKUP($A1701,'13. Updated Demand'!A:Z,19,FALSE)),0,VLOOKUP($A1701,'13. Updated Demand'!A:Z,19,FALSE))</f>
        <v>30.69</v>
      </c>
      <c r="AC1701" s="16">
        <f>IF(ISERROR(VLOOKUP($A1701,'13. Updated Demand'!A:Z,20,FALSE)),0,VLOOKUP($A1701,'13. Updated Demand'!A:Z,20,FALSE))</f>
        <v>51.95</v>
      </c>
      <c r="AD1701" s="16">
        <f>IF(ISERROR(VLOOKUP($A1701,'13. Updated Demand'!A:Z,21,FALSE)),0,VLOOKUP($A1701,'13. Updated Demand'!A:Z,21,FALSE))</f>
        <v>61.9</v>
      </c>
      <c r="AE1701" s="16">
        <f>IF(ISERROR(VLOOKUP($A1701,'13. Updated Demand'!A:Z,22,FALSE)),0,VLOOKUP($A1701,'13. Updated Demand'!A:Z,22,FALSE))</f>
        <v>69.92</v>
      </c>
      <c r="AF1701" s="16">
        <f>IF(ISERROR(VLOOKUP($A1701,'13. Updated Demand'!A:Z,23,FALSE)),0,VLOOKUP($A1701,'13. Updated Demand'!A:Z,23,FALSE))</f>
        <v>53.42</v>
      </c>
      <c r="AG1701" s="16">
        <f>IF(ISERROR(VLOOKUP($A1701,'13. Updated Demand'!A:Z,24,FALSE)),0,VLOOKUP($A1701,'13. Updated Demand'!A:Z,24,FALSE))</f>
        <v>21.84</v>
      </c>
      <c r="AH1701" s="16">
        <f>IF(ISERROR(VLOOKUP($A1701,'13. Updated Demand'!A:Z,25,FALSE)),0,VLOOKUP($A1701,'13. Updated Demand'!A:Z,25,FALSE))</f>
        <v>36.479999999999997</v>
      </c>
      <c r="AI1701" s="16">
        <f>IF(ISERROR(VLOOKUP($A1701,'13. Updated Demand'!A:Z,26,FALSE)),0,VLOOKUP($A1701,'13. Updated Demand'!A:Z,26,FALSE))</f>
        <v>21.43</v>
      </c>
      <c r="AJ1701" s="16">
        <f t="shared" si="325"/>
        <v>366.37</v>
      </c>
      <c r="AK1701" s="19">
        <v>267.90699999999998</v>
      </c>
      <c r="AL1701" s="16">
        <f t="shared" si="323"/>
        <v>0.88861700152489187</v>
      </c>
      <c r="AM1701" s="26">
        <v>0.59510345275603338</v>
      </c>
      <c r="AN1701" s="19">
        <v>615.74</v>
      </c>
      <c r="AO1701" s="19" t="s">
        <v>1758</v>
      </c>
      <c r="AP1701" s="19">
        <v>0</v>
      </c>
      <c r="AQ1701" s="19" t="s">
        <v>307</v>
      </c>
      <c r="AR1701" s="9" t="s">
        <v>331</v>
      </c>
      <c r="AS1701" s="12">
        <v>0</v>
      </c>
      <c r="AT1701" s="19">
        <v>39.148316180000002</v>
      </c>
      <c r="AU1701" s="19">
        <v>-123.1802936</v>
      </c>
      <c r="AV1701" s="19" t="s">
        <v>387</v>
      </c>
    </row>
    <row r="1702" spans="1:48" x14ac:dyDescent="0.25">
      <c r="A1702" s="18" t="s">
        <v>2105</v>
      </c>
      <c r="B1702" s="10">
        <v>10000000</v>
      </c>
      <c r="C1702" s="9">
        <v>5</v>
      </c>
      <c r="D1702" s="8" t="str">
        <f t="shared" si="314"/>
        <v>Y</v>
      </c>
      <c r="E1702" s="8" t="str">
        <f t="shared" si="315"/>
        <v>N</v>
      </c>
      <c r="F1702" s="8" t="str">
        <f t="shared" si="316"/>
        <v>Y</v>
      </c>
      <c r="G1702" s="8" t="str">
        <f t="shared" si="317"/>
        <v>Y</v>
      </c>
      <c r="H1702" s="8" t="str">
        <f t="shared" si="318"/>
        <v>Upper</v>
      </c>
      <c r="I1702" s="8" t="str">
        <f t="shared" si="319"/>
        <v>West Fork and Below Lake</v>
      </c>
      <c r="J1702" s="8" t="str">
        <f t="shared" si="320"/>
        <v>Mendocino (d/s of lake)</v>
      </c>
      <c r="K1702" s="8" t="str">
        <f t="shared" si="321"/>
        <v>Riparian</v>
      </c>
      <c r="L1702" s="8">
        <f t="shared" si="322"/>
        <v>1000</v>
      </c>
      <c r="M1702" s="8" t="str">
        <f t="shared" si="324"/>
        <v>-</v>
      </c>
      <c r="N1702" s="10" t="s">
        <v>241</v>
      </c>
      <c r="O1702" s="10" t="s">
        <v>241</v>
      </c>
      <c r="P1702" s="10" t="s">
        <v>242</v>
      </c>
      <c r="Q1702" s="10" t="s">
        <v>242</v>
      </c>
      <c r="R1702" s="10" t="s">
        <v>242</v>
      </c>
      <c r="S1702" s="10" t="s">
        <v>241</v>
      </c>
      <c r="T1702" s="10" t="s">
        <v>242</v>
      </c>
      <c r="U1702" s="10" t="s">
        <v>242</v>
      </c>
      <c r="V1702" s="10" t="s">
        <v>242</v>
      </c>
      <c r="W1702" s="10" t="s">
        <v>242</v>
      </c>
      <c r="X1702" s="15">
        <f>IF(ISERROR(VLOOKUP($A1702,'13. Updated Demand'!A:Z,15,FALSE)),0,VLOOKUP($A1702,'13. Updated Demand'!A:Z,15,FALSE))</f>
        <v>0</v>
      </c>
      <c r="Y1702" s="16">
        <f>IF(ISERROR(VLOOKUP($A1702,'13. Updated Demand'!A:Z,16,FALSE)),0,VLOOKUP($A1702,'13. Updated Demand'!A:Z,16,FALSE))</f>
        <v>1.33</v>
      </c>
      <c r="Z1702" s="16">
        <f>IF(ISERROR(VLOOKUP($A1702,'13. Updated Demand'!A:Z,17,FALSE)),0,VLOOKUP($A1702,'13. Updated Demand'!A:Z,17,FALSE))</f>
        <v>1.66</v>
      </c>
      <c r="AA1702" s="16">
        <f>IF(ISERROR(VLOOKUP($A1702,'13. Updated Demand'!A:Z,18,FALSE)),0,VLOOKUP($A1702,'13. Updated Demand'!A:Z,18,FALSE))</f>
        <v>1.66</v>
      </c>
      <c r="AB1702" s="16">
        <f>IF(ISERROR(VLOOKUP($A1702,'13. Updated Demand'!A:Z,19,FALSE)),0,VLOOKUP($A1702,'13. Updated Demand'!A:Z,19,FALSE))</f>
        <v>1.33</v>
      </c>
      <c r="AC1702" s="16">
        <f>IF(ISERROR(VLOOKUP($A1702,'13. Updated Demand'!A:Z,20,FALSE)),0,VLOOKUP($A1702,'13. Updated Demand'!A:Z,20,FALSE))</f>
        <v>1.66</v>
      </c>
      <c r="AD1702" s="16">
        <f>IF(ISERROR(VLOOKUP($A1702,'13. Updated Demand'!A:Z,21,FALSE)),0,VLOOKUP($A1702,'13. Updated Demand'!A:Z,21,FALSE))</f>
        <v>1.66</v>
      </c>
      <c r="AE1702" s="16">
        <f>IF(ISERROR(VLOOKUP($A1702,'13. Updated Demand'!A:Z,22,FALSE)),0,VLOOKUP($A1702,'13. Updated Demand'!A:Z,22,FALSE))</f>
        <v>1.33</v>
      </c>
      <c r="AF1702" s="16">
        <f>IF(ISERROR(VLOOKUP($A1702,'13. Updated Demand'!A:Z,23,FALSE)),0,VLOOKUP($A1702,'13. Updated Demand'!A:Z,23,FALSE))</f>
        <v>1.33</v>
      </c>
      <c r="AG1702" s="16">
        <f>IF(ISERROR(VLOOKUP($A1702,'13. Updated Demand'!A:Z,24,FALSE)),0,VLOOKUP($A1702,'13. Updated Demand'!A:Z,24,FALSE))</f>
        <v>0.66</v>
      </c>
      <c r="AH1702" s="16">
        <f>IF(ISERROR(VLOOKUP($A1702,'13. Updated Demand'!A:Z,25,FALSE)),0,VLOOKUP($A1702,'13. Updated Demand'!A:Z,25,FALSE))</f>
        <v>0</v>
      </c>
      <c r="AI1702" s="16">
        <f>IF(ISERROR(VLOOKUP($A1702,'13. Updated Demand'!A:Z,26,FALSE)),0,VLOOKUP($A1702,'13. Updated Demand'!A:Z,26,FALSE))</f>
        <v>0</v>
      </c>
      <c r="AJ1702" s="16">
        <f t="shared" si="325"/>
        <v>12.620000000000001</v>
      </c>
      <c r="AK1702" s="19">
        <v>7.3333333333333304</v>
      </c>
      <c r="AL1702" s="16">
        <f t="shared" si="323"/>
        <v>2.4323831321500393E-2</v>
      </c>
      <c r="AM1702" s="26">
        <v>6.830365359838028E-3</v>
      </c>
      <c r="AN1702" s="19">
        <v>1854.4639999999999</v>
      </c>
      <c r="AO1702" s="19" t="s">
        <v>1758</v>
      </c>
      <c r="AP1702" s="19">
        <v>0</v>
      </c>
      <c r="AQ1702" s="19" t="s">
        <v>307</v>
      </c>
      <c r="AR1702" s="9" t="s">
        <v>333</v>
      </c>
      <c r="AS1702" s="12">
        <v>0</v>
      </c>
      <c r="AT1702" s="19">
        <v>39.108899999999998</v>
      </c>
      <c r="AU1702" s="19">
        <v>-123.1649</v>
      </c>
      <c r="AV1702" s="19" t="s">
        <v>387</v>
      </c>
    </row>
    <row r="1703" spans="1:48" x14ac:dyDescent="0.25">
      <c r="A1703" s="18" t="s">
        <v>2106</v>
      </c>
      <c r="B1703" s="10">
        <v>10000000</v>
      </c>
      <c r="C1703" s="9">
        <v>10</v>
      </c>
      <c r="D1703" s="8" t="str">
        <f t="shared" si="314"/>
        <v>N</v>
      </c>
      <c r="E1703" s="8" t="str">
        <f t="shared" si="315"/>
        <v>Y</v>
      </c>
      <c r="F1703" s="8" t="str">
        <f t="shared" si="316"/>
        <v>Y</v>
      </c>
      <c r="G1703" s="8" t="str">
        <f t="shared" si="317"/>
        <v>Y</v>
      </c>
      <c r="H1703" s="8" t="str">
        <f t="shared" si="318"/>
        <v>Upper</v>
      </c>
      <c r="I1703" s="8" t="str">
        <f t="shared" si="319"/>
        <v>West Fork and Below Lake</v>
      </c>
      <c r="J1703" s="8" t="str">
        <f t="shared" si="320"/>
        <v>Sonoma (d/s of Clov. Gage)</v>
      </c>
      <c r="K1703" s="8" t="str">
        <f t="shared" si="321"/>
        <v>Riparian</v>
      </c>
      <c r="L1703" s="8">
        <f t="shared" si="322"/>
        <v>1000</v>
      </c>
      <c r="M1703" s="8" t="str">
        <f t="shared" si="324"/>
        <v>-</v>
      </c>
      <c r="N1703" s="10" t="s">
        <v>241</v>
      </c>
      <c r="O1703" s="10" t="s">
        <v>241</v>
      </c>
      <c r="P1703" s="10" t="s">
        <v>242</v>
      </c>
      <c r="Q1703" s="10" t="s">
        <v>242</v>
      </c>
      <c r="R1703" s="10" t="s">
        <v>242</v>
      </c>
      <c r="S1703" s="10" t="s">
        <v>241</v>
      </c>
      <c r="T1703" s="10" t="s">
        <v>242</v>
      </c>
      <c r="U1703" s="10" t="s">
        <v>242</v>
      </c>
      <c r="V1703" s="10" t="s">
        <v>242</v>
      </c>
      <c r="W1703" s="10" t="s">
        <v>242</v>
      </c>
      <c r="X1703" s="15">
        <f>IF(ISERROR(VLOOKUP($A1703,'13. Updated Demand'!A:Z,15,FALSE)),0,VLOOKUP($A1703,'13. Updated Demand'!A:Z,15,FALSE))</f>
        <v>0</v>
      </c>
      <c r="Y1703" s="16">
        <f>IF(ISERROR(VLOOKUP($A1703,'13. Updated Demand'!A:Z,16,FALSE)),0,VLOOKUP($A1703,'13. Updated Demand'!A:Z,16,FALSE))</f>
        <v>0</v>
      </c>
      <c r="Z1703" s="16">
        <f>IF(ISERROR(VLOOKUP($A1703,'13. Updated Demand'!A:Z,17,FALSE)),0,VLOOKUP($A1703,'13. Updated Demand'!A:Z,17,FALSE))</f>
        <v>0</v>
      </c>
      <c r="AA1703" s="16">
        <f>IF(ISERROR(VLOOKUP($A1703,'13. Updated Demand'!A:Z,18,FALSE)),0,VLOOKUP($A1703,'13. Updated Demand'!A:Z,18,FALSE))</f>
        <v>0</v>
      </c>
      <c r="AB1703" s="16">
        <f>IF(ISERROR(VLOOKUP($A1703,'13. Updated Demand'!A:Z,19,FALSE)),0,VLOOKUP($A1703,'13. Updated Demand'!A:Z,19,FALSE))</f>
        <v>0.13</v>
      </c>
      <c r="AC1703" s="16">
        <f>IF(ISERROR(VLOOKUP($A1703,'13. Updated Demand'!A:Z,20,FALSE)),0,VLOOKUP($A1703,'13. Updated Demand'!A:Z,20,FALSE))</f>
        <v>0.76</v>
      </c>
      <c r="AD1703" s="16">
        <f>IF(ISERROR(VLOOKUP($A1703,'13. Updated Demand'!A:Z,21,FALSE)),0,VLOOKUP($A1703,'13. Updated Demand'!A:Z,21,FALSE))</f>
        <v>0.66</v>
      </c>
      <c r="AE1703" s="16">
        <f>IF(ISERROR(VLOOKUP($A1703,'13. Updated Demand'!A:Z,22,FALSE)),0,VLOOKUP($A1703,'13. Updated Demand'!A:Z,22,FALSE))</f>
        <v>1.06</v>
      </c>
      <c r="AF1703" s="16">
        <f>IF(ISERROR(VLOOKUP($A1703,'13. Updated Demand'!A:Z,23,FALSE)),0,VLOOKUP($A1703,'13. Updated Demand'!A:Z,23,FALSE))</f>
        <v>1.33</v>
      </c>
      <c r="AG1703" s="16">
        <f>IF(ISERROR(VLOOKUP($A1703,'13. Updated Demand'!A:Z,24,FALSE)),0,VLOOKUP($A1703,'13. Updated Demand'!A:Z,24,FALSE))</f>
        <v>0.2</v>
      </c>
      <c r="AH1703" s="16">
        <f>IF(ISERROR(VLOOKUP($A1703,'13. Updated Demand'!A:Z,25,FALSE)),0,VLOOKUP($A1703,'13. Updated Demand'!A:Z,25,FALSE))</f>
        <v>0</v>
      </c>
      <c r="AI1703" s="16">
        <f>IF(ISERROR(VLOOKUP($A1703,'13. Updated Demand'!A:Z,26,FALSE)),0,VLOOKUP($A1703,'13. Updated Demand'!A:Z,26,FALSE))</f>
        <v>0</v>
      </c>
      <c r="AJ1703" s="16">
        <f t="shared" si="325"/>
        <v>4.1400000000000006</v>
      </c>
      <c r="AK1703" s="19">
        <v>3.9666666666666668</v>
      </c>
      <c r="AL1703" s="16">
        <f t="shared" si="323"/>
        <v>1.3156981487538853E-2</v>
      </c>
      <c r="AM1703" s="26">
        <v>2.0915951341130804E-3</v>
      </c>
      <c r="AN1703" s="19">
        <v>1992.1</v>
      </c>
      <c r="AO1703" s="19" t="s">
        <v>1758</v>
      </c>
      <c r="AP1703" s="19">
        <v>0</v>
      </c>
      <c r="AQ1703" s="19" t="s">
        <v>307</v>
      </c>
      <c r="AR1703" s="9" t="s">
        <v>436</v>
      </c>
      <c r="AS1703" s="12">
        <v>0</v>
      </c>
      <c r="AT1703" s="19">
        <v>38.663373999999997</v>
      </c>
      <c r="AU1703" s="19">
        <v>-122.85021413</v>
      </c>
      <c r="AV1703" s="19" t="s">
        <v>548</v>
      </c>
    </row>
    <row r="1704" spans="1:48" x14ac:dyDescent="0.25">
      <c r="A1704" s="18" t="s">
        <v>2107</v>
      </c>
      <c r="B1704" s="10">
        <v>10000000</v>
      </c>
      <c r="C1704" s="9">
        <v>10</v>
      </c>
      <c r="D1704" s="8" t="str">
        <f t="shared" si="314"/>
        <v>N</v>
      </c>
      <c r="E1704" s="8" t="str">
        <f t="shared" si="315"/>
        <v>Y</v>
      </c>
      <c r="F1704" s="8" t="str">
        <f t="shared" si="316"/>
        <v>Y</v>
      </c>
      <c r="G1704" s="8" t="str">
        <f t="shared" si="317"/>
        <v>Y</v>
      </c>
      <c r="H1704" s="8" t="str">
        <f t="shared" si="318"/>
        <v>Upper</v>
      </c>
      <c r="I1704" s="8" t="str">
        <f t="shared" si="319"/>
        <v>West Fork and Below Lake</v>
      </c>
      <c r="J1704" s="8" t="str">
        <f t="shared" si="320"/>
        <v>Sonoma (d/s of Clov. Gage)</v>
      </c>
      <c r="K1704" s="8" t="str">
        <f t="shared" si="321"/>
        <v>Riparian</v>
      </c>
      <c r="L1704" s="8">
        <f t="shared" si="322"/>
        <v>1000</v>
      </c>
      <c r="M1704" s="8" t="str">
        <f t="shared" si="324"/>
        <v>-</v>
      </c>
      <c r="N1704" s="10" t="s">
        <v>241</v>
      </c>
      <c r="O1704" s="10" t="s">
        <v>241</v>
      </c>
      <c r="P1704" s="10" t="s">
        <v>242</v>
      </c>
      <c r="Q1704" s="10" t="s">
        <v>242</v>
      </c>
      <c r="R1704" s="10" t="s">
        <v>242</v>
      </c>
      <c r="S1704" s="10" t="s">
        <v>241</v>
      </c>
      <c r="T1704" s="10" t="s">
        <v>242</v>
      </c>
      <c r="U1704" s="10" t="s">
        <v>242</v>
      </c>
      <c r="V1704" s="10" t="s">
        <v>242</v>
      </c>
      <c r="W1704" s="10" t="s">
        <v>242</v>
      </c>
      <c r="X1704" s="15">
        <f>IF(ISERROR(VLOOKUP($A1704,'13. Updated Demand'!A:Z,15,FALSE)),0,VLOOKUP($A1704,'13. Updated Demand'!A:Z,15,FALSE))</f>
        <v>0</v>
      </c>
      <c r="Y1704" s="16">
        <f>IF(ISERROR(VLOOKUP($A1704,'13. Updated Demand'!A:Z,16,FALSE)),0,VLOOKUP($A1704,'13. Updated Demand'!A:Z,16,FALSE))</f>
        <v>0</v>
      </c>
      <c r="Z1704" s="16">
        <f>IF(ISERROR(VLOOKUP($A1704,'13. Updated Demand'!A:Z,17,FALSE)),0,VLOOKUP($A1704,'13. Updated Demand'!A:Z,17,FALSE))</f>
        <v>0</v>
      </c>
      <c r="AA1704" s="16">
        <f>IF(ISERROR(VLOOKUP($A1704,'13. Updated Demand'!A:Z,18,FALSE)),0,VLOOKUP($A1704,'13. Updated Demand'!A:Z,18,FALSE))</f>
        <v>0</v>
      </c>
      <c r="AB1704" s="16">
        <f>IF(ISERROR(VLOOKUP($A1704,'13. Updated Demand'!A:Z,19,FALSE)),0,VLOOKUP($A1704,'13. Updated Demand'!A:Z,19,FALSE))</f>
        <v>0</v>
      </c>
      <c r="AC1704" s="16">
        <f>IF(ISERROR(VLOOKUP($A1704,'13. Updated Demand'!A:Z,20,FALSE)),0,VLOOKUP($A1704,'13. Updated Demand'!A:Z,20,FALSE))</f>
        <v>0</v>
      </c>
      <c r="AD1704" s="16">
        <f>IF(ISERROR(VLOOKUP($A1704,'13. Updated Demand'!A:Z,21,FALSE)),0,VLOOKUP($A1704,'13. Updated Demand'!A:Z,21,FALSE))</f>
        <v>0</v>
      </c>
      <c r="AE1704" s="16">
        <f>IF(ISERROR(VLOOKUP($A1704,'13. Updated Demand'!A:Z,22,FALSE)),0,VLOOKUP($A1704,'13. Updated Demand'!A:Z,22,FALSE))</f>
        <v>0</v>
      </c>
      <c r="AF1704" s="16">
        <f>IF(ISERROR(VLOOKUP($A1704,'13. Updated Demand'!A:Z,23,FALSE)),0,VLOOKUP($A1704,'13. Updated Demand'!A:Z,23,FALSE))</f>
        <v>0</v>
      </c>
      <c r="AG1704" s="16">
        <f>IF(ISERROR(VLOOKUP($A1704,'13. Updated Demand'!A:Z,24,FALSE)),0,VLOOKUP($A1704,'13. Updated Demand'!A:Z,24,FALSE))</f>
        <v>0</v>
      </c>
      <c r="AH1704" s="16">
        <f>IF(ISERROR(VLOOKUP($A1704,'13. Updated Demand'!A:Z,25,FALSE)),0,VLOOKUP($A1704,'13. Updated Demand'!A:Z,25,FALSE))</f>
        <v>0</v>
      </c>
      <c r="AI1704" s="16">
        <f>IF(ISERROR(VLOOKUP($A1704,'13. Updated Demand'!A:Z,26,FALSE)),0,VLOOKUP($A1704,'13. Updated Demand'!A:Z,26,FALSE))</f>
        <v>0</v>
      </c>
      <c r="AJ1704" s="16">
        <f t="shared" si="325"/>
        <v>0</v>
      </c>
      <c r="AK1704" s="19">
        <v>22.466666666666661</v>
      </c>
      <c r="AL1704" s="16">
        <f t="shared" si="323"/>
        <v>7.4519374139505754E-2</v>
      </c>
      <c r="AM1704" s="26">
        <v>3.446823441984101E-2</v>
      </c>
      <c r="AN1704" s="19">
        <v>967.07399999999996</v>
      </c>
      <c r="AO1704" s="19" t="s">
        <v>1758</v>
      </c>
      <c r="AP1704" s="19">
        <v>0</v>
      </c>
      <c r="AQ1704" s="19" t="s">
        <v>307</v>
      </c>
      <c r="AR1704" s="9" t="s">
        <v>436</v>
      </c>
      <c r="AS1704" s="12">
        <v>0</v>
      </c>
      <c r="AT1704" s="19">
        <v>38.667433039999999</v>
      </c>
      <c r="AU1704" s="19">
        <v>-122.83957950999999</v>
      </c>
      <c r="AV1704" s="19" t="s">
        <v>548</v>
      </c>
    </row>
    <row r="1705" spans="1:48" x14ac:dyDescent="0.25">
      <c r="A1705" s="18" t="s">
        <v>2108</v>
      </c>
      <c r="B1705" s="10">
        <v>10000000</v>
      </c>
      <c r="C1705" s="9">
        <v>23</v>
      </c>
      <c r="D1705" s="8" t="str">
        <f t="shared" si="314"/>
        <v>N</v>
      </c>
      <c r="E1705" s="8" t="str">
        <f t="shared" si="315"/>
        <v>N</v>
      </c>
      <c r="F1705" s="8" t="str">
        <f t="shared" si="316"/>
        <v>N</v>
      </c>
      <c r="G1705" s="8" t="str">
        <f t="shared" si="317"/>
        <v>N</v>
      </c>
      <c r="H1705" s="8" t="str">
        <f t="shared" si="318"/>
        <v>Lower</v>
      </c>
      <c r="I1705" s="8" t="str">
        <f t="shared" si="319"/>
        <v>Outside</v>
      </c>
      <c r="J1705" s="8" t="str">
        <f t="shared" si="320"/>
        <v>Outside</v>
      </c>
      <c r="K1705" s="8" t="str">
        <f t="shared" si="321"/>
        <v>Riparian</v>
      </c>
      <c r="L1705" s="8">
        <f t="shared" si="322"/>
        <v>1000</v>
      </c>
      <c r="M1705" s="8" t="str">
        <f t="shared" si="324"/>
        <v>-</v>
      </c>
      <c r="N1705" s="10" t="s">
        <v>242</v>
      </c>
      <c r="O1705" s="10" t="s">
        <v>242</v>
      </c>
      <c r="P1705" s="10" t="s">
        <v>242</v>
      </c>
      <c r="Q1705" s="10" t="s">
        <v>242</v>
      </c>
      <c r="R1705" s="10" t="s">
        <v>242</v>
      </c>
      <c r="S1705" s="10" t="s">
        <v>241</v>
      </c>
      <c r="T1705" s="10" t="s">
        <v>242</v>
      </c>
      <c r="U1705" s="10" t="s">
        <v>242</v>
      </c>
      <c r="V1705" s="10" t="s">
        <v>242</v>
      </c>
      <c r="W1705" s="10" t="s">
        <v>242</v>
      </c>
      <c r="X1705" s="15">
        <f>IF(ISERROR(VLOOKUP($A1705,'13. Updated Demand'!A:Z,15,FALSE)),0,VLOOKUP($A1705,'13. Updated Demand'!A:Z,15,FALSE))</f>
        <v>0</v>
      </c>
      <c r="Y1705" s="16">
        <f>IF(ISERROR(VLOOKUP($A1705,'13. Updated Demand'!A:Z,16,FALSE)),0,VLOOKUP($A1705,'13. Updated Demand'!A:Z,16,FALSE))</f>
        <v>0</v>
      </c>
      <c r="Z1705" s="16">
        <f>IF(ISERROR(VLOOKUP($A1705,'13. Updated Demand'!A:Z,17,FALSE)),0,VLOOKUP($A1705,'13. Updated Demand'!A:Z,17,FALSE))</f>
        <v>0</v>
      </c>
      <c r="AA1705" s="16">
        <f>IF(ISERROR(VLOOKUP($A1705,'13. Updated Demand'!A:Z,18,FALSE)),0,VLOOKUP($A1705,'13. Updated Demand'!A:Z,18,FALSE))</f>
        <v>0.103312</v>
      </c>
      <c r="AB1705" s="16">
        <f>IF(ISERROR(VLOOKUP($A1705,'13. Updated Demand'!A:Z,19,FALSE)),0,VLOOKUP($A1705,'13. Updated Demand'!A:Z,19,FALSE))</f>
        <v>0.115856667</v>
      </c>
      <c r="AC1705" s="16">
        <f>IF(ISERROR(VLOOKUP($A1705,'13. Updated Demand'!A:Z,20,FALSE)),0,VLOOKUP($A1705,'13. Updated Demand'!A:Z,20,FALSE))</f>
        <v>0.12669133299999999</v>
      </c>
      <c r="AD1705" s="16">
        <f>IF(ISERROR(VLOOKUP($A1705,'13. Updated Demand'!A:Z,21,FALSE)),0,VLOOKUP($A1705,'13. Updated Demand'!A:Z,21,FALSE))</f>
        <v>0.26371233300000002</v>
      </c>
      <c r="AE1705" s="16">
        <f>IF(ISERROR(VLOOKUP($A1705,'13. Updated Demand'!A:Z,22,FALSE)),0,VLOOKUP($A1705,'13. Updated Demand'!A:Z,22,FALSE))</f>
        <v>0.22842000000000001</v>
      </c>
      <c r="AF1705" s="16">
        <f>IF(ISERROR(VLOOKUP($A1705,'13. Updated Demand'!A:Z,23,FALSE)),0,VLOOKUP($A1705,'13. Updated Demand'!A:Z,23,FALSE))</f>
        <v>0.30093666699999999</v>
      </c>
      <c r="AG1705" s="16">
        <f>IF(ISERROR(VLOOKUP($A1705,'13. Updated Demand'!A:Z,24,FALSE)),0,VLOOKUP($A1705,'13. Updated Demand'!A:Z,24,FALSE))</f>
        <v>0</v>
      </c>
      <c r="AH1705" s="16">
        <f>IF(ISERROR(VLOOKUP($A1705,'13. Updated Demand'!A:Z,25,FALSE)),0,VLOOKUP($A1705,'13. Updated Demand'!A:Z,25,FALSE))</f>
        <v>0</v>
      </c>
      <c r="AI1705" s="16">
        <f>IF(ISERROR(VLOOKUP($A1705,'13. Updated Demand'!A:Z,26,FALSE)),0,VLOOKUP($A1705,'13. Updated Demand'!A:Z,26,FALSE))</f>
        <v>0</v>
      </c>
      <c r="AJ1705" s="16">
        <f t="shared" si="325"/>
        <v>1.1389290000000001</v>
      </c>
      <c r="AK1705" s="19">
        <v>1.035617</v>
      </c>
      <c r="AL1705" s="16">
        <f t="shared" si="323"/>
        <v>3.4350236211379472E-3</v>
      </c>
      <c r="AM1705" s="26">
        <v>2.5155803423522919E-2</v>
      </c>
      <c r="AN1705" s="19">
        <v>45.274999999999999</v>
      </c>
      <c r="AO1705" s="19" t="s">
        <v>1758</v>
      </c>
      <c r="AP1705" s="19">
        <v>0</v>
      </c>
      <c r="AQ1705" s="19" t="s">
        <v>307</v>
      </c>
      <c r="AR1705" s="9" t="s">
        <v>323</v>
      </c>
      <c r="AS1705" s="12">
        <v>0</v>
      </c>
      <c r="AT1705" s="19">
        <v>38.492199999999997</v>
      </c>
      <c r="AU1705" s="19">
        <v>-122.8841</v>
      </c>
      <c r="AV1705" s="19" t="s">
        <v>735</v>
      </c>
    </row>
    <row r="1706" spans="1:48" x14ac:dyDescent="0.25">
      <c r="A1706" s="18" t="s">
        <v>2109</v>
      </c>
      <c r="B1706" s="10">
        <v>10000000</v>
      </c>
      <c r="C1706" s="9">
        <v>1</v>
      </c>
      <c r="D1706" s="8" t="str">
        <f t="shared" si="314"/>
        <v>N</v>
      </c>
      <c r="E1706" s="8" t="str">
        <f t="shared" si="315"/>
        <v>N</v>
      </c>
      <c r="F1706" s="8" t="str">
        <f t="shared" si="316"/>
        <v>Y</v>
      </c>
      <c r="G1706" s="8" t="str">
        <f t="shared" si="317"/>
        <v>Y</v>
      </c>
      <c r="H1706" s="8" t="str">
        <f t="shared" si="318"/>
        <v>Upper</v>
      </c>
      <c r="I1706" s="8" t="str">
        <f t="shared" si="319"/>
        <v>West Fork and Below Lake</v>
      </c>
      <c r="J1706" s="8" t="str">
        <f t="shared" si="320"/>
        <v>Outside</v>
      </c>
      <c r="K1706" s="8" t="str">
        <f t="shared" si="321"/>
        <v>Riparian</v>
      </c>
      <c r="L1706" s="8">
        <f t="shared" si="322"/>
        <v>1000</v>
      </c>
      <c r="M1706" s="8" t="str">
        <f t="shared" si="324"/>
        <v>-</v>
      </c>
      <c r="N1706" s="10" t="s">
        <v>242</v>
      </c>
      <c r="O1706" s="10" t="s">
        <v>241</v>
      </c>
      <c r="P1706" s="10" t="s">
        <v>242</v>
      </c>
      <c r="Q1706" s="10" t="s">
        <v>242</v>
      </c>
      <c r="R1706" s="10" t="s">
        <v>242</v>
      </c>
      <c r="S1706" s="10" t="s">
        <v>241</v>
      </c>
      <c r="T1706" s="10" t="s">
        <v>242</v>
      </c>
      <c r="U1706" s="10" t="s">
        <v>242</v>
      </c>
      <c r="V1706" s="10" t="s">
        <v>242</v>
      </c>
      <c r="W1706" s="10" t="s">
        <v>242</v>
      </c>
      <c r="X1706" s="15">
        <f>IF(ISERROR(VLOOKUP($A1706,'13. Updated Demand'!A:Z,15,FALSE)),0,VLOOKUP($A1706,'13. Updated Demand'!A:Z,15,FALSE))</f>
        <v>0</v>
      </c>
      <c r="Y1706" s="16">
        <f>IF(ISERROR(VLOOKUP($A1706,'13. Updated Demand'!A:Z,16,FALSE)),0,VLOOKUP($A1706,'13. Updated Demand'!A:Z,16,FALSE))</f>
        <v>0</v>
      </c>
      <c r="Z1706" s="16">
        <f>IF(ISERROR(VLOOKUP($A1706,'13. Updated Demand'!A:Z,17,FALSE)),0,VLOOKUP($A1706,'13. Updated Demand'!A:Z,17,FALSE))</f>
        <v>0</v>
      </c>
      <c r="AA1706" s="16">
        <f>IF(ISERROR(VLOOKUP($A1706,'13. Updated Demand'!A:Z,18,FALSE)),0,VLOOKUP($A1706,'13. Updated Demand'!A:Z,18,FALSE))</f>
        <v>0.01</v>
      </c>
      <c r="AB1706" s="16">
        <f>IF(ISERROR(VLOOKUP($A1706,'13. Updated Demand'!A:Z,19,FALSE)),0,VLOOKUP($A1706,'13. Updated Demand'!A:Z,19,FALSE))</f>
        <v>0.03</v>
      </c>
      <c r="AC1706" s="16">
        <f>IF(ISERROR(VLOOKUP($A1706,'13. Updated Demand'!A:Z,20,FALSE)),0,VLOOKUP($A1706,'13. Updated Demand'!A:Z,20,FALSE))</f>
        <v>0.01</v>
      </c>
      <c r="AD1706" s="16">
        <f>IF(ISERROR(VLOOKUP($A1706,'13. Updated Demand'!A:Z,21,FALSE)),0,VLOOKUP($A1706,'13. Updated Demand'!A:Z,21,FALSE))</f>
        <v>0</v>
      </c>
      <c r="AE1706" s="16">
        <f>IF(ISERROR(VLOOKUP($A1706,'13. Updated Demand'!A:Z,22,FALSE)),0,VLOOKUP($A1706,'13. Updated Demand'!A:Z,22,FALSE))</f>
        <v>0</v>
      </c>
      <c r="AF1706" s="16">
        <f>IF(ISERROR(VLOOKUP($A1706,'13. Updated Demand'!A:Z,23,FALSE)),0,VLOOKUP($A1706,'13. Updated Demand'!A:Z,23,FALSE))</f>
        <v>0</v>
      </c>
      <c r="AG1706" s="16">
        <f>IF(ISERROR(VLOOKUP($A1706,'13. Updated Demand'!A:Z,24,FALSE)),0,VLOOKUP($A1706,'13. Updated Demand'!A:Z,24,FALSE))</f>
        <v>0</v>
      </c>
      <c r="AH1706" s="16">
        <f>IF(ISERROR(VLOOKUP($A1706,'13. Updated Demand'!A:Z,25,FALSE)),0,VLOOKUP($A1706,'13. Updated Demand'!A:Z,25,FALSE))</f>
        <v>0</v>
      </c>
      <c r="AI1706" s="16">
        <f>IF(ISERROR(VLOOKUP($A1706,'13. Updated Demand'!A:Z,26,FALSE)),0,VLOOKUP($A1706,'13. Updated Demand'!A:Z,26,FALSE))</f>
        <v>0</v>
      </c>
      <c r="AJ1706" s="16">
        <f t="shared" si="325"/>
        <v>0.05</v>
      </c>
      <c r="AK1706" s="19">
        <v>4.7260000000000003E-2</v>
      </c>
      <c r="AL1706" s="16">
        <f t="shared" si="323"/>
        <v>1.5675603658010578E-4</v>
      </c>
      <c r="AM1706" s="26">
        <v>3.5996756756756758</v>
      </c>
      <c r="AN1706" s="19">
        <v>1.8499999999999999E-2</v>
      </c>
      <c r="AO1706" s="19" t="s">
        <v>1758</v>
      </c>
      <c r="AP1706" s="19">
        <v>0</v>
      </c>
      <c r="AQ1706" s="19" t="s">
        <v>307</v>
      </c>
      <c r="AR1706" s="9" t="s">
        <v>317</v>
      </c>
      <c r="AS1706" s="12">
        <v>3.4039024194010059E-4</v>
      </c>
      <c r="AT1706" s="19">
        <v>39.249704530000002</v>
      </c>
      <c r="AU1706" s="19">
        <v>-123.17386275</v>
      </c>
      <c r="AV1706" s="19" t="s">
        <v>417</v>
      </c>
    </row>
    <row r="1707" spans="1:48" x14ac:dyDescent="0.25">
      <c r="A1707" s="18" t="s">
        <v>2110</v>
      </c>
      <c r="B1707" s="10">
        <v>10000000</v>
      </c>
      <c r="C1707" s="9">
        <v>6</v>
      </c>
      <c r="D1707" s="8" t="str">
        <f t="shared" si="314"/>
        <v>Y</v>
      </c>
      <c r="E1707" s="8" t="str">
        <f t="shared" si="315"/>
        <v>N</v>
      </c>
      <c r="F1707" s="8" t="str">
        <f t="shared" si="316"/>
        <v>Y</v>
      </c>
      <c r="G1707" s="8" t="str">
        <f t="shared" si="317"/>
        <v>Y</v>
      </c>
      <c r="H1707" s="8" t="str">
        <f t="shared" si="318"/>
        <v>Upper</v>
      </c>
      <c r="I1707" s="8" t="str">
        <f t="shared" si="319"/>
        <v>West Fork and Below Lake</v>
      </c>
      <c r="J1707" s="8" t="str">
        <f t="shared" si="320"/>
        <v>Mendocino (d/s of lake)</v>
      </c>
      <c r="K1707" s="8" t="str">
        <f t="shared" si="321"/>
        <v>Riparian</v>
      </c>
      <c r="L1707" s="8">
        <f t="shared" si="322"/>
        <v>1000</v>
      </c>
      <c r="M1707" s="8" t="str">
        <f t="shared" si="324"/>
        <v>-</v>
      </c>
      <c r="N1707" s="10" t="s">
        <v>241</v>
      </c>
      <c r="O1707" s="10" t="s">
        <v>241</v>
      </c>
      <c r="P1707" s="10" t="s">
        <v>242</v>
      </c>
      <c r="Q1707" s="10" t="s">
        <v>242</v>
      </c>
      <c r="R1707" s="10" t="s">
        <v>242</v>
      </c>
      <c r="S1707" s="10" t="s">
        <v>241</v>
      </c>
      <c r="T1707" s="10" t="s">
        <v>242</v>
      </c>
      <c r="U1707" s="10" t="s">
        <v>241</v>
      </c>
      <c r="V1707" s="10" t="s">
        <v>241</v>
      </c>
      <c r="W1707" s="10" t="s">
        <v>242</v>
      </c>
      <c r="X1707" s="15">
        <f>IF(ISERROR(VLOOKUP($A1707,'13. Updated Demand'!A:Z,15,FALSE)),0,VLOOKUP($A1707,'13. Updated Demand'!A:Z,15,FALSE))</f>
        <v>0</v>
      </c>
      <c r="Y1707" s="16">
        <f>IF(ISERROR(VLOOKUP($A1707,'13. Updated Demand'!A:Z,16,FALSE)),0,VLOOKUP($A1707,'13. Updated Demand'!A:Z,16,FALSE))</f>
        <v>0</v>
      </c>
      <c r="Z1707" s="16">
        <f>IF(ISERROR(VLOOKUP($A1707,'13. Updated Demand'!A:Z,17,FALSE)),0,VLOOKUP($A1707,'13. Updated Demand'!A:Z,17,FALSE))</f>
        <v>0</v>
      </c>
      <c r="AA1707" s="16">
        <f>IF(ISERROR(VLOOKUP($A1707,'13. Updated Demand'!A:Z,18,FALSE)),0,VLOOKUP($A1707,'13. Updated Demand'!A:Z,18,FALSE))</f>
        <v>0</v>
      </c>
      <c r="AB1707" s="16">
        <f>IF(ISERROR(VLOOKUP($A1707,'13. Updated Demand'!A:Z,19,FALSE)),0,VLOOKUP($A1707,'13. Updated Demand'!A:Z,19,FALSE))</f>
        <v>0</v>
      </c>
      <c r="AC1707" s="16">
        <f>IF(ISERROR(VLOOKUP($A1707,'13. Updated Demand'!A:Z,20,FALSE)),0,VLOOKUP($A1707,'13. Updated Demand'!A:Z,20,FALSE))</f>
        <v>0</v>
      </c>
      <c r="AD1707" s="16">
        <f>IF(ISERROR(VLOOKUP($A1707,'13. Updated Demand'!A:Z,21,FALSE)),0,VLOOKUP($A1707,'13. Updated Demand'!A:Z,21,FALSE))</f>
        <v>0</v>
      </c>
      <c r="AE1707" s="16">
        <f>IF(ISERROR(VLOOKUP($A1707,'13. Updated Demand'!A:Z,22,FALSE)),0,VLOOKUP($A1707,'13. Updated Demand'!A:Z,22,FALSE))</f>
        <v>0</v>
      </c>
      <c r="AF1707" s="16">
        <f>IF(ISERROR(VLOOKUP($A1707,'13. Updated Demand'!A:Z,23,FALSE)),0,VLOOKUP($A1707,'13. Updated Demand'!A:Z,23,FALSE))</f>
        <v>0</v>
      </c>
      <c r="AG1707" s="16">
        <f>IF(ISERROR(VLOOKUP($A1707,'13. Updated Demand'!A:Z,24,FALSE)),0,VLOOKUP($A1707,'13. Updated Demand'!A:Z,24,FALSE))</f>
        <v>0</v>
      </c>
      <c r="AH1707" s="16">
        <f>IF(ISERROR(VLOOKUP($A1707,'13. Updated Demand'!A:Z,25,FALSE)),0,VLOOKUP($A1707,'13. Updated Demand'!A:Z,25,FALSE))</f>
        <v>0</v>
      </c>
      <c r="AI1707" s="16">
        <f>IF(ISERROR(VLOOKUP($A1707,'13. Updated Demand'!A:Z,26,FALSE)),0,VLOOKUP($A1707,'13. Updated Demand'!A:Z,26,FALSE))</f>
        <v>0</v>
      </c>
      <c r="AJ1707" s="16">
        <f t="shared" si="325"/>
        <v>0</v>
      </c>
      <c r="AK1707" s="19">
        <v>0</v>
      </c>
      <c r="AL1707" s="16">
        <f t="shared" si="323"/>
        <v>0</v>
      </c>
      <c r="AM1707" s="26">
        <v>0</v>
      </c>
      <c r="AN1707" s="19">
        <v>3585.78</v>
      </c>
      <c r="AO1707" s="19" t="s">
        <v>1758</v>
      </c>
      <c r="AP1707" s="19">
        <v>0</v>
      </c>
      <c r="AQ1707" s="19" t="s">
        <v>307</v>
      </c>
      <c r="AR1707" s="9" t="s">
        <v>319</v>
      </c>
      <c r="AS1707" s="12">
        <v>0</v>
      </c>
      <c r="AT1707" s="19">
        <v>38.990322079999999</v>
      </c>
      <c r="AU1707" s="19">
        <v>-123.1065895</v>
      </c>
      <c r="AV1707" s="19" t="s">
        <v>387</v>
      </c>
    </row>
    <row r="1708" spans="1:48" x14ac:dyDescent="0.25">
      <c r="A1708" s="18" t="s">
        <v>2111</v>
      </c>
      <c r="B1708" s="10">
        <v>10000000</v>
      </c>
      <c r="C1708" s="9">
        <v>6</v>
      </c>
      <c r="D1708" s="8" t="str">
        <f t="shared" si="314"/>
        <v>Y</v>
      </c>
      <c r="E1708" s="8" t="str">
        <f t="shared" si="315"/>
        <v>N</v>
      </c>
      <c r="F1708" s="8" t="str">
        <f t="shared" si="316"/>
        <v>Y</v>
      </c>
      <c r="G1708" s="8" t="str">
        <f t="shared" si="317"/>
        <v>Y</v>
      </c>
      <c r="H1708" s="8" t="str">
        <f t="shared" si="318"/>
        <v>Upper</v>
      </c>
      <c r="I1708" s="8" t="str">
        <f t="shared" si="319"/>
        <v>West Fork and Below Lake</v>
      </c>
      <c r="J1708" s="8" t="str">
        <f t="shared" si="320"/>
        <v>Mendocino (d/s of lake)</v>
      </c>
      <c r="K1708" s="8" t="str">
        <f t="shared" si="321"/>
        <v>Riparian</v>
      </c>
      <c r="L1708" s="8">
        <f t="shared" si="322"/>
        <v>1000</v>
      </c>
      <c r="M1708" s="8" t="str">
        <f t="shared" si="324"/>
        <v>-</v>
      </c>
      <c r="N1708" s="10" t="s">
        <v>241</v>
      </c>
      <c r="O1708" s="10" t="s">
        <v>241</v>
      </c>
      <c r="P1708" s="10" t="s">
        <v>242</v>
      </c>
      <c r="Q1708" s="10" t="s">
        <v>242</v>
      </c>
      <c r="R1708" s="10" t="s">
        <v>242</v>
      </c>
      <c r="S1708" s="10" t="s">
        <v>241</v>
      </c>
      <c r="T1708" s="10" t="s">
        <v>242</v>
      </c>
      <c r="U1708" s="10" t="s">
        <v>242</v>
      </c>
      <c r="V1708" s="10" t="s">
        <v>242</v>
      </c>
      <c r="W1708" s="10" t="s">
        <v>242</v>
      </c>
      <c r="X1708" s="15">
        <f>IF(ISERROR(VLOOKUP($A1708,'13. Updated Demand'!A:Z,15,FALSE)),0,VLOOKUP($A1708,'13. Updated Demand'!A:Z,15,FALSE))</f>
        <v>0</v>
      </c>
      <c r="Y1708" s="16">
        <f>IF(ISERROR(VLOOKUP($A1708,'13. Updated Demand'!A:Z,16,FALSE)),0,VLOOKUP($A1708,'13. Updated Demand'!A:Z,16,FALSE))</f>
        <v>0</v>
      </c>
      <c r="Z1708" s="16">
        <f>IF(ISERROR(VLOOKUP($A1708,'13. Updated Demand'!A:Z,17,FALSE)),0,VLOOKUP($A1708,'13. Updated Demand'!A:Z,17,FALSE))</f>
        <v>0</v>
      </c>
      <c r="AA1708" s="16">
        <f>IF(ISERROR(VLOOKUP($A1708,'13. Updated Demand'!A:Z,18,FALSE)),0,VLOOKUP($A1708,'13. Updated Demand'!A:Z,18,FALSE))</f>
        <v>0</v>
      </c>
      <c r="AB1708" s="16">
        <f>IF(ISERROR(VLOOKUP($A1708,'13. Updated Demand'!A:Z,19,FALSE)),0,VLOOKUP($A1708,'13. Updated Demand'!A:Z,19,FALSE))</f>
        <v>0</v>
      </c>
      <c r="AC1708" s="16">
        <f>IF(ISERROR(VLOOKUP($A1708,'13. Updated Demand'!A:Z,20,FALSE)),0,VLOOKUP($A1708,'13. Updated Demand'!A:Z,20,FALSE))</f>
        <v>0</v>
      </c>
      <c r="AD1708" s="16">
        <f>IF(ISERROR(VLOOKUP($A1708,'13. Updated Demand'!A:Z,21,FALSE)),0,VLOOKUP($A1708,'13. Updated Demand'!A:Z,21,FALSE))</f>
        <v>4.0999999999999996</v>
      </c>
      <c r="AE1708" s="16">
        <f>IF(ISERROR(VLOOKUP($A1708,'13. Updated Demand'!A:Z,22,FALSE)),0,VLOOKUP($A1708,'13. Updated Demand'!A:Z,22,FALSE))</f>
        <v>0</v>
      </c>
      <c r="AF1708" s="16">
        <f>IF(ISERROR(VLOOKUP($A1708,'13. Updated Demand'!A:Z,23,FALSE)),0,VLOOKUP($A1708,'13. Updated Demand'!A:Z,23,FALSE))</f>
        <v>0</v>
      </c>
      <c r="AG1708" s="16">
        <f>IF(ISERROR(VLOOKUP($A1708,'13. Updated Demand'!A:Z,24,FALSE)),0,VLOOKUP($A1708,'13. Updated Demand'!A:Z,24,FALSE))</f>
        <v>0</v>
      </c>
      <c r="AH1708" s="16">
        <f>IF(ISERROR(VLOOKUP($A1708,'13. Updated Demand'!A:Z,25,FALSE)),0,VLOOKUP($A1708,'13. Updated Demand'!A:Z,25,FALSE))</f>
        <v>0</v>
      </c>
      <c r="AI1708" s="16">
        <f>IF(ISERROR(VLOOKUP($A1708,'13. Updated Demand'!A:Z,26,FALSE)),0,VLOOKUP($A1708,'13. Updated Demand'!A:Z,26,FALSE))</f>
        <v>0</v>
      </c>
      <c r="AJ1708" s="16">
        <f t="shared" si="325"/>
        <v>4.0999999999999996</v>
      </c>
      <c r="AK1708" s="19">
        <v>4.0999999999999996</v>
      </c>
      <c r="AL1708" s="16">
        <f t="shared" si="323"/>
        <v>1.3599232966111586E-2</v>
      </c>
      <c r="AM1708" s="26">
        <v>2.7609055770292652E-3</v>
      </c>
      <c r="AN1708" s="19">
        <v>1485.02</v>
      </c>
      <c r="AO1708" s="19" t="s">
        <v>1758</v>
      </c>
      <c r="AP1708" s="19">
        <v>0</v>
      </c>
      <c r="AQ1708" s="19" t="s">
        <v>307</v>
      </c>
      <c r="AR1708" s="9" t="s">
        <v>319</v>
      </c>
      <c r="AS1708" s="12">
        <v>0</v>
      </c>
      <c r="AT1708" s="19">
        <v>38.984037389999997</v>
      </c>
      <c r="AU1708" s="19">
        <v>-123.10332505</v>
      </c>
      <c r="AV1708" s="19" t="s">
        <v>387</v>
      </c>
    </row>
    <row r="1709" spans="1:48" x14ac:dyDescent="0.25">
      <c r="A1709" s="18" t="s">
        <v>2112</v>
      </c>
      <c r="B1709" s="10">
        <v>10000000</v>
      </c>
      <c r="C1709" s="9">
        <v>6</v>
      </c>
      <c r="D1709" s="8" t="str">
        <f t="shared" si="314"/>
        <v>Y</v>
      </c>
      <c r="E1709" s="8" t="str">
        <f t="shared" si="315"/>
        <v>N</v>
      </c>
      <c r="F1709" s="8" t="str">
        <f t="shared" si="316"/>
        <v>Y</v>
      </c>
      <c r="G1709" s="8" t="str">
        <f t="shared" si="317"/>
        <v>Y</v>
      </c>
      <c r="H1709" s="8" t="str">
        <f t="shared" si="318"/>
        <v>Upper</v>
      </c>
      <c r="I1709" s="8" t="str">
        <f t="shared" si="319"/>
        <v>West Fork and Below Lake</v>
      </c>
      <c r="J1709" s="8" t="str">
        <f t="shared" si="320"/>
        <v>Mendocino (d/s of lake)</v>
      </c>
      <c r="K1709" s="8" t="str">
        <f t="shared" si="321"/>
        <v>Riparian</v>
      </c>
      <c r="L1709" s="8">
        <f t="shared" si="322"/>
        <v>1000</v>
      </c>
      <c r="M1709" s="8" t="str">
        <f t="shared" si="324"/>
        <v>-</v>
      </c>
      <c r="N1709" s="10" t="s">
        <v>241</v>
      </c>
      <c r="O1709" s="10" t="s">
        <v>241</v>
      </c>
      <c r="P1709" s="10" t="s">
        <v>242</v>
      </c>
      <c r="Q1709" s="10" t="s">
        <v>242</v>
      </c>
      <c r="R1709" s="10" t="s">
        <v>242</v>
      </c>
      <c r="S1709" s="10" t="s">
        <v>241</v>
      </c>
      <c r="T1709" s="10" t="s">
        <v>242</v>
      </c>
      <c r="U1709" s="10" t="s">
        <v>241</v>
      </c>
      <c r="V1709" s="10" t="s">
        <v>241</v>
      </c>
      <c r="W1709" s="10" t="s">
        <v>242</v>
      </c>
      <c r="X1709" s="15">
        <f>IF(ISERROR(VLOOKUP($A1709,'13. Updated Demand'!A:Z,15,FALSE)),0,VLOOKUP($A1709,'13. Updated Demand'!A:Z,15,FALSE))</f>
        <v>0</v>
      </c>
      <c r="Y1709" s="16">
        <f>IF(ISERROR(VLOOKUP($A1709,'13. Updated Demand'!A:Z,16,FALSE)),0,VLOOKUP($A1709,'13. Updated Demand'!A:Z,16,FALSE))</f>
        <v>0</v>
      </c>
      <c r="Z1709" s="16">
        <f>IF(ISERROR(VLOOKUP($A1709,'13. Updated Demand'!A:Z,17,FALSE)),0,VLOOKUP($A1709,'13. Updated Demand'!A:Z,17,FALSE))</f>
        <v>0</v>
      </c>
      <c r="AA1709" s="16">
        <f>IF(ISERROR(VLOOKUP($A1709,'13. Updated Demand'!A:Z,18,FALSE)),0,VLOOKUP($A1709,'13. Updated Demand'!A:Z,18,FALSE))</f>
        <v>0</v>
      </c>
      <c r="AB1709" s="16">
        <f>IF(ISERROR(VLOOKUP($A1709,'13. Updated Demand'!A:Z,19,FALSE)),0,VLOOKUP($A1709,'13. Updated Demand'!A:Z,19,FALSE))</f>
        <v>0</v>
      </c>
      <c r="AC1709" s="16">
        <f>IF(ISERROR(VLOOKUP($A1709,'13. Updated Demand'!A:Z,20,FALSE)),0,VLOOKUP($A1709,'13. Updated Demand'!A:Z,20,FALSE))</f>
        <v>0</v>
      </c>
      <c r="AD1709" s="16">
        <f>IF(ISERROR(VLOOKUP($A1709,'13. Updated Demand'!A:Z,21,FALSE)),0,VLOOKUP($A1709,'13. Updated Demand'!A:Z,21,FALSE))</f>
        <v>0</v>
      </c>
      <c r="AE1709" s="16">
        <f>IF(ISERROR(VLOOKUP($A1709,'13. Updated Demand'!A:Z,22,FALSE)),0,VLOOKUP($A1709,'13. Updated Demand'!A:Z,22,FALSE))</f>
        <v>0</v>
      </c>
      <c r="AF1709" s="16">
        <f>IF(ISERROR(VLOOKUP($A1709,'13. Updated Demand'!A:Z,23,FALSE)),0,VLOOKUP($A1709,'13. Updated Demand'!A:Z,23,FALSE))</f>
        <v>0</v>
      </c>
      <c r="AG1709" s="16">
        <f>IF(ISERROR(VLOOKUP($A1709,'13. Updated Demand'!A:Z,24,FALSE)),0,VLOOKUP($A1709,'13. Updated Demand'!A:Z,24,FALSE))</f>
        <v>0</v>
      </c>
      <c r="AH1709" s="16">
        <f>IF(ISERROR(VLOOKUP($A1709,'13. Updated Demand'!A:Z,25,FALSE)),0,VLOOKUP($A1709,'13. Updated Demand'!A:Z,25,FALSE))</f>
        <v>0</v>
      </c>
      <c r="AI1709" s="16">
        <f>IF(ISERROR(VLOOKUP($A1709,'13. Updated Demand'!A:Z,26,FALSE)),0,VLOOKUP($A1709,'13. Updated Demand'!A:Z,26,FALSE))</f>
        <v>0</v>
      </c>
      <c r="AJ1709" s="16">
        <f t="shared" si="325"/>
        <v>0</v>
      </c>
      <c r="AK1709" s="19">
        <v>0</v>
      </c>
      <c r="AL1709" s="16">
        <f t="shared" si="323"/>
        <v>0</v>
      </c>
      <c r="AM1709" s="26">
        <v>0</v>
      </c>
      <c r="AN1709" s="19">
        <v>1169.9059999999999</v>
      </c>
      <c r="AO1709" s="19" t="s">
        <v>1758</v>
      </c>
      <c r="AP1709" s="19">
        <v>0</v>
      </c>
      <c r="AQ1709" s="19" t="s">
        <v>307</v>
      </c>
      <c r="AR1709" s="9" t="s">
        <v>319</v>
      </c>
      <c r="AS1709" s="12">
        <v>0</v>
      </c>
      <c r="AT1709" s="19">
        <v>38.983200410000002</v>
      </c>
      <c r="AU1709" s="19">
        <v>-123.10471937</v>
      </c>
      <c r="AV1709" s="19" t="s">
        <v>387</v>
      </c>
    </row>
    <row r="1710" spans="1:48" x14ac:dyDescent="0.25">
      <c r="A1710" s="18" t="s">
        <v>2113</v>
      </c>
      <c r="B1710" s="10">
        <v>10000000</v>
      </c>
      <c r="C1710" s="9">
        <v>6</v>
      </c>
      <c r="D1710" s="8" t="str">
        <f t="shared" si="314"/>
        <v>Y</v>
      </c>
      <c r="E1710" s="8" t="str">
        <f t="shared" si="315"/>
        <v>N</v>
      </c>
      <c r="F1710" s="8" t="str">
        <f t="shared" si="316"/>
        <v>Y</v>
      </c>
      <c r="G1710" s="8" t="str">
        <f t="shared" si="317"/>
        <v>Y</v>
      </c>
      <c r="H1710" s="8" t="str">
        <f t="shared" si="318"/>
        <v>Upper</v>
      </c>
      <c r="I1710" s="8" t="str">
        <f t="shared" si="319"/>
        <v>West Fork and Below Lake</v>
      </c>
      <c r="J1710" s="8" t="str">
        <f t="shared" si="320"/>
        <v>Mendocino (d/s of lake)</v>
      </c>
      <c r="K1710" s="8" t="str">
        <f t="shared" si="321"/>
        <v>Riparian</v>
      </c>
      <c r="L1710" s="8">
        <f t="shared" si="322"/>
        <v>1000</v>
      </c>
      <c r="M1710" s="8" t="str">
        <f t="shared" si="324"/>
        <v>-</v>
      </c>
      <c r="N1710" s="10" t="s">
        <v>241</v>
      </c>
      <c r="O1710" s="10" t="s">
        <v>241</v>
      </c>
      <c r="P1710" s="10" t="s">
        <v>242</v>
      </c>
      <c r="Q1710" s="10" t="s">
        <v>242</v>
      </c>
      <c r="R1710" s="10" t="s">
        <v>242</v>
      </c>
      <c r="S1710" s="10" t="s">
        <v>241</v>
      </c>
      <c r="T1710" s="10" t="s">
        <v>242</v>
      </c>
      <c r="U1710" s="10" t="s">
        <v>241</v>
      </c>
      <c r="V1710" s="10" t="s">
        <v>241</v>
      </c>
      <c r="W1710" s="10" t="s">
        <v>242</v>
      </c>
      <c r="X1710" s="15">
        <f>IF(ISERROR(VLOOKUP($A1710,'13. Updated Demand'!A:Z,15,FALSE)),0,VLOOKUP($A1710,'13. Updated Demand'!A:Z,15,FALSE))</f>
        <v>0</v>
      </c>
      <c r="Y1710" s="16">
        <f>IF(ISERROR(VLOOKUP($A1710,'13. Updated Demand'!A:Z,16,FALSE)),0,VLOOKUP($A1710,'13. Updated Demand'!A:Z,16,FALSE))</f>
        <v>0</v>
      </c>
      <c r="Z1710" s="16">
        <f>IF(ISERROR(VLOOKUP($A1710,'13. Updated Demand'!A:Z,17,FALSE)),0,VLOOKUP($A1710,'13. Updated Demand'!A:Z,17,FALSE))</f>
        <v>0</v>
      </c>
      <c r="AA1710" s="16">
        <f>IF(ISERROR(VLOOKUP($A1710,'13. Updated Demand'!A:Z,18,FALSE)),0,VLOOKUP($A1710,'13. Updated Demand'!A:Z,18,FALSE))</f>
        <v>0</v>
      </c>
      <c r="AB1710" s="16">
        <f>IF(ISERROR(VLOOKUP($A1710,'13. Updated Demand'!A:Z,19,FALSE)),0,VLOOKUP($A1710,'13. Updated Demand'!A:Z,19,FALSE))</f>
        <v>0</v>
      </c>
      <c r="AC1710" s="16">
        <f>IF(ISERROR(VLOOKUP($A1710,'13. Updated Demand'!A:Z,20,FALSE)),0,VLOOKUP($A1710,'13. Updated Demand'!A:Z,20,FALSE))</f>
        <v>0</v>
      </c>
      <c r="AD1710" s="16">
        <f>IF(ISERROR(VLOOKUP($A1710,'13. Updated Demand'!A:Z,21,FALSE)),0,VLOOKUP($A1710,'13. Updated Demand'!A:Z,21,FALSE))</f>
        <v>0</v>
      </c>
      <c r="AE1710" s="16">
        <f>IF(ISERROR(VLOOKUP($A1710,'13. Updated Demand'!A:Z,22,FALSE)),0,VLOOKUP($A1710,'13. Updated Demand'!A:Z,22,FALSE))</f>
        <v>0</v>
      </c>
      <c r="AF1710" s="16">
        <f>IF(ISERROR(VLOOKUP($A1710,'13. Updated Demand'!A:Z,23,FALSE)),0,VLOOKUP($A1710,'13. Updated Demand'!A:Z,23,FALSE))</f>
        <v>0</v>
      </c>
      <c r="AG1710" s="16">
        <f>IF(ISERROR(VLOOKUP($A1710,'13. Updated Demand'!A:Z,24,FALSE)),0,VLOOKUP($A1710,'13. Updated Demand'!A:Z,24,FALSE))</f>
        <v>0</v>
      </c>
      <c r="AH1710" s="16">
        <f>IF(ISERROR(VLOOKUP($A1710,'13. Updated Demand'!A:Z,25,FALSE)),0,VLOOKUP($A1710,'13. Updated Demand'!A:Z,25,FALSE))</f>
        <v>0</v>
      </c>
      <c r="AI1710" s="16">
        <f>IF(ISERROR(VLOOKUP($A1710,'13. Updated Demand'!A:Z,26,FALSE)),0,VLOOKUP($A1710,'13. Updated Demand'!A:Z,26,FALSE))</f>
        <v>0</v>
      </c>
      <c r="AJ1710" s="16">
        <f t="shared" si="325"/>
        <v>0</v>
      </c>
      <c r="AK1710" s="19">
        <v>0</v>
      </c>
      <c r="AL1710" s="16">
        <f t="shared" si="323"/>
        <v>0</v>
      </c>
      <c r="AM1710" s="26">
        <v>0</v>
      </c>
      <c r="AN1710" s="19">
        <v>927.23199999999997</v>
      </c>
      <c r="AO1710" s="19" t="s">
        <v>1758</v>
      </c>
      <c r="AP1710" s="19">
        <v>0</v>
      </c>
      <c r="AQ1710" s="19" t="s">
        <v>307</v>
      </c>
      <c r="AR1710" s="9" t="s">
        <v>319</v>
      </c>
      <c r="AS1710" s="12">
        <v>0</v>
      </c>
      <c r="AT1710" s="19">
        <v>38.979761850000003</v>
      </c>
      <c r="AU1710" s="19">
        <v>-123.10536951</v>
      </c>
      <c r="AV1710" s="19" t="s">
        <v>387</v>
      </c>
    </row>
    <row r="1711" spans="1:48" x14ac:dyDescent="0.25">
      <c r="A1711" s="18" t="s">
        <v>2114</v>
      </c>
      <c r="B1711" s="10">
        <v>10000000</v>
      </c>
      <c r="C1711" s="9">
        <v>6</v>
      </c>
      <c r="D1711" s="8" t="str">
        <f t="shared" si="314"/>
        <v>Y</v>
      </c>
      <c r="E1711" s="8" t="str">
        <f t="shared" si="315"/>
        <v>N</v>
      </c>
      <c r="F1711" s="8" t="str">
        <f t="shared" si="316"/>
        <v>Y</v>
      </c>
      <c r="G1711" s="8" t="str">
        <f t="shared" si="317"/>
        <v>Y</v>
      </c>
      <c r="H1711" s="8" t="str">
        <f t="shared" si="318"/>
        <v>Upper</v>
      </c>
      <c r="I1711" s="8" t="str">
        <f t="shared" si="319"/>
        <v>West Fork and Below Lake</v>
      </c>
      <c r="J1711" s="8" t="str">
        <f t="shared" si="320"/>
        <v>Mendocino (d/s of lake)</v>
      </c>
      <c r="K1711" s="8" t="str">
        <f t="shared" si="321"/>
        <v>Riparian</v>
      </c>
      <c r="L1711" s="8">
        <f t="shared" si="322"/>
        <v>1000</v>
      </c>
      <c r="M1711" s="8" t="str">
        <f t="shared" si="324"/>
        <v>-</v>
      </c>
      <c r="N1711" s="10" t="s">
        <v>241</v>
      </c>
      <c r="O1711" s="10" t="s">
        <v>241</v>
      </c>
      <c r="P1711" s="10" t="s">
        <v>242</v>
      </c>
      <c r="Q1711" s="10" t="s">
        <v>242</v>
      </c>
      <c r="R1711" s="10" t="s">
        <v>242</v>
      </c>
      <c r="S1711" s="10" t="s">
        <v>241</v>
      </c>
      <c r="T1711" s="10" t="s">
        <v>242</v>
      </c>
      <c r="U1711" s="10" t="s">
        <v>241</v>
      </c>
      <c r="V1711" s="10" t="s">
        <v>241</v>
      </c>
      <c r="W1711" s="10" t="s">
        <v>242</v>
      </c>
      <c r="X1711" s="15">
        <f>IF(ISERROR(VLOOKUP($A1711,'13. Updated Demand'!A:Z,15,FALSE)),0,VLOOKUP($A1711,'13. Updated Demand'!A:Z,15,FALSE))</f>
        <v>0</v>
      </c>
      <c r="Y1711" s="16">
        <f>IF(ISERROR(VLOOKUP($A1711,'13. Updated Demand'!A:Z,16,FALSE)),0,VLOOKUP($A1711,'13. Updated Demand'!A:Z,16,FALSE))</f>
        <v>0</v>
      </c>
      <c r="Z1711" s="16">
        <f>IF(ISERROR(VLOOKUP($A1711,'13. Updated Demand'!A:Z,17,FALSE)),0,VLOOKUP($A1711,'13. Updated Demand'!A:Z,17,FALSE))</f>
        <v>0</v>
      </c>
      <c r="AA1711" s="16">
        <f>IF(ISERROR(VLOOKUP($A1711,'13. Updated Demand'!A:Z,18,FALSE)),0,VLOOKUP($A1711,'13. Updated Demand'!A:Z,18,FALSE))</f>
        <v>0</v>
      </c>
      <c r="AB1711" s="16">
        <f>IF(ISERROR(VLOOKUP($A1711,'13. Updated Demand'!A:Z,19,FALSE)),0,VLOOKUP($A1711,'13. Updated Demand'!A:Z,19,FALSE))</f>
        <v>0</v>
      </c>
      <c r="AC1711" s="16">
        <f>IF(ISERROR(VLOOKUP($A1711,'13. Updated Demand'!A:Z,20,FALSE)),0,VLOOKUP($A1711,'13. Updated Demand'!A:Z,20,FALSE))</f>
        <v>0</v>
      </c>
      <c r="AD1711" s="16">
        <f>IF(ISERROR(VLOOKUP($A1711,'13. Updated Demand'!A:Z,21,FALSE)),0,VLOOKUP($A1711,'13. Updated Demand'!A:Z,21,FALSE))</f>
        <v>0</v>
      </c>
      <c r="AE1711" s="16">
        <f>IF(ISERROR(VLOOKUP($A1711,'13. Updated Demand'!A:Z,22,FALSE)),0,VLOOKUP($A1711,'13. Updated Demand'!A:Z,22,FALSE))</f>
        <v>0</v>
      </c>
      <c r="AF1711" s="16">
        <f>IF(ISERROR(VLOOKUP($A1711,'13. Updated Demand'!A:Z,23,FALSE)),0,VLOOKUP($A1711,'13. Updated Demand'!A:Z,23,FALSE))</f>
        <v>0</v>
      </c>
      <c r="AG1711" s="16">
        <f>IF(ISERROR(VLOOKUP($A1711,'13. Updated Demand'!A:Z,24,FALSE)),0,VLOOKUP($A1711,'13. Updated Demand'!A:Z,24,FALSE))</f>
        <v>0</v>
      </c>
      <c r="AH1711" s="16">
        <f>IF(ISERROR(VLOOKUP($A1711,'13. Updated Demand'!A:Z,25,FALSE)),0,VLOOKUP($A1711,'13. Updated Demand'!A:Z,25,FALSE))</f>
        <v>0</v>
      </c>
      <c r="AI1711" s="16">
        <f>IF(ISERROR(VLOOKUP($A1711,'13. Updated Demand'!A:Z,26,FALSE)),0,VLOOKUP($A1711,'13. Updated Demand'!A:Z,26,FALSE))</f>
        <v>0</v>
      </c>
      <c r="AJ1711" s="16">
        <f t="shared" si="325"/>
        <v>0</v>
      </c>
      <c r="AK1711" s="19">
        <v>0</v>
      </c>
      <c r="AL1711" s="16">
        <f t="shared" si="323"/>
        <v>0</v>
      </c>
      <c r="AM1711" s="26">
        <v>0</v>
      </c>
      <c r="AN1711" s="19">
        <v>1811</v>
      </c>
      <c r="AO1711" s="19" t="s">
        <v>1758</v>
      </c>
      <c r="AP1711" s="19">
        <v>0</v>
      </c>
      <c r="AQ1711" s="19" t="s">
        <v>307</v>
      </c>
      <c r="AR1711" s="9" t="s">
        <v>319</v>
      </c>
      <c r="AS1711" s="12">
        <v>0</v>
      </c>
      <c r="AT1711" s="19">
        <v>38.97688239</v>
      </c>
      <c r="AU1711" s="19">
        <v>-123.10497289</v>
      </c>
      <c r="AV1711" s="19" t="s">
        <v>387</v>
      </c>
    </row>
    <row r="1712" spans="1:48" x14ac:dyDescent="0.25">
      <c r="A1712" s="18" t="s">
        <v>2115</v>
      </c>
      <c r="B1712" s="10">
        <v>10000000</v>
      </c>
      <c r="C1712" s="9">
        <v>6</v>
      </c>
      <c r="D1712" s="8" t="str">
        <f t="shared" si="314"/>
        <v>Y</v>
      </c>
      <c r="E1712" s="8" t="str">
        <f t="shared" si="315"/>
        <v>N</v>
      </c>
      <c r="F1712" s="8" t="str">
        <f t="shared" si="316"/>
        <v>Y</v>
      </c>
      <c r="G1712" s="8" t="str">
        <f t="shared" si="317"/>
        <v>Y</v>
      </c>
      <c r="H1712" s="8" t="str">
        <f t="shared" si="318"/>
        <v>Upper</v>
      </c>
      <c r="I1712" s="8" t="str">
        <f t="shared" si="319"/>
        <v>West Fork and Below Lake</v>
      </c>
      <c r="J1712" s="8" t="str">
        <f t="shared" si="320"/>
        <v>Mendocino (d/s of lake)</v>
      </c>
      <c r="K1712" s="8" t="str">
        <f t="shared" si="321"/>
        <v>Riparian</v>
      </c>
      <c r="L1712" s="8">
        <f t="shared" si="322"/>
        <v>1000</v>
      </c>
      <c r="M1712" s="8" t="str">
        <f t="shared" si="324"/>
        <v>-</v>
      </c>
      <c r="N1712" s="10" t="s">
        <v>241</v>
      </c>
      <c r="O1712" s="10" t="s">
        <v>241</v>
      </c>
      <c r="P1712" s="10" t="s">
        <v>242</v>
      </c>
      <c r="Q1712" s="10" t="s">
        <v>242</v>
      </c>
      <c r="R1712" s="10" t="s">
        <v>242</v>
      </c>
      <c r="S1712" s="10" t="s">
        <v>241</v>
      </c>
      <c r="T1712" s="10" t="s">
        <v>242</v>
      </c>
      <c r="U1712" s="10" t="s">
        <v>242</v>
      </c>
      <c r="V1712" s="10" t="s">
        <v>242</v>
      </c>
      <c r="W1712" s="10" t="s">
        <v>242</v>
      </c>
      <c r="X1712" s="15">
        <f>IF(ISERROR(VLOOKUP($A1712,'13. Updated Demand'!A:Z,15,FALSE)),0,VLOOKUP($A1712,'13. Updated Demand'!A:Z,15,FALSE))</f>
        <v>0</v>
      </c>
      <c r="Y1712" s="16">
        <f>IF(ISERROR(VLOOKUP($A1712,'13. Updated Demand'!A:Z,16,FALSE)),0,VLOOKUP($A1712,'13. Updated Demand'!A:Z,16,FALSE))</f>
        <v>0</v>
      </c>
      <c r="Z1712" s="16">
        <f>IF(ISERROR(VLOOKUP($A1712,'13. Updated Demand'!A:Z,17,FALSE)),0,VLOOKUP($A1712,'13. Updated Demand'!A:Z,17,FALSE))</f>
        <v>0.2</v>
      </c>
      <c r="AA1712" s="16">
        <f>IF(ISERROR(VLOOKUP($A1712,'13. Updated Demand'!A:Z,18,FALSE)),0,VLOOKUP($A1712,'13. Updated Demand'!A:Z,18,FALSE))</f>
        <v>0</v>
      </c>
      <c r="AB1712" s="16">
        <f>IF(ISERROR(VLOOKUP($A1712,'13. Updated Demand'!A:Z,19,FALSE)),0,VLOOKUP($A1712,'13. Updated Demand'!A:Z,19,FALSE))</f>
        <v>0.16</v>
      </c>
      <c r="AC1712" s="16">
        <f>IF(ISERROR(VLOOKUP($A1712,'13. Updated Demand'!A:Z,20,FALSE)),0,VLOOKUP($A1712,'13. Updated Demand'!A:Z,20,FALSE))</f>
        <v>0.13</v>
      </c>
      <c r="AD1712" s="16">
        <f>IF(ISERROR(VLOOKUP($A1712,'13. Updated Demand'!A:Z,21,FALSE)),0,VLOOKUP($A1712,'13. Updated Demand'!A:Z,21,FALSE))</f>
        <v>3.93</v>
      </c>
      <c r="AE1712" s="16">
        <f>IF(ISERROR(VLOOKUP($A1712,'13. Updated Demand'!A:Z,22,FALSE)),0,VLOOKUP($A1712,'13. Updated Demand'!A:Z,22,FALSE))</f>
        <v>15.3</v>
      </c>
      <c r="AF1712" s="16">
        <f>IF(ISERROR(VLOOKUP($A1712,'13. Updated Demand'!A:Z,23,FALSE)),0,VLOOKUP($A1712,'13. Updated Demand'!A:Z,23,FALSE))</f>
        <v>1.6</v>
      </c>
      <c r="AG1712" s="16">
        <f>IF(ISERROR(VLOOKUP($A1712,'13. Updated Demand'!A:Z,24,FALSE)),0,VLOOKUP($A1712,'13. Updated Demand'!A:Z,24,FALSE))</f>
        <v>0</v>
      </c>
      <c r="AH1712" s="16">
        <f>IF(ISERROR(VLOOKUP($A1712,'13. Updated Demand'!A:Z,25,FALSE)),0,VLOOKUP($A1712,'13. Updated Demand'!A:Z,25,FALSE))</f>
        <v>0</v>
      </c>
      <c r="AI1712" s="16">
        <f>IF(ISERROR(VLOOKUP($A1712,'13. Updated Demand'!A:Z,26,FALSE)),0,VLOOKUP($A1712,'13. Updated Demand'!A:Z,26,FALSE))</f>
        <v>0</v>
      </c>
      <c r="AJ1712" s="16">
        <f t="shared" si="325"/>
        <v>21.32</v>
      </c>
      <c r="AK1712" s="19">
        <v>21.133333333333333</v>
      </c>
      <c r="AL1712" s="16">
        <f t="shared" si="323"/>
        <v>7.0096859353778421E-2</v>
      </c>
      <c r="AM1712" s="26">
        <v>2.6531224764245194E-2</v>
      </c>
      <c r="AN1712" s="19">
        <v>804.08399999999995</v>
      </c>
      <c r="AO1712" s="19" t="s">
        <v>1758</v>
      </c>
      <c r="AP1712" s="19">
        <v>0</v>
      </c>
      <c r="AQ1712" s="19" t="s">
        <v>307</v>
      </c>
      <c r="AR1712" s="9" t="s">
        <v>319</v>
      </c>
      <c r="AS1712" s="12">
        <v>0</v>
      </c>
      <c r="AT1712" s="19">
        <v>38.973500000000001</v>
      </c>
      <c r="AU1712" s="19">
        <v>-123.1087</v>
      </c>
      <c r="AV1712" s="19" t="s">
        <v>387</v>
      </c>
    </row>
    <row r="1713" spans="1:48" x14ac:dyDescent="0.25">
      <c r="A1713" s="18" t="s">
        <v>2116</v>
      </c>
      <c r="B1713" s="10">
        <v>10000000</v>
      </c>
      <c r="C1713" s="9">
        <v>4</v>
      </c>
      <c r="D1713" s="8" t="str">
        <f t="shared" si="314"/>
        <v>Y</v>
      </c>
      <c r="E1713" s="8" t="str">
        <f t="shared" si="315"/>
        <v>N</v>
      </c>
      <c r="F1713" s="8" t="str">
        <f t="shared" si="316"/>
        <v>Y</v>
      </c>
      <c r="G1713" s="8" t="str">
        <f t="shared" si="317"/>
        <v>Y</v>
      </c>
      <c r="H1713" s="8" t="str">
        <f t="shared" si="318"/>
        <v>Upper</v>
      </c>
      <c r="I1713" s="8" t="str">
        <f t="shared" si="319"/>
        <v>West Fork and Below Lake</v>
      </c>
      <c r="J1713" s="8" t="str">
        <f t="shared" si="320"/>
        <v>Mendocino (d/s of lake)</v>
      </c>
      <c r="K1713" s="8" t="str">
        <f t="shared" si="321"/>
        <v>Riparian</v>
      </c>
      <c r="L1713" s="8">
        <f t="shared" si="322"/>
        <v>1000</v>
      </c>
      <c r="M1713" s="8" t="str">
        <f t="shared" si="324"/>
        <v>-</v>
      </c>
      <c r="N1713" s="10" t="s">
        <v>241</v>
      </c>
      <c r="O1713" s="10" t="s">
        <v>241</v>
      </c>
      <c r="P1713" s="10" t="s">
        <v>242</v>
      </c>
      <c r="Q1713" s="10" t="s">
        <v>242</v>
      </c>
      <c r="R1713" s="10" t="s">
        <v>242</v>
      </c>
      <c r="S1713" s="10" t="s">
        <v>241</v>
      </c>
      <c r="T1713" s="10" t="s">
        <v>242</v>
      </c>
      <c r="U1713" s="10" t="s">
        <v>242</v>
      </c>
      <c r="V1713" s="10" t="s">
        <v>242</v>
      </c>
      <c r="W1713" s="10" t="s">
        <v>242</v>
      </c>
      <c r="X1713" s="15">
        <f>IF(ISERROR(VLOOKUP($A1713,'13. Updated Demand'!A:Z,15,FALSE)),0,VLOOKUP($A1713,'13. Updated Demand'!A:Z,15,FALSE))</f>
        <v>0</v>
      </c>
      <c r="Y1713" s="16">
        <f>IF(ISERROR(VLOOKUP($A1713,'13. Updated Demand'!A:Z,16,FALSE)),0,VLOOKUP($A1713,'13. Updated Demand'!A:Z,16,FALSE))</f>
        <v>0</v>
      </c>
      <c r="Z1713" s="16">
        <f>IF(ISERROR(VLOOKUP($A1713,'13. Updated Demand'!A:Z,17,FALSE)),0,VLOOKUP($A1713,'13. Updated Demand'!A:Z,17,FALSE))</f>
        <v>0</v>
      </c>
      <c r="AA1713" s="16">
        <f>IF(ISERROR(VLOOKUP($A1713,'13. Updated Demand'!A:Z,18,FALSE)),0,VLOOKUP($A1713,'13. Updated Demand'!A:Z,18,FALSE))</f>
        <v>0</v>
      </c>
      <c r="AB1713" s="16">
        <f>IF(ISERROR(VLOOKUP($A1713,'13. Updated Demand'!A:Z,19,FALSE)),0,VLOOKUP($A1713,'13. Updated Demand'!A:Z,19,FALSE))</f>
        <v>0</v>
      </c>
      <c r="AC1713" s="16">
        <f>IF(ISERROR(VLOOKUP($A1713,'13. Updated Demand'!A:Z,20,FALSE)),0,VLOOKUP($A1713,'13. Updated Demand'!A:Z,20,FALSE))</f>
        <v>0</v>
      </c>
      <c r="AD1713" s="16">
        <f>IF(ISERROR(VLOOKUP($A1713,'13. Updated Demand'!A:Z,21,FALSE)),0,VLOOKUP($A1713,'13. Updated Demand'!A:Z,21,FALSE))</f>
        <v>0</v>
      </c>
      <c r="AE1713" s="16">
        <f>IF(ISERROR(VLOOKUP($A1713,'13. Updated Demand'!A:Z,22,FALSE)),0,VLOOKUP($A1713,'13. Updated Demand'!A:Z,22,FALSE))</f>
        <v>0</v>
      </c>
      <c r="AF1713" s="16">
        <f>IF(ISERROR(VLOOKUP($A1713,'13. Updated Demand'!A:Z,23,FALSE)),0,VLOOKUP($A1713,'13. Updated Demand'!A:Z,23,FALSE))</f>
        <v>0</v>
      </c>
      <c r="AG1713" s="16">
        <f>IF(ISERROR(VLOOKUP($A1713,'13. Updated Demand'!A:Z,24,FALSE)),0,VLOOKUP($A1713,'13. Updated Demand'!A:Z,24,FALSE))</f>
        <v>0</v>
      </c>
      <c r="AH1713" s="16">
        <f>IF(ISERROR(VLOOKUP($A1713,'13. Updated Demand'!A:Z,25,FALSE)),0,VLOOKUP($A1713,'13. Updated Demand'!A:Z,25,FALSE))</f>
        <v>0</v>
      </c>
      <c r="AI1713" s="16">
        <f>IF(ISERROR(VLOOKUP($A1713,'13. Updated Demand'!A:Z,26,FALSE)),0,VLOOKUP($A1713,'13. Updated Demand'!A:Z,26,FALSE))</f>
        <v>0</v>
      </c>
      <c r="AJ1713" s="16">
        <f t="shared" si="325"/>
        <v>0</v>
      </c>
      <c r="AK1713" s="19">
        <v>0.456666666666667</v>
      </c>
      <c r="AL1713" s="16">
        <f t="shared" si="323"/>
        <v>1.5147113141116169E-3</v>
      </c>
      <c r="AM1713" s="26">
        <v>1.3182702304734334E-3</v>
      </c>
      <c r="AN1713" s="19">
        <v>804.08399999999995</v>
      </c>
      <c r="AO1713" s="19" t="s">
        <v>1758</v>
      </c>
      <c r="AP1713" s="19">
        <v>0</v>
      </c>
      <c r="AQ1713" s="19" t="s">
        <v>307</v>
      </c>
      <c r="AR1713" s="9" t="s">
        <v>331</v>
      </c>
      <c r="AS1713" s="12">
        <v>0</v>
      </c>
      <c r="AT1713" s="19">
        <v>39.16017677</v>
      </c>
      <c r="AU1713" s="19">
        <v>-123.1886037</v>
      </c>
      <c r="AV1713" s="19" t="s">
        <v>387</v>
      </c>
    </row>
    <row r="1714" spans="1:48" x14ac:dyDescent="0.25">
      <c r="A1714" s="18" t="s">
        <v>2117</v>
      </c>
      <c r="B1714" s="10">
        <v>10000000</v>
      </c>
      <c r="C1714" s="9">
        <v>17</v>
      </c>
      <c r="D1714" s="8" t="str">
        <f t="shared" si="314"/>
        <v>N</v>
      </c>
      <c r="E1714" s="8" t="str">
        <f t="shared" si="315"/>
        <v>N</v>
      </c>
      <c r="F1714" s="8" t="str">
        <f t="shared" si="316"/>
        <v>N</v>
      </c>
      <c r="G1714" s="8" t="str">
        <f t="shared" si="317"/>
        <v>N</v>
      </c>
      <c r="H1714" s="8" t="str">
        <f t="shared" si="318"/>
        <v>Lower</v>
      </c>
      <c r="I1714" s="8" t="str">
        <f t="shared" si="319"/>
        <v>Outside</v>
      </c>
      <c r="J1714" s="8" t="str">
        <f t="shared" si="320"/>
        <v>Outside</v>
      </c>
      <c r="K1714" s="8" t="str">
        <f t="shared" si="321"/>
        <v>Riparian</v>
      </c>
      <c r="L1714" s="8">
        <f t="shared" si="322"/>
        <v>1000</v>
      </c>
      <c r="M1714" s="8" t="str">
        <f t="shared" si="324"/>
        <v>-</v>
      </c>
      <c r="N1714" s="10" t="s">
        <v>241</v>
      </c>
      <c r="O1714" s="10" t="s">
        <v>242</v>
      </c>
      <c r="P1714" s="10" t="s">
        <v>242</v>
      </c>
      <c r="Q1714" s="10" t="s">
        <v>242</v>
      </c>
      <c r="R1714" s="10" t="s">
        <v>242</v>
      </c>
      <c r="S1714" s="10" t="s">
        <v>241</v>
      </c>
      <c r="T1714" s="10" t="s">
        <v>242</v>
      </c>
      <c r="U1714" s="10" t="s">
        <v>241</v>
      </c>
      <c r="V1714" s="10" t="s">
        <v>241</v>
      </c>
      <c r="W1714" s="10" t="s">
        <v>242</v>
      </c>
      <c r="X1714" s="15">
        <f>IF(ISERROR(VLOOKUP($A1714,'13. Updated Demand'!A:Z,15,FALSE)),0,VLOOKUP($A1714,'13. Updated Demand'!A:Z,15,FALSE))</f>
        <v>0</v>
      </c>
      <c r="Y1714" s="16">
        <f>IF(ISERROR(VLOOKUP($A1714,'13. Updated Demand'!A:Z,16,FALSE)),0,VLOOKUP($A1714,'13. Updated Demand'!A:Z,16,FALSE))</f>
        <v>0</v>
      </c>
      <c r="Z1714" s="16">
        <f>IF(ISERROR(VLOOKUP($A1714,'13. Updated Demand'!A:Z,17,FALSE)),0,VLOOKUP($A1714,'13. Updated Demand'!A:Z,17,FALSE))</f>
        <v>0</v>
      </c>
      <c r="AA1714" s="16">
        <f>IF(ISERROR(VLOOKUP($A1714,'13. Updated Demand'!A:Z,18,FALSE)),0,VLOOKUP($A1714,'13. Updated Demand'!A:Z,18,FALSE))</f>
        <v>0</v>
      </c>
      <c r="AB1714" s="16">
        <f>IF(ISERROR(VLOOKUP($A1714,'13. Updated Demand'!A:Z,19,FALSE)),0,VLOOKUP($A1714,'13. Updated Demand'!A:Z,19,FALSE))</f>
        <v>0</v>
      </c>
      <c r="AC1714" s="16">
        <f>IF(ISERROR(VLOOKUP($A1714,'13. Updated Demand'!A:Z,20,FALSE)),0,VLOOKUP($A1714,'13. Updated Demand'!A:Z,20,FALSE))</f>
        <v>0</v>
      </c>
      <c r="AD1714" s="16">
        <f>IF(ISERROR(VLOOKUP($A1714,'13. Updated Demand'!A:Z,21,FALSE)),0,VLOOKUP($A1714,'13. Updated Demand'!A:Z,21,FALSE))</f>
        <v>0</v>
      </c>
      <c r="AE1714" s="16">
        <f>IF(ISERROR(VLOOKUP($A1714,'13. Updated Demand'!A:Z,22,FALSE)),0,VLOOKUP($A1714,'13. Updated Demand'!A:Z,22,FALSE))</f>
        <v>0</v>
      </c>
      <c r="AF1714" s="16">
        <f>IF(ISERROR(VLOOKUP($A1714,'13. Updated Demand'!A:Z,23,FALSE)),0,VLOOKUP($A1714,'13. Updated Demand'!A:Z,23,FALSE))</f>
        <v>0</v>
      </c>
      <c r="AG1714" s="16">
        <f>IF(ISERROR(VLOOKUP($A1714,'13. Updated Demand'!A:Z,24,FALSE)),0,VLOOKUP($A1714,'13. Updated Demand'!A:Z,24,FALSE))</f>
        <v>0</v>
      </c>
      <c r="AH1714" s="16">
        <f>IF(ISERROR(VLOOKUP($A1714,'13. Updated Demand'!A:Z,25,FALSE)),0,VLOOKUP($A1714,'13. Updated Demand'!A:Z,25,FALSE))</f>
        <v>0</v>
      </c>
      <c r="AI1714" s="16">
        <f>IF(ISERROR(VLOOKUP($A1714,'13. Updated Demand'!A:Z,26,FALSE)),0,VLOOKUP($A1714,'13. Updated Demand'!A:Z,26,FALSE))</f>
        <v>0</v>
      </c>
      <c r="AJ1714" s="16">
        <f t="shared" si="325"/>
        <v>0</v>
      </c>
      <c r="AK1714" s="19">
        <v>0</v>
      </c>
      <c r="AL1714" s="16">
        <f t="shared" si="323"/>
        <v>0</v>
      </c>
      <c r="AM1714" s="26">
        <v>0</v>
      </c>
      <c r="AN1714" s="19">
        <v>807.70600000000002</v>
      </c>
      <c r="AO1714" s="19" t="s">
        <v>1758</v>
      </c>
      <c r="AP1714" s="19">
        <v>0</v>
      </c>
      <c r="AQ1714" s="19" t="s">
        <v>307</v>
      </c>
      <c r="AR1714" s="9" t="s">
        <v>486</v>
      </c>
      <c r="AS1714" s="12">
        <v>0</v>
      </c>
      <c r="AT1714" s="19">
        <v>38.530772089999999</v>
      </c>
      <c r="AU1714" s="19">
        <v>-122.86454200999999</v>
      </c>
      <c r="AV1714" s="19" t="s">
        <v>548</v>
      </c>
    </row>
    <row r="1715" spans="1:48" x14ac:dyDescent="0.25">
      <c r="A1715" s="18" t="s">
        <v>2118</v>
      </c>
      <c r="B1715" s="10">
        <v>10000000</v>
      </c>
      <c r="C1715" s="9">
        <v>10</v>
      </c>
      <c r="D1715" s="8" t="str">
        <f t="shared" si="314"/>
        <v>N</v>
      </c>
      <c r="E1715" s="8" t="str">
        <f t="shared" si="315"/>
        <v>Y</v>
      </c>
      <c r="F1715" s="8" t="str">
        <f t="shared" si="316"/>
        <v>Y</v>
      </c>
      <c r="G1715" s="8" t="str">
        <f t="shared" si="317"/>
        <v>Y</v>
      </c>
      <c r="H1715" s="8" t="str">
        <f t="shared" si="318"/>
        <v>Upper</v>
      </c>
      <c r="I1715" s="8" t="str">
        <f t="shared" si="319"/>
        <v>West Fork and Below Lake</v>
      </c>
      <c r="J1715" s="8" t="str">
        <f t="shared" si="320"/>
        <v>Sonoma (d/s of Clov. Gage)</v>
      </c>
      <c r="K1715" s="8" t="str">
        <f t="shared" si="321"/>
        <v>Riparian</v>
      </c>
      <c r="L1715" s="8">
        <f t="shared" si="322"/>
        <v>1000</v>
      </c>
      <c r="M1715" s="8" t="str">
        <f t="shared" si="324"/>
        <v>-</v>
      </c>
      <c r="N1715" s="10" t="s">
        <v>241</v>
      </c>
      <c r="O1715" s="10" t="s">
        <v>241</v>
      </c>
      <c r="P1715" s="10" t="s">
        <v>242</v>
      </c>
      <c r="Q1715" s="10" t="s">
        <v>242</v>
      </c>
      <c r="R1715" s="10" t="s">
        <v>242</v>
      </c>
      <c r="S1715" s="10" t="s">
        <v>241</v>
      </c>
      <c r="T1715" s="10" t="s">
        <v>242</v>
      </c>
      <c r="U1715" s="10" t="s">
        <v>242</v>
      </c>
      <c r="V1715" s="10" t="s">
        <v>242</v>
      </c>
      <c r="W1715" s="10" t="s">
        <v>242</v>
      </c>
      <c r="X1715" s="15">
        <f>IF(ISERROR(VLOOKUP($A1715,'13. Updated Demand'!A:Z,15,FALSE)),0,VLOOKUP($A1715,'13. Updated Demand'!A:Z,15,FALSE))</f>
        <v>8.3333333333333297E-3</v>
      </c>
      <c r="Y1715" s="16">
        <f>IF(ISERROR(VLOOKUP($A1715,'13. Updated Demand'!A:Z,16,FALSE)),0,VLOOKUP($A1715,'13. Updated Demand'!A:Z,16,FALSE))</f>
        <v>1.1200000000000001</v>
      </c>
      <c r="Z1715" s="16">
        <f>IF(ISERROR(VLOOKUP($A1715,'13. Updated Demand'!A:Z,17,FALSE)),0,VLOOKUP($A1715,'13. Updated Demand'!A:Z,17,FALSE))</f>
        <v>0.56999999999999995</v>
      </c>
      <c r="AA1715" s="16">
        <f>IF(ISERROR(VLOOKUP($A1715,'13. Updated Demand'!A:Z,18,FALSE)),0,VLOOKUP($A1715,'13. Updated Demand'!A:Z,18,FALSE))</f>
        <v>0.2</v>
      </c>
      <c r="AB1715" s="16">
        <f>IF(ISERROR(VLOOKUP($A1715,'13. Updated Demand'!A:Z,19,FALSE)),0,VLOOKUP($A1715,'13. Updated Demand'!A:Z,19,FALSE))</f>
        <v>0.24</v>
      </c>
      <c r="AC1715" s="16">
        <f>IF(ISERROR(VLOOKUP($A1715,'13. Updated Demand'!A:Z,20,FALSE)),0,VLOOKUP($A1715,'13. Updated Demand'!A:Z,20,FALSE))</f>
        <v>1.31</v>
      </c>
      <c r="AD1715" s="16">
        <f>IF(ISERROR(VLOOKUP($A1715,'13. Updated Demand'!A:Z,21,FALSE)),0,VLOOKUP($A1715,'13. Updated Demand'!A:Z,21,FALSE))</f>
        <v>3.19</v>
      </c>
      <c r="AE1715" s="16">
        <f>IF(ISERROR(VLOOKUP($A1715,'13. Updated Demand'!A:Z,22,FALSE)),0,VLOOKUP($A1715,'13. Updated Demand'!A:Z,22,FALSE))</f>
        <v>4.8600000000000003</v>
      </c>
      <c r="AF1715" s="16">
        <f>IF(ISERROR(VLOOKUP($A1715,'13. Updated Demand'!A:Z,23,FALSE)),0,VLOOKUP($A1715,'13. Updated Demand'!A:Z,23,FALSE))</f>
        <v>3.37</v>
      </c>
      <c r="AG1715" s="16">
        <f>IF(ISERROR(VLOOKUP($A1715,'13. Updated Demand'!A:Z,24,FALSE)),0,VLOOKUP($A1715,'13. Updated Demand'!A:Z,24,FALSE))</f>
        <v>2.0699999999999998</v>
      </c>
      <c r="AH1715" s="16">
        <f>IF(ISERROR(VLOOKUP($A1715,'13. Updated Demand'!A:Z,25,FALSE)),0,VLOOKUP($A1715,'13. Updated Demand'!A:Z,25,FALSE))</f>
        <v>0.48</v>
      </c>
      <c r="AI1715" s="16">
        <f>IF(ISERROR(VLOOKUP($A1715,'13. Updated Demand'!A:Z,26,FALSE)),0,VLOOKUP($A1715,'13. Updated Demand'!A:Z,26,FALSE))</f>
        <v>0</v>
      </c>
      <c r="AJ1715" s="16">
        <f t="shared" si="325"/>
        <v>17.418333333333337</v>
      </c>
      <c r="AK1715" s="19">
        <v>12.989999999999995</v>
      </c>
      <c r="AL1715" s="16">
        <f t="shared" si="323"/>
        <v>4.3086350299948652E-2</v>
      </c>
      <c r="AM1715" s="26">
        <v>1.5446027835591607E-2</v>
      </c>
      <c r="AN1715" s="19">
        <v>1130.0640000000001</v>
      </c>
      <c r="AO1715" s="19" t="s">
        <v>1758</v>
      </c>
      <c r="AP1715" s="19">
        <v>0</v>
      </c>
      <c r="AQ1715" s="19" t="s">
        <v>307</v>
      </c>
      <c r="AR1715" s="9" t="s">
        <v>436</v>
      </c>
      <c r="AS1715" s="12">
        <v>0</v>
      </c>
      <c r="AT1715" s="19">
        <v>38.699630069999998</v>
      </c>
      <c r="AU1715" s="19">
        <v>-122.86764228</v>
      </c>
      <c r="AV1715" s="19" t="s">
        <v>548</v>
      </c>
    </row>
    <row r="1716" spans="1:48" x14ac:dyDescent="0.25">
      <c r="A1716" s="18" t="s">
        <v>2119</v>
      </c>
      <c r="B1716" s="10">
        <v>10000000</v>
      </c>
      <c r="C1716" s="9">
        <v>10</v>
      </c>
      <c r="D1716" s="8" t="str">
        <f t="shared" si="314"/>
        <v>N</v>
      </c>
      <c r="E1716" s="8" t="str">
        <f t="shared" si="315"/>
        <v>Y</v>
      </c>
      <c r="F1716" s="8" t="str">
        <f t="shared" si="316"/>
        <v>Y</v>
      </c>
      <c r="G1716" s="8" t="str">
        <f t="shared" si="317"/>
        <v>Y</v>
      </c>
      <c r="H1716" s="8" t="str">
        <f t="shared" si="318"/>
        <v>Upper</v>
      </c>
      <c r="I1716" s="8" t="str">
        <f t="shared" si="319"/>
        <v>West Fork and Below Lake</v>
      </c>
      <c r="J1716" s="8" t="str">
        <f t="shared" si="320"/>
        <v>Sonoma (d/s of Clov. Gage)</v>
      </c>
      <c r="K1716" s="8" t="str">
        <f t="shared" si="321"/>
        <v>Riparian</v>
      </c>
      <c r="L1716" s="8">
        <f t="shared" si="322"/>
        <v>1000</v>
      </c>
      <c r="M1716" s="8" t="str">
        <f t="shared" si="324"/>
        <v>-</v>
      </c>
      <c r="N1716" s="10" t="s">
        <v>241</v>
      </c>
      <c r="O1716" s="10" t="s">
        <v>241</v>
      </c>
      <c r="P1716" s="10" t="s">
        <v>242</v>
      </c>
      <c r="Q1716" s="10" t="s">
        <v>242</v>
      </c>
      <c r="R1716" s="10" t="s">
        <v>242</v>
      </c>
      <c r="S1716" s="10" t="s">
        <v>241</v>
      </c>
      <c r="T1716" s="10" t="s">
        <v>242</v>
      </c>
      <c r="U1716" s="10" t="s">
        <v>242</v>
      </c>
      <c r="V1716" s="10" t="s">
        <v>242</v>
      </c>
      <c r="W1716" s="10" t="s">
        <v>242</v>
      </c>
      <c r="X1716" s="15">
        <f>IF(ISERROR(VLOOKUP($A1716,'13. Updated Demand'!A:Z,15,FALSE)),0,VLOOKUP($A1716,'13. Updated Demand'!A:Z,15,FALSE))</f>
        <v>8.3333333333333297E-3</v>
      </c>
      <c r="Y1716" s="16">
        <f>IF(ISERROR(VLOOKUP($A1716,'13. Updated Demand'!A:Z,16,FALSE)),0,VLOOKUP($A1716,'13. Updated Demand'!A:Z,16,FALSE))</f>
        <v>1.17</v>
      </c>
      <c r="Z1716" s="16">
        <f>IF(ISERROR(VLOOKUP($A1716,'13. Updated Demand'!A:Z,17,FALSE)),0,VLOOKUP($A1716,'13. Updated Demand'!A:Z,17,FALSE))</f>
        <v>0.56999999999999995</v>
      </c>
      <c r="AA1716" s="16">
        <f>IF(ISERROR(VLOOKUP($A1716,'13. Updated Demand'!A:Z,18,FALSE)),0,VLOOKUP($A1716,'13. Updated Demand'!A:Z,18,FALSE))</f>
        <v>0.2</v>
      </c>
      <c r="AB1716" s="16">
        <f>IF(ISERROR(VLOOKUP($A1716,'13. Updated Demand'!A:Z,19,FALSE)),0,VLOOKUP($A1716,'13. Updated Demand'!A:Z,19,FALSE))</f>
        <v>0.24</v>
      </c>
      <c r="AC1716" s="16">
        <f>IF(ISERROR(VLOOKUP($A1716,'13. Updated Demand'!A:Z,20,FALSE)),0,VLOOKUP($A1716,'13. Updated Demand'!A:Z,20,FALSE))</f>
        <v>1.31</v>
      </c>
      <c r="AD1716" s="16">
        <f>IF(ISERROR(VLOOKUP($A1716,'13. Updated Demand'!A:Z,21,FALSE)),0,VLOOKUP($A1716,'13. Updated Demand'!A:Z,21,FALSE))</f>
        <v>3.17</v>
      </c>
      <c r="AE1716" s="16">
        <f>IF(ISERROR(VLOOKUP($A1716,'13. Updated Demand'!A:Z,22,FALSE)),0,VLOOKUP($A1716,'13. Updated Demand'!A:Z,22,FALSE))</f>
        <v>4.8600000000000003</v>
      </c>
      <c r="AF1716" s="16">
        <f>IF(ISERROR(VLOOKUP($A1716,'13. Updated Demand'!A:Z,23,FALSE)),0,VLOOKUP($A1716,'13. Updated Demand'!A:Z,23,FALSE))</f>
        <v>3.37</v>
      </c>
      <c r="AG1716" s="16">
        <f>IF(ISERROR(VLOOKUP($A1716,'13. Updated Demand'!A:Z,24,FALSE)),0,VLOOKUP($A1716,'13. Updated Demand'!A:Z,24,FALSE))</f>
        <v>2.0699999999999998</v>
      </c>
      <c r="AH1716" s="16">
        <f>IF(ISERROR(VLOOKUP($A1716,'13. Updated Demand'!A:Z,25,FALSE)),0,VLOOKUP($A1716,'13. Updated Demand'!A:Z,25,FALSE))</f>
        <v>0.48</v>
      </c>
      <c r="AI1716" s="16">
        <f>IF(ISERROR(VLOOKUP($A1716,'13. Updated Demand'!A:Z,26,FALSE)),0,VLOOKUP($A1716,'13. Updated Demand'!A:Z,26,FALSE))</f>
        <v>0</v>
      </c>
      <c r="AJ1716" s="16">
        <f t="shared" si="325"/>
        <v>17.448333333333334</v>
      </c>
      <c r="AK1716" s="19">
        <v>12.978333333333325</v>
      </c>
      <c r="AL1716" s="16">
        <f t="shared" si="323"/>
        <v>4.3047653295573522E-2</v>
      </c>
      <c r="AM1716" s="26">
        <v>1.0830054500028472E-2</v>
      </c>
      <c r="AN1716" s="19">
        <v>1615.412</v>
      </c>
      <c r="AO1716" s="19" t="s">
        <v>1758</v>
      </c>
      <c r="AP1716" s="19">
        <v>0</v>
      </c>
      <c r="AQ1716" s="19" t="s">
        <v>307</v>
      </c>
      <c r="AR1716" s="9" t="s">
        <v>436</v>
      </c>
      <c r="AS1716" s="12">
        <v>0</v>
      </c>
      <c r="AT1716" s="19">
        <v>38.697298770000003</v>
      </c>
      <c r="AU1716" s="19">
        <v>-122.86726348000001</v>
      </c>
      <c r="AV1716" s="19" t="s">
        <v>548</v>
      </c>
    </row>
    <row r="1717" spans="1:48" x14ac:dyDescent="0.25">
      <c r="A1717" s="18" t="s">
        <v>2120</v>
      </c>
      <c r="B1717" s="10">
        <v>10000000</v>
      </c>
      <c r="C1717" s="9">
        <v>10</v>
      </c>
      <c r="D1717" s="8" t="str">
        <f t="shared" si="314"/>
        <v>N</v>
      </c>
      <c r="E1717" s="8" t="str">
        <f t="shared" si="315"/>
        <v>Y</v>
      </c>
      <c r="F1717" s="8" t="str">
        <f t="shared" si="316"/>
        <v>Y</v>
      </c>
      <c r="G1717" s="8" t="str">
        <f t="shared" si="317"/>
        <v>Y</v>
      </c>
      <c r="H1717" s="8" t="str">
        <f t="shared" si="318"/>
        <v>Upper</v>
      </c>
      <c r="I1717" s="8" t="str">
        <f t="shared" si="319"/>
        <v>West Fork and Below Lake</v>
      </c>
      <c r="J1717" s="8" t="str">
        <f t="shared" si="320"/>
        <v>Sonoma (d/s of Clov. Gage)</v>
      </c>
      <c r="K1717" s="8" t="str">
        <f t="shared" si="321"/>
        <v>Riparian</v>
      </c>
      <c r="L1717" s="8">
        <f t="shared" si="322"/>
        <v>1000</v>
      </c>
      <c r="M1717" s="8" t="str">
        <f t="shared" si="324"/>
        <v>-</v>
      </c>
      <c r="N1717" s="10" t="s">
        <v>241</v>
      </c>
      <c r="O1717" s="10" t="s">
        <v>241</v>
      </c>
      <c r="P1717" s="10" t="s">
        <v>242</v>
      </c>
      <c r="Q1717" s="10" t="s">
        <v>242</v>
      </c>
      <c r="R1717" s="10" t="s">
        <v>242</v>
      </c>
      <c r="S1717" s="10" t="s">
        <v>241</v>
      </c>
      <c r="T1717" s="10" t="s">
        <v>242</v>
      </c>
      <c r="U1717" s="10" t="s">
        <v>242</v>
      </c>
      <c r="V1717" s="10" t="s">
        <v>242</v>
      </c>
      <c r="W1717" s="10" t="s">
        <v>242</v>
      </c>
      <c r="X1717" s="15">
        <f>IF(ISERROR(VLOOKUP($A1717,'13. Updated Demand'!A:Z,15,FALSE)),0,VLOOKUP($A1717,'13. Updated Demand'!A:Z,15,FALSE))</f>
        <v>0.12</v>
      </c>
      <c r="Y1717" s="16">
        <f>IF(ISERROR(VLOOKUP($A1717,'13. Updated Demand'!A:Z,16,FALSE)),0,VLOOKUP($A1717,'13. Updated Demand'!A:Z,16,FALSE))</f>
        <v>0.12</v>
      </c>
      <c r="Z1717" s="16">
        <f>IF(ISERROR(VLOOKUP($A1717,'13. Updated Demand'!A:Z,17,FALSE)),0,VLOOKUP($A1717,'13. Updated Demand'!A:Z,17,FALSE))</f>
        <v>0.12</v>
      </c>
      <c r="AA1717" s="16">
        <f>IF(ISERROR(VLOOKUP($A1717,'13. Updated Demand'!A:Z,18,FALSE)),0,VLOOKUP($A1717,'13. Updated Demand'!A:Z,18,FALSE))</f>
        <v>0.12</v>
      </c>
      <c r="AB1717" s="16">
        <f>IF(ISERROR(VLOOKUP($A1717,'13. Updated Demand'!A:Z,19,FALSE)),0,VLOOKUP($A1717,'13. Updated Demand'!A:Z,19,FALSE))</f>
        <v>0.12</v>
      </c>
      <c r="AC1717" s="16">
        <f>IF(ISERROR(VLOOKUP($A1717,'13. Updated Demand'!A:Z,20,FALSE)),0,VLOOKUP($A1717,'13. Updated Demand'!A:Z,20,FALSE))</f>
        <v>0.12</v>
      </c>
      <c r="AD1717" s="16">
        <f>IF(ISERROR(VLOOKUP($A1717,'13. Updated Demand'!A:Z,21,FALSE)),0,VLOOKUP($A1717,'13. Updated Demand'!A:Z,21,FALSE))</f>
        <v>0.12</v>
      </c>
      <c r="AE1717" s="16">
        <f>IF(ISERROR(VLOOKUP($A1717,'13. Updated Demand'!A:Z,22,FALSE)),0,VLOOKUP($A1717,'13. Updated Demand'!A:Z,22,FALSE))</f>
        <v>0.12</v>
      </c>
      <c r="AF1717" s="16">
        <f>IF(ISERROR(VLOOKUP($A1717,'13. Updated Demand'!A:Z,23,FALSE)),0,VLOOKUP($A1717,'13. Updated Demand'!A:Z,23,FALSE))</f>
        <v>0.12</v>
      </c>
      <c r="AG1717" s="16">
        <f>IF(ISERROR(VLOOKUP($A1717,'13. Updated Demand'!A:Z,24,FALSE)),0,VLOOKUP($A1717,'13. Updated Demand'!A:Z,24,FALSE))</f>
        <v>0.12</v>
      </c>
      <c r="AH1717" s="16">
        <f>IF(ISERROR(VLOOKUP($A1717,'13. Updated Demand'!A:Z,25,FALSE)),0,VLOOKUP($A1717,'13. Updated Demand'!A:Z,25,FALSE))</f>
        <v>0.12</v>
      </c>
      <c r="AI1717" s="16">
        <f>IF(ISERROR(VLOOKUP($A1717,'13. Updated Demand'!A:Z,26,FALSE)),0,VLOOKUP($A1717,'13. Updated Demand'!A:Z,26,FALSE))</f>
        <v>0.12</v>
      </c>
      <c r="AJ1717" s="16">
        <f t="shared" si="325"/>
        <v>1.4400000000000004</v>
      </c>
      <c r="AK1717" s="19">
        <v>0.6</v>
      </c>
      <c r="AL1717" s="16">
        <f t="shared" si="323"/>
        <v>1.9901316535773056E-3</v>
      </c>
      <c r="AM1717" s="26">
        <v>5.6795771870316335E-2</v>
      </c>
      <c r="AN1717" s="19">
        <v>25.353999999999999</v>
      </c>
      <c r="AO1717" s="19" t="s">
        <v>1758</v>
      </c>
      <c r="AP1717" s="19">
        <v>0</v>
      </c>
      <c r="AQ1717" s="19" t="s">
        <v>307</v>
      </c>
      <c r="AR1717" s="9" t="s">
        <v>436</v>
      </c>
      <c r="AS1717" s="12">
        <v>3.4039024194010059E-4</v>
      </c>
      <c r="AT1717" s="19">
        <v>38.701010799999999</v>
      </c>
      <c r="AU1717" s="19">
        <v>-122.86660781</v>
      </c>
      <c r="AV1717" s="19" t="s">
        <v>548</v>
      </c>
    </row>
    <row r="1718" spans="1:48" x14ac:dyDescent="0.25">
      <c r="A1718" s="18" t="s">
        <v>2121</v>
      </c>
      <c r="B1718" s="10">
        <v>10000000</v>
      </c>
      <c r="C1718" s="9">
        <v>6</v>
      </c>
      <c r="D1718" s="8" t="str">
        <f t="shared" si="314"/>
        <v>Y</v>
      </c>
      <c r="E1718" s="8" t="str">
        <f t="shared" si="315"/>
        <v>N</v>
      </c>
      <c r="F1718" s="8" t="str">
        <f t="shared" si="316"/>
        <v>Y</v>
      </c>
      <c r="G1718" s="8" t="str">
        <f t="shared" si="317"/>
        <v>Y</v>
      </c>
      <c r="H1718" s="8" t="str">
        <f t="shared" si="318"/>
        <v>Upper</v>
      </c>
      <c r="I1718" s="8" t="str">
        <f t="shared" si="319"/>
        <v>West Fork and Below Lake</v>
      </c>
      <c r="J1718" s="8" t="str">
        <f t="shared" si="320"/>
        <v>Mendocino (d/s of lake)</v>
      </c>
      <c r="K1718" s="8" t="str">
        <f t="shared" si="321"/>
        <v>Riparian</v>
      </c>
      <c r="L1718" s="8">
        <f t="shared" si="322"/>
        <v>1000</v>
      </c>
      <c r="M1718" s="8" t="str">
        <f t="shared" si="324"/>
        <v>-</v>
      </c>
      <c r="N1718" s="10" t="s">
        <v>241</v>
      </c>
      <c r="O1718" s="10" t="s">
        <v>241</v>
      </c>
      <c r="P1718" s="10" t="s">
        <v>242</v>
      </c>
      <c r="Q1718" s="10" t="s">
        <v>242</v>
      </c>
      <c r="R1718" s="10" t="s">
        <v>242</v>
      </c>
      <c r="S1718" s="10" t="s">
        <v>241</v>
      </c>
      <c r="T1718" s="10" t="s">
        <v>242</v>
      </c>
      <c r="U1718" s="10" t="s">
        <v>242</v>
      </c>
      <c r="V1718" s="10" t="s">
        <v>242</v>
      </c>
      <c r="W1718" s="10" t="s">
        <v>242</v>
      </c>
      <c r="X1718" s="15">
        <f>IF(ISERROR(VLOOKUP($A1718,'13. Updated Demand'!A:Z,15,FALSE)),0,VLOOKUP($A1718,'13. Updated Demand'!A:Z,15,FALSE))</f>
        <v>0</v>
      </c>
      <c r="Y1718" s="16">
        <f>IF(ISERROR(VLOOKUP($A1718,'13. Updated Demand'!A:Z,16,FALSE)),0,VLOOKUP($A1718,'13. Updated Demand'!A:Z,16,FALSE))</f>
        <v>0</v>
      </c>
      <c r="Z1718" s="16">
        <f>IF(ISERROR(VLOOKUP($A1718,'13. Updated Demand'!A:Z,17,FALSE)),0,VLOOKUP($A1718,'13. Updated Demand'!A:Z,17,FALSE))</f>
        <v>0</v>
      </c>
      <c r="AA1718" s="16">
        <f>IF(ISERROR(VLOOKUP($A1718,'13. Updated Demand'!A:Z,18,FALSE)),0,VLOOKUP($A1718,'13. Updated Demand'!A:Z,18,FALSE))</f>
        <v>0.66</v>
      </c>
      <c r="AB1718" s="16">
        <f>IF(ISERROR(VLOOKUP($A1718,'13. Updated Demand'!A:Z,19,FALSE)),0,VLOOKUP($A1718,'13. Updated Demand'!A:Z,19,FALSE))</f>
        <v>0</v>
      </c>
      <c r="AC1718" s="16">
        <f>IF(ISERROR(VLOOKUP($A1718,'13. Updated Demand'!A:Z,20,FALSE)),0,VLOOKUP($A1718,'13. Updated Demand'!A:Z,20,FALSE))</f>
        <v>0</v>
      </c>
      <c r="AD1718" s="16">
        <f>IF(ISERROR(VLOOKUP($A1718,'13. Updated Demand'!A:Z,21,FALSE)),0,VLOOKUP($A1718,'13. Updated Demand'!A:Z,21,FALSE))</f>
        <v>1.03</v>
      </c>
      <c r="AE1718" s="16">
        <f>IF(ISERROR(VLOOKUP($A1718,'13. Updated Demand'!A:Z,22,FALSE)),0,VLOOKUP($A1718,'13. Updated Demand'!A:Z,22,FALSE))</f>
        <v>0.9</v>
      </c>
      <c r="AF1718" s="16">
        <f>IF(ISERROR(VLOOKUP($A1718,'13. Updated Demand'!A:Z,23,FALSE)),0,VLOOKUP($A1718,'13. Updated Demand'!A:Z,23,FALSE))</f>
        <v>0</v>
      </c>
      <c r="AG1718" s="16">
        <f>IF(ISERROR(VLOOKUP($A1718,'13. Updated Demand'!A:Z,24,FALSE)),0,VLOOKUP($A1718,'13. Updated Demand'!A:Z,24,FALSE))</f>
        <v>0</v>
      </c>
      <c r="AH1718" s="16">
        <f>IF(ISERROR(VLOOKUP($A1718,'13. Updated Demand'!A:Z,25,FALSE)),0,VLOOKUP($A1718,'13. Updated Demand'!A:Z,25,FALSE))</f>
        <v>0</v>
      </c>
      <c r="AI1718" s="16">
        <f>IF(ISERROR(VLOOKUP($A1718,'13. Updated Demand'!A:Z,26,FALSE)),0,VLOOKUP($A1718,'13. Updated Demand'!A:Z,26,FALSE))</f>
        <v>0</v>
      </c>
      <c r="AJ1718" s="16">
        <f t="shared" si="325"/>
        <v>2.59</v>
      </c>
      <c r="AK1718" s="19">
        <v>1.93333333333333</v>
      </c>
      <c r="AL1718" s="16">
        <f t="shared" si="323"/>
        <v>6.4126464393046406E-3</v>
      </c>
      <c r="AM1718" s="26">
        <v>1.4649703061787923E-3</v>
      </c>
      <c r="AN1718" s="19">
        <v>1774.78</v>
      </c>
      <c r="AO1718" s="19" t="s">
        <v>1758</v>
      </c>
      <c r="AP1718" s="19">
        <v>0</v>
      </c>
      <c r="AQ1718" s="19" t="s">
        <v>307</v>
      </c>
      <c r="AR1718" s="9" t="s">
        <v>319</v>
      </c>
      <c r="AS1718" s="12">
        <v>0</v>
      </c>
      <c r="AT1718" s="19">
        <v>39.011355340000001</v>
      </c>
      <c r="AU1718" s="19">
        <v>-123.11818049</v>
      </c>
      <c r="AV1718" s="19" t="s">
        <v>387</v>
      </c>
    </row>
    <row r="1719" spans="1:48" x14ac:dyDescent="0.25">
      <c r="A1719" s="18" t="s">
        <v>2122</v>
      </c>
      <c r="B1719" s="10">
        <v>10000000</v>
      </c>
      <c r="C1719" s="9">
        <v>4</v>
      </c>
      <c r="D1719" s="8" t="str">
        <f t="shared" si="314"/>
        <v>Y</v>
      </c>
      <c r="E1719" s="8" t="str">
        <f t="shared" si="315"/>
        <v>N</v>
      </c>
      <c r="F1719" s="8" t="str">
        <f t="shared" si="316"/>
        <v>Y</v>
      </c>
      <c r="G1719" s="8" t="str">
        <f t="shared" si="317"/>
        <v>Y</v>
      </c>
      <c r="H1719" s="8" t="str">
        <f t="shared" si="318"/>
        <v>Upper</v>
      </c>
      <c r="I1719" s="8" t="str">
        <f t="shared" si="319"/>
        <v>West Fork and Below Lake</v>
      </c>
      <c r="J1719" s="8" t="str">
        <f t="shared" si="320"/>
        <v>Mendocino (d/s of lake)</v>
      </c>
      <c r="K1719" s="8" t="str">
        <f t="shared" si="321"/>
        <v>Riparian</v>
      </c>
      <c r="L1719" s="8">
        <f t="shared" si="322"/>
        <v>1000</v>
      </c>
      <c r="M1719" s="8" t="str">
        <f t="shared" si="324"/>
        <v>-</v>
      </c>
      <c r="N1719" s="10" t="s">
        <v>241</v>
      </c>
      <c r="O1719" s="10" t="s">
        <v>241</v>
      </c>
      <c r="P1719" s="10" t="s">
        <v>242</v>
      </c>
      <c r="Q1719" s="10" t="s">
        <v>242</v>
      </c>
      <c r="R1719" s="10" t="s">
        <v>242</v>
      </c>
      <c r="S1719" s="10" t="s">
        <v>241</v>
      </c>
      <c r="T1719" s="10" t="s">
        <v>242</v>
      </c>
      <c r="U1719" s="10" t="s">
        <v>242</v>
      </c>
      <c r="V1719" s="10" t="s">
        <v>241</v>
      </c>
      <c r="W1719" s="10" t="s">
        <v>242</v>
      </c>
      <c r="X1719" s="15">
        <f>IF(ISERROR(VLOOKUP($A1719,'13. Updated Demand'!A:Z,15,FALSE)),0,VLOOKUP($A1719,'13. Updated Demand'!A:Z,15,FALSE))</f>
        <v>6.6666666666666697E-3</v>
      </c>
      <c r="Y1719" s="16">
        <f>IF(ISERROR(VLOOKUP($A1719,'13. Updated Demand'!A:Z,16,FALSE)),0,VLOOKUP($A1719,'13. Updated Demand'!A:Z,16,FALSE))</f>
        <v>0.14000000000000001</v>
      </c>
      <c r="Z1719" s="16">
        <f>IF(ISERROR(VLOOKUP($A1719,'13. Updated Demand'!A:Z,17,FALSE)),0,VLOOKUP($A1719,'13. Updated Demand'!A:Z,17,FALSE))</f>
        <v>1.0900000000000001</v>
      </c>
      <c r="AA1719" s="16">
        <f>IF(ISERROR(VLOOKUP($A1719,'13. Updated Demand'!A:Z,18,FALSE)),0,VLOOKUP($A1719,'13. Updated Demand'!A:Z,18,FALSE))</f>
        <v>0.06</v>
      </c>
      <c r="AB1719" s="16">
        <f>IF(ISERROR(VLOOKUP($A1719,'13. Updated Demand'!A:Z,19,FALSE)),0,VLOOKUP($A1719,'13. Updated Demand'!A:Z,19,FALSE))</f>
        <v>0</v>
      </c>
      <c r="AC1719" s="16">
        <f>IF(ISERROR(VLOOKUP($A1719,'13. Updated Demand'!A:Z,20,FALSE)),0,VLOOKUP($A1719,'13. Updated Demand'!A:Z,20,FALSE))</f>
        <v>0</v>
      </c>
      <c r="AD1719" s="16">
        <f>IF(ISERROR(VLOOKUP($A1719,'13. Updated Demand'!A:Z,21,FALSE)),0,VLOOKUP($A1719,'13. Updated Demand'!A:Z,21,FALSE))</f>
        <v>0</v>
      </c>
      <c r="AE1719" s="16">
        <f>IF(ISERROR(VLOOKUP($A1719,'13. Updated Demand'!A:Z,22,FALSE)),0,VLOOKUP($A1719,'13. Updated Demand'!A:Z,22,FALSE))</f>
        <v>0</v>
      </c>
      <c r="AF1719" s="16">
        <f>IF(ISERROR(VLOOKUP($A1719,'13. Updated Demand'!A:Z,23,FALSE)),0,VLOOKUP($A1719,'13. Updated Demand'!A:Z,23,FALSE))</f>
        <v>0</v>
      </c>
      <c r="AG1719" s="16">
        <f>IF(ISERROR(VLOOKUP($A1719,'13. Updated Demand'!A:Z,24,FALSE)),0,VLOOKUP($A1719,'13. Updated Demand'!A:Z,24,FALSE))</f>
        <v>0</v>
      </c>
      <c r="AH1719" s="16">
        <f>IF(ISERROR(VLOOKUP($A1719,'13. Updated Demand'!A:Z,25,FALSE)),0,VLOOKUP($A1719,'13. Updated Demand'!A:Z,25,FALSE))</f>
        <v>0</v>
      </c>
      <c r="AI1719" s="16">
        <f>IF(ISERROR(VLOOKUP($A1719,'13. Updated Demand'!A:Z,26,FALSE)),0,VLOOKUP($A1719,'13. Updated Demand'!A:Z,26,FALSE))</f>
        <v>0</v>
      </c>
      <c r="AJ1719" s="16">
        <f t="shared" si="325"/>
        <v>1.2966666666666669</v>
      </c>
      <c r="AK1719" s="19">
        <v>0</v>
      </c>
      <c r="AL1719" s="16">
        <f t="shared" si="323"/>
        <v>0</v>
      </c>
      <c r="AM1719" s="26">
        <v>8.0115563619152601E-4</v>
      </c>
      <c r="AN1719" s="19">
        <v>1622.6559999999999</v>
      </c>
      <c r="AO1719" s="19" t="s">
        <v>1758</v>
      </c>
      <c r="AP1719" s="19">
        <v>0</v>
      </c>
      <c r="AQ1719" s="19" t="s">
        <v>307</v>
      </c>
      <c r="AR1719" s="9" t="s">
        <v>331</v>
      </c>
      <c r="AS1719" s="12">
        <v>0</v>
      </c>
      <c r="AT1719" s="19">
        <v>39.119497180000003</v>
      </c>
      <c r="AU1719" s="19">
        <v>-123.19250402999999</v>
      </c>
      <c r="AV1719" s="19" t="s">
        <v>387</v>
      </c>
    </row>
    <row r="1720" spans="1:48" x14ac:dyDescent="0.25">
      <c r="A1720" s="18" t="s">
        <v>2123</v>
      </c>
      <c r="B1720" s="10">
        <v>10000000</v>
      </c>
      <c r="C1720" s="9">
        <v>4</v>
      </c>
      <c r="D1720" s="8" t="str">
        <f t="shared" si="314"/>
        <v>Y</v>
      </c>
      <c r="E1720" s="8" t="str">
        <f t="shared" si="315"/>
        <v>N</v>
      </c>
      <c r="F1720" s="8" t="str">
        <f t="shared" si="316"/>
        <v>Y</v>
      </c>
      <c r="G1720" s="8" t="str">
        <f t="shared" si="317"/>
        <v>Y</v>
      </c>
      <c r="H1720" s="8" t="str">
        <f t="shared" si="318"/>
        <v>Upper</v>
      </c>
      <c r="I1720" s="8" t="str">
        <f t="shared" si="319"/>
        <v>West Fork and Below Lake</v>
      </c>
      <c r="J1720" s="8" t="str">
        <f t="shared" si="320"/>
        <v>Mendocino (d/s of lake)</v>
      </c>
      <c r="K1720" s="8" t="str">
        <f t="shared" si="321"/>
        <v>Riparian</v>
      </c>
      <c r="L1720" s="8">
        <f t="shared" si="322"/>
        <v>1000</v>
      </c>
      <c r="M1720" s="8" t="str">
        <f t="shared" si="324"/>
        <v>-</v>
      </c>
      <c r="N1720" s="10" t="s">
        <v>241</v>
      </c>
      <c r="O1720" s="10" t="s">
        <v>241</v>
      </c>
      <c r="P1720" s="10" t="s">
        <v>242</v>
      </c>
      <c r="Q1720" s="10" t="s">
        <v>242</v>
      </c>
      <c r="R1720" s="10" t="s">
        <v>242</v>
      </c>
      <c r="S1720" s="10" t="s">
        <v>241</v>
      </c>
      <c r="T1720" s="10" t="s">
        <v>242</v>
      </c>
      <c r="U1720" s="10" t="s">
        <v>242</v>
      </c>
      <c r="V1720" s="10" t="s">
        <v>242</v>
      </c>
      <c r="W1720" s="10" t="s">
        <v>242</v>
      </c>
      <c r="X1720" s="15">
        <f>IF(ISERROR(VLOOKUP($A1720,'13. Updated Demand'!A:Z,15,FALSE)),0,VLOOKUP($A1720,'13. Updated Demand'!A:Z,15,FALSE))</f>
        <v>0</v>
      </c>
      <c r="Y1720" s="16">
        <f>IF(ISERROR(VLOOKUP($A1720,'13. Updated Demand'!A:Z,16,FALSE)),0,VLOOKUP($A1720,'13. Updated Demand'!A:Z,16,FALSE))</f>
        <v>0</v>
      </c>
      <c r="Z1720" s="16">
        <f>IF(ISERROR(VLOOKUP($A1720,'13. Updated Demand'!A:Z,17,FALSE)),0,VLOOKUP($A1720,'13. Updated Demand'!A:Z,17,FALSE))</f>
        <v>0</v>
      </c>
      <c r="AA1720" s="16">
        <f>IF(ISERROR(VLOOKUP($A1720,'13. Updated Demand'!A:Z,18,FALSE)),0,VLOOKUP($A1720,'13. Updated Demand'!A:Z,18,FALSE))</f>
        <v>0</v>
      </c>
      <c r="AB1720" s="16">
        <f>IF(ISERROR(VLOOKUP($A1720,'13. Updated Demand'!A:Z,19,FALSE)),0,VLOOKUP($A1720,'13. Updated Demand'!A:Z,19,FALSE))</f>
        <v>0</v>
      </c>
      <c r="AC1720" s="16">
        <f>IF(ISERROR(VLOOKUP($A1720,'13. Updated Demand'!A:Z,20,FALSE)),0,VLOOKUP($A1720,'13. Updated Demand'!A:Z,20,FALSE))</f>
        <v>0</v>
      </c>
      <c r="AD1720" s="16">
        <f>IF(ISERROR(VLOOKUP($A1720,'13. Updated Demand'!A:Z,21,FALSE)),0,VLOOKUP($A1720,'13. Updated Demand'!A:Z,21,FALSE))</f>
        <v>0</v>
      </c>
      <c r="AE1720" s="16">
        <f>IF(ISERROR(VLOOKUP($A1720,'13. Updated Demand'!A:Z,22,FALSE)),0,VLOOKUP($A1720,'13. Updated Demand'!A:Z,22,FALSE))</f>
        <v>0</v>
      </c>
      <c r="AF1720" s="16">
        <f>IF(ISERROR(VLOOKUP($A1720,'13. Updated Demand'!A:Z,23,FALSE)),0,VLOOKUP($A1720,'13. Updated Demand'!A:Z,23,FALSE))</f>
        <v>0</v>
      </c>
      <c r="AG1720" s="16">
        <f>IF(ISERROR(VLOOKUP($A1720,'13. Updated Demand'!A:Z,24,FALSE)),0,VLOOKUP($A1720,'13. Updated Demand'!A:Z,24,FALSE))</f>
        <v>0</v>
      </c>
      <c r="AH1720" s="16">
        <f>IF(ISERROR(VLOOKUP($A1720,'13. Updated Demand'!A:Z,25,FALSE)),0,VLOOKUP($A1720,'13. Updated Demand'!A:Z,25,FALSE))</f>
        <v>0</v>
      </c>
      <c r="AI1720" s="16">
        <f>IF(ISERROR(VLOOKUP($A1720,'13. Updated Demand'!A:Z,26,FALSE)),0,VLOOKUP($A1720,'13. Updated Demand'!A:Z,26,FALSE))</f>
        <v>0</v>
      </c>
      <c r="AJ1720" s="16">
        <f t="shared" si="325"/>
        <v>0</v>
      </c>
      <c r="AK1720" s="19">
        <v>6.6266666666666598</v>
      </c>
      <c r="AL1720" s="16">
        <f t="shared" si="323"/>
        <v>2.1979898485064885E-2</v>
      </c>
      <c r="AM1720" s="26">
        <v>3.6454179192997502E-3</v>
      </c>
      <c r="AN1720" s="19">
        <v>3259.8</v>
      </c>
      <c r="AO1720" s="19" t="s">
        <v>1758</v>
      </c>
      <c r="AP1720" s="19">
        <v>0</v>
      </c>
      <c r="AQ1720" s="19" t="s">
        <v>307</v>
      </c>
      <c r="AR1720" s="9" t="s">
        <v>331</v>
      </c>
      <c r="AS1720" s="12">
        <v>0</v>
      </c>
      <c r="AT1720" s="19">
        <v>39.164105579999998</v>
      </c>
      <c r="AU1720" s="19">
        <v>-123.19378429</v>
      </c>
      <c r="AV1720" s="19" t="s">
        <v>548</v>
      </c>
    </row>
    <row r="1721" spans="1:48" x14ac:dyDescent="0.25">
      <c r="A1721" s="18" t="s">
        <v>2124</v>
      </c>
      <c r="B1721" s="10">
        <v>10000000</v>
      </c>
      <c r="C1721" s="9">
        <v>6</v>
      </c>
      <c r="D1721" s="8" t="str">
        <f t="shared" si="314"/>
        <v>Y</v>
      </c>
      <c r="E1721" s="8" t="str">
        <f t="shared" si="315"/>
        <v>N</v>
      </c>
      <c r="F1721" s="8" t="str">
        <f t="shared" si="316"/>
        <v>Y</v>
      </c>
      <c r="G1721" s="8" t="str">
        <f t="shared" si="317"/>
        <v>Y</v>
      </c>
      <c r="H1721" s="8" t="str">
        <f t="shared" si="318"/>
        <v>Upper</v>
      </c>
      <c r="I1721" s="8" t="str">
        <f t="shared" si="319"/>
        <v>West Fork and Below Lake</v>
      </c>
      <c r="J1721" s="8" t="str">
        <f t="shared" si="320"/>
        <v>Mendocino (d/s of lake)</v>
      </c>
      <c r="K1721" s="8" t="str">
        <f t="shared" si="321"/>
        <v>Riparian</v>
      </c>
      <c r="L1721" s="8">
        <f t="shared" si="322"/>
        <v>1000</v>
      </c>
      <c r="M1721" s="8" t="str">
        <f t="shared" si="324"/>
        <v>-</v>
      </c>
      <c r="N1721" s="10" t="s">
        <v>241</v>
      </c>
      <c r="O1721" s="10" t="s">
        <v>241</v>
      </c>
      <c r="P1721" s="10" t="s">
        <v>242</v>
      </c>
      <c r="Q1721" s="10" t="s">
        <v>242</v>
      </c>
      <c r="R1721" s="10" t="s">
        <v>242</v>
      </c>
      <c r="S1721" s="10" t="s">
        <v>241</v>
      </c>
      <c r="T1721" s="10" t="s">
        <v>242</v>
      </c>
      <c r="U1721" s="10" t="s">
        <v>242</v>
      </c>
      <c r="V1721" s="10" t="s">
        <v>242</v>
      </c>
      <c r="W1721" s="10" t="s">
        <v>242</v>
      </c>
      <c r="X1721" s="15">
        <f>IF(ISERROR(VLOOKUP($A1721,'13. Updated Demand'!A:Z,15,FALSE)),0,VLOOKUP($A1721,'13. Updated Demand'!A:Z,15,FALSE))</f>
        <v>0</v>
      </c>
      <c r="Y1721" s="16">
        <f>IF(ISERROR(VLOOKUP($A1721,'13. Updated Demand'!A:Z,16,FALSE)),0,VLOOKUP($A1721,'13. Updated Demand'!A:Z,16,FALSE))</f>
        <v>0</v>
      </c>
      <c r="Z1721" s="16">
        <f>IF(ISERROR(VLOOKUP($A1721,'13. Updated Demand'!A:Z,17,FALSE)),0,VLOOKUP($A1721,'13. Updated Demand'!A:Z,17,FALSE))</f>
        <v>0</v>
      </c>
      <c r="AA1721" s="16">
        <f>IF(ISERROR(VLOOKUP($A1721,'13. Updated Demand'!A:Z,18,FALSE)),0,VLOOKUP($A1721,'13. Updated Demand'!A:Z,18,FALSE))</f>
        <v>0</v>
      </c>
      <c r="AB1721" s="16">
        <f>IF(ISERROR(VLOOKUP($A1721,'13. Updated Demand'!A:Z,19,FALSE)),0,VLOOKUP($A1721,'13. Updated Demand'!A:Z,19,FALSE))</f>
        <v>0</v>
      </c>
      <c r="AC1721" s="16">
        <f>IF(ISERROR(VLOOKUP($A1721,'13. Updated Demand'!A:Z,20,FALSE)),0,VLOOKUP($A1721,'13. Updated Demand'!A:Z,20,FALSE))</f>
        <v>0</v>
      </c>
      <c r="AD1721" s="16">
        <f>IF(ISERROR(VLOOKUP($A1721,'13. Updated Demand'!A:Z,21,FALSE)),0,VLOOKUP($A1721,'13. Updated Demand'!A:Z,21,FALSE))</f>
        <v>0</v>
      </c>
      <c r="AE1721" s="16">
        <f>IF(ISERROR(VLOOKUP($A1721,'13. Updated Demand'!A:Z,22,FALSE)),0,VLOOKUP($A1721,'13. Updated Demand'!A:Z,22,FALSE))</f>
        <v>0</v>
      </c>
      <c r="AF1721" s="16">
        <f>IF(ISERROR(VLOOKUP($A1721,'13. Updated Demand'!A:Z,23,FALSE)),0,VLOOKUP($A1721,'13. Updated Demand'!A:Z,23,FALSE))</f>
        <v>0</v>
      </c>
      <c r="AG1721" s="16">
        <f>IF(ISERROR(VLOOKUP($A1721,'13. Updated Demand'!A:Z,24,FALSE)),0,VLOOKUP($A1721,'13. Updated Demand'!A:Z,24,FALSE))</f>
        <v>0</v>
      </c>
      <c r="AH1721" s="16">
        <f>IF(ISERROR(VLOOKUP($A1721,'13. Updated Demand'!A:Z,25,FALSE)),0,VLOOKUP($A1721,'13. Updated Demand'!A:Z,25,FALSE))</f>
        <v>0</v>
      </c>
      <c r="AI1721" s="16">
        <f>IF(ISERROR(VLOOKUP($A1721,'13. Updated Demand'!A:Z,26,FALSE)),0,VLOOKUP($A1721,'13. Updated Demand'!A:Z,26,FALSE))</f>
        <v>0</v>
      </c>
      <c r="AJ1721" s="16">
        <f t="shared" si="325"/>
        <v>0</v>
      </c>
      <c r="AK1721" s="19">
        <v>12.8</v>
      </c>
      <c r="AL1721" s="16">
        <f t="shared" si="323"/>
        <v>4.2456141942982514E-2</v>
      </c>
      <c r="AM1721" s="26">
        <v>0.24011512139618155</v>
      </c>
      <c r="AN1721" s="19">
        <v>119.526</v>
      </c>
      <c r="AO1721" s="19" t="s">
        <v>1758</v>
      </c>
      <c r="AP1721" s="19">
        <v>0</v>
      </c>
      <c r="AQ1721" s="19" t="s">
        <v>307</v>
      </c>
      <c r="AR1721" s="9" t="s">
        <v>319</v>
      </c>
      <c r="AS1721" s="12">
        <v>3.4039024194010059E-4</v>
      </c>
      <c r="AT1721" s="19">
        <v>38.984189630000003</v>
      </c>
      <c r="AU1721" s="19">
        <v>-123.10174415</v>
      </c>
      <c r="AV1721" s="19" t="s">
        <v>387</v>
      </c>
    </row>
    <row r="1722" spans="1:48" x14ac:dyDescent="0.25">
      <c r="A1722" s="18" t="s">
        <v>2125</v>
      </c>
      <c r="B1722" s="10">
        <v>10000000</v>
      </c>
      <c r="C1722" s="9">
        <v>6</v>
      </c>
      <c r="D1722" s="8" t="str">
        <f t="shared" si="314"/>
        <v>Y</v>
      </c>
      <c r="E1722" s="8" t="str">
        <f t="shared" si="315"/>
        <v>N</v>
      </c>
      <c r="F1722" s="8" t="str">
        <f t="shared" si="316"/>
        <v>Y</v>
      </c>
      <c r="G1722" s="8" t="str">
        <f t="shared" si="317"/>
        <v>Y</v>
      </c>
      <c r="H1722" s="8" t="str">
        <f t="shared" si="318"/>
        <v>Upper</v>
      </c>
      <c r="I1722" s="8" t="str">
        <f t="shared" si="319"/>
        <v>West Fork and Below Lake</v>
      </c>
      <c r="J1722" s="8" t="str">
        <f t="shared" si="320"/>
        <v>Mendocino (d/s of lake)</v>
      </c>
      <c r="K1722" s="8" t="str">
        <f t="shared" si="321"/>
        <v>Riparian</v>
      </c>
      <c r="L1722" s="8">
        <f t="shared" si="322"/>
        <v>1000</v>
      </c>
      <c r="M1722" s="8" t="str">
        <f t="shared" si="324"/>
        <v>-</v>
      </c>
      <c r="N1722" s="10" t="s">
        <v>241</v>
      </c>
      <c r="O1722" s="10" t="s">
        <v>241</v>
      </c>
      <c r="P1722" s="10" t="s">
        <v>242</v>
      </c>
      <c r="Q1722" s="10" t="s">
        <v>242</v>
      </c>
      <c r="R1722" s="10" t="s">
        <v>242</v>
      </c>
      <c r="S1722" s="10" t="s">
        <v>241</v>
      </c>
      <c r="T1722" s="10" t="s">
        <v>242</v>
      </c>
      <c r="U1722" s="10" t="s">
        <v>241</v>
      </c>
      <c r="V1722" s="10" t="s">
        <v>241</v>
      </c>
      <c r="W1722" s="10" t="s">
        <v>242</v>
      </c>
      <c r="X1722" s="15">
        <f>IF(ISERROR(VLOOKUP($A1722,'13. Updated Demand'!A:Z,15,FALSE)),0,VLOOKUP($A1722,'13. Updated Demand'!A:Z,15,FALSE))</f>
        <v>0</v>
      </c>
      <c r="Y1722" s="16">
        <f>IF(ISERROR(VLOOKUP($A1722,'13. Updated Demand'!A:Z,16,FALSE)),0,VLOOKUP($A1722,'13. Updated Demand'!A:Z,16,FALSE))</f>
        <v>0</v>
      </c>
      <c r="Z1722" s="16">
        <f>IF(ISERROR(VLOOKUP($A1722,'13. Updated Demand'!A:Z,17,FALSE)),0,VLOOKUP($A1722,'13. Updated Demand'!A:Z,17,FALSE))</f>
        <v>0</v>
      </c>
      <c r="AA1722" s="16">
        <f>IF(ISERROR(VLOOKUP($A1722,'13. Updated Demand'!A:Z,18,FALSE)),0,VLOOKUP($A1722,'13. Updated Demand'!A:Z,18,FALSE))</f>
        <v>0</v>
      </c>
      <c r="AB1722" s="16">
        <f>IF(ISERROR(VLOOKUP($A1722,'13. Updated Demand'!A:Z,19,FALSE)),0,VLOOKUP($A1722,'13. Updated Demand'!A:Z,19,FALSE))</f>
        <v>0</v>
      </c>
      <c r="AC1722" s="16">
        <f>IF(ISERROR(VLOOKUP($A1722,'13. Updated Demand'!A:Z,20,FALSE)),0,VLOOKUP($A1722,'13. Updated Demand'!A:Z,20,FALSE))</f>
        <v>0</v>
      </c>
      <c r="AD1722" s="16">
        <f>IF(ISERROR(VLOOKUP($A1722,'13. Updated Demand'!A:Z,21,FALSE)),0,VLOOKUP($A1722,'13. Updated Demand'!A:Z,21,FALSE))</f>
        <v>0</v>
      </c>
      <c r="AE1722" s="16">
        <f>IF(ISERROR(VLOOKUP($A1722,'13. Updated Demand'!A:Z,22,FALSE)),0,VLOOKUP($A1722,'13. Updated Demand'!A:Z,22,FALSE))</f>
        <v>0</v>
      </c>
      <c r="AF1722" s="16">
        <f>IF(ISERROR(VLOOKUP($A1722,'13. Updated Demand'!A:Z,23,FALSE)),0,VLOOKUP($A1722,'13. Updated Demand'!A:Z,23,FALSE))</f>
        <v>0</v>
      </c>
      <c r="AG1722" s="16">
        <f>IF(ISERROR(VLOOKUP($A1722,'13. Updated Demand'!A:Z,24,FALSE)),0,VLOOKUP($A1722,'13. Updated Demand'!A:Z,24,FALSE))</f>
        <v>0</v>
      </c>
      <c r="AH1722" s="16">
        <f>IF(ISERROR(VLOOKUP($A1722,'13. Updated Demand'!A:Z,25,FALSE)),0,VLOOKUP($A1722,'13. Updated Demand'!A:Z,25,FALSE))</f>
        <v>0</v>
      </c>
      <c r="AI1722" s="16">
        <f>IF(ISERROR(VLOOKUP($A1722,'13. Updated Demand'!A:Z,26,FALSE)),0,VLOOKUP($A1722,'13. Updated Demand'!A:Z,26,FALSE))</f>
        <v>0</v>
      </c>
      <c r="AJ1722" s="16">
        <f t="shared" si="325"/>
        <v>0</v>
      </c>
      <c r="AK1722" s="19">
        <v>0</v>
      </c>
      <c r="AL1722" s="16">
        <f t="shared" si="323"/>
        <v>0</v>
      </c>
      <c r="AM1722" s="26">
        <v>0</v>
      </c>
      <c r="AN1722" s="19">
        <v>61.573999999999998</v>
      </c>
      <c r="AO1722" s="19" t="s">
        <v>1758</v>
      </c>
      <c r="AP1722" s="19">
        <v>0</v>
      </c>
      <c r="AQ1722" s="19" t="s">
        <v>307</v>
      </c>
      <c r="AR1722" s="9" t="s">
        <v>319</v>
      </c>
      <c r="AS1722" s="12">
        <v>3.4039024194010059E-4</v>
      </c>
      <c r="AT1722" s="19">
        <v>38.984745369999999</v>
      </c>
      <c r="AU1722" s="19">
        <v>-123.1010491</v>
      </c>
      <c r="AV1722" s="19" t="s">
        <v>387</v>
      </c>
    </row>
    <row r="1723" spans="1:48" x14ac:dyDescent="0.25">
      <c r="A1723" s="18" t="s">
        <v>2126</v>
      </c>
      <c r="B1723" s="10">
        <v>10000000</v>
      </c>
      <c r="C1723" s="9">
        <v>6</v>
      </c>
      <c r="D1723" s="8" t="str">
        <f t="shared" si="314"/>
        <v>Y</v>
      </c>
      <c r="E1723" s="8" t="str">
        <f t="shared" si="315"/>
        <v>N</v>
      </c>
      <c r="F1723" s="8" t="str">
        <f t="shared" si="316"/>
        <v>Y</v>
      </c>
      <c r="G1723" s="8" t="str">
        <f t="shared" si="317"/>
        <v>Y</v>
      </c>
      <c r="H1723" s="8" t="str">
        <f t="shared" si="318"/>
        <v>Upper</v>
      </c>
      <c r="I1723" s="8" t="str">
        <f t="shared" si="319"/>
        <v>West Fork and Below Lake</v>
      </c>
      <c r="J1723" s="8" t="str">
        <f t="shared" si="320"/>
        <v>Mendocino (d/s of lake)</v>
      </c>
      <c r="K1723" s="8" t="str">
        <f t="shared" si="321"/>
        <v>Riparian</v>
      </c>
      <c r="L1723" s="8">
        <f t="shared" si="322"/>
        <v>1000</v>
      </c>
      <c r="M1723" s="8" t="str">
        <f t="shared" si="324"/>
        <v>-</v>
      </c>
      <c r="N1723" s="10" t="s">
        <v>241</v>
      </c>
      <c r="O1723" s="10" t="s">
        <v>241</v>
      </c>
      <c r="P1723" s="10" t="s">
        <v>242</v>
      </c>
      <c r="Q1723" s="10" t="s">
        <v>242</v>
      </c>
      <c r="R1723" s="10" t="s">
        <v>242</v>
      </c>
      <c r="S1723" s="10" t="s">
        <v>241</v>
      </c>
      <c r="T1723" s="10" t="s">
        <v>242</v>
      </c>
      <c r="U1723" s="10" t="s">
        <v>242</v>
      </c>
      <c r="V1723" s="10" t="s">
        <v>242</v>
      </c>
      <c r="W1723" s="10" t="s">
        <v>242</v>
      </c>
      <c r="X1723" s="15">
        <f>IF(ISERROR(VLOOKUP($A1723,'13. Updated Demand'!A:Z,15,FALSE)),0,VLOOKUP($A1723,'13. Updated Demand'!A:Z,15,FALSE))</f>
        <v>0</v>
      </c>
      <c r="Y1723" s="16">
        <f>IF(ISERROR(VLOOKUP($A1723,'13. Updated Demand'!A:Z,16,FALSE)),0,VLOOKUP($A1723,'13. Updated Demand'!A:Z,16,FALSE))</f>
        <v>0</v>
      </c>
      <c r="Z1723" s="16">
        <f>IF(ISERROR(VLOOKUP($A1723,'13. Updated Demand'!A:Z,17,FALSE)),0,VLOOKUP($A1723,'13. Updated Demand'!A:Z,17,FALSE))</f>
        <v>0</v>
      </c>
      <c r="AA1723" s="16">
        <f>IF(ISERROR(VLOOKUP($A1723,'13. Updated Demand'!A:Z,18,FALSE)),0,VLOOKUP($A1723,'13. Updated Demand'!A:Z,18,FALSE))</f>
        <v>0</v>
      </c>
      <c r="AB1723" s="16">
        <f>IF(ISERROR(VLOOKUP($A1723,'13. Updated Demand'!A:Z,19,FALSE)),0,VLOOKUP($A1723,'13. Updated Demand'!A:Z,19,FALSE))</f>
        <v>0</v>
      </c>
      <c r="AC1723" s="16">
        <f>IF(ISERROR(VLOOKUP($A1723,'13. Updated Demand'!A:Z,20,FALSE)),0,VLOOKUP($A1723,'13. Updated Demand'!A:Z,20,FALSE))</f>
        <v>0</v>
      </c>
      <c r="AD1723" s="16">
        <f>IF(ISERROR(VLOOKUP($A1723,'13. Updated Demand'!A:Z,21,FALSE)),0,VLOOKUP($A1723,'13. Updated Demand'!A:Z,21,FALSE))</f>
        <v>0</v>
      </c>
      <c r="AE1723" s="16">
        <f>IF(ISERROR(VLOOKUP($A1723,'13. Updated Demand'!A:Z,22,FALSE)),0,VLOOKUP($A1723,'13. Updated Demand'!A:Z,22,FALSE))</f>
        <v>0</v>
      </c>
      <c r="AF1723" s="16">
        <f>IF(ISERROR(VLOOKUP($A1723,'13. Updated Demand'!A:Z,23,FALSE)),0,VLOOKUP($A1723,'13. Updated Demand'!A:Z,23,FALSE))</f>
        <v>0</v>
      </c>
      <c r="AG1723" s="16">
        <f>IF(ISERROR(VLOOKUP($A1723,'13. Updated Demand'!A:Z,24,FALSE)),0,VLOOKUP($A1723,'13. Updated Demand'!A:Z,24,FALSE))</f>
        <v>0</v>
      </c>
      <c r="AH1723" s="16">
        <f>IF(ISERROR(VLOOKUP($A1723,'13. Updated Demand'!A:Z,25,FALSE)),0,VLOOKUP($A1723,'13. Updated Demand'!A:Z,25,FALSE))</f>
        <v>0</v>
      </c>
      <c r="AI1723" s="16">
        <f>IF(ISERROR(VLOOKUP($A1723,'13. Updated Demand'!A:Z,26,FALSE)),0,VLOOKUP($A1723,'13. Updated Demand'!A:Z,26,FALSE))</f>
        <v>0</v>
      </c>
      <c r="AJ1723" s="16">
        <f t="shared" si="325"/>
        <v>0</v>
      </c>
      <c r="AK1723" s="19">
        <v>10.199999999999999</v>
      </c>
      <c r="AL1723" s="16">
        <f t="shared" si="323"/>
        <v>3.3832238110814192E-2</v>
      </c>
      <c r="AM1723" s="26">
        <v>0.20748623730401755</v>
      </c>
      <c r="AN1723" s="19">
        <v>119.526</v>
      </c>
      <c r="AO1723" s="19" t="s">
        <v>1758</v>
      </c>
      <c r="AP1723" s="19">
        <v>0</v>
      </c>
      <c r="AQ1723" s="19" t="s">
        <v>307</v>
      </c>
      <c r="AR1723" s="9" t="s">
        <v>319</v>
      </c>
      <c r="AS1723" s="12">
        <v>3.4039024194010059E-4</v>
      </c>
      <c r="AT1723" s="19">
        <v>38.984467500000001</v>
      </c>
      <c r="AU1723" s="19">
        <v>-123.10139662</v>
      </c>
      <c r="AV1723" s="19" t="s">
        <v>387</v>
      </c>
    </row>
    <row r="1724" spans="1:48" x14ac:dyDescent="0.25">
      <c r="A1724" s="18" t="s">
        <v>2127</v>
      </c>
      <c r="B1724" s="10">
        <v>10000000</v>
      </c>
      <c r="C1724" s="9">
        <v>5</v>
      </c>
      <c r="D1724" s="8" t="str">
        <f t="shared" si="314"/>
        <v>Y</v>
      </c>
      <c r="E1724" s="8" t="str">
        <f t="shared" si="315"/>
        <v>N</v>
      </c>
      <c r="F1724" s="8" t="str">
        <f t="shared" si="316"/>
        <v>Y</v>
      </c>
      <c r="G1724" s="8" t="str">
        <f t="shared" si="317"/>
        <v>Y</v>
      </c>
      <c r="H1724" s="8" t="str">
        <f t="shared" si="318"/>
        <v>Upper</v>
      </c>
      <c r="I1724" s="8" t="str">
        <f t="shared" si="319"/>
        <v>West Fork and Below Lake</v>
      </c>
      <c r="J1724" s="8" t="str">
        <f t="shared" si="320"/>
        <v>Mendocino (d/s of lake)</v>
      </c>
      <c r="K1724" s="8" t="str">
        <f t="shared" si="321"/>
        <v>Riparian</v>
      </c>
      <c r="L1724" s="8">
        <f t="shared" si="322"/>
        <v>1000</v>
      </c>
      <c r="M1724" s="8" t="str">
        <f t="shared" si="324"/>
        <v>-</v>
      </c>
      <c r="N1724" s="10" t="s">
        <v>242</v>
      </c>
      <c r="O1724" s="10" t="s">
        <v>241</v>
      </c>
      <c r="P1724" s="10" t="s">
        <v>242</v>
      </c>
      <c r="Q1724" s="10" t="s">
        <v>242</v>
      </c>
      <c r="R1724" s="10" t="s">
        <v>242</v>
      </c>
      <c r="S1724" s="10" t="s">
        <v>241</v>
      </c>
      <c r="T1724" s="10" t="s">
        <v>242</v>
      </c>
      <c r="U1724" s="10" t="s">
        <v>242</v>
      </c>
      <c r="V1724" s="10" t="s">
        <v>241</v>
      </c>
      <c r="W1724" s="10" t="s">
        <v>242</v>
      </c>
      <c r="X1724" s="15">
        <f>IF(ISERROR(VLOOKUP($A1724,'13. Updated Demand'!A:Z,15,FALSE)),0,VLOOKUP($A1724,'13. Updated Demand'!A:Z,15,FALSE))</f>
        <v>0</v>
      </c>
      <c r="Y1724" s="16">
        <f>IF(ISERROR(VLOOKUP($A1724,'13. Updated Demand'!A:Z,16,FALSE)),0,VLOOKUP($A1724,'13. Updated Demand'!A:Z,16,FALSE))</f>
        <v>1.5</v>
      </c>
      <c r="Z1724" s="16">
        <f>IF(ISERROR(VLOOKUP($A1724,'13. Updated Demand'!A:Z,17,FALSE)),0,VLOOKUP($A1724,'13. Updated Demand'!A:Z,17,FALSE))</f>
        <v>0.75</v>
      </c>
      <c r="AA1724" s="16">
        <f>IF(ISERROR(VLOOKUP($A1724,'13. Updated Demand'!A:Z,18,FALSE)),0,VLOOKUP($A1724,'13. Updated Demand'!A:Z,18,FALSE))</f>
        <v>0.53</v>
      </c>
      <c r="AB1724" s="16">
        <f>IF(ISERROR(VLOOKUP($A1724,'13. Updated Demand'!A:Z,19,FALSE)),0,VLOOKUP($A1724,'13. Updated Demand'!A:Z,19,FALSE))</f>
        <v>0</v>
      </c>
      <c r="AC1724" s="16">
        <f>IF(ISERROR(VLOOKUP($A1724,'13. Updated Demand'!A:Z,20,FALSE)),0,VLOOKUP($A1724,'13. Updated Demand'!A:Z,20,FALSE))</f>
        <v>0</v>
      </c>
      <c r="AD1724" s="16">
        <f>IF(ISERROR(VLOOKUP($A1724,'13. Updated Demand'!A:Z,21,FALSE)),0,VLOOKUP($A1724,'13. Updated Demand'!A:Z,21,FALSE))</f>
        <v>0</v>
      </c>
      <c r="AE1724" s="16">
        <f>IF(ISERROR(VLOOKUP($A1724,'13. Updated Demand'!A:Z,22,FALSE)),0,VLOOKUP($A1724,'13. Updated Demand'!A:Z,22,FALSE))</f>
        <v>0</v>
      </c>
      <c r="AF1724" s="16">
        <f>IF(ISERROR(VLOOKUP($A1724,'13. Updated Demand'!A:Z,23,FALSE)),0,VLOOKUP($A1724,'13. Updated Demand'!A:Z,23,FALSE))</f>
        <v>0</v>
      </c>
      <c r="AG1724" s="16">
        <f>IF(ISERROR(VLOOKUP($A1724,'13. Updated Demand'!A:Z,24,FALSE)),0,VLOOKUP($A1724,'13. Updated Demand'!A:Z,24,FALSE))</f>
        <v>0.2</v>
      </c>
      <c r="AH1724" s="16">
        <f>IF(ISERROR(VLOOKUP($A1724,'13. Updated Demand'!A:Z,25,FALSE)),0,VLOOKUP($A1724,'13. Updated Demand'!A:Z,25,FALSE))</f>
        <v>1.96</v>
      </c>
      <c r="AI1724" s="16">
        <f>IF(ISERROR(VLOOKUP($A1724,'13. Updated Demand'!A:Z,26,FALSE)),0,VLOOKUP($A1724,'13. Updated Demand'!A:Z,26,FALSE))</f>
        <v>0</v>
      </c>
      <c r="AJ1724" s="16">
        <f t="shared" si="325"/>
        <v>4.9400000000000004</v>
      </c>
      <c r="AK1724" s="19">
        <v>0</v>
      </c>
      <c r="AL1724" s="16">
        <f t="shared" si="323"/>
        <v>0</v>
      </c>
      <c r="AM1724" s="26">
        <v>0.26470588235294118</v>
      </c>
      <c r="AN1724" s="19">
        <v>18.7</v>
      </c>
      <c r="AO1724" s="19" t="s">
        <v>1758</v>
      </c>
      <c r="AP1724" s="19">
        <v>0</v>
      </c>
      <c r="AQ1724" s="19" t="s">
        <v>307</v>
      </c>
      <c r="AR1724" s="9" t="s">
        <v>333</v>
      </c>
      <c r="AS1724" s="12">
        <v>0</v>
      </c>
      <c r="AT1724" s="19">
        <v>39.039203180000001</v>
      </c>
      <c r="AU1724" s="19">
        <v>-123.1938588</v>
      </c>
      <c r="AV1724" s="19" t="s">
        <v>664</v>
      </c>
    </row>
    <row r="1725" spans="1:48" x14ac:dyDescent="0.25">
      <c r="A1725" s="18" t="s">
        <v>2128</v>
      </c>
      <c r="B1725" s="10">
        <v>10000000</v>
      </c>
      <c r="C1725" s="9">
        <v>5</v>
      </c>
      <c r="D1725" s="8" t="str">
        <f t="shared" si="314"/>
        <v>Y</v>
      </c>
      <c r="E1725" s="8" t="str">
        <f t="shared" si="315"/>
        <v>N</v>
      </c>
      <c r="F1725" s="8" t="str">
        <f t="shared" si="316"/>
        <v>Y</v>
      </c>
      <c r="G1725" s="8" t="str">
        <f t="shared" si="317"/>
        <v>Y</v>
      </c>
      <c r="H1725" s="8" t="str">
        <f t="shared" si="318"/>
        <v>Upper</v>
      </c>
      <c r="I1725" s="8" t="str">
        <f t="shared" si="319"/>
        <v>West Fork and Below Lake</v>
      </c>
      <c r="J1725" s="8" t="str">
        <f t="shared" si="320"/>
        <v>Mendocino (d/s of lake)</v>
      </c>
      <c r="K1725" s="8" t="str">
        <f t="shared" si="321"/>
        <v>Riparian</v>
      </c>
      <c r="L1725" s="8">
        <f t="shared" si="322"/>
        <v>1000</v>
      </c>
      <c r="M1725" s="8" t="str">
        <f t="shared" si="324"/>
        <v>-</v>
      </c>
      <c r="N1725" s="10" t="s">
        <v>242</v>
      </c>
      <c r="O1725" s="10" t="s">
        <v>241</v>
      </c>
      <c r="P1725" s="10" t="s">
        <v>242</v>
      </c>
      <c r="Q1725" s="10" t="s">
        <v>242</v>
      </c>
      <c r="R1725" s="10" t="s">
        <v>242</v>
      </c>
      <c r="S1725" s="10" t="s">
        <v>241</v>
      </c>
      <c r="T1725" s="10" t="s">
        <v>242</v>
      </c>
      <c r="U1725" s="10" t="s">
        <v>242</v>
      </c>
      <c r="V1725" s="10" t="s">
        <v>242</v>
      </c>
      <c r="W1725" s="10" t="s">
        <v>242</v>
      </c>
      <c r="X1725" s="15">
        <f>IF(ISERROR(VLOOKUP($A1725,'13. Updated Demand'!A:Z,15,FALSE)),0,VLOOKUP($A1725,'13. Updated Demand'!A:Z,15,FALSE))</f>
        <v>20.66</v>
      </c>
      <c r="Y1725" s="16">
        <f>IF(ISERROR(VLOOKUP($A1725,'13. Updated Demand'!A:Z,16,FALSE)),0,VLOOKUP($A1725,'13. Updated Demand'!A:Z,16,FALSE))</f>
        <v>0</v>
      </c>
      <c r="Z1725" s="16">
        <f>IF(ISERROR(VLOOKUP($A1725,'13. Updated Demand'!A:Z,17,FALSE)),0,VLOOKUP($A1725,'13. Updated Demand'!A:Z,17,FALSE))</f>
        <v>0</v>
      </c>
      <c r="AA1725" s="16">
        <f>IF(ISERROR(VLOOKUP($A1725,'13. Updated Demand'!A:Z,18,FALSE)),0,VLOOKUP($A1725,'13. Updated Demand'!A:Z,18,FALSE))</f>
        <v>0</v>
      </c>
      <c r="AB1725" s="16">
        <f>IF(ISERROR(VLOOKUP($A1725,'13. Updated Demand'!A:Z,19,FALSE)),0,VLOOKUP($A1725,'13. Updated Demand'!A:Z,19,FALSE))</f>
        <v>0</v>
      </c>
      <c r="AC1725" s="16">
        <f>IF(ISERROR(VLOOKUP($A1725,'13. Updated Demand'!A:Z,20,FALSE)),0,VLOOKUP($A1725,'13. Updated Demand'!A:Z,20,FALSE))</f>
        <v>0</v>
      </c>
      <c r="AD1725" s="16">
        <f>IF(ISERROR(VLOOKUP($A1725,'13. Updated Demand'!A:Z,21,FALSE)),0,VLOOKUP($A1725,'13. Updated Demand'!A:Z,21,FALSE))</f>
        <v>0</v>
      </c>
      <c r="AE1725" s="16">
        <f>IF(ISERROR(VLOOKUP($A1725,'13. Updated Demand'!A:Z,22,FALSE)),0,VLOOKUP($A1725,'13. Updated Demand'!A:Z,22,FALSE))</f>
        <v>2.66</v>
      </c>
      <c r="AF1725" s="16">
        <f>IF(ISERROR(VLOOKUP($A1725,'13. Updated Demand'!A:Z,23,FALSE)),0,VLOOKUP($A1725,'13. Updated Demand'!A:Z,23,FALSE))</f>
        <v>0</v>
      </c>
      <c r="AG1725" s="16">
        <f>IF(ISERROR(VLOOKUP($A1725,'13. Updated Demand'!A:Z,24,FALSE)),0,VLOOKUP($A1725,'13. Updated Demand'!A:Z,24,FALSE))</f>
        <v>0.03</v>
      </c>
      <c r="AH1725" s="16">
        <f>IF(ISERROR(VLOOKUP($A1725,'13. Updated Demand'!A:Z,25,FALSE)),0,VLOOKUP($A1725,'13. Updated Demand'!A:Z,25,FALSE))</f>
        <v>3.73</v>
      </c>
      <c r="AI1725" s="16">
        <f>IF(ISERROR(VLOOKUP($A1725,'13. Updated Demand'!A:Z,26,FALSE)),0,VLOOKUP($A1725,'13. Updated Demand'!A:Z,26,FALSE))</f>
        <v>0.73</v>
      </c>
      <c r="AJ1725" s="16">
        <f t="shared" si="325"/>
        <v>27.810000000000002</v>
      </c>
      <c r="AK1725" s="19">
        <v>2.6666666669999999</v>
      </c>
      <c r="AL1725" s="16">
        <f t="shared" si="323"/>
        <v>8.8450295725603194E-3</v>
      </c>
      <c r="AM1725" s="26">
        <v>0.46676728720442739</v>
      </c>
      <c r="AN1725" s="19">
        <v>59.63</v>
      </c>
      <c r="AO1725" s="19" t="s">
        <v>1758</v>
      </c>
      <c r="AP1725" s="19">
        <v>0</v>
      </c>
      <c r="AQ1725" s="19" t="s">
        <v>307</v>
      </c>
      <c r="AR1725" s="9" t="s">
        <v>333</v>
      </c>
      <c r="AS1725" s="12">
        <v>0</v>
      </c>
      <c r="AT1725" s="19">
        <v>39.036476800000003</v>
      </c>
      <c r="AU1725" s="19">
        <v>-123.18431901</v>
      </c>
      <c r="AV1725" s="19" t="s">
        <v>417</v>
      </c>
    </row>
    <row r="1726" spans="1:48" x14ac:dyDescent="0.25">
      <c r="A1726" s="18" t="s">
        <v>2129</v>
      </c>
      <c r="B1726" s="10">
        <v>10000000</v>
      </c>
      <c r="C1726" s="9">
        <v>4</v>
      </c>
      <c r="D1726" s="8" t="str">
        <f t="shared" si="314"/>
        <v>Y</v>
      </c>
      <c r="E1726" s="8" t="str">
        <f t="shared" si="315"/>
        <v>N</v>
      </c>
      <c r="F1726" s="8" t="str">
        <f t="shared" si="316"/>
        <v>Y</v>
      </c>
      <c r="G1726" s="8" t="str">
        <f t="shared" si="317"/>
        <v>Y</v>
      </c>
      <c r="H1726" s="8" t="str">
        <f t="shared" si="318"/>
        <v>Upper</v>
      </c>
      <c r="I1726" s="8" t="str">
        <f t="shared" si="319"/>
        <v>West Fork and Below Lake</v>
      </c>
      <c r="J1726" s="8" t="str">
        <f t="shared" si="320"/>
        <v>Mendocino (d/s of lake)</v>
      </c>
      <c r="K1726" s="8" t="str">
        <f t="shared" si="321"/>
        <v>Riparian</v>
      </c>
      <c r="L1726" s="8">
        <f t="shared" si="322"/>
        <v>1000</v>
      </c>
      <c r="M1726" s="8" t="str">
        <f t="shared" si="324"/>
        <v>-</v>
      </c>
      <c r="N1726" s="10" t="s">
        <v>242</v>
      </c>
      <c r="O1726" s="10" t="s">
        <v>241</v>
      </c>
      <c r="P1726" s="10" t="s">
        <v>242</v>
      </c>
      <c r="Q1726" s="10" t="s">
        <v>242</v>
      </c>
      <c r="R1726" s="10" t="s">
        <v>242</v>
      </c>
      <c r="S1726" s="10" t="s">
        <v>241</v>
      </c>
      <c r="T1726" s="10" t="s">
        <v>242</v>
      </c>
      <c r="U1726" s="10" t="s">
        <v>241</v>
      </c>
      <c r="V1726" s="10" t="s">
        <v>241</v>
      </c>
      <c r="W1726" s="10" t="s">
        <v>242</v>
      </c>
      <c r="X1726" s="15">
        <f>IF(ISERROR(VLOOKUP($A1726,'13. Updated Demand'!A:Z,15,FALSE)),0,VLOOKUP($A1726,'13. Updated Demand'!A:Z,15,FALSE))</f>
        <v>0</v>
      </c>
      <c r="Y1726" s="16">
        <f>IF(ISERROR(VLOOKUP($A1726,'13. Updated Demand'!A:Z,16,FALSE)),0,VLOOKUP($A1726,'13. Updated Demand'!A:Z,16,FALSE))</f>
        <v>0</v>
      </c>
      <c r="Z1726" s="16">
        <f>IF(ISERROR(VLOOKUP($A1726,'13. Updated Demand'!A:Z,17,FALSE)),0,VLOOKUP($A1726,'13. Updated Demand'!A:Z,17,FALSE))</f>
        <v>0</v>
      </c>
      <c r="AA1726" s="16">
        <f>IF(ISERROR(VLOOKUP($A1726,'13. Updated Demand'!A:Z,18,FALSE)),0,VLOOKUP($A1726,'13. Updated Demand'!A:Z,18,FALSE))</f>
        <v>0</v>
      </c>
      <c r="AB1726" s="16">
        <f>IF(ISERROR(VLOOKUP($A1726,'13. Updated Demand'!A:Z,19,FALSE)),0,VLOOKUP($A1726,'13. Updated Demand'!A:Z,19,FALSE))</f>
        <v>0</v>
      </c>
      <c r="AC1726" s="16">
        <f>IF(ISERROR(VLOOKUP($A1726,'13. Updated Demand'!A:Z,20,FALSE)),0,VLOOKUP($A1726,'13. Updated Demand'!A:Z,20,FALSE))</f>
        <v>0</v>
      </c>
      <c r="AD1726" s="16">
        <f>IF(ISERROR(VLOOKUP($A1726,'13. Updated Demand'!A:Z,21,FALSE)),0,VLOOKUP($A1726,'13. Updated Demand'!A:Z,21,FALSE))</f>
        <v>0</v>
      </c>
      <c r="AE1726" s="16">
        <f>IF(ISERROR(VLOOKUP($A1726,'13. Updated Demand'!A:Z,22,FALSE)),0,VLOOKUP($A1726,'13. Updated Demand'!A:Z,22,FALSE))</f>
        <v>0</v>
      </c>
      <c r="AF1726" s="16">
        <f>IF(ISERROR(VLOOKUP($A1726,'13. Updated Demand'!A:Z,23,FALSE)),0,VLOOKUP($A1726,'13. Updated Demand'!A:Z,23,FALSE))</f>
        <v>0</v>
      </c>
      <c r="AG1726" s="16">
        <f>IF(ISERROR(VLOOKUP($A1726,'13. Updated Demand'!A:Z,24,FALSE)),0,VLOOKUP($A1726,'13. Updated Demand'!A:Z,24,FALSE))</f>
        <v>0</v>
      </c>
      <c r="AH1726" s="16">
        <f>IF(ISERROR(VLOOKUP($A1726,'13. Updated Demand'!A:Z,25,FALSE)),0,VLOOKUP($A1726,'13. Updated Demand'!A:Z,25,FALSE))</f>
        <v>0</v>
      </c>
      <c r="AI1726" s="16">
        <f>IF(ISERROR(VLOOKUP($A1726,'13. Updated Demand'!A:Z,26,FALSE)),0,VLOOKUP($A1726,'13. Updated Demand'!A:Z,26,FALSE))</f>
        <v>0</v>
      </c>
      <c r="AJ1726" s="16">
        <f t="shared" si="325"/>
        <v>0</v>
      </c>
      <c r="AK1726" s="19">
        <v>0</v>
      </c>
      <c r="AL1726" s="16">
        <f t="shared" si="323"/>
        <v>0</v>
      </c>
      <c r="AM1726" s="26">
        <v>0</v>
      </c>
      <c r="AN1726" s="19">
        <v>14.488</v>
      </c>
      <c r="AO1726" s="19" t="s">
        <v>1758</v>
      </c>
      <c r="AP1726" s="19">
        <v>0</v>
      </c>
      <c r="AQ1726" s="19" t="s">
        <v>307</v>
      </c>
      <c r="AR1726" s="9" t="s">
        <v>331</v>
      </c>
      <c r="AS1726" s="12">
        <v>0</v>
      </c>
      <c r="AT1726" s="19">
        <v>39.13079355</v>
      </c>
      <c r="AU1726" s="19">
        <v>-123.14756551000001</v>
      </c>
      <c r="AV1726" s="19" t="s">
        <v>2130</v>
      </c>
    </row>
    <row r="1727" spans="1:48" x14ac:dyDescent="0.25">
      <c r="A1727" s="18" t="s">
        <v>2131</v>
      </c>
      <c r="B1727" s="10">
        <v>10000000</v>
      </c>
      <c r="C1727" s="9">
        <v>17</v>
      </c>
      <c r="D1727" s="8" t="str">
        <f t="shared" si="314"/>
        <v>N</v>
      </c>
      <c r="E1727" s="8" t="str">
        <f t="shared" si="315"/>
        <v>N</v>
      </c>
      <c r="F1727" s="8" t="str">
        <f t="shared" si="316"/>
        <v>N</v>
      </c>
      <c r="G1727" s="8" t="str">
        <f t="shared" si="317"/>
        <v>N</v>
      </c>
      <c r="H1727" s="8" t="str">
        <f t="shared" si="318"/>
        <v>Lower</v>
      </c>
      <c r="I1727" s="8" t="str">
        <f t="shared" si="319"/>
        <v>Outside</v>
      </c>
      <c r="J1727" s="8" t="str">
        <f t="shared" si="320"/>
        <v>Outside</v>
      </c>
      <c r="K1727" s="8" t="str">
        <f t="shared" si="321"/>
        <v>Riparian</v>
      </c>
      <c r="L1727" s="8">
        <f t="shared" si="322"/>
        <v>1000</v>
      </c>
      <c r="M1727" s="8" t="str">
        <f t="shared" si="324"/>
        <v>-</v>
      </c>
      <c r="N1727" s="10" t="s">
        <v>241</v>
      </c>
      <c r="O1727" s="10" t="s">
        <v>242</v>
      </c>
      <c r="P1727" s="10" t="s">
        <v>242</v>
      </c>
      <c r="Q1727" s="10" t="s">
        <v>242</v>
      </c>
      <c r="R1727" s="10" t="s">
        <v>242</v>
      </c>
      <c r="S1727" s="10" t="s">
        <v>241</v>
      </c>
      <c r="T1727" s="10" t="s">
        <v>242</v>
      </c>
      <c r="U1727" s="10" t="s">
        <v>242</v>
      </c>
      <c r="V1727" s="10" t="s">
        <v>242</v>
      </c>
      <c r="W1727" s="10" t="s">
        <v>242</v>
      </c>
      <c r="X1727" s="15">
        <f>IF(ISERROR(VLOOKUP($A1727,'13. Updated Demand'!A:Z,15,FALSE)),0,VLOOKUP($A1727,'13. Updated Demand'!A:Z,15,FALSE))</f>
        <v>0</v>
      </c>
      <c r="Y1727" s="16">
        <f>IF(ISERROR(VLOOKUP($A1727,'13. Updated Demand'!A:Z,16,FALSE)),0,VLOOKUP($A1727,'13. Updated Demand'!A:Z,16,FALSE))</f>
        <v>0</v>
      </c>
      <c r="Z1727" s="16">
        <f>IF(ISERROR(VLOOKUP($A1727,'13. Updated Demand'!A:Z,17,FALSE)),0,VLOOKUP($A1727,'13. Updated Demand'!A:Z,17,FALSE))</f>
        <v>6.6666670000000003E-3</v>
      </c>
      <c r="AA1727" s="16">
        <f>IF(ISERROR(VLOOKUP($A1727,'13. Updated Demand'!A:Z,18,FALSE)),0,VLOOKUP($A1727,'13. Updated Demand'!A:Z,18,FALSE))</f>
        <v>6.6666700000000002E-4</v>
      </c>
      <c r="AB1727" s="16">
        <f>IF(ISERROR(VLOOKUP($A1727,'13. Updated Demand'!A:Z,19,FALSE)),0,VLOOKUP($A1727,'13. Updated Demand'!A:Z,19,FALSE))</f>
        <v>2.8366666669999998</v>
      </c>
      <c r="AC1727" s="16">
        <f>IF(ISERROR(VLOOKUP($A1727,'13. Updated Demand'!A:Z,20,FALSE)),0,VLOOKUP($A1727,'13. Updated Demand'!A:Z,20,FALSE))</f>
        <v>4.1033333330000001</v>
      </c>
      <c r="AD1727" s="16">
        <f>IF(ISERROR(VLOOKUP($A1727,'13. Updated Demand'!A:Z,21,FALSE)),0,VLOOKUP($A1727,'13. Updated Demand'!A:Z,21,FALSE))</f>
        <v>5.19</v>
      </c>
      <c r="AE1727" s="16">
        <f>IF(ISERROR(VLOOKUP($A1727,'13. Updated Demand'!A:Z,22,FALSE)),0,VLOOKUP($A1727,'13. Updated Demand'!A:Z,22,FALSE))</f>
        <v>3.6033333330000001</v>
      </c>
      <c r="AF1727" s="16">
        <f>IF(ISERROR(VLOOKUP($A1727,'13. Updated Demand'!A:Z,23,FALSE)),0,VLOOKUP($A1727,'13. Updated Demand'!A:Z,23,FALSE))</f>
        <v>1.51</v>
      </c>
      <c r="AG1727" s="16">
        <f>IF(ISERROR(VLOOKUP($A1727,'13. Updated Demand'!A:Z,24,FALSE)),0,VLOOKUP($A1727,'13. Updated Demand'!A:Z,24,FALSE))</f>
        <v>0.45</v>
      </c>
      <c r="AH1727" s="16">
        <f>IF(ISERROR(VLOOKUP($A1727,'13. Updated Demand'!A:Z,25,FALSE)),0,VLOOKUP($A1727,'13. Updated Demand'!A:Z,25,FALSE))</f>
        <v>10.130000000000001</v>
      </c>
      <c r="AI1727" s="16">
        <f>IF(ISERROR(VLOOKUP($A1727,'13. Updated Demand'!A:Z,26,FALSE)),0,VLOOKUP($A1727,'13. Updated Demand'!A:Z,26,FALSE))</f>
        <v>0</v>
      </c>
      <c r="AJ1727" s="16">
        <f t="shared" si="325"/>
        <v>27.830666667000003</v>
      </c>
      <c r="AK1727" s="19">
        <v>17.243333332999999</v>
      </c>
      <c r="AL1727" s="16">
        <f t="shared" si="323"/>
        <v>5.7194172465313262E-2</v>
      </c>
      <c r="AM1727" s="26">
        <v>0.2744208671905814</v>
      </c>
      <c r="AN1727" s="19">
        <v>101.416</v>
      </c>
      <c r="AO1727" s="19" t="s">
        <v>1758</v>
      </c>
      <c r="AP1727" s="19">
        <v>0</v>
      </c>
      <c r="AQ1727" s="19" t="s">
        <v>307</v>
      </c>
      <c r="AR1727" s="9" t="s">
        <v>486</v>
      </c>
      <c r="AS1727" s="12">
        <v>0</v>
      </c>
      <c r="AT1727" s="19">
        <v>38.544899999999998</v>
      </c>
      <c r="AU1727" s="19">
        <v>-122.8488</v>
      </c>
      <c r="AV1727" s="19" t="s">
        <v>548</v>
      </c>
    </row>
    <row r="1728" spans="1:48" x14ac:dyDescent="0.25">
      <c r="A1728" s="18" t="s">
        <v>2132</v>
      </c>
      <c r="B1728" s="10">
        <v>10000000</v>
      </c>
      <c r="C1728" s="9">
        <v>23</v>
      </c>
      <c r="D1728" s="8" t="str">
        <f t="shared" si="314"/>
        <v>N</v>
      </c>
      <c r="E1728" s="8" t="str">
        <f t="shared" si="315"/>
        <v>N</v>
      </c>
      <c r="F1728" s="8" t="str">
        <f t="shared" si="316"/>
        <v>N</v>
      </c>
      <c r="G1728" s="8" t="str">
        <f t="shared" si="317"/>
        <v>N</v>
      </c>
      <c r="H1728" s="8" t="str">
        <f t="shared" si="318"/>
        <v>Lower</v>
      </c>
      <c r="I1728" s="8" t="str">
        <f t="shared" si="319"/>
        <v>Outside</v>
      </c>
      <c r="J1728" s="8" t="str">
        <f t="shared" si="320"/>
        <v>Outside</v>
      </c>
      <c r="K1728" s="8" t="str">
        <f t="shared" si="321"/>
        <v>Riparian</v>
      </c>
      <c r="L1728" s="8">
        <f t="shared" si="322"/>
        <v>1000</v>
      </c>
      <c r="M1728" s="8" t="str">
        <f t="shared" si="324"/>
        <v>-</v>
      </c>
      <c r="N1728" s="10" t="s">
        <v>242</v>
      </c>
      <c r="O1728" s="10" t="s">
        <v>242</v>
      </c>
      <c r="P1728" s="10" t="s">
        <v>242</v>
      </c>
      <c r="Q1728" s="10" t="s">
        <v>242</v>
      </c>
      <c r="R1728" s="10" t="s">
        <v>242</v>
      </c>
      <c r="S1728" s="10" t="s">
        <v>241</v>
      </c>
      <c r="T1728" s="10" t="s">
        <v>242</v>
      </c>
      <c r="U1728" s="10" t="s">
        <v>242</v>
      </c>
      <c r="V1728" s="10" t="s">
        <v>242</v>
      </c>
      <c r="W1728" s="10" t="s">
        <v>242</v>
      </c>
      <c r="X1728" s="15">
        <f>IF(ISERROR(VLOOKUP($A1728,'13. Updated Demand'!A:Z,15,FALSE)),0,VLOOKUP($A1728,'13. Updated Demand'!A:Z,15,FALSE))</f>
        <v>0</v>
      </c>
      <c r="Y1728" s="16">
        <f>IF(ISERROR(VLOOKUP($A1728,'13. Updated Demand'!A:Z,16,FALSE)),0,VLOOKUP($A1728,'13. Updated Demand'!A:Z,16,FALSE))</f>
        <v>0</v>
      </c>
      <c r="Z1728" s="16">
        <f>IF(ISERROR(VLOOKUP($A1728,'13. Updated Demand'!A:Z,17,FALSE)),0,VLOOKUP($A1728,'13. Updated Demand'!A:Z,17,FALSE))</f>
        <v>0</v>
      </c>
      <c r="AA1728" s="16">
        <f>IF(ISERROR(VLOOKUP($A1728,'13. Updated Demand'!A:Z,18,FALSE)),0,VLOOKUP($A1728,'13. Updated Demand'!A:Z,18,FALSE))</f>
        <v>0.2</v>
      </c>
      <c r="AB1728" s="16">
        <f>IF(ISERROR(VLOOKUP($A1728,'13. Updated Demand'!A:Z,19,FALSE)),0,VLOOKUP($A1728,'13. Updated Demand'!A:Z,19,FALSE))</f>
        <v>3.3333333E-2</v>
      </c>
      <c r="AC1728" s="16">
        <f>IF(ISERROR(VLOOKUP($A1728,'13. Updated Demand'!A:Z,20,FALSE)),0,VLOOKUP($A1728,'13. Updated Demand'!A:Z,20,FALSE))</f>
        <v>0</v>
      </c>
      <c r="AD1728" s="16">
        <f>IF(ISERROR(VLOOKUP($A1728,'13. Updated Demand'!A:Z,21,FALSE)),0,VLOOKUP($A1728,'13. Updated Demand'!A:Z,21,FALSE))</f>
        <v>3.3333333E-2</v>
      </c>
      <c r="AE1728" s="16">
        <f>IF(ISERROR(VLOOKUP($A1728,'13. Updated Demand'!A:Z,22,FALSE)),0,VLOOKUP($A1728,'13. Updated Demand'!A:Z,22,FALSE))</f>
        <v>0</v>
      </c>
      <c r="AF1728" s="16">
        <f>IF(ISERROR(VLOOKUP($A1728,'13. Updated Demand'!A:Z,23,FALSE)),0,VLOOKUP($A1728,'13. Updated Demand'!A:Z,23,FALSE))</f>
        <v>0</v>
      </c>
      <c r="AG1728" s="16">
        <f>IF(ISERROR(VLOOKUP($A1728,'13. Updated Demand'!A:Z,24,FALSE)),0,VLOOKUP($A1728,'13. Updated Demand'!A:Z,24,FALSE))</f>
        <v>0</v>
      </c>
      <c r="AH1728" s="16">
        <f>IF(ISERROR(VLOOKUP($A1728,'13. Updated Demand'!A:Z,25,FALSE)),0,VLOOKUP($A1728,'13. Updated Demand'!A:Z,25,FALSE))</f>
        <v>0</v>
      </c>
      <c r="AI1728" s="16">
        <f>IF(ISERROR(VLOOKUP($A1728,'13. Updated Demand'!A:Z,26,FALSE)),0,VLOOKUP($A1728,'13. Updated Demand'!A:Z,26,FALSE))</f>
        <v>0</v>
      </c>
      <c r="AJ1728" s="16">
        <f t="shared" si="325"/>
        <v>0.266666666</v>
      </c>
      <c r="AK1728" s="19">
        <v>6.6666665999999999E-2</v>
      </c>
      <c r="AL1728" s="16">
        <f t="shared" si="323"/>
        <v>2.211257370751099E-4</v>
      </c>
      <c r="AM1728" s="26">
        <v>1.1155174020715157E-2</v>
      </c>
      <c r="AN1728" s="19">
        <v>23.905200000000001</v>
      </c>
      <c r="AO1728" s="19" t="s">
        <v>1758</v>
      </c>
      <c r="AP1728" s="19">
        <v>0</v>
      </c>
      <c r="AQ1728" s="19" t="s">
        <v>307</v>
      </c>
      <c r="AR1728" s="9" t="s">
        <v>323</v>
      </c>
      <c r="AS1728" s="12">
        <v>0</v>
      </c>
      <c r="AT1728" s="19">
        <v>38.494773559999999</v>
      </c>
      <c r="AU1728" s="19">
        <v>-122.86795014</v>
      </c>
      <c r="AV1728" s="19" t="s">
        <v>2020</v>
      </c>
    </row>
    <row r="1729" spans="1:48" x14ac:dyDescent="0.25">
      <c r="A1729" s="18" t="s">
        <v>2133</v>
      </c>
      <c r="B1729" s="10">
        <v>10000000</v>
      </c>
      <c r="C1729" s="9">
        <v>18</v>
      </c>
      <c r="D1729" s="8" t="str">
        <f t="shared" si="314"/>
        <v>N</v>
      </c>
      <c r="E1729" s="8" t="str">
        <f t="shared" si="315"/>
        <v>N</v>
      </c>
      <c r="F1729" s="8" t="str">
        <f t="shared" si="316"/>
        <v>N</v>
      </c>
      <c r="G1729" s="8" t="str">
        <f t="shared" si="317"/>
        <v>N</v>
      </c>
      <c r="H1729" s="8" t="str">
        <f t="shared" si="318"/>
        <v>Lower</v>
      </c>
      <c r="I1729" s="8" t="str">
        <f t="shared" si="319"/>
        <v>Outside</v>
      </c>
      <c r="J1729" s="8" t="str">
        <f t="shared" si="320"/>
        <v>Outside</v>
      </c>
      <c r="K1729" s="8" t="str">
        <f t="shared" si="321"/>
        <v>Riparian</v>
      </c>
      <c r="L1729" s="8">
        <f t="shared" si="322"/>
        <v>1000</v>
      </c>
      <c r="M1729" s="8" t="str">
        <f t="shared" si="324"/>
        <v>-</v>
      </c>
      <c r="N1729" s="10" t="s">
        <v>241</v>
      </c>
      <c r="O1729" s="10" t="s">
        <v>242</v>
      </c>
      <c r="P1729" s="10" t="s">
        <v>242</v>
      </c>
      <c r="Q1729" s="10" t="s">
        <v>242</v>
      </c>
      <c r="R1729" s="10" t="s">
        <v>242</v>
      </c>
      <c r="S1729" s="10" t="s">
        <v>241</v>
      </c>
      <c r="T1729" s="10" t="s">
        <v>242</v>
      </c>
      <c r="U1729" s="10" t="s">
        <v>242</v>
      </c>
      <c r="V1729" s="10" t="s">
        <v>242</v>
      </c>
      <c r="W1729" s="10" t="s">
        <v>242</v>
      </c>
      <c r="X1729" s="15">
        <f>IF(ISERROR(VLOOKUP($A1729,'13. Updated Demand'!A:Z,15,FALSE)),0,VLOOKUP($A1729,'13. Updated Demand'!A:Z,15,FALSE))</f>
        <v>0</v>
      </c>
      <c r="Y1729" s="16">
        <f>IF(ISERROR(VLOOKUP($A1729,'13. Updated Demand'!A:Z,16,FALSE)),0,VLOOKUP($A1729,'13. Updated Demand'!A:Z,16,FALSE))</f>
        <v>0</v>
      </c>
      <c r="Z1729" s="16">
        <f>IF(ISERROR(VLOOKUP($A1729,'13. Updated Demand'!A:Z,17,FALSE)),0,VLOOKUP($A1729,'13. Updated Demand'!A:Z,17,FALSE))</f>
        <v>0</v>
      </c>
      <c r="AA1729" s="16">
        <f>IF(ISERROR(VLOOKUP($A1729,'13. Updated Demand'!A:Z,18,FALSE)),0,VLOOKUP($A1729,'13. Updated Demand'!A:Z,18,FALSE))</f>
        <v>0</v>
      </c>
      <c r="AB1729" s="16">
        <f>IF(ISERROR(VLOOKUP($A1729,'13. Updated Demand'!A:Z,19,FALSE)),0,VLOOKUP($A1729,'13. Updated Demand'!A:Z,19,FALSE))</f>
        <v>0.43333333299999999</v>
      </c>
      <c r="AC1729" s="16">
        <f>IF(ISERROR(VLOOKUP($A1729,'13. Updated Demand'!A:Z,20,FALSE)),0,VLOOKUP($A1729,'13. Updated Demand'!A:Z,20,FALSE))</f>
        <v>0.96666666700000003</v>
      </c>
      <c r="AD1729" s="16">
        <f>IF(ISERROR(VLOOKUP($A1729,'13. Updated Demand'!A:Z,21,FALSE)),0,VLOOKUP($A1729,'13. Updated Demand'!A:Z,21,FALSE))</f>
        <v>0.97899999999999998</v>
      </c>
      <c r="AE1729" s="16">
        <f>IF(ISERROR(VLOOKUP($A1729,'13. Updated Demand'!A:Z,22,FALSE)),0,VLOOKUP($A1729,'13. Updated Demand'!A:Z,22,FALSE))</f>
        <v>0.89166666699999997</v>
      </c>
      <c r="AF1729" s="16">
        <f>IF(ISERROR(VLOOKUP($A1729,'13. Updated Demand'!A:Z,23,FALSE)),0,VLOOKUP($A1729,'13. Updated Demand'!A:Z,23,FALSE))</f>
        <v>0.125</v>
      </c>
      <c r="AG1729" s="16">
        <f>IF(ISERROR(VLOOKUP($A1729,'13. Updated Demand'!A:Z,24,FALSE)),0,VLOOKUP($A1729,'13. Updated Demand'!A:Z,24,FALSE))</f>
        <v>0</v>
      </c>
      <c r="AH1729" s="16">
        <f>IF(ISERROR(VLOOKUP($A1729,'13. Updated Demand'!A:Z,25,FALSE)),0,VLOOKUP($A1729,'13. Updated Demand'!A:Z,25,FALSE))</f>
        <v>0</v>
      </c>
      <c r="AI1729" s="16">
        <f>IF(ISERROR(VLOOKUP($A1729,'13. Updated Demand'!A:Z,26,FALSE)),0,VLOOKUP($A1729,'13. Updated Demand'!A:Z,26,FALSE))</f>
        <v>0</v>
      </c>
      <c r="AJ1729" s="16">
        <f t="shared" si="325"/>
        <v>3.395666667</v>
      </c>
      <c r="AK1729" s="19">
        <v>3.395666667</v>
      </c>
      <c r="AL1729" s="16">
        <f t="shared" si="323"/>
        <v>1.1263039531656745E-2</v>
      </c>
      <c r="AM1729" s="26">
        <v>1.053383712208166E-2</v>
      </c>
      <c r="AN1729" s="19">
        <v>322.358</v>
      </c>
      <c r="AO1729" s="19" t="s">
        <v>1758</v>
      </c>
      <c r="AP1729" s="19">
        <v>0</v>
      </c>
      <c r="AQ1729" s="19" t="s">
        <v>307</v>
      </c>
      <c r="AR1729" s="9" t="s">
        <v>352</v>
      </c>
      <c r="AS1729" s="12">
        <v>0</v>
      </c>
      <c r="AT1729" s="19">
        <v>38.497923030000003</v>
      </c>
      <c r="AU1729" s="19">
        <v>-122.88720735</v>
      </c>
      <c r="AV1729" s="19" t="s">
        <v>1320</v>
      </c>
    </row>
    <row r="1730" spans="1:48" x14ac:dyDescent="0.25">
      <c r="A1730" s="18" t="s">
        <v>2134</v>
      </c>
      <c r="B1730" s="10">
        <v>10000000</v>
      </c>
      <c r="C1730" s="9">
        <v>17</v>
      </c>
      <c r="D1730" s="8" t="str">
        <f t="shared" ref="D1730:D1793" si="326">IF(OR(C1730=4,C1730=5,C1730=6),"Y","N")</f>
        <v>N</v>
      </c>
      <c r="E1730" s="8" t="str">
        <f t="shared" ref="E1730:E1793" si="327">IF(AND(C1730&gt;6,C1730&lt;14),"Y","N")</f>
        <v>N</v>
      </c>
      <c r="F1730" s="8" t="str">
        <f t="shared" ref="F1730:F1793" si="328">IF(C1730&lt;14,"Y","N")</f>
        <v>N</v>
      </c>
      <c r="G1730" s="8" t="str">
        <f t="shared" ref="G1730:G1793" si="329">IF(OR(C1730=1,AND(C1730&gt;3,C1730&lt;14)),"Y","N")</f>
        <v>N</v>
      </c>
      <c r="H1730" s="8" t="str">
        <f t="shared" ref="H1730:H1793" si="330">IF(C1730&lt;14,"Upper","Lower")</f>
        <v>Lower</v>
      </c>
      <c r="I1730" s="8" t="str">
        <f t="shared" ref="I1730:I1793" si="331">IF(G1730="Y","West Fork and Below Lake","Outside")</f>
        <v>Outside</v>
      </c>
      <c r="J1730" s="8" t="str">
        <f t="shared" ref="J1730:J1793" si="332">IF(D1730="Y", "Mendocino (d/s of lake)", IF(E1730="Y", "Sonoma (d/s of Clov. Gage)","Outside"))</f>
        <v>Outside</v>
      </c>
      <c r="K1730" s="8" t="str">
        <f t="shared" ref="K1730:K1793" si="333">IF(P1730="Y","pre-1914",IF(Q1730="Y","Pre-1949",IF(R1730="Y","Post-1949",IF(S1730="Y","Riparian","Unknown"))))</f>
        <v>Riparian</v>
      </c>
      <c r="L1730" s="8">
        <f t="shared" ref="L1730:L1793" si="334">_xlfn.NUMBERVALUE(LEFT(B1730,4))</f>
        <v>1000</v>
      </c>
      <c r="M1730" s="8" t="str">
        <f t="shared" si="324"/>
        <v>-</v>
      </c>
      <c r="N1730" s="10" t="s">
        <v>241</v>
      </c>
      <c r="O1730" s="10" t="s">
        <v>242</v>
      </c>
      <c r="P1730" s="10" t="s">
        <v>242</v>
      </c>
      <c r="Q1730" s="10" t="s">
        <v>242</v>
      </c>
      <c r="R1730" s="10" t="s">
        <v>242</v>
      </c>
      <c r="S1730" s="10" t="s">
        <v>241</v>
      </c>
      <c r="T1730" s="10" t="s">
        <v>242</v>
      </c>
      <c r="U1730" s="10" t="s">
        <v>242</v>
      </c>
      <c r="V1730" s="10" t="s">
        <v>242</v>
      </c>
      <c r="W1730" s="10" t="s">
        <v>242</v>
      </c>
      <c r="X1730" s="15">
        <f>IF(ISERROR(VLOOKUP($A1730,'13. Updated Demand'!A:Z,15,FALSE)),0,VLOOKUP($A1730,'13. Updated Demand'!A:Z,15,FALSE))</f>
        <v>0</v>
      </c>
      <c r="Y1730" s="16">
        <f>IF(ISERROR(VLOOKUP($A1730,'13. Updated Demand'!A:Z,16,FALSE)),0,VLOOKUP($A1730,'13. Updated Demand'!A:Z,16,FALSE))</f>
        <v>0</v>
      </c>
      <c r="Z1730" s="16">
        <f>IF(ISERROR(VLOOKUP($A1730,'13. Updated Demand'!A:Z,17,FALSE)),0,VLOOKUP($A1730,'13. Updated Demand'!A:Z,17,FALSE))</f>
        <v>0</v>
      </c>
      <c r="AA1730" s="16">
        <f>IF(ISERROR(VLOOKUP($A1730,'13. Updated Demand'!A:Z,18,FALSE)),0,VLOOKUP($A1730,'13. Updated Demand'!A:Z,18,FALSE))</f>
        <v>0</v>
      </c>
      <c r="AB1730" s="16">
        <f>IF(ISERROR(VLOOKUP($A1730,'13. Updated Demand'!A:Z,19,FALSE)),0,VLOOKUP($A1730,'13. Updated Demand'!A:Z,19,FALSE))</f>
        <v>0</v>
      </c>
      <c r="AC1730" s="16">
        <f>IF(ISERROR(VLOOKUP($A1730,'13. Updated Demand'!A:Z,20,FALSE)),0,VLOOKUP($A1730,'13. Updated Demand'!A:Z,20,FALSE))</f>
        <v>0</v>
      </c>
      <c r="AD1730" s="16">
        <f>IF(ISERROR(VLOOKUP($A1730,'13. Updated Demand'!A:Z,21,FALSE)),0,VLOOKUP($A1730,'13. Updated Demand'!A:Z,21,FALSE))</f>
        <v>0.14000000000000001</v>
      </c>
      <c r="AE1730" s="16">
        <f>IF(ISERROR(VLOOKUP($A1730,'13. Updated Demand'!A:Z,22,FALSE)),0,VLOOKUP($A1730,'13. Updated Demand'!A:Z,22,FALSE))</f>
        <v>0.13666666699999999</v>
      </c>
      <c r="AF1730" s="16">
        <f>IF(ISERROR(VLOOKUP($A1730,'13. Updated Demand'!A:Z,23,FALSE)),0,VLOOKUP($A1730,'13. Updated Demand'!A:Z,23,FALSE))</f>
        <v>0.1</v>
      </c>
      <c r="AG1730" s="16">
        <f>IF(ISERROR(VLOOKUP($A1730,'13. Updated Demand'!A:Z,24,FALSE)),0,VLOOKUP($A1730,'13. Updated Demand'!A:Z,24,FALSE))</f>
        <v>3.3333333E-2</v>
      </c>
      <c r="AH1730" s="16">
        <f>IF(ISERROR(VLOOKUP($A1730,'13. Updated Demand'!A:Z,25,FALSE)),0,VLOOKUP($A1730,'13. Updated Demand'!A:Z,25,FALSE))</f>
        <v>3.3333333E-2</v>
      </c>
      <c r="AI1730" s="16">
        <f>IF(ISERROR(VLOOKUP($A1730,'13. Updated Demand'!A:Z,26,FALSE)),0,VLOOKUP($A1730,'13. Updated Demand'!A:Z,26,FALSE))</f>
        <v>0</v>
      </c>
      <c r="AJ1730" s="16">
        <f t="shared" si="325"/>
        <v>0.443333333</v>
      </c>
      <c r="AK1730" s="19">
        <v>0.37666666699999996</v>
      </c>
      <c r="AL1730" s="16">
        <f t="shared" ref="AL1730:AL1793" si="335">AK1730/152/1.983471</f>
        <v>1.2493604280736036E-3</v>
      </c>
      <c r="AM1730" s="26">
        <v>5.5636430525576026E-5</v>
      </c>
      <c r="AN1730" s="19">
        <v>7968.4</v>
      </c>
      <c r="AO1730" s="19" t="s">
        <v>1758</v>
      </c>
      <c r="AP1730" s="19">
        <v>0</v>
      </c>
      <c r="AQ1730" s="19" t="s">
        <v>307</v>
      </c>
      <c r="AR1730" s="9" t="s">
        <v>486</v>
      </c>
      <c r="AS1730" s="12">
        <v>0</v>
      </c>
      <c r="AT1730" s="19">
        <v>38.573491429999997</v>
      </c>
      <c r="AU1730" s="19">
        <v>-122.8433716</v>
      </c>
      <c r="AV1730" s="19" t="s">
        <v>1320</v>
      </c>
    </row>
    <row r="1731" spans="1:48" x14ac:dyDescent="0.25">
      <c r="A1731" s="18" t="s">
        <v>2135</v>
      </c>
      <c r="B1731" s="10">
        <v>10000000</v>
      </c>
      <c r="C1731" s="9">
        <v>17</v>
      </c>
      <c r="D1731" s="8" t="str">
        <f t="shared" si="326"/>
        <v>N</v>
      </c>
      <c r="E1731" s="8" t="str">
        <f t="shared" si="327"/>
        <v>N</v>
      </c>
      <c r="F1731" s="8" t="str">
        <f t="shared" si="328"/>
        <v>N</v>
      </c>
      <c r="G1731" s="8" t="str">
        <f t="shared" si="329"/>
        <v>N</v>
      </c>
      <c r="H1731" s="8" t="str">
        <f t="shared" si="330"/>
        <v>Lower</v>
      </c>
      <c r="I1731" s="8" t="str">
        <f t="shared" si="331"/>
        <v>Outside</v>
      </c>
      <c r="J1731" s="8" t="str">
        <f t="shared" si="332"/>
        <v>Outside</v>
      </c>
      <c r="K1731" s="8" t="str">
        <f t="shared" si="333"/>
        <v>Riparian</v>
      </c>
      <c r="L1731" s="8">
        <f t="shared" si="334"/>
        <v>1000</v>
      </c>
      <c r="M1731" s="8" t="str">
        <f t="shared" ref="M1731:M1794" si="336">IF(L1731=1949,"1949",IF(AND(L1731&gt;1949,L1731&lt;1953),"1950-1952",IF(AND(L1731&gt;1952,L1731&lt;1955),"1953-1954",IF(AND(L1731&gt;1954,L1731&lt;1957),"1955-1956",IF(AND(L1731&gt;1956,L1731&lt;1960),"1957-1959",IF(AND(L1731&gt;1959,L1731&lt;1971),"1960-1970",IF(AND(L1731&gt;1970,L1731&lt;1991),"1971-1990",IF(L1731&gt;1990,"1991-present","-"))))))))</f>
        <v>-</v>
      </c>
      <c r="N1731" s="10" t="s">
        <v>241</v>
      </c>
      <c r="O1731" s="10" t="s">
        <v>242</v>
      </c>
      <c r="P1731" s="10" t="s">
        <v>242</v>
      </c>
      <c r="Q1731" s="10" t="s">
        <v>242</v>
      </c>
      <c r="R1731" s="10" t="s">
        <v>242</v>
      </c>
      <c r="S1731" s="10" t="s">
        <v>241</v>
      </c>
      <c r="T1731" s="10" t="s">
        <v>242</v>
      </c>
      <c r="U1731" s="10" t="s">
        <v>242</v>
      </c>
      <c r="V1731" s="10" t="s">
        <v>242</v>
      </c>
      <c r="W1731" s="10" t="s">
        <v>242</v>
      </c>
      <c r="X1731" s="15">
        <f>IF(ISERROR(VLOOKUP($A1731,'13. Updated Demand'!A:Z,15,FALSE)),0,VLOOKUP($A1731,'13. Updated Demand'!A:Z,15,FALSE))</f>
        <v>0.6</v>
      </c>
      <c r="Y1731" s="16">
        <f>IF(ISERROR(VLOOKUP($A1731,'13. Updated Demand'!A:Z,16,FALSE)),0,VLOOKUP($A1731,'13. Updated Demand'!A:Z,16,FALSE))</f>
        <v>0.43333333299999999</v>
      </c>
      <c r="Z1731" s="16">
        <f>IF(ISERROR(VLOOKUP($A1731,'13. Updated Demand'!A:Z,17,FALSE)),0,VLOOKUP($A1731,'13. Updated Demand'!A:Z,17,FALSE))</f>
        <v>0.93333333299999999</v>
      </c>
      <c r="AA1731" s="16">
        <f>IF(ISERROR(VLOOKUP($A1731,'13. Updated Demand'!A:Z,18,FALSE)),0,VLOOKUP($A1731,'13. Updated Demand'!A:Z,18,FALSE))</f>
        <v>0.63333333300000005</v>
      </c>
      <c r="AB1731" s="16">
        <f>IF(ISERROR(VLOOKUP($A1731,'13. Updated Demand'!A:Z,19,FALSE)),0,VLOOKUP($A1731,'13. Updated Demand'!A:Z,19,FALSE))</f>
        <v>1.1000000000000001</v>
      </c>
      <c r="AC1731" s="16">
        <f>IF(ISERROR(VLOOKUP($A1731,'13. Updated Demand'!A:Z,20,FALSE)),0,VLOOKUP($A1731,'13. Updated Demand'!A:Z,20,FALSE))</f>
        <v>0.83333333300000001</v>
      </c>
      <c r="AD1731" s="16">
        <f>IF(ISERROR(VLOOKUP($A1731,'13. Updated Demand'!A:Z,21,FALSE)),0,VLOOKUP($A1731,'13. Updated Demand'!A:Z,21,FALSE))</f>
        <v>0.96666666700000003</v>
      </c>
      <c r="AE1731" s="16">
        <f>IF(ISERROR(VLOOKUP($A1731,'13. Updated Demand'!A:Z,22,FALSE)),0,VLOOKUP($A1731,'13. Updated Demand'!A:Z,22,FALSE))</f>
        <v>1.0333333330000001</v>
      </c>
      <c r="AF1731" s="16">
        <f>IF(ISERROR(VLOOKUP($A1731,'13. Updated Demand'!A:Z,23,FALSE)),0,VLOOKUP($A1731,'13. Updated Demand'!A:Z,23,FALSE))</f>
        <v>1.9666666669999999</v>
      </c>
      <c r="AG1731" s="16">
        <f>IF(ISERROR(VLOOKUP($A1731,'13. Updated Demand'!A:Z,24,FALSE)),0,VLOOKUP($A1731,'13. Updated Demand'!A:Z,24,FALSE))</f>
        <v>1.233333333</v>
      </c>
      <c r="AH1731" s="16">
        <f>IF(ISERROR(VLOOKUP($A1731,'13. Updated Demand'!A:Z,25,FALSE)),0,VLOOKUP($A1731,'13. Updated Demand'!A:Z,25,FALSE))</f>
        <v>1.066666667</v>
      </c>
      <c r="AI1731" s="16">
        <f>IF(ISERROR(VLOOKUP($A1731,'13. Updated Demand'!A:Z,26,FALSE)),0,VLOOKUP($A1731,'13. Updated Demand'!A:Z,26,FALSE))</f>
        <v>0.7</v>
      </c>
      <c r="AJ1731" s="16">
        <f t="shared" si="325"/>
        <v>11.499999999</v>
      </c>
      <c r="AK1731" s="19">
        <v>5.9</v>
      </c>
      <c r="AL1731" s="16">
        <f t="shared" si="335"/>
        <v>1.9569627926843504E-2</v>
      </c>
      <c r="AM1731" s="26">
        <v>5.1210345375928466E-2</v>
      </c>
      <c r="AN1731" s="19">
        <v>224.56399999999999</v>
      </c>
      <c r="AO1731" s="19" t="s">
        <v>1758</v>
      </c>
      <c r="AP1731" s="19">
        <v>0</v>
      </c>
      <c r="AQ1731" s="19" t="s">
        <v>307</v>
      </c>
      <c r="AR1731" s="9" t="s">
        <v>486</v>
      </c>
      <c r="AS1731" s="12">
        <v>0</v>
      </c>
      <c r="AT1731" s="19">
        <v>38.573491429999997</v>
      </c>
      <c r="AU1731" s="19">
        <v>-122.8433716</v>
      </c>
      <c r="AV1731" s="19" t="s">
        <v>1320</v>
      </c>
    </row>
    <row r="1732" spans="1:48" x14ac:dyDescent="0.25">
      <c r="A1732" s="18" t="s">
        <v>2136</v>
      </c>
      <c r="B1732" s="10">
        <v>10000000</v>
      </c>
      <c r="C1732" s="9">
        <v>10</v>
      </c>
      <c r="D1732" s="8" t="str">
        <f t="shared" si="326"/>
        <v>N</v>
      </c>
      <c r="E1732" s="8" t="str">
        <f t="shared" si="327"/>
        <v>Y</v>
      </c>
      <c r="F1732" s="8" t="str">
        <f t="shared" si="328"/>
        <v>Y</v>
      </c>
      <c r="G1732" s="8" t="str">
        <f t="shared" si="329"/>
        <v>Y</v>
      </c>
      <c r="H1732" s="8" t="str">
        <f t="shared" si="330"/>
        <v>Upper</v>
      </c>
      <c r="I1732" s="8" t="str">
        <f t="shared" si="331"/>
        <v>West Fork and Below Lake</v>
      </c>
      <c r="J1732" s="8" t="str">
        <f t="shared" si="332"/>
        <v>Sonoma (d/s of Clov. Gage)</v>
      </c>
      <c r="K1732" s="8" t="str">
        <f t="shared" si="333"/>
        <v>Riparian</v>
      </c>
      <c r="L1732" s="8">
        <f t="shared" si="334"/>
        <v>1000</v>
      </c>
      <c r="M1732" s="8" t="str">
        <f t="shared" si="336"/>
        <v>-</v>
      </c>
      <c r="N1732" s="10" t="s">
        <v>241</v>
      </c>
      <c r="O1732" s="10" t="s">
        <v>241</v>
      </c>
      <c r="P1732" s="10" t="s">
        <v>242</v>
      </c>
      <c r="Q1732" s="10" t="s">
        <v>242</v>
      </c>
      <c r="R1732" s="10" t="s">
        <v>242</v>
      </c>
      <c r="S1732" s="10" t="s">
        <v>241</v>
      </c>
      <c r="T1732" s="10" t="s">
        <v>242</v>
      </c>
      <c r="U1732" s="10" t="s">
        <v>242</v>
      </c>
      <c r="V1732" s="10" t="s">
        <v>242</v>
      </c>
      <c r="W1732" s="10" t="s">
        <v>242</v>
      </c>
      <c r="X1732" s="15">
        <f>IF(ISERROR(VLOOKUP($A1732,'13. Updated Demand'!A:Z,15,FALSE)),0,VLOOKUP($A1732,'13. Updated Demand'!A:Z,15,FALSE))</f>
        <v>0</v>
      </c>
      <c r="Y1732" s="16">
        <f>IF(ISERROR(VLOOKUP($A1732,'13. Updated Demand'!A:Z,16,FALSE)),0,VLOOKUP($A1732,'13. Updated Demand'!A:Z,16,FALSE))</f>
        <v>6.46</v>
      </c>
      <c r="Z1732" s="16">
        <f>IF(ISERROR(VLOOKUP($A1732,'13. Updated Demand'!A:Z,17,FALSE)),0,VLOOKUP($A1732,'13. Updated Demand'!A:Z,17,FALSE))</f>
        <v>1.3</v>
      </c>
      <c r="AA1732" s="16">
        <f>IF(ISERROR(VLOOKUP($A1732,'13. Updated Demand'!A:Z,18,FALSE)),0,VLOOKUP($A1732,'13. Updated Demand'!A:Z,18,FALSE))</f>
        <v>0</v>
      </c>
      <c r="AB1732" s="16">
        <f>IF(ISERROR(VLOOKUP($A1732,'13. Updated Demand'!A:Z,19,FALSE)),0,VLOOKUP($A1732,'13. Updated Demand'!A:Z,19,FALSE))</f>
        <v>1.35</v>
      </c>
      <c r="AC1732" s="16">
        <f>IF(ISERROR(VLOOKUP($A1732,'13. Updated Demand'!A:Z,20,FALSE)),0,VLOOKUP($A1732,'13. Updated Demand'!A:Z,20,FALSE))</f>
        <v>3.07</v>
      </c>
      <c r="AD1732" s="16">
        <f>IF(ISERROR(VLOOKUP($A1732,'13. Updated Demand'!A:Z,21,FALSE)),0,VLOOKUP($A1732,'13. Updated Demand'!A:Z,21,FALSE))</f>
        <v>3.94</v>
      </c>
      <c r="AE1732" s="16">
        <f>IF(ISERROR(VLOOKUP($A1732,'13. Updated Demand'!A:Z,22,FALSE)),0,VLOOKUP($A1732,'13. Updated Demand'!A:Z,22,FALSE))</f>
        <v>6.9</v>
      </c>
      <c r="AF1732" s="16">
        <f>IF(ISERROR(VLOOKUP($A1732,'13. Updated Demand'!A:Z,23,FALSE)),0,VLOOKUP($A1732,'13. Updated Demand'!A:Z,23,FALSE))</f>
        <v>8.15</v>
      </c>
      <c r="AG1732" s="16">
        <f>IF(ISERROR(VLOOKUP($A1732,'13. Updated Demand'!A:Z,24,FALSE)),0,VLOOKUP($A1732,'13. Updated Demand'!A:Z,24,FALSE))</f>
        <v>2.15</v>
      </c>
      <c r="AH1732" s="16">
        <f>IF(ISERROR(VLOOKUP($A1732,'13. Updated Demand'!A:Z,25,FALSE)),0,VLOOKUP($A1732,'13. Updated Demand'!A:Z,25,FALSE))</f>
        <v>0</v>
      </c>
      <c r="AI1732" s="16">
        <f>IF(ISERROR(VLOOKUP($A1732,'13. Updated Demand'!A:Z,26,FALSE)),0,VLOOKUP($A1732,'13. Updated Demand'!A:Z,26,FALSE))</f>
        <v>0</v>
      </c>
      <c r="AJ1732" s="16">
        <f t="shared" si="325"/>
        <v>33.32</v>
      </c>
      <c r="AK1732" s="19">
        <v>23.433333333333341</v>
      </c>
      <c r="AL1732" s="16">
        <f t="shared" si="335"/>
        <v>7.7725697359158116E-2</v>
      </c>
      <c r="AM1732" s="26">
        <v>1.8791061427331845E-2</v>
      </c>
      <c r="AN1732" s="19">
        <v>1774.78</v>
      </c>
      <c r="AO1732" s="19" t="s">
        <v>1758</v>
      </c>
      <c r="AP1732" s="19">
        <v>0</v>
      </c>
      <c r="AQ1732" s="19" t="s">
        <v>307</v>
      </c>
      <c r="AR1732" s="9" t="s">
        <v>436</v>
      </c>
      <c r="AS1732" s="12">
        <v>0</v>
      </c>
      <c r="AT1732" s="19">
        <v>38.66861583</v>
      </c>
      <c r="AU1732" s="19">
        <v>-122.86551341000001</v>
      </c>
      <c r="AV1732" s="19" t="s">
        <v>1320</v>
      </c>
    </row>
    <row r="1733" spans="1:48" x14ac:dyDescent="0.25">
      <c r="A1733" s="18" t="s">
        <v>2137</v>
      </c>
      <c r="B1733" s="10">
        <v>10000000</v>
      </c>
      <c r="C1733" s="9">
        <v>17</v>
      </c>
      <c r="D1733" s="8" t="str">
        <f t="shared" si="326"/>
        <v>N</v>
      </c>
      <c r="E1733" s="8" t="str">
        <f t="shared" si="327"/>
        <v>N</v>
      </c>
      <c r="F1733" s="8" t="str">
        <f t="shared" si="328"/>
        <v>N</v>
      </c>
      <c r="G1733" s="8" t="str">
        <f t="shared" si="329"/>
        <v>N</v>
      </c>
      <c r="H1733" s="8" t="str">
        <f t="shared" si="330"/>
        <v>Lower</v>
      </c>
      <c r="I1733" s="8" t="str">
        <f t="shared" si="331"/>
        <v>Outside</v>
      </c>
      <c r="J1733" s="8" t="str">
        <f t="shared" si="332"/>
        <v>Outside</v>
      </c>
      <c r="K1733" s="8" t="str">
        <f t="shared" si="333"/>
        <v>Riparian</v>
      </c>
      <c r="L1733" s="8">
        <f t="shared" si="334"/>
        <v>1000</v>
      </c>
      <c r="M1733" s="8" t="str">
        <f t="shared" si="336"/>
        <v>-</v>
      </c>
      <c r="N1733" s="10" t="s">
        <v>241</v>
      </c>
      <c r="O1733" s="10" t="s">
        <v>242</v>
      </c>
      <c r="P1733" s="10" t="s">
        <v>242</v>
      </c>
      <c r="Q1733" s="10" t="s">
        <v>242</v>
      </c>
      <c r="R1733" s="10" t="s">
        <v>242</v>
      </c>
      <c r="S1733" s="10" t="s">
        <v>241</v>
      </c>
      <c r="T1733" s="10" t="s">
        <v>242</v>
      </c>
      <c r="U1733" s="10" t="s">
        <v>242</v>
      </c>
      <c r="V1733" s="10" t="s">
        <v>242</v>
      </c>
      <c r="W1733" s="10" t="s">
        <v>242</v>
      </c>
      <c r="X1733" s="15">
        <f>IF(ISERROR(VLOOKUP($A1733,'13. Updated Demand'!A:Z,15,FALSE)),0,VLOOKUP($A1733,'13. Updated Demand'!A:Z,15,FALSE))</f>
        <v>0</v>
      </c>
      <c r="Y1733" s="16">
        <f>IF(ISERROR(VLOOKUP($A1733,'13. Updated Demand'!A:Z,16,FALSE)),0,VLOOKUP($A1733,'13. Updated Demand'!A:Z,16,FALSE))</f>
        <v>0</v>
      </c>
      <c r="Z1733" s="16">
        <f>IF(ISERROR(VLOOKUP($A1733,'13. Updated Demand'!A:Z,17,FALSE)),0,VLOOKUP($A1733,'13. Updated Demand'!A:Z,17,FALSE))</f>
        <v>0.2</v>
      </c>
      <c r="AA1733" s="16">
        <f>IF(ISERROR(VLOOKUP($A1733,'13. Updated Demand'!A:Z,18,FALSE)),0,VLOOKUP($A1733,'13. Updated Demand'!A:Z,18,FALSE))</f>
        <v>0</v>
      </c>
      <c r="AB1733" s="16">
        <f>IF(ISERROR(VLOOKUP($A1733,'13. Updated Demand'!A:Z,19,FALSE)),0,VLOOKUP($A1733,'13. Updated Demand'!A:Z,19,FALSE))</f>
        <v>1.233333333</v>
      </c>
      <c r="AC1733" s="16">
        <f>IF(ISERROR(VLOOKUP($A1733,'13. Updated Demand'!A:Z,20,FALSE)),0,VLOOKUP($A1733,'13. Updated Demand'!A:Z,20,FALSE))</f>
        <v>0.366666667</v>
      </c>
      <c r="AD1733" s="16">
        <f>IF(ISERROR(VLOOKUP($A1733,'13. Updated Demand'!A:Z,21,FALSE)),0,VLOOKUP($A1733,'13. Updated Demand'!A:Z,21,FALSE))</f>
        <v>0.86666666699999995</v>
      </c>
      <c r="AE1733" s="16">
        <f>IF(ISERROR(VLOOKUP($A1733,'13. Updated Demand'!A:Z,22,FALSE)),0,VLOOKUP($A1733,'13. Updated Demand'!A:Z,22,FALSE))</f>
        <v>0.7</v>
      </c>
      <c r="AF1733" s="16">
        <f>IF(ISERROR(VLOOKUP($A1733,'13. Updated Demand'!A:Z,23,FALSE)),0,VLOOKUP($A1733,'13. Updated Demand'!A:Z,23,FALSE))</f>
        <v>0.4</v>
      </c>
      <c r="AG1733" s="16">
        <f>IF(ISERROR(VLOOKUP($A1733,'13. Updated Demand'!A:Z,24,FALSE)),0,VLOOKUP($A1733,'13. Updated Demand'!A:Z,24,FALSE))</f>
        <v>0.26666666700000002</v>
      </c>
      <c r="AH1733" s="16">
        <f>IF(ISERROR(VLOOKUP($A1733,'13. Updated Demand'!A:Z,25,FALSE)),0,VLOOKUP($A1733,'13. Updated Demand'!A:Z,25,FALSE))</f>
        <v>0.133333333</v>
      </c>
      <c r="AI1733" s="16">
        <f>IF(ISERROR(VLOOKUP($A1733,'13. Updated Demand'!A:Z,26,FALSE)),0,VLOOKUP($A1733,'13. Updated Demand'!A:Z,26,FALSE))</f>
        <v>0</v>
      </c>
      <c r="AJ1733" s="16">
        <f t="shared" si="325"/>
        <v>4.1666666670000003</v>
      </c>
      <c r="AK1733" s="19">
        <v>3.5666666670000002</v>
      </c>
      <c r="AL1733" s="16">
        <f t="shared" si="335"/>
        <v>1.1830227052926278E-2</v>
      </c>
      <c r="AM1733" s="26">
        <v>0.12781970265046938</v>
      </c>
      <c r="AN1733" s="19">
        <v>32.597999999999999</v>
      </c>
      <c r="AO1733" s="19" t="s">
        <v>1758</v>
      </c>
      <c r="AP1733" s="19">
        <v>0</v>
      </c>
      <c r="AQ1733" s="19" t="s">
        <v>307</v>
      </c>
      <c r="AR1733" s="9" t="s">
        <v>486</v>
      </c>
      <c r="AS1733" s="12">
        <v>0</v>
      </c>
      <c r="AT1733" s="19">
        <v>38.533258910000001</v>
      </c>
      <c r="AU1733" s="19">
        <v>-122.86247447</v>
      </c>
      <c r="AV1733" s="19" t="s">
        <v>1320</v>
      </c>
    </row>
    <row r="1734" spans="1:48" x14ac:dyDescent="0.25">
      <c r="A1734" s="18" t="s">
        <v>2138</v>
      </c>
      <c r="B1734" s="10">
        <v>10000000</v>
      </c>
      <c r="C1734" s="9">
        <v>17</v>
      </c>
      <c r="D1734" s="8" t="str">
        <f t="shared" si="326"/>
        <v>N</v>
      </c>
      <c r="E1734" s="8" t="str">
        <f t="shared" si="327"/>
        <v>N</v>
      </c>
      <c r="F1734" s="8" t="str">
        <f t="shared" si="328"/>
        <v>N</v>
      </c>
      <c r="G1734" s="8" t="str">
        <f t="shared" si="329"/>
        <v>N</v>
      </c>
      <c r="H1734" s="8" t="str">
        <f t="shared" si="330"/>
        <v>Lower</v>
      </c>
      <c r="I1734" s="8" t="str">
        <f t="shared" si="331"/>
        <v>Outside</v>
      </c>
      <c r="J1734" s="8" t="str">
        <f t="shared" si="332"/>
        <v>Outside</v>
      </c>
      <c r="K1734" s="8" t="str">
        <f t="shared" si="333"/>
        <v>Riparian</v>
      </c>
      <c r="L1734" s="8">
        <f t="shared" si="334"/>
        <v>1000</v>
      </c>
      <c r="M1734" s="8" t="str">
        <f t="shared" si="336"/>
        <v>-</v>
      </c>
      <c r="N1734" s="10" t="s">
        <v>241</v>
      </c>
      <c r="O1734" s="10" t="s">
        <v>242</v>
      </c>
      <c r="P1734" s="10" t="s">
        <v>242</v>
      </c>
      <c r="Q1734" s="10" t="s">
        <v>242</v>
      </c>
      <c r="R1734" s="10" t="s">
        <v>242</v>
      </c>
      <c r="S1734" s="10" t="s">
        <v>241</v>
      </c>
      <c r="T1734" s="10" t="s">
        <v>242</v>
      </c>
      <c r="U1734" s="10" t="s">
        <v>242</v>
      </c>
      <c r="V1734" s="10" t="s">
        <v>241</v>
      </c>
      <c r="W1734" s="10" t="s">
        <v>242</v>
      </c>
      <c r="X1734" s="15">
        <f>IF(ISERROR(VLOOKUP($A1734,'13. Updated Demand'!A:Z,15,FALSE)),0,VLOOKUP($A1734,'13. Updated Demand'!A:Z,15,FALSE))</f>
        <v>0</v>
      </c>
      <c r="Y1734" s="16">
        <f>IF(ISERROR(VLOOKUP($A1734,'13. Updated Demand'!A:Z,16,FALSE)),0,VLOOKUP($A1734,'13. Updated Demand'!A:Z,16,FALSE))</f>
        <v>0.04</v>
      </c>
      <c r="Z1734" s="16">
        <f>IF(ISERROR(VLOOKUP($A1734,'13. Updated Demand'!A:Z,17,FALSE)),0,VLOOKUP($A1734,'13. Updated Demand'!A:Z,17,FALSE))</f>
        <v>0.05</v>
      </c>
      <c r="AA1734" s="16">
        <f>IF(ISERROR(VLOOKUP($A1734,'13. Updated Demand'!A:Z,18,FALSE)),0,VLOOKUP($A1734,'13. Updated Demand'!A:Z,18,FALSE))</f>
        <v>0.01</v>
      </c>
      <c r="AB1734" s="16">
        <f>IF(ISERROR(VLOOKUP($A1734,'13. Updated Demand'!A:Z,19,FALSE)),0,VLOOKUP($A1734,'13. Updated Demand'!A:Z,19,FALSE))</f>
        <v>0</v>
      </c>
      <c r="AC1734" s="16">
        <f>IF(ISERROR(VLOOKUP($A1734,'13. Updated Demand'!A:Z,20,FALSE)),0,VLOOKUP($A1734,'13. Updated Demand'!A:Z,20,FALSE))</f>
        <v>0</v>
      </c>
      <c r="AD1734" s="16">
        <f>IF(ISERROR(VLOOKUP($A1734,'13. Updated Demand'!A:Z,21,FALSE)),0,VLOOKUP($A1734,'13. Updated Demand'!A:Z,21,FALSE))</f>
        <v>0</v>
      </c>
      <c r="AE1734" s="16">
        <f>IF(ISERROR(VLOOKUP($A1734,'13. Updated Demand'!A:Z,22,FALSE)),0,VLOOKUP($A1734,'13. Updated Demand'!A:Z,22,FALSE))</f>
        <v>0</v>
      </c>
      <c r="AF1734" s="16">
        <f>IF(ISERROR(VLOOKUP($A1734,'13. Updated Demand'!A:Z,23,FALSE)),0,VLOOKUP($A1734,'13. Updated Demand'!A:Z,23,FALSE))</f>
        <v>0</v>
      </c>
      <c r="AG1734" s="16">
        <f>IF(ISERROR(VLOOKUP($A1734,'13. Updated Demand'!A:Z,24,FALSE)),0,VLOOKUP($A1734,'13. Updated Demand'!A:Z,24,FALSE))</f>
        <v>0</v>
      </c>
      <c r="AH1734" s="16">
        <f>IF(ISERROR(VLOOKUP($A1734,'13. Updated Demand'!A:Z,25,FALSE)),0,VLOOKUP($A1734,'13. Updated Demand'!A:Z,25,FALSE))</f>
        <v>0</v>
      </c>
      <c r="AI1734" s="16">
        <f>IF(ISERROR(VLOOKUP($A1734,'13. Updated Demand'!A:Z,26,FALSE)),0,VLOOKUP($A1734,'13. Updated Demand'!A:Z,26,FALSE))</f>
        <v>0</v>
      </c>
      <c r="AJ1734" s="16">
        <f t="shared" si="325"/>
        <v>9.9999999999999992E-2</v>
      </c>
      <c r="AK1734" s="19">
        <v>0</v>
      </c>
      <c r="AL1734" s="16">
        <f t="shared" si="335"/>
        <v>0</v>
      </c>
      <c r="AM1734" s="26">
        <v>1.5510705488928458E-4</v>
      </c>
      <c r="AN1734" s="19">
        <v>644.71600000000001</v>
      </c>
      <c r="AO1734" s="19" t="s">
        <v>1758</v>
      </c>
      <c r="AP1734" s="19">
        <v>0</v>
      </c>
      <c r="AQ1734" s="19" t="s">
        <v>307</v>
      </c>
      <c r="AR1734" s="9" t="s">
        <v>486</v>
      </c>
      <c r="AS1734" s="12">
        <v>0</v>
      </c>
      <c r="AT1734" s="19">
        <v>38.531070069999998</v>
      </c>
      <c r="AU1734" s="19">
        <v>-122.86139924</v>
      </c>
      <c r="AV1734" s="19" t="s">
        <v>1320</v>
      </c>
    </row>
    <row r="1735" spans="1:48" x14ac:dyDescent="0.25">
      <c r="A1735" s="18" t="s">
        <v>2139</v>
      </c>
      <c r="B1735" s="10">
        <v>10000000</v>
      </c>
      <c r="C1735" s="9">
        <v>6</v>
      </c>
      <c r="D1735" s="8" t="str">
        <f t="shared" si="326"/>
        <v>Y</v>
      </c>
      <c r="E1735" s="8" t="str">
        <f t="shared" si="327"/>
        <v>N</v>
      </c>
      <c r="F1735" s="8" t="str">
        <f t="shared" si="328"/>
        <v>Y</v>
      </c>
      <c r="G1735" s="8" t="str">
        <f t="shared" si="329"/>
        <v>Y</v>
      </c>
      <c r="H1735" s="8" t="str">
        <f t="shared" si="330"/>
        <v>Upper</v>
      </c>
      <c r="I1735" s="8" t="str">
        <f t="shared" si="331"/>
        <v>West Fork and Below Lake</v>
      </c>
      <c r="J1735" s="8" t="str">
        <f t="shared" si="332"/>
        <v>Mendocino (d/s of lake)</v>
      </c>
      <c r="K1735" s="8" t="str">
        <f t="shared" si="333"/>
        <v>Riparian</v>
      </c>
      <c r="L1735" s="8">
        <f t="shared" si="334"/>
        <v>1000</v>
      </c>
      <c r="M1735" s="8" t="str">
        <f t="shared" si="336"/>
        <v>-</v>
      </c>
      <c r="N1735" s="10" t="s">
        <v>241</v>
      </c>
      <c r="O1735" s="10" t="s">
        <v>241</v>
      </c>
      <c r="P1735" s="10" t="s">
        <v>242</v>
      </c>
      <c r="Q1735" s="10" t="s">
        <v>242</v>
      </c>
      <c r="R1735" s="10" t="s">
        <v>242</v>
      </c>
      <c r="S1735" s="10" t="s">
        <v>241</v>
      </c>
      <c r="T1735" s="10" t="s">
        <v>242</v>
      </c>
      <c r="U1735" s="10" t="s">
        <v>241</v>
      </c>
      <c r="V1735" s="10" t="s">
        <v>241</v>
      </c>
      <c r="W1735" s="10" t="s">
        <v>242</v>
      </c>
      <c r="X1735" s="15">
        <f>IF(ISERROR(VLOOKUP($A1735,'13. Updated Demand'!A:Z,15,FALSE)),0,VLOOKUP($A1735,'13. Updated Demand'!A:Z,15,FALSE))</f>
        <v>0</v>
      </c>
      <c r="Y1735" s="16">
        <f>IF(ISERROR(VLOOKUP($A1735,'13. Updated Demand'!A:Z,16,FALSE)),0,VLOOKUP($A1735,'13. Updated Demand'!A:Z,16,FALSE))</f>
        <v>0</v>
      </c>
      <c r="Z1735" s="16">
        <f>IF(ISERROR(VLOOKUP($A1735,'13. Updated Demand'!A:Z,17,FALSE)),0,VLOOKUP($A1735,'13. Updated Demand'!A:Z,17,FALSE))</f>
        <v>0</v>
      </c>
      <c r="AA1735" s="16">
        <f>IF(ISERROR(VLOOKUP($A1735,'13. Updated Demand'!A:Z,18,FALSE)),0,VLOOKUP($A1735,'13. Updated Demand'!A:Z,18,FALSE))</f>
        <v>0</v>
      </c>
      <c r="AB1735" s="16">
        <f>IF(ISERROR(VLOOKUP($A1735,'13. Updated Demand'!A:Z,19,FALSE)),0,VLOOKUP($A1735,'13. Updated Demand'!A:Z,19,FALSE))</f>
        <v>0</v>
      </c>
      <c r="AC1735" s="16">
        <f>IF(ISERROR(VLOOKUP($A1735,'13. Updated Demand'!A:Z,20,FALSE)),0,VLOOKUP($A1735,'13. Updated Demand'!A:Z,20,FALSE))</f>
        <v>0</v>
      </c>
      <c r="AD1735" s="16">
        <f>IF(ISERROR(VLOOKUP($A1735,'13. Updated Demand'!A:Z,21,FALSE)),0,VLOOKUP($A1735,'13. Updated Demand'!A:Z,21,FALSE))</f>
        <v>0</v>
      </c>
      <c r="AE1735" s="16">
        <f>IF(ISERROR(VLOOKUP($A1735,'13. Updated Demand'!A:Z,22,FALSE)),0,VLOOKUP($A1735,'13. Updated Demand'!A:Z,22,FALSE))</f>
        <v>0</v>
      </c>
      <c r="AF1735" s="16">
        <f>IF(ISERROR(VLOOKUP($A1735,'13. Updated Demand'!A:Z,23,FALSE)),0,VLOOKUP($A1735,'13. Updated Demand'!A:Z,23,FALSE))</f>
        <v>0</v>
      </c>
      <c r="AG1735" s="16">
        <f>IF(ISERROR(VLOOKUP($A1735,'13. Updated Demand'!A:Z,24,FALSE)),0,VLOOKUP($A1735,'13. Updated Demand'!A:Z,24,FALSE))</f>
        <v>0</v>
      </c>
      <c r="AH1735" s="16">
        <f>IF(ISERROR(VLOOKUP($A1735,'13. Updated Demand'!A:Z,25,FALSE)),0,VLOOKUP($A1735,'13. Updated Demand'!A:Z,25,FALSE))</f>
        <v>0</v>
      </c>
      <c r="AI1735" s="16">
        <f>IF(ISERROR(VLOOKUP($A1735,'13. Updated Demand'!A:Z,26,FALSE)),0,VLOOKUP($A1735,'13. Updated Demand'!A:Z,26,FALSE))</f>
        <v>0</v>
      </c>
      <c r="AJ1735" s="16">
        <f t="shared" si="325"/>
        <v>0</v>
      </c>
      <c r="AK1735" s="19">
        <v>0</v>
      </c>
      <c r="AL1735" s="16">
        <f t="shared" si="335"/>
        <v>0</v>
      </c>
      <c r="AM1735" s="26">
        <v>0</v>
      </c>
      <c r="AN1735" s="19">
        <v>226.375</v>
      </c>
      <c r="AO1735" s="19" t="s">
        <v>1758</v>
      </c>
      <c r="AP1735" s="19">
        <v>0</v>
      </c>
      <c r="AQ1735" s="19" t="s">
        <v>307</v>
      </c>
      <c r="AR1735" s="9" t="s">
        <v>319</v>
      </c>
      <c r="AS1735" s="12">
        <v>0</v>
      </c>
      <c r="AT1735" s="19">
        <v>39.018099999999997</v>
      </c>
      <c r="AU1735" s="19">
        <v>-123.12779999999999</v>
      </c>
      <c r="AV1735" s="19" t="s">
        <v>387</v>
      </c>
    </row>
    <row r="1736" spans="1:48" x14ac:dyDescent="0.25">
      <c r="A1736" s="18" t="s">
        <v>2140</v>
      </c>
      <c r="B1736" s="10">
        <v>10000000</v>
      </c>
      <c r="C1736" s="9">
        <v>6</v>
      </c>
      <c r="D1736" s="8" t="str">
        <f t="shared" si="326"/>
        <v>Y</v>
      </c>
      <c r="E1736" s="8" t="str">
        <f t="shared" si="327"/>
        <v>N</v>
      </c>
      <c r="F1736" s="8" t="str">
        <f t="shared" si="328"/>
        <v>Y</v>
      </c>
      <c r="G1736" s="8" t="str">
        <f t="shared" si="329"/>
        <v>Y</v>
      </c>
      <c r="H1736" s="8" t="str">
        <f t="shared" si="330"/>
        <v>Upper</v>
      </c>
      <c r="I1736" s="8" t="str">
        <f t="shared" si="331"/>
        <v>West Fork and Below Lake</v>
      </c>
      <c r="J1736" s="8" t="str">
        <f t="shared" si="332"/>
        <v>Mendocino (d/s of lake)</v>
      </c>
      <c r="K1736" s="8" t="str">
        <f t="shared" si="333"/>
        <v>Riparian</v>
      </c>
      <c r="L1736" s="8">
        <f t="shared" si="334"/>
        <v>1000</v>
      </c>
      <c r="M1736" s="8" t="str">
        <f t="shared" si="336"/>
        <v>-</v>
      </c>
      <c r="N1736" s="10" t="s">
        <v>241</v>
      </c>
      <c r="O1736" s="10" t="s">
        <v>241</v>
      </c>
      <c r="P1736" s="10" t="s">
        <v>242</v>
      </c>
      <c r="Q1736" s="10" t="s">
        <v>242</v>
      </c>
      <c r="R1736" s="10" t="s">
        <v>242</v>
      </c>
      <c r="S1736" s="10" t="s">
        <v>241</v>
      </c>
      <c r="T1736" s="10" t="s">
        <v>242</v>
      </c>
      <c r="U1736" s="10" t="s">
        <v>241</v>
      </c>
      <c r="V1736" s="10" t="s">
        <v>241</v>
      </c>
      <c r="W1736" s="10" t="s">
        <v>242</v>
      </c>
      <c r="X1736" s="15">
        <f>IF(ISERROR(VLOOKUP($A1736,'13. Updated Demand'!A:Z,15,FALSE)),0,VLOOKUP($A1736,'13. Updated Demand'!A:Z,15,FALSE))</f>
        <v>0</v>
      </c>
      <c r="Y1736" s="16">
        <f>IF(ISERROR(VLOOKUP($A1736,'13. Updated Demand'!A:Z,16,FALSE)),0,VLOOKUP($A1736,'13. Updated Demand'!A:Z,16,FALSE))</f>
        <v>0</v>
      </c>
      <c r="Z1736" s="16">
        <f>IF(ISERROR(VLOOKUP($A1736,'13. Updated Demand'!A:Z,17,FALSE)),0,VLOOKUP($A1736,'13. Updated Demand'!A:Z,17,FALSE))</f>
        <v>0</v>
      </c>
      <c r="AA1736" s="16">
        <f>IF(ISERROR(VLOOKUP($A1736,'13. Updated Demand'!A:Z,18,FALSE)),0,VLOOKUP($A1736,'13. Updated Demand'!A:Z,18,FALSE))</f>
        <v>0</v>
      </c>
      <c r="AB1736" s="16">
        <f>IF(ISERROR(VLOOKUP($A1736,'13. Updated Demand'!A:Z,19,FALSE)),0,VLOOKUP($A1736,'13. Updated Demand'!A:Z,19,FALSE))</f>
        <v>0</v>
      </c>
      <c r="AC1736" s="16">
        <f>IF(ISERROR(VLOOKUP($A1736,'13. Updated Demand'!A:Z,20,FALSE)),0,VLOOKUP($A1736,'13. Updated Demand'!A:Z,20,FALSE))</f>
        <v>0</v>
      </c>
      <c r="AD1736" s="16">
        <f>IF(ISERROR(VLOOKUP($A1736,'13. Updated Demand'!A:Z,21,FALSE)),0,VLOOKUP($A1736,'13. Updated Demand'!A:Z,21,FALSE))</f>
        <v>0</v>
      </c>
      <c r="AE1736" s="16">
        <f>IF(ISERROR(VLOOKUP($A1736,'13. Updated Demand'!A:Z,22,FALSE)),0,VLOOKUP($A1736,'13. Updated Demand'!A:Z,22,FALSE))</f>
        <v>0</v>
      </c>
      <c r="AF1736" s="16">
        <f>IF(ISERROR(VLOOKUP($A1736,'13. Updated Demand'!A:Z,23,FALSE)),0,VLOOKUP($A1736,'13. Updated Demand'!A:Z,23,FALSE))</f>
        <v>0</v>
      </c>
      <c r="AG1736" s="16">
        <f>IF(ISERROR(VLOOKUP($A1736,'13. Updated Demand'!A:Z,24,FALSE)),0,VLOOKUP($A1736,'13. Updated Demand'!A:Z,24,FALSE))</f>
        <v>0</v>
      </c>
      <c r="AH1736" s="16">
        <f>IF(ISERROR(VLOOKUP($A1736,'13. Updated Demand'!A:Z,25,FALSE)),0,VLOOKUP($A1736,'13. Updated Demand'!A:Z,25,FALSE))</f>
        <v>0</v>
      </c>
      <c r="AI1736" s="16">
        <f>IF(ISERROR(VLOOKUP($A1736,'13. Updated Demand'!A:Z,26,FALSE)),0,VLOOKUP($A1736,'13. Updated Demand'!A:Z,26,FALSE))</f>
        <v>0</v>
      </c>
      <c r="AJ1736" s="16">
        <f t="shared" si="325"/>
        <v>0</v>
      </c>
      <c r="AK1736" s="19">
        <v>0</v>
      </c>
      <c r="AL1736" s="16">
        <f t="shared" si="335"/>
        <v>0</v>
      </c>
      <c r="AM1736" s="26">
        <v>0</v>
      </c>
      <c r="AN1736" s="19">
        <v>79.683999999999997</v>
      </c>
      <c r="AO1736" s="19" t="s">
        <v>1758</v>
      </c>
      <c r="AP1736" s="19">
        <v>0</v>
      </c>
      <c r="AQ1736" s="19" t="s">
        <v>307</v>
      </c>
      <c r="AR1736" s="9" t="s">
        <v>319</v>
      </c>
      <c r="AS1736" s="12">
        <v>0</v>
      </c>
      <c r="AT1736" s="19">
        <v>38.986199999999997</v>
      </c>
      <c r="AU1736" s="19">
        <v>-123.1065</v>
      </c>
      <c r="AV1736" s="19" t="s">
        <v>387</v>
      </c>
    </row>
    <row r="1737" spans="1:48" x14ac:dyDescent="0.25">
      <c r="A1737" s="18" t="s">
        <v>2141</v>
      </c>
      <c r="B1737" s="10">
        <v>10000000</v>
      </c>
      <c r="C1737" s="9">
        <v>6</v>
      </c>
      <c r="D1737" s="8" t="str">
        <f t="shared" si="326"/>
        <v>Y</v>
      </c>
      <c r="E1737" s="8" t="str">
        <f t="shared" si="327"/>
        <v>N</v>
      </c>
      <c r="F1737" s="8" t="str">
        <f t="shared" si="328"/>
        <v>Y</v>
      </c>
      <c r="G1737" s="8" t="str">
        <f t="shared" si="329"/>
        <v>Y</v>
      </c>
      <c r="H1737" s="8" t="str">
        <f t="shared" si="330"/>
        <v>Upper</v>
      </c>
      <c r="I1737" s="8" t="str">
        <f t="shared" si="331"/>
        <v>West Fork and Below Lake</v>
      </c>
      <c r="J1737" s="8" t="str">
        <f t="shared" si="332"/>
        <v>Mendocino (d/s of lake)</v>
      </c>
      <c r="K1737" s="8" t="str">
        <f t="shared" si="333"/>
        <v>Riparian</v>
      </c>
      <c r="L1737" s="8">
        <f t="shared" si="334"/>
        <v>1000</v>
      </c>
      <c r="M1737" s="8" t="str">
        <f t="shared" si="336"/>
        <v>-</v>
      </c>
      <c r="N1737" s="10" t="s">
        <v>241</v>
      </c>
      <c r="O1737" s="10" t="s">
        <v>241</v>
      </c>
      <c r="P1737" s="10" t="s">
        <v>242</v>
      </c>
      <c r="Q1737" s="10" t="s">
        <v>242</v>
      </c>
      <c r="R1737" s="10" t="s">
        <v>242</v>
      </c>
      <c r="S1737" s="10" t="s">
        <v>241</v>
      </c>
      <c r="T1737" s="10" t="s">
        <v>242</v>
      </c>
      <c r="U1737" s="10" t="s">
        <v>241</v>
      </c>
      <c r="V1737" s="10" t="s">
        <v>241</v>
      </c>
      <c r="W1737" s="10" t="s">
        <v>242</v>
      </c>
      <c r="X1737" s="15">
        <f>IF(ISERROR(VLOOKUP($A1737,'13. Updated Demand'!A:Z,15,FALSE)),0,VLOOKUP($A1737,'13. Updated Demand'!A:Z,15,FALSE))</f>
        <v>0</v>
      </c>
      <c r="Y1737" s="16">
        <f>IF(ISERROR(VLOOKUP($A1737,'13. Updated Demand'!A:Z,16,FALSE)),0,VLOOKUP($A1737,'13. Updated Demand'!A:Z,16,FALSE))</f>
        <v>0</v>
      </c>
      <c r="Z1737" s="16">
        <f>IF(ISERROR(VLOOKUP($A1737,'13. Updated Demand'!A:Z,17,FALSE)),0,VLOOKUP($A1737,'13. Updated Demand'!A:Z,17,FALSE))</f>
        <v>0</v>
      </c>
      <c r="AA1737" s="16">
        <f>IF(ISERROR(VLOOKUP($A1737,'13. Updated Demand'!A:Z,18,FALSE)),0,VLOOKUP($A1737,'13. Updated Demand'!A:Z,18,FALSE))</f>
        <v>0</v>
      </c>
      <c r="AB1737" s="16">
        <f>IF(ISERROR(VLOOKUP($A1737,'13. Updated Demand'!A:Z,19,FALSE)),0,VLOOKUP($A1737,'13. Updated Demand'!A:Z,19,FALSE))</f>
        <v>0</v>
      </c>
      <c r="AC1737" s="16">
        <f>IF(ISERROR(VLOOKUP($A1737,'13. Updated Demand'!A:Z,20,FALSE)),0,VLOOKUP($A1737,'13. Updated Demand'!A:Z,20,FALSE))</f>
        <v>0</v>
      </c>
      <c r="AD1737" s="16">
        <f>IF(ISERROR(VLOOKUP($A1737,'13. Updated Demand'!A:Z,21,FALSE)),0,VLOOKUP($A1737,'13. Updated Demand'!A:Z,21,FALSE))</f>
        <v>0</v>
      </c>
      <c r="AE1737" s="16">
        <f>IF(ISERROR(VLOOKUP($A1737,'13. Updated Demand'!A:Z,22,FALSE)),0,VLOOKUP($A1737,'13. Updated Demand'!A:Z,22,FALSE))</f>
        <v>0</v>
      </c>
      <c r="AF1737" s="16">
        <f>IF(ISERROR(VLOOKUP($A1737,'13. Updated Demand'!A:Z,23,FALSE)),0,VLOOKUP($A1737,'13. Updated Demand'!A:Z,23,FALSE))</f>
        <v>0</v>
      </c>
      <c r="AG1737" s="16">
        <f>IF(ISERROR(VLOOKUP($A1737,'13. Updated Demand'!A:Z,24,FALSE)),0,VLOOKUP($A1737,'13. Updated Demand'!A:Z,24,FALSE))</f>
        <v>0</v>
      </c>
      <c r="AH1737" s="16">
        <f>IF(ISERROR(VLOOKUP($A1737,'13. Updated Demand'!A:Z,25,FALSE)),0,VLOOKUP($A1737,'13. Updated Demand'!A:Z,25,FALSE))</f>
        <v>0</v>
      </c>
      <c r="AI1737" s="16">
        <f>IF(ISERROR(VLOOKUP($A1737,'13. Updated Demand'!A:Z,26,FALSE)),0,VLOOKUP($A1737,'13. Updated Demand'!A:Z,26,FALSE))</f>
        <v>0</v>
      </c>
      <c r="AJ1737" s="16">
        <f t="shared" si="325"/>
        <v>0</v>
      </c>
      <c r="AK1737" s="19">
        <v>0</v>
      </c>
      <c r="AL1737" s="16">
        <f t="shared" si="335"/>
        <v>0</v>
      </c>
      <c r="AM1737" s="26">
        <v>0</v>
      </c>
      <c r="AN1737" s="19">
        <v>45.274999999999999</v>
      </c>
      <c r="AO1737" s="19" t="s">
        <v>1758</v>
      </c>
      <c r="AP1737" s="19">
        <v>0</v>
      </c>
      <c r="AQ1737" s="19" t="s">
        <v>307</v>
      </c>
      <c r="AR1737" s="9" t="s">
        <v>319</v>
      </c>
      <c r="AS1737" s="12">
        <v>0</v>
      </c>
      <c r="AT1737" s="19">
        <v>38.986199999999997</v>
      </c>
      <c r="AU1737" s="19">
        <v>-123.1066</v>
      </c>
      <c r="AV1737" s="19" t="s">
        <v>387</v>
      </c>
    </row>
    <row r="1738" spans="1:48" x14ac:dyDescent="0.25">
      <c r="A1738" s="18" t="s">
        <v>2142</v>
      </c>
      <c r="B1738" s="10">
        <v>10000000</v>
      </c>
      <c r="C1738" s="9">
        <v>6</v>
      </c>
      <c r="D1738" s="8" t="str">
        <f t="shared" si="326"/>
        <v>Y</v>
      </c>
      <c r="E1738" s="8" t="str">
        <f t="shared" si="327"/>
        <v>N</v>
      </c>
      <c r="F1738" s="8" t="str">
        <f t="shared" si="328"/>
        <v>Y</v>
      </c>
      <c r="G1738" s="8" t="str">
        <f t="shared" si="329"/>
        <v>Y</v>
      </c>
      <c r="H1738" s="8" t="str">
        <f t="shared" si="330"/>
        <v>Upper</v>
      </c>
      <c r="I1738" s="8" t="str">
        <f t="shared" si="331"/>
        <v>West Fork and Below Lake</v>
      </c>
      <c r="J1738" s="8" t="str">
        <f t="shared" si="332"/>
        <v>Mendocino (d/s of lake)</v>
      </c>
      <c r="K1738" s="8" t="str">
        <f t="shared" si="333"/>
        <v>Riparian</v>
      </c>
      <c r="L1738" s="8">
        <f t="shared" si="334"/>
        <v>1000</v>
      </c>
      <c r="M1738" s="8" t="str">
        <f t="shared" si="336"/>
        <v>-</v>
      </c>
      <c r="N1738" s="10" t="s">
        <v>241</v>
      </c>
      <c r="O1738" s="10" t="s">
        <v>241</v>
      </c>
      <c r="P1738" s="10" t="s">
        <v>242</v>
      </c>
      <c r="Q1738" s="10" t="s">
        <v>242</v>
      </c>
      <c r="R1738" s="10" t="s">
        <v>242</v>
      </c>
      <c r="S1738" s="10" t="s">
        <v>241</v>
      </c>
      <c r="T1738" s="10" t="s">
        <v>242</v>
      </c>
      <c r="U1738" s="10" t="s">
        <v>241</v>
      </c>
      <c r="V1738" s="10" t="s">
        <v>241</v>
      </c>
      <c r="W1738" s="10" t="s">
        <v>242</v>
      </c>
      <c r="X1738" s="15">
        <f>IF(ISERROR(VLOOKUP($A1738,'13. Updated Demand'!A:Z,15,FALSE)),0,VLOOKUP($A1738,'13. Updated Demand'!A:Z,15,FALSE))</f>
        <v>0</v>
      </c>
      <c r="Y1738" s="16">
        <f>IF(ISERROR(VLOOKUP($A1738,'13. Updated Demand'!A:Z,16,FALSE)),0,VLOOKUP($A1738,'13. Updated Demand'!A:Z,16,FALSE))</f>
        <v>0</v>
      </c>
      <c r="Z1738" s="16">
        <f>IF(ISERROR(VLOOKUP($A1738,'13. Updated Demand'!A:Z,17,FALSE)),0,VLOOKUP($A1738,'13. Updated Demand'!A:Z,17,FALSE))</f>
        <v>0</v>
      </c>
      <c r="AA1738" s="16">
        <f>IF(ISERROR(VLOOKUP($A1738,'13. Updated Demand'!A:Z,18,FALSE)),0,VLOOKUP($A1738,'13. Updated Demand'!A:Z,18,FALSE))</f>
        <v>0</v>
      </c>
      <c r="AB1738" s="16">
        <f>IF(ISERROR(VLOOKUP($A1738,'13. Updated Demand'!A:Z,19,FALSE)),0,VLOOKUP($A1738,'13. Updated Demand'!A:Z,19,FALSE))</f>
        <v>0</v>
      </c>
      <c r="AC1738" s="16">
        <f>IF(ISERROR(VLOOKUP($A1738,'13. Updated Demand'!A:Z,20,FALSE)),0,VLOOKUP($A1738,'13. Updated Demand'!A:Z,20,FALSE))</f>
        <v>0</v>
      </c>
      <c r="AD1738" s="16">
        <f>IF(ISERROR(VLOOKUP($A1738,'13. Updated Demand'!A:Z,21,FALSE)),0,VLOOKUP($A1738,'13. Updated Demand'!A:Z,21,FALSE))</f>
        <v>0</v>
      </c>
      <c r="AE1738" s="16">
        <f>IF(ISERROR(VLOOKUP($A1738,'13. Updated Demand'!A:Z,22,FALSE)),0,VLOOKUP($A1738,'13. Updated Demand'!A:Z,22,FALSE))</f>
        <v>0</v>
      </c>
      <c r="AF1738" s="16">
        <f>IF(ISERROR(VLOOKUP($A1738,'13. Updated Demand'!A:Z,23,FALSE)),0,VLOOKUP($A1738,'13. Updated Demand'!A:Z,23,FALSE))</f>
        <v>0</v>
      </c>
      <c r="AG1738" s="16">
        <f>IF(ISERROR(VLOOKUP($A1738,'13. Updated Demand'!A:Z,24,FALSE)),0,VLOOKUP($A1738,'13. Updated Demand'!A:Z,24,FALSE))</f>
        <v>0</v>
      </c>
      <c r="AH1738" s="16">
        <f>IF(ISERROR(VLOOKUP($A1738,'13. Updated Demand'!A:Z,25,FALSE)),0,VLOOKUP($A1738,'13. Updated Demand'!A:Z,25,FALSE))</f>
        <v>0</v>
      </c>
      <c r="AI1738" s="16">
        <f>IF(ISERROR(VLOOKUP($A1738,'13. Updated Demand'!A:Z,26,FALSE)),0,VLOOKUP($A1738,'13. Updated Demand'!A:Z,26,FALSE))</f>
        <v>0</v>
      </c>
      <c r="AJ1738" s="16">
        <f t="shared" si="325"/>
        <v>0</v>
      </c>
      <c r="AK1738" s="19">
        <v>0</v>
      </c>
      <c r="AL1738" s="16">
        <f t="shared" si="335"/>
        <v>0</v>
      </c>
      <c r="AM1738" s="26">
        <v>0</v>
      </c>
      <c r="AN1738" s="19">
        <v>1615.412</v>
      </c>
      <c r="AO1738" s="19" t="s">
        <v>1758</v>
      </c>
      <c r="AP1738" s="19">
        <v>0</v>
      </c>
      <c r="AQ1738" s="19" t="s">
        <v>307</v>
      </c>
      <c r="AR1738" s="9" t="s">
        <v>319</v>
      </c>
      <c r="AS1738" s="12">
        <v>0</v>
      </c>
      <c r="AT1738" s="19">
        <v>39.021700000000003</v>
      </c>
      <c r="AU1738" s="19">
        <v>-123.1301</v>
      </c>
      <c r="AV1738" s="19" t="s">
        <v>387</v>
      </c>
    </row>
    <row r="1739" spans="1:48" x14ac:dyDescent="0.25">
      <c r="A1739" s="18" t="s">
        <v>2143</v>
      </c>
      <c r="B1739" s="10">
        <v>10000000</v>
      </c>
      <c r="C1739" s="9">
        <v>15</v>
      </c>
      <c r="D1739" s="8" t="str">
        <f t="shared" si="326"/>
        <v>N</v>
      </c>
      <c r="E1739" s="8" t="str">
        <f t="shared" si="327"/>
        <v>N</v>
      </c>
      <c r="F1739" s="8" t="str">
        <f t="shared" si="328"/>
        <v>N</v>
      </c>
      <c r="G1739" s="8" t="str">
        <f t="shared" si="329"/>
        <v>N</v>
      </c>
      <c r="H1739" s="8" t="str">
        <f t="shared" si="330"/>
        <v>Lower</v>
      </c>
      <c r="I1739" s="8" t="str">
        <f t="shared" si="331"/>
        <v>Outside</v>
      </c>
      <c r="J1739" s="8" t="str">
        <f t="shared" si="332"/>
        <v>Outside</v>
      </c>
      <c r="K1739" s="8" t="str">
        <f t="shared" si="333"/>
        <v>Riparian</v>
      </c>
      <c r="L1739" s="8">
        <f t="shared" si="334"/>
        <v>1000</v>
      </c>
      <c r="M1739" s="8" t="str">
        <f t="shared" si="336"/>
        <v>-</v>
      </c>
      <c r="N1739" s="10" t="s">
        <v>242</v>
      </c>
      <c r="O1739" s="10" t="s">
        <v>242</v>
      </c>
      <c r="P1739" s="10" t="s">
        <v>242</v>
      </c>
      <c r="Q1739" s="10" t="s">
        <v>242</v>
      </c>
      <c r="R1739" s="10" t="s">
        <v>242</v>
      </c>
      <c r="S1739" s="10" t="s">
        <v>241</v>
      </c>
      <c r="T1739" s="10" t="s">
        <v>242</v>
      </c>
      <c r="U1739" s="10" t="s">
        <v>242</v>
      </c>
      <c r="V1739" s="10" t="s">
        <v>242</v>
      </c>
      <c r="W1739" s="10" t="s">
        <v>242</v>
      </c>
      <c r="X1739" s="15">
        <f>IF(ISERROR(VLOOKUP($A1739,'13. Updated Demand'!A:Z,15,FALSE)),0,VLOOKUP($A1739,'13. Updated Demand'!A:Z,15,FALSE))</f>
        <v>0</v>
      </c>
      <c r="Y1739" s="16">
        <f>IF(ISERROR(VLOOKUP($A1739,'13. Updated Demand'!A:Z,16,FALSE)),0,VLOOKUP($A1739,'13. Updated Demand'!A:Z,16,FALSE))</f>
        <v>0</v>
      </c>
      <c r="Z1739" s="16">
        <f>IF(ISERROR(VLOOKUP($A1739,'13. Updated Demand'!A:Z,17,FALSE)),0,VLOOKUP($A1739,'13. Updated Demand'!A:Z,17,FALSE))</f>
        <v>0.41666666699999999</v>
      </c>
      <c r="AA1739" s="16">
        <f>IF(ISERROR(VLOOKUP($A1739,'13. Updated Demand'!A:Z,18,FALSE)),0,VLOOKUP($A1739,'13. Updated Demand'!A:Z,18,FALSE))</f>
        <v>0.16666666699999999</v>
      </c>
      <c r="AB1739" s="16">
        <f>IF(ISERROR(VLOOKUP($A1739,'13. Updated Demand'!A:Z,19,FALSE)),0,VLOOKUP($A1739,'13. Updated Demand'!A:Z,19,FALSE))</f>
        <v>8.3333332999999996E-2</v>
      </c>
      <c r="AC1739" s="16">
        <f>IF(ISERROR(VLOOKUP($A1739,'13. Updated Demand'!A:Z,20,FALSE)),0,VLOOKUP($A1739,'13. Updated Demand'!A:Z,20,FALSE))</f>
        <v>1.1666666670000001</v>
      </c>
      <c r="AD1739" s="16">
        <f>IF(ISERROR(VLOOKUP($A1739,'13. Updated Demand'!A:Z,21,FALSE)),0,VLOOKUP($A1739,'13. Updated Demand'!A:Z,21,FALSE))</f>
        <v>1.5833333329999999</v>
      </c>
      <c r="AE1739" s="16">
        <f>IF(ISERROR(VLOOKUP($A1739,'13. Updated Demand'!A:Z,22,FALSE)),0,VLOOKUP($A1739,'13. Updated Demand'!A:Z,22,FALSE))</f>
        <v>2</v>
      </c>
      <c r="AF1739" s="16">
        <f>IF(ISERROR(VLOOKUP($A1739,'13. Updated Demand'!A:Z,23,FALSE)),0,VLOOKUP($A1739,'13. Updated Demand'!A:Z,23,FALSE))</f>
        <v>2.5</v>
      </c>
      <c r="AG1739" s="16">
        <f>IF(ISERROR(VLOOKUP($A1739,'13. Updated Demand'!A:Z,24,FALSE)),0,VLOOKUP($A1739,'13. Updated Demand'!A:Z,24,FALSE))</f>
        <v>2.0666666669999998</v>
      </c>
      <c r="AH1739" s="16">
        <f>IF(ISERROR(VLOOKUP($A1739,'13. Updated Demand'!A:Z,25,FALSE)),0,VLOOKUP($A1739,'13. Updated Demand'!A:Z,25,FALSE))</f>
        <v>8.3333332999999996E-2</v>
      </c>
      <c r="AI1739" s="16">
        <f>IF(ISERROR(VLOOKUP($A1739,'13. Updated Demand'!A:Z,26,FALSE)),0,VLOOKUP($A1739,'13. Updated Demand'!A:Z,26,FALSE))</f>
        <v>0</v>
      </c>
      <c r="AJ1739" s="16">
        <f t="shared" si="325"/>
        <v>10.066666667000002</v>
      </c>
      <c r="AK1739" s="19">
        <v>7.3333333329999997</v>
      </c>
      <c r="AL1739" s="16">
        <f t="shared" si="335"/>
        <v>2.432383132039477E-2</v>
      </c>
      <c r="AM1739" s="26">
        <v>7.3549109863374014</v>
      </c>
      <c r="AN1739" s="19">
        <v>1.3687</v>
      </c>
      <c r="AO1739" s="19" t="s">
        <v>1758</v>
      </c>
      <c r="AP1739" s="19">
        <v>0</v>
      </c>
      <c r="AQ1739" s="19" t="s">
        <v>307</v>
      </c>
      <c r="AR1739" s="9" t="s">
        <v>489</v>
      </c>
      <c r="AS1739" s="12">
        <v>0</v>
      </c>
      <c r="AT1739" s="19">
        <v>38.689700000000002</v>
      </c>
      <c r="AU1739" s="19">
        <v>-122.9569</v>
      </c>
      <c r="AV1739" s="19" t="s">
        <v>932</v>
      </c>
    </row>
    <row r="1740" spans="1:48" x14ac:dyDescent="0.25">
      <c r="A1740" s="18" t="s">
        <v>2144</v>
      </c>
      <c r="B1740" s="10">
        <v>10000000</v>
      </c>
      <c r="C1740" s="9">
        <v>10</v>
      </c>
      <c r="D1740" s="8" t="str">
        <f t="shared" si="326"/>
        <v>N</v>
      </c>
      <c r="E1740" s="8" t="str">
        <f t="shared" si="327"/>
        <v>Y</v>
      </c>
      <c r="F1740" s="8" t="str">
        <f t="shared" si="328"/>
        <v>Y</v>
      </c>
      <c r="G1740" s="8" t="str">
        <f t="shared" si="329"/>
        <v>Y</v>
      </c>
      <c r="H1740" s="8" t="str">
        <f t="shared" si="330"/>
        <v>Upper</v>
      </c>
      <c r="I1740" s="8" t="str">
        <f t="shared" si="331"/>
        <v>West Fork and Below Lake</v>
      </c>
      <c r="J1740" s="8" t="str">
        <f t="shared" si="332"/>
        <v>Sonoma (d/s of Clov. Gage)</v>
      </c>
      <c r="K1740" s="8" t="str">
        <f t="shared" si="333"/>
        <v>Riparian</v>
      </c>
      <c r="L1740" s="8">
        <f t="shared" si="334"/>
        <v>1000</v>
      </c>
      <c r="M1740" s="8" t="str">
        <f t="shared" si="336"/>
        <v>-</v>
      </c>
      <c r="N1740" s="10" t="s">
        <v>241</v>
      </c>
      <c r="O1740" s="10" t="s">
        <v>241</v>
      </c>
      <c r="P1740" s="10" t="s">
        <v>242</v>
      </c>
      <c r="Q1740" s="10" t="s">
        <v>242</v>
      </c>
      <c r="R1740" s="10" t="s">
        <v>242</v>
      </c>
      <c r="S1740" s="10" t="s">
        <v>241</v>
      </c>
      <c r="T1740" s="10" t="s">
        <v>242</v>
      </c>
      <c r="U1740" s="10" t="s">
        <v>241</v>
      </c>
      <c r="V1740" s="10" t="s">
        <v>241</v>
      </c>
      <c r="W1740" s="10" t="s">
        <v>242</v>
      </c>
      <c r="X1740" s="15">
        <f>IF(ISERROR(VLOOKUP($A1740,'13. Updated Demand'!A:Z,15,FALSE)),0,VLOOKUP($A1740,'13. Updated Demand'!A:Z,15,FALSE))</f>
        <v>0</v>
      </c>
      <c r="Y1740" s="16">
        <f>IF(ISERROR(VLOOKUP($A1740,'13. Updated Demand'!A:Z,16,FALSE)),0,VLOOKUP($A1740,'13. Updated Demand'!A:Z,16,FALSE))</f>
        <v>0</v>
      </c>
      <c r="Z1740" s="16">
        <f>IF(ISERROR(VLOOKUP($A1740,'13. Updated Demand'!A:Z,17,FALSE)),0,VLOOKUP($A1740,'13. Updated Demand'!A:Z,17,FALSE))</f>
        <v>0</v>
      </c>
      <c r="AA1740" s="16">
        <f>IF(ISERROR(VLOOKUP($A1740,'13. Updated Demand'!A:Z,18,FALSE)),0,VLOOKUP($A1740,'13. Updated Demand'!A:Z,18,FALSE))</f>
        <v>0</v>
      </c>
      <c r="AB1740" s="16">
        <f>IF(ISERROR(VLOOKUP($A1740,'13. Updated Demand'!A:Z,19,FALSE)),0,VLOOKUP($A1740,'13. Updated Demand'!A:Z,19,FALSE))</f>
        <v>0</v>
      </c>
      <c r="AC1740" s="16">
        <f>IF(ISERROR(VLOOKUP($A1740,'13. Updated Demand'!A:Z,20,FALSE)),0,VLOOKUP($A1740,'13. Updated Demand'!A:Z,20,FALSE))</f>
        <v>0</v>
      </c>
      <c r="AD1740" s="16">
        <f>IF(ISERROR(VLOOKUP($A1740,'13. Updated Demand'!A:Z,21,FALSE)),0,VLOOKUP($A1740,'13. Updated Demand'!A:Z,21,FALSE))</f>
        <v>0</v>
      </c>
      <c r="AE1740" s="16">
        <f>IF(ISERROR(VLOOKUP($A1740,'13. Updated Demand'!A:Z,22,FALSE)),0,VLOOKUP($A1740,'13. Updated Demand'!A:Z,22,FALSE))</f>
        <v>0</v>
      </c>
      <c r="AF1740" s="16">
        <f>IF(ISERROR(VLOOKUP($A1740,'13. Updated Demand'!A:Z,23,FALSE)),0,VLOOKUP($A1740,'13. Updated Demand'!A:Z,23,FALSE))</f>
        <v>0</v>
      </c>
      <c r="AG1740" s="16">
        <f>IF(ISERROR(VLOOKUP($A1740,'13. Updated Demand'!A:Z,24,FALSE)),0,VLOOKUP($A1740,'13. Updated Demand'!A:Z,24,FALSE))</f>
        <v>0</v>
      </c>
      <c r="AH1740" s="16">
        <f>IF(ISERROR(VLOOKUP($A1740,'13. Updated Demand'!A:Z,25,FALSE)),0,VLOOKUP($A1740,'13. Updated Demand'!A:Z,25,FALSE))</f>
        <v>0</v>
      </c>
      <c r="AI1740" s="16">
        <f>IF(ISERROR(VLOOKUP($A1740,'13. Updated Demand'!A:Z,26,FALSE)),0,VLOOKUP($A1740,'13. Updated Demand'!A:Z,26,FALSE))</f>
        <v>0</v>
      </c>
      <c r="AJ1740" s="16">
        <f t="shared" si="325"/>
        <v>0</v>
      </c>
      <c r="AK1740" s="19">
        <v>0</v>
      </c>
      <c r="AL1740" s="16">
        <f t="shared" si="335"/>
        <v>0</v>
      </c>
      <c r="AM1740" s="26">
        <v>0</v>
      </c>
      <c r="AN1740" s="19">
        <v>2028.32</v>
      </c>
      <c r="AO1740" s="19" t="s">
        <v>1758</v>
      </c>
      <c r="AP1740" s="19">
        <v>0</v>
      </c>
      <c r="AQ1740" s="19" t="s">
        <v>307</v>
      </c>
      <c r="AR1740" s="9" t="s">
        <v>436</v>
      </c>
      <c r="AS1740" s="12">
        <v>0</v>
      </c>
      <c r="AT1740" s="19">
        <v>38.671619649999997</v>
      </c>
      <c r="AU1740" s="19">
        <v>-122.83017116000001</v>
      </c>
      <c r="AV1740" s="19" t="s">
        <v>2145</v>
      </c>
    </row>
    <row r="1741" spans="1:48" x14ac:dyDescent="0.25">
      <c r="A1741" s="18" t="s">
        <v>2146</v>
      </c>
      <c r="B1741" s="10">
        <v>10000000</v>
      </c>
      <c r="C1741" s="9">
        <v>4</v>
      </c>
      <c r="D1741" s="8" t="str">
        <f t="shared" si="326"/>
        <v>Y</v>
      </c>
      <c r="E1741" s="8" t="str">
        <f t="shared" si="327"/>
        <v>N</v>
      </c>
      <c r="F1741" s="8" t="str">
        <f t="shared" si="328"/>
        <v>Y</v>
      </c>
      <c r="G1741" s="8" t="str">
        <f t="shared" si="329"/>
        <v>Y</v>
      </c>
      <c r="H1741" s="8" t="str">
        <f t="shared" si="330"/>
        <v>Upper</v>
      </c>
      <c r="I1741" s="8" t="str">
        <f t="shared" si="331"/>
        <v>West Fork and Below Lake</v>
      </c>
      <c r="J1741" s="8" t="str">
        <f t="shared" si="332"/>
        <v>Mendocino (d/s of lake)</v>
      </c>
      <c r="K1741" s="8" t="str">
        <f t="shared" si="333"/>
        <v>Riparian</v>
      </c>
      <c r="L1741" s="8">
        <f t="shared" si="334"/>
        <v>1000</v>
      </c>
      <c r="M1741" s="8" t="str">
        <f t="shared" si="336"/>
        <v>-</v>
      </c>
      <c r="N1741" s="10" t="s">
        <v>241</v>
      </c>
      <c r="O1741" s="10" t="s">
        <v>241</v>
      </c>
      <c r="P1741" s="10" t="s">
        <v>242</v>
      </c>
      <c r="Q1741" s="10" t="s">
        <v>242</v>
      </c>
      <c r="R1741" s="10" t="s">
        <v>242</v>
      </c>
      <c r="S1741" s="10" t="s">
        <v>241</v>
      </c>
      <c r="T1741" s="10" t="s">
        <v>241</v>
      </c>
      <c r="U1741" s="10" t="s">
        <v>241</v>
      </c>
      <c r="V1741" s="10" t="s">
        <v>241</v>
      </c>
      <c r="W1741" s="10" t="s">
        <v>242</v>
      </c>
      <c r="X1741" s="15">
        <f>IF(ISERROR(VLOOKUP($A1741,'13. Updated Demand'!A:Z,15,FALSE)),0,VLOOKUP($A1741,'13. Updated Demand'!A:Z,15,FALSE))</f>
        <v>0</v>
      </c>
      <c r="Y1741" s="16">
        <f>IF(ISERROR(VLOOKUP($A1741,'13. Updated Demand'!A:Z,16,FALSE)),0,VLOOKUP($A1741,'13. Updated Demand'!A:Z,16,FALSE))</f>
        <v>0</v>
      </c>
      <c r="Z1741" s="16">
        <f>IF(ISERROR(VLOOKUP($A1741,'13. Updated Demand'!A:Z,17,FALSE)),0,VLOOKUP($A1741,'13. Updated Demand'!A:Z,17,FALSE))</f>
        <v>0</v>
      </c>
      <c r="AA1741" s="16">
        <f>IF(ISERROR(VLOOKUP($A1741,'13. Updated Demand'!A:Z,18,FALSE)),0,VLOOKUP($A1741,'13. Updated Demand'!A:Z,18,FALSE))</f>
        <v>0</v>
      </c>
      <c r="AB1741" s="16">
        <f>IF(ISERROR(VLOOKUP($A1741,'13. Updated Demand'!A:Z,19,FALSE)),0,VLOOKUP($A1741,'13. Updated Demand'!A:Z,19,FALSE))</f>
        <v>0</v>
      </c>
      <c r="AC1741" s="16">
        <f>IF(ISERROR(VLOOKUP($A1741,'13. Updated Demand'!A:Z,20,FALSE)),0,VLOOKUP($A1741,'13. Updated Demand'!A:Z,20,FALSE))</f>
        <v>0</v>
      </c>
      <c r="AD1741" s="16">
        <f>IF(ISERROR(VLOOKUP($A1741,'13. Updated Demand'!A:Z,21,FALSE)),0,VLOOKUP($A1741,'13. Updated Demand'!A:Z,21,FALSE))</f>
        <v>0</v>
      </c>
      <c r="AE1741" s="16">
        <f>IF(ISERROR(VLOOKUP($A1741,'13. Updated Demand'!A:Z,22,FALSE)),0,VLOOKUP($A1741,'13. Updated Demand'!A:Z,22,FALSE))</f>
        <v>0</v>
      </c>
      <c r="AF1741" s="16">
        <f>IF(ISERROR(VLOOKUP($A1741,'13. Updated Demand'!A:Z,23,FALSE)),0,VLOOKUP($A1741,'13. Updated Demand'!A:Z,23,FALSE))</f>
        <v>0</v>
      </c>
      <c r="AG1741" s="16">
        <f>IF(ISERROR(VLOOKUP($A1741,'13. Updated Demand'!A:Z,24,FALSE)),0,VLOOKUP($A1741,'13. Updated Demand'!A:Z,24,FALSE))</f>
        <v>0</v>
      </c>
      <c r="AH1741" s="16">
        <f>IF(ISERROR(VLOOKUP($A1741,'13. Updated Demand'!A:Z,25,FALSE)),0,VLOOKUP($A1741,'13. Updated Demand'!A:Z,25,FALSE))</f>
        <v>0</v>
      </c>
      <c r="AI1741" s="16">
        <f>IF(ISERROR(VLOOKUP($A1741,'13. Updated Demand'!A:Z,26,FALSE)),0,VLOOKUP($A1741,'13. Updated Demand'!A:Z,26,FALSE))</f>
        <v>0</v>
      </c>
      <c r="AJ1741" s="16">
        <f t="shared" si="325"/>
        <v>0</v>
      </c>
      <c r="AK1741" s="19">
        <v>0</v>
      </c>
      <c r="AL1741" s="16">
        <f t="shared" si="335"/>
        <v>0</v>
      </c>
      <c r="AM1741" s="26">
        <v>0</v>
      </c>
      <c r="AN1741" s="19">
        <v>1006.9160000000001</v>
      </c>
      <c r="AO1741" s="19" t="s">
        <v>1758</v>
      </c>
      <c r="AP1741" s="19">
        <v>0</v>
      </c>
      <c r="AQ1741" s="19" t="s">
        <v>307</v>
      </c>
      <c r="AR1741" s="9" t="s">
        <v>331</v>
      </c>
      <c r="AS1741" s="12">
        <v>0</v>
      </c>
      <c r="AT1741" s="19">
        <v>39.157991150000001</v>
      </c>
      <c r="AU1741" s="19">
        <v>-123.18750891000001</v>
      </c>
      <c r="AV1741" s="19" t="s">
        <v>387</v>
      </c>
    </row>
    <row r="1742" spans="1:48" x14ac:dyDescent="0.25">
      <c r="A1742" s="18" t="s">
        <v>2147</v>
      </c>
      <c r="B1742" s="10">
        <v>10000000</v>
      </c>
      <c r="C1742" s="9">
        <v>8</v>
      </c>
      <c r="D1742" s="8" t="str">
        <f t="shared" si="326"/>
        <v>N</v>
      </c>
      <c r="E1742" s="8" t="str">
        <f t="shared" si="327"/>
        <v>Y</v>
      </c>
      <c r="F1742" s="8" t="str">
        <f t="shared" si="328"/>
        <v>Y</v>
      </c>
      <c r="G1742" s="8" t="str">
        <f t="shared" si="329"/>
        <v>Y</v>
      </c>
      <c r="H1742" s="8" t="str">
        <f t="shared" si="330"/>
        <v>Upper</v>
      </c>
      <c r="I1742" s="8" t="str">
        <f t="shared" si="331"/>
        <v>West Fork and Below Lake</v>
      </c>
      <c r="J1742" s="8" t="str">
        <f t="shared" si="332"/>
        <v>Sonoma (d/s of Clov. Gage)</v>
      </c>
      <c r="K1742" s="8" t="str">
        <f t="shared" si="333"/>
        <v>Riparian</v>
      </c>
      <c r="L1742" s="8">
        <f t="shared" si="334"/>
        <v>1000</v>
      </c>
      <c r="M1742" s="8" t="str">
        <f t="shared" si="336"/>
        <v>-</v>
      </c>
      <c r="N1742" s="10" t="s">
        <v>242</v>
      </c>
      <c r="O1742" s="10" t="s">
        <v>241</v>
      </c>
      <c r="P1742" s="10" t="s">
        <v>242</v>
      </c>
      <c r="Q1742" s="10" t="s">
        <v>242</v>
      </c>
      <c r="R1742" s="10" t="s">
        <v>242</v>
      </c>
      <c r="S1742" s="10" t="s">
        <v>241</v>
      </c>
      <c r="T1742" s="10" t="s">
        <v>242</v>
      </c>
      <c r="U1742" s="10" t="s">
        <v>241</v>
      </c>
      <c r="V1742" s="10" t="s">
        <v>241</v>
      </c>
      <c r="W1742" s="10" t="s">
        <v>242</v>
      </c>
      <c r="X1742" s="15">
        <f>IF(ISERROR(VLOOKUP($A1742,'13. Updated Demand'!A:Z,15,FALSE)),0,VLOOKUP($A1742,'13. Updated Demand'!A:Z,15,FALSE))</f>
        <v>0</v>
      </c>
      <c r="Y1742" s="16">
        <f>IF(ISERROR(VLOOKUP($A1742,'13. Updated Demand'!A:Z,16,FALSE)),0,VLOOKUP($A1742,'13. Updated Demand'!A:Z,16,FALSE))</f>
        <v>0</v>
      </c>
      <c r="Z1742" s="16">
        <f>IF(ISERROR(VLOOKUP($A1742,'13. Updated Demand'!A:Z,17,FALSE)),0,VLOOKUP($A1742,'13. Updated Demand'!A:Z,17,FALSE))</f>
        <v>0</v>
      </c>
      <c r="AA1742" s="16">
        <f>IF(ISERROR(VLOOKUP($A1742,'13. Updated Demand'!A:Z,18,FALSE)),0,VLOOKUP($A1742,'13. Updated Demand'!A:Z,18,FALSE))</f>
        <v>0</v>
      </c>
      <c r="AB1742" s="16">
        <f>IF(ISERROR(VLOOKUP($A1742,'13. Updated Demand'!A:Z,19,FALSE)),0,VLOOKUP($A1742,'13. Updated Demand'!A:Z,19,FALSE))</f>
        <v>0</v>
      </c>
      <c r="AC1742" s="16">
        <f>IF(ISERROR(VLOOKUP($A1742,'13. Updated Demand'!A:Z,20,FALSE)),0,VLOOKUP($A1742,'13. Updated Demand'!A:Z,20,FALSE))</f>
        <v>0</v>
      </c>
      <c r="AD1742" s="16">
        <f>IF(ISERROR(VLOOKUP($A1742,'13. Updated Demand'!A:Z,21,FALSE)),0,VLOOKUP($A1742,'13. Updated Demand'!A:Z,21,FALSE))</f>
        <v>0</v>
      </c>
      <c r="AE1742" s="16">
        <f>IF(ISERROR(VLOOKUP($A1742,'13. Updated Demand'!A:Z,22,FALSE)),0,VLOOKUP($A1742,'13. Updated Demand'!A:Z,22,FALSE))</f>
        <v>0</v>
      </c>
      <c r="AF1742" s="16">
        <f>IF(ISERROR(VLOOKUP($A1742,'13. Updated Demand'!A:Z,23,FALSE)),0,VLOOKUP($A1742,'13. Updated Demand'!A:Z,23,FALSE))</f>
        <v>0</v>
      </c>
      <c r="AG1742" s="16">
        <f>IF(ISERROR(VLOOKUP($A1742,'13. Updated Demand'!A:Z,24,FALSE)),0,VLOOKUP($A1742,'13. Updated Demand'!A:Z,24,FALSE))</f>
        <v>0</v>
      </c>
      <c r="AH1742" s="16">
        <f>IF(ISERROR(VLOOKUP($A1742,'13. Updated Demand'!A:Z,25,FALSE)),0,VLOOKUP($A1742,'13. Updated Demand'!A:Z,25,FALSE))</f>
        <v>0</v>
      </c>
      <c r="AI1742" s="16">
        <f>IF(ISERROR(VLOOKUP($A1742,'13. Updated Demand'!A:Z,26,FALSE)),0,VLOOKUP($A1742,'13. Updated Demand'!A:Z,26,FALSE))</f>
        <v>0</v>
      </c>
      <c r="AJ1742" s="16">
        <f t="shared" si="325"/>
        <v>0</v>
      </c>
      <c r="AK1742" s="19">
        <v>0</v>
      </c>
      <c r="AL1742" s="16">
        <f t="shared" si="335"/>
        <v>0</v>
      </c>
      <c r="AM1742" s="26">
        <v>0</v>
      </c>
      <c r="AN1742" s="19">
        <v>25.353999999999999</v>
      </c>
      <c r="AO1742" s="19" t="s">
        <v>1758</v>
      </c>
      <c r="AP1742" s="19">
        <v>0</v>
      </c>
      <c r="AQ1742" s="19" t="s">
        <v>307</v>
      </c>
      <c r="AR1742" s="9" t="s">
        <v>409</v>
      </c>
      <c r="AS1742" s="12">
        <v>3.4039024194010059E-4</v>
      </c>
      <c r="AT1742" s="19">
        <v>38.817999999999998</v>
      </c>
      <c r="AU1742" s="19">
        <v>-122.9512</v>
      </c>
      <c r="AV1742" s="19" t="s">
        <v>871</v>
      </c>
    </row>
    <row r="1743" spans="1:48" x14ac:dyDescent="0.25">
      <c r="A1743" s="18" t="s">
        <v>2148</v>
      </c>
      <c r="B1743" s="10">
        <v>10000000</v>
      </c>
      <c r="C1743" s="9">
        <v>4</v>
      </c>
      <c r="D1743" s="8" t="str">
        <f t="shared" si="326"/>
        <v>Y</v>
      </c>
      <c r="E1743" s="8" t="str">
        <f t="shared" si="327"/>
        <v>N</v>
      </c>
      <c r="F1743" s="8" t="str">
        <f t="shared" si="328"/>
        <v>Y</v>
      </c>
      <c r="G1743" s="8" t="str">
        <f t="shared" si="329"/>
        <v>Y</v>
      </c>
      <c r="H1743" s="8" t="str">
        <f t="shared" si="330"/>
        <v>Upper</v>
      </c>
      <c r="I1743" s="8" t="str">
        <f t="shared" si="331"/>
        <v>West Fork and Below Lake</v>
      </c>
      <c r="J1743" s="8" t="str">
        <f t="shared" si="332"/>
        <v>Mendocino (d/s of lake)</v>
      </c>
      <c r="K1743" s="8" t="str">
        <f t="shared" si="333"/>
        <v>Riparian</v>
      </c>
      <c r="L1743" s="8">
        <f t="shared" si="334"/>
        <v>1000</v>
      </c>
      <c r="M1743" s="8" t="str">
        <f t="shared" si="336"/>
        <v>-</v>
      </c>
      <c r="N1743" s="10" t="s">
        <v>242</v>
      </c>
      <c r="O1743" s="10" t="s">
        <v>241</v>
      </c>
      <c r="P1743" s="10" t="s">
        <v>242</v>
      </c>
      <c r="Q1743" s="10" t="s">
        <v>242</v>
      </c>
      <c r="R1743" s="10" t="s">
        <v>242</v>
      </c>
      <c r="S1743" s="10" t="s">
        <v>241</v>
      </c>
      <c r="T1743" s="10" t="s">
        <v>242</v>
      </c>
      <c r="U1743" s="10" t="s">
        <v>242</v>
      </c>
      <c r="V1743" s="10" t="s">
        <v>242</v>
      </c>
      <c r="W1743" s="10" t="s">
        <v>242</v>
      </c>
      <c r="X1743" s="15">
        <f>IF(ISERROR(VLOOKUP($A1743,'13. Updated Demand'!A:Z,15,FALSE)),0,VLOOKUP($A1743,'13. Updated Demand'!A:Z,15,FALSE))</f>
        <v>0</v>
      </c>
      <c r="Y1743" s="16">
        <f>IF(ISERROR(VLOOKUP($A1743,'13. Updated Demand'!A:Z,16,FALSE)),0,VLOOKUP($A1743,'13. Updated Demand'!A:Z,16,FALSE))</f>
        <v>0.92</v>
      </c>
      <c r="Z1743" s="16">
        <f>IF(ISERROR(VLOOKUP($A1743,'13. Updated Demand'!A:Z,17,FALSE)),0,VLOOKUP($A1743,'13. Updated Demand'!A:Z,17,FALSE))</f>
        <v>0</v>
      </c>
      <c r="AA1743" s="16">
        <f>IF(ISERROR(VLOOKUP($A1743,'13. Updated Demand'!A:Z,18,FALSE)),0,VLOOKUP($A1743,'13. Updated Demand'!A:Z,18,FALSE))</f>
        <v>0.01</v>
      </c>
      <c r="AB1743" s="16">
        <f>IF(ISERROR(VLOOKUP($A1743,'13. Updated Demand'!A:Z,19,FALSE)),0,VLOOKUP($A1743,'13. Updated Demand'!A:Z,19,FALSE))</f>
        <v>0.18</v>
      </c>
      <c r="AC1743" s="16">
        <f>IF(ISERROR(VLOOKUP($A1743,'13. Updated Demand'!A:Z,20,FALSE)),0,VLOOKUP($A1743,'13. Updated Demand'!A:Z,20,FALSE))</f>
        <v>0.71</v>
      </c>
      <c r="AD1743" s="16">
        <f>IF(ISERROR(VLOOKUP($A1743,'13. Updated Demand'!A:Z,21,FALSE)),0,VLOOKUP($A1743,'13. Updated Demand'!A:Z,21,FALSE))</f>
        <v>1.1499999999999999</v>
      </c>
      <c r="AE1743" s="16">
        <f>IF(ISERROR(VLOOKUP($A1743,'13. Updated Demand'!A:Z,22,FALSE)),0,VLOOKUP($A1743,'13. Updated Demand'!A:Z,22,FALSE))</f>
        <v>1.47</v>
      </c>
      <c r="AF1743" s="16">
        <f>IF(ISERROR(VLOOKUP($A1743,'13. Updated Demand'!A:Z,23,FALSE)),0,VLOOKUP($A1743,'13. Updated Demand'!A:Z,23,FALSE))</f>
        <v>0.61</v>
      </c>
      <c r="AG1743" s="16">
        <f>IF(ISERROR(VLOOKUP($A1743,'13. Updated Demand'!A:Z,24,FALSE)),0,VLOOKUP($A1743,'13. Updated Demand'!A:Z,24,FALSE))</f>
        <v>0.13</v>
      </c>
      <c r="AH1743" s="16">
        <f>IF(ISERROR(VLOOKUP($A1743,'13. Updated Demand'!A:Z,25,FALSE)),0,VLOOKUP($A1743,'13. Updated Demand'!A:Z,25,FALSE))</f>
        <v>0.03</v>
      </c>
      <c r="AI1743" s="16">
        <f>IF(ISERROR(VLOOKUP($A1743,'13. Updated Demand'!A:Z,26,FALSE)),0,VLOOKUP($A1743,'13. Updated Demand'!A:Z,26,FALSE))</f>
        <v>0</v>
      </c>
      <c r="AJ1743" s="16">
        <f t="shared" si="325"/>
        <v>5.21</v>
      </c>
      <c r="AK1743" s="19">
        <v>4.1500000010000004</v>
      </c>
      <c r="AL1743" s="16">
        <f t="shared" si="335"/>
        <v>1.3765077273893251E-2</v>
      </c>
      <c r="AM1743" s="26">
        <v>3.6004566212328767E-2</v>
      </c>
      <c r="AN1743" s="19">
        <v>146</v>
      </c>
      <c r="AO1743" s="19" t="s">
        <v>1758</v>
      </c>
      <c r="AP1743" s="19">
        <v>0</v>
      </c>
      <c r="AQ1743" s="19" t="s">
        <v>307</v>
      </c>
      <c r="AR1743" s="9" t="s">
        <v>331</v>
      </c>
      <c r="AS1743" s="12">
        <v>0</v>
      </c>
      <c r="AT1743" s="19">
        <v>39.13079355</v>
      </c>
      <c r="AU1743" s="19">
        <v>-123.14756551000001</v>
      </c>
      <c r="AV1743" s="19" t="s">
        <v>2149</v>
      </c>
    </row>
    <row r="1744" spans="1:48" x14ac:dyDescent="0.25">
      <c r="A1744" s="18" t="s">
        <v>59</v>
      </c>
      <c r="B1744" s="10">
        <v>10000000</v>
      </c>
      <c r="C1744" s="9">
        <v>5</v>
      </c>
      <c r="D1744" s="8" t="str">
        <f t="shared" si="326"/>
        <v>Y</v>
      </c>
      <c r="E1744" s="8" t="str">
        <f t="shared" si="327"/>
        <v>N</v>
      </c>
      <c r="F1744" s="8" t="str">
        <f t="shared" si="328"/>
        <v>Y</v>
      </c>
      <c r="G1744" s="8" t="str">
        <f t="shared" si="329"/>
        <v>Y</v>
      </c>
      <c r="H1744" s="8" t="str">
        <f t="shared" si="330"/>
        <v>Upper</v>
      </c>
      <c r="I1744" s="8" t="str">
        <f t="shared" si="331"/>
        <v>West Fork and Below Lake</v>
      </c>
      <c r="J1744" s="8" t="str">
        <f t="shared" si="332"/>
        <v>Mendocino (d/s of lake)</v>
      </c>
      <c r="K1744" s="8" t="str">
        <f t="shared" si="333"/>
        <v>Riparian</v>
      </c>
      <c r="L1744" s="8">
        <f t="shared" si="334"/>
        <v>1000</v>
      </c>
      <c r="M1744" s="8" t="str">
        <f t="shared" si="336"/>
        <v>-</v>
      </c>
      <c r="N1744" s="10" t="s">
        <v>241</v>
      </c>
      <c r="O1744" s="10" t="s">
        <v>241</v>
      </c>
      <c r="P1744" s="10" t="s">
        <v>242</v>
      </c>
      <c r="Q1744" s="10" t="s">
        <v>242</v>
      </c>
      <c r="R1744" s="10" t="s">
        <v>242</v>
      </c>
      <c r="S1744" s="10" t="s">
        <v>241</v>
      </c>
      <c r="T1744" s="10" t="s">
        <v>242</v>
      </c>
      <c r="U1744" s="10" t="s">
        <v>242</v>
      </c>
      <c r="V1744" s="10" t="s">
        <v>242</v>
      </c>
      <c r="W1744" s="10" t="s">
        <v>242</v>
      </c>
      <c r="X1744" s="15">
        <f>IF(ISERROR(VLOOKUP($A1744,'13. Updated Demand'!A:Z,15,FALSE)),0,VLOOKUP($A1744,'13. Updated Demand'!A:Z,15,FALSE))</f>
        <v>0</v>
      </c>
      <c r="Y1744" s="16">
        <f>IF(ISERROR(VLOOKUP($A1744,'13. Updated Demand'!A:Z,16,FALSE)),0,VLOOKUP($A1744,'13. Updated Demand'!A:Z,16,FALSE))</f>
        <v>0</v>
      </c>
      <c r="Z1744" s="16">
        <f>IF(ISERROR(VLOOKUP($A1744,'13. Updated Demand'!A:Z,17,FALSE)),0,VLOOKUP($A1744,'13. Updated Demand'!A:Z,17,FALSE))</f>
        <v>0.03</v>
      </c>
      <c r="AA1744" s="16">
        <f>IF(ISERROR(VLOOKUP($A1744,'13. Updated Demand'!A:Z,18,FALSE)),0,VLOOKUP($A1744,'13. Updated Demand'!A:Z,18,FALSE))</f>
        <v>0</v>
      </c>
      <c r="AB1744" s="16">
        <f>IF(ISERROR(VLOOKUP($A1744,'13. Updated Demand'!A:Z,19,FALSE)),0,VLOOKUP($A1744,'13. Updated Demand'!A:Z,19,FALSE))</f>
        <v>0</v>
      </c>
      <c r="AC1744" s="16">
        <f>IF(ISERROR(VLOOKUP($A1744,'13. Updated Demand'!A:Z,20,FALSE)),0,VLOOKUP($A1744,'13. Updated Demand'!A:Z,20,FALSE))</f>
        <v>3</v>
      </c>
      <c r="AD1744" s="16">
        <f>IF(ISERROR(VLOOKUP($A1744,'13. Updated Demand'!A:Z,21,FALSE)),0,VLOOKUP($A1744,'13. Updated Demand'!A:Z,21,FALSE))</f>
        <v>3.13</v>
      </c>
      <c r="AE1744" s="16">
        <f>IF(ISERROR(VLOOKUP($A1744,'13. Updated Demand'!A:Z,22,FALSE)),0,VLOOKUP($A1744,'13. Updated Demand'!A:Z,22,FALSE))</f>
        <v>3.06</v>
      </c>
      <c r="AF1744" s="16">
        <f>IF(ISERROR(VLOOKUP($A1744,'13. Updated Demand'!A:Z,23,FALSE)),0,VLOOKUP($A1744,'13. Updated Demand'!A:Z,23,FALSE))</f>
        <v>0.66</v>
      </c>
      <c r="AG1744" s="16">
        <f>IF(ISERROR(VLOOKUP($A1744,'13. Updated Demand'!A:Z,24,FALSE)),0,VLOOKUP($A1744,'13. Updated Demand'!A:Z,24,FALSE))</f>
        <v>0.5</v>
      </c>
      <c r="AH1744" s="16">
        <f>IF(ISERROR(VLOOKUP($A1744,'13. Updated Demand'!A:Z,25,FALSE)),0,VLOOKUP($A1744,'13. Updated Demand'!A:Z,25,FALSE))</f>
        <v>0</v>
      </c>
      <c r="AI1744" s="16">
        <f>IF(ISERROR(VLOOKUP($A1744,'13. Updated Demand'!A:Z,26,FALSE)),0,VLOOKUP($A1744,'13. Updated Demand'!A:Z,26,FALSE))</f>
        <v>0</v>
      </c>
      <c r="AJ1744" s="16">
        <f t="shared" ref="AJ1744:AJ1807" si="337">SUM(X1744:AI1744)</f>
        <v>10.38</v>
      </c>
      <c r="AK1744" s="19">
        <v>9.8666666666666671</v>
      </c>
      <c r="AL1744" s="16">
        <f t="shared" si="335"/>
        <v>3.2726609414382359E-2</v>
      </c>
      <c r="AM1744" s="26">
        <v>3.2500000000000008E-2</v>
      </c>
      <c r="AN1744" s="19">
        <v>320</v>
      </c>
      <c r="AO1744" s="19" t="s">
        <v>1758</v>
      </c>
      <c r="AP1744" s="19">
        <v>0</v>
      </c>
      <c r="AQ1744" s="19" t="s">
        <v>307</v>
      </c>
      <c r="AR1744" s="9" t="s">
        <v>333</v>
      </c>
      <c r="AS1744" s="12">
        <v>0</v>
      </c>
      <c r="AT1744" s="19">
        <v>39.081696579999999</v>
      </c>
      <c r="AU1744" s="19">
        <v>-123.16967185</v>
      </c>
      <c r="AV1744" s="19" t="s">
        <v>387</v>
      </c>
    </row>
    <row r="1745" spans="1:48" x14ac:dyDescent="0.25">
      <c r="A1745" s="18" t="s">
        <v>2150</v>
      </c>
      <c r="B1745" s="10">
        <v>10000000</v>
      </c>
      <c r="C1745" s="9">
        <v>5</v>
      </c>
      <c r="D1745" s="8" t="str">
        <f t="shared" si="326"/>
        <v>Y</v>
      </c>
      <c r="E1745" s="8" t="str">
        <f t="shared" si="327"/>
        <v>N</v>
      </c>
      <c r="F1745" s="8" t="str">
        <f t="shared" si="328"/>
        <v>Y</v>
      </c>
      <c r="G1745" s="8" t="str">
        <f t="shared" si="329"/>
        <v>Y</v>
      </c>
      <c r="H1745" s="8" t="str">
        <f t="shared" si="330"/>
        <v>Upper</v>
      </c>
      <c r="I1745" s="8" t="str">
        <f t="shared" si="331"/>
        <v>West Fork and Below Lake</v>
      </c>
      <c r="J1745" s="8" t="str">
        <f t="shared" si="332"/>
        <v>Mendocino (d/s of lake)</v>
      </c>
      <c r="K1745" s="8" t="str">
        <f t="shared" si="333"/>
        <v>Riparian</v>
      </c>
      <c r="L1745" s="8">
        <f t="shared" si="334"/>
        <v>1000</v>
      </c>
      <c r="M1745" s="8" t="str">
        <f t="shared" si="336"/>
        <v>-</v>
      </c>
      <c r="N1745" s="10" t="s">
        <v>242</v>
      </c>
      <c r="O1745" s="10" t="s">
        <v>241</v>
      </c>
      <c r="P1745" s="10" t="s">
        <v>242</v>
      </c>
      <c r="Q1745" s="10" t="s">
        <v>242</v>
      </c>
      <c r="R1745" s="10" t="s">
        <v>242</v>
      </c>
      <c r="S1745" s="10" t="s">
        <v>241</v>
      </c>
      <c r="T1745" s="10" t="s">
        <v>242</v>
      </c>
      <c r="U1745" s="10" t="s">
        <v>242</v>
      </c>
      <c r="V1745" s="10" t="s">
        <v>242</v>
      </c>
      <c r="W1745" s="10" t="s">
        <v>242</v>
      </c>
      <c r="X1745" s="15">
        <f>IF(ISERROR(VLOOKUP($A1745,'13. Updated Demand'!A:Z,15,FALSE)),0,VLOOKUP($A1745,'13. Updated Demand'!A:Z,15,FALSE))</f>
        <v>0</v>
      </c>
      <c r="Y1745" s="16">
        <f>IF(ISERROR(VLOOKUP($A1745,'13. Updated Demand'!A:Z,16,FALSE)),0,VLOOKUP($A1745,'13. Updated Demand'!A:Z,16,FALSE))</f>
        <v>0</v>
      </c>
      <c r="Z1745" s="16">
        <f>IF(ISERROR(VLOOKUP($A1745,'13. Updated Demand'!A:Z,17,FALSE)),0,VLOOKUP($A1745,'13. Updated Demand'!A:Z,17,FALSE))</f>
        <v>0</v>
      </c>
      <c r="AA1745" s="16">
        <f>IF(ISERROR(VLOOKUP($A1745,'13. Updated Demand'!A:Z,18,FALSE)),0,VLOOKUP($A1745,'13. Updated Demand'!A:Z,18,FALSE))</f>
        <v>0</v>
      </c>
      <c r="AB1745" s="16">
        <f>IF(ISERROR(VLOOKUP($A1745,'13. Updated Demand'!A:Z,19,FALSE)),0,VLOOKUP($A1745,'13. Updated Demand'!A:Z,19,FALSE))</f>
        <v>5.0000000000000001E-4</v>
      </c>
      <c r="AC1745" s="16">
        <f>IF(ISERROR(VLOOKUP($A1745,'13. Updated Demand'!A:Z,20,FALSE)),0,VLOOKUP($A1745,'13. Updated Demand'!A:Z,20,FALSE))</f>
        <v>0</v>
      </c>
      <c r="AD1745" s="16">
        <f>IF(ISERROR(VLOOKUP($A1745,'13. Updated Demand'!A:Z,21,FALSE)),0,VLOOKUP($A1745,'13. Updated Demand'!A:Z,21,FALSE))</f>
        <v>0</v>
      </c>
      <c r="AE1745" s="16">
        <f>IF(ISERROR(VLOOKUP($A1745,'13. Updated Demand'!A:Z,22,FALSE)),0,VLOOKUP($A1745,'13. Updated Demand'!A:Z,22,FALSE))</f>
        <v>0</v>
      </c>
      <c r="AF1745" s="16">
        <f>IF(ISERROR(VLOOKUP($A1745,'13. Updated Demand'!A:Z,23,FALSE)),0,VLOOKUP($A1745,'13. Updated Demand'!A:Z,23,FALSE))</f>
        <v>0</v>
      </c>
      <c r="AG1745" s="16">
        <f>IF(ISERROR(VLOOKUP($A1745,'13. Updated Demand'!A:Z,24,FALSE)),0,VLOOKUP($A1745,'13. Updated Demand'!A:Z,24,FALSE))</f>
        <v>0</v>
      </c>
      <c r="AH1745" s="16">
        <f>IF(ISERROR(VLOOKUP($A1745,'13. Updated Demand'!A:Z,25,FALSE)),0,VLOOKUP($A1745,'13. Updated Demand'!A:Z,25,FALSE))</f>
        <v>0</v>
      </c>
      <c r="AI1745" s="16">
        <f>IF(ISERROR(VLOOKUP($A1745,'13. Updated Demand'!A:Z,26,FALSE)),0,VLOOKUP($A1745,'13. Updated Demand'!A:Z,26,FALSE))</f>
        <v>0</v>
      </c>
      <c r="AJ1745" s="16">
        <f t="shared" si="337"/>
        <v>5.0000000000000001E-4</v>
      </c>
      <c r="AK1745" s="19">
        <v>5.0000000000000001E-4</v>
      </c>
      <c r="AL1745" s="16">
        <f t="shared" si="335"/>
        <v>1.6584430446477546E-6</v>
      </c>
      <c r="AM1745" s="26">
        <v>5.579734404642339E-4</v>
      </c>
      <c r="AN1745" s="19">
        <v>0.89610000000000001</v>
      </c>
      <c r="AO1745" s="19" t="s">
        <v>1758</v>
      </c>
      <c r="AP1745" s="19">
        <v>0</v>
      </c>
      <c r="AQ1745" s="19" t="s">
        <v>307</v>
      </c>
      <c r="AR1745" s="9" t="s">
        <v>333</v>
      </c>
      <c r="AS1745" s="12">
        <v>0</v>
      </c>
      <c r="AT1745" s="19">
        <v>39.101853970000001</v>
      </c>
      <c r="AU1745" s="19">
        <v>-123.19925569999999</v>
      </c>
      <c r="AV1745" s="19" t="s">
        <v>1438</v>
      </c>
    </row>
    <row r="1746" spans="1:48" x14ac:dyDescent="0.25">
      <c r="A1746" s="18" t="s">
        <v>2151</v>
      </c>
      <c r="B1746" s="10">
        <v>10000000</v>
      </c>
      <c r="C1746" s="9">
        <v>5</v>
      </c>
      <c r="D1746" s="8" t="str">
        <f t="shared" si="326"/>
        <v>Y</v>
      </c>
      <c r="E1746" s="8" t="str">
        <f t="shared" si="327"/>
        <v>N</v>
      </c>
      <c r="F1746" s="8" t="str">
        <f t="shared" si="328"/>
        <v>Y</v>
      </c>
      <c r="G1746" s="8" t="str">
        <f t="shared" si="329"/>
        <v>Y</v>
      </c>
      <c r="H1746" s="8" t="str">
        <f t="shared" si="330"/>
        <v>Upper</v>
      </c>
      <c r="I1746" s="8" t="str">
        <f t="shared" si="331"/>
        <v>West Fork and Below Lake</v>
      </c>
      <c r="J1746" s="8" t="str">
        <f t="shared" si="332"/>
        <v>Mendocino (d/s of lake)</v>
      </c>
      <c r="K1746" s="8" t="str">
        <f t="shared" si="333"/>
        <v>Riparian</v>
      </c>
      <c r="L1746" s="8">
        <f t="shared" si="334"/>
        <v>1000</v>
      </c>
      <c r="M1746" s="8" t="str">
        <f t="shared" si="336"/>
        <v>-</v>
      </c>
      <c r="N1746" s="10" t="s">
        <v>241</v>
      </c>
      <c r="O1746" s="10" t="s">
        <v>241</v>
      </c>
      <c r="P1746" s="10" t="s">
        <v>242</v>
      </c>
      <c r="Q1746" s="10" t="s">
        <v>242</v>
      </c>
      <c r="R1746" s="10" t="s">
        <v>242</v>
      </c>
      <c r="S1746" s="10" t="s">
        <v>241</v>
      </c>
      <c r="T1746" s="10" t="s">
        <v>242</v>
      </c>
      <c r="U1746" s="10" t="s">
        <v>242</v>
      </c>
      <c r="V1746" s="10" t="s">
        <v>242</v>
      </c>
      <c r="W1746" s="10" t="s">
        <v>242</v>
      </c>
      <c r="X1746" s="15">
        <f>IF(ISERROR(VLOOKUP($A1746,'13. Updated Demand'!A:Z,15,FALSE)),0,VLOOKUP($A1746,'13. Updated Demand'!A:Z,15,FALSE))</f>
        <v>0.03</v>
      </c>
      <c r="Y1746" s="16">
        <f>IF(ISERROR(VLOOKUP($A1746,'13. Updated Demand'!A:Z,16,FALSE)),0,VLOOKUP($A1746,'13. Updated Demand'!A:Z,16,FALSE))</f>
        <v>4.33333333333333E-5</v>
      </c>
      <c r="Z1746" s="16">
        <f>IF(ISERROR(VLOOKUP($A1746,'13. Updated Demand'!A:Z,17,FALSE)),0,VLOOKUP($A1746,'13. Updated Demand'!A:Z,17,FALSE))</f>
        <v>0.08</v>
      </c>
      <c r="AA1746" s="16">
        <f>IF(ISERROR(VLOOKUP($A1746,'13. Updated Demand'!A:Z,18,FALSE)),0,VLOOKUP($A1746,'13. Updated Demand'!A:Z,18,FALSE))</f>
        <v>0.09</v>
      </c>
      <c r="AB1746" s="16">
        <f>IF(ISERROR(VLOOKUP($A1746,'13. Updated Demand'!A:Z,19,FALSE)),0,VLOOKUP($A1746,'13. Updated Demand'!A:Z,19,FALSE))</f>
        <v>0.19</v>
      </c>
      <c r="AC1746" s="16">
        <f>IF(ISERROR(VLOOKUP($A1746,'13. Updated Demand'!A:Z,20,FALSE)),0,VLOOKUP($A1746,'13. Updated Demand'!A:Z,20,FALSE))</f>
        <v>2.63333333333333E-3</v>
      </c>
      <c r="AD1746" s="16">
        <f>IF(ISERROR(VLOOKUP($A1746,'13. Updated Demand'!A:Z,21,FALSE)),0,VLOOKUP($A1746,'13. Updated Demand'!A:Z,21,FALSE))</f>
        <v>0.01</v>
      </c>
      <c r="AE1746" s="16">
        <f>IF(ISERROR(VLOOKUP($A1746,'13. Updated Demand'!A:Z,22,FALSE)),0,VLOOKUP($A1746,'13. Updated Demand'!A:Z,22,FALSE))</f>
        <v>0</v>
      </c>
      <c r="AF1746" s="16">
        <f>IF(ISERROR(VLOOKUP($A1746,'13. Updated Demand'!A:Z,23,FALSE)),0,VLOOKUP($A1746,'13. Updated Demand'!A:Z,23,FALSE))</f>
        <v>3.1666666666666701E-3</v>
      </c>
      <c r="AG1746" s="16">
        <f>IF(ISERROR(VLOOKUP($A1746,'13. Updated Demand'!A:Z,24,FALSE)),0,VLOOKUP($A1746,'13. Updated Demand'!A:Z,24,FALSE))</f>
        <v>0</v>
      </c>
      <c r="AH1746" s="16">
        <f>IF(ISERROR(VLOOKUP($A1746,'13. Updated Demand'!A:Z,25,FALSE)),0,VLOOKUP($A1746,'13. Updated Demand'!A:Z,25,FALSE))</f>
        <v>0</v>
      </c>
      <c r="AI1746" s="16">
        <f>IF(ISERROR(VLOOKUP($A1746,'13. Updated Demand'!A:Z,26,FALSE)),0,VLOOKUP($A1746,'13. Updated Demand'!A:Z,26,FALSE))</f>
        <v>0</v>
      </c>
      <c r="AJ1746" s="16">
        <f t="shared" si="337"/>
        <v>0.40584333333333328</v>
      </c>
      <c r="AK1746" s="19">
        <v>0.2150000000000003</v>
      </c>
      <c r="AL1746" s="16">
        <f t="shared" si="335"/>
        <v>7.1313050919853552E-4</v>
      </c>
      <c r="AM1746" s="26">
        <v>0.30834404608865423</v>
      </c>
      <c r="AN1746" s="19">
        <v>1.4001999999999999</v>
      </c>
      <c r="AO1746" s="19" t="s">
        <v>1758</v>
      </c>
      <c r="AP1746" s="19">
        <v>0</v>
      </c>
      <c r="AQ1746" s="19" t="s">
        <v>307</v>
      </c>
      <c r="AR1746" s="9" t="s">
        <v>333</v>
      </c>
      <c r="AS1746" s="12">
        <v>0</v>
      </c>
      <c r="AT1746" s="19">
        <v>39.092064020000002</v>
      </c>
      <c r="AU1746" s="19">
        <v>-123.17636184</v>
      </c>
      <c r="AV1746" s="19" t="s">
        <v>387</v>
      </c>
    </row>
    <row r="1747" spans="1:48" x14ac:dyDescent="0.25">
      <c r="A1747" s="18" t="s">
        <v>2152</v>
      </c>
      <c r="B1747" s="10">
        <v>10000000</v>
      </c>
      <c r="C1747" s="9">
        <v>5</v>
      </c>
      <c r="D1747" s="8" t="str">
        <f t="shared" si="326"/>
        <v>Y</v>
      </c>
      <c r="E1747" s="8" t="str">
        <f t="shared" si="327"/>
        <v>N</v>
      </c>
      <c r="F1747" s="8" t="str">
        <f t="shared" si="328"/>
        <v>Y</v>
      </c>
      <c r="G1747" s="8" t="str">
        <f t="shared" si="329"/>
        <v>Y</v>
      </c>
      <c r="H1747" s="8" t="str">
        <f t="shared" si="330"/>
        <v>Upper</v>
      </c>
      <c r="I1747" s="8" t="str">
        <f t="shared" si="331"/>
        <v>West Fork and Below Lake</v>
      </c>
      <c r="J1747" s="8" t="str">
        <f t="shared" si="332"/>
        <v>Mendocino (d/s of lake)</v>
      </c>
      <c r="K1747" s="8" t="str">
        <f t="shared" si="333"/>
        <v>Riparian</v>
      </c>
      <c r="L1747" s="8">
        <f t="shared" si="334"/>
        <v>1000</v>
      </c>
      <c r="M1747" s="8" t="str">
        <f t="shared" si="336"/>
        <v>-</v>
      </c>
      <c r="N1747" s="10" t="s">
        <v>241</v>
      </c>
      <c r="O1747" s="10" t="s">
        <v>241</v>
      </c>
      <c r="P1747" s="10" t="s">
        <v>242</v>
      </c>
      <c r="Q1747" s="10" t="s">
        <v>242</v>
      </c>
      <c r="R1747" s="10" t="s">
        <v>242</v>
      </c>
      <c r="S1747" s="10" t="s">
        <v>241</v>
      </c>
      <c r="T1747" s="10" t="s">
        <v>242</v>
      </c>
      <c r="U1747" s="10" t="s">
        <v>242</v>
      </c>
      <c r="V1747" s="10" t="s">
        <v>241</v>
      </c>
      <c r="W1747" s="10" t="s">
        <v>242</v>
      </c>
      <c r="X1747" s="15">
        <f>IF(ISERROR(VLOOKUP($A1747,'13. Updated Demand'!A:Z,15,FALSE)),0,VLOOKUP($A1747,'13. Updated Demand'!A:Z,15,FALSE))</f>
        <v>0</v>
      </c>
      <c r="Y1747" s="16">
        <f>IF(ISERROR(VLOOKUP($A1747,'13. Updated Demand'!A:Z,16,FALSE)),0,VLOOKUP($A1747,'13. Updated Demand'!A:Z,16,FALSE))</f>
        <v>0</v>
      </c>
      <c r="Z1747" s="16">
        <f>IF(ISERROR(VLOOKUP($A1747,'13. Updated Demand'!A:Z,17,FALSE)),0,VLOOKUP($A1747,'13. Updated Demand'!A:Z,17,FALSE))</f>
        <v>0</v>
      </c>
      <c r="AA1747" s="16">
        <f>IF(ISERROR(VLOOKUP($A1747,'13. Updated Demand'!A:Z,18,FALSE)),0,VLOOKUP($A1747,'13. Updated Demand'!A:Z,18,FALSE))</f>
        <v>0</v>
      </c>
      <c r="AB1747" s="16">
        <f>IF(ISERROR(VLOOKUP($A1747,'13. Updated Demand'!A:Z,19,FALSE)),0,VLOOKUP($A1747,'13. Updated Demand'!A:Z,19,FALSE))</f>
        <v>0</v>
      </c>
      <c r="AC1747" s="16">
        <f>IF(ISERROR(VLOOKUP($A1747,'13. Updated Demand'!A:Z,20,FALSE)),0,VLOOKUP($A1747,'13. Updated Demand'!A:Z,20,FALSE))</f>
        <v>0</v>
      </c>
      <c r="AD1747" s="16">
        <f>IF(ISERROR(VLOOKUP($A1747,'13. Updated Demand'!A:Z,21,FALSE)),0,VLOOKUP($A1747,'13. Updated Demand'!A:Z,21,FALSE))</f>
        <v>0</v>
      </c>
      <c r="AE1747" s="16">
        <f>IF(ISERROR(VLOOKUP($A1747,'13. Updated Demand'!A:Z,22,FALSE)),0,VLOOKUP($A1747,'13. Updated Demand'!A:Z,22,FALSE))</f>
        <v>0</v>
      </c>
      <c r="AF1747" s="16">
        <f>IF(ISERROR(VLOOKUP($A1747,'13. Updated Demand'!A:Z,23,FALSE)),0,VLOOKUP($A1747,'13. Updated Demand'!A:Z,23,FALSE))</f>
        <v>0</v>
      </c>
      <c r="AG1747" s="16">
        <f>IF(ISERROR(VLOOKUP($A1747,'13. Updated Demand'!A:Z,24,FALSE)),0,VLOOKUP($A1747,'13. Updated Demand'!A:Z,24,FALSE))</f>
        <v>0.97</v>
      </c>
      <c r="AH1747" s="16">
        <f>IF(ISERROR(VLOOKUP($A1747,'13. Updated Demand'!A:Z,25,FALSE)),0,VLOOKUP($A1747,'13. Updated Demand'!A:Z,25,FALSE))</f>
        <v>0</v>
      </c>
      <c r="AI1747" s="16">
        <f>IF(ISERROR(VLOOKUP($A1747,'13. Updated Demand'!A:Z,26,FALSE)),0,VLOOKUP($A1747,'13. Updated Demand'!A:Z,26,FALSE))</f>
        <v>0</v>
      </c>
      <c r="AJ1747" s="16">
        <f t="shared" si="337"/>
        <v>0.97</v>
      </c>
      <c r="AK1747" s="19">
        <v>0</v>
      </c>
      <c r="AL1747" s="16">
        <f t="shared" si="335"/>
        <v>0</v>
      </c>
      <c r="AM1747" s="26">
        <v>13.857142857142856</v>
      </c>
      <c r="AN1747" s="19">
        <v>7.0000000000000007E-2</v>
      </c>
      <c r="AO1747" s="19" t="s">
        <v>1758</v>
      </c>
      <c r="AP1747" s="19">
        <v>0</v>
      </c>
      <c r="AQ1747" s="19" t="s">
        <v>307</v>
      </c>
      <c r="AR1747" s="9" t="s">
        <v>333</v>
      </c>
      <c r="AS1747" s="12">
        <v>0</v>
      </c>
      <c r="AT1747" s="19">
        <v>39.092206619999999</v>
      </c>
      <c r="AU1747" s="19">
        <v>-123.17583565</v>
      </c>
      <c r="AV1747" s="19" t="s">
        <v>387</v>
      </c>
    </row>
    <row r="1748" spans="1:48" x14ac:dyDescent="0.25">
      <c r="A1748" s="18" t="s">
        <v>2153</v>
      </c>
      <c r="B1748" s="10">
        <v>10000000</v>
      </c>
      <c r="C1748" s="9">
        <v>11</v>
      </c>
      <c r="D1748" s="8" t="str">
        <f t="shared" si="326"/>
        <v>N</v>
      </c>
      <c r="E1748" s="8" t="str">
        <f t="shared" si="327"/>
        <v>Y</v>
      </c>
      <c r="F1748" s="8" t="str">
        <f t="shared" si="328"/>
        <v>Y</v>
      </c>
      <c r="G1748" s="8" t="str">
        <f t="shared" si="329"/>
        <v>Y</v>
      </c>
      <c r="H1748" s="8" t="str">
        <f t="shared" si="330"/>
        <v>Upper</v>
      </c>
      <c r="I1748" s="8" t="str">
        <f t="shared" si="331"/>
        <v>West Fork and Below Lake</v>
      </c>
      <c r="J1748" s="8" t="str">
        <f t="shared" si="332"/>
        <v>Sonoma (d/s of Clov. Gage)</v>
      </c>
      <c r="K1748" s="8" t="str">
        <f t="shared" si="333"/>
        <v>Riparian</v>
      </c>
      <c r="L1748" s="8">
        <f t="shared" si="334"/>
        <v>1000</v>
      </c>
      <c r="M1748" s="8" t="str">
        <f t="shared" si="336"/>
        <v>-</v>
      </c>
      <c r="N1748" s="10" t="s">
        <v>242</v>
      </c>
      <c r="O1748" s="10" t="s">
        <v>241</v>
      </c>
      <c r="P1748" s="10" t="s">
        <v>242</v>
      </c>
      <c r="Q1748" s="10" t="s">
        <v>242</v>
      </c>
      <c r="R1748" s="10" t="s">
        <v>242</v>
      </c>
      <c r="S1748" s="10" t="s">
        <v>241</v>
      </c>
      <c r="T1748" s="10" t="s">
        <v>242</v>
      </c>
      <c r="U1748" s="10" t="s">
        <v>242</v>
      </c>
      <c r="V1748" s="10" t="s">
        <v>241</v>
      </c>
      <c r="W1748" s="10" t="s">
        <v>242</v>
      </c>
      <c r="X1748" s="15">
        <f>IF(ISERROR(VLOOKUP($A1748,'13. Updated Demand'!A:Z,15,FALSE)),0,VLOOKUP($A1748,'13. Updated Demand'!A:Z,15,FALSE))</f>
        <v>0</v>
      </c>
      <c r="Y1748" s="16">
        <f>IF(ISERROR(VLOOKUP($A1748,'13. Updated Demand'!A:Z,16,FALSE)),0,VLOOKUP($A1748,'13. Updated Demand'!A:Z,16,FALSE))</f>
        <v>0</v>
      </c>
      <c r="Z1748" s="16">
        <f>IF(ISERROR(VLOOKUP($A1748,'13. Updated Demand'!A:Z,17,FALSE)),0,VLOOKUP($A1748,'13. Updated Demand'!A:Z,17,FALSE))</f>
        <v>0.16</v>
      </c>
      <c r="AA1748" s="16">
        <f>IF(ISERROR(VLOOKUP($A1748,'13. Updated Demand'!A:Z,18,FALSE)),0,VLOOKUP($A1748,'13. Updated Demand'!A:Z,18,FALSE))</f>
        <v>0.35</v>
      </c>
      <c r="AB1748" s="16">
        <f>IF(ISERROR(VLOOKUP($A1748,'13. Updated Demand'!A:Z,19,FALSE)),0,VLOOKUP($A1748,'13. Updated Demand'!A:Z,19,FALSE))</f>
        <v>0</v>
      </c>
      <c r="AC1748" s="16">
        <f>IF(ISERROR(VLOOKUP($A1748,'13. Updated Demand'!A:Z,20,FALSE)),0,VLOOKUP($A1748,'13. Updated Demand'!A:Z,20,FALSE))</f>
        <v>0</v>
      </c>
      <c r="AD1748" s="16">
        <f>IF(ISERROR(VLOOKUP($A1748,'13. Updated Demand'!A:Z,21,FALSE)),0,VLOOKUP($A1748,'13. Updated Demand'!A:Z,21,FALSE))</f>
        <v>0</v>
      </c>
      <c r="AE1748" s="16">
        <f>IF(ISERROR(VLOOKUP($A1748,'13. Updated Demand'!A:Z,22,FALSE)),0,VLOOKUP($A1748,'13. Updated Demand'!A:Z,22,FALSE))</f>
        <v>0</v>
      </c>
      <c r="AF1748" s="16">
        <f>IF(ISERROR(VLOOKUP($A1748,'13. Updated Demand'!A:Z,23,FALSE)),0,VLOOKUP($A1748,'13. Updated Demand'!A:Z,23,FALSE))</f>
        <v>0</v>
      </c>
      <c r="AG1748" s="16">
        <f>IF(ISERROR(VLOOKUP($A1748,'13. Updated Demand'!A:Z,24,FALSE)),0,VLOOKUP($A1748,'13. Updated Demand'!A:Z,24,FALSE))</f>
        <v>0</v>
      </c>
      <c r="AH1748" s="16">
        <f>IF(ISERROR(VLOOKUP($A1748,'13. Updated Demand'!A:Z,25,FALSE)),0,VLOOKUP($A1748,'13. Updated Demand'!A:Z,25,FALSE))</f>
        <v>0</v>
      </c>
      <c r="AI1748" s="16">
        <f>IF(ISERROR(VLOOKUP($A1748,'13. Updated Demand'!A:Z,26,FALSE)),0,VLOOKUP($A1748,'13. Updated Demand'!A:Z,26,FALSE))</f>
        <v>0</v>
      </c>
      <c r="AJ1748" s="16">
        <f t="shared" si="337"/>
        <v>0.51</v>
      </c>
      <c r="AK1748" s="19">
        <v>0</v>
      </c>
      <c r="AL1748" s="16">
        <f t="shared" si="335"/>
        <v>0</v>
      </c>
      <c r="AM1748" s="26">
        <v>3.2469076864852117E-4</v>
      </c>
      <c r="AN1748" s="19">
        <v>1611.79</v>
      </c>
      <c r="AO1748" s="19" t="s">
        <v>1758</v>
      </c>
      <c r="AP1748" s="19">
        <v>0</v>
      </c>
      <c r="AQ1748" s="19" t="s">
        <v>307</v>
      </c>
      <c r="AR1748" s="9" t="s">
        <v>308</v>
      </c>
      <c r="AS1748" s="12">
        <v>0</v>
      </c>
      <c r="AT1748" s="19">
        <v>38.657547000000001</v>
      </c>
      <c r="AU1748" s="19">
        <v>-122.71653831</v>
      </c>
      <c r="AV1748" s="19" t="s">
        <v>417</v>
      </c>
    </row>
    <row r="1749" spans="1:48" x14ac:dyDescent="0.25">
      <c r="A1749" s="18" t="s">
        <v>2154</v>
      </c>
      <c r="B1749" s="10">
        <v>10000000</v>
      </c>
      <c r="C1749" s="9">
        <v>11</v>
      </c>
      <c r="D1749" s="8" t="str">
        <f t="shared" si="326"/>
        <v>N</v>
      </c>
      <c r="E1749" s="8" t="str">
        <f t="shared" si="327"/>
        <v>Y</v>
      </c>
      <c r="F1749" s="8" t="str">
        <f t="shared" si="328"/>
        <v>Y</v>
      </c>
      <c r="G1749" s="8" t="str">
        <f t="shared" si="329"/>
        <v>Y</v>
      </c>
      <c r="H1749" s="8" t="str">
        <f t="shared" si="330"/>
        <v>Upper</v>
      </c>
      <c r="I1749" s="8" t="str">
        <f t="shared" si="331"/>
        <v>West Fork and Below Lake</v>
      </c>
      <c r="J1749" s="8" t="str">
        <f t="shared" si="332"/>
        <v>Sonoma (d/s of Clov. Gage)</v>
      </c>
      <c r="K1749" s="8" t="str">
        <f t="shared" si="333"/>
        <v>Riparian</v>
      </c>
      <c r="L1749" s="8">
        <f t="shared" si="334"/>
        <v>1000</v>
      </c>
      <c r="M1749" s="8" t="str">
        <f t="shared" si="336"/>
        <v>-</v>
      </c>
      <c r="N1749" s="10" t="s">
        <v>242</v>
      </c>
      <c r="O1749" s="10" t="s">
        <v>241</v>
      </c>
      <c r="P1749" s="10" t="s">
        <v>242</v>
      </c>
      <c r="Q1749" s="10" t="s">
        <v>242</v>
      </c>
      <c r="R1749" s="10" t="s">
        <v>242</v>
      </c>
      <c r="S1749" s="10" t="s">
        <v>241</v>
      </c>
      <c r="T1749" s="10" t="s">
        <v>242</v>
      </c>
      <c r="U1749" s="10" t="s">
        <v>242</v>
      </c>
      <c r="V1749" s="10" t="s">
        <v>241</v>
      </c>
      <c r="W1749" s="10" t="s">
        <v>242</v>
      </c>
      <c r="X1749" s="15">
        <f>IF(ISERROR(VLOOKUP($A1749,'13. Updated Demand'!A:Z,15,FALSE)),0,VLOOKUP($A1749,'13. Updated Demand'!A:Z,15,FALSE))</f>
        <v>0</v>
      </c>
      <c r="Y1749" s="16">
        <f>IF(ISERROR(VLOOKUP($A1749,'13. Updated Demand'!A:Z,16,FALSE)),0,VLOOKUP($A1749,'13. Updated Demand'!A:Z,16,FALSE))</f>
        <v>0</v>
      </c>
      <c r="Z1749" s="16">
        <f>IF(ISERROR(VLOOKUP($A1749,'13. Updated Demand'!A:Z,17,FALSE)),0,VLOOKUP($A1749,'13. Updated Demand'!A:Z,17,FALSE))</f>
        <v>0.76</v>
      </c>
      <c r="AA1749" s="16">
        <f>IF(ISERROR(VLOOKUP($A1749,'13. Updated Demand'!A:Z,18,FALSE)),0,VLOOKUP($A1749,'13. Updated Demand'!A:Z,18,FALSE))</f>
        <v>1.77</v>
      </c>
      <c r="AB1749" s="16">
        <f>IF(ISERROR(VLOOKUP($A1749,'13. Updated Demand'!A:Z,19,FALSE)),0,VLOOKUP($A1749,'13. Updated Demand'!A:Z,19,FALSE))</f>
        <v>0</v>
      </c>
      <c r="AC1749" s="16">
        <f>IF(ISERROR(VLOOKUP($A1749,'13. Updated Demand'!A:Z,20,FALSE)),0,VLOOKUP($A1749,'13. Updated Demand'!A:Z,20,FALSE))</f>
        <v>0</v>
      </c>
      <c r="AD1749" s="16">
        <f>IF(ISERROR(VLOOKUP($A1749,'13. Updated Demand'!A:Z,21,FALSE)),0,VLOOKUP($A1749,'13. Updated Demand'!A:Z,21,FALSE))</f>
        <v>0</v>
      </c>
      <c r="AE1749" s="16">
        <f>IF(ISERROR(VLOOKUP($A1749,'13. Updated Demand'!A:Z,22,FALSE)),0,VLOOKUP($A1749,'13. Updated Demand'!A:Z,22,FALSE))</f>
        <v>0</v>
      </c>
      <c r="AF1749" s="16">
        <f>IF(ISERROR(VLOOKUP($A1749,'13. Updated Demand'!A:Z,23,FALSE)),0,VLOOKUP($A1749,'13. Updated Demand'!A:Z,23,FALSE))</f>
        <v>0</v>
      </c>
      <c r="AG1749" s="16">
        <f>IF(ISERROR(VLOOKUP($A1749,'13. Updated Demand'!A:Z,24,FALSE)),0,VLOOKUP($A1749,'13. Updated Demand'!A:Z,24,FALSE))</f>
        <v>0</v>
      </c>
      <c r="AH1749" s="16">
        <f>IF(ISERROR(VLOOKUP($A1749,'13. Updated Demand'!A:Z,25,FALSE)),0,VLOOKUP($A1749,'13. Updated Demand'!A:Z,25,FALSE))</f>
        <v>0</v>
      </c>
      <c r="AI1749" s="16">
        <f>IF(ISERROR(VLOOKUP($A1749,'13. Updated Demand'!A:Z,26,FALSE)),0,VLOOKUP($A1749,'13. Updated Demand'!A:Z,26,FALSE))</f>
        <v>0</v>
      </c>
      <c r="AJ1749" s="16">
        <f t="shared" si="337"/>
        <v>2.5300000000000002</v>
      </c>
      <c r="AK1749" s="19">
        <v>0</v>
      </c>
      <c r="AL1749" s="16">
        <f t="shared" si="335"/>
        <v>0</v>
      </c>
      <c r="AM1749" s="26">
        <v>1.967274479770938E-3</v>
      </c>
      <c r="AN1749" s="19">
        <v>1289.432</v>
      </c>
      <c r="AO1749" s="19" t="s">
        <v>1758</v>
      </c>
      <c r="AP1749" s="19">
        <v>0</v>
      </c>
      <c r="AQ1749" s="19" t="s">
        <v>307</v>
      </c>
      <c r="AR1749" s="9" t="s">
        <v>308</v>
      </c>
      <c r="AS1749" s="12">
        <v>0</v>
      </c>
      <c r="AT1749" s="19">
        <v>38.65889937</v>
      </c>
      <c r="AU1749" s="19">
        <v>-122.71987897</v>
      </c>
      <c r="AV1749" s="19" t="s">
        <v>417</v>
      </c>
    </row>
    <row r="1750" spans="1:48" x14ac:dyDescent="0.25">
      <c r="A1750" s="18" t="s">
        <v>2155</v>
      </c>
      <c r="B1750" s="10">
        <v>10000000</v>
      </c>
      <c r="C1750" s="9">
        <v>11</v>
      </c>
      <c r="D1750" s="8" t="str">
        <f t="shared" si="326"/>
        <v>N</v>
      </c>
      <c r="E1750" s="8" t="str">
        <f t="shared" si="327"/>
        <v>Y</v>
      </c>
      <c r="F1750" s="8" t="str">
        <f t="shared" si="328"/>
        <v>Y</v>
      </c>
      <c r="G1750" s="8" t="str">
        <f t="shared" si="329"/>
        <v>Y</v>
      </c>
      <c r="H1750" s="8" t="str">
        <f t="shared" si="330"/>
        <v>Upper</v>
      </c>
      <c r="I1750" s="8" t="str">
        <f t="shared" si="331"/>
        <v>West Fork and Below Lake</v>
      </c>
      <c r="J1750" s="8" t="str">
        <f t="shared" si="332"/>
        <v>Sonoma (d/s of Clov. Gage)</v>
      </c>
      <c r="K1750" s="8" t="str">
        <f t="shared" si="333"/>
        <v>Riparian</v>
      </c>
      <c r="L1750" s="8">
        <f t="shared" si="334"/>
        <v>1000</v>
      </c>
      <c r="M1750" s="8" t="str">
        <f t="shared" si="336"/>
        <v>-</v>
      </c>
      <c r="N1750" s="10" t="s">
        <v>242</v>
      </c>
      <c r="O1750" s="10" t="s">
        <v>241</v>
      </c>
      <c r="P1750" s="10" t="s">
        <v>242</v>
      </c>
      <c r="Q1750" s="10" t="s">
        <v>242</v>
      </c>
      <c r="R1750" s="10" t="s">
        <v>242</v>
      </c>
      <c r="S1750" s="10" t="s">
        <v>241</v>
      </c>
      <c r="T1750" s="10" t="s">
        <v>242</v>
      </c>
      <c r="U1750" s="10" t="s">
        <v>241</v>
      </c>
      <c r="V1750" s="10" t="s">
        <v>241</v>
      </c>
      <c r="W1750" s="10" t="s">
        <v>242</v>
      </c>
      <c r="X1750" s="15">
        <f>IF(ISERROR(VLOOKUP($A1750,'13. Updated Demand'!A:Z,15,FALSE)),0,VLOOKUP($A1750,'13. Updated Demand'!A:Z,15,FALSE))</f>
        <v>0</v>
      </c>
      <c r="Y1750" s="16">
        <f>IF(ISERROR(VLOOKUP($A1750,'13. Updated Demand'!A:Z,16,FALSE)),0,VLOOKUP($A1750,'13. Updated Demand'!A:Z,16,FALSE))</f>
        <v>0</v>
      </c>
      <c r="Z1750" s="16">
        <f>IF(ISERROR(VLOOKUP($A1750,'13. Updated Demand'!A:Z,17,FALSE)),0,VLOOKUP($A1750,'13. Updated Demand'!A:Z,17,FALSE))</f>
        <v>0</v>
      </c>
      <c r="AA1750" s="16">
        <f>IF(ISERROR(VLOOKUP($A1750,'13. Updated Demand'!A:Z,18,FALSE)),0,VLOOKUP($A1750,'13. Updated Demand'!A:Z,18,FALSE))</f>
        <v>0</v>
      </c>
      <c r="AB1750" s="16">
        <f>IF(ISERROR(VLOOKUP($A1750,'13. Updated Demand'!A:Z,19,FALSE)),0,VLOOKUP($A1750,'13. Updated Demand'!A:Z,19,FALSE))</f>
        <v>0</v>
      </c>
      <c r="AC1750" s="16">
        <f>IF(ISERROR(VLOOKUP($A1750,'13. Updated Demand'!A:Z,20,FALSE)),0,VLOOKUP($A1750,'13. Updated Demand'!A:Z,20,FALSE))</f>
        <v>0</v>
      </c>
      <c r="AD1750" s="16">
        <f>IF(ISERROR(VLOOKUP($A1750,'13. Updated Demand'!A:Z,21,FALSE)),0,VLOOKUP($A1750,'13. Updated Demand'!A:Z,21,FALSE))</f>
        <v>0</v>
      </c>
      <c r="AE1750" s="16">
        <f>IF(ISERROR(VLOOKUP($A1750,'13. Updated Demand'!A:Z,22,FALSE)),0,VLOOKUP($A1750,'13. Updated Demand'!A:Z,22,FALSE))</f>
        <v>0</v>
      </c>
      <c r="AF1750" s="16">
        <f>IF(ISERROR(VLOOKUP($A1750,'13. Updated Demand'!A:Z,23,FALSE)),0,VLOOKUP($A1750,'13. Updated Demand'!A:Z,23,FALSE))</f>
        <v>0</v>
      </c>
      <c r="AG1750" s="16">
        <f>IF(ISERROR(VLOOKUP($A1750,'13. Updated Demand'!A:Z,24,FALSE)),0,VLOOKUP($A1750,'13. Updated Demand'!A:Z,24,FALSE))</f>
        <v>0</v>
      </c>
      <c r="AH1750" s="16">
        <f>IF(ISERROR(VLOOKUP($A1750,'13. Updated Demand'!A:Z,25,FALSE)),0,VLOOKUP($A1750,'13. Updated Demand'!A:Z,25,FALSE))</f>
        <v>0</v>
      </c>
      <c r="AI1750" s="16">
        <f>IF(ISERROR(VLOOKUP($A1750,'13. Updated Demand'!A:Z,26,FALSE)),0,VLOOKUP($A1750,'13. Updated Demand'!A:Z,26,FALSE))</f>
        <v>0</v>
      </c>
      <c r="AJ1750" s="16">
        <f t="shared" si="337"/>
        <v>0</v>
      </c>
      <c r="AK1750" s="19">
        <v>0</v>
      </c>
      <c r="AL1750" s="16">
        <f t="shared" si="335"/>
        <v>0</v>
      </c>
      <c r="AM1750" s="26">
        <v>0</v>
      </c>
      <c r="AN1750" s="19">
        <v>0.5</v>
      </c>
      <c r="AO1750" s="19" t="s">
        <v>1758</v>
      </c>
      <c r="AP1750" s="19">
        <v>0</v>
      </c>
      <c r="AQ1750" s="19" t="s">
        <v>307</v>
      </c>
      <c r="AR1750" s="9" t="s">
        <v>308</v>
      </c>
      <c r="AS1750" s="12">
        <v>0</v>
      </c>
      <c r="AT1750" s="19">
        <v>38.653412400000001</v>
      </c>
      <c r="AU1750" s="19">
        <v>-122.72482076999999</v>
      </c>
      <c r="AV1750" s="19" t="s">
        <v>417</v>
      </c>
    </row>
    <row r="1751" spans="1:48" x14ac:dyDescent="0.25">
      <c r="A1751" s="18" t="s">
        <v>2156</v>
      </c>
      <c r="B1751" s="10">
        <v>10000000</v>
      </c>
      <c r="C1751" s="9">
        <v>5</v>
      </c>
      <c r="D1751" s="8" t="str">
        <f t="shared" si="326"/>
        <v>Y</v>
      </c>
      <c r="E1751" s="8" t="str">
        <f t="shared" si="327"/>
        <v>N</v>
      </c>
      <c r="F1751" s="8" t="str">
        <f t="shared" si="328"/>
        <v>Y</v>
      </c>
      <c r="G1751" s="8" t="str">
        <f t="shared" si="329"/>
        <v>Y</v>
      </c>
      <c r="H1751" s="8" t="str">
        <f t="shared" si="330"/>
        <v>Upper</v>
      </c>
      <c r="I1751" s="8" t="str">
        <f t="shared" si="331"/>
        <v>West Fork and Below Lake</v>
      </c>
      <c r="J1751" s="8" t="str">
        <f t="shared" si="332"/>
        <v>Mendocino (d/s of lake)</v>
      </c>
      <c r="K1751" s="8" t="str">
        <f t="shared" si="333"/>
        <v>Riparian</v>
      </c>
      <c r="L1751" s="8">
        <f t="shared" si="334"/>
        <v>1000</v>
      </c>
      <c r="M1751" s="8" t="str">
        <f t="shared" si="336"/>
        <v>-</v>
      </c>
      <c r="N1751" s="10" t="s">
        <v>242</v>
      </c>
      <c r="O1751" s="10" t="s">
        <v>241</v>
      </c>
      <c r="P1751" s="10" t="s">
        <v>242</v>
      </c>
      <c r="Q1751" s="10" t="s">
        <v>242</v>
      </c>
      <c r="R1751" s="10" t="s">
        <v>242</v>
      </c>
      <c r="S1751" s="10" t="s">
        <v>241</v>
      </c>
      <c r="T1751" s="10" t="s">
        <v>242</v>
      </c>
      <c r="U1751" s="10" t="s">
        <v>242</v>
      </c>
      <c r="V1751" s="10" t="s">
        <v>242</v>
      </c>
      <c r="W1751" s="10" t="s">
        <v>242</v>
      </c>
      <c r="X1751" s="15">
        <f>IF(ISERROR(VLOOKUP($A1751,'13. Updated Demand'!A:Z,15,FALSE)),0,VLOOKUP($A1751,'13. Updated Demand'!A:Z,15,FALSE))</f>
        <v>0</v>
      </c>
      <c r="Y1751" s="16">
        <f>IF(ISERROR(VLOOKUP($A1751,'13. Updated Demand'!A:Z,16,FALSE)),0,VLOOKUP($A1751,'13. Updated Demand'!A:Z,16,FALSE))</f>
        <v>0</v>
      </c>
      <c r="Z1751" s="16">
        <f>IF(ISERROR(VLOOKUP($A1751,'13. Updated Demand'!A:Z,17,FALSE)),0,VLOOKUP($A1751,'13. Updated Demand'!A:Z,17,FALSE))</f>
        <v>0</v>
      </c>
      <c r="AA1751" s="16">
        <f>IF(ISERROR(VLOOKUP($A1751,'13. Updated Demand'!A:Z,18,FALSE)),0,VLOOKUP($A1751,'13. Updated Demand'!A:Z,18,FALSE))</f>
        <v>0</v>
      </c>
      <c r="AB1751" s="16">
        <f>IF(ISERROR(VLOOKUP($A1751,'13. Updated Demand'!A:Z,19,FALSE)),0,VLOOKUP($A1751,'13. Updated Demand'!A:Z,19,FALSE))</f>
        <v>0</v>
      </c>
      <c r="AC1751" s="16">
        <f>IF(ISERROR(VLOOKUP($A1751,'13. Updated Demand'!A:Z,20,FALSE)),0,VLOOKUP($A1751,'13. Updated Demand'!A:Z,20,FALSE))</f>
        <v>0.16</v>
      </c>
      <c r="AD1751" s="16">
        <f>IF(ISERROR(VLOOKUP($A1751,'13. Updated Demand'!A:Z,21,FALSE)),0,VLOOKUP($A1751,'13. Updated Demand'!A:Z,21,FALSE))</f>
        <v>0</v>
      </c>
      <c r="AE1751" s="16">
        <f>IF(ISERROR(VLOOKUP($A1751,'13. Updated Demand'!A:Z,22,FALSE)),0,VLOOKUP($A1751,'13. Updated Demand'!A:Z,22,FALSE))</f>
        <v>0</v>
      </c>
      <c r="AF1751" s="16">
        <f>IF(ISERROR(VLOOKUP($A1751,'13. Updated Demand'!A:Z,23,FALSE)),0,VLOOKUP($A1751,'13. Updated Demand'!A:Z,23,FALSE))</f>
        <v>0</v>
      </c>
      <c r="AG1751" s="16">
        <f>IF(ISERROR(VLOOKUP($A1751,'13. Updated Demand'!A:Z,24,FALSE)),0,VLOOKUP($A1751,'13. Updated Demand'!A:Z,24,FALSE))</f>
        <v>0</v>
      </c>
      <c r="AH1751" s="16">
        <f>IF(ISERROR(VLOOKUP($A1751,'13. Updated Demand'!A:Z,25,FALSE)),0,VLOOKUP($A1751,'13. Updated Demand'!A:Z,25,FALSE))</f>
        <v>0</v>
      </c>
      <c r="AI1751" s="16">
        <f>IF(ISERROR(VLOOKUP($A1751,'13. Updated Demand'!A:Z,26,FALSE)),0,VLOOKUP($A1751,'13. Updated Demand'!A:Z,26,FALSE))</f>
        <v>0</v>
      </c>
      <c r="AJ1751" s="16">
        <f t="shared" si="337"/>
        <v>0.16</v>
      </c>
      <c r="AK1751" s="19">
        <v>0.16666666699999999</v>
      </c>
      <c r="AL1751" s="16">
        <f t="shared" si="335"/>
        <v>5.5281434932154695E-4</v>
      </c>
      <c r="AM1751" s="26">
        <v>5.27426161392405E-2</v>
      </c>
      <c r="AN1751" s="19">
        <v>3.16</v>
      </c>
      <c r="AO1751" s="19" t="s">
        <v>1758</v>
      </c>
      <c r="AP1751" s="19">
        <v>0</v>
      </c>
      <c r="AQ1751" s="19" t="s">
        <v>307</v>
      </c>
      <c r="AR1751" s="9" t="s">
        <v>333</v>
      </c>
      <c r="AS1751" s="12">
        <v>0</v>
      </c>
      <c r="AT1751" s="19">
        <v>39.127327020000003</v>
      </c>
      <c r="AU1751" s="19">
        <v>-123.15103486</v>
      </c>
      <c r="AV1751" s="19" t="s">
        <v>417</v>
      </c>
    </row>
    <row r="1752" spans="1:48" x14ac:dyDescent="0.25">
      <c r="A1752" s="18" t="s">
        <v>2157</v>
      </c>
      <c r="B1752" s="10">
        <v>10000000</v>
      </c>
      <c r="C1752" s="9">
        <v>1</v>
      </c>
      <c r="D1752" s="8" t="str">
        <f t="shared" si="326"/>
        <v>N</v>
      </c>
      <c r="E1752" s="8" t="str">
        <f t="shared" si="327"/>
        <v>N</v>
      </c>
      <c r="F1752" s="8" t="str">
        <f t="shared" si="328"/>
        <v>Y</v>
      </c>
      <c r="G1752" s="8" t="str">
        <f t="shared" si="329"/>
        <v>Y</v>
      </c>
      <c r="H1752" s="8" t="str">
        <f t="shared" si="330"/>
        <v>Upper</v>
      </c>
      <c r="I1752" s="8" t="str">
        <f t="shared" si="331"/>
        <v>West Fork and Below Lake</v>
      </c>
      <c r="J1752" s="8" t="str">
        <f t="shared" si="332"/>
        <v>Outside</v>
      </c>
      <c r="K1752" s="8" t="str">
        <f t="shared" si="333"/>
        <v>Riparian</v>
      </c>
      <c r="L1752" s="8">
        <f t="shared" si="334"/>
        <v>1000</v>
      </c>
      <c r="M1752" s="8" t="str">
        <f t="shared" si="336"/>
        <v>-</v>
      </c>
      <c r="N1752" s="10" t="s">
        <v>242</v>
      </c>
      <c r="O1752" s="10" t="s">
        <v>241</v>
      </c>
      <c r="P1752" s="10" t="s">
        <v>242</v>
      </c>
      <c r="Q1752" s="10" t="s">
        <v>242</v>
      </c>
      <c r="R1752" s="10" t="s">
        <v>242</v>
      </c>
      <c r="S1752" s="10" t="s">
        <v>241</v>
      </c>
      <c r="T1752" s="10" t="s">
        <v>242</v>
      </c>
      <c r="U1752" s="10" t="s">
        <v>242</v>
      </c>
      <c r="V1752" s="10" t="s">
        <v>241</v>
      </c>
      <c r="W1752" s="10" t="s">
        <v>242</v>
      </c>
      <c r="X1752" s="15">
        <f>IF(ISERROR(VLOOKUP($A1752,'13. Updated Demand'!A:Z,15,FALSE)),0,VLOOKUP($A1752,'13. Updated Demand'!A:Z,15,FALSE))</f>
        <v>0</v>
      </c>
      <c r="Y1752" s="16">
        <f>IF(ISERROR(VLOOKUP($A1752,'13. Updated Demand'!A:Z,16,FALSE)),0,VLOOKUP($A1752,'13. Updated Demand'!A:Z,16,FALSE))</f>
        <v>0</v>
      </c>
      <c r="Z1752" s="16">
        <f>IF(ISERROR(VLOOKUP($A1752,'13. Updated Demand'!A:Z,17,FALSE)),0,VLOOKUP($A1752,'13. Updated Demand'!A:Z,17,FALSE))</f>
        <v>0.16</v>
      </c>
      <c r="AA1752" s="16">
        <f>IF(ISERROR(VLOOKUP($A1752,'13. Updated Demand'!A:Z,18,FALSE)),0,VLOOKUP($A1752,'13. Updated Demand'!A:Z,18,FALSE))</f>
        <v>1.08</v>
      </c>
      <c r="AB1752" s="16">
        <f>IF(ISERROR(VLOOKUP($A1752,'13. Updated Demand'!A:Z,19,FALSE)),0,VLOOKUP($A1752,'13. Updated Demand'!A:Z,19,FALSE))</f>
        <v>0</v>
      </c>
      <c r="AC1752" s="16">
        <f>IF(ISERROR(VLOOKUP($A1752,'13. Updated Demand'!A:Z,20,FALSE)),0,VLOOKUP($A1752,'13. Updated Demand'!A:Z,20,FALSE))</f>
        <v>0</v>
      </c>
      <c r="AD1752" s="16">
        <f>IF(ISERROR(VLOOKUP($A1752,'13. Updated Demand'!A:Z,21,FALSE)),0,VLOOKUP($A1752,'13. Updated Demand'!A:Z,21,FALSE))</f>
        <v>0</v>
      </c>
      <c r="AE1752" s="16">
        <f>IF(ISERROR(VLOOKUP($A1752,'13. Updated Demand'!A:Z,22,FALSE)),0,VLOOKUP($A1752,'13. Updated Demand'!A:Z,22,FALSE))</f>
        <v>0</v>
      </c>
      <c r="AF1752" s="16">
        <f>IF(ISERROR(VLOOKUP($A1752,'13. Updated Demand'!A:Z,23,FALSE)),0,VLOOKUP($A1752,'13. Updated Demand'!A:Z,23,FALSE))</f>
        <v>0</v>
      </c>
      <c r="AG1752" s="16">
        <f>IF(ISERROR(VLOOKUP($A1752,'13. Updated Demand'!A:Z,24,FALSE)),0,VLOOKUP($A1752,'13. Updated Demand'!A:Z,24,FALSE))</f>
        <v>0</v>
      </c>
      <c r="AH1752" s="16">
        <f>IF(ISERROR(VLOOKUP($A1752,'13. Updated Demand'!A:Z,25,FALSE)),0,VLOOKUP($A1752,'13. Updated Demand'!A:Z,25,FALSE))</f>
        <v>0</v>
      </c>
      <c r="AI1752" s="16">
        <f>IF(ISERROR(VLOOKUP($A1752,'13. Updated Demand'!A:Z,26,FALSE)),0,VLOOKUP($A1752,'13. Updated Demand'!A:Z,26,FALSE))</f>
        <v>0</v>
      </c>
      <c r="AJ1752" s="16">
        <f t="shared" si="337"/>
        <v>1.24</v>
      </c>
      <c r="AK1752" s="19">
        <v>0</v>
      </c>
      <c r="AL1752" s="16">
        <f t="shared" si="335"/>
        <v>0</v>
      </c>
      <c r="AM1752" s="26">
        <v>0.21606008093587523</v>
      </c>
      <c r="AN1752" s="19">
        <v>5.77</v>
      </c>
      <c r="AO1752" s="19" t="s">
        <v>1758</v>
      </c>
      <c r="AP1752" s="19">
        <v>0</v>
      </c>
      <c r="AQ1752" s="19" t="s">
        <v>307</v>
      </c>
      <c r="AR1752" s="9" t="s">
        <v>317</v>
      </c>
      <c r="AS1752" s="12">
        <v>0</v>
      </c>
      <c r="AT1752" s="19">
        <v>39.278577630000001</v>
      </c>
      <c r="AU1752" s="19">
        <v>-123.22345221</v>
      </c>
      <c r="AV1752" s="19" t="s">
        <v>417</v>
      </c>
    </row>
    <row r="1753" spans="1:48" x14ac:dyDescent="0.25">
      <c r="A1753" s="18" t="s">
        <v>2158</v>
      </c>
      <c r="B1753" s="10">
        <v>10000000</v>
      </c>
      <c r="C1753" s="9">
        <v>10</v>
      </c>
      <c r="D1753" s="8" t="str">
        <f t="shared" si="326"/>
        <v>N</v>
      </c>
      <c r="E1753" s="8" t="str">
        <f t="shared" si="327"/>
        <v>Y</v>
      </c>
      <c r="F1753" s="8" t="str">
        <f t="shared" si="328"/>
        <v>Y</v>
      </c>
      <c r="G1753" s="8" t="str">
        <f t="shared" si="329"/>
        <v>Y</v>
      </c>
      <c r="H1753" s="8" t="str">
        <f t="shared" si="330"/>
        <v>Upper</v>
      </c>
      <c r="I1753" s="8" t="str">
        <f t="shared" si="331"/>
        <v>West Fork and Below Lake</v>
      </c>
      <c r="J1753" s="8" t="str">
        <f t="shared" si="332"/>
        <v>Sonoma (d/s of Clov. Gage)</v>
      </c>
      <c r="K1753" s="8" t="str">
        <f t="shared" si="333"/>
        <v>Riparian</v>
      </c>
      <c r="L1753" s="8">
        <f t="shared" si="334"/>
        <v>1000</v>
      </c>
      <c r="M1753" s="8" t="str">
        <f t="shared" si="336"/>
        <v>-</v>
      </c>
      <c r="N1753" s="10" t="s">
        <v>241</v>
      </c>
      <c r="O1753" s="10" t="s">
        <v>241</v>
      </c>
      <c r="P1753" s="10" t="s">
        <v>242</v>
      </c>
      <c r="Q1753" s="10" t="s">
        <v>242</v>
      </c>
      <c r="R1753" s="10" t="s">
        <v>242</v>
      </c>
      <c r="S1753" s="10" t="s">
        <v>241</v>
      </c>
      <c r="T1753" s="10" t="s">
        <v>242</v>
      </c>
      <c r="U1753" s="10" t="s">
        <v>242</v>
      </c>
      <c r="V1753" s="10" t="s">
        <v>242</v>
      </c>
      <c r="W1753" s="10" t="s">
        <v>242</v>
      </c>
      <c r="X1753" s="15">
        <f>IF(ISERROR(VLOOKUP($A1753,'13. Updated Demand'!A:Z,15,FALSE)),0,VLOOKUP($A1753,'13. Updated Demand'!A:Z,15,FALSE))</f>
        <v>0.02</v>
      </c>
      <c r="Y1753" s="16">
        <f>IF(ISERROR(VLOOKUP($A1753,'13. Updated Demand'!A:Z,16,FALSE)),0,VLOOKUP($A1753,'13. Updated Demand'!A:Z,16,FALSE))</f>
        <v>0.02</v>
      </c>
      <c r="Z1753" s="16">
        <f>IF(ISERROR(VLOOKUP($A1753,'13. Updated Demand'!A:Z,17,FALSE)),0,VLOOKUP($A1753,'13. Updated Demand'!A:Z,17,FALSE))</f>
        <v>0.05</v>
      </c>
      <c r="AA1753" s="16">
        <f>IF(ISERROR(VLOOKUP($A1753,'13. Updated Demand'!A:Z,18,FALSE)),0,VLOOKUP($A1753,'13. Updated Demand'!A:Z,18,FALSE))</f>
        <v>0.05</v>
      </c>
      <c r="AB1753" s="16">
        <f>IF(ISERROR(VLOOKUP($A1753,'13. Updated Demand'!A:Z,19,FALSE)),0,VLOOKUP($A1753,'13. Updated Demand'!A:Z,19,FALSE))</f>
        <v>0.02</v>
      </c>
      <c r="AC1753" s="16">
        <f>IF(ISERROR(VLOOKUP($A1753,'13. Updated Demand'!A:Z,20,FALSE)),0,VLOOKUP($A1753,'13. Updated Demand'!A:Z,20,FALSE))</f>
        <v>0.09</v>
      </c>
      <c r="AD1753" s="16">
        <f>IF(ISERROR(VLOOKUP($A1753,'13. Updated Demand'!A:Z,21,FALSE)),0,VLOOKUP($A1753,'13. Updated Demand'!A:Z,21,FALSE))</f>
        <v>7.0000000000000007E-2</v>
      </c>
      <c r="AE1753" s="16">
        <f>IF(ISERROR(VLOOKUP($A1753,'13. Updated Demand'!A:Z,22,FALSE)),0,VLOOKUP($A1753,'13. Updated Demand'!A:Z,22,FALSE))</f>
        <v>0.08</v>
      </c>
      <c r="AF1753" s="16">
        <f>IF(ISERROR(VLOOKUP($A1753,'13. Updated Demand'!A:Z,23,FALSE)),0,VLOOKUP($A1753,'13. Updated Demand'!A:Z,23,FALSE))</f>
        <v>0.21</v>
      </c>
      <c r="AG1753" s="16">
        <f>IF(ISERROR(VLOOKUP($A1753,'13. Updated Demand'!A:Z,24,FALSE)),0,VLOOKUP($A1753,'13. Updated Demand'!A:Z,24,FALSE))</f>
        <v>0.27</v>
      </c>
      <c r="AH1753" s="16">
        <f>IF(ISERROR(VLOOKUP($A1753,'13. Updated Demand'!A:Z,25,FALSE)),0,VLOOKUP($A1753,'13. Updated Demand'!A:Z,25,FALSE))</f>
        <v>0.19</v>
      </c>
      <c r="AI1753" s="16">
        <f>IF(ISERROR(VLOOKUP($A1753,'13. Updated Demand'!A:Z,26,FALSE)),0,VLOOKUP($A1753,'13. Updated Demand'!A:Z,26,FALSE))</f>
        <v>0.17</v>
      </c>
      <c r="AJ1753" s="16">
        <f t="shared" si="337"/>
        <v>1.24</v>
      </c>
      <c r="AK1753" s="19">
        <v>0.49333333333333301</v>
      </c>
      <c r="AL1753" s="16">
        <f t="shared" si="335"/>
        <v>1.6363304707191165E-3</v>
      </c>
      <c r="AM1753" s="26">
        <v>1.0914280916799599</v>
      </c>
      <c r="AN1753" s="19">
        <v>1.1911</v>
      </c>
      <c r="AO1753" s="19" t="s">
        <v>1758</v>
      </c>
      <c r="AP1753" s="19">
        <v>0</v>
      </c>
      <c r="AQ1753" s="19" t="s">
        <v>307</v>
      </c>
      <c r="AR1753" s="9" t="s">
        <v>436</v>
      </c>
      <c r="AS1753" s="12">
        <v>3.4039024194010059E-4</v>
      </c>
      <c r="AT1753" s="19">
        <v>38.682288069999998</v>
      </c>
      <c r="AU1753" s="19">
        <v>-122.83590083</v>
      </c>
      <c r="AV1753" s="19" t="s">
        <v>548</v>
      </c>
    </row>
    <row r="1754" spans="1:48" x14ac:dyDescent="0.25">
      <c r="A1754" s="18" t="s">
        <v>2159</v>
      </c>
      <c r="B1754" s="10">
        <v>10000000</v>
      </c>
      <c r="C1754" s="9">
        <v>10</v>
      </c>
      <c r="D1754" s="8" t="str">
        <f t="shared" si="326"/>
        <v>N</v>
      </c>
      <c r="E1754" s="8" t="str">
        <f t="shared" si="327"/>
        <v>Y</v>
      </c>
      <c r="F1754" s="8" t="str">
        <f t="shared" si="328"/>
        <v>Y</v>
      </c>
      <c r="G1754" s="8" t="str">
        <f t="shared" si="329"/>
        <v>Y</v>
      </c>
      <c r="H1754" s="8" t="str">
        <f t="shared" si="330"/>
        <v>Upper</v>
      </c>
      <c r="I1754" s="8" t="str">
        <f t="shared" si="331"/>
        <v>West Fork and Below Lake</v>
      </c>
      <c r="J1754" s="8" t="str">
        <f t="shared" si="332"/>
        <v>Sonoma (d/s of Clov. Gage)</v>
      </c>
      <c r="K1754" s="8" t="str">
        <f t="shared" si="333"/>
        <v>Riparian</v>
      </c>
      <c r="L1754" s="8">
        <f t="shared" si="334"/>
        <v>1000</v>
      </c>
      <c r="M1754" s="8" t="str">
        <f t="shared" si="336"/>
        <v>-</v>
      </c>
      <c r="N1754" s="10" t="s">
        <v>241</v>
      </c>
      <c r="O1754" s="10" t="s">
        <v>241</v>
      </c>
      <c r="P1754" s="10" t="s">
        <v>242</v>
      </c>
      <c r="Q1754" s="10" t="s">
        <v>242</v>
      </c>
      <c r="R1754" s="10" t="s">
        <v>242</v>
      </c>
      <c r="S1754" s="10" t="s">
        <v>241</v>
      </c>
      <c r="T1754" s="10" t="s">
        <v>242</v>
      </c>
      <c r="U1754" s="10" t="s">
        <v>242</v>
      </c>
      <c r="V1754" s="10" t="s">
        <v>242</v>
      </c>
      <c r="W1754" s="10" t="s">
        <v>242</v>
      </c>
      <c r="X1754" s="15">
        <f>IF(ISERROR(VLOOKUP($A1754,'13. Updated Demand'!A:Z,15,FALSE)),0,VLOOKUP($A1754,'13. Updated Demand'!A:Z,15,FALSE))</f>
        <v>0.06</v>
      </c>
      <c r="Y1754" s="16">
        <f>IF(ISERROR(VLOOKUP($A1754,'13. Updated Demand'!A:Z,16,FALSE)),0,VLOOKUP($A1754,'13. Updated Demand'!A:Z,16,FALSE))</f>
        <v>0.06</v>
      </c>
      <c r="Z1754" s="16">
        <f>IF(ISERROR(VLOOKUP($A1754,'13. Updated Demand'!A:Z,17,FALSE)),0,VLOOKUP($A1754,'13. Updated Demand'!A:Z,17,FALSE))</f>
        <v>0.06</v>
      </c>
      <c r="AA1754" s="16">
        <f>IF(ISERROR(VLOOKUP($A1754,'13. Updated Demand'!A:Z,18,FALSE)),0,VLOOKUP($A1754,'13. Updated Demand'!A:Z,18,FALSE))</f>
        <v>0.12</v>
      </c>
      <c r="AB1754" s="16">
        <f>IF(ISERROR(VLOOKUP($A1754,'13. Updated Demand'!A:Z,19,FALSE)),0,VLOOKUP($A1754,'13. Updated Demand'!A:Z,19,FALSE))</f>
        <v>0.48</v>
      </c>
      <c r="AC1754" s="16">
        <f>IF(ISERROR(VLOOKUP($A1754,'13. Updated Demand'!A:Z,20,FALSE)),0,VLOOKUP($A1754,'13. Updated Demand'!A:Z,20,FALSE))</f>
        <v>1.29</v>
      </c>
      <c r="AD1754" s="16">
        <f>IF(ISERROR(VLOOKUP($A1754,'13. Updated Demand'!A:Z,21,FALSE)),0,VLOOKUP($A1754,'13. Updated Demand'!A:Z,21,FALSE))</f>
        <v>2.2999999999999998</v>
      </c>
      <c r="AE1754" s="16">
        <f>IF(ISERROR(VLOOKUP($A1754,'13. Updated Demand'!A:Z,22,FALSE)),0,VLOOKUP($A1754,'13. Updated Demand'!A:Z,22,FALSE))</f>
        <v>2.87</v>
      </c>
      <c r="AF1754" s="16">
        <f>IF(ISERROR(VLOOKUP($A1754,'13. Updated Demand'!A:Z,23,FALSE)),0,VLOOKUP($A1754,'13. Updated Demand'!A:Z,23,FALSE))</f>
        <v>2.91</v>
      </c>
      <c r="AG1754" s="16">
        <f>IF(ISERROR(VLOOKUP($A1754,'13. Updated Demand'!A:Z,24,FALSE)),0,VLOOKUP($A1754,'13. Updated Demand'!A:Z,24,FALSE))</f>
        <v>2.8</v>
      </c>
      <c r="AH1754" s="16">
        <f>IF(ISERROR(VLOOKUP($A1754,'13. Updated Demand'!A:Z,25,FALSE)),0,VLOOKUP($A1754,'13. Updated Demand'!A:Z,25,FALSE))</f>
        <v>0.31</v>
      </c>
      <c r="AI1754" s="16">
        <f>IF(ISERROR(VLOOKUP($A1754,'13. Updated Demand'!A:Z,26,FALSE)),0,VLOOKUP($A1754,'13. Updated Demand'!A:Z,26,FALSE))</f>
        <v>0.14000000000000001</v>
      </c>
      <c r="AJ1754" s="16">
        <f t="shared" si="337"/>
        <v>13.4</v>
      </c>
      <c r="AK1754" s="19">
        <v>9.8533333333333299</v>
      </c>
      <c r="AL1754" s="16">
        <f t="shared" si="335"/>
        <v>3.2682384266525068E-2</v>
      </c>
      <c r="AM1754" s="26">
        <v>0.79058823529411759</v>
      </c>
      <c r="AN1754" s="19">
        <v>17</v>
      </c>
      <c r="AO1754" s="19" t="s">
        <v>1758</v>
      </c>
      <c r="AP1754" s="19">
        <v>0</v>
      </c>
      <c r="AQ1754" s="19" t="s">
        <v>307</v>
      </c>
      <c r="AR1754" s="9" t="s">
        <v>436</v>
      </c>
      <c r="AS1754" s="12">
        <v>0</v>
      </c>
      <c r="AT1754" s="19">
        <v>38.678567389999998</v>
      </c>
      <c r="AU1754" s="19">
        <v>-122.83778393999999</v>
      </c>
      <c r="AV1754" s="19" t="s">
        <v>548</v>
      </c>
    </row>
    <row r="1755" spans="1:48" x14ac:dyDescent="0.25">
      <c r="A1755" s="18" t="s">
        <v>2160</v>
      </c>
      <c r="B1755" s="10">
        <v>10000000</v>
      </c>
      <c r="C1755" s="9">
        <v>10</v>
      </c>
      <c r="D1755" s="8" t="str">
        <f t="shared" si="326"/>
        <v>N</v>
      </c>
      <c r="E1755" s="8" t="str">
        <f t="shared" si="327"/>
        <v>Y</v>
      </c>
      <c r="F1755" s="8" t="str">
        <f t="shared" si="328"/>
        <v>Y</v>
      </c>
      <c r="G1755" s="8" t="str">
        <f t="shared" si="329"/>
        <v>Y</v>
      </c>
      <c r="H1755" s="8" t="str">
        <f t="shared" si="330"/>
        <v>Upper</v>
      </c>
      <c r="I1755" s="8" t="str">
        <f t="shared" si="331"/>
        <v>West Fork and Below Lake</v>
      </c>
      <c r="J1755" s="8" t="str">
        <f t="shared" si="332"/>
        <v>Sonoma (d/s of Clov. Gage)</v>
      </c>
      <c r="K1755" s="8" t="str">
        <f t="shared" si="333"/>
        <v>Riparian</v>
      </c>
      <c r="L1755" s="8">
        <f t="shared" si="334"/>
        <v>1000</v>
      </c>
      <c r="M1755" s="8" t="str">
        <f t="shared" si="336"/>
        <v>-</v>
      </c>
      <c r="N1755" s="10" t="s">
        <v>241</v>
      </c>
      <c r="O1755" s="10" t="s">
        <v>241</v>
      </c>
      <c r="P1755" s="10" t="s">
        <v>242</v>
      </c>
      <c r="Q1755" s="10" t="s">
        <v>242</v>
      </c>
      <c r="R1755" s="10" t="s">
        <v>242</v>
      </c>
      <c r="S1755" s="10" t="s">
        <v>241</v>
      </c>
      <c r="T1755" s="10" t="s">
        <v>242</v>
      </c>
      <c r="U1755" s="10" t="s">
        <v>242</v>
      </c>
      <c r="V1755" s="10" t="s">
        <v>241</v>
      </c>
      <c r="W1755" s="10" t="s">
        <v>242</v>
      </c>
      <c r="X1755" s="15">
        <f>IF(ISERROR(VLOOKUP($A1755,'13. Updated Demand'!A:Z,15,FALSE)),0,VLOOKUP($A1755,'13. Updated Demand'!A:Z,15,FALSE))</f>
        <v>0</v>
      </c>
      <c r="Y1755" s="16">
        <f>IF(ISERROR(VLOOKUP($A1755,'13. Updated Demand'!A:Z,16,FALSE)),0,VLOOKUP($A1755,'13. Updated Demand'!A:Z,16,FALSE))</f>
        <v>0</v>
      </c>
      <c r="Z1755" s="16">
        <f>IF(ISERROR(VLOOKUP($A1755,'13. Updated Demand'!A:Z,17,FALSE)),0,VLOOKUP($A1755,'13. Updated Demand'!A:Z,17,FALSE))</f>
        <v>0.13</v>
      </c>
      <c r="AA1755" s="16">
        <f>IF(ISERROR(VLOOKUP($A1755,'13. Updated Demand'!A:Z,18,FALSE)),0,VLOOKUP($A1755,'13. Updated Demand'!A:Z,18,FALSE))</f>
        <v>6.6666666666666697E-4</v>
      </c>
      <c r="AB1755" s="16">
        <f>IF(ISERROR(VLOOKUP($A1755,'13. Updated Demand'!A:Z,19,FALSE)),0,VLOOKUP($A1755,'13. Updated Demand'!A:Z,19,FALSE))</f>
        <v>0</v>
      </c>
      <c r="AC1755" s="16">
        <f>IF(ISERROR(VLOOKUP($A1755,'13. Updated Demand'!A:Z,20,FALSE)),0,VLOOKUP($A1755,'13. Updated Demand'!A:Z,20,FALSE))</f>
        <v>0</v>
      </c>
      <c r="AD1755" s="16">
        <f>IF(ISERROR(VLOOKUP($A1755,'13. Updated Demand'!A:Z,21,FALSE)),0,VLOOKUP($A1755,'13. Updated Demand'!A:Z,21,FALSE))</f>
        <v>0</v>
      </c>
      <c r="AE1755" s="16">
        <f>IF(ISERROR(VLOOKUP($A1755,'13. Updated Demand'!A:Z,22,FALSE)),0,VLOOKUP($A1755,'13. Updated Demand'!A:Z,22,FALSE))</f>
        <v>0</v>
      </c>
      <c r="AF1755" s="16">
        <f>IF(ISERROR(VLOOKUP($A1755,'13. Updated Demand'!A:Z,23,FALSE)),0,VLOOKUP($A1755,'13. Updated Demand'!A:Z,23,FALSE))</f>
        <v>0</v>
      </c>
      <c r="AG1755" s="16">
        <f>IF(ISERROR(VLOOKUP($A1755,'13. Updated Demand'!A:Z,24,FALSE)),0,VLOOKUP($A1755,'13. Updated Demand'!A:Z,24,FALSE))</f>
        <v>0</v>
      </c>
      <c r="AH1755" s="16">
        <f>IF(ISERROR(VLOOKUP($A1755,'13. Updated Demand'!A:Z,25,FALSE)),0,VLOOKUP($A1755,'13. Updated Demand'!A:Z,25,FALSE))</f>
        <v>0.09</v>
      </c>
      <c r="AI1755" s="16">
        <f>IF(ISERROR(VLOOKUP($A1755,'13. Updated Demand'!A:Z,26,FALSE)),0,VLOOKUP($A1755,'13. Updated Demand'!A:Z,26,FALSE))</f>
        <v>0</v>
      </c>
      <c r="AJ1755" s="16">
        <f t="shared" si="337"/>
        <v>0.22066666666666668</v>
      </c>
      <c r="AK1755" s="19">
        <v>0</v>
      </c>
      <c r="AL1755" s="16">
        <f t="shared" si="335"/>
        <v>0</v>
      </c>
      <c r="AM1755" s="26">
        <v>5.5999999999999918E-2</v>
      </c>
      <c r="AN1755" s="19">
        <v>4</v>
      </c>
      <c r="AO1755" s="19" t="s">
        <v>1758</v>
      </c>
      <c r="AP1755" s="19">
        <v>0</v>
      </c>
      <c r="AQ1755" s="19" t="s">
        <v>307</v>
      </c>
      <c r="AR1755" s="9" t="s">
        <v>436</v>
      </c>
      <c r="AS1755" s="12">
        <v>0</v>
      </c>
      <c r="AT1755" s="19">
        <v>38.678567389999998</v>
      </c>
      <c r="AU1755" s="19">
        <v>-122.83778393999999</v>
      </c>
      <c r="AV1755" s="19" t="s">
        <v>548</v>
      </c>
    </row>
    <row r="1756" spans="1:48" x14ac:dyDescent="0.25">
      <c r="A1756" s="18" t="s">
        <v>2161</v>
      </c>
      <c r="B1756" s="10">
        <v>10000000</v>
      </c>
      <c r="C1756" s="9">
        <v>11</v>
      </c>
      <c r="D1756" s="8" t="str">
        <f t="shared" si="326"/>
        <v>N</v>
      </c>
      <c r="E1756" s="8" t="str">
        <f t="shared" si="327"/>
        <v>Y</v>
      </c>
      <c r="F1756" s="8" t="str">
        <f t="shared" si="328"/>
        <v>Y</v>
      </c>
      <c r="G1756" s="8" t="str">
        <f t="shared" si="329"/>
        <v>Y</v>
      </c>
      <c r="H1756" s="8" t="str">
        <f t="shared" si="330"/>
        <v>Upper</v>
      </c>
      <c r="I1756" s="8" t="str">
        <f t="shared" si="331"/>
        <v>West Fork and Below Lake</v>
      </c>
      <c r="J1756" s="8" t="str">
        <f t="shared" si="332"/>
        <v>Sonoma (d/s of Clov. Gage)</v>
      </c>
      <c r="K1756" s="8" t="str">
        <f t="shared" si="333"/>
        <v>Riparian</v>
      </c>
      <c r="L1756" s="8">
        <f t="shared" si="334"/>
        <v>1000</v>
      </c>
      <c r="M1756" s="8" t="str">
        <f t="shared" si="336"/>
        <v>-</v>
      </c>
      <c r="N1756" s="10" t="s">
        <v>242</v>
      </c>
      <c r="O1756" s="10" t="s">
        <v>241</v>
      </c>
      <c r="P1756" s="10" t="s">
        <v>242</v>
      </c>
      <c r="Q1756" s="10" t="s">
        <v>242</v>
      </c>
      <c r="R1756" s="10" t="s">
        <v>242</v>
      </c>
      <c r="S1756" s="10" t="s">
        <v>241</v>
      </c>
      <c r="T1756" s="10" t="s">
        <v>242</v>
      </c>
      <c r="U1756" s="10" t="s">
        <v>242</v>
      </c>
      <c r="V1756" s="10" t="s">
        <v>242</v>
      </c>
      <c r="W1756" s="10" t="s">
        <v>242</v>
      </c>
      <c r="X1756" s="15">
        <f>IF(ISERROR(VLOOKUP($A1756,'13. Updated Demand'!A:Z,15,FALSE)),0,VLOOKUP($A1756,'13. Updated Demand'!A:Z,15,FALSE))</f>
        <v>0.68</v>
      </c>
      <c r="Y1756" s="16">
        <f>IF(ISERROR(VLOOKUP($A1756,'13. Updated Demand'!A:Z,16,FALSE)),0,VLOOKUP($A1756,'13. Updated Demand'!A:Z,16,FALSE))</f>
        <v>0.62</v>
      </c>
      <c r="Z1756" s="16">
        <f>IF(ISERROR(VLOOKUP($A1756,'13. Updated Demand'!A:Z,17,FALSE)),0,VLOOKUP($A1756,'13. Updated Demand'!A:Z,17,FALSE))</f>
        <v>0.68</v>
      </c>
      <c r="AA1756" s="16">
        <f>IF(ISERROR(VLOOKUP($A1756,'13. Updated Demand'!A:Z,18,FALSE)),0,VLOOKUP($A1756,'13. Updated Demand'!A:Z,18,FALSE))</f>
        <v>0.66</v>
      </c>
      <c r="AB1756" s="16">
        <f>IF(ISERROR(VLOOKUP($A1756,'13. Updated Demand'!A:Z,19,FALSE)),0,VLOOKUP($A1756,'13. Updated Demand'!A:Z,19,FALSE))</f>
        <v>0.69</v>
      </c>
      <c r="AC1756" s="16">
        <f>IF(ISERROR(VLOOKUP($A1756,'13. Updated Demand'!A:Z,20,FALSE)),0,VLOOKUP($A1756,'13. Updated Demand'!A:Z,20,FALSE))</f>
        <v>0.68</v>
      </c>
      <c r="AD1756" s="16">
        <f>IF(ISERROR(VLOOKUP($A1756,'13. Updated Demand'!A:Z,21,FALSE)),0,VLOOKUP($A1756,'13. Updated Demand'!A:Z,21,FALSE))</f>
        <v>0.71</v>
      </c>
      <c r="AE1756" s="16">
        <f>IF(ISERROR(VLOOKUP($A1756,'13. Updated Demand'!A:Z,22,FALSE)),0,VLOOKUP($A1756,'13. Updated Demand'!A:Z,22,FALSE))</f>
        <v>0.71</v>
      </c>
      <c r="AF1756" s="16">
        <f>IF(ISERROR(VLOOKUP($A1756,'13. Updated Demand'!A:Z,23,FALSE)),0,VLOOKUP($A1756,'13. Updated Demand'!A:Z,23,FALSE))</f>
        <v>0.69</v>
      </c>
      <c r="AG1756" s="16">
        <f>IF(ISERROR(VLOOKUP($A1756,'13. Updated Demand'!A:Z,24,FALSE)),0,VLOOKUP($A1756,'13. Updated Demand'!A:Z,24,FALSE))</f>
        <v>0.7</v>
      </c>
      <c r="AH1756" s="16">
        <f>IF(ISERROR(VLOOKUP($A1756,'13. Updated Demand'!A:Z,25,FALSE)),0,VLOOKUP($A1756,'13. Updated Demand'!A:Z,25,FALSE))</f>
        <v>0.66</v>
      </c>
      <c r="AI1756" s="16">
        <f>IF(ISERROR(VLOOKUP($A1756,'13. Updated Demand'!A:Z,26,FALSE)),0,VLOOKUP($A1756,'13. Updated Demand'!A:Z,26,FALSE))</f>
        <v>0.68</v>
      </c>
      <c r="AJ1756" s="16">
        <f t="shared" si="337"/>
        <v>8.16</v>
      </c>
      <c r="AK1756" s="19">
        <v>3.48</v>
      </c>
      <c r="AL1756" s="16">
        <f t="shared" si="335"/>
        <v>1.1542763590748371E-2</v>
      </c>
      <c r="AM1756" s="26">
        <v>0.68</v>
      </c>
      <c r="AN1756" s="19">
        <v>12</v>
      </c>
      <c r="AO1756" s="19" t="s">
        <v>1758</v>
      </c>
      <c r="AP1756" s="19">
        <v>0</v>
      </c>
      <c r="AQ1756" s="19" t="s">
        <v>307</v>
      </c>
      <c r="AR1756" s="9" t="s">
        <v>308</v>
      </c>
      <c r="AS1756" s="12">
        <v>3.4039024194010059E-4</v>
      </c>
      <c r="AT1756" s="19">
        <v>38.691607130000001</v>
      </c>
      <c r="AU1756" s="19">
        <v>-122.66870385999999</v>
      </c>
      <c r="AV1756" s="19" t="s">
        <v>417</v>
      </c>
    </row>
    <row r="1757" spans="1:48" x14ac:dyDescent="0.25">
      <c r="A1757" s="18" t="s">
        <v>2162</v>
      </c>
      <c r="B1757" s="10">
        <v>10000000</v>
      </c>
      <c r="C1757" s="9">
        <v>11</v>
      </c>
      <c r="D1757" s="8" t="str">
        <f t="shared" si="326"/>
        <v>N</v>
      </c>
      <c r="E1757" s="8" t="str">
        <f t="shared" si="327"/>
        <v>Y</v>
      </c>
      <c r="F1757" s="8" t="str">
        <f t="shared" si="328"/>
        <v>Y</v>
      </c>
      <c r="G1757" s="8" t="str">
        <f t="shared" si="329"/>
        <v>Y</v>
      </c>
      <c r="H1757" s="8" t="str">
        <f t="shared" si="330"/>
        <v>Upper</v>
      </c>
      <c r="I1757" s="8" t="str">
        <f t="shared" si="331"/>
        <v>West Fork and Below Lake</v>
      </c>
      <c r="J1757" s="8" t="str">
        <f t="shared" si="332"/>
        <v>Sonoma (d/s of Clov. Gage)</v>
      </c>
      <c r="K1757" s="8" t="str">
        <f t="shared" si="333"/>
        <v>Riparian</v>
      </c>
      <c r="L1757" s="8">
        <f t="shared" si="334"/>
        <v>1000</v>
      </c>
      <c r="M1757" s="8" t="str">
        <f t="shared" si="336"/>
        <v>-</v>
      </c>
      <c r="N1757" s="10" t="s">
        <v>242</v>
      </c>
      <c r="O1757" s="10" t="s">
        <v>241</v>
      </c>
      <c r="P1757" s="10" t="s">
        <v>242</v>
      </c>
      <c r="Q1757" s="10" t="s">
        <v>242</v>
      </c>
      <c r="R1757" s="10" t="s">
        <v>242</v>
      </c>
      <c r="S1757" s="10" t="s">
        <v>241</v>
      </c>
      <c r="T1757" s="10" t="s">
        <v>242</v>
      </c>
      <c r="U1757" s="10" t="s">
        <v>242</v>
      </c>
      <c r="V1757" s="10" t="s">
        <v>242</v>
      </c>
      <c r="W1757" s="10" t="s">
        <v>242</v>
      </c>
      <c r="X1757" s="15">
        <f>IF(ISERROR(VLOOKUP($A1757,'13. Updated Demand'!A:Z,15,FALSE)),0,VLOOKUP($A1757,'13. Updated Demand'!A:Z,15,FALSE))</f>
        <v>0</v>
      </c>
      <c r="Y1757" s="16">
        <f>IF(ISERROR(VLOOKUP($A1757,'13. Updated Demand'!A:Z,16,FALSE)),0,VLOOKUP($A1757,'13. Updated Demand'!A:Z,16,FALSE))</f>
        <v>0</v>
      </c>
      <c r="Z1757" s="16">
        <f>IF(ISERROR(VLOOKUP($A1757,'13. Updated Demand'!A:Z,17,FALSE)),0,VLOOKUP($A1757,'13. Updated Demand'!A:Z,17,FALSE))</f>
        <v>0</v>
      </c>
      <c r="AA1757" s="16">
        <f>IF(ISERROR(VLOOKUP($A1757,'13. Updated Demand'!A:Z,18,FALSE)),0,VLOOKUP($A1757,'13. Updated Demand'!A:Z,18,FALSE))</f>
        <v>0</v>
      </c>
      <c r="AB1757" s="16">
        <f>IF(ISERROR(VLOOKUP($A1757,'13. Updated Demand'!A:Z,19,FALSE)),0,VLOOKUP($A1757,'13. Updated Demand'!A:Z,19,FALSE))</f>
        <v>0</v>
      </c>
      <c r="AC1757" s="16">
        <f>IF(ISERROR(VLOOKUP($A1757,'13. Updated Demand'!A:Z,20,FALSE)),0,VLOOKUP($A1757,'13. Updated Demand'!A:Z,20,FALSE))</f>
        <v>1E-3</v>
      </c>
      <c r="AD1757" s="16">
        <f>IF(ISERROR(VLOOKUP($A1757,'13. Updated Demand'!A:Z,21,FALSE)),0,VLOOKUP($A1757,'13. Updated Demand'!A:Z,21,FALSE))</f>
        <v>1E-3</v>
      </c>
      <c r="AE1757" s="16">
        <f>IF(ISERROR(VLOOKUP($A1757,'13. Updated Demand'!A:Z,22,FALSE)),0,VLOOKUP($A1757,'13. Updated Demand'!A:Z,22,FALSE))</f>
        <v>1E-3</v>
      </c>
      <c r="AF1757" s="16">
        <f>IF(ISERROR(VLOOKUP($A1757,'13. Updated Demand'!A:Z,23,FALSE)),0,VLOOKUP($A1757,'13. Updated Demand'!A:Z,23,FALSE))</f>
        <v>0</v>
      </c>
      <c r="AG1757" s="16">
        <f>IF(ISERROR(VLOOKUP($A1757,'13. Updated Demand'!A:Z,24,FALSE)),0,VLOOKUP($A1757,'13. Updated Demand'!A:Z,24,FALSE))</f>
        <v>0</v>
      </c>
      <c r="AH1757" s="16">
        <f>IF(ISERROR(VLOOKUP($A1757,'13. Updated Demand'!A:Z,25,FALSE)),0,VLOOKUP($A1757,'13. Updated Demand'!A:Z,25,FALSE))</f>
        <v>0</v>
      </c>
      <c r="AI1757" s="16">
        <f>IF(ISERROR(VLOOKUP($A1757,'13. Updated Demand'!A:Z,26,FALSE)),0,VLOOKUP($A1757,'13. Updated Demand'!A:Z,26,FALSE))</f>
        <v>0</v>
      </c>
      <c r="AJ1757" s="16">
        <f t="shared" si="337"/>
        <v>3.0000000000000001E-3</v>
      </c>
      <c r="AK1757" s="19">
        <v>3.0000000000000001E-3</v>
      </c>
      <c r="AL1757" s="16">
        <f t="shared" si="335"/>
        <v>9.9506582678865273E-6</v>
      </c>
      <c r="AM1757" s="26">
        <v>0.7142857142857143</v>
      </c>
      <c r="AN1757" s="19">
        <v>4.1999999999999997E-3</v>
      </c>
      <c r="AO1757" s="19" t="s">
        <v>1758</v>
      </c>
      <c r="AP1757" s="19">
        <v>0</v>
      </c>
      <c r="AQ1757" s="19" t="s">
        <v>307</v>
      </c>
      <c r="AR1757" s="9" t="s">
        <v>308</v>
      </c>
      <c r="AS1757" s="12">
        <v>0</v>
      </c>
      <c r="AT1757" s="19">
        <v>38.690625930000003</v>
      </c>
      <c r="AU1757" s="19">
        <v>-122.67219838</v>
      </c>
      <c r="AV1757" s="19" t="s">
        <v>417</v>
      </c>
    </row>
    <row r="1758" spans="1:48" x14ac:dyDescent="0.25">
      <c r="A1758" s="18" t="s">
        <v>2163</v>
      </c>
      <c r="B1758" s="10">
        <v>10000000</v>
      </c>
      <c r="C1758" s="9">
        <v>6</v>
      </c>
      <c r="D1758" s="8" t="str">
        <f t="shared" si="326"/>
        <v>Y</v>
      </c>
      <c r="E1758" s="8" t="str">
        <f t="shared" si="327"/>
        <v>N</v>
      </c>
      <c r="F1758" s="8" t="str">
        <f t="shared" si="328"/>
        <v>Y</v>
      </c>
      <c r="G1758" s="8" t="str">
        <f t="shared" si="329"/>
        <v>Y</v>
      </c>
      <c r="H1758" s="8" t="str">
        <f t="shared" si="330"/>
        <v>Upper</v>
      </c>
      <c r="I1758" s="8" t="str">
        <f t="shared" si="331"/>
        <v>West Fork and Below Lake</v>
      </c>
      <c r="J1758" s="8" t="str">
        <f t="shared" si="332"/>
        <v>Mendocino (d/s of lake)</v>
      </c>
      <c r="K1758" s="8" t="str">
        <f t="shared" si="333"/>
        <v>Riparian</v>
      </c>
      <c r="L1758" s="8">
        <f t="shared" si="334"/>
        <v>1000</v>
      </c>
      <c r="M1758" s="8" t="str">
        <f t="shared" si="336"/>
        <v>-</v>
      </c>
      <c r="N1758" s="10" t="s">
        <v>242</v>
      </c>
      <c r="O1758" s="10" t="s">
        <v>241</v>
      </c>
      <c r="P1758" s="10" t="s">
        <v>242</v>
      </c>
      <c r="Q1758" s="10" t="s">
        <v>242</v>
      </c>
      <c r="R1758" s="10" t="s">
        <v>242</v>
      </c>
      <c r="S1758" s="10" t="s">
        <v>241</v>
      </c>
      <c r="T1758" s="10" t="s">
        <v>242</v>
      </c>
      <c r="U1758" s="10" t="s">
        <v>242</v>
      </c>
      <c r="V1758" s="10" t="s">
        <v>242</v>
      </c>
      <c r="W1758" s="10" t="s">
        <v>242</v>
      </c>
      <c r="X1758" s="15">
        <f>IF(ISERROR(VLOOKUP($A1758,'13. Updated Demand'!A:Z,15,FALSE)),0,VLOOKUP($A1758,'13. Updated Demand'!A:Z,15,FALSE))</f>
        <v>0</v>
      </c>
      <c r="Y1758" s="16">
        <f>IF(ISERROR(VLOOKUP($A1758,'13. Updated Demand'!A:Z,16,FALSE)),0,VLOOKUP($A1758,'13. Updated Demand'!A:Z,16,FALSE))</f>
        <v>0</v>
      </c>
      <c r="Z1758" s="16">
        <f>IF(ISERROR(VLOOKUP($A1758,'13. Updated Demand'!A:Z,17,FALSE)),0,VLOOKUP($A1758,'13. Updated Demand'!A:Z,17,FALSE))</f>
        <v>0</v>
      </c>
      <c r="AA1758" s="16">
        <f>IF(ISERROR(VLOOKUP($A1758,'13. Updated Demand'!A:Z,18,FALSE)),0,VLOOKUP($A1758,'13. Updated Demand'!A:Z,18,FALSE))</f>
        <v>0.4</v>
      </c>
      <c r="AB1758" s="16">
        <f>IF(ISERROR(VLOOKUP($A1758,'13. Updated Demand'!A:Z,19,FALSE)),0,VLOOKUP($A1758,'13. Updated Demand'!A:Z,19,FALSE))</f>
        <v>0.5</v>
      </c>
      <c r="AC1758" s="16">
        <f>IF(ISERROR(VLOOKUP($A1758,'13. Updated Demand'!A:Z,20,FALSE)),0,VLOOKUP($A1758,'13. Updated Demand'!A:Z,20,FALSE))</f>
        <v>0.53</v>
      </c>
      <c r="AD1758" s="16">
        <f>IF(ISERROR(VLOOKUP($A1758,'13. Updated Demand'!A:Z,21,FALSE)),0,VLOOKUP($A1758,'13. Updated Demand'!A:Z,21,FALSE))</f>
        <v>0.56999999999999995</v>
      </c>
      <c r="AE1758" s="16">
        <f>IF(ISERROR(VLOOKUP($A1758,'13. Updated Demand'!A:Z,22,FALSE)),0,VLOOKUP($A1758,'13. Updated Demand'!A:Z,22,FALSE))</f>
        <v>0.56999999999999995</v>
      </c>
      <c r="AF1758" s="16">
        <f>IF(ISERROR(VLOOKUP($A1758,'13. Updated Demand'!A:Z,23,FALSE)),0,VLOOKUP($A1758,'13. Updated Demand'!A:Z,23,FALSE))</f>
        <v>0.52</v>
      </c>
      <c r="AG1758" s="16">
        <f>IF(ISERROR(VLOOKUP($A1758,'13. Updated Demand'!A:Z,24,FALSE)),0,VLOOKUP($A1758,'13. Updated Demand'!A:Z,24,FALSE))</f>
        <v>0.5</v>
      </c>
      <c r="AH1758" s="16">
        <f>IF(ISERROR(VLOOKUP($A1758,'13. Updated Demand'!A:Z,25,FALSE)),0,VLOOKUP($A1758,'13. Updated Demand'!A:Z,25,FALSE))</f>
        <v>0</v>
      </c>
      <c r="AI1758" s="16">
        <f>IF(ISERROR(VLOOKUP($A1758,'13. Updated Demand'!A:Z,26,FALSE)),0,VLOOKUP($A1758,'13. Updated Demand'!A:Z,26,FALSE))</f>
        <v>0</v>
      </c>
      <c r="AJ1758" s="16">
        <f t="shared" si="337"/>
        <v>3.59</v>
      </c>
      <c r="AK1758" s="19">
        <v>2.7074866659999999</v>
      </c>
      <c r="AL1758" s="16">
        <f t="shared" si="335"/>
        <v>8.9804248594084757E-3</v>
      </c>
      <c r="AM1758" s="26">
        <v>35.13599220817121</v>
      </c>
      <c r="AN1758" s="19">
        <v>0.1028</v>
      </c>
      <c r="AO1758" s="19" t="s">
        <v>1758</v>
      </c>
      <c r="AP1758" s="19">
        <v>0</v>
      </c>
      <c r="AQ1758" s="19" t="s">
        <v>307</v>
      </c>
      <c r="AR1758" s="9" t="s">
        <v>319</v>
      </c>
      <c r="AS1758" s="12">
        <v>0</v>
      </c>
      <c r="AT1758" s="19">
        <v>38.945618719999999</v>
      </c>
      <c r="AU1758" s="19">
        <v>-123.1294535</v>
      </c>
      <c r="AV1758" s="19" t="s">
        <v>417</v>
      </c>
    </row>
    <row r="1759" spans="1:48" x14ac:dyDescent="0.25">
      <c r="A1759" s="18" t="s">
        <v>2164</v>
      </c>
      <c r="B1759" s="10">
        <v>10000000</v>
      </c>
      <c r="C1759" s="9">
        <v>4</v>
      </c>
      <c r="D1759" s="8" t="str">
        <f t="shared" si="326"/>
        <v>Y</v>
      </c>
      <c r="E1759" s="8" t="str">
        <f t="shared" si="327"/>
        <v>N</v>
      </c>
      <c r="F1759" s="8" t="str">
        <f t="shared" si="328"/>
        <v>Y</v>
      </c>
      <c r="G1759" s="8" t="str">
        <f t="shared" si="329"/>
        <v>Y</v>
      </c>
      <c r="H1759" s="8" t="str">
        <f t="shared" si="330"/>
        <v>Upper</v>
      </c>
      <c r="I1759" s="8" t="str">
        <f t="shared" si="331"/>
        <v>West Fork and Below Lake</v>
      </c>
      <c r="J1759" s="8" t="str">
        <f t="shared" si="332"/>
        <v>Mendocino (d/s of lake)</v>
      </c>
      <c r="K1759" s="8" t="str">
        <f t="shared" si="333"/>
        <v>Riparian</v>
      </c>
      <c r="L1759" s="8">
        <f t="shared" si="334"/>
        <v>1000</v>
      </c>
      <c r="M1759" s="8" t="str">
        <f t="shared" si="336"/>
        <v>-</v>
      </c>
      <c r="N1759" s="10" t="s">
        <v>241</v>
      </c>
      <c r="O1759" s="10" t="s">
        <v>241</v>
      </c>
      <c r="P1759" s="10" t="s">
        <v>242</v>
      </c>
      <c r="Q1759" s="10" t="s">
        <v>242</v>
      </c>
      <c r="R1759" s="10" t="s">
        <v>242</v>
      </c>
      <c r="S1759" s="10" t="s">
        <v>241</v>
      </c>
      <c r="T1759" s="10" t="s">
        <v>241</v>
      </c>
      <c r="U1759" s="10" t="s">
        <v>241</v>
      </c>
      <c r="V1759" s="10" t="s">
        <v>241</v>
      </c>
      <c r="W1759" s="10" t="s">
        <v>242</v>
      </c>
      <c r="X1759" s="15">
        <f>IF(ISERROR(VLOOKUP($A1759,'13. Updated Demand'!A:Z,15,FALSE)),0,VLOOKUP($A1759,'13. Updated Demand'!A:Z,15,FALSE))</f>
        <v>0</v>
      </c>
      <c r="Y1759" s="16">
        <f>IF(ISERROR(VLOOKUP($A1759,'13. Updated Demand'!A:Z,16,FALSE)),0,VLOOKUP($A1759,'13. Updated Demand'!A:Z,16,FALSE))</f>
        <v>0</v>
      </c>
      <c r="Z1759" s="16">
        <f>IF(ISERROR(VLOOKUP($A1759,'13. Updated Demand'!A:Z,17,FALSE)),0,VLOOKUP($A1759,'13. Updated Demand'!A:Z,17,FALSE))</f>
        <v>0</v>
      </c>
      <c r="AA1759" s="16">
        <f>IF(ISERROR(VLOOKUP($A1759,'13. Updated Demand'!A:Z,18,FALSE)),0,VLOOKUP($A1759,'13. Updated Demand'!A:Z,18,FALSE))</f>
        <v>0</v>
      </c>
      <c r="AB1759" s="16">
        <f>IF(ISERROR(VLOOKUP($A1759,'13. Updated Demand'!A:Z,19,FALSE)),0,VLOOKUP($A1759,'13. Updated Demand'!A:Z,19,FALSE))</f>
        <v>0</v>
      </c>
      <c r="AC1759" s="16">
        <f>IF(ISERROR(VLOOKUP($A1759,'13. Updated Demand'!A:Z,20,FALSE)),0,VLOOKUP($A1759,'13. Updated Demand'!A:Z,20,FALSE))</f>
        <v>0</v>
      </c>
      <c r="AD1759" s="16">
        <f>IF(ISERROR(VLOOKUP($A1759,'13. Updated Demand'!A:Z,21,FALSE)),0,VLOOKUP($A1759,'13. Updated Demand'!A:Z,21,FALSE))</f>
        <v>0</v>
      </c>
      <c r="AE1759" s="16">
        <f>IF(ISERROR(VLOOKUP($A1759,'13. Updated Demand'!A:Z,22,FALSE)),0,VLOOKUP($A1759,'13. Updated Demand'!A:Z,22,FALSE))</f>
        <v>0</v>
      </c>
      <c r="AF1759" s="16">
        <f>IF(ISERROR(VLOOKUP($A1759,'13. Updated Demand'!A:Z,23,FALSE)),0,VLOOKUP($A1759,'13. Updated Demand'!A:Z,23,FALSE))</f>
        <v>0</v>
      </c>
      <c r="AG1759" s="16">
        <f>IF(ISERROR(VLOOKUP($A1759,'13. Updated Demand'!A:Z,24,FALSE)),0,VLOOKUP($A1759,'13. Updated Demand'!A:Z,24,FALSE))</f>
        <v>0</v>
      </c>
      <c r="AH1759" s="16">
        <f>IF(ISERROR(VLOOKUP($A1759,'13. Updated Demand'!A:Z,25,FALSE)),0,VLOOKUP($A1759,'13. Updated Demand'!A:Z,25,FALSE))</f>
        <v>0</v>
      </c>
      <c r="AI1759" s="16">
        <f>IF(ISERROR(VLOOKUP($A1759,'13. Updated Demand'!A:Z,26,FALSE)),0,VLOOKUP($A1759,'13. Updated Demand'!A:Z,26,FALSE))</f>
        <v>0</v>
      </c>
      <c r="AJ1759" s="16">
        <f t="shared" si="337"/>
        <v>0</v>
      </c>
      <c r="AK1759" s="19">
        <v>0</v>
      </c>
      <c r="AL1759" s="16">
        <f t="shared" si="335"/>
        <v>0</v>
      </c>
      <c r="AM1759" s="26">
        <v>0</v>
      </c>
      <c r="AN1759" s="19"/>
      <c r="AO1759" s="19"/>
      <c r="AP1759" s="19">
        <v>0</v>
      </c>
      <c r="AQ1759" s="19" t="s">
        <v>307</v>
      </c>
      <c r="AR1759" s="9" t="s">
        <v>331</v>
      </c>
      <c r="AS1759" s="12">
        <v>0</v>
      </c>
      <c r="AT1759" s="19">
        <v>39.17159917</v>
      </c>
      <c r="AU1759" s="19">
        <v>-123.19271120000001</v>
      </c>
      <c r="AV1759" s="19" t="s">
        <v>387</v>
      </c>
    </row>
    <row r="1760" spans="1:48" x14ac:dyDescent="0.25">
      <c r="A1760" s="18" t="s">
        <v>2165</v>
      </c>
      <c r="B1760" s="10">
        <v>10000000</v>
      </c>
      <c r="C1760" s="9">
        <v>5</v>
      </c>
      <c r="D1760" s="8" t="str">
        <f t="shared" si="326"/>
        <v>Y</v>
      </c>
      <c r="E1760" s="8" t="str">
        <f t="shared" si="327"/>
        <v>N</v>
      </c>
      <c r="F1760" s="8" t="str">
        <f t="shared" si="328"/>
        <v>Y</v>
      </c>
      <c r="G1760" s="8" t="str">
        <f t="shared" si="329"/>
        <v>Y</v>
      </c>
      <c r="H1760" s="8" t="str">
        <f t="shared" si="330"/>
        <v>Upper</v>
      </c>
      <c r="I1760" s="8" t="str">
        <f t="shared" si="331"/>
        <v>West Fork and Below Lake</v>
      </c>
      <c r="J1760" s="8" t="str">
        <f t="shared" si="332"/>
        <v>Mendocino (d/s of lake)</v>
      </c>
      <c r="K1760" s="8" t="str">
        <f t="shared" si="333"/>
        <v>Riparian</v>
      </c>
      <c r="L1760" s="8">
        <f t="shared" si="334"/>
        <v>1000</v>
      </c>
      <c r="M1760" s="8" t="str">
        <f t="shared" si="336"/>
        <v>-</v>
      </c>
      <c r="N1760" s="10" t="s">
        <v>241</v>
      </c>
      <c r="O1760" s="10" t="s">
        <v>241</v>
      </c>
      <c r="P1760" s="10" t="s">
        <v>242</v>
      </c>
      <c r="Q1760" s="10" t="s">
        <v>242</v>
      </c>
      <c r="R1760" s="10" t="s">
        <v>242</v>
      </c>
      <c r="S1760" s="10" t="s">
        <v>241</v>
      </c>
      <c r="T1760" s="10" t="s">
        <v>242</v>
      </c>
      <c r="U1760" s="10" t="s">
        <v>242</v>
      </c>
      <c r="V1760" s="10" t="s">
        <v>242</v>
      </c>
      <c r="W1760" s="10" t="s">
        <v>242</v>
      </c>
      <c r="X1760" s="15">
        <f>IF(ISERROR(VLOOKUP($A1760,'13. Updated Demand'!A:Z,15,FALSE)),0,VLOOKUP($A1760,'13. Updated Demand'!A:Z,15,FALSE))</f>
        <v>1.66</v>
      </c>
      <c r="Y1760" s="16">
        <f>IF(ISERROR(VLOOKUP($A1760,'13. Updated Demand'!A:Z,16,FALSE)),0,VLOOKUP($A1760,'13. Updated Demand'!A:Z,16,FALSE))</f>
        <v>1.66</v>
      </c>
      <c r="Z1760" s="16">
        <f>IF(ISERROR(VLOOKUP($A1760,'13. Updated Demand'!A:Z,17,FALSE)),0,VLOOKUP($A1760,'13. Updated Demand'!A:Z,17,FALSE))</f>
        <v>2</v>
      </c>
      <c r="AA1760" s="16">
        <f>IF(ISERROR(VLOOKUP($A1760,'13. Updated Demand'!A:Z,18,FALSE)),0,VLOOKUP($A1760,'13. Updated Demand'!A:Z,18,FALSE))</f>
        <v>2.33</v>
      </c>
      <c r="AB1760" s="16">
        <f>IF(ISERROR(VLOOKUP($A1760,'13. Updated Demand'!A:Z,19,FALSE)),0,VLOOKUP($A1760,'13. Updated Demand'!A:Z,19,FALSE))</f>
        <v>2.83</v>
      </c>
      <c r="AC1760" s="16">
        <f>IF(ISERROR(VLOOKUP($A1760,'13. Updated Demand'!A:Z,20,FALSE)),0,VLOOKUP($A1760,'13. Updated Demand'!A:Z,20,FALSE))</f>
        <v>3</v>
      </c>
      <c r="AD1760" s="16">
        <f>IF(ISERROR(VLOOKUP($A1760,'13. Updated Demand'!A:Z,21,FALSE)),0,VLOOKUP($A1760,'13. Updated Demand'!A:Z,21,FALSE))</f>
        <v>3</v>
      </c>
      <c r="AE1760" s="16">
        <f>IF(ISERROR(VLOOKUP($A1760,'13. Updated Demand'!A:Z,22,FALSE)),0,VLOOKUP($A1760,'13. Updated Demand'!A:Z,22,FALSE))</f>
        <v>3</v>
      </c>
      <c r="AF1760" s="16">
        <f>IF(ISERROR(VLOOKUP($A1760,'13. Updated Demand'!A:Z,23,FALSE)),0,VLOOKUP($A1760,'13. Updated Demand'!A:Z,23,FALSE))</f>
        <v>3</v>
      </c>
      <c r="AG1760" s="16">
        <f>IF(ISERROR(VLOOKUP($A1760,'13. Updated Demand'!A:Z,24,FALSE)),0,VLOOKUP($A1760,'13. Updated Demand'!A:Z,24,FALSE))</f>
        <v>3</v>
      </c>
      <c r="AH1760" s="16">
        <f>IF(ISERROR(VLOOKUP($A1760,'13. Updated Demand'!A:Z,25,FALSE)),0,VLOOKUP($A1760,'13. Updated Demand'!A:Z,25,FALSE))</f>
        <v>2</v>
      </c>
      <c r="AI1760" s="16">
        <f>IF(ISERROR(VLOOKUP($A1760,'13. Updated Demand'!A:Z,26,FALSE)),0,VLOOKUP($A1760,'13. Updated Demand'!A:Z,26,FALSE))</f>
        <v>1.66</v>
      </c>
      <c r="AJ1760" s="16">
        <f t="shared" si="337"/>
        <v>29.14</v>
      </c>
      <c r="AK1760" s="19">
        <v>14.833333333000001</v>
      </c>
      <c r="AL1760" s="16">
        <f t="shared" si="335"/>
        <v>4.920047699011109E-2</v>
      </c>
      <c r="AM1760" s="26">
        <v>0.72553897181592042</v>
      </c>
      <c r="AN1760" s="19">
        <v>40.200000000000003</v>
      </c>
      <c r="AO1760" s="19" t="s">
        <v>1758</v>
      </c>
      <c r="AP1760" s="19">
        <v>0</v>
      </c>
      <c r="AQ1760" s="19" t="s">
        <v>307</v>
      </c>
      <c r="AR1760" s="9" t="s">
        <v>333</v>
      </c>
      <c r="AS1760" s="12">
        <v>3.4039024194010059E-4</v>
      </c>
      <c r="AT1760" s="19">
        <v>39.04892624</v>
      </c>
      <c r="AU1760" s="19">
        <v>-123.13743712</v>
      </c>
      <c r="AV1760" s="19" t="s">
        <v>548</v>
      </c>
    </row>
    <row r="1761" spans="1:48" x14ac:dyDescent="0.25">
      <c r="A1761" s="18" t="s">
        <v>2166</v>
      </c>
      <c r="B1761" s="10">
        <v>10000000</v>
      </c>
      <c r="C1761" s="9">
        <v>5</v>
      </c>
      <c r="D1761" s="8" t="str">
        <f t="shared" si="326"/>
        <v>Y</v>
      </c>
      <c r="E1761" s="8" t="str">
        <f t="shared" si="327"/>
        <v>N</v>
      </c>
      <c r="F1761" s="8" t="str">
        <f t="shared" si="328"/>
        <v>Y</v>
      </c>
      <c r="G1761" s="8" t="str">
        <f t="shared" si="329"/>
        <v>Y</v>
      </c>
      <c r="H1761" s="8" t="str">
        <f t="shared" si="330"/>
        <v>Upper</v>
      </c>
      <c r="I1761" s="8" t="str">
        <f t="shared" si="331"/>
        <v>West Fork and Below Lake</v>
      </c>
      <c r="J1761" s="8" t="str">
        <f t="shared" si="332"/>
        <v>Mendocino (d/s of lake)</v>
      </c>
      <c r="K1761" s="8" t="str">
        <f t="shared" si="333"/>
        <v>Riparian</v>
      </c>
      <c r="L1761" s="8">
        <f t="shared" si="334"/>
        <v>1000</v>
      </c>
      <c r="M1761" s="8" t="str">
        <f t="shared" si="336"/>
        <v>-</v>
      </c>
      <c r="N1761" s="10" t="s">
        <v>241</v>
      </c>
      <c r="O1761" s="10" t="s">
        <v>241</v>
      </c>
      <c r="P1761" s="10" t="s">
        <v>242</v>
      </c>
      <c r="Q1761" s="10" t="s">
        <v>242</v>
      </c>
      <c r="R1761" s="10" t="s">
        <v>242</v>
      </c>
      <c r="S1761" s="10" t="s">
        <v>241</v>
      </c>
      <c r="T1761" s="10" t="s">
        <v>242</v>
      </c>
      <c r="U1761" s="10" t="s">
        <v>242</v>
      </c>
      <c r="V1761" s="10" t="s">
        <v>242</v>
      </c>
      <c r="W1761" s="10" t="s">
        <v>242</v>
      </c>
      <c r="X1761" s="15">
        <f>IF(ISERROR(VLOOKUP($A1761,'13. Updated Demand'!A:Z,15,FALSE)),0,VLOOKUP($A1761,'13. Updated Demand'!A:Z,15,FALSE))</f>
        <v>1.33</v>
      </c>
      <c r="Y1761" s="16">
        <f>IF(ISERROR(VLOOKUP($A1761,'13. Updated Demand'!A:Z,16,FALSE)),0,VLOOKUP($A1761,'13. Updated Demand'!A:Z,16,FALSE))</f>
        <v>1.66</v>
      </c>
      <c r="Z1761" s="16">
        <f>IF(ISERROR(VLOOKUP($A1761,'13. Updated Demand'!A:Z,17,FALSE)),0,VLOOKUP($A1761,'13. Updated Demand'!A:Z,17,FALSE))</f>
        <v>1.66</v>
      </c>
      <c r="AA1761" s="16">
        <f>IF(ISERROR(VLOOKUP($A1761,'13. Updated Demand'!A:Z,18,FALSE)),0,VLOOKUP($A1761,'13. Updated Demand'!A:Z,18,FALSE))</f>
        <v>2.16</v>
      </c>
      <c r="AB1761" s="16">
        <f>IF(ISERROR(VLOOKUP($A1761,'13. Updated Demand'!A:Z,19,FALSE)),0,VLOOKUP($A1761,'13. Updated Demand'!A:Z,19,FALSE))</f>
        <v>2.33</v>
      </c>
      <c r="AC1761" s="16">
        <f>IF(ISERROR(VLOOKUP($A1761,'13. Updated Demand'!A:Z,20,FALSE)),0,VLOOKUP($A1761,'13. Updated Demand'!A:Z,20,FALSE))</f>
        <v>2.33</v>
      </c>
      <c r="AD1761" s="16">
        <f>IF(ISERROR(VLOOKUP($A1761,'13. Updated Demand'!A:Z,21,FALSE)),0,VLOOKUP($A1761,'13. Updated Demand'!A:Z,21,FALSE))</f>
        <v>2.66</v>
      </c>
      <c r="AE1761" s="16">
        <f>IF(ISERROR(VLOOKUP($A1761,'13. Updated Demand'!A:Z,22,FALSE)),0,VLOOKUP($A1761,'13. Updated Demand'!A:Z,22,FALSE))</f>
        <v>2.33</v>
      </c>
      <c r="AF1761" s="16">
        <f>IF(ISERROR(VLOOKUP($A1761,'13. Updated Demand'!A:Z,23,FALSE)),0,VLOOKUP($A1761,'13. Updated Demand'!A:Z,23,FALSE))</f>
        <v>2.33</v>
      </c>
      <c r="AG1761" s="16">
        <f>IF(ISERROR(VLOOKUP($A1761,'13. Updated Demand'!A:Z,24,FALSE)),0,VLOOKUP($A1761,'13. Updated Demand'!A:Z,24,FALSE))</f>
        <v>2</v>
      </c>
      <c r="AH1761" s="16">
        <f>IF(ISERROR(VLOOKUP($A1761,'13. Updated Demand'!A:Z,25,FALSE)),0,VLOOKUP($A1761,'13. Updated Demand'!A:Z,25,FALSE))</f>
        <v>1.66</v>
      </c>
      <c r="AI1761" s="16">
        <f>IF(ISERROR(VLOOKUP($A1761,'13. Updated Demand'!A:Z,26,FALSE)),0,VLOOKUP($A1761,'13. Updated Demand'!A:Z,26,FALSE))</f>
        <v>1.66</v>
      </c>
      <c r="AJ1761" s="16">
        <f t="shared" si="337"/>
        <v>24.11</v>
      </c>
      <c r="AK1761" s="19">
        <v>11.999999999000002</v>
      </c>
      <c r="AL1761" s="16">
        <f t="shared" si="335"/>
        <v>3.9802633068229232E-2</v>
      </c>
      <c r="AM1761" s="26">
        <v>8.6309523810714286E-2</v>
      </c>
      <c r="AN1761" s="19">
        <v>280</v>
      </c>
      <c r="AO1761" s="19" t="s">
        <v>1758</v>
      </c>
      <c r="AP1761" s="19">
        <v>0</v>
      </c>
      <c r="AQ1761" s="19" t="s">
        <v>307</v>
      </c>
      <c r="AR1761" s="9" t="s">
        <v>333</v>
      </c>
      <c r="AS1761" s="12">
        <v>0</v>
      </c>
      <c r="AT1761" s="19">
        <v>39.043821870000002</v>
      </c>
      <c r="AU1761" s="19">
        <v>-123.13429524</v>
      </c>
      <c r="AV1761" s="19" t="s">
        <v>387</v>
      </c>
    </row>
    <row r="1762" spans="1:48" x14ac:dyDescent="0.25">
      <c r="A1762" s="18" t="s">
        <v>2167</v>
      </c>
      <c r="B1762" s="10">
        <v>10000000</v>
      </c>
      <c r="C1762" s="9">
        <v>12</v>
      </c>
      <c r="D1762" s="8" t="str">
        <f t="shared" si="326"/>
        <v>N</v>
      </c>
      <c r="E1762" s="8" t="str">
        <f t="shared" si="327"/>
        <v>Y</v>
      </c>
      <c r="F1762" s="8" t="str">
        <f t="shared" si="328"/>
        <v>Y</v>
      </c>
      <c r="G1762" s="8" t="str">
        <f t="shared" si="329"/>
        <v>Y</v>
      </c>
      <c r="H1762" s="8" t="str">
        <f t="shared" si="330"/>
        <v>Upper</v>
      </c>
      <c r="I1762" s="8" t="str">
        <f t="shared" si="331"/>
        <v>West Fork and Below Lake</v>
      </c>
      <c r="J1762" s="8" t="str">
        <f t="shared" si="332"/>
        <v>Sonoma (d/s of Clov. Gage)</v>
      </c>
      <c r="K1762" s="8" t="str">
        <f t="shared" si="333"/>
        <v>Riparian</v>
      </c>
      <c r="L1762" s="8">
        <f t="shared" si="334"/>
        <v>1000</v>
      </c>
      <c r="M1762" s="8" t="str">
        <f t="shared" si="336"/>
        <v>-</v>
      </c>
      <c r="N1762" s="10" t="s">
        <v>242</v>
      </c>
      <c r="O1762" s="10" t="s">
        <v>241</v>
      </c>
      <c r="P1762" s="10" t="s">
        <v>242</v>
      </c>
      <c r="Q1762" s="10" t="s">
        <v>242</v>
      </c>
      <c r="R1762" s="10" t="s">
        <v>242</v>
      </c>
      <c r="S1762" s="10" t="s">
        <v>241</v>
      </c>
      <c r="T1762" s="10" t="s">
        <v>242</v>
      </c>
      <c r="U1762" s="10" t="s">
        <v>242</v>
      </c>
      <c r="V1762" s="10" t="s">
        <v>242</v>
      </c>
      <c r="W1762" s="10" t="s">
        <v>242</v>
      </c>
      <c r="X1762" s="15">
        <f>IF(ISERROR(VLOOKUP($A1762,'13. Updated Demand'!A:Z,15,FALSE)),0,VLOOKUP($A1762,'13. Updated Demand'!A:Z,15,FALSE))</f>
        <v>0</v>
      </c>
      <c r="Y1762" s="16">
        <f>IF(ISERROR(VLOOKUP($A1762,'13. Updated Demand'!A:Z,16,FALSE)),0,VLOOKUP($A1762,'13. Updated Demand'!A:Z,16,FALSE))</f>
        <v>0</v>
      </c>
      <c r="Z1762" s="16">
        <f>IF(ISERROR(VLOOKUP($A1762,'13. Updated Demand'!A:Z,17,FALSE)),0,VLOOKUP($A1762,'13. Updated Demand'!A:Z,17,FALSE))</f>
        <v>0</v>
      </c>
      <c r="AA1762" s="16">
        <f>IF(ISERROR(VLOOKUP($A1762,'13. Updated Demand'!A:Z,18,FALSE)),0,VLOOKUP($A1762,'13. Updated Demand'!A:Z,18,FALSE))</f>
        <v>0</v>
      </c>
      <c r="AB1762" s="16">
        <f>IF(ISERROR(VLOOKUP($A1762,'13. Updated Demand'!A:Z,19,FALSE)),0,VLOOKUP($A1762,'13. Updated Demand'!A:Z,19,FALSE))</f>
        <v>50</v>
      </c>
      <c r="AC1762" s="16">
        <f>IF(ISERROR(VLOOKUP($A1762,'13. Updated Demand'!A:Z,20,FALSE)),0,VLOOKUP($A1762,'13. Updated Demand'!A:Z,20,FALSE))</f>
        <v>50</v>
      </c>
      <c r="AD1762" s="16">
        <f>IF(ISERROR(VLOOKUP($A1762,'13. Updated Demand'!A:Z,21,FALSE)),0,VLOOKUP($A1762,'13. Updated Demand'!A:Z,21,FALSE))</f>
        <v>50</v>
      </c>
      <c r="AE1762" s="16">
        <f>IF(ISERROR(VLOOKUP($A1762,'13. Updated Demand'!A:Z,22,FALSE)),0,VLOOKUP($A1762,'13. Updated Demand'!A:Z,22,FALSE))</f>
        <v>50</v>
      </c>
      <c r="AF1762" s="16">
        <f>IF(ISERROR(VLOOKUP($A1762,'13. Updated Demand'!A:Z,23,FALSE)),0,VLOOKUP($A1762,'13. Updated Demand'!A:Z,23,FALSE))</f>
        <v>50</v>
      </c>
      <c r="AG1762" s="16">
        <f>IF(ISERROR(VLOOKUP($A1762,'13. Updated Demand'!A:Z,24,FALSE)),0,VLOOKUP($A1762,'13. Updated Demand'!A:Z,24,FALSE))</f>
        <v>0</v>
      </c>
      <c r="AH1762" s="16">
        <f>IF(ISERROR(VLOOKUP($A1762,'13. Updated Demand'!A:Z,25,FALSE)),0,VLOOKUP($A1762,'13. Updated Demand'!A:Z,25,FALSE))</f>
        <v>0</v>
      </c>
      <c r="AI1762" s="16">
        <f>IF(ISERROR(VLOOKUP($A1762,'13. Updated Demand'!A:Z,26,FALSE)),0,VLOOKUP($A1762,'13. Updated Demand'!A:Z,26,FALSE))</f>
        <v>0</v>
      </c>
      <c r="AJ1762" s="16">
        <f t="shared" si="337"/>
        <v>250</v>
      </c>
      <c r="AK1762" s="19">
        <v>250</v>
      </c>
      <c r="AL1762" s="16">
        <f t="shared" si="335"/>
        <v>0.82922152232387725</v>
      </c>
      <c r="AM1762" s="26">
        <v>59.523809523809518</v>
      </c>
      <c r="AN1762" s="19">
        <v>4.2</v>
      </c>
      <c r="AO1762" s="19" t="s">
        <v>1758</v>
      </c>
      <c r="AP1762" s="19">
        <v>0</v>
      </c>
      <c r="AQ1762" s="19" t="s">
        <v>307</v>
      </c>
      <c r="AR1762" s="9" t="s">
        <v>311</v>
      </c>
      <c r="AS1762" s="12">
        <v>3.4039024194010059E-4</v>
      </c>
      <c r="AT1762" s="19">
        <v>38.631966239999997</v>
      </c>
      <c r="AU1762" s="19">
        <v>-122.76634349</v>
      </c>
      <c r="AV1762" s="19" t="s">
        <v>609</v>
      </c>
    </row>
    <row r="1763" spans="1:48" x14ac:dyDescent="0.25">
      <c r="A1763" s="18" t="s">
        <v>2168</v>
      </c>
      <c r="B1763" s="10">
        <v>10000000</v>
      </c>
      <c r="C1763" s="9">
        <v>9</v>
      </c>
      <c r="D1763" s="8" t="str">
        <f t="shared" si="326"/>
        <v>N</v>
      </c>
      <c r="E1763" s="8" t="str">
        <f t="shared" si="327"/>
        <v>Y</v>
      </c>
      <c r="F1763" s="8" t="str">
        <f t="shared" si="328"/>
        <v>Y</v>
      </c>
      <c r="G1763" s="8" t="str">
        <f t="shared" si="329"/>
        <v>Y</v>
      </c>
      <c r="H1763" s="8" t="str">
        <f t="shared" si="330"/>
        <v>Upper</v>
      </c>
      <c r="I1763" s="8" t="str">
        <f t="shared" si="331"/>
        <v>West Fork and Below Lake</v>
      </c>
      <c r="J1763" s="8" t="str">
        <f t="shared" si="332"/>
        <v>Sonoma (d/s of Clov. Gage)</v>
      </c>
      <c r="K1763" s="8" t="str">
        <f t="shared" si="333"/>
        <v>Riparian</v>
      </c>
      <c r="L1763" s="8">
        <f t="shared" si="334"/>
        <v>1000</v>
      </c>
      <c r="M1763" s="8" t="str">
        <f t="shared" si="336"/>
        <v>-</v>
      </c>
      <c r="N1763" s="10" t="s">
        <v>241</v>
      </c>
      <c r="O1763" s="10" t="s">
        <v>241</v>
      </c>
      <c r="P1763" s="10" t="s">
        <v>242</v>
      </c>
      <c r="Q1763" s="10" t="s">
        <v>242</v>
      </c>
      <c r="R1763" s="10" t="s">
        <v>242</v>
      </c>
      <c r="S1763" s="10" t="s">
        <v>241</v>
      </c>
      <c r="T1763" s="10" t="s">
        <v>242</v>
      </c>
      <c r="U1763" s="10" t="s">
        <v>242</v>
      </c>
      <c r="V1763" s="10" t="s">
        <v>242</v>
      </c>
      <c r="W1763" s="10" t="s">
        <v>242</v>
      </c>
      <c r="X1763" s="15">
        <f>IF(ISERROR(VLOOKUP($A1763,'13. Updated Demand'!A:Z,15,FALSE)),0,VLOOKUP($A1763,'13. Updated Demand'!A:Z,15,FALSE))</f>
        <v>0</v>
      </c>
      <c r="Y1763" s="16">
        <f>IF(ISERROR(VLOOKUP($A1763,'13. Updated Demand'!A:Z,16,FALSE)),0,VLOOKUP($A1763,'13. Updated Demand'!A:Z,16,FALSE))</f>
        <v>0</v>
      </c>
      <c r="Z1763" s="16">
        <f>IF(ISERROR(VLOOKUP($A1763,'13. Updated Demand'!A:Z,17,FALSE)),0,VLOOKUP($A1763,'13. Updated Demand'!A:Z,17,FALSE))</f>
        <v>0</v>
      </c>
      <c r="AA1763" s="16">
        <f>IF(ISERROR(VLOOKUP($A1763,'13. Updated Demand'!A:Z,18,FALSE)),0,VLOOKUP($A1763,'13. Updated Demand'!A:Z,18,FALSE))</f>
        <v>0</v>
      </c>
      <c r="AB1763" s="16">
        <f>IF(ISERROR(VLOOKUP($A1763,'13. Updated Demand'!A:Z,19,FALSE)),0,VLOOKUP($A1763,'13. Updated Demand'!A:Z,19,FALSE))</f>
        <v>0</v>
      </c>
      <c r="AC1763" s="16">
        <f>IF(ISERROR(VLOOKUP($A1763,'13. Updated Demand'!A:Z,20,FALSE)),0,VLOOKUP($A1763,'13. Updated Demand'!A:Z,20,FALSE))</f>
        <v>1.1000000000000001</v>
      </c>
      <c r="AD1763" s="16">
        <f>IF(ISERROR(VLOOKUP($A1763,'13. Updated Demand'!A:Z,21,FALSE)),0,VLOOKUP($A1763,'13. Updated Demand'!A:Z,21,FALSE))</f>
        <v>1.1000000000000001</v>
      </c>
      <c r="AE1763" s="16">
        <f>IF(ISERROR(VLOOKUP($A1763,'13. Updated Demand'!A:Z,22,FALSE)),0,VLOOKUP($A1763,'13. Updated Demand'!A:Z,22,FALSE))</f>
        <v>1.1000000000000001</v>
      </c>
      <c r="AF1763" s="16">
        <f>IF(ISERROR(VLOOKUP($A1763,'13. Updated Demand'!A:Z,23,FALSE)),0,VLOOKUP($A1763,'13. Updated Demand'!A:Z,23,FALSE))</f>
        <v>0.36</v>
      </c>
      <c r="AG1763" s="16">
        <f>IF(ISERROR(VLOOKUP($A1763,'13. Updated Demand'!A:Z,24,FALSE)),0,VLOOKUP($A1763,'13. Updated Demand'!A:Z,24,FALSE))</f>
        <v>0</v>
      </c>
      <c r="AH1763" s="16">
        <f>IF(ISERROR(VLOOKUP($A1763,'13. Updated Demand'!A:Z,25,FALSE)),0,VLOOKUP($A1763,'13. Updated Demand'!A:Z,25,FALSE))</f>
        <v>0</v>
      </c>
      <c r="AI1763" s="16">
        <f>IF(ISERROR(VLOOKUP($A1763,'13. Updated Demand'!A:Z,26,FALSE)),0,VLOOKUP($A1763,'13. Updated Demand'!A:Z,26,FALSE))</f>
        <v>0</v>
      </c>
      <c r="AJ1763" s="16">
        <f t="shared" si="337"/>
        <v>3.66</v>
      </c>
      <c r="AK1763" s="19">
        <v>3.6826613333333231</v>
      </c>
      <c r="AL1763" s="16">
        <f t="shared" si="335"/>
        <v>1.221496814811975E-2</v>
      </c>
      <c r="AM1763" s="26">
        <v>4.5594081674932745E-3</v>
      </c>
      <c r="AN1763" s="19">
        <v>807.70600000000002</v>
      </c>
      <c r="AO1763" s="19" t="s">
        <v>1758</v>
      </c>
      <c r="AP1763" s="19">
        <v>0</v>
      </c>
      <c r="AQ1763" s="19" t="s">
        <v>307</v>
      </c>
      <c r="AR1763" s="9" t="s">
        <v>354</v>
      </c>
      <c r="AS1763" s="12">
        <v>0</v>
      </c>
      <c r="AT1763" s="19">
        <v>38.790369720000001</v>
      </c>
      <c r="AU1763" s="19">
        <v>-123.00593886999999</v>
      </c>
      <c r="AV1763" s="19" t="s">
        <v>548</v>
      </c>
    </row>
    <row r="1764" spans="1:48" x14ac:dyDescent="0.25">
      <c r="A1764" s="18" t="s">
        <v>2169</v>
      </c>
      <c r="B1764" s="10">
        <v>10000000</v>
      </c>
      <c r="C1764" s="9">
        <v>20</v>
      </c>
      <c r="D1764" s="8" t="str">
        <f t="shared" si="326"/>
        <v>N</v>
      </c>
      <c r="E1764" s="8" t="str">
        <f t="shared" si="327"/>
        <v>N</v>
      </c>
      <c r="F1764" s="8" t="str">
        <f t="shared" si="328"/>
        <v>N</v>
      </c>
      <c r="G1764" s="8" t="str">
        <f t="shared" si="329"/>
        <v>N</v>
      </c>
      <c r="H1764" s="8" t="str">
        <f t="shared" si="330"/>
        <v>Lower</v>
      </c>
      <c r="I1764" s="8" t="str">
        <f t="shared" si="331"/>
        <v>Outside</v>
      </c>
      <c r="J1764" s="8" t="str">
        <f t="shared" si="332"/>
        <v>Outside</v>
      </c>
      <c r="K1764" s="8" t="str">
        <f t="shared" si="333"/>
        <v>Riparian</v>
      </c>
      <c r="L1764" s="8">
        <f t="shared" si="334"/>
        <v>1000</v>
      </c>
      <c r="M1764" s="8" t="str">
        <f t="shared" si="336"/>
        <v>-</v>
      </c>
      <c r="N1764" s="10" t="s">
        <v>242</v>
      </c>
      <c r="O1764" s="10" t="s">
        <v>242</v>
      </c>
      <c r="P1764" s="10" t="s">
        <v>242</v>
      </c>
      <c r="Q1764" s="10" t="s">
        <v>242</v>
      </c>
      <c r="R1764" s="10" t="s">
        <v>242</v>
      </c>
      <c r="S1764" s="10" t="s">
        <v>241</v>
      </c>
      <c r="T1764" s="10" t="s">
        <v>242</v>
      </c>
      <c r="U1764" s="10" t="s">
        <v>242</v>
      </c>
      <c r="V1764" s="10" t="s">
        <v>242</v>
      </c>
      <c r="W1764" s="10" t="s">
        <v>242</v>
      </c>
      <c r="X1764" s="15">
        <f>IF(ISERROR(VLOOKUP($A1764,'13. Updated Demand'!A:Z,15,FALSE)),0,VLOOKUP($A1764,'13. Updated Demand'!A:Z,15,FALSE))</f>
        <v>2.0766333000000001E-2</v>
      </c>
      <c r="Y1764" s="16">
        <f>IF(ISERROR(VLOOKUP($A1764,'13. Updated Demand'!A:Z,16,FALSE)),0,VLOOKUP($A1764,'13. Updated Demand'!A:Z,16,FALSE))</f>
        <v>2.0766333000000001E-2</v>
      </c>
      <c r="Z1764" s="16">
        <f>IF(ISERROR(VLOOKUP($A1764,'13. Updated Demand'!A:Z,17,FALSE)),0,VLOOKUP($A1764,'13. Updated Demand'!A:Z,17,FALSE))</f>
        <v>2.0868667E-2</v>
      </c>
      <c r="AA1764" s="16">
        <f>IF(ISERROR(VLOOKUP($A1764,'13. Updated Demand'!A:Z,18,FALSE)),0,VLOOKUP($A1764,'13. Updated Demand'!A:Z,18,FALSE))</f>
        <v>2.1993667000000001E-2</v>
      </c>
      <c r="AB1764" s="16">
        <f>IF(ISERROR(VLOOKUP($A1764,'13. Updated Demand'!A:Z,19,FALSE)),0,VLOOKUP($A1764,'13. Updated Demand'!A:Z,19,FALSE))</f>
        <v>1.1763667E-2</v>
      </c>
      <c r="AC1764" s="16">
        <f>IF(ISERROR(VLOOKUP($A1764,'13. Updated Demand'!A:Z,20,FALSE)),0,VLOOKUP($A1764,'13. Updated Demand'!A:Z,20,FALSE))</f>
        <v>1.1763667E-2</v>
      </c>
      <c r="AD1764" s="16">
        <f>IF(ISERROR(VLOOKUP($A1764,'13. Updated Demand'!A:Z,21,FALSE)),0,VLOOKUP($A1764,'13. Updated Demand'!A:Z,21,FALSE))</f>
        <v>1.1763667E-2</v>
      </c>
      <c r="AE1764" s="16">
        <f>IF(ISERROR(VLOOKUP($A1764,'13. Updated Demand'!A:Z,22,FALSE)),0,VLOOKUP($A1764,'13. Updated Demand'!A:Z,22,FALSE))</f>
        <v>1.1763667E-2</v>
      </c>
      <c r="AF1764" s="16">
        <f>IF(ISERROR(VLOOKUP($A1764,'13. Updated Demand'!A:Z,23,FALSE)),0,VLOOKUP($A1764,'13. Updated Demand'!A:Z,23,FALSE))</f>
        <v>1.1763667E-2</v>
      </c>
      <c r="AG1764" s="16">
        <f>IF(ISERROR(VLOOKUP($A1764,'13. Updated Demand'!A:Z,24,FALSE)),0,VLOOKUP($A1764,'13. Updated Demand'!A:Z,24,FALSE))</f>
        <v>1.2684667E-2</v>
      </c>
      <c r="AH1764" s="16">
        <f>IF(ISERROR(VLOOKUP($A1764,'13. Updated Demand'!A:Z,25,FALSE)),0,VLOOKUP($A1764,'13. Updated Demand'!A:Z,25,FALSE))</f>
        <v>2.0766333000000001E-2</v>
      </c>
      <c r="AI1764" s="16">
        <f>IF(ISERROR(VLOOKUP($A1764,'13. Updated Demand'!A:Z,26,FALSE)),0,VLOOKUP($A1764,'13. Updated Demand'!A:Z,26,FALSE))</f>
        <v>2.0766333000000001E-2</v>
      </c>
      <c r="AJ1764" s="16">
        <f t="shared" si="337"/>
        <v>0.19743066800000003</v>
      </c>
      <c r="AK1764" s="19">
        <v>5.8818334999999999E-2</v>
      </c>
      <c r="AL1764" s="16">
        <f t="shared" si="335"/>
        <v>1.9509371715702319E-4</v>
      </c>
      <c r="AM1764" s="26">
        <v>3.7534347528517116</v>
      </c>
      <c r="AN1764" s="19">
        <v>5.2600000000000001E-2</v>
      </c>
      <c r="AO1764" s="19" t="s">
        <v>1758</v>
      </c>
      <c r="AP1764" s="19">
        <v>0</v>
      </c>
      <c r="AQ1764" s="19" t="s">
        <v>307</v>
      </c>
      <c r="AR1764" s="9" t="s">
        <v>329</v>
      </c>
      <c r="AS1764" s="12">
        <v>3.4039024194010059E-4</v>
      </c>
      <c r="AT1764" s="19">
        <v>38.561121460000003</v>
      </c>
      <c r="AU1764" s="19">
        <v>-123.10623541</v>
      </c>
      <c r="AV1764" s="19" t="s">
        <v>430</v>
      </c>
    </row>
    <row r="1765" spans="1:48" x14ac:dyDescent="0.25">
      <c r="A1765" s="18" t="s">
        <v>2170</v>
      </c>
      <c r="B1765" s="10">
        <v>10000000</v>
      </c>
      <c r="C1765" s="9">
        <v>15</v>
      </c>
      <c r="D1765" s="8" t="str">
        <f t="shared" si="326"/>
        <v>N</v>
      </c>
      <c r="E1765" s="8" t="str">
        <f t="shared" si="327"/>
        <v>N</v>
      </c>
      <c r="F1765" s="8" t="str">
        <f t="shared" si="328"/>
        <v>N</v>
      </c>
      <c r="G1765" s="8" t="str">
        <f t="shared" si="329"/>
        <v>N</v>
      </c>
      <c r="H1765" s="8" t="str">
        <f t="shared" si="330"/>
        <v>Lower</v>
      </c>
      <c r="I1765" s="8" t="str">
        <f t="shared" si="331"/>
        <v>Outside</v>
      </c>
      <c r="J1765" s="8" t="str">
        <f t="shared" si="332"/>
        <v>Outside</v>
      </c>
      <c r="K1765" s="8" t="str">
        <f t="shared" si="333"/>
        <v>Riparian</v>
      </c>
      <c r="L1765" s="8">
        <f t="shared" si="334"/>
        <v>1000</v>
      </c>
      <c r="M1765" s="8" t="str">
        <f t="shared" si="336"/>
        <v>-</v>
      </c>
      <c r="N1765" s="10" t="s">
        <v>242</v>
      </c>
      <c r="O1765" s="10" t="s">
        <v>242</v>
      </c>
      <c r="P1765" s="10" t="s">
        <v>242</v>
      </c>
      <c r="Q1765" s="10" t="s">
        <v>242</v>
      </c>
      <c r="R1765" s="10" t="s">
        <v>242</v>
      </c>
      <c r="S1765" s="10" t="s">
        <v>241</v>
      </c>
      <c r="T1765" s="10" t="s">
        <v>242</v>
      </c>
      <c r="U1765" s="10" t="s">
        <v>242</v>
      </c>
      <c r="V1765" s="10" t="s">
        <v>242</v>
      </c>
      <c r="W1765" s="10" t="s">
        <v>242</v>
      </c>
      <c r="X1765" s="15">
        <f>IF(ISERROR(VLOOKUP($A1765,'13. Updated Demand'!A:Z,15,FALSE)),0,VLOOKUP($A1765,'13. Updated Demand'!A:Z,15,FALSE))</f>
        <v>0</v>
      </c>
      <c r="Y1765" s="16">
        <f>IF(ISERROR(VLOOKUP($A1765,'13. Updated Demand'!A:Z,16,FALSE)),0,VLOOKUP($A1765,'13. Updated Demand'!A:Z,16,FALSE))</f>
        <v>0</v>
      </c>
      <c r="Z1765" s="16">
        <f>IF(ISERROR(VLOOKUP($A1765,'13. Updated Demand'!A:Z,17,FALSE)),0,VLOOKUP($A1765,'13. Updated Demand'!A:Z,17,FALSE))</f>
        <v>6.6666666999999999E-2</v>
      </c>
      <c r="AA1765" s="16">
        <f>IF(ISERROR(VLOOKUP($A1765,'13. Updated Demand'!A:Z,18,FALSE)),0,VLOOKUP($A1765,'13. Updated Demand'!A:Z,18,FALSE))</f>
        <v>0.1</v>
      </c>
      <c r="AB1765" s="16">
        <f>IF(ISERROR(VLOOKUP($A1765,'13. Updated Demand'!A:Z,19,FALSE)),0,VLOOKUP($A1765,'13. Updated Demand'!A:Z,19,FALSE))</f>
        <v>0.1</v>
      </c>
      <c r="AC1765" s="16">
        <f>IF(ISERROR(VLOOKUP($A1765,'13. Updated Demand'!A:Z,20,FALSE)),0,VLOOKUP($A1765,'13. Updated Demand'!A:Z,20,FALSE))</f>
        <v>1.2</v>
      </c>
      <c r="AD1765" s="16">
        <f>IF(ISERROR(VLOOKUP($A1765,'13. Updated Demand'!A:Z,21,FALSE)),0,VLOOKUP($A1765,'13. Updated Demand'!A:Z,21,FALSE))</f>
        <v>1.2</v>
      </c>
      <c r="AE1765" s="16">
        <f>IF(ISERROR(VLOOKUP($A1765,'13. Updated Demand'!A:Z,22,FALSE)),0,VLOOKUP($A1765,'13. Updated Demand'!A:Z,22,FALSE))</f>
        <v>1.266666667</v>
      </c>
      <c r="AF1765" s="16">
        <f>IF(ISERROR(VLOOKUP($A1765,'13. Updated Demand'!A:Z,23,FALSE)),0,VLOOKUP($A1765,'13. Updated Demand'!A:Z,23,FALSE))</f>
        <v>1.1333333329999999</v>
      </c>
      <c r="AG1765" s="16">
        <f>IF(ISERROR(VLOOKUP($A1765,'13. Updated Demand'!A:Z,24,FALSE)),0,VLOOKUP($A1765,'13. Updated Demand'!A:Z,24,FALSE))</f>
        <v>1</v>
      </c>
      <c r="AH1765" s="16">
        <f>IF(ISERROR(VLOOKUP($A1765,'13. Updated Demand'!A:Z,25,FALSE)),0,VLOOKUP($A1765,'13. Updated Demand'!A:Z,25,FALSE))</f>
        <v>0</v>
      </c>
      <c r="AI1765" s="16">
        <f>IF(ISERROR(VLOOKUP($A1765,'13. Updated Demand'!A:Z,26,FALSE)),0,VLOOKUP($A1765,'13. Updated Demand'!A:Z,26,FALSE))</f>
        <v>0</v>
      </c>
      <c r="AJ1765" s="16">
        <f t="shared" si="337"/>
        <v>6.0666666669999998</v>
      </c>
      <c r="AK1765" s="19">
        <v>4.9000000000000004</v>
      </c>
      <c r="AL1765" s="16">
        <f t="shared" si="335"/>
        <v>1.6252741837547997E-2</v>
      </c>
      <c r="AM1765" s="26">
        <v>1.2527669285637881E-2</v>
      </c>
      <c r="AN1765" s="19">
        <v>484.26139999999998</v>
      </c>
      <c r="AO1765" s="19" t="s">
        <v>1758</v>
      </c>
      <c r="AP1765" s="19">
        <v>0</v>
      </c>
      <c r="AQ1765" s="19" t="s">
        <v>307</v>
      </c>
      <c r="AR1765" s="9" t="s">
        <v>489</v>
      </c>
      <c r="AS1765" s="12">
        <v>0</v>
      </c>
      <c r="AT1765" s="19">
        <v>38.661999999999999</v>
      </c>
      <c r="AU1765" s="19">
        <v>-122.9348</v>
      </c>
      <c r="AV1765" s="19"/>
    </row>
    <row r="1766" spans="1:48" x14ac:dyDescent="0.25">
      <c r="A1766" s="18" t="s">
        <v>2171</v>
      </c>
      <c r="B1766" s="10">
        <v>10000000</v>
      </c>
      <c r="C1766" s="9">
        <v>16</v>
      </c>
      <c r="D1766" s="8" t="str">
        <f t="shared" si="326"/>
        <v>N</v>
      </c>
      <c r="E1766" s="8" t="str">
        <f t="shared" si="327"/>
        <v>N</v>
      </c>
      <c r="F1766" s="8" t="str">
        <f t="shared" si="328"/>
        <v>N</v>
      </c>
      <c r="G1766" s="8" t="str">
        <f t="shared" si="329"/>
        <v>N</v>
      </c>
      <c r="H1766" s="8" t="str">
        <f t="shared" si="330"/>
        <v>Lower</v>
      </c>
      <c r="I1766" s="8" t="str">
        <f t="shared" si="331"/>
        <v>Outside</v>
      </c>
      <c r="J1766" s="8" t="str">
        <f t="shared" si="332"/>
        <v>Outside</v>
      </c>
      <c r="K1766" s="8" t="str">
        <f t="shared" si="333"/>
        <v>Riparian</v>
      </c>
      <c r="L1766" s="8">
        <f t="shared" si="334"/>
        <v>1000</v>
      </c>
      <c r="M1766" s="8" t="str">
        <f t="shared" si="336"/>
        <v>-</v>
      </c>
      <c r="N1766" s="10" t="s">
        <v>242</v>
      </c>
      <c r="O1766" s="10" t="s">
        <v>242</v>
      </c>
      <c r="P1766" s="10" t="s">
        <v>242</v>
      </c>
      <c r="Q1766" s="10" t="s">
        <v>242</v>
      </c>
      <c r="R1766" s="10" t="s">
        <v>242</v>
      </c>
      <c r="S1766" s="10" t="s">
        <v>241</v>
      </c>
      <c r="T1766" s="10" t="s">
        <v>242</v>
      </c>
      <c r="U1766" s="10" t="s">
        <v>242</v>
      </c>
      <c r="V1766" s="10" t="s">
        <v>242</v>
      </c>
      <c r="W1766" s="10" t="s">
        <v>242</v>
      </c>
      <c r="X1766" s="15">
        <f>IF(ISERROR(VLOOKUP($A1766,'13. Updated Demand'!A:Z,15,FALSE)),0,VLOOKUP($A1766,'13. Updated Demand'!A:Z,15,FALSE))</f>
        <v>0</v>
      </c>
      <c r="Y1766" s="16">
        <f>IF(ISERROR(VLOOKUP($A1766,'13. Updated Demand'!A:Z,16,FALSE)),0,VLOOKUP($A1766,'13. Updated Demand'!A:Z,16,FALSE))</f>
        <v>0</v>
      </c>
      <c r="Z1766" s="16">
        <f>IF(ISERROR(VLOOKUP($A1766,'13. Updated Demand'!A:Z,17,FALSE)),0,VLOOKUP($A1766,'13. Updated Demand'!A:Z,17,FALSE))</f>
        <v>2.4E-2</v>
      </c>
      <c r="AA1766" s="16">
        <f>IF(ISERROR(VLOOKUP($A1766,'13. Updated Demand'!A:Z,18,FALSE)),0,VLOOKUP($A1766,'13. Updated Demand'!A:Z,18,FALSE))</f>
        <v>0.26268233299999999</v>
      </c>
      <c r="AB1766" s="16">
        <f>IF(ISERROR(VLOOKUP($A1766,'13. Updated Demand'!A:Z,19,FALSE)),0,VLOOKUP($A1766,'13. Updated Demand'!A:Z,19,FALSE))</f>
        <v>1.0875683330000001</v>
      </c>
      <c r="AC1766" s="16">
        <f>IF(ISERROR(VLOOKUP($A1766,'13. Updated Demand'!A:Z,20,FALSE)),0,VLOOKUP($A1766,'13. Updated Demand'!A:Z,20,FALSE))</f>
        <v>0.26884166700000001</v>
      </c>
      <c r="AD1766" s="16">
        <f>IF(ISERROR(VLOOKUP($A1766,'13. Updated Demand'!A:Z,21,FALSE)),0,VLOOKUP($A1766,'13. Updated Demand'!A:Z,21,FALSE))</f>
        <v>1.214082667</v>
      </c>
      <c r="AE1766" s="16">
        <f>IF(ISERROR(VLOOKUP($A1766,'13. Updated Demand'!A:Z,22,FALSE)),0,VLOOKUP($A1766,'13. Updated Demand'!A:Z,22,FALSE))</f>
        <v>1.4280713330000001</v>
      </c>
      <c r="AF1766" s="16">
        <f>IF(ISERROR(VLOOKUP($A1766,'13. Updated Demand'!A:Z,23,FALSE)),0,VLOOKUP($A1766,'13. Updated Demand'!A:Z,23,FALSE))</f>
        <v>0.23370233300000001</v>
      </c>
      <c r="AG1766" s="16">
        <f>IF(ISERROR(VLOOKUP($A1766,'13. Updated Demand'!A:Z,24,FALSE)),0,VLOOKUP($A1766,'13. Updated Demand'!A:Z,24,FALSE))</f>
        <v>0.52258033299999995</v>
      </c>
      <c r="AH1766" s="16">
        <f>IF(ISERROR(VLOOKUP($A1766,'13. Updated Demand'!A:Z,25,FALSE)),0,VLOOKUP($A1766,'13. Updated Demand'!A:Z,25,FALSE))</f>
        <v>0.258590667</v>
      </c>
      <c r="AI1766" s="16">
        <f>IF(ISERROR(VLOOKUP($A1766,'13. Updated Demand'!A:Z,26,FALSE)),0,VLOOKUP($A1766,'13. Updated Demand'!A:Z,26,FALSE))</f>
        <v>0</v>
      </c>
      <c r="AJ1766" s="16">
        <f t="shared" si="337"/>
        <v>5.3001196659999996</v>
      </c>
      <c r="AK1766" s="19">
        <v>4.2322663330000001</v>
      </c>
      <c r="AL1766" s="16">
        <f t="shared" si="335"/>
        <v>1.4037945326121414E-2</v>
      </c>
      <c r="AM1766" s="26">
        <v>2.4339829928130235E-3</v>
      </c>
      <c r="AN1766" s="19">
        <v>2177.5500000000002</v>
      </c>
      <c r="AO1766" s="19" t="s">
        <v>1758</v>
      </c>
      <c r="AP1766" s="19">
        <v>0</v>
      </c>
      <c r="AQ1766" s="19" t="s">
        <v>307</v>
      </c>
      <c r="AR1766" s="9" t="s">
        <v>394</v>
      </c>
      <c r="AS1766" s="12">
        <v>0</v>
      </c>
      <c r="AT1766" s="19">
        <v>38.600999999999999</v>
      </c>
      <c r="AU1766" s="19">
        <v>-122.87609999999999</v>
      </c>
      <c r="AV1766" s="19" t="s">
        <v>701</v>
      </c>
    </row>
    <row r="1767" spans="1:48" x14ac:dyDescent="0.25">
      <c r="A1767" s="18" t="s">
        <v>2172</v>
      </c>
      <c r="B1767" s="10">
        <v>10000000</v>
      </c>
      <c r="C1767" s="9">
        <v>6</v>
      </c>
      <c r="D1767" s="8" t="str">
        <f t="shared" si="326"/>
        <v>Y</v>
      </c>
      <c r="E1767" s="8" t="str">
        <f t="shared" si="327"/>
        <v>N</v>
      </c>
      <c r="F1767" s="8" t="str">
        <f t="shared" si="328"/>
        <v>Y</v>
      </c>
      <c r="G1767" s="8" t="str">
        <f t="shared" si="329"/>
        <v>Y</v>
      </c>
      <c r="H1767" s="8" t="str">
        <f t="shared" si="330"/>
        <v>Upper</v>
      </c>
      <c r="I1767" s="8" t="str">
        <f t="shared" si="331"/>
        <v>West Fork and Below Lake</v>
      </c>
      <c r="J1767" s="8" t="str">
        <f t="shared" si="332"/>
        <v>Mendocino (d/s of lake)</v>
      </c>
      <c r="K1767" s="8" t="str">
        <f t="shared" si="333"/>
        <v>Riparian</v>
      </c>
      <c r="L1767" s="8">
        <f t="shared" si="334"/>
        <v>1000</v>
      </c>
      <c r="M1767" s="8" t="str">
        <f t="shared" si="336"/>
        <v>-</v>
      </c>
      <c r="N1767" s="10" t="s">
        <v>242</v>
      </c>
      <c r="O1767" s="10" t="s">
        <v>241</v>
      </c>
      <c r="P1767" s="10" t="s">
        <v>242</v>
      </c>
      <c r="Q1767" s="10" t="s">
        <v>242</v>
      </c>
      <c r="R1767" s="10" t="s">
        <v>242</v>
      </c>
      <c r="S1767" s="10" t="s">
        <v>241</v>
      </c>
      <c r="T1767" s="10" t="s">
        <v>242</v>
      </c>
      <c r="U1767" s="10" t="s">
        <v>241</v>
      </c>
      <c r="V1767" s="10" t="s">
        <v>241</v>
      </c>
      <c r="W1767" s="10" t="s">
        <v>242</v>
      </c>
      <c r="X1767" s="15">
        <f>IF(ISERROR(VLOOKUP($A1767,'13. Updated Demand'!A:Z,15,FALSE)),0,VLOOKUP($A1767,'13. Updated Demand'!A:Z,15,FALSE))</f>
        <v>0</v>
      </c>
      <c r="Y1767" s="16">
        <f>IF(ISERROR(VLOOKUP($A1767,'13. Updated Demand'!A:Z,16,FALSE)),0,VLOOKUP($A1767,'13. Updated Demand'!A:Z,16,FALSE))</f>
        <v>0</v>
      </c>
      <c r="Z1767" s="16">
        <f>IF(ISERROR(VLOOKUP($A1767,'13. Updated Demand'!A:Z,17,FALSE)),0,VLOOKUP($A1767,'13. Updated Demand'!A:Z,17,FALSE))</f>
        <v>0</v>
      </c>
      <c r="AA1767" s="16">
        <f>IF(ISERROR(VLOOKUP($A1767,'13. Updated Demand'!A:Z,18,FALSE)),0,VLOOKUP($A1767,'13. Updated Demand'!A:Z,18,FALSE))</f>
        <v>0</v>
      </c>
      <c r="AB1767" s="16">
        <f>IF(ISERROR(VLOOKUP($A1767,'13. Updated Demand'!A:Z,19,FALSE)),0,VLOOKUP($A1767,'13. Updated Demand'!A:Z,19,FALSE))</f>
        <v>0</v>
      </c>
      <c r="AC1767" s="16">
        <f>IF(ISERROR(VLOOKUP($A1767,'13. Updated Demand'!A:Z,20,FALSE)),0,VLOOKUP($A1767,'13. Updated Demand'!A:Z,20,FALSE))</f>
        <v>0</v>
      </c>
      <c r="AD1767" s="16">
        <f>IF(ISERROR(VLOOKUP($A1767,'13. Updated Demand'!A:Z,21,FALSE)),0,VLOOKUP($A1767,'13. Updated Demand'!A:Z,21,FALSE))</f>
        <v>0</v>
      </c>
      <c r="AE1767" s="16">
        <f>IF(ISERROR(VLOOKUP($A1767,'13. Updated Demand'!A:Z,22,FALSE)),0,VLOOKUP($A1767,'13. Updated Demand'!A:Z,22,FALSE))</f>
        <v>0</v>
      </c>
      <c r="AF1767" s="16">
        <f>IF(ISERROR(VLOOKUP($A1767,'13. Updated Demand'!A:Z,23,FALSE)),0,VLOOKUP($A1767,'13. Updated Demand'!A:Z,23,FALSE))</f>
        <v>0</v>
      </c>
      <c r="AG1767" s="16">
        <f>IF(ISERROR(VLOOKUP($A1767,'13. Updated Demand'!A:Z,24,FALSE)),0,VLOOKUP($A1767,'13. Updated Demand'!A:Z,24,FALSE))</f>
        <v>0</v>
      </c>
      <c r="AH1767" s="16">
        <f>IF(ISERROR(VLOOKUP($A1767,'13. Updated Demand'!A:Z,25,FALSE)),0,VLOOKUP($A1767,'13. Updated Demand'!A:Z,25,FALSE))</f>
        <v>0</v>
      </c>
      <c r="AI1767" s="16">
        <f>IF(ISERROR(VLOOKUP($A1767,'13. Updated Demand'!A:Z,26,FALSE)),0,VLOOKUP($A1767,'13. Updated Demand'!A:Z,26,FALSE))</f>
        <v>0</v>
      </c>
      <c r="AJ1767" s="16">
        <f t="shared" si="337"/>
        <v>0</v>
      </c>
      <c r="AK1767" s="19">
        <v>0</v>
      </c>
      <c r="AL1767" s="16">
        <f t="shared" si="335"/>
        <v>0</v>
      </c>
      <c r="AM1767" s="26">
        <v>0</v>
      </c>
      <c r="AN1767" s="19">
        <v>12.1</v>
      </c>
      <c r="AO1767" s="19" t="s">
        <v>1758</v>
      </c>
      <c r="AP1767" s="19">
        <v>0</v>
      </c>
      <c r="AQ1767" s="19" t="s">
        <v>307</v>
      </c>
      <c r="AR1767" s="9" t="s">
        <v>319</v>
      </c>
      <c r="AS1767" s="12">
        <v>0</v>
      </c>
      <c r="AT1767" s="19">
        <v>38.960589200000001</v>
      </c>
      <c r="AU1767" s="19">
        <v>-123.0556548</v>
      </c>
      <c r="AV1767" s="19" t="s">
        <v>417</v>
      </c>
    </row>
    <row r="1768" spans="1:48" x14ac:dyDescent="0.25">
      <c r="A1768" s="18" t="s">
        <v>2173</v>
      </c>
      <c r="B1768" s="10">
        <v>10000000</v>
      </c>
      <c r="C1768" s="9">
        <v>6</v>
      </c>
      <c r="D1768" s="8" t="str">
        <f t="shared" si="326"/>
        <v>Y</v>
      </c>
      <c r="E1768" s="8" t="str">
        <f t="shared" si="327"/>
        <v>N</v>
      </c>
      <c r="F1768" s="8" t="str">
        <f t="shared" si="328"/>
        <v>Y</v>
      </c>
      <c r="G1768" s="8" t="str">
        <f t="shared" si="329"/>
        <v>Y</v>
      </c>
      <c r="H1768" s="8" t="str">
        <f t="shared" si="330"/>
        <v>Upper</v>
      </c>
      <c r="I1768" s="8" t="str">
        <f t="shared" si="331"/>
        <v>West Fork and Below Lake</v>
      </c>
      <c r="J1768" s="8" t="str">
        <f t="shared" si="332"/>
        <v>Mendocino (d/s of lake)</v>
      </c>
      <c r="K1768" s="8" t="str">
        <f t="shared" si="333"/>
        <v>Riparian</v>
      </c>
      <c r="L1768" s="8">
        <f t="shared" si="334"/>
        <v>1000</v>
      </c>
      <c r="M1768" s="8" t="str">
        <f t="shared" si="336"/>
        <v>-</v>
      </c>
      <c r="N1768" s="10" t="s">
        <v>242</v>
      </c>
      <c r="O1768" s="10" t="s">
        <v>241</v>
      </c>
      <c r="P1768" s="10" t="s">
        <v>242</v>
      </c>
      <c r="Q1768" s="10" t="s">
        <v>242</v>
      </c>
      <c r="R1768" s="10" t="s">
        <v>242</v>
      </c>
      <c r="S1768" s="10" t="s">
        <v>241</v>
      </c>
      <c r="T1768" s="10" t="s">
        <v>242</v>
      </c>
      <c r="U1768" s="10" t="s">
        <v>242</v>
      </c>
      <c r="V1768" s="10" t="s">
        <v>241</v>
      </c>
      <c r="W1768" s="10" t="s">
        <v>242</v>
      </c>
      <c r="X1768" s="15">
        <f>IF(ISERROR(VLOOKUP($A1768,'13. Updated Demand'!A:Z,15,FALSE)),0,VLOOKUP($A1768,'13. Updated Demand'!A:Z,15,FALSE))</f>
        <v>0</v>
      </c>
      <c r="Y1768" s="16">
        <f>IF(ISERROR(VLOOKUP($A1768,'13. Updated Demand'!A:Z,16,FALSE)),0,VLOOKUP($A1768,'13. Updated Demand'!A:Z,16,FALSE))</f>
        <v>0</v>
      </c>
      <c r="Z1768" s="16">
        <f>IF(ISERROR(VLOOKUP($A1768,'13. Updated Demand'!A:Z,17,FALSE)),0,VLOOKUP($A1768,'13. Updated Demand'!A:Z,17,FALSE))</f>
        <v>0</v>
      </c>
      <c r="AA1768" s="16">
        <f>IF(ISERROR(VLOOKUP($A1768,'13. Updated Demand'!A:Z,18,FALSE)),0,VLOOKUP($A1768,'13. Updated Demand'!A:Z,18,FALSE))</f>
        <v>0.73</v>
      </c>
      <c r="AB1768" s="16">
        <f>IF(ISERROR(VLOOKUP($A1768,'13. Updated Demand'!A:Z,19,FALSE)),0,VLOOKUP($A1768,'13. Updated Demand'!A:Z,19,FALSE))</f>
        <v>0</v>
      </c>
      <c r="AC1768" s="16">
        <f>IF(ISERROR(VLOOKUP($A1768,'13. Updated Demand'!A:Z,20,FALSE)),0,VLOOKUP($A1768,'13. Updated Demand'!A:Z,20,FALSE))</f>
        <v>0</v>
      </c>
      <c r="AD1768" s="16">
        <f>IF(ISERROR(VLOOKUP($A1768,'13. Updated Demand'!A:Z,21,FALSE)),0,VLOOKUP($A1768,'13. Updated Demand'!A:Z,21,FALSE))</f>
        <v>0</v>
      </c>
      <c r="AE1768" s="16">
        <f>IF(ISERROR(VLOOKUP($A1768,'13. Updated Demand'!A:Z,22,FALSE)),0,VLOOKUP($A1768,'13. Updated Demand'!A:Z,22,FALSE))</f>
        <v>0</v>
      </c>
      <c r="AF1768" s="16">
        <f>IF(ISERROR(VLOOKUP($A1768,'13. Updated Demand'!A:Z,23,FALSE)),0,VLOOKUP($A1768,'13. Updated Demand'!A:Z,23,FALSE))</f>
        <v>0</v>
      </c>
      <c r="AG1768" s="16">
        <f>IF(ISERROR(VLOOKUP($A1768,'13. Updated Demand'!A:Z,24,FALSE)),0,VLOOKUP($A1768,'13. Updated Demand'!A:Z,24,FALSE))</f>
        <v>0</v>
      </c>
      <c r="AH1768" s="16">
        <f>IF(ISERROR(VLOOKUP($A1768,'13. Updated Demand'!A:Z,25,FALSE)),0,VLOOKUP($A1768,'13. Updated Demand'!A:Z,25,FALSE))</f>
        <v>0</v>
      </c>
      <c r="AI1768" s="16">
        <f>IF(ISERROR(VLOOKUP($A1768,'13. Updated Demand'!A:Z,26,FALSE)),0,VLOOKUP($A1768,'13. Updated Demand'!A:Z,26,FALSE))</f>
        <v>0</v>
      </c>
      <c r="AJ1768" s="16">
        <f t="shared" si="337"/>
        <v>0.73</v>
      </c>
      <c r="AK1768" s="19">
        <v>0</v>
      </c>
      <c r="AL1768" s="16">
        <f t="shared" si="335"/>
        <v>0</v>
      </c>
      <c r="AM1768" s="26">
        <v>6.7488802963371996E-4</v>
      </c>
      <c r="AN1768" s="19">
        <v>1086.5999999999999</v>
      </c>
      <c r="AO1768" s="19" t="s">
        <v>1758</v>
      </c>
      <c r="AP1768" s="19">
        <v>0</v>
      </c>
      <c r="AQ1768" s="19" t="s">
        <v>307</v>
      </c>
      <c r="AR1768" s="9" t="s">
        <v>319</v>
      </c>
      <c r="AS1768" s="12">
        <v>0</v>
      </c>
      <c r="AT1768" s="19">
        <v>38.966051579999998</v>
      </c>
      <c r="AU1768" s="19">
        <v>-123.05890167</v>
      </c>
      <c r="AV1768" s="19" t="s">
        <v>417</v>
      </c>
    </row>
    <row r="1769" spans="1:48" x14ac:dyDescent="0.25">
      <c r="A1769" s="18" t="s">
        <v>2174</v>
      </c>
      <c r="B1769" s="10">
        <v>10000000</v>
      </c>
      <c r="C1769" s="9">
        <v>12</v>
      </c>
      <c r="D1769" s="8" t="str">
        <f t="shared" si="326"/>
        <v>N</v>
      </c>
      <c r="E1769" s="8" t="str">
        <f t="shared" si="327"/>
        <v>Y</v>
      </c>
      <c r="F1769" s="8" t="str">
        <f t="shared" si="328"/>
        <v>Y</v>
      </c>
      <c r="G1769" s="8" t="str">
        <f t="shared" si="329"/>
        <v>Y</v>
      </c>
      <c r="H1769" s="8" t="str">
        <f t="shared" si="330"/>
        <v>Upper</v>
      </c>
      <c r="I1769" s="8" t="str">
        <f t="shared" si="331"/>
        <v>West Fork and Below Lake</v>
      </c>
      <c r="J1769" s="8" t="str">
        <f t="shared" si="332"/>
        <v>Sonoma (d/s of Clov. Gage)</v>
      </c>
      <c r="K1769" s="8" t="str">
        <f t="shared" si="333"/>
        <v>Riparian</v>
      </c>
      <c r="L1769" s="8">
        <f t="shared" si="334"/>
        <v>1000</v>
      </c>
      <c r="M1769" s="8" t="str">
        <f t="shared" si="336"/>
        <v>-</v>
      </c>
      <c r="N1769" s="10" t="s">
        <v>242</v>
      </c>
      <c r="O1769" s="10" t="s">
        <v>241</v>
      </c>
      <c r="P1769" s="10" t="s">
        <v>242</v>
      </c>
      <c r="Q1769" s="10" t="s">
        <v>242</v>
      </c>
      <c r="R1769" s="10" t="s">
        <v>242</v>
      </c>
      <c r="S1769" s="10" t="s">
        <v>241</v>
      </c>
      <c r="T1769" s="10" t="s">
        <v>242</v>
      </c>
      <c r="U1769" s="10" t="s">
        <v>242</v>
      </c>
      <c r="V1769" s="10" t="s">
        <v>242</v>
      </c>
      <c r="W1769" s="10" t="s">
        <v>242</v>
      </c>
      <c r="X1769" s="15">
        <f>IF(ISERROR(VLOOKUP($A1769,'13. Updated Demand'!A:Z,15,FALSE)),0,VLOOKUP($A1769,'13. Updated Demand'!A:Z,15,FALSE))</f>
        <v>0</v>
      </c>
      <c r="Y1769" s="16">
        <f>IF(ISERROR(VLOOKUP($A1769,'13. Updated Demand'!A:Z,16,FALSE)),0,VLOOKUP($A1769,'13. Updated Demand'!A:Z,16,FALSE))</f>
        <v>0</v>
      </c>
      <c r="Z1769" s="16">
        <f>IF(ISERROR(VLOOKUP($A1769,'13. Updated Demand'!A:Z,17,FALSE)),0,VLOOKUP($A1769,'13. Updated Demand'!A:Z,17,FALSE))</f>
        <v>0</v>
      </c>
      <c r="AA1769" s="16">
        <f>IF(ISERROR(VLOOKUP($A1769,'13. Updated Demand'!A:Z,18,FALSE)),0,VLOOKUP($A1769,'13. Updated Demand'!A:Z,18,FALSE))</f>
        <v>0</v>
      </c>
      <c r="AB1769" s="16">
        <f>IF(ISERROR(VLOOKUP($A1769,'13. Updated Demand'!A:Z,19,FALSE)),0,VLOOKUP($A1769,'13. Updated Demand'!A:Z,19,FALSE))</f>
        <v>1.2</v>
      </c>
      <c r="AC1769" s="16">
        <f>IF(ISERROR(VLOOKUP($A1769,'13. Updated Demand'!A:Z,20,FALSE)),0,VLOOKUP($A1769,'13. Updated Demand'!A:Z,20,FALSE))</f>
        <v>0</v>
      </c>
      <c r="AD1769" s="16">
        <f>IF(ISERROR(VLOOKUP($A1769,'13. Updated Demand'!A:Z,21,FALSE)),0,VLOOKUP($A1769,'13. Updated Demand'!A:Z,21,FALSE))</f>
        <v>0</v>
      </c>
      <c r="AE1769" s="16">
        <f>IF(ISERROR(VLOOKUP($A1769,'13. Updated Demand'!A:Z,22,FALSE)),0,VLOOKUP($A1769,'13. Updated Demand'!A:Z,22,FALSE))</f>
        <v>0</v>
      </c>
      <c r="AF1769" s="16">
        <f>IF(ISERROR(VLOOKUP($A1769,'13. Updated Demand'!A:Z,23,FALSE)),0,VLOOKUP($A1769,'13. Updated Demand'!A:Z,23,FALSE))</f>
        <v>0</v>
      </c>
      <c r="AG1769" s="16">
        <f>IF(ISERROR(VLOOKUP($A1769,'13. Updated Demand'!A:Z,24,FALSE)),0,VLOOKUP($A1769,'13. Updated Demand'!A:Z,24,FALSE))</f>
        <v>0</v>
      </c>
      <c r="AH1769" s="16">
        <f>IF(ISERROR(VLOOKUP($A1769,'13. Updated Demand'!A:Z,25,FALSE)),0,VLOOKUP($A1769,'13. Updated Demand'!A:Z,25,FALSE))</f>
        <v>0</v>
      </c>
      <c r="AI1769" s="16">
        <f>IF(ISERROR(VLOOKUP($A1769,'13. Updated Demand'!A:Z,26,FALSE)),0,VLOOKUP($A1769,'13. Updated Demand'!A:Z,26,FALSE))</f>
        <v>0</v>
      </c>
      <c r="AJ1769" s="16">
        <f t="shared" si="337"/>
        <v>1.2</v>
      </c>
      <c r="AK1769" s="19">
        <v>1.2</v>
      </c>
      <c r="AL1769" s="16">
        <f t="shared" si="335"/>
        <v>3.9802633071546112E-3</v>
      </c>
      <c r="AM1769" s="26">
        <v>1</v>
      </c>
      <c r="AN1769" s="19">
        <v>1.2</v>
      </c>
      <c r="AO1769" s="19" t="s">
        <v>1758</v>
      </c>
      <c r="AP1769" s="19">
        <v>0</v>
      </c>
      <c r="AQ1769" s="19" t="s">
        <v>307</v>
      </c>
      <c r="AR1769" s="9" t="s">
        <v>311</v>
      </c>
      <c r="AS1769" s="12">
        <v>0</v>
      </c>
      <c r="AT1769" s="19">
        <v>38.611114180000001</v>
      </c>
      <c r="AU1769" s="19">
        <v>-122.76366951</v>
      </c>
      <c r="AV1769" s="19" t="s">
        <v>1254</v>
      </c>
    </row>
    <row r="1770" spans="1:48" x14ac:dyDescent="0.25">
      <c r="A1770" s="18" t="s">
        <v>2175</v>
      </c>
      <c r="B1770" s="10">
        <v>10000000</v>
      </c>
      <c r="C1770" s="9">
        <v>12</v>
      </c>
      <c r="D1770" s="8" t="str">
        <f t="shared" si="326"/>
        <v>N</v>
      </c>
      <c r="E1770" s="8" t="str">
        <f t="shared" si="327"/>
        <v>Y</v>
      </c>
      <c r="F1770" s="8" t="str">
        <f t="shared" si="328"/>
        <v>Y</v>
      </c>
      <c r="G1770" s="8" t="str">
        <f t="shared" si="329"/>
        <v>Y</v>
      </c>
      <c r="H1770" s="8" t="str">
        <f t="shared" si="330"/>
        <v>Upper</v>
      </c>
      <c r="I1770" s="8" t="str">
        <f t="shared" si="331"/>
        <v>West Fork and Below Lake</v>
      </c>
      <c r="J1770" s="8" t="str">
        <f t="shared" si="332"/>
        <v>Sonoma (d/s of Clov. Gage)</v>
      </c>
      <c r="K1770" s="8" t="str">
        <f t="shared" si="333"/>
        <v>Riparian</v>
      </c>
      <c r="L1770" s="8">
        <f t="shared" si="334"/>
        <v>1000</v>
      </c>
      <c r="M1770" s="8" t="str">
        <f t="shared" si="336"/>
        <v>-</v>
      </c>
      <c r="N1770" s="10" t="s">
        <v>242</v>
      </c>
      <c r="O1770" s="10" t="s">
        <v>241</v>
      </c>
      <c r="P1770" s="10" t="s">
        <v>242</v>
      </c>
      <c r="Q1770" s="10" t="s">
        <v>242</v>
      </c>
      <c r="R1770" s="10" t="s">
        <v>242</v>
      </c>
      <c r="S1770" s="10" t="s">
        <v>241</v>
      </c>
      <c r="T1770" s="10" t="s">
        <v>242</v>
      </c>
      <c r="U1770" s="10" t="s">
        <v>242</v>
      </c>
      <c r="V1770" s="10" t="s">
        <v>241</v>
      </c>
      <c r="W1770" s="10" t="s">
        <v>242</v>
      </c>
      <c r="X1770" s="15">
        <f>IF(ISERROR(VLOOKUP($A1770,'13. Updated Demand'!A:Z,15,FALSE)),0,VLOOKUP($A1770,'13. Updated Demand'!A:Z,15,FALSE))</f>
        <v>0</v>
      </c>
      <c r="Y1770" s="16">
        <f>IF(ISERROR(VLOOKUP($A1770,'13. Updated Demand'!A:Z,16,FALSE)),0,VLOOKUP($A1770,'13. Updated Demand'!A:Z,16,FALSE))</f>
        <v>0.92</v>
      </c>
      <c r="Z1770" s="16">
        <f>IF(ISERROR(VLOOKUP($A1770,'13. Updated Demand'!A:Z,17,FALSE)),0,VLOOKUP($A1770,'13. Updated Demand'!A:Z,17,FALSE))</f>
        <v>0.92</v>
      </c>
      <c r="AA1770" s="16">
        <f>IF(ISERROR(VLOOKUP($A1770,'13. Updated Demand'!A:Z,18,FALSE)),0,VLOOKUP($A1770,'13. Updated Demand'!A:Z,18,FALSE))</f>
        <v>0.92</v>
      </c>
      <c r="AB1770" s="16">
        <f>IF(ISERROR(VLOOKUP($A1770,'13. Updated Demand'!A:Z,19,FALSE)),0,VLOOKUP($A1770,'13. Updated Demand'!A:Z,19,FALSE))</f>
        <v>0</v>
      </c>
      <c r="AC1770" s="16">
        <f>IF(ISERROR(VLOOKUP($A1770,'13. Updated Demand'!A:Z,20,FALSE)),0,VLOOKUP($A1770,'13. Updated Demand'!A:Z,20,FALSE))</f>
        <v>0</v>
      </c>
      <c r="AD1770" s="16">
        <f>IF(ISERROR(VLOOKUP($A1770,'13. Updated Demand'!A:Z,21,FALSE)),0,VLOOKUP($A1770,'13. Updated Demand'!A:Z,21,FALSE))</f>
        <v>0</v>
      </c>
      <c r="AE1770" s="16">
        <f>IF(ISERROR(VLOOKUP($A1770,'13. Updated Demand'!A:Z,22,FALSE)),0,VLOOKUP($A1770,'13. Updated Demand'!A:Z,22,FALSE))</f>
        <v>0</v>
      </c>
      <c r="AF1770" s="16">
        <f>IF(ISERROR(VLOOKUP($A1770,'13. Updated Demand'!A:Z,23,FALSE)),0,VLOOKUP($A1770,'13. Updated Demand'!A:Z,23,FALSE))</f>
        <v>0</v>
      </c>
      <c r="AG1770" s="16">
        <f>IF(ISERROR(VLOOKUP($A1770,'13. Updated Demand'!A:Z,24,FALSE)),0,VLOOKUP($A1770,'13. Updated Demand'!A:Z,24,FALSE))</f>
        <v>0</v>
      </c>
      <c r="AH1770" s="16">
        <f>IF(ISERROR(VLOOKUP($A1770,'13. Updated Demand'!A:Z,25,FALSE)),0,VLOOKUP($A1770,'13. Updated Demand'!A:Z,25,FALSE))</f>
        <v>0</v>
      </c>
      <c r="AI1770" s="16">
        <f>IF(ISERROR(VLOOKUP($A1770,'13. Updated Demand'!A:Z,26,FALSE)),0,VLOOKUP($A1770,'13. Updated Demand'!A:Z,26,FALSE))</f>
        <v>0</v>
      </c>
      <c r="AJ1770" s="16">
        <f t="shared" si="337"/>
        <v>2.7600000000000002</v>
      </c>
      <c r="AK1770" s="19">
        <v>0</v>
      </c>
      <c r="AL1770" s="16">
        <f t="shared" si="335"/>
        <v>0</v>
      </c>
      <c r="AM1770" s="26">
        <v>0.34302665840049595</v>
      </c>
      <c r="AN1770" s="19">
        <v>8.0649999999999995</v>
      </c>
      <c r="AO1770" s="19" t="s">
        <v>1758</v>
      </c>
      <c r="AP1770" s="19">
        <v>0</v>
      </c>
      <c r="AQ1770" s="19" t="s">
        <v>307</v>
      </c>
      <c r="AR1770" s="9" t="s">
        <v>311</v>
      </c>
      <c r="AS1770" s="12">
        <v>0</v>
      </c>
      <c r="AT1770" s="19">
        <v>38.620975649999998</v>
      </c>
      <c r="AU1770" s="19">
        <v>-122.67906769</v>
      </c>
      <c r="AV1770" s="19" t="s">
        <v>417</v>
      </c>
    </row>
    <row r="1771" spans="1:48" x14ac:dyDescent="0.25">
      <c r="A1771" s="18" t="s">
        <v>123</v>
      </c>
      <c r="B1771" s="10">
        <v>10000000</v>
      </c>
      <c r="C1771" s="9">
        <v>12</v>
      </c>
      <c r="D1771" s="8" t="str">
        <f t="shared" si="326"/>
        <v>N</v>
      </c>
      <c r="E1771" s="8" t="str">
        <f t="shared" si="327"/>
        <v>Y</v>
      </c>
      <c r="F1771" s="8" t="str">
        <f t="shared" si="328"/>
        <v>Y</v>
      </c>
      <c r="G1771" s="8" t="str">
        <f t="shared" si="329"/>
        <v>Y</v>
      </c>
      <c r="H1771" s="8" t="str">
        <f t="shared" si="330"/>
        <v>Upper</v>
      </c>
      <c r="I1771" s="8" t="str">
        <f t="shared" si="331"/>
        <v>West Fork and Below Lake</v>
      </c>
      <c r="J1771" s="8" t="str">
        <f t="shared" si="332"/>
        <v>Sonoma (d/s of Clov. Gage)</v>
      </c>
      <c r="K1771" s="8" t="str">
        <f t="shared" si="333"/>
        <v>Riparian</v>
      </c>
      <c r="L1771" s="8">
        <f t="shared" si="334"/>
        <v>1000</v>
      </c>
      <c r="M1771" s="8" t="str">
        <f t="shared" si="336"/>
        <v>-</v>
      </c>
      <c r="N1771" s="10" t="s">
        <v>242</v>
      </c>
      <c r="O1771" s="10" t="s">
        <v>241</v>
      </c>
      <c r="P1771" s="10" t="s">
        <v>242</v>
      </c>
      <c r="Q1771" s="10" t="s">
        <v>242</v>
      </c>
      <c r="R1771" s="10" t="s">
        <v>242</v>
      </c>
      <c r="S1771" s="10" t="s">
        <v>241</v>
      </c>
      <c r="T1771" s="10" t="s">
        <v>242</v>
      </c>
      <c r="U1771" s="10" t="s">
        <v>242</v>
      </c>
      <c r="V1771" s="10" t="s">
        <v>241</v>
      </c>
      <c r="W1771" s="10" t="s">
        <v>242</v>
      </c>
      <c r="X1771" s="15">
        <f>IF(ISERROR(VLOOKUP($A1771,'13. Updated Demand'!A:Z,15,FALSE)),0,VLOOKUP($A1771,'13. Updated Demand'!A:Z,15,FALSE))</f>
        <v>4.7300000000000004</v>
      </c>
      <c r="Y1771" s="16">
        <f>IF(ISERROR(VLOOKUP($A1771,'13. Updated Demand'!A:Z,16,FALSE)),0,VLOOKUP($A1771,'13. Updated Demand'!A:Z,16,FALSE))</f>
        <v>5.13</v>
      </c>
      <c r="Z1771" s="16">
        <f>IF(ISERROR(VLOOKUP($A1771,'13. Updated Demand'!A:Z,17,FALSE)),0,VLOOKUP($A1771,'13. Updated Demand'!A:Z,17,FALSE))</f>
        <v>3.8</v>
      </c>
      <c r="AA1771" s="16">
        <f>IF(ISERROR(VLOOKUP($A1771,'13. Updated Demand'!A:Z,18,FALSE)),0,VLOOKUP($A1771,'13. Updated Demand'!A:Z,18,FALSE))</f>
        <v>1.26</v>
      </c>
      <c r="AB1771" s="16">
        <f>IF(ISERROR(VLOOKUP($A1771,'13. Updated Demand'!A:Z,19,FALSE)),0,VLOOKUP($A1771,'13. Updated Demand'!A:Z,19,FALSE))</f>
        <v>0</v>
      </c>
      <c r="AC1771" s="16">
        <f>IF(ISERROR(VLOOKUP($A1771,'13. Updated Demand'!A:Z,20,FALSE)),0,VLOOKUP($A1771,'13. Updated Demand'!A:Z,20,FALSE))</f>
        <v>0</v>
      </c>
      <c r="AD1771" s="16">
        <f>IF(ISERROR(VLOOKUP($A1771,'13. Updated Demand'!A:Z,21,FALSE)),0,VLOOKUP($A1771,'13. Updated Demand'!A:Z,21,FALSE))</f>
        <v>0</v>
      </c>
      <c r="AE1771" s="16">
        <f>IF(ISERROR(VLOOKUP($A1771,'13. Updated Demand'!A:Z,22,FALSE)),0,VLOOKUP($A1771,'13. Updated Demand'!A:Z,22,FALSE))</f>
        <v>0</v>
      </c>
      <c r="AF1771" s="16">
        <f>IF(ISERROR(VLOOKUP($A1771,'13. Updated Demand'!A:Z,23,FALSE)),0,VLOOKUP($A1771,'13. Updated Demand'!A:Z,23,FALSE))</f>
        <v>0</v>
      </c>
      <c r="AG1771" s="16">
        <f>IF(ISERROR(VLOOKUP($A1771,'13. Updated Demand'!A:Z,24,FALSE)),0,VLOOKUP($A1771,'13. Updated Demand'!A:Z,24,FALSE))</f>
        <v>0</v>
      </c>
      <c r="AH1771" s="16">
        <f>IF(ISERROR(VLOOKUP($A1771,'13. Updated Demand'!A:Z,25,FALSE)),0,VLOOKUP($A1771,'13. Updated Demand'!A:Z,25,FALSE))</f>
        <v>0.7</v>
      </c>
      <c r="AI1771" s="16">
        <f>IF(ISERROR(VLOOKUP($A1771,'13. Updated Demand'!A:Z,26,FALSE)),0,VLOOKUP($A1771,'13. Updated Demand'!A:Z,26,FALSE))</f>
        <v>1</v>
      </c>
      <c r="AJ1771" s="16">
        <f t="shared" si="337"/>
        <v>16.619999999999997</v>
      </c>
      <c r="AK1771" s="19">
        <v>0</v>
      </c>
      <c r="AL1771" s="16">
        <f t="shared" si="335"/>
        <v>0</v>
      </c>
      <c r="AM1771" s="26">
        <v>0.46203703702777776</v>
      </c>
      <c r="AN1771" s="19">
        <v>36</v>
      </c>
      <c r="AO1771" s="19" t="s">
        <v>1758</v>
      </c>
      <c r="AP1771" s="19">
        <v>0</v>
      </c>
      <c r="AQ1771" s="19" t="s">
        <v>307</v>
      </c>
      <c r="AR1771" s="9" t="s">
        <v>311</v>
      </c>
      <c r="AS1771" s="12">
        <v>0</v>
      </c>
      <c r="AT1771" s="19">
        <v>38.665546759999998</v>
      </c>
      <c r="AU1771" s="19">
        <v>-122.79542533999999</v>
      </c>
      <c r="AV1771" s="19" t="s">
        <v>417</v>
      </c>
    </row>
    <row r="1772" spans="1:48" x14ac:dyDescent="0.25">
      <c r="A1772" s="18" t="s">
        <v>2176</v>
      </c>
      <c r="B1772" s="10">
        <v>10000000</v>
      </c>
      <c r="C1772" s="9">
        <v>17</v>
      </c>
      <c r="D1772" s="8" t="str">
        <f t="shared" si="326"/>
        <v>N</v>
      </c>
      <c r="E1772" s="8" t="str">
        <f t="shared" si="327"/>
        <v>N</v>
      </c>
      <c r="F1772" s="8" t="str">
        <f t="shared" si="328"/>
        <v>N</v>
      </c>
      <c r="G1772" s="8" t="str">
        <f t="shared" si="329"/>
        <v>N</v>
      </c>
      <c r="H1772" s="8" t="str">
        <f t="shared" si="330"/>
        <v>Lower</v>
      </c>
      <c r="I1772" s="8" t="str">
        <f t="shared" si="331"/>
        <v>Outside</v>
      </c>
      <c r="J1772" s="8" t="str">
        <f t="shared" si="332"/>
        <v>Outside</v>
      </c>
      <c r="K1772" s="8" t="str">
        <f t="shared" si="333"/>
        <v>Riparian</v>
      </c>
      <c r="L1772" s="8">
        <f t="shared" si="334"/>
        <v>1000</v>
      </c>
      <c r="M1772" s="8" t="str">
        <f t="shared" si="336"/>
        <v>-</v>
      </c>
      <c r="N1772" s="10" t="s">
        <v>242</v>
      </c>
      <c r="O1772" s="10" t="s">
        <v>242</v>
      </c>
      <c r="P1772" s="10" t="s">
        <v>242</v>
      </c>
      <c r="Q1772" s="10" t="s">
        <v>242</v>
      </c>
      <c r="R1772" s="10" t="s">
        <v>242</v>
      </c>
      <c r="S1772" s="10" t="s">
        <v>241</v>
      </c>
      <c r="T1772" s="10" t="s">
        <v>241</v>
      </c>
      <c r="U1772" s="10" t="s">
        <v>241</v>
      </c>
      <c r="V1772" s="10" t="s">
        <v>241</v>
      </c>
      <c r="W1772" s="10" t="s">
        <v>242</v>
      </c>
      <c r="X1772" s="15">
        <f>IF(ISERROR(VLOOKUP($A1772,'13. Updated Demand'!A:Z,15,FALSE)),0,VLOOKUP($A1772,'13. Updated Demand'!A:Z,15,FALSE))</f>
        <v>0</v>
      </c>
      <c r="Y1772" s="16">
        <f>IF(ISERROR(VLOOKUP($A1772,'13. Updated Demand'!A:Z,16,FALSE)),0,VLOOKUP($A1772,'13. Updated Demand'!A:Z,16,FALSE))</f>
        <v>0</v>
      </c>
      <c r="Z1772" s="16">
        <f>IF(ISERROR(VLOOKUP($A1772,'13. Updated Demand'!A:Z,17,FALSE)),0,VLOOKUP($A1772,'13. Updated Demand'!A:Z,17,FALSE))</f>
        <v>0</v>
      </c>
      <c r="AA1772" s="16">
        <f>IF(ISERROR(VLOOKUP($A1772,'13. Updated Demand'!A:Z,18,FALSE)),0,VLOOKUP($A1772,'13. Updated Demand'!A:Z,18,FALSE))</f>
        <v>0</v>
      </c>
      <c r="AB1772" s="16">
        <f>IF(ISERROR(VLOOKUP($A1772,'13. Updated Demand'!A:Z,19,FALSE)),0,VLOOKUP($A1772,'13. Updated Demand'!A:Z,19,FALSE))</f>
        <v>0</v>
      </c>
      <c r="AC1772" s="16">
        <f>IF(ISERROR(VLOOKUP($A1772,'13. Updated Demand'!A:Z,20,FALSE)),0,VLOOKUP($A1772,'13. Updated Demand'!A:Z,20,FALSE))</f>
        <v>0</v>
      </c>
      <c r="AD1772" s="16">
        <f>IF(ISERROR(VLOOKUP($A1772,'13. Updated Demand'!A:Z,21,FALSE)),0,VLOOKUP($A1772,'13. Updated Demand'!A:Z,21,FALSE))</f>
        <v>0</v>
      </c>
      <c r="AE1772" s="16">
        <f>IF(ISERROR(VLOOKUP($A1772,'13. Updated Demand'!A:Z,22,FALSE)),0,VLOOKUP($A1772,'13. Updated Demand'!A:Z,22,FALSE))</f>
        <v>0</v>
      </c>
      <c r="AF1772" s="16">
        <f>IF(ISERROR(VLOOKUP($A1772,'13. Updated Demand'!A:Z,23,FALSE)),0,VLOOKUP($A1772,'13. Updated Demand'!A:Z,23,FALSE))</f>
        <v>0</v>
      </c>
      <c r="AG1772" s="16">
        <f>IF(ISERROR(VLOOKUP($A1772,'13. Updated Demand'!A:Z,24,FALSE)),0,VLOOKUP($A1772,'13. Updated Demand'!A:Z,24,FALSE))</f>
        <v>0</v>
      </c>
      <c r="AH1772" s="16">
        <f>IF(ISERROR(VLOOKUP($A1772,'13. Updated Demand'!A:Z,25,FALSE)),0,VLOOKUP($A1772,'13. Updated Demand'!A:Z,25,FALSE))</f>
        <v>0</v>
      </c>
      <c r="AI1772" s="16">
        <f>IF(ISERROR(VLOOKUP($A1772,'13. Updated Demand'!A:Z,26,FALSE)),0,VLOOKUP($A1772,'13. Updated Demand'!A:Z,26,FALSE))</f>
        <v>0</v>
      </c>
      <c r="AJ1772" s="16">
        <f t="shared" si="337"/>
        <v>0</v>
      </c>
      <c r="AK1772" s="19">
        <v>0</v>
      </c>
      <c r="AL1772" s="16">
        <f t="shared" si="335"/>
        <v>0</v>
      </c>
      <c r="AM1772" s="26">
        <v>0</v>
      </c>
      <c r="AN1772" s="19">
        <v>4.5279999999999996</v>
      </c>
      <c r="AO1772" s="19" t="s">
        <v>1758</v>
      </c>
      <c r="AP1772" s="19">
        <v>0</v>
      </c>
      <c r="AQ1772" s="19" t="s">
        <v>307</v>
      </c>
      <c r="AR1772" s="9" t="s">
        <v>486</v>
      </c>
      <c r="AS1772" s="12">
        <v>3.4039024194010059E-4</v>
      </c>
      <c r="AT1772" s="19">
        <v>38.573700000000002</v>
      </c>
      <c r="AU1772" s="19">
        <v>-122.8767</v>
      </c>
      <c r="AV1772" s="19" t="s">
        <v>417</v>
      </c>
    </row>
    <row r="1773" spans="1:48" x14ac:dyDescent="0.25">
      <c r="A1773" s="18" t="s">
        <v>2177</v>
      </c>
      <c r="B1773" s="10">
        <v>10000000</v>
      </c>
      <c r="C1773" s="9">
        <v>12</v>
      </c>
      <c r="D1773" s="8" t="str">
        <f t="shared" si="326"/>
        <v>N</v>
      </c>
      <c r="E1773" s="8" t="str">
        <f t="shared" si="327"/>
        <v>Y</v>
      </c>
      <c r="F1773" s="8" t="str">
        <f t="shared" si="328"/>
        <v>Y</v>
      </c>
      <c r="G1773" s="8" t="str">
        <f t="shared" si="329"/>
        <v>Y</v>
      </c>
      <c r="H1773" s="8" t="str">
        <f t="shared" si="330"/>
        <v>Upper</v>
      </c>
      <c r="I1773" s="8" t="str">
        <f t="shared" si="331"/>
        <v>West Fork and Below Lake</v>
      </c>
      <c r="J1773" s="8" t="str">
        <f t="shared" si="332"/>
        <v>Sonoma (d/s of Clov. Gage)</v>
      </c>
      <c r="K1773" s="8" t="str">
        <f t="shared" si="333"/>
        <v>Riparian</v>
      </c>
      <c r="L1773" s="8">
        <f t="shared" si="334"/>
        <v>1000</v>
      </c>
      <c r="M1773" s="8" t="str">
        <f t="shared" si="336"/>
        <v>-</v>
      </c>
      <c r="N1773" s="10" t="s">
        <v>242</v>
      </c>
      <c r="O1773" s="10" t="s">
        <v>241</v>
      </c>
      <c r="P1773" s="10" t="s">
        <v>242</v>
      </c>
      <c r="Q1773" s="10" t="s">
        <v>242</v>
      </c>
      <c r="R1773" s="10" t="s">
        <v>242</v>
      </c>
      <c r="S1773" s="10" t="s">
        <v>241</v>
      </c>
      <c r="T1773" s="10" t="s">
        <v>242</v>
      </c>
      <c r="U1773" s="10" t="s">
        <v>242</v>
      </c>
      <c r="V1773" s="10" t="s">
        <v>241</v>
      </c>
      <c r="W1773" s="10" t="s">
        <v>242</v>
      </c>
      <c r="X1773" s="15">
        <f>IF(ISERROR(VLOOKUP($A1773,'13. Updated Demand'!A:Z,15,FALSE)),0,VLOOKUP($A1773,'13. Updated Demand'!A:Z,15,FALSE))</f>
        <v>1.33</v>
      </c>
      <c r="Y1773" s="16">
        <f>IF(ISERROR(VLOOKUP($A1773,'13. Updated Demand'!A:Z,16,FALSE)),0,VLOOKUP($A1773,'13. Updated Demand'!A:Z,16,FALSE))</f>
        <v>1.33</v>
      </c>
      <c r="Z1773" s="16">
        <f>IF(ISERROR(VLOOKUP($A1773,'13. Updated Demand'!A:Z,17,FALSE)),0,VLOOKUP($A1773,'13. Updated Demand'!A:Z,17,FALSE))</f>
        <v>0.83</v>
      </c>
      <c r="AA1773" s="16">
        <f>IF(ISERROR(VLOOKUP($A1773,'13. Updated Demand'!A:Z,18,FALSE)),0,VLOOKUP($A1773,'13. Updated Demand'!A:Z,18,FALSE))</f>
        <v>0</v>
      </c>
      <c r="AB1773" s="16">
        <f>IF(ISERROR(VLOOKUP($A1773,'13. Updated Demand'!A:Z,19,FALSE)),0,VLOOKUP($A1773,'13. Updated Demand'!A:Z,19,FALSE))</f>
        <v>0</v>
      </c>
      <c r="AC1773" s="16">
        <f>IF(ISERROR(VLOOKUP($A1773,'13. Updated Demand'!A:Z,20,FALSE)),0,VLOOKUP($A1773,'13. Updated Demand'!A:Z,20,FALSE))</f>
        <v>0</v>
      </c>
      <c r="AD1773" s="16">
        <f>IF(ISERROR(VLOOKUP($A1773,'13. Updated Demand'!A:Z,21,FALSE)),0,VLOOKUP($A1773,'13. Updated Demand'!A:Z,21,FALSE))</f>
        <v>0</v>
      </c>
      <c r="AE1773" s="16">
        <f>IF(ISERROR(VLOOKUP($A1773,'13. Updated Demand'!A:Z,22,FALSE)),0,VLOOKUP($A1773,'13. Updated Demand'!A:Z,22,FALSE))</f>
        <v>0</v>
      </c>
      <c r="AF1773" s="16">
        <f>IF(ISERROR(VLOOKUP($A1773,'13. Updated Demand'!A:Z,23,FALSE)),0,VLOOKUP($A1773,'13. Updated Demand'!A:Z,23,FALSE))</f>
        <v>0</v>
      </c>
      <c r="AG1773" s="16">
        <f>IF(ISERROR(VLOOKUP($A1773,'13. Updated Demand'!A:Z,24,FALSE)),0,VLOOKUP($A1773,'13. Updated Demand'!A:Z,24,FALSE))</f>
        <v>0</v>
      </c>
      <c r="AH1773" s="16">
        <f>IF(ISERROR(VLOOKUP($A1773,'13. Updated Demand'!A:Z,25,FALSE)),0,VLOOKUP($A1773,'13. Updated Demand'!A:Z,25,FALSE))</f>
        <v>0.16</v>
      </c>
      <c r="AI1773" s="16">
        <f>IF(ISERROR(VLOOKUP($A1773,'13. Updated Demand'!A:Z,26,FALSE)),0,VLOOKUP($A1773,'13. Updated Demand'!A:Z,26,FALSE))</f>
        <v>0.83</v>
      </c>
      <c r="AJ1773" s="16">
        <f t="shared" si="337"/>
        <v>4.4800000000000004</v>
      </c>
      <c r="AK1773" s="19">
        <v>0</v>
      </c>
      <c r="AL1773" s="16">
        <f t="shared" si="335"/>
        <v>0</v>
      </c>
      <c r="AM1773" s="26">
        <v>0.19565217386956521</v>
      </c>
      <c r="AN1773" s="19">
        <v>23</v>
      </c>
      <c r="AO1773" s="19" t="s">
        <v>1758</v>
      </c>
      <c r="AP1773" s="19">
        <v>0</v>
      </c>
      <c r="AQ1773" s="19" t="s">
        <v>307</v>
      </c>
      <c r="AR1773" s="9" t="s">
        <v>311</v>
      </c>
      <c r="AS1773" s="12">
        <v>0</v>
      </c>
      <c r="AT1773" s="19">
        <v>38.614201999999999</v>
      </c>
      <c r="AU1773" s="19">
        <v>-122.66325341</v>
      </c>
      <c r="AV1773" s="19" t="s">
        <v>417</v>
      </c>
    </row>
    <row r="1774" spans="1:48" x14ac:dyDescent="0.25">
      <c r="A1774" s="18" t="s">
        <v>2178</v>
      </c>
      <c r="B1774" s="10">
        <v>10000000</v>
      </c>
      <c r="C1774" s="9">
        <v>15</v>
      </c>
      <c r="D1774" s="8" t="str">
        <f t="shared" si="326"/>
        <v>N</v>
      </c>
      <c r="E1774" s="8" t="str">
        <f t="shared" si="327"/>
        <v>N</v>
      </c>
      <c r="F1774" s="8" t="str">
        <f t="shared" si="328"/>
        <v>N</v>
      </c>
      <c r="G1774" s="8" t="str">
        <f t="shared" si="329"/>
        <v>N</v>
      </c>
      <c r="H1774" s="8" t="str">
        <f t="shared" si="330"/>
        <v>Lower</v>
      </c>
      <c r="I1774" s="8" t="str">
        <f t="shared" si="331"/>
        <v>Outside</v>
      </c>
      <c r="J1774" s="8" t="str">
        <f t="shared" si="332"/>
        <v>Outside</v>
      </c>
      <c r="K1774" s="8" t="str">
        <f t="shared" si="333"/>
        <v>Riparian</v>
      </c>
      <c r="L1774" s="8">
        <f t="shared" si="334"/>
        <v>1000</v>
      </c>
      <c r="M1774" s="8" t="str">
        <f t="shared" si="336"/>
        <v>-</v>
      </c>
      <c r="N1774" s="10" t="s">
        <v>242</v>
      </c>
      <c r="O1774" s="10" t="s">
        <v>242</v>
      </c>
      <c r="P1774" s="10" t="s">
        <v>242</v>
      </c>
      <c r="Q1774" s="10" t="s">
        <v>242</v>
      </c>
      <c r="R1774" s="10" t="s">
        <v>242</v>
      </c>
      <c r="S1774" s="10" t="s">
        <v>241</v>
      </c>
      <c r="T1774" s="10" t="s">
        <v>242</v>
      </c>
      <c r="U1774" s="10" t="s">
        <v>242</v>
      </c>
      <c r="V1774" s="10" t="s">
        <v>242</v>
      </c>
      <c r="W1774" s="10" t="s">
        <v>242</v>
      </c>
      <c r="X1774" s="15">
        <f>IF(ISERROR(VLOOKUP($A1774,'13. Updated Demand'!A:Z,15,FALSE)),0,VLOOKUP($A1774,'13. Updated Demand'!A:Z,15,FALSE))</f>
        <v>0</v>
      </c>
      <c r="Y1774" s="16">
        <f>IF(ISERROR(VLOOKUP($A1774,'13. Updated Demand'!A:Z,16,FALSE)),0,VLOOKUP($A1774,'13. Updated Demand'!A:Z,16,FALSE))</f>
        <v>0</v>
      </c>
      <c r="Z1774" s="16">
        <f>IF(ISERROR(VLOOKUP($A1774,'13. Updated Demand'!A:Z,17,FALSE)),0,VLOOKUP($A1774,'13. Updated Demand'!A:Z,17,FALSE))</f>
        <v>0</v>
      </c>
      <c r="AA1774" s="16">
        <f>IF(ISERROR(VLOOKUP($A1774,'13. Updated Demand'!A:Z,18,FALSE)),0,VLOOKUP($A1774,'13. Updated Demand'!A:Z,18,FALSE))</f>
        <v>0</v>
      </c>
      <c r="AB1774" s="16">
        <f>IF(ISERROR(VLOOKUP($A1774,'13. Updated Demand'!A:Z,19,FALSE)),0,VLOOKUP($A1774,'13. Updated Demand'!A:Z,19,FALSE))</f>
        <v>0.47494933299999997</v>
      </c>
      <c r="AC1774" s="16">
        <f>IF(ISERROR(VLOOKUP($A1774,'13. Updated Demand'!A:Z,20,FALSE)),0,VLOOKUP($A1774,'13. Updated Demand'!A:Z,20,FALSE))</f>
        <v>1.0552760000000001</v>
      </c>
      <c r="AD1774" s="16">
        <f>IF(ISERROR(VLOOKUP($A1774,'13. Updated Demand'!A:Z,21,FALSE)),0,VLOOKUP($A1774,'13. Updated Demand'!A:Z,21,FALSE))</f>
        <v>1.0552760000000001</v>
      </c>
      <c r="AE1774" s="16">
        <f>IF(ISERROR(VLOOKUP($A1774,'13. Updated Demand'!A:Z,22,FALSE)),0,VLOOKUP($A1774,'13. Updated Demand'!A:Z,22,FALSE))</f>
        <v>1.0552760000000001</v>
      </c>
      <c r="AF1774" s="16">
        <f>IF(ISERROR(VLOOKUP($A1774,'13. Updated Demand'!A:Z,23,FALSE)),0,VLOOKUP($A1774,'13. Updated Demand'!A:Z,23,FALSE))</f>
        <v>1.0552760000000001</v>
      </c>
      <c r="AG1774" s="16">
        <f>IF(ISERROR(VLOOKUP($A1774,'13. Updated Demand'!A:Z,24,FALSE)),0,VLOOKUP($A1774,'13. Updated Demand'!A:Z,24,FALSE))</f>
        <v>0.47494933299999997</v>
      </c>
      <c r="AH1774" s="16">
        <f>IF(ISERROR(VLOOKUP($A1774,'13. Updated Demand'!A:Z,25,FALSE)),0,VLOOKUP($A1774,'13. Updated Demand'!A:Z,25,FALSE))</f>
        <v>0</v>
      </c>
      <c r="AI1774" s="16">
        <f>IF(ISERROR(VLOOKUP($A1774,'13. Updated Demand'!A:Z,26,FALSE)),0,VLOOKUP($A1774,'13. Updated Demand'!A:Z,26,FALSE))</f>
        <v>0</v>
      </c>
      <c r="AJ1774" s="16">
        <f t="shared" si="337"/>
        <v>5.1710026659999997</v>
      </c>
      <c r="AK1774" s="19">
        <v>4.6960533330000001</v>
      </c>
      <c r="AL1774" s="16">
        <f t="shared" si="335"/>
        <v>1.5576273974817511E-2</v>
      </c>
      <c r="AM1774" s="26">
        <v>2.3404344425233769E-2</v>
      </c>
      <c r="AN1774" s="19">
        <v>220.94200000000001</v>
      </c>
      <c r="AO1774" s="19" t="s">
        <v>1758</v>
      </c>
      <c r="AP1774" s="19">
        <v>0</v>
      </c>
      <c r="AQ1774" s="19" t="s">
        <v>307</v>
      </c>
      <c r="AR1774" s="9" t="s">
        <v>489</v>
      </c>
      <c r="AS1774" s="12">
        <v>0</v>
      </c>
      <c r="AT1774" s="19">
        <v>38.700613779999998</v>
      </c>
      <c r="AU1774" s="19">
        <v>-122.95245805</v>
      </c>
      <c r="AV1774" s="19" t="s">
        <v>932</v>
      </c>
    </row>
    <row r="1775" spans="1:48" x14ac:dyDescent="0.25">
      <c r="A1775" s="18" t="s">
        <v>2179</v>
      </c>
      <c r="B1775" s="10">
        <v>10000000</v>
      </c>
      <c r="C1775" s="9">
        <v>8</v>
      </c>
      <c r="D1775" s="8" t="str">
        <f t="shared" si="326"/>
        <v>N</v>
      </c>
      <c r="E1775" s="8" t="str">
        <f t="shared" si="327"/>
        <v>Y</v>
      </c>
      <c r="F1775" s="8" t="str">
        <f t="shared" si="328"/>
        <v>Y</v>
      </c>
      <c r="G1775" s="8" t="str">
        <f t="shared" si="329"/>
        <v>Y</v>
      </c>
      <c r="H1775" s="8" t="str">
        <f t="shared" si="330"/>
        <v>Upper</v>
      </c>
      <c r="I1775" s="8" t="str">
        <f t="shared" si="331"/>
        <v>West Fork and Below Lake</v>
      </c>
      <c r="J1775" s="8" t="str">
        <f t="shared" si="332"/>
        <v>Sonoma (d/s of Clov. Gage)</v>
      </c>
      <c r="K1775" s="8" t="str">
        <f t="shared" si="333"/>
        <v>Riparian</v>
      </c>
      <c r="L1775" s="8">
        <f t="shared" si="334"/>
        <v>1000</v>
      </c>
      <c r="M1775" s="8" t="str">
        <f t="shared" si="336"/>
        <v>-</v>
      </c>
      <c r="N1775" s="10" t="s">
        <v>242</v>
      </c>
      <c r="O1775" s="10" t="s">
        <v>241</v>
      </c>
      <c r="P1775" s="10" t="s">
        <v>242</v>
      </c>
      <c r="Q1775" s="10" t="s">
        <v>242</v>
      </c>
      <c r="R1775" s="10" t="s">
        <v>242</v>
      </c>
      <c r="S1775" s="10" t="s">
        <v>241</v>
      </c>
      <c r="T1775" s="10" t="s">
        <v>241</v>
      </c>
      <c r="U1775" s="10" t="s">
        <v>241</v>
      </c>
      <c r="V1775" s="10" t="s">
        <v>241</v>
      </c>
      <c r="W1775" s="10" t="s">
        <v>242</v>
      </c>
      <c r="X1775" s="15">
        <f>IF(ISERROR(VLOOKUP($A1775,'13. Updated Demand'!A:Z,15,FALSE)),0,VLOOKUP($A1775,'13. Updated Demand'!A:Z,15,FALSE))</f>
        <v>0</v>
      </c>
      <c r="Y1775" s="16">
        <f>IF(ISERROR(VLOOKUP($A1775,'13. Updated Demand'!A:Z,16,FALSE)),0,VLOOKUP($A1775,'13. Updated Demand'!A:Z,16,FALSE))</f>
        <v>0</v>
      </c>
      <c r="Z1775" s="16">
        <f>IF(ISERROR(VLOOKUP($A1775,'13. Updated Demand'!A:Z,17,FALSE)),0,VLOOKUP($A1775,'13. Updated Demand'!A:Z,17,FALSE))</f>
        <v>0</v>
      </c>
      <c r="AA1775" s="16">
        <f>IF(ISERROR(VLOOKUP($A1775,'13. Updated Demand'!A:Z,18,FALSE)),0,VLOOKUP($A1775,'13. Updated Demand'!A:Z,18,FALSE))</f>
        <v>0</v>
      </c>
      <c r="AB1775" s="16">
        <f>IF(ISERROR(VLOOKUP($A1775,'13. Updated Demand'!A:Z,19,FALSE)),0,VLOOKUP($A1775,'13. Updated Demand'!A:Z,19,FALSE))</f>
        <v>0</v>
      </c>
      <c r="AC1775" s="16">
        <f>IF(ISERROR(VLOOKUP($A1775,'13. Updated Demand'!A:Z,20,FALSE)),0,VLOOKUP($A1775,'13. Updated Demand'!A:Z,20,FALSE))</f>
        <v>0</v>
      </c>
      <c r="AD1775" s="16">
        <f>IF(ISERROR(VLOOKUP($A1775,'13. Updated Demand'!A:Z,21,FALSE)),0,VLOOKUP($A1775,'13. Updated Demand'!A:Z,21,FALSE))</f>
        <v>0</v>
      </c>
      <c r="AE1775" s="16">
        <f>IF(ISERROR(VLOOKUP($A1775,'13. Updated Demand'!A:Z,22,FALSE)),0,VLOOKUP($A1775,'13. Updated Demand'!A:Z,22,FALSE))</f>
        <v>0</v>
      </c>
      <c r="AF1775" s="16">
        <f>IF(ISERROR(VLOOKUP($A1775,'13. Updated Demand'!A:Z,23,FALSE)),0,VLOOKUP($A1775,'13. Updated Demand'!A:Z,23,FALSE))</f>
        <v>0</v>
      </c>
      <c r="AG1775" s="16">
        <f>IF(ISERROR(VLOOKUP($A1775,'13. Updated Demand'!A:Z,24,FALSE)),0,VLOOKUP($A1775,'13. Updated Demand'!A:Z,24,FALSE))</f>
        <v>0</v>
      </c>
      <c r="AH1775" s="16">
        <f>IF(ISERROR(VLOOKUP($A1775,'13. Updated Demand'!A:Z,25,FALSE)),0,VLOOKUP($A1775,'13. Updated Demand'!A:Z,25,FALSE))</f>
        <v>0</v>
      </c>
      <c r="AI1775" s="16">
        <f>IF(ISERROR(VLOOKUP($A1775,'13. Updated Demand'!A:Z,26,FALSE)),0,VLOOKUP($A1775,'13. Updated Demand'!A:Z,26,FALSE))</f>
        <v>0</v>
      </c>
      <c r="AJ1775" s="16">
        <f t="shared" si="337"/>
        <v>0</v>
      </c>
      <c r="AK1775" s="19">
        <v>0</v>
      </c>
      <c r="AL1775" s="16">
        <f t="shared" si="335"/>
        <v>0</v>
      </c>
      <c r="AM1775" s="26">
        <v>0</v>
      </c>
      <c r="AN1775" s="19">
        <v>25</v>
      </c>
      <c r="AO1775" s="19" t="s">
        <v>1758</v>
      </c>
      <c r="AP1775" s="19">
        <v>0</v>
      </c>
      <c r="AQ1775" s="19" t="s">
        <v>307</v>
      </c>
      <c r="AR1775" s="9" t="s">
        <v>409</v>
      </c>
      <c r="AS1775" s="12">
        <v>0</v>
      </c>
      <c r="AT1775" s="19">
        <v>38.785407450000001</v>
      </c>
      <c r="AU1775" s="19">
        <v>-122.90815768</v>
      </c>
      <c r="AV1775" s="19" t="s">
        <v>2180</v>
      </c>
    </row>
    <row r="1776" spans="1:48" x14ac:dyDescent="0.25">
      <c r="A1776" s="18" t="s">
        <v>2181</v>
      </c>
      <c r="B1776" s="10">
        <v>10000000</v>
      </c>
      <c r="C1776" s="9">
        <v>23</v>
      </c>
      <c r="D1776" s="8" t="str">
        <f t="shared" si="326"/>
        <v>N</v>
      </c>
      <c r="E1776" s="8" t="str">
        <f t="shared" si="327"/>
        <v>N</v>
      </c>
      <c r="F1776" s="8" t="str">
        <f t="shared" si="328"/>
        <v>N</v>
      </c>
      <c r="G1776" s="8" t="str">
        <f t="shared" si="329"/>
        <v>N</v>
      </c>
      <c r="H1776" s="8" t="str">
        <f t="shared" si="330"/>
        <v>Lower</v>
      </c>
      <c r="I1776" s="8" t="str">
        <f t="shared" si="331"/>
        <v>Outside</v>
      </c>
      <c r="J1776" s="8" t="str">
        <f t="shared" si="332"/>
        <v>Outside</v>
      </c>
      <c r="K1776" s="8" t="str">
        <f t="shared" si="333"/>
        <v>Riparian</v>
      </c>
      <c r="L1776" s="8">
        <f t="shared" si="334"/>
        <v>1000</v>
      </c>
      <c r="M1776" s="8" t="str">
        <f t="shared" si="336"/>
        <v>-</v>
      </c>
      <c r="N1776" s="10" t="s">
        <v>242</v>
      </c>
      <c r="O1776" s="10" t="s">
        <v>242</v>
      </c>
      <c r="P1776" s="10" t="s">
        <v>242</v>
      </c>
      <c r="Q1776" s="10" t="s">
        <v>242</v>
      </c>
      <c r="R1776" s="10" t="s">
        <v>242</v>
      </c>
      <c r="S1776" s="10" t="s">
        <v>241</v>
      </c>
      <c r="T1776" s="10" t="s">
        <v>242</v>
      </c>
      <c r="U1776" s="10" t="s">
        <v>242</v>
      </c>
      <c r="V1776" s="10" t="s">
        <v>241</v>
      </c>
      <c r="W1776" s="10" t="s">
        <v>242</v>
      </c>
      <c r="X1776" s="15">
        <f>IF(ISERROR(VLOOKUP($A1776,'13. Updated Demand'!A:Z,15,FALSE)),0,VLOOKUP($A1776,'13. Updated Demand'!A:Z,15,FALSE))</f>
        <v>0</v>
      </c>
      <c r="Y1776" s="16">
        <f>IF(ISERROR(VLOOKUP($A1776,'13. Updated Demand'!A:Z,16,FALSE)),0,VLOOKUP($A1776,'13. Updated Demand'!A:Z,16,FALSE))</f>
        <v>0</v>
      </c>
      <c r="Z1776" s="16">
        <f>IF(ISERROR(VLOOKUP($A1776,'13. Updated Demand'!A:Z,17,FALSE)),0,VLOOKUP($A1776,'13. Updated Demand'!A:Z,17,FALSE))</f>
        <v>0.101273</v>
      </c>
      <c r="AA1776" s="16">
        <f>IF(ISERROR(VLOOKUP($A1776,'13. Updated Demand'!A:Z,18,FALSE)),0,VLOOKUP($A1776,'13. Updated Demand'!A:Z,18,FALSE))</f>
        <v>0</v>
      </c>
      <c r="AB1776" s="16">
        <f>IF(ISERROR(VLOOKUP($A1776,'13. Updated Demand'!A:Z,19,FALSE)),0,VLOOKUP($A1776,'13. Updated Demand'!A:Z,19,FALSE))</f>
        <v>0</v>
      </c>
      <c r="AC1776" s="16">
        <f>IF(ISERROR(VLOOKUP($A1776,'13. Updated Demand'!A:Z,20,FALSE)),0,VLOOKUP($A1776,'13. Updated Demand'!A:Z,20,FALSE))</f>
        <v>0</v>
      </c>
      <c r="AD1776" s="16">
        <f>IF(ISERROR(VLOOKUP($A1776,'13. Updated Demand'!A:Z,21,FALSE)),0,VLOOKUP($A1776,'13. Updated Demand'!A:Z,21,FALSE))</f>
        <v>0</v>
      </c>
      <c r="AE1776" s="16">
        <f>IF(ISERROR(VLOOKUP($A1776,'13. Updated Demand'!A:Z,22,FALSE)),0,VLOOKUP($A1776,'13. Updated Demand'!A:Z,22,FALSE))</f>
        <v>0</v>
      </c>
      <c r="AF1776" s="16">
        <f>IF(ISERROR(VLOOKUP($A1776,'13. Updated Demand'!A:Z,23,FALSE)),0,VLOOKUP($A1776,'13. Updated Demand'!A:Z,23,FALSE))</f>
        <v>0</v>
      </c>
      <c r="AG1776" s="16">
        <f>IF(ISERROR(VLOOKUP($A1776,'13. Updated Demand'!A:Z,24,FALSE)),0,VLOOKUP($A1776,'13. Updated Demand'!A:Z,24,FALSE))</f>
        <v>0</v>
      </c>
      <c r="AH1776" s="16">
        <f>IF(ISERROR(VLOOKUP($A1776,'13. Updated Demand'!A:Z,25,FALSE)),0,VLOOKUP($A1776,'13. Updated Demand'!A:Z,25,FALSE))</f>
        <v>0</v>
      </c>
      <c r="AI1776" s="16">
        <f>IF(ISERROR(VLOOKUP($A1776,'13. Updated Demand'!A:Z,26,FALSE)),0,VLOOKUP($A1776,'13. Updated Demand'!A:Z,26,FALSE))</f>
        <v>0</v>
      </c>
      <c r="AJ1776" s="16">
        <f t="shared" si="337"/>
        <v>0.101273</v>
      </c>
      <c r="AK1776" s="19">
        <v>0</v>
      </c>
      <c r="AL1776" s="16">
        <f t="shared" si="335"/>
        <v>0</v>
      </c>
      <c r="AM1776" s="26">
        <v>1.6878833333333332E-2</v>
      </c>
      <c r="AN1776" s="19">
        <v>6</v>
      </c>
      <c r="AO1776" s="19" t="s">
        <v>1758</v>
      </c>
      <c r="AP1776" s="19">
        <v>0</v>
      </c>
      <c r="AQ1776" s="19" t="s">
        <v>307</v>
      </c>
      <c r="AR1776" s="9" t="s">
        <v>1118</v>
      </c>
      <c r="AS1776" s="12">
        <v>0</v>
      </c>
      <c r="AT1776" s="19">
        <v>38.425540050000002</v>
      </c>
      <c r="AU1776" s="19">
        <v>-122.79624765</v>
      </c>
      <c r="AV1776" s="19" t="s">
        <v>417</v>
      </c>
    </row>
    <row r="1777" spans="1:48" x14ac:dyDescent="0.25">
      <c r="A1777" s="18" t="s">
        <v>129</v>
      </c>
      <c r="B1777" s="10">
        <v>10000000</v>
      </c>
      <c r="C1777" s="9">
        <v>9</v>
      </c>
      <c r="D1777" s="8" t="str">
        <f t="shared" si="326"/>
        <v>N</v>
      </c>
      <c r="E1777" s="8" t="str">
        <f t="shared" si="327"/>
        <v>Y</v>
      </c>
      <c r="F1777" s="8" t="str">
        <f t="shared" si="328"/>
        <v>Y</v>
      </c>
      <c r="G1777" s="8" t="str">
        <f t="shared" si="329"/>
        <v>Y</v>
      </c>
      <c r="H1777" s="8" t="str">
        <f t="shared" si="330"/>
        <v>Upper</v>
      </c>
      <c r="I1777" s="8" t="str">
        <f t="shared" si="331"/>
        <v>West Fork and Below Lake</v>
      </c>
      <c r="J1777" s="8" t="str">
        <f t="shared" si="332"/>
        <v>Sonoma (d/s of Clov. Gage)</v>
      </c>
      <c r="K1777" s="8" t="str">
        <f t="shared" si="333"/>
        <v>Riparian</v>
      </c>
      <c r="L1777" s="8">
        <f t="shared" si="334"/>
        <v>1000</v>
      </c>
      <c r="M1777" s="8" t="str">
        <f t="shared" si="336"/>
        <v>-</v>
      </c>
      <c r="N1777" s="10" t="s">
        <v>241</v>
      </c>
      <c r="O1777" s="10" t="s">
        <v>241</v>
      </c>
      <c r="P1777" s="10" t="s">
        <v>242</v>
      </c>
      <c r="Q1777" s="10" t="s">
        <v>242</v>
      </c>
      <c r="R1777" s="10" t="s">
        <v>242</v>
      </c>
      <c r="S1777" s="10" t="s">
        <v>241</v>
      </c>
      <c r="T1777" s="10" t="s">
        <v>242</v>
      </c>
      <c r="U1777" s="10" t="s">
        <v>242</v>
      </c>
      <c r="V1777" s="10" t="s">
        <v>241</v>
      </c>
      <c r="W1777" s="10" t="s">
        <v>242</v>
      </c>
      <c r="X1777" s="15">
        <f>IF(ISERROR(VLOOKUP($A1777,'13. Updated Demand'!A:Z,15,FALSE)),0,VLOOKUP($A1777,'13. Updated Demand'!A:Z,15,FALSE))</f>
        <v>0</v>
      </c>
      <c r="Y1777" s="16">
        <f>IF(ISERROR(VLOOKUP($A1777,'13. Updated Demand'!A:Z,16,FALSE)),0,VLOOKUP($A1777,'13. Updated Demand'!A:Z,16,FALSE))</f>
        <v>0.56000000000000005</v>
      </c>
      <c r="Z1777" s="16">
        <f>IF(ISERROR(VLOOKUP($A1777,'13. Updated Demand'!A:Z,17,FALSE)),0,VLOOKUP($A1777,'13. Updated Demand'!A:Z,17,FALSE))</f>
        <v>0</v>
      </c>
      <c r="AA1777" s="16">
        <f>IF(ISERROR(VLOOKUP($A1777,'13. Updated Demand'!A:Z,18,FALSE)),0,VLOOKUP($A1777,'13. Updated Demand'!A:Z,18,FALSE))</f>
        <v>0</v>
      </c>
      <c r="AB1777" s="16">
        <f>IF(ISERROR(VLOOKUP($A1777,'13. Updated Demand'!A:Z,19,FALSE)),0,VLOOKUP($A1777,'13. Updated Demand'!A:Z,19,FALSE))</f>
        <v>0</v>
      </c>
      <c r="AC1777" s="16">
        <f>IF(ISERROR(VLOOKUP($A1777,'13. Updated Demand'!A:Z,20,FALSE)),0,VLOOKUP($A1777,'13. Updated Demand'!A:Z,20,FALSE))</f>
        <v>0</v>
      </c>
      <c r="AD1777" s="16">
        <f>IF(ISERROR(VLOOKUP($A1777,'13. Updated Demand'!A:Z,21,FALSE)),0,VLOOKUP($A1777,'13. Updated Demand'!A:Z,21,FALSE))</f>
        <v>0</v>
      </c>
      <c r="AE1777" s="16">
        <f>IF(ISERROR(VLOOKUP($A1777,'13. Updated Demand'!A:Z,22,FALSE)),0,VLOOKUP($A1777,'13. Updated Demand'!A:Z,22,FALSE))</f>
        <v>0</v>
      </c>
      <c r="AF1777" s="16">
        <f>IF(ISERROR(VLOOKUP($A1777,'13. Updated Demand'!A:Z,23,FALSE)),0,VLOOKUP($A1777,'13. Updated Demand'!A:Z,23,FALSE))</f>
        <v>0</v>
      </c>
      <c r="AG1777" s="16">
        <f>IF(ISERROR(VLOOKUP($A1777,'13. Updated Demand'!A:Z,24,FALSE)),0,VLOOKUP($A1777,'13. Updated Demand'!A:Z,24,FALSE))</f>
        <v>0</v>
      </c>
      <c r="AH1777" s="16">
        <f>IF(ISERROR(VLOOKUP($A1777,'13. Updated Demand'!A:Z,25,FALSE)),0,VLOOKUP($A1777,'13. Updated Demand'!A:Z,25,FALSE))</f>
        <v>0</v>
      </c>
      <c r="AI1777" s="16">
        <f>IF(ISERROR(VLOOKUP($A1777,'13. Updated Demand'!A:Z,26,FALSE)),0,VLOOKUP($A1777,'13. Updated Demand'!A:Z,26,FALSE))</f>
        <v>0</v>
      </c>
      <c r="AJ1777" s="16">
        <f t="shared" si="337"/>
        <v>0.56000000000000005</v>
      </c>
      <c r="AK1777" s="19">
        <v>0</v>
      </c>
      <c r="AL1777" s="16">
        <f t="shared" si="335"/>
        <v>0</v>
      </c>
      <c r="AM1777" s="26">
        <v>1.4166666666666675E-2</v>
      </c>
      <c r="AN1777" s="19">
        <v>40</v>
      </c>
      <c r="AO1777" s="19" t="s">
        <v>1758</v>
      </c>
      <c r="AP1777" s="19">
        <v>0</v>
      </c>
      <c r="AQ1777" s="19" t="s">
        <v>307</v>
      </c>
      <c r="AR1777" s="9" t="s">
        <v>354</v>
      </c>
      <c r="AS1777" s="12">
        <v>0</v>
      </c>
      <c r="AT1777" s="19">
        <v>38.773723400000002</v>
      </c>
      <c r="AU1777" s="19">
        <v>-122.97764049</v>
      </c>
      <c r="AV1777" s="19" t="s">
        <v>417</v>
      </c>
    </row>
    <row r="1778" spans="1:48" x14ac:dyDescent="0.25">
      <c r="A1778" s="18" t="s">
        <v>37</v>
      </c>
      <c r="B1778" s="10">
        <v>10000000</v>
      </c>
      <c r="C1778" s="9">
        <v>9</v>
      </c>
      <c r="D1778" s="8" t="str">
        <f t="shared" si="326"/>
        <v>N</v>
      </c>
      <c r="E1778" s="8" t="str">
        <f t="shared" si="327"/>
        <v>Y</v>
      </c>
      <c r="F1778" s="8" t="str">
        <f t="shared" si="328"/>
        <v>Y</v>
      </c>
      <c r="G1778" s="8" t="str">
        <f t="shared" si="329"/>
        <v>Y</v>
      </c>
      <c r="H1778" s="8" t="str">
        <f t="shared" si="330"/>
        <v>Upper</v>
      </c>
      <c r="I1778" s="8" t="str">
        <f t="shared" si="331"/>
        <v>West Fork and Below Lake</v>
      </c>
      <c r="J1778" s="8" t="str">
        <f t="shared" si="332"/>
        <v>Sonoma (d/s of Clov. Gage)</v>
      </c>
      <c r="K1778" s="8" t="str">
        <f t="shared" si="333"/>
        <v>Riparian</v>
      </c>
      <c r="L1778" s="8">
        <f t="shared" si="334"/>
        <v>1000</v>
      </c>
      <c r="M1778" s="8" t="str">
        <f t="shared" si="336"/>
        <v>-</v>
      </c>
      <c r="N1778" s="10" t="s">
        <v>241</v>
      </c>
      <c r="O1778" s="10" t="s">
        <v>241</v>
      </c>
      <c r="P1778" s="10" t="s">
        <v>242</v>
      </c>
      <c r="Q1778" s="10" t="s">
        <v>242</v>
      </c>
      <c r="R1778" s="10" t="s">
        <v>242</v>
      </c>
      <c r="S1778" s="10" t="s">
        <v>241</v>
      </c>
      <c r="T1778" s="10" t="s">
        <v>242</v>
      </c>
      <c r="U1778" s="10" t="s">
        <v>242</v>
      </c>
      <c r="V1778" s="10" t="s">
        <v>242</v>
      </c>
      <c r="W1778" s="10" t="s">
        <v>242</v>
      </c>
      <c r="X1778" s="15">
        <f>IF(ISERROR(VLOOKUP($A1778,'13. Updated Demand'!A:Z,15,FALSE)),0,VLOOKUP($A1778,'13. Updated Demand'!A:Z,15,FALSE))</f>
        <v>0</v>
      </c>
      <c r="Y1778" s="16">
        <f>IF(ISERROR(VLOOKUP($A1778,'13. Updated Demand'!A:Z,16,FALSE)),0,VLOOKUP($A1778,'13. Updated Demand'!A:Z,16,FALSE))</f>
        <v>0</v>
      </c>
      <c r="Z1778" s="16">
        <f>IF(ISERROR(VLOOKUP($A1778,'13. Updated Demand'!A:Z,17,FALSE)),0,VLOOKUP($A1778,'13. Updated Demand'!A:Z,17,FALSE))</f>
        <v>0</v>
      </c>
      <c r="AA1778" s="16">
        <f>IF(ISERROR(VLOOKUP($A1778,'13. Updated Demand'!A:Z,18,FALSE)),0,VLOOKUP($A1778,'13. Updated Demand'!A:Z,18,FALSE))</f>
        <v>0</v>
      </c>
      <c r="AB1778" s="16">
        <f>IF(ISERROR(VLOOKUP($A1778,'13. Updated Demand'!A:Z,19,FALSE)),0,VLOOKUP($A1778,'13. Updated Demand'!A:Z,19,FALSE))</f>
        <v>0.1</v>
      </c>
      <c r="AC1778" s="16">
        <f>IF(ISERROR(VLOOKUP($A1778,'13. Updated Demand'!A:Z,20,FALSE)),0,VLOOKUP($A1778,'13. Updated Demand'!A:Z,20,FALSE))</f>
        <v>0.11</v>
      </c>
      <c r="AD1778" s="16">
        <f>IF(ISERROR(VLOOKUP($A1778,'13. Updated Demand'!A:Z,21,FALSE)),0,VLOOKUP($A1778,'13. Updated Demand'!A:Z,21,FALSE))</f>
        <v>0.2</v>
      </c>
      <c r="AE1778" s="16">
        <f>IF(ISERROR(VLOOKUP($A1778,'13. Updated Demand'!A:Z,22,FALSE)),0,VLOOKUP($A1778,'13. Updated Demand'!A:Z,22,FALSE))</f>
        <v>0.19</v>
      </c>
      <c r="AF1778" s="16">
        <f>IF(ISERROR(VLOOKUP($A1778,'13. Updated Demand'!A:Z,23,FALSE)),0,VLOOKUP($A1778,'13. Updated Demand'!A:Z,23,FALSE))</f>
        <v>0.16</v>
      </c>
      <c r="AG1778" s="16">
        <f>IF(ISERROR(VLOOKUP($A1778,'13. Updated Demand'!A:Z,24,FALSE)),0,VLOOKUP($A1778,'13. Updated Demand'!A:Z,24,FALSE))</f>
        <v>0.13</v>
      </c>
      <c r="AH1778" s="16">
        <f>IF(ISERROR(VLOOKUP($A1778,'13. Updated Demand'!A:Z,25,FALSE)),0,VLOOKUP($A1778,'13. Updated Demand'!A:Z,25,FALSE))</f>
        <v>0</v>
      </c>
      <c r="AI1778" s="16">
        <f>IF(ISERROR(VLOOKUP($A1778,'13. Updated Demand'!A:Z,26,FALSE)),0,VLOOKUP($A1778,'13. Updated Demand'!A:Z,26,FALSE))</f>
        <v>0</v>
      </c>
      <c r="AJ1778" s="16">
        <f t="shared" si="337"/>
        <v>0.89000000000000012</v>
      </c>
      <c r="AK1778" s="19">
        <v>0.79668399999999995</v>
      </c>
      <c r="AL1778" s="16">
        <f t="shared" si="335"/>
        <v>2.6425100771643034E-3</v>
      </c>
      <c r="AM1778" s="26">
        <v>9.8447096801597064E-4</v>
      </c>
      <c r="AN1778" s="19">
        <v>941.72</v>
      </c>
      <c r="AO1778" s="19" t="s">
        <v>1758</v>
      </c>
      <c r="AP1778" s="19">
        <v>0</v>
      </c>
      <c r="AQ1778" s="19" t="s">
        <v>307</v>
      </c>
      <c r="AR1778" s="9" t="s">
        <v>354</v>
      </c>
      <c r="AS1778" s="12">
        <v>3.4039024194010059E-4</v>
      </c>
      <c r="AT1778" s="19">
        <v>38.765825659999997</v>
      </c>
      <c r="AU1778" s="19">
        <v>-122.96981558</v>
      </c>
      <c r="AV1778" s="19" t="s">
        <v>417</v>
      </c>
    </row>
    <row r="1779" spans="1:48" x14ac:dyDescent="0.25">
      <c r="A1779" s="18" t="s">
        <v>2182</v>
      </c>
      <c r="B1779" s="10">
        <v>10000000</v>
      </c>
      <c r="C1779" s="9">
        <v>23</v>
      </c>
      <c r="D1779" s="8" t="str">
        <f t="shared" si="326"/>
        <v>N</v>
      </c>
      <c r="E1779" s="8" t="str">
        <f t="shared" si="327"/>
        <v>N</v>
      </c>
      <c r="F1779" s="8" t="str">
        <f t="shared" si="328"/>
        <v>N</v>
      </c>
      <c r="G1779" s="8" t="str">
        <f t="shared" si="329"/>
        <v>N</v>
      </c>
      <c r="H1779" s="8" t="str">
        <f t="shared" si="330"/>
        <v>Lower</v>
      </c>
      <c r="I1779" s="8" t="str">
        <f t="shared" si="331"/>
        <v>Outside</v>
      </c>
      <c r="J1779" s="8" t="str">
        <f t="shared" si="332"/>
        <v>Outside</v>
      </c>
      <c r="K1779" s="8" t="str">
        <f t="shared" si="333"/>
        <v>Riparian</v>
      </c>
      <c r="L1779" s="8">
        <f t="shared" si="334"/>
        <v>1000</v>
      </c>
      <c r="M1779" s="8" t="str">
        <f t="shared" si="336"/>
        <v>-</v>
      </c>
      <c r="N1779" s="10" t="s">
        <v>242</v>
      </c>
      <c r="O1779" s="10" t="s">
        <v>242</v>
      </c>
      <c r="P1779" s="10" t="s">
        <v>242</v>
      </c>
      <c r="Q1779" s="10" t="s">
        <v>242</v>
      </c>
      <c r="R1779" s="10" t="s">
        <v>242</v>
      </c>
      <c r="S1779" s="10" t="s">
        <v>241</v>
      </c>
      <c r="T1779" s="10" t="s">
        <v>242</v>
      </c>
      <c r="U1779" s="10" t="s">
        <v>242</v>
      </c>
      <c r="V1779" s="10" t="s">
        <v>242</v>
      </c>
      <c r="W1779" s="10" t="s">
        <v>242</v>
      </c>
      <c r="X1779" s="15">
        <f>IF(ISERROR(VLOOKUP($A1779,'13. Updated Demand'!A:Z,15,FALSE)),0,VLOOKUP($A1779,'13. Updated Demand'!A:Z,15,FALSE))</f>
        <v>2.5</v>
      </c>
      <c r="Y1779" s="16">
        <f>IF(ISERROR(VLOOKUP($A1779,'13. Updated Demand'!A:Z,16,FALSE)),0,VLOOKUP($A1779,'13. Updated Demand'!A:Z,16,FALSE))</f>
        <v>10</v>
      </c>
      <c r="Z1779" s="16">
        <f>IF(ISERROR(VLOOKUP($A1779,'13. Updated Demand'!A:Z,17,FALSE)),0,VLOOKUP($A1779,'13. Updated Demand'!A:Z,17,FALSE))</f>
        <v>2.5499999999999998</v>
      </c>
      <c r="AA1779" s="16">
        <f>IF(ISERROR(VLOOKUP($A1779,'13. Updated Demand'!A:Z,18,FALSE)),0,VLOOKUP($A1779,'13. Updated Demand'!A:Z,18,FALSE))</f>
        <v>0.05</v>
      </c>
      <c r="AB1779" s="16">
        <f>IF(ISERROR(VLOOKUP($A1779,'13. Updated Demand'!A:Z,19,FALSE)),0,VLOOKUP($A1779,'13. Updated Demand'!A:Z,19,FALSE))</f>
        <v>0.05</v>
      </c>
      <c r="AC1779" s="16">
        <f>IF(ISERROR(VLOOKUP($A1779,'13. Updated Demand'!A:Z,20,FALSE)),0,VLOOKUP($A1779,'13. Updated Demand'!A:Z,20,FALSE))</f>
        <v>0.05</v>
      </c>
      <c r="AD1779" s="16">
        <f>IF(ISERROR(VLOOKUP($A1779,'13. Updated Demand'!A:Z,21,FALSE)),0,VLOOKUP($A1779,'13. Updated Demand'!A:Z,21,FALSE))</f>
        <v>0.05</v>
      </c>
      <c r="AE1779" s="16">
        <f>IF(ISERROR(VLOOKUP($A1779,'13. Updated Demand'!A:Z,22,FALSE)),0,VLOOKUP($A1779,'13. Updated Demand'!A:Z,22,FALSE))</f>
        <v>0.05</v>
      </c>
      <c r="AF1779" s="16">
        <f>IF(ISERROR(VLOOKUP($A1779,'13. Updated Demand'!A:Z,23,FALSE)),0,VLOOKUP($A1779,'13. Updated Demand'!A:Z,23,FALSE))</f>
        <v>0.05</v>
      </c>
      <c r="AG1779" s="16">
        <f>IF(ISERROR(VLOOKUP($A1779,'13. Updated Demand'!A:Z,24,FALSE)),0,VLOOKUP($A1779,'13. Updated Demand'!A:Z,24,FALSE))</f>
        <v>0.1</v>
      </c>
      <c r="AH1779" s="16">
        <f>IF(ISERROR(VLOOKUP($A1779,'13. Updated Demand'!A:Z,25,FALSE)),0,VLOOKUP($A1779,'13. Updated Demand'!A:Z,25,FALSE))</f>
        <v>0.1</v>
      </c>
      <c r="AI1779" s="16">
        <f>IF(ISERROR(VLOOKUP($A1779,'13. Updated Demand'!A:Z,26,FALSE)),0,VLOOKUP($A1779,'13. Updated Demand'!A:Z,26,FALSE))</f>
        <v>0.1</v>
      </c>
      <c r="AJ1779" s="16">
        <f t="shared" si="337"/>
        <v>15.650000000000004</v>
      </c>
      <c r="AK1779" s="19">
        <v>0.25</v>
      </c>
      <c r="AL1779" s="16">
        <f t="shared" si="335"/>
        <v>8.2922152232387718E-4</v>
      </c>
      <c r="AM1779" s="26">
        <v>8.4992958890019135E-2</v>
      </c>
      <c r="AN1779" s="19">
        <v>184.13290000000001</v>
      </c>
      <c r="AO1779" s="19" t="s">
        <v>1758</v>
      </c>
      <c r="AP1779" s="19">
        <v>0</v>
      </c>
      <c r="AQ1779" s="19" t="s">
        <v>307</v>
      </c>
      <c r="AR1779" s="9" t="s">
        <v>323</v>
      </c>
      <c r="AS1779" s="12">
        <v>0</v>
      </c>
      <c r="AT1779" s="19">
        <v>38.493527780000001</v>
      </c>
      <c r="AU1779" s="19">
        <v>-122.72991766</v>
      </c>
      <c r="AV1779" s="19" t="s">
        <v>417</v>
      </c>
    </row>
    <row r="1780" spans="1:48" x14ac:dyDescent="0.25">
      <c r="A1780" s="18" t="s">
        <v>2183</v>
      </c>
      <c r="B1780" s="10">
        <v>10000000</v>
      </c>
      <c r="C1780" s="9">
        <v>23</v>
      </c>
      <c r="D1780" s="8" t="str">
        <f t="shared" si="326"/>
        <v>N</v>
      </c>
      <c r="E1780" s="8" t="str">
        <f t="shared" si="327"/>
        <v>N</v>
      </c>
      <c r="F1780" s="8" t="str">
        <f t="shared" si="328"/>
        <v>N</v>
      </c>
      <c r="G1780" s="8" t="str">
        <f t="shared" si="329"/>
        <v>N</v>
      </c>
      <c r="H1780" s="8" t="str">
        <f t="shared" si="330"/>
        <v>Lower</v>
      </c>
      <c r="I1780" s="8" t="str">
        <f t="shared" si="331"/>
        <v>Outside</v>
      </c>
      <c r="J1780" s="8" t="str">
        <f t="shared" si="332"/>
        <v>Outside</v>
      </c>
      <c r="K1780" s="8" t="str">
        <f t="shared" si="333"/>
        <v>Riparian</v>
      </c>
      <c r="L1780" s="8">
        <f t="shared" si="334"/>
        <v>1000</v>
      </c>
      <c r="M1780" s="8" t="str">
        <f t="shared" si="336"/>
        <v>-</v>
      </c>
      <c r="N1780" s="10" t="s">
        <v>242</v>
      </c>
      <c r="O1780" s="10" t="s">
        <v>242</v>
      </c>
      <c r="P1780" s="10" t="s">
        <v>242</v>
      </c>
      <c r="Q1780" s="10" t="s">
        <v>242</v>
      </c>
      <c r="R1780" s="10" t="s">
        <v>242</v>
      </c>
      <c r="S1780" s="10" t="s">
        <v>241</v>
      </c>
      <c r="T1780" s="10" t="s">
        <v>242</v>
      </c>
      <c r="U1780" s="10" t="s">
        <v>242</v>
      </c>
      <c r="V1780" s="10" t="s">
        <v>241</v>
      </c>
      <c r="W1780" s="10" t="s">
        <v>242</v>
      </c>
      <c r="X1780" s="15">
        <f>IF(ISERROR(VLOOKUP($A1780,'13. Updated Demand'!A:Z,15,FALSE)),0,VLOOKUP($A1780,'13. Updated Demand'!A:Z,15,FALSE))</f>
        <v>3.443333333</v>
      </c>
      <c r="Y1780" s="16">
        <f>IF(ISERROR(VLOOKUP($A1780,'13. Updated Demand'!A:Z,16,FALSE)),0,VLOOKUP($A1780,'13. Updated Demand'!A:Z,16,FALSE))</f>
        <v>3.443333333</v>
      </c>
      <c r="Z1780" s="16">
        <f>IF(ISERROR(VLOOKUP($A1780,'13. Updated Demand'!A:Z,17,FALSE)),0,VLOOKUP($A1780,'13. Updated Demand'!A:Z,17,FALSE))</f>
        <v>2.076666667</v>
      </c>
      <c r="AA1780" s="16">
        <f>IF(ISERROR(VLOOKUP($A1780,'13. Updated Demand'!A:Z,18,FALSE)),0,VLOOKUP($A1780,'13. Updated Demand'!A:Z,18,FALSE))</f>
        <v>3.3333333E-2</v>
      </c>
      <c r="AB1780" s="16">
        <f>IF(ISERROR(VLOOKUP($A1780,'13. Updated Demand'!A:Z,19,FALSE)),0,VLOOKUP($A1780,'13. Updated Demand'!A:Z,19,FALSE))</f>
        <v>0</v>
      </c>
      <c r="AC1780" s="16">
        <f>IF(ISERROR(VLOOKUP($A1780,'13. Updated Demand'!A:Z,20,FALSE)),0,VLOOKUP($A1780,'13. Updated Demand'!A:Z,20,FALSE))</f>
        <v>0</v>
      </c>
      <c r="AD1780" s="16">
        <f>IF(ISERROR(VLOOKUP($A1780,'13. Updated Demand'!A:Z,21,FALSE)),0,VLOOKUP($A1780,'13. Updated Demand'!A:Z,21,FALSE))</f>
        <v>0</v>
      </c>
      <c r="AE1780" s="16">
        <f>IF(ISERROR(VLOOKUP($A1780,'13. Updated Demand'!A:Z,22,FALSE)),0,VLOOKUP($A1780,'13. Updated Demand'!A:Z,22,FALSE))</f>
        <v>0</v>
      </c>
      <c r="AF1780" s="16">
        <f>IF(ISERROR(VLOOKUP($A1780,'13. Updated Demand'!A:Z,23,FALSE)),0,VLOOKUP($A1780,'13. Updated Demand'!A:Z,23,FALSE))</f>
        <v>0</v>
      </c>
      <c r="AG1780" s="16">
        <f>IF(ISERROR(VLOOKUP($A1780,'13. Updated Demand'!A:Z,24,FALSE)),0,VLOOKUP($A1780,'13. Updated Demand'!A:Z,24,FALSE))</f>
        <v>0</v>
      </c>
      <c r="AH1780" s="16">
        <f>IF(ISERROR(VLOOKUP($A1780,'13. Updated Demand'!A:Z,25,FALSE)),0,VLOOKUP($A1780,'13. Updated Demand'!A:Z,25,FALSE))</f>
        <v>0</v>
      </c>
      <c r="AI1780" s="16">
        <f>IF(ISERROR(VLOOKUP($A1780,'13. Updated Demand'!A:Z,26,FALSE)),0,VLOOKUP($A1780,'13. Updated Demand'!A:Z,26,FALSE))</f>
        <v>0</v>
      </c>
      <c r="AJ1780" s="16">
        <f t="shared" si="337"/>
        <v>8.9966666659999994</v>
      </c>
      <c r="AK1780" s="19">
        <v>0</v>
      </c>
      <c r="AL1780" s="16">
        <f t="shared" si="335"/>
        <v>0</v>
      </c>
      <c r="AM1780" s="26">
        <v>0.4885987588251906</v>
      </c>
      <c r="AN1780" s="19">
        <v>18.4132</v>
      </c>
      <c r="AO1780" s="19" t="s">
        <v>1758</v>
      </c>
      <c r="AP1780" s="19">
        <v>0</v>
      </c>
      <c r="AQ1780" s="19" t="s">
        <v>307</v>
      </c>
      <c r="AR1780" s="9" t="s">
        <v>323</v>
      </c>
      <c r="AS1780" s="12">
        <v>0</v>
      </c>
      <c r="AT1780" s="19">
        <v>38.49626035</v>
      </c>
      <c r="AU1780" s="19">
        <v>-122.73204203</v>
      </c>
      <c r="AV1780" s="19" t="s">
        <v>417</v>
      </c>
    </row>
    <row r="1781" spans="1:48" x14ac:dyDescent="0.25">
      <c r="A1781" s="18" t="s">
        <v>2184</v>
      </c>
      <c r="B1781" s="10">
        <v>10000000</v>
      </c>
      <c r="C1781" s="9">
        <v>23</v>
      </c>
      <c r="D1781" s="8" t="str">
        <f t="shared" si="326"/>
        <v>N</v>
      </c>
      <c r="E1781" s="8" t="str">
        <f t="shared" si="327"/>
        <v>N</v>
      </c>
      <c r="F1781" s="8" t="str">
        <f t="shared" si="328"/>
        <v>N</v>
      </c>
      <c r="G1781" s="8" t="str">
        <f t="shared" si="329"/>
        <v>N</v>
      </c>
      <c r="H1781" s="8" t="str">
        <f t="shared" si="330"/>
        <v>Lower</v>
      </c>
      <c r="I1781" s="8" t="str">
        <f t="shared" si="331"/>
        <v>Outside</v>
      </c>
      <c r="J1781" s="8" t="str">
        <f t="shared" si="332"/>
        <v>Outside</v>
      </c>
      <c r="K1781" s="8" t="str">
        <f t="shared" si="333"/>
        <v>Riparian</v>
      </c>
      <c r="L1781" s="8">
        <f t="shared" si="334"/>
        <v>1000</v>
      </c>
      <c r="M1781" s="8" t="str">
        <f t="shared" si="336"/>
        <v>-</v>
      </c>
      <c r="N1781" s="10" t="s">
        <v>242</v>
      </c>
      <c r="O1781" s="10" t="s">
        <v>242</v>
      </c>
      <c r="P1781" s="10" t="s">
        <v>242</v>
      </c>
      <c r="Q1781" s="10" t="s">
        <v>242</v>
      </c>
      <c r="R1781" s="10" t="s">
        <v>242</v>
      </c>
      <c r="S1781" s="10" t="s">
        <v>241</v>
      </c>
      <c r="T1781" s="10" t="s">
        <v>242</v>
      </c>
      <c r="U1781" s="10" t="s">
        <v>242</v>
      </c>
      <c r="V1781" s="10" t="s">
        <v>242</v>
      </c>
      <c r="W1781" s="10" t="s">
        <v>242</v>
      </c>
      <c r="X1781" s="15">
        <f>IF(ISERROR(VLOOKUP($A1781,'13. Updated Demand'!A:Z,15,FALSE)),0,VLOOKUP($A1781,'13. Updated Demand'!A:Z,15,FALSE))</f>
        <v>2.0459333E-2</v>
      </c>
      <c r="Y1781" s="16">
        <f>IF(ISERROR(VLOOKUP($A1781,'13. Updated Demand'!A:Z,16,FALSE)),0,VLOOKUP($A1781,'13. Updated Demand'!A:Z,16,FALSE))</f>
        <v>2.0459333E-2</v>
      </c>
      <c r="Z1781" s="16">
        <f>IF(ISERROR(VLOOKUP($A1781,'13. Updated Demand'!A:Z,17,FALSE)),0,VLOOKUP($A1781,'13. Updated Demand'!A:Z,17,FALSE))</f>
        <v>0</v>
      </c>
      <c r="AA1781" s="16">
        <f>IF(ISERROR(VLOOKUP($A1781,'13. Updated Demand'!A:Z,18,FALSE)),0,VLOOKUP($A1781,'13. Updated Demand'!A:Z,18,FALSE))</f>
        <v>0</v>
      </c>
      <c r="AB1781" s="16">
        <f>IF(ISERROR(VLOOKUP($A1781,'13. Updated Demand'!A:Z,19,FALSE)),0,VLOOKUP($A1781,'13. Updated Demand'!A:Z,19,FALSE))</f>
        <v>0</v>
      </c>
      <c r="AC1781" s="16">
        <f>IF(ISERROR(VLOOKUP($A1781,'13. Updated Demand'!A:Z,20,FALSE)),0,VLOOKUP($A1781,'13. Updated Demand'!A:Z,20,FALSE))</f>
        <v>0</v>
      </c>
      <c r="AD1781" s="16">
        <f>IF(ISERROR(VLOOKUP($A1781,'13. Updated Demand'!A:Z,21,FALSE)),0,VLOOKUP($A1781,'13. Updated Demand'!A:Z,21,FALSE))</f>
        <v>0</v>
      </c>
      <c r="AE1781" s="16">
        <f>IF(ISERROR(VLOOKUP($A1781,'13. Updated Demand'!A:Z,22,FALSE)),0,VLOOKUP($A1781,'13. Updated Demand'!A:Z,22,FALSE))</f>
        <v>0</v>
      </c>
      <c r="AF1781" s="16">
        <f>IF(ISERROR(VLOOKUP($A1781,'13. Updated Demand'!A:Z,23,FALSE)),0,VLOOKUP($A1781,'13. Updated Demand'!A:Z,23,FALSE))</f>
        <v>3.3333333E-2</v>
      </c>
      <c r="AG1781" s="16">
        <f>IF(ISERROR(VLOOKUP($A1781,'13. Updated Demand'!A:Z,24,FALSE)),0,VLOOKUP($A1781,'13. Updated Demand'!A:Z,24,FALSE))</f>
        <v>3.3333333E-2</v>
      </c>
      <c r="AH1781" s="16">
        <f>IF(ISERROR(VLOOKUP($A1781,'13. Updated Demand'!A:Z,25,FALSE)),0,VLOOKUP($A1781,'13. Updated Demand'!A:Z,25,FALSE))</f>
        <v>3.3333333E-2</v>
      </c>
      <c r="AI1781" s="16">
        <f>IF(ISERROR(VLOOKUP($A1781,'13. Updated Demand'!A:Z,26,FALSE)),0,VLOOKUP($A1781,'13. Updated Demand'!A:Z,26,FALSE))</f>
        <v>0</v>
      </c>
      <c r="AJ1781" s="16">
        <f t="shared" si="337"/>
        <v>0.140918665</v>
      </c>
      <c r="AK1781" s="19">
        <v>3.3333333E-2</v>
      </c>
      <c r="AL1781" s="16">
        <f t="shared" si="335"/>
        <v>1.1056286853755495E-4</v>
      </c>
      <c r="AM1781" s="26">
        <v>0.12580900366038744</v>
      </c>
      <c r="AN1781" s="19">
        <v>1.1201000000000001</v>
      </c>
      <c r="AO1781" s="19" t="s">
        <v>1758</v>
      </c>
      <c r="AP1781" s="19">
        <v>0</v>
      </c>
      <c r="AQ1781" s="19" t="s">
        <v>307</v>
      </c>
      <c r="AR1781" s="9" t="s">
        <v>323</v>
      </c>
      <c r="AS1781" s="12">
        <v>0</v>
      </c>
      <c r="AT1781" s="19">
        <v>38.490527159999999</v>
      </c>
      <c r="AU1781" s="19">
        <v>-122.72674257</v>
      </c>
      <c r="AV1781" s="19" t="s">
        <v>417</v>
      </c>
    </row>
    <row r="1782" spans="1:48" x14ac:dyDescent="0.25">
      <c r="A1782" s="18" t="s">
        <v>2185</v>
      </c>
      <c r="B1782" s="10">
        <v>10000000</v>
      </c>
      <c r="C1782" s="9">
        <v>23</v>
      </c>
      <c r="D1782" s="8" t="str">
        <f t="shared" si="326"/>
        <v>N</v>
      </c>
      <c r="E1782" s="8" t="str">
        <f t="shared" si="327"/>
        <v>N</v>
      </c>
      <c r="F1782" s="8" t="str">
        <f t="shared" si="328"/>
        <v>N</v>
      </c>
      <c r="G1782" s="8" t="str">
        <f t="shared" si="329"/>
        <v>N</v>
      </c>
      <c r="H1782" s="8" t="str">
        <f t="shared" si="330"/>
        <v>Lower</v>
      </c>
      <c r="I1782" s="8" t="str">
        <f t="shared" si="331"/>
        <v>Outside</v>
      </c>
      <c r="J1782" s="8" t="str">
        <f t="shared" si="332"/>
        <v>Outside</v>
      </c>
      <c r="K1782" s="8" t="str">
        <f t="shared" si="333"/>
        <v>Riparian</v>
      </c>
      <c r="L1782" s="8">
        <f t="shared" si="334"/>
        <v>1000</v>
      </c>
      <c r="M1782" s="8" t="str">
        <f t="shared" si="336"/>
        <v>-</v>
      </c>
      <c r="N1782" s="10" t="s">
        <v>242</v>
      </c>
      <c r="O1782" s="10" t="s">
        <v>242</v>
      </c>
      <c r="P1782" s="10" t="s">
        <v>242</v>
      </c>
      <c r="Q1782" s="10" t="s">
        <v>242</v>
      </c>
      <c r="R1782" s="10" t="s">
        <v>242</v>
      </c>
      <c r="S1782" s="10" t="s">
        <v>241</v>
      </c>
      <c r="T1782" s="10" t="s">
        <v>242</v>
      </c>
      <c r="U1782" s="10" t="s">
        <v>241</v>
      </c>
      <c r="V1782" s="10" t="s">
        <v>241</v>
      </c>
      <c r="W1782" s="10" t="s">
        <v>242</v>
      </c>
      <c r="X1782" s="15">
        <f>IF(ISERROR(VLOOKUP($A1782,'13. Updated Demand'!A:Z,15,FALSE)),0,VLOOKUP($A1782,'13. Updated Demand'!A:Z,15,FALSE))</f>
        <v>0</v>
      </c>
      <c r="Y1782" s="16">
        <f>IF(ISERROR(VLOOKUP($A1782,'13. Updated Demand'!A:Z,16,FALSE)),0,VLOOKUP($A1782,'13. Updated Demand'!A:Z,16,FALSE))</f>
        <v>0</v>
      </c>
      <c r="Z1782" s="16">
        <f>IF(ISERROR(VLOOKUP($A1782,'13. Updated Demand'!A:Z,17,FALSE)),0,VLOOKUP($A1782,'13. Updated Demand'!A:Z,17,FALSE))</f>
        <v>0</v>
      </c>
      <c r="AA1782" s="16">
        <f>IF(ISERROR(VLOOKUP($A1782,'13. Updated Demand'!A:Z,18,FALSE)),0,VLOOKUP($A1782,'13. Updated Demand'!A:Z,18,FALSE))</f>
        <v>0</v>
      </c>
      <c r="AB1782" s="16">
        <f>IF(ISERROR(VLOOKUP($A1782,'13. Updated Demand'!A:Z,19,FALSE)),0,VLOOKUP($A1782,'13. Updated Demand'!A:Z,19,FALSE))</f>
        <v>0</v>
      </c>
      <c r="AC1782" s="16">
        <f>IF(ISERROR(VLOOKUP($A1782,'13. Updated Demand'!A:Z,20,FALSE)),0,VLOOKUP($A1782,'13. Updated Demand'!A:Z,20,FALSE))</f>
        <v>0</v>
      </c>
      <c r="AD1782" s="16">
        <f>IF(ISERROR(VLOOKUP($A1782,'13. Updated Demand'!A:Z,21,FALSE)),0,VLOOKUP($A1782,'13. Updated Demand'!A:Z,21,FALSE))</f>
        <v>0</v>
      </c>
      <c r="AE1782" s="16">
        <f>IF(ISERROR(VLOOKUP($A1782,'13. Updated Demand'!A:Z,22,FALSE)),0,VLOOKUP($A1782,'13. Updated Demand'!A:Z,22,FALSE))</f>
        <v>0</v>
      </c>
      <c r="AF1782" s="16">
        <f>IF(ISERROR(VLOOKUP($A1782,'13. Updated Demand'!A:Z,23,FALSE)),0,VLOOKUP($A1782,'13. Updated Demand'!A:Z,23,FALSE))</f>
        <v>0</v>
      </c>
      <c r="AG1782" s="16">
        <f>IF(ISERROR(VLOOKUP($A1782,'13. Updated Demand'!A:Z,24,FALSE)),0,VLOOKUP($A1782,'13. Updated Demand'!A:Z,24,FALSE))</f>
        <v>0</v>
      </c>
      <c r="AH1782" s="16">
        <f>IF(ISERROR(VLOOKUP($A1782,'13. Updated Demand'!A:Z,25,FALSE)),0,VLOOKUP($A1782,'13. Updated Demand'!A:Z,25,FALSE))</f>
        <v>0</v>
      </c>
      <c r="AI1782" s="16">
        <f>IF(ISERROR(VLOOKUP($A1782,'13. Updated Demand'!A:Z,26,FALSE)),0,VLOOKUP($A1782,'13. Updated Demand'!A:Z,26,FALSE))</f>
        <v>0</v>
      </c>
      <c r="AJ1782" s="16">
        <f t="shared" si="337"/>
        <v>0</v>
      </c>
      <c r="AK1782" s="19">
        <v>0</v>
      </c>
      <c r="AL1782" s="16">
        <f t="shared" si="335"/>
        <v>0</v>
      </c>
      <c r="AM1782" s="26">
        <v>0</v>
      </c>
      <c r="AN1782" s="19">
        <v>0</v>
      </c>
      <c r="AO1782" s="19" t="s">
        <v>1758</v>
      </c>
      <c r="AP1782" s="19">
        <v>0</v>
      </c>
      <c r="AQ1782" s="19" t="s">
        <v>307</v>
      </c>
      <c r="AR1782" s="9" t="s">
        <v>323</v>
      </c>
      <c r="AS1782" s="12">
        <v>0</v>
      </c>
      <c r="AT1782" s="19">
        <v>38.51131041</v>
      </c>
      <c r="AU1782" s="19">
        <v>-122.64866824000001</v>
      </c>
      <c r="AV1782" s="19" t="s">
        <v>735</v>
      </c>
    </row>
    <row r="1783" spans="1:48" x14ac:dyDescent="0.25">
      <c r="A1783" s="18" t="s">
        <v>2186</v>
      </c>
      <c r="B1783" s="10">
        <v>10000000</v>
      </c>
      <c r="C1783" s="9">
        <v>9</v>
      </c>
      <c r="D1783" s="8" t="str">
        <f t="shared" si="326"/>
        <v>N</v>
      </c>
      <c r="E1783" s="8" t="str">
        <f t="shared" si="327"/>
        <v>Y</v>
      </c>
      <c r="F1783" s="8" t="str">
        <f t="shared" si="328"/>
        <v>Y</v>
      </c>
      <c r="G1783" s="8" t="str">
        <f t="shared" si="329"/>
        <v>Y</v>
      </c>
      <c r="H1783" s="8" t="str">
        <f t="shared" si="330"/>
        <v>Upper</v>
      </c>
      <c r="I1783" s="8" t="str">
        <f t="shared" si="331"/>
        <v>West Fork and Below Lake</v>
      </c>
      <c r="J1783" s="8" t="str">
        <f t="shared" si="332"/>
        <v>Sonoma (d/s of Clov. Gage)</v>
      </c>
      <c r="K1783" s="8" t="str">
        <f t="shared" si="333"/>
        <v>Riparian</v>
      </c>
      <c r="L1783" s="8">
        <f t="shared" si="334"/>
        <v>1000</v>
      </c>
      <c r="M1783" s="8" t="str">
        <f t="shared" si="336"/>
        <v>-</v>
      </c>
      <c r="N1783" s="10" t="s">
        <v>242</v>
      </c>
      <c r="O1783" s="10" t="s">
        <v>241</v>
      </c>
      <c r="P1783" s="10" t="s">
        <v>242</v>
      </c>
      <c r="Q1783" s="10" t="s">
        <v>242</v>
      </c>
      <c r="R1783" s="10" t="s">
        <v>242</v>
      </c>
      <c r="S1783" s="10" t="s">
        <v>241</v>
      </c>
      <c r="T1783" s="10" t="s">
        <v>242</v>
      </c>
      <c r="U1783" s="10" t="s">
        <v>242</v>
      </c>
      <c r="V1783" s="10" t="s">
        <v>241</v>
      </c>
      <c r="W1783" s="10" t="s">
        <v>242</v>
      </c>
      <c r="X1783" s="15">
        <f>IF(ISERROR(VLOOKUP($A1783,'13. Updated Demand'!A:Z,15,FALSE)),0,VLOOKUP($A1783,'13. Updated Demand'!A:Z,15,FALSE))</f>
        <v>1.74</v>
      </c>
      <c r="Y1783" s="16">
        <f>IF(ISERROR(VLOOKUP($A1783,'13. Updated Demand'!A:Z,16,FALSE)),0,VLOOKUP($A1783,'13. Updated Demand'!A:Z,16,FALSE))</f>
        <v>0.52</v>
      </c>
      <c r="Z1783" s="16">
        <f>IF(ISERROR(VLOOKUP($A1783,'13. Updated Demand'!A:Z,17,FALSE)),0,VLOOKUP($A1783,'13. Updated Demand'!A:Z,17,FALSE))</f>
        <v>0.28000000000000003</v>
      </c>
      <c r="AA1783" s="16">
        <f>IF(ISERROR(VLOOKUP($A1783,'13. Updated Demand'!A:Z,18,FALSE)),0,VLOOKUP($A1783,'13. Updated Demand'!A:Z,18,FALSE))</f>
        <v>0</v>
      </c>
      <c r="AB1783" s="16">
        <f>IF(ISERROR(VLOOKUP($A1783,'13. Updated Demand'!A:Z,19,FALSE)),0,VLOOKUP($A1783,'13. Updated Demand'!A:Z,19,FALSE))</f>
        <v>0</v>
      </c>
      <c r="AC1783" s="16">
        <f>IF(ISERROR(VLOOKUP($A1783,'13. Updated Demand'!A:Z,20,FALSE)),0,VLOOKUP($A1783,'13. Updated Demand'!A:Z,20,FALSE))</f>
        <v>0</v>
      </c>
      <c r="AD1783" s="16">
        <f>IF(ISERROR(VLOOKUP($A1783,'13. Updated Demand'!A:Z,21,FALSE)),0,VLOOKUP($A1783,'13. Updated Demand'!A:Z,21,FALSE))</f>
        <v>0</v>
      </c>
      <c r="AE1783" s="16">
        <f>IF(ISERROR(VLOOKUP($A1783,'13. Updated Demand'!A:Z,22,FALSE)),0,VLOOKUP($A1783,'13. Updated Demand'!A:Z,22,FALSE))</f>
        <v>0</v>
      </c>
      <c r="AF1783" s="16">
        <f>IF(ISERROR(VLOOKUP($A1783,'13. Updated Demand'!A:Z,23,FALSE)),0,VLOOKUP($A1783,'13. Updated Demand'!A:Z,23,FALSE))</f>
        <v>0</v>
      </c>
      <c r="AG1783" s="16">
        <f>IF(ISERROR(VLOOKUP($A1783,'13. Updated Demand'!A:Z,24,FALSE)),0,VLOOKUP($A1783,'13. Updated Demand'!A:Z,24,FALSE))</f>
        <v>0.01</v>
      </c>
      <c r="AH1783" s="16">
        <f>IF(ISERROR(VLOOKUP($A1783,'13. Updated Demand'!A:Z,25,FALSE)),0,VLOOKUP($A1783,'13. Updated Demand'!A:Z,25,FALSE))</f>
        <v>0.45</v>
      </c>
      <c r="AI1783" s="16">
        <f>IF(ISERROR(VLOOKUP($A1783,'13. Updated Demand'!A:Z,26,FALSE)),0,VLOOKUP($A1783,'13. Updated Demand'!A:Z,26,FALSE))</f>
        <v>0.46</v>
      </c>
      <c r="AJ1783" s="16">
        <f t="shared" si="337"/>
        <v>3.46</v>
      </c>
      <c r="AK1783" s="19">
        <v>0</v>
      </c>
      <c r="AL1783" s="16">
        <f t="shared" si="335"/>
        <v>0</v>
      </c>
      <c r="AM1783" s="26">
        <v>0.54789902775164623</v>
      </c>
      <c r="AN1783" s="19">
        <v>6.3780000000000001</v>
      </c>
      <c r="AO1783" s="19" t="s">
        <v>1758</v>
      </c>
      <c r="AP1783" s="19">
        <v>0</v>
      </c>
      <c r="AQ1783" s="19" t="s">
        <v>307</v>
      </c>
      <c r="AR1783" s="9" t="s">
        <v>354</v>
      </c>
      <c r="AS1783" s="12">
        <v>0</v>
      </c>
      <c r="AT1783" s="19">
        <v>38.771275580000001</v>
      </c>
      <c r="AU1783" s="19">
        <v>-123.00707236</v>
      </c>
      <c r="AV1783" s="19" t="s">
        <v>417</v>
      </c>
    </row>
    <row r="1784" spans="1:48" x14ac:dyDescent="0.25">
      <c r="A1784" s="18" t="s">
        <v>2187</v>
      </c>
      <c r="B1784" s="10">
        <v>10000000</v>
      </c>
      <c r="C1784" s="9">
        <v>18</v>
      </c>
      <c r="D1784" s="8" t="str">
        <f t="shared" si="326"/>
        <v>N</v>
      </c>
      <c r="E1784" s="8" t="str">
        <f t="shared" si="327"/>
        <v>N</v>
      </c>
      <c r="F1784" s="8" t="str">
        <f t="shared" si="328"/>
        <v>N</v>
      </c>
      <c r="G1784" s="8" t="str">
        <f t="shared" si="329"/>
        <v>N</v>
      </c>
      <c r="H1784" s="8" t="str">
        <f t="shared" si="330"/>
        <v>Lower</v>
      </c>
      <c r="I1784" s="8" t="str">
        <f t="shared" si="331"/>
        <v>Outside</v>
      </c>
      <c r="J1784" s="8" t="str">
        <f t="shared" si="332"/>
        <v>Outside</v>
      </c>
      <c r="K1784" s="8" t="str">
        <f t="shared" si="333"/>
        <v>Riparian</v>
      </c>
      <c r="L1784" s="8">
        <f t="shared" si="334"/>
        <v>1000</v>
      </c>
      <c r="M1784" s="8" t="str">
        <f t="shared" si="336"/>
        <v>-</v>
      </c>
      <c r="N1784" s="10" t="s">
        <v>242</v>
      </c>
      <c r="O1784" s="10" t="s">
        <v>242</v>
      </c>
      <c r="P1784" s="10" t="s">
        <v>242</v>
      </c>
      <c r="Q1784" s="10" t="s">
        <v>242</v>
      </c>
      <c r="R1784" s="10" t="s">
        <v>242</v>
      </c>
      <c r="S1784" s="10" t="s">
        <v>241</v>
      </c>
      <c r="T1784" s="10" t="s">
        <v>242</v>
      </c>
      <c r="U1784" s="10" t="s">
        <v>241</v>
      </c>
      <c r="V1784" s="10" t="s">
        <v>241</v>
      </c>
      <c r="W1784" s="10" t="s">
        <v>242</v>
      </c>
      <c r="X1784" s="15">
        <f>IF(ISERROR(VLOOKUP($A1784,'13. Updated Demand'!A:Z,15,FALSE)),0,VLOOKUP($A1784,'13. Updated Demand'!A:Z,15,FALSE))</f>
        <v>0</v>
      </c>
      <c r="Y1784" s="16">
        <f>IF(ISERROR(VLOOKUP($A1784,'13. Updated Demand'!A:Z,16,FALSE)),0,VLOOKUP($A1784,'13. Updated Demand'!A:Z,16,FALSE))</f>
        <v>0</v>
      </c>
      <c r="Z1784" s="16">
        <f>IF(ISERROR(VLOOKUP($A1784,'13. Updated Demand'!A:Z,17,FALSE)),0,VLOOKUP($A1784,'13. Updated Demand'!A:Z,17,FALSE))</f>
        <v>0</v>
      </c>
      <c r="AA1784" s="16">
        <f>IF(ISERROR(VLOOKUP($A1784,'13. Updated Demand'!A:Z,18,FALSE)),0,VLOOKUP($A1784,'13. Updated Demand'!A:Z,18,FALSE))</f>
        <v>0</v>
      </c>
      <c r="AB1784" s="16">
        <f>IF(ISERROR(VLOOKUP($A1784,'13. Updated Demand'!A:Z,19,FALSE)),0,VLOOKUP($A1784,'13. Updated Demand'!A:Z,19,FALSE))</f>
        <v>0</v>
      </c>
      <c r="AC1784" s="16">
        <f>IF(ISERROR(VLOOKUP($A1784,'13. Updated Demand'!A:Z,20,FALSE)),0,VLOOKUP($A1784,'13. Updated Demand'!A:Z,20,FALSE))</f>
        <v>0</v>
      </c>
      <c r="AD1784" s="16">
        <f>IF(ISERROR(VLOOKUP($A1784,'13. Updated Demand'!A:Z,21,FALSE)),0,VLOOKUP($A1784,'13. Updated Demand'!A:Z,21,FALSE))</f>
        <v>0</v>
      </c>
      <c r="AE1784" s="16">
        <f>IF(ISERROR(VLOOKUP($A1784,'13. Updated Demand'!A:Z,22,FALSE)),0,VLOOKUP($A1784,'13. Updated Demand'!A:Z,22,FALSE))</f>
        <v>0</v>
      </c>
      <c r="AF1784" s="16">
        <f>IF(ISERROR(VLOOKUP($A1784,'13. Updated Demand'!A:Z,23,FALSE)),0,VLOOKUP($A1784,'13. Updated Demand'!A:Z,23,FALSE))</f>
        <v>0</v>
      </c>
      <c r="AG1784" s="16">
        <f>IF(ISERROR(VLOOKUP($A1784,'13. Updated Demand'!A:Z,24,FALSE)),0,VLOOKUP($A1784,'13. Updated Demand'!A:Z,24,FALSE))</f>
        <v>0</v>
      </c>
      <c r="AH1784" s="16">
        <f>IF(ISERROR(VLOOKUP($A1784,'13. Updated Demand'!A:Z,25,FALSE)),0,VLOOKUP($A1784,'13. Updated Demand'!A:Z,25,FALSE))</f>
        <v>0</v>
      </c>
      <c r="AI1784" s="16">
        <f>IF(ISERROR(VLOOKUP($A1784,'13. Updated Demand'!A:Z,26,FALSE)),0,VLOOKUP($A1784,'13. Updated Demand'!A:Z,26,FALSE))</f>
        <v>0</v>
      </c>
      <c r="AJ1784" s="16">
        <f t="shared" si="337"/>
        <v>0</v>
      </c>
      <c r="AK1784" s="19">
        <v>0</v>
      </c>
      <c r="AL1784" s="16">
        <f t="shared" si="335"/>
        <v>0</v>
      </c>
      <c r="AM1784" s="26">
        <v>0</v>
      </c>
      <c r="AN1784" s="19">
        <v>1</v>
      </c>
      <c r="AO1784" s="19" t="s">
        <v>1758</v>
      </c>
      <c r="AP1784" s="19">
        <v>0</v>
      </c>
      <c r="AQ1784" s="19" t="s">
        <v>307</v>
      </c>
      <c r="AR1784" s="9" t="s">
        <v>352</v>
      </c>
      <c r="AS1784" s="12">
        <v>3.4039024194010059E-4</v>
      </c>
      <c r="AT1784" s="19">
        <v>38.391643569999999</v>
      </c>
      <c r="AU1784" s="19">
        <v>-122.88833364</v>
      </c>
      <c r="AV1784" s="19" t="s">
        <v>2188</v>
      </c>
    </row>
    <row r="1785" spans="1:48" x14ac:dyDescent="0.25">
      <c r="A1785" s="18" t="s">
        <v>2189</v>
      </c>
      <c r="B1785" s="10">
        <v>10000000</v>
      </c>
      <c r="C1785" s="9">
        <v>21</v>
      </c>
      <c r="D1785" s="8" t="str">
        <f t="shared" si="326"/>
        <v>N</v>
      </c>
      <c r="E1785" s="8" t="str">
        <f t="shared" si="327"/>
        <v>N</v>
      </c>
      <c r="F1785" s="8" t="str">
        <f t="shared" si="328"/>
        <v>N</v>
      </c>
      <c r="G1785" s="8" t="str">
        <f t="shared" si="329"/>
        <v>N</v>
      </c>
      <c r="H1785" s="8" t="str">
        <f t="shared" si="330"/>
        <v>Lower</v>
      </c>
      <c r="I1785" s="8" t="str">
        <f t="shared" si="331"/>
        <v>Outside</v>
      </c>
      <c r="J1785" s="8" t="str">
        <f t="shared" si="332"/>
        <v>Outside</v>
      </c>
      <c r="K1785" s="8" t="str">
        <f t="shared" si="333"/>
        <v>Riparian</v>
      </c>
      <c r="L1785" s="8">
        <f t="shared" si="334"/>
        <v>1000</v>
      </c>
      <c r="M1785" s="8" t="str">
        <f t="shared" si="336"/>
        <v>-</v>
      </c>
      <c r="N1785" s="10" t="s">
        <v>242</v>
      </c>
      <c r="O1785" s="10" t="s">
        <v>242</v>
      </c>
      <c r="P1785" s="10" t="s">
        <v>242</v>
      </c>
      <c r="Q1785" s="10" t="s">
        <v>242</v>
      </c>
      <c r="R1785" s="10" t="s">
        <v>242</v>
      </c>
      <c r="S1785" s="10" t="s">
        <v>241</v>
      </c>
      <c r="T1785" s="10" t="s">
        <v>242</v>
      </c>
      <c r="U1785" s="10" t="s">
        <v>242</v>
      </c>
      <c r="V1785" s="10" t="s">
        <v>241</v>
      </c>
      <c r="W1785" s="10" t="s">
        <v>242</v>
      </c>
      <c r="X1785" s="15">
        <f>IF(ISERROR(VLOOKUP($A1785,'13. Updated Demand'!A:Z,15,FALSE)),0,VLOOKUP($A1785,'13. Updated Demand'!A:Z,15,FALSE))</f>
        <v>0.66666666699999999</v>
      </c>
      <c r="Y1785" s="16">
        <f>IF(ISERROR(VLOOKUP($A1785,'13. Updated Demand'!A:Z,16,FALSE)),0,VLOOKUP($A1785,'13. Updated Demand'!A:Z,16,FALSE))</f>
        <v>0.33333333300000001</v>
      </c>
      <c r="Z1785" s="16">
        <f>IF(ISERROR(VLOOKUP($A1785,'13. Updated Demand'!A:Z,17,FALSE)),0,VLOOKUP($A1785,'13. Updated Demand'!A:Z,17,FALSE))</f>
        <v>0.33333333300000001</v>
      </c>
      <c r="AA1785" s="16">
        <f>IF(ISERROR(VLOOKUP($A1785,'13. Updated Demand'!A:Z,18,FALSE)),0,VLOOKUP($A1785,'13. Updated Demand'!A:Z,18,FALSE))</f>
        <v>0</v>
      </c>
      <c r="AB1785" s="16">
        <f>IF(ISERROR(VLOOKUP($A1785,'13. Updated Demand'!A:Z,19,FALSE)),0,VLOOKUP($A1785,'13. Updated Demand'!A:Z,19,FALSE))</f>
        <v>0</v>
      </c>
      <c r="AC1785" s="16">
        <f>IF(ISERROR(VLOOKUP($A1785,'13. Updated Demand'!A:Z,20,FALSE)),0,VLOOKUP($A1785,'13. Updated Demand'!A:Z,20,FALSE))</f>
        <v>0</v>
      </c>
      <c r="AD1785" s="16">
        <f>IF(ISERROR(VLOOKUP($A1785,'13. Updated Demand'!A:Z,21,FALSE)),0,VLOOKUP($A1785,'13. Updated Demand'!A:Z,21,FALSE))</f>
        <v>0</v>
      </c>
      <c r="AE1785" s="16">
        <f>IF(ISERROR(VLOOKUP($A1785,'13. Updated Demand'!A:Z,22,FALSE)),0,VLOOKUP($A1785,'13. Updated Demand'!A:Z,22,FALSE))</f>
        <v>0</v>
      </c>
      <c r="AF1785" s="16">
        <f>IF(ISERROR(VLOOKUP($A1785,'13. Updated Demand'!A:Z,23,FALSE)),0,VLOOKUP($A1785,'13. Updated Demand'!A:Z,23,FALSE))</f>
        <v>0</v>
      </c>
      <c r="AG1785" s="16">
        <f>IF(ISERROR(VLOOKUP($A1785,'13. Updated Demand'!A:Z,24,FALSE)),0,VLOOKUP($A1785,'13. Updated Demand'!A:Z,24,FALSE))</f>
        <v>0</v>
      </c>
      <c r="AH1785" s="16">
        <f>IF(ISERROR(VLOOKUP($A1785,'13. Updated Demand'!A:Z,25,FALSE)),0,VLOOKUP($A1785,'13. Updated Demand'!A:Z,25,FALSE))</f>
        <v>0.33333333300000001</v>
      </c>
      <c r="AI1785" s="16">
        <f>IF(ISERROR(VLOOKUP($A1785,'13. Updated Demand'!A:Z,26,FALSE)),0,VLOOKUP($A1785,'13. Updated Demand'!A:Z,26,FALSE))</f>
        <v>0.33333333300000001</v>
      </c>
      <c r="AJ1785" s="16">
        <f t="shared" si="337"/>
        <v>1.9999999990000004</v>
      </c>
      <c r="AK1785" s="19">
        <v>0</v>
      </c>
      <c r="AL1785" s="16">
        <f t="shared" si="335"/>
        <v>0</v>
      </c>
      <c r="AM1785" s="26">
        <v>0.33333333316666675</v>
      </c>
      <c r="AN1785" s="19">
        <v>6</v>
      </c>
      <c r="AO1785" s="19" t="s">
        <v>1758</v>
      </c>
      <c r="AP1785" s="19">
        <v>0</v>
      </c>
      <c r="AQ1785" s="19" t="s">
        <v>307</v>
      </c>
      <c r="AR1785" s="9" t="s">
        <v>403</v>
      </c>
      <c r="AS1785" s="12">
        <v>0</v>
      </c>
      <c r="AT1785" s="19">
        <v>38.417729199999997</v>
      </c>
      <c r="AU1785" s="19">
        <v>-122.95741925999999</v>
      </c>
      <c r="AV1785" s="19" t="s">
        <v>417</v>
      </c>
    </row>
    <row r="1786" spans="1:48" x14ac:dyDescent="0.25">
      <c r="A1786" s="18" t="s">
        <v>2190</v>
      </c>
      <c r="B1786" s="10">
        <v>10000000</v>
      </c>
      <c r="C1786" s="9">
        <v>12</v>
      </c>
      <c r="D1786" s="8" t="str">
        <f t="shared" si="326"/>
        <v>N</v>
      </c>
      <c r="E1786" s="8" t="str">
        <f t="shared" si="327"/>
        <v>Y</v>
      </c>
      <c r="F1786" s="8" t="str">
        <f t="shared" si="328"/>
        <v>Y</v>
      </c>
      <c r="G1786" s="8" t="str">
        <f t="shared" si="329"/>
        <v>Y</v>
      </c>
      <c r="H1786" s="8" t="str">
        <f t="shared" si="330"/>
        <v>Upper</v>
      </c>
      <c r="I1786" s="8" t="str">
        <f t="shared" si="331"/>
        <v>West Fork and Below Lake</v>
      </c>
      <c r="J1786" s="8" t="str">
        <f t="shared" si="332"/>
        <v>Sonoma (d/s of Clov. Gage)</v>
      </c>
      <c r="K1786" s="8" t="str">
        <f t="shared" si="333"/>
        <v>Riparian</v>
      </c>
      <c r="L1786" s="8">
        <f t="shared" si="334"/>
        <v>1000</v>
      </c>
      <c r="M1786" s="8" t="str">
        <f t="shared" si="336"/>
        <v>-</v>
      </c>
      <c r="N1786" s="10" t="s">
        <v>242</v>
      </c>
      <c r="O1786" s="10" t="s">
        <v>241</v>
      </c>
      <c r="P1786" s="10" t="s">
        <v>242</v>
      </c>
      <c r="Q1786" s="10" t="s">
        <v>242</v>
      </c>
      <c r="R1786" s="10" t="s">
        <v>242</v>
      </c>
      <c r="S1786" s="10" t="s">
        <v>241</v>
      </c>
      <c r="T1786" s="10" t="s">
        <v>242</v>
      </c>
      <c r="U1786" s="10" t="s">
        <v>242</v>
      </c>
      <c r="V1786" s="10" t="s">
        <v>241</v>
      </c>
      <c r="W1786" s="10" t="s">
        <v>242</v>
      </c>
      <c r="X1786" s="15">
        <f>IF(ISERROR(VLOOKUP($A1786,'13. Updated Demand'!A:Z,15,FALSE)),0,VLOOKUP($A1786,'13. Updated Demand'!A:Z,15,FALSE))</f>
        <v>0.5</v>
      </c>
      <c r="Y1786" s="16">
        <f>IF(ISERROR(VLOOKUP($A1786,'13. Updated Demand'!A:Z,16,FALSE)),0,VLOOKUP($A1786,'13. Updated Demand'!A:Z,16,FALSE))</f>
        <v>0.5</v>
      </c>
      <c r="Z1786" s="16">
        <f>IF(ISERROR(VLOOKUP($A1786,'13. Updated Demand'!A:Z,17,FALSE)),0,VLOOKUP($A1786,'13. Updated Demand'!A:Z,17,FALSE))</f>
        <v>0</v>
      </c>
      <c r="AA1786" s="16">
        <f>IF(ISERROR(VLOOKUP($A1786,'13. Updated Demand'!A:Z,18,FALSE)),0,VLOOKUP($A1786,'13. Updated Demand'!A:Z,18,FALSE))</f>
        <v>0</v>
      </c>
      <c r="AB1786" s="16">
        <f>IF(ISERROR(VLOOKUP($A1786,'13. Updated Demand'!A:Z,19,FALSE)),0,VLOOKUP($A1786,'13. Updated Demand'!A:Z,19,FALSE))</f>
        <v>0</v>
      </c>
      <c r="AC1786" s="16">
        <f>IF(ISERROR(VLOOKUP($A1786,'13. Updated Demand'!A:Z,20,FALSE)),0,VLOOKUP($A1786,'13. Updated Demand'!A:Z,20,FALSE))</f>
        <v>0</v>
      </c>
      <c r="AD1786" s="16">
        <f>IF(ISERROR(VLOOKUP($A1786,'13. Updated Demand'!A:Z,21,FALSE)),0,VLOOKUP($A1786,'13. Updated Demand'!A:Z,21,FALSE))</f>
        <v>0</v>
      </c>
      <c r="AE1786" s="16">
        <f>IF(ISERROR(VLOOKUP($A1786,'13. Updated Demand'!A:Z,22,FALSE)),0,VLOOKUP($A1786,'13. Updated Demand'!A:Z,22,FALSE))</f>
        <v>0</v>
      </c>
      <c r="AF1786" s="16">
        <f>IF(ISERROR(VLOOKUP($A1786,'13. Updated Demand'!A:Z,23,FALSE)),0,VLOOKUP($A1786,'13. Updated Demand'!A:Z,23,FALSE))</f>
        <v>0</v>
      </c>
      <c r="AG1786" s="16">
        <f>IF(ISERROR(VLOOKUP($A1786,'13. Updated Demand'!A:Z,24,FALSE)),0,VLOOKUP($A1786,'13. Updated Demand'!A:Z,24,FALSE))</f>
        <v>0</v>
      </c>
      <c r="AH1786" s="16">
        <f>IF(ISERROR(VLOOKUP($A1786,'13. Updated Demand'!A:Z,25,FALSE)),0,VLOOKUP($A1786,'13. Updated Demand'!A:Z,25,FALSE))</f>
        <v>0</v>
      </c>
      <c r="AI1786" s="16">
        <f>IF(ISERROR(VLOOKUP($A1786,'13. Updated Demand'!A:Z,26,FALSE)),0,VLOOKUP($A1786,'13. Updated Demand'!A:Z,26,FALSE))</f>
        <v>0.5</v>
      </c>
      <c r="AJ1786" s="16">
        <f t="shared" si="337"/>
        <v>1.5</v>
      </c>
      <c r="AK1786" s="19">
        <v>0</v>
      </c>
      <c r="AL1786" s="16">
        <f t="shared" si="335"/>
        <v>0</v>
      </c>
      <c r="AM1786" s="26">
        <v>0</v>
      </c>
      <c r="AN1786" s="19">
        <v>0</v>
      </c>
      <c r="AO1786" s="19" t="s">
        <v>1758</v>
      </c>
      <c r="AP1786" s="19">
        <v>0</v>
      </c>
      <c r="AQ1786" s="19" t="s">
        <v>307</v>
      </c>
      <c r="AR1786" s="9" t="s">
        <v>311</v>
      </c>
      <c r="AS1786" s="12">
        <v>0</v>
      </c>
      <c r="AT1786" s="19">
        <v>38.584125419999999</v>
      </c>
      <c r="AU1786" s="19">
        <v>-122.64023389</v>
      </c>
      <c r="AV1786" s="19" t="s">
        <v>417</v>
      </c>
    </row>
    <row r="1787" spans="1:48" x14ac:dyDescent="0.25">
      <c r="A1787" s="18" t="s">
        <v>2191</v>
      </c>
      <c r="B1787" s="10">
        <v>10000000</v>
      </c>
      <c r="C1787" s="9">
        <v>16</v>
      </c>
      <c r="D1787" s="8" t="str">
        <f t="shared" si="326"/>
        <v>N</v>
      </c>
      <c r="E1787" s="8" t="str">
        <f t="shared" si="327"/>
        <v>N</v>
      </c>
      <c r="F1787" s="8" t="str">
        <f t="shared" si="328"/>
        <v>N</v>
      </c>
      <c r="G1787" s="8" t="str">
        <f t="shared" si="329"/>
        <v>N</v>
      </c>
      <c r="H1787" s="8" t="str">
        <f t="shared" si="330"/>
        <v>Lower</v>
      </c>
      <c r="I1787" s="8" t="str">
        <f t="shared" si="331"/>
        <v>Outside</v>
      </c>
      <c r="J1787" s="8" t="str">
        <f t="shared" si="332"/>
        <v>Outside</v>
      </c>
      <c r="K1787" s="8" t="str">
        <f t="shared" si="333"/>
        <v>Riparian</v>
      </c>
      <c r="L1787" s="8">
        <f t="shared" si="334"/>
        <v>1000</v>
      </c>
      <c r="M1787" s="8" t="str">
        <f t="shared" si="336"/>
        <v>-</v>
      </c>
      <c r="N1787" s="10" t="s">
        <v>242</v>
      </c>
      <c r="O1787" s="10" t="s">
        <v>242</v>
      </c>
      <c r="P1787" s="10" t="s">
        <v>242</v>
      </c>
      <c r="Q1787" s="10" t="s">
        <v>242</v>
      </c>
      <c r="R1787" s="10" t="s">
        <v>242</v>
      </c>
      <c r="S1787" s="10" t="s">
        <v>241</v>
      </c>
      <c r="T1787" s="10" t="s">
        <v>242</v>
      </c>
      <c r="U1787" s="10" t="s">
        <v>242</v>
      </c>
      <c r="V1787" s="10" t="s">
        <v>242</v>
      </c>
      <c r="W1787" s="10" t="s">
        <v>242</v>
      </c>
      <c r="X1787" s="15">
        <f>IF(ISERROR(VLOOKUP($A1787,'13. Updated Demand'!A:Z,15,FALSE)),0,VLOOKUP($A1787,'13. Updated Demand'!A:Z,15,FALSE))</f>
        <v>0</v>
      </c>
      <c r="Y1787" s="16">
        <f>IF(ISERROR(VLOOKUP($A1787,'13. Updated Demand'!A:Z,16,FALSE)),0,VLOOKUP($A1787,'13. Updated Demand'!A:Z,16,FALSE))</f>
        <v>0</v>
      </c>
      <c r="Z1787" s="16">
        <f>IF(ISERROR(VLOOKUP($A1787,'13. Updated Demand'!A:Z,17,FALSE)),0,VLOOKUP($A1787,'13. Updated Demand'!A:Z,17,FALSE))</f>
        <v>6.6666666999999999E-2</v>
      </c>
      <c r="AA1787" s="16">
        <f>IF(ISERROR(VLOOKUP($A1787,'13. Updated Demand'!A:Z,18,FALSE)),0,VLOOKUP($A1787,'13. Updated Demand'!A:Z,18,FALSE))</f>
        <v>0.2</v>
      </c>
      <c r="AB1787" s="16">
        <f>IF(ISERROR(VLOOKUP($A1787,'13. Updated Demand'!A:Z,19,FALSE)),0,VLOOKUP($A1787,'13. Updated Demand'!A:Z,19,FALSE))</f>
        <v>0</v>
      </c>
      <c r="AC1787" s="16">
        <f>IF(ISERROR(VLOOKUP($A1787,'13. Updated Demand'!A:Z,20,FALSE)),0,VLOOKUP($A1787,'13. Updated Demand'!A:Z,20,FALSE))</f>
        <v>0.76666666699999997</v>
      </c>
      <c r="AD1787" s="16">
        <f>IF(ISERROR(VLOOKUP($A1787,'13. Updated Demand'!A:Z,21,FALSE)),0,VLOOKUP($A1787,'13. Updated Demand'!A:Z,21,FALSE))</f>
        <v>0.86666666699999995</v>
      </c>
      <c r="AE1787" s="16">
        <f>IF(ISERROR(VLOOKUP($A1787,'13. Updated Demand'!A:Z,22,FALSE)),0,VLOOKUP($A1787,'13. Updated Demand'!A:Z,22,FALSE))</f>
        <v>1.3666666670000001</v>
      </c>
      <c r="AF1787" s="16">
        <f>IF(ISERROR(VLOOKUP($A1787,'13. Updated Demand'!A:Z,23,FALSE)),0,VLOOKUP($A1787,'13. Updated Demand'!A:Z,23,FALSE))</f>
        <v>1.6333333329999999</v>
      </c>
      <c r="AG1787" s="16">
        <f>IF(ISERROR(VLOOKUP($A1787,'13. Updated Demand'!A:Z,24,FALSE)),0,VLOOKUP($A1787,'13. Updated Demand'!A:Z,24,FALSE))</f>
        <v>0.63333333300000005</v>
      </c>
      <c r="AH1787" s="16">
        <f>IF(ISERROR(VLOOKUP($A1787,'13. Updated Demand'!A:Z,25,FALSE)),0,VLOOKUP($A1787,'13. Updated Demand'!A:Z,25,FALSE))</f>
        <v>0</v>
      </c>
      <c r="AI1787" s="16">
        <f>IF(ISERROR(VLOOKUP($A1787,'13. Updated Demand'!A:Z,26,FALSE)),0,VLOOKUP($A1787,'13. Updated Demand'!A:Z,26,FALSE))</f>
        <v>0</v>
      </c>
      <c r="AJ1787" s="16">
        <f t="shared" si="337"/>
        <v>5.5333333340000008</v>
      </c>
      <c r="AK1787" s="19">
        <v>4.6333333339999996</v>
      </c>
      <c r="AL1787" s="16">
        <f t="shared" si="335"/>
        <v>1.5368238882613782E-2</v>
      </c>
      <c r="AM1787" s="26">
        <v>5.9629238334904531E-3</v>
      </c>
      <c r="AN1787" s="19">
        <v>927.95640000000003</v>
      </c>
      <c r="AO1787" s="19" t="s">
        <v>1758</v>
      </c>
      <c r="AP1787" s="19">
        <v>0</v>
      </c>
      <c r="AQ1787" s="19" t="s">
        <v>307</v>
      </c>
      <c r="AR1787" s="9" t="s">
        <v>394</v>
      </c>
      <c r="AS1787" s="12">
        <v>0</v>
      </c>
      <c r="AT1787" s="19">
        <v>38.648702520000001</v>
      </c>
      <c r="AU1787" s="19">
        <v>-122.88435610000001</v>
      </c>
      <c r="AV1787" s="19" t="s">
        <v>932</v>
      </c>
    </row>
    <row r="1788" spans="1:48" x14ac:dyDescent="0.25">
      <c r="A1788" s="18" t="s">
        <v>2192</v>
      </c>
      <c r="B1788" s="10">
        <v>10000000</v>
      </c>
      <c r="C1788" s="9">
        <v>18</v>
      </c>
      <c r="D1788" s="8" t="str">
        <f t="shared" si="326"/>
        <v>N</v>
      </c>
      <c r="E1788" s="8" t="str">
        <f t="shared" si="327"/>
        <v>N</v>
      </c>
      <c r="F1788" s="8" t="str">
        <f t="shared" si="328"/>
        <v>N</v>
      </c>
      <c r="G1788" s="8" t="str">
        <f t="shared" si="329"/>
        <v>N</v>
      </c>
      <c r="H1788" s="8" t="str">
        <f t="shared" si="330"/>
        <v>Lower</v>
      </c>
      <c r="I1788" s="8" t="str">
        <f t="shared" si="331"/>
        <v>Outside</v>
      </c>
      <c r="J1788" s="8" t="str">
        <f t="shared" si="332"/>
        <v>Outside</v>
      </c>
      <c r="K1788" s="8" t="str">
        <f t="shared" si="333"/>
        <v>Riparian</v>
      </c>
      <c r="L1788" s="8">
        <f t="shared" si="334"/>
        <v>1000</v>
      </c>
      <c r="M1788" s="8" t="str">
        <f t="shared" si="336"/>
        <v>-</v>
      </c>
      <c r="N1788" s="10" t="s">
        <v>242</v>
      </c>
      <c r="O1788" s="10" t="s">
        <v>242</v>
      </c>
      <c r="P1788" s="10" t="s">
        <v>242</v>
      </c>
      <c r="Q1788" s="10" t="s">
        <v>242</v>
      </c>
      <c r="R1788" s="10" t="s">
        <v>242</v>
      </c>
      <c r="S1788" s="10" t="s">
        <v>241</v>
      </c>
      <c r="T1788" s="10" t="s">
        <v>242</v>
      </c>
      <c r="U1788" s="10" t="s">
        <v>241</v>
      </c>
      <c r="V1788" s="10" t="s">
        <v>241</v>
      </c>
      <c r="W1788" s="10" t="s">
        <v>242</v>
      </c>
      <c r="X1788" s="15">
        <f>IF(ISERROR(VLOOKUP($A1788,'13. Updated Demand'!A:Z,15,FALSE)),0,VLOOKUP($A1788,'13. Updated Demand'!A:Z,15,FALSE))</f>
        <v>0</v>
      </c>
      <c r="Y1788" s="16">
        <f>IF(ISERROR(VLOOKUP($A1788,'13. Updated Demand'!A:Z,16,FALSE)),0,VLOOKUP($A1788,'13. Updated Demand'!A:Z,16,FALSE))</f>
        <v>0</v>
      </c>
      <c r="Z1788" s="16">
        <f>IF(ISERROR(VLOOKUP($A1788,'13. Updated Demand'!A:Z,17,FALSE)),0,VLOOKUP($A1788,'13. Updated Demand'!A:Z,17,FALSE))</f>
        <v>0</v>
      </c>
      <c r="AA1788" s="16">
        <f>IF(ISERROR(VLOOKUP($A1788,'13. Updated Demand'!A:Z,18,FALSE)),0,VLOOKUP($A1788,'13. Updated Demand'!A:Z,18,FALSE))</f>
        <v>0</v>
      </c>
      <c r="AB1788" s="16">
        <f>IF(ISERROR(VLOOKUP($A1788,'13. Updated Demand'!A:Z,19,FALSE)),0,VLOOKUP($A1788,'13. Updated Demand'!A:Z,19,FALSE))</f>
        <v>0</v>
      </c>
      <c r="AC1788" s="16">
        <f>IF(ISERROR(VLOOKUP($A1788,'13. Updated Demand'!A:Z,20,FALSE)),0,VLOOKUP($A1788,'13. Updated Demand'!A:Z,20,FALSE))</f>
        <v>0</v>
      </c>
      <c r="AD1788" s="16">
        <f>IF(ISERROR(VLOOKUP($A1788,'13. Updated Demand'!A:Z,21,FALSE)),0,VLOOKUP($A1788,'13. Updated Demand'!A:Z,21,FALSE))</f>
        <v>0</v>
      </c>
      <c r="AE1788" s="16">
        <f>IF(ISERROR(VLOOKUP($A1788,'13. Updated Demand'!A:Z,22,FALSE)),0,VLOOKUP($A1788,'13. Updated Demand'!A:Z,22,FALSE))</f>
        <v>0</v>
      </c>
      <c r="AF1788" s="16">
        <f>IF(ISERROR(VLOOKUP($A1788,'13. Updated Demand'!A:Z,23,FALSE)),0,VLOOKUP($A1788,'13. Updated Demand'!A:Z,23,FALSE))</f>
        <v>0</v>
      </c>
      <c r="AG1788" s="16">
        <f>IF(ISERROR(VLOOKUP($A1788,'13. Updated Demand'!A:Z,24,FALSE)),0,VLOOKUP($A1788,'13. Updated Demand'!A:Z,24,FALSE))</f>
        <v>0</v>
      </c>
      <c r="AH1788" s="16">
        <f>IF(ISERROR(VLOOKUP($A1788,'13. Updated Demand'!A:Z,25,FALSE)),0,VLOOKUP($A1788,'13. Updated Demand'!A:Z,25,FALSE))</f>
        <v>0</v>
      </c>
      <c r="AI1788" s="16">
        <f>IF(ISERROR(VLOOKUP($A1788,'13. Updated Demand'!A:Z,26,FALSE)),0,VLOOKUP($A1788,'13. Updated Demand'!A:Z,26,FALSE))</f>
        <v>0</v>
      </c>
      <c r="AJ1788" s="16">
        <f t="shared" si="337"/>
        <v>0</v>
      </c>
      <c r="AK1788" s="19">
        <v>0</v>
      </c>
      <c r="AL1788" s="16">
        <f t="shared" si="335"/>
        <v>0</v>
      </c>
      <c r="AM1788" s="26">
        <v>0</v>
      </c>
      <c r="AN1788" s="19">
        <v>0.65280000000000005</v>
      </c>
      <c r="AO1788" s="19" t="s">
        <v>1758</v>
      </c>
      <c r="AP1788" s="19">
        <v>0</v>
      </c>
      <c r="AQ1788" s="19" t="s">
        <v>307</v>
      </c>
      <c r="AR1788" s="9" t="s">
        <v>352</v>
      </c>
      <c r="AS1788" s="12">
        <v>0</v>
      </c>
      <c r="AT1788" s="19">
        <v>38.437077739999999</v>
      </c>
      <c r="AU1788" s="19">
        <v>-122.88994477</v>
      </c>
      <c r="AV1788" s="19" t="s">
        <v>411</v>
      </c>
    </row>
    <row r="1789" spans="1:48" x14ac:dyDescent="0.25">
      <c r="A1789" s="18" t="s">
        <v>2193</v>
      </c>
      <c r="B1789" s="10">
        <v>10000000</v>
      </c>
      <c r="C1789" s="9">
        <v>6</v>
      </c>
      <c r="D1789" s="8" t="str">
        <f t="shared" si="326"/>
        <v>Y</v>
      </c>
      <c r="E1789" s="8" t="str">
        <f t="shared" si="327"/>
        <v>N</v>
      </c>
      <c r="F1789" s="8" t="str">
        <f t="shared" si="328"/>
        <v>Y</v>
      </c>
      <c r="G1789" s="8" t="str">
        <f t="shared" si="329"/>
        <v>Y</v>
      </c>
      <c r="H1789" s="8" t="str">
        <f t="shared" si="330"/>
        <v>Upper</v>
      </c>
      <c r="I1789" s="8" t="str">
        <f t="shared" si="331"/>
        <v>West Fork and Below Lake</v>
      </c>
      <c r="J1789" s="8" t="str">
        <f t="shared" si="332"/>
        <v>Mendocino (d/s of lake)</v>
      </c>
      <c r="K1789" s="8" t="str">
        <f t="shared" si="333"/>
        <v>Riparian</v>
      </c>
      <c r="L1789" s="8">
        <f t="shared" si="334"/>
        <v>1000</v>
      </c>
      <c r="M1789" s="8" t="str">
        <f t="shared" si="336"/>
        <v>-</v>
      </c>
      <c r="N1789" s="10" t="s">
        <v>241</v>
      </c>
      <c r="O1789" s="10" t="s">
        <v>241</v>
      </c>
      <c r="P1789" s="10" t="s">
        <v>242</v>
      </c>
      <c r="Q1789" s="10" t="s">
        <v>242</v>
      </c>
      <c r="R1789" s="10" t="s">
        <v>242</v>
      </c>
      <c r="S1789" s="10" t="s">
        <v>241</v>
      </c>
      <c r="T1789" s="10" t="s">
        <v>242</v>
      </c>
      <c r="U1789" s="10" t="s">
        <v>242</v>
      </c>
      <c r="V1789" s="10" t="s">
        <v>242</v>
      </c>
      <c r="W1789" s="10" t="s">
        <v>242</v>
      </c>
      <c r="X1789" s="15">
        <f>IF(ISERROR(VLOOKUP($A1789,'13. Updated Demand'!A:Z,15,FALSE)),0,VLOOKUP($A1789,'13. Updated Demand'!A:Z,15,FALSE))</f>
        <v>0</v>
      </c>
      <c r="Y1789" s="16">
        <f>IF(ISERROR(VLOOKUP($A1789,'13. Updated Demand'!A:Z,16,FALSE)),0,VLOOKUP($A1789,'13. Updated Demand'!A:Z,16,FALSE))</f>
        <v>0</v>
      </c>
      <c r="Z1789" s="16">
        <f>IF(ISERROR(VLOOKUP($A1789,'13. Updated Demand'!A:Z,17,FALSE)),0,VLOOKUP($A1789,'13. Updated Demand'!A:Z,17,FALSE))</f>
        <v>0</v>
      </c>
      <c r="AA1789" s="16">
        <f>IF(ISERROR(VLOOKUP($A1789,'13. Updated Demand'!A:Z,18,FALSE)),0,VLOOKUP($A1789,'13. Updated Demand'!A:Z,18,FALSE))</f>
        <v>0</v>
      </c>
      <c r="AB1789" s="16">
        <f>IF(ISERROR(VLOOKUP($A1789,'13. Updated Demand'!A:Z,19,FALSE)),0,VLOOKUP($A1789,'13. Updated Demand'!A:Z,19,FALSE))</f>
        <v>0</v>
      </c>
      <c r="AC1789" s="16">
        <f>IF(ISERROR(VLOOKUP($A1789,'13. Updated Demand'!A:Z,20,FALSE)),0,VLOOKUP($A1789,'13. Updated Demand'!A:Z,20,FALSE))</f>
        <v>4.0199999999999996</v>
      </c>
      <c r="AD1789" s="16">
        <f>IF(ISERROR(VLOOKUP($A1789,'13. Updated Demand'!A:Z,21,FALSE)),0,VLOOKUP($A1789,'13. Updated Demand'!A:Z,21,FALSE))</f>
        <v>7.41</v>
      </c>
      <c r="AE1789" s="16">
        <f>IF(ISERROR(VLOOKUP($A1789,'13. Updated Demand'!A:Z,22,FALSE)),0,VLOOKUP($A1789,'13. Updated Demand'!A:Z,22,FALSE))</f>
        <v>2.96</v>
      </c>
      <c r="AF1789" s="16">
        <f>IF(ISERROR(VLOOKUP($A1789,'13. Updated Demand'!A:Z,23,FALSE)),0,VLOOKUP($A1789,'13. Updated Demand'!A:Z,23,FALSE))</f>
        <v>0</v>
      </c>
      <c r="AG1789" s="16">
        <f>IF(ISERROR(VLOOKUP($A1789,'13. Updated Demand'!A:Z,24,FALSE)),0,VLOOKUP($A1789,'13. Updated Demand'!A:Z,24,FALSE))</f>
        <v>0</v>
      </c>
      <c r="AH1789" s="16">
        <f>IF(ISERROR(VLOOKUP($A1789,'13. Updated Demand'!A:Z,25,FALSE)),0,VLOOKUP($A1789,'13. Updated Demand'!A:Z,25,FALSE))</f>
        <v>0</v>
      </c>
      <c r="AI1789" s="16">
        <f>IF(ISERROR(VLOOKUP($A1789,'13. Updated Demand'!A:Z,26,FALSE)),0,VLOOKUP($A1789,'13. Updated Demand'!A:Z,26,FALSE))</f>
        <v>0</v>
      </c>
      <c r="AJ1789" s="16">
        <f t="shared" si="337"/>
        <v>14.39</v>
      </c>
      <c r="AK1789" s="19">
        <v>14.393333333333329</v>
      </c>
      <c r="AL1789" s="16">
        <f t="shared" si="335"/>
        <v>4.7741047111926685E-2</v>
      </c>
      <c r="AM1789" s="26">
        <v>0.47818383167220357</v>
      </c>
      <c r="AN1789" s="19">
        <v>30.1</v>
      </c>
      <c r="AO1789" s="19" t="s">
        <v>1758</v>
      </c>
      <c r="AP1789" s="19">
        <v>0</v>
      </c>
      <c r="AQ1789" s="19" t="s">
        <v>307</v>
      </c>
      <c r="AR1789" s="9" t="s">
        <v>319</v>
      </c>
      <c r="AS1789" s="12">
        <v>0</v>
      </c>
      <c r="AT1789" s="19">
        <v>39.012989169999997</v>
      </c>
      <c r="AU1789" s="19">
        <v>-123.11961415</v>
      </c>
      <c r="AV1789" s="19" t="s">
        <v>548</v>
      </c>
    </row>
    <row r="1790" spans="1:48" x14ac:dyDescent="0.25">
      <c r="A1790" s="18" t="s">
        <v>2194</v>
      </c>
      <c r="B1790" s="10">
        <v>10000000</v>
      </c>
      <c r="C1790" s="9">
        <v>10</v>
      </c>
      <c r="D1790" s="8" t="str">
        <f t="shared" si="326"/>
        <v>N</v>
      </c>
      <c r="E1790" s="8" t="str">
        <f t="shared" si="327"/>
        <v>Y</v>
      </c>
      <c r="F1790" s="8" t="str">
        <f t="shared" si="328"/>
        <v>Y</v>
      </c>
      <c r="G1790" s="8" t="str">
        <f t="shared" si="329"/>
        <v>Y</v>
      </c>
      <c r="H1790" s="8" t="str">
        <f t="shared" si="330"/>
        <v>Upper</v>
      </c>
      <c r="I1790" s="8" t="str">
        <f t="shared" si="331"/>
        <v>West Fork and Below Lake</v>
      </c>
      <c r="J1790" s="8" t="str">
        <f t="shared" si="332"/>
        <v>Sonoma (d/s of Clov. Gage)</v>
      </c>
      <c r="K1790" s="8" t="str">
        <f t="shared" si="333"/>
        <v>Riparian</v>
      </c>
      <c r="L1790" s="8">
        <f t="shared" si="334"/>
        <v>1000</v>
      </c>
      <c r="M1790" s="8" t="str">
        <f t="shared" si="336"/>
        <v>-</v>
      </c>
      <c r="N1790" s="10" t="s">
        <v>241</v>
      </c>
      <c r="O1790" s="10" t="s">
        <v>241</v>
      </c>
      <c r="P1790" s="10" t="s">
        <v>242</v>
      </c>
      <c r="Q1790" s="10" t="s">
        <v>242</v>
      </c>
      <c r="R1790" s="10" t="s">
        <v>242</v>
      </c>
      <c r="S1790" s="10" t="s">
        <v>241</v>
      </c>
      <c r="T1790" s="10" t="s">
        <v>242</v>
      </c>
      <c r="U1790" s="10" t="s">
        <v>242</v>
      </c>
      <c r="V1790" s="10" t="s">
        <v>242</v>
      </c>
      <c r="W1790" s="10" t="s">
        <v>242</v>
      </c>
      <c r="X1790" s="15">
        <f>IF(ISERROR(VLOOKUP($A1790,'13. Updated Demand'!A:Z,15,FALSE)),0,VLOOKUP($A1790,'13. Updated Demand'!A:Z,15,FALSE))</f>
        <v>0</v>
      </c>
      <c r="Y1790" s="16">
        <f>IF(ISERROR(VLOOKUP($A1790,'13. Updated Demand'!A:Z,16,FALSE)),0,VLOOKUP($A1790,'13. Updated Demand'!A:Z,16,FALSE))</f>
        <v>0.48</v>
      </c>
      <c r="Z1790" s="16">
        <f>IF(ISERROR(VLOOKUP($A1790,'13. Updated Demand'!A:Z,17,FALSE)),0,VLOOKUP($A1790,'13. Updated Demand'!A:Z,17,FALSE))</f>
        <v>1.3</v>
      </c>
      <c r="AA1790" s="16">
        <f>IF(ISERROR(VLOOKUP($A1790,'13. Updated Demand'!A:Z,18,FALSE)),0,VLOOKUP($A1790,'13. Updated Demand'!A:Z,18,FALSE))</f>
        <v>0</v>
      </c>
      <c r="AB1790" s="16">
        <f>IF(ISERROR(VLOOKUP($A1790,'13. Updated Demand'!A:Z,19,FALSE)),0,VLOOKUP($A1790,'13. Updated Demand'!A:Z,19,FALSE))</f>
        <v>0</v>
      </c>
      <c r="AC1790" s="16">
        <f>IF(ISERROR(VLOOKUP($A1790,'13. Updated Demand'!A:Z,20,FALSE)),0,VLOOKUP($A1790,'13. Updated Demand'!A:Z,20,FALSE))</f>
        <v>0</v>
      </c>
      <c r="AD1790" s="16">
        <f>IF(ISERROR(VLOOKUP($A1790,'13. Updated Demand'!A:Z,21,FALSE)),0,VLOOKUP($A1790,'13. Updated Demand'!A:Z,21,FALSE))</f>
        <v>0</v>
      </c>
      <c r="AE1790" s="16">
        <f>IF(ISERROR(VLOOKUP($A1790,'13. Updated Demand'!A:Z,22,FALSE)),0,VLOOKUP($A1790,'13. Updated Demand'!A:Z,22,FALSE))</f>
        <v>0</v>
      </c>
      <c r="AF1790" s="16">
        <f>IF(ISERROR(VLOOKUP($A1790,'13. Updated Demand'!A:Z,23,FALSE)),0,VLOOKUP($A1790,'13. Updated Demand'!A:Z,23,FALSE))</f>
        <v>8.24</v>
      </c>
      <c r="AG1790" s="16">
        <f>IF(ISERROR(VLOOKUP($A1790,'13. Updated Demand'!A:Z,24,FALSE)),0,VLOOKUP($A1790,'13. Updated Demand'!A:Z,24,FALSE))</f>
        <v>3.35</v>
      </c>
      <c r="AH1790" s="16">
        <f>IF(ISERROR(VLOOKUP($A1790,'13. Updated Demand'!A:Z,25,FALSE)),0,VLOOKUP($A1790,'13. Updated Demand'!A:Z,25,FALSE))</f>
        <v>0.57999999999999996</v>
      </c>
      <c r="AI1790" s="16">
        <f>IF(ISERROR(VLOOKUP($A1790,'13. Updated Demand'!A:Z,26,FALSE)),0,VLOOKUP($A1790,'13. Updated Demand'!A:Z,26,FALSE))</f>
        <v>0</v>
      </c>
      <c r="AJ1790" s="16">
        <f t="shared" si="337"/>
        <v>13.95</v>
      </c>
      <c r="AK1790" s="19">
        <v>8.24</v>
      </c>
      <c r="AL1790" s="16">
        <f t="shared" si="335"/>
        <v>2.7331141375794996E-2</v>
      </c>
      <c r="AM1790" s="26">
        <v>3.740178234771685E-3</v>
      </c>
      <c r="AN1790" s="19">
        <v>3730.66</v>
      </c>
      <c r="AO1790" s="19" t="s">
        <v>1758</v>
      </c>
      <c r="AP1790" s="19">
        <v>0</v>
      </c>
      <c r="AQ1790" s="19" t="s">
        <v>307</v>
      </c>
      <c r="AR1790" s="9" t="s">
        <v>436</v>
      </c>
      <c r="AS1790" s="12">
        <v>0</v>
      </c>
      <c r="AT1790" s="19">
        <v>38.67906687</v>
      </c>
      <c r="AU1790" s="19">
        <v>-122.84600521</v>
      </c>
      <c r="AV1790" s="19" t="s">
        <v>548</v>
      </c>
    </row>
    <row r="1791" spans="1:48" x14ac:dyDescent="0.25">
      <c r="A1791" s="18" t="s">
        <v>2195</v>
      </c>
      <c r="B1791" s="10">
        <v>10000000</v>
      </c>
      <c r="C1791" s="9">
        <v>17</v>
      </c>
      <c r="D1791" s="8" t="str">
        <f t="shared" si="326"/>
        <v>N</v>
      </c>
      <c r="E1791" s="8" t="str">
        <f t="shared" si="327"/>
        <v>N</v>
      </c>
      <c r="F1791" s="8" t="str">
        <f t="shared" si="328"/>
        <v>N</v>
      </c>
      <c r="G1791" s="8" t="str">
        <f t="shared" si="329"/>
        <v>N</v>
      </c>
      <c r="H1791" s="8" t="str">
        <f t="shared" si="330"/>
        <v>Lower</v>
      </c>
      <c r="I1791" s="8" t="str">
        <f t="shared" si="331"/>
        <v>Outside</v>
      </c>
      <c r="J1791" s="8" t="str">
        <f t="shared" si="332"/>
        <v>Outside</v>
      </c>
      <c r="K1791" s="8" t="str">
        <f t="shared" si="333"/>
        <v>Riparian</v>
      </c>
      <c r="L1791" s="8">
        <f t="shared" si="334"/>
        <v>1000</v>
      </c>
      <c r="M1791" s="8" t="str">
        <f t="shared" si="336"/>
        <v>-</v>
      </c>
      <c r="N1791" s="10" t="s">
        <v>242</v>
      </c>
      <c r="O1791" s="10" t="s">
        <v>242</v>
      </c>
      <c r="P1791" s="10" t="s">
        <v>242</v>
      </c>
      <c r="Q1791" s="10" t="s">
        <v>242</v>
      </c>
      <c r="R1791" s="10" t="s">
        <v>242</v>
      </c>
      <c r="S1791" s="10" t="s">
        <v>241</v>
      </c>
      <c r="T1791" s="10" t="s">
        <v>242</v>
      </c>
      <c r="U1791" s="10" t="s">
        <v>242</v>
      </c>
      <c r="V1791" s="10" t="s">
        <v>242</v>
      </c>
      <c r="W1791" s="10" t="s">
        <v>242</v>
      </c>
      <c r="X1791" s="15">
        <f>IF(ISERROR(VLOOKUP($A1791,'13. Updated Demand'!A:Z,15,FALSE)),0,VLOOKUP($A1791,'13. Updated Demand'!A:Z,15,FALSE))</f>
        <v>0</v>
      </c>
      <c r="Y1791" s="16">
        <f>IF(ISERROR(VLOOKUP($A1791,'13. Updated Demand'!A:Z,16,FALSE)),0,VLOOKUP($A1791,'13. Updated Demand'!A:Z,16,FALSE))</f>
        <v>0</v>
      </c>
      <c r="Z1791" s="16">
        <f>IF(ISERROR(VLOOKUP($A1791,'13. Updated Demand'!A:Z,17,FALSE)),0,VLOOKUP($A1791,'13. Updated Demand'!A:Z,17,FALSE))</f>
        <v>0</v>
      </c>
      <c r="AA1791" s="16">
        <f>IF(ISERROR(VLOOKUP($A1791,'13. Updated Demand'!A:Z,18,FALSE)),0,VLOOKUP($A1791,'13. Updated Demand'!A:Z,18,FALSE))</f>
        <v>0</v>
      </c>
      <c r="AB1791" s="16">
        <f>IF(ISERROR(VLOOKUP($A1791,'13. Updated Demand'!A:Z,19,FALSE)),0,VLOOKUP($A1791,'13. Updated Demand'!A:Z,19,FALSE))</f>
        <v>0.15666666700000001</v>
      </c>
      <c r="AC1791" s="16">
        <f>IF(ISERROR(VLOOKUP($A1791,'13. Updated Demand'!A:Z,20,FALSE)),0,VLOOKUP($A1791,'13. Updated Demand'!A:Z,20,FALSE))</f>
        <v>1.4</v>
      </c>
      <c r="AD1791" s="16">
        <f>IF(ISERROR(VLOOKUP($A1791,'13. Updated Demand'!A:Z,21,FALSE)),0,VLOOKUP($A1791,'13. Updated Demand'!A:Z,21,FALSE))</f>
        <v>1.8433333329999999</v>
      </c>
      <c r="AE1791" s="16">
        <f>IF(ISERROR(VLOOKUP($A1791,'13. Updated Demand'!A:Z,22,FALSE)),0,VLOOKUP($A1791,'13. Updated Demand'!A:Z,22,FALSE))</f>
        <v>1.34</v>
      </c>
      <c r="AF1791" s="16">
        <f>IF(ISERROR(VLOOKUP($A1791,'13. Updated Demand'!A:Z,23,FALSE)),0,VLOOKUP($A1791,'13. Updated Demand'!A:Z,23,FALSE))</f>
        <v>0.96666666700000003</v>
      </c>
      <c r="AG1791" s="16">
        <f>IF(ISERROR(VLOOKUP($A1791,'13. Updated Demand'!A:Z,24,FALSE)),0,VLOOKUP($A1791,'13. Updated Demand'!A:Z,24,FALSE))</f>
        <v>0.70666666700000003</v>
      </c>
      <c r="AH1791" s="16">
        <f>IF(ISERROR(VLOOKUP($A1791,'13. Updated Demand'!A:Z,25,FALSE)),0,VLOOKUP($A1791,'13. Updated Demand'!A:Z,25,FALSE))</f>
        <v>0.11333333299999999</v>
      </c>
      <c r="AI1791" s="16">
        <f>IF(ISERROR(VLOOKUP($A1791,'13. Updated Demand'!A:Z,26,FALSE)),0,VLOOKUP($A1791,'13. Updated Demand'!A:Z,26,FALSE))</f>
        <v>0</v>
      </c>
      <c r="AJ1791" s="16">
        <f t="shared" si="337"/>
        <v>6.5266666670000006</v>
      </c>
      <c r="AK1791" s="19">
        <v>5.7066666670000004</v>
      </c>
      <c r="AL1791" s="16">
        <f t="shared" si="335"/>
        <v>1.892836328401867E-2</v>
      </c>
      <c r="AM1791" s="26">
        <v>0</v>
      </c>
      <c r="AN1791" s="19">
        <v>0</v>
      </c>
      <c r="AO1791" s="19" t="s">
        <v>1758</v>
      </c>
      <c r="AP1791" s="19">
        <v>0</v>
      </c>
      <c r="AQ1791" s="19" t="s">
        <v>307</v>
      </c>
      <c r="AR1791" s="9" t="s">
        <v>394</v>
      </c>
      <c r="AS1791" s="12">
        <v>0</v>
      </c>
      <c r="AT1791" s="19">
        <v>38.584400000000002</v>
      </c>
      <c r="AU1791" s="19">
        <v>-122.87139999999999</v>
      </c>
      <c r="AV1791" s="19" t="s">
        <v>406</v>
      </c>
    </row>
    <row r="1792" spans="1:48" x14ac:dyDescent="0.25">
      <c r="A1792" s="18" t="s">
        <v>2196</v>
      </c>
      <c r="B1792" s="10">
        <v>10000000</v>
      </c>
      <c r="C1792" s="9">
        <v>10</v>
      </c>
      <c r="D1792" s="8" t="str">
        <f t="shared" si="326"/>
        <v>N</v>
      </c>
      <c r="E1792" s="8" t="str">
        <f t="shared" si="327"/>
        <v>Y</v>
      </c>
      <c r="F1792" s="8" t="str">
        <f t="shared" si="328"/>
        <v>Y</v>
      </c>
      <c r="G1792" s="8" t="str">
        <f t="shared" si="329"/>
        <v>Y</v>
      </c>
      <c r="H1792" s="8" t="str">
        <f t="shared" si="330"/>
        <v>Upper</v>
      </c>
      <c r="I1792" s="8" t="str">
        <f t="shared" si="331"/>
        <v>West Fork and Below Lake</v>
      </c>
      <c r="J1792" s="8" t="str">
        <f t="shared" si="332"/>
        <v>Sonoma (d/s of Clov. Gage)</v>
      </c>
      <c r="K1792" s="8" t="str">
        <f t="shared" si="333"/>
        <v>Riparian</v>
      </c>
      <c r="L1792" s="8">
        <f t="shared" si="334"/>
        <v>1000</v>
      </c>
      <c r="M1792" s="8" t="str">
        <f t="shared" si="336"/>
        <v>-</v>
      </c>
      <c r="N1792" s="10" t="s">
        <v>241</v>
      </c>
      <c r="O1792" s="10" t="s">
        <v>241</v>
      </c>
      <c r="P1792" s="10" t="s">
        <v>242</v>
      </c>
      <c r="Q1792" s="10" t="s">
        <v>242</v>
      </c>
      <c r="R1792" s="10" t="s">
        <v>242</v>
      </c>
      <c r="S1792" s="10" t="s">
        <v>241</v>
      </c>
      <c r="T1792" s="10" t="s">
        <v>242</v>
      </c>
      <c r="U1792" s="10" t="s">
        <v>242</v>
      </c>
      <c r="V1792" s="10" t="s">
        <v>242</v>
      </c>
      <c r="W1792" s="10" t="s">
        <v>242</v>
      </c>
      <c r="X1792" s="15">
        <f>IF(ISERROR(VLOOKUP($A1792,'13. Updated Demand'!A:Z,15,FALSE)),0,VLOOKUP($A1792,'13. Updated Demand'!A:Z,15,FALSE))</f>
        <v>0</v>
      </c>
      <c r="Y1792" s="16">
        <f>IF(ISERROR(VLOOKUP($A1792,'13. Updated Demand'!A:Z,16,FALSE)),0,VLOOKUP($A1792,'13. Updated Demand'!A:Z,16,FALSE))</f>
        <v>3.43</v>
      </c>
      <c r="Z1792" s="16">
        <f>IF(ISERROR(VLOOKUP($A1792,'13. Updated Demand'!A:Z,17,FALSE)),0,VLOOKUP($A1792,'13. Updated Demand'!A:Z,17,FALSE))</f>
        <v>5.83</v>
      </c>
      <c r="AA1792" s="16">
        <f>IF(ISERROR(VLOOKUP($A1792,'13. Updated Demand'!A:Z,18,FALSE)),0,VLOOKUP($A1792,'13. Updated Demand'!A:Z,18,FALSE))</f>
        <v>3.03</v>
      </c>
      <c r="AB1792" s="16">
        <f>IF(ISERROR(VLOOKUP($A1792,'13. Updated Demand'!A:Z,19,FALSE)),0,VLOOKUP($A1792,'13. Updated Demand'!A:Z,19,FALSE))</f>
        <v>0.03</v>
      </c>
      <c r="AC1792" s="16">
        <f>IF(ISERROR(VLOOKUP($A1792,'13. Updated Demand'!A:Z,20,FALSE)),0,VLOOKUP($A1792,'13. Updated Demand'!A:Z,20,FALSE))</f>
        <v>0.2</v>
      </c>
      <c r="AD1792" s="16">
        <f>IF(ISERROR(VLOOKUP($A1792,'13. Updated Demand'!A:Z,21,FALSE)),0,VLOOKUP($A1792,'13. Updated Demand'!A:Z,21,FALSE))</f>
        <v>0.4</v>
      </c>
      <c r="AE1792" s="16">
        <f>IF(ISERROR(VLOOKUP($A1792,'13. Updated Demand'!A:Z,22,FALSE)),0,VLOOKUP($A1792,'13. Updated Demand'!A:Z,22,FALSE))</f>
        <v>0.56000000000000005</v>
      </c>
      <c r="AF1792" s="16">
        <f>IF(ISERROR(VLOOKUP($A1792,'13. Updated Demand'!A:Z,23,FALSE)),0,VLOOKUP($A1792,'13. Updated Demand'!A:Z,23,FALSE))</f>
        <v>2.6</v>
      </c>
      <c r="AG1792" s="16">
        <f>IF(ISERROR(VLOOKUP($A1792,'13. Updated Demand'!A:Z,24,FALSE)),0,VLOOKUP($A1792,'13. Updated Demand'!A:Z,24,FALSE))</f>
        <v>1.43</v>
      </c>
      <c r="AH1792" s="16">
        <f>IF(ISERROR(VLOOKUP($A1792,'13. Updated Demand'!A:Z,25,FALSE)),0,VLOOKUP($A1792,'13. Updated Demand'!A:Z,25,FALSE))</f>
        <v>0</v>
      </c>
      <c r="AI1792" s="16">
        <f>IF(ISERROR(VLOOKUP($A1792,'13. Updated Demand'!A:Z,26,FALSE)),0,VLOOKUP($A1792,'13. Updated Demand'!A:Z,26,FALSE))</f>
        <v>0</v>
      </c>
      <c r="AJ1792" s="16">
        <f t="shared" si="337"/>
        <v>17.509999999999998</v>
      </c>
      <c r="AK1792" s="19">
        <v>3.8000000000000003</v>
      </c>
      <c r="AL1792" s="16">
        <f t="shared" si="335"/>
        <v>1.2604167139322935E-2</v>
      </c>
      <c r="AM1792" s="26">
        <v>0.19099491648511244</v>
      </c>
      <c r="AN1792" s="19">
        <v>91.8</v>
      </c>
      <c r="AO1792" s="19" t="s">
        <v>1758</v>
      </c>
      <c r="AP1792" s="19">
        <v>0</v>
      </c>
      <c r="AQ1792" s="19" t="s">
        <v>307</v>
      </c>
      <c r="AR1792" s="9" t="s">
        <v>436</v>
      </c>
      <c r="AS1792" s="12">
        <v>0</v>
      </c>
      <c r="AT1792" s="19">
        <v>38.677199999999999</v>
      </c>
      <c r="AU1792" s="19">
        <v>-122.8567</v>
      </c>
      <c r="AV1792" s="19" t="s">
        <v>548</v>
      </c>
    </row>
    <row r="1793" spans="1:48" x14ac:dyDescent="0.25">
      <c r="A1793" s="18" t="s">
        <v>2197</v>
      </c>
      <c r="B1793" s="10">
        <v>10000000</v>
      </c>
      <c r="C1793" s="9">
        <v>21</v>
      </c>
      <c r="D1793" s="8" t="str">
        <f t="shared" si="326"/>
        <v>N</v>
      </c>
      <c r="E1793" s="8" t="str">
        <f t="shared" si="327"/>
        <v>N</v>
      </c>
      <c r="F1793" s="8" t="str">
        <f t="shared" si="328"/>
        <v>N</v>
      </c>
      <c r="G1793" s="8" t="str">
        <f t="shared" si="329"/>
        <v>N</v>
      </c>
      <c r="H1793" s="8" t="str">
        <f t="shared" si="330"/>
        <v>Lower</v>
      </c>
      <c r="I1793" s="8" t="str">
        <f t="shared" si="331"/>
        <v>Outside</v>
      </c>
      <c r="J1793" s="8" t="str">
        <f t="shared" si="332"/>
        <v>Outside</v>
      </c>
      <c r="K1793" s="8" t="str">
        <f t="shared" si="333"/>
        <v>Riparian</v>
      </c>
      <c r="L1793" s="8">
        <f t="shared" si="334"/>
        <v>1000</v>
      </c>
      <c r="M1793" s="8" t="str">
        <f t="shared" si="336"/>
        <v>-</v>
      </c>
      <c r="N1793" s="10" t="s">
        <v>242</v>
      </c>
      <c r="O1793" s="10" t="s">
        <v>242</v>
      </c>
      <c r="P1793" s="10" t="s">
        <v>242</v>
      </c>
      <c r="Q1793" s="10" t="s">
        <v>242</v>
      </c>
      <c r="R1793" s="10" t="s">
        <v>242</v>
      </c>
      <c r="S1793" s="10" t="s">
        <v>241</v>
      </c>
      <c r="T1793" s="10" t="s">
        <v>242</v>
      </c>
      <c r="U1793" s="10" t="s">
        <v>241</v>
      </c>
      <c r="V1793" s="10" t="s">
        <v>241</v>
      </c>
      <c r="W1793" s="10" t="s">
        <v>242</v>
      </c>
      <c r="X1793" s="15">
        <f>IF(ISERROR(VLOOKUP($A1793,'13. Updated Demand'!A:Z,15,FALSE)),0,VLOOKUP($A1793,'13. Updated Demand'!A:Z,15,FALSE))</f>
        <v>0</v>
      </c>
      <c r="Y1793" s="16">
        <f>IF(ISERROR(VLOOKUP($A1793,'13. Updated Demand'!A:Z,16,FALSE)),0,VLOOKUP($A1793,'13. Updated Demand'!A:Z,16,FALSE))</f>
        <v>0</v>
      </c>
      <c r="Z1793" s="16">
        <f>IF(ISERROR(VLOOKUP($A1793,'13. Updated Demand'!A:Z,17,FALSE)),0,VLOOKUP($A1793,'13. Updated Demand'!A:Z,17,FALSE))</f>
        <v>0</v>
      </c>
      <c r="AA1793" s="16">
        <f>IF(ISERROR(VLOOKUP($A1793,'13. Updated Demand'!A:Z,18,FALSE)),0,VLOOKUP($A1793,'13. Updated Demand'!A:Z,18,FALSE))</f>
        <v>0</v>
      </c>
      <c r="AB1793" s="16">
        <f>IF(ISERROR(VLOOKUP($A1793,'13. Updated Demand'!A:Z,19,FALSE)),0,VLOOKUP($A1793,'13. Updated Demand'!A:Z,19,FALSE))</f>
        <v>0</v>
      </c>
      <c r="AC1793" s="16">
        <f>IF(ISERROR(VLOOKUP($A1793,'13. Updated Demand'!A:Z,20,FALSE)),0,VLOOKUP($A1793,'13. Updated Demand'!A:Z,20,FALSE))</f>
        <v>0</v>
      </c>
      <c r="AD1793" s="16">
        <f>IF(ISERROR(VLOOKUP($A1793,'13. Updated Demand'!A:Z,21,FALSE)),0,VLOOKUP($A1793,'13. Updated Demand'!A:Z,21,FALSE))</f>
        <v>0</v>
      </c>
      <c r="AE1793" s="16">
        <f>IF(ISERROR(VLOOKUP($A1793,'13. Updated Demand'!A:Z,22,FALSE)),0,VLOOKUP($A1793,'13. Updated Demand'!A:Z,22,FALSE))</f>
        <v>0</v>
      </c>
      <c r="AF1793" s="16">
        <f>IF(ISERROR(VLOOKUP($A1793,'13. Updated Demand'!A:Z,23,FALSE)),0,VLOOKUP($A1793,'13. Updated Demand'!A:Z,23,FALSE))</f>
        <v>0</v>
      </c>
      <c r="AG1793" s="16">
        <f>IF(ISERROR(VLOOKUP($A1793,'13. Updated Demand'!A:Z,24,FALSE)),0,VLOOKUP($A1793,'13. Updated Demand'!A:Z,24,FALSE))</f>
        <v>0</v>
      </c>
      <c r="AH1793" s="16">
        <f>IF(ISERROR(VLOOKUP($A1793,'13. Updated Demand'!A:Z,25,FALSE)),0,VLOOKUP($A1793,'13. Updated Demand'!A:Z,25,FALSE))</f>
        <v>0</v>
      </c>
      <c r="AI1793" s="16">
        <f>IF(ISERROR(VLOOKUP($A1793,'13. Updated Demand'!A:Z,26,FALSE)),0,VLOOKUP($A1793,'13. Updated Demand'!A:Z,26,FALSE))</f>
        <v>0</v>
      </c>
      <c r="AJ1793" s="16">
        <f t="shared" si="337"/>
        <v>0</v>
      </c>
      <c r="AK1793" s="19">
        <v>0</v>
      </c>
      <c r="AL1793" s="16">
        <f t="shared" si="335"/>
        <v>0</v>
      </c>
      <c r="AM1793" s="26">
        <v>0</v>
      </c>
      <c r="AN1793" s="19">
        <v>0</v>
      </c>
      <c r="AO1793" s="19" t="s">
        <v>1758</v>
      </c>
      <c r="AP1793" s="19">
        <v>0</v>
      </c>
      <c r="AQ1793" s="19" t="s">
        <v>307</v>
      </c>
      <c r="AR1793" s="9" t="s">
        <v>403</v>
      </c>
      <c r="AS1793" s="12">
        <v>3.4039024194010059E-4</v>
      </c>
      <c r="AT1793" s="19">
        <v>38.551200000000001</v>
      </c>
      <c r="AU1793" s="19">
        <v>-123.01900000000001</v>
      </c>
      <c r="AV1793" s="19" t="s">
        <v>385</v>
      </c>
    </row>
    <row r="1794" spans="1:48" x14ac:dyDescent="0.25">
      <c r="A1794" s="18" t="s">
        <v>2198</v>
      </c>
      <c r="B1794" s="10">
        <v>10000000</v>
      </c>
      <c r="C1794" s="9">
        <v>9</v>
      </c>
      <c r="D1794" s="8" t="str">
        <f t="shared" ref="D1794:D1857" si="338">IF(OR(C1794=4,C1794=5,C1794=6),"Y","N")</f>
        <v>N</v>
      </c>
      <c r="E1794" s="8" t="str">
        <f t="shared" ref="E1794:E1857" si="339">IF(AND(C1794&gt;6,C1794&lt;14),"Y","N")</f>
        <v>Y</v>
      </c>
      <c r="F1794" s="8" t="str">
        <f t="shared" ref="F1794:F1857" si="340">IF(C1794&lt;14,"Y","N")</f>
        <v>Y</v>
      </c>
      <c r="G1794" s="8" t="str">
        <f t="shared" ref="G1794:G1857" si="341">IF(OR(C1794=1,AND(C1794&gt;3,C1794&lt;14)),"Y","N")</f>
        <v>Y</v>
      </c>
      <c r="H1794" s="8" t="str">
        <f t="shared" ref="H1794:H1857" si="342">IF(C1794&lt;14,"Upper","Lower")</f>
        <v>Upper</v>
      </c>
      <c r="I1794" s="8" t="str">
        <f t="shared" ref="I1794:I1857" si="343">IF(G1794="Y","West Fork and Below Lake","Outside")</f>
        <v>West Fork and Below Lake</v>
      </c>
      <c r="J1794" s="8" t="str">
        <f t="shared" ref="J1794:J1857" si="344">IF(D1794="Y", "Mendocino (d/s of lake)", IF(E1794="Y", "Sonoma (d/s of Clov. Gage)","Outside"))</f>
        <v>Sonoma (d/s of Clov. Gage)</v>
      </c>
      <c r="K1794" s="8" t="str">
        <f t="shared" ref="K1794:K1857" si="345">IF(P1794="Y","pre-1914",IF(Q1794="Y","Pre-1949",IF(R1794="Y","Post-1949",IF(S1794="Y","Riparian","Unknown"))))</f>
        <v>Riparian</v>
      </c>
      <c r="L1794" s="8">
        <f t="shared" ref="L1794:L1857" si="346">_xlfn.NUMBERVALUE(LEFT(B1794,4))</f>
        <v>1000</v>
      </c>
      <c r="M1794" s="8" t="str">
        <f t="shared" si="336"/>
        <v>-</v>
      </c>
      <c r="N1794" s="10" t="s">
        <v>242</v>
      </c>
      <c r="O1794" s="10" t="s">
        <v>241</v>
      </c>
      <c r="P1794" s="10" t="s">
        <v>242</v>
      </c>
      <c r="Q1794" s="10" t="s">
        <v>242</v>
      </c>
      <c r="R1794" s="10" t="s">
        <v>242</v>
      </c>
      <c r="S1794" s="10" t="s">
        <v>241</v>
      </c>
      <c r="T1794" s="10" t="s">
        <v>242</v>
      </c>
      <c r="U1794" s="10" t="s">
        <v>241</v>
      </c>
      <c r="V1794" s="10" t="s">
        <v>241</v>
      </c>
      <c r="W1794" s="10" t="s">
        <v>242</v>
      </c>
      <c r="X1794" s="15">
        <f>IF(ISERROR(VLOOKUP($A1794,'13. Updated Demand'!A:Z,15,FALSE)),0,VLOOKUP($A1794,'13. Updated Demand'!A:Z,15,FALSE))</f>
        <v>0</v>
      </c>
      <c r="Y1794" s="16">
        <f>IF(ISERROR(VLOOKUP($A1794,'13. Updated Demand'!A:Z,16,FALSE)),0,VLOOKUP($A1794,'13. Updated Demand'!A:Z,16,FALSE))</f>
        <v>0</v>
      </c>
      <c r="Z1794" s="16">
        <f>IF(ISERROR(VLOOKUP($A1794,'13. Updated Demand'!A:Z,17,FALSE)),0,VLOOKUP($A1794,'13. Updated Demand'!A:Z,17,FALSE))</f>
        <v>0</v>
      </c>
      <c r="AA1794" s="16">
        <f>IF(ISERROR(VLOOKUP($A1794,'13. Updated Demand'!A:Z,18,FALSE)),0,VLOOKUP($A1794,'13. Updated Demand'!A:Z,18,FALSE))</f>
        <v>0</v>
      </c>
      <c r="AB1794" s="16">
        <f>IF(ISERROR(VLOOKUP($A1794,'13. Updated Demand'!A:Z,19,FALSE)),0,VLOOKUP($A1794,'13. Updated Demand'!A:Z,19,FALSE))</f>
        <v>0</v>
      </c>
      <c r="AC1794" s="16">
        <f>IF(ISERROR(VLOOKUP($A1794,'13. Updated Demand'!A:Z,20,FALSE)),0,VLOOKUP($A1794,'13. Updated Demand'!A:Z,20,FALSE))</f>
        <v>0</v>
      </c>
      <c r="AD1794" s="16">
        <f>IF(ISERROR(VLOOKUP($A1794,'13. Updated Demand'!A:Z,21,FALSE)),0,VLOOKUP($A1794,'13. Updated Demand'!A:Z,21,FALSE))</f>
        <v>0</v>
      </c>
      <c r="AE1794" s="16">
        <f>IF(ISERROR(VLOOKUP($A1794,'13. Updated Demand'!A:Z,22,FALSE)),0,VLOOKUP($A1794,'13. Updated Demand'!A:Z,22,FALSE))</f>
        <v>0</v>
      </c>
      <c r="AF1794" s="16">
        <f>IF(ISERROR(VLOOKUP($A1794,'13. Updated Demand'!A:Z,23,FALSE)),0,VLOOKUP($A1794,'13. Updated Demand'!A:Z,23,FALSE))</f>
        <v>0</v>
      </c>
      <c r="AG1794" s="16">
        <f>IF(ISERROR(VLOOKUP($A1794,'13. Updated Demand'!A:Z,24,FALSE)),0,VLOOKUP($A1794,'13. Updated Demand'!A:Z,24,FALSE))</f>
        <v>0</v>
      </c>
      <c r="AH1794" s="16">
        <f>IF(ISERROR(VLOOKUP($A1794,'13. Updated Demand'!A:Z,25,FALSE)),0,VLOOKUP($A1794,'13. Updated Demand'!A:Z,25,FALSE))</f>
        <v>0</v>
      </c>
      <c r="AI1794" s="16">
        <f>IF(ISERROR(VLOOKUP($A1794,'13. Updated Demand'!A:Z,26,FALSE)),0,VLOOKUP($A1794,'13. Updated Demand'!A:Z,26,FALSE))</f>
        <v>0</v>
      </c>
      <c r="AJ1794" s="16">
        <f t="shared" si="337"/>
        <v>0</v>
      </c>
      <c r="AK1794" s="19">
        <v>0</v>
      </c>
      <c r="AL1794" s="16">
        <f t="shared" ref="AL1794:AL1857" si="347">AK1794/152/1.983471</f>
        <v>0</v>
      </c>
      <c r="AM1794" s="26">
        <v>0</v>
      </c>
      <c r="AN1794" s="19">
        <v>2.3E-2</v>
      </c>
      <c r="AO1794" s="19" t="s">
        <v>1758</v>
      </c>
      <c r="AP1794" s="19">
        <v>0</v>
      </c>
      <c r="AQ1794" s="19" t="s">
        <v>307</v>
      </c>
      <c r="AR1794" s="9" t="s">
        <v>354</v>
      </c>
      <c r="AS1794" s="12">
        <v>3.4039024194010059E-4</v>
      </c>
      <c r="AT1794" s="19">
        <v>38.765853929999999</v>
      </c>
      <c r="AU1794" s="19">
        <v>-122.99892841</v>
      </c>
      <c r="AV1794" s="19" t="s">
        <v>2199</v>
      </c>
    </row>
    <row r="1795" spans="1:48" x14ac:dyDescent="0.25">
      <c r="A1795" s="18" t="s">
        <v>2200</v>
      </c>
      <c r="B1795" s="10">
        <v>10000000</v>
      </c>
      <c r="C1795" s="9">
        <v>10</v>
      </c>
      <c r="D1795" s="8" t="str">
        <f t="shared" si="338"/>
        <v>N</v>
      </c>
      <c r="E1795" s="8" t="str">
        <f t="shared" si="339"/>
        <v>Y</v>
      </c>
      <c r="F1795" s="8" t="str">
        <f t="shared" si="340"/>
        <v>Y</v>
      </c>
      <c r="G1795" s="8" t="str">
        <f t="shared" si="341"/>
        <v>Y</v>
      </c>
      <c r="H1795" s="8" t="str">
        <f t="shared" si="342"/>
        <v>Upper</v>
      </c>
      <c r="I1795" s="8" t="str">
        <f t="shared" si="343"/>
        <v>West Fork and Below Lake</v>
      </c>
      <c r="J1795" s="8" t="str">
        <f t="shared" si="344"/>
        <v>Sonoma (d/s of Clov. Gage)</v>
      </c>
      <c r="K1795" s="8" t="str">
        <f t="shared" si="345"/>
        <v>Riparian</v>
      </c>
      <c r="L1795" s="8">
        <f t="shared" si="346"/>
        <v>1000</v>
      </c>
      <c r="M1795" s="8" t="str">
        <f t="shared" ref="M1795:M1858" si="348">IF(L1795=1949,"1949",IF(AND(L1795&gt;1949,L1795&lt;1953),"1950-1952",IF(AND(L1795&gt;1952,L1795&lt;1955),"1953-1954",IF(AND(L1795&gt;1954,L1795&lt;1957),"1955-1956",IF(AND(L1795&gt;1956,L1795&lt;1960),"1957-1959",IF(AND(L1795&gt;1959,L1795&lt;1971),"1960-1970",IF(AND(L1795&gt;1970,L1795&lt;1991),"1971-1990",IF(L1795&gt;1990,"1991-present","-"))))))))</f>
        <v>-</v>
      </c>
      <c r="N1795" s="10" t="s">
        <v>241</v>
      </c>
      <c r="O1795" s="10" t="s">
        <v>241</v>
      </c>
      <c r="P1795" s="10" t="s">
        <v>242</v>
      </c>
      <c r="Q1795" s="10" t="s">
        <v>242</v>
      </c>
      <c r="R1795" s="10" t="s">
        <v>242</v>
      </c>
      <c r="S1795" s="10" t="s">
        <v>241</v>
      </c>
      <c r="T1795" s="10" t="s">
        <v>242</v>
      </c>
      <c r="U1795" s="10" t="s">
        <v>242</v>
      </c>
      <c r="V1795" s="10" t="s">
        <v>242</v>
      </c>
      <c r="W1795" s="10" t="s">
        <v>242</v>
      </c>
      <c r="X1795" s="15">
        <f>IF(ISERROR(VLOOKUP($A1795,'13. Updated Demand'!A:Z,15,FALSE)),0,VLOOKUP($A1795,'13. Updated Demand'!A:Z,15,FALSE))</f>
        <v>0</v>
      </c>
      <c r="Y1795" s="16">
        <f>IF(ISERROR(VLOOKUP($A1795,'13. Updated Demand'!A:Z,16,FALSE)),0,VLOOKUP($A1795,'13. Updated Demand'!A:Z,16,FALSE))</f>
        <v>0.5</v>
      </c>
      <c r="Z1795" s="16">
        <f>IF(ISERROR(VLOOKUP($A1795,'13. Updated Demand'!A:Z,17,FALSE)),0,VLOOKUP($A1795,'13. Updated Demand'!A:Z,17,FALSE))</f>
        <v>2.56</v>
      </c>
      <c r="AA1795" s="16">
        <f>IF(ISERROR(VLOOKUP($A1795,'13. Updated Demand'!A:Z,18,FALSE)),0,VLOOKUP($A1795,'13. Updated Demand'!A:Z,18,FALSE))</f>
        <v>0</v>
      </c>
      <c r="AB1795" s="16">
        <f>IF(ISERROR(VLOOKUP($A1795,'13. Updated Demand'!A:Z,19,FALSE)),0,VLOOKUP($A1795,'13. Updated Demand'!A:Z,19,FALSE))</f>
        <v>0</v>
      </c>
      <c r="AC1795" s="16">
        <f>IF(ISERROR(VLOOKUP($A1795,'13. Updated Demand'!A:Z,20,FALSE)),0,VLOOKUP($A1795,'13. Updated Demand'!A:Z,20,FALSE))</f>
        <v>0</v>
      </c>
      <c r="AD1795" s="16">
        <f>IF(ISERROR(VLOOKUP($A1795,'13. Updated Demand'!A:Z,21,FALSE)),0,VLOOKUP($A1795,'13. Updated Demand'!A:Z,21,FALSE))</f>
        <v>0</v>
      </c>
      <c r="AE1795" s="16">
        <f>IF(ISERROR(VLOOKUP($A1795,'13. Updated Demand'!A:Z,22,FALSE)),0,VLOOKUP($A1795,'13. Updated Demand'!A:Z,22,FALSE))</f>
        <v>3.96</v>
      </c>
      <c r="AF1795" s="16">
        <f>IF(ISERROR(VLOOKUP($A1795,'13. Updated Demand'!A:Z,23,FALSE)),0,VLOOKUP($A1795,'13. Updated Demand'!A:Z,23,FALSE))</f>
        <v>1.23</v>
      </c>
      <c r="AG1795" s="16">
        <f>IF(ISERROR(VLOOKUP($A1795,'13. Updated Demand'!A:Z,24,FALSE)),0,VLOOKUP($A1795,'13. Updated Demand'!A:Z,24,FALSE))</f>
        <v>0.56000000000000005</v>
      </c>
      <c r="AH1795" s="16">
        <f>IF(ISERROR(VLOOKUP($A1795,'13. Updated Demand'!A:Z,25,FALSE)),0,VLOOKUP($A1795,'13. Updated Demand'!A:Z,25,FALSE))</f>
        <v>1.2</v>
      </c>
      <c r="AI1795" s="16">
        <f>IF(ISERROR(VLOOKUP($A1795,'13. Updated Demand'!A:Z,26,FALSE)),0,VLOOKUP($A1795,'13. Updated Demand'!A:Z,26,FALSE))</f>
        <v>0</v>
      </c>
      <c r="AJ1795" s="16">
        <f t="shared" si="337"/>
        <v>10.01</v>
      </c>
      <c r="AK1795" s="19">
        <v>5.2</v>
      </c>
      <c r="AL1795" s="16">
        <f t="shared" si="347"/>
        <v>1.7247807664336649E-2</v>
      </c>
      <c r="AM1795" s="26">
        <v>0.92473118279569932</v>
      </c>
      <c r="AN1795" s="19">
        <v>10.85</v>
      </c>
      <c r="AO1795" s="19" t="s">
        <v>1758</v>
      </c>
      <c r="AP1795" s="19">
        <v>0</v>
      </c>
      <c r="AQ1795" s="19" t="s">
        <v>307</v>
      </c>
      <c r="AR1795" s="9" t="s">
        <v>436</v>
      </c>
      <c r="AS1795" s="12">
        <v>0</v>
      </c>
      <c r="AT1795" s="19">
        <v>38.667000000000002</v>
      </c>
      <c r="AU1795" s="19">
        <v>-122.8266</v>
      </c>
      <c r="AV1795" s="19" t="s">
        <v>548</v>
      </c>
    </row>
    <row r="1796" spans="1:48" x14ac:dyDescent="0.25">
      <c r="A1796" s="18" t="s">
        <v>2201</v>
      </c>
      <c r="B1796" s="10">
        <v>10000000</v>
      </c>
      <c r="C1796" s="9">
        <v>13</v>
      </c>
      <c r="D1796" s="8" t="str">
        <f t="shared" si="338"/>
        <v>N</v>
      </c>
      <c r="E1796" s="8" t="str">
        <f t="shared" si="339"/>
        <v>Y</v>
      </c>
      <c r="F1796" s="8" t="str">
        <f t="shared" si="340"/>
        <v>Y</v>
      </c>
      <c r="G1796" s="8" t="str">
        <f t="shared" si="341"/>
        <v>Y</v>
      </c>
      <c r="H1796" s="8" t="str">
        <f t="shared" si="342"/>
        <v>Upper</v>
      </c>
      <c r="I1796" s="8" t="str">
        <f t="shared" si="343"/>
        <v>West Fork and Below Lake</v>
      </c>
      <c r="J1796" s="8" t="str">
        <f t="shared" si="344"/>
        <v>Sonoma (d/s of Clov. Gage)</v>
      </c>
      <c r="K1796" s="8" t="str">
        <f t="shared" si="345"/>
        <v>Riparian</v>
      </c>
      <c r="L1796" s="8">
        <f t="shared" si="346"/>
        <v>1000</v>
      </c>
      <c r="M1796" s="8" t="str">
        <f t="shared" si="348"/>
        <v>-</v>
      </c>
      <c r="N1796" s="10" t="s">
        <v>241</v>
      </c>
      <c r="O1796" s="10" t="s">
        <v>241</v>
      </c>
      <c r="P1796" s="10" t="s">
        <v>242</v>
      </c>
      <c r="Q1796" s="10" t="s">
        <v>242</v>
      </c>
      <c r="R1796" s="10" t="s">
        <v>242</v>
      </c>
      <c r="S1796" s="10" t="s">
        <v>241</v>
      </c>
      <c r="T1796" s="10" t="s">
        <v>242</v>
      </c>
      <c r="U1796" s="10" t="s">
        <v>242</v>
      </c>
      <c r="V1796" s="10" t="s">
        <v>242</v>
      </c>
      <c r="W1796" s="10" t="s">
        <v>242</v>
      </c>
      <c r="X1796" s="15">
        <f>IF(ISERROR(VLOOKUP($A1796,'13. Updated Demand'!A:Z,15,FALSE)),0,VLOOKUP($A1796,'13. Updated Demand'!A:Z,15,FALSE))</f>
        <v>0.01</v>
      </c>
      <c r="Y1796" s="16">
        <f>IF(ISERROR(VLOOKUP($A1796,'13. Updated Demand'!A:Z,16,FALSE)),0,VLOOKUP($A1796,'13. Updated Demand'!A:Z,16,FALSE))</f>
        <v>0.01</v>
      </c>
      <c r="Z1796" s="16">
        <f>IF(ISERROR(VLOOKUP($A1796,'13. Updated Demand'!A:Z,17,FALSE)),0,VLOOKUP($A1796,'13. Updated Demand'!A:Z,17,FALSE))</f>
        <v>0.01</v>
      </c>
      <c r="AA1796" s="16">
        <f>IF(ISERROR(VLOOKUP($A1796,'13. Updated Demand'!A:Z,18,FALSE)),0,VLOOKUP($A1796,'13. Updated Demand'!A:Z,18,FALSE))</f>
        <v>0.01</v>
      </c>
      <c r="AB1796" s="16">
        <f>IF(ISERROR(VLOOKUP($A1796,'13. Updated Demand'!A:Z,19,FALSE)),0,VLOOKUP($A1796,'13. Updated Demand'!A:Z,19,FALSE))</f>
        <v>0.01</v>
      </c>
      <c r="AC1796" s="16">
        <f>IF(ISERROR(VLOOKUP($A1796,'13. Updated Demand'!A:Z,20,FALSE)),0,VLOOKUP($A1796,'13. Updated Demand'!A:Z,20,FALSE))</f>
        <v>0.01</v>
      </c>
      <c r="AD1796" s="16">
        <f>IF(ISERROR(VLOOKUP($A1796,'13. Updated Demand'!A:Z,21,FALSE)),0,VLOOKUP($A1796,'13. Updated Demand'!A:Z,21,FALSE))</f>
        <v>3.6825E-3</v>
      </c>
      <c r="AE1796" s="16">
        <f>IF(ISERROR(VLOOKUP($A1796,'13. Updated Demand'!A:Z,22,FALSE)),0,VLOOKUP($A1796,'13. Updated Demand'!A:Z,22,FALSE))</f>
        <v>9.5134999999999994E-3</v>
      </c>
      <c r="AF1796" s="16">
        <f>IF(ISERROR(VLOOKUP($A1796,'13. Updated Demand'!A:Z,23,FALSE)),0,VLOOKUP($A1796,'13. Updated Demand'!A:Z,23,FALSE))</f>
        <v>6.1380000000000002E-3</v>
      </c>
      <c r="AG1796" s="16">
        <f>IF(ISERROR(VLOOKUP($A1796,'13. Updated Demand'!A:Z,24,FALSE)),0,VLOOKUP($A1796,'13. Updated Demand'!A:Z,24,FALSE))</f>
        <v>5.8310000000000002E-3</v>
      </c>
      <c r="AH1796" s="16">
        <f>IF(ISERROR(VLOOKUP($A1796,'13. Updated Demand'!A:Z,25,FALSE)),0,VLOOKUP($A1796,'13. Updated Demand'!A:Z,25,FALSE))</f>
        <v>0.01</v>
      </c>
      <c r="AI1796" s="16">
        <f>IF(ISERROR(VLOOKUP($A1796,'13. Updated Demand'!A:Z,26,FALSE)),0,VLOOKUP($A1796,'13. Updated Demand'!A:Z,26,FALSE))</f>
        <v>0.01</v>
      </c>
      <c r="AJ1796" s="16">
        <f t="shared" si="337"/>
        <v>0.10516499999999999</v>
      </c>
      <c r="AK1796" s="19">
        <v>5.1556999999999999E-2</v>
      </c>
      <c r="AL1796" s="16">
        <f t="shared" si="347"/>
        <v>1.7100869610580855E-4</v>
      </c>
      <c r="AM1796" s="26">
        <v>1.365943000838223</v>
      </c>
      <c r="AN1796" s="19">
        <v>0.1193</v>
      </c>
      <c r="AO1796" s="19" t="s">
        <v>1758</v>
      </c>
      <c r="AP1796" s="19">
        <v>0</v>
      </c>
      <c r="AQ1796" s="19" t="s">
        <v>307</v>
      </c>
      <c r="AR1796" s="9" t="s">
        <v>507</v>
      </c>
      <c r="AS1796" s="12">
        <v>3.4039024194010059E-4</v>
      </c>
      <c r="AT1796" s="19">
        <v>38.614199999999997</v>
      </c>
      <c r="AU1796" s="19">
        <v>-122.8309</v>
      </c>
      <c r="AV1796" s="19" t="s">
        <v>387</v>
      </c>
    </row>
    <row r="1797" spans="1:48" x14ac:dyDescent="0.25">
      <c r="A1797" s="18" t="s">
        <v>2202</v>
      </c>
      <c r="B1797" s="10">
        <v>10000000</v>
      </c>
      <c r="C1797" s="9">
        <v>12</v>
      </c>
      <c r="D1797" s="8" t="str">
        <f t="shared" si="338"/>
        <v>N</v>
      </c>
      <c r="E1797" s="8" t="str">
        <f t="shared" si="339"/>
        <v>Y</v>
      </c>
      <c r="F1797" s="8" t="str">
        <f t="shared" si="340"/>
        <v>Y</v>
      </c>
      <c r="G1797" s="8" t="str">
        <f t="shared" si="341"/>
        <v>Y</v>
      </c>
      <c r="H1797" s="8" t="str">
        <f t="shared" si="342"/>
        <v>Upper</v>
      </c>
      <c r="I1797" s="8" t="str">
        <f t="shared" si="343"/>
        <v>West Fork and Below Lake</v>
      </c>
      <c r="J1797" s="8" t="str">
        <f t="shared" si="344"/>
        <v>Sonoma (d/s of Clov. Gage)</v>
      </c>
      <c r="K1797" s="8" t="str">
        <f t="shared" si="345"/>
        <v>Riparian</v>
      </c>
      <c r="L1797" s="8">
        <f t="shared" si="346"/>
        <v>1000</v>
      </c>
      <c r="M1797" s="8" t="str">
        <f t="shared" si="348"/>
        <v>-</v>
      </c>
      <c r="N1797" s="10" t="s">
        <v>242</v>
      </c>
      <c r="O1797" s="10" t="s">
        <v>241</v>
      </c>
      <c r="P1797" s="10" t="s">
        <v>242</v>
      </c>
      <c r="Q1797" s="10" t="s">
        <v>242</v>
      </c>
      <c r="R1797" s="10" t="s">
        <v>242</v>
      </c>
      <c r="S1797" s="10" t="s">
        <v>241</v>
      </c>
      <c r="T1797" s="10" t="s">
        <v>242</v>
      </c>
      <c r="U1797" s="10" t="s">
        <v>241</v>
      </c>
      <c r="V1797" s="10" t="s">
        <v>241</v>
      </c>
      <c r="W1797" s="10" t="s">
        <v>242</v>
      </c>
      <c r="X1797" s="15">
        <f>IF(ISERROR(VLOOKUP($A1797,'13. Updated Demand'!A:Z,15,FALSE)),0,VLOOKUP($A1797,'13. Updated Demand'!A:Z,15,FALSE))</f>
        <v>0</v>
      </c>
      <c r="Y1797" s="16">
        <f>IF(ISERROR(VLOOKUP($A1797,'13. Updated Demand'!A:Z,16,FALSE)),0,VLOOKUP($A1797,'13. Updated Demand'!A:Z,16,FALSE))</f>
        <v>0</v>
      </c>
      <c r="Z1797" s="16">
        <f>IF(ISERROR(VLOOKUP($A1797,'13. Updated Demand'!A:Z,17,FALSE)),0,VLOOKUP($A1797,'13. Updated Demand'!A:Z,17,FALSE))</f>
        <v>0</v>
      </c>
      <c r="AA1797" s="16">
        <f>IF(ISERROR(VLOOKUP($A1797,'13. Updated Demand'!A:Z,18,FALSE)),0,VLOOKUP($A1797,'13. Updated Demand'!A:Z,18,FALSE))</f>
        <v>0</v>
      </c>
      <c r="AB1797" s="16">
        <f>IF(ISERROR(VLOOKUP($A1797,'13. Updated Demand'!A:Z,19,FALSE)),0,VLOOKUP($A1797,'13. Updated Demand'!A:Z,19,FALSE))</f>
        <v>0</v>
      </c>
      <c r="AC1797" s="16">
        <f>IF(ISERROR(VLOOKUP($A1797,'13. Updated Demand'!A:Z,20,FALSE)),0,VLOOKUP($A1797,'13. Updated Demand'!A:Z,20,FALSE))</f>
        <v>0</v>
      </c>
      <c r="AD1797" s="16">
        <f>IF(ISERROR(VLOOKUP($A1797,'13. Updated Demand'!A:Z,21,FALSE)),0,VLOOKUP($A1797,'13. Updated Demand'!A:Z,21,FALSE))</f>
        <v>0</v>
      </c>
      <c r="AE1797" s="16">
        <f>IF(ISERROR(VLOOKUP($A1797,'13. Updated Demand'!A:Z,22,FALSE)),0,VLOOKUP($A1797,'13. Updated Demand'!A:Z,22,FALSE))</f>
        <v>0</v>
      </c>
      <c r="AF1797" s="16">
        <f>IF(ISERROR(VLOOKUP($A1797,'13. Updated Demand'!A:Z,23,FALSE)),0,VLOOKUP($A1797,'13. Updated Demand'!A:Z,23,FALSE))</f>
        <v>0</v>
      </c>
      <c r="AG1797" s="16">
        <f>IF(ISERROR(VLOOKUP($A1797,'13. Updated Demand'!A:Z,24,FALSE)),0,VLOOKUP($A1797,'13. Updated Demand'!A:Z,24,FALSE))</f>
        <v>0</v>
      </c>
      <c r="AH1797" s="16">
        <f>IF(ISERROR(VLOOKUP($A1797,'13. Updated Demand'!A:Z,25,FALSE)),0,VLOOKUP($A1797,'13. Updated Demand'!A:Z,25,FALSE))</f>
        <v>0</v>
      </c>
      <c r="AI1797" s="16">
        <f>IF(ISERROR(VLOOKUP($A1797,'13. Updated Demand'!A:Z,26,FALSE)),0,VLOOKUP($A1797,'13. Updated Demand'!A:Z,26,FALSE))</f>
        <v>0</v>
      </c>
      <c r="AJ1797" s="16">
        <f t="shared" si="337"/>
        <v>0</v>
      </c>
      <c r="AK1797" s="19">
        <v>0</v>
      </c>
      <c r="AL1797" s="16">
        <f t="shared" si="347"/>
        <v>0</v>
      </c>
      <c r="AM1797" s="26">
        <v>0</v>
      </c>
      <c r="AN1797" s="19">
        <v>39.956800000000001</v>
      </c>
      <c r="AO1797" s="19" t="s">
        <v>1758</v>
      </c>
      <c r="AP1797" s="19">
        <v>0</v>
      </c>
      <c r="AQ1797" s="19" t="s">
        <v>307</v>
      </c>
      <c r="AR1797" s="9" t="s">
        <v>311</v>
      </c>
      <c r="AS1797" s="12">
        <v>3.4039024194010059E-4</v>
      </c>
      <c r="AT1797" s="19">
        <v>38.617400000000004</v>
      </c>
      <c r="AU1797" s="19">
        <v>-122.7743</v>
      </c>
      <c r="AV1797" s="19" t="s">
        <v>609</v>
      </c>
    </row>
    <row r="1798" spans="1:48" x14ac:dyDescent="0.25">
      <c r="A1798" s="18" t="s">
        <v>2203</v>
      </c>
      <c r="B1798" s="10">
        <v>10000000</v>
      </c>
      <c r="C1798" s="9">
        <v>19</v>
      </c>
      <c r="D1798" s="8" t="str">
        <f t="shared" si="338"/>
        <v>N</v>
      </c>
      <c r="E1798" s="8" t="str">
        <f t="shared" si="339"/>
        <v>N</v>
      </c>
      <c r="F1798" s="8" t="str">
        <f t="shared" si="340"/>
        <v>N</v>
      </c>
      <c r="G1798" s="8" t="str">
        <f t="shared" si="341"/>
        <v>N</v>
      </c>
      <c r="H1798" s="8" t="str">
        <f t="shared" si="342"/>
        <v>Lower</v>
      </c>
      <c r="I1798" s="8" t="str">
        <f t="shared" si="343"/>
        <v>Outside</v>
      </c>
      <c r="J1798" s="8" t="str">
        <f t="shared" si="344"/>
        <v>Outside</v>
      </c>
      <c r="K1798" s="8" t="str">
        <f t="shared" si="345"/>
        <v>Riparian</v>
      </c>
      <c r="L1798" s="8">
        <f t="shared" si="346"/>
        <v>1000</v>
      </c>
      <c r="M1798" s="8" t="str">
        <f t="shared" si="348"/>
        <v>-</v>
      </c>
      <c r="N1798" s="10" t="s">
        <v>241</v>
      </c>
      <c r="O1798" s="10" t="s">
        <v>242</v>
      </c>
      <c r="P1798" s="10" t="s">
        <v>242</v>
      </c>
      <c r="Q1798" s="10" t="s">
        <v>242</v>
      </c>
      <c r="R1798" s="10" t="s">
        <v>242</v>
      </c>
      <c r="S1798" s="10" t="s">
        <v>241</v>
      </c>
      <c r="T1798" s="10" t="s">
        <v>242</v>
      </c>
      <c r="U1798" s="10" t="s">
        <v>242</v>
      </c>
      <c r="V1798" s="10" t="s">
        <v>242</v>
      </c>
      <c r="W1798" s="10" t="s">
        <v>242</v>
      </c>
      <c r="X1798" s="15">
        <f>IF(ISERROR(VLOOKUP($A1798,'13. Updated Demand'!A:Z,15,FALSE)),0,VLOOKUP($A1798,'13. Updated Demand'!A:Z,15,FALSE))</f>
        <v>0</v>
      </c>
      <c r="Y1798" s="16">
        <f>IF(ISERROR(VLOOKUP($A1798,'13. Updated Demand'!A:Z,16,FALSE)),0,VLOOKUP($A1798,'13. Updated Demand'!A:Z,16,FALSE))</f>
        <v>0</v>
      </c>
      <c r="Z1798" s="16">
        <f>IF(ISERROR(VLOOKUP($A1798,'13. Updated Demand'!A:Z,17,FALSE)),0,VLOOKUP($A1798,'13. Updated Demand'!A:Z,17,FALSE))</f>
        <v>0.41666666699999999</v>
      </c>
      <c r="AA1798" s="16">
        <f>IF(ISERROR(VLOOKUP($A1798,'13. Updated Demand'!A:Z,18,FALSE)),0,VLOOKUP($A1798,'13. Updated Demand'!A:Z,18,FALSE))</f>
        <v>0.66</v>
      </c>
      <c r="AB1798" s="16">
        <f>IF(ISERROR(VLOOKUP($A1798,'13. Updated Demand'!A:Z,19,FALSE)),0,VLOOKUP($A1798,'13. Updated Demand'!A:Z,19,FALSE))</f>
        <v>0.85</v>
      </c>
      <c r="AC1798" s="16">
        <f>IF(ISERROR(VLOOKUP($A1798,'13. Updated Demand'!A:Z,20,FALSE)),0,VLOOKUP($A1798,'13. Updated Demand'!A:Z,20,FALSE))</f>
        <v>0</v>
      </c>
      <c r="AD1798" s="16">
        <f>IF(ISERROR(VLOOKUP($A1798,'13. Updated Demand'!A:Z,21,FALSE)),0,VLOOKUP($A1798,'13. Updated Demand'!A:Z,21,FALSE))</f>
        <v>0</v>
      </c>
      <c r="AE1798" s="16">
        <f>IF(ISERROR(VLOOKUP($A1798,'13. Updated Demand'!A:Z,22,FALSE)),0,VLOOKUP($A1798,'13. Updated Demand'!A:Z,22,FALSE))</f>
        <v>0</v>
      </c>
      <c r="AF1798" s="16">
        <f>IF(ISERROR(VLOOKUP($A1798,'13. Updated Demand'!A:Z,23,FALSE)),0,VLOOKUP($A1798,'13. Updated Demand'!A:Z,23,FALSE))</f>
        <v>0</v>
      </c>
      <c r="AG1798" s="16">
        <f>IF(ISERROR(VLOOKUP($A1798,'13. Updated Demand'!A:Z,24,FALSE)),0,VLOOKUP($A1798,'13. Updated Demand'!A:Z,24,FALSE))</f>
        <v>0.22666666699999999</v>
      </c>
      <c r="AH1798" s="16">
        <f>IF(ISERROR(VLOOKUP($A1798,'13. Updated Demand'!A:Z,25,FALSE)),0,VLOOKUP($A1798,'13. Updated Demand'!A:Z,25,FALSE))</f>
        <v>0.33333333300000001</v>
      </c>
      <c r="AI1798" s="16">
        <f>IF(ISERROR(VLOOKUP($A1798,'13. Updated Demand'!A:Z,26,FALSE)),0,VLOOKUP($A1798,'13. Updated Demand'!A:Z,26,FALSE))</f>
        <v>0</v>
      </c>
      <c r="AJ1798" s="16">
        <f t="shared" si="337"/>
        <v>2.4866666670000002</v>
      </c>
      <c r="AK1798" s="19">
        <v>0.85</v>
      </c>
      <c r="AL1798" s="16">
        <f t="shared" si="347"/>
        <v>2.8193531759011826E-3</v>
      </c>
      <c r="AM1798" s="26">
        <v>6.5784832460317466E-2</v>
      </c>
      <c r="AN1798" s="19">
        <v>37.799999999999997</v>
      </c>
      <c r="AO1798" s="19" t="s">
        <v>1758</v>
      </c>
      <c r="AP1798" s="19">
        <v>0</v>
      </c>
      <c r="AQ1798" s="19" t="s">
        <v>307</v>
      </c>
      <c r="AR1798" s="9" t="s">
        <v>684</v>
      </c>
      <c r="AS1798" s="12">
        <v>0</v>
      </c>
      <c r="AT1798" s="19">
        <v>38.516949830000001</v>
      </c>
      <c r="AU1798" s="19">
        <v>-122.97971989</v>
      </c>
      <c r="AV1798" s="19" t="s">
        <v>548</v>
      </c>
    </row>
    <row r="1799" spans="1:48" x14ac:dyDescent="0.25">
      <c r="A1799" s="18" t="s">
        <v>2204</v>
      </c>
      <c r="B1799" s="10">
        <v>10000000</v>
      </c>
      <c r="C1799" s="9">
        <v>10</v>
      </c>
      <c r="D1799" s="8" t="str">
        <f t="shared" si="338"/>
        <v>N</v>
      </c>
      <c r="E1799" s="8" t="str">
        <f t="shared" si="339"/>
        <v>Y</v>
      </c>
      <c r="F1799" s="8" t="str">
        <f t="shared" si="340"/>
        <v>Y</v>
      </c>
      <c r="G1799" s="8" t="str">
        <f t="shared" si="341"/>
        <v>Y</v>
      </c>
      <c r="H1799" s="8" t="str">
        <f t="shared" si="342"/>
        <v>Upper</v>
      </c>
      <c r="I1799" s="8" t="str">
        <f t="shared" si="343"/>
        <v>West Fork and Below Lake</v>
      </c>
      <c r="J1799" s="8" t="str">
        <f t="shared" si="344"/>
        <v>Sonoma (d/s of Clov. Gage)</v>
      </c>
      <c r="K1799" s="8" t="str">
        <f t="shared" si="345"/>
        <v>Riparian</v>
      </c>
      <c r="L1799" s="8">
        <f t="shared" si="346"/>
        <v>1000</v>
      </c>
      <c r="M1799" s="8" t="str">
        <f t="shared" si="348"/>
        <v>-</v>
      </c>
      <c r="N1799" s="10" t="s">
        <v>241</v>
      </c>
      <c r="O1799" s="10" t="s">
        <v>241</v>
      </c>
      <c r="P1799" s="10" t="s">
        <v>242</v>
      </c>
      <c r="Q1799" s="10" t="s">
        <v>242</v>
      </c>
      <c r="R1799" s="10" t="s">
        <v>242</v>
      </c>
      <c r="S1799" s="10" t="s">
        <v>241</v>
      </c>
      <c r="T1799" s="10" t="s">
        <v>242</v>
      </c>
      <c r="U1799" s="10" t="s">
        <v>242</v>
      </c>
      <c r="V1799" s="10" t="s">
        <v>242</v>
      </c>
      <c r="W1799" s="10" t="s">
        <v>242</v>
      </c>
      <c r="X1799" s="15">
        <f>IF(ISERROR(VLOOKUP($A1799,'13. Updated Demand'!A:Z,15,FALSE)),0,VLOOKUP($A1799,'13. Updated Demand'!A:Z,15,FALSE))</f>
        <v>0</v>
      </c>
      <c r="Y1799" s="16">
        <f>IF(ISERROR(VLOOKUP($A1799,'13. Updated Demand'!A:Z,16,FALSE)),0,VLOOKUP($A1799,'13. Updated Demand'!A:Z,16,FALSE))</f>
        <v>0</v>
      </c>
      <c r="Z1799" s="16">
        <f>IF(ISERROR(VLOOKUP($A1799,'13. Updated Demand'!A:Z,17,FALSE)),0,VLOOKUP($A1799,'13. Updated Demand'!A:Z,17,FALSE))</f>
        <v>0.1</v>
      </c>
      <c r="AA1799" s="16">
        <f>IF(ISERROR(VLOOKUP($A1799,'13. Updated Demand'!A:Z,18,FALSE)),0,VLOOKUP($A1799,'13. Updated Demand'!A:Z,18,FALSE))</f>
        <v>0</v>
      </c>
      <c r="AB1799" s="16">
        <f>IF(ISERROR(VLOOKUP($A1799,'13. Updated Demand'!A:Z,19,FALSE)),0,VLOOKUP($A1799,'13. Updated Demand'!A:Z,19,FALSE))</f>
        <v>0.93</v>
      </c>
      <c r="AC1799" s="16">
        <f>IF(ISERROR(VLOOKUP($A1799,'13. Updated Demand'!A:Z,20,FALSE)),0,VLOOKUP($A1799,'13. Updated Demand'!A:Z,20,FALSE))</f>
        <v>1.96</v>
      </c>
      <c r="AD1799" s="16">
        <f>IF(ISERROR(VLOOKUP($A1799,'13. Updated Demand'!A:Z,21,FALSE)),0,VLOOKUP($A1799,'13. Updated Demand'!A:Z,21,FALSE))</f>
        <v>2.56</v>
      </c>
      <c r="AE1799" s="16">
        <f>IF(ISERROR(VLOOKUP($A1799,'13. Updated Demand'!A:Z,22,FALSE)),0,VLOOKUP($A1799,'13. Updated Demand'!A:Z,22,FALSE))</f>
        <v>4.9000000000000004</v>
      </c>
      <c r="AF1799" s="16">
        <f>IF(ISERROR(VLOOKUP($A1799,'13. Updated Demand'!A:Z,23,FALSE)),0,VLOOKUP($A1799,'13. Updated Demand'!A:Z,23,FALSE))</f>
        <v>5.93</v>
      </c>
      <c r="AG1799" s="16">
        <f>IF(ISERROR(VLOOKUP($A1799,'13. Updated Demand'!A:Z,24,FALSE)),0,VLOOKUP($A1799,'13. Updated Demand'!A:Z,24,FALSE))</f>
        <v>1.36</v>
      </c>
      <c r="AH1799" s="16">
        <f>IF(ISERROR(VLOOKUP($A1799,'13. Updated Demand'!A:Z,25,FALSE)),0,VLOOKUP($A1799,'13. Updated Demand'!A:Z,25,FALSE))</f>
        <v>0</v>
      </c>
      <c r="AI1799" s="16">
        <f>IF(ISERROR(VLOOKUP($A1799,'13. Updated Demand'!A:Z,26,FALSE)),0,VLOOKUP($A1799,'13. Updated Demand'!A:Z,26,FALSE))</f>
        <v>0</v>
      </c>
      <c r="AJ1799" s="16">
        <f t="shared" si="337"/>
        <v>17.740000000000002</v>
      </c>
      <c r="AK1799" s="19">
        <v>16.300000000000004</v>
      </c>
      <c r="AL1799" s="16">
        <f t="shared" si="347"/>
        <v>5.4065243255516815E-2</v>
      </c>
      <c r="AM1799" s="26">
        <v>51.082997891508548</v>
      </c>
      <c r="AN1799" s="19">
        <v>0.3478</v>
      </c>
      <c r="AO1799" s="19" t="s">
        <v>1758</v>
      </c>
      <c r="AP1799" s="19">
        <v>0</v>
      </c>
      <c r="AQ1799" s="19" t="s">
        <v>307</v>
      </c>
      <c r="AR1799" s="9" t="s">
        <v>436</v>
      </c>
      <c r="AS1799" s="12">
        <v>0</v>
      </c>
      <c r="AT1799" s="19">
        <v>38.671858980000003</v>
      </c>
      <c r="AU1799" s="19">
        <v>-122.85399335</v>
      </c>
      <c r="AV1799" s="19" t="s">
        <v>548</v>
      </c>
    </row>
    <row r="1800" spans="1:48" x14ac:dyDescent="0.25">
      <c r="A1800" s="18" t="s">
        <v>2205</v>
      </c>
      <c r="B1800" s="10">
        <v>10000000</v>
      </c>
      <c r="C1800" s="9">
        <v>10</v>
      </c>
      <c r="D1800" s="8" t="str">
        <f t="shared" si="338"/>
        <v>N</v>
      </c>
      <c r="E1800" s="8" t="str">
        <f t="shared" si="339"/>
        <v>Y</v>
      </c>
      <c r="F1800" s="8" t="str">
        <f t="shared" si="340"/>
        <v>Y</v>
      </c>
      <c r="G1800" s="8" t="str">
        <f t="shared" si="341"/>
        <v>Y</v>
      </c>
      <c r="H1800" s="8" t="str">
        <f t="shared" si="342"/>
        <v>Upper</v>
      </c>
      <c r="I1800" s="8" t="str">
        <f t="shared" si="343"/>
        <v>West Fork and Below Lake</v>
      </c>
      <c r="J1800" s="8" t="str">
        <f t="shared" si="344"/>
        <v>Sonoma (d/s of Clov. Gage)</v>
      </c>
      <c r="K1800" s="8" t="str">
        <f t="shared" si="345"/>
        <v>Riparian</v>
      </c>
      <c r="L1800" s="8">
        <f t="shared" si="346"/>
        <v>1000</v>
      </c>
      <c r="M1800" s="8" t="str">
        <f t="shared" si="348"/>
        <v>-</v>
      </c>
      <c r="N1800" s="10" t="s">
        <v>241</v>
      </c>
      <c r="O1800" s="10" t="s">
        <v>241</v>
      </c>
      <c r="P1800" s="10" t="s">
        <v>242</v>
      </c>
      <c r="Q1800" s="10" t="s">
        <v>242</v>
      </c>
      <c r="R1800" s="10" t="s">
        <v>242</v>
      </c>
      <c r="S1800" s="10" t="s">
        <v>241</v>
      </c>
      <c r="T1800" s="10" t="s">
        <v>242</v>
      </c>
      <c r="U1800" s="10" t="s">
        <v>242</v>
      </c>
      <c r="V1800" s="10" t="s">
        <v>242</v>
      </c>
      <c r="W1800" s="10" t="s">
        <v>242</v>
      </c>
      <c r="X1800" s="15">
        <f>IF(ISERROR(VLOOKUP($A1800,'13. Updated Demand'!A:Z,15,FALSE)),0,VLOOKUP($A1800,'13. Updated Demand'!A:Z,15,FALSE))</f>
        <v>0</v>
      </c>
      <c r="Y1800" s="16">
        <f>IF(ISERROR(VLOOKUP($A1800,'13. Updated Demand'!A:Z,16,FALSE)),0,VLOOKUP($A1800,'13. Updated Demand'!A:Z,16,FALSE))</f>
        <v>0</v>
      </c>
      <c r="Z1800" s="16">
        <f>IF(ISERROR(VLOOKUP($A1800,'13. Updated Demand'!A:Z,17,FALSE)),0,VLOOKUP($A1800,'13. Updated Demand'!A:Z,17,FALSE))</f>
        <v>0.1</v>
      </c>
      <c r="AA1800" s="16">
        <f>IF(ISERROR(VLOOKUP($A1800,'13. Updated Demand'!A:Z,18,FALSE)),0,VLOOKUP($A1800,'13. Updated Demand'!A:Z,18,FALSE))</f>
        <v>0</v>
      </c>
      <c r="AB1800" s="16">
        <f>IF(ISERROR(VLOOKUP($A1800,'13. Updated Demand'!A:Z,19,FALSE)),0,VLOOKUP($A1800,'13. Updated Demand'!A:Z,19,FALSE))</f>
        <v>0</v>
      </c>
      <c r="AC1800" s="16">
        <f>IF(ISERROR(VLOOKUP($A1800,'13. Updated Demand'!A:Z,20,FALSE)),0,VLOOKUP($A1800,'13. Updated Demand'!A:Z,20,FALSE))</f>
        <v>0</v>
      </c>
      <c r="AD1800" s="16">
        <f>IF(ISERROR(VLOOKUP($A1800,'13. Updated Demand'!A:Z,21,FALSE)),0,VLOOKUP($A1800,'13. Updated Demand'!A:Z,21,FALSE))</f>
        <v>0</v>
      </c>
      <c r="AE1800" s="16">
        <f>IF(ISERROR(VLOOKUP($A1800,'13. Updated Demand'!A:Z,22,FALSE)),0,VLOOKUP($A1800,'13. Updated Demand'!A:Z,22,FALSE))</f>
        <v>0</v>
      </c>
      <c r="AF1800" s="16">
        <f>IF(ISERROR(VLOOKUP($A1800,'13. Updated Demand'!A:Z,23,FALSE)),0,VLOOKUP($A1800,'13. Updated Demand'!A:Z,23,FALSE))</f>
        <v>0.56000000000000005</v>
      </c>
      <c r="AG1800" s="16">
        <f>IF(ISERROR(VLOOKUP($A1800,'13. Updated Demand'!A:Z,24,FALSE)),0,VLOOKUP($A1800,'13. Updated Demand'!A:Z,24,FALSE))</f>
        <v>0.43</v>
      </c>
      <c r="AH1800" s="16">
        <f>IF(ISERROR(VLOOKUP($A1800,'13. Updated Demand'!A:Z,25,FALSE)),0,VLOOKUP($A1800,'13. Updated Demand'!A:Z,25,FALSE))</f>
        <v>0</v>
      </c>
      <c r="AI1800" s="16">
        <f>IF(ISERROR(VLOOKUP($A1800,'13. Updated Demand'!A:Z,26,FALSE)),0,VLOOKUP($A1800,'13. Updated Demand'!A:Z,26,FALSE))</f>
        <v>0</v>
      </c>
      <c r="AJ1800" s="16">
        <f t="shared" si="337"/>
        <v>1.0900000000000001</v>
      </c>
      <c r="AK1800" s="19">
        <v>0.56666666666666698</v>
      </c>
      <c r="AL1800" s="16">
        <f t="shared" si="347"/>
        <v>1.8795687839341228E-3</v>
      </c>
      <c r="AM1800" s="26">
        <v>3.8935847881181953E-4</v>
      </c>
      <c r="AN1800" s="19">
        <v>2825.16</v>
      </c>
      <c r="AO1800" s="19" t="s">
        <v>1758</v>
      </c>
      <c r="AP1800" s="19">
        <v>0</v>
      </c>
      <c r="AQ1800" s="19" t="s">
        <v>307</v>
      </c>
      <c r="AR1800" s="9" t="s">
        <v>436</v>
      </c>
      <c r="AS1800" s="12">
        <v>0</v>
      </c>
      <c r="AT1800" s="19">
        <v>38.671190520000003</v>
      </c>
      <c r="AU1800" s="19">
        <v>-122.85153337</v>
      </c>
      <c r="AV1800" s="19" t="s">
        <v>548</v>
      </c>
    </row>
    <row r="1801" spans="1:48" x14ac:dyDescent="0.25">
      <c r="A1801" s="18" t="s">
        <v>2206</v>
      </c>
      <c r="B1801" s="10">
        <v>10000000</v>
      </c>
      <c r="C1801" s="9">
        <v>10</v>
      </c>
      <c r="D1801" s="8" t="str">
        <f t="shared" si="338"/>
        <v>N</v>
      </c>
      <c r="E1801" s="8" t="str">
        <f t="shared" si="339"/>
        <v>Y</v>
      </c>
      <c r="F1801" s="8" t="str">
        <f t="shared" si="340"/>
        <v>Y</v>
      </c>
      <c r="G1801" s="8" t="str">
        <f t="shared" si="341"/>
        <v>Y</v>
      </c>
      <c r="H1801" s="8" t="str">
        <f t="shared" si="342"/>
        <v>Upper</v>
      </c>
      <c r="I1801" s="8" t="str">
        <f t="shared" si="343"/>
        <v>West Fork and Below Lake</v>
      </c>
      <c r="J1801" s="8" t="str">
        <f t="shared" si="344"/>
        <v>Sonoma (d/s of Clov. Gage)</v>
      </c>
      <c r="K1801" s="8" t="str">
        <f t="shared" si="345"/>
        <v>Riparian</v>
      </c>
      <c r="L1801" s="8">
        <f t="shared" si="346"/>
        <v>1000</v>
      </c>
      <c r="M1801" s="8" t="str">
        <f t="shared" si="348"/>
        <v>-</v>
      </c>
      <c r="N1801" s="10" t="s">
        <v>241</v>
      </c>
      <c r="O1801" s="10" t="s">
        <v>241</v>
      </c>
      <c r="P1801" s="10" t="s">
        <v>242</v>
      </c>
      <c r="Q1801" s="10" t="s">
        <v>242</v>
      </c>
      <c r="R1801" s="10" t="s">
        <v>242</v>
      </c>
      <c r="S1801" s="10" t="s">
        <v>241</v>
      </c>
      <c r="T1801" s="10" t="s">
        <v>242</v>
      </c>
      <c r="U1801" s="10" t="s">
        <v>241</v>
      </c>
      <c r="V1801" s="10" t="s">
        <v>241</v>
      </c>
      <c r="W1801" s="10" t="s">
        <v>242</v>
      </c>
      <c r="X1801" s="15">
        <f>IF(ISERROR(VLOOKUP($A1801,'13. Updated Demand'!A:Z,15,FALSE)),0,VLOOKUP($A1801,'13. Updated Demand'!A:Z,15,FALSE))</f>
        <v>0</v>
      </c>
      <c r="Y1801" s="16">
        <f>IF(ISERROR(VLOOKUP($A1801,'13. Updated Demand'!A:Z,16,FALSE)),0,VLOOKUP($A1801,'13. Updated Demand'!A:Z,16,FALSE))</f>
        <v>0</v>
      </c>
      <c r="Z1801" s="16">
        <f>IF(ISERROR(VLOOKUP($A1801,'13. Updated Demand'!A:Z,17,FALSE)),0,VLOOKUP($A1801,'13. Updated Demand'!A:Z,17,FALSE))</f>
        <v>0</v>
      </c>
      <c r="AA1801" s="16">
        <f>IF(ISERROR(VLOOKUP($A1801,'13. Updated Demand'!A:Z,18,FALSE)),0,VLOOKUP($A1801,'13. Updated Demand'!A:Z,18,FALSE))</f>
        <v>0</v>
      </c>
      <c r="AB1801" s="16">
        <f>IF(ISERROR(VLOOKUP($A1801,'13. Updated Demand'!A:Z,19,FALSE)),0,VLOOKUP($A1801,'13. Updated Demand'!A:Z,19,FALSE))</f>
        <v>0</v>
      </c>
      <c r="AC1801" s="16">
        <f>IF(ISERROR(VLOOKUP($A1801,'13. Updated Demand'!A:Z,20,FALSE)),0,VLOOKUP($A1801,'13. Updated Demand'!A:Z,20,FALSE))</f>
        <v>0</v>
      </c>
      <c r="AD1801" s="16">
        <f>IF(ISERROR(VLOOKUP($A1801,'13. Updated Demand'!A:Z,21,FALSE)),0,VLOOKUP($A1801,'13. Updated Demand'!A:Z,21,FALSE))</f>
        <v>0</v>
      </c>
      <c r="AE1801" s="16">
        <f>IF(ISERROR(VLOOKUP($A1801,'13. Updated Demand'!A:Z,22,FALSE)),0,VLOOKUP($A1801,'13. Updated Demand'!A:Z,22,FALSE))</f>
        <v>0</v>
      </c>
      <c r="AF1801" s="16">
        <f>IF(ISERROR(VLOOKUP($A1801,'13. Updated Demand'!A:Z,23,FALSE)),0,VLOOKUP($A1801,'13. Updated Demand'!A:Z,23,FALSE))</f>
        <v>0</v>
      </c>
      <c r="AG1801" s="16">
        <f>IF(ISERROR(VLOOKUP($A1801,'13. Updated Demand'!A:Z,24,FALSE)),0,VLOOKUP($A1801,'13. Updated Demand'!A:Z,24,FALSE))</f>
        <v>0</v>
      </c>
      <c r="AH1801" s="16">
        <f>IF(ISERROR(VLOOKUP($A1801,'13. Updated Demand'!A:Z,25,FALSE)),0,VLOOKUP($A1801,'13. Updated Demand'!A:Z,25,FALSE))</f>
        <v>0</v>
      </c>
      <c r="AI1801" s="16">
        <f>IF(ISERROR(VLOOKUP($A1801,'13. Updated Demand'!A:Z,26,FALSE)),0,VLOOKUP($A1801,'13. Updated Demand'!A:Z,26,FALSE))</f>
        <v>0</v>
      </c>
      <c r="AJ1801" s="16">
        <f t="shared" si="337"/>
        <v>0</v>
      </c>
      <c r="AK1801" s="19">
        <v>0</v>
      </c>
      <c r="AL1801" s="16">
        <f t="shared" si="347"/>
        <v>0</v>
      </c>
      <c r="AM1801" s="26">
        <v>0</v>
      </c>
      <c r="AN1801" s="19">
        <v>3310.5079999999998</v>
      </c>
      <c r="AO1801" s="19" t="s">
        <v>1758</v>
      </c>
      <c r="AP1801" s="19">
        <v>0</v>
      </c>
      <c r="AQ1801" s="19" t="s">
        <v>307</v>
      </c>
      <c r="AR1801" s="9" t="s">
        <v>436</v>
      </c>
      <c r="AS1801" s="12">
        <v>0</v>
      </c>
      <c r="AT1801" s="19">
        <v>38.671401770000003</v>
      </c>
      <c r="AU1801" s="19">
        <v>-122.84137767</v>
      </c>
      <c r="AV1801" s="19" t="s">
        <v>548</v>
      </c>
    </row>
    <row r="1802" spans="1:48" x14ac:dyDescent="0.25">
      <c r="A1802" s="18" t="s">
        <v>2207</v>
      </c>
      <c r="B1802" s="10">
        <v>10000000</v>
      </c>
      <c r="C1802" s="9">
        <v>10</v>
      </c>
      <c r="D1802" s="8" t="str">
        <f t="shared" si="338"/>
        <v>N</v>
      </c>
      <c r="E1802" s="8" t="str">
        <f t="shared" si="339"/>
        <v>Y</v>
      </c>
      <c r="F1802" s="8" t="str">
        <f t="shared" si="340"/>
        <v>Y</v>
      </c>
      <c r="G1802" s="8" t="str">
        <f t="shared" si="341"/>
        <v>Y</v>
      </c>
      <c r="H1802" s="8" t="str">
        <f t="shared" si="342"/>
        <v>Upper</v>
      </c>
      <c r="I1802" s="8" t="str">
        <f t="shared" si="343"/>
        <v>West Fork and Below Lake</v>
      </c>
      <c r="J1802" s="8" t="str">
        <f t="shared" si="344"/>
        <v>Sonoma (d/s of Clov. Gage)</v>
      </c>
      <c r="K1802" s="8" t="str">
        <f t="shared" si="345"/>
        <v>Riparian</v>
      </c>
      <c r="L1802" s="8">
        <f t="shared" si="346"/>
        <v>1000</v>
      </c>
      <c r="M1802" s="8" t="str">
        <f t="shared" si="348"/>
        <v>-</v>
      </c>
      <c r="N1802" s="10" t="s">
        <v>242</v>
      </c>
      <c r="O1802" s="10" t="s">
        <v>241</v>
      </c>
      <c r="P1802" s="10" t="s">
        <v>242</v>
      </c>
      <c r="Q1802" s="10" t="s">
        <v>242</v>
      </c>
      <c r="R1802" s="10" t="s">
        <v>242</v>
      </c>
      <c r="S1802" s="10" t="s">
        <v>241</v>
      </c>
      <c r="T1802" s="10" t="s">
        <v>242</v>
      </c>
      <c r="U1802" s="10" t="s">
        <v>242</v>
      </c>
      <c r="V1802" s="10" t="s">
        <v>242</v>
      </c>
      <c r="W1802" s="10" t="s">
        <v>242</v>
      </c>
      <c r="X1802" s="15">
        <f>IF(ISERROR(VLOOKUP($A1802,'13. Updated Demand'!A:Z,15,FALSE)),0,VLOOKUP($A1802,'13. Updated Demand'!A:Z,15,FALSE))</f>
        <v>0</v>
      </c>
      <c r="Y1802" s="16">
        <f>IF(ISERROR(VLOOKUP($A1802,'13. Updated Demand'!A:Z,16,FALSE)),0,VLOOKUP($A1802,'13. Updated Demand'!A:Z,16,FALSE))</f>
        <v>0</v>
      </c>
      <c r="Z1802" s="16">
        <f>IF(ISERROR(VLOOKUP($A1802,'13. Updated Demand'!A:Z,17,FALSE)),0,VLOOKUP($A1802,'13. Updated Demand'!A:Z,17,FALSE))</f>
        <v>0.15</v>
      </c>
      <c r="AA1802" s="16">
        <f>IF(ISERROR(VLOOKUP($A1802,'13. Updated Demand'!A:Z,18,FALSE)),0,VLOOKUP($A1802,'13. Updated Demand'!A:Z,18,FALSE))</f>
        <v>0</v>
      </c>
      <c r="AB1802" s="16">
        <f>IF(ISERROR(VLOOKUP($A1802,'13. Updated Demand'!A:Z,19,FALSE)),0,VLOOKUP($A1802,'13. Updated Demand'!A:Z,19,FALSE))</f>
        <v>1.4</v>
      </c>
      <c r="AC1802" s="16">
        <f>IF(ISERROR(VLOOKUP($A1802,'13. Updated Demand'!A:Z,20,FALSE)),0,VLOOKUP($A1802,'13. Updated Demand'!A:Z,20,FALSE))</f>
        <v>2.95</v>
      </c>
      <c r="AD1802" s="16">
        <f>IF(ISERROR(VLOOKUP($A1802,'13. Updated Demand'!A:Z,21,FALSE)),0,VLOOKUP($A1802,'13. Updated Demand'!A:Z,21,FALSE))</f>
        <v>3.85</v>
      </c>
      <c r="AE1802" s="16">
        <f>IF(ISERROR(VLOOKUP($A1802,'13. Updated Demand'!A:Z,22,FALSE)),0,VLOOKUP($A1802,'13. Updated Demand'!A:Z,22,FALSE))</f>
        <v>7.35</v>
      </c>
      <c r="AF1802" s="16">
        <f>IF(ISERROR(VLOOKUP($A1802,'13. Updated Demand'!A:Z,23,FALSE)),0,VLOOKUP($A1802,'13. Updated Demand'!A:Z,23,FALSE))</f>
        <v>8.0500000000000007</v>
      </c>
      <c r="AG1802" s="16">
        <f>IF(ISERROR(VLOOKUP($A1802,'13. Updated Demand'!A:Z,24,FALSE)),0,VLOOKUP($A1802,'13. Updated Demand'!A:Z,24,FALSE))</f>
        <v>1.4</v>
      </c>
      <c r="AH1802" s="16">
        <f>IF(ISERROR(VLOOKUP($A1802,'13. Updated Demand'!A:Z,25,FALSE)),0,VLOOKUP($A1802,'13. Updated Demand'!A:Z,25,FALSE))</f>
        <v>0</v>
      </c>
      <c r="AI1802" s="16">
        <f>IF(ISERROR(VLOOKUP($A1802,'13. Updated Demand'!A:Z,26,FALSE)),0,VLOOKUP($A1802,'13. Updated Demand'!A:Z,26,FALSE))</f>
        <v>0</v>
      </c>
      <c r="AJ1802" s="16">
        <f t="shared" si="337"/>
        <v>25.15</v>
      </c>
      <c r="AK1802" s="19">
        <v>23.6</v>
      </c>
      <c r="AL1802" s="16">
        <f t="shared" si="347"/>
        <v>7.8278511707374016E-2</v>
      </c>
      <c r="AM1802" s="26">
        <v>1.1534348050213626E-2</v>
      </c>
      <c r="AN1802" s="19">
        <v>2180.444</v>
      </c>
      <c r="AO1802" s="19" t="s">
        <v>1758</v>
      </c>
      <c r="AP1802" s="19">
        <v>0</v>
      </c>
      <c r="AQ1802" s="19" t="s">
        <v>307</v>
      </c>
      <c r="AR1802" s="9" t="s">
        <v>436</v>
      </c>
      <c r="AS1802" s="12">
        <v>0</v>
      </c>
      <c r="AT1802" s="19">
        <v>38.671335200000001</v>
      </c>
      <c r="AU1802" s="19">
        <v>-122.81212832</v>
      </c>
      <c r="AV1802" s="19" t="s">
        <v>548</v>
      </c>
    </row>
    <row r="1803" spans="1:48" x14ac:dyDescent="0.25">
      <c r="A1803" s="18" t="s">
        <v>2208</v>
      </c>
      <c r="B1803" s="10">
        <v>10000000</v>
      </c>
      <c r="C1803" s="9">
        <v>23</v>
      </c>
      <c r="D1803" s="8" t="str">
        <f t="shared" si="338"/>
        <v>N</v>
      </c>
      <c r="E1803" s="8" t="str">
        <f t="shared" si="339"/>
        <v>N</v>
      </c>
      <c r="F1803" s="8" t="str">
        <f t="shared" si="340"/>
        <v>N</v>
      </c>
      <c r="G1803" s="8" t="str">
        <f t="shared" si="341"/>
        <v>N</v>
      </c>
      <c r="H1803" s="8" t="str">
        <f t="shared" si="342"/>
        <v>Lower</v>
      </c>
      <c r="I1803" s="8" t="str">
        <f t="shared" si="343"/>
        <v>Outside</v>
      </c>
      <c r="J1803" s="8" t="str">
        <f t="shared" si="344"/>
        <v>Outside</v>
      </c>
      <c r="K1803" s="8" t="str">
        <f t="shared" si="345"/>
        <v>Riparian</v>
      </c>
      <c r="L1803" s="8">
        <f t="shared" si="346"/>
        <v>1000</v>
      </c>
      <c r="M1803" s="8" t="str">
        <f t="shared" si="348"/>
        <v>-</v>
      </c>
      <c r="N1803" s="10" t="s">
        <v>242</v>
      </c>
      <c r="O1803" s="10" t="s">
        <v>242</v>
      </c>
      <c r="P1803" s="10" t="s">
        <v>242</v>
      </c>
      <c r="Q1803" s="10" t="s">
        <v>242</v>
      </c>
      <c r="R1803" s="10" t="s">
        <v>242</v>
      </c>
      <c r="S1803" s="10" t="s">
        <v>241</v>
      </c>
      <c r="T1803" s="10" t="s">
        <v>241</v>
      </c>
      <c r="U1803" s="10" t="s">
        <v>241</v>
      </c>
      <c r="V1803" s="10" t="s">
        <v>241</v>
      </c>
      <c r="W1803" s="10" t="s">
        <v>242</v>
      </c>
      <c r="X1803" s="15">
        <f>IF(ISERROR(VLOOKUP($A1803,'13. Updated Demand'!A:Z,15,FALSE)),0,VLOOKUP($A1803,'13. Updated Demand'!A:Z,15,FALSE))</f>
        <v>0</v>
      </c>
      <c r="Y1803" s="16">
        <f>IF(ISERROR(VLOOKUP($A1803,'13. Updated Demand'!A:Z,16,FALSE)),0,VLOOKUP($A1803,'13. Updated Demand'!A:Z,16,FALSE))</f>
        <v>0</v>
      </c>
      <c r="Z1803" s="16">
        <f>IF(ISERROR(VLOOKUP($A1803,'13. Updated Demand'!A:Z,17,FALSE)),0,VLOOKUP($A1803,'13. Updated Demand'!A:Z,17,FALSE))</f>
        <v>0</v>
      </c>
      <c r="AA1803" s="16">
        <f>IF(ISERROR(VLOOKUP($A1803,'13. Updated Demand'!A:Z,18,FALSE)),0,VLOOKUP($A1803,'13. Updated Demand'!A:Z,18,FALSE))</f>
        <v>0</v>
      </c>
      <c r="AB1803" s="16">
        <f>IF(ISERROR(VLOOKUP($A1803,'13. Updated Demand'!A:Z,19,FALSE)),0,VLOOKUP($A1803,'13. Updated Demand'!A:Z,19,FALSE))</f>
        <v>0</v>
      </c>
      <c r="AC1803" s="16">
        <f>IF(ISERROR(VLOOKUP($A1803,'13. Updated Demand'!A:Z,20,FALSE)),0,VLOOKUP($A1803,'13. Updated Demand'!A:Z,20,FALSE))</f>
        <v>0</v>
      </c>
      <c r="AD1803" s="16">
        <f>IF(ISERROR(VLOOKUP($A1803,'13. Updated Demand'!A:Z,21,FALSE)),0,VLOOKUP($A1803,'13. Updated Demand'!A:Z,21,FALSE))</f>
        <v>0</v>
      </c>
      <c r="AE1803" s="16">
        <f>IF(ISERROR(VLOOKUP($A1803,'13. Updated Demand'!A:Z,22,FALSE)),0,VLOOKUP($A1803,'13. Updated Demand'!A:Z,22,FALSE))</f>
        <v>0</v>
      </c>
      <c r="AF1803" s="16">
        <f>IF(ISERROR(VLOOKUP($A1803,'13. Updated Demand'!A:Z,23,FALSE)),0,VLOOKUP($A1803,'13. Updated Demand'!A:Z,23,FALSE))</f>
        <v>0</v>
      </c>
      <c r="AG1803" s="16">
        <f>IF(ISERROR(VLOOKUP($A1803,'13. Updated Demand'!A:Z,24,FALSE)),0,VLOOKUP($A1803,'13. Updated Demand'!A:Z,24,FALSE))</f>
        <v>0</v>
      </c>
      <c r="AH1803" s="16">
        <f>IF(ISERROR(VLOOKUP($A1803,'13. Updated Demand'!A:Z,25,FALSE)),0,VLOOKUP($A1803,'13. Updated Demand'!A:Z,25,FALSE))</f>
        <v>0</v>
      </c>
      <c r="AI1803" s="16">
        <f>IF(ISERROR(VLOOKUP($A1803,'13. Updated Demand'!A:Z,26,FALSE)),0,VLOOKUP($A1803,'13. Updated Demand'!A:Z,26,FALSE))</f>
        <v>0</v>
      </c>
      <c r="AJ1803" s="16">
        <f t="shared" si="337"/>
        <v>0</v>
      </c>
      <c r="AK1803" s="19">
        <v>0</v>
      </c>
      <c r="AL1803" s="16">
        <f t="shared" si="347"/>
        <v>0</v>
      </c>
      <c r="AM1803" s="26">
        <v>0</v>
      </c>
      <c r="AN1803" s="19">
        <v>6.5500000000000003E-2</v>
      </c>
      <c r="AO1803" s="19" t="s">
        <v>1758</v>
      </c>
      <c r="AP1803" s="19">
        <v>0</v>
      </c>
      <c r="AQ1803" s="19" t="s">
        <v>307</v>
      </c>
      <c r="AR1803" s="9" t="s">
        <v>323</v>
      </c>
      <c r="AS1803" s="12">
        <v>3.4039024194010059E-4</v>
      </c>
      <c r="AT1803" s="19">
        <v>38.518722769999997</v>
      </c>
      <c r="AU1803" s="19">
        <v>-122.59787978</v>
      </c>
      <c r="AV1803" s="19" t="s">
        <v>735</v>
      </c>
    </row>
    <row r="1804" spans="1:48" x14ac:dyDescent="0.25">
      <c r="A1804" s="18" t="s">
        <v>2209</v>
      </c>
      <c r="B1804" s="10">
        <v>10000000</v>
      </c>
      <c r="C1804" s="9">
        <v>11</v>
      </c>
      <c r="D1804" s="8" t="str">
        <f t="shared" si="338"/>
        <v>N</v>
      </c>
      <c r="E1804" s="8" t="str">
        <f t="shared" si="339"/>
        <v>Y</v>
      </c>
      <c r="F1804" s="8" t="str">
        <f t="shared" si="340"/>
        <v>Y</v>
      </c>
      <c r="G1804" s="8" t="str">
        <f t="shared" si="341"/>
        <v>Y</v>
      </c>
      <c r="H1804" s="8" t="str">
        <f t="shared" si="342"/>
        <v>Upper</v>
      </c>
      <c r="I1804" s="8" t="str">
        <f t="shared" si="343"/>
        <v>West Fork and Below Lake</v>
      </c>
      <c r="J1804" s="8" t="str">
        <f t="shared" si="344"/>
        <v>Sonoma (d/s of Clov. Gage)</v>
      </c>
      <c r="K1804" s="8" t="str">
        <f t="shared" si="345"/>
        <v>Riparian</v>
      </c>
      <c r="L1804" s="8">
        <f t="shared" si="346"/>
        <v>1000</v>
      </c>
      <c r="M1804" s="8" t="str">
        <f t="shared" si="348"/>
        <v>-</v>
      </c>
      <c r="N1804" s="10" t="s">
        <v>242</v>
      </c>
      <c r="O1804" s="10" t="s">
        <v>241</v>
      </c>
      <c r="P1804" s="10" t="s">
        <v>242</v>
      </c>
      <c r="Q1804" s="10" t="s">
        <v>242</v>
      </c>
      <c r="R1804" s="10" t="s">
        <v>242</v>
      </c>
      <c r="S1804" s="10" t="s">
        <v>241</v>
      </c>
      <c r="T1804" s="10" t="s">
        <v>242</v>
      </c>
      <c r="U1804" s="10" t="s">
        <v>241</v>
      </c>
      <c r="V1804" s="10" t="s">
        <v>241</v>
      </c>
      <c r="W1804" s="10" t="s">
        <v>242</v>
      </c>
      <c r="X1804" s="15">
        <f>IF(ISERROR(VLOOKUP($A1804,'13. Updated Demand'!A:Z,15,FALSE)),0,VLOOKUP($A1804,'13. Updated Demand'!A:Z,15,FALSE))</f>
        <v>0</v>
      </c>
      <c r="Y1804" s="16">
        <f>IF(ISERROR(VLOOKUP($A1804,'13. Updated Demand'!A:Z,16,FALSE)),0,VLOOKUP($A1804,'13. Updated Demand'!A:Z,16,FALSE))</f>
        <v>0</v>
      </c>
      <c r="Z1804" s="16">
        <f>IF(ISERROR(VLOOKUP($A1804,'13. Updated Demand'!A:Z,17,FALSE)),0,VLOOKUP($A1804,'13. Updated Demand'!A:Z,17,FALSE))</f>
        <v>0</v>
      </c>
      <c r="AA1804" s="16">
        <f>IF(ISERROR(VLOOKUP($A1804,'13. Updated Demand'!A:Z,18,FALSE)),0,VLOOKUP($A1804,'13. Updated Demand'!A:Z,18,FALSE))</f>
        <v>0</v>
      </c>
      <c r="AB1804" s="16">
        <f>IF(ISERROR(VLOOKUP($A1804,'13. Updated Demand'!A:Z,19,FALSE)),0,VLOOKUP($A1804,'13. Updated Demand'!A:Z,19,FALSE))</f>
        <v>0</v>
      </c>
      <c r="AC1804" s="16">
        <f>IF(ISERROR(VLOOKUP($A1804,'13. Updated Demand'!A:Z,20,FALSE)),0,VLOOKUP($A1804,'13. Updated Demand'!A:Z,20,FALSE))</f>
        <v>0</v>
      </c>
      <c r="AD1804" s="16">
        <f>IF(ISERROR(VLOOKUP($A1804,'13. Updated Demand'!A:Z,21,FALSE)),0,VLOOKUP($A1804,'13. Updated Demand'!A:Z,21,FALSE))</f>
        <v>0</v>
      </c>
      <c r="AE1804" s="16">
        <f>IF(ISERROR(VLOOKUP($A1804,'13. Updated Demand'!A:Z,22,FALSE)),0,VLOOKUP($A1804,'13. Updated Demand'!A:Z,22,FALSE))</f>
        <v>0</v>
      </c>
      <c r="AF1804" s="16">
        <f>IF(ISERROR(VLOOKUP($A1804,'13. Updated Demand'!A:Z,23,FALSE)),0,VLOOKUP($A1804,'13. Updated Demand'!A:Z,23,FALSE))</f>
        <v>0</v>
      </c>
      <c r="AG1804" s="16">
        <f>IF(ISERROR(VLOOKUP($A1804,'13. Updated Demand'!A:Z,24,FALSE)),0,VLOOKUP($A1804,'13. Updated Demand'!A:Z,24,FALSE))</f>
        <v>0</v>
      </c>
      <c r="AH1804" s="16">
        <f>IF(ISERROR(VLOOKUP($A1804,'13. Updated Demand'!A:Z,25,FALSE)),0,VLOOKUP($A1804,'13. Updated Demand'!A:Z,25,FALSE))</f>
        <v>0</v>
      </c>
      <c r="AI1804" s="16">
        <f>IF(ISERROR(VLOOKUP($A1804,'13. Updated Demand'!A:Z,26,FALSE)),0,VLOOKUP($A1804,'13. Updated Demand'!A:Z,26,FALSE))</f>
        <v>0</v>
      </c>
      <c r="AJ1804" s="16">
        <f t="shared" si="337"/>
        <v>0</v>
      </c>
      <c r="AK1804" s="19">
        <v>0</v>
      </c>
      <c r="AL1804" s="16">
        <f t="shared" si="347"/>
        <v>0</v>
      </c>
      <c r="AM1804" s="26">
        <v>0</v>
      </c>
      <c r="AN1804" s="19">
        <v>14.488</v>
      </c>
      <c r="AO1804" s="19" t="s">
        <v>1758</v>
      </c>
      <c r="AP1804" s="19">
        <v>0</v>
      </c>
      <c r="AQ1804" s="19" t="s">
        <v>307</v>
      </c>
      <c r="AR1804" s="9" t="s">
        <v>308</v>
      </c>
      <c r="AS1804" s="12">
        <v>0</v>
      </c>
      <c r="AT1804" s="19">
        <v>38.645215129999997</v>
      </c>
      <c r="AU1804" s="19">
        <v>-122.68034897</v>
      </c>
      <c r="AV1804" s="19" t="s">
        <v>1652</v>
      </c>
    </row>
    <row r="1805" spans="1:48" x14ac:dyDescent="0.25">
      <c r="A1805" s="18" t="s">
        <v>2210</v>
      </c>
      <c r="B1805" s="10">
        <v>10000000</v>
      </c>
      <c r="C1805" s="9">
        <v>9</v>
      </c>
      <c r="D1805" s="8" t="str">
        <f t="shared" si="338"/>
        <v>N</v>
      </c>
      <c r="E1805" s="8" t="str">
        <f t="shared" si="339"/>
        <v>Y</v>
      </c>
      <c r="F1805" s="8" t="str">
        <f t="shared" si="340"/>
        <v>Y</v>
      </c>
      <c r="G1805" s="8" t="str">
        <f t="shared" si="341"/>
        <v>Y</v>
      </c>
      <c r="H1805" s="8" t="str">
        <f t="shared" si="342"/>
        <v>Upper</v>
      </c>
      <c r="I1805" s="8" t="str">
        <f t="shared" si="343"/>
        <v>West Fork and Below Lake</v>
      </c>
      <c r="J1805" s="8" t="str">
        <f t="shared" si="344"/>
        <v>Sonoma (d/s of Clov. Gage)</v>
      </c>
      <c r="K1805" s="8" t="str">
        <f t="shared" si="345"/>
        <v>Riparian</v>
      </c>
      <c r="L1805" s="8">
        <f t="shared" si="346"/>
        <v>1000</v>
      </c>
      <c r="M1805" s="8" t="str">
        <f t="shared" si="348"/>
        <v>-</v>
      </c>
      <c r="N1805" s="10" t="s">
        <v>241</v>
      </c>
      <c r="O1805" s="10" t="s">
        <v>241</v>
      </c>
      <c r="P1805" s="10" t="s">
        <v>242</v>
      </c>
      <c r="Q1805" s="10" t="s">
        <v>242</v>
      </c>
      <c r="R1805" s="10" t="s">
        <v>242</v>
      </c>
      <c r="S1805" s="10" t="s">
        <v>241</v>
      </c>
      <c r="T1805" s="10" t="s">
        <v>242</v>
      </c>
      <c r="U1805" s="10" t="s">
        <v>242</v>
      </c>
      <c r="V1805" s="10" t="s">
        <v>242</v>
      </c>
      <c r="W1805" s="10" t="s">
        <v>242</v>
      </c>
      <c r="X1805" s="15">
        <f>IF(ISERROR(VLOOKUP($A1805,'13. Updated Demand'!A:Z,15,FALSE)),0,VLOOKUP($A1805,'13. Updated Demand'!A:Z,15,FALSE))</f>
        <v>1.45</v>
      </c>
      <c r="Y1805" s="16">
        <f>IF(ISERROR(VLOOKUP($A1805,'13. Updated Demand'!A:Z,16,FALSE)),0,VLOOKUP($A1805,'13. Updated Demand'!A:Z,16,FALSE))</f>
        <v>1.45</v>
      </c>
      <c r="Z1805" s="16">
        <f>IF(ISERROR(VLOOKUP($A1805,'13. Updated Demand'!A:Z,17,FALSE)),0,VLOOKUP($A1805,'13. Updated Demand'!A:Z,17,FALSE))</f>
        <v>1.53</v>
      </c>
      <c r="AA1805" s="16">
        <f>IF(ISERROR(VLOOKUP($A1805,'13. Updated Demand'!A:Z,18,FALSE)),0,VLOOKUP($A1805,'13. Updated Demand'!A:Z,18,FALSE))</f>
        <v>1.95</v>
      </c>
      <c r="AB1805" s="16">
        <f>IF(ISERROR(VLOOKUP($A1805,'13. Updated Demand'!A:Z,19,FALSE)),0,VLOOKUP($A1805,'13. Updated Demand'!A:Z,19,FALSE))</f>
        <v>2.19</v>
      </c>
      <c r="AC1805" s="16">
        <f>IF(ISERROR(VLOOKUP($A1805,'13. Updated Demand'!A:Z,20,FALSE)),0,VLOOKUP($A1805,'13. Updated Demand'!A:Z,20,FALSE))</f>
        <v>2.0099999999999998</v>
      </c>
      <c r="AD1805" s="16">
        <f>IF(ISERROR(VLOOKUP($A1805,'13. Updated Demand'!A:Z,21,FALSE)),0,VLOOKUP($A1805,'13. Updated Demand'!A:Z,21,FALSE))</f>
        <v>2.2200000000000002</v>
      </c>
      <c r="AE1805" s="16">
        <f>IF(ISERROR(VLOOKUP($A1805,'13. Updated Demand'!A:Z,22,FALSE)),0,VLOOKUP($A1805,'13. Updated Demand'!A:Z,22,FALSE))</f>
        <v>1.42</v>
      </c>
      <c r="AF1805" s="16">
        <f>IF(ISERROR(VLOOKUP($A1805,'13. Updated Demand'!A:Z,23,FALSE)),0,VLOOKUP($A1805,'13. Updated Demand'!A:Z,23,FALSE))</f>
        <v>1.45</v>
      </c>
      <c r="AG1805" s="16">
        <f>IF(ISERROR(VLOOKUP($A1805,'13. Updated Demand'!A:Z,24,FALSE)),0,VLOOKUP($A1805,'13. Updated Demand'!A:Z,24,FALSE))</f>
        <v>1.85</v>
      </c>
      <c r="AH1805" s="16">
        <f>IF(ISERROR(VLOOKUP($A1805,'13. Updated Demand'!A:Z,25,FALSE)),0,VLOOKUP($A1805,'13. Updated Demand'!A:Z,25,FALSE))</f>
        <v>1.73</v>
      </c>
      <c r="AI1805" s="16">
        <f>IF(ISERROR(VLOOKUP($A1805,'13. Updated Demand'!A:Z,26,FALSE)),0,VLOOKUP($A1805,'13. Updated Demand'!A:Z,26,FALSE))</f>
        <v>0.92</v>
      </c>
      <c r="AJ1805" s="16">
        <f t="shared" si="337"/>
        <v>20.170000000000002</v>
      </c>
      <c r="AK1805" s="19">
        <v>9.3033333333333292</v>
      </c>
      <c r="AL1805" s="16">
        <f t="shared" si="347"/>
        <v>3.085809691741254E-2</v>
      </c>
      <c r="AM1805" s="26">
        <v>0.50691899670364571</v>
      </c>
      <c r="AN1805" s="19">
        <v>39.841999999999999</v>
      </c>
      <c r="AO1805" s="19" t="s">
        <v>1758</v>
      </c>
      <c r="AP1805" s="19">
        <v>0</v>
      </c>
      <c r="AQ1805" s="19" t="s">
        <v>307</v>
      </c>
      <c r="AR1805" s="9" t="s">
        <v>354</v>
      </c>
      <c r="AS1805" s="12">
        <v>0</v>
      </c>
      <c r="AT1805" s="19">
        <v>38.789983630000002</v>
      </c>
      <c r="AU1805" s="19">
        <v>-123.00295102</v>
      </c>
      <c r="AV1805" s="19" t="s">
        <v>2211</v>
      </c>
    </row>
    <row r="1806" spans="1:48" x14ac:dyDescent="0.25">
      <c r="A1806" s="18" t="s">
        <v>2212</v>
      </c>
      <c r="B1806" s="10">
        <v>10000000</v>
      </c>
      <c r="C1806" s="9">
        <v>23</v>
      </c>
      <c r="D1806" s="8" t="str">
        <f t="shared" si="338"/>
        <v>N</v>
      </c>
      <c r="E1806" s="8" t="str">
        <f t="shared" si="339"/>
        <v>N</v>
      </c>
      <c r="F1806" s="8" t="str">
        <f t="shared" si="340"/>
        <v>N</v>
      </c>
      <c r="G1806" s="8" t="str">
        <f t="shared" si="341"/>
        <v>N</v>
      </c>
      <c r="H1806" s="8" t="str">
        <f t="shared" si="342"/>
        <v>Lower</v>
      </c>
      <c r="I1806" s="8" t="str">
        <f t="shared" si="343"/>
        <v>Outside</v>
      </c>
      <c r="J1806" s="8" t="str">
        <f t="shared" si="344"/>
        <v>Outside</v>
      </c>
      <c r="K1806" s="8" t="str">
        <f t="shared" si="345"/>
        <v>Riparian</v>
      </c>
      <c r="L1806" s="8">
        <f t="shared" si="346"/>
        <v>1000</v>
      </c>
      <c r="M1806" s="8" t="str">
        <f t="shared" si="348"/>
        <v>-</v>
      </c>
      <c r="N1806" s="10" t="s">
        <v>242</v>
      </c>
      <c r="O1806" s="10" t="s">
        <v>242</v>
      </c>
      <c r="P1806" s="10" t="s">
        <v>242</v>
      </c>
      <c r="Q1806" s="10" t="s">
        <v>242</v>
      </c>
      <c r="R1806" s="10" t="s">
        <v>242</v>
      </c>
      <c r="S1806" s="10" t="s">
        <v>241</v>
      </c>
      <c r="T1806" s="10" t="s">
        <v>242</v>
      </c>
      <c r="U1806" s="10" t="s">
        <v>242</v>
      </c>
      <c r="V1806" s="10" t="s">
        <v>242</v>
      </c>
      <c r="W1806" s="10" t="s">
        <v>242</v>
      </c>
      <c r="X1806" s="15">
        <f>IF(ISERROR(VLOOKUP($A1806,'13. Updated Demand'!A:Z,15,FALSE)),0,VLOOKUP($A1806,'13. Updated Demand'!A:Z,15,FALSE))</f>
        <v>0</v>
      </c>
      <c r="Y1806" s="16">
        <f>IF(ISERROR(VLOOKUP($A1806,'13. Updated Demand'!A:Z,16,FALSE)),0,VLOOKUP($A1806,'13. Updated Demand'!A:Z,16,FALSE))</f>
        <v>3.3666666670000001</v>
      </c>
      <c r="Z1806" s="16">
        <f>IF(ISERROR(VLOOKUP($A1806,'13. Updated Demand'!A:Z,17,FALSE)),0,VLOOKUP($A1806,'13. Updated Demand'!A:Z,17,FALSE))</f>
        <v>2.1666666669999999</v>
      </c>
      <c r="AA1806" s="16">
        <f>IF(ISERROR(VLOOKUP($A1806,'13. Updated Demand'!A:Z,18,FALSE)),0,VLOOKUP($A1806,'13. Updated Demand'!A:Z,18,FALSE))</f>
        <v>0.56666666700000001</v>
      </c>
      <c r="AB1806" s="16">
        <f>IF(ISERROR(VLOOKUP($A1806,'13. Updated Demand'!A:Z,19,FALSE)),0,VLOOKUP($A1806,'13. Updated Demand'!A:Z,19,FALSE))</f>
        <v>0.233333333</v>
      </c>
      <c r="AC1806" s="16">
        <f>IF(ISERROR(VLOOKUP($A1806,'13. Updated Demand'!A:Z,20,FALSE)),0,VLOOKUP($A1806,'13. Updated Demand'!A:Z,20,FALSE))</f>
        <v>0.63333333300000005</v>
      </c>
      <c r="AD1806" s="16">
        <f>IF(ISERROR(VLOOKUP($A1806,'13. Updated Demand'!A:Z,21,FALSE)),0,VLOOKUP($A1806,'13. Updated Demand'!A:Z,21,FALSE))</f>
        <v>6.6666666999999999E-2</v>
      </c>
      <c r="AE1806" s="16">
        <f>IF(ISERROR(VLOOKUP($A1806,'13. Updated Demand'!A:Z,22,FALSE)),0,VLOOKUP($A1806,'13. Updated Demand'!A:Z,22,FALSE))</f>
        <v>0.1</v>
      </c>
      <c r="AF1806" s="16">
        <f>IF(ISERROR(VLOOKUP($A1806,'13. Updated Demand'!A:Z,23,FALSE)),0,VLOOKUP($A1806,'13. Updated Demand'!A:Z,23,FALSE))</f>
        <v>0.133333333</v>
      </c>
      <c r="AG1806" s="16">
        <f>IF(ISERROR(VLOOKUP($A1806,'13. Updated Demand'!A:Z,24,FALSE)),0,VLOOKUP($A1806,'13. Updated Demand'!A:Z,24,FALSE))</f>
        <v>0</v>
      </c>
      <c r="AH1806" s="16">
        <f>IF(ISERROR(VLOOKUP($A1806,'13. Updated Demand'!A:Z,25,FALSE)),0,VLOOKUP($A1806,'13. Updated Demand'!A:Z,25,FALSE))</f>
        <v>0</v>
      </c>
      <c r="AI1806" s="16">
        <f>IF(ISERROR(VLOOKUP($A1806,'13. Updated Demand'!A:Z,26,FALSE)),0,VLOOKUP($A1806,'13. Updated Demand'!A:Z,26,FALSE))</f>
        <v>0</v>
      </c>
      <c r="AJ1806" s="16">
        <f t="shared" si="337"/>
        <v>7.266666667</v>
      </c>
      <c r="AK1806" s="19">
        <v>1.166666666</v>
      </c>
      <c r="AL1806" s="16">
        <f t="shared" si="347"/>
        <v>3.8697004353001698E-3</v>
      </c>
      <c r="AM1806" s="26">
        <v>1.6377616757006503E-3</v>
      </c>
      <c r="AN1806" s="19">
        <v>4436.95</v>
      </c>
      <c r="AO1806" s="19" t="s">
        <v>1758</v>
      </c>
      <c r="AP1806" s="19">
        <v>0</v>
      </c>
      <c r="AQ1806" s="19" t="s">
        <v>307</v>
      </c>
      <c r="AR1806" s="9" t="s">
        <v>323</v>
      </c>
      <c r="AS1806" s="12">
        <v>0</v>
      </c>
      <c r="AT1806" s="19">
        <v>38.483702260000001</v>
      </c>
      <c r="AU1806" s="19">
        <v>-122.82344642</v>
      </c>
      <c r="AV1806" s="19" t="s">
        <v>417</v>
      </c>
    </row>
    <row r="1807" spans="1:48" x14ac:dyDescent="0.25">
      <c r="A1807" s="18" t="s">
        <v>2213</v>
      </c>
      <c r="B1807" s="10">
        <v>10000000</v>
      </c>
      <c r="C1807" s="9">
        <v>10</v>
      </c>
      <c r="D1807" s="8" t="str">
        <f t="shared" si="338"/>
        <v>N</v>
      </c>
      <c r="E1807" s="8" t="str">
        <f t="shared" si="339"/>
        <v>Y</v>
      </c>
      <c r="F1807" s="8" t="str">
        <f t="shared" si="340"/>
        <v>Y</v>
      </c>
      <c r="G1807" s="8" t="str">
        <f t="shared" si="341"/>
        <v>Y</v>
      </c>
      <c r="H1807" s="8" t="str">
        <f t="shared" si="342"/>
        <v>Upper</v>
      </c>
      <c r="I1807" s="8" t="str">
        <f t="shared" si="343"/>
        <v>West Fork and Below Lake</v>
      </c>
      <c r="J1807" s="8" t="str">
        <f t="shared" si="344"/>
        <v>Sonoma (d/s of Clov. Gage)</v>
      </c>
      <c r="K1807" s="8" t="str">
        <f t="shared" si="345"/>
        <v>Riparian</v>
      </c>
      <c r="L1807" s="8">
        <f t="shared" si="346"/>
        <v>1000</v>
      </c>
      <c r="M1807" s="8" t="str">
        <f t="shared" si="348"/>
        <v>-</v>
      </c>
      <c r="N1807" s="10" t="s">
        <v>241</v>
      </c>
      <c r="O1807" s="10" t="s">
        <v>241</v>
      </c>
      <c r="P1807" s="10" t="s">
        <v>242</v>
      </c>
      <c r="Q1807" s="10" t="s">
        <v>242</v>
      </c>
      <c r="R1807" s="10" t="s">
        <v>242</v>
      </c>
      <c r="S1807" s="10" t="s">
        <v>241</v>
      </c>
      <c r="T1807" s="10" t="s">
        <v>242</v>
      </c>
      <c r="U1807" s="10" t="s">
        <v>242</v>
      </c>
      <c r="V1807" s="10" t="s">
        <v>242</v>
      </c>
      <c r="W1807" s="10" t="s">
        <v>242</v>
      </c>
      <c r="X1807" s="15">
        <f>IF(ISERROR(VLOOKUP($A1807,'13. Updated Demand'!A:Z,15,FALSE)),0,VLOOKUP($A1807,'13. Updated Demand'!A:Z,15,FALSE))</f>
        <v>0</v>
      </c>
      <c r="Y1807" s="16">
        <f>IF(ISERROR(VLOOKUP($A1807,'13. Updated Demand'!A:Z,16,FALSE)),0,VLOOKUP($A1807,'13. Updated Demand'!A:Z,16,FALSE))</f>
        <v>0</v>
      </c>
      <c r="Z1807" s="16">
        <f>IF(ISERROR(VLOOKUP($A1807,'13. Updated Demand'!A:Z,17,FALSE)),0,VLOOKUP($A1807,'13. Updated Demand'!A:Z,17,FALSE))</f>
        <v>0</v>
      </c>
      <c r="AA1807" s="16">
        <f>IF(ISERROR(VLOOKUP($A1807,'13. Updated Demand'!A:Z,18,FALSE)),0,VLOOKUP($A1807,'13. Updated Demand'!A:Z,18,FALSE))</f>
        <v>0</v>
      </c>
      <c r="AB1807" s="16">
        <f>IF(ISERROR(VLOOKUP($A1807,'13. Updated Demand'!A:Z,19,FALSE)),0,VLOOKUP($A1807,'13. Updated Demand'!A:Z,19,FALSE))</f>
        <v>0</v>
      </c>
      <c r="AC1807" s="16">
        <f>IF(ISERROR(VLOOKUP($A1807,'13. Updated Demand'!A:Z,20,FALSE)),0,VLOOKUP($A1807,'13. Updated Demand'!A:Z,20,FALSE))</f>
        <v>0</v>
      </c>
      <c r="AD1807" s="16">
        <f>IF(ISERROR(VLOOKUP($A1807,'13. Updated Demand'!A:Z,21,FALSE)),0,VLOOKUP($A1807,'13. Updated Demand'!A:Z,21,FALSE))</f>
        <v>0</v>
      </c>
      <c r="AE1807" s="16">
        <f>IF(ISERROR(VLOOKUP($A1807,'13. Updated Demand'!A:Z,22,FALSE)),0,VLOOKUP($A1807,'13. Updated Demand'!A:Z,22,FALSE))</f>
        <v>0</v>
      </c>
      <c r="AF1807" s="16">
        <f>IF(ISERROR(VLOOKUP($A1807,'13. Updated Demand'!A:Z,23,FALSE)),0,VLOOKUP($A1807,'13. Updated Demand'!A:Z,23,FALSE))</f>
        <v>0</v>
      </c>
      <c r="AG1807" s="16">
        <f>IF(ISERROR(VLOOKUP($A1807,'13. Updated Demand'!A:Z,24,FALSE)),0,VLOOKUP($A1807,'13. Updated Demand'!A:Z,24,FALSE))</f>
        <v>0</v>
      </c>
      <c r="AH1807" s="16">
        <f>IF(ISERROR(VLOOKUP($A1807,'13. Updated Demand'!A:Z,25,FALSE)),0,VLOOKUP($A1807,'13. Updated Demand'!A:Z,25,FALSE))</f>
        <v>0</v>
      </c>
      <c r="AI1807" s="16">
        <f>IF(ISERROR(VLOOKUP($A1807,'13. Updated Demand'!A:Z,26,FALSE)),0,VLOOKUP($A1807,'13. Updated Demand'!A:Z,26,FALSE))</f>
        <v>0</v>
      </c>
      <c r="AJ1807" s="16">
        <f t="shared" si="337"/>
        <v>0</v>
      </c>
      <c r="AK1807" s="19">
        <v>28.933333333333341</v>
      </c>
      <c r="AL1807" s="16">
        <f t="shared" si="347"/>
        <v>9.5968570850283416E-2</v>
      </c>
      <c r="AM1807" s="26">
        <v>1.5856210011195603E-2</v>
      </c>
      <c r="AN1807" s="19">
        <v>1973.99</v>
      </c>
      <c r="AO1807" s="19" t="s">
        <v>1758</v>
      </c>
      <c r="AP1807" s="19">
        <v>0</v>
      </c>
      <c r="AQ1807" s="19" t="s">
        <v>307</v>
      </c>
      <c r="AR1807" s="9" t="s">
        <v>436</v>
      </c>
      <c r="AS1807" s="12">
        <v>0</v>
      </c>
      <c r="AT1807" s="19">
        <v>38.693159170000001</v>
      </c>
      <c r="AU1807" s="19">
        <v>-122.87001622</v>
      </c>
      <c r="AV1807" s="19" t="s">
        <v>548</v>
      </c>
    </row>
    <row r="1808" spans="1:48" x14ac:dyDescent="0.25">
      <c r="A1808" s="18" t="s">
        <v>2214</v>
      </c>
      <c r="B1808" s="10">
        <v>10000000</v>
      </c>
      <c r="C1808" s="9">
        <v>10</v>
      </c>
      <c r="D1808" s="8" t="str">
        <f t="shared" si="338"/>
        <v>N</v>
      </c>
      <c r="E1808" s="8" t="str">
        <f t="shared" si="339"/>
        <v>Y</v>
      </c>
      <c r="F1808" s="8" t="str">
        <f t="shared" si="340"/>
        <v>Y</v>
      </c>
      <c r="G1808" s="8" t="str">
        <f t="shared" si="341"/>
        <v>Y</v>
      </c>
      <c r="H1808" s="8" t="str">
        <f t="shared" si="342"/>
        <v>Upper</v>
      </c>
      <c r="I1808" s="8" t="str">
        <f t="shared" si="343"/>
        <v>West Fork and Below Lake</v>
      </c>
      <c r="J1808" s="8" t="str">
        <f t="shared" si="344"/>
        <v>Sonoma (d/s of Clov. Gage)</v>
      </c>
      <c r="K1808" s="8" t="str">
        <f t="shared" si="345"/>
        <v>Riparian</v>
      </c>
      <c r="L1808" s="8">
        <f t="shared" si="346"/>
        <v>1000</v>
      </c>
      <c r="M1808" s="8" t="str">
        <f t="shared" si="348"/>
        <v>-</v>
      </c>
      <c r="N1808" s="10" t="s">
        <v>241</v>
      </c>
      <c r="O1808" s="10" t="s">
        <v>241</v>
      </c>
      <c r="P1808" s="10" t="s">
        <v>242</v>
      </c>
      <c r="Q1808" s="10" t="s">
        <v>242</v>
      </c>
      <c r="R1808" s="10" t="s">
        <v>242</v>
      </c>
      <c r="S1808" s="10" t="s">
        <v>241</v>
      </c>
      <c r="T1808" s="10" t="s">
        <v>242</v>
      </c>
      <c r="U1808" s="10" t="s">
        <v>242</v>
      </c>
      <c r="V1808" s="10" t="s">
        <v>242</v>
      </c>
      <c r="W1808" s="10" t="s">
        <v>242</v>
      </c>
      <c r="X1808" s="15">
        <f>IF(ISERROR(VLOOKUP($A1808,'13. Updated Demand'!A:Z,15,FALSE)),0,VLOOKUP($A1808,'13. Updated Demand'!A:Z,15,FALSE))</f>
        <v>0</v>
      </c>
      <c r="Y1808" s="16">
        <f>IF(ISERROR(VLOOKUP($A1808,'13. Updated Demand'!A:Z,16,FALSE)),0,VLOOKUP($A1808,'13. Updated Demand'!A:Z,16,FALSE))</f>
        <v>0</v>
      </c>
      <c r="Z1808" s="16">
        <f>IF(ISERROR(VLOOKUP($A1808,'13. Updated Demand'!A:Z,17,FALSE)),0,VLOOKUP($A1808,'13. Updated Demand'!A:Z,17,FALSE))</f>
        <v>0</v>
      </c>
      <c r="AA1808" s="16">
        <f>IF(ISERROR(VLOOKUP($A1808,'13. Updated Demand'!A:Z,18,FALSE)),0,VLOOKUP($A1808,'13. Updated Demand'!A:Z,18,FALSE))</f>
        <v>0</v>
      </c>
      <c r="AB1808" s="16">
        <f>IF(ISERROR(VLOOKUP($A1808,'13. Updated Demand'!A:Z,19,FALSE)),0,VLOOKUP($A1808,'13. Updated Demand'!A:Z,19,FALSE))</f>
        <v>0</v>
      </c>
      <c r="AC1808" s="16">
        <f>IF(ISERROR(VLOOKUP($A1808,'13. Updated Demand'!A:Z,20,FALSE)),0,VLOOKUP($A1808,'13. Updated Demand'!A:Z,20,FALSE))</f>
        <v>0</v>
      </c>
      <c r="AD1808" s="16">
        <f>IF(ISERROR(VLOOKUP($A1808,'13. Updated Demand'!A:Z,21,FALSE)),0,VLOOKUP($A1808,'13. Updated Demand'!A:Z,21,FALSE))</f>
        <v>0</v>
      </c>
      <c r="AE1808" s="16">
        <f>IF(ISERROR(VLOOKUP($A1808,'13. Updated Demand'!A:Z,22,FALSE)),0,VLOOKUP($A1808,'13. Updated Demand'!A:Z,22,FALSE))</f>
        <v>0</v>
      </c>
      <c r="AF1808" s="16">
        <f>IF(ISERROR(VLOOKUP($A1808,'13. Updated Demand'!A:Z,23,FALSE)),0,VLOOKUP($A1808,'13. Updated Demand'!A:Z,23,FALSE))</f>
        <v>0</v>
      </c>
      <c r="AG1808" s="16">
        <f>IF(ISERROR(VLOOKUP($A1808,'13. Updated Demand'!A:Z,24,FALSE)),0,VLOOKUP($A1808,'13. Updated Demand'!A:Z,24,FALSE))</f>
        <v>0</v>
      </c>
      <c r="AH1808" s="16">
        <f>IF(ISERROR(VLOOKUP($A1808,'13. Updated Demand'!A:Z,25,FALSE)),0,VLOOKUP($A1808,'13. Updated Demand'!A:Z,25,FALSE))</f>
        <v>0</v>
      </c>
      <c r="AI1808" s="16">
        <f>IF(ISERROR(VLOOKUP($A1808,'13. Updated Demand'!A:Z,26,FALSE)),0,VLOOKUP($A1808,'13. Updated Demand'!A:Z,26,FALSE))</f>
        <v>0</v>
      </c>
      <c r="AJ1808" s="16">
        <f t="shared" ref="AJ1808:AJ1871" si="349">SUM(X1808:AI1808)</f>
        <v>0</v>
      </c>
      <c r="AK1808" s="19">
        <v>7.9</v>
      </c>
      <c r="AL1808" s="16">
        <f t="shared" si="347"/>
        <v>2.6203400105434524E-2</v>
      </c>
      <c r="AM1808" s="26">
        <v>7.8794383883756536E-3</v>
      </c>
      <c r="AN1808" s="19">
        <v>1611.79</v>
      </c>
      <c r="AO1808" s="19" t="s">
        <v>1758</v>
      </c>
      <c r="AP1808" s="19">
        <v>0</v>
      </c>
      <c r="AQ1808" s="19" t="s">
        <v>307</v>
      </c>
      <c r="AR1808" s="9" t="s">
        <v>436</v>
      </c>
      <c r="AS1808" s="12">
        <v>0</v>
      </c>
      <c r="AT1808" s="19">
        <v>38.692200769999999</v>
      </c>
      <c r="AU1808" s="19">
        <v>-122.86965413999999</v>
      </c>
      <c r="AV1808" s="19" t="s">
        <v>548</v>
      </c>
    </row>
    <row r="1809" spans="1:48" x14ac:dyDescent="0.25">
      <c r="A1809" s="18" t="s">
        <v>2215</v>
      </c>
      <c r="B1809" s="10">
        <v>10000000</v>
      </c>
      <c r="C1809" s="9">
        <v>10</v>
      </c>
      <c r="D1809" s="8" t="str">
        <f t="shared" si="338"/>
        <v>N</v>
      </c>
      <c r="E1809" s="8" t="str">
        <f t="shared" si="339"/>
        <v>Y</v>
      </c>
      <c r="F1809" s="8" t="str">
        <f t="shared" si="340"/>
        <v>Y</v>
      </c>
      <c r="G1809" s="8" t="str">
        <f t="shared" si="341"/>
        <v>Y</v>
      </c>
      <c r="H1809" s="8" t="str">
        <f t="shared" si="342"/>
        <v>Upper</v>
      </c>
      <c r="I1809" s="8" t="str">
        <f t="shared" si="343"/>
        <v>West Fork and Below Lake</v>
      </c>
      <c r="J1809" s="8" t="str">
        <f t="shared" si="344"/>
        <v>Sonoma (d/s of Clov. Gage)</v>
      </c>
      <c r="K1809" s="8" t="str">
        <f t="shared" si="345"/>
        <v>Riparian</v>
      </c>
      <c r="L1809" s="8">
        <f t="shared" si="346"/>
        <v>1000</v>
      </c>
      <c r="M1809" s="8" t="str">
        <f t="shared" si="348"/>
        <v>-</v>
      </c>
      <c r="N1809" s="10" t="s">
        <v>241</v>
      </c>
      <c r="O1809" s="10" t="s">
        <v>241</v>
      </c>
      <c r="P1809" s="10" t="s">
        <v>242</v>
      </c>
      <c r="Q1809" s="10" t="s">
        <v>242</v>
      </c>
      <c r="R1809" s="10" t="s">
        <v>242</v>
      </c>
      <c r="S1809" s="10" t="s">
        <v>241</v>
      </c>
      <c r="T1809" s="10" t="s">
        <v>242</v>
      </c>
      <c r="U1809" s="10" t="s">
        <v>242</v>
      </c>
      <c r="V1809" s="10" t="s">
        <v>242</v>
      </c>
      <c r="W1809" s="10" t="s">
        <v>242</v>
      </c>
      <c r="X1809" s="15">
        <f>IF(ISERROR(VLOOKUP($A1809,'13. Updated Demand'!A:Z,15,FALSE)),0,VLOOKUP($A1809,'13. Updated Demand'!A:Z,15,FALSE))</f>
        <v>0</v>
      </c>
      <c r="Y1809" s="16">
        <f>IF(ISERROR(VLOOKUP($A1809,'13. Updated Demand'!A:Z,16,FALSE)),0,VLOOKUP($A1809,'13. Updated Demand'!A:Z,16,FALSE))</f>
        <v>0</v>
      </c>
      <c r="Z1809" s="16">
        <f>IF(ISERROR(VLOOKUP($A1809,'13. Updated Demand'!A:Z,17,FALSE)),0,VLOOKUP($A1809,'13. Updated Demand'!A:Z,17,FALSE))</f>
        <v>0</v>
      </c>
      <c r="AA1809" s="16">
        <f>IF(ISERROR(VLOOKUP($A1809,'13. Updated Demand'!A:Z,18,FALSE)),0,VLOOKUP($A1809,'13. Updated Demand'!A:Z,18,FALSE))</f>
        <v>0</v>
      </c>
      <c r="AB1809" s="16">
        <f>IF(ISERROR(VLOOKUP($A1809,'13. Updated Demand'!A:Z,19,FALSE)),0,VLOOKUP($A1809,'13. Updated Demand'!A:Z,19,FALSE))</f>
        <v>0</v>
      </c>
      <c r="AC1809" s="16">
        <f>IF(ISERROR(VLOOKUP($A1809,'13. Updated Demand'!A:Z,20,FALSE)),0,VLOOKUP($A1809,'13. Updated Demand'!A:Z,20,FALSE))</f>
        <v>0</v>
      </c>
      <c r="AD1809" s="16">
        <f>IF(ISERROR(VLOOKUP($A1809,'13. Updated Demand'!A:Z,21,FALSE)),0,VLOOKUP($A1809,'13. Updated Demand'!A:Z,21,FALSE))</f>
        <v>0</v>
      </c>
      <c r="AE1809" s="16">
        <f>IF(ISERROR(VLOOKUP($A1809,'13. Updated Demand'!A:Z,22,FALSE)),0,VLOOKUP($A1809,'13. Updated Demand'!A:Z,22,FALSE))</f>
        <v>0</v>
      </c>
      <c r="AF1809" s="16">
        <f>IF(ISERROR(VLOOKUP($A1809,'13. Updated Demand'!A:Z,23,FALSE)),0,VLOOKUP($A1809,'13. Updated Demand'!A:Z,23,FALSE))</f>
        <v>0</v>
      </c>
      <c r="AG1809" s="16">
        <f>IF(ISERROR(VLOOKUP($A1809,'13. Updated Demand'!A:Z,24,FALSE)),0,VLOOKUP($A1809,'13. Updated Demand'!A:Z,24,FALSE))</f>
        <v>0</v>
      </c>
      <c r="AH1809" s="16">
        <f>IF(ISERROR(VLOOKUP($A1809,'13. Updated Demand'!A:Z,25,FALSE)),0,VLOOKUP($A1809,'13. Updated Demand'!A:Z,25,FALSE))</f>
        <v>0</v>
      </c>
      <c r="AI1809" s="16">
        <f>IF(ISERROR(VLOOKUP($A1809,'13. Updated Demand'!A:Z,26,FALSE)),0,VLOOKUP($A1809,'13. Updated Demand'!A:Z,26,FALSE))</f>
        <v>0</v>
      </c>
      <c r="AJ1809" s="16">
        <f t="shared" si="349"/>
        <v>0</v>
      </c>
      <c r="AK1809" s="19">
        <v>8.7666666666666728</v>
      </c>
      <c r="AL1809" s="16">
        <f t="shared" si="347"/>
        <v>2.9078034716157317E-2</v>
      </c>
      <c r="AM1809" s="26">
        <v>6.9281151183880488E-3</v>
      </c>
      <c r="AN1809" s="19">
        <v>1611.79</v>
      </c>
      <c r="AO1809" s="19" t="s">
        <v>1758</v>
      </c>
      <c r="AP1809" s="19">
        <v>0</v>
      </c>
      <c r="AQ1809" s="19" t="s">
        <v>307</v>
      </c>
      <c r="AR1809" s="9" t="s">
        <v>436</v>
      </c>
      <c r="AS1809" s="12">
        <v>0</v>
      </c>
      <c r="AT1809" s="19">
        <v>38.692893759999997</v>
      </c>
      <c r="AU1809" s="19">
        <v>-122.86878661999999</v>
      </c>
      <c r="AV1809" s="19" t="s">
        <v>548</v>
      </c>
    </row>
    <row r="1810" spans="1:48" x14ac:dyDescent="0.25">
      <c r="A1810" s="18" t="s">
        <v>2216</v>
      </c>
      <c r="B1810" s="10">
        <v>10000000</v>
      </c>
      <c r="C1810" s="9">
        <v>10</v>
      </c>
      <c r="D1810" s="8" t="str">
        <f t="shared" si="338"/>
        <v>N</v>
      </c>
      <c r="E1810" s="8" t="str">
        <f t="shared" si="339"/>
        <v>Y</v>
      </c>
      <c r="F1810" s="8" t="str">
        <f t="shared" si="340"/>
        <v>Y</v>
      </c>
      <c r="G1810" s="8" t="str">
        <f t="shared" si="341"/>
        <v>Y</v>
      </c>
      <c r="H1810" s="8" t="str">
        <f t="shared" si="342"/>
        <v>Upper</v>
      </c>
      <c r="I1810" s="8" t="str">
        <f t="shared" si="343"/>
        <v>West Fork and Below Lake</v>
      </c>
      <c r="J1810" s="8" t="str">
        <f t="shared" si="344"/>
        <v>Sonoma (d/s of Clov. Gage)</v>
      </c>
      <c r="K1810" s="8" t="str">
        <f t="shared" si="345"/>
        <v>Riparian</v>
      </c>
      <c r="L1810" s="8">
        <f t="shared" si="346"/>
        <v>1000</v>
      </c>
      <c r="M1810" s="8" t="str">
        <f t="shared" si="348"/>
        <v>-</v>
      </c>
      <c r="N1810" s="10" t="s">
        <v>241</v>
      </c>
      <c r="O1810" s="10" t="s">
        <v>241</v>
      </c>
      <c r="P1810" s="10" t="s">
        <v>242</v>
      </c>
      <c r="Q1810" s="10" t="s">
        <v>242</v>
      </c>
      <c r="R1810" s="10" t="s">
        <v>242</v>
      </c>
      <c r="S1810" s="10" t="s">
        <v>241</v>
      </c>
      <c r="T1810" s="10" t="s">
        <v>242</v>
      </c>
      <c r="U1810" s="10" t="s">
        <v>242</v>
      </c>
      <c r="V1810" s="10" t="s">
        <v>242</v>
      </c>
      <c r="W1810" s="10" t="s">
        <v>242</v>
      </c>
      <c r="X1810" s="15">
        <f>IF(ISERROR(VLOOKUP($A1810,'13. Updated Demand'!A:Z,15,FALSE)),0,VLOOKUP($A1810,'13. Updated Demand'!A:Z,15,FALSE))</f>
        <v>0</v>
      </c>
      <c r="Y1810" s="16">
        <f>IF(ISERROR(VLOOKUP($A1810,'13. Updated Demand'!A:Z,16,FALSE)),0,VLOOKUP($A1810,'13. Updated Demand'!A:Z,16,FALSE))</f>
        <v>0</v>
      </c>
      <c r="Z1810" s="16">
        <f>IF(ISERROR(VLOOKUP($A1810,'13. Updated Demand'!A:Z,17,FALSE)),0,VLOOKUP($A1810,'13. Updated Demand'!A:Z,17,FALSE))</f>
        <v>0</v>
      </c>
      <c r="AA1810" s="16">
        <f>IF(ISERROR(VLOOKUP($A1810,'13. Updated Demand'!A:Z,18,FALSE)),0,VLOOKUP($A1810,'13. Updated Demand'!A:Z,18,FALSE))</f>
        <v>0</v>
      </c>
      <c r="AB1810" s="16">
        <f>IF(ISERROR(VLOOKUP($A1810,'13. Updated Demand'!A:Z,19,FALSE)),0,VLOOKUP($A1810,'13. Updated Demand'!A:Z,19,FALSE))</f>
        <v>0</v>
      </c>
      <c r="AC1810" s="16">
        <f>IF(ISERROR(VLOOKUP($A1810,'13. Updated Demand'!A:Z,20,FALSE)),0,VLOOKUP($A1810,'13. Updated Demand'!A:Z,20,FALSE))</f>
        <v>0</v>
      </c>
      <c r="AD1810" s="16">
        <f>IF(ISERROR(VLOOKUP($A1810,'13. Updated Demand'!A:Z,21,FALSE)),0,VLOOKUP($A1810,'13. Updated Demand'!A:Z,21,FALSE))</f>
        <v>0</v>
      </c>
      <c r="AE1810" s="16">
        <f>IF(ISERROR(VLOOKUP($A1810,'13. Updated Demand'!A:Z,22,FALSE)),0,VLOOKUP($A1810,'13. Updated Demand'!A:Z,22,FALSE))</f>
        <v>0</v>
      </c>
      <c r="AF1810" s="16">
        <f>IF(ISERROR(VLOOKUP($A1810,'13. Updated Demand'!A:Z,23,FALSE)),0,VLOOKUP($A1810,'13. Updated Demand'!A:Z,23,FALSE))</f>
        <v>0</v>
      </c>
      <c r="AG1810" s="16">
        <f>IF(ISERROR(VLOOKUP($A1810,'13. Updated Demand'!A:Z,24,FALSE)),0,VLOOKUP($A1810,'13. Updated Demand'!A:Z,24,FALSE))</f>
        <v>0</v>
      </c>
      <c r="AH1810" s="16">
        <f>IF(ISERROR(VLOOKUP($A1810,'13. Updated Demand'!A:Z,25,FALSE)),0,VLOOKUP($A1810,'13. Updated Demand'!A:Z,25,FALSE))</f>
        <v>0</v>
      </c>
      <c r="AI1810" s="16">
        <f>IF(ISERROR(VLOOKUP($A1810,'13. Updated Demand'!A:Z,26,FALSE)),0,VLOOKUP($A1810,'13. Updated Demand'!A:Z,26,FALSE))</f>
        <v>0</v>
      </c>
      <c r="AJ1810" s="16">
        <f t="shared" si="349"/>
        <v>0</v>
      </c>
      <c r="AK1810" s="19">
        <v>17.166666666666671</v>
      </c>
      <c r="AL1810" s="16">
        <f t="shared" si="347"/>
        <v>5.6939877866239587E-2</v>
      </c>
      <c r="AM1810" s="26">
        <v>1.2358339249559572E-2</v>
      </c>
      <c r="AN1810" s="19">
        <v>1774.78</v>
      </c>
      <c r="AO1810" s="19" t="s">
        <v>1758</v>
      </c>
      <c r="AP1810" s="19">
        <v>0</v>
      </c>
      <c r="AQ1810" s="19" t="s">
        <v>307</v>
      </c>
      <c r="AR1810" s="9" t="s">
        <v>436</v>
      </c>
      <c r="AS1810" s="12">
        <v>0</v>
      </c>
      <c r="AT1810" s="19">
        <v>38.692629650000001</v>
      </c>
      <c r="AU1810" s="19">
        <v>-122.86738185</v>
      </c>
      <c r="AV1810" s="19" t="s">
        <v>548</v>
      </c>
    </row>
    <row r="1811" spans="1:48" x14ac:dyDescent="0.25">
      <c r="A1811" s="18" t="s">
        <v>2217</v>
      </c>
      <c r="B1811" s="10">
        <v>10000000</v>
      </c>
      <c r="C1811" s="9">
        <v>9</v>
      </c>
      <c r="D1811" s="8" t="str">
        <f t="shared" si="338"/>
        <v>N</v>
      </c>
      <c r="E1811" s="8" t="str">
        <f t="shared" si="339"/>
        <v>Y</v>
      </c>
      <c r="F1811" s="8" t="str">
        <f t="shared" si="340"/>
        <v>Y</v>
      </c>
      <c r="G1811" s="8" t="str">
        <f t="shared" si="341"/>
        <v>Y</v>
      </c>
      <c r="H1811" s="8" t="str">
        <f t="shared" si="342"/>
        <v>Upper</v>
      </c>
      <c r="I1811" s="8" t="str">
        <f t="shared" si="343"/>
        <v>West Fork and Below Lake</v>
      </c>
      <c r="J1811" s="8" t="str">
        <f t="shared" si="344"/>
        <v>Sonoma (d/s of Clov. Gage)</v>
      </c>
      <c r="K1811" s="8" t="str">
        <f t="shared" si="345"/>
        <v>Riparian</v>
      </c>
      <c r="L1811" s="8">
        <f t="shared" si="346"/>
        <v>1000</v>
      </c>
      <c r="M1811" s="8" t="str">
        <f t="shared" si="348"/>
        <v>-</v>
      </c>
      <c r="N1811" s="10" t="s">
        <v>241</v>
      </c>
      <c r="O1811" s="10" t="s">
        <v>241</v>
      </c>
      <c r="P1811" s="10" t="s">
        <v>242</v>
      </c>
      <c r="Q1811" s="10" t="s">
        <v>242</v>
      </c>
      <c r="R1811" s="10" t="s">
        <v>242</v>
      </c>
      <c r="S1811" s="10" t="s">
        <v>241</v>
      </c>
      <c r="T1811" s="10" t="s">
        <v>242</v>
      </c>
      <c r="U1811" s="10" t="s">
        <v>242</v>
      </c>
      <c r="V1811" s="10" t="s">
        <v>242</v>
      </c>
      <c r="W1811" s="10" t="s">
        <v>242</v>
      </c>
      <c r="X1811" s="15">
        <f>IF(ISERROR(VLOOKUP($A1811,'13. Updated Demand'!A:Z,15,FALSE)),0,VLOOKUP($A1811,'13. Updated Demand'!A:Z,15,FALSE))</f>
        <v>0</v>
      </c>
      <c r="Y1811" s="16">
        <f>IF(ISERROR(VLOOKUP($A1811,'13. Updated Demand'!A:Z,16,FALSE)),0,VLOOKUP($A1811,'13. Updated Demand'!A:Z,16,FALSE))</f>
        <v>0</v>
      </c>
      <c r="Z1811" s="16">
        <f>IF(ISERROR(VLOOKUP($A1811,'13. Updated Demand'!A:Z,17,FALSE)),0,VLOOKUP($A1811,'13. Updated Demand'!A:Z,17,FALSE))</f>
        <v>0</v>
      </c>
      <c r="AA1811" s="16">
        <f>IF(ISERROR(VLOOKUP($A1811,'13. Updated Demand'!A:Z,18,FALSE)),0,VLOOKUP($A1811,'13. Updated Demand'!A:Z,18,FALSE))</f>
        <v>0</v>
      </c>
      <c r="AB1811" s="16">
        <f>IF(ISERROR(VLOOKUP($A1811,'13. Updated Demand'!A:Z,19,FALSE)),0,VLOOKUP($A1811,'13. Updated Demand'!A:Z,19,FALSE))</f>
        <v>0</v>
      </c>
      <c r="AC1811" s="16">
        <f>IF(ISERROR(VLOOKUP($A1811,'13. Updated Demand'!A:Z,20,FALSE)),0,VLOOKUP($A1811,'13. Updated Demand'!A:Z,20,FALSE))</f>
        <v>0</v>
      </c>
      <c r="AD1811" s="16">
        <f>IF(ISERROR(VLOOKUP($A1811,'13. Updated Demand'!A:Z,21,FALSE)),0,VLOOKUP($A1811,'13. Updated Demand'!A:Z,21,FALSE))</f>
        <v>0</v>
      </c>
      <c r="AE1811" s="16">
        <f>IF(ISERROR(VLOOKUP($A1811,'13. Updated Demand'!A:Z,22,FALSE)),0,VLOOKUP($A1811,'13. Updated Demand'!A:Z,22,FALSE))</f>
        <v>0</v>
      </c>
      <c r="AF1811" s="16">
        <f>IF(ISERROR(VLOOKUP($A1811,'13. Updated Demand'!A:Z,23,FALSE)),0,VLOOKUP($A1811,'13. Updated Demand'!A:Z,23,FALSE))</f>
        <v>0</v>
      </c>
      <c r="AG1811" s="16">
        <f>IF(ISERROR(VLOOKUP($A1811,'13. Updated Demand'!A:Z,24,FALSE)),0,VLOOKUP($A1811,'13. Updated Demand'!A:Z,24,FALSE))</f>
        <v>0</v>
      </c>
      <c r="AH1811" s="16">
        <f>IF(ISERROR(VLOOKUP($A1811,'13. Updated Demand'!A:Z,25,FALSE)),0,VLOOKUP($A1811,'13. Updated Demand'!A:Z,25,FALSE))</f>
        <v>0</v>
      </c>
      <c r="AI1811" s="16">
        <f>IF(ISERROR(VLOOKUP($A1811,'13. Updated Demand'!A:Z,26,FALSE)),0,VLOOKUP($A1811,'13. Updated Demand'!A:Z,26,FALSE))</f>
        <v>0</v>
      </c>
      <c r="AJ1811" s="16">
        <f t="shared" si="349"/>
        <v>0</v>
      </c>
      <c r="AK1811" s="19">
        <v>6.8000000000000034</v>
      </c>
      <c r="AL1811" s="16">
        <f t="shared" si="347"/>
        <v>2.2554825407209472E-2</v>
      </c>
      <c r="AM1811" s="26">
        <v>1.915222787668951E-2</v>
      </c>
      <c r="AN1811" s="19">
        <v>402.04199999999997</v>
      </c>
      <c r="AO1811" s="19" t="s">
        <v>1758</v>
      </c>
      <c r="AP1811" s="19">
        <v>0</v>
      </c>
      <c r="AQ1811" s="19" t="s">
        <v>307</v>
      </c>
      <c r="AR1811" s="9" t="s">
        <v>354</v>
      </c>
      <c r="AS1811" s="12">
        <v>0</v>
      </c>
      <c r="AT1811" s="19">
        <v>38.804023970000003</v>
      </c>
      <c r="AU1811" s="19">
        <v>-122.99876202999999</v>
      </c>
      <c r="AV1811" s="19" t="s">
        <v>548</v>
      </c>
    </row>
    <row r="1812" spans="1:48" x14ac:dyDescent="0.25">
      <c r="A1812" s="18" t="s">
        <v>2218</v>
      </c>
      <c r="B1812" s="10">
        <v>10000000</v>
      </c>
      <c r="C1812" s="9">
        <v>9</v>
      </c>
      <c r="D1812" s="8" t="str">
        <f t="shared" si="338"/>
        <v>N</v>
      </c>
      <c r="E1812" s="8" t="str">
        <f t="shared" si="339"/>
        <v>Y</v>
      </c>
      <c r="F1812" s="8" t="str">
        <f t="shared" si="340"/>
        <v>Y</v>
      </c>
      <c r="G1812" s="8" t="str">
        <f t="shared" si="341"/>
        <v>Y</v>
      </c>
      <c r="H1812" s="8" t="str">
        <f t="shared" si="342"/>
        <v>Upper</v>
      </c>
      <c r="I1812" s="8" t="str">
        <f t="shared" si="343"/>
        <v>West Fork and Below Lake</v>
      </c>
      <c r="J1812" s="8" t="str">
        <f t="shared" si="344"/>
        <v>Sonoma (d/s of Clov. Gage)</v>
      </c>
      <c r="K1812" s="8" t="str">
        <f t="shared" si="345"/>
        <v>Riparian</v>
      </c>
      <c r="L1812" s="8">
        <f t="shared" si="346"/>
        <v>1000</v>
      </c>
      <c r="M1812" s="8" t="str">
        <f t="shared" si="348"/>
        <v>-</v>
      </c>
      <c r="N1812" s="10" t="s">
        <v>241</v>
      </c>
      <c r="O1812" s="10" t="s">
        <v>241</v>
      </c>
      <c r="P1812" s="10" t="s">
        <v>242</v>
      </c>
      <c r="Q1812" s="10" t="s">
        <v>242</v>
      </c>
      <c r="R1812" s="10" t="s">
        <v>242</v>
      </c>
      <c r="S1812" s="10" t="s">
        <v>241</v>
      </c>
      <c r="T1812" s="10" t="s">
        <v>242</v>
      </c>
      <c r="U1812" s="10" t="s">
        <v>242</v>
      </c>
      <c r="V1812" s="10" t="s">
        <v>242</v>
      </c>
      <c r="W1812" s="10" t="s">
        <v>242</v>
      </c>
      <c r="X1812" s="15">
        <f>IF(ISERROR(VLOOKUP($A1812,'13. Updated Demand'!A:Z,15,FALSE)),0,VLOOKUP($A1812,'13. Updated Demand'!A:Z,15,FALSE))</f>
        <v>0</v>
      </c>
      <c r="Y1812" s="16">
        <f>IF(ISERROR(VLOOKUP($A1812,'13. Updated Demand'!A:Z,16,FALSE)),0,VLOOKUP($A1812,'13. Updated Demand'!A:Z,16,FALSE))</f>
        <v>0</v>
      </c>
      <c r="Z1812" s="16">
        <f>IF(ISERROR(VLOOKUP($A1812,'13. Updated Demand'!A:Z,17,FALSE)),0,VLOOKUP($A1812,'13. Updated Demand'!A:Z,17,FALSE))</f>
        <v>0</v>
      </c>
      <c r="AA1812" s="16">
        <f>IF(ISERROR(VLOOKUP($A1812,'13. Updated Demand'!A:Z,18,FALSE)),0,VLOOKUP($A1812,'13. Updated Demand'!A:Z,18,FALSE))</f>
        <v>0</v>
      </c>
      <c r="AB1812" s="16">
        <f>IF(ISERROR(VLOOKUP($A1812,'13. Updated Demand'!A:Z,19,FALSE)),0,VLOOKUP($A1812,'13. Updated Demand'!A:Z,19,FALSE))</f>
        <v>0</v>
      </c>
      <c r="AC1812" s="16">
        <f>IF(ISERROR(VLOOKUP($A1812,'13. Updated Demand'!A:Z,20,FALSE)),0,VLOOKUP($A1812,'13. Updated Demand'!A:Z,20,FALSE))</f>
        <v>0</v>
      </c>
      <c r="AD1812" s="16">
        <f>IF(ISERROR(VLOOKUP($A1812,'13. Updated Demand'!A:Z,21,FALSE)),0,VLOOKUP($A1812,'13. Updated Demand'!A:Z,21,FALSE))</f>
        <v>0</v>
      </c>
      <c r="AE1812" s="16">
        <f>IF(ISERROR(VLOOKUP($A1812,'13. Updated Demand'!A:Z,22,FALSE)),0,VLOOKUP($A1812,'13. Updated Demand'!A:Z,22,FALSE))</f>
        <v>0</v>
      </c>
      <c r="AF1812" s="16">
        <f>IF(ISERROR(VLOOKUP($A1812,'13. Updated Demand'!A:Z,23,FALSE)),0,VLOOKUP($A1812,'13. Updated Demand'!A:Z,23,FALSE))</f>
        <v>0</v>
      </c>
      <c r="AG1812" s="16">
        <f>IF(ISERROR(VLOOKUP($A1812,'13. Updated Demand'!A:Z,24,FALSE)),0,VLOOKUP($A1812,'13. Updated Demand'!A:Z,24,FALSE))</f>
        <v>0</v>
      </c>
      <c r="AH1812" s="16">
        <f>IF(ISERROR(VLOOKUP($A1812,'13. Updated Demand'!A:Z,25,FALSE)),0,VLOOKUP($A1812,'13. Updated Demand'!A:Z,25,FALSE))</f>
        <v>0</v>
      </c>
      <c r="AI1812" s="16">
        <f>IF(ISERROR(VLOOKUP($A1812,'13. Updated Demand'!A:Z,26,FALSE)),0,VLOOKUP($A1812,'13. Updated Demand'!A:Z,26,FALSE))</f>
        <v>0</v>
      </c>
      <c r="AJ1812" s="16">
        <f t="shared" si="349"/>
        <v>0</v>
      </c>
      <c r="AK1812" s="19">
        <v>42.166666666666664</v>
      </c>
      <c r="AL1812" s="16">
        <f t="shared" si="347"/>
        <v>0.1398620300986273</v>
      </c>
      <c r="AM1812" s="26">
        <v>5.9570890603469304E-2</v>
      </c>
      <c r="AN1812" s="19">
        <v>804.08399999999995</v>
      </c>
      <c r="AO1812" s="19" t="s">
        <v>1758</v>
      </c>
      <c r="AP1812" s="19">
        <v>0</v>
      </c>
      <c r="AQ1812" s="19" t="s">
        <v>307</v>
      </c>
      <c r="AR1812" s="9" t="s">
        <v>354</v>
      </c>
      <c r="AS1812" s="12">
        <v>0</v>
      </c>
      <c r="AT1812" s="19">
        <v>38.80345827</v>
      </c>
      <c r="AU1812" s="19">
        <v>-123.00068426</v>
      </c>
      <c r="AV1812" s="19" t="s">
        <v>548</v>
      </c>
    </row>
    <row r="1813" spans="1:48" x14ac:dyDescent="0.25">
      <c r="A1813" s="18" t="s">
        <v>2219</v>
      </c>
      <c r="B1813" s="10">
        <v>10000000</v>
      </c>
      <c r="C1813" s="9">
        <v>9</v>
      </c>
      <c r="D1813" s="8" t="str">
        <f t="shared" si="338"/>
        <v>N</v>
      </c>
      <c r="E1813" s="8" t="str">
        <f t="shared" si="339"/>
        <v>Y</v>
      </c>
      <c r="F1813" s="8" t="str">
        <f t="shared" si="340"/>
        <v>Y</v>
      </c>
      <c r="G1813" s="8" t="str">
        <f t="shared" si="341"/>
        <v>Y</v>
      </c>
      <c r="H1813" s="8" t="str">
        <f t="shared" si="342"/>
        <v>Upper</v>
      </c>
      <c r="I1813" s="8" t="str">
        <f t="shared" si="343"/>
        <v>West Fork and Below Lake</v>
      </c>
      <c r="J1813" s="8" t="str">
        <f t="shared" si="344"/>
        <v>Sonoma (d/s of Clov. Gage)</v>
      </c>
      <c r="K1813" s="8" t="str">
        <f t="shared" si="345"/>
        <v>Riparian</v>
      </c>
      <c r="L1813" s="8">
        <f t="shared" si="346"/>
        <v>1000</v>
      </c>
      <c r="M1813" s="8" t="str">
        <f t="shared" si="348"/>
        <v>-</v>
      </c>
      <c r="N1813" s="10" t="s">
        <v>241</v>
      </c>
      <c r="O1813" s="10" t="s">
        <v>241</v>
      </c>
      <c r="P1813" s="10" t="s">
        <v>242</v>
      </c>
      <c r="Q1813" s="10" t="s">
        <v>242</v>
      </c>
      <c r="R1813" s="10" t="s">
        <v>242</v>
      </c>
      <c r="S1813" s="10" t="s">
        <v>241</v>
      </c>
      <c r="T1813" s="10" t="s">
        <v>242</v>
      </c>
      <c r="U1813" s="10" t="s">
        <v>242</v>
      </c>
      <c r="V1813" s="10" t="s">
        <v>242</v>
      </c>
      <c r="W1813" s="10" t="s">
        <v>242</v>
      </c>
      <c r="X1813" s="15">
        <f>IF(ISERROR(VLOOKUP($A1813,'13. Updated Demand'!A:Z,15,FALSE)),0,VLOOKUP($A1813,'13. Updated Demand'!A:Z,15,FALSE))</f>
        <v>0</v>
      </c>
      <c r="Y1813" s="16">
        <f>IF(ISERROR(VLOOKUP($A1813,'13. Updated Demand'!A:Z,16,FALSE)),0,VLOOKUP($A1813,'13. Updated Demand'!A:Z,16,FALSE))</f>
        <v>0</v>
      </c>
      <c r="Z1813" s="16">
        <f>IF(ISERROR(VLOOKUP($A1813,'13. Updated Demand'!A:Z,17,FALSE)),0,VLOOKUP($A1813,'13. Updated Demand'!A:Z,17,FALSE))</f>
        <v>0</v>
      </c>
      <c r="AA1813" s="16">
        <f>IF(ISERROR(VLOOKUP($A1813,'13. Updated Demand'!A:Z,18,FALSE)),0,VLOOKUP($A1813,'13. Updated Demand'!A:Z,18,FALSE))</f>
        <v>0</v>
      </c>
      <c r="AB1813" s="16">
        <f>IF(ISERROR(VLOOKUP($A1813,'13. Updated Demand'!A:Z,19,FALSE)),0,VLOOKUP($A1813,'13. Updated Demand'!A:Z,19,FALSE))</f>
        <v>0</v>
      </c>
      <c r="AC1813" s="16">
        <f>IF(ISERROR(VLOOKUP($A1813,'13. Updated Demand'!A:Z,20,FALSE)),0,VLOOKUP($A1813,'13. Updated Demand'!A:Z,20,FALSE))</f>
        <v>0</v>
      </c>
      <c r="AD1813" s="16">
        <f>IF(ISERROR(VLOOKUP($A1813,'13. Updated Demand'!A:Z,21,FALSE)),0,VLOOKUP($A1813,'13. Updated Demand'!A:Z,21,FALSE))</f>
        <v>0</v>
      </c>
      <c r="AE1813" s="16">
        <f>IF(ISERROR(VLOOKUP($A1813,'13. Updated Demand'!A:Z,22,FALSE)),0,VLOOKUP($A1813,'13. Updated Demand'!A:Z,22,FALSE))</f>
        <v>0</v>
      </c>
      <c r="AF1813" s="16">
        <f>IF(ISERROR(VLOOKUP($A1813,'13. Updated Demand'!A:Z,23,FALSE)),0,VLOOKUP($A1813,'13. Updated Demand'!A:Z,23,FALSE))</f>
        <v>0</v>
      </c>
      <c r="AG1813" s="16">
        <f>IF(ISERROR(VLOOKUP($A1813,'13. Updated Demand'!A:Z,24,FALSE)),0,VLOOKUP($A1813,'13. Updated Demand'!A:Z,24,FALSE))</f>
        <v>0</v>
      </c>
      <c r="AH1813" s="16">
        <f>IF(ISERROR(VLOOKUP($A1813,'13. Updated Demand'!A:Z,25,FALSE)),0,VLOOKUP($A1813,'13. Updated Demand'!A:Z,25,FALSE))</f>
        <v>0</v>
      </c>
      <c r="AI1813" s="16">
        <f>IF(ISERROR(VLOOKUP($A1813,'13. Updated Demand'!A:Z,26,FALSE)),0,VLOOKUP($A1813,'13. Updated Demand'!A:Z,26,FALSE))</f>
        <v>0</v>
      </c>
      <c r="AJ1813" s="16">
        <f t="shared" si="349"/>
        <v>0</v>
      </c>
      <c r="AK1813" s="19">
        <v>1.33333333333333E-3</v>
      </c>
      <c r="AL1813" s="16">
        <f t="shared" si="347"/>
        <v>4.4225147857273347E-6</v>
      </c>
      <c r="AM1813" s="26">
        <v>1.10215791498174E-6</v>
      </c>
      <c r="AN1813" s="19">
        <v>1209.748</v>
      </c>
      <c r="AO1813" s="19" t="s">
        <v>1758</v>
      </c>
      <c r="AP1813" s="19">
        <v>0</v>
      </c>
      <c r="AQ1813" s="19" t="s">
        <v>307</v>
      </c>
      <c r="AR1813" s="9" t="s">
        <v>354</v>
      </c>
      <c r="AS1813" s="12">
        <v>0</v>
      </c>
      <c r="AT1813" s="19">
        <v>38.80302073</v>
      </c>
      <c r="AU1813" s="19">
        <v>-123.00366106</v>
      </c>
      <c r="AV1813" s="19" t="s">
        <v>548</v>
      </c>
    </row>
    <row r="1814" spans="1:48" x14ac:dyDescent="0.25">
      <c r="A1814" s="18" t="s">
        <v>2220</v>
      </c>
      <c r="B1814" s="10">
        <v>10000000</v>
      </c>
      <c r="C1814" s="9">
        <v>9</v>
      </c>
      <c r="D1814" s="8" t="str">
        <f t="shared" si="338"/>
        <v>N</v>
      </c>
      <c r="E1814" s="8" t="str">
        <f t="shared" si="339"/>
        <v>Y</v>
      </c>
      <c r="F1814" s="8" t="str">
        <f t="shared" si="340"/>
        <v>Y</v>
      </c>
      <c r="G1814" s="8" t="str">
        <f t="shared" si="341"/>
        <v>Y</v>
      </c>
      <c r="H1814" s="8" t="str">
        <f t="shared" si="342"/>
        <v>Upper</v>
      </c>
      <c r="I1814" s="8" t="str">
        <f t="shared" si="343"/>
        <v>West Fork and Below Lake</v>
      </c>
      <c r="J1814" s="8" t="str">
        <f t="shared" si="344"/>
        <v>Sonoma (d/s of Clov. Gage)</v>
      </c>
      <c r="K1814" s="8" t="str">
        <f t="shared" si="345"/>
        <v>Riparian</v>
      </c>
      <c r="L1814" s="8">
        <f t="shared" si="346"/>
        <v>1000</v>
      </c>
      <c r="M1814" s="8" t="str">
        <f t="shared" si="348"/>
        <v>-</v>
      </c>
      <c r="N1814" s="10" t="s">
        <v>241</v>
      </c>
      <c r="O1814" s="10" t="s">
        <v>241</v>
      </c>
      <c r="P1814" s="10" t="s">
        <v>242</v>
      </c>
      <c r="Q1814" s="10" t="s">
        <v>242</v>
      </c>
      <c r="R1814" s="10" t="s">
        <v>242</v>
      </c>
      <c r="S1814" s="10" t="s">
        <v>241</v>
      </c>
      <c r="T1814" s="10" t="s">
        <v>242</v>
      </c>
      <c r="U1814" s="10" t="s">
        <v>242</v>
      </c>
      <c r="V1814" s="10" t="s">
        <v>242</v>
      </c>
      <c r="W1814" s="10" t="s">
        <v>242</v>
      </c>
      <c r="X1814" s="15">
        <f>IF(ISERROR(VLOOKUP($A1814,'13. Updated Demand'!A:Z,15,FALSE)),0,VLOOKUP($A1814,'13. Updated Demand'!A:Z,15,FALSE))</f>
        <v>0</v>
      </c>
      <c r="Y1814" s="16">
        <f>IF(ISERROR(VLOOKUP($A1814,'13. Updated Demand'!A:Z,16,FALSE)),0,VLOOKUP($A1814,'13. Updated Demand'!A:Z,16,FALSE))</f>
        <v>0</v>
      </c>
      <c r="Z1814" s="16">
        <f>IF(ISERROR(VLOOKUP($A1814,'13. Updated Demand'!A:Z,17,FALSE)),0,VLOOKUP($A1814,'13. Updated Demand'!A:Z,17,FALSE))</f>
        <v>0</v>
      </c>
      <c r="AA1814" s="16">
        <f>IF(ISERROR(VLOOKUP($A1814,'13. Updated Demand'!A:Z,18,FALSE)),0,VLOOKUP($A1814,'13. Updated Demand'!A:Z,18,FALSE))</f>
        <v>0</v>
      </c>
      <c r="AB1814" s="16">
        <f>IF(ISERROR(VLOOKUP($A1814,'13. Updated Demand'!A:Z,19,FALSE)),0,VLOOKUP($A1814,'13. Updated Demand'!A:Z,19,FALSE))</f>
        <v>0</v>
      </c>
      <c r="AC1814" s="16">
        <f>IF(ISERROR(VLOOKUP($A1814,'13. Updated Demand'!A:Z,20,FALSE)),0,VLOOKUP($A1814,'13. Updated Demand'!A:Z,20,FALSE))</f>
        <v>0</v>
      </c>
      <c r="AD1814" s="16">
        <f>IF(ISERROR(VLOOKUP($A1814,'13. Updated Demand'!A:Z,21,FALSE)),0,VLOOKUP($A1814,'13. Updated Demand'!A:Z,21,FALSE))</f>
        <v>0</v>
      </c>
      <c r="AE1814" s="16">
        <f>IF(ISERROR(VLOOKUP($A1814,'13. Updated Demand'!A:Z,22,FALSE)),0,VLOOKUP($A1814,'13. Updated Demand'!A:Z,22,FALSE))</f>
        <v>0</v>
      </c>
      <c r="AF1814" s="16">
        <f>IF(ISERROR(VLOOKUP($A1814,'13. Updated Demand'!A:Z,23,FALSE)),0,VLOOKUP($A1814,'13. Updated Demand'!A:Z,23,FALSE))</f>
        <v>0</v>
      </c>
      <c r="AG1814" s="16">
        <f>IF(ISERROR(VLOOKUP($A1814,'13. Updated Demand'!A:Z,24,FALSE)),0,VLOOKUP($A1814,'13. Updated Demand'!A:Z,24,FALSE))</f>
        <v>0</v>
      </c>
      <c r="AH1814" s="16">
        <f>IF(ISERROR(VLOOKUP($A1814,'13. Updated Demand'!A:Z,25,FALSE)),0,VLOOKUP($A1814,'13. Updated Demand'!A:Z,25,FALSE))</f>
        <v>0</v>
      </c>
      <c r="AI1814" s="16">
        <f>IF(ISERROR(VLOOKUP($A1814,'13. Updated Demand'!A:Z,26,FALSE)),0,VLOOKUP($A1814,'13. Updated Demand'!A:Z,26,FALSE))</f>
        <v>0</v>
      </c>
      <c r="AJ1814" s="16">
        <f t="shared" si="349"/>
        <v>0</v>
      </c>
      <c r="AK1814" s="19">
        <v>1.666666666666667E-2</v>
      </c>
      <c r="AL1814" s="16">
        <f t="shared" si="347"/>
        <v>5.5281434821591827E-5</v>
      </c>
      <c r="AM1814" s="26">
        <v>1.3943967560753871E-4</v>
      </c>
      <c r="AN1814" s="19">
        <v>119.526</v>
      </c>
      <c r="AO1814" s="19" t="s">
        <v>1758</v>
      </c>
      <c r="AP1814" s="19">
        <v>0</v>
      </c>
      <c r="AQ1814" s="19" t="s">
        <v>307</v>
      </c>
      <c r="AR1814" s="9" t="s">
        <v>354</v>
      </c>
      <c r="AS1814" s="12">
        <v>0</v>
      </c>
      <c r="AT1814" s="19">
        <v>38.802349460000002</v>
      </c>
      <c r="AU1814" s="19">
        <v>-123.00189693999999</v>
      </c>
      <c r="AV1814" s="19" t="s">
        <v>548</v>
      </c>
    </row>
    <row r="1815" spans="1:48" x14ac:dyDescent="0.25">
      <c r="A1815" s="18" t="s">
        <v>2221</v>
      </c>
      <c r="B1815" s="10">
        <v>10000000</v>
      </c>
      <c r="C1815" s="9">
        <v>9</v>
      </c>
      <c r="D1815" s="8" t="str">
        <f t="shared" si="338"/>
        <v>N</v>
      </c>
      <c r="E1815" s="8" t="str">
        <f t="shared" si="339"/>
        <v>Y</v>
      </c>
      <c r="F1815" s="8" t="str">
        <f t="shared" si="340"/>
        <v>Y</v>
      </c>
      <c r="G1815" s="8" t="str">
        <f t="shared" si="341"/>
        <v>Y</v>
      </c>
      <c r="H1815" s="8" t="str">
        <f t="shared" si="342"/>
        <v>Upper</v>
      </c>
      <c r="I1815" s="8" t="str">
        <f t="shared" si="343"/>
        <v>West Fork and Below Lake</v>
      </c>
      <c r="J1815" s="8" t="str">
        <f t="shared" si="344"/>
        <v>Sonoma (d/s of Clov. Gage)</v>
      </c>
      <c r="K1815" s="8" t="str">
        <f t="shared" si="345"/>
        <v>Riparian</v>
      </c>
      <c r="L1815" s="8">
        <f t="shared" si="346"/>
        <v>1000</v>
      </c>
      <c r="M1815" s="8" t="str">
        <f t="shared" si="348"/>
        <v>-</v>
      </c>
      <c r="N1815" s="10" t="s">
        <v>241</v>
      </c>
      <c r="O1815" s="10" t="s">
        <v>241</v>
      </c>
      <c r="P1815" s="10" t="s">
        <v>242</v>
      </c>
      <c r="Q1815" s="10" t="s">
        <v>242</v>
      </c>
      <c r="R1815" s="10" t="s">
        <v>242</v>
      </c>
      <c r="S1815" s="10" t="s">
        <v>241</v>
      </c>
      <c r="T1815" s="10" t="s">
        <v>242</v>
      </c>
      <c r="U1815" s="10" t="s">
        <v>242</v>
      </c>
      <c r="V1815" s="10" t="s">
        <v>242</v>
      </c>
      <c r="W1815" s="10" t="s">
        <v>242</v>
      </c>
      <c r="X1815" s="15">
        <f>IF(ISERROR(VLOOKUP($A1815,'13. Updated Demand'!A:Z,15,FALSE)),0,VLOOKUP($A1815,'13. Updated Demand'!A:Z,15,FALSE))</f>
        <v>0</v>
      </c>
      <c r="Y1815" s="16">
        <f>IF(ISERROR(VLOOKUP($A1815,'13. Updated Demand'!A:Z,16,FALSE)),0,VLOOKUP($A1815,'13. Updated Demand'!A:Z,16,FALSE))</f>
        <v>0</v>
      </c>
      <c r="Z1815" s="16">
        <f>IF(ISERROR(VLOOKUP($A1815,'13. Updated Demand'!A:Z,17,FALSE)),0,VLOOKUP($A1815,'13. Updated Demand'!A:Z,17,FALSE))</f>
        <v>0</v>
      </c>
      <c r="AA1815" s="16">
        <f>IF(ISERROR(VLOOKUP($A1815,'13. Updated Demand'!A:Z,18,FALSE)),0,VLOOKUP($A1815,'13. Updated Demand'!A:Z,18,FALSE))</f>
        <v>0</v>
      </c>
      <c r="AB1815" s="16">
        <f>IF(ISERROR(VLOOKUP($A1815,'13. Updated Demand'!A:Z,19,FALSE)),0,VLOOKUP($A1815,'13. Updated Demand'!A:Z,19,FALSE))</f>
        <v>0</v>
      </c>
      <c r="AC1815" s="16">
        <f>IF(ISERROR(VLOOKUP($A1815,'13. Updated Demand'!A:Z,20,FALSE)),0,VLOOKUP($A1815,'13. Updated Demand'!A:Z,20,FALSE))</f>
        <v>0</v>
      </c>
      <c r="AD1815" s="16">
        <f>IF(ISERROR(VLOOKUP($A1815,'13. Updated Demand'!A:Z,21,FALSE)),0,VLOOKUP($A1815,'13. Updated Demand'!A:Z,21,FALSE))</f>
        <v>0</v>
      </c>
      <c r="AE1815" s="16">
        <f>IF(ISERROR(VLOOKUP($A1815,'13. Updated Demand'!A:Z,22,FALSE)),0,VLOOKUP($A1815,'13. Updated Demand'!A:Z,22,FALSE))</f>
        <v>0</v>
      </c>
      <c r="AF1815" s="16">
        <f>IF(ISERROR(VLOOKUP($A1815,'13. Updated Demand'!A:Z,23,FALSE)),0,VLOOKUP($A1815,'13. Updated Demand'!A:Z,23,FALSE))</f>
        <v>0</v>
      </c>
      <c r="AG1815" s="16">
        <f>IF(ISERROR(VLOOKUP($A1815,'13. Updated Demand'!A:Z,24,FALSE)),0,VLOOKUP($A1815,'13. Updated Demand'!A:Z,24,FALSE))</f>
        <v>0</v>
      </c>
      <c r="AH1815" s="16">
        <f>IF(ISERROR(VLOOKUP($A1815,'13. Updated Demand'!A:Z,25,FALSE)),0,VLOOKUP($A1815,'13. Updated Demand'!A:Z,25,FALSE))</f>
        <v>0</v>
      </c>
      <c r="AI1815" s="16">
        <f>IF(ISERROR(VLOOKUP($A1815,'13. Updated Demand'!A:Z,26,FALSE)),0,VLOOKUP($A1815,'13. Updated Demand'!A:Z,26,FALSE))</f>
        <v>0</v>
      </c>
      <c r="AJ1815" s="16">
        <f t="shared" si="349"/>
        <v>0</v>
      </c>
      <c r="AK1815" s="19">
        <v>3.2999999999999958</v>
      </c>
      <c r="AL1815" s="16">
        <f t="shared" si="347"/>
        <v>1.0945724094675167E-2</v>
      </c>
      <c r="AM1815" s="26">
        <v>5.8594758649182224E-3</v>
      </c>
      <c r="AN1815" s="19">
        <v>1006.9160000000001</v>
      </c>
      <c r="AO1815" s="19" t="s">
        <v>1758</v>
      </c>
      <c r="AP1815" s="19">
        <v>0</v>
      </c>
      <c r="AQ1815" s="19" t="s">
        <v>307</v>
      </c>
      <c r="AR1815" s="9" t="s">
        <v>354</v>
      </c>
      <c r="AS1815" s="12">
        <v>0</v>
      </c>
      <c r="AT1815" s="19">
        <v>38.799338349999999</v>
      </c>
      <c r="AU1815" s="19">
        <v>-123.00080182000001</v>
      </c>
      <c r="AV1815" s="19" t="s">
        <v>548</v>
      </c>
    </row>
    <row r="1816" spans="1:48" x14ac:dyDescent="0.25">
      <c r="A1816" s="18" t="s">
        <v>2222</v>
      </c>
      <c r="B1816" s="10">
        <v>10000000</v>
      </c>
      <c r="C1816" s="9">
        <v>9</v>
      </c>
      <c r="D1816" s="8" t="str">
        <f t="shared" si="338"/>
        <v>N</v>
      </c>
      <c r="E1816" s="8" t="str">
        <f t="shared" si="339"/>
        <v>Y</v>
      </c>
      <c r="F1816" s="8" t="str">
        <f t="shared" si="340"/>
        <v>Y</v>
      </c>
      <c r="G1816" s="8" t="str">
        <f t="shared" si="341"/>
        <v>Y</v>
      </c>
      <c r="H1816" s="8" t="str">
        <f t="shared" si="342"/>
        <v>Upper</v>
      </c>
      <c r="I1816" s="8" t="str">
        <f t="shared" si="343"/>
        <v>West Fork and Below Lake</v>
      </c>
      <c r="J1816" s="8" t="str">
        <f t="shared" si="344"/>
        <v>Sonoma (d/s of Clov. Gage)</v>
      </c>
      <c r="K1816" s="8" t="str">
        <f t="shared" si="345"/>
        <v>Riparian</v>
      </c>
      <c r="L1816" s="8">
        <f t="shared" si="346"/>
        <v>1000</v>
      </c>
      <c r="M1816" s="8" t="str">
        <f t="shared" si="348"/>
        <v>-</v>
      </c>
      <c r="N1816" s="10" t="s">
        <v>241</v>
      </c>
      <c r="O1816" s="10" t="s">
        <v>241</v>
      </c>
      <c r="P1816" s="10" t="s">
        <v>242</v>
      </c>
      <c r="Q1816" s="10" t="s">
        <v>242</v>
      </c>
      <c r="R1816" s="10" t="s">
        <v>242</v>
      </c>
      <c r="S1816" s="10" t="s">
        <v>241</v>
      </c>
      <c r="T1816" s="10" t="s">
        <v>242</v>
      </c>
      <c r="U1816" s="10" t="s">
        <v>242</v>
      </c>
      <c r="V1816" s="10" t="s">
        <v>242</v>
      </c>
      <c r="W1816" s="10" t="s">
        <v>242</v>
      </c>
      <c r="X1816" s="15">
        <f>IF(ISERROR(VLOOKUP($A1816,'13. Updated Demand'!A:Z,15,FALSE)),0,VLOOKUP($A1816,'13. Updated Demand'!A:Z,15,FALSE))</f>
        <v>0</v>
      </c>
      <c r="Y1816" s="16">
        <f>IF(ISERROR(VLOOKUP($A1816,'13. Updated Demand'!A:Z,16,FALSE)),0,VLOOKUP($A1816,'13. Updated Demand'!A:Z,16,FALSE))</f>
        <v>0</v>
      </c>
      <c r="Z1816" s="16">
        <f>IF(ISERROR(VLOOKUP($A1816,'13. Updated Demand'!A:Z,17,FALSE)),0,VLOOKUP($A1816,'13. Updated Demand'!A:Z,17,FALSE))</f>
        <v>0</v>
      </c>
      <c r="AA1816" s="16">
        <f>IF(ISERROR(VLOOKUP($A1816,'13. Updated Demand'!A:Z,18,FALSE)),0,VLOOKUP($A1816,'13. Updated Demand'!A:Z,18,FALSE))</f>
        <v>0</v>
      </c>
      <c r="AB1816" s="16">
        <f>IF(ISERROR(VLOOKUP($A1816,'13. Updated Demand'!A:Z,19,FALSE)),0,VLOOKUP($A1816,'13. Updated Demand'!A:Z,19,FALSE))</f>
        <v>0</v>
      </c>
      <c r="AC1816" s="16">
        <f>IF(ISERROR(VLOOKUP($A1816,'13. Updated Demand'!A:Z,20,FALSE)),0,VLOOKUP($A1816,'13. Updated Demand'!A:Z,20,FALSE))</f>
        <v>0</v>
      </c>
      <c r="AD1816" s="16">
        <f>IF(ISERROR(VLOOKUP($A1816,'13. Updated Demand'!A:Z,21,FALSE)),0,VLOOKUP($A1816,'13. Updated Demand'!A:Z,21,FALSE))</f>
        <v>0</v>
      </c>
      <c r="AE1816" s="16">
        <f>IF(ISERROR(VLOOKUP($A1816,'13. Updated Demand'!A:Z,22,FALSE)),0,VLOOKUP($A1816,'13. Updated Demand'!A:Z,22,FALSE))</f>
        <v>0</v>
      </c>
      <c r="AF1816" s="16">
        <f>IF(ISERROR(VLOOKUP($A1816,'13. Updated Demand'!A:Z,23,FALSE)),0,VLOOKUP($A1816,'13. Updated Demand'!A:Z,23,FALSE))</f>
        <v>0</v>
      </c>
      <c r="AG1816" s="16">
        <f>IF(ISERROR(VLOOKUP($A1816,'13. Updated Demand'!A:Z,24,FALSE)),0,VLOOKUP($A1816,'13. Updated Demand'!A:Z,24,FALSE))</f>
        <v>0</v>
      </c>
      <c r="AH1816" s="16">
        <f>IF(ISERROR(VLOOKUP($A1816,'13. Updated Demand'!A:Z,25,FALSE)),0,VLOOKUP($A1816,'13. Updated Demand'!A:Z,25,FALSE))</f>
        <v>0</v>
      </c>
      <c r="AI1816" s="16">
        <f>IF(ISERROR(VLOOKUP($A1816,'13. Updated Demand'!A:Z,26,FALSE)),0,VLOOKUP($A1816,'13. Updated Demand'!A:Z,26,FALSE))</f>
        <v>0</v>
      </c>
      <c r="AJ1816" s="16">
        <f t="shared" si="349"/>
        <v>0</v>
      </c>
      <c r="AK1816" s="19">
        <v>8.5333333333333314</v>
      </c>
      <c r="AL1816" s="16">
        <f t="shared" si="347"/>
        <v>2.8304094628655005E-2</v>
      </c>
      <c r="AM1816" s="26">
        <v>6.8170508074796672E-3</v>
      </c>
      <c r="AN1816" s="19">
        <v>1369.116</v>
      </c>
      <c r="AO1816" s="19" t="s">
        <v>1758</v>
      </c>
      <c r="AP1816" s="19">
        <v>0</v>
      </c>
      <c r="AQ1816" s="19" t="s">
        <v>307</v>
      </c>
      <c r="AR1816" s="9" t="s">
        <v>354</v>
      </c>
      <c r="AS1816" s="12">
        <v>0</v>
      </c>
      <c r="AT1816" s="19">
        <v>38.80044865</v>
      </c>
      <c r="AU1816" s="19">
        <v>-122.99941373</v>
      </c>
      <c r="AV1816" s="19" t="s">
        <v>548</v>
      </c>
    </row>
    <row r="1817" spans="1:48" x14ac:dyDescent="0.25">
      <c r="A1817" s="18" t="s">
        <v>2223</v>
      </c>
      <c r="B1817" s="10">
        <v>10000000</v>
      </c>
      <c r="C1817" s="9">
        <v>9</v>
      </c>
      <c r="D1817" s="8" t="str">
        <f t="shared" si="338"/>
        <v>N</v>
      </c>
      <c r="E1817" s="8" t="str">
        <f t="shared" si="339"/>
        <v>Y</v>
      </c>
      <c r="F1817" s="8" t="str">
        <f t="shared" si="340"/>
        <v>Y</v>
      </c>
      <c r="G1817" s="8" t="str">
        <f t="shared" si="341"/>
        <v>Y</v>
      </c>
      <c r="H1817" s="8" t="str">
        <f t="shared" si="342"/>
        <v>Upper</v>
      </c>
      <c r="I1817" s="8" t="str">
        <f t="shared" si="343"/>
        <v>West Fork and Below Lake</v>
      </c>
      <c r="J1817" s="8" t="str">
        <f t="shared" si="344"/>
        <v>Sonoma (d/s of Clov. Gage)</v>
      </c>
      <c r="K1817" s="8" t="str">
        <f t="shared" si="345"/>
        <v>Riparian</v>
      </c>
      <c r="L1817" s="8">
        <f t="shared" si="346"/>
        <v>1000</v>
      </c>
      <c r="M1817" s="8" t="str">
        <f t="shared" si="348"/>
        <v>-</v>
      </c>
      <c r="N1817" s="10" t="s">
        <v>241</v>
      </c>
      <c r="O1817" s="10" t="s">
        <v>241</v>
      </c>
      <c r="P1817" s="10" t="s">
        <v>242</v>
      </c>
      <c r="Q1817" s="10" t="s">
        <v>242</v>
      </c>
      <c r="R1817" s="10" t="s">
        <v>242</v>
      </c>
      <c r="S1817" s="10" t="s">
        <v>241</v>
      </c>
      <c r="T1817" s="10" t="s">
        <v>242</v>
      </c>
      <c r="U1817" s="10" t="s">
        <v>242</v>
      </c>
      <c r="V1817" s="10" t="s">
        <v>242</v>
      </c>
      <c r="W1817" s="10" t="s">
        <v>242</v>
      </c>
      <c r="X1817" s="15">
        <f>IF(ISERROR(VLOOKUP($A1817,'13. Updated Demand'!A:Z,15,FALSE)),0,VLOOKUP($A1817,'13. Updated Demand'!A:Z,15,FALSE))</f>
        <v>0</v>
      </c>
      <c r="Y1817" s="16">
        <f>IF(ISERROR(VLOOKUP($A1817,'13. Updated Demand'!A:Z,16,FALSE)),0,VLOOKUP($A1817,'13. Updated Demand'!A:Z,16,FALSE))</f>
        <v>0</v>
      </c>
      <c r="Z1817" s="16">
        <f>IF(ISERROR(VLOOKUP($A1817,'13. Updated Demand'!A:Z,17,FALSE)),0,VLOOKUP($A1817,'13. Updated Demand'!A:Z,17,FALSE))</f>
        <v>0</v>
      </c>
      <c r="AA1817" s="16">
        <f>IF(ISERROR(VLOOKUP($A1817,'13. Updated Demand'!A:Z,18,FALSE)),0,VLOOKUP($A1817,'13. Updated Demand'!A:Z,18,FALSE))</f>
        <v>0</v>
      </c>
      <c r="AB1817" s="16">
        <f>IF(ISERROR(VLOOKUP($A1817,'13. Updated Demand'!A:Z,19,FALSE)),0,VLOOKUP($A1817,'13. Updated Demand'!A:Z,19,FALSE))</f>
        <v>0</v>
      </c>
      <c r="AC1817" s="16">
        <f>IF(ISERROR(VLOOKUP($A1817,'13. Updated Demand'!A:Z,20,FALSE)),0,VLOOKUP($A1817,'13. Updated Demand'!A:Z,20,FALSE))</f>
        <v>0</v>
      </c>
      <c r="AD1817" s="16">
        <f>IF(ISERROR(VLOOKUP($A1817,'13. Updated Demand'!A:Z,21,FALSE)),0,VLOOKUP($A1817,'13. Updated Demand'!A:Z,21,FALSE))</f>
        <v>0</v>
      </c>
      <c r="AE1817" s="16">
        <f>IF(ISERROR(VLOOKUP($A1817,'13. Updated Demand'!A:Z,22,FALSE)),0,VLOOKUP($A1817,'13. Updated Demand'!A:Z,22,FALSE))</f>
        <v>0</v>
      </c>
      <c r="AF1817" s="16">
        <f>IF(ISERROR(VLOOKUP($A1817,'13. Updated Demand'!A:Z,23,FALSE)),0,VLOOKUP($A1817,'13. Updated Demand'!A:Z,23,FALSE))</f>
        <v>0</v>
      </c>
      <c r="AG1817" s="16">
        <f>IF(ISERROR(VLOOKUP($A1817,'13. Updated Demand'!A:Z,24,FALSE)),0,VLOOKUP($A1817,'13. Updated Demand'!A:Z,24,FALSE))</f>
        <v>0</v>
      </c>
      <c r="AH1817" s="16">
        <f>IF(ISERROR(VLOOKUP($A1817,'13. Updated Demand'!A:Z,25,FALSE)),0,VLOOKUP($A1817,'13. Updated Demand'!A:Z,25,FALSE))</f>
        <v>0</v>
      </c>
      <c r="AI1817" s="16">
        <f>IF(ISERROR(VLOOKUP($A1817,'13. Updated Demand'!A:Z,26,FALSE)),0,VLOOKUP($A1817,'13. Updated Demand'!A:Z,26,FALSE))</f>
        <v>0</v>
      </c>
      <c r="AJ1817" s="16">
        <f t="shared" si="349"/>
        <v>0</v>
      </c>
      <c r="AK1817" s="19">
        <v>7.6666666666666696</v>
      </c>
      <c r="AL1817" s="16">
        <f t="shared" si="347"/>
        <v>2.5429460017932247E-2</v>
      </c>
      <c r="AM1817" s="26">
        <v>1.0306002091532467E-2</v>
      </c>
      <c r="AN1817" s="19">
        <v>967.07399999999996</v>
      </c>
      <c r="AO1817" s="19" t="s">
        <v>1758</v>
      </c>
      <c r="AP1817" s="19">
        <v>0</v>
      </c>
      <c r="AQ1817" s="19" t="s">
        <v>307</v>
      </c>
      <c r="AR1817" s="9" t="s">
        <v>354</v>
      </c>
      <c r="AS1817" s="12">
        <v>0</v>
      </c>
      <c r="AT1817" s="19">
        <v>38.800469720000002</v>
      </c>
      <c r="AU1817" s="19">
        <v>-122.99695755</v>
      </c>
      <c r="AV1817" s="19" t="s">
        <v>548</v>
      </c>
    </row>
    <row r="1818" spans="1:48" x14ac:dyDescent="0.25">
      <c r="A1818" s="18" t="s">
        <v>2224</v>
      </c>
      <c r="B1818" s="10">
        <v>10000000</v>
      </c>
      <c r="C1818" s="9">
        <v>9</v>
      </c>
      <c r="D1818" s="8" t="str">
        <f t="shared" si="338"/>
        <v>N</v>
      </c>
      <c r="E1818" s="8" t="str">
        <f t="shared" si="339"/>
        <v>Y</v>
      </c>
      <c r="F1818" s="8" t="str">
        <f t="shared" si="340"/>
        <v>Y</v>
      </c>
      <c r="G1818" s="8" t="str">
        <f t="shared" si="341"/>
        <v>Y</v>
      </c>
      <c r="H1818" s="8" t="str">
        <f t="shared" si="342"/>
        <v>Upper</v>
      </c>
      <c r="I1818" s="8" t="str">
        <f t="shared" si="343"/>
        <v>West Fork and Below Lake</v>
      </c>
      <c r="J1818" s="8" t="str">
        <f t="shared" si="344"/>
        <v>Sonoma (d/s of Clov. Gage)</v>
      </c>
      <c r="K1818" s="8" t="str">
        <f t="shared" si="345"/>
        <v>Riparian</v>
      </c>
      <c r="L1818" s="8">
        <f t="shared" si="346"/>
        <v>1000</v>
      </c>
      <c r="M1818" s="8" t="str">
        <f t="shared" si="348"/>
        <v>-</v>
      </c>
      <c r="N1818" s="10" t="s">
        <v>241</v>
      </c>
      <c r="O1818" s="10" t="s">
        <v>241</v>
      </c>
      <c r="P1818" s="10" t="s">
        <v>242</v>
      </c>
      <c r="Q1818" s="10" t="s">
        <v>242</v>
      </c>
      <c r="R1818" s="10" t="s">
        <v>242</v>
      </c>
      <c r="S1818" s="10" t="s">
        <v>241</v>
      </c>
      <c r="T1818" s="10" t="s">
        <v>242</v>
      </c>
      <c r="U1818" s="10" t="s">
        <v>242</v>
      </c>
      <c r="V1818" s="10" t="s">
        <v>242</v>
      </c>
      <c r="W1818" s="10" t="s">
        <v>242</v>
      </c>
      <c r="X1818" s="15">
        <f>IF(ISERROR(VLOOKUP($A1818,'13. Updated Demand'!A:Z,15,FALSE)),0,VLOOKUP($A1818,'13. Updated Demand'!A:Z,15,FALSE))</f>
        <v>0</v>
      </c>
      <c r="Y1818" s="16">
        <f>IF(ISERROR(VLOOKUP($A1818,'13. Updated Demand'!A:Z,16,FALSE)),0,VLOOKUP($A1818,'13. Updated Demand'!A:Z,16,FALSE))</f>
        <v>0</v>
      </c>
      <c r="Z1818" s="16">
        <f>IF(ISERROR(VLOOKUP($A1818,'13. Updated Demand'!A:Z,17,FALSE)),0,VLOOKUP($A1818,'13. Updated Demand'!A:Z,17,FALSE))</f>
        <v>0</v>
      </c>
      <c r="AA1818" s="16">
        <f>IF(ISERROR(VLOOKUP($A1818,'13. Updated Demand'!A:Z,18,FALSE)),0,VLOOKUP($A1818,'13. Updated Demand'!A:Z,18,FALSE))</f>
        <v>0</v>
      </c>
      <c r="AB1818" s="16">
        <f>IF(ISERROR(VLOOKUP($A1818,'13. Updated Demand'!A:Z,19,FALSE)),0,VLOOKUP($A1818,'13. Updated Demand'!A:Z,19,FALSE))</f>
        <v>0</v>
      </c>
      <c r="AC1818" s="16">
        <f>IF(ISERROR(VLOOKUP($A1818,'13. Updated Demand'!A:Z,20,FALSE)),0,VLOOKUP($A1818,'13. Updated Demand'!A:Z,20,FALSE))</f>
        <v>0</v>
      </c>
      <c r="AD1818" s="16">
        <f>IF(ISERROR(VLOOKUP($A1818,'13. Updated Demand'!A:Z,21,FALSE)),0,VLOOKUP($A1818,'13. Updated Demand'!A:Z,21,FALSE))</f>
        <v>0</v>
      </c>
      <c r="AE1818" s="16">
        <f>IF(ISERROR(VLOOKUP($A1818,'13. Updated Demand'!A:Z,22,FALSE)),0,VLOOKUP($A1818,'13. Updated Demand'!A:Z,22,FALSE))</f>
        <v>0</v>
      </c>
      <c r="AF1818" s="16">
        <f>IF(ISERROR(VLOOKUP($A1818,'13. Updated Demand'!A:Z,23,FALSE)),0,VLOOKUP($A1818,'13. Updated Demand'!A:Z,23,FALSE))</f>
        <v>0</v>
      </c>
      <c r="AG1818" s="16">
        <f>IF(ISERROR(VLOOKUP($A1818,'13. Updated Demand'!A:Z,24,FALSE)),0,VLOOKUP($A1818,'13. Updated Demand'!A:Z,24,FALSE))</f>
        <v>0</v>
      </c>
      <c r="AH1818" s="16">
        <f>IF(ISERROR(VLOOKUP($A1818,'13. Updated Demand'!A:Z,25,FALSE)),0,VLOOKUP($A1818,'13. Updated Demand'!A:Z,25,FALSE))</f>
        <v>0</v>
      </c>
      <c r="AI1818" s="16">
        <f>IF(ISERROR(VLOOKUP($A1818,'13. Updated Demand'!A:Z,26,FALSE)),0,VLOOKUP($A1818,'13. Updated Demand'!A:Z,26,FALSE))</f>
        <v>0</v>
      </c>
      <c r="AJ1818" s="16">
        <f t="shared" si="349"/>
        <v>0</v>
      </c>
      <c r="AK1818" s="19">
        <v>0.8</v>
      </c>
      <c r="AL1818" s="16">
        <f t="shared" si="347"/>
        <v>2.6535088714364071E-3</v>
      </c>
      <c r="AM1818" s="26">
        <v>2.0451152422439013E-3</v>
      </c>
      <c r="AN1818" s="19">
        <v>521.56799999999998</v>
      </c>
      <c r="AO1818" s="19" t="s">
        <v>1758</v>
      </c>
      <c r="AP1818" s="19">
        <v>0</v>
      </c>
      <c r="AQ1818" s="19" t="s">
        <v>307</v>
      </c>
      <c r="AR1818" s="9" t="s">
        <v>354</v>
      </c>
      <c r="AS1818" s="12">
        <v>0</v>
      </c>
      <c r="AT1818" s="19">
        <v>38.728362969999999</v>
      </c>
      <c r="AU1818" s="19">
        <v>-122.91443509</v>
      </c>
      <c r="AV1818" s="19" t="s">
        <v>548</v>
      </c>
    </row>
    <row r="1819" spans="1:48" x14ac:dyDescent="0.25">
      <c r="A1819" s="18" t="s">
        <v>2225</v>
      </c>
      <c r="B1819" s="10">
        <v>10000000</v>
      </c>
      <c r="C1819" s="9">
        <v>9</v>
      </c>
      <c r="D1819" s="8" t="str">
        <f t="shared" si="338"/>
        <v>N</v>
      </c>
      <c r="E1819" s="8" t="str">
        <f t="shared" si="339"/>
        <v>Y</v>
      </c>
      <c r="F1819" s="8" t="str">
        <f t="shared" si="340"/>
        <v>Y</v>
      </c>
      <c r="G1819" s="8" t="str">
        <f t="shared" si="341"/>
        <v>Y</v>
      </c>
      <c r="H1819" s="8" t="str">
        <f t="shared" si="342"/>
        <v>Upper</v>
      </c>
      <c r="I1819" s="8" t="str">
        <f t="shared" si="343"/>
        <v>West Fork and Below Lake</v>
      </c>
      <c r="J1819" s="8" t="str">
        <f t="shared" si="344"/>
        <v>Sonoma (d/s of Clov. Gage)</v>
      </c>
      <c r="K1819" s="8" t="str">
        <f t="shared" si="345"/>
        <v>Riparian</v>
      </c>
      <c r="L1819" s="8">
        <f t="shared" si="346"/>
        <v>1000</v>
      </c>
      <c r="M1819" s="8" t="str">
        <f t="shared" si="348"/>
        <v>-</v>
      </c>
      <c r="N1819" s="10" t="s">
        <v>241</v>
      </c>
      <c r="O1819" s="10" t="s">
        <v>241</v>
      </c>
      <c r="P1819" s="10" t="s">
        <v>242</v>
      </c>
      <c r="Q1819" s="10" t="s">
        <v>242</v>
      </c>
      <c r="R1819" s="10" t="s">
        <v>242</v>
      </c>
      <c r="S1819" s="10" t="s">
        <v>241</v>
      </c>
      <c r="T1819" s="10" t="s">
        <v>242</v>
      </c>
      <c r="U1819" s="10" t="s">
        <v>242</v>
      </c>
      <c r="V1819" s="10" t="s">
        <v>242</v>
      </c>
      <c r="W1819" s="10" t="s">
        <v>242</v>
      </c>
      <c r="X1819" s="15">
        <f>IF(ISERROR(VLOOKUP($A1819,'13. Updated Demand'!A:Z,15,FALSE)),0,VLOOKUP($A1819,'13. Updated Demand'!A:Z,15,FALSE))</f>
        <v>0</v>
      </c>
      <c r="Y1819" s="16">
        <f>IF(ISERROR(VLOOKUP($A1819,'13. Updated Demand'!A:Z,16,FALSE)),0,VLOOKUP($A1819,'13. Updated Demand'!A:Z,16,FALSE))</f>
        <v>0</v>
      </c>
      <c r="Z1819" s="16">
        <f>IF(ISERROR(VLOOKUP($A1819,'13. Updated Demand'!A:Z,17,FALSE)),0,VLOOKUP($A1819,'13. Updated Demand'!A:Z,17,FALSE))</f>
        <v>0</v>
      </c>
      <c r="AA1819" s="16">
        <f>IF(ISERROR(VLOOKUP($A1819,'13. Updated Demand'!A:Z,18,FALSE)),0,VLOOKUP($A1819,'13. Updated Demand'!A:Z,18,FALSE))</f>
        <v>0</v>
      </c>
      <c r="AB1819" s="16">
        <f>IF(ISERROR(VLOOKUP($A1819,'13. Updated Demand'!A:Z,19,FALSE)),0,VLOOKUP($A1819,'13. Updated Demand'!A:Z,19,FALSE))</f>
        <v>0</v>
      </c>
      <c r="AC1819" s="16">
        <f>IF(ISERROR(VLOOKUP($A1819,'13. Updated Demand'!A:Z,20,FALSE)),0,VLOOKUP($A1819,'13. Updated Demand'!A:Z,20,FALSE))</f>
        <v>0</v>
      </c>
      <c r="AD1819" s="16">
        <f>IF(ISERROR(VLOOKUP($A1819,'13. Updated Demand'!A:Z,21,FALSE)),0,VLOOKUP($A1819,'13. Updated Demand'!A:Z,21,FALSE))</f>
        <v>0</v>
      </c>
      <c r="AE1819" s="16">
        <f>IF(ISERROR(VLOOKUP($A1819,'13. Updated Demand'!A:Z,22,FALSE)),0,VLOOKUP($A1819,'13. Updated Demand'!A:Z,22,FALSE))</f>
        <v>0</v>
      </c>
      <c r="AF1819" s="16">
        <f>IF(ISERROR(VLOOKUP($A1819,'13. Updated Demand'!A:Z,23,FALSE)),0,VLOOKUP($A1819,'13. Updated Demand'!A:Z,23,FALSE))</f>
        <v>0</v>
      </c>
      <c r="AG1819" s="16">
        <f>IF(ISERROR(VLOOKUP($A1819,'13. Updated Demand'!A:Z,24,FALSE)),0,VLOOKUP($A1819,'13. Updated Demand'!A:Z,24,FALSE))</f>
        <v>0</v>
      </c>
      <c r="AH1819" s="16">
        <f>IF(ISERROR(VLOOKUP($A1819,'13. Updated Demand'!A:Z,25,FALSE)),0,VLOOKUP($A1819,'13. Updated Demand'!A:Z,25,FALSE))</f>
        <v>0</v>
      </c>
      <c r="AI1819" s="16">
        <f>IF(ISERROR(VLOOKUP($A1819,'13. Updated Demand'!A:Z,26,FALSE)),0,VLOOKUP($A1819,'13. Updated Demand'!A:Z,26,FALSE))</f>
        <v>0</v>
      </c>
      <c r="AJ1819" s="16">
        <f t="shared" si="349"/>
        <v>0</v>
      </c>
      <c r="AK1819" s="19">
        <v>0.1</v>
      </c>
      <c r="AL1819" s="16">
        <f t="shared" si="347"/>
        <v>3.3168860892955089E-4</v>
      </c>
      <c r="AM1819" s="26">
        <v>1.8240217025418579E-3</v>
      </c>
      <c r="AN1819" s="19">
        <v>402.04199999999997</v>
      </c>
      <c r="AO1819" s="19" t="s">
        <v>1758</v>
      </c>
      <c r="AP1819" s="19">
        <v>0</v>
      </c>
      <c r="AQ1819" s="19" t="s">
        <v>307</v>
      </c>
      <c r="AR1819" s="9" t="s">
        <v>354</v>
      </c>
      <c r="AS1819" s="12">
        <v>0</v>
      </c>
      <c r="AT1819" s="19">
        <v>38.728049830000003</v>
      </c>
      <c r="AU1819" s="19">
        <v>-122.91688852</v>
      </c>
      <c r="AV1819" s="19" t="s">
        <v>548</v>
      </c>
    </row>
    <row r="1820" spans="1:48" x14ac:dyDescent="0.25">
      <c r="A1820" s="18" t="s">
        <v>2226</v>
      </c>
      <c r="B1820" s="10">
        <v>10000000</v>
      </c>
      <c r="C1820" s="9">
        <v>9</v>
      </c>
      <c r="D1820" s="8" t="str">
        <f t="shared" si="338"/>
        <v>N</v>
      </c>
      <c r="E1820" s="8" t="str">
        <f t="shared" si="339"/>
        <v>Y</v>
      </c>
      <c r="F1820" s="8" t="str">
        <f t="shared" si="340"/>
        <v>Y</v>
      </c>
      <c r="G1820" s="8" t="str">
        <f t="shared" si="341"/>
        <v>Y</v>
      </c>
      <c r="H1820" s="8" t="str">
        <f t="shared" si="342"/>
        <v>Upper</v>
      </c>
      <c r="I1820" s="8" t="str">
        <f t="shared" si="343"/>
        <v>West Fork and Below Lake</v>
      </c>
      <c r="J1820" s="8" t="str">
        <f t="shared" si="344"/>
        <v>Sonoma (d/s of Clov. Gage)</v>
      </c>
      <c r="K1820" s="8" t="str">
        <f t="shared" si="345"/>
        <v>Riparian</v>
      </c>
      <c r="L1820" s="8">
        <f t="shared" si="346"/>
        <v>1000</v>
      </c>
      <c r="M1820" s="8" t="str">
        <f t="shared" si="348"/>
        <v>-</v>
      </c>
      <c r="N1820" s="10" t="s">
        <v>241</v>
      </c>
      <c r="O1820" s="10" t="s">
        <v>241</v>
      </c>
      <c r="P1820" s="10" t="s">
        <v>242</v>
      </c>
      <c r="Q1820" s="10" t="s">
        <v>242</v>
      </c>
      <c r="R1820" s="10" t="s">
        <v>242</v>
      </c>
      <c r="S1820" s="10" t="s">
        <v>241</v>
      </c>
      <c r="T1820" s="10" t="s">
        <v>242</v>
      </c>
      <c r="U1820" s="10" t="s">
        <v>242</v>
      </c>
      <c r="V1820" s="10" t="s">
        <v>241</v>
      </c>
      <c r="W1820" s="10" t="s">
        <v>242</v>
      </c>
      <c r="X1820" s="15">
        <f>IF(ISERROR(VLOOKUP($A1820,'13. Updated Demand'!A:Z,15,FALSE)),0,VLOOKUP($A1820,'13. Updated Demand'!A:Z,15,FALSE))</f>
        <v>0</v>
      </c>
      <c r="Y1820" s="16">
        <f>IF(ISERROR(VLOOKUP($A1820,'13. Updated Demand'!A:Z,16,FALSE)),0,VLOOKUP($A1820,'13. Updated Demand'!A:Z,16,FALSE))</f>
        <v>0</v>
      </c>
      <c r="Z1820" s="16">
        <f>IF(ISERROR(VLOOKUP($A1820,'13. Updated Demand'!A:Z,17,FALSE)),0,VLOOKUP($A1820,'13. Updated Demand'!A:Z,17,FALSE))</f>
        <v>0</v>
      </c>
      <c r="AA1820" s="16">
        <f>IF(ISERROR(VLOOKUP($A1820,'13. Updated Demand'!A:Z,18,FALSE)),0,VLOOKUP($A1820,'13. Updated Demand'!A:Z,18,FALSE))</f>
        <v>0</v>
      </c>
      <c r="AB1820" s="16">
        <f>IF(ISERROR(VLOOKUP($A1820,'13. Updated Demand'!A:Z,19,FALSE)),0,VLOOKUP($A1820,'13. Updated Demand'!A:Z,19,FALSE))</f>
        <v>0</v>
      </c>
      <c r="AC1820" s="16">
        <f>IF(ISERROR(VLOOKUP($A1820,'13. Updated Demand'!A:Z,20,FALSE)),0,VLOOKUP($A1820,'13. Updated Demand'!A:Z,20,FALSE))</f>
        <v>0</v>
      </c>
      <c r="AD1820" s="16">
        <f>IF(ISERROR(VLOOKUP($A1820,'13. Updated Demand'!A:Z,21,FALSE)),0,VLOOKUP($A1820,'13. Updated Demand'!A:Z,21,FALSE))</f>
        <v>0</v>
      </c>
      <c r="AE1820" s="16">
        <f>IF(ISERROR(VLOOKUP($A1820,'13. Updated Demand'!A:Z,22,FALSE)),0,VLOOKUP($A1820,'13. Updated Demand'!A:Z,22,FALSE))</f>
        <v>0</v>
      </c>
      <c r="AF1820" s="16">
        <f>IF(ISERROR(VLOOKUP($A1820,'13. Updated Demand'!A:Z,23,FALSE)),0,VLOOKUP($A1820,'13. Updated Demand'!A:Z,23,FALSE))</f>
        <v>0</v>
      </c>
      <c r="AG1820" s="16">
        <f>IF(ISERROR(VLOOKUP($A1820,'13. Updated Demand'!A:Z,24,FALSE)),0,VLOOKUP($A1820,'13. Updated Demand'!A:Z,24,FALSE))</f>
        <v>0</v>
      </c>
      <c r="AH1820" s="16">
        <f>IF(ISERROR(VLOOKUP($A1820,'13. Updated Demand'!A:Z,25,FALSE)),0,VLOOKUP($A1820,'13. Updated Demand'!A:Z,25,FALSE))</f>
        <v>0</v>
      </c>
      <c r="AI1820" s="16">
        <f>IF(ISERROR(VLOOKUP($A1820,'13. Updated Demand'!A:Z,26,FALSE)),0,VLOOKUP($A1820,'13. Updated Demand'!A:Z,26,FALSE))</f>
        <v>0</v>
      </c>
      <c r="AJ1820" s="16">
        <f t="shared" si="349"/>
        <v>0</v>
      </c>
      <c r="AK1820" s="19">
        <v>0</v>
      </c>
      <c r="AL1820" s="16">
        <f t="shared" si="347"/>
        <v>0</v>
      </c>
      <c r="AM1820" s="26">
        <v>2.0758688549092223E-6</v>
      </c>
      <c r="AN1820" s="19">
        <v>481.726</v>
      </c>
      <c r="AO1820" s="19" t="s">
        <v>1758</v>
      </c>
      <c r="AP1820" s="19">
        <v>0</v>
      </c>
      <c r="AQ1820" s="19" t="s">
        <v>307</v>
      </c>
      <c r="AR1820" s="9" t="s">
        <v>354</v>
      </c>
      <c r="AS1820" s="12">
        <v>0</v>
      </c>
      <c r="AT1820" s="19">
        <v>38.728597440000001</v>
      </c>
      <c r="AU1820" s="19">
        <v>-122.91639426</v>
      </c>
      <c r="AV1820" s="19" t="s">
        <v>548</v>
      </c>
    </row>
    <row r="1821" spans="1:48" x14ac:dyDescent="0.25">
      <c r="A1821" s="18" t="s">
        <v>2227</v>
      </c>
      <c r="B1821" s="10">
        <v>10000000</v>
      </c>
      <c r="C1821" s="9">
        <v>9</v>
      </c>
      <c r="D1821" s="8" t="str">
        <f t="shared" si="338"/>
        <v>N</v>
      </c>
      <c r="E1821" s="8" t="str">
        <f t="shared" si="339"/>
        <v>Y</v>
      </c>
      <c r="F1821" s="8" t="str">
        <f t="shared" si="340"/>
        <v>Y</v>
      </c>
      <c r="G1821" s="8" t="str">
        <f t="shared" si="341"/>
        <v>Y</v>
      </c>
      <c r="H1821" s="8" t="str">
        <f t="shared" si="342"/>
        <v>Upper</v>
      </c>
      <c r="I1821" s="8" t="str">
        <f t="shared" si="343"/>
        <v>West Fork and Below Lake</v>
      </c>
      <c r="J1821" s="8" t="str">
        <f t="shared" si="344"/>
        <v>Sonoma (d/s of Clov. Gage)</v>
      </c>
      <c r="K1821" s="8" t="str">
        <f t="shared" si="345"/>
        <v>Riparian</v>
      </c>
      <c r="L1821" s="8">
        <f t="shared" si="346"/>
        <v>1000</v>
      </c>
      <c r="M1821" s="8" t="str">
        <f t="shared" si="348"/>
        <v>-</v>
      </c>
      <c r="N1821" s="10" t="s">
        <v>241</v>
      </c>
      <c r="O1821" s="10" t="s">
        <v>241</v>
      </c>
      <c r="P1821" s="10" t="s">
        <v>242</v>
      </c>
      <c r="Q1821" s="10" t="s">
        <v>242</v>
      </c>
      <c r="R1821" s="10" t="s">
        <v>242</v>
      </c>
      <c r="S1821" s="10" t="s">
        <v>241</v>
      </c>
      <c r="T1821" s="10" t="s">
        <v>242</v>
      </c>
      <c r="U1821" s="10" t="s">
        <v>242</v>
      </c>
      <c r="V1821" s="10" t="s">
        <v>242</v>
      </c>
      <c r="W1821" s="10" t="s">
        <v>242</v>
      </c>
      <c r="X1821" s="15">
        <f>IF(ISERROR(VLOOKUP($A1821,'13. Updated Demand'!A:Z,15,FALSE)),0,VLOOKUP($A1821,'13. Updated Demand'!A:Z,15,FALSE))</f>
        <v>0</v>
      </c>
      <c r="Y1821" s="16">
        <f>IF(ISERROR(VLOOKUP($A1821,'13. Updated Demand'!A:Z,16,FALSE)),0,VLOOKUP($A1821,'13. Updated Demand'!A:Z,16,FALSE))</f>
        <v>0</v>
      </c>
      <c r="Z1821" s="16">
        <f>IF(ISERROR(VLOOKUP($A1821,'13. Updated Demand'!A:Z,17,FALSE)),0,VLOOKUP($A1821,'13. Updated Demand'!A:Z,17,FALSE))</f>
        <v>0</v>
      </c>
      <c r="AA1821" s="16">
        <f>IF(ISERROR(VLOOKUP($A1821,'13. Updated Demand'!A:Z,18,FALSE)),0,VLOOKUP($A1821,'13. Updated Demand'!A:Z,18,FALSE))</f>
        <v>0</v>
      </c>
      <c r="AB1821" s="16">
        <f>IF(ISERROR(VLOOKUP($A1821,'13. Updated Demand'!A:Z,19,FALSE)),0,VLOOKUP($A1821,'13. Updated Demand'!A:Z,19,FALSE))</f>
        <v>0</v>
      </c>
      <c r="AC1821" s="16">
        <f>IF(ISERROR(VLOOKUP($A1821,'13. Updated Demand'!A:Z,20,FALSE)),0,VLOOKUP($A1821,'13. Updated Demand'!A:Z,20,FALSE))</f>
        <v>0</v>
      </c>
      <c r="AD1821" s="16">
        <f>IF(ISERROR(VLOOKUP($A1821,'13. Updated Demand'!A:Z,21,FALSE)),0,VLOOKUP($A1821,'13. Updated Demand'!A:Z,21,FALSE))</f>
        <v>0</v>
      </c>
      <c r="AE1821" s="16">
        <f>IF(ISERROR(VLOOKUP($A1821,'13. Updated Demand'!A:Z,22,FALSE)),0,VLOOKUP($A1821,'13. Updated Demand'!A:Z,22,FALSE))</f>
        <v>0</v>
      </c>
      <c r="AF1821" s="16">
        <f>IF(ISERROR(VLOOKUP($A1821,'13. Updated Demand'!A:Z,23,FALSE)),0,VLOOKUP($A1821,'13. Updated Demand'!A:Z,23,FALSE))</f>
        <v>0</v>
      </c>
      <c r="AG1821" s="16">
        <f>IF(ISERROR(VLOOKUP($A1821,'13. Updated Demand'!A:Z,24,FALSE)),0,VLOOKUP($A1821,'13. Updated Demand'!A:Z,24,FALSE))</f>
        <v>0</v>
      </c>
      <c r="AH1821" s="16">
        <f>IF(ISERROR(VLOOKUP($A1821,'13. Updated Demand'!A:Z,25,FALSE)),0,VLOOKUP($A1821,'13. Updated Demand'!A:Z,25,FALSE))</f>
        <v>0</v>
      </c>
      <c r="AI1821" s="16">
        <f>IF(ISERROR(VLOOKUP($A1821,'13. Updated Demand'!A:Z,26,FALSE)),0,VLOOKUP($A1821,'13. Updated Demand'!A:Z,26,FALSE))</f>
        <v>0</v>
      </c>
      <c r="AJ1821" s="16">
        <f t="shared" si="349"/>
        <v>0</v>
      </c>
      <c r="AK1821" s="19">
        <v>2.3333333333333299</v>
      </c>
      <c r="AL1821" s="16">
        <f t="shared" si="347"/>
        <v>7.7394008750228437E-3</v>
      </c>
      <c r="AM1821" s="26">
        <v>6.9625833528078824E-3</v>
      </c>
      <c r="AN1821" s="19">
        <v>967.07399999999996</v>
      </c>
      <c r="AO1821" s="19" t="s">
        <v>1758</v>
      </c>
      <c r="AP1821" s="19">
        <v>0</v>
      </c>
      <c r="AQ1821" s="19" t="s">
        <v>307</v>
      </c>
      <c r="AR1821" s="9" t="s">
        <v>354</v>
      </c>
      <c r="AS1821" s="12">
        <v>0</v>
      </c>
      <c r="AT1821" s="19">
        <v>38.729211249999999</v>
      </c>
      <c r="AU1821" s="19">
        <v>-122.91586228</v>
      </c>
      <c r="AV1821" s="19" t="s">
        <v>548</v>
      </c>
    </row>
    <row r="1822" spans="1:48" x14ac:dyDescent="0.25">
      <c r="A1822" s="18" t="s">
        <v>2228</v>
      </c>
      <c r="B1822" s="10">
        <v>10000000</v>
      </c>
      <c r="C1822" s="9">
        <v>9</v>
      </c>
      <c r="D1822" s="8" t="str">
        <f t="shared" si="338"/>
        <v>N</v>
      </c>
      <c r="E1822" s="8" t="str">
        <f t="shared" si="339"/>
        <v>Y</v>
      </c>
      <c r="F1822" s="8" t="str">
        <f t="shared" si="340"/>
        <v>Y</v>
      </c>
      <c r="G1822" s="8" t="str">
        <f t="shared" si="341"/>
        <v>Y</v>
      </c>
      <c r="H1822" s="8" t="str">
        <f t="shared" si="342"/>
        <v>Upper</v>
      </c>
      <c r="I1822" s="8" t="str">
        <f t="shared" si="343"/>
        <v>West Fork and Below Lake</v>
      </c>
      <c r="J1822" s="8" t="str">
        <f t="shared" si="344"/>
        <v>Sonoma (d/s of Clov. Gage)</v>
      </c>
      <c r="K1822" s="8" t="str">
        <f t="shared" si="345"/>
        <v>Riparian</v>
      </c>
      <c r="L1822" s="8">
        <f t="shared" si="346"/>
        <v>1000</v>
      </c>
      <c r="M1822" s="8" t="str">
        <f t="shared" si="348"/>
        <v>-</v>
      </c>
      <c r="N1822" s="10" t="s">
        <v>241</v>
      </c>
      <c r="O1822" s="10" t="s">
        <v>241</v>
      </c>
      <c r="P1822" s="10" t="s">
        <v>242</v>
      </c>
      <c r="Q1822" s="10" t="s">
        <v>242</v>
      </c>
      <c r="R1822" s="10" t="s">
        <v>242</v>
      </c>
      <c r="S1822" s="10" t="s">
        <v>241</v>
      </c>
      <c r="T1822" s="10" t="s">
        <v>242</v>
      </c>
      <c r="U1822" s="10" t="s">
        <v>242</v>
      </c>
      <c r="V1822" s="10" t="s">
        <v>241</v>
      </c>
      <c r="W1822" s="10" t="s">
        <v>242</v>
      </c>
      <c r="X1822" s="15">
        <f>IF(ISERROR(VLOOKUP($A1822,'13. Updated Demand'!A:Z,15,FALSE)),0,VLOOKUP($A1822,'13. Updated Demand'!A:Z,15,FALSE))</f>
        <v>0</v>
      </c>
      <c r="Y1822" s="16">
        <f>IF(ISERROR(VLOOKUP($A1822,'13. Updated Demand'!A:Z,16,FALSE)),0,VLOOKUP($A1822,'13. Updated Demand'!A:Z,16,FALSE))</f>
        <v>0</v>
      </c>
      <c r="Z1822" s="16">
        <f>IF(ISERROR(VLOOKUP($A1822,'13. Updated Demand'!A:Z,17,FALSE)),0,VLOOKUP($A1822,'13. Updated Demand'!A:Z,17,FALSE))</f>
        <v>0</v>
      </c>
      <c r="AA1822" s="16">
        <f>IF(ISERROR(VLOOKUP($A1822,'13. Updated Demand'!A:Z,18,FALSE)),0,VLOOKUP($A1822,'13. Updated Demand'!A:Z,18,FALSE))</f>
        <v>0</v>
      </c>
      <c r="AB1822" s="16">
        <f>IF(ISERROR(VLOOKUP($A1822,'13. Updated Demand'!A:Z,19,FALSE)),0,VLOOKUP($A1822,'13. Updated Demand'!A:Z,19,FALSE))</f>
        <v>0</v>
      </c>
      <c r="AC1822" s="16">
        <f>IF(ISERROR(VLOOKUP($A1822,'13. Updated Demand'!A:Z,20,FALSE)),0,VLOOKUP($A1822,'13. Updated Demand'!A:Z,20,FALSE))</f>
        <v>0</v>
      </c>
      <c r="AD1822" s="16">
        <f>IF(ISERROR(VLOOKUP($A1822,'13. Updated Demand'!A:Z,21,FALSE)),0,VLOOKUP($A1822,'13. Updated Demand'!A:Z,21,FALSE))</f>
        <v>0</v>
      </c>
      <c r="AE1822" s="16">
        <f>IF(ISERROR(VLOOKUP($A1822,'13. Updated Demand'!A:Z,22,FALSE)),0,VLOOKUP($A1822,'13. Updated Demand'!A:Z,22,FALSE))</f>
        <v>0</v>
      </c>
      <c r="AF1822" s="16">
        <f>IF(ISERROR(VLOOKUP($A1822,'13. Updated Demand'!A:Z,23,FALSE)),0,VLOOKUP($A1822,'13. Updated Demand'!A:Z,23,FALSE))</f>
        <v>0</v>
      </c>
      <c r="AG1822" s="16">
        <f>IF(ISERROR(VLOOKUP($A1822,'13. Updated Demand'!A:Z,24,FALSE)),0,VLOOKUP($A1822,'13. Updated Demand'!A:Z,24,FALSE))</f>
        <v>0</v>
      </c>
      <c r="AH1822" s="16">
        <f>IF(ISERROR(VLOOKUP($A1822,'13. Updated Demand'!A:Z,25,FALSE)),0,VLOOKUP($A1822,'13. Updated Demand'!A:Z,25,FALSE))</f>
        <v>0</v>
      </c>
      <c r="AI1822" s="16">
        <f>IF(ISERROR(VLOOKUP($A1822,'13. Updated Demand'!A:Z,26,FALSE)),0,VLOOKUP($A1822,'13. Updated Demand'!A:Z,26,FALSE))</f>
        <v>0</v>
      </c>
      <c r="AJ1822" s="16">
        <f t="shared" si="349"/>
        <v>0</v>
      </c>
      <c r="AK1822" s="19">
        <v>0</v>
      </c>
      <c r="AL1822" s="16">
        <f t="shared" si="347"/>
        <v>0</v>
      </c>
      <c r="AM1822" s="26">
        <v>7.2698890119262695E-4</v>
      </c>
      <c r="AN1822" s="19">
        <v>2017.454</v>
      </c>
      <c r="AO1822" s="19" t="s">
        <v>1758</v>
      </c>
      <c r="AP1822" s="19">
        <v>0</v>
      </c>
      <c r="AQ1822" s="19" t="s">
        <v>307</v>
      </c>
      <c r="AR1822" s="9" t="s">
        <v>354</v>
      </c>
      <c r="AS1822" s="12">
        <v>0</v>
      </c>
      <c r="AT1822" s="19">
        <v>38.724378469999998</v>
      </c>
      <c r="AU1822" s="19">
        <v>-122.90918184</v>
      </c>
      <c r="AV1822" s="19" t="s">
        <v>548</v>
      </c>
    </row>
    <row r="1823" spans="1:48" x14ac:dyDescent="0.25">
      <c r="A1823" s="18" t="s">
        <v>2229</v>
      </c>
      <c r="B1823" s="10">
        <v>10000000</v>
      </c>
      <c r="C1823" s="9">
        <v>10</v>
      </c>
      <c r="D1823" s="8" t="str">
        <f t="shared" si="338"/>
        <v>N</v>
      </c>
      <c r="E1823" s="8" t="str">
        <f t="shared" si="339"/>
        <v>Y</v>
      </c>
      <c r="F1823" s="8" t="str">
        <f t="shared" si="340"/>
        <v>Y</v>
      </c>
      <c r="G1823" s="8" t="str">
        <f t="shared" si="341"/>
        <v>Y</v>
      </c>
      <c r="H1823" s="8" t="str">
        <f t="shared" si="342"/>
        <v>Upper</v>
      </c>
      <c r="I1823" s="8" t="str">
        <f t="shared" si="343"/>
        <v>West Fork and Below Lake</v>
      </c>
      <c r="J1823" s="8" t="str">
        <f t="shared" si="344"/>
        <v>Sonoma (d/s of Clov. Gage)</v>
      </c>
      <c r="K1823" s="8" t="str">
        <f t="shared" si="345"/>
        <v>Riparian</v>
      </c>
      <c r="L1823" s="8">
        <f t="shared" si="346"/>
        <v>1000</v>
      </c>
      <c r="M1823" s="8" t="str">
        <f t="shared" si="348"/>
        <v>-</v>
      </c>
      <c r="N1823" s="10" t="s">
        <v>241</v>
      </c>
      <c r="O1823" s="10" t="s">
        <v>241</v>
      </c>
      <c r="P1823" s="10" t="s">
        <v>242</v>
      </c>
      <c r="Q1823" s="10" t="s">
        <v>242</v>
      </c>
      <c r="R1823" s="10" t="s">
        <v>242</v>
      </c>
      <c r="S1823" s="10" t="s">
        <v>241</v>
      </c>
      <c r="T1823" s="10" t="s">
        <v>242</v>
      </c>
      <c r="U1823" s="10" t="s">
        <v>241</v>
      </c>
      <c r="V1823" s="10" t="s">
        <v>241</v>
      </c>
      <c r="W1823" s="10" t="s">
        <v>242</v>
      </c>
      <c r="X1823" s="15">
        <f>IF(ISERROR(VLOOKUP($A1823,'13. Updated Demand'!A:Z,15,FALSE)),0,VLOOKUP($A1823,'13. Updated Demand'!A:Z,15,FALSE))</f>
        <v>0</v>
      </c>
      <c r="Y1823" s="16">
        <f>IF(ISERROR(VLOOKUP($A1823,'13. Updated Demand'!A:Z,16,FALSE)),0,VLOOKUP($A1823,'13. Updated Demand'!A:Z,16,FALSE))</f>
        <v>0</v>
      </c>
      <c r="Z1823" s="16">
        <f>IF(ISERROR(VLOOKUP($A1823,'13. Updated Demand'!A:Z,17,FALSE)),0,VLOOKUP($A1823,'13. Updated Demand'!A:Z,17,FALSE))</f>
        <v>0</v>
      </c>
      <c r="AA1823" s="16">
        <f>IF(ISERROR(VLOOKUP($A1823,'13. Updated Demand'!A:Z,18,FALSE)),0,VLOOKUP($A1823,'13. Updated Demand'!A:Z,18,FALSE))</f>
        <v>0</v>
      </c>
      <c r="AB1823" s="16">
        <f>IF(ISERROR(VLOOKUP($A1823,'13. Updated Demand'!A:Z,19,FALSE)),0,VLOOKUP($A1823,'13. Updated Demand'!A:Z,19,FALSE))</f>
        <v>0</v>
      </c>
      <c r="AC1823" s="16">
        <f>IF(ISERROR(VLOOKUP($A1823,'13. Updated Demand'!A:Z,20,FALSE)),0,VLOOKUP($A1823,'13. Updated Demand'!A:Z,20,FALSE))</f>
        <v>0</v>
      </c>
      <c r="AD1823" s="16">
        <f>IF(ISERROR(VLOOKUP($A1823,'13. Updated Demand'!A:Z,21,FALSE)),0,VLOOKUP($A1823,'13. Updated Demand'!A:Z,21,FALSE))</f>
        <v>0</v>
      </c>
      <c r="AE1823" s="16">
        <f>IF(ISERROR(VLOOKUP($A1823,'13. Updated Demand'!A:Z,22,FALSE)),0,VLOOKUP($A1823,'13. Updated Demand'!A:Z,22,FALSE))</f>
        <v>0</v>
      </c>
      <c r="AF1823" s="16">
        <f>IF(ISERROR(VLOOKUP($A1823,'13. Updated Demand'!A:Z,23,FALSE)),0,VLOOKUP($A1823,'13. Updated Demand'!A:Z,23,FALSE))</f>
        <v>0</v>
      </c>
      <c r="AG1823" s="16">
        <f>IF(ISERROR(VLOOKUP($A1823,'13. Updated Demand'!A:Z,24,FALSE)),0,VLOOKUP($A1823,'13. Updated Demand'!A:Z,24,FALSE))</f>
        <v>0</v>
      </c>
      <c r="AH1823" s="16">
        <f>IF(ISERROR(VLOOKUP($A1823,'13. Updated Demand'!A:Z,25,FALSE)),0,VLOOKUP($A1823,'13. Updated Demand'!A:Z,25,FALSE))</f>
        <v>0</v>
      </c>
      <c r="AI1823" s="16">
        <f>IF(ISERROR(VLOOKUP($A1823,'13. Updated Demand'!A:Z,26,FALSE)),0,VLOOKUP($A1823,'13. Updated Demand'!A:Z,26,FALSE))</f>
        <v>0</v>
      </c>
      <c r="AJ1823" s="16">
        <f t="shared" si="349"/>
        <v>0</v>
      </c>
      <c r="AK1823" s="19">
        <v>0</v>
      </c>
      <c r="AL1823" s="16">
        <f t="shared" si="347"/>
        <v>0</v>
      </c>
      <c r="AM1823" s="26">
        <v>0</v>
      </c>
      <c r="AN1823" s="19">
        <v>79.683999999999997</v>
      </c>
      <c r="AO1823" s="19" t="s">
        <v>1758</v>
      </c>
      <c r="AP1823" s="19">
        <v>0</v>
      </c>
      <c r="AQ1823" s="19" t="s">
        <v>307</v>
      </c>
      <c r="AR1823" s="9" t="s">
        <v>436</v>
      </c>
      <c r="AS1823" s="12">
        <v>0</v>
      </c>
      <c r="AT1823" s="19">
        <v>38.701897989999999</v>
      </c>
      <c r="AU1823" s="19">
        <v>-122.89306936</v>
      </c>
      <c r="AV1823" s="19" t="s">
        <v>548</v>
      </c>
    </row>
    <row r="1824" spans="1:48" x14ac:dyDescent="0.25">
      <c r="A1824" s="18" t="s">
        <v>2230</v>
      </c>
      <c r="B1824" s="10">
        <v>10000000</v>
      </c>
      <c r="C1824" s="9">
        <v>10</v>
      </c>
      <c r="D1824" s="8" t="str">
        <f t="shared" si="338"/>
        <v>N</v>
      </c>
      <c r="E1824" s="8" t="str">
        <f t="shared" si="339"/>
        <v>Y</v>
      </c>
      <c r="F1824" s="8" t="str">
        <f t="shared" si="340"/>
        <v>Y</v>
      </c>
      <c r="G1824" s="8" t="str">
        <f t="shared" si="341"/>
        <v>Y</v>
      </c>
      <c r="H1824" s="8" t="str">
        <f t="shared" si="342"/>
        <v>Upper</v>
      </c>
      <c r="I1824" s="8" t="str">
        <f t="shared" si="343"/>
        <v>West Fork and Below Lake</v>
      </c>
      <c r="J1824" s="8" t="str">
        <f t="shared" si="344"/>
        <v>Sonoma (d/s of Clov. Gage)</v>
      </c>
      <c r="K1824" s="8" t="str">
        <f t="shared" si="345"/>
        <v>Riparian</v>
      </c>
      <c r="L1824" s="8">
        <f t="shared" si="346"/>
        <v>1000</v>
      </c>
      <c r="M1824" s="8" t="str">
        <f t="shared" si="348"/>
        <v>-</v>
      </c>
      <c r="N1824" s="10" t="s">
        <v>241</v>
      </c>
      <c r="O1824" s="10" t="s">
        <v>241</v>
      </c>
      <c r="P1824" s="10" t="s">
        <v>242</v>
      </c>
      <c r="Q1824" s="10" t="s">
        <v>242</v>
      </c>
      <c r="R1824" s="10" t="s">
        <v>242</v>
      </c>
      <c r="S1824" s="10" t="s">
        <v>241</v>
      </c>
      <c r="T1824" s="10" t="s">
        <v>242</v>
      </c>
      <c r="U1824" s="10" t="s">
        <v>242</v>
      </c>
      <c r="V1824" s="10" t="s">
        <v>242</v>
      </c>
      <c r="W1824" s="10" t="s">
        <v>242</v>
      </c>
      <c r="X1824" s="15">
        <f>IF(ISERROR(VLOOKUP($A1824,'13. Updated Demand'!A:Z,15,FALSE)),0,VLOOKUP($A1824,'13. Updated Demand'!A:Z,15,FALSE))</f>
        <v>0.04</v>
      </c>
      <c r="Y1824" s="16">
        <f>IF(ISERROR(VLOOKUP($A1824,'13. Updated Demand'!A:Z,16,FALSE)),0,VLOOKUP($A1824,'13. Updated Demand'!A:Z,16,FALSE))</f>
        <v>0.04</v>
      </c>
      <c r="Z1824" s="16">
        <f>IF(ISERROR(VLOOKUP($A1824,'13. Updated Demand'!A:Z,17,FALSE)),0,VLOOKUP($A1824,'13. Updated Demand'!A:Z,17,FALSE))</f>
        <v>0.02</v>
      </c>
      <c r="AA1824" s="16">
        <f>IF(ISERROR(VLOOKUP($A1824,'13. Updated Demand'!A:Z,18,FALSE)),0,VLOOKUP($A1824,'13. Updated Demand'!A:Z,18,FALSE))</f>
        <v>0.03</v>
      </c>
      <c r="AB1824" s="16">
        <f>IF(ISERROR(VLOOKUP($A1824,'13. Updated Demand'!A:Z,19,FALSE)),0,VLOOKUP($A1824,'13. Updated Demand'!A:Z,19,FALSE))</f>
        <v>0.09</v>
      </c>
      <c r="AC1824" s="16">
        <f>IF(ISERROR(VLOOKUP($A1824,'13. Updated Demand'!A:Z,20,FALSE)),0,VLOOKUP($A1824,'13. Updated Demand'!A:Z,20,FALSE))</f>
        <v>0.12</v>
      </c>
      <c r="AD1824" s="16">
        <f>IF(ISERROR(VLOOKUP($A1824,'13. Updated Demand'!A:Z,21,FALSE)),0,VLOOKUP($A1824,'13. Updated Demand'!A:Z,21,FALSE))</f>
        <v>0.17</v>
      </c>
      <c r="AE1824" s="16">
        <f>IF(ISERROR(VLOOKUP($A1824,'13. Updated Demand'!A:Z,22,FALSE)),0,VLOOKUP($A1824,'13. Updated Demand'!A:Z,22,FALSE))</f>
        <v>0.24</v>
      </c>
      <c r="AF1824" s="16">
        <f>IF(ISERROR(VLOOKUP($A1824,'13. Updated Demand'!A:Z,23,FALSE)),0,VLOOKUP($A1824,'13. Updated Demand'!A:Z,23,FALSE))</f>
        <v>0.23</v>
      </c>
      <c r="AG1824" s="16">
        <f>IF(ISERROR(VLOOKUP($A1824,'13. Updated Demand'!A:Z,24,FALSE)),0,VLOOKUP($A1824,'13. Updated Demand'!A:Z,24,FALSE))</f>
        <v>0.17</v>
      </c>
      <c r="AH1824" s="16">
        <f>IF(ISERROR(VLOOKUP($A1824,'13. Updated Demand'!A:Z,25,FALSE)),0,VLOOKUP($A1824,'13. Updated Demand'!A:Z,25,FALSE))</f>
        <v>0.08</v>
      </c>
      <c r="AI1824" s="16">
        <f>IF(ISERROR(VLOOKUP($A1824,'13. Updated Demand'!A:Z,26,FALSE)),0,VLOOKUP($A1824,'13. Updated Demand'!A:Z,26,FALSE))</f>
        <v>0.03</v>
      </c>
      <c r="AJ1824" s="16">
        <f t="shared" si="349"/>
        <v>1.26</v>
      </c>
      <c r="AK1824" s="19">
        <v>0.86333333333333373</v>
      </c>
      <c r="AL1824" s="16">
        <f t="shared" si="347"/>
        <v>2.8635783237584574E-3</v>
      </c>
      <c r="AM1824" s="26">
        <v>1.6314442046082032E-2</v>
      </c>
      <c r="AN1824" s="19">
        <v>79.683999999999997</v>
      </c>
      <c r="AO1824" s="19" t="s">
        <v>1758</v>
      </c>
      <c r="AP1824" s="19">
        <v>0</v>
      </c>
      <c r="AQ1824" s="19" t="s">
        <v>307</v>
      </c>
      <c r="AR1824" s="9" t="s">
        <v>436</v>
      </c>
      <c r="AS1824" s="12">
        <v>0</v>
      </c>
      <c r="AT1824" s="19">
        <v>38.701396619999997</v>
      </c>
      <c r="AU1824" s="19">
        <v>-122.89077125</v>
      </c>
      <c r="AV1824" s="19" t="s">
        <v>548</v>
      </c>
    </row>
    <row r="1825" spans="1:48" x14ac:dyDescent="0.25">
      <c r="A1825" s="18" t="s">
        <v>2231</v>
      </c>
      <c r="B1825" s="10">
        <v>10000000</v>
      </c>
      <c r="C1825" s="9">
        <v>10</v>
      </c>
      <c r="D1825" s="8" t="str">
        <f t="shared" si="338"/>
        <v>N</v>
      </c>
      <c r="E1825" s="8" t="str">
        <f t="shared" si="339"/>
        <v>Y</v>
      </c>
      <c r="F1825" s="8" t="str">
        <f t="shared" si="340"/>
        <v>Y</v>
      </c>
      <c r="G1825" s="8" t="str">
        <f t="shared" si="341"/>
        <v>Y</v>
      </c>
      <c r="H1825" s="8" t="str">
        <f t="shared" si="342"/>
        <v>Upper</v>
      </c>
      <c r="I1825" s="8" t="str">
        <f t="shared" si="343"/>
        <v>West Fork and Below Lake</v>
      </c>
      <c r="J1825" s="8" t="str">
        <f t="shared" si="344"/>
        <v>Sonoma (d/s of Clov. Gage)</v>
      </c>
      <c r="K1825" s="8" t="str">
        <f t="shared" si="345"/>
        <v>Riparian</v>
      </c>
      <c r="L1825" s="8">
        <f t="shared" si="346"/>
        <v>1000</v>
      </c>
      <c r="M1825" s="8" t="str">
        <f t="shared" si="348"/>
        <v>-</v>
      </c>
      <c r="N1825" s="10" t="s">
        <v>241</v>
      </c>
      <c r="O1825" s="10" t="s">
        <v>241</v>
      </c>
      <c r="P1825" s="10" t="s">
        <v>242</v>
      </c>
      <c r="Q1825" s="10" t="s">
        <v>242</v>
      </c>
      <c r="R1825" s="10" t="s">
        <v>242</v>
      </c>
      <c r="S1825" s="10" t="s">
        <v>241</v>
      </c>
      <c r="T1825" s="10" t="s">
        <v>242</v>
      </c>
      <c r="U1825" s="10" t="s">
        <v>242</v>
      </c>
      <c r="V1825" s="10" t="s">
        <v>242</v>
      </c>
      <c r="W1825" s="10" t="s">
        <v>242</v>
      </c>
      <c r="X1825" s="15">
        <f>IF(ISERROR(VLOOKUP($A1825,'13. Updated Demand'!A:Z,15,FALSE)),0,VLOOKUP($A1825,'13. Updated Demand'!A:Z,15,FALSE))</f>
        <v>0</v>
      </c>
      <c r="Y1825" s="16">
        <f>IF(ISERROR(VLOOKUP($A1825,'13. Updated Demand'!A:Z,16,FALSE)),0,VLOOKUP($A1825,'13. Updated Demand'!A:Z,16,FALSE))</f>
        <v>0.04</v>
      </c>
      <c r="Z1825" s="16">
        <f>IF(ISERROR(VLOOKUP($A1825,'13. Updated Demand'!A:Z,17,FALSE)),0,VLOOKUP($A1825,'13. Updated Demand'!A:Z,17,FALSE))</f>
        <v>0.46</v>
      </c>
      <c r="AA1825" s="16">
        <f>IF(ISERROR(VLOOKUP($A1825,'13. Updated Demand'!A:Z,18,FALSE)),0,VLOOKUP($A1825,'13. Updated Demand'!A:Z,18,FALSE))</f>
        <v>0</v>
      </c>
      <c r="AB1825" s="16">
        <f>IF(ISERROR(VLOOKUP($A1825,'13. Updated Demand'!A:Z,19,FALSE)),0,VLOOKUP($A1825,'13. Updated Demand'!A:Z,19,FALSE))</f>
        <v>0.28999999999999998</v>
      </c>
      <c r="AC1825" s="16">
        <f>IF(ISERROR(VLOOKUP($A1825,'13. Updated Demand'!A:Z,20,FALSE)),0,VLOOKUP($A1825,'13. Updated Demand'!A:Z,20,FALSE))</f>
        <v>1.56</v>
      </c>
      <c r="AD1825" s="16">
        <f>IF(ISERROR(VLOOKUP($A1825,'13. Updated Demand'!A:Z,21,FALSE)),0,VLOOKUP($A1825,'13. Updated Demand'!A:Z,21,FALSE))</f>
        <v>2.72</v>
      </c>
      <c r="AE1825" s="16">
        <f>IF(ISERROR(VLOOKUP($A1825,'13. Updated Demand'!A:Z,22,FALSE)),0,VLOOKUP($A1825,'13. Updated Demand'!A:Z,22,FALSE))</f>
        <v>5.4</v>
      </c>
      <c r="AF1825" s="16">
        <f>IF(ISERROR(VLOOKUP($A1825,'13. Updated Demand'!A:Z,23,FALSE)),0,VLOOKUP($A1825,'13. Updated Demand'!A:Z,23,FALSE))</f>
        <v>2.06</v>
      </c>
      <c r="AG1825" s="16">
        <f>IF(ISERROR(VLOOKUP($A1825,'13. Updated Demand'!A:Z,24,FALSE)),0,VLOOKUP($A1825,'13. Updated Demand'!A:Z,24,FALSE))</f>
        <v>0.96</v>
      </c>
      <c r="AH1825" s="16">
        <f>IF(ISERROR(VLOOKUP($A1825,'13. Updated Demand'!A:Z,25,FALSE)),0,VLOOKUP($A1825,'13. Updated Demand'!A:Z,25,FALSE))</f>
        <v>0.03</v>
      </c>
      <c r="AI1825" s="16">
        <f>IF(ISERROR(VLOOKUP($A1825,'13. Updated Demand'!A:Z,26,FALSE)),0,VLOOKUP($A1825,'13. Updated Demand'!A:Z,26,FALSE))</f>
        <v>0</v>
      </c>
      <c r="AJ1825" s="16">
        <f t="shared" si="349"/>
        <v>13.520000000000001</v>
      </c>
      <c r="AK1825" s="19">
        <v>12.04333333333334</v>
      </c>
      <c r="AL1825" s="16">
        <f t="shared" si="347"/>
        <v>3.9946364802082267E-2</v>
      </c>
      <c r="AM1825" s="26">
        <v>1.7013034820875801E-2</v>
      </c>
      <c r="AN1825" s="19">
        <v>796.84</v>
      </c>
      <c r="AO1825" s="19" t="s">
        <v>1758</v>
      </c>
      <c r="AP1825" s="19">
        <v>0</v>
      </c>
      <c r="AQ1825" s="19" t="s">
        <v>307</v>
      </c>
      <c r="AR1825" s="9" t="s">
        <v>436</v>
      </c>
      <c r="AS1825" s="12">
        <v>0</v>
      </c>
      <c r="AT1825" s="19">
        <v>38.700897169999998</v>
      </c>
      <c r="AU1825" s="19">
        <v>-122.89036901999999</v>
      </c>
      <c r="AV1825" s="19" t="s">
        <v>548</v>
      </c>
    </row>
    <row r="1826" spans="1:48" x14ac:dyDescent="0.25">
      <c r="A1826" s="18" t="s">
        <v>2232</v>
      </c>
      <c r="B1826" s="10">
        <v>10000000</v>
      </c>
      <c r="C1826" s="9">
        <v>10</v>
      </c>
      <c r="D1826" s="8" t="str">
        <f t="shared" si="338"/>
        <v>N</v>
      </c>
      <c r="E1826" s="8" t="str">
        <f t="shared" si="339"/>
        <v>Y</v>
      </c>
      <c r="F1826" s="8" t="str">
        <f t="shared" si="340"/>
        <v>Y</v>
      </c>
      <c r="G1826" s="8" t="str">
        <f t="shared" si="341"/>
        <v>Y</v>
      </c>
      <c r="H1826" s="8" t="str">
        <f t="shared" si="342"/>
        <v>Upper</v>
      </c>
      <c r="I1826" s="8" t="str">
        <f t="shared" si="343"/>
        <v>West Fork and Below Lake</v>
      </c>
      <c r="J1826" s="8" t="str">
        <f t="shared" si="344"/>
        <v>Sonoma (d/s of Clov. Gage)</v>
      </c>
      <c r="K1826" s="8" t="str">
        <f t="shared" si="345"/>
        <v>Riparian</v>
      </c>
      <c r="L1826" s="8">
        <f t="shared" si="346"/>
        <v>1000</v>
      </c>
      <c r="M1826" s="8" t="str">
        <f t="shared" si="348"/>
        <v>-</v>
      </c>
      <c r="N1826" s="10" t="s">
        <v>241</v>
      </c>
      <c r="O1826" s="10" t="s">
        <v>241</v>
      </c>
      <c r="P1826" s="10" t="s">
        <v>242</v>
      </c>
      <c r="Q1826" s="10" t="s">
        <v>242</v>
      </c>
      <c r="R1826" s="10" t="s">
        <v>242</v>
      </c>
      <c r="S1826" s="10" t="s">
        <v>241</v>
      </c>
      <c r="T1826" s="10" t="s">
        <v>242</v>
      </c>
      <c r="U1826" s="10" t="s">
        <v>242</v>
      </c>
      <c r="V1826" s="10" t="s">
        <v>241</v>
      </c>
      <c r="W1826" s="10" t="s">
        <v>242</v>
      </c>
      <c r="X1826" s="15">
        <f>IF(ISERROR(VLOOKUP($A1826,'13. Updated Demand'!A:Z,15,FALSE)),0,VLOOKUP($A1826,'13. Updated Demand'!A:Z,15,FALSE))</f>
        <v>0</v>
      </c>
      <c r="Y1826" s="16">
        <f>IF(ISERROR(VLOOKUP($A1826,'13. Updated Demand'!A:Z,16,FALSE)),0,VLOOKUP($A1826,'13. Updated Demand'!A:Z,16,FALSE))</f>
        <v>0.03</v>
      </c>
      <c r="Z1826" s="16">
        <f>IF(ISERROR(VLOOKUP($A1826,'13. Updated Demand'!A:Z,17,FALSE)),0,VLOOKUP($A1826,'13. Updated Demand'!A:Z,17,FALSE))</f>
        <v>0.46</v>
      </c>
      <c r="AA1826" s="16">
        <f>IF(ISERROR(VLOOKUP($A1826,'13. Updated Demand'!A:Z,18,FALSE)),0,VLOOKUP($A1826,'13. Updated Demand'!A:Z,18,FALSE))</f>
        <v>0</v>
      </c>
      <c r="AB1826" s="16">
        <f>IF(ISERROR(VLOOKUP($A1826,'13. Updated Demand'!A:Z,19,FALSE)),0,VLOOKUP($A1826,'13. Updated Demand'!A:Z,19,FALSE))</f>
        <v>0</v>
      </c>
      <c r="AC1826" s="16">
        <f>IF(ISERROR(VLOOKUP($A1826,'13. Updated Demand'!A:Z,20,FALSE)),0,VLOOKUP($A1826,'13. Updated Demand'!A:Z,20,FALSE))</f>
        <v>0</v>
      </c>
      <c r="AD1826" s="16">
        <f>IF(ISERROR(VLOOKUP($A1826,'13. Updated Demand'!A:Z,21,FALSE)),0,VLOOKUP($A1826,'13. Updated Demand'!A:Z,21,FALSE))</f>
        <v>0</v>
      </c>
      <c r="AE1826" s="16">
        <f>IF(ISERROR(VLOOKUP($A1826,'13. Updated Demand'!A:Z,22,FALSE)),0,VLOOKUP($A1826,'13. Updated Demand'!A:Z,22,FALSE))</f>
        <v>0</v>
      </c>
      <c r="AF1826" s="16">
        <f>IF(ISERROR(VLOOKUP($A1826,'13. Updated Demand'!A:Z,23,FALSE)),0,VLOOKUP($A1826,'13. Updated Demand'!A:Z,23,FALSE))</f>
        <v>0</v>
      </c>
      <c r="AG1826" s="16">
        <f>IF(ISERROR(VLOOKUP($A1826,'13. Updated Demand'!A:Z,24,FALSE)),0,VLOOKUP($A1826,'13. Updated Demand'!A:Z,24,FALSE))</f>
        <v>0</v>
      </c>
      <c r="AH1826" s="16">
        <f>IF(ISERROR(VLOOKUP($A1826,'13. Updated Demand'!A:Z,25,FALSE)),0,VLOOKUP($A1826,'13. Updated Demand'!A:Z,25,FALSE))</f>
        <v>0.63</v>
      </c>
      <c r="AI1826" s="16">
        <f>IF(ISERROR(VLOOKUP($A1826,'13. Updated Demand'!A:Z,26,FALSE)),0,VLOOKUP($A1826,'13. Updated Demand'!A:Z,26,FALSE))</f>
        <v>0</v>
      </c>
      <c r="AJ1826" s="16">
        <f t="shared" si="349"/>
        <v>1.1200000000000001</v>
      </c>
      <c r="AK1826" s="19">
        <v>0</v>
      </c>
      <c r="AL1826" s="16">
        <f t="shared" si="347"/>
        <v>0</v>
      </c>
      <c r="AM1826" s="26">
        <v>9.3627358486928999E-4</v>
      </c>
      <c r="AN1826" s="19">
        <v>1210.4724000000001</v>
      </c>
      <c r="AO1826" s="19" t="s">
        <v>1758</v>
      </c>
      <c r="AP1826" s="19">
        <v>0</v>
      </c>
      <c r="AQ1826" s="19" t="s">
        <v>307</v>
      </c>
      <c r="AR1826" s="9" t="s">
        <v>436</v>
      </c>
      <c r="AS1826" s="12">
        <v>0</v>
      </c>
      <c r="AT1826" s="19">
        <v>38.702973319999998</v>
      </c>
      <c r="AU1826" s="19">
        <v>-122.89142526000001</v>
      </c>
      <c r="AV1826" s="19" t="s">
        <v>548</v>
      </c>
    </row>
    <row r="1827" spans="1:48" x14ac:dyDescent="0.25">
      <c r="A1827" s="18" t="s">
        <v>2233</v>
      </c>
      <c r="B1827" s="10">
        <v>10000000</v>
      </c>
      <c r="C1827" s="9">
        <v>23</v>
      </c>
      <c r="D1827" s="8" t="str">
        <f t="shared" si="338"/>
        <v>N</v>
      </c>
      <c r="E1827" s="8" t="str">
        <f t="shared" si="339"/>
        <v>N</v>
      </c>
      <c r="F1827" s="8" t="str">
        <f t="shared" si="340"/>
        <v>N</v>
      </c>
      <c r="G1827" s="8" t="str">
        <f t="shared" si="341"/>
        <v>N</v>
      </c>
      <c r="H1827" s="8" t="str">
        <f t="shared" si="342"/>
        <v>Lower</v>
      </c>
      <c r="I1827" s="8" t="str">
        <f t="shared" si="343"/>
        <v>Outside</v>
      </c>
      <c r="J1827" s="8" t="str">
        <f t="shared" si="344"/>
        <v>Outside</v>
      </c>
      <c r="K1827" s="8" t="str">
        <f t="shared" si="345"/>
        <v>Riparian</v>
      </c>
      <c r="L1827" s="8">
        <f t="shared" si="346"/>
        <v>1000</v>
      </c>
      <c r="M1827" s="8" t="str">
        <f t="shared" si="348"/>
        <v>-</v>
      </c>
      <c r="N1827" s="10" t="s">
        <v>242</v>
      </c>
      <c r="O1827" s="10" t="s">
        <v>242</v>
      </c>
      <c r="P1827" s="10" t="s">
        <v>242</v>
      </c>
      <c r="Q1827" s="10" t="s">
        <v>242</v>
      </c>
      <c r="R1827" s="10" t="s">
        <v>242</v>
      </c>
      <c r="S1827" s="10" t="s">
        <v>241</v>
      </c>
      <c r="T1827" s="10" t="s">
        <v>242</v>
      </c>
      <c r="U1827" s="10" t="s">
        <v>241</v>
      </c>
      <c r="V1827" s="10" t="s">
        <v>241</v>
      </c>
      <c r="W1827" s="10" t="s">
        <v>242</v>
      </c>
      <c r="X1827" s="15">
        <f>IF(ISERROR(VLOOKUP($A1827,'13. Updated Demand'!A:Z,15,FALSE)),0,VLOOKUP($A1827,'13. Updated Demand'!A:Z,15,FALSE))</f>
        <v>0</v>
      </c>
      <c r="Y1827" s="16">
        <f>IF(ISERROR(VLOOKUP($A1827,'13. Updated Demand'!A:Z,16,FALSE)),0,VLOOKUP($A1827,'13. Updated Demand'!A:Z,16,FALSE))</f>
        <v>0</v>
      </c>
      <c r="Z1827" s="16">
        <f>IF(ISERROR(VLOOKUP($A1827,'13. Updated Demand'!A:Z,17,FALSE)),0,VLOOKUP($A1827,'13. Updated Demand'!A:Z,17,FALSE))</f>
        <v>0</v>
      </c>
      <c r="AA1827" s="16">
        <f>IF(ISERROR(VLOOKUP($A1827,'13. Updated Demand'!A:Z,18,FALSE)),0,VLOOKUP($A1827,'13. Updated Demand'!A:Z,18,FALSE))</f>
        <v>0</v>
      </c>
      <c r="AB1827" s="16">
        <f>IF(ISERROR(VLOOKUP($A1827,'13. Updated Demand'!A:Z,19,FALSE)),0,VLOOKUP($A1827,'13. Updated Demand'!A:Z,19,FALSE))</f>
        <v>0</v>
      </c>
      <c r="AC1827" s="16">
        <f>IF(ISERROR(VLOOKUP($A1827,'13. Updated Demand'!A:Z,20,FALSE)),0,VLOOKUP($A1827,'13. Updated Demand'!A:Z,20,FALSE))</f>
        <v>0</v>
      </c>
      <c r="AD1827" s="16">
        <f>IF(ISERROR(VLOOKUP($A1827,'13. Updated Demand'!A:Z,21,FALSE)),0,VLOOKUP($A1827,'13. Updated Demand'!A:Z,21,FALSE))</f>
        <v>0</v>
      </c>
      <c r="AE1827" s="16">
        <f>IF(ISERROR(VLOOKUP($A1827,'13. Updated Demand'!A:Z,22,FALSE)),0,VLOOKUP($A1827,'13. Updated Demand'!A:Z,22,FALSE))</f>
        <v>0</v>
      </c>
      <c r="AF1827" s="16">
        <f>IF(ISERROR(VLOOKUP($A1827,'13. Updated Demand'!A:Z,23,FALSE)),0,VLOOKUP($A1827,'13. Updated Demand'!A:Z,23,FALSE))</f>
        <v>0</v>
      </c>
      <c r="AG1827" s="16">
        <f>IF(ISERROR(VLOOKUP($A1827,'13. Updated Demand'!A:Z,24,FALSE)),0,VLOOKUP($A1827,'13. Updated Demand'!A:Z,24,FALSE))</f>
        <v>0</v>
      </c>
      <c r="AH1827" s="16">
        <f>IF(ISERROR(VLOOKUP($A1827,'13. Updated Demand'!A:Z,25,FALSE)),0,VLOOKUP($A1827,'13. Updated Demand'!A:Z,25,FALSE))</f>
        <v>0</v>
      </c>
      <c r="AI1827" s="16">
        <f>IF(ISERROR(VLOOKUP($A1827,'13. Updated Demand'!A:Z,26,FALSE)),0,VLOOKUP($A1827,'13. Updated Demand'!A:Z,26,FALSE))</f>
        <v>0</v>
      </c>
      <c r="AJ1827" s="16">
        <f t="shared" si="349"/>
        <v>0</v>
      </c>
      <c r="AK1827" s="19">
        <v>0</v>
      </c>
      <c r="AL1827" s="16">
        <f t="shared" si="347"/>
        <v>0</v>
      </c>
      <c r="AM1827" s="26">
        <v>0</v>
      </c>
      <c r="AN1827" s="19">
        <v>1210.4724000000001</v>
      </c>
      <c r="AO1827" s="19" t="s">
        <v>1758</v>
      </c>
      <c r="AP1827" s="19">
        <v>0</v>
      </c>
      <c r="AQ1827" s="19" t="s">
        <v>307</v>
      </c>
      <c r="AR1827" s="9" t="s">
        <v>323</v>
      </c>
      <c r="AS1827" s="12">
        <v>0</v>
      </c>
      <c r="AT1827" s="19">
        <v>38.496000870000003</v>
      </c>
      <c r="AU1827" s="19">
        <v>-122.8051663</v>
      </c>
      <c r="AV1827" s="19" t="s">
        <v>735</v>
      </c>
    </row>
    <row r="1828" spans="1:48" x14ac:dyDescent="0.25">
      <c r="A1828" s="18" t="s">
        <v>2234</v>
      </c>
      <c r="B1828" s="10">
        <v>10000000</v>
      </c>
      <c r="C1828" s="9">
        <v>16</v>
      </c>
      <c r="D1828" s="8" t="str">
        <f t="shared" si="338"/>
        <v>N</v>
      </c>
      <c r="E1828" s="8" t="str">
        <f t="shared" si="339"/>
        <v>N</v>
      </c>
      <c r="F1828" s="8" t="str">
        <f t="shared" si="340"/>
        <v>N</v>
      </c>
      <c r="G1828" s="8" t="str">
        <f t="shared" si="341"/>
        <v>N</v>
      </c>
      <c r="H1828" s="8" t="str">
        <f t="shared" si="342"/>
        <v>Lower</v>
      </c>
      <c r="I1828" s="8" t="str">
        <f t="shared" si="343"/>
        <v>Outside</v>
      </c>
      <c r="J1828" s="8" t="str">
        <f t="shared" si="344"/>
        <v>Outside</v>
      </c>
      <c r="K1828" s="8" t="str">
        <f t="shared" si="345"/>
        <v>Riparian</v>
      </c>
      <c r="L1828" s="8">
        <f t="shared" si="346"/>
        <v>1000</v>
      </c>
      <c r="M1828" s="8" t="str">
        <f t="shared" si="348"/>
        <v>-</v>
      </c>
      <c r="N1828" s="10" t="s">
        <v>242</v>
      </c>
      <c r="O1828" s="10" t="s">
        <v>242</v>
      </c>
      <c r="P1828" s="10" t="s">
        <v>242</v>
      </c>
      <c r="Q1828" s="10" t="s">
        <v>242</v>
      </c>
      <c r="R1828" s="10" t="s">
        <v>242</v>
      </c>
      <c r="S1828" s="10" t="s">
        <v>241</v>
      </c>
      <c r="T1828" s="10" t="s">
        <v>242</v>
      </c>
      <c r="U1828" s="10" t="s">
        <v>242</v>
      </c>
      <c r="V1828" s="10" t="s">
        <v>242</v>
      </c>
      <c r="W1828" s="10" t="s">
        <v>242</v>
      </c>
      <c r="X1828" s="15">
        <f>IF(ISERROR(VLOOKUP($A1828,'13. Updated Demand'!A:Z,15,FALSE)),0,VLOOKUP($A1828,'13. Updated Demand'!A:Z,15,FALSE))</f>
        <v>0</v>
      </c>
      <c r="Y1828" s="16">
        <f>IF(ISERROR(VLOOKUP($A1828,'13. Updated Demand'!A:Z,16,FALSE)),0,VLOOKUP($A1828,'13. Updated Demand'!A:Z,16,FALSE))</f>
        <v>0</v>
      </c>
      <c r="Z1828" s="16">
        <f>IF(ISERROR(VLOOKUP($A1828,'13. Updated Demand'!A:Z,17,FALSE)),0,VLOOKUP($A1828,'13. Updated Demand'!A:Z,17,FALSE))</f>
        <v>0</v>
      </c>
      <c r="AA1828" s="16">
        <f>IF(ISERROR(VLOOKUP($A1828,'13. Updated Demand'!A:Z,18,FALSE)),0,VLOOKUP($A1828,'13. Updated Demand'!A:Z,18,FALSE))</f>
        <v>0</v>
      </c>
      <c r="AB1828" s="16">
        <f>IF(ISERROR(VLOOKUP($A1828,'13. Updated Demand'!A:Z,19,FALSE)),0,VLOOKUP($A1828,'13. Updated Demand'!A:Z,19,FALSE))</f>
        <v>0.114666667</v>
      </c>
      <c r="AC1828" s="16">
        <f>IF(ISERROR(VLOOKUP($A1828,'13. Updated Demand'!A:Z,20,FALSE)),0,VLOOKUP($A1828,'13. Updated Demand'!A:Z,20,FALSE))</f>
        <v>0.53166666699999998</v>
      </c>
      <c r="AD1828" s="16">
        <f>IF(ISERROR(VLOOKUP($A1828,'13. Updated Demand'!A:Z,21,FALSE)),0,VLOOKUP($A1828,'13. Updated Demand'!A:Z,21,FALSE))</f>
        <v>0.752</v>
      </c>
      <c r="AE1828" s="16">
        <f>IF(ISERROR(VLOOKUP($A1828,'13. Updated Demand'!A:Z,22,FALSE)),0,VLOOKUP($A1828,'13. Updated Demand'!A:Z,22,FALSE))</f>
        <v>1.296666667</v>
      </c>
      <c r="AF1828" s="16">
        <f>IF(ISERROR(VLOOKUP($A1828,'13. Updated Demand'!A:Z,23,FALSE)),0,VLOOKUP($A1828,'13. Updated Demand'!A:Z,23,FALSE))</f>
        <v>1.0900000000000001</v>
      </c>
      <c r="AG1828" s="16">
        <f>IF(ISERROR(VLOOKUP($A1828,'13. Updated Demand'!A:Z,24,FALSE)),0,VLOOKUP($A1828,'13. Updated Demand'!A:Z,24,FALSE))</f>
        <v>0.81966666700000002</v>
      </c>
      <c r="AH1828" s="16">
        <f>IF(ISERROR(VLOOKUP($A1828,'13. Updated Demand'!A:Z,25,FALSE)),0,VLOOKUP($A1828,'13. Updated Demand'!A:Z,25,FALSE))</f>
        <v>0.103333333</v>
      </c>
      <c r="AI1828" s="16">
        <f>IF(ISERROR(VLOOKUP($A1828,'13. Updated Demand'!A:Z,26,FALSE)),0,VLOOKUP($A1828,'13. Updated Demand'!A:Z,26,FALSE))</f>
        <v>0</v>
      </c>
      <c r="AJ1828" s="16">
        <f t="shared" si="349"/>
        <v>4.7080000010000003</v>
      </c>
      <c r="AK1828" s="19">
        <v>3.7850000010000002</v>
      </c>
      <c r="AL1828" s="16">
        <f t="shared" si="347"/>
        <v>1.2554413851300388E-2</v>
      </c>
      <c r="AM1828" s="26">
        <v>0.99155451675407014</v>
      </c>
      <c r="AN1828" s="19">
        <v>4.7481</v>
      </c>
      <c r="AO1828" s="19" t="s">
        <v>1758</v>
      </c>
      <c r="AP1828" s="19">
        <v>0</v>
      </c>
      <c r="AQ1828" s="19" t="s">
        <v>307</v>
      </c>
      <c r="AR1828" s="9" t="s">
        <v>394</v>
      </c>
      <c r="AS1828" s="12">
        <v>0</v>
      </c>
      <c r="AT1828" s="19">
        <v>38.644497680000001</v>
      </c>
      <c r="AU1828" s="19">
        <v>-122.91319161</v>
      </c>
      <c r="AV1828" s="19" t="s">
        <v>701</v>
      </c>
    </row>
    <row r="1829" spans="1:48" x14ac:dyDescent="0.25">
      <c r="A1829" s="18" t="s">
        <v>2235</v>
      </c>
      <c r="B1829" s="10">
        <v>10000000</v>
      </c>
      <c r="C1829" s="9">
        <v>16</v>
      </c>
      <c r="D1829" s="8" t="str">
        <f t="shared" si="338"/>
        <v>N</v>
      </c>
      <c r="E1829" s="8" t="str">
        <f t="shared" si="339"/>
        <v>N</v>
      </c>
      <c r="F1829" s="8" t="str">
        <f t="shared" si="340"/>
        <v>N</v>
      </c>
      <c r="G1829" s="8" t="str">
        <f t="shared" si="341"/>
        <v>N</v>
      </c>
      <c r="H1829" s="8" t="str">
        <f t="shared" si="342"/>
        <v>Lower</v>
      </c>
      <c r="I1829" s="8" t="str">
        <f t="shared" si="343"/>
        <v>Outside</v>
      </c>
      <c r="J1829" s="8" t="str">
        <f t="shared" si="344"/>
        <v>Outside</v>
      </c>
      <c r="K1829" s="8" t="str">
        <f t="shared" si="345"/>
        <v>Riparian</v>
      </c>
      <c r="L1829" s="8">
        <f t="shared" si="346"/>
        <v>1000</v>
      </c>
      <c r="M1829" s="8" t="str">
        <f t="shared" si="348"/>
        <v>-</v>
      </c>
      <c r="N1829" s="10" t="s">
        <v>242</v>
      </c>
      <c r="O1829" s="10" t="s">
        <v>242</v>
      </c>
      <c r="P1829" s="10" t="s">
        <v>242</v>
      </c>
      <c r="Q1829" s="10" t="s">
        <v>242</v>
      </c>
      <c r="R1829" s="10" t="s">
        <v>242</v>
      </c>
      <c r="S1829" s="10" t="s">
        <v>241</v>
      </c>
      <c r="T1829" s="10" t="s">
        <v>242</v>
      </c>
      <c r="U1829" s="10" t="s">
        <v>242</v>
      </c>
      <c r="V1829" s="10" t="s">
        <v>242</v>
      </c>
      <c r="W1829" s="10" t="s">
        <v>242</v>
      </c>
      <c r="X1829" s="15">
        <f>IF(ISERROR(VLOOKUP($A1829,'13. Updated Demand'!A:Z,15,FALSE)),0,VLOOKUP($A1829,'13. Updated Demand'!A:Z,15,FALSE))</f>
        <v>0</v>
      </c>
      <c r="Y1829" s="16">
        <f>IF(ISERROR(VLOOKUP($A1829,'13. Updated Demand'!A:Z,16,FALSE)),0,VLOOKUP($A1829,'13. Updated Demand'!A:Z,16,FALSE))</f>
        <v>0</v>
      </c>
      <c r="Z1829" s="16">
        <f>IF(ISERROR(VLOOKUP($A1829,'13. Updated Demand'!A:Z,17,FALSE)),0,VLOOKUP($A1829,'13. Updated Demand'!A:Z,17,FALSE))</f>
        <v>6.5140000000000003E-2</v>
      </c>
      <c r="AA1829" s="16">
        <f>IF(ISERROR(VLOOKUP($A1829,'13. Updated Demand'!A:Z,18,FALSE)),0,VLOOKUP($A1829,'13. Updated Demand'!A:Z,18,FALSE))</f>
        <v>5.5137667000000001E-2</v>
      </c>
      <c r="AB1829" s="16">
        <f>IF(ISERROR(VLOOKUP($A1829,'13. Updated Demand'!A:Z,19,FALSE)),0,VLOOKUP($A1829,'13. Updated Demand'!A:Z,19,FALSE))</f>
        <v>1.32422</v>
      </c>
      <c r="AC1829" s="16">
        <f>IF(ISERROR(VLOOKUP($A1829,'13. Updated Demand'!A:Z,20,FALSE)),0,VLOOKUP($A1829,'13. Updated Demand'!A:Z,20,FALSE))</f>
        <v>0.18515300000000001</v>
      </c>
      <c r="AD1829" s="16">
        <f>IF(ISERROR(VLOOKUP($A1829,'13. Updated Demand'!A:Z,21,FALSE)),0,VLOOKUP($A1829,'13. Updated Demand'!A:Z,21,FALSE))</f>
        <v>1.6703809999999999</v>
      </c>
      <c r="AE1829" s="16">
        <f>IF(ISERROR(VLOOKUP($A1829,'13. Updated Demand'!A:Z,22,FALSE)),0,VLOOKUP($A1829,'13. Updated Demand'!A:Z,22,FALSE))</f>
        <v>1.1857249999999999</v>
      </c>
      <c r="AF1829" s="16">
        <f>IF(ISERROR(VLOOKUP($A1829,'13. Updated Demand'!A:Z,23,FALSE)),0,VLOOKUP($A1829,'13. Updated Demand'!A:Z,23,FALSE))</f>
        <v>0.113446667</v>
      </c>
      <c r="AG1829" s="16">
        <f>IF(ISERROR(VLOOKUP($A1829,'13. Updated Demand'!A:Z,24,FALSE)),0,VLOOKUP($A1829,'13. Updated Demand'!A:Z,24,FALSE))</f>
        <v>0</v>
      </c>
      <c r="AH1829" s="16">
        <f>IF(ISERROR(VLOOKUP($A1829,'13. Updated Demand'!A:Z,25,FALSE)),0,VLOOKUP($A1829,'13. Updated Demand'!A:Z,25,FALSE))</f>
        <v>0</v>
      </c>
      <c r="AI1829" s="16">
        <f>IF(ISERROR(VLOOKUP($A1829,'13. Updated Demand'!A:Z,26,FALSE)),0,VLOOKUP($A1829,'13. Updated Demand'!A:Z,26,FALSE))</f>
        <v>0</v>
      </c>
      <c r="AJ1829" s="16">
        <f t="shared" si="349"/>
        <v>4.5992033339999994</v>
      </c>
      <c r="AK1829" s="19">
        <v>4.4789256669999995</v>
      </c>
      <c r="AL1829" s="16">
        <f t="shared" si="347"/>
        <v>1.4856086239860906E-2</v>
      </c>
      <c r="AM1829" s="26">
        <v>5.7198045651946803E-3</v>
      </c>
      <c r="AN1829" s="19">
        <v>804.08399999999995</v>
      </c>
      <c r="AO1829" s="19" t="s">
        <v>1758</v>
      </c>
      <c r="AP1829" s="19">
        <v>0</v>
      </c>
      <c r="AQ1829" s="19" t="s">
        <v>307</v>
      </c>
      <c r="AR1829" s="9" t="s">
        <v>394</v>
      </c>
      <c r="AS1829" s="12">
        <v>0</v>
      </c>
      <c r="AT1829" s="19">
        <v>38.6511</v>
      </c>
      <c r="AU1829" s="19">
        <v>-122.9284</v>
      </c>
      <c r="AV1829" s="19" t="s">
        <v>701</v>
      </c>
    </row>
    <row r="1830" spans="1:48" x14ac:dyDescent="0.25">
      <c r="A1830" s="18" t="s">
        <v>2236</v>
      </c>
      <c r="B1830" s="10">
        <v>10000000</v>
      </c>
      <c r="C1830" s="9">
        <v>16</v>
      </c>
      <c r="D1830" s="8" t="str">
        <f t="shared" si="338"/>
        <v>N</v>
      </c>
      <c r="E1830" s="8" t="str">
        <f t="shared" si="339"/>
        <v>N</v>
      </c>
      <c r="F1830" s="8" t="str">
        <f t="shared" si="340"/>
        <v>N</v>
      </c>
      <c r="G1830" s="8" t="str">
        <f t="shared" si="341"/>
        <v>N</v>
      </c>
      <c r="H1830" s="8" t="str">
        <f t="shared" si="342"/>
        <v>Lower</v>
      </c>
      <c r="I1830" s="8" t="str">
        <f t="shared" si="343"/>
        <v>Outside</v>
      </c>
      <c r="J1830" s="8" t="str">
        <f t="shared" si="344"/>
        <v>Outside</v>
      </c>
      <c r="K1830" s="8" t="str">
        <f t="shared" si="345"/>
        <v>Riparian</v>
      </c>
      <c r="L1830" s="8">
        <f t="shared" si="346"/>
        <v>1000</v>
      </c>
      <c r="M1830" s="8" t="str">
        <f t="shared" si="348"/>
        <v>-</v>
      </c>
      <c r="N1830" s="10" t="s">
        <v>242</v>
      </c>
      <c r="O1830" s="10" t="s">
        <v>242</v>
      </c>
      <c r="P1830" s="10" t="s">
        <v>242</v>
      </c>
      <c r="Q1830" s="10" t="s">
        <v>242</v>
      </c>
      <c r="R1830" s="10" t="s">
        <v>242</v>
      </c>
      <c r="S1830" s="10" t="s">
        <v>241</v>
      </c>
      <c r="T1830" s="10" t="s">
        <v>242</v>
      </c>
      <c r="U1830" s="10" t="s">
        <v>242</v>
      </c>
      <c r="V1830" s="10" t="s">
        <v>242</v>
      </c>
      <c r="W1830" s="10" t="s">
        <v>242</v>
      </c>
      <c r="X1830" s="15">
        <f>IF(ISERROR(VLOOKUP($A1830,'13. Updated Demand'!A:Z,15,FALSE)),0,VLOOKUP($A1830,'13. Updated Demand'!A:Z,15,FALSE))</f>
        <v>0</v>
      </c>
      <c r="Y1830" s="16">
        <f>IF(ISERROR(VLOOKUP($A1830,'13. Updated Demand'!A:Z,16,FALSE)),0,VLOOKUP($A1830,'13. Updated Demand'!A:Z,16,FALSE))</f>
        <v>0</v>
      </c>
      <c r="Z1830" s="16">
        <f>IF(ISERROR(VLOOKUP($A1830,'13. Updated Demand'!A:Z,17,FALSE)),0,VLOOKUP($A1830,'13. Updated Demand'!A:Z,17,FALSE))</f>
        <v>0.123333333</v>
      </c>
      <c r="AA1830" s="16">
        <f>IF(ISERROR(VLOOKUP($A1830,'13. Updated Demand'!A:Z,18,FALSE)),0,VLOOKUP($A1830,'13. Updated Demand'!A:Z,18,FALSE))</f>
        <v>0.21</v>
      </c>
      <c r="AB1830" s="16">
        <f>IF(ISERROR(VLOOKUP($A1830,'13. Updated Demand'!A:Z,19,FALSE)),0,VLOOKUP($A1830,'13. Updated Demand'!A:Z,19,FALSE))</f>
        <v>0.796666667</v>
      </c>
      <c r="AC1830" s="16">
        <f>IF(ISERROR(VLOOKUP($A1830,'13. Updated Demand'!A:Z,20,FALSE)),0,VLOOKUP($A1830,'13. Updated Demand'!A:Z,20,FALSE))</f>
        <v>1.6466666670000001</v>
      </c>
      <c r="AD1830" s="16">
        <f>IF(ISERROR(VLOOKUP($A1830,'13. Updated Demand'!A:Z,21,FALSE)),0,VLOOKUP($A1830,'13. Updated Demand'!A:Z,21,FALSE))</f>
        <v>1.3833333329999999</v>
      </c>
      <c r="AE1830" s="16">
        <f>IF(ISERROR(VLOOKUP($A1830,'13. Updated Demand'!A:Z,22,FALSE)),0,VLOOKUP($A1830,'13. Updated Demand'!A:Z,22,FALSE))</f>
        <v>1.1299999999999999</v>
      </c>
      <c r="AF1830" s="16">
        <f>IF(ISERROR(VLOOKUP($A1830,'13. Updated Demand'!A:Z,23,FALSE)),0,VLOOKUP($A1830,'13. Updated Demand'!A:Z,23,FALSE))</f>
        <v>0.56999999999999995</v>
      </c>
      <c r="AG1830" s="16">
        <f>IF(ISERROR(VLOOKUP($A1830,'13. Updated Demand'!A:Z,24,FALSE)),0,VLOOKUP($A1830,'13. Updated Demand'!A:Z,24,FALSE))</f>
        <v>0.206666667</v>
      </c>
      <c r="AH1830" s="16">
        <f>IF(ISERROR(VLOOKUP($A1830,'13. Updated Demand'!A:Z,25,FALSE)),0,VLOOKUP($A1830,'13. Updated Demand'!A:Z,25,FALSE))</f>
        <v>0</v>
      </c>
      <c r="AI1830" s="16">
        <f>IF(ISERROR(VLOOKUP($A1830,'13. Updated Demand'!A:Z,26,FALSE)),0,VLOOKUP($A1830,'13. Updated Demand'!A:Z,26,FALSE))</f>
        <v>0</v>
      </c>
      <c r="AJ1830" s="16">
        <f t="shared" si="349"/>
        <v>6.0666666670000007</v>
      </c>
      <c r="AK1830" s="19">
        <v>5.5266666670000006</v>
      </c>
      <c r="AL1830" s="16">
        <f t="shared" si="347"/>
        <v>1.8331323787945476E-2</v>
      </c>
      <c r="AM1830" s="26">
        <v>5.0148185134424692E-2</v>
      </c>
      <c r="AN1830" s="19">
        <v>120.9748</v>
      </c>
      <c r="AO1830" s="19" t="s">
        <v>1758</v>
      </c>
      <c r="AP1830" s="19">
        <v>0</v>
      </c>
      <c r="AQ1830" s="19" t="s">
        <v>307</v>
      </c>
      <c r="AR1830" s="9" t="s">
        <v>394</v>
      </c>
      <c r="AS1830" s="12">
        <v>0</v>
      </c>
      <c r="AT1830" s="19">
        <v>38.641300000000001</v>
      </c>
      <c r="AU1830" s="19">
        <v>-122.90600000000001</v>
      </c>
      <c r="AV1830" s="19" t="s">
        <v>932</v>
      </c>
    </row>
    <row r="1831" spans="1:48" x14ac:dyDescent="0.25">
      <c r="A1831" s="18" t="s">
        <v>2237</v>
      </c>
      <c r="B1831" s="10">
        <v>10000000</v>
      </c>
      <c r="C1831" s="9">
        <v>9</v>
      </c>
      <c r="D1831" s="8" t="str">
        <f t="shared" si="338"/>
        <v>N</v>
      </c>
      <c r="E1831" s="8" t="str">
        <f t="shared" si="339"/>
        <v>Y</v>
      </c>
      <c r="F1831" s="8" t="str">
        <f t="shared" si="340"/>
        <v>Y</v>
      </c>
      <c r="G1831" s="8" t="str">
        <f t="shared" si="341"/>
        <v>Y</v>
      </c>
      <c r="H1831" s="8" t="str">
        <f t="shared" si="342"/>
        <v>Upper</v>
      </c>
      <c r="I1831" s="8" t="str">
        <f t="shared" si="343"/>
        <v>West Fork and Below Lake</v>
      </c>
      <c r="J1831" s="8" t="str">
        <f t="shared" si="344"/>
        <v>Sonoma (d/s of Clov. Gage)</v>
      </c>
      <c r="K1831" s="8" t="str">
        <f t="shared" si="345"/>
        <v>Riparian</v>
      </c>
      <c r="L1831" s="8">
        <f t="shared" si="346"/>
        <v>1000</v>
      </c>
      <c r="M1831" s="8" t="str">
        <f t="shared" si="348"/>
        <v>-</v>
      </c>
      <c r="N1831" s="10" t="s">
        <v>242</v>
      </c>
      <c r="O1831" s="10" t="s">
        <v>241</v>
      </c>
      <c r="P1831" s="10" t="s">
        <v>242</v>
      </c>
      <c r="Q1831" s="10" t="s">
        <v>242</v>
      </c>
      <c r="R1831" s="10" t="s">
        <v>242</v>
      </c>
      <c r="S1831" s="10" t="s">
        <v>241</v>
      </c>
      <c r="T1831" s="10" t="s">
        <v>241</v>
      </c>
      <c r="U1831" s="10" t="s">
        <v>241</v>
      </c>
      <c r="V1831" s="10" t="s">
        <v>241</v>
      </c>
      <c r="W1831" s="10" t="s">
        <v>242</v>
      </c>
      <c r="X1831" s="15">
        <f>IF(ISERROR(VLOOKUP($A1831,'13. Updated Demand'!A:Z,15,FALSE)),0,VLOOKUP($A1831,'13. Updated Demand'!A:Z,15,FALSE))</f>
        <v>0</v>
      </c>
      <c r="Y1831" s="16">
        <f>IF(ISERROR(VLOOKUP($A1831,'13. Updated Demand'!A:Z,16,FALSE)),0,VLOOKUP($A1831,'13. Updated Demand'!A:Z,16,FALSE))</f>
        <v>0</v>
      </c>
      <c r="Z1831" s="16">
        <f>IF(ISERROR(VLOOKUP($A1831,'13. Updated Demand'!A:Z,17,FALSE)),0,VLOOKUP($A1831,'13. Updated Demand'!A:Z,17,FALSE))</f>
        <v>0</v>
      </c>
      <c r="AA1831" s="16">
        <f>IF(ISERROR(VLOOKUP($A1831,'13. Updated Demand'!A:Z,18,FALSE)),0,VLOOKUP($A1831,'13. Updated Demand'!A:Z,18,FALSE))</f>
        <v>0</v>
      </c>
      <c r="AB1831" s="16">
        <f>IF(ISERROR(VLOOKUP($A1831,'13. Updated Demand'!A:Z,19,FALSE)),0,VLOOKUP($A1831,'13. Updated Demand'!A:Z,19,FALSE))</f>
        <v>0</v>
      </c>
      <c r="AC1831" s="16">
        <f>IF(ISERROR(VLOOKUP($A1831,'13. Updated Demand'!A:Z,20,FALSE)),0,VLOOKUP($A1831,'13. Updated Demand'!A:Z,20,FALSE))</f>
        <v>0</v>
      </c>
      <c r="AD1831" s="16">
        <f>IF(ISERROR(VLOOKUP($A1831,'13. Updated Demand'!A:Z,21,FALSE)),0,VLOOKUP($A1831,'13. Updated Demand'!A:Z,21,FALSE))</f>
        <v>0</v>
      </c>
      <c r="AE1831" s="16">
        <f>IF(ISERROR(VLOOKUP($A1831,'13. Updated Demand'!A:Z,22,FALSE)),0,VLOOKUP($A1831,'13. Updated Demand'!A:Z,22,FALSE))</f>
        <v>0</v>
      </c>
      <c r="AF1831" s="16">
        <f>IF(ISERROR(VLOOKUP($A1831,'13. Updated Demand'!A:Z,23,FALSE)),0,VLOOKUP($A1831,'13. Updated Demand'!A:Z,23,FALSE))</f>
        <v>0</v>
      </c>
      <c r="AG1831" s="16">
        <f>IF(ISERROR(VLOOKUP($A1831,'13. Updated Demand'!A:Z,24,FALSE)),0,VLOOKUP($A1831,'13. Updated Demand'!A:Z,24,FALSE))</f>
        <v>0</v>
      </c>
      <c r="AH1831" s="16">
        <f>IF(ISERROR(VLOOKUP($A1831,'13. Updated Demand'!A:Z,25,FALSE)),0,VLOOKUP($A1831,'13. Updated Demand'!A:Z,25,FALSE))</f>
        <v>0</v>
      </c>
      <c r="AI1831" s="16">
        <f>IF(ISERROR(VLOOKUP($A1831,'13. Updated Demand'!A:Z,26,FALSE)),0,VLOOKUP($A1831,'13. Updated Demand'!A:Z,26,FALSE))</f>
        <v>0</v>
      </c>
      <c r="AJ1831" s="16">
        <f t="shared" si="349"/>
        <v>0</v>
      </c>
      <c r="AK1831" s="19">
        <v>0</v>
      </c>
      <c r="AL1831" s="16">
        <f t="shared" si="347"/>
        <v>0</v>
      </c>
      <c r="AM1831" s="26">
        <v>0</v>
      </c>
      <c r="AN1831" s="19">
        <v>72.44</v>
      </c>
      <c r="AO1831" s="19" t="s">
        <v>1758</v>
      </c>
      <c r="AP1831" s="19">
        <v>0</v>
      </c>
      <c r="AQ1831" s="19" t="s">
        <v>307</v>
      </c>
      <c r="AR1831" s="9" t="s">
        <v>354</v>
      </c>
      <c r="AS1831" s="12">
        <v>0</v>
      </c>
      <c r="AT1831" s="19">
        <v>38.717799999999997</v>
      </c>
      <c r="AU1831" s="19">
        <v>-122.9075</v>
      </c>
      <c r="AV1831" s="19" t="s">
        <v>2238</v>
      </c>
    </row>
    <row r="1832" spans="1:48" x14ac:dyDescent="0.25">
      <c r="A1832" s="18" t="s">
        <v>2239</v>
      </c>
      <c r="B1832" s="10">
        <v>10000000</v>
      </c>
      <c r="C1832" s="9">
        <v>9</v>
      </c>
      <c r="D1832" s="8" t="str">
        <f t="shared" si="338"/>
        <v>N</v>
      </c>
      <c r="E1832" s="8" t="str">
        <f t="shared" si="339"/>
        <v>Y</v>
      </c>
      <c r="F1832" s="8" t="str">
        <f t="shared" si="340"/>
        <v>Y</v>
      </c>
      <c r="G1832" s="8" t="str">
        <f t="shared" si="341"/>
        <v>Y</v>
      </c>
      <c r="H1832" s="8" t="str">
        <f t="shared" si="342"/>
        <v>Upper</v>
      </c>
      <c r="I1832" s="8" t="str">
        <f t="shared" si="343"/>
        <v>West Fork and Below Lake</v>
      </c>
      <c r="J1832" s="8" t="str">
        <f t="shared" si="344"/>
        <v>Sonoma (d/s of Clov. Gage)</v>
      </c>
      <c r="K1832" s="8" t="str">
        <f t="shared" si="345"/>
        <v>Riparian</v>
      </c>
      <c r="L1832" s="8">
        <f t="shared" si="346"/>
        <v>1000</v>
      </c>
      <c r="M1832" s="8" t="str">
        <f t="shared" si="348"/>
        <v>-</v>
      </c>
      <c r="N1832" s="10" t="s">
        <v>241</v>
      </c>
      <c r="O1832" s="10" t="s">
        <v>241</v>
      </c>
      <c r="P1832" s="10" t="s">
        <v>242</v>
      </c>
      <c r="Q1832" s="10" t="s">
        <v>242</v>
      </c>
      <c r="R1832" s="10" t="s">
        <v>242</v>
      </c>
      <c r="S1832" s="10" t="s">
        <v>241</v>
      </c>
      <c r="T1832" s="10" t="s">
        <v>242</v>
      </c>
      <c r="U1832" s="10" t="s">
        <v>242</v>
      </c>
      <c r="V1832" s="10" t="s">
        <v>242</v>
      </c>
      <c r="W1832" s="10" t="s">
        <v>242</v>
      </c>
      <c r="X1832" s="15">
        <f>IF(ISERROR(VLOOKUP($A1832,'13. Updated Demand'!A:Z,15,FALSE)),0,VLOOKUP($A1832,'13. Updated Demand'!A:Z,15,FALSE))</f>
        <v>0</v>
      </c>
      <c r="Y1832" s="16">
        <f>IF(ISERROR(VLOOKUP($A1832,'13. Updated Demand'!A:Z,16,FALSE)),0,VLOOKUP($A1832,'13. Updated Demand'!A:Z,16,FALSE))</f>
        <v>4.0000000000000001E-3</v>
      </c>
      <c r="Z1832" s="16">
        <f>IF(ISERROR(VLOOKUP($A1832,'13. Updated Demand'!A:Z,17,FALSE)),0,VLOOKUP($A1832,'13. Updated Demand'!A:Z,17,FALSE))</f>
        <v>2E-3</v>
      </c>
      <c r="AA1832" s="16">
        <f>IF(ISERROR(VLOOKUP($A1832,'13. Updated Demand'!A:Z,18,FALSE)),0,VLOOKUP($A1832,'13. Updated Demand'!A:Z,18,FALSE))</f>
        <v>8.1836666666666707E-3</v>
      </c>
      <c r="AB1832" s="16">
        <f>IF(ISERROR(VLOOKUP($A1832,'13. Updated Demand'!A:Z,19,FALSE)),0,VLOOKUP($A1832,'13. Updated Demand'!A:Z,19,FALSE))</f>
        <v>0.24</v>
      </c>
      <c r="AC1832" s="16">
        <f>IF(ISERROR(VLOOKUP($A1832,'13. Updated Demand'!A:Z,20,FALSE)),0,VLOOKUP($A1832,'13. Updated Demand'!A:Z,20,FALSE))</f>
        <v>0.31</v>
      </c>
      <c r="AD1832" s="16">
        <f>IF(ISERROR(VLOOKUP($A1832,'13. Updated Demand'!A:Z,21,FALSE)),0,VLOOKUP($A1832,'13. Updated Demand'!A:Z,21,FALSE))</f>
        <v>1.17</v>
      </c>
      <c r="AE1832" s="16">
        <f>IF(ISERROR(VLOOKUP($A1832,'13. Updated Demand'!A:Z,22,FALSE)),0,VLOOKUP($A1832,'13. Updated Demand'!A:Z,22,FALSE))</f>
        <v>1.53</v>
      </c>
      <c r="AF1832" s="16">
        <f>IF(ISERROR(VLOOKUP($A1832,'13. Updated Demand'!A:Z,23,FALSE)),0,VLOOKUP($A1832,'13. Updated Demand'!A:Z,23,FALSE))</f>
        <v>0.79</v>
      </c>
      <c r="AG1832" s="16">
        <f>IF(ISERROR(VLOOKUP($A1832,'13. Updated Demand'!A:Z,24,FALSE)),0,VLOOKUP($A1832,'13. Updated Demand'!A:Z,24,FALSE))</f>
        <v>0.38</v>
      </c>
      <c r="AH1832" s="16">
        <f>IF(ISERROR(VLOOKUP($A1832,'13. Updated Demand'!A:Z,25,FALSE)),0,VLOOKUP($A1832,'13. Updated Demand'!A:Z,25,FALSE))</f>
        <v>0.02</v>
      </c>
      <c r="AI1832" s="16">
        <f>IF(ISERROR(VLOOKUP($A1832,'13. Updated Demand'!A:Z,26,FALSE)),0,VLOOKUP($A1832,'13. Updated Demand'!A:Z,26,FALSE))</f>
        <v>0</v>
      </c>
      <c r="AJ1832" s="16">
        <f t="shared" si="349"/>
        <v>4.4541836666666663</v>
      </c>
      <c r="AK1832" s="19">
        <v>4.0592930000000038</v>
      </c>
      <c r="AL1832" s="16">
        <f t="shared" si="347"/>
        <v>1.3464212484074648E-2</v>
      </c>
      <c r="AM1832" s="26">
        <v>0.11254790589495184</v>
      </c>
      <c r="AN1832" s="19">
        <v>39.841999999999999</v>
      </c>
      <c r="AO1832" s="19" t="s">
        <v>1758</v>
      </c>
      <c r="AP1832" s="19">
        <v>0</v>
      </c>
      <c r="AQ1832" s="19" t="s">
        <v>307</v>
      </c>
      <c r="AR1832" s="9" t="s">
        <v>354</v>
      </c>
      <c r="AS1832" s="12">
        <v>0</v>
      </c>
      <c r="AT1832" s="19">
        <v>38.725999999999999</v>
      </c>
      <c r="AU1832" s="19">
        <v>-122.9307</v>
      </c>
      <c r="AV1832" s="19" t="s">
        <v>387</v>
      </c>
    </row>
    <row r="1833" spans="1:48" x14ac:dyDescent="0.25">
      <c r="A1833" s="18" t="s">
        <v>2240</v>
      </c>
      <c r="B1833" s="10">
        <v>10000000</v>
      </c>
      <c r="C1833" s="9">
        <v>16</v>
      </c>
      <c r="D1833" s="8" t="str">
        <f t="shared" si="338"/>
        <v>N</v>
      </c>
      <c r="E1833" s="8" t="str">
        <f t="shared" si="339"/>
        <v>N</v>
      </c>
      <c r="F1833" s="8" t="str">
        <f t="shared" si="340"/>
        <v>N</v>
      </c>
      <c r="G1833" s="8" t="str">
        <f t="shared" si="341"/>
        <v>N</v>
      </c>
      <c r="H1833" s="8" t="str">
        <f t="shared" si="342"/>
        <v>Lower</v>
      </c>
      <c r="I1833" s="8" t="str">
        <f t="shared" si="343"/>
        <v>Outside</v>
      </c>
      <c r="J1833" s="8" t="str">
        <f t="shared" si="344"/>
        <v>Outside</v>
      </c>
      <c r="K1833" s="8" t="str">
        <f t="shared" si="345"/>
        <v>Riparian</v>
      </c>
      <c r="L1833" s="8">
        <f t="shared" si="346"/>
        <v>1000</v>
      </c>
      <c r="M1833" s="8" t="str">
        <f t="shared" si="348"/>
        <v>-</v>
      </c>
      <c r="N1833" s="10" t="s">
        <v>242</v>
      </c>
      <c r="O1833" s="10" t="s">
        <v>242</v>
      </c>
      <c r="P1833" s="10" t="s">
        <v>242</v>
      </c>
      <c r="Q1833" s="10" t="s">
        <v>242</v>
      </c>
      <c r="R1833" s="10" t="s">
        <v>242</v>
      </c>
      <c r="S1833" s="10" t="s">
        <v>241</v>
      </c>
      <c r="T1833" s="10" t="s">
        <v>242</v>
      </c>
      <c r="U1833" s="10" t="s">
        <v>242</v>
      </c>
      <c r="V1833" s="10" t="s">
        <v>242</v>
      </c>
      <c r="W1833" s="10" t="s">
        <v>242</v>
      </c>
      <c r="X1833" s="15">
        <f>IF(ISERROR(VLOOKUP($A1833,'13. Updated Demand'!A:Z,15,FALSE)),0,VLOOKUP($A1833,'13. Updated Demand'!A:Z,15,FALSE))</f>
        <v>6.6288E-2</v>
      </c>
      <c r="Y1833" s="16">
        <f>IF(ISERROR(VLOOKUP($A1833,'13. Updated Demand'!A:Z,16,FALSE)),0,VLOOKUP($A1833,'13. Updated Demand'!A:Z,16,FALSE))</f>
        <v>6.6288E-2</v>
      </c>
      <c r="Z1833" s="16">
        <f>IF(ISERROR(VLOOKUP($A1833,'13. Updated Demand'!A:Z,17,FALSE)),0,VLOOKUP($A1833,'13. Updated Demand'!A:Z,17,FALSE))</f>
        <v>0.127666</v>
      </c>
      <c r="AA1833" s="16">
        <f>IF(ISERROR(VLOOKUP($A1833,'13. Updated Demand'!A:Z,18,FALSE)),0,VLOOKUP($A1833,'13. Updated Demand'!A:Z,18,FALSE))</f>
        <v>0.158354667</v>
      </c>
      <c r="AB1833" s="16">
        <f>IF(ISERROR(VLOOKUP($A1833,'13. Updated Demand'!A:Z,19,FALSE)),0,VLOOKUP($A1833,'13. Updated Demand'!A:Z,19,FALSE))</f>
        <v>0.23507666699999999</v>
      </c>
      <c r="AC1833" s="16">
        <f>IF(ISERROR(VLOOKUP($A1833,'13. Updated Demand'!A:Z,20,FALSE)),0,VLOOKUP($A1833,'13. Updated Demand'!A:Z,20,FALSE))</f>
        <v>0.57270100000000002</v>
      </c>
      <c r="AD1833" s="16">
        <f>IF(ISERROR(VLOOKUP($A1833,'13. Updated Demand'!A:Z,21,FALSE)),0,VLOOKUP($A1833,'13. Updated Demand'!A:Z,21,FALSE))</f>
        <v>0.92952800000000002</v>
      </c>
      <c r="AE1833" s="16">
        <f>IF(ISERROR(VLOOKUP($A1833,'13. Updated Demand'!A:Z,22,FALSE)),0,VLOOKUP($A1833,'13. Updated Demand'!A:Z,22,FALSE))</f>
        <v>1.1010899999999999</v>
      </c>
      <c r="AF1833" s="16">
        <f>IF(ISERROR(VLOOKUP($A1833,'13. Updated Demand'!A:Z,23,FALSE)),0,VLOOKUP($A1833,'13. Updated Demand'!A:Z,23,FALSE))</f>
        <v>0.79908466700000003</v>
      </c>
      <c r="AG1833" s="16">
        <f>IF(ISERROR(VLOOKUP($A1833,'13. Updated Demand'!A:Z,24,FALSE)),0,VLOOKUP($A1833,'13. Updated Demand'!A:Z,24,FALSE))</f>
        <v>0.51901033299999999</v>
      </c>
      <c r="AH1833" s="16">
        <f>IF(ISERROR(VLOOKUP($A1833,'13. Updated Demand'!A:Z,25,FALSE)),0,VLOOKUP($A1833,'13. Updated Demand'!A:Z,25,FALSE))</f>
        <v>0.158355</v>
      </c>
      <c r="AI1833" s="16">
        <f>IF(ISERROR(VLOOKUP($A1833,'13. Updated Demand'!A:Z,26,FALSE)),0,VLOOKUP($A1833,'13. Updated Demand'!A:Z,26,FALSE))</f>
        <v>6.6288E-2</v>
      </c>
      <c r="AJ1833" s="16">
        <f t="shared" si="349"/>
        <v>4.7997303339999995</v>
      </c>
      <c r="AK1833" s="19">
        <v>3.6374803340000001</v>
      </c>
      <c r="AL1833" s="16">
        <f t="shared" si="347"/>
        <v>1.2065107919930583E-2</v>
      </c>
      <c r="AM1833" s="26">
        <v>0.33129005618442847</v>
      </c>
      <c r="AN1833" s="19">
        <v>14.488</v>
      </c>
      <c r="AO1833" s="19" t="s">
        <v>1758</v>
      </c>
      <c r="AP1833" s="19">
        <v>0</v>
      </c>
      <c r="AQ1833" s="19" t="s">
        <v>307</v>
      </c>
      <c r="AR1833" s="9" t="s">
        <v>394</v>
      </c>
      <c r="AS1833" s="12">
        <v>0</v>
      </c>
      <c r="AT1833" s="19">
        <v>38.6374</v>
      </c>
      <c r="AU1833" s="19">
        <v>-122.9076</v>
      </c>
      <c r="AV1833" s="19" t="s">
        <v>701</v>
      </c>
    </row>
    <row r="1834" spans="1:48" x14ac:dyDescent="0.25">
      <c r="A1834" s="18" t="s">
        <v>2241</v>
      </c>
      <c r="B1834" s="10">
        <v>10000000</v>
      </c>
      <c r="C1834" s="9">
        <v>16</v>
      </c>
      <c r="D1834" s="8" t="str">
        <f t="shared" si="338"/>
        <v>N</v>
      </c>
      <c r="E1834" s="8" t="str">
        <f t="shared" si="339"/>
        <v>N</v>
      </c>
      <c r="F1834" s="8" t="str">
        <f t="shared" si="340"/>
        <v>N</v>
      </c>
      <c r="G1834" s="8" t="str">
        <f t="shared" si="341"/>
        <v>N</v>
      </c>
      <c r="H1834" s="8" t="str">
        <f t="shared" si="342"/>
        <v>Lower</v>
      </c>
      <c r="I1834" s="8" t="str">
        <f t="shared" si="343"/>
        <v>Outside</v>
      </c>
      <c r="J1834" s="8" t="str">
        <f t="shared" si="344"/>
        <v>Outside</v>
      </c>
      <c r="K1834" s="8" t="str">
        <f t="shared" si="345"/>
        <v>Riparian</v>
      </c>
      <c r="L1834" s="8">
        <f t="shared" si="346"/>
        <v>1000</v>
      </c>
      <c r="M1834" s="8" t="str">
        <f t="shared" si="348"/>
        <v>-</v>
      </c>
      <c r="N1834" s="10" t="s">
        <v>242</v>
      </c>
      <c r="O1834" s="10" t="s">
        <v>242</v>
      </c>
      <c r="P1834" s="10" t="s">
        <v>242</v>
      </c>
      <c r="Q1834" s="10" t="s">
        <v>242</v>
      </c>
      <c r="R1834" s="10" t="s">
        <v>242</v>
      </c>
      <c r="S1834" s="10" t="s">
        <v>241</v>
      </c>
      <c r="T1834" s="10" t="s">
        <v>242</v>
      </c>
      <c r="U1834" s="10" t="s">
        <v>242</v>
      </c>
      <c r="V1834" s="10" t="s">
        <v>242</v>
      </c>
      <c r="W1834" s="10" t="s">
        <v>242</v>
      </c>
      <c r="X1834" s="15">
        <f>IF(ISERROR(VLOOKUP($A1834,'13. Updated Demand'!A:Z,15,FALSE)),0,VLOOKUP($A1834,'13. Updated Demand'!A:Z,15,FALSE))</f>
        <v>0</v>
      </c>
      <c r="Y1834" s="16">
        <f>IF(ISERROR(VLOOKUP($A1834,'13. Updated Demand'!A:Z,16,FALSE)),0,VLOOKUP($A1834,'13. Updated Demand'!A:Z,16,FALSE))</f>
        <v>0</v>
      </c>
      <c r="Z1834" s="16">
        <f>IF(ISERROR(VLOOKUP($A1834,'13. Updated Demand'!A:Z,17,FALSE)),0,VLOOKUP($A1834,'13. Updated Demand'!A:Z,17,FALSE))</f>
        <v>0</v>
      </c>
      <c r="AA1834" s="16">
        <f>IF(ISERROR(VLOOKUP($A1834,'13. Updated Demand'!A:Z,18,FALSE)),0,VLOOKUP($A1834,'13. Updated Demand'!A:Z,18,FALSE))</f>
        <v>3.3333333E-2</v>
      </c>
      <c r="AB1834" s="16">
        <f>IF(ISERROR(VLOOKUP($A1834,'13. Updated Demand'!A:Z,19,FALSE)),0,VLOOKUP($A1834,'13. Updated Demand'!A:Z,19,FALSE))</f>
        <v>0</v>
      </c>
      <c r="AC1834" s="16">
        <f>IF(ISERROR(VLOOKUP($A1834,'13. Updated Demand'!A:Z,20,FALSE)),0,VLOOKUP($A1834,'13. Updated Demand'!A:Z,20,FALSE))</f>
        <v>0.1</v>
      </c>
      <c r="AD1834" s="16">
        <f>IF(ISERROR(VLOOKUP($A1834,'13. Updated Demand'!A:Z,21,FALSE)),0,VLOOKUP($A1834,'13. Updated Demand'!A:Z,21,FALSE))</f>
        <v>5.3666666669999996</v>
      </c>
      <c r="AE1834" s="16">
        <f>IF(ISERROR(VLOOKUP($A1834,'13. Updated Demand'!A:Z,22,FALSE)),0,VLOOKUP($A1834,'13. Updated Demand'!A:Z,22,FALSE))</f>
        <v>1.0333333330000001</v>
      </c>
      <c r="AF1834" s="16">
        <f>IF(ISERROR(VLOOKUP($A1834,'13. Updated Demand'!A:Z,23,FALSE)),0,VLOOKUP($A1834,'13. Updated Demand'!A:Z,23,FALSE))</f>
        <v>0.1</v>
      </c>
      <c r="AG1834" s="16">
        <f>IF(ISERROR(VLOOKUP($A1834,'13. Updated Demand'!A:Z,24,FALSE)),0,VLOOKUP($A1834,'13. Updated Demand'!A:Z,24,FALSE))</f>
        <v>0</v>
      </c>
      <c r="AH1834" s="16">
        <f>IF(ISERROR(VLOOKUP($A1834,'13. Updated Demand'!A:Z,25,FALSE)),0,VLOOKUP($A1834,'13. Updated Demand'!A:Z,25,FALSE))</f>
        <v>0</v>
      </c>
      <c r="AI1834" s="16">
        <f>IF(ISERROR(VLOOKUP($A1834,'13. Updated Demand'!A:Z,26,FALSE)),0,VLOOKUP($A1834,'13. Updated Demand'!A:Z,26,FALSE))</f>
        <v>0</v>
      </c>
      <c r="AJ1834" s="16">
        <f t="shared" si="349"/>
        <v>6.6333333329999995</v>
      </c>
      <c r="AK1834" s="19">
        <v>6.5999999999999988</v>
      </c>
      <c r="AL1834" s="16">
        <f t="shared" si="347"/>
        <v>2.1891448189350356E-2</v>
      </c>
      <c r="AM1834" s="26">
        <v>7.8600888383578652E-3</v>
      </c>
      <c r="AN1834" s="19">
        <v>843.92600000000004</v>
      </c>
      <c r="AO1834" s="19" t="s">
        <v>1758</v>
      </c>
      <c r="AP1834" s="19">
        <v>0</v>
      </c>
      <c r="AQ1834" s="19" t="s">
        <v>307</v>
      </c>
      <c r="AR1834" s="9" t="s">
        <v>394</v>
      </c>
      <c r="AS1834" s="12">
        <v>0</v>
      </c>
      <c r="AT1834" s="19">
        <v>38.617699999999999</v>
      </c>
      <c r="AU1834" s="19">
        <v>-122.887</v>
      </c>
      <c r="AV1834" s="19" t="s">
        <v>701</v>
      </c>
    </row>
    <row r="1835" spans="1:48" x14ac:dyDescent="0.25">
      <c r="A1835" s="18" t="s">
        <v>2242</v>
      </c>
      <c r="B1835" s="10">
        <v>10000000</v>
      </c>
      <c r="C1835" s="9">
        <v>16</v>
      </c>
      <c r="D1835" s="8" t="str">
        <f t="shared" si="338"/>
        <v>N</v>
      </c>
      <c r="E1835" s="8" t="str">
        <f t="shared" si="339"/>
        <v>N</v>
      </c>
      <c r="F1835" s="8" t="str">
        <f t="shared" si="340"/>
        <v>N</v>
      </c>
      <c r="G1835" s="8" t="str">
        <f t="shared" si="341"/>
        <v>N</v>
      </c>
      <c r="H1835" s="8" t="str">
        <f t="shared" si="342"/>
        <v>Lower</v>
      </c>
      <c r="I1835" s="8" t="str">
        <f t="shared" si="343"/>
        <v>Outside</v>
      </c>
      <c r="J1835" s="8" t="str">
        <f t="shared" si="344"/>
        <v>Outside</v>
      </c>
      <c r="K1835" s="8" t="str">
        <f t="shared" si="345"/>
        <v>Riparian</v>
      </c>
      <c r="L1835" s="8">
        <f t="shared" si="346"/>
        <v>1000</v>
      </c>
      <c r="M1835" s="8" t="str">
        <f t="shared" si="348"/>
        <v>-</v>
      </c>
      <c r="N1835" s="10" t="s">
        <v>242</v>
      </c>
      <c r="O1835" s="10" t="s">
        <v>242</v>
      </c>
      <c r="P1835" s="10" t="s">
        <v>242</v>
      </c>
      <c r="Q1835" s="10" t="s">
        <v>242</v>
      </c>
      <c r="R1835" s="10" t="s">
        <v>242</v>
      </c>
      <c r="S1835" s="10" t="s">
        <v>241</v>
      </c>
      <c r="T1835" s="10" t="s">
        <v>242</v>
      </c>
      <c r="U1835" s="10" t="s">
        <v>242</v>
      </c>
      <c r="V1835" s="10" t="s">
        <v>242</v>
      </c>
      <c r="W1835" s="10" t="s">
        <v>242</v>
      </c>
      <c r="X1835" s="15">
        <f>IF(ISERROR(VLOOKUP($A1835,'13. Updated Demand'!A:Z,15,FALSE)),0,VLOOKUP($A1835,'13. Updated Demand'!A:Z,15,FALSE))</f>
        <v>0.5</v>
      </c>
      <c r="Y1835" s="16">
        <f>IF(ISERROR(VLOOKUP($A1835,'13. Updated Demand'!A:Z,16,FALSE)),0,VLOOKUP($A1835,'13. Updated Demand'!A:Z,16,FALSE))</f>
        <v>0.5</v>
      </c>
      <c r="Z1835" s="16">
        <f>IF(ISERROR(VLOOKUP($A1835,'13. Updated Demand'!A:Z,17,FALSE)),0,VLOOKUP($A1835,'13. Updated Demand'!A:Z,17,FALSE))</f>
        <v>0.5</v>
      </c>
      <c r="AA1835" s="16">
        <f>IF(ISERROR(VLOOKUP($A1835,'13. Updated Demand'!A:Z,18,FALSE)),0,VLOOKUP($A1835,'13. Updated Demand'!A:Z,18,FALSE))</f>
        <v>0.5</v>
      </c>
      <c r="AB1835" s="16">
        <f>IF(ISERROR(VLOOKUP($A1835,'13. Updated Demand'!A:Z,19,FALSE)),0,VLOOKUP($A1835,'13. Updated Demand'!A:Z,19,FALSE))</f>
        <v>0.5</v>
      </c>
      <c r="AC1835" s="16">
        <f>IF(ISERROR(VLOOKUP($A1835,'13. Updated Demand'!A:Z,20,FALSE)),0,VLOOKUP($A1835,'13. Updated Demand'!A:Z,20,FALSE))</f>
        <v>1</v>
      </c>
      <c r="AD1835" s="16">
        <f>IF(ISERROR(VLOOKUP($A1835,'13. Updated Demand'!A:Z,21,FALSE)),0,VLOOKUP($A1835,'13. Updated Demand'!A:Z,21,FALSE))</f>
        <v>1</v>
      </c>
      <c r="AE1835" s="16">
        <f>IF(ISERROR(VLOOKUP($A1835,'13. Updated Demand'!A:Z,22,FALSE)),0,VLOOKUP($A1835,'13. Updated Demand'!A:Z,22,FALSE))</f>
        <v>1</v>
      </c>
      <c r="AF1835" s="16">
        <f>IF(ISERROR(VLOOKUP($A1835,'13. Updated Demand'!A:Z,23,FALSE)),0,VLOOKUP($A1835,'13. Updated Demand'!A:Z,23,FALSE))</f>
        <v>1</v>
      </c>
      <c r="AG1835" s="16">
        <f>IF(ISERROR(VLOOKUP($A1835,'13. Updated Demand'!A:Z,24,FALSE)),0,VLOOKUP($A1835,'13. Updated Demand'!A:Z,24,FALSE))</f>
        <v>0.5</v>
      </c>
      <c r="AH1835" s="16">
        <f>IF(ISERROR(VLOOKUP($A1835,'13. Updated Demand'!A:Z,25,FALSE)),0,VLOOKUP($A1835,'13. Updated Demand'!A:Z,25,FALSE))</f>
        <v>0.5</v>
      </c>
      <c r="AI1835" s="16">
        <f>IF(ISERROR(VLOOKUP($A1835,'13. Updated Demand'!A:Z,26,FALSE)),0,VLOOKUP($A1835,'13. Updated Demand'!A:Z,26,FALSE))</f>
        <v>0.5</v>
      </c>
      <c r="AJ1835" s="16">
        <f t="shared" si="349"/>
        <v>8</v>
      </c>
      <c r="AK1835" s="19">
        <v>4.5</v>
      </c>
      <c r="AL1835" s="16">
        <f t="shared" si="347"/>
        <v>1.492598740182979E-2</v>
      </c>
      <c r="AM1835" s="26">
        <v>0.10039656643742784</v>
      </c>
      <c r="AN1835" s="19">
        <v>79.683999999999997</v>
      </c>
      <c r="AO1835" s="19" t="s">
        <v>1758</v>
      </c>
      <c r="AP1835" s="19">
        <v>0</v>
      </c>
      <c r="AQ1835" s="19" t="s">
        <v>307</v>
      </c>
      <c r="AR1835" s="9" t="s">
        <v>394</v>
      </c>
      <c r="AS1835" s="12">
        <v>3.4039024194010059E-4</v>
      </c>
      <c r="AT1835" s="19">
        <v>38.650199999999998</v>
      </c>
      <c r="AU1835" s="19">
        <v>-122.9281</v>
      </c>
      <c r="AV1835" s="19"/>
    </row>
    <row r="1836" spans="1:48" x14ac:dyDescent="0.25">
      <c r="A1836" s="18" t="s">
        <v>2243</v>
      </c>
      <c r="B1836" s="10">
        <v>10000000</v>
      </c>
      <c r="C1836" s="9">
        <v>16</v>
      </c>
      <c r="D1836" s="8" t="str">
        <f t="shared" si="338"/>
        <v>N</v>
      </c>
      <c r="E1836" s="8" t="str">
        <f t="shared" si="339"/>
        <v>N</v>
      </c>
      <c r="F1836" s="8" t="str">
        <f t="shared" si="340"/>
        <v>N</v>
      </c>
      <c r="G1836" s="8" t="str">
        <f t="shared" si="341"/>
        <v>N</v>
      </c>
      <c r="H1836" s="8" t="str">
        <f t="shared" si="342"/>
        <v>Lower</v>
      </c>
      <c r="I1836" s="8" t="str">
        <f t="shared" si="343"/>
        <v>Outside</v>
      </c>
      <c r="J1836" s="8" t="str">
        <f t="shared" si="344"/>
        <v>Outside</v>
      </c>
      <c r="K1836" s="8" t="str">
        <f t="shared" si="345"/>
        <v>Riparian</v>
      </c>
      <c r="L1836" s="8">
        <f t="shared" si="346"/>
        <v>1000</v>
      </c>
      <c r="M1836" s="8" t="str">
        <f t="shared" si="348"/>
        <v>-</v>
      </c>
      <c r="N1836" s="10" t="s">
        <v>242</v>
      </c>
      <c r="O1836" s="10" t="s">
        <v>242</v>
      </c>
      <c r="P1836" s="10" t="s">
        <v>242</v>
      </c>
      <c r="Q1836" s="10" t="s">
        <v>242</v>
      </c>
      <c r="R1836" s="10" t="s">
        <v>242</v>
      </c>
      <c r="S1836" s="10" t="s">
        <v>241</v>
      </c>
      <c r="T1836" s="10" t="s">
        <v>242</v>
      </c>
      <c r="U1836" s="10" t="s">
        <v>242</v>
      </c>
      <c r="V1836" s="10" t="s">
        <v>242</v>
      </c>
      <c r="W1836" s="10" t="s">
        <v>242</v>
      </c>
      <c r="X1836" s="15">
        <f>IF(ISERROR(VLOOKUP($A1836,'13. Updated Demand'!A:Z,15,FALSE)),0,VLOOKUP($A1836,'13. Updated Demand'!A:Z,15,FALSE))</f>
        <v>0</v>
      </c>
      <c r="Y1836" s="16">
        <f>IF(ISERROR(VLOOKUP($A1836,'13. Updated Demand'!A:Z,16,FALSE)),0,VLOOKUP($A1836,'13. Updated Demand'!A:Z,16,FALSE))</f>
        <v>5.1103000000000003E-2</v>
      </c>
      <c r="Z1836" s="16">
        <f>IF(ISERROR(VLOOKUP($A1836,'13. Updated Demand'!A:Z,17,FALSE)),0,VLOOKUP($A1836,'13. Updated Demand'!A:Z,17,FALSE))</f>
        <v>4.7056332999999999E-2</v>
      </c>
      <c r="AA1836" s="16">
        <f>IF(ISERROR(VLOOKUP($A1836,'13. Updated Demand'!A:Z,18,FALSE)),0,VLOOKUP($A1836,'13. Updated Demand'!A:Z,18,FALSE))</f>
        <v>0.159582</v>
      </c>
      <c r="AB1836" s="16">
        <f>IF(ISERROR(VLOOKUP($A1836,'13. Updated Demand'!A:Z,19,FALSE)),0,VLOOKUP($A1836,'13. Updated Demand'!A:Z,19,FALSE))</f>
        <v>0.34632766700000001</v>
      </c>
      <c r="AC1836" s="16">
        <f>IF(ISERROR(VLOOKUP($A1836,'13. Updated Demand'!A:Z,20,FALSE)),0,VLOOKUP($A1836,'13. Updated Demand'!A:Z,20,FALSE))</f>
        <v>0.40758233300000002</v>
      </c>
      <c r="AD1836" s="16">
        <f>IF(ISERROR(VLOOKUP($A1836,'13. Updated Demand'!A:Z,21,FALSE)),0,VLOOKUP($A1836,'13. Updated Demand'!A:Z,21,FALSE))</f>
        <v>0.885235667</v>
      </c>
      <c r="AE1836" s="16">
        <f>IF(ISERROR(VLOOKUP($A1836,'13. Updated Demand'!A:Z,22,FALSE)),0,VLOOKUP($A1836,'13. Updated Demand'!A:Z,22,FALSE))</f>
        <v>0.99314100000000005</v>
      </c>
      <c r="AF1836" s="16">
        <f>IF(ISERROR(VLOOKUP($A1836,'13. Updated Demand'!A:Z,23,FALSE)),0,VLOOKUP($A1836,'13. Updated Demand'!A:Z,23,FALSE))</f>
        <v>1.087593</v>
      </c>
      <c r="AG1836" s="16">
        <f>IF(ISERROR(VLOOKUP($A1836,'13. Updated Demand'!A:Z,24,FALSE)),0,VLOOKUP($A1836,'13. Updated Demand'!A:Z,24,FALSE))</f>
        <v>0.129406667</v>
      </c>
      <c r="AH1836" s="16">
        <f>IF(ISERROR(VLOOKUP($A1836,'13. Updated Demand'!A:Z,25,FALSE)),0,VLOOKUP($A1836,'13. Updated Demand'!A:Z,25,FALSE))</f>
        <v>7.1903330000000001E-3</v>
      </c>
      <c r="AI1836" s="16">
        <f>IF(ISERROR(VLOOKUP($A1836,'13. Updated Demand'!A:Z,26,FALSE)),0,VLOOKUP($A1836,'13. Updated Demand'!A:Z,26,FALSE))</f>
        <v>0</v>
      </c>
      <c r="AJ1836" s="16">
        <f t="shared" si="349"/>
        <v>4.1142179999999993</v>
      </c>
      <c r="AK1836" s="19">
        <v>3.7198796670000003</v>
      </c>
      <c r="AL1836" s="16">
        <f t="shared" si="347"/>
        <v>1.2338417121325511E-2</v>
      </c>
      <c r="AM1836" s="26">
        <v>6.6817455419495228E-2</v>
      </c>
      <c r="AN1836" s="19">
        <v>61.573999999999998</v>
      </c>
      <c r="AO1836" s="19" t="s">
        <v>1758</v>
      </c>
      <c r="AP1836" s="19">
        <v>0</v>
      </c>
      <c r="AQ1836" s="19" t="s">
        <v>307</v>
      </c>
      <c r="AR1836" s="9" t="s">
        <v>394</v>
      </c>
      <c r="AS1836" s="12">
        <v>0</v>
      </c>
      <c r="AT1836" s="19">
        <v>38.625500000000002</v>
      </c>
      <c r="AU1836" s="19">
        <v>-122.89239999999999</v>
      </c>
      <c r="AV1836" s="19" t="s">
        <v>932</v>
      </c>
    </row>
    <row r="1837" spans="1:48" x14ac:dyDescent="0.25">
      <c r="A1837" s="18" t="s">
        <v>2244</v>
      </c>
      <c r="B1837" s="10">
        <v>10000000</v>
      </c>
      <c r="C1837" s="9">
        <v>16</v>
      </c>
      <c r="D1837" s="8" t="str">
        <f t="shared" si="338"/>
        <v>N</v>
      </c>
      <c r="E1837" s="8" t="str">
        <f t="shared" si="339"/>
        <v>N</v>
      </c>
      <c r="F1837" s="8" t="str">
        <f t="shared" si="340"/>
        <v>N</v>
      </c>
      <c r="G1837" s="8" t="str">
        <f t="shared" si="341"/>
        <v>N</v>
      </c>
      <c r="H1837" s="8" t="str">
        <f t="shared" si="342"/>
        <v>Lower</v>
      </c>
      <c r="I1837" s="8" t="str">
        <f t="shared" si="343"/>
        <v>Outside</v>
      </c>
      <c r="J1837" s="8" t="str">
        <f t="shared" si="344"/>
        <v>Outside</v>
      </c>
      <c r="K1837" s="8" t="str">
        <f t="shared" si="345"/>
        <v>Riparian</v>
      </c>
      <c r="L1837" s="8">
        <f t="shared" si="346"/>
        <v>1000</v>
      </c>
      <c r="M1837" s="8" t="str">
        <f t="shared" si="348"/>
        <v>-</v>
      </c>
      <c r="N1837" s="10" t="s">
        <v>242</v>
      </c>
      <c r="O1837" s="10" t="s">
        <v>242</v>
      </c>
      <c r="P1837" s="10" t="s">
        <v>242</v>
      </c>
      <c r="Q1837" s="10" t="s">
        <v>242</v>
      </c>
      <c r="R1837" s="10" t="s">
        <v>242</v>
      </c>
      <c r="S1837" s="10" t="s">
        <v>241</v>
      </c>
      <c r="T1837" s="10" t="s">
        <v>242</v>
      </c>
      <c r="U1837" s="10" t="s">
        <v>242</v>
      </c>
      <c r="V1837" s="10" t="s">
        <v>242</v>
      </c>
      <c r="W1837" s="10" t="s">
        <v>242</v>
      </c>
      <c r="X1837" s="15">
        <f>IF(ISERROR(VLOOKUP($A1837,'13. Updated Demand'!A:Z,15,FALSE)),0,VLOOKUP($A1837,'13. Updated Demand'!A:Z,15,FALSE))</f>
        <v>0.97</v>
      </c>
      <c r="Y1837" s="16">
        <f>IF(ISERROR(VLOOKUP($A1837,'13. Updated Demand'!A:Z,16,FALSE)),0,VLOOKUP($A1837,'13. Updated Demand'!A:Z,16,FALSE))</f>
        <v>0.97</v>
      </c>
      <c r="Z1837" s="16">
        <f>IF(ISERROR(VLOOKUP($A1837,'13. Updated Demand'!A:Z,17,FALSE)),0,VLOOKUP($A1837,'13. Updated Demand'!A:Z,17,FALSE))</f>
        <v>0.97</v>
      </c>
      <c r="AA1837" s="16">
        <f>IF(ISERROR(VLOOKUP($A1837,'13. Updated Demand'!A:Z,18,FALSE)),0,VLOOKUP($A1837,'13. Updated Demand'!A:Z,18,FALSE))</f>
        <v>0.97</v>
      </c>
      <c r="AB1837" s="16">
        <f>IF(ISERROR(VLOOKUP($A1837,'13. Updated Demand'!A:Z,19,FALSE)),0,VLOOKUP($A1837,'13. Updated Demand'!A:Z,19,FALSE))</f>
        <v>0.97</v>
      </c>
      <c r="AC1837" s="16">
        <f>IF(ISERROR(VLOOKUP($A1837,'13. Updated Demand'!A:Z,20,FALSE)),0,VLOOKUP($A1837,'13. Updated Demand'!A:Z,20,FALSE))</f>
        <v>0.97</v>
      </c>
      <c r="AD1837" s="16">
        <f>IF(ISERROR(VLOOKUP($A1837,'13. Updated Demand'!A:Z,21,FALSE)),0,VLOOKUP($A1837,'13. Updated Demand'!A:Z,21,FALSE))</f>
        <v>0.97</v>
      </c>
      <c r="AE1837" s="16">
        <f>IF(ISERROR(VLOOKUP($A1837,'13. Updated Demand'!A:Z,22,FALSE)),0,VLOOKUP($A1837,'13. Updated Demand'!A:Z,22,FALSE))</f>
        <v>0.97</v>
      </c>
      <c r="AF1837" s="16">
        <f>IF(ISERROR(VLOOKUP($A1837,'13. Updated Demand'!A:Z,23,FALSE)),0,VLOOKUP($A1837,'13. Updated Demand'!A:Z,23,FALSE))</f>
        <v>0.97</v>
      </c>
      <c r="AG1837" s="16">
        <f>IF(ISERROR(VLOOKUP($A1837,'13. Updated Demand'!A:Z,24,FALSE)),0,VLOOKUP($A1837,'13. Updated Demand'!A:Z,24,FALSE))</f>
        <v>0.97</v>
      </c>
      <c r="AH1837" s="16">
        <f>IF(ISERROR(VLOOKUP($A1837,'13. Updated Demand'!A:Z,25,FALSE)),0,VLOOKUP($A1837,'13. Updated Demand'!A:Z,25,FALSE))</f>
        <v>0.97</v>
      </c>
      <c r="AI1837" s="16">
        <f>IF(ISERROR(VLOOKUP($A1837,'13. Updated Demand'!A:Z,26,FALSE)),0,VLOOKUP($A1837,'13. Updated Demand'!A:Z,26,FALSE))</f>
        <v>0.97</v>
      </c>
      <c r="AJ1837" s="16">
        <f t="shared" si="349"/>
        <v>11.64</v>
      </c>
      <c r="AK1837" s="19">
        <v>4.8499999999999996</v>
      </c>
      <c r="AL1837" s="16">
        <f t="shared" si="347"/>
        <v>1.6086897533083216E-2</v>
      </c>
      <c r="AM1837" s="26">
        <v>3.6081835089894607</v>
      </c>
      <c r="AN1837" s="19">
        <v>3.226</v>
      </c>
      <c r="AO1837" s="19" t="s">
        <v>1758</v>
      </c>
      <c r="AP1837" s="19">
        <v>0</v>
      </c>
      <c r="AQ1837" s="19" t="s">
        <v>307</v>
      </c>
      <c r="AR1837" s="9" t="s">
        <v>394</v>
      </c>
      <c r="AS1837" s="12">
        <v>3.4039024194010059E-4</v>
      </c>
      <c r="AT1837" s="19">
        <v>38.576110610000001</v>
      </c>
      <c r="AU1837" s="19">
        <v>-122.89692467</v>
      </c>
      <c r="AV1837" s="19" t="s">
        <v>430</v>
      </c>
    </row>
    <row r="1838" spans="1:48" x14ac:dyDescent="0.25">
      <c r="A1838" s="18" t="s">
        <v>2245</v>
      </c>
      <c r="B1838" s="10">
        <v>10000000</v>
      </c>
      <c r="C1838" s="9">
        <v>16</v>
      </c>
      <c r="D1838" s="8" t="str">
        <f t="shared" si="338"/>
        <v>N</v>
      </c>
      <c r="E1838" s="8" t="str">
        <f t="shared" si="339"/>
        <v>N</v>
      </c>
      <c r="F1838" s="8" t="str">
        <f t="shared" si="340"/>
        <v>N</v>
      </c>
      <c r="G1838" s="8" t="str">
        <f t="shared" si="341"/>
        <v>N</v>
      </c>
      <c r="H1838" s="8" t="str">
        <f t="shared" si="342"/>
        <v>Lower</v>
      </c>
      <c r="I1838" s="8" t="str">
        <f t="shared" si="343"/>
        <v>Outside</v>
      </c>
      <c r="J1838" s="8" t="str">
        <f t="shared" si="344"/>
        <v>Outside</v>
      </c>
      <c r="K1838" s="8" t="str">
        <f t="shared" si="345"/>
        <v>Riparian</v>
      </c>
      <c r="L1838" s="8">
        <f t="shared" si="346"/>
        <v>1000</v>
      </c>
      <c r="M1838" s="8" t="str">
        <f t="shared" si="348"/>
        <v>-</v>
      </c>
      <c r="N1838" s="10" t="s">
        <v>242</v>
      </c>
      <c r="O1838" s="10" t="s">
        <v>242</v>
      </c>
      <c r="P1838" s="10" t="s">
        <v>242</v>
      </c>
      <c r="Q1838" s="10" t="s">
        <v>242</v>
      </c>
      <c r="R1838" s="10" t="s">
        <v>242</v>
      </c>
      <c r="S1838" s="10" t="s">
        <v>241</v>
      </c>
      <c r="T1838" s="10" t="s">
        <v>242</v>
      </c>
      <c r="U1838" s="10" t="s">
        <v>242</v>
      </c>
      <c r="V1838" s="10" t="s">
        <v>242</v>
      </c>
      <c r="W1838" s="10" t="s">
        <v>242</v>
      </c>
      <c r="X1838" s="15">
        <f>IF(ISERROR(VLOOKUP($A1838,'13. Updated Demand'!A:Z,15,FALSE)),0,VLOOKUP($A1838,'13. Updated Demand'!A:Z,15,FALSE))</f>
        <v>0</v>
      </c>
      <c r="Y1838" s="16">
        <f>IF(ISERROR(VLOOKUP($A1838,'13. Updated Demand'!A:Z,16,FALSE)),0,VLOOKUP($A1838,'13. Updated Demand'!A:Z,16,FALSE))</f>
        <v>6.6666670000000003E-3</v>
      </c>
      <c r="Z1838" s="16">
        <f>IF(ISERROR(VLOOKUP($A1838,'13. Updated Demand'!A:Z,17,FALSE)),0,VLOOKUP($A1838,'13. Updated Demand'!A:Z,17,FALSE))</f>
        <v>0</v>
      </c>
      <c r="AA1838" s="16">
        <f>IF(ISERROR(VLOOKUP($A1838,'13. Updated Demand'!A:Z,18,FALSE)),0,VLOOKUP($A1838,'13. Updated Demand'!A:Z,18,FALSE))</f>
        <v>0</v>
      </c>
      <c r="AB1838" s="16">
        <f>IF(ISERROR(VLOOKUP($A1838,'13. Updated Demand'!A:Z,19,FALSE)),0,VLOOKUP($A1838,'13. Updated Demand'!A:Z,19,FALSE))</f>
        <v>7.3333333000000001E-2</v>
      </c>
      <c r="AC1838" s="16">
        <f>IF(ISERROR(VLOOKUP($A1838,'13. Updated Demand'!A:Z,20,FALSE)),0,VLOOKUP($A1838,'13. Updated Demand'!A:Z,20,FALSE))</f>
        <v>0.267250667</v>
      </c>
      <c r="AD1838" s="16">
        <f>IF(ISERROR(VLOOKUP($A1838,'13. Updated Demand'!A:Z,21,FALSE)),0,VLOOKUP($A1838,'13. Updated Demand'!A:Z,21,FALSE))</f>
        <v>0.50432299999999997</v>
      </c>
      <c r="AE1838" s="16">
        <f>IF(ISERROR(VLOOKUP($A1838,'13. Updated Demand'!A:Z,22,FALSE)),0,VLOOKUP($A1838,'13. Updated Demand'!A:Z,22,FALSE))</f>
        <v>0.95888899999999999</v>
      </c>
      <c r="AF1838" s="16">
        <f>IF(ISERROR(VLOOKUP($A1838,'13. Updated Demand'!A:Z,23,FALSE)),0,VLOOKUP($A1838,'13. Updated Demand'!A:Z,23,FALSE))</f>
        <v>0.34332699999999999</v>
      </c>
      <c r="AG1838" s="16">
        <f>IF(ISERROR(VLOOKUP($A1838,'13. Updated Demand'!A:Z,24,FALSE)),0,VLOOKUP($A1838,'13. Updated Demand'!A:Z,24,FALSE))</f>
        <v>2.0698332999999999E-2</v>
      </c>
      <c r="AH1838" s="16">
        <f>IF(ISERROR(VLOOKUP($A1838,'13. Updated Demand'!A:Z,25,FALSE)),0,VLOOKUP($A1838,'13. Updated Demand'!A:Z,25,FALSE))</f>
        <v>0</v>
      </c>
      <c r="AI1838" s="16">
        <f>IF(ISERROR(VLOOKUP($A1838,'13. Updated Demand'!A:Z,26,FALSE)),0,VLOOKUP($A1838,'13. Updated Demand'!A:Z,26,FALSE))</f>
        <v>0</v>
      </c>
      <c r="AJ1838" s="16">
        <f t="shared" si="349"/>
        <v>2.1744879999999998</v>
      </c>
      <c r="AK1838" s="19">
        <v>2.1471230000000001</v>
      </c>
      <c r="AL1838" s="16">
        <f t="shared" si="347"/>
        <v>7.1217624107064413E-3</v>
      </c>
      <c r="AM1838" s="26">
        <v>5.457778223984739E-2</v>
      </c>
      <c r="AN1838" s="19">
        <v>39.841999999999999</v>
      </c>
      <c r="AO1838" s="19" t="s">
        <v>1758</v>
      </c>
      <c r="AP1838" s="19">
        <v>0</v>
      </c>
      <c r="AQ1838" s="19" t="s">
        <v>307</v>
      </c>
      <c r="AR1838" s="9" t="s">
        <v>394</v>
      </c>
      <c r="AS1838" s="12">
        <v>0</v>
      </c>
      <c r="AT1838" s="19">
        <v>38.643099999999997</v>
      </c>
      <c r="AU1838" s="19">
        <v>-122.91079999999999</v>
      </c>
      <c r="AV1838" s="19" t="s">
        <v>2246</v>
      </c>
    </row>
    <row r="1839" spans="1:48" x14ac:dyDescent="0.25">
      <c r="A1839" s="18" t="s">
        <v>2247</v>
      </c>
      <c r="B1839" s="10">
        <v>10000000</v>
      </c>
      <c r="C1839" s="9">
        <v>16</v>
      </c>
      <c r="D1839" s="8" t="str">
        <f t="shared" si="338"/>
        <v>N</v>
      </c>
      <c r="E1839" s="8" t="str">
        <f t="shared" si="339"/>
        <v>N</v>
      </c>
      <c r="F1839" s="8" t="str">
        <f t="shared" si="340"/>
        <v>N</v>
      </c>
      <c r="G1839" s="8" t="str">
        <f t="shared" si="341"/>
        <v>N</v>
      </c>
      <c r="H1839" s="8" t="str">
        <f t="shared" si="342"/>
        <v>Lower</v>
      </c>
      <c r="I1839" s="8" t="str">
        <f t="shared" si="343"/>
        <v>Outside</v>
      </c>
      <c r="J1839" s="8" t="str">
        <f t="shared" si="344"/>
        <v>Outside</v>
      </c>
      <c r="K1839" s="8" t="str">
        <f t="shared" si="345"/>
        <v>Riparian</v>
      </c>
      <c r="L1839" s="8">
        <f t="shared" si="346"/>
        <v>1000</v>
      </c>
      <c r="M1839" s="8" t="str">
        <f t="shared" si="348"/>
        <v>-</v>
      </c>
      <c r="N1839" s="10" t="s">
        <v>242</v>
      </c>
      <c r="O1839" s="10" t="s">
        <v>242</v>
      </c>
      <c r="P1839" s="10" t="s">
        <v>242</v>
      </c>
      <c r="Q1839" s="10" t="s">
        <v>242</v>
      </c>
      <c r="R1839" s="10" t="s">
        <v>242</v>
      </c>
      <c r="S1839" s="10" t="s">
        <v>241</v>
      </c>
      <c r="T1839" s="10" t="s">
        <v>242</v>
      </c>
      <c r="U1839" s="10" t="s">
        <v>242</v>
      </c>
      <c r="V1839" s="10" t="s">
        <v>242</v>
      </c>
      <c r="W1839" s="10" t="s">
        <v>242</v>
      </c>
      <c r="X1839" s="15">
        <f>IF(ISERROR(VLOOKUP($A1839,'13. Updated Demand'!A:Z,15,FALSE)),0,VLOOKUP($A1839,'13. Updated Demand'!A:Z,15,FALSE))</f>
        <v>0</v>
      </c>
      <c r="Y1839" s="16">
        <f>IF(ISERROR(VLOOKUP($A1839,'13. Updated Demand'!A:Z,16,FALSE)),0,VLOOKUP($A1839,'13. Updated Demand'!A:Z,16,FALSE))</f>
        <v>0.109470333</v>
      </c>
      <c r="Z1839" s="16">
        <f>IF(ISERROR(VLOOKUP($A1839,'13. Updated Demand'!A:Z,17,FALSE)),0,VLOOKUP($A1839,'13. Updated Demand'!A:Z,17,FALSE))</f>
        <v>3.0460000000000001E-3</v>
      </c>
      <c r="AA1839" s="16">
        <f>IF(ISERROR(VLOOKUP($A1839,'13. Updated Demand'!A:Z,18,FALSE)),0,VLOOKUP($A1839,'13. Updated Demand'!A:Z,18,FALSE))</f>
        <v>0.158559333</v>
      </c>
      <c r="AB1839" s="16">
        <f>IF(ISERROR(VLOOKUP($A1839,'13. Updated Demand'!A:Z,19,FALSE)),0,VLOOKUP($A1839,'13. Updated Demand'!A:Z,19,FALSE))</f>
        <v>0.26691700000000002</v>
      </c>
      <c r="AC1839" s="16">
        <f>IF(ISERROR(VLOOKUP($A1839,'13. Updated Demand'!A:Z,20,FALSE)),0,VLOOKUP($A1839,'13. Updated Demand'!A:Z,20,FALSE))</f>
        <v>0.30126866699999999</v>
      </c>
      <c r="AD1839" s="16">
        <f>IF(ISERROR(VLOOKUP($A1839,'13. Updated Demand'!A:Z,21,FALSE)),0,VLOOKUP($A1839,'13. Updated Demand'!A:Z,21,FALSE))</f>
        <v>0.88102133299999996</v>
      </c>
      <c r="AE1839" s="16">
        <f>IF(ISERROR(VLOOKUP($A1839,'13. Updated Demand'!A:Z,22,FALSE)),0,VLOOKUP($A1839,'13. Updated Demand'!A:Z,22,FALSE))</f>
        <v>0.94035299999999999</v>
      </c>
      <c r="AF1839" s="16">
        <f>IF(ISERROR(VLOOKUP($A1839,'13. Updated Demand'!A:Z,23,FALSE)),0,VLOOKUP($A1839,'13. Updated Demand'!A:Z,23,FALSE))</f>
        <v>1.3392710000000001</v>
      </c>
      <c r="AG1839" s="16">
        <f>IF(ISERROR(VLOOKUP($A1839,'13. Updated Demand'!A:Z,24,FALSE)),0,VLOOKUP($A1839,'13. Updated Demand'!A:Z,24,FALSE))</f>
        <v>1.2609E-2</v>
      </c>
      <c r="AH1839" s="16">
        <f>IF(ISERROR(VLOOKUP($A1839,'13. Updated Demand'!A:Z,25,FALSE)),0,VLOOKUP($A1839,'13. Updated Demand'!A:Z,25,FALSE))</f>
        <v>2.61E-4</v>
      </c>
      <c r="AI1839" s="16">
        <f>IF(ISERROR(VLOOKUP($A1839,'13. Updated Demand'!A:Z,26,FALSE)),0,VLOOKUP($A1839,'13. Updated Demand'!A:Z,26,FALSE))</f>
        <v>0</v>
      </c>
      <c r="AJ1839" s="16">
        <f t="shared" si="349"/>
        <v>4.0127766660000006</v>
      </c>
      <c r="AK1839" s="19">
        <v>3.728831</v>
      </c>
      <c r="AL1839" s="16">
        <f t="shared" si="347"/>
        <v>1.2368107673233862E-2</v>
      </c>
      <c r="AM1839" s="26">
        <v>3.3170351726144621E-3</v>
      </c>
      <c r="AN1839" s="19">
        <v>1209.748</v>
      </c>
      <c r="AO1839" s="19" t="s">
        <v>1758</v>
      </c>
      <c r="AP1839" s="19">
        <v>0</v>
      </c>
      <c r="AQ1839" s="19" t="s">
        <v>307</v>
      </c>
      <c r="AR1839" s="9" t="s">
        <v>394</v>
      </c>
      <c r="AS1839" s="12">
        <v>0</v>
      </c>
      <c r="AT1839" s="19">
        <v>38.614899999999999</v>
      </c>
      <c r="AU1839" s="19">
        <v>-122.8877</v>
      </c>
      <c r="AV1839" s="19" t="s">
        <v>932</v>
      </c>
    </row>
    <row r="1840" spans="1:48" x14ac:dyDescent="0.25">
      <c r="A1840" s="18" t="s">
        <v>2248</v>
      </c>
      <c r="B1840" s="10">
        <v>10000000</v>
      </c>
      <c r="C1840" s="9">
        <v>16</v>
      </c>
      <c r="D1840" s="8" t="str">
        <f t="shared" si="338"/>
        <v>N</v>
      </c>
      <c r="E1840" s="8" t="str">
        <f t="shared" si="339"/>
        <v>N</v>
      </c>
      <c r="F1840" s="8" t="str">
        <f t="shared" si="340"/>
        <v>N</v>
      </c>
      <c r="G1840" s="8" t="str">
        <f t="shared" si="341"/>
        <v>N</v>
      </c>
      <c r="H1840" s="8" t="str">
        <f t="shared" si="342"/>
        <v>Lower</v>
      </c>
      <c r="I1840" s="8" t="str">
        <f t="shared" si="343"/>
        <v>Outside</v>
      </c>
      <c r="J1840" s="8" t="str">
        <f t="shared" si="344"/>
        <v>Outside</v>
      </c>
      <c r="K1840" s="8" t="str">
        <f t="shared" si="345"/>
        <v>Riparian</v>
      </c>
      <c r="L1840" s="8">
        <f t="shared" si="346"/>
        <v>1000</v>
      </c>
      <c r="M1840" s="8" t="str">
        <f t="shared" si="348"/>
        <v>-</v>
      </c>
      <c r="N1840" s="10" t="s">
        <v>242</v>
      </c>
      <c r="O1840" s="10" t="s">
        <v>242</v>
      </c>
      <c r="P1840" s="10" t="s">
        <v>242</v>
      </c>
      <c r="Q1840" s="10" t="s">
        <v>242</v>
      </c>
      <c r="R1840" s="10" t="s">
        <v>242</v>
      </c>
      <c r="S1840" s="10" t="s">
        <v>241</v>
      </c>
      <c r="T1840" s="10" t="s">
        <v>242</v>
      </c>
      <c r="U1840" s="10" t="s">
        <v>242</v>
      </c>
      <c r="V1840" s="10" t="s">
        <v>242</v>
      </c>
      <c r="W1840" s="10" t="s">
        <v>242</v>
      </c>
      <c r="X1840" s="15">
        <f>IF(ISERROR(VLOOKUP($A1840,'13. Updated Demand'!A:Z,15,FALSE)),0,VLOOKUP($A1840,'13. Updated Demand'!A:Z,15,FALSE))</f>
        <v>0</v>
      </c>
      <c r="Y1840" s="16">
        <f>IF(ISERROR(VLOOKUP($A1840,'13. Updated Demand'!A:Z,16,FALSE)),0,VLOOKUP($A1840,'13. Updated Demand'!A:Z,16,FALSE))</f>
        <v>0</v>
      </c>
      <c r="Z1840" s="16">
        <f>IF(ISERROR(VLOOKUP($A1840,'13. Updated Demand'!A:Z,17,FALSE)),0,VLOOKUP($A1840,'13. Updated Demand'!A:Z,17,FALSE))</f>
        <v>0.100389667</v>
      </c>
      <c r="AA1840" s="16">
        <f>IF(ISERROR(VLOOKUP($A1840,'13. Updated Demand'!A:Z,18,FALSE)),0,VLOOKUP($A1840,'13. Updated Demand'!A:Z,18,FALSE))</f>
        <v>0</v>
      </c>
      <c r="AB1840" s="16">
        <f>IF(ISERROR(VLOOKUP($A1840,'13. Updated Demand'!A:Z,19,FALSE)),0,VLOOKUP($A1840,'13. Updated Demand'!A:Z,19,FALSE))</f>
        <v>0.16918666700000001</v>
      </c>
      <c r="AC1840" s="16">
        <f>IF(ISERROR(VLOOKUP($A1840,'13. Updated Demand'!A:Z,20,FALSE)),0,VLOOKUP($A1840,'13. Updated Demand'!A:Z,20,FALSE))</f>
        <v>0.18319733299999999</v>
      </c>
      <c r="AD1840" s="16">
        <f>IF(ISERROR(VLOOKUP($A1840,'13. Updated Demand'!A:Z,21,FALSE)),0,VLOOKUP($A1840,'13. Updated Demand'!A:Z,21,FALSE))</f>
        <v>0.36125800000000002</v>
      </c>
      <c r="AE1840" s="16">
        <f>IF(ISERROR(VLOOKUP($A1840,'13. Updated Demand'!A:Z,22,FALSE)),0,VLOOKUP($A1840,'13. Updated Demand'!A:Z,22,FALSE))</f>
        <v>0.88832299999999997</v>
      </c>
      <c r="AF1840" s="16">
        <f>IF(ISERROR(VLOOKUP($A1840,'13. Updated Demand'!A:Z,23,FALSE)),0,VLOOKUP($A1840,'13. Updated Demand'!A:Z,23,FALSE))</f>
        <v>0.65494766699999996</v>
      </c>
      <c r="AG1840" s="16">
        <f>IF(ISERROR(VLOOKUP($A1840,'13. Updated Demand'!A:Z,24,FALSE)),0,VLOOKUP($A1840,'13. Updated Demand'!A:Z,24,FALSE))</f>
        <v>0.11275300000000001</v>
      </c>
      <c r="AH1840" s="16">
        <f>IF(ISERROR(VLOOKUP($A1840,'13. Updated Demand'!A:Z,25,FALSE)),0,VLOOKUP($A1840,'13. Updated Demand'!A:Z,25,FALSE))</f>
        <v>0</v>
      </c>
      <c r="AI1840" s="16">
        <f>IF(ISERROR(VLOOKUP($A1840,'13. Updated Demand'!A:Z,26,FALSE)),0,VLOOKUP($A1840,'13. Updated Demand'!A:Z,26,FALSE))</f>
        <v>0</v>
      </c>
      <c r="AJ1840" s="16">
        <f t="shared" si="349"/>
        <v>2.470055334</v>
      </c>
      <c r="AK1840" s="19">
        <v>2.2569126669999999</v>
      </c>
      <c r="AL1840" s="16">
        <f t="shared" si="347"/>
        <v>7.4859222299271276E-3</v>
      </c>
      <c r="AM1840" s="26">
        <v>4.083586555216458E-3</v>
      </c>
      <c r="AN1840" s="19">
        <v>604.87400000000002</v>
      </c>
      <c r="AO1840" s="19" t="s">
        <v>1758</v>
      </c>
      <c r="AP1840" s="19">
        <v>0</v>
      </c>
      <c r="AQ1840" s="19" t="s">
        <v>307</v>
      </c>
      <c r="AR1840" s="9" t="s">
        <v>394</v>
      </c>
      <c r="AS1840" s="12">
        <v>0</v>
      </c>
      <c r="AT1840" s="19">
        <v>38.651299999999999</v>
      </c>
      <c r="AU1840" s="19">
        <v>-122.9268</v>
      </c>
      <c r="AV1840" s="19" t="s">
        <v>701</v>
      </c>
    </row>
    <row r="1841" spans="1:48" x14ac:dyDescent="0.25">
      <c r="A1841" s="18" t="s">
        <v>2249</v>
      </c>
      <c r="B1841" s="10">
        <v>10000000</v>
      </c>
      <c r="C1841" s="9">
        <v>15</v>
      </c>
      <c r="D1841" s="8" t="str">
        <f t="shared" si="338"/>
        <v>N</v>
      </c>
      <c r="E1841" s="8" t="str">
        <f t="shared" si="339"/>
        <v>N</v>
      </c>
      <c r="F1841" s="8" t="str">
        <f t="shared" si="340"/>
        <v>N</v>
      </c>
      <c r="G1841" s="8" t="str">
        <f t="shared" si="341"/>
        <v>N</v>
      </c>
      <c r="H1841" s="8" t="str">
        <f t="shared" si="342"/>
        <v>Lower</v>
      </c>
      <c r="I1841" s="8" t="str">
        <f t="shared" si="343"/>
        <v>Outside</v>
      </c>
      <c r="J1841" s="8" t="str">
        <f t="shared" si="344"/>
        <v>Outside</v>
      </c>
      <c r="K1841" s="8" t="str">
        <f t="shared" si="345"/>
        <v>Riparian</v>
      </c>
      <c r="L1841" s="8">
        <f t="shared" si="346"/>
        <v>1000</v>
      </c>
      <c r="M1841" s="8" t="str">
        <f t="shared" si="348"/>
        <v>-</v>
      </c>
      <c r="N1841" s="10" t="s">
        <v>242</v>
      </c>
      <c r="O1841" s="10" t="s">
        <v>242</v>
      </c>
      <c r="P1841" s="10" t="s">
        <v>242</v>
      </c>
      <c r="Q1841" s="10" t="s">
        <v>242</v>
      </c>
      <c r="R1841" s="10" t="s">
        <v>242</v>
      </c>
      <c r="S1841" s="10" t="s">
        <v>241</v>
      </c>
      <c r="T1841" s="10" t="s">
        <v>242</v>
      </c>
      <c r="U1841" s="10" t="s">
        <v>242</v>
      </c>
      <c r="V1841" s="10" t="s">
        <v>242</v>
      </c>
      <c r="W1841" s="10" t="s">
        <v>242</v>
      </c>
      <c r="X1841" s="15">
        <f>IF(ISERROR(VLOOKUP($A1841,'13. Updated Demand'!A:Z,15,FALSE)),0,VLOOKUP($A1841,'13. Updated Demand'!A:Z,15,FALSE))</f>
        <v>0</v>
      </c>
      <c r="Y1841" s="16">
        <f>IF(ISERROR(VLOOKUP($A1841,'13. Updated Demand'!A:Z,16,FALSE)),0,VLOOKUP($A1841,'13. Updated Demand'!A:Z,16,FALSE))</f>
        <v>0</v>
      </c>
      <c r="Z1841" s="16">
        <f>IF(ISERROR(VLOOKUP($A1841,'13. Updated Demand'!A:Z,17,FALSE)),0,VLOOKUP($A1841,'13. Updated Demand'!A:Z,17,FALSE))</f>
        <v>0</v>
      </c>
      <c r="AA1841" s="16">
        <f>IF(ISERROR(VLOOKUP($A1841,'13. Updated Demand'!A:Z,18,FALSE)),0,VLOOKUP($A1841,'13. Updated Demand'!A:Z,18,FALSE))</f>
        <v>0</v>
      </c>
      <c r="AB1841" s="16">
        <f>IF(ISERROR(VLOOKUP($A1841,'13. Updated Demand'!A:Z,19,FALSE)),0,VLOOKUP($A1841,'13. Updated Demand'!A:Z,19,FALSE))</f>
        <v>0.404479333</v>
      </c>
      <c r="AC1841" s="16">
        <f>IF(ISERROR(VLOOKUP($A1841,'13. Updated Demand'!A:Z,20,FALSE)),0,VLOOKUP($A1841,'13. Updated Demand'!A:Z,20,FALSE))</f>
        <v>1.044649333</v>
      </c>
      <c r="AD1841" s="16">
        <f>IF(ISERROR(VLOOKUP($A1841,'13. Updated Demand'!A:Z,21,FALSE)),0,VLOOKUP($A1841,'13. Updated Demand'!A:Z,21,FALSE))</f>
        <v>1.044649333</v>
      </c>
      <c r="AE1841" s="16">
        <f>IF(ISERROR(VLOOKUP($A1841,'13. Updated Demand'!A:Z,22,FALSE)),0,VLOOKUP($A1841,'13. Updated Demand'!A:Z,22,FALSE))</f>
        <v>1.044649333</v>
      </c>
      <c r="AF1841" s="16">
        <f>IF(ISERROR(VLOOKUP($A1841,'13. Updated Demand'!A:Z,23,FALSE)),0,VLOOKUP($A1841,'13. Updated Demand'!A:Z,23,FALSE))</f>
        <v>1.044649333</v>
      </c>
      <c r="AG1841" s="16">
        <f>IF(ISERROR(VLOOKUP($A1841,'13. Updated Demand'!A:Z,24,FALSE)),0,VLOOKUP($A1841,'13. Updated Demand'!A:Z,24,FALSE))</f>
        <v>0.404479333</v>
      </c>
      <c r="AH1841" s="16">
        <f>IF(ISERROR(VLOOKUP($A1841,'13. Updated Demand'!A:Z,25,FALSE)),0,VLOOKUP($A1841,'13. Updated Demand'!A:Z,25,FALSE))</f>
        <v>0</v>
      </c>
      <c r="AI1841" s="16">
        <f>IF(ISERROR(VLOOKUP($A1841,'13. Updated Demand'!A:Z,26,FALSE)),0,VLOOKUP($A1841,'13. Updated Demand'!A:Z,26,FALSE))</f>
        <v>0</v>
      </c>
      <c r="AJ1841" s="16">
        <f t="shared" si="349"/>
        <v>4.9875559979999995</v>
      </c>
      <c r="AK1841" s="19">
        <v>4.5830766649999992</v>
      </c>
      <c r="AL1841" s="16">
        <f t="shared" si="347"/>
        <v>1.5201543236313352E-2</v>
      </c>
      <c r="AM1841" s="26">
        <v>3.129584356959992E-2</v>
      </c>
      <c r="AN1841" s="19">
        <v>159.36799999999999</v>
      </c>
      <c r="AO1841" s="19" t="s">
        <v>1758</v>
      </c>
      <c r="AP1841" s="19">
        <v>0</v>
      </c>
      <c r="AQ1841" s="19" t="s">
        <v>307</v>
      </c>
      <c r="AR1841" s="9" t="s">
        <v>489</v>
      </c>
      <c r="AS1841" s="12">
        <v>0</v>
      </c>
      <c r="AT1841" s="19">
        <v>38.699518349999998</v>
      </c>
      <c r="AU1841" s="19">
        <v>-122.95209298</v>
      </c>
      <c r="AV1841" s="19" t="s">
        <v>932</v>
      </c>
    </row>
    <row r="1842" spans="1:48" x14ac:dyDescent="0.25">
      <c r="A1842" s="18" t="s">
        <v>2250</v>
      </c>
      <c r="B1842" s="10">
        <v>10000000</v>
      </c>
      <c r="C1842" s="9">
        <v>16</v>
      </c>
      <c r="D1842" s="8" t="str">
        <f t="shared" si="338"/>
        <v>N</v>
      </c>
      <c r="E1842" s="8" t="str">
        <f t="shared" si="339"/>
        <v>N</v>
      </c>
      <c r="F1842" s="8" t="str">
        <f t="shared" si="340"/>
        <v>N</v>
      </c>
      <c r="G1842" s="8" t="str">
        <f t="shared" si="341"/>
        <v>N</v>
      </c>
      <c r="H1842" s="8" t="str">
        <f t="shared" si="342"/>
        <v>Lower</v>
      </c>
      <c r="I1842" s="8" t="str">
        <f t="shared" si="343"/>
        <v>Outside</v>
      </c>
      <c r="J1842" s="8" t="str">
        <f t="shared" si="344"/>
        <v>Outside</v>
      </c>
      <c r="K1842" s="8" t="str">
        <f t="shared" si="345"/>
        <v>Riparian</v>
      </c>
      <c r="L1842" s="8">
        <f t="shared" si="346"/>
        <v>1000</v>
      </c>
      <c r="M1842" s="8" t="str">
        <f t="shared" si="348"/>
        <v>-</v>
      </c>
      <c r="N1842" s="10" t="s">
        <v>242</v>
      </c>
      <c r="O1842" s="10" t="s">
        <v>242</v>
      </c>
      <c r="P1842" s="10" t="s">
        <v>242</v>
      </c>
      <c r="Q1842" s="10" t="s">
        <v>242</v>
      </c>
      <c r="R1842" s="10" t="s">
        <v>242</v>
      </c>
      <c r="S1842" s="10" t="s">
        <v>241</v>
      </c>
      <c r="T1842" s="10" t="s">
        <v>242</v>
      </c>
      <c r="U1842" s="10" t="s">
        <v>242</v>
      </c>
      <c r="V1842" s="10" t="s">
        <v>242</v>
      </c>
      <c r="W1842" s="10" t="s">
        <v>242</v>
      </c>
      <c r="X1842" s="15">
        <f>IF(ISERROR(VLOOKUP($A1842,'13. Updated Demand'!A:Z,15,FALSE)),0,VLOOKUP($A1842,'13. Updated Demand'!A:Z,15,FALSE))</f>
        <v>0</v>
      </c>
      <c r="Y1842" s="16">
        <f>IF(ISERROR(VLOOKUP($A1842,'13. Updated Demand'!A:Z,16,FALSE)),0,VLOOKUP($A1842,'13. Updated Demand'!A:Z,16,FALSE))</f>
        <v>6.1299999999999999E-5</v>
      </c>
      <c r="Z1842" s="16">
        <f>IF(ISERROR(VLOOKUP($A1842,'13. Updated Demand'!A:Z,17,FALSE)),0,VLOOKUP($A1842,'13. Updated Demand'!A:Z,17,FALSE))</f>
        <v>4.6666670000000002E-3</v>
      </c>
      <c r="AA1842" s="16">
        <f>IF(ISERROR(VLOOKUP($A1842,'13. Updated Demand'!A:Z,18,FALSE)),0,VLOOKUP($A1842,'13. Updated Demand'!A:Z,18,FALSE))</f>
        <v>2.291333E-3</v>
      </c>
      <c r="AB1842" s="16">
        <f>IF(ISERROR(VLOOKUP($A1842,'13. Updated Demand'!A:Z,19,FALSE)),0,VLOOKUP($A1842,'13. Updated Demand'!A:Z,19,FALSE))</f>
        <v>3.33333E-4</v>
      </c>
      <c r="AC1842" s="16">
        <f>IF(ISERROR(VLOOKUP($A1842,'13. Updated Demand'!A:Z,20,FALSE)),0,VLOOKUP($A1842,'13. Updated Demand'!A:Z,20,FALSE))</f>
        <v>0.57745533299999996</v>
      </c>
      <c r="AD1842" s="16">
        <f>IF(ISERROR(VLOOKUP($A1842,'13. Updated Demand'!A:Z,21,FALSE)),0,VLOOKUP($A1842,'13. Updated Demand'!A:Z,21,FALSE))</f>
        <v>0.42307566699999999</v>
      </c>
      <c r="AE1842" s="16">
        <f>IF(ISERROR(VLOOKUP($A1842,'13. Updated Demand'!A:Z,22,FALSE)),0,VLOOKUP($A1842,'13. Updated Demand'!A:Z,22,FALSE))</f>
        <v>0.82019399999999998</v>
      </c>
      <c r="AF1842" s="16">
        <f>IF(ISERROR(VLOOKUP($A1842,'13. Updated Demand'!A:Z,23,FALSE)),0,VLOOKUP($A1842,'13. Updated Demand'!A:Z,23,FALSE))</f>
        <v>0.72386600000000001</v>
      </c>
      <c r="AG1842" s="16">
        <f>IF(ISERROR(VLOOKUP($A1842,'13. Updated Demand'!A:Z,24,FALSE)),0,VLOOKUP($A1842,'13. Updated Demand'!A:Z,24,FALSE))</f>
        <v>6.6666700000000002E-4</v>
      </c>
      <c r="AH1842" s="16">
        <f>IF(ISERROR(VLOOKUP($A1842,'13. Updated Demand'!A:Z,25,FALSE)),0,VLOOKUP($A1842,'13. Updated Demand'!A:Z,25,FALSE))</f>
        <v>0</v>
      </c>
      <c r="AI1842" s="16">
        <f>IF(ISERROR(VLOOKUP($A1842,'13. Updated Demand'!A:Z,26,FALSE)),0,VLOOKUP($A1842,'13. Updated Demand'!A:Z,26,FALSE))</f>
        <v>0</v>
      </c>
      <c r="AJ1842" s="16">
        <f t="shared" si="349"/>
        <v>2.5526103</v>
      </c>
      <c r="AK1842" s="19">
        <v>2.544924333</v>
      </c>
      <c r="AL1842" s="16">
        <f t="shared" si="347"/>
        <v>8.4412241184373526E-3</v>
      </c>
      <c r="AM1842" s="26">
        <v>1.2813665478640631E-2</v>
      </c>
      <c r="AN1842" s="19">
        <v>199.21</v>
      </c>
      <c r="AO1842" s="19" t="s">
        <v>1758</v>
      </c>
      <c r="AP1842" s="19">
        <v>0</v>
      </c>
      <c r="AQ1842" s="19" t="s">
        <v>307</v>
      </c>
      <c r="AR1842" s="9" t="s">
        <v>394</v>
      </c>
      <c r="AS1842" s="12">
        <v>0</v>
      </c>
      <c r="AT1842" s="19">
        <v>38.647399999999998</v>
      </c>
      <c r="AU1842" s="19">
        <v>-122.9186</v>
      </c>
      <c r="AV1842" s="19" t="s">
        <v>2251</v>
      </c>
    </row>
    <row r="1843" spans="1:48" x14ac:dyDescent="0.25">
      <c r="A1843" s="18" t="s">
        <v>2252</v>
      </c>
      <c r="B1843" s="10">
        <v>10000000</v>
      </c>
      <c r="C1843" s="9">
        <v>16</v>
      </c>
      <c r="D1843" s="8" t="str">
        <f t="shared" si="338"/>
        <v>N</v>
      </c>
      <c r="E1843" s="8" t="str">
        <f t="shared" si="339"/>
        <v>N</v>
      </c>
      <c r="F1843" s="8" t="str">
        <f t="shared" si="340"/>
        <v>N</v>
      </c>
      <c r="G1843" s="8" t="str">
        <f t="shared" si="341"/>
        <v>N</v>
      </c>
      <c r="H1843" s="8" t="str">
        <f t="shared" si="342"/>
        <v>Lower</v>
      </c>
      <c r="I1843" s="8" t="str">
        <f t="shared" si="343"/>
        <v>Outside</v>
      </c>
      <c r="J1843" s="8" t="str">
        <f t="shared" si="344"/>
        <v>Outside</v>
      </c>
      <c r="K1843" s="8" t="str">
        <f t="shared" si="345"/>
        <v>Riparian</v>
      </c>
      <c r="L1843" s="8">
        <f t="shared" si="346"/>
        <v>1000</v>
      </c>
      <c r="M1843" s="8" t="str">
        <f t="shared" si="348"/>
        <v>-</v>
      </c>
      <c r="N1843" s="10" t="s">
        <v>242</v>
      </c>
      <c r="O1843" s="10" t="s">
        <v>242</v>
      </c>
      <c r="P1843" s="10" t="s">
        <v>242</v>
      </c>
      <c r="Q1843" s="10" t="s">
        <v>242</v>
      </c>
      <c r="R1843" s="10" t="s">
        <v>242</v>
      </c>
      <c r="S1843" s="10" t="s">
        <v>241</v>
      </c>
      <c r="T1843" s="10" t="s">
        <v>242</v>
      </c>
      <c r="U1843" s="10" t="s">
        <v>242</v>
      </c>
      <c r="V1843" s="10" t="s">
        <v>242</v>
      </c>
      <c r="W1843" s="10" t="s">
        <v>242</v>
      </c>
      <c r="X1843" s="15">
        <f>IF(ISERROR(VLOOKUP($A1843,'13. Updated Demand'!A:Z,15,FALSE)),0,VLOOKUP($A1843,'13. Updated Demand'!A:Z,15,FALSE))</f>
        <v>0</v>
      </c>
      <c r="Y1843" s="16">
        <f>IF(ISERROR(VLOOKUP($A1843,'13. Updated Demand'!A:Z,16,FALSE)),0,VLOOKUP($A1843,'13. Updated Demand'!A:Z,16,FALSE))</f>
        <v>4.0792666999999998E-2</v>
      </c>
      <c r="Z1843" s="16">
        <f>IF(ISERROR(VLOOKUP($A1843,'13. Updated Demand'!A:Z,17,FALSE)),0,VLOOKUP($A1843,'13. Updated Demand'!A:Z,17,FALSE))</f>
        <v>1.023E-3</v>
      </c>
      <c r="AA1843" s="16">
        <f>IF(ISERROR(VLOOKUP($A1843,'13. Updated Demand'!A:Z,18,FALSE)),0,VLOOKUP($A1843,'13. Updated Demand'!A:Z,18,FALSE))</f>
        <v>7.4676332999999998E-2</v>
      </c>
      <c r="AB1843" s="16">
        <f>IF(ISERROR(VLOOKUP($A1843,'13. Updated Demand'!A:Z,19,FALSE)),0,VLOOKUP($A1843,'13. Updated Demand'!A:Z,19,FALSE))</f>
        <v>4.1714332999999999E-2</v>
      </c>
      <c r="AC1843" s="16">
        <f>IF(ISERROR(VLOOKUP($A1843,'13. Updated Demand'!A:Z,20,FALSE)),0,VLOOKUP($A1843,'13. Updated Demand'!A:Z,20,FALSE))</f>
        <v>8.0286667000000006E-2</v>
      </c>
      <c r="AD1843" s="16">
        <f>IF(ISERROR(VLOOKUP($A1843,'13. Updated Demand'!A:Z,21,FALSE)),0,VLOOKUP($A1843,'13. Updated Demand'!A:Z,21,FALSE))</f>
        <v>0.53553600000000001</v>
      </c>
      <c r="AE1843" s="16">
        <f>IF(ISERROR(VLOOKUP($A1843,'13. Updated Demand'!A:Z,22,FALSE)),0,VLOOKUP($A1843,'13. Updated Demand'!A:Z,22,FALSE))</f>
        <v>0.782462667</v>
      </c>
      <c r="AF1843" s="16">
        <f>IF(ISERROR(VLOOKUP($A1843,'13. Updated Demand'!A:Z,23,FALSE)),0,VLOOKUP($A1843,'13. Updated Demand'!A:Z,23,FALSE))</f>
        <v>1.2842960000000001</v>
      </c>
      <c r="AG1843" s="16">
        <f>IF(ISERROR(VLOOKUP($A1843,'13. Updated Demand'!A:Z,24,FALSE)),0,VLOOKUP($A1843,'13. Updated Demand'!A:Z,24,FALSE))</f>
        <v>3.5230000000000001E-3</v>
      </c>
      <c r="AH1843" s="16">
        <f>IF(ISERROR(VLOOKUP($A1843,'13. Updated Demand'!A:Z,25,FALSE)),0,VLOOKUP($A1843,'13. Updated Demand'!A:Z,25,FALSE))</f>
        <v>0</v>
      </c>
      <c r="AI1843" s="16">
        <f>IF(ISERROR(VLOOKUP($A1843,'13. Updated Demand'!A:Z,26,FALSE)),0,VLOOKUP($A1843,'13. Updated Demand'!A:Z,26,FALSE))</f>
        <v>0</v>
      </c>
      <c r="AJ1843" s="16">
        <f t="shared" si="349"/>
        <v>2.8443106669999998</v>
      </c>
      <c r="AK1843" s="19">
        <v>2.7242956669999998</v>
      </c>
      <c r="AL1843" s="16">
        <f t="shared" si="347"/>
        <v>9.036178401000329E-3</v>
      </c>
      <c r="AM1843" s="26">
        <v>7.1389756212037539E-2</v>
      </c>
      <c r="AN1843" s="19">
        <v>39.841999999999999</v>
      </c>
      <c r="AO1843" s="19" t="s">
        <v>1758</v>
      </c>
      <c r="AP1843" s="19">
        <v>0</v>
      </c>
      <c r="AQ1843" s="19" t="s">
        <v>307</v>
      </c>
      <c r="AR1843" s="9" t="s">
        <v>394</v>
      </c>
      <c r="AS1843" s="12">
        <v>0</v>
      </c>
      <c r="AT1843" s="19">
        <v>38.626800000000003</v>
      </c>
      <c r="AU1843" s="19">
        <v>-122.8956</v>
      </c>
      <c r="AV1843" s="19" t="s">
        <v>701</v>
      </c>
    </row>
    <row r="1844" spans="1:48" x14ac:dyDescent="0.25">
      <c r="A1844" s="18" t="s">
        <v>2253</v>
      </c>
      <c r="B1844" s="10">
        <v>10000000</v>
      </c>
      <c r="C1844" s="9">
        <v>16</v>
      </c>
      <c r="D1844" s="8" t="str">
        <f t="shared" si="338"/>
        <v>N</v>
      </c>
      <c r="E1844" s="8" t="str">
        <f t="shared" si="339"/>
        <v>N</v>
      </c>
      <c r="F1844" s="8" t="str">
        <f t="shared" si="340"/>
        <v>N</v>
      </c>
      <c r="G1844" s="8" t="str">
        <f t="shared" si="341"/>
        <v>N</v>
      </c>
      <c r="H1844" s="8" t="str">
        <f t="shared" si="342"/>
        <v>Lower</v>
      </c>
      <c r="I1844" s="8" t="str">
        <f t="shared" si="343"/>
        <v>Outside</v>
      </c>
      <c r="J1844" s="8" t="str">
        <f t="shared" si="344"/>
        <v>Outside</v>
      </c>
      <c r="K1844" s="8" t="str">
        <f t="shared" si="345"/>
        <v>Riparian</v>
      </c>
      <c r="L1844" s="8">
        <f t="shared" si="346"/>
        <v>1000</v>
      </c>
      <c r="M1844" s="8" t="str">
        <f t="shared" si="348"/>
        <v>-</v>
      </c>
      <c r="N1844" s="10" t="s">
        <v>242</v>
      </c>
      <c r="O1844" s="10" t="s">
        <v>242</v>
      </c>
      <c r="P1844" s="10" t="s">
        <v>242</v>
      </c>
      <c r="Q1844" s="10" t="s">
        <v>242</v>
      </c>
      <c r="R1844" s="10" t="s">
        <v>242</v>
      </c>
      <c r="S1844" s="10" t="s">
        <v>241</v>
      </c>
      <c r="T1844" s="10" t="s">
        <v>242</v>
      </c>
      <c r="U1844" s="10" t="s">
        <v>242</v>
      </c>
      <c r="V1844" s="10" t="s">
        <v>242</v>
      </c>
      <c r="W1844" s="10" t="s">
        <v>242</v>
      </c>
      <c r="X1844" s="15">
        <f>IF(ISERROR(VLOOKUP($A1844,'13. Updated Demand'!A:Z,15,FALSE)),0,VLOOKUP($A1844,'13. Updated Demand'!A:Z,15,FALSE))</f>
        <v>0</v>
      </c>
      <c r="Y1844" s="16">
        <f>IF(ISERROR(VLOOKUP($A1844,'13. Updated Demand'!A:Z,16,FALSE)),0,VLOOKUP($A1844,'13. Updated Demand'!A:Z,16,FALSE))</f>
        <v>0.182111</v>
      </c>
      <c r="Z1844" s="16">
        <f>IF(ISERROR(VLOOKUP($A1844,'13. Updated Demand'!A:Z,17,FALSE)),0,VLOOKUP($A1844,'13. Updated Demand'!A:Z,17,FALSE))</f>
        <v>0.16867399999999999</v>
      </c>
      <c r="AA1844" s="16">
        <f>IF(ISERROR(VLOOKUP($A1844,'13. Updated Demand'!A:Z,18,FALSE)),0,VLOOKUP($A1844,'13. Updated Demand'!A:Z,18,FALSE))</f>
        <v>0.179018333</v>
      </c>
      <c r="AB1844" s="16">
        <f>IF(ISERROR(VLOOKUP($A1844,'13. Updated Demand'!A:Z,19,FALSE)),0,VLOOKUP($A1844,'13. Updated Demand'!A:Z,19,FALSE))</f>
        <v>0.237289</v>
      </c>
      <c r="AC1844" s="16">
        <f>IF(ISERROR(VLOOKUP($A1844,'13. Updated Demand'!A:Z,20,FALSE)),0,VLOOKUP($A1844,'13. Updated Demand'!A:Z,20,FALSE))</f>
        <v>0.17045533299999999</v>
      </c>
      <c r="AD1844" s="16">
        <f>IF(ISERROR(VLOOKUP($A1844,'13. Updated Demand'!A:Z,21,FALSE)),0,VLOOKUP($A1844,'13. Updated Demand'!A:Z,21,FALSE))</f>
        <v>0.60387199999999996</v>
      </c>
      <c r="AE1844" s="16">
        <f>IF(ISERROR(VLOOKUP($A1844,'13. Updated Demand'!A:Z,22,FALSE)),0,VLOOKUP($A1844,'13. Updated Demand'!A:Z,22,FALSE))</f>
        <v>0.59361466699999998</v>
      </c>
      <c r="AF1844" s="16">
        <f>IF(ISERROR(VLOOKUP($A1844,'13. Updated Demand'!A:Z,23,FALSE)),0,VLOOKUP($A1844,'13. Updated Demand'!A:Z,23,FALSE))</f>
        <v>1.4867189999999999</v>
      </c>
      <c r="AG1844" s="16">
        <f>IF(ISERROR(VLOOKUP($A1844,'13. Updated Demand'!A:Z,24,FALSE)),0,VLOOKUP($A1844,'13. Updated Demand'!A:Z,24,FALSE))</f>
        <v>0.28270699999999999</v>
      </c>
      <c r="AH1844" s="16">
        <f>IF(ISERROR(VLOOKUP($A1844,'13. Updated Demand'!A:Z,25,FALSE)),0,VLOOKUP($A1844,'13. Updated Demand'!A:Z,25,FALSE))</f>
        <v>0</v>
      </c>
      <c r="AI1844" s="16">
        <f>IF(ISERROR(VLOOKUP($A1844,'13. Updated Demand'!A:Z,26,FALSE)),0,VLOOKUP($A1844,'13. Updated Demand'!A:Z,26,FALSE))</f>
        <v>0</v>
      </c>
      <c r="AJ1844" s="16">
        <f t="shared" si="349"/>
        <v>3.9044603329999998</v>
      </c>
      <c r="AK1844" s="19">
        <v>3.0919499999999998</v>
      </c>
      <c r="AL1844" s="16">
        <f t="shared" si="347"/>
        <v>1.0255645943797249E-2</v>
      </c>
      <c r="AM1844" s="26">
        <v>4.1460947341035552E-2</v>
      </c>
      <c r="AN1844" s="19">
        <v>94.171999999999997</v>
      </c>
      <c r="AO1844" s="19" t="s">
        <v>1758</v>
      </c>
      <c r="AP1844" s="19">
        <v>0</v>
      </c>
      <c r="AQ1844" s="19" t="s">
        <v>307</v>
      </c>
      <c r="AR1844" s="9" t="s">
        <v>394</v>
      </c>
      <c r="AS1844" s="12">
        <v>0</v>
      </c>
      <c r="AT1844" s="19">
        <v>38.612699999999997</v>
      </c>
      <c r="AU1844" s="19">
        <v>-122.8865</v>
      </c>
      <c r="AV1844" s="19" t="s">
        <v>701</v>
      </c>
    </row>
    <row r="1845" spans="1:48" x14ac:dyDescent="0.25">
      <c r="A1845" s="18" t="s">
        <v>2254</v>
      </c>
      <c r="B1845" s="10">
        <v>10000000</v>
      </c>
      <c r="C1845" s="9">
        <v>16</v>
      </c>
      <c r="D1845" s="8" t="str">
        <f t="shared" si="338"/>
        <v>N</v>
      </c>
      <c r="E1845" s="8" t="str">
        <f t="shared" si="339"/>
        <v>N</v>
      </c>
      <c r="F1845" s="8" t="str">
        <f t="shared" si="340"/>
        <v>N</v>
      </c>
      <c r="G1845" s="8" t="str">
        <f t="shared" si="341"/>
        <v>N</v>
      </c>
      <c r="H1845" s="8" t="str">
        <f t="shared" si="342"/>
        <v>Lower</v>
      </c>
      <c r="I1845" s="8" t="str">
        <f t="shared" si="343"/>
        <v>Outside</v>
      </c>
      <c r="J1845" s="8" t="str">
        <f t="shared" si="344"/>
        <v>Outside</v>
      </c>
      <c r="K1845" s="8" t="str">
        <f t="shared" si="345"/>
        <v>Riparian</v>
      </c>
      <c r="L1845" s="8">
        <f t="shared" si="346"/>
        <v>1000</v>
      </c>
      <c r="M1845" s="8" t="str">
        <f t="shared" si="348"/>
        <v>-</v>
      </c>
      <c r="N1845" s="10" t="s">
        <v>242</v>
      </c>
      <c r="O1845" s="10" t="s">
        <v>242</v>
      </c>
      <c r="P1845" s="10" t="s">
        <v>242</v>
      </c>
      <c r="Q1845" s="10" t="s">
        <v>242</v>
      </c>
      <c r="R1845" s="10" t="s">
        <v>242</v>
      </c>
      <c r="S1845" s="10" t="s">
        <v>241</v>
      </c>
      <c r="T1845" s="10" t="s">
        <v>242</v>
      </c>
      <c r="U1845" s="10" t="s">
        <v>242</v>
      </c>
      <c r="V1845" s="10" t="s">
        <v>242</v>
      </c>
      <c r="W1845" s="10" t="s">
        <v>242</v>
      </c>
      <c r="X1845" s="15">
        <f>IF(ISERROR(VLOOKUP($A1845,'13. Updated Demand'!A:Z,15,FALSE)),0,VLOOKUP($A1845,'13. Updated Demand'!A:Z,15,FALSE))</f>
        <v>0</v>
      </c>
      <c r="Y1845" s="16">
        <f>IF(ISERROR(VLOOKUP($A1845,'13. Updated Demand'!A:Z,16,FALSE)),0,VLOOKUP($A1845,'13. Updated Demand'!A:Z,16,FALSE))</f>
        <v>1.7229667000000001E-2</v>
      </c>
      <c r="Z1845" s="16">
        <f>IF(ISERROR(VLOOKUP($A1845,'13. Updated Demand'!A:Z,17,FALSE)),0,VLOOKUP($A1845,'13. Updated Demand'!A:Z,17,FALSE))</f>
        <v>0</v>
      </c>
      <c r="AA1845" s="16">
        <f>IF(ISERROR(VLOOKUP($A1845,'13. Updated Demand'!A:Z,18,FALSE)),0,VLOOKUP($A1845,'13. Updated Demand'!A:Z,18,FALSE))</f>
        <v>0</v>
      </c>
      <c r="AB1845" s="16">
        <f>IF(ISERROR(VLOOKUP($A1845,'13. Updated Demand'!A:Z,19,FALSE)),0,VLOOKUP($A1845,'13. Updated Demand'!A:Z,19,FALSE))</f>
        <v>0</v>
      </c>
      <c r="AC1845" s="16">
        <f>IF(ISERROR(VLOOKUP($A1845,'13. Updated Demand'!A:Z,20,FALSE)),0,VLOOKUP($A1845,'13. Updated Demand'!A:Z,20,FALSE))</f>
        <v>6.6554000000000002E-2</v>
      </c>
      <c r="AD1845" s="16">
        <f>IF(ISERROR(VLOOKUP($A1845,'13. Updated Demand'!A:Z,21,FALSE)),0,VLOOKUP($A1845,'13. Updated Demand'!A:Z,21,FALSE))</f>
        <v>0.31250366699999998</v>
      </c>
      <c r="AE1845" s="16">
        <f>IF(ISERROR(VLOOKUP($A1845,'13. Updated Demand'!A:Z,22,FALSE)),0,VLOOKUP($A1845,'13. Updated Demand'!A:Z,22,FALSE))</f>
        <v>0.55635100000000004</v>
      </c>
      <c r="AF1845" s="16">
        <f>IF(ISERROR(VLOOKUP($A1845,'13. Updated Demand'!A:Z,23,FALSE)),0,VLOOKUP($A1845,'13. Updated Demand'!A:Z,23,FALSE))</f>
        <v>1.6970133329999999</v>
      </c>
      <c r="AG1845" s="16">
        <f>IF(ISERROR(VLOOKUP($A1845,'13. Updated Demand'!A:Z,24,FALSE)),0,VLOOKUP($A1845,'13. Updated Demand'!A:Z,24,FALSE))</f>
        <v>0.28473566700000003</v>
      </c>
      <c r="AH1845" s="16">
        <f>IF(ISERROR(VLOOKUP($A1845,'13. Updated Demand'!A:Z,25,FALSE)),0,VLOOKUP($A1845,'13. Updated Demand'!A:Z,25,FALSE))</f>
        <v>2.6013329999999999E-3</v>
      </c>
      <c r="AI1845" s="16">
        <f>IF(ISERROR(VLOOKUP($A1845,'13. Updated Demand'!A:Z,26,FALSE)),0,VLOOKUP($A1845,'13. Updated Demand'!A:Z,26,FALSE))</f>
        <v>0</v>
      </c>
      <c r="AJ1845" s="16">
        <f t="shared" si="349"/>
        <v>2.9369886669999996</v>
      </c>
      <c r="AK1845" s="19">
        <v>2.632422</v>
      </c>
      <c r="AL1845" s="16">
        <f t="shared" si="347"/>
        <v>8.7314439129554632E-3</v>
      </c>
      <c r="AM1845" s="26">
        <v>4.7698519943482634E-2</v>
      </c>
      <c r="AN1845" s="19">
        <v>61.573999999999998</v>
      </c>
      <c r="AO1845" s="19" t="s">
        <v>1758</v>
      </c>
      <c r="AP1845" s="19">
        <v>0</v>
      </c>
      <c r="AQ1845" s="19" t="s">
        <v>307</v>
      </c>
      <c r="AR1845" s="9" t="s">
        <v>394</v>
      </c>
      <c r="AS1845" s="12">
        <v>3.4039024194010059E-4</v>
      </c>
      <c r="AT1845" s="19">
        <v>38.625799999999998</v>
      </c>
      <c r="AU1845" s="19">
        <v>-122.8877</v>
      </c>
      <c r="AV1845" s="19" t="s">
        <v>2255</v>
      </c>
    </row>
    <row r="1846" spans="1:48" x14ac:dyDescent="0.25">
      <c r="A1846" s="18" t="s">
        <v>2256</v>
      </c>
      <c r="B1846" s="10">
        <v>10000000</v>
      </c>
      <c r="C1846" s="9">
        <v>15</v>
      </c>
      <c r="D1846" s="8" t="str">
        <f t="shared" si="338"/>
        <v>N</v>
      </c>
      <c r="E1846" s="8" t="str">
        <f t="shared" si="339"/>
        <v>N</v>
      </c>
      <c r="F1846" s="8" t="str">
        <f t="shared" si="340"/>
        <v>N</v>
      </c>
      <c r="G1846" s="8" t="str">
        <f t="shared" si="341"/>
        <v>N</v>
      </c>
      <c r="H1846" s="8" t="str">
        <f t="shared" si="342"/>
        <v>Lower</v>
      </c>
      <c r="I1846" s="8" t="str">
        <f t="shared" si="343"/>
        <v>Outside</v>
      </c>
      <c r="J1846" s="8" t="str">
        <f t="shared" si="344"/>
        <v>Outside</v>
      </c>
      <c r="K1846" s="8" t="str">
        <f t="shared" si="345"/>
        <v>Riparian</v>
      </c>
      <c r="L1846" s="8">
        <f t="shared" si="346"/>
        <v>1000</v>
      </c>
      <c r="M1846" s="8" t="str">
        <f t="shared" si="348"/>
        <v>-</v>
      </c>
      <c r="N1846" s="10" t="s">
        <v>242</v>
      </c>
      <c r="O1846" s="10" t="s">
        <v>242</v>
      </c>
      <c r="P1846" s="10" t="s">
        <v>242</v>
      </c>
      <c r="Q1846" s="10" t="s">
        <v>242</v>
      </c>
      <c r="R1846" s="10" t="s">
        <v>242</v>
      </c>
      <c r="S1846" s="10" t="s">
        <v>241</v>
      </c>
      <c r="T1846" s="10" t="s">
        <v>242</v>
      </c>
      <c r="U1846" s="10" t="s">
        <v>242</v>
      </c>
      <c r="V1846" s="10" t="s">
        <v>242</v>
      </c>
      <c r="W1846" s="10" t="s">
        <v>242</v>
      </c>
      <c r="X1846" s="15">
        <f>IF(ISERROR(VLOOKUP($A1846,'13. Updated Demand'!A:Z,15,FALSE)),0,VLOOKUP($A1846,'13. Updated Demand'!A:Z,15,FALSE))</f>
        <v>0</v>
      </c>
      <c r="Y1846" s="16">
        <f>IF(ISERROR(VLOOKUP($A1846,'13. Updated Demand'!A:Z,16,FALSE)),0,VLOOKUP($A1846,'13. Updated Demand'!A:Z,16,FALSE))</f>
        <v>0</v>
      </c>
      <c r="Z1846" s="16">
        <f>IF(ISERROR(VLOOKUP($A1846,'13. Updated Demand'!A:Z,17,FALSE)),0,VLOOKUP($A1846,'13. Updated Demand'!A:Z,17,FALSE))</f>
        <v>0</v>
      </c>
      <c r="AA1846" s="16">
        <f>IF(ISERROR(VLOOKUP($A1846,'13. Updated Demand'!A:Z,18,FALSE)),0,VLOOKUP($A1846,'13. Updated Demand'!A:Z,18,FALSE))</f>
        <v>0</v>
      </c>
      <c r="AB1846" s="16">
        <f>IF(ISERROR(VLOOKUP($A1846,'13. Updated Demand'!A:Z,19,FALSE)),0,VLOOKUP($A1846,'13. Updated Demand'!A:Z,19,FALSE))</f>
        <v>0</v>
      </c>
      <c r="AC1846" s="16">
        <f>IF(ISERROR(VLOOKUP($A1846,'13. Updated Demand'!A:Z,20,FALSE)),0,VLOOKUP($A1846,'13. Updated Demand'!A:Z,20,FALSE))</f>
        <v>0</v>
      </c>
      <c r="AD1846" s="16">
        <f>IF(ISERROR(VLOOKUP($A1846,'13. Updated Demand'!A:Z,21,FALSE)),0,VLOOKUP($A1846,'13. Updated Demand'!A:Z,21,FALSE))</f>
        <v>0.51333333299999995</v>
      </c>
      <c r="AE1846" s="16">
        <f>IF(ISERROR(VLOOKUP($A1846,'13. Updated Demand'!A:Z,22,FALSE)),0,VLOOKUP($A1846,'13. Updated Demand'!A:Z,22,FALSE))</f>
        <v>0.85666666700000005</v>
      </c>
      <c r="AF1846" s="16">
        <f>IF(ISERROR(VLOOKUP($A1846,'13. Updated Demand'!A:Z,23,FALSE)),0,VLOOKUP($A1846,'13. Updated Demand'!A:Z,23,FALSE))</f>
        <v>0.18</v>
      </c>
      <c r="AG1846" s="16">
        <f>IF(ISERROR(VLOOKUP($A1846,'13. Updated Demand'!A:Z,24,FALSE)),0,VLOOKUP($A1846,'13. Updated Demand'!A:Z,24,FALSE))</f>
        <v>0</v>
      </c>
      <c r="AH1846" s="16">
        <f>IF(ISERROR(VLOOKUP($A1846,'13. Updated Demand'!A:Z,25,FALSE)),0,VLOOKUP($A1846,'13. Updated Demand'!A:Z,25,FALSE))</f>
        <v>0.06</v>
      </c>
      <c r="AI1846" s="16">
        <f>IF(ISERROR(VLOOKUP($A1846,'13. Updated Demand'!A:Z,26,FALSE)),0,VLOOKUP($A1846,'13. Updated Demand'!A:Z,26,FALSE))</f>
        <v>0</v>
      </c>
      <c r="AJ1846" s="16">
        <f t="shared" si="349"/>
        <v>1.61</v>
      </c>
      <c r="AK1846" s="19">
        <v>1.55</v>
      </c>
      <c r="AL1846" s="16">
        <f t="shared" si="347"/>
        <v>5.1411734384080397E-3</v>
      </c>
      <c r="AM1846" s="26">
        <v>1.6629472424306464E-3</v>
      </c>
      <c r="AN1846" s="19">
        <v>968.16060000000004</v>
      </c>
      <c r="AO1846" s="19" t="s">
        <v>1758</v>
      </c>
      <c r="AP1846" s="19">
        <v>0</v>
      </c>
      <c r="AQ1846" s="19" t="s">
        <v>307</v>
      </c>
      <c r="AR1846" s="9" t="s">
        <v>489</v>
      </c>
      <c r="AS1846" s="12">
        <v>0</v>
      </c>
      <c r="AT1846" s="19">
        <v>38.655900000000003</v>
      </c>
      <c r="AU1846" s="19">
        <v>-122.9285</v>
      </c>
      <c r="AV1846" s="19" t="s">
        <v>932</v>
      </c>
    </row>
    <row r="1847" spans="1:48" x14ac:dyDescent="0.25">
      <c r="A1847" s="18" t="s">
        <v>2257</v>
      </c>
      <c r="B1847" s="10">
        <v>10000000</v>
      </c>
      <c r="C1847" s="9">
        <v>15</v>
      </c>
      <c r="D1847" s="8" t="str">
        <f t="shared" si="338"/>
        <v>N</v>
      </c>
      <c r="E1847" s="8" t="str">
        <f t="shared" si="339"/>
        <v>N</v>
      </c>
      <c r="F1847" s="8" t="str">
        <f t="shared" si="340"/>
        <v>N</v>
      </c>
      <c r="G1847" s="8" t="str">
        <f t="shared" si="341"/>
        <v>N</v>
      </c>
      <c r="H1847" s="8" t="str">
        <f t="shared" si="342"/>
        <v>Lower</v>
      </c>
      <c r="I1847" s="8" t="str">
        <f t="shared" si="343"/>
        <v>Outside</v>
      </c>
      <c r="J1847" s="8" t="str">
        <f t="shared" si="344"/>
        <v>Outside</v>
      </c>
      <c r="K1847" s="8" t="str">
        <f t="shared" si="345"/>
        <v>Riparian</v>
      </c>
      <c r="L1847" s="8">
        <f t="shared" si="346"/>
        <v>1000</v>
      </c>
      <c r="M1847" s="8" t="str">
        <f t="shared" si="348"/>
        <v>-</v>
      </c>
      <c r="N1847" s="10" t="s">
        <v>242</v>
      </c>
      <c r="O1847" s="10" t="s">
        <v>242</v>
      </c>
      <c r="P1847" s="10" t="s">
        <v>242</v>
      </c>
      <c r="Q1847" s="10" t="s">
        <v>242</v>
      </c>
      <c r="R1847" s="10" t="s">
        <v>242</v>
      </c>
      <c r="S1847" s="10" t="s">
        <v>241</v>
      </c>
      <c r="T1847" s="10" t="s">
        <v>242</v>
      </c>
      <c r="U1847" s="10" t="s">
        <v>242</v>
      </c>
      <c r="V1847" s="10" t="s">
        <v>242</v>
      </c>
      <c r="W1847" s="10" t="s">
        <v>242</v>
      </c>
      <c r="X1847" s="15">
        <f>IF(ISERROR(VLOOKUP($A1847,'13. Updated Demand'!A:Z,15,FALSE)),0,VLOOKUP($A1847,'13. Updated Demand'!A:Z,15,FALSE))</f>
        <v>0</v>
      </c>
      <c r="Y1847" s="16">
        <f>IF(ISERROR(VLOOKUP($A1847,'13. Updated Demand'!A:Z,16,FALSE)),0,VLOOKUP($A1847,'13. Updated Demand'!A:Z,16,FALSE))</f>
        <v>0</v>
      </c>
      <c r="Z1847" s="16">
        <f>IF(ISERROR(VLOOKUP($A1847,'13. Updated Demand'!A:Z,17,FALSE)),0,VLOOKUP($A1847,'13. Updated Demand'!A:Z,17,FALSE))</f>
        <v>0</v>
      </c>
      <c r="AA1847" s="16">
        <f>IF(ISERROR(VLOOKUP($A1847,'13. Updated Demand'!A:Z,18,FALSE)),0,VLOOKUP($A1847,'13. Updated Demand'!A:Z,18,FALSE))</f>
        <v>0</v>
      </c>
      <c r="AB1847" s="16">
        <f>IF(ISERROR(VLOOKUP($A1847,'13. Updated Demand'!A:Z,19,FALSE)),0,VLOOKUP($A1847,'13. Updated Demand'!A:Z,19,FALSE))</f>
        <v>0</v>
      </c>
      <c r="AC1847" s="16">
        <f>IF(ISERROR(VLOOKUP($A1847,'13. Updated Demand'!A:Z,20,FALSE)),0,VLOOKUP($A1847,'13. Updated Demand'!A:Z,20,FALSE))</f>
        <v>0</v>
      </c>
      <c r="AD1847" s="16">
        <f>IF(ISERROR(VLOOKUP($A1847,'13. Updated Demand'!A:Z,21,FALSE)),0,VLOOKUP($A1847,'13. Updated Demand'!A:Z,21,FALSE))</f>
        <v>0.65240733299999998</v>
      </c>
      <c r="AE1847" s="16">
        <f>IF(ISERROR(VLOOKUP($A1847,'13. Updated Demand'!A:Z,22,FALSE)),0,VLOOKUP($A1847,'13. Updated Demand'!A:Z,22,FALSE))</f>
        <v>0.70907399999999998</v>
      </c>
      <c r="AF1847" s="16">
        <f>IF(ISERROR(VLOOKUP($A1847,'13. Updated Demand'!A:Z,23,FALSE)),0,VLOOKUP($A1847,'13. Updated Demand'!A:Z,23,FALSE))</f>
        <v>0.42750133299999998</v>
      </c>
      <c r="AG1847" s="16">
        <f>IF(ISERROR(VLOOKUP($A1847,'13. Updated Demand'!A:Z,24,FALSE)),0,VLOOKUP($A1847,'13. Updated Demand'!A:Z,24,FALSE))</f>
        <v>0</v>
      </c>
      <c r="AH1847" s="16">
        <f>IF(ISERROR(VLOOKUP($A1847,'13. Updated Demand'!A:Z,25,FALSE)),0,VLOOKUP($A1847,'13. Updated Demand'!A:Z,25,FALSE))</f>
        <v>5.3333332999999997E-2</v>
      </c>
      <c r="AI1847" s="16">
        <f>IF(ISERROR(VLOOKUP($A1847,'13. Updated Demand'!A:Z,26,FALSE)),0,VLOOKUP($A1847,'13. Updated Demand'!A:Z,26,FALSE))</f>
        <v>0</v>
      </c>
      <c r="AJ1847" s="16">
        <f t="shared" si="349"/>
        <v>1.842315999</v>
      </c>
      <c r="AK1847" s="19">
        <v>1.7889826659999999</v>
      </c>
      <c r="AL1847" s="16">
        <f t="shared" si="347"/>
        <v>5.933851718846193E-3</v>
      </c>
      <c r="AM1847" s="26">
        <v>1.842315999</v>
      </c>
      <c r="AN1847" s="19">
        <v>1</v>
      </c>
      <c r="AO1847" s="19" t="s">
        <v>1758</v>
      </c>
      <c r="AP1847" s="19">
        <v>0</v>
      </c>
      <c r="AQ1847" s="19" t="s">
        <v>307</v>
      </c>
      <c r="AR1847" s="9" t="s">
        <v>489</v>
      </c>
      <c r="AS1847" s="12">
        <v>0</v>
      </c>
      <c r="AT1847" s="19">
        <v>38.657499999999999</v>
      </c>
      <c r="AU1847" s="19">
        <v>-122.9281</v>
      </c>
      <c r="AV1847" s="19" t="s">
        <v>932</v>
      </c>
    </row>
    <row r="1848" spans="1:48" x14ac:dyDescent="0.25">
      <c r="A1848" s="18" t="s">
        <v>2258</v>
      </c>
      <c r="B1848" s="10">
        <v>10000000</v>
      </c>
      <c r="C1848" s="9">
        <v>16</v>
      </c>
      <c r="D1848" s="8" t="str">
        <f t="shared" si="338"/>
        <v>N</v>
      </c>
      <c r="E1848" s="8" t="str">
        <f t="shared" si="339"/>
        <v>N</v>
      </c>
      <c r="F1848" s="8" t="str">
        <f t="shared" si="340"/>
        <v>N</v>
      </c>
      <c r="G1848" s="8" t="str">
        <f t="shared" si="341"/>
        <v>N</v>
      </c>
      <c r="H1848" s="8" t="str">
        <f t="shared" si="342"/>
        <v>Lower</v>
      </c>
      <c r="I1848" s="8" t="str">
        <f t="shared" si="343"/>
        <v>Outside</v>
      </c>
      <c r="J1848" s="8" t="str">
        <f t="shared" si="344"/>
        <v>Outside</v>
      </c>
      <c r="K1848" s="8" t="str">
        <f t="shared" si="345"/>
        <v>Riparian</v>
      </c>
      <c r="L1848" s="8">
        <f t="shared" si="346"/>
        <v>1000</v>
      </c>
      <c r="M1848" s="8" t="str">
        <f t="shared" si="348"/>
        <v>-</v>
      </c>
      <c r="N1848" s="10" t="s">
        <v>242</v>
      </c>
      <c r="O1848" s="10" t="s">
        <v>242</v>
      </c>
      <c r="P1848" s="10" t="s">
        <v>242</v>
      </c>
      <c r="Q1848" s="10" t="s">
        <v>242</v>
      </c>
      <c r="R1848" s="10" t="s">
        <v>242</v>
      </c>
      <c r="S1848" s="10" t="s">
        <v>241</v>
      </c>
      <c r="T1848" s="10" t="s">
        <v>242</v>
      </c>
      <c r="U1848" s="10" t="s">
        <v>242</v>
      </c>
      <c r="V1848" s="10" t="s">
        <v>242</v>
      </c>
      <c r="W1848" s="10" t="s">
        <v>242</v>
      </c>
      <c r="X1848" s="15">
        <f>IF(ISERROR(VLOOKUP($A1848,'13. Updated Demand'!A:Z,15,FALSE)),0,VLOOKUP($A1848,'13. Updated Demand'!A:Z,15,FALSE))</f>
        <v>0</v>
      </c>
      <c r="Y1848" s="16">
        <f>IF(ISERROR(VLOOKUP($A1848,'13. Updated Demand'!A:Z,16,FALSE)),0,VLOOKUP($A1848,'13. Updated Demand'!A:Z,16,FALSE))</f>
        <v>0</v>
      </c>
      <c r="Z1848" s="16">
        <f>IF(ISERROR(VLOOKUP($A1848,'13. Updated Demand'!A:Z,17,FALSE)),0,VLOOKUP($A1848,'13. Updated Demand'!A:Z,17,FALSE))</f>
        <v>0</v>
      </c>
      <c r="AA1848" s="16">
        <f>IF(ISERROR(VLOOKUP($A1848,'13. Updated Demand'!A:Z,18,FALSE)),0,VLOOKUP($A1848,'13. Updated Demand'!A:Z,18,FALSE))</f>
        <v>0</v>
      </c>
      <c r="AB1848" s="16">
        <f>IF(ISERROR(VLOOKUP($A1848,'13. Updated Demand'!A:Z,19,FALSE)),0,VLOOKUP($A1848,'13. Updated Demand'!A:Z,19,FALSE))</f>
        <v>0</v>
      </c>
      <c r="AC1848" s="16">
        <f>IF(ISERROR(VLOOKUP($A1848,'13. Updated Demand'!A:Z,20,FALSE)),0,VLOOKUP($A1848,'13. Updated Demand'!A:Z,20,FALSE))</f>
        <v>0.53333333299999997</v>
      </c>
      <c r="AD1848" s="16">
        <f>IF(ISERROR(VLOOKUP($A1848,'13. Updated Demand'!A:Z,21,FALSE)),0,VLOOKUP($A1848,'13. Updated Demand'!A:Z,21,FALSE))</f>
        <v>0.2</v>
      </c>
      <c r="AE1848" s="16">
        <f>IF(ISERROR(VLOOKUP($A1848,'13. Updated Demand'!A:Z,22,FALSE)),0,VLOOKUP($A1848,'13. Updated Demand'!A:Z,22,FALSE))</f>
        <v>0.53333333299999997</v>
      </c>
      <c r="AF1848" s="16">
        <f>IF(ISERROR(VLOOKUP($A1848,'13. Updated Demand'!A:Z,23,FALSE)),0,VLOOKUP($A1848,'13. Updated Demand'!A:Z,23,FALSE))</f>
        <v>0.83333333300000001</v>
      </c>
      <c r="AG1848" s="16">
        <f>IF(ISERROR(VLOOKUP($A1848,'13. Updated Demand'!A:Z,24,FALSE)),0,VLOOKUP($A1848,'13. Updated Demand'!A:Z,24,FALSE))</f>
        <v>0.233333333</v>
      </c>
      <c r="AH1848" s="16">
        <f>IF(ISERROR(VLOOKUP($A1848,'13. Updated Demand'!A:Z,25,FALSE)),0,VLOOKUP($A1848,'13. Updated Demand'!A:Z,25,FALSE))</f>
        <v>0</v>
      </c>
      <c r="AI1848" s="16">
        <f>IF(ISERROR(VLOOKUP($A1848,'13. Updated Demand'!A:Z,26,FALSE)),0,VLOOKUP($A1848,'13. Updated Demand'!A:Z,26,FALSE))</f>
        <v>0</v>
      </c>
      <c r="AJ1848" s="16">
        <f t="shared" si="349"/>
        <v>2.333333332</v>
      </c>
      <c r="AK1848" s="19">
        <v>2.099999999</v>
      </c>
      <c r="AL1848" s="16">
        <f t="shared" si="347"/>
        <v>6.9654607842036826E-3</v>
      </c>
      <c r="AM1848" s="26">
        <v>1.6105282523467698E-2</v>
      </c>
      <c r="AN1848" s="19">
        <v>144.88</v>
      </c>
      <c r="AO1848" s="19" t="s">
        <v>1758</v>
      </c>
      <c r="AP1848" s="19">
        <v>0</v>
      </c>
      <c r="AQ1848" s="19" t="s">
        <v>307</v>
      </c>
      <c r="AR1848" s="9" t="s">
        <v>394</v>
      </c>
      <c r="AS1848" s="12">
        <v>0</v>
      </c>
      <c r="AT1848" s="19">
        <v>38.621811180000002</v>
      </c>
      <c r="AU1848" s="19">
        <v>-122.88174743</v>
      </c>
      <c r="AV1848" s="19" t="s">
        <v>701</v>
      </c>
    </row>
    <row r="1849" spans="1:48" x14ac:dyDescent="0.25">
      <c r="A1849" s="18" t="s">
        <v>2259</v>
      </c>
      <c r="B1849" s="10">
        <v>10000000</v>
      </c>
      <c r="C1849" s="9">
        <v>16</v>
      </c>
      <c r="D1849" s="8" t="str">
        <f t="shared" si="338"/>
        <v>N</v>
      </c>
      <c r="E1849" s="8" t="str">
        <f t="shared" si="339"/>
        <v>N</v>
      </c>
      <c r="F1849" s="8" t="str">
        <f t="shared" si="340"/>
        <v>N</v>
      </c>
      <c r="G1849" s="8" t="str">
        <f t="shared" si="341"/>
        <v>N</v>
      </c>
      <c r="H1849" s="8" t="str">
        <f t="shared" si="342"/>
        <v>Lower</v>
      </c>
      <c r="I1849" s="8" t="str">
        <f t="shared" si="343"/>
        <v>Outside</v>
      </c>
      <c r="J1849" s="8" t="str">
        <f t="shared" si="344"/>
        <v>Outside</v>
      </c>
      <c r="K1849" s="8" t="str">
        <f t="shared" si="345"/>
        <v>Riparian</v>
      </c>
      <c r="L1849" s="8">
        <f t="shared" si="346"/>
        <v>1000</v>
      </c>
      <c r="M1849" s="8" t="str">
        <f t="shared" si="348"/>
        <v>-</v>
      </c>
      <c r="N1849" s="10" t="s">
        <v>242</v>
      </c>
      <c r="O1849" s="10" t="s">
        <v>242</v>
      </c>
      <c r="P1849" s="10" t="s">
        <v>242</v>
      </c>
      <c r="Q1849" s="10" t="s">
        <v>242</v>
      </c>
      <c r="R1849" s="10" t="s">
        <v>242</v>
      </c>
      <c r="S1849" s="10" t="s">
        <v>241</v>
      </c>
      <c r="T1849" s="10" t="s">
        <v>242</v>
      </c>
      <c r="U1849" s="10" t="s">
        <v>242</v>
      </c>
      <c r="V1849" s="10" t="s">
        <v>242</v>
      </c>
      <c r="W1849" s="10" t="s">
        <v>242</v>
      </c>
      <c r="X1849" s="15">
        <f>IF(ISERROR(VLOOKUP($A1849,'13. Updated Demand'!A:Z,15,FALSE)),0,VLOOKUP($A1849,'13. Updated Demand'!A:Z,15,FALSE))</f>
        <v>0</v>
      </c>
      <c r="Y1849" s="16">
        <f>IF(ISERROR(VLOOKUP($A1849,'13. Updated Demand'!A:Z,16,FALSE)),0,VLOOKUP($A1849,'13. Updated Demand'!A:Z,16,FALSE))</f>
        <v>0</v>
      </c>
      <c r="Z1849" s="16">
        <f>IF(ISERROR(VLOOKUP($A1849,'13. Updated Demand'!A:Z,17,FALSE)),0,VLOOKUP($A1849,'13. Updated Demand'!A:Z,17,FALSE))</f>
        <v>0.86333333300000004</v>
      </c>
      <c r="AA1849" s="16">
        <f>IF(ISERROR(VLOOKUP($A1849,'13. Updated Demand'!A:Z,18,FALSE)),0,VLOOKUP($A1849,'13. Updated Demand'!A:Z,18,FALSE))</f>
        <v>1.1133333329999999</v>
      </c>
      <c r="AB1849" s="16">
        <f>IF(ISERROR(VLOOKUP($A1849,'13. Updated Demand'!A:Z,19,FALSE)),0,VLOOKUP($A1849,'13. Updated Demand'!A:Z,19,FALSE))</f>
        <v>0.426666667</v>
      </c>
      <c r="AC1849" s="16">
        <f>IF(ISERROR(VLOOKUP($A1849,'13. Updated Demand'!A:Z,20,FALSE)),0,VLOOKUP($A1849,'13. Updated Demand'!A:Z,20,FALSE))</f>
        <v>0.94</v>
      </c>
      <c r="AD1849" s="16">
        <f>IF(ISERROR(VLOOKUP($A1849,'13. Updated Demand'!A:Z,21,FALSE)),0,VLOOKUP($A1849,'13. Updated Demand'!A:Z,21,FALSE))</f>
        <v>0.84333333300000002</v>
      </c>
      <c r="AE1849" s="16">
        <f>IF(ISERROR(VLOOKUP($A1849,'13. Updated Demand'!A:Z,22,FALSE)),0,VLOOKUP($A1849,'13. Updated Demand'!A:Z,22,FALSE))</f>
        <v>0.50333333300000005</v>
      </c>
      <c r="AF1849" s="16">
        <f>IF(ISERROR(VLOOKUP($A1849,'13. Updated Demand'!A:Z,23,FALSE)),0,VLOOKUP($A1849,'13. Updated Demand'!A:Z,23,FALSE))</f>
        <v>0.18333333299999999</v>
      </c>
      <c r="AG1849" s="16">
        <f>IF(ISERROR(VLOOKUP($A1849,'13. Updated Demand'!A:Z,24,FALSE)),0,VLOOKUP($A1849,'13. Updated Demand'!A:Z,24,FALSE))</f>
        <v>0</v>
      </c>
      <c r="AH1849" s="16">
        <f>IF(ISERROR(VLOOKUP($A1849,'13. Updated Demand'!A:Z,25,FALSE)),0,VLOOKUP($A1849,'13. Updated Demand'!A:Z,25,FALSE))</f>
        <v>0</v>
      </c>
      <c r="AI1849" s="16">
        <f>IF(ISERROR(VLOOKUP($A1849,'13. Updated Demand'!A:Z,26,FALSE)),0,VLOOKUP($A1849,'13. Updated Demand'!A:Z,26,FALSE))</f>
        <v>0</v>
      </c>
      <c r="AJ1849" s="16">
        <f t="shared" si="349"/>
        <v>4.8733333319999996</v>
      </c>
      <c r="AK1849" s="19">
        <v>2.8966666659999998</v>
      </c>
      <c r="AL1849" s="16">
        <f t="shared" si="347"/>
        <v>9.6079133697814009E-3</v>
      </c>
      <c r="AM1849" s="26">
        <v>4.8311716966037387E-3</v>
      </c>
      <c r="AN1849" s="19">
        <v>1008.727</v>
      </c>
      <c r="AO1849" s="19" t="s">
        <v>1758</v>
      </c>
      <c r="AP1849" s="19">
        <v>0</v>
      </c>
      <c r="AQ1849" s="19" t="s">
        <v>307</v>
      </c>
      <c r="AR1849" s="9" t="s">
        <v>394</v>
      </c>
      <c r="AS1849" s="12">
        <v>0</v>
      </c>
      <c r="AT1849" s="19">
        <v>38.643599999999999</v>
      </c>
      <c r="AU1849" s="19">
        <v>-122.911</v>
      </c>
      <c r="AV1849" s="19"/>
    </row>
    <row r="1850" spans="1:48" x14ac:dyDescent="0.25">
      <c r="A1850" s="18" t="s">
        <v>2260</v>
      </c>
      <c r="B1850" s="10">
        <v>10000000</v>
      </c>
      <c r="C1850" s="9">
        <v>10</v>
      </c>
      <c r="D1850" s="8" t="str">
        <f t="shared" si="338"/>
        <v>N</v>
      </c>
      <c r="E1850" s="8" t="str">
        <f t="shared" si="339"/>
        <v>Y</v>
      </c>
      <c r="F1850" s="8" t="str">
        <f t="shared" si="340"/>
        <v>Y</v>
      </c>
      <c r="G1850" s="8" t="str">
        <f t="shared" si="341"/>
        <v>Y</v>
      </c>
      <c r="H1850" s="8" t="str">
        <f t="shared" si="342"/>
        <v>Upper</v>
      </c>
      <c r="I1850" s="8" t="str">
        <f t="shared" si="343"/>
        <v>West Fork and Below Lake</v>
      </c>
      <c r="J1850" s="8" t="str">
        <f t="shared" si="344"/>
        <v>Sonoma (d/s of Clov. Gage)</v>
      </c>
      <c r="K1850" s="8" t="str">
        <f t="shared" si="345"/>
        <v>Riparian</v>
      </c>
      <c r="L1850" s="8">
        <f t="shared" si="346"/>
        <v>1000</v>
      </c>
      <c r="M1850" s="8" t="str">
        <f t="shared" si="348"/>
        <v>-</v>
      </c>
      <c r="N1850" s="10" t="s">
        <v>241</v>
      </c>
      <c r="O1850" s="10" t="s">
        <v>241</v>
      </c>
      <c r="P1850" s="10" t="s">
        <v>242</v>
      </c>
      <c r="Q1850" s="10" t="s">
        <v>242</v>
      </c>
      <c r="R1850" s="10" t="s">
        <v>242</v>
      </c>
      <c r="S1850" s="10" t="s">
        <v>241</v>
      </c>
      <c r="T1850" s="10" t="s">
        <v>242</v>
      </c>
      <c r="U1850" s="10" t="s">
        <v>242</v>
      </c>
      <c r="V1850" s="10" t="s">
        <v>242</v>
      </c>
      <c r="W1850" s="10" t="s">
        <v>242</v>
      </c>
      <c r="X1850" s="15">
        <f>IF(ISERROR(VLOOKUP($A1850,'13. Updated Demand'!A:Z,15,FALSE)),0,VLOOKUP($A1850,'13. Updated Demand'!A:Z,15,FALSE))</f>
        <v>0</v>
      </c>
      <c r="Y1850" s="16">
        <f>IF(ISERROR(VLOOKUP($A1850,'13. Updated Demand'!A:Z,16,FALSE)),0,VLOOKUP($A1850,'13. Updated Demand'!A:Z,16,FALSE))</f>
        <v>0</v>
      </c>
      <c r="Z1850" s="16">
        <f>IF(ISERROR(VLOOKUP($A1850,'13. Updated Demand'!A:Z,17,FALSE)),0,VLOOKUP($A1850,'13. Updated Demand'!A:Z,17,FALSE))</f>
        <v>0</v>
      </c>
      <c r="AA1850" s="16">
        <f>IF(ISERROR(VLOOKUP($A1850,'13. Updated Demand'!A:Z,18,FALSE)),0,VLOOKUP($A1850,'13. Updated Demand'!A:Z,18,FALSE))</f>
        <v>0.13</v>
      </c>
      <c r="AB1850" s="16">
        <f>IF(ISERROR(VLOOKUP($A1850,'13. Updated Demand'!A:Z,19,FALSE)),0,VLOOKUP($A1850,'13. Updated Demand'!A:Z,19,FALSE))</f>
        <v>0.33</v>
      </c>
      <c r="AC1850" s="16">
        <f>IF(ISERROR(VLOOKUP($A1850,'13. Updated Demand'!A:Z,20,FALSE)),0,VLOOKUP($A1850,'13. Updated Demand'!A:Z,20,FALSE))</f>
        <v>0.9</v>
      </c>
      <c r="AD1850" s="16">
        <f>IF(ISERROR(VLOOKUP($A1850,'13. Updated Demand'!A:Z,21,FALSE)),0,VLOOKUP($A1850,'13. Updated Demand'!A:Z,21,FALSE))</f>
        <v>2.33</v>
      </c>
      <c r="AE1850" s="16">
        <f>IF(ISERROR(VLOOKUP($A1850,'13. Updated Demand'!A:Z,22,FALSE)),0,VLOOKUP($A1850,'13. Updated Demand'!A:Z,22,FALSE))</f>
        <v>3.9</v>
      </c>
      <c r="AF1850" s="16">
        <f>IF(ISERROR(VLOOKUP($A1850,'13. Updated Demand'!A:Z,23,FALSE)),0,VLOOKUP($A1850,'13. Updated Demand'!A:Z,23,FALSE))</f>
        <v>2.86</v>
      </c>
      <c r="AG1850" s="16">
        <f>IF(ISERROR(VLOOKUP($A1850,'13. Updated Demand'!A:Z,24,FALSE)),0,VLOOKUP($A1850,'13. Updated Demand'!A:Z,24,FALSE))</f>
        <v>0.9</v>
      </c>
      <c r="AH1850" s="16">
        <f>IF(ISERROR(VLOOKUP($A1850,'13. Updated Demand'!A:Z,25,FALSE)),0,VLOOKUP($A1850,'13. Updated Demand'!A:Z,25,FALSE))</f>
        <v>0.06</v>
      </c>
      <c r="AI1850" s="16">
        <f>IF(ISERROR(VLOOKUP($A1850,'13. Updated Demand'!A:Z,26,FALSE)),0,VLOOKUP($A1850,'13. Updated Demand'!A:Z,26,FALSE))</f>
        <v>0</v>
      </c>
      <c r="AJ1850" s="16">
        <f t="shared" si="349"/>
        <v>11.41</v>
      </c>
      <c r="AK1850" s="19">
        <v>10.333333333333332</v>
      </c>
      <c r="AL1850" s="16">
        <f t="shared" si="347"/>
        <v>3.4274489589386919E-2</v>
      </c>
      <c r="AM1850" s="26">
        <v>5.6368488864347498E-2</v>
      </c>
      <c r="AN1850" s="19">
        <v>202.83199999999999</v>
      </c>
      <c r="AO1850" s="19" t="s">
        <v>1758</v>
      </c>
      <c r="AP1850" s="19">
        <v>0</v>
      </c>
      <c r="AQ1850" s="19" t="s">
        <v>307</v>
      </c>
      <c r="AR1850" s="9" t="s">
        <v>436</v>
      </c>
      <c r="AS1850" s="12">
        <v>0</v>
      </c>
      <c r="AT1850" s="19">
        <v>38.708399999999997</v>
      </c>
      <c r="AU1850" s="19">
        <v>-122.8843</v>
      </c>
      <c r="AV1850" s="19" t="s">
        <v>548</v>
      </c>
    </row>
    <row r="1851" spans="1:48" x14ac:dyDescent="0.25">
      <c r="A1851" s="18" t="s">
        <v>2261</v>
      </c>
      <c r="B1851" s="10">
        <v>10000000</v>
      </c>
      <c r="C1851" s="9">
        <v>10</v>
      </c>
      <c r="D1851" s="8" t="str">
        <f t="shared" si="338"/>
        <v>N</v>
      </c>
      <c r="E1851" s="8" t="str">
        <f t="shared" si="339"/>
        <v>Y</v>
      </c>
      <c r="F1851" s="8" t="str">
        <f t="shared" si="340"/>
        <v>Y</v>
      </c>
      <c r="G1851" s="8" t="str">
        <f t="shared" si="341"/>
        <v>Y</v>
      </c>
      <c r="H1851" s="8" t="str">
        <f t="shared" si="342"/>
        <v>Upper</v>
      </c>
      <c r="I1851" s="8" t="str">
        <f t="shared" si="343"/>
        <v>West Fork and Below Lake</v>
      </c>
      <c r="J1851" s="8" t="str">
        <f t="shared" si="344"/>
        <v>Sonoma (d/s of Clov. Gage)</v>
      </c>
      <c r="K1851" s="8" t="str">
        <f t="shared" si="345"/>
        <v>Riparian</v>
      </c>
      <c r="L1851" s="8">
        <f t="shared" si="346"/>
        <v>1000</v>
      </c>
      <c r="M1851" s="8" t="str">
        <f t="shared" si="348"/>
        <v>-</v>
      </c>
      <c r="N1851" s="10" t="s">
        <v>241</v>
      </c>
      <c r="O1851" s="10" t="s">
        <v>241</v>
      </c>
      <c r="P1851" s="10" t="s">
        <v>242</v>
      </c>
      <c r="Q1851" s="10" t="s">
        <v>242</v>
      </c>
      <c r="R1851" s="10" t="s">
        <v>242</v>
      </c>
      <c r="S1851" s="10" t="s">
        <v>241</v>
      </c>
      <c r="T1851" s="10" t="s">
        <v>242</v>
      </c>
      <c r="U1851" s="10" t="s">
        <v>242</v>
      </c>
      <c r="V1851" s="10" t="s">
        <v>241</v>
      </c>
      <c r="W1851" s="10" t="s">
        <v>242</v>
      </c>
      <c r="X1851" s="15">
        <f>IF(ISERROR(VLOOKUP($A1851,'13. Updated Demand'!A:Z,15,FALSE)),0,VLOOKUP($A1851,'13. Updated Demand'!A:Z,15,FALSE))</f>
        <v>0.01</v>
      </c>
      <c r="Y1851" s="16">
        <f>IF(ISERROR(VLOOKUP($A1851,'13. Updated Demand'!A:Z,16,FALSE)),0,VLOOKUP($A1851,'13. Updated Demand'!A:Z,16,FALSE))</f>
        <v>0.16</v>
      </c>
      <c r="Z1851" s="16">
        <f>IF(ISERROR(VLOOKUP($A1851,'13. Updated Demand'!A:Z,17,FALSE)),0,VLOOKUP($A1851,'13. Updated Demand'!A:Z,17,FALSE))</f>
        <v>0.56999999999999995</v>
      </c>
      <c r="AA1851" s="16">
        <f>IF(ISERROR(VLOOKUP($A1851,'13. Updated Demand'!A:Z,18,FALSE)),0,VLOOKUP($A1851,'13. Updated Demand'!A:Z,18,FALSE))</f>
        <v>0</v>
      </c>
      <c r="AB1851" s="16">
        <f>IF(ISERROR(VLOOKUP($A1851,'13. Updated Demand'!A:Z,19,FALSE)),0,VLOOKUP($A1851,'13. Updated Demand'!A:Z,19,FALSE))</f>
        <v>0</v>
      </c>
      <c r="AC1851" s="16">
        <f>IF(ISERROR(VLOOKUP($A1851,'13. Updated Demand'!A:Z,20,FALSE)),0,VLOOKUP($A1851,'13. Updated Demand'!A:Z,20,FALSE))</f>
        <v>0</v>
      </c>
      <c r="AD1851" s="16">
        <f>IF(ISERROR(VLOOKUP($A1851,'13. Updated Demand'!A:Z,21,FALSE)),0,VLOOKUP($A1851,'13. Updated Demand'!A:Z,21,FALSE))</f>
        <v>0</v>
      </c>
      <c r="AE1851" s="16">
        <f>IF(ISERROR(VLOOKUP($A1851,'13. Updated Demand'!A:Z,22,FALSE)),0,VLOOKUP($A1851,'13. Updated Demand'!A:Z,22,FALSE))</f>
        <v>0</v>
      </c>
      <c r="AF1851" s="16">
        <f>IF(ISERROR(VLOOKUP($A1851,'13. Updated Demand'!A:Z,23,FALSE)),0,VLOOKUP($A1851,'13. Updated Demand'!A:Z,23,FALSE))</f>
        <v>0</v>
      </c>
      <c r="AG1851" s="16">
        <f>IF(ISERROR(VLOOKUP($A1851,'13. Updated Demand'!A:Z,24,FALSE)),0,VLOOKUP($A1851,'13. Updated Demand'!A:Z,24,FALSE))</f>
        <v>0</v>
      </c>
      <c r="AH1851" s="16">
        <f>IF(ISERROR(VLOOKUP($A1851,'13. Updated Demand'!A:Z,25,FALSE)),0,VLOOKUP($A1851,'13. Updated Demand'!A:Z,25,FALSE))</f>
        <v>0</v>
      </c>
      <c r="AI1851" s="16">
        <f>IF(ISERROR(VLOOKUP($A1851,'13. Updated Demand'!A:Z,26,FALSE)),0,VLOOKUP($A1851,'13. Updated Demand'!A:Z,26,FALSE))</f>
        <v>0</v>
      </c>
      <c r="AJ1851" s="16">
        <f t="shared" si="349"/>
        <v>0.74</v>
      </c>
      <c r="AK1851" s="19">
        <v>0</v>
      </c>
      <c r="AL1851" s="16">
        <f t="shared" si="347"/>
        <v>0</v>
      </c>
      <c r="AM1851" s="26">
        <v>6.2823001153959395E-4</v>
      </c>
      <c r="AN1851" s="19">
        <v>1209.748</v>
      </c>
      <c r="AO1851" s="19" t="s">
        <v>1758</v>
      </c>
      <c r="AP1851" s="19">
        <v>0</v>
      </c>
      <c r="AQ1851" s="19" t="s">
        <v>307</v>
      </c>
      <c r="AR1851" s="9" t="s">
        <v>436</v>
      </c>
      <c r="AS1851" s="12">
        <v>0</v>
      </c>
      <c r="AT1851" s="19">
        <v>38.708799999999997</v>
      </c>
      <c r="AU1851" s="19">
        <v>-122.88460000000001</v>
      </c>
      <c r="AV1851" s="19" t="s">
        <v>548</v>
      </c>
    </row>
    <row r="1852" spans="1:48" x14ac:dyDescent="0.25">
      <c r="A1852" s="18" t="s">
        <v>2262</v>
      </c>
      <c r="B1852" s="10">
        <v>10000000</v>
      </c>
      <c r="C1852" s="9">
        <v>16</v>
      </c>
      <c r="D1852" s="8" t="str">
        <f t="shared" si="338"/>
        <v>N</v>
      </c>
      <c r="E1852" s="8" t="str">
        <f t="shared" si="339"/>
        <v>N</v>
      </c>
      <c r="F1852" s="8" t="str">
        <f t="shared" si="340"/>
        <v>N</v>
      </c>
      <c r="G1852" s="8" t="str">
        <f t="shared" si="341"/>
        <v>N</v>
      </c>
      <c r="H1852" s="8" t="str">
        <f t="shared" si="342"/>
        <v>Lower</v>
      </c>
      <c r="I1852" s="8" t="str">
        <f t="shared" si="343"/>
        <v>Outside</v>
      </c>
      <c r="J1852" s="8" t="str">
        <f t="shared" si="344"/>
        <v>Outside</v>
      </c>
      <c r="K1852" s="8" t="str">
        <f t="shared" si="345"/>
        <v>Riparian</v>
      </c>
      <c r="L1852" s="8">
        <f t="shared" si="346"/>
        <v>1000</v>
      </c>
      <c r="M1852" s="8" t="str">
        <f t="shared" si="348"/>
        <v>-</v>
      </c>
      <c r="N1852" s="10" t="s">
        <v>242</v>
      </c>
      <c r="O1852" s="10" t="s">
        <v>242</v>
      </c>
      <c r="P1852" s="10" t="s">
        <v>242</v>
      </c>
      <c r="Q1852" s="10" t="s">
        <v>242</v>
      </c>
      <c r="R1852" s="10" t="s">
        <v>242</v>
      </c>
      <c r="S1852" s="10" t="s">
        <v>241</v>
      </c>
      <c r="T1852" s="10" t="s">
        <v>242</v>
      </c>
      <c r="U1852" s="10" t="s">
        <v>242</v>
      </c>
      <c r="V1852" s="10" t="s">
        <v>242</v>
      </c>
      <c r="W1852" s="10" t="s">
        <v>242</v>
      </c>
      <c r="X1852" s="15">
        <f>IF(ISERROR(VLOOKUP($A1852,'13. Updated Demand'!A:Z,15,FALSE)),0,VLOOKUP($A1852,'13. Updated Demand'!A:Z,15,FALSE))</f>
        <v>0.02</v>
      </c>
      <c r="Y1852" s="16">
        <f>IF(ISERROR(VLOOKUP($A1852,'13. Updated Demand'!A:Z,16,FALSE)),0,VLOOKUP($A1852,'13. Updated Demand'!A:Z,16,FALSE))</f>
        <v>2.3333333000000001E-2</v>
      </c>
      <c r="Z1852" s="16">
        <f>IF(ISERROR(VLOOKUP($A1852,'13. Updated Demand'!A:Z,17,FALSE)),0,VLOOKUP($A1852,'13. Updated Demand'!A:Z,17,FALSE))</f>
        <v>0.09</v>
      </c>
      <c r="AA1852" s="16">
        <f>IF(ISERROR(VLOOKUP($A1852,'13. Updated Demand'!A:Z,18,FALSE)),0,VLOOKUP($A1852,'13. Updated Demand'!A:Z,18,FALSE))</f>
        <v>0.3</v>
      </c>
      <c r="AB1852" s="16">
        <f>IF(ISERROR(VLOOKUP($A1852,'13. Updated Demand'!A:Z,19,FALSE)),0,VLOOKUP($A1852,'13. Updated Demand'!A:Z,19,FALSE))</f>
        <v>0.48333333299999998</v>
      </c>
      <c r="AC1852" s="16">
        <f>IF(ISERROR(VLOOKUP($A1852,'13. Updated Demand'!A:Z,20,FALSE)),0,VLOOKUP($A1852,'13. Updated Demand'!A:Z,20,FALSE))</f>
        <v>0.323333333</v>
      </c>
      <c r="AD1852" s="16">
        <f>IF(ISERROR(VLOOKUP($A1852,'13. Updated Demand'!A:Z,21,FALSE)),0,VLOOKUP($A1852,'13. Updated Demand'!A:Z,21,FALSE))</f>
        <v>0.31333333299999999</v>
      </c>
      <c r="AE1852" s="16">
        <f>IF(ISERROR(VLOOKUP($A1852,'13. Updated Demand'!A:Z,22,FALSE)),0,VLOOKUP($A1852,'13. Updated Demand'!A:Z,22,FALSE))</f>
        <v>0.49</v>
      </c>
      <c r="AF1852" s="16">
        <f>IF(ISERROR(VLOOKUP($A1852,'13. Updated Demand'!A:Z,23,FALSE)),0,VLOOKUP($A1852,'13. Updated Demand'!A:Z,23,FALSE))</f>
        <v>0.48333333299999998</v>
      </c>
      <c r="AG1852" s="16">
        <f>IF(ISERROR(VLOOKUP($A1852,'13. Updated Demand'!A:Z,24,FALSE)),0,VLOOKUP($A1852,'13. Updated Demand'!A:Z,24,FALSE))</f>
        <v>0.42333333299999998</v>
      </c>
      <c r="AH1852" s="16">
        <f>IF(ISERROR(VLOOKUP($A1852,'13. Updated Demand'!A:Z,25,FALSE)),0,VLOOKUP($A1852,'13. Updated Demand'!A:Z,25,FALSE))</f>
        <v>0.32</v>
      </c>
      <c r="AI1852" s="16">
        <f>IF(ISERROR(VLOOKUP($A1852,'13. Updated Demand'!A:Z,26,FALSE)),0,VLOOKUP($A1852,'13. Updated Demand'!A:Z,26,FALSE))</f>
        <v>0.08</v>
      </c>
      <c r="AJ1852" s="16">
        <f t="shared" si="349"/>
        <v>3.3499999980000004</v>
      </c>
      <c r="AK1852" s="19">
        <v>2.0933333319999998</v>
      </c>
      <c r="AL1852" s="16">
        <f t="shared" si="347"/>
        <v>6.9433482091694173E-3</v>
      </c>
      <c r="AM1852" s="26">
        <v>5.3685897403846159</v>
      </c>
      <c r="AN1852" s="19">
        <v>0.624</v>
      </c>
      <c r="AO1852" s="19" t="s">
        <v>1758</v>
      </c>
      <c r="AP1852" s="19">
        <v>0</v>
      </c>
      <c r="AQ1852" s="19" t="s">
        <v>307</v>
      </c>
      <c r="AR1852" s="9" t="s">
        <v>394</v>
      </c>
      <c r="AS1852" s="12">
        <v>0</v>
      </c>
      <c r="AT1852" s="19">
        <v>38.581499999999998</v>
      </c>
      <c r="AU1852" s="19">
        <v>-122.8814</v>
      </c>
      <c r="AV1852" s="19" t="s">
        <v>2263</v>
      </c>
    </row>
    <row r="1853" spans="1:48" x14ac:dyDescent="0.25">
      <c r="A1853" s="18" t="s">
        <v>2264</v>
      </c>
      <c r="B1853" s="10">
        <v>10000000</v>
      </c>
      <c r="C1853" s="9">
        <v>16</v>
      </c>
      <c r="D1853" s="8" t="str">
        <f t="shared" si="338"/>
        <v>N</v>
      </c>
      <c r="E1853" s="8" t="str">
        <f t="shared" si="339"/>
        <v>N</v>
      </c>
      <c r="F1853" s="8" t="str">
        <f t="shared" si="340"/>
        <v>N</v>
      </c>
      <c r="G1853" s="8" t="str">
        <f t="shared" si="341"/>
        <v>N</v>
      </c>
      <c r="H1853" s="8" t="str">
        <f t="shared" si="342"/>
        <v>Lower</v>
      </c>
      <c r="I1853" s="8" t="str">
        <f t="shared" si="343"/>
        <v>Outside</v>
      </c>
      <c r="J1853" s="8" t="str">
        <f t="shared" si="344"/>
        <v>Outside</v>
      </c>
      <c r="K1853" s="8" t="str">
        <f t="shared" si="345"/>
        <v>Riparian</v>
      </c>
      <c r="L1853" s="8">
        <f t="shared" si="346"/>
        <v>1000</v>
      </c>
      <c r="M1853" s="8" t="str">
        <f t="shared" si="348"/>
        <v>-</v>
      </c>
      <c r="N1853" s="10" t="s">
        <v>242</v>
      </c>
      <c r="O1853" s="10" t="s">
        <v>242</v>
      </c>
      <c r="P1853" s="10" t="s">
        <v>242</v>
      </c>
      <c r="Q1853" s="10" t="s">
        <v>242</v>
      </c>
      <c r="R1853" s="10" t="s">
        <v>242</v>
      </c>
      <c r="S1853" s="10" t="s">
        <v>241</v>
      </c>
      <c r="T1853" s="10" t="s">
        <v>242</v>
      </c>
      <c r="U1853" s="10" t="s">
        <v>242</v>
      </c>
      <c r="V1853" s="10" t="s">
        <v>242</v>
      </c>
      <c r="W1853" s="10" t="s">
        <v>242</v>
      </c>
      <c r="X1853" s="15">
        <f>IF(ISERROR(VLOOKUP($A1853,'13. Updated Demand'!A:Z,15,FALSE)),0,VLOOKUP($A1853,'13. Updated Demand'!A:Z,15,FALSE))</f>
        <v>0</v>
      </c>
      <c r="Y1853" s="16">
        <f>IF(ISERROR(VLOOKUP($A1853,'13. Updated Demand'!A:Z,16,FALSE)),0,VLOOKUP($A1853,'13. Updated Demand'!A:Z,16,FALSE))</f>
        <v>0</v>
      </c>
      <c r="Z1853" s="16">
        <f>IF(ISERROR(VLOOKUP($A1853,'13. Updated Demand'!A:Z,17,FALSE)),0,VLOOKUP($A1853,'13. Updated Demand'!A:Z,17,FALSE))</f>
        <v>0</v>
      </c>
      <c r="AA1853" s="16">
        <f>IF(ISERROR(VLOOKUP($A1853,'13. Updated Demand'!A:Z,18,FALSE)),0,VLOOKUP($A1853,'13. Updated Demand'!A:Z,18,FALSE))</f>
        <v>0</v>
      </c>
      <c r="AB1853" s="16">
        <f>IF(ISERROR(VLOOKUP($A1853,'13. Updated Demand'!A:Z,19,FALSE)),0,VLOOKUP($A1853,'13. Updated Demand'!A:Z,19,FALSE))</f>
        <v>0</v>
      </c>
      <c r="AC1853" s="16">
        <f>IF(ISERROR(VLOOKUP($A1853,'13. Updated Demand'!A:Z,20,FALSE)),0,VLOOKUP($A1853,'13. Updated Demand'!A:Z,20,FALSE))</f>
        <v>0.16900599999999999</v>
      </c>
      <c r="AD1853" s="16">
        <f>IF(ISERROR(VLOOKUP($A1853,'13. Updated Demand'!A:Z,21,FALSE)),0,VLOOKUP($A1853,'13. Updated Demand'!A:Z,21,FALSE))</f>
        <v>0.26475766699999997</v>
      </c>
      <c r="AE1853" s="16">
        <f>IF(ISERROR(VLOOKUP($A1853,'13. Updated Demand'!A:Z,22,FALSE)),0,VLOOKUP($A1853,'13. Updated Demand'!A:Z,22,FALSE))</f>
        <v>0.435888</v>
      </c>
      <c r="AF1853" s="16">
        <f>IF(ISERROR(VLOOKUP($A1853,'13. Updated Demand'!A:Z,23,FALSE)),0,VLOOKUP($A1853,'13. Updated Demand'!A:Z,23,FALSE))</f>
        <v>0.45065033300000001</v>
      </c>
      <c r="AG1853" s="16">
        <f>IF(ISERROR(VLOOKUP($A1853,'13. Updated Demand'!A:Z,24,FALSE)),0,VLOOKUP($A1853,'13. Updated Demand'!A:Z,24,FALSE))</f>
        <v>0</v>
      </c>
      <c r="AH1853" s="16">
        <f>IF(ISERROR(VLOOKUP($A1853,'13. Updated Demand'!A:Z,25,FALSE)),0,VLOOKUP($A1853,'13. Updated Demand'!A:Z,25,FALSE))</f>
        <v>0</v>
      </c>
      <c r="AI1853" s="16">
        <f>IF(ISERROR(VLOOKUP($A1853,'13. Updated Demand'!A:Z,26,FALSE)),0,VLOOKUP($A1853,'13. Updated Demand'!A:Z,26,FALSE))</f>
        <v>0</v>
      </c>
      <c r="AJ1853" s="16">
        <f t="shared" si="349"/>
        <v>1.3203019999999999</v>
      </c>
      <c r="AK1853" s="19">
        <v>1.3203019999999999</v>
      </c>
      <c r="AL1853" s="16">
        <f t="shared" si="347"/>
        <v>4.3792913374690393E-3</v>
      </c>
      <c r="AM1853" s="26">
        <v>26.196468253968252</v>
      </c>
      <c r="AN1853" s="19">
        <v>5.04E-2</v>
      </c>
      <c r="AO1853" s="19" t="s">
        <v>1758</v>
      </c>
      <c r="AP1853" s="19">
        <v>0</v>
      </c>
      <c r="AQ1853" s="19" t="s">
        <v>307</v>
      </c>
      <c r="AR1853" s="9" t="s">
        <v>394</v>
      </c>
      <c r="AS1853" s="12">
        <v>0</v>
      </c>
      <c r="AT1853" s="19">
        <v>38.598255819999999</v>
      </c>
      <c r="AU1853" s="19">
        <v>-122.99325853000001</v>
      </c>
      <c r="AV1853" s="19" t="s">
        <v>406</v>
      </c>
    </row>
    <row r="1854" spans="1:48" x14ac:dyDescent="0.25">
      <c r="A1854" s="18" t="s">
        <v>2265</v>
      </c>
      <c r="B1854" s="10">
        <v>10000000</v>
      </c>
      <c r="C1854" s="9">
        <v>16</v>
      </c>
      <c r="D1854" s="8" t="str">
        <f t="shared" si="338"/>
        <v>N</v>
      </c>
      <c r="E1854" s="8" t="str">
        <f t="shared" si="339"/>
        <v>N</v>
      </c>
      <c r="F1854" s="8" t="str">
        <f t="shared" si="340"/>
        <v>N</v>
      </c>
      <c r="G1854" s="8" t="str">
        <f t="shared" si="341"/>
        <v>N</v>
      </c>
      <c r="H1854" s="8" t="str">
        <f t="shared" si="342"/>
        <v>Lower</v>
      </c>
      <c r="I1854" s="8" t="str">
        <f t="shared" si="343"/>
        <v>Outside</v>
      </c>
      <c r="J1854" s="8" t="str">
        <f t="shared" si="344"/>
        <v>Outside</v>
      </c>
      <c r="K1854" s="8" t="str">
        <f t="shared" si="345"/>
        <v>Riparian</v>
      </c>
      <c r="L1854" s="8">
        <f t="shared" si="346"/>
        <v>1000</v>
      </c>
      <c r="M1854" s="8" t="str">
        <f t="shared" si="348"/>
        <v>-</v>
      </c>
      <c r="N1854" s="10" t="s">
        <v>242</v>
      </c>
      <c r="O1854" s="10" t="s">
        <v>242</v>
      </c>
      <c r="P1854" s="10" t="s">
        <v>242</v>
      </c>
      <c r="Q1854" s="10" t="s">
        <v>242</v>
      </c>
      <c r="R1854" s="10" t="s">
        <v>242</v>
      </c>
      <c r="S1854" s="10" t="s">
        <v>241</v>
      </c>
      <c r="T1854" s="10" t="s">
        <v>242</v>
      </c>
      <c r="U1854" s="10" t="s">
        <v>242</v>
      </c>
      <c r="V1854" s="10" t="s">
        <v>242</v>
      </c>
      <c r="W1854" s="10" t="s">
        <v>242</v>
      </c>
      <c r="X1854" s="15">
        <f>IF(ISERROR(VLOOKUP($A1854,'13. Updated Demand'!A:Z,15,FALSE)),0,VLOOKUP($A1854,'13. Updated Demand'!A:Z,15,FALSE))</f>
        <v>0</v>
      </c>
      <c r="Y1854" s="16">
        <f>IF(ISERROR(VLOOKUP($A1854,'13. Updated Demand'!A:Z,16,FALSE)),0,VLOOKUP($A1854,'13. Updated Demand'!A:Z,16,FALSE))</f>
        <v>0.78959066700000002</v>
      </c>
      <c r="Z1854" s="16">
        <f>IF(ISERROR(VLOOKUP($A1854,'13. Updated Demand'!A:Z,17,FALSE)),0,VLOOKUP($A1854,'13. Updated Demand'!A:Z,17,FALSE))</f>
        <v>0.32527899999999998</v>
      </c>
      <c r="AA1854" s="16">
        <f>IF(ISERROR(VLOOKUP($A1854,'13. Updated Demand'!A:Z,18,FALSE)),0,VLOOKUP($A1854,'13. Updated Demand'!A:Z,18,FALSE))</f>
        <v>3.5803666999999997E-2</v>
      </c>
      <c r="AB1854" s="16">
        <f>IF(ISERROR(VLOOKUP($A1854,'13. Updated Demand'!A:Z,19,FALSE)),0,VLOOKUP($A1854,'13. Updated Demand'!A:Z,19,FALSE))</f>
        <v>0.26949733300000001</v>
      </c>
      <c r="AC1854" s="16">
        <f>IF(ISERROR(VLOOKUP($A1854,'13. Updated Demand'!A:Z,20,FALSE)),0,VLOOKUP($A1854,'13. Updated Demand'!A:Z,20,FALSE))</f>
        <v>3.0699999999999998E-3</v>
      </c>
      <c r="AD1854" s="16">
        <f>IF(ISERROR(VLOOKUP($A1854,'13. Updated Demand'!A:Z,21,FALSE)),0,VLOOKUP($A1854,'13. Updated Demand'!A:Z,21,FALSE))</f>
        <v>0.33243466700000002</v>
      </c>
      <c r="AE1854" s="16">
        <f>IF(ISERROR(VLOOKUP($A1854,'13. Updated Demand'!A:Z,22,FALSE)),0,VLOOKUP($A1854,'13. Updated Demand'!A:Z,22,FALSE))</f>
        <v>0.392605333</v>
      </c>
      <c r="AF1854" s="16">
        <f>IF(ISERROR(VLOOKUP($A1854,'13. Updated Demand'!A:Z,23,FALSE)),0,VLOOKUP($A1854,'13. Updated Demand'!A:Z,23,FALSE))</f>
        <v>0.91232733300000002</v>
      </c>
      <c r="AG1854" s="16">
        <f>IF(ISERROR(VLOOKUP($A1854,'13. Updated Demand'!A:Z,24,FALSE)),0,VLOOKUP($A1854,'13. Updated Demand'!A:Z,24,FALSE))</f>
        <v>2.6603667000000001E-2</v>
      </c>
      <c r="AH1854" s="16">
        <f>IF(ISERROR(VLOOKUP($A1854,'13. Updated Demand'!A:Z,25,FALSE)),0,VLOOKUP($A1854,'13. Updated Demand'!A:Z,25,FALSE))</f>
        <v>0</v>
      </c>
      <c r="AI1854" s="16">
        <f>IF(ISERROR(VLOOKUP($A1854,'13. Updated Demand'!A:Z,26,FALSE)),0,VLOOKUP($A1854,'13. Updated Demand'!A:Z,26,FALSE))</f>
        <v>0</v>
      </c>
      <c r="AJ1854" s="16">
        <f t="shared" si="349"/>
        <v>3.0872116669999996</v>
      </c>
      <c r="AK1854" s="19">
        <v>1.9099346660000001</v>
      </c>
      <c r="AL1854" s="16">
        <f t="shared" si="347"/>
        <v>6.335035725118664E-3</v>
      </c>
      <c r="AM1854" s="26">
        <v>6.3608208275299366E-3</v>
      </c>
      <c r="AN1854" s="19">
        <v>485.34800000000001</v>
      </c>
      <c r="AO1854" s="19" t="s">
        <v>1758</v>
      </c>
      <c r="AP1854" s="19">
        <v>0</v>
      </c>
      <c r="AQ1854" s="19" t="s">
        <v>307</v>
      </c>
      <c r="AR1854" s="9" t="s">
        <v>394</v>
      </c>
      <c r="AS1854" s="12">
        <v>0</v>
      </c>
      <c r="AT1854" s="19">
        <v>38.639699999999998</v>
      </c>
      <c r="AU1854" s="19">
        <v>-122.90730000000001</v>
      </c>
      <c r="AV1854" s="19" t="s">
        <v>932</v>
      </c>
    </row>
    <row r="1855" spans="1:48" x14ac:dyDescent="0.25">
      <c r="A1855" s="18" t="s">
        <v>2266</v>
      </c>
      <c r="B1855" s="10">
        <v>10000000</v>
      </c>
      <c r="C1855" s="9">
        <v>16</v>
      </c>
      <c r="D1855" s="8" t="str">
        <f t="shared" si="338"/>
        <v>N</v>
      </c>
      <c r="E1855" s="8" t="str">
        <f t="shared" si="339"/>
        <v>N</v>
      </c>
      <c r="F1855" s="8" t="str">
        <f t="shared" si="340"/>
        <v>N</v>
      </c>
      <c r="G1855" s="8" t="str">
        <f t="shared" si="341"/>
        <v>N</v>
      </c>
      <c r="H1855" s="8" t="str">
        <f t="shared" si="342"/>
        <v>Lower</v>
      </c>
      <c r="I1855" s="8" t="str">
        <f t="shared" si="343"/>
        <v>Outside</v>
      </c>
      <c r="J1855" s="8" t="str">
        <f t="shared" si="344"/>
        <v>Outside</v>
      </c>
      <c r="K1855" s="8" t="str">
        <f t="shared" si="345"/>
        <v>Riparian</v>
      </c>
      <c r="L1855" s="8">
        <f t="shared" si="346"/>
        <v>1000</v>
      </c>
      <c r="M1855" s="8" t="str">
        <f t="shared" si="348"/>
        <v>-</v>
      </c>
      <c r="N1855" s="10" t="s">
        <v>242</v>
      </c>
      <c r="O1855" s="10" t="s">
        <v>242</v>
      </c>
      <c r="P1855" s="10" t="s">
        <v>242</v>
      </c>
      <c r="Q1855" s="10" t="s">
        <v>242</v>
      </c>
      <c r="R1855" s="10" t="s">
        <v>242</v>
      </c>
      <c r="S1855" s="10" t="s">
        <v>241</v>
      </c>
      <c r="T1855" s="10" t="s">
        <v>242</v>
      </c>
      <c r="U1855" s="10" t="s">
        <v>242</v>
      </c>
      <c r="V1855" s="10" t="s">
        <v>242</v>
      </c>
      <c r="W1855" s="10" t="s">
        <v>242</v>
      </c>
      <c r="X1855" s="15">
        <f>IF(ISERROR(VLOOKUP($A1855,'13. Updated Demand'!A:Z,15,FALSE)),0,VLOOKUP($A1855,'13. Updated Demand'!A:Z,15,FALSE))</f>
        <v>0</v>
      </c>
      <c r="Y1855" s="16">
        <f>IF(ISERROR(VLOOKUP($A1855,'13. Updated Demand'!A:Z,16,FALSE)),0,VLOOKUP($A1855,'13. Updated Demand'!A:Z,16,FALSE))</f>
        <v>0</v>
      </c>
      <c r="Z1855" s="16">
        <f>IF(ISERROR(VLOOKUP($A1855,'13. Updated Demand'!A:Z,17,FALSE)),0,VLOOKUP($A1855,'13. Updated Demand'!A:Z,17,FALSE))</f>
        <v>0.28000000000000003</v>
      </c>
      <c r="AA1855" s="16">
        <f>IF(ISERROR(VLOOKUP($A1855,'13. Updated Demand'!A:Z,18,FALSE)),0,VLOOKUP($A1855,'13. Updated Demand'!A:Z,18,FALSE))</f>
        <v>0.01</v>
      </c>
      <c r="AB1855" s="16">
        <f>IF(ISERROR(VLOOKUP($A1855,'13. Updated Demand'!A:Z,19,FALSE)),0,VLOOKUP($A1855,'13. Updated Demand'!A:Z,19,FALSE))</f>
        <v>8.3333332999999996E-2</v>
      </c>
      <c r="AC1855" s="16">
        <f>IF(ISERROR(VLOOKUP($A1855,'13. Updated Demand'!A:Z,20,FALSE)),0,VLOOKUP($A1855,'13. Updated Demand'!A:Z,20,FALSE))</f>
        <v>0.19</v>
      </c>
      <c r="AD1855" s="16">
        <f>IF(ISERROR(VLOOKUP($A1855,'13. Updated Demand'!A:Z,21,FALSE)),0,VLOOKUP($A1855,'13. Updated Demand'!A:Z,21,FALSE))</f>
        <v>1.05</v>
      </c>
      <c r="AE1855" s="16">
        <f>IF(ISERROR(VLOOKUP($A1855,'13. Updated Demand'!A:Z,22,FALSE)),0,VLOOKUP($A1855,'13. Updated Demand'!A:Z,22,FALSE))</f>
        <v>0.36</v>
      </c>
      <c r="AF1855" s="16">
        <f>IF(ISERROR(VLOOKUP($A1855,'13. Updated Demand'!A:Z,23,FALSE)),0,VLOOKUP($A1855,'13. Updated Demand'!A:Z,23,FALSE))</f>
        <v>6.6666666999999999E-2</v>
      </c>
      <c r="AG1855" s="16">
        <f>IF(ISERROR(VLOOKUP($A1855,'13. Updated Demand'!A:Z,24,FALSE)),0,VLOOKUP($A1855,'13. Updated Demand'!A:Z,24,FALSE))</f>
        <v>0</v>
      </c>
      <c r="AH1855" s="16">
        <f>IF(ISERROR(VLOOKUP($A1855,'13. Updated Demand'!A:Z,25,FALSE)),0,VLOOKUP($A1855,'13. Updated Demand'!A:Z,25,FALSE))</f>
        <v>0</v>
      </c>
      <c r="AI1855" s="16">
        <f>IF(ISERROR(VLOOKUP($A1855,'13. Updated Demand'!A:Z,26,FALSE)),0,VLOOKUP($A1855,'13. Updated Demand'!A:Z,26,FALSE))</f>
        <v>0</v>
      </c>
      <c r="AJ1855" s="16">
        <f t="shared" si="349"/>
        <v>2.04</v>
      </c>
      <c r="AK1855" s="19">
        <v>1.7500000000000002</v>
      </c>
      <c r="AL1855" s="16">
        <f t="shared" si="347"/>
        <v>5.8045506562671417E-3</v>
      </c>
      <c r="AM1855" s="26">
        <v>1.7067416294362734E-3</v>
      </c>
      <c r="AN1855" s="19">
        <v>1195.26</v>
      </c>
      <c r="AO1855" s="19" t="s">
        <v>1758</v>
      </c>
      <c r="AP1855" s="19">
        <v>0</v>
      </c>
      <c r="AQ1855" s="19" t="s">
        <v>307</v>
      </c>
      <c r="AR1855" s="9" t="s">
        <v>394</v>
      </c>
      <c r="AS1855" s="12">
        <v>0</v>
      </c>
      <c r="AT1855" s="19">
        <v>38.644399999999997</v>
      </c>
      <c r="AU1855" s="19">
        <v>-122.9113</v>
      </c>
      <c r="AV1855" s="19" t="s">
        <v>701</v>
      </c>
    </row>
    <row r="1856" spans="1:48" x14ac:dyDescent="0.25">
      <c r="A1856" s="18" t="s">
        <v>2267</v>
      </c>
      <c r="B1856" s="10">
        <v>10000000</v>
      </c>
      <c r="C1856" s="9">
        <v>15</v>
      </c>
      <c r="D1856" s="8" t="str">
        <f t="shared" si="338"/>
        <v>N</v>
      </c>
      <c r="E1856" s="8" t="str">
        <f t="shared" si="339"/>
        <v>N</v>
      </c>
      <c r="F1856" s="8" t="str">
        <f t="shared" si="340"/>
        <v>N</v>
      </c>
      <c r="G1856" s="8" t="str">
        <f t="shared" si="341"/>
        <v>N</v>
      </c>
      <c r="H1856" s="8" t="str">
        <f t="shared" si="342"/>
        <v>Lower</v>
      </c>
      <c r="I1856" s="8" t="str">
        <f t="shared" si="343"/>
        <v>Outside</v>
      </c>
      <c r="J1856" s="8" t="str">
        <f t="shared" si="344"/>
        <v>Outside</v>
      </c>
      <c r="K1856" s="8" t="str">
        <f t="shared" si="345"/>
        <v>Riparian</v>
      </c>
      <c r="L1856" s="8">
        <f t="shared" si="346"/>
        <v>1000</v>
      </c>
      <c r="M1856" s="8" t="str">
        <f t="shared" si="348"/>
        <v>-</v>
      </c>
      <c r="N1856" s="10" t="s">
        <v>242</v>
      </c>
      <c r="O1856" s="10" t="s">
        <v>242</v>
      </c>
      <c r="P1856" s="10" t="s">
        <v>242</v>
      </c>
      <c r="Q1856" s="10" t="s">
        <v>242</v>
      </c>
      <c r="R1856" s="10" t="s">
        <v>242</v>
      </c>
      <c r="S1856" s="10" t="s">
        <v>241</v>
      </c>
      <c r="T1856" s="10" t="s">
        <v>242</v>
      </c>
      <c r="U1856" s="10" t="s">
        <v>242</v>
      </c>
      <c r="V1856" s="10" t="s">
        <v>242</v>
      </c>
      <c r="W1856" s="10" t="s">
        <v>242</v>
      </c>
      <c r="X1856" s="15">
        <f>IF(ISERROR(VLOOKUP($A1856,'13. Updated Demand'!A:Z,15,FALSE)),0,VLOOKUP($A1856,'13. Updated Demand'!A:Z,15,FALSE))</f>
        <v>0</v>
      </c>
      <c r="Y1856" s="16">
        <f>IF(ISERROR(VLOOKUP($A1856,'13. Updated Demand'!A:Z,16,FALSE)),0,VLOOKUP($A1856,'13. Updated Demand'!A:Z,16,FALSE))</f>
        <v>0</v>
      </c>
      <c r="Z1856" s="16">
        <f>IF(ISERROR(VLOOKUP($A1856,'13. Updated Demand'!A:Z,17,FALSE)),0,VLOOKUP($A1856,'13. Updated Demand'!A:Z,17,FALSE))</f>
        <v>3.9462667E-2</v>
      </c>
      <c r="AA1856" s="16">
        <f>IF(ISERROR(VLOOKUP($A1856,'13. Updated Demand'!A:Z,18,FALSE)),0,VLOOKUP($A1856,'13. Updated Demand'!A:Z,18,FALSE))</f>
        <v>3.2462667000000001E-2</v>
      </c>
      <c r="AB1856" s="16">
        <f>IF(ISERROR(VLOOKUP($A1856,'13. Updated Demand'!A:Z,19,FALSE)),0,VLOOKUP($A1856,'13. Updated Demand'!A:Z,19,FALSE))</f>
        <v>0.220216667</v>
      </c>
      <c r="AC1856" s="16">
        <f>IF(ISERROR(VLOOKUP($A1856,'13. Updated Demand'!A:Z,20,FALSE)),0,VLOOKUP($A1856,'13. Updated Demand'!A:Z,20,FALSE))</f>
        <v>0.19342899999999999</v>
      </c>
      <c r="AD1856" s="16">
        <f>IF(ISERROR(VLOOKUP($A1856,'13. Updated Demand'!A:Z,21,FALSE)),0,VLOOKUP($A1856,'13. Updated Demand'!A:Z,21,FALSE))</f>
        <v>0.23631366700000001</v>
      </c>
      <c r="AE1856" s="16">
        <f>IF(ISERROR(VLOOKUP($A1856,'13. Updated Demand'!A:Z,22,FALSE)),0,VLOOKUP($A1856,'13. Updated Demand'!A:Z,22,FALSE))</f>
        <v>0.68498000000000003</v>
      </c>
      <c r="AF1856" s="16">
        <f>IF(ISERROR(VLOOKUP($A1856,'13. Updated Demand'!A:Z,23,FALSE)),0,VLOOKUP($A1856,'13. Updated Demand'!A:Z,23,FALSE))</f>
        <v>0.462391</v>
      </c>
      <c r="AG1856" s="16">
        <f>IF(ISERROR(VLOOKUP($A1856,'13. Updated Demand'!A:Z,24,FALSE)),0,VLOOKUP($A1856,'13. Updated Demand'!A:Z,24,FALSE))</f>
        <v>0.191121333</v>
      </c>
      <c r="AH1856" s="16">
        <f>IF(ISERROR(VLOOKUP($A1856,'13. Updated Demand'!A:Z,25,FALSE)),0,VLOOKUP($A1856,'13. Updated Demand'!A:Z,25,FALSE))</f>
        <v>0</v>
      </c>
      <c r="AI1856" s="16">
        <f>IF(ISERROR(VLOOKUP($A1856,'13. Updated Demand'!A:Z,26,FALSE)),0,VLOOKUP($A1856,'13. Updated Demand'!A:Z,26,FALSE))</f>
        <v>0</v>
      </c>
      <c r="AJ1856" s="16">
        <f t="shared" si="349"/>
        <v>2.060377001</v>
      </c>
      <c r="AK1856" s="19">
        <v>1.797330334</v>
      </c>
      <c r="AL1856" s="16">
        <f t="shared" si="347"/>
        <v>5.9615399827134506E-3</v>
      </c>
      <c r="AM1856" s="26">
        <v>5.1713694116761209E-2</v>
      </c>
      <c r="AN1856" s="19">
        <v>39.841999999999999</v>
      </c>
      <c r="AO1856" s="19" t="s">
        <v>1758</v>
      </c>
      <c r="AP1856" s="19">
        <v>0</v>
      </c>
      <c r="AQ1856" s="19" t="s">
        <v>307</v>
      </c>
      <c r="AR1856" s="9" t="s">
        <v>489</v>
      </c>
      <c r="AS1856" s="12">
        <v>0</v>
      </c>
      <c r="AT1856" s="19">
        <v>38.668599999999998</v>
      </c>
      <c r="AU1856" s="19">
        <v>-122.93899999999999</v>
      </c>
      <c r="AV1856" s="19" t="s">
        <v>701</v>
      </c>
    </row>
    <row r="1857" spans="1:48" x14ac:dyDescent="0.25">
      <c r="A1857" s="18" t="s">
        <v>2268</v>
      </c>
      <c r="B1857" s="10">
        <v>10000000</v>
      </c>
      <c r="C1857" s="9">
        <v>10</v>
      </c>
      <c r="D1857" s="8" t="str">
        <f t="shared" si="338"/>
        <v>N</v>
      </c>
      <c r="E1857" s="8" t="str">
        <f t="shared" si="339"/>
        <v>Y</v>
      </c>
      <c r="F1857" s="8" t="str">
        <f t="shared" si="340"/>
        <v>Y</v>
      </c>
      <c r="G1857" s="8" t="str">
        <f t="shared" si="341"/>
        <v>Y</v>
      </c>
      <c r="H1857" s="8" t="str">
        <f t="shared" si="342"/>
        <v>Upper</v>
      </c>
      <c r="I1857" s="8" t="str">
        <f t="shared" si="343"/>
        <v>West Fork and Below Lake</v>
      </c>
      <c r="J1857" s="8" t="str">
        <f t="shared" si="344"/>
        <v>Sonoma (d/s of Clov. Gage)</v>
      </c>
      <c r="K1857" s="8" t="str">
        <f t="shared" si="345"/>
        <v>Riparian</v>
      </c>
      <c r="L1857" s="8">
        <f t="shared" si="346"/>
        <v>1000</v>
      </c>
      <c r="M1857" s="8" t="str">
        <f t="shared" si="348"/>
        <v>-</v>
      </c>
      <c r="N1857" s="10" t="s">
        <v>241</v>
      </c>
      <c r="O1857" s="10" t="s">
        <v>241</v>
      </c>
      <c r="P1857" s="10" t="s">
        <v>242</v>
      </c>
      <c r="Q1857" s="10" t="s">
        <v>242</v>
      </c>
      <c r="R1857" s="10" t="s">
        <v>242</v>
      </c>
      <c r="S1857" s="10" t="s">
        <v>241</v>
      </c>
      <c r="T1857" s="10" t="s">
        <v>242</v>
      </c>
      <c r="U1857" s="10" t="s">
        <v>242</v>
      </c>
      <c r="V1857" s="10" t="s">
        <v>242</v>
      </c>
      <c r="W1857" s="10" t="s">
        <v>242</v>
      </c>
      <c r="X1857" s="15">
        <f>IF(ISERROR(VLOOKUP($A1857,'13. Updated Demand'!A:Z,15,FALSE)),0,VLOOKUP($A1857,'13. Updated Demand'!A:Z,15,FALSE))</f>
        <v>0</v>
      </c>
      <c r="Y1857" s="16">
        <f>IF(ISERROR(VLOOKUP($A1857,'13. Updated Demand'!A:Z,16,FALSE)),0,VLOOKUP($A1857,'13. Updated Demand'!A:Z,16,FALSE))</f>
        <v>0</v>
      </c>
      <c r="Z1857" s="16">
        <f>IF(ISERROR(VLOOKUP($A1857,'13. Updated Demand'!A:Z,17,FALSE)),0,VLOOKUP($A1857,'13. Updated Demand'!A:Z,17,FALSE))</f>
        <v>0</v>
      </c>
      <c r="AA1857" s="16">
        <f>IF(ISERROR(VLOOKUP($A1857,'13. Updated Demand'!A:Z,18,FALSE)),0,VLOOKUP($A1857,'13. Updated Demand'!A:Z,18,FALSE))</f>
        <v>0</v>
      </c>
      <c r="AB1857" s="16">
        <f>IF(ISERROR(VLOOKUP($A1857,'13. Updated Demand'!A:Z,19,FALSE)),0,VLOOKUP($A1857,'13. Updated Demand'!A:Z,19,FALSE))</f>
        <v>0.15</v>
      </c>
      <c r="AC1857" s="16">
        <f>IF(ISERROR(VLOOKUP($A1857,'13. Updated Demand'!A:Z,20,FALSE)),0,VLOOKUP($A1857,'13. Updated Demand'!A:Z,20,FALSE))</f>
        <v>0.56000000000000005</v>
      </c>
      <c r="AD1857" s="16">
        <f>IF(ISERROR(VLOOKUP($A1857,'13. Updated Demand'!A:Z,21,FALSE)),0,VLOOKUP($A1857,'13. Updated Demand'!A:Z,21,FALSE))</f>
        <v>1.44</v>
      </c>
      <c r="AE1857" s="16">
        <f>IF(ISERROR(VLOOKUP($A1857,'13. Updated Demand'!A:Z,22,FALSE)),0,VLOOKUP($A1857,'13. Updated Demand'!A:Z,22,FALSE))</f>
        <v>1.43</v>
      </c>
      <c r="AF1857" s="16">
        <f>IF(ISERROR(VLOOKUP($A1857,'13. Updated Demand'!A:Z,23,FALSE)),0,VLOOKUP($A1857,'13. Updated Demand'!A:Z,23,FALSE))</f>
        <v>1.26</v>
      </c>
      <c r="AG1857" s="16">
        <f>IF(ISERROR(VLOOKUP($A1857,'13. Updated Demand'!A:Z,24,FALSE)),0,VLOOKUP($A1857,'13. Updated Demand'!A:Z,24,FALSE))</f>
        <v>0.56999999999999995</v>
      </c>
      <c r="AH1857" s="16">
        <f>IF(ISERROR(VLOOKUP($A1857,'13. Updated Demand'!A:Z,25,FALSE)),0,VLOOKUP($A1857,'13. Updated Demand'!A:Z,25,FALSE))</f>
        <v>0.47</v>
      </c>
      <c r="AI1857" s="16">
        <f>IF(ISERROR(VLOOKUP($A1857,'13. Updated Demand'!A:Z,26,FALSE)),0,VLOOKUP($A1857,'13. Updated Demand'!A:Z,26,FALSE))</f>
        <v>0</v>
      </c>
      <c r="AJ1857" s="16">
        <f t="shared" si="349"/>
        <v>5.88</v>
      </c>
      <c r="AK1857" s="19">
        <v>4.8566666666666674</v>
      </c>
      <c r="AL1857" s="16">
        <f t="shared" si="347"/>
        <v>1.6109010107011858E-2</v>
      </c>
      <c r="AM1857" s="26">
        <v>3.7000317922460391E-2</v>
      </c>
      <c r="AN1857" s="19">
        <v>159.36799999999999</v>
      </c>
      <c r="AO1857" s="19" t="s">
        <v>1758</v>
      </c>
      <c r="AP1857" s="19">
        <v>0</v>
      </c>
      <c r="AQ1857" s="19" t="s">
        <v>307</v>
      </c>
      <c r="AR1857" s="9" t="s">
        <v>436</v>
      </c>
      <c r="AS1857" s="12">
        <v>0</v>
      </c>
      <c r="AT1857" s="19">
        <v>38.683326659999999</v>
      </c>
      <c r="AU1857" s="19">
        <v>-122.84037693000001</v>
      </c>
      <c r="AV1857" s="19" t="s">
        <v>2269</v>
      </c>
    </row>
    <row r="1858" spans="1:48" x14ac:dyDescent="0.25">
      <c r="A1858" s="18" t="s">
        <v>2270</v>
      </c>
      <c r="B1858" s="10">
        <v>10000000</v>
      </c>
      <c r="C1858" s="9">
        <v>18</v>
      </c>
      <c r="D1858" s="8" t="str">
        <f t="shared" ref="D1858:D1921" si="350">IF(OR(C1858=4,C1858=5,C1858=6),"Y","N")</f>
        <v>N</v>
      </c>
      <c r="E1858" s="8" t="str">
        <f t="shared" ref="E1858:E1921" si="351">IF(AND(C1858&gt;6,C1858&lt;14),"Y","N")</f>
        <v>N</v>
      </c>
      <c r="F1858" s="8" t="str">
        <f t="shared" ref="F1858:F1921" si="352">IF(C1858&lt;14,"Y","N")</f>
        <v>N</v>
      </c>
      <c r="G1858" s="8" t="str">
        <f t="shared" ref="G1858:G1921" si="353">IF(OR(C1858=1,AND(C1858&gt;3,C1858&lt;14)),"Y","N")</f>
        <v>N</v>
      </c>
      <c r="H1858" s="8" t="str">
        <f t="shared" ref="H1858:H1921" si="354">IF(C1858&lt;14,"Upper","Lower")</f>
        <v>Lower</v>
      </c>
      <c r="I1858" s="8" t="str">
        <f t="shared" ref="I1858:I1921" si="355">IF(G1858="Y","West Fork and Below Lake","Outside")</f>
        <v>Outside</v>
      </c>
      <c r="J1858" s="8" t="str">
        <f t="shared" ref="J1858:J1921" si="356">IF(D1858="Y", "Mendocino (d/s of lake)", IF(E1858="Y", "Sonoma (d/s of Clov. Gage)","Outside"))</f>
        <v>Outside</v>
      </c>
      <c r="K1858" s="8" t="str">
        <f t="shared" ref="K1858:K1921" si="357">IF(P1858="Y","pre-1914",IF(Q1858="Y","Pre-1949",IF(R1858="Y","Post-1949",IF(S1858="Y","Riparian","Unknown"))))</f>
        <v>Riparian</v>
      </c>
      <c r="L1858" s="8">
        <f t="shared" ref="L1858:L1921" si="358">_xlfn.NUMBERVALUE(LEFT(B1858,4))</f>
        <v>1000</v>
      </c>
      <c r="M1858" s="8" t="str">
        <f t="shared" si="348"/>
        <v>-</v>
      </c>
      <c r="N1858" s="10" t="s">
        <v>242</v>
      </c>
      <c r="O1858" s="10" t="s">
        <v>242</v>
      </c>
      <c r="P1858" s="10" t="s">
        <v>242</v>
      </c>
      <c r="Q1858" s="10" t="s">
        <v>242</v>
      </c>
      <c r="R1858" s="10" t="s">
        <v>242</v>
      </c>
      <c r="S1858" s="10" t="s">
        <v>241</v>
      </c>
      <c r="T1858" s="10" t="s">
        <v>242</v>
      </c>
      <c r="U1858" s="10" t="s">
        <v>242</v>
      </c>
      <c r="V1858" s="10" t="s">
        <v>242</v>
      </c>
      <c r="W1858" s="10" t="s">
        <v>242</v>
      </c>
      <c r="X1858" s="15">
        <f>IF(ISERROR(VLOOKUP($A1858,'13. Updated Demand'!A:Z,15,FALSE)),0,VLOOKUP($A1858,'13. Updated Demand'!A:Z,15,FALSE))</f>
        <v>2.4127666999999998E-2</v>
      </c>
      <c r="Y1858" s="16">
        <f>IF(ISERROR(VLOOKUP($A1858,'13. Updated Demand'!A:Z,16,FALSE)),0,VLOOKUP($A1858,'13. Updated Demand'!A:Z,16,FALSE))</f>
        <v>2.4127666999999998E-2</v>
      </c>
      <c r="Z1858" s="16">
        <f>IF(ISERROR(VLOOKUP($A1858,'13. Updated Demand'!A:Z,17,FALSE)),0,VLOOKUP($A1858,'13. Updated Demand'!A:Z,17,FALSE))</f>
        <v>2.4127666999999998E-2</v>
      </c>
      <c r="AA1858" s="16">
        <f>IF(ISERROR(VLOOKUP($A1858,'13. Updated Demand'!A:Z,18,FALSE)),0,VLOOKUP($A1858,'13. Updated Demand'!A:Z,18,FALSE))</f>
        <v>2.4127666999999998E-2</v>
      </c>
      <c r="AB1858" s="16">
        <f>IF(ISERROR(VLOOKUP($A1858,'13. Updated Demand'!A:Z,19,FALSE)),0,VLOOKUP($A1858,'13. Updated Demand'!A:Z,19,FALSE))</f>
        <v>2.4127666999999998E-2</v>
      </c>
      <c r="AC1858" s="16">
        <f>IF(ISERROR(VLOOKUP($A1858,'13. Updated Demand'!A:Z,20,FALSE)),0,VLOOKUP($A1858,'13. Updated Demand'!A:Z,20,FALSE))</f>
        <v>2.4127666999999998E-2</v>
      </c>
      <c r="AD1858" s="16">
        <f>IF(ISERROR(VLOOKUP($A1858,'13. Updated Demand'!A:Z,21,FALSE)),0,VLOOKUP($A1858,'13. Updated Demand'!A:Z,21,FALSE))</f>
        <v>2.4127666999999998E-2</v>
      </c>
      <c r="AE1858" s="16">
        <f>IF(ISERROR(VLOOKUP($A1858,'13. Updated Demand'!A:Z,22,FALSE)),0,VLOOKUP($A1858,'13. Updated Demand'!A:Z,22,FALSE))</f>
        <v>2.4127666999999998E-2</v>
      </c>
      <c r="AF1858" s="16">
        <f>IF(ISERROR(VLOOKUP($A1858,'13. Updated Demand'!A:Z,23,FALSE)),0,VLOOKUP($A1858,'13. Updated Demand'!A:Z,23,FALSE))</f>
        <v>2.4127666999999998E-2</v>
      </c>
      <c r="AG1858" s="16">
        <f>IF(ISERROR(VLOOKUP($A1858,'13. Updated Demand'!A:Z,24,FALSE)),0,VLOOKUP($A1858,'13. Updated Demand'!A:Z,24,FALSE))</f>
        <v>2.4127666999999998E-2</v>
      </c>
      <c r="AH1858" s="16">
        <f>IF(ISERROR(VLOOKUP($A1858,'13. Updated Demand'!A:Z,25,FALSE)),0,VLOOKUP($A1858,'13. Updated Demand'!A:Z,25,FALSE))</f>
        <v>2.4127666999999998E-2</v>
      </c>
      <c r="AI1858" s="16">
        <f>IF(ISERROR(VLOOKUP($A1858,'13. Updated Demand'!A:Z,26,FALSE)),0,VLOOKUP($A1858,'13. Updated Demand'!A:Z,26,FALSE))</f>
        <v>2.4127666999999998E-2</v>
      </c>
      <c r="AJ1858" s="16">
        <f t="shared" si="349"/>
        <v>0.28953200399999995</v>
      </c>
      <c r="AK1858" s="19">
        <v>0.12063833499999999</v>
      </c>
      <c r="AL1858" s="16">
        <f t="shared" ref="AL1858:AL1921" si="359">AK1858/152/1.983471</f>
        <v>4.0014361519727148E-4</v>
      </c>
      <c r="AM1858" s="26">
        <v>7.1799629014259139E-2</v>
      </c>
      <c r="AN1858" s="19">
        <v>4.0324999999999998</v>
      </c>
      <c r="AO1858" s="19" t="s">
        <v>1758</v>
      </c>
      <c r="AP1858" s="19">
        <v>0</v>
      </c>
      <c r="AQ1858" s="19" t="s">
        <v>307</v>
      </c>
      <c r="AR1858" s="9" t="s">
        <v>352</v>
      </c>
      <c r="AS1858" s="12">
        <v>3.4039024194010059E-4</v>
      </c>
      <c r="AT1858" s="19">
        <v>38.378900000000002</v>
      </c>
      <c r="AU1858" s="19">
        <v>-122.892</v>
      </c>
      <c r="AV1858" s="19"/>
    </row>
    <row r="1859" spans="1:48" x14ac:dyDescent="0.25">
      <c r="A1859" s="18" t="s">
        <v>142</v>
      </c>
      <c r="B1859" s="10">
        <v>10000000</v>
      </c>
      <c r="C1859" s="9">
        <v>10</v>
      </c>
      <c r="D1859" s="8" t="str">
        <f t="shared" si="350"/>
        <v>N</v>
      </c>
      <c r="E1859" s="8" t="str">
        <f t="shared" si="351"/>
        <v>Y</v>
      </c>
      <c r="F1859" s="8" t="str">
        <f t="shared" si="352"/>
        <v>Y</v>
      </c>
      <c r="G1859" s="8" t="str">
        <f t="shared" si="353"/>
        <v>Y</v>
      </c>
      <c r="H1859" s="8" t="str">
        <f t="shared" si="354"/>
        <v>Upper</v>
      </c>
      <c r="I1859" s="8" t="str">
        <f t="shared" si="355"/>
        <v>West Fork and Below Lake</v>
      </c>
      <c r="J1859" s="8" t="str">
        <f t="shared" si="356"/>
        <v>Sonoma (d/s of Clov. Gage)</v>
      </c>
      <c r="K1859" s="8" t="str">
        <f t="shared" si="357"/>
        <v>Riparian</v>
      </c>
      <c r="L1859" s="8">
        <f t="shared" si="358"/>
        <v>1000</v>
      </c>
      <c r="M1859" s="8" t="str">
        <f t="shared" ref="M1859:M1922" si="360">IF(L1859=1949,"1949",IF(AND(L1859&gt;1949,L1859&lt;1953),"1950-1952",IF(AND(L1859&gt;1952,L1859&lt;1955),"1953-1954",IF(AND(L1859&gt;1954,L1859&lt;1957),"1955-1956",IF(AND(L1859&gt;1956,L1859&lt;1960),"1957-1959",IF(AND(L1859&gt;1959,L1859&lt;1971),"1960-1970",IF(AND(L1859&gt;1970,L1859&lt;1991),"1971-1990",IF(L1859&gt;1990,"1991-present","-"))))))))</f>
        <v>-</v>
      </c>
      <c r="N1859" s="10" t="s">
        <v>241</v>
      </c>
      <c r="O1859" s="10" t="s">
        <v>241</v>
      </c>
      <c r="P1859" s="10" t="s">
        <v>242</v>
      </c>
      <c r="Q1859" s="10" t="s">
        <v>242</v>
      </c>
      <c r="R1859" s="10" t="s">
        <v>242</v>
      </c>
      <c r="S1859" s="10" t="s">
        <v>241</v>
      </c>
      <c r="T1859" s="10" t="s">
        <v>242</v>
      </c>
      <c r="U1859" s="10" t="s">
        <v>242</v>
      </c>
      <c r="V1859" s="10" t="s">
        <v>242</v>
      </c>
      <c r="W1859" s="10" t="s">
        <v>242</v>
      </c>
      <c r="X1859" s="15">
        <f>IF(ISERROR(VLOOKUP($A1859,'13. Updated Demand'!A:Z,15,FALSE)),0,VLOOKUP($A1859,'13. Updated Demand'!A:Z,15,FALSE))</f>
        <v>0</v>
      </c>
      <c r="Y1859" s="16">
        <f>IF(ISERROR(VLOOKUP($A1859,'13. Updated Demand'!A:Z,16,FALSE)),0,VLOOKUP($A1859,'13. Updated Demand'!A:Z,16,FALSE))</f>
        <v>0</v>
      </c>
      <c r="Z1859" s="16">
        <f>IF(ISERROR(VLOOKUP($A1859,'13. Updated Demand'!A:Z,17,FALSE)),0,VLOOKUP($A1859,'13. Updated Demand'!A:Z,17,FALSE))</f>
        <v>0</v>
      </c>
      <c r="AA1859" s="16">
        <f>IF(ISERROR(VLOOKUP($A1859,'13. Updated Demand'!A:Z,18,FALSE)),0,VLOOKUP($A1859,'13. Updated Demand'!A:Z,18,FALSE))</f>
        <v>0</v>
      </c>
      <c r="AB1859" s="16">
        <f>IF(ISERROR(VLOOKUP($A1859,'13. Updated Demand'!A:Z,19,FALSE)),0,VLOOKUP($A1859,'13. Updated Demand'!A:Z,19,FALSE))</f>
        <v>0.16</v>
      </c>
      <c r="AC1859" s="16">
        <f>IF(ISERROR(VLOOKUP($A1859,'13. Updated Demand'!A:Z,20,FALSE)),0,VLOOKUP($A1859,'13. Updated Demand'!A:Z,20,FALSE))</f>
        <v>0.43</v>
      </c>
      <c r="AD1859" s="16">
        <f>IF(ISERROR(VLOOKUP($A1859,'13. Updated Demand'!A:Z,21,FALSE)),0,VLOOKUP($A1859,'13. Updated Demand'!A:Z,21,FALSE))</f>
        <v>0.56000000000000005</v>
      </c>
      <c r="AE1859" s="16">
        <f>IF(ISERROR(VLOOKUP($A1859,'13. Updated Demand'!A:Z,22,FALSE)),0,VLOOKUP($A1859,'13. Updated Demand'!A:Z,22,FALSE))</f>
        <v>1.46</v>
      </c>
      <c r="AF1859" s="16">
        <f>IF(ISERROR(VLOOKUP($A1859,'13. Updated Demand'!A:Z,23,FALSE)),0,VLOOKUP($A1859,'13. Updated Demand'!A:Z,23,FALSE))</f>
        <v>1.1299999999999999</v>
      </c>
      <c r="AG1859" s="16">
        <f>IF(ISERROR(VLOOKUP($A1859,'13. Updated Demand'!A:Z,24,FALSE)),0,VLOOKUP($A1859,'13. Updated Demand'!A:Z,24,FALSE))</f>
        <v>0.2</v>
      </c>
      <c r="AH1859" s="16">
        <f>IF(ISERROR(VLOOKUP($A1859,'13. Updated Demand'!A:Z,25,FALSE)),0,VLOOKUP($A1859,'13. Updated Demand'!A:Z,25,FALSE))</f>
        <v>0</v>
      </c>
      <c r="AI1859" s="16">
        <f>IF(ISERROR(VLOOKUP($A1859,'13. Updated Demand'!A:Z,26,FALSE)),0,VLOOKUP($A1859,'13. Updated Demand'!A:Z,26,FALSE))</f>
        <v>0</v>
      </c>
      <c r="AJ1859" s="16">
        <f t="shared" si="349"/>
        <v>3.94</v>
      </c>
      <c r="AK1859" s="19">
        <v>3.7666666666666666</v>
      </c>
      <c r="AL1859" s="16">
        <f t="shared" si="359"/>
        <v>1.2493604269679751E-2</v>
      </c>
      <c r="AM1859" s="26">
        <v>3.1290263206331676E-3</v>
      </c>
      <c r="AN1859" s="19">
        <v>1267.7</v>
      </c>
      <c r="AO1859" s="19" t="s">
        <v>1758</v>
      </c>
      <c r="AP1859" s="19">
        <v>0</v>
      </c>
      <c r="AQ1859" s="19" t="s">
        <v>307</v>
      </c>
      <c r="AR1859" s="9" t="s">
        <v>436</v>
      </c>
      <c r="AS1859" s="12">
        <v>0</v>
      </c>
      <c r="AT1859" s="19">
        <v>38.6845</v>
      </c>
      <c r="AU1859" s="19">
        <v>-122.8511</v>
      </c>
      <c r="AV1859" s="19" t="s">
        <v>2271</v>
      </c>
    </row>
    <row r="1860" spans="1:48" x14ac:dyDescent="0.25">
      <c r="A1860" s="18" t="s">
        <v>143</v>
      </c>
      <c r="B1860" s="10">
        <v>10000000</v>
      </c>
      <c r="C1860" s="9">
        <v>10</v>
      </c>
      <c r="D1860" s="8" t="str">
        <f t="shared" si="350"/>
        <v>N</v>
      </c>
      <c r="E1860" s="8" t="str">
        <f t="shared" si="351"/>
        <v>Y</v>
      </c>
      <c r="F1860" s="8" t="str">
        <f t="shared" si="352"/>
        <v>Y</v>
      </c>
      <c r="G1860" s="8" t="str">
        <f t="shared" si="353"/>
        <v>Y</v>
      </c>
      <c r="H1860" s="8" t="str">
        <f t="shared" si="354"/>
        <v>Upper</v>
      </c>
      <c r="I1860" s="8" t="str">
        <f t="shared" si="355"/>
        <v>West Fork and Below Lake</v>
      </c>
      <c r="J1860" s="8" t="str">
        <f t="shared" si="356"/>
        <v>Sonoma (d/s of Clov. Gage)</v>
      </c>
      <c r="K1860" s="8" t="str">
        <f t="shared" si="357"/>
        <v>Riparian</v>
      </c>
      <c r="L1860" s="8">
        <f t="shared" si="358"/>
        <v>1000</v>
      </c>
      <c r="M1860" s="8" t="str">
        <f t="shared" si="360"/>
        <v>-</v>
      </c>
      <c r="N1860" s="10" t="s">
        <v>241</v>
      </c>
      <c r="O1860" s="10" t="s">
        <v>241</v>
      </c>
      <c r="P1860" s="10" t="s">
        <v>242</v>
      </c>
      <c r="Q1860" s="10" t="s">
        <v>242</v>
      </c>
      <c r="R1860" s="10" t="s">
        <v>242</v>
      </c>
      <c r="S1860" s="10" t="s">
        <v>241</v>
      </c>
      <c r="T1860" s="10" t="s">
        <v>242</v>
      </c>
      <c r="U1860" s="10" t="s">
        <v>242</v>
      </c>
      <c r="V1860" s="10" t="s">
        <v>242</v>
      </c>
      <c r="W1860" s="10" t="s">
        <v>242</v>
      </c>
      <c r="X1860" s="15">
        <f>IF(ISERROR(VLOOKUP($A1860,'13. Updated Demand'!A:Z,15,FALSE)),0,VLOOKUP($A1860,'13. Updated Demand'!A:Z,15,FALSE))</f>
        <v>0.06</v>
      </c>
      <c r="Y1860" s="16">
        <f>IF(ISERROR(VLOOKUP($A1860,'13. Updated Demand'!A:Z,16,FALSE)),0,VLOOKUP($A1860,'13. Updated Demand'!A:Z,16,FALSE))</f>
        <v>0.06</v>
      </c>
      <c r="Z1860" s="16">
        <f>IF(ISERROR(VLOOKUP($A1860,'13. Updated Demand'!A:Z,17,FALSE)),0,VLOOKUP($A1860,'13. Updated Demand'!A:Z,17,FALSE))</f>
        <v>0.06</v>
      </c>
      <c r="AA1860" s="16">
        <f>IF(ISERROR(VLOOKUP($A1860,'13. Updated Demand'!A:Z,18,FALSE)),0,VLOOKUP($A1860,'13. Updated Demand'!A:Z,18,FALSE))</f>
        <v>0.1</v>
      </c>
      <c r="AB1860" s="16">
        <f>IF(ISERROR(VLOOKUP($A1860,'13. Updated Demand'!A:Z,19,FALSE)),0,VLOOKUP($A1860,'13. Updated Demand'!A:Z,19,FALSE))</f>
        <v>0.1</v>
      </c>
      <c r="AC1860" s="16">
        <f>IF(ISERROR(VLOOKUP($A1860,'13. Updated Demand'!A:Z,20,FALSE)),0,VLOOKUP($A1860,'13. Updated Demand'!A:Z,20,FALSE))</f>
        <v>0.1</v>
      </c>
      <c r="AD1860" s="16">
        <f>IF(ISERROR(VLOOKUP($A1860,'13. Updated Demand'!A:Z,21,FALSE)),0,VLOOKUP($A1860,'13. Updated Demand'!A:Z,21,FALSE))</f>
        <v>0.1</v>
      </c>
      <c r="AE1860" s="16">
        <f>IF(ISERROR(VLOOKUP($A1860,'13. Updated Demand'!A:Z,22,FALSE)),0,VLOOKUP($A1860,'13. Updated Demand'!A:Z,22,FALSE))</f>
        <v>0.1</v>
      </c>
      <c r="AF1860" s="16">
        <f>IF(ISERROR(VLOOKUP($A1860,'13. Updated Demand'!A:Z,23,FALSE)),0,VLOOKUP($A1860,'13. Updated Demand'!A:Z,23,FALSE))</f>
        <v>0.1</v>
      </c>
      <c r="AG1860" s="16">
        <f>IF(ISERROR(VLOOKUP($A1860,'13. Updated Demand'!A:Z,24,FALSE)),0,VLOOKUP($A1860,'13. Updated Demand'!A:Z,24,FALSE))</f>
        <v>0.1</v>
      </c>
      <c r="AH1860" s="16">
        <f>IF(ISERROR(VLOOKUP($A1860,'13. Updated Demand'!A:Z,25,FALSE)),0,VLOOKUP($A1860,'13. Updated Demand'!A:Z,25,FALSE))</f>
        <v>0.06</v>
      </c>
      <c r="AI1860" s="16">
        <f>IF(ISERROR(VLOOKUP($A1860,'13. Updated Demand'!A:Z,26,FALSE)),0,VLOOKUP($A1860,'13. Updated Demand'!A:Z,26,FALSE))</f>
        <v>0.06</v>
      </c>
      <c r="AJ1860" s="16">
        <f t="shared" si="349"/>
        <v>1</v>
      </c>
      <c r="AK1860" s="19">
        <v>0.5</v>
      </c>
      <c r="AL1860" s="16">
        <f t="shared" si="359"/>
        <v>1.6584430446477544E-3</v>
      </c>
      <c r="AM1860" s="26">
        <v>6.9022639425731641E-2</v>
      </c>
      <c r="AN1860" s="19">
        <v>14.488</v>
      </c>
      <c r="AO1860" s="19" t="s">
        <v>1758</v>
      </c>
      <c r="AP1860" s="19">
        <v>0</v>
      </c>
      <c r="AQ1860" s="19" t="s">
        <v>307</v>
      </c>
      <c r="AR1860" s="9" t="s">
        <v>436</v>
      </c>
      <c r="AS1860" s="12">
        <v>3.4039024194010059E-4</v>
      </c>
      <c r="AT1860" s="19">
        <v>38.6858</v>
      </c>
      <c r="AU1860" s="19">
        <v>-122.8421</v>
      </c>
      <c r="AV1860" s="19" t="s">
        <v>2271</v>
      </c>
    </row>
    <row r="1861" spans="1:48" x14ac:dyDescent="0.25">
      <c r="A1861" s="18" t="s">
        <v>2272</v>
      </c>
      <c r="B1861" s="10">
        <v>10000000</v>
      </c>
      <c r="C1861" s="9">
        <v>10</v>
      </c>
      <c r="D1861" s="8" t="str">
        <f t="shared" si="350"/>
        <v>N</v>
      </c>
      <c r="E1861" s="8" t="str">
        <f t="shared" si="351"/>
        <v>Y</v>
      </c>
      <c r="F1861" s="8" t="str">
        <f t="shared" si="352"/>
        <v>Y</v>
      </c>
      <c r="G1861" s="8" t="str">
        <f t="shared" si="353"/>
        <v>Y</v>
      </c>
      <c r="H1861" s="8" t="str">
        <f t="shared" si="354"/>
        <v>Upper</v>
      </c>
      <c r="I1861" s="8" t="str">
        <f t="shared" si="355"/>
        <v>West Fork and Below Lake</v>
      </c>
      <c r="J1861" s="8" t="str">
        <f t="shared" si="356"/>
        <v>Sonoma (d/s of Clov. Gage)</v>
      </c>
      <c r="K1861" s="8" t="str">
        <f t="shared" si="357"/>
        <v>Riparian</v>
      </c>
      <c r="L1861" s="8">
        <f t="shared" si="358"/>
        <v>1000</v>
      </c>
      <c r="M1861" s="8" t="str">
        <f t="shared" si="360"/>
        <v>-</v>
      </c>
      <c r="N1861" s="10" t="s">
        <v>241</v>
      </c>
      <c r="O1861" s="10" t="s">
        <v>241</v>
      </c>
      <c r="P1861" s="10" t="s">
        <v>242</v>
      </c>
      <c r="Q1861" s="10" t="s">
        <v>242</v>
      </c>
      <c r="R1861" s="10" t="s">
        <v>242</v>
      </c>
      <c r="S1861" s="10" t="s">
        <v>241</v>
      </c>
      <c r="T1861" s="10" t="s">
        <v>242</v>
      </c>
      <c r="U1861" s="10" t="s">
        <v>242</v>
      </c>
      <c r="V1861" s="10" t="s">
        <v>242</v>
      </c>
      <c r="W1861" s="10" t="s">
        <v>242</v>
      </c>
      <c r="X1861" s="15">
        <f>IF(ISERROR(VLOOKUP($A1861,'13. Updated Demand'!A:Z,15,FALSE)),0,VLOOKUP($A1861,'13. Updated Demand'!A:Z,15,FALSE))</f>
        <v>0</v>
      </c>
      <c r="Y1861" s="16">
        <f>IF(ISERROR(VLOOKUP($A1861,'13. Updated Demand'!A:Z,16,FALSE)),0,VLOOKUP($A1861,'13. Updated Demand'!A:Z,16,FALSE))</f>
        <v>0</v>
      </c>
      <c r="Z1861" s="16">
        <f>IF(ISERROR(VLOOKUP($A1861,'13. Updated Demand'!A:Z,17,FALSE)),0,VLOOKUP($A1861,'13. Updated Demand'!A:Z,17,FALSE))</f>
        <v>0</v>
      </c>
      <c r="AA1861" s="16">
        <f>IF(ISERROR(VLOOKUP($A1861,'13. Updated Demand'!A:Z,18,FALSE)),0,VLOOKUP($A1861,'13. Updated Demand'!A:Z,18,FALSE))</f>
        <v>0</v>
      </c>
      <c r="AB1861" s="16">
        <f>IF(ISERROR(VLOOKUP($A1861,'13. Updated Demand'!A:Z,19,FALSE)),0,VLOOKUP($A1861,'13. Updated Demand'!A:Z,19,FALSE))</f>
        <v>0</v>
      </c>
      <c r="AC1861" s="16">
        <f>IF(ISERROR(VLOOKUP($A1861,'13. Updated Demand'!A:Z,20,FALSE)),0,VLOOKUP($A1861,'13. Updated Demand'!A:Z,20,FALSE))</f>
        <v>0</v>
      </c>
      <c r="AD1861" s="16">
        <f>IF(ISERROR(VLOOKUP($A1861,'13. Updated Demand'!A:Z,21,FALSE)),0,VLOOKUP($A1861,'13. Updated Demand'!A:Z,21,FALSE))</f>
        <v>0</v>
      </c>
      <c r="AE1861" s="16">
        <f>IF(ISERROR(VLOOKUP($A1861,'13. Updated Demand'!A:Z,22,FALSE)),0,VLOOKUP($A1861,'13. Updated Demand'!A:Z,22,FALSE))</f>
        <v>6.53</v>
      </c>
      <c r="AF1861" s="16">
        <f>IF(ISERROR(VLOOKUP($A1861,'13. Updated Demand'!A:Z,23,FALSE)),0,VLOOKUP($A1861,'13. Updated Demand'!A:Z,23,FALSE))</f>
        <v>6.8</v>
      </c>
      <c r="AG1861" s="16">
        <f>IF(ISERROR(VLOOKUP($A1861,'13. Updated Demand'!A:Z,24,FALSE)),0,VLOOKUP($A1861,'13. Updated Demand'!A:Z,24,FALSE))</f>
        <v>0.73</v>
      </c>
      <c r="AH1861" s="16">
        <f>IF(ISERROR(VLOOKUP($A1861,'13. Updated Demand'!A:Z,25,FALSE)),0,VLOOKUP($A1861,'13. Updated Demand'!A:Z,25,FALSE))</f>
        <v>0</v>
      </c>
      <c r="AI1861" s="16">
        <f>IF(ISERROR(VLOOKUP($A1861,'13. Updated Demand'!A:Z,26,FALSE)),0,VLOOKUP($A1861,'13. Updated Demand'!A:Z,26,FALSE))</f>
        <v>0</v>
      </c>
      <c r="AJ1861" s="16">
        <f t="shared" si="349"/>
        <v>14.06</v>
      </c>
      <c r="AK1861" s="19">
        <v>13.333333333333329</v>
      </c>
      <c r="AL1861" s="16">
        <f t="shared" si="359"/>
        <v>4.4225147857273439E-2</v>
      </c>
      <c r="AM1861" s="26">
        <v>2.1575965805673138E-2</v>
      </c>
      <c r="AN1861" s="19">
        <v>651.96</v>
      </c>
      <c r="AO1861" s="19" t="s">
        <v>1758</v>
      </c>
      <c r="AP1861" s="19">
        <v>0</v>
      </c>
      <c r="AQ1861" s="19" t="s">
        <v>307</v>
      </c>
      <c r="AR1861" s="9" t="s">
        <v>436</v>
      </c>
      <c r="AS1861" s="12">
        <v>0</v>
      </c>
      <c r="AT1861" s="19">
        <v>38.674700000000001</v>
      </c>
      <c r="AU1861" s="19">
        <v>-122.8353</v>
      </c>
      <c r="AV1861" s="19" t="s">
        <v>2273</v>
      </c>
    </row>
    <row r="1862" spans="1:48" x14ac:dyDescent="0.25">
      <c r="A1862" s="18" t="s">
        <v>2274</v>
      </c>
      <c r="B1862" s="10">
        <v>10000000</v>
      </c>
      <c r="C1862" s="9">
        <v>10</v>
      </c>
      <c r="D1862" s="8" t="str">
        <f t="shared" si="350"/>
        <v>N</v>
      </c>
      <c r="E1862" s="8" t="str">
        <f t="shared" si="351"/>
        <v>Y</v>
      </c>
      <c r="F1862" s="8" t="str">
        <f t="shared" si="352"/>
        <v>Y</v>
      </c>
      <c r="G1862" s="8" t="str">
        <f t="shared" si="353"/>
        <v>Y</v>
      </c>
      <c r="H1862" s="8" t="str">
        <f t="shared" si="354"/>
        <v>Upper</v>
      </c>
      <c r="I1862" s="8" t="str">
        <f t="shared" si="355"/>
        <v>West Fork and Below Lake</v>
      </c>
      <c r="J1862" s="8" t="str">
        <f t="shared" si="356"/>
        <v>Sonoma (d/s of Clov. Gage)</v>
      </c>
      <c r="K1862" s="8" t="str">
        <f t="shared" si="357"/>
        <v>Riparian</v>
      </c>
      <c r="L1862" s="8">
        <f t="shared" si="358"/>
        <v>1000</v>
      </c>
      <c r="M1862" s="8" t="str">
        <f t="shared" si="360"/>
        <v>-</v>
      </c>
      <c r="N1862" s="10" t="s">
        <v>241</v>
      </c>
      <c r="O1862" s="10" t="s">
        <v>241</v>
      </c>
      <c r="P1862" s="10" t="s">
        <v>242</v>
      </c>
      <c r="Q1862" s="10" t="s">
        <v>242</v>
      </c>
      <c r="R1862" s="10" t="s">
        <v>242</v>
      </c>
      <c r="S1862" s="10" t="s">
        <v>241</v>
      </c>
      <c r="T1862" s="10" t="s">
        <v>242</v>
      </c>
      <c r="U1862" s="10" t="s">
        <v>242</v>
      </c>
      <c r="V1862" s="10" t="s">
        <v>242</v>
      </c>
      <c r="W1862" s="10" t="s">
        <v>242</v>
      </c>
      <c r="X1862" s="15">
        <f>IF(ISERROR(VLOOKUP($A1862,'13. Updated Demand'!A:Z,15,FALSE)),0,VLOOKUP($A1862,'13. Updated Demand'!A:Z,15,FALSE))</f>
        <v>0.06</v>
      </c>
      <c r="Y1862" s="16">
        <f>IF(ISERROR(VLOOKUP($A1862,'13. Updated Demand'!A:Z,16,FALSE)),0,VLOOKUP($A1862,'13. Updated Demand'!A:Z,16,FALSE))</f>
        <v>0.06</v>
      </c>
      <c r="Z1862" s="16">
        <f>IF(ISERROR(VLOOKUP($A1862,'13. Updated Demand'!A:Z,17,FALSE)),0,VLOOKUP($A1862,'13. Updated Demand'!A:Z,17,FALSE))</f>
        <v>0.06</v>
      </c>
      <c r="AA1862" s="16">
        <f>IF(ISERROR(VLOOKUP($A1862,'13. Updated Demand'!A:Z,18,FALSE)),0,VLOOKUP($A1862,'13. Updated Demand'!A:Z,18,FALSE))</f>
        <v>0.1</v>
      </c>
      <c r="AB1862" s="16">
        <f>IF(ISERROR(VLOOKUP($A1862,'13. Updated Demand'!A:Z,19,FALSE)),0,VLOOKUP($A1862,'13. Updated Demand'!A:Z,19,FALSE))</f>
        <v>0.1</v>
      </c>
      <c r="AC1862" s="16">
        <f>IF(ISERROR(VLOOKUP($A1862,'13. Updated Demand'!A:Z,20,FALSE)),0,VLOOKUP($A1862,'13. Updated Demand'!A:Z,20,FALSE))</f>
        <v>0.1</v>
      </c>
      <c r="AD1862" s="16">
        <f>IF(ISERROR(VLOOKUP($A1862,'13. Updated Demand'!A:Z,21,FALSE)),0,VLOOKUP($A1862,'13. Updated Demand'!A:Z,21,FALSE))</f>
        <v>0.1</v>
      </c>
      <c r="AE1862" s="16">
        <f>IF(ISERROR(VLOOKUP($A1862,'13. Updated Demand'!A:Z,22,FALSE)),0,VLOOKUP($A1862,'13. Updated Demand'!A:Z,22,FALSE))</f>
        <v>0.1</v>
      </c>
      <c r="AF1862" s="16">
        <f>IF(ISERROR(VLOOKUP($A1862,'13. Updated Demand'!A:Z,23,FALSE)),0,VLOOKUP($A1862,'13. Updated Demand'!A:Z,23,FALSE))</f>
        <v>0.1</v>
      </c>
      <c r="AG1862" s="16">
        <f>IF(ISERROR(VLOOKUP($A1862,'13. Updated Demand'!A:Z,24,FALSE)),0,VLOOKUP($A1862,'13. Updated Demand'!A:Z,24,FALSE))</f>
        <v>0.1</v>
      </c>
      <c r="AH1862" s="16">
        <f>IF(ISERROR(VLOOKUP($A1862,'13. Updated Demand'!A:Z,25,FALSE)),0,VLOOKUP($A1862,'13. Updated Demand'!A:Z,25,FALSE))</f>
        <v>0.06</v>
      </c>
      <c r="AI1862" s="16">
        <f>IF(ISERROR(VLOOKUP($A1862,'13. Updated Demand'!A:Z,26,FALSE)),0,VLOOKUP($A1862,'13. Updated Demand'!A:Z,26,FALSE))</f>
        <v>0.06</v>
      </c>
      <c r="AJ1862" s="16">
        <f t="shared" si="349"/>
        <v>1</v>
      </c>
      <c r="AK1862" s="19">
        <v>0.5</v>
      </c>
      <c r="AL1862" s="16">
        <f t="shared" si="359"/>
        <v>1.6584430446477544E-3</v>
      </c>
      <c r="AM1862" s="26">
        <v>3.9441508243275226E-2</v>
      </c>
      <c r="AN1862" s="19">
        <v>25.353999999999999</v>
      </c>
      <c r="AO1862" s="19" t="s">
        <v>1758</v>
      </c>
      <c r="AP1862" s="19">
        <v>0</v>
      </c>
      <c r="AQ1862" s="19" t="s">
        <v>307</v>
      </c>
      <c r="AR1862" s="9" t="s">
        <v>436</v>
      </c>
      <c r="AS1862" s="12">
        <v>3.4039024194010059E-4</v>
      </c>
      <c r="AT1862" s="19">
        <v>38.674999999999997</v>
      </c>
      <c r="AU1862" s="19">
        <v>-122.8342</v>
      </c>
      <c r="AV1862" s="19" t="s">
        <v>2271</v>
      </c>
    </row>
    <row r="1863" spans="1:48" x14ac:dyDescent="0.25">
      <c r="A1863" s="18" t="s">
        <v>33</v>
      </c>
      <c r="B1863" s="10">
        <v>10000000</v>
      </c>
      <c r="C1863" s="9">
        <v>10</v>
      </c>
      <c r="D1863" s="8" t="str">
        <f t="shared" si="350"/>
        <v>N</v>
      </c>
      <c r="E1863" s="8" t="str">
        <f t="shared" si="351"/>
        <v>Y</v>
      </c>
      <c r="F1863" s="8" t="str">
        <f t="shared" si="352"/>
        <v>Y</v>
      </c>
      <c r="G1863" s="8" t="str">
        <f t="shared" si="353"/>
        <v>Y</v>
      </c>
      <c r="H1863" s="8" t="str">
        <f t="shared" si="354"/>
        <v>Upper</v>
      </c>
      <c r="I1863" s="8" t="str">
        <f t="shared" si="355"/>
        <v>West Fork and Below Lake</v>
      </c>
      <c r="J1863" s="8" t="str">
        <f t="shared" si="356"/>
        <v>Sonoma (d/s of Clov. Gage)</v>
      </c>
      <c r="K1863" s="8" t="str">
        <f t="shared" si="357"/>
        <v>Riparian</v>
      </c>
      <c r="L1863" s="8">
        <f t="shared" si="358"/>
        <v>1000</v>
      </c>
      <c r="M1863" s="8" t="str">
        <f t="shared" si="360"/>
        <v>-</v>
      </c>
      <c r="N1863" s="10" t="s">
        <v>242</v>
      </c>
      <c r="O1863" s="10" t="s">
        <v>241</v>
      </c>
      <c r="P1863" s="10" t="s">
        <v>242</v>
      </c>
      <c r="Q1863" s="10" t="s">
        <v>242</v>
      </c>
      <c r="R1863" s="10" t="s">
        <v>242</v>
      </c>
      <c r="S1863" s="10" t="s">
        <v>241</v>
      </c>
      <c r="T1863" s="10" t="s">
        <v>242</v>
      </c>
      <c r="U1863" s="10" t="s">
        <v>242</v>
      </c>
      <c r="V1863" s="10" t="s">
        <v>242</v>
      </c>
      <c r="W1863" s="10" t="s">
        <v>242</v>
      </c>
      <c r="X1863" s="15">
        <f>IF(ISERROR(VLOOKUP($A1863,'13. Updated Demand'!A:Z,15,FALSE)),0,VLOOKUP($A1863,'13. Updated Demand'!A:Z,15,FALSE))</f>
        <v>0.73</v>
      </c>
      <c r="Y1863" s="16">
        <f>IF(ISERROR(VLOOKUP($A1863,'13. Updated Demand'!A:Z,16,FALSE)),0,VLOOKUP($A1863,'13. Updated Demand'!A:Z,16,FALSE))</f>
        <v>1.88</v>
      </c>
      <c r="Z1863" s="16">
        <f>IF(ISERROR(VLOOKUP($A1863,'13. Updated Demand'!A:Z,17,FALSE)),0,VLOOKUP($A1863,'13. Updated Demand'!A:Z,17,FALSE))</f>
        <v>2.76</v>
      </c>
      <c r="AA1863" s="16">
        <f>IF(ISERROR(VLOOKUP($A1863,'13. Updated Demand'!A:Z,18,FALSE)),0,VLOOKUP($A1863,'13. Updated Demand'!A:Z,18,FALSE))</f>
        <v>2.4300000000000002</v>
      </c>
      <c r="AB1863" s="16">
        <f>IF(ISERROR(VLOOKUP($A1863,'13. Updated Demand'!A:Z,19,FALSE)),0,VLOOKUP($A1863,'13. Updated Demand'!A:Z,19,FALSE))</f>
        <v>4.22</v>
      </c>
      <c r="AC1863" s="16">
        <f>IF(ISERROR(VLOOKUP($A1863,'13. Updated Demand'!A:Z,20,FALSE)),0,VLOOKUP($A1863,'13. Updated Demand'!A:Z,20,FALSE))</f>
        <v>5.61</v>
      </c>
      <c r="AD1863" s="16">
        <f>IF(ISERROR(VLOOKUP($A1863,'13. Updated Demand'!A:Z,21,FALSE)),0,VLOOKUP($A1863,'13. Updated Demand'!A:Z,21,FALSE))</f>
        <v>6.32</v>
      </c>
      <c r="AE1863" s="16">
        <f>IF(ISERROR(VLOOKUP($A1863,'13. Updated Demand'!A:Z,22,FALSE)),0,VLOOKUP($A1863,'13. Updated Demand'!A:Z,22,FALSE))</f>
        <v>4.82</v>
      </c>
      <c r="AF1863" s="16">
        <f>IF(ISERROR(VLOOKUP($A1863,'13. Updated Demand'!A:Z,23,FALSE)),0,VLOOKUP($A1863,'13. Updated Demand'!A:Z,23,FALSE))</f>
        <v>3.59</v>
      </c>
      <c r="AG1863" s="16">
        <f>IF(ISERROR(VLOOKUP($A1863,'13. Updated Demand'!A:Z,24,FALSE)),0,VLOOKUP($A1863,'13. Updated Demand'!A:Z,24,FALSE))</f>
        <v>1.19</v>
      </c>
      <c r="AH1863" s="16">
        <f>IF(ISERROR(VLOOKUP($A1863,'13. Updated Demand'!A:Z,25,FALSE)),0,VLOOKUP($A1863,'13. Updated Demand'!A:Z,25,FALSE))</f>
        <v>0.68</v>
      </c>
      <c r="AI1863" s="16">
        <f>IF(ISERROR(VLOOKUP($A1863,'13. Updated Demand'!A:Z,26,FALSE)),0,VLOOKUP($A1863,'13. Updated Demand'!A:Z,26,FALSE))</f>
        <v>0.56999999999999995</v>
      </c>
      <c r="AJ1863" s="16">
        <f t="shared" si="349"/>
        <v>34.799999999999997</v>
      </c>
      <c r="AK1863" s="19">
        <v>24.576666667000001</v>
      </c>
      <c r="AL1863" s="16">
        <f t="shared" si="359"/>
        <v>8.1518003789024934E-2</v>
      </c>
      <c r="AM1863" s="26">
        <v>2.9786324786324783</v>
      </c>
      <c r="AN1863" s="19">
        <v>11.7</v>
      </c>
      <c r="AO1863" s="19" t="s">
        <v>1758</v>
      </c>
      <c r="AP1863" s="19">
        <v>0</v>
      </c>
      <c r="AQ1863" s="19" t="s">
        <v>307</v>
      </c>
      <c r="AR1863" s="9" t="s">
        <v>436</v>
      </c>
      <c r="AS1863" s="12">
        <v>0</v>
      </c>
      <c r="AT1863" s="19">
        <v>38.714100000000002</v>
      </c>
      <c r="AU1863" s="19">
        <v>-122.8165</v>
      </c>
      <c r="AV1863" s="19"/>
    </row>
    <row r="1864" spans="1:48" x14ac:dyDescent="0.25">
      <c r="A1864" s="18" t="s">
        <v>2275</v>
      </c>
      <c r="B1864" s="10">
        <v>10000000</v>
      </c>
      <c r="C1864" s="9">
        <v>18</v>
      </c>
      <c r="D1864" s="8" t="str">
        <f t="shared" si="350"/>
        <v>N</v>
      </c>
      <c r="E1864" s="8" t="str">
        <f t="shared" si="351"/>
        <v>N</v>
      </c>
      <c r="F1864" s="8" t="str">
        <f t="shared" si="352"/>
        <v>N</v>
      </c>
      <c r="G1864" s="8" t="str">
        <f t="shared" si="353"/>
        <v>N</v>
      </c>
      <c r="H1864" s="8" t="str">
        <f t="shared" si="354"/>
        <v>Lower</v>
      </c>
      <c r="I1864" s="8" t="str">
        <f t="shared" si="355"/>
        <v>Outside</v>
      </c>
      <c r="J1864" s="8" t="str">
        <f t="shared" si="356"/>
        <v>Outside</v>
      </c>
      <c r="K1864" s="8" t="str">
        <f t="shared" si="357"/>
        <v>Riparian</v>
      </c>
      <c r="L1864" s="8">
        <f t="shared" si="358"/>
        <v>1000</v>
      </c>
      <c r="M1864" s="8" t="str">
        <f t="shared" si="360"/>
        <v>-</v>
      </c>
      <c r="N1864" s="10" t="s">
        <v>241</v>
      </c>
      <c r="O1864" s="10" t="s">
        <v>242</v>
      </c>
      <c r="P1864" s="10" t="s">
        <v>242</v>
      </c>
      <c r="Q1864" s="10" t="s">
        <v>242</v>
      </c>
      <c r="R1864" s="10" t="s">
        <v>242</v>
      </c>
      <c r="S1864" s="10" t="s">
        <v>241</v>
      </c>
      <c r="T1864" s="10" t="s">
        <v>242</v>
      </c>
      <c r="U1864" s="10" t="s">
        <v>242</v>
      </c>
      <c r="V1864" s="10" t="s">
        <v>242</v>
      </c>
      <c r="W1864" s="10" t="s">
        <v>242</v>
      </c>
      <c r="X1864" s="15">
        <f>IF(ISERROR(VLOOKUP($A1864,'13. Updated Demand'!A:Z,15,FALSE)),0,VLOOKUP($A1864,'13. Updated Demand'!A:Z,15,FALSE))</f>
        <v>0</v>
      </c>
      <c r="Y1864" s="16">
        <f>IF(ISERROR(VLOOKUP($A1864,'13. Updated Demand'!A:Z,16,FALSE)),0,VLOOKUP($A1864,'13. Updated Demand'!A:Z,16,FALSE))</f>
        <v>0.16666666699999999</v>
      </c>
      <c r="Z1864" s="16">
        <f>IF(ISERROR(VLOOKUP($A1864,'13. Updated Demand'!A:Z,17,FALSE)),0,VLOOKUP($A1864,'13. Updated Demand'!A:Z,17,FALSE))</f>
        <v>1.9</v>
      </c>
      <c r="AA1864" s="16">
        <f>IF(ISERROR(VLOOKUP($A1864,'13. Updated Demand'!A:Z,18,FALSE)),0,VLOOKUP($A1864,'13. Updated Demand'!A:Z,18,FALSE))</f>
        <v>0.133333333</v>
      </c>
      <c r="AB1864" s="16">
        <f>IF(ISERROR(VLOOKUP($A1864,'13. Updated Demand'!A:Z,19,FALSE)),0,VLOOKUP($A1864,'13. Updated Demand'!A:Z,19,FALSE))</f>
        <v>0</v>
      </c>
      <c r="AC1864" s="16">
        <f>IF(ISERROR(VLOOKUP($A1864,'13. Updated Demand'!A:Z,20,FALSE)),0,VLOOKUP($A1864,'13. Updated Demand'!A:Z,20,FALSE))</f>
        <v>0</v>
      </c>
      <c r="AD1864" s="16">
        <f>IF(ISERROR(VLOOKUP($A1864,'13. Updated Demand'!A:Z,21,FALSE)),0,VLOOKUP($A1864,'13. Updated Demand'!A:Z,21,FALSE))</f>
        <v>0</v>
      </c>
      <c r="AE1864" s="16">
        <f>IF(ISERROR(VLOOKUP($A1864,'13. Updated Demand'!A:Z,22,FALSE)),0,VLOOKUP($A1864,'13. Updated Demand'!A:Z,22,FALSE))</f>
        <v>1.8</v>
      </c>
      <c r="AF1864" s="16">
        <f>IF(ISERROR(VLOOKUP($A1864,'13. Updated Demand'!A:Z,23,FALSE)),0,VLOOKUP($A1864,'13. Updated Demand'!A:Z,23,FALSE))</f>
        <v>0.4</v>
      </c>
      <c r="AG1864" s="16">
        <f>IF(ISERROR(VLOOKUP($A1864,'13. Updated Demand'!A:Z,24,FALSE)),0,VLOOKUP($A1864,'13. Updated Demand'!A:Z,24,FALSE))</f>
        <v>1.1000000000000001</v>
      </c>
      <c r="AH1864" s="16">
        <f>IF(ISERROR(VLOOKUP($A1864,'13. Updated Demand'!A:Z,25,FALSE)),0,VLOOKUP($A1864,'13. Updated Demand'!A:Z,25,FALSE))</f>
        <v>0.56666666700000001</v>
      </c>
      <c r="AI1864" s="16">
        <f>IF(ISERROR(VLOOKUP($A1864,'13. Updated Demand'!A:Z,26,FALSE)),0,VLOOKUP($A1864,'13. Updated Demand'!A:Z,26,FALSE))</f>
        <v>0</v>
      </c>
      <c r="AJ1864" s="16">
        <f t="shared" si="349"/>
        <v>6.0666666669999998</v>
      </c>
      <c r="AK1864" s="19">
        <v>2.2000000000000002</v>
      </c>
      <c r="AL1864" s="16">
        <f t="shared" si="359"/>
        <v>7.2971493964501212E-3</v>
      </c>
      <c r="AM1864" s="26">
        <v>0.44413859078729667</v>
      </c>
      <c r="AN1864" s="19">
        <v>13.6594</v>
      </c>
      <c r="AO1864" s="19" t="s">
        <v>1758</v>
      </c>
      <c r="AP1864" s="19">
        <v>0</v>
      </c>
      <c r="AQ1864" s="19" t="s">
        <v>307</v>
      </c>
      <c r="AR1864" s="9" t="s">
        <v>352</v>
      </c>
      <c r="AS1864" s="12">
        <v>0</v>
      </c>
      <c r="AT1864" s="19">
        <v>38.518300000000004</v>
      </c>
      <c r="AU1864" s="19">
        <v>-122.8826</v>
      </c>
      <c r="AV1864" s="19" t="s">
        <v>548</v>
      </c>
    </row>
    <row r="1865" spans="1:48" x14ac:dyDescent="0.25">
      <c r="A1865" s="18" t="s">
        <v>2276</v>
      </c>
      <c r="B1865" s="10">
        <v>10000000</v>
      </c>
      <c r="C1865" s="9">
        <v>23</v>
      </c>
      <c r="D1865" s="8" t="str">
        <f t="shared" si="350"/>
        <v>N</v>
      </c>
      <c r="E1865" s="8" t="str">
        <f t="shared" si="351"/>
        <v>N</v>
      </c>
      <c r="F1865" s="8" t="str">
        <f t="shared" si="352"/>
        <v>N</v>
      </c>
      <c r="G1865" s="8" t="str">
        <f t="shared" si="353"/>
        <v>N</v>
      </c>
      <c r="H1865" s="8" t="str">
        <f t="shared" si="354"/>
        <v>Lower</v>
      </c>
      <c r="I1865" s="8" t="str">
        <f t="shared" si="355"/>
        <v>Outside</v>
      </c>
      <c r="J1865" s="8" t="str">
        <f t="shared" si="356"/>
        <v>Outside</v>
      </c>
      <c r="K1865" s="8" t="str">
        <f t="shared" si="357"/>
        <v>Riparian</v>
      </c>
      <c r="L1865" s="8">
        <f t="shared" si="358"/>
        <v>1000</v>
      </c>
      <c r="M1865" s="8" t="str">
        <f t="shared" si="360"/>
        <v>-</v>
      </c>
      <c r="N1865" s="10" t="s">
        <v>242</v>
      </c>
      <c r="O1865" s="10" t="s">
        <v>242</v>
      </c>
      <c r="P1865" s="10" t="s">
        <v>242</v>
      </c>
      <c r="Q1865" s="10" t="s">
        <v>242</v>
      </c>
      <c r="R1865" s="10" t="s">
        <v>242</v>
      </c>
      <c r="S1865" s="10" t="s">
        <v>241</v>
      </c>
      <c r="T1865" s="10" t="s">
        <v>242</v>
      </c>
      <c r="U1865" s="10" t="s">
        <v>241</v>
      </c>
      <c r="V1865" s="10" t="s">
        <v>241</v>
      </c>
      <c r="W1865" s="10" t="s">
        <v>242</v>
      </c>
      <c r="X1865" s="15">
        <f>IF(ISERROR(VLOOKUP($A1865,'13. Updated Demand'!A:Z,15,FALSE)),0,VLOOKUP($A1865,'13. Updated Demand'!A:Z,15,FALSE))</f>
        <v>0</v>
      </c>
      <c r="Y1865" s="16">
        <f>IF(ISERROR(VLOOKUP($A1865,'13. Updated Demand'!A:Z,16,FALSE)),0,VLOOKUP($A1865,'13. Updated Demand'!A:Z,16,FALSE))</f>
        <v>0</v>
      </c>
      <c r="Z1865" s="16">
        <f>IF(ISERROR(VLOOKUP($A1865,'13. Updated Demand'!A:Z,17,FALSE)),0,VLOOKUP($A1865,'13. Updated Demand'!A:Z,17,FALSE))</f>
        <v>0</v>
      </c>
      <c r="AA1865" s="16">
        <f>IF(ISERROR(VLOOKUP($A1865,'13. Updated Demand'!A:Z,18,FALSE)),0,VLOOKUP($A1865,'13. Updated Demand'!A:Z,18,FALSE))</f>
        <v>0</v>
      </c>
      <c r="AB1865" s="16">
        <f>IF(ISERROR(VLOOKUP($A1865,'13. Updated Demand'!A:Z,19,FALSE)),0,VLOOKUP($A1865,'13. Updated Demand'!A:Z,19,FALSE))</f>
        <v>0</v>
      </c>
      <c r="AC1865" s="16">
        <f>IF(ISERROR(VLOOKUP($A1865,'13. Updated Demand'!A:Z,20,FALSE)),0,VLOOKUP($A1865,'13. Updated Demand'!A:Z,20,FALSE))</f>
        <v>0</v>
      </c>
      <c r="AD1865" s="16">
        <f>IF(ISERROR(VLOOKUP($A1865,'13. Updated Demand'!A:Z,21,FALSE)),0,VLOOKUP($A1865,'13. Updated Demand'!A:Z,21,FALSE))</f>
        <v>0</v>
      </c>
      <c r="AE1865" s="16">
        <f>IF(ISERROR(VLOOKUP($A1865,'13. Updated Demand'!A:Z,22,FALSE)),0,VLOOKUP($A1865,'13. Updated Demand'!A:Z,22,FALSE))</f>
        <v>0</v>
      </c>
      <c r="AF1865" s="16">
        <f>IF(ISERROR(VLOOKUP($A1865,'13. Updated Demand'!A:Z,23,FALSE)),0,VLOOKUP($A1865,'13. Updated Demand'!A:Z,23,FALSE))</f>
        <v>0</v>
      </c>
      <c r="AG1865" s="16">
        <f>IF(ISERROR(VLOOKUP($A1865,'13. Updated Demand'!A:Z,24,FALSE)),0,VLOOKUP($A1865,'13. Updated Demand'!A:Z,24,FALSE))</f>
        <v>0</v>
      </c>
      <c r="AH1865" s="16">
        <f>IF(ISERROR(VLOOKUP($A1865,'13. Updated Demand'!A:Z,25,FALSE)),0,VLOOKUP($A1865,'13. Updated Demand'!A:Z,25,FALSE))</f>
        <v>0</v>
      </c>
      <c r="AI1865" s="16">
        <f>IF(ISERROR(VLOOKUP($A1865,'13. Updated Demand'!A:Z,26,FALSE)),0,VLOOKUP($A1865,'13. Updated Demand'!A:Z,26,FALSE))</f>
        <v>0</v>
      </c>
      <c r="AJ1865" s="16">
        <f t="shared" si="349"/>
        <v>0</v>
      </c>
      <c r="AK1865" s="19">
        <v>0</v>
      </c>
      <c r="AL1865" s="16">
        <f t="shared" si="359"/>
        <v>0</v>
      </c>
      <c r="AM1865" s="26">
        <v>0</v>
      </c>
      <c r="AN1865" s="19">
        <v>1.3902000000000001</v>
      </c>
      <c r="AO1865" s="19" t="s">
        <v>1758</v>
      </c>
      <c r="AP1865" s="19">
        <v>0</v>
      </c>
      <c r="AQ1865" s="19" t="s">
        <v>307</v>
      </c>
      <c r="AR1865" s="9" t="s">
        <v>323</v>
      </c>
      <c r="AS1865" s="12">
        <v>0</v>
      </c>
      <c r="AT1865" s="19">
        <v>38.4893</v>
      </c>
      <c r="AU1865" s="19">
        <v>-122.7991</v>
      </c>
      <c r="AV1865" s="19" t="s">
        <v>414</v>
      </c>
    </row>
    <row r="1866" spans="1:48" x14ac:dyDescent="0.25">
      <c r="A1866" s="18" t="s">
        <v>60</v>
      </c>
      <c r="B1866" s="10">
        <v>10000000</v>
      </c>
      <c r="C1866" s="9">
        <v>5</v>
      </c>
      <c r="D1866" s="8" t="str">
        <f t="shared" si="350"/>
        <v>Y</v>
      </c>
      <c r="E1866" s="8" t="str">
        <f t="shared" si="351"/>
        <v>N</v>
      </c>
      <c r="F1866" s="8" t="str">
        <f t="shared" si="352"/>
        <v>Y</v>
      </c>
      <c r="G1866" s="8" t="str">
        <f t="shared" si="353"/>
        <v>Y</v>
      </c>
      <c r="H1866" s="8" t="str">
        <f t="shared" si="354"/>
        <v>Upper</v>
      </c>
      <c r="I1866" s="8" t="str">
        <f t="shared" si="355"/>
        <v>West Fork and Below Lake</v>
      </c>
      <c r="J1866" s="8" t="str">
        <f t="shared" si="356"/>
        <v>Mendocino (d/s of lake)</v>
      </c>
      <c r="K1866" s="8" t="str">
        <f t="shared" si="357"/>
        <v>Riparian</v>
      </c>
      <c r="L1866" s="8">
        <f t="shared" si="358"/>
        <v>1000</v>
      </c>
      <c r="M1866" s="8" t="str">
        <f t="shared" si="360"/>
        <v>-</v>
      </c>
      <c r="N1866" s="10" t="s">
        <v>241</v>
      </c>
      <c r="O1866" s="10" t="s">
        <v>241</v>
      </c>
      <c r="P1866" s="10" t="s">
        <v>242</v>
      </c>
      <c r="Q1866" s="10" t="s">
        <v>242</v>
      </c>
      <c r="R1866" s="10" t="s">
        <v>242</v>
      </c>
      <c r="S1866" s="10" t="s">
        <v>241</v>
      </c>
      <c r="T1866" s="10" t="s">
        <v>242</v>
      </c>
      <c r="U1866" s="10" t="s">
        <v>242</v>
      </c>
      <c r="V1866" s="10" t="s">
        <v>241</v>
      </c>
      <c r="W1866" s="10" t="s">
        <v>242</v>
      </c>
      <c r="X1866" s="15">
        <f>IF(ISERROR(VLOOKUP($A1866,'13. Updated Demand'!A:Z,15,FALSE)),0,VLOOKUP($A1866,'13. Updated Demand'!A:Z,15,FALSE))</f>
        <v>0</v>
      </c>
      <c r="Y1866" s="16">
        <f>IF(ISERROR(VLOOKUP($A1866,'13. Updated Demand'!A:Z,16,FALSE)),0,VLOOKUP($A1866,'13. Updated Demand'!A:Z,16,FALSE))</f>
        <v>0</v>
      </c>
      <c r="Z1866" s="16">
        <f>IF(ISERROR(VLOOKUP($A1866,'13. Updated Demand'!A:Z,17,FALSE)),0,VLOOKUP($A1866,'13. Updated Demand'!A:Z,17,FALSE))</f>
        <v>0.73</v>
      </c>
      <c r="AA1866" s="16">
        <f>IF(ISERROR(VLOOKUP($A1866,'13. Updated Demand'!A:Z,18,FALSE)),0,VLOOKUP($A1866,'13. Updated Demand'!A:Z,18,FALSE))</f>
        <v>0.9</v>
      </c>
      <c r="AB1866" s="16">
        <f>IF(ISERROR(VLOOKUP($A1866,'13. Updated Demand'!A:Z,19,FALSE)),0,VLOOKUP($A1866,'13. Updated Demand'!A:Z,19,FALSE))</f>
        <v>0</v>
      </c>
      <c r="AC1866" s="16">
        <f>IF(ISERROR(VLOOKUP($A1866,'13. Updated Demand'!A:Z,20,FALSE)),0,VLOOKUP($A1866,'13. Updated Demand'!A:Z,20,FALSE))</f>
        <v>0</v>
      </c>
      <c r="AD1866" s="16">
        <f>IF(ISERROR(VLOOKUP($A1866,'13. Updated Demand'!A:Z,21,FALSE)),0,VLOOKUP($A1866,'13. Updated Demand'!A:Z,21,FALSE))</f>
        <v>0</v>
      </c>
      <c r="AE1866" s="16">
        <f>IF(ISERROR(VLOOKUP($A1866,'13. Updated Demand'!A:Z,22,FALSE)),0,VLOOKUP($A1866,'13. Updated Demand'!A:Z,22,FALSE))</f>
        <v>0</v>
      </c>
      <c r="AF1866" s="16">
        <f>IF(ISERROR(VLOOKUP($A1866,'13. Updated Demand'!A:Z,23,FALSE)),0,VLOOKUP($A1866,'13. Updated Demand'!A:Z,23,FALSE))</f>
        <v>0</v>
      </c>
      <c r="AG1866" s="16">
        <f>IF(ISERROR(VLOOKUP($A1866,'13. Updated Demand'!A:Z,24,FALSE)),0,VLOOKUP($A1866,'13. Updated Demand'!A:Z,24,FALSE))</f>
        <v>0</v>
      </c>
      <c r="AH1866" s="16">
        <f>IF(ISERROR(VLOOKUP($A1866,'13. Updated Demand'!A:Z,25,FALSE)),0,VLOOKUP($A1866,'13. Updated Demand'!A:Z,25,FALSE))</f>
        <v>0</v>
      </c>
      <c r="AI1866" s="16">
        <f>IF(ISERROR(VLOOKUP($A1866,'13. Updated Demand'!A:Z,26,FALSE)),0,VLOOKUP($A1866,'13. Updated Demand'!A:Z,26,FALSE))</f>
        <v>0</v>
      </c>
      <c r="AJ1866" s="16">
        <f t="shared" si="349"/>
        <v>1.63</v>
      </c>
      <c r="AK1866" s="19">
        <v>0</v>
      </c>
      <c r="AL1866" s="16">
        <f t="shared" si="359"/>
        <v>0</v>
      </c>
      <c r="AM1866" s="26">
        <v>1.9103313840155942E-2</v>
      </c>
      <c r="AN1866" s="19">
        <v>85.5</v>
      </c>
      <c r="AO1866" s="19" t="s">
        <v>1758</v>
      </c>
      <c r="AP1866" s="19">
        <v>0</v>
      </c>
      <c r="AQ1866" s="19" t="s">
        <v>307</v>
      </c>
      <c r="AR1866" s="9" t="s">
        <v>333</v>
      </c>
      <c r="AS1866" s="12">
        <v>0</v>
      </c>
      <c r="AT1866" s="19">
        <v>39.087200000000003</v>
      </c>
      <c r="AU1866" s="19">
        <v>-123.1683</v>
      </c>
      <c r="AV1866" s="19" t="s">
        <v>548</v>
      </c>
    </row>
    <row r="1867" spans="1:48" x14ac:dyDescent="0.25">
      <c r="A1867" s="18" t="s">
        <v>2277</v>
      </c>
      <c r="B1867" s="10">
        <v>10000000</v>
      </c>
      <c r="C1867" s="9">
        <v>5</v>
      </c>
      <c r="D1867" s="8" t="str">
        <f t="shared" si="350"/>
        <v>Y</v>
      </c>
      <c r="E1867" s="8" t="str">
        <f t="shared" si="351"/>
        <v>N</v>
      </c>
      <c r="F1867" s="8" t="str">
        <f t="shared" si="352"/>
        <v>Y</v>
      </c>
      <c r="G1867" s="8" t="str">
        <f t="shared" si="353"/>
        <v>Y</v>
      </c>
      <c r="H1867" s="8" t="str">
        <f t="shared" si="354"/>
        <v>Upper</v>
      </c>
      <c r="I1867" s="8" t="str">
        <f t="shared" si="355"/>
        <v>West Fork and Below Lake</v>
      </c>
      <c r="J1867" s="8" t="str">
        <f t="shared" si="356"/>
        <v>Mendocino (d/s of lake)</v>
      </c>
      <c r="K1867" s="8" t="str">
        <f t="shared" si="357"/>
        <v>Riparian</v>
      </c>
      <c r="L1867" s="8">
        <f t="shared" si="358"/>
        <v>1000</v>
      </c>
      <c r="M1867" s="8" t="str">
        <f t="shared" si="360"/>
        <v>-</v>
      </c>
      <c r="N1867" s="10" t="s">
        <v>241</v>
      </c>
      <c r="O1867" s="10" t="s">
        <v>241</v>
      </c>
      <c r="P1867" s="10" t="s">
        <v>242</v>
      </c>
      <c r="Q1867" s="10" t="s">
        <v>242</v>
      </c>
      <c r="R1867" s="10" t="s">
        <v>242</v>
      </c>
      <c r="S1867" s="10" t="s">
        <v>241</v>
      </c>
      <c r="T1867" s="10" t="s">
        <v>242</v>
      </c>
      <c r="U1867" s="10" t="s">
        <v>242</v>
      </c>
      <c r="V1867" s="10" t="s">
        <v>242</v>
      </c>
      <c r="W1867" s="10" t="s">
        <v>242</v>
      </c>
      <c r="X1867" s="15">
        <f>IF(ISERROR(VLOOKUP($A1867,'13. Updated Demand'!A:Z,15,FALSE)),0,VLOOKUP($A1867,'13. Updated Demand'!A:Z,15,FALSE))</f>
        <v>0</v>
      </c>
      <c r="Y1867" s="16">
        <f>IF(ISERROR(VLOOKUP($A1867,'13. Updated Demand'!A:Z,16,FALSE)),0,VLOOKUP($A1867,'13. Updated Demand'!A:Z,16,FALSE))</f>
        <v>0</v>
      </c>
      <c r="Z1867" s="16">
        <f>IF(ISERROR(VLOOKUP($A1867,'13. Updated Demand'!A:Z,17,FALSE)),0,VLOOKUP($A1867,'13. Updated Demand'!A:Z,17,FALSE))</f>
        <v>0.08</v>
      </c>
      <c r="AA1867" s="16">
        <f>IF(ISERROR(VLOOKUP($A1867,'13. Updated Demand'!A:Z,18,FALSE)),0,VLOOKUP($A1867,'13. Updated Demand'!A:Z,18,FALSE))</f>
        <v>0.24</v>
      </c>
      <c r="AB1867" s="16">
        <f>IF(ISERROR(VLOOKUP($A1867,'13. Updated Demand'!A:Z,19,FALSE)),0,VLOOKUP($A1867,'13. Updated Demand'!A:Z,19,FALSE))</f>
        <v>0.02</v>
      </c>
      <c r="AC1867" s="16">
        <f>IF(ISERROR(VLOOKUP($A1867,'13. Updated Demand'!A:Z,20,FALSE)),0,VLOOKUP($A1867,'13. Updated Demand'!A:Z,20,FALSE))</f>
        <v>1.27</v>
      </c>
      <c r="AD1867" s="16">
        <f>IF(ISERROR(VLOOKUP($A1867,'13. Updated Demand'!A:Z,21,FALSE)),0,VLOOKUP($A1867,'13. Updated Demand'!A:Z,21,FALSE))</f>
        <v>1.51</v>
      </c>
      <c r="AE1867" s="16">
        <f>IF(ISERROR(VLOOKUP($A1867,'13. Updated Demand'!A:Z,22,FALSE)),0,VLOOKUP($A1867,'13. Updated Demand'!A:Z,22,FALSE))</f>
        <v>1.93</v>
      </c>
      <c r="AF1867" s="16">
        <f>IF(ISERROR(VLOOKUP($A1867,'13. Updated Demand'!A:Z,23,FALSE)),0,VLOOKUP($A1867,'13. Updated Demand'!A:Z,23,FALSE))</f>
        <v>1.1299999999999999</v>
      </c>
      <c r="AG1867" s="16">
        <f>IF(ISERROR(VLOOKUP($A1867,'13. Updated Demand'!A:Z,24,FALSE)),0,VLOOKUP($A1867,'13. Updated Demand'!A:Z,24,FALSE))</f>
        <v>2.56</v>
      </c>
      <c r="AH1867" s="16">
        <f>IF(ISERROR(VLOOKUP($A1867,'13. Updated Demand'!A:Z,25,FALSE)),0,VLOOKUP($A1867,'13. Updated Demand'!A:Z,25,FALSE))</f>
        <v>1.66</v>
      </c>
      <c r="AI1867" s="16">
        <f>IF(ISERROR(VLOOKUP($A1867,'13. Updated Demand'!A:Z,26,FALSE)),0,VLOOKUP($A1867,'13. Updated Demand'!A:Z,26,FALSE))</f>
        <v>0</v>
      </c>
      <c r="AJ1867" s="16">
        <f t="shared" si="349"/>
        <v>10.4</v>
      </c>
      <c r="AK1867" s="19">
        <v>5.8893333333333402</v>
      </c>
      <c r="AL1867" s="16">
        <f t="shared" si="359"/>
        <v>1.9534247808557708E-2</v>
      </c>
      <c r="AM1867" s="26">
        <v>0.29831428571428581</v>
      </c>
      <c r="AN1867" s="19">
        <v>35</v>
      </c>
      <c r="AO1867" s="19" t="s">
        <v>1758</v>
      </c>
      <c r="AP1867" s="19">
        <v>0</v>
      </c>
      <c r="AQ1867" s="19" t="s">
        <v>307</v>
      </c>
      <c r="AR1867" s="9" t="s">
        <v>333</v>
      </c>
      <c r="AS1867" s="12">
        <v>0</v>
      </c>
      <c r="AT1867" s="19">
        <v>39.059399999999997</v>
      </c>
      <c r="AU1867" s="19">
        <v>-123.1446</v>
      </c>
      <c r="AV1867" s="19" t="s">
        <v>2278</v>
      </c>
    </row>
    <row r="1868" spans="1:48" x14ac:dyDescent="0.25">
      <c r="A1868" s="18" t="s">
        <v>2279</v>
      </c>
      <c r="B1868" s="10">
        <v>10000000</v>
      </c>
      <c r="C1868" s="9">
        <v>5</v>
      </c>
      <c r="D1868" s="8" t="str">
        <f t="shared" si="350"/>
        <v>Y</v>
      </c>
      <c r="E1868" s="8" t="str">
        <f t="shared" si="351"/>
        <v>N</v>
      </c>
      <c r="F1868" s="8" t="str">
        <f t="shared" si="352"/>
        <v>Y</v>
      </c>
      <c r="G1868" s="8" t="str">
        <f t="shared" si="353"/>
        <v>Y</v>
      </c>
      <c r="H1868" s="8" t="str">
        <f t="shared" si="354"/>
        <v>Upper</v>
      </c>
      <c r="I1868" s="8" t="str">
        <f t="shared" si="355"/>
        <v>West Fork and Below Lake</v>
      </c>
      <c r="J1868" s="8" t="str">
        <f t="shared" si="356"/>
        <v>Mendocino (d/s of lake)</v>
      </c>
      <c r="K1868" s="8" t="str">
        <f t="shared" si="357"/>
        <v>Riparian</v>
      </c>
      <c r="L1868" s="8">
        <f t="shared" si="358"/>
        <v>1000</v>
      </c>
      <c r="M1868" s="8" t="str">
        <f t="shared" si="360"/>
        <v>-</v>
      </c>
      <c r="N1868" s="10" t="s">
        <v>242</v>
      </c>
      <c r="O1868" s="10" t="s">
        <v>241</v>
      </c>
      <c r="P1868" s="10" t="s">
        <v>242</v>
      </c>
      <c r="Q1868" s="10" t="s">
        <v>242</v>
      </c>
      <c r="R1868" s="10" t="s">
        <v>242</v>
      </c>
      <c r="S1868" s="10" t="s">
        <v>241</v>
      </c>
      <c r="T1868" s="10" t="s">
        <v>242</v>
      </c>
      <c r="U1868" s="10" t="s">
        <v>241</v>
      </c>
      <c r="V1868" s="10" t="s">
        <v>241</v>
      </c>
      <c r="W1868" s="10" t="s">
        <v>242</v>
      </c>
      <c r="X1868" s="15">
        <f>IF(ISERROR(VLOOKUP($A1868,'13. Updated Demand'!A:Z,15,FALSE)),0,VLOOKUP($A1868,'13. Updated Demand'!A:Z,15,FALSE))</f>
        <v>0</v>
      </c>
      <c r="Y1868" s="16">
        <f>IF(ISERROR(VLOOKUP($A1868,'13. Updated Demand'!A:Z,16,FALSE)),0,VLOOKUP($A1868,'13. Updated Demand'!A:Z,16,FALSE))</f>
        <v>0</v>
      </c>
      <c r="Z1868" s="16">
        <f>IF(ISERROR(VLOOKUP($A1868,'13. Updated Demand'!A:Z,17,FALSE)),0,VLOOKUP($A1868,'13. Updated Demand'!A:Z,17,FALSE))</f>
        <v>0</v>
      </c>
      <c r="AA1868" s="16">
        <f>IF(ISERROR(VLOOKUP($A1868,'13. Updated Demand'!A:Z,18,FALSE)),0,VLOOKUP($A1868,'13. Updated Demand'!A:Z,18,FALSE))</f>
        <v>0</v>
      </c>
      <c r="AB1868" s="16">
        <f>IF(ISERROR(VLOOKUP($A1868,'13. Updated Demand'!A:Z,19,FALSE)),0,VLOOKUP($A1868,'13. Updated Demand'!A:Z,19,FALSE))</f>
        <v>0</v>
      </c>
      <c r="AC1868" s="16">
        <f>IF(ISERROR(VLOOKUP($A1868,'13. Updated Demand'!A:Z,20,FALSE)),0,VLOOKUP($A1868,'13. Updated Demand'!A:Z,20,FALSE))</f>
        <v>0</v>
      </c>
      <c r="AD1868" s="16">
        <f>IF(ISERROR(VLOOKUP($A1868,'13. Updated Demand'!A:Z,21,FALSE)),0,VLOOKUP($A1868,'13. Updated Demand'!A:Z,21,FALSE))</f>
        <v>0</v>
      </c>
      <c r="AE1868" s="16">
        <f>IF(ISERROR(VLOOKUP($A1868,'13. Updated Demand'!A:Z,22,FALSE)),0,VLOOKUP($A1868,'13. Updated Demand'!A:Z,22,FALSE))</f>
        <v>0</v>
      </c>
      <c r="AF1868" s="16">
        <f>IF(ISERROR(VLOOKUP($A1868,'13. Updated Demand'!A:Z,23,FALSE)),0,VLOOKUP($A1868,'13. Updated Demand'!A:Z,23,FALSE))</f>
        <v>0</v>
      </c>
      <c r="AG1868" s="16">
        <f>IF(ISERROR(VLOOKUP($A1868,'13. Updated Demand'!A:Z,24,FALSE)),0,VLOOKUP($A1868,'13. Updated Demand'!A:Z,24,FALSE))</f>
        <v>0</v>
      </c>
      <c r="AH1868" s="16">
        <f>IF(ISERROR(VLOOKUP($A1868,'13. Updated Demand'!A:Z,25,FALSE)),0,VLOOKUP($A1868,'13. Updated Demand'!A:Z,25,FALSE))</f>
        <v>0</v>
      </c>
      <c r="AI1868" s="16">
        <f>IF(ISERROR(VLOOKUP($A1868,'13. Updated Demand'!A:Z,26,FALSE)),0,VLOOKUP($A1868,'13. Updated Demand'!A:Z,26,FALSE))</f>
        <v>0</v>
      </c>
      <c r="AJ1868" s="16">
        <f t="shared" si="349"/>
        <v>0</v>
      </c>
      <c r="AK1868" s="19">
        <v>0</v>
      </c>
      <c r="AL1868" s="16">
        <f t="shared" si="359"/>
        <v>0</v>
      </c>
      <c r="AM1868" s="26">
        <v>0</v>
      </c>
      <c r="AN1868" s="19">
        <v>5</v>
      </c>
      <c r="AO1868" s="19" t="s">
        <v>1758</v>
      </c>
      <c r="AP1868" s="19">
        <v>0</v>
      </c>
      <c r="AQ1868" s="19" t="s">
        <v>307</v>
      </c>
      <c r="AR1868" s="9" t="s">
        <v>333</v>
      </c>
      <c r="AS1868" s="12">
        <v>0</v>
      </c>
      <c r="AT1868" s="19">
        <v>39.1004</v>
      </c>
      <c r="AU1868" s="19">
        <v>-123.1998</v>
      </c>
      <c r="AV1868" s="19" t="s">
        <v>1438</v>
      </c>
    </row>
    <row r="1869" spans="1:48" x14ac:dyDescent="0.25">
      <c r="A1869" s="18" t="s">
        <v>2280</v>
      </c>
      <c r="B1869" s="10">
        <v>10000000</v>
      </c>
      <c r="C1869" s="9">
        <v>5</v>
      </c>
      <c r="D1869" s="8" t="str">
        <f t="shared" si="350"/>
        <v>Y</v>
      </c>
      <c r="E1869" s="8" t="str">
        <f t="shared" si="351"/>
        <v>N</v>
      </c>
      <c r="F1869" s="8" t="str">
        <f t="shared" si="352"/>
        <v>Y</v>
      </c>
      <c r="G1869" s="8" t="str">
        <f t="shared" si="353"/>
        <v>Y</v>
      </c>
      <c r="H1869" s="8" t="str">
        <f t="shared" si="354"/>
        <v>Upper</v>
      </c>
      <c r="I1869" s="8" t="str">
        <f t="shared" si="355"/>
        <v>West Fork and Below Lake</v>
      </c>
      <c r="J1869" s="8" t="str">
        <f t="shared" si="356"/>
        <v>Mendocino (d/s of lake)</v>
      </c>
      <c r="K1869" s="8" t="str">
        <f t="shared" si="357"/>
        <v>Riparian</v>
      </c>
      <c r="L1869" s="8">
        <f t="shared" si="358"/>
        <v>1000</v>
      </c>
      <c r="M1869" s="8" t="str">
        <f t="shared" si="360"/>
        <v>-</v>
      </c>
      <c r="N1869" s="10" t="s">
        <v>242</v>
      </c>
      <c r="O1869" s="10" t="s">
        <v>241</v>
      </c>
      <c r="P1869" s="10" t="s">
        <v>242</v>
      </c>
      <c r="Q1869" s="10" t="s">
        <v>242</v>
      </c>
      <c r="R1869" s="10" t="s">
        <v>242</v>
      </c>
      <c r="S1869" s="10" t="s">
        <v>241</v>
      </c>
      <c r="T1869" s="10" t="s">
        <v>242</v>
      </c>
      <c r="U1869" s="10" t="s">
        <v>241</v>
      </c>
      <c r="V1869" s="10" t="s">
        <v>241</v>
      </c>
      <c r="W1869" s="10" t="s">
        <v>242</v>
      </c>
      <c r="X1869" s="15">
        <f>IF(ISERROR(VLOOKUP($A1869,'13. Updated Demand'!A:Z,15,FALSE)),0,VLOOKUP($A1869,'13. Updated Demand'!A:Z,15,FALSE))</f>
        <v>0</v>
      </c>
      <c r="Y1869" s="16">
        <f>IF(ISERROR(VLOOKUP($A1869,'13. Updated Demand'!A:Z,16,FALSE)),0,VLOOKUP($A1869,'13. Updated Demand'!A:Z,16,FALSE))</f>
        <v>0</v>
      </c>
      <c r="Z1869" s="16">
        <f>IF(ISERROR(VLOOKUP($A1869,'13. Updated Demand'!A:Z,17,FALSE)),0,VLOOKUP($A1869,'13. Updated Demand'!A:Z,17,FALSE))</f>
        <v>0</v>
      </c>
      <c r="AA1869" s="16">
        <f>IF(ISERROR(VLOOKUP($A1869,'13. Updated Demand'!A:Z,18,FALSE)),0,VLOOKUP($A1869,'13. Updated Demand'!A:Z,18,FALSE))</f>
        <v>0</v>
      </c>
      <c r="AB1869" s="16">
        <f>IF(ISERROR(VLOOKUP($A1869,'13. Updated Demand'!A:Z,19,FALSE)),0,VLOOKUP($A1869,'13. Updated Demand'!A:Z,19,FALSE))</f>
        <v>0</v>
      </c>
      <c r="AC1869" s="16">
        <f>IF(ISERROR(VLOOKUP($A1869,'13. Updated Demand'!A:Z,20,FALSE)),0,VLOOKUP($A1869,'13. Updated Demand'!A:Z,20,FALSE))</f>
        <v>0</v>
      </c>
      <c r="AD1869" s="16">
        <f>IF(ISERROR(VLOOKUP($A1869,'13. Updated Demand'!A:Z,21,FALSE)),0,VLOOKUP($A1869,'13. Updated Demand'!A:Z,21,FALSE))</f>
        <v>0</v>
      </c>
      <c r="AE1869" s="16">
        <f>IF(ISERROR(VLOOKUP($A1869,'13. Updated Demand'!A:Z,22,FALSE)),0,VLOOKUP($A1869,'13. Updated Demand'!A:Z,22,FALSE))</f>
        <v>0</v>
      </c>
      <c r="AF1869" s="16">
        <f>IF(ISERROR(VLOOKUP($A1869,'13. Updated Demand'!A:Z,23,FALSE)),0,VLOOKUP($A1869,'13. Updated Demand'!A:Z,23,FALSE))</f>
        <v>0</v>
      </c>
      <c r="AG1869" s="16">
        <f>IF(ISERROR(VLOOKUP($A1869,'13. Updated Demand'!A:Z,24,FALSE)),0,VLOOKUP($A1869,'13. Updated Demand'!A:Z,24,FALSE))</f>
        <v>0</v>
      </c>
      <c r="AH1869" s="16">
        <f>IF(ISERROR(VLOOKUP($A1869,'13. Updated Demand'!A:Z,25,FALSE)),0,VLOOKUP($A1869,'13. Updated Demand'!A:Z,25,FALSE))</f>
        <v>0</v>
      </c>
      <c r="AI1869" s="16">
        <f>IF(ISERROR(VLOOKUP($A1869,'13. Updated Demand'!A:Z,26,FALSE)),0,VLOOKUP($A1869,'13. Updated Demand'!A:Z,26,FALSE))</f>
        <v>0</v>
      </c>
      <c r="AJ1869" s="16">
        <f t="shared" si="349"/>
        <v>0</v>
      </c>
      <c r="AK1869" s="19">
        <v>0</v>
      </c>
      <c r="AL1869" s="16">
        <f t="shared" si="359"/>
        <v>0</v>
      </c>
      <c r="AM1869" s="26">
        <v>0</v>
      </c>
      <c r="AN1869" s="19">
        <v>5</v>
      </c>
      <c r="AO1869" s="19" t="s">
        <v>1758</v>
      </c>
      <c r="AP1869" s="19">
        <v>0</v>
      </c>
      <c r="AQ1869" s="19" t="s">
        <v>307</v>
      </c>
      <c r="AR1869" s="9" t="s">
        <v>333</v>
      </c>
      <c r="AS1869" s="12">
        <v>0</v>
      </c>
      <c r="AT1869" s="19">
        <v>39.100200000000001</v>
      </c>
      <c r="AU1869" s="19">
        <v>-123.2003</v>
      </c>
      <c r="AV1869" s="19" t="s">
        <v>1438</v>
      </c>
    </row>
    <row r="1870" spans="1:48" x14ac:dyDescent="0.25">
      <c r="A1870" s="18" t="s">
        <v>2281</v>
      </c>
      <c r="B1870" s="10">
        <v>10000000</v>
      </c>
      <c r="C1870" s="9">
        <v>4</v>
      </c>
      <c r="D1870" s="8" t="str">
        <f t="shared" si="350"/>
        <v>Y</v>
      </c>
      <c r="E1870" s="8" t="str">
        <f t="shared" si="351"/>
        <v>N</v>
      </c>
      <c r="F1870" s="8" t="str">
        <f t="shared" si="352"/>
        <v>Y</v>
      </c>
      <c r="G1870" s="8" t="str">
        <f t="shared" si="353"/>
        <v>Y</v>
      </c>
      <c r="H1870" s="8" t="str">
        <f t="shared" si="354"/>
        <v>Upper</v>
      </c>
      <c r="I1870" s="8" t="str">
        <f t="shared" si="355"/>
        <v>West Fork and Below Lake</v>
      </c>
      <c r="J1870" s="8" t="str">
        <f t="shared" si="356"/>
        <v>Mendocino (d/s of lake)</v>
      </c>
      <c r="K1870" s="8" t="str">
        <f t="shared" si="357"/>
        <v>Riparian</v>
      </c>
      <c r="L1870" s="8">
        <f t="shared" si="358"/>
        <v>1000</v>
      </c>
      <c r="M1870" s="8" t="str">
        <f t="shared" si="360"/>
        <v>-</v>
      </c>
      <c r="N1870" s="10" t="s">
        <v>241</v>
      </c>
      <c r="O1870" s="10" t="s">
        <v>241</v>
      </c>
      <c r="P1870" s="10" t="s">
        <v>242</v>
      </c>
      <c r="Q1870" s="10" t="s">
        <v>242</v>
      </c>
      <c r="R1870" s="10" t="s">
        <v>242</v>
      </c>
      <c r="S1870" s="10" t="s">
        <v>241</v>
      </c>
      <c r="T1870" s="10" t="s">
        <v>242</v>
      </c>
      <c r="U1870" s="10" t="s">
        <v>241</v>
      </c>
      <c r="V1870" s="10" t="s">
        <v>241</v>
      </c>
      <c r="W1870" s="10" t="s">
        <v>242</v>
      </c>
      <c r="X1870" s="15">
        <f>IF(ISERROR(VLOOKUP($A1870,'13. Updated Demand'!A:Z,15,FALSE)),0,VLOOKUP($A1870,'13. Updated Demand'!A:Z,15,FALSE))</f>
        <v>0</v>
      </c>
      <c r="Y1870" s="16">
        <f>IF(ISERROR(VLOOKUP($A1870,'13. Updated Demand'!A:Z,16,FALSE)),0,VLOOKUP($A1870,'13. Updated Demand'!A:Z,16,FALSE))</f>
        <v>0</v>
      </c>
      <c r="Z1870" s="16">
        <f>IF(ISERROR(VLOOKUP($A1870,'13. Updated Demand'!A:Z,17,FALSE)),0,VLOOKUP($A1870,'13. Updated Demand'!A:Z,17,FALSE))</f>
        <v>0</v>
      </c>
      <c r="AA1870" s="16">
        <f>IF(ISERROR(VLOOKUP($A1870,'13. Updated Demand'!A:Z,18,FALSE)),0,VLOOKUP($A1870,'13. Updated Demand'!A:Z,18,FALSE))</f>
        <v>0</v>
      </c>
      <c r="AB1870" s="16">
        <f>IF(ISERROR(VLOOKUP($A1870,'13. Updated Demand'!A:Z,19,FALSE)),0,VLOOKUP($A1870,'13. Updated Demand'!A:Z,19,FALSE))</f>
        <v>0</v>
      </c>
      <c r="AC1870" s="16">
        <f>IF(ISERROR(VLOOKUP($A1870,'13. Updated Demand'!A:Z,20,FALSE)),0,VLOOKUP($A1870,'13. Updated Demand'!A:Z,20,FALSE))</f>
        <v>0</v>
      </c>
      <c r="AD1870" s="16">
        <f>IF(ISERROR(VLOOKUP($A1870,'13. Updated Demand'!A:Z,21,FALSE)),0,VLOOKUP($A1870,'13. Updated Demand'!A:Z,21,FALSE))</f>
        <v>0</v>
      </c>
      <c r="AE1870" s="16">
        <f>IF(ISERROR(VLOOKUP($A1870,'13. Updated Demand'!A:Z,22,FALSE)),0,VLOOKUP($A1870,'13. Updated Demand'!A:Z,22,FALSE))</f>
        <v>0</v>
      </c>
      <c r="AF1870" s="16">
        <f>IF(ISERROR(VLOOKUP($A1870,'13. Updated Demand'!A:Z,23,FALSE)),0,VLOOKUP($A1870,'13. Updated Demand'!A:Z,23,FALSE))</f>
        <v>0</v>
      </c>
      <c r="AG1870" s="16">
        <f>IF(ISERROR(VLOOKUP($A1870,'13. Updated Demand'!A:Z,24,FALSE)),0,VLOOKUP($A1870,'13. Updated Demand'!A:Z,24,FALSE))</f>
        <v>0</v>
      </c>
      <c r="AH1870" s="16">
        <f>IF(ISERROR(VLOOKUP($A1870,'13. Updated Demand'!A:Z,25,FALSE)),0,VLOOKUP($A1870,'13. Updated Demand'!A:Z,25,FALSE))</f>
        <v>0</v>
      </c>
      <c r="AI1870" s="16">
        <f>IF(ISERROR(VLOOKUP($A1870,'13. Updated Demand'!A:Z,26,FALSE)),0,VLOOKUP($A1870,'13. Updated Demand'!A:Z,26,FALSE))</f>
        <v>0</v>
      </c>
      <c r="AJ1870" s="16">
        <f t="shared" si="349"/>
        <v>0</v>
      </c>
      <c r="AK1870" s="19">
        <v>0</v>
      </c>
      <c r="AL1870" s="16">
        <f t="shared" si="359"/>
        <v>0</v>
      </c>
      <c r="AM1870" s="26">
        <v>0</v>
      </c>
      <c r="AN1870" s="19">
        <v>19.2</v>
      </c>
      <c r="AO1870" s="19" t="s">
        <v>1758</v>
      </c>
      <c r="AP1870" s="19">
        <v>0</v>
      </c>
      <c r="AQ1870" s="19" t="s">
        <v>307</v>
      </c>
      <c r="AR1870" s="9" t="s">
        <v>331</v>
      </c>
      <c r="AS1870" s="12">
        <v>0</v>
      </c>
      <c r="AT1870" s="19">
        <v>39.124200000000002</v>
      </c>
      <c r="AU1870" s="19">
        <v>-123.1831</v>
      </c>
      <c r="AV1870" s="19" t="s">
        <v>387</v>
      </c>
    </row>
    <row r="1871" spans="1:48" x14ac:dyDescent="0.25">
      <c r="A1871" s="18" t="s">
        <v>2282</v>
      </c>
      <c r="B1871" s="10">
        <v>10000000</v>
      </c>
      <c r="C1871" s="9">
        <v>4</v>
      </c>
      <c r="D1871" s="8" t="str">
        <f t="shared" si="350"/>
        <v>Y</v>
      </c>
      <c r="E1871" s="8" t="str">
        <f t="shared" si="351"/>
        <v>N</v>
      </c>
      <c r="F1871" s="8" t="str">
        <f t="shared" si="352"/>
        <v>Y</v>
      </c>
      <c r="G1871" s="8" t="str">
        <f t="shared" si="353"/>
        <v>Y</v>
      </c>
      <c r="H1871" s="8" t="str">
        <f t="shared" si="354"/>
        <v>Upper</v>
      </c>
      <c r="I1871" s="8" t="str">
        <f t="shared" si="355"/>
        <v>West Fork and Below Lake</v>
      </c>
      <c r="J1871" s="8" t="str">
        <f t="shared" si="356"/>
        <v>Mendocino (d/s of lake)</v>
      </c>
      <c r="K1871" s="8" t="str">
        <f t="shared" si="357"/>
        <v>Riparian</v>
      </c>
      <c r="L1871" s="8">
        <f t="shared" si="358"/>
        <v>1000</v>
      </c>
      <c r="M1871" s="8" t="str">
        <f t="shared" si="360"/>
        <v>-</v>
      </c>
      <c r="N1871" s="10" t="s">
        <v>241</v>
      </c>
      <c r="O1871" s="10" t="s">
        <v>241</v>
      </c>
      <c r="P1871" s="10" t="s">
        <v>242</v>
      </c>
      <c r="Q1871" s="10" t="s">
        <v>242</v>
      </c>
      <c r="R1871" s="10" t="s">
        <v>242</v>
      </c>
      <c r="S1871" s="10" t="s">
        <v>241</v>
      </c>
      <c r="T1871" s="10" t="s">
        <v>242</v>
      </c>
      <c r="U1871" s="10" t="s">
        <v>242</v>
      </c>
      <c r="V1871" s="10" t="s">
        <v>242</v>
      </c>
      <c r="W1871" s="10" t="s">
        <v>242</v>
      </c>
      <c r="X1871" s="15">
        <f>IF(ISERROR(VLOOKUP($A1871,'13. Updated Demand'!A:Z,15,FALSE)),0,VLOOKUP($A1871,'13. Updated Demand'!A:Z,15,FALSE))</f>
        <v>0</v>
      </c>
      <c r="Y1871" s="16">
        <f>IF(ISERROR(VLOOKUP($A1871,'13. Updated Demand'!A:Z,16,FALSE)),0,VLOOKUP($A1871,'13. Updated Demand'!A:Z,16,FALSE))</f>
        <v>0</v>
      </c>
      <c r="Z1871" s="16">
        <f>IF(ISERROR(VLOOKUP($A1871,'13. Updated Demand'!A:Z,17,FALSE)),0,VLOOKUP($A1871,'13. Updated Demand'!A:Z,17,FALSE))</f>
        <v>0</v>
      </c>
      <c r="AA1871" s="16">
        <f>IF(ISERROR(VLOOKUP($A1871,'13. Updated Demand'!A:Z,18,FALSE)),0,VLOOKUP($A1871,'13. Updated Demand'!A:Z,18,FALSE))</f>
        <v>0</v>
      </c>
      <c r="AB1871" s="16">
        <f>IF(ISERROR(VLOOKUP($A1871,'13. Updated Demand'!A:Z,19,FALSE)),0,VLOOKUP($A1871,'13. Updated Demand'!A:Z,19,FALSE))</f>
        <v>1.88</v>
      </c>
      <c r="AC1871" s="16">
        <f>IF(ISERROR(VLOOKUP($A1871,'13. Updated Demand'!A:Z,20,FALSE)),0,VLOOKUP($A1871,'13. Updated Demand'!A:Z,20,FALSE))</f>
        <v>0</v>
      </c>
      <c r="AD1871" s="16">
        <f>IF(ISERROR(VLOOKUP($A1871,'13. Updated Demand'!A:Z,21,FALSE)),0,VLOOKUP($A1871,'13. Updated Demand'!A:Z,21,FALSE))</f>
        <v>0</v>
      </c>
      <c r="AE1871" s="16">
        <f>IF(ISERROR(VLOOKUP($A1871,'13. Updated Demand'!A:Z,22,FALSE)),0,VLOOKUP($A1871,'13. Updated Demand'!A:Z,22,FALSE))</f>
        <v>0</v>
      </c>
      <c r="AF1871" s="16">
        <f>IF(ISERROR(VLOOKUP($A1871,'13. Updated Demand'!A:Z,23,FALSE)),0,VLOOKUP($A1871,'13. Updated Demand'!A:Z,23,FALSE))</f>
        <v>0</v>
      </c>
      <c r="AG1871" s="16">
        <f>IF(ISERROR(VLOOKUP($A1871,'13. Updated Demand'!A:Z,24,FALSE)),0,VLOOKUP($A1871,'13. Updated Demand'!A:Z,24,FALSE))</f>
        <v>0</v>
      </c>
      <c r="AH1871" s="16">
        <f>IF(ISERROR(VLOOKUP($A1871,'13. Updated Demand'!A:Z,25,FALSE)),0,VLOOKUP($A1871,'13. Updated Demand'!A:Z,25,FALSE))</f>
        <v>0</v>
      </c>
      <c r="AI1871" s="16">
        <f>IF(ISERROR(VLOOKUP($A1871,'13. Updated Demand'!A:Z,26,FALSE)),0,VLOOKUP($A1871,'13. Updated Demand'!A:Z,26,FALSE))</f>
        <v>0</v>
      </c>
      <c r="AJ1871" s="16">
        <f t="shared" si="349"/>
        <v>1.88</v>
      </c>
      <c r="AK1871" s="19">
        <v>1.88333333333333</v>
      </c>
      <c r="AL1871" s="16">
        <f t="shared" si="359"/>
        <v>6.2468021348398642E-3</v>
      </c>
      <c r="AM1871" s="26">
        <v>0.11078431372549</v>
      </c>
      <c r="AN1871" s="19">
        <v>17</v>
      </c>
      <c r="AO1871" s="19" t="s">
        <v>1758</v>
      </c>
      <c r="AP1871" s="19">
        <v>0</v>
      </c>
      <c r="AQ1871" s="19" t="s">
        <v>307</v>
      </c>
      <c r="AR1871" s="9" t="s">
        <v>331</v>
      </c>
      <c r="AS1871" s="12">
        <v>0</v>
      </c>
      <c r="AT1871" s="19">
        <v>39.133699999999997</v>
      </c>
      <c r="AU1871" s="19">
        <v>-123.1874</v>
      </c>
      <c r="AV1871" s="19" t="s">
        <v>387</v>
      </c>
    </row>
    <row r="1872" spans="1:48" x14ac:dyDescent="0.25">
      <c r="A1872" s="18" t="s">
        <v>2283</v>
      </c>
      <c r="B1872" s="10">
        <v>10000000</v>
      </c>
      <c r="C1872" s="9">
        <v>4</v>
      </c>
      <c r="D1872" s="8" t="str">
        <f t="shared" si="350"/>
        <v>Y</v>
      </c>
      <c r="E1872" s="8" t="str">
        <f t="shared" si="351"/>
        <v>N</v>
      </c>
      <c r="F1872" s="8" t="str">
        <f t="shared" si="352"/>
        <v>Y</v>
      </c>
      <c r="G1872" s="8" t="str">
        <f t="shared" si="353"/>
        <v>Y</v>
      </c>
      <c r="H1872" s="8" t="str">
        <f t="shared" si="354"/>
        <v>Upper</v>
      </c>
      <c r="I1872" s="8" t="str">
        <f t="shared" si="355"/>
        <v>West Fork and Below Lake</v>
      </c>
      <c r="J1872" s="8" t="str">
        <f t="shared" si="356"/>
        <v>Mendocino (d/s of lake)</v>
      </c>
      <c r="K1872" s="8" t="str">
        <f t="shared" si="357"/>
        <v>Riparian</v>
      </c>
      <c r="L1872" s="8">
        <f t="shared" si="358"/>
        <v>1000</v>
      </c>
      <c r="M1872" s="8" t="str">
        <f t="shared" si="360"/>
        <v>-</v>
      </c>
      <c r="N1872" s="10" t="s">
        <v>241</v>
      </c>
      <c r="O1872" s="10" t="s">
        <v>241</v>
      </c>
      <c r="P1872" s="10" t="s">
        <v>242</v>
      </c>
      <c r="Q1872" s="10" t="s">
        <v>242</v>
      </c>
      <c r="R1872" s="10" t="s">
        <v>242</v>
      </c>
      <c r="S1872" s="10" t="s">
        <v>241</v>
      </c>
      <c r="T1872" s="10" t="s">
        <v>242</v>
      </c>
      <c r="U1872" s="10" t="s">
        <v>241</v>
      </c>
      <c r="V1872" s="10" t="s">
        <v>241</v>
      </c>
      <c r="W1872" s="10" t="s">
        <v>242</v>
      </c>
      <c r="X1872" s="15">
        <f>IF(ISERROR(VLOOKUP($A1872,'13. Updated Demand'!A:Z,15,FALSE)),0,VLOOKUP($A1872,'13. Updated Demand'!A:Z,15,FALSE))</f>
        <v>0</v>
      </c>
      <c r="Y1872" s="16">
        <f>IF(ISERROR(VLOOKUP($A1872,'13. Updated Demand'!A:Z,16,FALSE)),0,VLOOKUP($A1872,'13. Updated Demand'!A:Z,16,FALSE))</f>
        <v>0</v>
      </c>
      <c r="Z1872" s="16">
        <f>IF(ISERROR(VLOOKUP($A1872,'13. Updated Demand'!A:Z,17,FALSE)),0,VLOOKUP($A1872,'13. Updated Demand'!A:Z,17,FALSE))</f>
        <v>0</v>
      </c>
      <c r="AA1872" s="16">
        <f>IF(ISERROR(VLOOKUP($A1872,'13. Updated Demand'!A:Z,18,FALSE)),0,VLOOKUP($A1872,'13. Updated Demand'!A:Z,18,FALSE))</f>
        <v>0</v>
      </c>
      <c r="AB1872" s="16">
        <f>IF(ISERROR(VLOOKUP($A1872,'13. Updated Demand'!A:Z,19,FALSE)),0,VLOOKUP($A1872,'13. Updated Demand'!A:Z,19,FALSE))</f>
        <v>0</v>
      </c>
      <c r="AC1872" s="16">
        <f>IF(ISERROR(VLOOKUP($A1872,'13. Updated Demand'!A:Z,20,FALSE)),0,VLOOKUP($A1872,'13. Updated Demand'!A:Z,20,FALSE))</f>
        <v>0</v>
      </c>
      <c r="AD1872" s="16">
        <f>IF(ISERROR(VLOOKUP($A1872,'13. Updated Demand'!A:Z,21,FALSE)),0,VLOOKUP($A1872,'13. Updated Demand'!A:Z,21,FALSE))</f>
        <v>0</v>
      </c>
      <c r="AE1872" s="16">
        <f>IF(ISERROR(VLOOKUP($A1872,'13. Updated Demand'!A:Z,22,FALSE)),0,VLOOKUP($A1872,'13. Updated Demand'!A:Z,22,FALSE))</f>
        <v>0</v>
      </c>
      <c r="AF1872" s="16">
        <f>IF(ISERROR(VLOOKUP($A1872,'13. Updated Demand'!A:Z,23,FALSE)),0,VLOOKUP($A1872,'13. Updated Demand'!A:Z,23,FALSE))</f>
        <v>0</v>
      </c>
      <c r="AG1872" s="16">
        <f>IF(ISERROR(VLOOKUP($A1872,'13. Updated Demand'!A:Z,24,FALSE)),0,VLOOKUP($A1872,'13. Updated Demand'!A:Z,24,FALSE))</f>
        <v>0</v>
      </c>
      <c r="AH1872" s="16">
        <f>IF(ISERROR(VLOOKUP($A1872,'13. Updated Demand'!A:Z,25,FALSE)),0,VLOOKUP($A1872,'13. Updated Demand'!A:Z,25,FALSE))</f>
        <v>0</v>
      </c>
      <c r="AI1872" s="16">
        <f>IF(ISERROR(VLOOKUP($A1872,'13. Updated Demand'!A:Z,26,FALSE)),0,VLOOKUP($A1872,'13. Updated Demand'!A:Z,26,FALSE))</f>
        <v>0</v>
      </c>
      <c r="AJ1872" s="16">
        <f t="shared" ref="AJ1872:AJ1935" si="361">SUM(X1872:AI1872)</f>
        <v>0</v>
      </c>
      <c r="AK1872" s="19">
        <v>0</v>
      </c>
      <c r="AL1872" s="16">
        <f t="shared" si="359"/>
        <v>0</v>
      </c>
      <c r="AM1872" s="26">
        <v>0</v>
      </c>
      <c r="AN1872" s="19">
        <v>29.82</v>
      </c>
      <c r="AO1872" s="19" t="s">
        <v>1758</v>
      </c>
      <c r="AP1872" s="19">
        <v>0</v>
      </c>
      <c r="AQ1872" s="19" t="s">
        <v>307</v>
      </c>
      <c r="AR1872" s="9" t="s">
        <v>331</v>
      </c>
      <c r="AS1872" s="12">
        <v>0</v>
      </c>
      <c r="AT1872" s="19">
        <v>39.130299999999998</v>
      </c>
      <c r="AU1872" s="19">
        <v>-123.1901</v>
      </c>
      <c r="AV1872" s="19" t="s">
        <v>387</v>
      </c>
    </row>
    <row r="1873" spans="1:48" x14ac:dyDescent="0.25">
      <c r="A1873" s="18" t="s">
        <v>2284</v>
      </c>
      <c r="B1873" s="10">
        <v>10000000</v>
      </c>
      <c r="C1873" s="9">
        <v>4</v>
      </c>
      <c r="D1873" s="8" t="str">
        <f t="shared" si="350"/>
        <v>Y</v>
      </c>
      <c r="E1873" s="8" t="str">
        <f t="shared" si="351"/>
        <v>N</v>
      </c>
      <c r="F1873" s="8" t="str">
        <f t="shared" si="352"/>
        <v>Y</v>
      </c>
      <c r="G1873" s="8" t="str">
        <f t="shared" si="353"/>
        <v>Y</v>
      </c>
      <c r="H1873" s="8" t="str">
        <f t="shared" si="354"/>
        <v>Upper</v>
      </c>
      <c r="I1873" s="8" t="str">
        <f t="shared" si="355"/>
        <v>West Fork and Below Lake</v>
      </c>
      <c r="J1873" s="8" t="str">
        <f t="shared" si="356"/>
        <v>Mendocino (d/s of lake)</v>
      </c>
      <c r="K1873" s="8" t="str">
        <f t="shared" si="357"/>
        <v>Riparian</v>
      </c>
      <c r="L1873" s="8">
        <f t="shared" si="358"/>
        <v>1000</v>
      </c>
      <c r="M1873" s="8" t="str">
        <f t="shared" si="360"/>
        <v>-</v>
      </c>
      <c r="N1873" s="10" t="s">
        <v>241</v>
      </c>
      <c r="O1873" s="10" t="s">
        <v>241</v>
      </c>
      <c r="P1873" s="10" t="s">
        <v>242</v>
      </c>
      <c r="Q1873" s="10" t="s">
        <v>242</v>
      </c>
      <c r="R1873" s="10" t="s">
        <v>242</v>
      </c>
      <c r="S1873" s="10" t="s">
        <v>241</v>
      </c>
      <c r="T1873" s="10" t="s">
        <v>242</v>
      </c>
      <c r="U1873" s="10" t="s">
        <v>242</v>
      </c>
      <c r="V1873" s="10" t="s">
        <v>241</v>
      </c>
      <c r="W1873" s="10" t="s">
        <v>242</v>
      </c>
      <c r="X1873" s="15">
        <f>IF(ISERROR(VLOOKUP($A1873,'13. Updated Demand'!A:Z,15,FALSE)),0,VLOOKUP($A1873,'13. Updated Demand'!A:Z,15,FALSE))</f>
        <v>0</v>
      </c>
      <c r="Y1873" s="16">
        <f>IF(ISERROR(VLOOKUP($A1873,'13. Updated Demand'!A:Z,16,FALSE)),0,VLOOKUP($A1873,'13. Updated Demand'!A:Z,16,FALSE))</f>
        <v>0</v>
      </c>
      <c r="Z1873" s="16">
        <f>IF(ISERROR(VLOOKUP($A1873,'13. Updated Demand'!A:Z,17,FALSE)),0,VLOOKUP($A1873,'13. Updated Demand'!A:Z,17,FALSE))</f>
        <v>0.09</v>
      </c>
      <c r="AA1873" s="16">
        <f>IF(ISERROR(VLOOKUP($A1873,'13. Updated Demand'!A:Z,18,FALSE)),0,VLOOKUP($A1873,'13. Updated Demand'!A:Z,18,FALSE))</f>
        <v>0.03</v>
      </c>
      <c r="AB1873" s="16">
        <f>IF(ISERROR(VLOOKUP($A1873,'13. Updated Demand'!A:Z,19,FALSE)),0,VLOOKUP($A1873,'13. Updated Demand'!A:Z,19,FALSE))</f>
        <v>0</v>
      </c>
      <c r="AC1873" s="16">
        <f>IF(ISERROR(VLOOKUP($A1873,'13. Updated Demand'!A:Z,20,FALSE)),0,VLOOKUP($A1873,'13. Updated Demand'!A:Z,20,FALSE))</f>
        <v>0</v>
      </c>
      <c r="AD1873" s="16">
        <f>IF(ISERROR(VLOOKUP($A1873,'13. Updated Demand'!A:Z,21,FALSE)),0,VLOOKUP($A1873,'13. Updated Demand'!A:Z,21,FALSE))</f>
        <v>0</v>
      </c>
      <c r="AE1873" s="16">
        <f>IF(ISERROR(VLOOKUP($A1873,'13. Updated Demand'!A:Z,22,FALSE)),0,VLOOKUP($A1873,'13. Updated Demand'!A:Z,22,FALSE))</f>
        <v>0</v>
      </c>
      <c r="AF1873" s="16">
        <f>IF(ISERROR(VLOOKUP($A1873,'13. Updated Demand'!A:Z,23,FALSE)),0,VLOOKUP($A1873,'13. Updated Demand'!A:Z,23,FALSE))</f>
        <v>0</v>
      </c>
      <c r="AG1873" s="16">
        <f>IF(ISERROR(VLOOKUP($A1873,'13. Updated Demand'!A:Z,24,FALSE)),0,VLOOKUP($A1873,'13. Updated Demand'!A:Z,24,FALSE))</f>
        <v>0</v>
      </c>
      <c r="AH1873" s="16">
        <f>IF(ISERROR(VLOOKUP($A1873,'13. Updated Demand'!A:Z,25,FALSE)),0,VLOOKUP($A1873,'13. Updated Demand'!A:Z,25,FALSE))</f>
        <v>0</v>
      </c>
      <c r="AI1873" s="16">
        <f>IF(ISERROR(VLOOKUP($A1873,'13. Updated Demand'!A:Z,26,FALSE)),0,VLOOKUP($A1873,'13. Updated Demand'!A:Z,26,FALSE))</f>
        <v>0</v>
      </c>
      <c r="AJ1873" s="16">
        <f t="shared" si="361"/>
        <v>0.12</v>
      </c>
      <c r="AK1873" s="19">
        <v>0</v>
      </c>
      <c r="AL1873" s="16">
        <f t="shared" si="359"/>
        <v>0</v>
      </c>
      <c r="AM1873" s="26">
        <v>2.9595015576323994E-2</v>
      </c>
      <c r="AN1873" s="19">
        <v>4.28</v>
      </c>
      <c r="AO1873" s="19" t="s">
        <v>1758</v>
      </c>
      <c r="AP1873" s="19">
        <v>0</v>
      </c>
      <c r="AQ1873" s="19" t="s">
        <v>307</v>
      </c>
      <c r="AR1873" s="9" t="s">
        <v>331</v>
      </c>
      <c r="AS1873" s="12">
        <v>0</v>
      </c>
      <c r="AT1873" s="19">
        <v>39.139299999999999</v>
      </c>
      <c r="AU1873" s="19">
        <v>-123.1858</v>
      </c>
      <c r="AV1873" s="19" t="s">
        <v>387</v>
      </c>
    </row>
    <row r="1874" spans="1:48" x14ac:dyDescent="0.25">
      <c r="A1874" s="18" t="s">
        <v>2285</v>
      </c>
      <c r="B1874" s="10">
        <v>10000000</v>
      </c>
      <c r="C1874" s="9">
        <v>4</v>
      </c>
      <c r="D1874" s="8" t="str">
        <f t="shared" si="350"/>
        <v>Y</v>
      </c>
      <c r="E1874" s="8" t="str">
        <f t="shared" si="351"/>
        <v>N</v>
      </c>
      <c r="F1874" s="8" t="str">
        <f t="shared" si="352"/>
        <v>Y</v>
      </c>
      <c r="G1874" s="8" t="str">
        <f t="shared" si="353"/>
        <v>Y</v>
      </c>
      <c r="H1874" s="8" t="str">
        <f t="shared" si="354"/>
        <v>Upper</v>
      </c>
      <c r="I1874" s="8" t="str">
        <f t="shared" si="355"/>
        <v>West Fork and Below Lake</v>
      </c>
      <c r="J1874" s="8" t="str">
        <f t="shared" si="356"/>
        <v>Mendocino (d/s of lake)</v>
      </c>
      <c r="K1874" s="8" t="str">
        <f t="shared" si="357"/>
        <v>Riparian</v>
      </c>
      <c r="L1874" s="8">
        <f t="shared" si="358"/>
        <v>1000</v>
      </c>
      <c r="M1874" s="8" t="str">
        <f t="shared" si="360"/>
        <v>-</v>
      </c>
      <c r="N1874" s="10" t="s">
        <v>241</v>
      </c>
      <c r="O1874" s="10" t="s">
        <v>241</v>
      </c>
      <c r="P1874" s="10" t="s">
        <v>242</v>
      </c>
      <c r="Q1874" s="10" t="s">
        <v>242</v>
      </c>
      <c r="R1874" s="10" t="s">
        <v>242</v>
      </c>
      <c r="S1874" s="10" t="s">
        <v>241</v>
      </c>
      <c r="T1874" s="10" t="s">
        <v>242</v>
      </c>
      <c r="U1874" s="10" t="s">
        <v>241</v>
      </c>
      <c r="V1874" s="10" t="s">
        <v>241</v>
      </c>
      <c r="W1874" s="10" t="s">
        <v>242</v>
      </c>
      <c r="X1874" s="15">
        <f>IF(ISERROR(VLOOKUP($A1874,'13. Updated Demand'!A:Z,15,FALSE)),0,VLOOKUP($A1874,'13. Updated Demand'!A:Z,15,FALSE))</f>
        <v>0</v>
      </c>
      <c r="Y1874" s="16">
        <f>IF(ISERROR(VLOOKUP($A1874,'13. Updated Demand'!A:Z,16,FALSE)),0,VLOOKUP($A1874,'13. Updated Demand'!A:Z,16,FALSE))</f>
        <v>0</v>
      </c>
      <c r="Z1874" s="16">
        <f>IF(ISERROR(VLOOKUP($A1874,'13. Updated Demand'!A:Z,17,FALSE)),0,VLOOKUP($A1874,'13. Updated Demand'!A:Z,17,FALSE))</f>
        <v>0</v>
      </c>
      <c r="AA1874" s="16">
        <f>IF(ISERROR(VLOOKUP($A1874,'13. Updated Demand'!A:Z,18,FALSE)),0,VLOOKUP($A1874,'13. Updated Demand'!A:Z,18,FALSE))</f>
        <v>0</v>
      </c>
      <c r="AB1874" s="16">
        <f>IF(ISERROR(VLOOKUP($A1874,'13. Updated Demand'!A:Z,19,FALSE)),0,VLOOKUP($A1874,'13. Updated Demand'!A:Z,19,FALSE))</f>
        <v>0</v>
      </c>
      <c r="AC1874" s="16">
        <f>IF(ISERROR(VLOOKUP($A1874,'13. Updated Demand'!A:Z,20,FALSE)),0,VLOOKUP($A1874,'13. Updated Demand'!A:Z,20,FALSE))</f>
        <v>0</v>
      </c>
      <c r="AD1874" s="16">
        <f>IF(ISERROR(VLOOKUP($A1874,'13. Updated Demand'!A:Z,21,FALSE)),0,VLOOKUP($A1874,'13. Updated Demand'!A:Z,21,FALSE))</f>
        <v>0</v>
      </c>
      <c r="AE1874" s="16">
        <f>IF(ISERROR(VLOOKUP($A1874,'13. Updated Demand'!A:Z,22,FALSE)),0,VLOOKUP($A1874,'13. Updated Demand'!A:Z,22,FALSE))</f>
        <v>0</v>
      </c>
      <c r="AF1874" s="16">
        <f>IF(ISERROR(VLOOKUP($A1874,'13. Updated Demand'!A:Z,23,FALSE)),0,VLOOKUP($A1874,'13. Updated Demand'!A:Z,23,FALSE))</f>
        <v>0</v>
      </c>
      <c r="AG1874" s="16">
        <f>IF(ISERROR(VLOOKUP($A1874,'13. Updated Demand'!A:Z,24,FALSE)),0,VLOOKUP($A1874,'13. Updated Demand'!A:Z,24,FALSE))</f>
        <v>0</v>
      </c>
      <c r="AH1874" s="16">
        <f>IF(ISERROR(VLOOKUP($A1874,'13. Updated Demand'!A:Z,25,FALSE)),0,VLOOKUP($A1874,'13. Updated Demand'!A:Z,25,FALSE))</f>
        <v>0</v>
      </c>
      <c r="AI1874" s="16">
        <f>IF(ISERROR(VLOOKUP($A1874,'13. Updated Demand'!A:Z,26,FALSE)),0,VLOOKUP($A1874,'13. Updated Demand'!A:Z,26,FALSE))</f>
        <v>0</v>
      </c>
      <c r="AJ1874" s="16">
        <f t="shared" si="361"/>
        <v>0</v>
      </c>
      <c r="AK1874" s="19">
        <v>0</v>
      </c>
      <c r="AL1874" s="16">
        <f t="shared" si="359"/>
        <v>0</v>
      </c>
      <c r="AM1874" s="26">
        <v>0</v>
      </c>
      <c r="AN1874" s="19">
        <v>18</v>
      </c>
      <c r="AO1874" s="19" t="s">
        <v>1758</v>
      </c>
      <c r="AP1874" s="19">
        <v>0</v>
      </c>
      <c r="AQ1874" s="19" t="s">
        <v>307</v>
      </c>
      <c r="AR1874" s="9" t="s">
        <v>331</v>
      </c>
      <c r="AS1874" s="12">
        <v>0</v>
      </c>
      <c r="AT1874" s="19">
        <v>39.120600000000003</v>
      </c>
      <c r="AU1874" s="19">
        <v>-123.19240000000001</v>
      </c>
      <c r="AV1874" s="19" t="s">
        <v>387</v>
      </c>
    </row>
    <row r="1875" spans="1:48" x14ac:dyDescent="0.25">
      <c r="A1875" s="18" t="s">
        <v>2286</v>
      </c>
      <c r="B1875" s="10">
        <v>10000000</v>
      </c>
      <c r="C1875" s="9">
        <v>12</v>
      </c>
      <c r="D1875" s="8" t="str">
        <f t="shared" si="350"/>
        <v>N</v>
      </c>
      <c r="E1875" s="8" t="str">
        <f t="shared" si="351"/>
        <v>Y</v>
      </c>
      <c r="F1875" s="8" t="str">
        <f t="shared" si="352"/>
        <v>Y</v>
      </c>
      <c r="G1875" s="8" t="str">
        <f t="shared" si="353"/>
        <v>Y</v>
      </c>
      <c r="H1875" s="8" t="str">
        <f t="shared" si="354"/>
        <v>Upper</v>
      </c>
      <c r="I1875" s="8" t="str">
        <f t="shared" si="355"/>
        <v>West Fork and Below Lake</v>
      </c>
      <c r="J1875" s="8" t="str">
        <f t="shared" si="356"/>
        <v>Sonoma (d/s of Clov. Gage)</v>
      </c>
      <c r="K1875" s="8" t="str">
        <f t="shared" si="357"/>
        <v>Riparian</v>
      </c>
      <c r="L1875" s="8">
        <f t="shared" si="358"/>
        <v>1000</v>
      </c>
      <c r="M1875" s="8" t="str">
        <f t="shared" si="360"/>
        <v>-</v>
      </c>
      <c r="N1875" s="10" t="s">
        <v>242</v>
      </c>
      <c r="O1875" s="10" t="s">
        <v>241</v>
      </c>
      <c r="P1875" s="10" t="s">
        <v>242</v>
      </c>
      <c r="Q1875" s="10" t="s">
        <v>242</v>
      </c>
      <c r="R1875" s="10" t="s">
        <v>242</v>
      </c>
      <c r="S1875" s="10" t="s">
        <v>241</v>
      </c>
      <c r="T1875" s="10" t="s">
        <v>242</v>
      </c>
      <c r="U1875" s="10" t="s">
        <v>242</v>
      </c>
      <c r="V1875" s="10" t="s">
        <v>241</v>
      </c>
      <c r="W1875" s="10" t="s">
        <v>242</v>
      </c>
      <c r="X1875" s="15">
        <f>IF(ISERROR(VLOOKUP($A1875,'13. Updated Demand'!A:Z,15,FALSE)),0,VLOOKUP($A1875,'13. Updated Demand'!A:Z,15,FALSE))</f>
        <v>5.33</v>
      </c>
      <c r="Y1875" s="16">
        <f>IF(ISERROR(VLOOKUP($A1875,'13. Updated Demand'!A:Z,16,FALSE)),0,VLOOKUP($A1875,'13. Updated Demand'!A:Z,16,FALSE))</f>
        <v>2.66</v>
      </c>
      <c r="Z1875" s="16">
        <f>IF(ISERROR(VLOOKUP($A1875,'13. Updated Demand'!A:Z,17,FALSE)),0,VLOOKUP($A1875,'13. Updated Demand'!A:Z,17,FALSE))</f>
        <v>2</v>
      </c>
      <c r="AA1875" s="16">
        <f>IF(ISERROR(VLOOKUP($A1875,'13. Updated Demand'!A:Z,18,FALSE)),0,VLOOKUP($A1875,'13. Updated Demand'!A:Z,18,FALSE))</f>
        <v>0</v>
      </c>
      <c r="AB1875" s="16">
        <f>IF(ISERROR(VLOOKUP($A1875,'13. Updated Demand'!A:Z,19,FALSE)),0,VLOOKUP($A1875,'13. Updated Demand'!A:Z,19,FALSE))</f>
        <v>0</v>
      </c>
      <c r="AC1875" s="16">
        <f>IF(ISERROR(VLOOKUP($A1875,'13. Updated Demand'!A:Z,20,FALSE)),0,VLOOKUP($A1875,'13. Updated Demand'!A:Z,20,FALSE))</f>
        <v>0</v>
      </c>
      <c r="AD1875" s="16">
        <f>IF(ISERROR(VLOOKUP($A1875,'13. Updated Demand'!A:Z,21,FALSE)),0,VLOOKUP($A1875,'13. Updated Demand'!A:Z,21,FALSE))</f>
        <v>0</v>
      </c>
      <c r="AE1875" s="16">
        <f>IF(ISERROR(VLOOKUP($A1875,'13. Updated Demand'!A:Z,22,FALSE)),0,VLOOKUP($A1875,'13. Updated Demand'!A:Z,22,FALSE))</f>
        <v>0</v>
      </c>
      <c r="AF1875" s="16">
        <f>IF(ISERROR(VLOOKUP($A1875,'13. Updated Demand'!A:Z,23,FALSE)),0,VLOOKUP($A1875,'13. Updated Demand'!A:Z,23,FALSE))</f>
        <v>0</v>
      </c>
      <c r="AG1875" s="16">
        <f>IF(ISERROR(VLOOKUP($A1875,'13. Updated Demand'!A:Z,24,FALSE)),0,VLOOKUP($A1875,'13. Updated Demand'!A:Z,24,FALSE))</f>
        <v>0</v>
      </c>
      <c r="AH1875" s="16">
        <f>IF(ISERROR(VLOOKUP($A1875,'13. Updated Demand'!A:Z,25,FALSE)),0,VLOOKUP($A1875,'13. Updated Demand'!A:Z,25,FALSE))</f>
        <v>0</v>
      </c>
      <c r="AI1875" s="16">
        <f>IF(ISERROR(VLOOKUP($A1875,'13. Updated Demand'!A:Z,26,FALSE)),0,VLOOKUP($A1875,'13. Updated Demand'!A:Z,26,FALSE))</f>
        <v>0.66</v>
      </c>
      <c r="AJ1875" s="16">
        <f t="shared" si="361"/>
        <v>10.65</v>
      </c>
      <c r="AK1875" s="19">
        <v>0</v>
      </c>
      <c r="AL1875" s="16">
        <f t="shared" si="359"/>
        <v>0</v>
      </c>
      <c r="AM1875" s="26">
        <v>0.53333333334999999</v>
      </c>
      <c r="AN1875" s="19">
        <v>20</v>
      </c>
      <c r="AO1875" s="19" t="s">
        <v>1758</v>
      </c>
      <c r="AP1875" s="19">
        <v>0</v>
      </c>
      <c r="AQ1875" s="19" t="s">
        <v>307</v>
      </c>
      <c r="AR1875" s="9" t="s">
        <v>311</v>
      </c>
      <c r="AS1875" s="12">
        <v>0</v>
      </c>
      <c r="AT1875" s="19">
        <v>38.6004</v>
      </c>
      <c r="AU1875" s="19">
        <v>-122.7552</v>
      </c>
      <c r="AV1875" s="19" t="s">
        <v>417</v>
      </c>
    </row>
    <row r="1876" spans="1:48" x14ac:dyDescent="0.25">
      <c r="A1876" s="18" t="s">
        <v>2287</v>
      </c>
      <c r="B1876" s="10">
        <v>10000000</v>
      </c>
      <c r="C1876" s="9">
        <v>22</v>
      </c>
      <c r="D1876" s="8" t="str">
        <f t="shared" si="350"/>
        <v>N</v>
      </c>
      <c r="E1876" s="8" t="str">
        <f t="shared" si="351"/>
        <v>N</v>
      </c>
      <c r="F1876" s="8" t="str">
        <f t="shared" si="352"/>
        <v>N</v>
      </c>
      <c r="G1876" s="8" t="str">
        <f t="shared" si="353"/>
        <v>N</v>
      </c>
      <c r="H1876" s="8" t="str">
        <f t="shared" si="354"/>
        <v>Lower</v>
      </c>
      <c r="I1876" s="8" t="str">
        <f t="shared" si="355"/>
        <v>Outside</v>
      </c>
      <c r="J1876" s="8" t="str">
        <f t="shared" si="356"/>
        <v>Outside</v>
      </c>
      <c r="K1876" s="8" t="str">
        <f t="shared" si="357"/>
        <v>Riparian</v>
      </c>
      <c r="L1876" s="8">
        <f t="shared" si="358"/>
        <v>1000</v>
      </c>
      <c r="M1876" s="8" t="str">
        <f t="shared" si="360"/>
        <v>-</v>
      </c>
      <c r="N1876" s="10" t="s">
        <v>242</v>
      </c>
      <c r="O1876" s="10" t="s">
        <v>242</v>
      </c>
      <c r="P1876" s="10" t="s">
        <v>242</v>
      </c>
      <c r="Q1876" s="10" t="s">
        <v>242</v>
      </c>
      <c r="R1876" s="10" t="s">
        <v>242</v>
      </c>
      <c r="S1876" s="10" t="s">
        <v>241</v>
      </c>
      <c r="T1876" s="10" t="s">
        <v>242</v>
      </c>
      <c r="U1876" s="10" t="s">
        <v>242</v>
      </c>
      <c r="V1876" s="10" t="s">
        <v>242</v>
      </c>
      <c r="W1876" s="10" t="s">
        <v>242</v>
      </c>
      <c r="X1876" s="15">
        <f>IF(ISERROR(VLOOKUP($A1876,'13. Updated Demand'!A:Z,15,FALSE)),0,VLOOKUP($A1876,'13. Updated Demand'!A:Z,15,FALSE))</f>
        <v>8.2760000000000004E-3</v>
      </c>
      <c r="Y1876" s="16">
        <f>IF(ISERROR(VLOOKUP($A1876,'13. Updated Demand'!A:Z,16,FALSE)),0,VLOOKUP($A1876,'13. Updated Demand'!A:Z,16,FALSE))</f>
        <v>6.8026670000000001E-3</v>
      </c>
      <c r="Z1876" s="16">
        <f>IF(ISERROR(VLOOKUP($A1876,'13. Updated Demand'!A:Z,17,FALSE)),0,VLOOKUP($A1876,'13. Updated Demand'!A:Z,17,FALSE))</f>
        <v>1.7964000000000001E-2</v>
      </c>
      <c r="AA1876" s="16">
        <f>IF(ISERROR(VLOOKUP($A1876,'13. Updated Demand'!A:Z,18,FALSE)),0,VLOOKUP($A1876,'13. Updated Demand'!A:Z,18,FALSE))</f>
        <v>1.6142332999999998E-2</v>
      </c>
      <c r="AB1876" s="16">
        <f>IF(ISERROR(VLOOKUP($A1876,'13. Updated Demand'!A:Z,19,FALSE)),0,VLOOKUP($A1876,'13. Updated Demand'!A:Z,19,FALSE))</f>
        <v>4.1573332999999997E-2</v>
      </c>
      <c r="AC1876" s="16">
        <f>IF(ISERROR(VLOOKUP($A1876,'13. Updated Demand'!A:Z,20,FALSE)),0,VLOOKUP($A1876,'13. Updated Demand'!A:Z,20,FALSE))</f>
        <v>1.4699667E-2</v>
      </c>
      <c r="AD1876" s="16">
        <f>IF(ISERROR(VLOOKUP($A1876,'13. Updated Demand'!A:Z,21,FALSE)),0,VLOOKUP($A1876,'13. Updated Demand'!A:Z,21,FALSE))</f>
        <v>2.0183E-2</v>
      </c>
      <c r="AE1876" s="16">
        <f>IF(ISERROR(VLOOKUP($A1876,'13. Updated Demand'!A:Z,22,FALSE)),0,VLOOKUP($A1876,'13. Updated Demand'!A:Z,22,FALSE))</f>
        <v>2.0223999999999999E-2</v>
      </c>
      <c r="AF1876" s="16">
        <f>IF(ISERROR(VLOOKUP($A1876,'13. Updated Demand'!A:Z,23,FALSE)),0,VLOOKUP($A1876,'13. Updated Demand'!A:Z,23,FALSE))</f>
        <v>1.4914667E-2</v>
      </c>
      <c r="AG1876" s="16">
        <f>IF(ISERROR(VLOOKUP($A1876,'13. Updated Demand'!A:Z,24,FALSE)),0,VLOOKUP($A1876,'13. Updated Demand'!A:Z,24,FALSE))</f>
        <v>1.5457E-2</v>
      </c>
      <c r="AH1876" s="16">
        <f>IF(ISERROR(VLOOKUP($A1876,'13. Updated Demand'!A:Z,25,FALSE)),0,VLOOKUP($A1876,'13. Updated Demand'!A:Z,25,FALSE))</f>
        <v>9.206667E-3</v>
      </c>
      <c r="AI1876" s="16">
        <f>IF(ISERROR(VLOOKUP($A1876,'13. Updated Demand'!A:Z,26,FALSE)),0,VLOOKUP($A1876,'13. Updated Demand'!A:Z,26,FALSE))</f>
        <v>7.9023329999999992E-3</v>
      </c>
      <c r="AJ1876" s="16">
        <f t="shared" si="361"/>
        <v>0.193345667</v>
      </c>
      <c r="AK1876" s="19">
        <v>0.11159466699999998</v>
      </c>
      <c r="AL1876" s="16">
        <f t="shared" si="359"/>
        <v>3.7014679861186454E-4</v>
      </c>
      <c r="AM1876" s="26">
        <v>0.40389736160434508</v>
      </c>
      <c r="AN1876" s="19">
        <v>0.47870000000000001</v>
      </c>
      <c r="AO1876" s="19" t="s">
        <v>1758</v>
      </c>
      <c r="AP1876" s="19">
        <v>0</v>
      </c>
      <c r="AQ1876" s="19" t="s">
        <v>307</v>
      </c>
      <c r="AR1876" s="9" t="s">
        <v>314</v>
      </c>
      <c r="AS1876" s="12">
        <v>3.4039024194010059E-4</v>
      </c>
      <c r="AT1876" s="19">
        <v>38.756</v>
      </c>
      <c r="AU1876" s="19">
        <v>-123.1143</v>
      </c>
      <c r="AV1876" s="19" t="s">
        <v>1927</v>
      </c>
    </row>
    <row r="1877" spans="1:48" x14ac:dyDescent="0.25">
      <c r="A1877" s="18" t="s">
        <v>81</v>
      </c>
      <c r="B1877" s="10">
        <v>10000000</v>
      </c>
      <c r="C1877" s="9">
        <v>12</v>
      </c>
      <c r="D1877" s="8" t="str">
        <f t="shared" si="350"/>
        <v>N</v>
      </c>
      <c r="E1877" s="8" t="str">
        <f t="shared" si="351"/>
        <v>Y</v>
      </c>
      <c r="F1877" s="8" t="str">
        <f t="shared" si="352"/>
        <v>Y</v>
      </c>
      <c r="G1877" s="8" t="str">
        <f t="shared" si="353"/>
        <v>Y</v>
      </c>
      <c r="H1877" s="8" t="str">
        <f t="shared" si="354"/>
        <v>Upper</v>
      </c>
      <c r="I1877" s="8" t="str">
        <f t="shared" si="355"/>
        <v>West Fork and Below Lake</v>
      </c>
      <c r="J1877" s="8" t="str">
        <f t="shared" si="356"/>
        <v>Sonoma (d/s of Clov. Gage)</v>
      </c>
      <c r="K1877" s="8" t="str">
        <f t="shared" si="357"/>
        <v>Riparian</v>
      </c>
      <c r="L1877" s="8">
        <f t="shared" si="358"/>
        <v>1000</v>
      </c>
      <c r="M1877" s="8" t="str">
        <f t="shared" si="360"/>
        <v>-</v>
      </c>
      <c r="N1877" s="10" t="s">
        <v>241</v>
      </c>
      <c r="O1877" s="10" t="s">
        <v>241</v>
      </c>
      <c r="P1877" s="10" t="s">
        <v>242</v>
      </c>
      <c r="Q1877" s="10" t="s">
        <v>242</v>
      </c>
      <c r="R1877" s="10" t="s">
        <v>242</v>
      </c>
      <c r="S1877" s="10" t="s">
        <v>241</v>
      </c>
      <c r="T1877" s="10" t="s">
        <v>242</v>
      </c>
      <c r="U1877" s="10" t="s">
        <v>242</v>
      </c>
      <c r="V1877" s="10" t="s">
        <v>242</v>
      </c>
      <c r="W1877" s="10" t="s">
        <v>242</v>
      </c>
      <c r="X1877" s="15">
        <f>IF(ISERROR(VLOOKUP($A1877,'13. Updated Demand'!A:Z,15,FALSE)),0,VLOOKUP($A1877,'13. Updated Demand'!A:Z,15,FALSE))</f>
        <v>0</v>
      </c>
      <c r="Y1877" s="16">
        <f>IF(ISERROR(VLOOKUP($A1877,'13. Updated Demand'!A:Z,16,FALSE)),0,VLOOKUP($A1877,'13. Updated Demand'!A:Z,16,FALSE))</f>
        <v>0</v>
      </c>
      <c r="Z1877" s="16">
        <f>IF(ISERROR(VLOOKUP($A1877,'13. Updated Demand'!A:Z,17,FALSE)),0,VLOOKUP($A1877,'13. Updated Demand'!A:Z,17,FALSE))</f>
        <v>0</v>
      </c>
      <c r="AA1877" s="16">
        <f>IF(ISERROR(VLOOKUP($A1877,'13. Updated Demand'!A:Z,18,FALSE)),0,VLOOKUP($A1877,'13. Updated Demand'!A:Z,18,FALSE))</f>
        <v>0.01</v>
      </c>
      <c r="AB1877" s="16">
        <f>IF(ISERROR(VLOOKUP($A1877,'13. Updated Demand'!A:Z,19,FALSE)),0,VLOOKUP($A1877,'13. Updated Demand'!A:Z,19,FALSE))</f>
        <v>0.67</v>
      </c>
      <c r="AC1877" s="16">
        <f>IF(ISERROR(VLOOKUP($A1877,'13. Updated Demand'!A:Z,20,FALSE)),0,VLOOKUP($A1877,'13. Updated Demand'!A:Z,20,FALSE))</f>
        <v>0.49</v>
      </c>
      <c r="AD1877" s="16">
        <f>IF(ISERROR(VLOOKUP($A1877,'13. Updated Demand'!A:Z,21,FALSE)),0,VLOOKUP($A1877,'13. Updated Demand'!A:Z,21,FALSE))</f>
        <v>0.68</v>
      </c>
      <c r="AE1877" s="16">
        <f>IF(ISERROR(VLOOKUP($A1877,'13. Updated Demand'!A:Z,22,FALSE)),0,VLOOKUP($A1877,'13. Updated Demand'!A:Z,22,FALSE))</f>
        <v>0.87</v>
      </c>
      <c r="AF1877" s="16">
        <f>IF(ISERROR(VLOOKUP($A1877,'13. Updated Demand'!A:Z,23,FALSE)),0,VLOOKUP($A1877,'13. Updated Demand'!A:Z,23,FALSE))</f>
        <v>0.38</v>
      </c>
      <c r="AG1877" s="16">
        <f>IF(ISERROR(VLOOKUP($A1877,'13. Updated Demand'!A:Z,24,FALSE)),0,VLOOKUP($A1877,'13. Updated Demand'!A:Z,24,FALSE))</f>
        <v>0.3</v>
      </c>
      <c r="AH1877" s="16">
        <f>IF(ISERROR(VLOOKUP($A1877,'13. Updated Demand'!A:Z,25,FALSE)),0,VLOOKUP($A1877,'13. Updated Demand'!A:Z,25,FALSE))</f>
        <v>0.06</v>
      </c>
      <c r="AI1877" s="16">
        <f>IF(ISERROR(VLOOKUP($A1877,'13. Updated Demand'!A:Z,26,FALSE)),0,VLOOKUP($A1877,'13. Updated Demand'!A:Z,26,FALSE))</f>
        <v>0</v>
      </c>
      <c r="AJ1877" s="16">
        <f t="shared" si="361"/>
        <v>3.46</v>
      </c>
      <c r="AK1877" s="19">
        <v>3.1000000000000005</v>
      </c>
      <c r="AL1877" s="16">
        <f t="shared" si="359"/>
        <v>1.0282346876816081E-2</v>
      </c>
      <c r="AM1877" s="26">
        <v>7.1930848366880667E-3</v>
      </c>
      <c r="AN1877" s="19">
        <v>484.26139999999998</v>
      </c>
      <c r="AO1877" s="19" t="s">
        <v>1758</v>
      </c>
      <c r="AP1877" s="19">
        <v>0</v>
      </c>
      <c r="AQ1877" s="19" t="s">
        <v>307</v>
      </c>
      <c r="AR1877" s="9" t="s">
        <v>311</v>
      </c>
      <c r="AS1877" s="12">
        <v>0</v>
      </c>
      <c r="AT1877" s="19">
        <v>38.639699999999998</v>
      </c>
      <c r="AU1877" s="19">
        <v>-122.7984</v>
      </c>
      <c r="AV1877" s="19" t="s">
        <v>548</v>
      </c>
    </row>
    <row r="1878" spans="1:48" x14ac:dyDescent="0.25">
      <c r="A1878" s="18" t="s">
        <v>80</v>
      </c>
      <c r="B1878" s="10">
        <v>10000000</v>
      </c>
      <c r="C1878" s="9">
        <v>12</v>
      </c>
      <c r="D1878" s="8" t="str">
        <f t="shared" si="350"/>
        <v>N</v>
      </c>
      <c r="E1878" s="8" t="str">
        <f t="shared" si="351"/>
        <v>Y</v>
      </c>
      <c r="F1878" s="8" t="str">
        <f t="shared" si="352"/>
        <v>Y</v>
      </c>
      <c r="G1878" s="8" t="str">
        <f t="shared" si="353"/>
        <v>Y</v>
      </c>
      <c r="H1878" s="8" t="str">
        <f t="shared" si="354"/>
        <v>Upper</v>
      </c>
      <c r="I1878" s="8" t="str">
        <f t="shared" si="355"/>
        <v>West Fork and Below Lake</v>
      </c>
      <c r="J1878" s="8" t="str">
        <f t="shared" si="356"/>
        <v>Sonoma (d/s of Clov. Gage)</v>
      </c>
      <c r="K1878" s="8" t="str">
        <f t="shared" si="357"/>
        <v>Riparian</v>
      </c>
      <c r="L1878" s="8">
        <f t="shared" si="358"/>
        <v>1000</v>
      </c>
      <c r="M1878" s="8" t="str">
        <f t="shared" si="360"/>
        <v>-</v>
      </c>
      <c r="N1878" s="10" t="s">
        <v>241</v>
      </c>
      <c r="O1878" s="10" t="s">
        <v>241</v>
      </c>
      <c r="P1878" s="10" t="s">
        <v>242</v>
      </c>
      <c r="Q1878" s="10" t="s">
        <v>242</v>
      </c>
      <c r="R1878" s="10" t="s">
        <v>242</v>
      </c>
      <c r="S1878" s="10" t="s">
        <v>241</v>
      </c>
      <c r="T1878" s="10" t="s">
        <v>242</v>
      </c>
      <c r="U1878" s="10" t="s">
        <v>242</v>
      </c>
      <c r="V1878" s="10" t="s">
        <v>242</v>
      </c>
      <c r="W1878" s="10" t="s">
        <v>242</v>
      </c>
      <c r="X1878" s="15">
        <f>IF(ISERROR(VLOOKUP($A1878,'13. Updated Demand'!A:Z,15,FALSE)),0,VLOOKUP($A1878,'13. Updated Demand'!A:Z,15,FALSE))</f>
        <v>0</v>
      </c>
      <c r="Y1878" s="16">
        <f>IF(ISERROR(VLOOKUP($A1878,'13. Updated Demand'!A:Z,16,FALSE)),0,VLOOKUP($A1878,'13. Updated Demand'!A:Z,16,FALSE))</f>
        <v>0.06</v>
      </c>
      <c r="Z1878" s="16">
        <f>IF(ISERROR(VLOOKUP($A1878,'13. Updated Demand'!A:Z,17,FALSE)),0,VLOOKUP($A1878,'13. Updated Demand'!A:Z,17,FALSE))</f>
        <v>0.1</v>
      </c>
      <c r="AA1878" s="16">
        <f>IF(ISERROR(VLOOKUP($A1878,'13. Updated Demand'!A:Z,18,FALSE)),0,VLOOKUP($A1878,'13. Updated Demand'!A:Z,18,FALSE))</f>
        <v>0.03</v>
      </c>
      <c r="AB1878" s="16">
        <f>IF(ISERROR(VLOOKUP($A1878,'13. Updated Demand'!A:Z,19,FALSE)),0,VLOOKUP($A1878,'13. Updated Demand'!A:Z,19,FALSE))</f>
        <v>0.06</v>
      </c>
      <c r="AC1878" s="16">
        <f>IF(ISERROR(VLOOKUP($A1878,'13. Updated Demand'!A:Z,20,FALSE)),0,VLOOKUP($A1878,'13. Updated Demand'!A:Z,20,FALSE))</f>
        <v>0.74</v>
      </c>
      <c r="AD1878" s="16">
        <f>IF(ISERROR(VLOOKUP($A1878,'13. Updated Demand'!A:Z,21,FALSE)),0,VLOOKUP($A1878,'13. Updated Demand'!A:Z,21,FALSE))</f>
        <v>1.5</v>
      </c>
      <c r="AE1878" s="16">
        <f>IF(ISERROR(VLOOKUP($A1878,'13. Updated Demand'!A:Z,22,FALSE)),0,VLOOKUP($A1878,'13. Updated Demand'!A:Z,22,FALSE))</f>
        <v>2.74</v>
      </c>
      <c r="AF1878" s="16">
        <f>IF(ISERROR(VLOOKUP($A1878,'13. Updated Demand'!A:Z,23,FALSE)),0,VLOOKUP($A1878,'13. Updated Demand'!A:Z,23,FALSE))</f>
        <v>2.5299999999999998</v>
      </c>
      <c r="AG1878" s="16">
        <f>IF(ISERROR(VLOOKUP($A1878,'13. Updated Demand'!A:Z,24,FALSE)),0,VLOOKUP($A1878,'13. Updated Demand'!A:Z,24,FALSE))</f>
        <v>1.83</v>
      </c>
      <c r="AH1878" s="16">
        <f>IF(ISERROR(VLOOKUP($A1878,'13. Updated Demand'!A:Z,25,FALSE)),0,VLOOKUP($A1878,'13. Updated Demand'!A:Z,25,FALSE))</f>
        <v>0</v>
      </c>
      <c r="AI1878" s="16">
        <f>IF(ISERROR(VLOOKUP($A1878,'13. Updated Demand'!A:Z,26,FALSE)),0,VLOOKUP($A1878,'13. Updated Demand'!A:Z,26,FALSE))</f>
        <v>0</v>
      </c>
      <c r="AJ1878" s="16">
        <f t="shared" si="361"/>
        <v>9.59</v>
      </c>
      <c r="AK1878" s="19">
        <v>7.5899999999999981</v>
      </c>
      <c r="AL1878" s="16">
        <f t="shared" si="359"/>
        <v>2.5175165417752908E-2</v>
      </c>
      <c r="AM1878" s="26">
        <v>5.2114348408238684E-2</v>
      </c>
      <c r="AN1878" s="19">
        <v>184.72200000000001</v>
      </c>
      <c r="AO1878" s="19" t="s">
        <v>1758</v>
      </c>
      <c r="AP1878" s="19">
        <v>0</v>
      </c>
      <c r="AQ1878" s="19" t="s">
        <v>307</v>
      </c>
      <c r="AR1878" s="9" t="s">
        <v>311</v>
      </c>
      <c r="AS1878" s="12">
        <v>0</v>
      </c>
      <c r="AT1878" s="19">
        <v>38.625599999999999</v>
      </c>
      <c r="AU1878" s="19">
        <v>-122.8171</v>
      </c>
      <c r="AV1878" s="19" t="s">
        <v>2271</v>
      </c>
    </row>
    <row r="1879" spans="1:48" x14ac:dyDescent="0.25">
      <c r="A1879" s="18" t="s">
        <v>2288</v>
      </c>
      <c r="B1879" s="10">
        <v>10000000</v>
      </c>
      <c r="C1879" s="9">
        <v>6</v>
      </c>
      <c r="D1879" s="8" t="str">
        <f t="shared" si="350"/>
        <v>Y</v>
      </c>
      <c r="E1879" s="8" t="str">
        <f t="shared" si="351"/>
        <v>N</v>
      </c>
      <c r="F1879" s="8" t="str">
        <f t="shared" si="352"/>
        <v>Y</v>
      </c>
      <c r="G1879" s="8" t="str">
        <f t="shared" si="353"/>
        <v>Y</v>
      </c>
      <c r="H1879" s="8" t="str">
        <f t="shared" si="354"/>
        <v>Upper</v>
      </c>
      <c r="I1879" s="8" t="str">
        <f t="shared" si="355"/>
        <v>West Fork and Below Lake</v>
      </c>
      <c r="J1879" s="8" t="str">
        <f t="shared" si="356"/>
        <v>Mendocino (d/s of lake)</v>
      </c>
      <c r="K1879" s="8" t="str">
        <f t="shared" si="357"/>
        <v>Riparian</v>
      </c>
      <c r="L1879" s="8">
        <f t="shared" si="358"/>
        <v>1000</v>
      </c>
      <c r="M1879" s="8" t="str">
        <f t="shared" si="360"/>
        <v>-</v>
      </c>
      <c r="N1879" s="10" t="s">
        <v>242</v>
      </c>
      <c r="O1879" s="10" t="s">
        <v>241</v>
      </c>
      <c r="P1879" s="10" t="s">
        <v>242</v>
      </c>
      <c r="Q1879" s="10" t="s">
        <v>242</v>
      </c>
      <c r="R1879" s="10" t="s">
        <v>242</v>
      </c>
      <c r="S1879" s="10" t="s">
        <v>241</v>
      </c>
      <c r="T1879" s="10" t="s">
        <v>242</v>
      </c>
      <c r="U1879" s="10" t="s">
        <v>242</v>
      </c>
      <c r="V1879" s="10" t="s">
        <v>242</v>
      </c>
      <c r="W1879" s="10" t="s">
        <v>242</v>
      </c>
      <c r="X1879" s="15">
        <f>IF(ISERROR(VLOOKUP($A1879,'13. Updated Demand'!A:Z,15,FALSE)),0,VLOOKUP($A1879,'13. Updated Demand'!A:Z,15,FALSE))</f>
        <v>0</v>
      </c>
      <c r="Y1879" s="16">
        <f>IF(ISERROR(VLOOKUP($A1879,'13. Updated Demand'!A:Z,16,FALSE)),0,VLOOKUP($A1879,'13. Updated Demand'!A:Z,16,FALSE))</f>
        <v>12</v>
      </c>
      <c r="Z1879" s="16">
        <f>IF(ISERROR(VLOOKUP($A1879,'13. Updated Demand'!A:Z,17,FALSE)),0,VLOOKUP($A1879,'13. Updated Demand'!A:Z,17,FALSE))</f>
        <v>0.1</v>
      </c>
      <c r="AA1879" s="16">
        <f>IF(ISERROR(VLOOKUP($A1879,'13. Updated Demand'!A:Z,18,FALSE)),0,VLOOKUP($A1879,'13. Updated Demand'!A:Z,18,FALSE))</f>
        <v>0</v>
      </c>
      <c r="AB1879" s="16">
        <f>IF(ISERROR(VLOOKUP($A1879,'13. Updated Demand'!A:Z,19,FALSE)),0,VLOOKUP($A1879,'13. Updated Demand'!A:Z,19,FALSE))</f>
        <v>2.1</v>
      </c>
      <c r="AC1879" s="16">
        <f>IF(ISERROR(VLOOKUP($A1879,'13. Updated Demand'!A:Z,20,FALSE)),0,VLOOKUP($A1879,'13. Updated Demand'!A:Z,20,FALSE))</f>
        <v>0.9</v>
      </c>
      <c r="AD1879" s="16">
        <f>IF(ISERROR(VLOOKUP($A1879,'13. Updated Demand'!A:Z,21,FALSE)),0,VLOOKUP($A1879,'13. Updated Demand'!A:Z,21,FALSE))</f>
        <v>0</v>
      </c>
      <c r="AE1879" s="16">
        <f>IF(ISERROR(VLOOKUP($A1879,'13. Updated Demand'!A:Z,22,FALSE)),0,VLOOKUP($A1879,'13. Updated Demand'!A:Z,22,FALSE))</f>
        <v>0</v>
      </c>
      <c r="AF1879" s="16">
        <f>IF(ISERROR(VLOOKUP($A1879,'13. Updated Demand'!A:Z,23,FALSE)),0,VLOOKUP($A1879,'13. Updated Demand'!A:Z,23,FALSE))</f>
        <v>0</v>
      </c>
      <c r="AG1879" s="16">
        <f>IF(ISERROR(VLOOKUP($A1879,'13. Updated Demand'!A:Z,24,FALSE)),0,VLOOKUP($A1879,'13. Updated Demand'!A:Z,24,FALSE))</f>
        <v>0</v>
      </c>
      <c r="AH1879" s="16">
        <f>IF(ISERROR(VLOOKUP($A1879,'13. Updated Demand'!A:Z,25,FALSE)),0,VLOOKUP($A1879,'13. Updated Demand'!A:Z,25,FALSE))</f>
        <v>0</v>
      </c>
      <c r="AI1879" s="16">
        <f>IF(ISERROR(VLOOKUP($A1879,'13. Updated Demand'!A:Z,26,FALSE)),0,VLOOKUP($A1879,'13. Updated Demand'!A:Z,26,FALSE))</f>
        <v>0</v>
      </c>
      <c r="AJ1879" s="16">
        <f t="shared" si="361"/>
        <v>15.1</v>
      </c>
      <c r="AK1879" s="19">
        <v>3</v>
      </c>
      <c r="AL1879" s="16">
        <f t="shared" si="359"/>
        <v>9.9506582678865266E-3</v>
      </c>
      <c r="AM1879" s="26">
        <v>1.4375749728669623E-2</v>
      </c>
      <c r="AN1879" s="19">
        <v>1050.3800000000001</v>
      </c>
      <c r="AO1879" s="19" t="s">
        <v>1758</v>
      </c>
      <c r="AP1879" s="19">
        <v>0</v>
      </c>
      <c r="AQ1879" s="19" t="s">
        <v>307</v>
      </c>
      <c r="AR1879" s="9" t="s">
        <v>319</v>
      </c>
      <c r="AS1879" s="12">
        <v>0</v>
      </c>
      <c r="AT1879" s="19">
        <v>38.969499999999996</v>
      </c>
      <c r="AU1879" s="19">
        <v>-123.1294</v>
      </c>
      <c r="AV1879" s="19" t="s">
        <v>2289</v>
      </c>
    </row>
    <row r="1880" spans="1:48" x14ac:dyDescent="0.25">
      <c r="A1880" s="18" t="s">
        <v>2290</v>
      </c>
      <c r="B1880" s="10">
        <v>10000000</v>
      </c>
      <c r="C1880" s="9">
        <v>5</v>
      </c>
      <c r="D1880" s="8" t="str">
        <f t="shared" si="350"/>
        <v>Y</v>
      </c>
      <c r="E1880" s="8" t="str">
        <f t="shared" si="351"/>
        <v>N</v>
      </c>
      <c r="F1880" s="8" t="str">
        <f t="shared" si="352"/>
        <v>Y</v>
      </c>
      <c r="G1880" s="8" t="str">
        <f t="shared" si="353"/>
        <v>Y</v>
      </c>
      <c r="H1880" s="8" t="str">
        <f t="shared" si="354"/>
        <v>Upper</v>
      </c>
      <c r="I1880" s="8" t="str">
        <f t="shared" si="355"/>
        <v>West Fork and Below Lake</v>
      </c>
      <c r="J1880" s="8" t="str">
        <f t="shared" si="356"/>
        <v>Mendocino (d/s of lake)</v>
      </c>
      <c r="K1880" s="8" t="str">
        <f t="shared" si="357"/>
        <v>Riparian</v>
      </c>
      <c r="L1880" s="8">
        <f t="shared" si="358"/>
        <v>1000</v>
      </c>
      <c r="M1880" s="8" t="str">
        <f t="shared" si="360"/>
        <v>-</v>
      </c>
      <c r="N1880" s="10" t="s">
        <v>241</v>
      </c>
      <c r="O1880" s="10" t="s">
        <v>241</v>
      </c>
      <c r="P1880" s="10" t="s">
        <v>242</v>
      </c>
      <c r="Q1880" s="10" t="s">
        <v>242</v>
      </c>
      <c r="R1880" s="10" t="s">
        <v>242</v>
      </c>
      <c r="S1880" s="10" t="s">
        <v>241</v>
      </c>
      <c r="T1880" s="10" t="s">
        <v>242</v>
      </c>
      <c r="U1880" s="10" t="s">
        <v>242</v>
      </c>
      <c r="V1880" s="10" t="s">
        <v>241</v>
      </c>
      <c r="W1880" s="10" t="s">
        <v>242</v>
      </c>
      <c r="X1880" s="15">
        <f>IF(ISERROR(VLOOKUP($A1880,'13. Updated Demand'!A:Z,15,FALSE)),0,VLOOKUP($A1880,'13. Updated Demand'!A:Z,15,FALSE))</f>
        <v>0</v>
      </c>
      <c r="Y1880" s="16">
        <f>IF(ISERROR(VLOOKUP($A1880,'13. Updated Demand'!A:Z,16,FALSE)),0,VLOOKUP($A1880,'13. Updated Demand'!A:Z,16,FALSE))</f>
        <v>0</v>
      </c>
      <c r="Z1880" s="16">
        <f>IF(ISERROR(VLOOKUP($A1880,'13. Updated Demand'!A:Z,17,FALSE)),0,VLOOKUP($A1880,'13. Updated Demand'!A:Z,17,FALSE))</f>
        <v>0</v>
      </c>
      <c r="AA1880" s="16">
        <f>IF(ISERROR(VLOOKUP($A1880,'13. Updated Demand'!A:Z,18,FALSE)),0,VLOOKUP($A1880,'13. Updated Demand'!A:Z,18,FALSE))</f>
        <v>0</v>
      </c>
      <c r="AB1880" s="16">
        <f>IF(ISERROR(VLOOKUP($A1880,'13. Updated Demand'!A:Z,19,FALSE)),0,VLOOKUP($A1880,'13. Updated Demand'!A:Z,19,FALSE))</f>
        <v>0</v>
      </c>
      <c r="AC1880" s="16">
        <f>IF(ISERROR(VLOOKUP($A1880,'13. Updated Demand'!A:Z,20,FALSE)),0,VLOOKUP($A1880,'13. Updated Demand'!A:Z,20,FALSE))</f>
        <v>0</v>
      </c>
      <c r="AD1880" s="16">
        <f>IF(ISERROR(VLOOKUP($A1880,'13. Updated Demand'!A:Z,21,FALSE)),0,VLOOKUP($A1880,'13. Updated Demand'!A:Z,21,FALSE))</f>
        <v>0</v>
      </c>
      <c r="AE1880" s="16">
        <f>IF(ISERROR(VLOOKUP($A1880,'13. Updated Demand'!A:Z,22,FALSE)),0,VLOOKUP($A1880,'13. Updated Demand'!A:Z,22,FALSE))</f>
        <v>0</v>
      </c>
      <c r="AF1880" s="16">
        <f>IF(ISERROR(VLOOKUP($A1880,'13. Updated Demand'!A:Z,23,FALSE)),0,VLOOKUP($A1880,'13. Updated Demand'!A:Z,23,FALSE))</f>
        <v>0</v>
      </c>
      <c r="AG1880" s="16">
        <f>IF(ISERROR(VLOOKUP($A1880,'13. Updated Demand'!A:Z,24,FALSE)),0,VLOOKUP($A1880,'13. Updated Demand'!A:Z,24,FALSE))</f>
        <v>0</v>
      </c>
      <c r="AH1880" s="16">
        <f>IF(ISERROR(VLOOKUP($A1880,'13. Updated Demand'!A:Z,25,FALSE)),0,VLOOKUP($A1880,'13. Updated Demand'!A:Z,25,FALSE))</f>
        <v>10.33</v>
      </c>
      <c r="AI1880" s="16">
        <f>IF(ISERROR(VLOOKUP($A1880,'13. Updated Demand'!A:Z,26,FALSE)),0,VLOOKUP($A1880,'13. Updated Demand'!A:Z,26,FALSE))</f>
        <v>0</v>
      </c>
      <c r="AJ1880" s="16">
        <f t="shared" si="361"/>
        <v>10.33</v>
      </c>
      <c r="AK1880" s="19">
        <v>0</v>
      </c>
      <c r="AL1880" s="16">
        <f t="shared" si="359"/>
        <v>0</v>
      </c>
      <c r="AM1880" s="26">
        <v>9.8377095273456273E-3</v>
      </c>
      <c r="AN1880" s="19">
        <v>1050.3800000000001</v>
      </c>
      <c r="AO1880" s="19" t="s">
        <v>1758</v>
      </c>
      <c r="AP1880" s="19">
        <v>0</v>
      </c>
      <c r="AQ1880" s="19" t="s">
        <v>307</v>
      </c>
      <c r="AR1880" s="9" t="s">
        <v>333</v>
      </c>
      <c r="AS1880" s="12">
        <v>0</v>
      </c>
      <c r="AT1880" s="19">
        <v>39.059600000000003</v>
      </c>
      <c r="AU1880" s="19">
        <v>-123.1447</v>
      </c>
      <c r="AV1880" s="19" t="s">
        <v>387</v>
      </c>
    </row>
    <row r="1881" spans="1:48" x14ac:dyDescent="0.25">
      <c r="A1881" s="18" t="s">
        <v>2291</v>
      </c>
      <c r="B1881" s="10">
        <v>10000000</v>
      </c>
      <c r="C1881" s="9">
        <v>17</v>
      </c>
      <c r="D1881" s="8" t="str">
        <f t="shared" si="350"/>
        <v>N</v>
      </c>
      <c r="E1881" s="8" t="str">
        <f t="shared" si="351"/>
        <v>N</v>
      </c>
      <c r="F1881" s="8" t="str">
        <f t="shared" si="352"/>
        <v>N</v>
      </c>
      <c r="G1881" s="8" t="str">
        <f t="shared" si="353"/>
        <v>N</v>
      </c>
      <c r="H1881" s="8" t="str">
        <f t="shared" si="354"/>
        <v>Lower</v>
      </c>
      <c r="I1881" s="8" t="str">
        <f t="shared" si="355"/>
        <v>Outside</v>
      </c>
      <c r="J1881" s="8" t="str">
        <f t="shared" si="356"/>
        <v>Outside</v>
      </c>
      <c r="K1881" s="8" t="str">
        <f t="shared" si="357"/>
        <v>Riparian</v>
      </c>
      <c r="L1881" s="8">
        <f t="shared" si="358"/>
        <v>1000</v>
      </c>
      <c r="M1881" s="8" t="str">
        <f t="shared" si="360"/>
        <v>-</v>
      </c>
      <c r="N1881" s="10" t="s">
        <v>241</v>
      </c>
      <c r="O1881" s="10" t="s">
        <v>242</v>
      </c>
      <c r="P1881" s="10" t="s">
        <v>242</v>
      </c>
      <c r="Q1881" s="10" t="s">
        <v>242</v>
      </c>
      <c r="R1881" s="10" t="s">
        <v>242</v>
      </c>
      <c r="S1881" s="10" t="s">
        <v>241</v>
      </c>
      <c r="T1881" s="10" t="s">
        <v>242</v>
      </c>
      <c r="U1881" s="10" t="s">
        <v>242</v>
      </c>
      <c r="V1881" s="10" t="s">
        <v>242</v>
      </c>
      <c r="W1881" s="10" t="s">
        <v>242</v>
      </c>
      <c r="X1881" s="15">
        <f>IF(ISERROR(VLOOKUP($A1881,'13. Updated Demand'!A:Z,15,FALSE)),0,VLOOKUP($A1881,'13. Updated Demand'!A:Z,15,FALSE))</f>
        <v>0</v>
      </c>
      <c r="Y1881" s="16">
        <f>IF(ISERROR(VLOOKUP($A1881,'13. Updated Demand'!A:Z,16,FALSE)),0,VLOOKUP($A1881,'13. Updated Demand'!A:Z,16,FALSE))</f>
        <v>0</v>
      </c>
      <c r="Z1881" s="16">
        <f>IF(ISERROR(VLOOKUP($A1881,'13. Updated Demand'!A:Z,17,FALSE)),0,VLOOKUP($A1881,'13. Updated Demand'!A:Z,17,FALSE))</f>
        <v>0</v>
      </c>
      <c r="AA1881" s="16">
        <f>IF(ISERROR(VLOOKUP($A1881,'13. Updated Demand'!A:Z,18,FALSE)),0,VLOOKUP($A1881,'13. Updated Demand'!A:Z,18,FALSE))</f>
        <v>0.63333333300000005</v>
      </c>
      <c r="AB1881" s="16">
        <f>IF(ISERROR(VLOOKUP($A1881,'13. Updated Demand'!A:Z,19,FALSE)),0,VLOOKUP($A1881,'13. Updated Demand'!A:Z,19,FALSE))</f>
        <v>0</v>
      </c>
      <c r="AC1881" s="16">
        <f>IF(ISERROR(VLOOKUP($A1881,'13. Updated Demand'!A:Z,20,FALSE)),0,VLOOKUP($A1881,'13. Updated Demand'!A:Z,20,FALSE))</f>
        <v>0.233333333</v>
      </c>
      <c r="AD1881" s="16">
        <f>IF(ISERROR(VLOOKUP($A1881,'13. Updated Demand'!A:Z,21,FALSE)),0,VLOOKUP($A1881,'13. Updated Demand'!A:Z,21,FALSE))</f>
        <v>0.63333333300000005</v>
      </c>
      <c r="AE1881" s="16">
        <f>IF(ISERROR(VLOOKUP($A1881,'13. Updated Demand'!A:Z,22,FALSE)),0,VLOOKUP($A1881,'13. Updated Demand'!A:Z,22,FALSE))</f>
        <v>0.366666667</v>
      </c>
      <c r="AF1881" s="16">
        <f>IF(ISERROR(VLOOKUP($A1881,'13. Updated Demand'!A:Z,23,FALSE)),0,VLOOKUP($A1881,'13. Updated Demand'!A:Z,23,FALSE))</f>
        <v>0</v>
      </c>
      <c r="AG1881" s="16">
        <f>IF(ISERROR(VLOOKUP($A1881,'13. Updated Demand'!A:Z,24,FALSE)),0,VLOOKUP($A1881,'13. Updated Demand'!A:Z,24,FALSE))</f>
        <v>0</v>
      </c>
      <c r="AH1881" s="16">
        <f>IF(ISERROR(VLOOKUP($A1881,'13. Updated Demand'!A:Z,25,FALSE)),0,VLOOKUP($A1881,'13. Updated Demand'!A:Z,25,FALSE))</f>
        <v>0</v>
      </c>
      <c r="AI1881" s="16">
        <f>IF(ISERROR(VLOOKUP($A1881,'13. Updated Demand'!A:Z,26,FALSE)),0,VLOOKUP($A1881,'13. Updated Demand'!A:Z,26,FALSE))</f>
        <v>0</v>
      </c>
      <c r="AJ1881" s="16">
        <f t="shared" si="361"/>
        <v>1.8666666660000002</v>
      </c>
      <c r="AK1881" s="19">
        <v>1.233333333</v>
      </c>
      <c r="AL1881" s="16">
        <f t="shared" si="359"/>
        <v>4.0908261756921653E-3</v>
      </c>
      <c r="AM1881" s="26">
        <v>6.0370849482535578E-2</v>
      </c>
      <c r="AN1881" s="19">
        <v>30.92</v>
      </c>
      <c r="AO1881" s="19" t="s">
        <v>1758</v>
      </c>
      <c r="AP1881" s="19">
        <v>0</v>
      </c>
      <c r="AQ1881" s="19" t="s">
        <v>307</v>
      </c>
      <c r="AR1881" s="9" t="s">
        <v>486</v>
      </c>
      <c r="AS1881" s="12">
        <v>0</v>
      </c>
      <c r="AT1881" s="19">
        <v>38.545099999999998</v>
      </c>
      <c r="AU1881" s="19">
        <v>-122.85899999999999</v>
      </c>
      <c r="AV1881" s="19" t="s">
        <v>548</v>
      </c>
    </row>
    <row r="1882" spans="1:48" x14ac:dyDescent="0.25">
      <c r="A1882" s="18" t="s">
        <v>2292</v>
      </c>
      <c r="B1882" s="10">
        <v>10000000</v>
      </c>
      <c r="C1882" s="9">
        <v>17</v>
      </c>
      <c r="D1882" s="8" t="str">
        <f t="shared" si="350"/>
        <v>N</v>
      </c>
      <c r="E1882" s="8" t="str">
        <f t="shared" si="351"/>
        <v>N</v>
      </c>
      <c r="F1882" s="8" t="str">
        <f t="shared" si="352"/>
        <v>N</v>
      </c>
      <c r="G1882" s="8" t="str">
        <f t="shared" si="353"/>
        <v>N</v>
      </c>
      <c r="H1882" s="8" t="str">
        <f t="shared" si="354"/>
        <v>Lower</v>
      </c>
      <c r="I1882" s="8" t="str">
        <f t="shared" si="355"/>
        <v>Outside</v>
      </c>
      <c r="J1882" s="8" t="str">
        <f t="shared" si="356"/>
        <v>Outside</v>
      </c>
      <c r="K1882" s="8" t="str">
        <f t="shared" si="357"/>
        <v>Riparian</v>
      </c>
      <c r="L1882" s="8">
        <f t="shared" si="358"/>
        <v>1000</v>
      </c>
      <c r="M1882" s="8" t="str">
        <f t="shared" si="360"/>
        <v>-</v>
      </c>
      <c r="N1882" s="10" t="s">
        <v>241</v>
      </c>
      <c r="O1882" s="10" t="s">
        <v>242</v>
      </c>
      <c r="P1882" s="10" t="s">
        <v>242</v>
      </c>
      <c r="Q1882" s="10" t="s">
        <v>242</v>
      </c>
      <c r="R1882" s="10" t="s">
        <v>242</v>
      </c>
      <c r="S1882" s="10" t="s">
        <v>241</v>
      </c>
      <c r="T1882" s="10" t="s">
        <v>242</v>
      </c>
      <c r="U1882" s="10" t="s">
        <v>242</v>
      </c>
      <c r="V1882" s="10" t="s">
        <v>242</v>
      </c>
      <c r="W1882" s="10" t="s">
        <v>242</v>
      </c>
      <c r="X1882" s="15">
        <f>IF(ISERROR(VLOOKUP($A1882,'13. Updated Demand'!A:Z,15,FALSE)),0,VLOOKUP($A1882,'13. Updated Demand'!A:Z,15,FALSE))</f>
        <v>0</v>
      </c>
      <c r="Y1882" s="16">
        <f>IF(ISERROR(VLOOKUP($A1882,'13. Updated Demand'!A:Z,16,FALSE)),0,VLOOKUP($A1882,'13. Updated Demand'!A:Z,16,FALSE))</f>
        <v>0</v>
      </c>
      <c r="Z1882" s="16">
        <f>IF(ISERROR(VLOOKUP($A1882,'13. Updated Demand'!A:Z,17,FALSE)),0,VLOOKUP($A1882,'13. Updated Demand'!A:Z,17,FALSE))</f>
        <v>0</v>
      </c>
      <c r="AA1882" s="16">
        <f>IF(ISERROR(VLOOKUP($A1882,'13. Updated Demand'!A:Z,18,FALSE)),0,VLOOKUP($A1882,'13. Updated Demand'!A:Z,18,FALSE))</f>
        <v>0.16666666699999999</v>
      </c>
      <c r="AB1882" s="16">
        <f>IF(ISERROR(VLOOKUP($A1882,'13. Updated Demand'!A:Z,19,FALSE)),0,VLOOKUP($A1882,'13. Updated Demand'!A:Z,19,FALSE))</f>
        <v>1.8666666670000001</v>
      </c>
      <c r="AC1882" s="16">
        <f>IF(ISERROR(VLOOKUP($A1882,'13. Updated Demand'!A:Z,20,FALSE)),0,VLOOKUP($A1882,'13. Updated Demand'!A:Z,20,FALSE))</f>
        <v>2.2000000000000002</v>
      </c>
      <c r="AD1882" s="16">
        <f>IF(ISERROR(VLOOKUP($A1882,'13. Updated Demand'!A:Z,21,FALSE)),0,VLOOKUP($A1882,'13. Updated Demand'!A:Z,21,FALSE))</f>
        <v>2.4333333330000002</v>
      </c>
      <c r="AE1882" s="16">
        <f>IF(ISERROR(VLOOKUP($A1882,'13. Updated Demand'!A:Z,22,FALSE)),0,VLOOKUP($A1882,'13. Updated Demand'!A:Z,22,FALSE))</f>
        <v>3.4</v>
      </c>
      <c r="AF1882" s="16">
        <f>IF(ISERROR(VLOOKUP($A1882,'13. Updated Demand'!A:Z,23,FALSE)),0,VLOOKUP($A1882,'13. Updated Demand'!A:Z,23,FALSE))</f>
        <v>1.4666666669999999</v>
      </c>
      <c r="AG1882" s="16">
        <f>IF(ISERROR(VLOOKUP($A1882,'13. Updated Demand'!A:Z,24,FALSE)),0,VLOOKUP($A1882,'13. Updated Demand'!A:Z,24,FALSE))</f>
        <v>0.1</v>
      </c>
      <c r="AH1882" s="16">
        <f>IF(ISERROR(VLOOKUP($A1882,'13. Updated Demand'!A:Z,25,FALSE)),0,VLOOKUP($A1882,'13. Updated Demand'!A:Z,25,FALSE))</f>
        <v>0</v>
      </c>
      <c r="AI1882" s="16">
        <f>IF(ISERROR(VLOOKUP($A1882,'13. Updated Demand'!A:Z,26,FALSE)),0,VLOOKUP($A1882,'13. Updated Demand'!A:Z,26,FALSE))</f>
        <v>0</v>
      </c>
      <c r="AJ1882" s="16">
        <f t="shared" si="361"/>
        <v>11.633333334</v>
      </c>
      <c r="AK1882" s="19">
        <v>11.366666667000001</v>
      </c>
      <c r="AL1882" s="16">
        <f t="shared" si="359"/>
        <v>3.7701938549431255E-2</v>
      </c>
      <c r="AM1882" s="26">
        <v>2.3969055881553028E-2</v>
      </c>
      <c r="AN1882" s="19">
        <v>485.34800000000001</v>
      </c>
      <c r="AO1882" s="19" t="s">
        <v>1758</v>
      </c>
      <c r="AP1882" s="19">
        <v>0</v>
      </c>
      <c r="AQ1882" s="19" t="s">
        <v>307</v>
      </c>
      <c r="AR1882" s="9" t="s">
        <v>486</v>
      </c>
      <c r="AS1882" s="12">
        <v>0</v>
      </c>
      <c r="AT1882" s="19">
        <v>38.542400000000001</v>
      </c>
      <c r="AU1882" s="19">
        <v>-122.8596</v>
      </c>
      <c r="AV1882" s="19" t="s">
        <v>548</v>
      </c>
    </row>
    <row r="1883" spans="1:48" x14ac:dyDescent="0.25">
      <c r="A1883" s="18" t="s">
        <v>2293</v>
      </c>
      <c r="B1883" s="10">
        <v>10000000</v>
      </c>
      <c r="C1883" s="9">
        <v>23</v>
      </c>
      <c r="D1883" s="8" t="str">
        <f t="shared" si="350"/>
        <v>N</v>
      </c>
      <c r="E1883" s="8" t="str">
        <f t="shared" si="351"/>
        <v>N</v>
      </c>
      <c r="F1883" s="8" t="str">
        <f t="shared" si="352"/>
        <v>N</v>
      </c>
      <c r="G1883" s="8" t="str">
        <f t="shared" si="353"/>
        <v>N</v>
      </c>
      <c r="H1883" s="8" t="str">
        <f t="shared" si="354"/>
        <v>Lower</v>
      </c>
      <c r="I1883" s="8" t="str">
        <f t="shared" si="355"/>
        <v>Outside</v>
      </c>
      <c r="J1883" s="8" t="str">
        <f t="shared" si="356"/>
        <v>Outside</v>
      </c>
      <c r="K1883" s="8" t="str">
        <f t="shared" si="357"/>
        <v>Riparian</v>
      </c>
      <c r="L1883" s="8">
        <f t="shared" si="358"/>
        <v>1000</v>
      </c>
      <c r="M1883" s="8" t="str">
        <f t="shared" si="360"/>
        <v>-</v>
      </c>
      <c r="N1883" s="10" t="s">
        <v>242</v>
      </c>
      <c r="O1883" s="10" t="s">
        <v>242</v>
      </c>
      <c r="P1883" s="10" t="s">
        <v>242</v>
      </c>
      <c r="Q1883" s="10" t="s">
        <v>242</v>
      </c>
      <c r="R1883" s="10" t="s">
        <v>242</v>
      </c>
      <c r="S1883" s="10" t="s">
        <v>241</v>
      </c>
      <c r="T1883" s="10" t="s">
        <v>242</v>
      </c>
      <c r="U1883" s="10" t="s">
        <v>241</v>
      </c>
      <c r="V1883" s="10" t="s">
        <v>241</v>
      </c>
      <c r="W1883" s="10" t="s">
        <v>242</v>
      </c>
      <c r="X1883" s="15">
        <f>IF(ISERROR(VLOOKUP($A1883,'13. Updated Demand'!A:Z,15,FALSE)),0,VLOOKUP($A1883,'13. Updated Demand'!A:Z,15,FALSE))</f>
        <v>0</v>
      </c>
      <c r="Y1883" s="16">
        <f>IF(ISERROR(VLOOKUP($A1883,'13. Updated Demand'!A:Z,16,FALSE)),0,VLOOKUP($A1883,'13. Updated Demand'!A:Z,16,FALSE))</f>
        <v>0</v>
      </c>
      <c r="Z1883" s="16">
        <f>IF(ISERROR(VLOOKUP($A1883,'13. Updated Demand'!A:Z,17,FALSE)),0,VLOOKUP($A1883,'13. Updated Demand'!A:Z,17,FALSE))</f>
        <v>0</v>
      </c>
      <c r="AA1883" s="16">
        <f>IF(ISERROR(VLOOKUP($A1883,'13. Updated Demand'!A:Z,18,FALSE)),0,VLOOKUP($A1883,'13. Updated Demand'!A:Z,18,FALSE))</f>
        <v>0</v>
      </c>
      <c r="AB1883" s="16">
        <f>IF(ISERROR(VLOOKUP($A1883,'13. Updated Demand'!A:Z,19,FALSE)),0,VLOOKUP($A1883,'13. Updated Demand'!A:Z,19,FALSE))</f>
        <v>0</v>
      </c>
      <c r="AC1883" s="16">
        <f>IF(ISERROR(VLOOKUP($A1883,'13. Updated Demand'!A:Z,20,FALSE)),0,VLOOKUP($A1883,'13. Updated Demand'!A:Z,20,FALSE))</f>
        <v>0</v>
      </c>
      <c r="AD1883" s="16">
        <f>IF(ISERROR(VLOOKUP($A1883,'13. Updated Demand'!A:Z,21,FALSE)),0,VLOOKUP($A1883,'13. Updated Demand'!A:Z,21,FALSE))</f>
        <v>0</v>
      </c>
      <c r="AE1883" s="16">
        <f>IF(ISERROR(VLOOKUP($A1883,'13. Updated Demand'!A:Z,22,FALSE)),0,VLOOKUP($A1883,'13. Updated Demand'!A:Z,22,FALSE))</f>
        <v>0</v>
      </c>
      <c r="AF1883" s="16">
        <f>IF(ISERROR(VLOOKUP($A1883,'13. Updated Demand'!A:Z,23,FALSE)),0,VLOOKUP($A1883,'13. Updated Demand'!A:Z,23,FALSE))</f>
        <v>0</v>
      </c>
      <c r="AG1883" s="16">
        <f>IF(ISERROR(VLOOKUP($A1883,'13. Updated Demand'!A:Z,24,FALSE)),0,VLOOKUP($A1883,'13. Updated Demand'!A:Z,24,FALSE))</f>
        <v>0</v>
      </c>
      <c r="AH1883" s="16">
        <f>IF(ISERROR(VLOOKUP($A1883,'13. Updated Demand'!A:Z,25,FALSE)),0,VLOOKUP($A1883,'13. Updated Demand'!A:Z,25,FALSE))</f>
        <v>0</v>
      </c>
      <c r="AI1883" s="16">
        <f>IF(ISERROR(VLOOKUP($A1883,'13. Updated Demand'!A:Z,26,FALSE)),0,VLOOKUP($A1883,'13. Updated Demand'!A:Z,26,FALSE))</f>
        <v>0</v>
      </c>
      <c r="AJ1883" s="16">
        <f t="shared" si="361"/>
        <v>0</v>
      </c>
      <c r="AK1883" s="19">
        <v>0</v>
      </c>
      <c r="AL1883" s="16">
        <f t="shared" si="359"/>
        <v>0</v>
      </c>
      <c r="AM1883" s="26">
        <v>0</v>
      </c>
      <c r="AN1883" s="19">
        <v>967.07399999999996</v>
      </c>
      <c r="AO1883" s="19" t="s">
        <v>1758</v>
      </c>
      <c r="AP1883" s="19">
        <v>0</v>
      </c>
      <c r="AQ1883" s="19" t="s">
        <v>307</v>
      </c>
      <c r="AR1883" s="9" t="s">
        <v>323</v>
      </c>
      <c r="AS1883" s="12">
        <v>0</v>
      </c>
      <c r="AT1883" s="19">
        <v>38.494100000000003</v>
      </c>
      <c r="AU1883" s="19">
        <v>-122.8747</v>
      </c>
      <c r="AV1883" s="19" t="s">
        <v>735</v>
      </c>
    </row>
    <row r="1884" spans="1:48" x14ac:dyDescent="0.25">
      <c r="A1884" s="18" t="s">
        <v>2294</v>
      </c>
      <c r="B1884" s="10">
        <v>10000000</v>
      </c>
      <c r="C1884" s="9">
        <v>23</v>
      </c>
      <c r="D1884" s="8" t="str">
        <f t="shared" si="350"/>
        <v>N</v>
      </c>
      <c r="E1884" s="8" t="str">
        <f t="shared" si="351"/>
        <v>N</v>
      </c>
      <c r="F1884" s="8" t="str">
        <f t="shared" si="352"/>
        <v>N</v>
      </c>
      <c r="G1884" s="8" t="str">
        <f t="shared" si="353"/>
        <v>N</v>
      </c>
      <c r="H1884" s="8" t="str">
        <f t="shared" si="354"/>
        <v>Lower</v>
      </c>
      <c r="I1884" s="8" t="str">
        <f t="shared" si="355"/>
        <v>Outside</v>
      </c>
      <c r="J1884" s="8" t="str">
        <f t="shared" si="356"/>
        <v>Outside</v>
      </c>
      <c r="K1884" s="8" t="str">
        <f t="shared" si="357"/>
        <v>Riparian</v>
      </c>
      <c r="L1884" s="8">
        <f t="shared" si="358"/>
        <v>1000</v>
      </c>
      <c r="M1884" s="8" t="str">
        <f t="shared" si="360"/>
        <v>-</v>
      </c>
      <c r="N1884" s="10" t="s">
        <v>242</v>
      </c>
      <c r="O1884" s="10" t="s">
        <v>242</v>
      </c>
      <c r="P1884" s="10" t="s">
        <v>242</v>
      </c>
      <c r="Q1884" s="10" t="s">
        <v>242</v>
      </c>
      <c r="R1884" s="10" t="s">
        <v>242</v>
      </c>
      <c r="S1884" s="10" t="s">
        <v>241</v>
      </c>
      <c r="T1884" s="10" t="s">
        <v>242</v>
      </c>
      <c r="U1884" s="10" t="s">
        <v>241</v>
      </c>
      <c r="V1884" s="10" t="s">
        <v>241</v>
      </c>
      <c r="W1884" s="10" t="s">
        <v>242</v>
      </c>
      <c r="X1884" s="15">
        <f>IF(ISERROR(VLOOKUP($A1884,'13. Updated Demand'!A:Z,15,FALSE)),0,VLOOKUP($A1884,'13. Updated Demand'!A:Z,15,FALSE))</f>
        <v>0</v>
      </c>
      <c r="Y1884" s="16">
        <f>IF(ISERROR(VLOOKUP($A1884,'13. Updated Demand'!A:Z,16,FALSE)),0,VLOOKUP($A1884,'13. Updated Demand'!A:Z,16,FALSE))</f>
        <v>0</v>
      </c>
      <c r="Z1884" s="16">
        <f>IF(ISERROR(VLOOKUP($A1884,'13. Updated Demand'!A:Z,17,FALSE)),0,VLOOKUP($A1884,'13. Updated Demand'!A:Z,17,FALSE))</f>
        <v>0</v>
      </c>
      <c r="AA1884" s="16">
        <f>IF(ISERROR(VLOOKUP($A1884,'13. Updated Demand'!A:Z,18,FALSE)),0,VLOOKUP($A1884,'13. Updated Demand'!A:Z,18,FALSE))</f>
        <v>0</v>
      </c>
      <c r="AB1884" s="16">
        <f>IF(ISERROR(VLOOKUP($A1884,'13. Updated Demand'!A:Z,19,FALSE)),0,VLOOKUP($A1884,'13. Updated Demand'!A:Z,19,FALSE))</f>
        <v>0</v>
      </c>
      <c r="AC1884" s="16">
        <f>IF(ISERROR(VLOOKUP($A1884,'13. Updated Demand'!A:Z,20,FALSE)),0,VLOOKUP($A1884,'13. Updated Demand'!A:Z,20,FALSE))</f>
        <v>0</v>
      </c>
      <c r="AD1884" s="16">
        <f>IF(ISERROR(VLOOKUP($A1884,'13. Updated Demand'!A:Z,21,FALSE)),0,VLOOKUP($A1884,'13. Updated Demand'!A:Z,21,FALSE))</f>
        <v>0</v>
      </c>
      <c r="AE1884" s="16">
        <f>IF(ISERROR(VLOOKUP($A1884,'13. Updated Demand'!A:Z,22,FALSE)),0,VLOOKUP($A1884,'13. Updated Demand'!A:Z,22,FALSE))</f>
        <v>0</v>
      </c>
      <c r="AF1884" s="16">
        <f>IF(ISERROR(VLOOKUP($A1884,'13. Updated Demand'!A:Z,23,FALSE)),0,VLOOKUP($A1884,'13. Updated Demand'!A:Z,23,FALSE))</f>
        <v>0</v>
      </c>
      <c r="AG1884" s="16">
        <f>IF(ISERROR(VLOOKUP($A1884,'13. Updated Demand'!A:Z,24,FALSE)),0,VLOOKUP($A1884,'13. Updated Demand'!A:Z,24,FALSE))</f>
        <v>0</v>
      </c>
      <c r="AH1884" s="16">
        <f>IF(ISERROR(VLOOKUP($A1884,'13. Updated Demand'!A:Z,25,FALSE)),0,VLOOKUP($A1884,'13. Updated Demand'!A:Z,25,FALSE))</f>
        <v>0</v>
      </c>
      <c r="AI1884" s="16">
        <f>IF(ISERROR(VLOOKUP($A1884,'13. Updated Demand'!A:Z,26,FALSE)),0,VLOOKUP($A1884,'13. Updated Demand'!A:Z,26,FALSE))</f>
        <v>0</v>
      </c>
      <c r="AJ1884" s="16">
        <f t="shared" si="361"/>
        <v>0</v>
      </c>
      <c r="AK1884" s="19">
        <v>0</v>
      </c>
      <c r="AL1884" s="16">
        <f t="shared" si="359"/>
        <v>0</v>
      </c>
      <c r="AM1884" s="26">
        <v>0</v>
      </c>
      <c r="AN1884" s="19">
        <v>967.07399999999996</v>
      </c>
      <c r="AO1884" s="19" t="s">
        <v>1758</v>
      </c>
      <c r="AP1884" s="19">
        <v>0</v>
      </c>
      <c r="AQ1884" s="19" t="s">
        <v>307</v>
      </c>
      <c r="AR1884" s="9" t="s">
        <v>323</v>
      </c>
      <c r="AS1884" s="12">
        <v>0</v>
      </c>
      <c r="AT1884" s="19">
        <v>38.492800000000003</v>
      </c>
      <c r="AU1884" s="19">
        <v>-122.8862</v>
      </c>
      <c r="AV1884" s="19" t="s">
        <v>735</v>
      </c>
    </row>
    <row r="1885" spans="1:48" x14ac:dyDescent="0.25">
      <c r="A1885" s="18" t="s">
        <v>2295</v>
      </c>
      <c r="B1885" s="10">
        <v>10000000</v>
      </c>
      <c r="C1885" s="9">
        <v>18</v>
      </c>
      <c r="D1885" s="8" t="str">
        <f t="shared" si="350"/>
        <v>N</v>
      </c>
      <c r="E1885" s="8" t="str">
        <f t="shared" si="351"/>
        <v>N</v>
      </c>
      <c r="F1885" s="8" t="str">
        <f t="shared" si="352"/>
        <v>N</v>
      </c>
      <c r="G1885" s="8" t="str">
        <f t="shared" si="353"/>
        <v>N</v>
      </c>
      <c r="H1885" s="8" t="str">
        <f t="shared" si="354"/>
        <v>Lower</v>
      </c>
      <c r="I1885" s="8" t="str">
        <f t="shared" si="355"/>
        <v>Outside</v>
      </c>
      <c r="J1885" s="8" t="str">
        <f t="shared" si="356"/>
        <v>Outside</v>
      </c>
      <c r="K1885" s="8" t="str">
        <f t="shared" si="357"/>
        <v>Riparian</v>
      </c>
      <c r="L1885" s="8">
        <f t="shared" si="358"/>
        <v>1000</v>
      </c>
      <c r="M1885" s="8" t="str">
        <f t="shared" si="360"/>
        <v>-</v>
      </c>
      <c r="N1885" s="10" t="s">
        <v>241</v>
      </c>
      <c r="O1885" s="10" t="s">
        <v>242</v>
      </c>
      <c r="P1885" s="10" t="s">
        <v>242</v>
      </c>
      <c r="Q1885" s="10" t="s">
        <v>242</v>
      </c>
      <c r="R1885" s="10" t="s">
        <v>242</v>
      </c>
      <c r="S1885" s="10" t="s">
        <v>241</v>
      </c>
      <c r="T1885" s="10" t="s">
        <v>242</v>
      </c>
      <c r="U1885" s="10" t="s">
        <v>242</v>
      </c>
      <c r="V1885" s="10" t="s">
        <v>242</v>
      </c>
      <c r="W1885" s="10" t="s">
        <v>242</v>
      </c>
      <c r="X1885" s="15">
        <f>IF(ISERROR(VLOOKUP($A1885,'13. Updated Demand'!A:Z,15,FALSE)),0,VLOOKUP($A1885,'13. Updated Demand'!A:Z,15,FALSE))</f>
        <v>0</v>
      </c>
      <c r="Y1885" s="16">
        <f>IF(ISERROR(VLOOKUP($A1885,'13. Updated Demand'!A:Z,16,FALSE)),0,VLOOKUP($A1885,'13. Updated Demand'!A:Z,16,FALSE))</f>
        <v>0.16666666699999999</v>
      </c>
      <c r="Z1885" s="16">
        <f>IF(ISERROR(VLOOKUP($A1885,'13. Updated Demand'!A:Z,17,FALSE)),0,VLOOKUP($A1885,'13. Updated Demand'!A:Z,17,FALSE))</f>
        <v>0.8</v>
      </c>
      <c r="AA1885" s="16">
        <f>IF(ISERROR(VLOOKUP($A1885,'13. Updated Demand'!A:Z,18,FALSE)),0,VLOOKUP($A1885,'13. Updated Demand'!A:Z,18,FALSE))</f>
        <v>3.3333333E-2</v>
      </c>
      <c r="AB1885" s="16">
        <f>IF(ISERROR(VLOOKUP($A1885,'13. Updated Demand'!A:Z,19,FALSE)),0,VLOOKUP($A1885,'13. Updated Demand'!A:Z,19,FALSE))</f>
        <v>0</v>
      </c>
      <c r="AC1885" s="16">
        <f>IF(ISERROR(VLOOKUP($A1885,'13. Updated Demand'!A:Z,20,FALSE)),0,VLOOKUP($A1885,'13. Updated Demand'!A:Z,20,FALSE))</f>
        <v>0</v>
      </c>
      <c r="AD1885" s="16">
        <f>IF(ISERROR(VLOOKUP($A1885,'13. Updated Demand'!A:Z,21,FALSE)),0,VLOOKUP($A1885,'13. Updated Demand'!A:Z,21,FALSE))</f>
        <v>0</v>
      </c>
      <c r="AE1885" s="16">
        <f>IF(ISERROR(VLOOKUP($A1885,'13. Updated Demand'!A:Z,22,FALSE)),0,VLOOKUP($A1885,'13. Updated Demand'!A:Z,22,FALSE))</f>
        <v>0</v>
      </c>
      <c r="AF1885" s="16">
        <f>IF(ISERROR(VLOOKUP($A1885,'13. Updated Demand'!A:Z,23,FALSE)),0,VLOOKUP($A1885,'13. Updated Demand'!A:Z,23,FALSE))</f>
        <v>1.266666667</v>
      </c>
      <c r="AG1885" s="16">
        <f>IF(ISERROR(VLOOKUP($A1885,'13. Updated Demand'!A:Z,24,FALSE)),0,VLOOKUP($A1885,'13. Updated Demand'!A:Z,24,FALSE))</f>
        <v>0.8</v>
      </c>
      <c r="AH1885" s="16">
        <f>IF(ISERROR(VLOOKUP($A1885,'13. Updated Demand'!A:Z,25,FALSE)),0,VLOOKUP($A1885,'13. Updated Demand'!A:Z,25,FALSE))</f>
        <v>0.9</v>
      </c>
      <c r="AI1885" s="16">
        <f>IF(ISERROR(VLOOKUP($A1885,'13. Updated Demand'!A:Z,26,FALSE)),0,VLOOKUP($A1885,'13. Updated Demand'!A:Z,26,FALSE))</f>
        <v>0</v>
      </c>
      <c r="AJ1885" s="16">
        <f t="shared" si="361"/>
        <v>3.9666666669999997</v>
      </c>
      <c r="AK1885" s="19">
        <v>1.266666667</v>
      </c>
      <c r="AL1885" s="16">
        <f t="shared" si="359"/>
        <v>4.2013890475466062E-3</v>
      </c>
      <c r="AM1885" s="26">
        <v>3.2769575473178894E-3</v>
      </c>
      <c r="AN1885" s="19">
        <v>1210.4724000000001</v>
      </c>
      <c r="AO1885" s="19" t="s">
        <v>1758</v>
      </c>
      <c r="AP1885" s="19">
        <v>0</v>
      </c>
      <c r="AQ1885" s="19" t="s">
        <v>307</v>
      </c>
      <c r="AR1885" s="9" t="s">
        <v>352</v>
      </c>
      <c r="AS1885" s="12">
        <v>0</v>
      </c>
      <c r="AT1885" s="19">
        <v>38.496000000000002</v>
      </c>
      <c r="AU1885" s="19">
        <v>-122.8877</v>
      </c>
      <c r="AV1885" s="19" t="s">
        <v>548</v>
      </c>
    </row>
    <row r="1886" spans="1:48" x14ac:dyDescent="0.25">
      <c r="A1886" s="18" t="s">
        <v>2296</v>
      </c>
      <c r="B1886" s="10">
        <v>10000000</v>
      </c>
      <c r="C1886" s="9">
        <v>18</v>
      </c>
      <c r="D1886" s="8" t="str">
        <f t="shared" si="350"/>
        <v>N</v>
      </c>
      <c r="E1886" s="8" t="str">
        <f t="shared" si="351"/>
        <v>N</v>
      </c>
      <c r="F1886" s="8" t="str">
        <f t="shared" si="352"/>
        <v>N</v>
      </c>
      <c r="G1886" s="8" t="str">
        <f t="shared" si="353"/>
        <v>N</v>
      </c>
      <c r="H1886" s="8" t="str">
        <f t="shared" si="354"/>
        <v>Lower</v>
      </c>
      <c r="I1886" s="8" t="str">
        <f t="shared" si="355"/>
        <v>Outside</v>
      </c>
      <c r="J1886" s="8" t="str">
        <f t="shared" si="356"/>
        <v>Outside</v>
      </c>
      <c r="K1886" s="8" t="str">
        <f t="shared" si="357"/>
        <v>Riparian</v>
      </c>
      <c r="L1886" s="8">
        <f t="shared" si="358"/>
        <v>1000</v>
      </c>
      <c r="M1886" s="8" t="str">
        <f t="shared" si="360"/>
        <v>-</v>
      </c>
      <c r="N1886" s="10" t="s">
        <v>241</v>
      </c>
      <c r="O1886" s="10" t="s">
        <v>242</v>
      </c>
      <c r="P1886" s="10" t="s">
        <v>242</v>
      </c>
      <c r="Q1886" s="10" t="s">
        <v>242</v>
      </c>
      <c r="R1886" s="10" t="s">
        <v>242</v>
      </c>
      <c r="S1886" s="10" t="s">
        <v>241</v>
      </c>
      <c r="T1886" s="10" t="s">
        <v>242</v>
      </c>
      <c r="U1886" s="10" t="s">
        <v>242</v>
      </c>
      <c r="V1886" s="10" t="s">
        <v>242</v>
      </c>
      <c r="W1886" s="10" t="s">
        <v>242</v>
      </c>
      <c r="X1886" s="15">
        <f>IF(ISERROR(VLOOKUP($A1886,'13. Updated Demand'!A:Z,15,FALSE)),0,VLOOKUP($A1886,'13. Updated Demand'!A:Z,15,FALSE))</f>
        <v>0</v>
      </c>
      <c r="Y1886" s="16">
        <f>IF(ISERROR(VLOOKUP($A1886,'13. Updated Demand'!A:Z,16,FALSE)),0,VLOOKUP($A1886,'13. Updated Demand'!A:Z,16,FALSE))</f>
        <v>3.3333333E-2</v>
      </c>
      <c r="Z1886" s="16">
        <f>IF(ISERROR(VLOOKUP($A1886,'13. Updated Demand'!A:Z,17,FALSE)),0,VLOOKUP($A1886,'13. Updated Demand'!A:Z,17,FALSE))</f>
        <v>0</v>
      </c>
      <c r="AA1886" s="16">
        <f>IF(ISERROR(VLOOKUP($A1886,'13. Updated Demand'!A:Z,18,FALSE)),0,VLOOKUP($A1886,'13. Updated Demand'!A:Z,18,FALSE))</f>
        <v>0.2</v>
      </c>
      <c r="AB1886" s="16">
        <f>IF(ISERROR(VLOOKUP($A1886,'13. Updated Demand'!A:Z,19,FALSE)),0,VLOOKUP($A1886,'13. Updated Demand'!A:Z,19,FALSE))</f>
        <v>0</v>
      </c>
      <c r="AC1886" s="16">
        <f>IF(ISERROR(VLOOKUP($A1886,'13. Updated Demand'!A:Z,20,FALSE)),0,VLOOKUP($A1886,'13. Updated Demand'!A:Z,20,FALSE))</f>
        <v>0</v>
      </c>
      <c r="AD1886" s="16">
        <f>IF(ISERROR(VLOOKUP($A1886,'13. Updated Demand'!A:Z,21,FALSE)),0,VLOOKUP($A1886,'13. Updated Demand'!A:Z,21,FALSE))</f>
        <v>0</v>
      </c>
      <c r="AE1886" s="16">
        <f>IF(ISERROR(VLOOKUP($A1886,'13. Updated Demand'!A:Z,22,FALSE)),0,VLOOKUP($A1886,'13. Updated Demand'!A:Z,22,FALSE))</f>
        <v>0</v>
      </c>
      <c r="AF1886" s="16">
        <f>IF(ISERROR(VLOOKUP($A1886,'13. Updated Demand'!A:Z,23,FALSE)),0,VLOOKUP($A1886,'13. Updated Demand'!A:Z,23,FALSE))</f>
        <v>2.8333333330000001</v>
      </c>
      <c r="AG1886" s="16">
        <f>IF(ISERROR(VLOOKUP($A1886,'13. Updated Demand'!A:Z,24,FALSE)),0,VLOOKUP($A1886,'13. Updated Demand'!A:Z,24,FALSE))</f>
        <v>2.6333333329999999</v>
      </c>
      <c r="AH1886" s="16">
        <f>IF(ISERROR(VLOOKUP($A1886,'13. Updated Demand'!A:Z,25,FALSE)),0,VLOOKUP($A1886,'13. Updated Demand'!A:Z,25,FALSE))</f>
        <v>1.266666667</v>
      </c>
      <c r="AI1886" s="16">
        <f>IF(ISERROR(VLOOKUP($A1886,'13. Updated Demand'!A:Z,26,FALSE)),0,VLOOKUP($A1886,'13. Updated Demand'!A:Z,26,FALSE))</f>
        <v>0</v>
      </c>
      <c r="AJ1886" s="16">
        <f t="shared" si="361"/>
        <v>6.9666666660000001</v>
      </c>
      <c r="AK1886" s="19">
        <v>2.8333333330000001</v>
      </c>
      <c r="AL1886" s="16">
        <f t="shared" si="359"/>
        <v>9.3978439185649805E-3</v>
      </c>
      <c r="AM1886" s="26">
        <v>2.8793875526142633E-2</v>
      </c>
      <c r="AN1886" s="19">
        <v>241.9496</v>
      </c>
      <c r="AO1886" s="19" t="s">
        <v>1758</v>
      </c>
      <c r="AP1886" s="19">
        <v>0</v>
      </c>
      <c r="AQ1886" s="19" t="s">
        <v>307</v>
      </c>
      <c r="AR1886" s="9" t="s">
        <v>352</v>
      </c>
      <c r="AS1886" s="12">
        <v>0</v>
      </c>
      <c r="AT1886" s="19">
        <v>38.498800000000003</v>
      </c>
      <c r="AU1886" s="19">
        <v>-122.88330000000001</v>
      </c>
      <c r="AV1886" s="19" t="s">
        <v>548</v>
      </c>
    </row>
    <row r="1887" spans="1:48" x14ac:dyDescent="0.25">
      <c r="A1887" s="18" t="s">
        <v>2297</v>
      </c>
      <c r="B1887" s="10">
        <v>10000000</v>
      </c>
      <c r="C1887" s="9">
        <v>18</v>
      </c>
      <c r="D1887" s="8" t="str">
        <f t="shared" si="350"/>
        <v>N</v>
      </c>
      <c r="E1887" s="8" t="str">
        <f t="shared" si="351"/>
        <v>N</v>
      </c>
      <c r="F1887" s="8" t="str">
        <f t="shared" si="352"/>
        <v>N</v>
      </c>
      <c r="G1887" s="8" t="str">
        <f t="shared" si="353"/>
        <v>N</v>
      </c>
      <c r="H1887" s="8" t="str">
        <f t="shared" si="354"/>
        <v>Lower</v>
      </c>
      <c r="I1887" s="8" t="str">
        <f t="shared" si="355"/>
        <v>Outside</v>
      </c>
      <c r="J1887" s="8" t="str">
        <f t="shared" si="356"/>
        <v>Outside</v>
      </c>
      <c r="K1887" s="8" t="str">
        <f t="shared" si="357"/>
        <v>Riparian</v>
      </c>
      <c r="L1887" s="8">
        <f t="shared" si="358"/>
        <v>1000</v>
      </c>
      <c r="M1887" s="8" t="str">
        <f t="shared" si="360"/>
        <v>-</v>
      </c>
      <c r="N1887" s="10" t="s">
        <v>241</v>
      </c>
      <c r="O1887" s="10" t="s">
        <v>242</v>
      </c>
      <c r="P1887" s="10" t="s">
        <v>242</v>
      </c>
      <c r="Q1887" s="10" t="s">
        <v>242</v>
      </c>
      <c r="R1887" s="10" t="s">
        <v>242</v>
      </c>
      <c r="S1887" s="10" t="s">
        <v>241</v>
      </c>
      <c r="T1887" s="10" t="s">
        <v>242</v>
      </c>
      <c r="U1887" s="10" t="s">
        <v>242</v>
      </c>
      <c r="V1887" s="10" t="s">
        <v>241</v>
      </c>
      <c r="W1887" s="10" t="s">
        <v>242</v>
      </c>
      <c r="X1887" s="15">
        <f>IF(ISERROR(VLOOKUP($A1887,'13. Updated Demand'!A:Z,15,FALSE)),0,VLOOKUP($A1887,'13. Updated Demand'!A:Z,15,FALSE))</f>
        <v>0</v>
      </c>
      <c r="Y1887" s="16">
        <f>IF(ISERROR(VLOOKUP($A1887,'13. Updated Demand'!A:Z,16,FALSE)),0,VLOOKUP($A1887,'13. Updated Demand'!A:Z,16,FALSE))</f>
        <v>0</v>
      </c>
      <c r="Z1887" s="16">
        <f>IF(ISERROR(VLOOKUP($A1887,'13. Updated Demand'!A:Z,17,FALSE)),0,VLOOKUP($A1887,'13. Updated Demand'!A:Z,17,FALSE))</f>
        <v>0.1</v>
      </c>
      <c r="AA1887" s="16">
        <f>IF(ISERROR(VLOOKUP($A1887,'13. Updated Demand'!A:Z,18,FALSE)),0,VLOOKUP($A1887,'13. Updated Demand'!A:Z,18,FALSE))</f>
        <v>0.4</v>
      </c>
      <c r="AB1887" s="16">
        <f>IF(ISERROR(VLOOKUP($A1887,'13. Updated Demand'!A:Z,19,FALSE)),0,VLOOKUP($A1887,'13. Updated Demand'!A:Z,19,FALSE))</f>
        <v>0</v>
      </c>
      <c r="AC1887" s="16">
        <f>IF(ISERROR(VLOOKUP($A1887,'13. Updated Demand'!A:Z,20,FALSE)),0,VLOOKUP($A1887,'13. Updated Demand'!A:Z,20,FALSE))</f>
        <v>0</v>
      </c>
      <c r="AD1887" s="16">
        <f>IF(ISERROR(VLOOKUP($A1887,'13. Updated Demand'!A:Z,21,FALSE)),0,VLOOKUP($A1887,'13. Updated Demand'!A:Z,21,FALSE))</f>
        <v>0</v>
      </c>
      <c r="AE1887" s="16">
        <f>IF(ISERROR(VLOOKUP($A1887,'13. Updated Demand'!A:Z,22,FALSE)),0,VLOOKUP($A1887,'13. Updated Demand'!A:Z,22,FALSE))</f>
        <v>0</v>
      </c>
      <c r="AF1887" s="16">
        <f>IF(ISERROR(VLOOKUP($A1887,'13. Updated Demand'!A:Z,23,FALSE)),0,VLOOKUP($A1887,'13. Updated Demand'!A:Z,23,FALSE))</f>
        <v>0</v>
      </c>
      <c r="AG1887" s="16">
        <f>IF(ISERROR(VLOOKUP($A1887,'13. Updated Demand'!A:Z,24,FALSE)),0,VLOOKUP($A1887,'13. Updated Demand'!A:Z,24,FALSE))</f>
        <v>0</v>
      </c>
      <c r="AH1887" s="16">
        <f>IF(ISERROR(VLOOKUP($A1887,'13. Updated Demand'!A:Z,25,FALSE)),0,VLOOKUP($A1887,'13. Updated Demand'!A:Z,25,FALSE))</f>
        <v>0.16666666699999999</v>
      </c>
      <c r="AI1887" s="16">
        <f>IF(ISERROR(VLOOKUP($A1887,'13. Updated Demand'!A:Z,26,FALSE)),0,VLOOKUP($A1887,'13. Updated Demand'!A:Z,26,FALSE))</f>
        <v>0</v>
      </c>
      <c r="AJ1887" s="16">
        <f t="shared" si="361"/>
        <v>0.66666666699999999</v>
      </c>
      <c r="AK1887" s="19">
        <v>0</v>
      </c>
      <c r="AL1887" s="16">
        <f t="shared" si="359"/>
        <v>0</v>
      </c>
      <c r="AM1887" s="26">
        <v>2.848790773780858E-4</v>
      </c>
      <c r="AN1887" s="19">
        <v>2340.1741999999999</v>
      </c>
      <c r="AO1887" s="19" t="s">
        <v>1758</v>
      </c>
      <c r="AP1887" s="19">
        <v>0</v>
      </c>
      <c r="AQ1887" s="19" t="s">
        <v>307</v>
      </c>
      <c r="AR1887" s="9" t="s">
        <v>352</v>
      </c>
      <c r="AS1887" s="12">
        <v>0</v>
      </c>
      <c r="AT1887" s="19">
        <v>38.498899999999999</v>
      </c>
      <c r="AU1887" s="19">
        <v>-122.8847</v>
      </c>
      <c r="AV1887" s="19" t="s">
        <v>548</v>
      </c>
    </row>
    <row r="1888" spans="1:48" x14ac:dyDescent="0.25">
      <c r="A1888" s="18" t="s">
        <v>2298</v>
      </c>
      <c r="B1888" s="10">
        <v>10000000</v>
      </c>
      <c r="C1888" s="9">
        <v>14</v>
      </c>
      <c r="D1888" s="8" t="str">
        <f t="shared" si="350"/>
        <v>N</v>
      </c>
      <c r="E1888" s="8" t="str">
        <f t="shared" si="351"/>
        <v>N</v>
      </c>
      <c r="F1888" s="8" t="str">
        <f t="shared" si="352"/>
        <v>N</v>
      </c>
      <c r="G1888" s="8" t="str">
        <f t="shared" si="353"/>
        <v>N</v>
      </c>
      <c r="H1888" s="8" t="str">
        <f t="shared" si="354"/>
        <v>Lower</v>
      </c>
      <c r="I1888" s="8" t="str">
        <f t="shared" si="355"/>
        <v>Outside</v>
      </c>
      <c r="J1888" s="8" t="str">
        <f t="shared" si="356"/>
        <v>Outside</v>
      </c>
      <c r="K1888" s="8" t="str">
        <f t="shared" si="357"/>
        <v>Riparian</v>
      </c>
      <c r="L1888" s="8">
        <f t="shared" si="358"/>
        <v>1000</v>
      </c>
      <c r="M1888" s="8" t="str">
        <f t="shared" si="360"/>
        <v>-</v>
      </c>
      <c r="N1888" s="10" t="s">
        <v>242</v>
      </c>
      <c r="O1888" s="10" t="s">
        <v>242</v>
      </c>
      <c r="P1888" s="10" t="s">
        <v>242</v>
      </c>
      <c r="Q1888" s="10" t="s">
        <v>242</v>
      </c>
      <c r="R1888" s="10" t="s">
        <v>242</v>
      </c>
      <c r="S1888" s="10" t="s">
        <v>241</v>
      </c>
      <c r="T1888" s="10" t="s">
        <v>242</v>
      </c>
      <c r="U1888" s="10" t="s">
        <v>242</v>
      </c>
      <c r="V1888" s="10" t="s">
        <v>242</v>
      </c>
      <c r="W1888" s="10" t="s">
        <v>242</v>
      </c>
      <c r="X1888" s="15">
        <f>IF(ISERROR(VLOOKUP($A1888,'13. Updated Demand'!A:Z,15,FALSE)),0,VLOOKUP($A1888,'13. Updated Demand'!A:Z,15,FALSE))</f>
        <v>0</v>
      </c>
      <c r="Y1888" s="16">
        <f>IF(ISERROR(VLOOKUP($A1888,'13. Updated Demand'!A:Z,16,FALSE)),0,VLOOKUP($A1888,'13. Updated Demand'!A:Z,16,FALSE))</f>
        <v>0</v>
      </c>
      <c r="Z1888" s="16">
        <f>IF(ISERROR(VLOOKUP($A1888,'13. Updated Demand'!A:Z,17,FALSE)),0,VLOOKUP($A1888,'13. Updated Demand'!A:Z,17,FALSE))</f>
        <v>0</v>
      </c>
      <c r="AA1888" s="16">
        <f>IF(ISERROR(VLOOKUP($A1888,'13. Updated Demand'!A:Z,18,FALSE)),0,VLOOKUP($A1888,'13. Updated Demand'!A:Z,18,FALSE))</f>
        <v>0</v>
      </c>
      <c r="AB1888" s="16">
        <f>IF(ISERROR(VLOOKUP($A1888,'13. Updated Demand'!A:Z,19,FALSE)),0,VLOOKUP($A1888,'13. Updated Demand'!A:Z,19,FALSE))</f>
        <v>0</v>
      </c>
      <c r="AC1888" s="16">
        <f>IF(ISERROR(VLOOKUP($A1888,'13. Updated Demand'!A:Z,20,FALSE)),0,VLOOKUP($A1888,'13. Updated Demand'!A:Z,20,FALSE))</f>
        <v>0</v>
      </c>
      <c r="AD1888" s="16">
        <f>IF(ISERROR(VLOOKUP($A1888,'13. Updated Demand'!A:Z,21,FALSE)),0,VLOOKUP($A1888,'13. Updated Demand'!A:Z,21,FALSE))</f>
        <v>0</v>
      </c>
      <c r="AE1888" s="16">
        <f>IF(ISERROR(VLOOKUP($A1888,'13. Updated Demand'!A:Z,22,FALSE)),0,VLOOKUP($A1888,'13. Updated Demand'!A:Z,22,FALSE))</f>
        <v>0</v>
      </c>
      <c r="AF1888" s="16">
        <f>IF(ISERROR(VLOOKUP($A1888,'13. Updated Demand'!A:Z,23,FALSE)),0,VLOOKUP($A1888,'13. Updated Demand'!A:Z,23,FALSE))</f>
        <v>0</v>
      </c>
      <c r="AG1888" s="16">
        <f>IF(ISERROR(VLOOKUP($A1888,'13. Updated Demand'!A:Z,24,FALSE)),0,VLOOKUP($A1888,'13. Updated Demand'!A:Z,24,FALSE))</f>
        <v>0</v>
      </c>
      <c r="AH1888" s="16">
        <f>IF(ISERROR(VLOOKUP($A1888,'13. Updated Demand'!A:Z,25,FALSE)),0,VLOOKUP($A1888,'13. Updated Demand'!A:Z,25,FALSE))</f>
        <v>0</v>
      </c>
      <c r="AI1888" s="16">
        <f>IF(ISERROR(VLOOKUP($A1888,'13. Updated Demand'!A:Z,26,FALSE)),0,VLOOKUP($A1888,'13. Updated Demand'!A:Z,26,FALSE))</f>
        <v>0</v>
      </c>
      <c r="AJ1888" s="16">
        <f t="shared" si="361"/>
        <v>0</v>
      </c>
      <c r="AK1888" s="19">
        <v>14.733333333000001</v>
      </c>
      <c r="AL1888" s="16">
        <f t="shared" si="359"/>
        <v>4.8868788381181541E-2</v>
      </c>
      <c r="AM1888" s="26">
        <v>0.10135701191398851</v>
      </c>
      <c r="AN1888" s="19">
        <v>161.5412</v>
      </c>
      <c r="AO1888" s="19" t="s">
        <v>1758</v>
      </c>
      <c r="AP1888" s="19">
        <v>0</v>
      </c>
      <c r="AQ1888" s="19" t="s">
        <v>307</v>
      </c>
      <c r="AR1888" s="9" t="s">
        <v>493</v>
      </c>
      <c r="AS1888" s="12">
        <v>0</v>
      </c>
      <c r="AT1888" s="19">
        <v>38.707099999999997</v>
      </c>
      <c r="AU1888" s="19">
        <v>-122.9802</v>
      </c>
      <c r="AV1888" s="19" t="s">
        <v>2299</v>
      </c>
    </row>
    <row r="1889" spans="1:48" x14ac:dyDescent="0.25">
      <c r="A1889" s="18" t="s">
        <v>2300</v>
      </c>
      <c r="B1889" s="10">
        <v>10000000</v>
      </c>
      <c r="C1889" s="9">
        <v>8</v>
      </c>
      <c r="D1889" s="8" t="str">
        <f t="shared" si="350"/>
        <v>N</v>
      </c>
      <c r="E1889" s="8" t="str">
        <f t="shared" si="351"/>
        <v>Y</v>
      </c>
      <c r="F1889" s="8" t="str">
        <f t="shared" si="352"/>
        <v>Y</v>
      </c>
      <c r="G1889" s="8" t="str">
        <f t="shared" si="353"/>
        <v>Y</v>
      </c>
      <c r="H1889" s="8" t="str">
        <f t="shared" si="354"/>
        <v>Upper</v>
      </c>
      <c r="I1889" s="8" t="str">
        <f t="shared" si="355"/>
        <v>West Fork and Below Lake</v>
      </c>
      <c r="J1889" s="8" t="str">
        <f t="shared" si="356"/>
        <v>Sonoma (d/s of Clov. Gage)</v>
      </c>
      <c r="K1889" s="8" t="str">
        <f t="shared" si="357"/>
        <v>Riparian</v>
      </c>
      <c r="L1889" s="8">
        <f t="shared" si="358"/>
        <v>1000</v>
      </c>
      <c r="M1889" s="8" t="str">
        <f t="shared" si="360"/>
        <v>-</v>
      </c>
      <c r="N1889" s="10" t="s">
        <v>242</v>
      </c>
      <c r="O1889" s="10" t="s">
        <v>241</v>
      </c>
      <c r="P1889" s="10" t="s">
        <v>242</v>
      </c>
      <c r="Q1889" s="10" t="s">
        <v>242</v>
      </c>
      <c r="R1889" s="10" t="s">
        <v>242</v>
      </c>
      <c r="S1889" s="10" t="s">
        <v>241</v>
      </c>
      <c r="T1889" s="10" t="s">
        <v>242</v>
      </c>
      <c r="U1889" s="10" t="s">
        <v>242</v>
      </c>
      <c r="V1889" s="10" t="s">
        <v>242</v>
      </c>
      <c r="W1889" s="10" t="s">
        <v>242</v>
      </c>
      <c r="X1889" s="15">
        <f>IF(ISERROR(VLOOKUP($A1889,'13. Updated Demand'!A:Z,15,FALSE)),0,VLOOKUP($A1889,'13. Updated Demand'!A:Z,15,FALSE))</f>
        <v>5.8690000000000001E-3</v>
      </c>
      <c r="Y1889" s="16">
        <f>IF(ISERROR(VLOOKUP($A1889,'13. Updated Demand'!A:Z,16,FALSE)),0,VLOOKUP($A1889,'13. Updated Demand'!A:Z,16,FALSE))</f>
        <v>4.98933333333333E-3</v>
      </c>
      <c r="Z1889" s="16">
        <f>IF(ISERROR(VLOOKUP($A1889,'13. Updated Demand'!A:Z,17,FALSE)),0,VLOOKUP($A1889,'13. Updated Demand'!A:Z,17,FALSE))</f>
        <v>4.87166666666667E-3</v>
      </c>
      <c r="AA1889" s="16">
        <f>IF(ISERROR(VLOOKUP($A1889,'13. Updated Demand'!A:Z,18,FALSE)),0,VLOOKUP($A1889,'13. Updated Demand'!A:Z,18,FALSE))</f>
        <v>6.45333333333333E-3</v>
      </c>
      <c r="AB1889" s="16">
        <f>IF(ISERROR(VLOOKUP($A1889,'13. Updated Demand'!A:Z,19,FALSE)),0,VLOOKUP($A1889,'13. Updated Demand'!A:Z,19,FALSE))</f>
        <v>6.0906666666666696E-3</v>
      </c>
      <c r="AC1889" s="16">
        <f>IF(ISERROR(VLOOKUP($A1889,'13. Updated Demand'!A:Z,20,FALSE)),0,VLOOKUP($A1889,'13. Updated Demand'!A:Z,20,FALSE))</f>
        <v>5.744E-3</v>
      </c>
      <c r="AD1889" s="16">
        <f>IF(ISERROR(VLOOKUP($A1889,'13. Updated Demand'!A:Z,21,FALSE)),0,VLOOKUP($A1889,'13. Updated Demand'!A:Z,21,FALSE))</f>
        <v>5.9659999999999999E-3</v>
      </c>
      <c r="AE1889" s="16">
        <f>IF(ISERROR(VLOOKUP($A1889,'13. Updated Demand'!A:Z,22,FALSE)),0,VLOOKUP($A1889,'13. Updated Demand'!A:Z,22,FALSE))</f>
        <v>5.1026666666666703E-3</v>
      </c>
      <c r="AF1889" s="16">
        <f>IF(ISERROR(VLOOKUP($A1889,'13. Updated Demand'!A:Z,23,FALSE)),0,VLOOKUP($A1889,'13. Updated Demand'!A:Z,23,FALSE))</f>
        <v>4.9266666666666703E-3</v>
      </c>
      <c r="AG1889" s="16">
        <f>IF(ISERROR(VLOOKUP($A1889,'13. Updated Demand'!A:Z,24,FALSE)),0,VLOOKUP($A1889,'13. Updated Demand'!A:Z,24,FALSE))</f>
        <v>3.7759999999999998E-3</v>
      </c>
      <c r="AH1889" s="16">
        <f>IF(ISERROR(VLOOKUP($A1889,'13. Updated Demand'!A:Z,25,FALSE)),0,VLOOKUP($A1889,'13. Updated Demand'!A:Z,25,FALSE))</f>
        <v>4.9523333333333303E-3</v>
      </c>
      <c r="AI1889" s="16">
        <f>IF(ISERROR(VLOOKUP($A1889,'13. Updated Demand'!A:Z,26,FALSE)),0,VLOOKUP($A1889,'13. Updated Demand'!A:Z,26,FALSE))</f>
        <v>5.8593333333333301E-3</v>
      </c>
      <c r="AJ1889" s="16">
        <f t="shared" si="361"/>
        <v>6.4601000000000006E-2</v>
      </c>
      <c r="AK1889" s="19">
        <v>2.7830000000000008E-2</v>
      </c>
      <c r="AL1889" s="16">
        <f t="shared" si="359"/>
        <v>9.2308939865094034E-5</v>
      </c>
      <c r="AM1889" s="26">
        <v>8.107148235530345E-3</v>
      </c>
      <c r="AN1889" s="19">
        <v>7.9683999999999999</v>
      </c>
      <c r="AO1889" s="19" t="s">
        <v>1758</v>
      </c>
      <c r="AP1889" s="19">
        <v>0</v>
      </c>
      <c r="AQ1889" s="19" t="s">
        <v>307</v>
      </c>
      <c r="AR1889" s="9" t="s">
        <v>409</v>
      </c>
      <c r="AS1889" s="12">
        <v>3.4039024194010059E-4</v>
      </c>
      <c r="AT1889" s="19">
        <v>38.8279</v>
      </c>
      <c r="AU1889" s="19">
        <v>-122.9931</v>
      </c>
      <c r="AV1889" s="19" t="s">
        <v>385</v>
      </c>
    </row>
    <row r="1890" spans="1:48" x14ac:dyDescent="0.25">
      <c r="A1890" s="18" t="s">
        <v>2301</v>
      </c>
      <c r="B1890" s="10">
        <v>10000000</v>
      </c>
      <c r="C1890" s="9">
        <v>20</v>
      </c>
      <c r="D1890" s="8" t="str">
        <f t="shared" si="350"/>
        <v>N</v>
      </c>
      <c r="E1890" s="8" t="str">
        <f t="shared" si="351"/>
        <v>N</v>
      </c>
      <c r="F1890" s="8" t="str">
        <f t="shared" si="352"/>
        <v>N</v>
      </c>
      <c r="G1890" s="8" t="str">
        <f t="shared" si="353"/>
        <v>N</v>
      </c>
      <c r="H1890" s="8" t="str">
        <f t="shared" si="354"/>
        <v>Lower</v>
      </c>
      <c r="I1890" s="8" t="str">
        <f t="shared" si="355"/>
        <v>Outside</v>
      </c>
      <c r="J1890" s="8" t="str">
        <f t="shared" si="356"/>
        <v>Outside</v>
      </c>
      <c r="K1890" s="8" t="str">
        <f t="shared" si="357"/>
        <v>Riparian</v>
      </c>
      <c r="L1890" s="8">
        <f t="shared" si="358"/>
        <v>1000</v>
      </c>
      <c r="M1890" s="8" t="str">
        <f t="shared" si="360"/>
        <v>-</v>
      </c>
      <c r="N1890" s="10" t="s">
        <v>242</v>
      </c>
      <c r="O1890" s="10" t="s">
        <v>242</v>
      </c>
      <c r="P1890" s="10" t="s">
        <v>242</v>
      </c>
      <c r="Q1890" s="10" t="s">
        <v>242</v>
      </c>
      <c r="R1890" s="10" t="s">
        <v>242</v>
      </c>
      <c r="S1890" s="10" t="s">
        <v>241</v>
      </c>
      <c r="T1890" s="10" t="s">
        <v>242</v>
      </c>
      <c r="U1890" s="10" t="s">
        <v>242</v>
      </c>
      <c r="V1890" s="10" t="s">
        <v>242</v>
      </c>
      <c r="W1890" s="10" t="s">
        <v>242</v>
      </c>
      <c r="X1890" s="15">
        <f>IF(ISERROR(VLOOKUP($A1890,'13. Updated Demand'!A:Z,15,FALSE)),0,VLOOKUP($A1890,'13. Updated Demand'!A:Z,15,FALSE))</f>
        <v>8.1836999999999993E-2</v>
      </c>
      <c r="Y1890" s="16">
        <f>IF(ISERROR(VLOOKUP($A1890,'13. Updated Demand'!A:Z,16,FALSE)),0,VLOOKUP($A1890,'13. Updated Demand'!A:Z,16,FALSE))</f>
        <v>8.1836999999999993E-2</v>
      </c>
      <c r="Z1890" s="16">
        <f>IF(ISERROR(VLOOKUP($A1890,'13. Updated Demand'!A:Z,17,FALSE)),0,VLOOKUP($A1890,'13. Updated Demand'!A:Z,17,FALSE))</f>
        <v>8.8997667000000003E-2</v>
      </c>
      <c r="AA1890" s="16">
        <f>IF(ISERROR(VLOOKUP($A1890,'13. Updated Demand'!A:Z,18,FALSE)),0,VLOOKUP($A1890,'13. Updated Demand'!A:Z,18,FALSE))</f>
        <v>0.189248</v>
      </c>
      <c r="AB1890" s="16">
        <f>IF(ISERROR(VLOOKUP($A1890,'13. Updated Demand'!A:Z,19,FALSE)),0,VLOOKUP($A1890,'13. Updated Demand'!A:Z,19,FALSE))</f>
        <v>0.21737933300000001</v>
      </c>
      <c r="AC1890" s="16">
        <f>IF(ISERROR(VLOOKUP($A1890,'13. Updated Demand'!A:Z,20,FALSE)),0,VLOOKUP($A1890,'13. Updated Demand'!A:Z,20,FALSE))</f>
        <v>0.28387200000000001</v>
      </c>
      <c r="AD1890" s="16">
        <f>IF(ISERROR(VLOOKUP($A1890,'13. Updated Demand'!A:Z,21,FALSE)),0,VLOOKUP($A1890,'13. Updated Demand'!A:Z,21,FALSE))</f>
        <v>0.265970333</v>
      </c>
      <c r="AE1890" s="16">
        <f>IF(ISERROR(VLOOKUP($A1890,'13. Updated Demand'!A:Z,22,FALSE)),0,VLOOKUP($A1890,'13. Updated Demand'!A:Z,22,FALSE))</f>
        <v>0.25880966700000002</v>
      </c>
      <c r="AF1890" s="16">
        <f>IF(ISERROR(VLOOKUP($A1890,'13. Updated Demand'!A:Z,23,FALSE)),0,VLOOKUP($A1890,'13. Updated Demand'!A:Z,23,FALSE))</f>
        <v>0.25880966700000002</v>
      </c>
      <c r="AG1890" s="16">
        <f>IF(ISERROR(VLOOKUP($A1890,'13. Updated Demand'!A:Z,24,FALSE)),0,VLOOKUP($A1890,'13. Updated Demand'!A:Z,24,FALSE))</f>
        <v>0.128381667</v>
      </c>
      <c r="AH1890" s="16">
        <f>IF(ISERROR(VLOOKUP($A1890,'13. Updated Demand'!A:Z,25,FALSE)),0,VLOOKUP($A1890,'13. Updated Demand'!A:Z,25,FALSE))</f>
        <v>9.7693000000000002E-2</v>
      </c>
      <c r="AI1890" s="16">
        <f>IF(ISERROR(VLOOKUP($A1890,'13. Updated Demand'!A:Z,26,FALSE)),0,VLOOKUP($A1890,'13. Updated Demand'!A:Z,26,FALSE))</f>
        <v>9.1044E-2</v>
      </c>
      <c r="AJ1890" s="16">
        <f t="shared" si="361"/>
        <v>2.0438793340000001</v>
      </c>
      <c r="AK1890" s="19">
        <v>1.2848409999999999</v>
      </c>
      <c r="AL1890" s="16">
        <f t="shared" si="359"/>
        <v>4.2616712398565312E-3</v>
      </c>
      <c r="AM1890" s="26">
        <v>15.017482248346806</v>
      </c>
      <c r="AN1890" s="19">
        <v>0.1361</v>
      </c>
      <c r="AO1890" s="19" t="s">
        <v>1758</v>
      </c>
      <c r="AP1890" s="19">
        <v>0</v>
      </c>
      <c r="AQ1890" s="19" t="s">
        <v>307</v>
      </c>
      <c r="AR1890" s="9" t="s">
        <v>329</v>
      </c>
      <c r="AS1890" s="12">
        <v>3.4039024194010059E-4</v>
      </c>
      <c r="AT1890" s="19">
        <v>38.578552199999997</v>
      </c>
      <c r="AU1890" s="19">
        <v>-123.09251205</v>
      </c>
      <c r="AV1890" s="19" t="s">
        <v>430</v>
      </c>
    </row>
    <row r="1891" spans="1:48" x14ac:dyDescent="0.25">
      <c r="A1891" s="18" t="s">
        <v>2302</v>
      </c>
      <c r="B1891" s="10">
        <v>10000000</v>
      </c>
      <c r="C1891" s="9">
        <v>20</v>
      </c>
      <c r="D1891" s="8" t="str">
        <f t="shared" si="350"/>
        <v>N</v>
      </c>
      <c r="E1891" s="8" t="str">
        <f t="shared" si="351"/>
        <v>N</v>
      </c>
      <c r="F1891" s="8" t="str">
        <f t="shared" si="352"/>
        <v>N</v>
      </c>
      <c r="G1891" s="8" t="str">
        <f t="shared" si="353"/>
        <v>N</v>
      </c>
      <c r="H1891" s="8" t="str">
        <f t="shared" si="354"/>
        <v>Lower</v>
      </c>
      <c r="I1891" s="8" t="str">
        <f t="shared" si="355"/>
        <v>Outside</v>
      </c>
      <c r="J1891" s="8" t="str">
        <f t="shared" si="356"/>
        <v>Outside</v>
      </c>
      <c r="K1891" s="8" t="str">
        <f t="shared" si="357"/>
        <v>Riparian</v>
      </c>
      <c r="L1891" s="8">
        <f t="shared" si="358"/>
        <v>1000</v>
      </c>
      <c r="M1891" s="8" t="str">
        <f t="shared" si="360"/>
        <v>-</v>
      </c>
      <c r="N1891" s="10" t="s">
        <v>242</v>
      </c>
      <c r="O1891" s="10" t="s">
        <v>242</v>
      </c>
      <c r="P1891" s="10" t="s">
        <v>242</v>
      </c>
      <c r="Q1891" s="10" t="s">
        <v>242</v>
      </c>
      <c r="R1891" s="10" t="s">
        <v>242</v>
      </c>
      <c r="S1891" s="10" t="s">
        <v>241</v>
      </c>
      <c r="T1891" s="10" t="s">
        <v>242</v>
      </c>
      <c r="U1891" s="10" t="s">
        <v>242</v>
      </c>
      <c r="V1891" s="10" t="s">
        <v>242</v>
      </c>
      <c r="W1891" s="10" t="s">
        <v>242</v>
      </c>
      <c r="X1891" s="15">
        <f>IF(ISERROR(VLOOKUP($A1891,'13. Updated Demand'!A:Z,15,FALSE)),0,VLOOKUP($A1891,'13. Updated Demand'!A:Z,15,FALSE))</f>
        <v>2.8033667000000002E-2</v>
      </c>
      <c r="Y1891" s="16">
        <f>IF(ISERROR(VLOOKUP($A1891,'13. Updated Demand'!A:Z,16,FALSE)),0,VLOOKUP($A1891,'13. Updated Demand'!A:Z,16,FALSE))</f>
        <v>3.1098000000000001E-2</v>
      </c>
      <c r="Z1891" s="16">
        <f>IF(ISERROR(VLOOKUP($A1891,'13. Updated Demand'!A:Z,17,FALSE)),0,VLOOKUP($A1891,'13. Updated Demand'!A:Z,17,FALSE))</f>
        <v>3.1199999999999999E-2</v>
      </c>
      <c r="AA1891" s="16">
        <f>IF(ISERROR(VLOOKUP($A1891,'13. Updated Demand'!A:Z,18,FALSE)),0,VLOOKUP($A1891,'13. Updated Demand'!A:Z,18,FALSE))</f>
        <v>4.6647000000000001E-2</v>
      </c>
      <c r="AB1891" s="16">
        <f>IF(ISERROR(VLOOKUP($A1891,'13. Updated Demand'!A:Z,19,FALSE)),0,VLOOKUP($A1891,'13. Updated Demand'!A:Z,19,FALSE))</f>
        <v>6.2400999999999998E-2</v>
      </c>
      <c r="AC1891" s="16">
        <f>IF(ISERROR(VLOOKUP($A1891,'13. Updated Demand'!A:Z,20,FALSE)),0,VLOOKUP($A1891,'13. Updated Demand'!A:Z,20,FALSE))</f>
        <v>6.2400999999999998E-2</v>
      </c>
      <c r="AD1891" s="16">
        <f>IF(ISERROR(VLOOKUP($A1891,'13. Updated Demand'!A:Z,21,FALSE)),0,VLOOKUP($A1891,'13. Updated Demand'!A:Z,21,FALSE))</f>
        <v>9.3089667000000001E-2</v>
      </c>
      <c r="AE1891" s="16">
        <f>IF(ISERROR(VLOOKUP($A1891,'13. Updated Demand'!A:Z,22,FALSE)),0,VLOOKUP($A1891,'13. Updated Demand'!A:Z,22,FALSE))</f>
        <v>9.3601000000000004E-2</v>
      </c>
      <c r="AF1891" s="16">
        <f>IF(ISERROR(VLOOKUP($A1891,'13. Updated Demand'!A:Z,23,FALSE)),0,VLOOKUP($A1891,'13. Updated Demand'!A:Z,23,FALSE))</f>
        <v>9.3601000000000004E-2</v>
      </c>
      <c r="AG1891" s="16">
        <f>IF(ISERROR(VLOOKUP($A1891,'13. Updated Demand'!A:Z,24,FALSE)),0,VLOOKUP($A1891,'13. Updated Demand'!A:Z,24,FALSE))</f>
        <v>6.2912333000000001E-2</v>
      </c>
      <c r="AH1891" s="16">
        <f>IF(ISERROR(VLOOKUP($A1891,'13. Updated Demand'!A:Z,25,FALSE)),0,VLOOKUP($A1891,'13. Updated Demand'!A:Z,25,FALSE))</f>
        <v>4.6647000000000001E-2</v>
      </c>
      <c r="AI1891" s="16">
        <f>IF(ISERROR(VLOOKUP($A1891,'13. Updated Demand'!A:Z,26,FALSE)),0,VLOOKUP($A1891,'13. Updated Demand'!A:Z,26,FALSE))</f>
        <v>3.1098000000000001E-2</v>
      </c>
      <c r="AJ1891" s="16">
        <f t="shared" si="361"/>
        <v>0.68272966699999993</v>
      </c>
      <c r="AK1891" s="19">
        <v>0.40509366699999999</v>
      </c>
      <c r="AL1891" s="16">
        <f t="shared" si="359"/>
        <v>1.3436495489340071E-3</v>
      </c>
      <c r="AM1891" s="26">
        <v>2.7089222195770344E-2</v>
      </c>
      <c r="AN1891" s="19">
        <v>25.202999999999999</v>
      </c>
      <c r="AO1891" s="19" t="s">
        <v>1758</v>
      </c>
      <c r="AP1891" s="19">
        <v>0</v>
      </c>
      <c r="AQ1891" s="19" t="s">
        <v>307</v>
      </c>
      <c r="AR1891" s="9" t="s">
        <v>329</v>
      </c>
      <c r="AS1891" s="12">
        <v>3.4039024194010059E-4</v>
      </c>
      <c r="AT1891" s="19">
        <v>38.536894670000002</v>
      </c>
      <c r="AU1891" s="19">
        <v>-123.14082354</v>
      </c>
      <c r="AV1891" s="19" t="s">
        <v>2303</v>
      </c>
    </row>
    <row r="1892" spans="1:48" x14ac:dyDescent="0.25">
      <c r="A1892" s="18" t="s">
        <v>2304</v>
      </c>
      <c r="B1892" s="10">
        <v>10000000</v>
      </c>
      <c r="C1892" s="9">
        <v>23</v>
      </c>
      <c r="D1892" s="8" t="str">
        <f t="shared" si="350"/>
        <v>N</v>
      </c>
      <c r="E1892" s="8" t="str">
        <f t="shared" si="351"/>
        <v>N</v>
      </c>
      <c r="F1892" s="8" t="str">
        <f t="shared" si="352"/>
        <v>N</v>
      </c>
      <c r="G1892" s="8" t="str">
        <f t="shared" si="353"/>
        <v>N</v>
      </c>
      <c r="H1892" s="8" t="str">
        <f t="shared" si="354"/>
        <v>Lower</v>
      </c>
      <c r="I1892" s="8" t="str">
        <f t="shared" si="355"/>
        <v>Outside</v>
      </c>
      <c r="J1892" s="8" t="str">
        <f t="shared" si="356"/>
        <v>Outside</v>
      </c>
      <c r="K1892" s="8" t="str">
        <f t="shared" si="357"/>
        <v>Riparian</v>
      </c>
      <c r="L1892" s="8">
        <f t="shared" si="358"/>
        <v>1000</v>
      </c>
      <c r="M1892" s="8" t="str">
        <f t="shared" si="360"/>
        <v>-</v>
      </c>
      <c r="N1892" s="10" t="s">
        <v>242</v>
      </c>
      <c r="O1892" s="10" t="s">
        <v>242</v>
      </c>
      <c r="P1892" s="10" t="s">
        <v>242</v>
      </c>
      <c r="Q1892" s="10" t="s">
        <v>242</v>
      </c>
      <c r="R1892" s="10" t="s">
        <v>242</v>
      </c>
      <c r="S1892" s="10" t="s">
        <v>241</v>
      </c>
      <c r="T1892" s="10" t="s">
        <v>242</v>
      </c>
      <c r="U1892" s="10" t="s">
        <v>242</v>
      </c>
      <c r="V1892" s="10" t="s">
        <v>242</v>
      </c>
      <c r="W1892" s="10" t="s">
        <v>242</v>
      </c>
      <c r="X1892" s="15">
        <f>IF(ISERROR(VLOOKUP($A1892,'13. Updated Demand'!A:Z,15,FALSE)),0,VLOOKUP($A1892,'13. Updated Demand'!A:Z,15,FALSE))</f>
        <v>0</v>
      </c>
      <c r="Y1892" s="16">
        <f>IF(ISERROR(VLOOKUP($A1892,'13. Updated Demand'!A:Z,16,FALSE)),0,VLOOKUP($A1892,'13. Updated Demand'!A:Z,16,FALSE))</f>
        <v>0</v>
      </c>
      <c r="Z1892" s="16">
        <f>IF(ISERROR(VLOOKUP($A1892,'13. Updated Demand'!A:Z,17,FALSE)),0,VLOOKUP($A1892,'13. Updated Demand'!A:Z,17,FALSE))</f>
        <v>1.7413330000000001E-3</v>
      </c>
      <c r="AA1892" s="16">
        <f>IF(ISERROR(VLOOKUP($A1892,'13. Updated Demand'!A:Z,18,FALSE)),0,VLOOKUP($A1892,'13. Updated Demand'!A:Z,18,FALSE))</f>
        <v>1.2987667E-2</v>
      </c>
      <c r="AB1892" s="16">
        <f>IF(ISERROR(VLOOKUP($A1892,'13. Updated Demand'!A:Z,19,FALSE)),0,VLOOKUP($A1892,'13. Updated Demand'!A:Z,19,FALSE))</f>
        <v>0.118286667</v>
      </c>
      <c r="AC1892" s="16">
        <f>IF(ISERROR(VLOOKUP($A1892,'13. Updated Demand'!A:Z,20,FALSE)),0,VLOOKUP($A1892,'13. Updated Demand'!A:Z,20,FALSE))</f>
        <v>0</v>
      </c>
      <c r="AD1892" s="16">
        <f>IF(ISERROR(VLOOKUP($A1892,'13. Updated Demand'!A:Z,21,FALSE)),0,VLOOKUP($A1892,'13. Updated Demand'!A:Z,21,FALSE))</f>
        <v>0.110016667</v>
      </c>
      <c r="AE1892" s="16">
        <f>IF(ISERROR(VLOOKUP($A1892,'13. Updated Demand'!A:Z,22,FALSE)),0,VLOOKUP($A1892,'13. Updated Demand'!A:Z,22,FALSE))</f>
        <v>0.20245299999999999</v>
      </c>
      <c r="AF1892" s="16">
        <f>IF(ISERROR(VLOOKUP($A1892,'13. Updated Demand'!A:Z,23,FALSE)),0,VLOOKUP($A1892,'13. Updated Demand'!A:Z,23,FALSE))</f>
        <v>0.245119</v>
      </c>
      <c r="AG1892" s="16">
        <f>IF(ISERROR(VLOOKUP($A1892,'13. Updated Demand'!A:Z,24,FALSE)),0,VLOOKUP($A1892,'13. Updated Demand'!A:Z,24,FALSE))</f>
        <v>0.13400833300000001</v>
      </c>
      <c r="AH1892" s="16">
        <f>IF(ISERROR(VLOOKUP($A1892,'13. Updated Demand'!A:Z,25,FALSE)),0,VLOOKUP($A1892,'13. Updated Demand'!A:Z,25,FALSE))</f>
        <v>0</v>
      </c>
      <c r="AI1892" s="16">
        <f>IF(ISERROR(VLOOKUP($A1892,'13. Updated Demand'!A:Z,26,FALSE)),0,VLOOKUP($A1892,'13. Updated Demand'!A:Z,26,FALSE))</f>
        <v>0</v>
      </c>
      <c r="AJ1892" s="16">
        <f t="shared" si="361"/>
        <v>0.82461266700000002</v>
      </c>
      <c r="AK1892" s="19">
        <v>0.67587533399999999</v>
      </c>
      <c r="AL1892" s="16">
        <f t="shared" si="359"/>
        <v>2.2418014934425558E-3</v>
      </c>
      <c r="AM1892" s="26">
        <v>6.9792527168393251E-2</v>
      </c>
      <c r="AN1892" s="19">
        <v>11.815200000000001</v>
      </c>
      <c r="AO1892" s="19" t="s">
        <v>1758</v>
      </c>
      <c r="AP1892" s="19">
        <v>0</v>
      </c>
      <c r="AQ1892" s="19" t="s">
        <v>307</v>
      </c>
      <c r="AR1892" s="9" t="s">
        <v>323</v>
      </c>
      <c r="AS1892" s="12">
        <v>0</v>
      </c>
      <c r="AT1892" s="19">
        <v>38.496000000000002</v>
      </c>
      <c r="AU1892" s="19">
        <v>-122.8661</v>
      </c>
      <c r="AV1892" s="19" t="s">
        <v>735</v>
      </c>
    </row>
    <row r="1893" spans="1:48" x14ac:dyDescent="0.25">
      <c r="A1893" s="18" t="s">
        <v>2305</v>
      </c>
      <c r="B1893" s="10">
        <v>10000000</v>
      </c>
      <c r="C1893" s="9">
        <v>17</v>
      </c>
      <c r="D1893" s="8" t="str">
        <f t="shared" si="350"/>
        <v>N</v>
      </c>
      <c r="E1893" s="8" t="str">
        <f t="shared" si="351"/>
        <v>N</v>
      </c>
      <c r="F1893" s="8" t="str">
        <f t="shared" si="352"/>
        <v>N</v>
      </c>
      <c r="G1893" s="8" t="str">
        <f t="shared" si="353"/>
        <v>N</v>
      </c>
      <c r="H1893" s="8" t="str">
        <f t="shared" si="354"/>
        <v>Lower</v>
      </c>
      <c r="I1893" s="8" t="str">
        <f t="shared" si="355"/>
        <v>Outside</v>
      </c>
      <c r="J1893" s="8" t="str">
        <f t="shared" si="356"/>
        <v>Outside</v>
      </c>
      <c r="K1893" s="8" t="str">
        <f t="shared" si="357"/>
        <v>Riparian</v>
      </c>
      <c r="L1893" s="8">
        <f t="shared" si="358"/>
        <v>1000</v>
      </c>
      <c r="M1893" s="8" t="str">
        <f t="shared" si="360"/>
        <v>-</v>
      </c>
      <c r="N1893" s="10" t="s">
        <v>241</v>
      </c>
      <c r="O1893" s="10" t="s">
        <v>242</v>
      </c>
      <c r="P1893" s="10" t="s">
        <v>242</v>
      </c>
      <c r="Q1893" s="10" t="s">
        <v>242</v>
      </c>
      <c r="R1893" s="10" t="s">
        <v>242</v>
      </c>
      <c r="S1893" s="10" t="s">
        <v>241</v>
      </c>
      <c r="T1893" s="10" t="s">
        <v>242</v>
      </c>
      <c r="U1893" s="10" t="s">
        <v>242</v>
      </c>
      <c r="V1893" s="10" t="s">
        <v>242</v>
      </c>
      <c r="W1893" s="10" t="s">
        <v>242</v>
      </c>
      <c r="X1893" s="15">
        <f>IF(ISERROR(VLOOKUP($A1893,'13. Updated Demand'!A:Z,15,FALSE)),0,VLOOKUP($A1893,'13. Updated Demand'!A:Z,15,FALSE))</f>
        <v>0.108178333</v>
      </c>
      <c r="Y1893" s="16">
        <f>IF(ISERROR(VLOOKUP($A1893,'13. Updated Demand'!A:Z,16,FALSE)),0,VLOOKUP($A1893,'13. Updated Demand'!A:Z,16,FALSE))</f>
        <v>6.9808866999999997E-2</v>
      </c>
      <c r="Z1893" s="16">
        <f>IF(ISERROR(VLOOKUP($A1893,'13. Updated Demand'!A:Z,17,FALSE)),0,VLOOKUP($A1893,'13. Updated Demand'!A:Z,17,FALSE))</f>
        <v>6.0784333000000003E-2</v>
      </c>
      <c r="AA1893" s="16">
        <f>IF(ISERROR(VLOOKUP($A1893,'13. Updated Demand'!A:Z,18,FALSE)),0,VLOOKUP($A1893,'13. Updated Demand'!A:Z,18,FALSE))</f>
        <v>0.17049700000000001</v>
      </c>
      <c r="AB1893" s="16">
        <f>IF(ISERROR(VLOOKUP($A1893,'13. Updated Demand'!A:Z,19,FALSE)),0,VLOOKUP($A1893,'13. Updated Demand'!A:Z,19,FALSE))</f>
        <v>0.39417799999999997</v>
      </c>
      <c r="AC1893" s="16">
        <f>IF(ISERROR(VLOOKUP($A1893,'13. Updated Demand'!A:Z,20,FALSE)),0,VLOOKUP($A1893,'13. Updated Demand'!A:Z,20,FALSE))</f>
        <v>0.84954966700000001</v>
      </c>
      <c r="AD1893" s="16">
        <f>IF(ISERROR(VLOOKUP($A1893,'13. Updated Demand'!A:Z,21,FALSE)),0,VLOOKUP($A1893,'13. Updated Demand'!A:Z,21,FALSE))</f>
        <v>1.0297343329999999</v>
      </c>
      <c r="AE1893" s="16">
        <f>IF(ISERROR(VLOOKUP($A1893,'13. Updated Demand'!A:Z,22,FALSE)),0,VLOOKUP($A1893,'13. Updated Demand'!A:Z,22,FALSE))</f>
        <v>0.84083399999999997</v>
      </c>
      <c r="AF1893" s="16">
        <f>IF(ISERROR(VLOOKUP($A1893,'13. Updated Demand'!A:Z,23,FALSE)),0,VLOOKUP($A1893,'13. Updated Demand'!A:Z,23,FALSE))</f>
        <v>0.93730466700000004</v>
      </c>
      <c r="AG1893" s="16">
        <f>IF(ISERROR(VLOOKUP($A1893,'13. Updated Demand'!A:Z,24,FALSE)),0,VLOOKUP($A1893,'13. Updated Demand'!A:Z,24,FALSE))</f>
        <v>0.88308766699999997</v>
      </c>
      <c r="AH1893" s="16">
        <f>IF(ISERROR(VLOOKUP($A1893,'13. Updated Demand'!A:Z,25,FALSE)),0,VLOOKUP($A1893,'13. Updated Demand'!A:Z,25,FALSE))</f>
        <v>0.78054066700000002</v>
      </c>
      <c r="AI1893" s="16">
        <f>IF(ISERROR(VLOOKUP($A1893,'13. Updated Demand'!A:Z,26,FALSE)),0,VLOOKUP($A1893,'13. Updated Demand'!A:Z,26,FALSE))</f>
        <v>0.140038833</v>
      </c>
      <c r="AJ1893" s="16">
        <f t="shared" si="361"/>
        <v>6.2645363670000007</v>
      </c>
      <c r="AK1893" s="19">
        <v>4.0516006669999998</v>
      </c>
      <c r="AL1893" s="16">
        <f t="shared" si="359"/>
        <v>1.3438697891752706E-2</v>
      </c>
      <c r="AM1893" s="26">
        <v>0.14061620644839801</v>
      </c>
      <c r="AN1893" s="19">
        <v>44.550600000000003</v>
      </c>
      <c r="AO1893" s="19" t="s">
        <v>1758</v>
      </c>
      <c r="AP1893" s="19">
        <v>0</v>
      </c>
      <c r="AQ1893" s="19" t="s">
        <v>307</v>
      </c>
      <c r="AR1893" s="9" t="s">
        <v>486</v>
      </c>
      <c r="AS1893" s="12">
        <v>0</v>
      </c>
      <c r="AT1893" s="19">
        <v>38.522300000000001</v>
      </c>
      <c r="AU1893" s="19">
        <v>-122.8633</v>
      </c>
      <c r="AV1893" s="19" t="s">
        <v>548</v>
      </c>
    </row>
    <row r="1894" spans="1:48" x14ac:dyDescent="0.25">
      <c r="A1894" s="18" t="s">
        <v>2306</v>
      </c>
      <c r="B1894" s="10">
        <v>10000000</v>
      </c>
      <c r="C1894" s="9">
        <v>12</v>
      </c>
      <c r="D1894" s="8" t="str">
        <f t="shared" si="350"/>
        <v>N</v>
      </c>
      <c r="E1894" s="8" t="str">
        <f t="shared" si="351"/>
        <v>Y</v>
      </c>
      <c r="F1894" s="8" t="str">
        <f t="shared" si="352"/>
        <v>Y</v>
      </c>
      <c r="G1894" s="8" t="str">
        <f t="shared" si="353"/>
        <v>Y</v>
      </c>
      <c r="H1894" s="8" t="str">
        <f t="shared" si="354"/>
        <v>Upper</v>
      </c>
      <c r="I1894" s="8" t="str">
        <f t="shared" si="355"/>
        <v>West Fork and Below Lake</v>
      </c>
      <c r="J1894" s="8" t="str">
        <f t="shared" si="356"/>
        <v>Sonoma (d/s of Clov. Gage)</v>
      </c>
      <c r="K1894" s="8" t="str">
        <f t="shared" si="357"/>
        <v>Riparian</v>
      </c>
      <c r="L1894" s="8">
        <f t="shared" si="358"/>
        <v>1000</v>
      </c>
      <c r="M1894" s="8" t="str">
        <f t="shared" si="360"/>
        <v>-</v>
      </c>
      <c r="N1894" s="10" t="s">
        <v>242</v>
      </c>
      <c r="O1894" s="10" t="s">
        <v>241</v>
      </c>
      <c r="P1894" s="10" t="s">
        <v>242</v>
      </c>
      <c r="Q1894" s="10" t="s">
        <v>242</v>
      </c>
      <c r="R1894" s="10" t="s">
        <v>242</v>
      </c>
      <c r="S1894" s="10" t="s">
        <v>241</v>
      </c>
      <c r="T1894" s="10" t="s">
        <v>242</v>
      </c>
      <c r="U1894" s="10" t="s">
        <v>242</v>
      </c>
      <c r="V1894" s="10" t="s">
        <v>241</v>
      </c>
      <c r="W1894" s="10" t="s">
        <v>242</v>
      </c>
      <c r="X1894" s="15">
        <f>IF(ISERROR(VLOOKUP($A1894,'13. Updated Demand'!A:Z,15,FALSE)),0,VLOOKUP($A1894,'13. Updated Demand'!A:Z,15,FALSE))</f>
        <v>22.93</v>
      </c>
      <c r="Y1894" s="16">
        <f>IF(ISERROR(VLOOKUP($A1894,'13. Updated Demand'!A:Z,16,FALSE)),0,VLOOKUP($A1894,'13. Updated Demand'!A:Z,16,FALSE))</f>
        <v>7.03</v>
      </c>
      <c r="Z1894" s="16">
        <f>IF(ISERROR(VLOOKUP($A1894,'13. Updated Demand'!A:Z,17,FALSE)),0,VLOOKUP($A1894,'13. Updated Demand'!A:Z,17,FALSE))</f>
        <v>7.43</v>
      </c>
      <c r="AA1894" s="16">
        <f>IF(ISERROR(VLOOKUP($A1894,'13. Updated Demand'!A:Z,18,FALSE)),0,VLOOKUP($A1894,'13. Updated Demand'!A:Z,18,FALSE))</f>
        <v>2</v>
      </c>
      <c r="AB1894" s="16">
        <f>IF(ISERROR(VLOOKUP($A1894,'13. Updated Demand'!A:Z,19,FALSE)),0,VLOOKUP($A1894,'13. Updated Demand'!A:Z,19,FALSE))</f>
        <v>0</v>
      </c>
      <c r="AC1894" s="16">
        <f>IF(ISERROR(VLOOKUP($A1894,'13. Updated Demand'!A:Z,20,FALSE)),0,VLOOKUP($A1894,'13. Updated Demand'!A:Z,20,FALSE))</f>
        <v>0</v>
      </c>
      <c r="AD1894" s="16">
        <f>IF(ISERROR(VLOOKUP($A1894,'13. Updated Demand'!A:Z,21,FALSE)),0,VLOOKUP($A1894,'13. Updated Demand'!A:Z,21,FALSE))</f>
        <v>0</v>
      </c>
      <c r="AE1894" s="16">
        <f>IF(ISERROR(VLOOKUP($A1894,'13. Updated Demand'!A:Z,22,FALSE)),0,VLOOKUP($A1894,'13. Updated Demand'!A:Z,22,FALSE))</f>
        <v>0</v>
      </c>
      <c r="AF1894" s="16">
        <f>IF(ISERROR(VLOOKUP($A1894,'13. Updated Demand'!A:Z,23,FALSE)),0,VLOOKUP($A1894,'13. Updated Demand'!A:Z,23,FALSE))</f>
        <v>0</v>
      </c>
      <c r="AG1894" s="16">
        <f>IF(ISERROR(VLOOKUP($A1894,'13. Updated Demand'!A:Z,24,FALSE)),0,VLOOKUP($A1894,'13. Updated Demand'!A:Z,24,FALSE))</f>
        <v>0</v>
      </c>
      <c r="AH1894" s="16">
        <f>IF(ISERROR(VLOOKUP($A1894,'13. Updated Demand'!A:Z,25,FALSE)),0,VLOOKUP($A1894,'13. Updated Demand'!A:Z,25,FALSE))</f>
        <v>1.86</v>
      </c>
      <c r="AI1894" s="16">
        <f>IF(ISERROR(VLOOKUP($A1894,'13. Updated Demand'!A:Z,26,FALSE)),0,VLOOKUP($A1894,'13. Updated Demand'!A:Z,26,FALSE))</f>
        <v>61.06</v>
      </c>
      <c r="AJ1894" s="16">
        <f t="shared" si="361"/>
        <v>102.31</v>
      </c>
      <c r="AK1894" s="19">
        <v>0</v>
      </c>
      <c r="AL1894" s="16">
        <f t="shared" si="359"/>
        <v>0</v>
      </c>
      <c r="AM1894" s="26">
        <v>0.88753975137033814</v>
      </c>
      <c r="AN1894" s="19">
        <v>115.3</v>
      </c>
      <c r="AO1894" s="19" t="s">
        <v>1758</v>
      </c>
      <c r="AP1894" s="19">
        <v>0</v>
      </c>
      <c r="AQ1894" s="19" t="s">
        <v>307</v>
      </c>
      <c r="AR1894" s="9" t="s">
        <v>311</v>
      </c>
      <c r="AS1894" s="12">
        <v>0</v>
      </c>
      <c r="AT1894" s="19">
        <v>38.6248</v>
      </c>
      <c r="AU1894" s="19">
        <v>-122.66070000000001</v>
      </c>
      <c r="AV1894" s="19" t="s">
        <v>385</v>
      </c>
    </row>
    <row r="1895" spans="1:48" x14ac:dyDescent="0.25">
      <c r="A1895" s="18" t="s">
        <v>2307</v>
      </c>
      <c r="B1895" s="10">
        <v>10000000</v>
      </c>
      <c r="C1895" s="9">
        <v>12</v>
      </c>
      <c r="D1895" s="8" t="str">
        <f t="shared" si="350"/>
        <v>N</v>
      </c>
      <c r="E1895" s="8" t="str">
        <f t="shared" si="351"/>
        <v>Y</v>
      </c>
      <c r="F1895" s="8" t="str">
        <f t="shared" si="352"/>
        <v>Y</v>
      </c>
      <c r="G1895" s="8" t="str">
        <f t="shared" si="353"/>
        <v>Y</v>
      </c>
      <c r="H1895" s="8" t="str">
        <f t="shared" si="354"/>
        <v>Upper</v>
      </c>
      <c r="I1895" s="8" t="str">
        <f t="shared" si="355"/>
        <v>West Fork and Below Lake</v>
      </c>
      <c r="J1895" s="8" t="str">
        <f t="shared" si="356"/>
        <v>Sonoma (d/s of Clov. Gage)</v>
      </c>
      <c r="K1895" s="8" t="str">
        <f t="shared" si="357"/>
        <v>Riparian</v>
      </c>
      <c r="L1895" s="8">
        <f t="shared" si="358"/>
        <v>1000</v>
      </c>
      <c r="M1895" s="8" t="str">
        <f t="shared" si="360"/>
        <v>-</v>
      </c>
      <c r="N1895" s="10" t="s">
        <v>242</v>
      </c>
      <c r="O1895" s="10" t="s">
        <v>241</v>
      </c>
      <c r="P1895" s="10" t="s">
        <v>242</v>
      </c>
      <c r="Q1895" s="10" t="s">
        <v>242</v>
      </c>
      <c r="R1895" s="10" t="s">
        <v>242</v>
      </c>
      <c r="S1895" s="10" t="s">
        <v>241</v>
      </c>
      <c r="T1895" s="10" t="s">
        <v>242</v>
      </c>
      <c r="U1895" s="10" t="s">
        <v>242</v>
      </c>
      <c r="V1895" s="10" t="s">
        <v>242</v>
      </c>
      <c r="W1895" s="10" t="s">
        <v>242</v>
      </c>
      <c r="X1895" s="15">
        <f>IF(ISERROR(VLOOKUP($A1895,'13. Updated Demand'!A:Z,15,FALSE)),0,VLOOKUP($A1895,'13. Updated Demand'!A:Z,15,FALSE))</f>
        <v>0.5</v>
      </c>
      <c r="Y1895" s="16">
        <f>IF(ISERROR(VLOOKUP($A1895,'13. Updated Demand'!A:Z,16,FALSE)),0,VLOOKUP($A1895,'13. Updated Demand'!A:Z,16,FALSE))</f>
        <v>0</v>
      </c>
      <c r="Z1895" s="16">
        <f>IF(ISERROR(VLOOKUP($A1895,'13. Updated Demand'!A:Z,17,FALSE)),0,VLOOKUP($A1895,'13. Updated Demand'!A:Z,17,FALSE))</f>
        <v>0</v>
      </c>
      <c r="AA1895" s="16">
        <f>IF(ISERROR(VLOOKUP($A1895,'13. Updated Demand'!A:Z,18,FALSE)),0,VLOOKUP($A1895,'13. Updated Demand'!A:Z,18,FALSE))</f>
        <v>0</v>
      </c>
      <c r="AB1895" s="16">
        <f>IF(ISERROR(VLOOKUP($A1895,'13. Updated Demand'!A:Z,19,FALSE)),0,VLOOKUP($A1895,'13. Updated Demand'!A:Z,19,FALSE))</f>
        <v>0</v>
      </c>
      <c r="AC1895" s="16">
        <f>IF(ISERROR(VLOOKUP($A1895,'13. Updated Demand'!A:Z,20,FALSE)),0,VLOOKUP($A1895,'13. Updated Demand'!A:Z,20,FALSE))</f>
        <v>0.86</v>
      </c>
      <c r="AD1895" s="16">
        <f>IF(ISERROR(VLOOKUP($A1895,'13. Updated Demand'!A:Z,21,FALSE)),0,VLOOKUP($A1895,'13. Updated Demand'!A:Z,21,FALSE))</f>
        <v>0</v>
      </c>
      <c r="AE1895" s="16">
        <f>IF(ISERROR(VLOOKUP($A1895,'13. Updated Demand'!A:Z,22,FALSE)),0,VLOOKUP($A1895,'13. Updated Demand'!A:Z,22,FALSE))</f>
        <v>0</v>
      </c>
      <c r="AF1895" s="16">
        <f>IF(ISERROR(VLOOKUP($A1895,'13. Updated Demand'!A:Z,23,FALSE)),0,VLOOKUP($A1895,'13. Updated Demand'!A:Z,23,FALSE))</f>
        <v>0</v>
      </c>
      <c r="AG1895" s="16">
        <f>IF(ISERROR(VLOOKUP($A1895,'13. Updated Demand'!A:Z,24,FALSE)),0,VLOOKUP($A1895,'13. Updated Demand'!A:Z,24,FALSE))</f>
        <v>0</v>
      </c>
      <c r="AH1895" s="16">
        <f>IF(ISERROR(VLOOKUP($A1895,'13. Updated Demand'!A:Z,25,FALSE)),0,VLOOKUP($A1895,'13. Updated Demand'!A:Z,25,FALSE))</f>
        <v>2.23</v>
      </c>
      <c r="AI1895" s="16">
        <f>IF(ISERROR(VLOOKUP($A1895,'13. Updated Demand'!A:Z,26,FALSE)),0,VLOOKUP($A1895,'13. Updated Demand'!A:Z,26,FALSE))</f>
        <v>2.2599999999999998</v>
      </c>
      <c r="AJ1895" s="16">
        <f t="shared" si="361"/>
        <v>5.85</v>
      </c>
      <c r="AK1895" s="19">
        <v>0.86666666699999995</v>
      </c>
      <c r="AL1895" s="16">
        <f t="shared" si="359"/>
        <v>2.8746346118284031E-3</v>
      </c>
      <c r="AM1895" s="26">
        <v>0.48087431696721317</v>
      </c>
      <c r="AN1895" s="19">
        <v>12.2</v>
      </c>
      <c r="AO1895" s="19" t="s">
        <v>1758</v>
      </c>
      <c r="AP1895" s="19">
        <v>0</v>
      </c>
      <c r="AQ1895" s="19" t="s">
        <v>307</v>
      </c>
      <c r="AR1895" s="9" t="s">
        <v>311</v>
      </c>
      <c r="AS1895" s="12">
        <v>0</v>
      </c>
      <c r="AT1895" s="19">
        <v>38.636000000000003</v>
      </c>
      <c r="AU1895" s="19">
        <v>-122.65260000000001</v>
      </c>
      <c r="AV1895" s="19" t="s">
        <v>385</v>
      </c>
    </row>
    <row r="1896" spans="1:48" x14ac:dyDescent="0.25">
      <c r="A1896" s="18" t="s">
        <v>2308</v>
      </c>
      <c r="B1896" s="10">
        <v>10000000</v>
      </c>
      <c r="C1896" s="9">
        <v>12</v>
      </c>
      <c r="D1896" s="8" t="str">
        <f t="shared" si="350"/>
        <v>N</v>
      </c>
      <c r="E1896" s="8" t="str">
        <f t="shared" si="351"/>
        <v>Y</v>
      </c>
      <c r="F1896" s="8" t="str">
        <f t="shared" si="352"/>
        <v>Y</v>
      </c>
      <c r="G1896" s="8" t="str">
        <f t="shared" si="353"/>
        <v>Y</v>
      </c>
      <c r="H1896" s="8" t="str">
        <f t="shared" si="354"/>
        <v>Upper</v>
      </c>
      <c r="I1896" s="8" t="str">
        <f t="shared" si="355"/>
        <v>West Fork and Below Lake</v>
      </c>
      <c r="J1896" s="8" t="str">
        <f t="shared" si="356"/>
        <v>Sonoma (d/s of Clov. Gage)</v>
      </c>
      <c r="K1896" s="8" t="str">
        <f t="shared" si="357"/>
        <v>Riparian</v>
      </c>
      <c r="L1896" s="8">
        <f t="shared" si="358"/>
        <v>1000</v>
      </c>
      <c r="M1896" s="8" t="str">
        <f t="shared" si="360"/>
        <v>-</v>
      </c>
      <c r="N1896" s="10" t="s">
        <v>242</v>
      </c>
      <c r="O1896" s="10" t="s">
        <v>241</v>
      </c>
      <c r="P1896" s="10" t="s">
        <v>242</v>
      </c>
      <c r="Q1896" s="10" t="s">
        <v>242</v>
      </c>
      <c r="R1896" s="10" t="s">
        <v>242</v>
      </c>
      <c r="S1896" s="10" t="s">
        <v>241</v>
      </c>
      <c r="T1896" s="10" t="s">
        <v>242</v>
      </c>
      <c r="U1896" s="10" t="s">
        <v>242</v>
      </c>
      <c r="V1896" s="10" t="s">
        <v>241</v>
      </c>
      <c r="W1896" s="10" t="s">
        <v>242</v>
      </c>
      <c r="X1896" s="15">
        <f>IF(ISERROR(VLOOKUP($A1896,'13. Updated Demand'!A:Z,15,FALSE)),0,VLOOKUP($A1896,'13. Updated Demand'!A:Z,15,FALSE))</f>
        <v>0</v>
      </c>
      <c r="Y1896" s="16">
        <f>IF(ISERROR(VLOOKUP($A1896,'13. Updated Demand'!A:Z,16,FALSE)),0,VLOOKUP($A1896,'13. Updated Demand'!A:Z,16,FALSE))</f>
        <v>0.13</v>
      </c>
      <c r="Z1896" s="16">
        <f>IF(ISERROR(VLOOKUP($A1896,'13. Updated Demand'!A:Z,17,FALSE)),0,VLOOKUP($A1896,'13. Updated Demand'!A:Z,17,FALSE))</f>
        <v>0</v>
      </c>
      <c r="AA1896" s="16">
        <f>IF(ISERROR(VLOOKUP($A1896,'13. Updated Demand'!A:Z,18,FALSE)),0,VLOOKUP($A1896,'13. Updated Demand'!A:Z,18,FALSE))</f>
        <v>0</v>
      </c>
      <c r="AB1896" s="16">
        <f>IF(ISERROR(VLOOKUP($A1896,'13. Updated Demand'!A:Z,19,FALSE)),0,VLOOKUP($A1896,'13. Updated Demand'!A:Z,19,FALSE))</f>
        <v>0</v>
      </c>
      <c r="AC1896" s="16">
        <f>IF(ISERROR(VLOOKUP($A1896,'13. Updated Demand'!A:Z,20,FALSE)),0,VLOOKUP($A1896,'13. Updated Demand'!A:Z,20,FALSE))</f>
        <v>0</v>
      </c>
      <c r="AD1896" s="16">
        <f>IF(ISERROR(VLOOKUP($A1896,'13. Updated Demand'!A:Z,21,FALSE)),0,VLOOKUP($A1896,'13. Updated Demand'!A:Z,21,FALSE))</f>
        <v>0</v>
      </c>
      <c r="AE1896" s="16">
        <f>IF(ISERROR(VLOOKUP($A1896,'13. Updated Demand'!A:Z,22,FALSE)),0,VLOOKUP($A1896,'13. Updated Demand'!A:Z,22,FALSE))</f>
        <v>0</v>
      </c>
      <c r="AF1896" s="16">
        <f>IF(ISERROR(VLOOKUP($A1896,'13. Updated Demand'!A:Z,23,FALSE)),0,VLOOKUP($A1896,'13. Updated Demand'!A:Z,23,FALSE))</f>
        <v>0</v>
      </c>
      <c r="AG1896" s="16">
        <f>IF(ISERROR(VLOOKUP($A1896,'13. Updated Demand'!A:Z,24,FALSE)),0,VLOOKUP($A1896,'13. Updated Demand'!A:Z,24,FALSE))</f>
        <v>0</v>
      </c>
      <c r="AH1896" s="16">
        <f>IF(ISERROR(VLOOKUP($A1896,'13. Updated Demand'!A:Z,25,FALSE)),0,VLOOKUP($A1896,'13. Updated Demand'!A:Z,25,FALSE))</f>
        <v>0.1</v>
      </c>
      <c r="AI1896" s="16">
        <f>IF(ISERROR(VLOOKUP($A1896,'13. Updated Demand'!A:Z,26,FALSE)),0,VLOOKUP($A1896,'13. Updated Demand'!A:Z,26,FALSE))</f>
        <v>0.66</v>
      </c>
      <c r="AJ1896" s="16">
        <f t="shared" si="361"/>
        <v>0.89</v>
      </c>
      <c r="AK1896" s="19">
        <v>0</v>
      </c>
      <c r="AL1896" s="16">
        <f t="shared" si="359"/>
        <v>0</v>
      </c>
      <c r="AM1896" s="26">
        <v>0.5</v>
      </c>
      <c r="AN1896" s="19">
        <v>1.8</v>
      </c>
      <c r="AO1896" s="19" t="s">
        <v>1758</v>
      </c>
      <c r="AP1896" s="19">
        <v>0</v>
      </c>
      <c r="AQ1896" s="19" t="s">
        <v>307</v>
      </c>
      <c r="AR1896" s="9" t="s">
        <v>311</v>
      </c>
      <c r="AS1896" s="12">
        <v>0</v>
      </c>
      <c r="AT1896" s="19">
        <v>38.634300000000003</v>
      </c>
      <c r="AU1896" s="19">
        <v>-122.6592</v>
      </c>
      <c r="AV1896" s="19" t="s">
        <v>385</v>
      </c>
    </row>
    <row r="1897" spans="1:48" x14ac:dyDescent="0.25">
      <c r="A1897" s="18" t="s">
        <v>2309</v>
      </c>
      <c r="B1897" s="10">
        <v>10000000</v>
      </c>
      <c r="C1897" s="9">
        <v>12</v>
      </c>
      <c r="D1897" s="8" t="str">
        <f t="shared" si="350"/>
        <v>N</v>
      </c>
      <c r="E1897" s="8" t="str">
        <f t="shared" si="351"/>
        <v>Y</v>
      </c>
      <c r="F1897" s="8" t="str">
        <f t="shared" si="352"/>
        <v>Y</v>
      </c>
      <c r="G1897" s="8" t="str">
        <f t="shared" si="353"/>
        <v>Y</v>
      </c>
      <c r="H1897" s="8" t="str">
        <f t="shared" si="354"/>
        <v>Upper</v>
      </c>
      <c r="I1897" s="8" t="str">
        <f t="shared" si="355"/>
        <v>West Fork and Below Lake</v>
      </c>
      <c r="J1897" s="8" t="str">
        <f t="shared" si="356"/>
        <v>Sonoma (d/s of Clov. Gage)</v>
      </c>
      <c r="K1897" s="8" t="str">
        <f t="shared" si="357"/>
        <v>Riparian</v>
      </c>
      <c r="L1897" s="8">
        <f t="shared" si="358"/>
        <v>1000</v>
      </c>
      <c r="M1897" s="8" t="str">
        <f t="shared" si="360"/>
        <v>-</v>
      </c>
      <c r="N1897" s="10" t="s">
        <v>242</v>
      </c>
      <c r="O1897" s="10" t="s">
        <v>241</v>
      </c>
      <c r="P1897" s="10" t="s">
        <v>242</v>
      </c>
      <c r="Q1897" s="10" t="s">
        <v>242</v>
      </c>
      <c r="R1897" s="10" t="s">
        <v>242</v>
      </c>
      <c r="S1897" s="10" t="s">
        <v>241</v>
      </c>
      <c r="T1897" s="10" t="s">
        <v>242</v>
      </c>
      <c r="U1897" s="10" t="s">
        <v>242</v>
      </c>
      <c r="V1897" s="10" t="s">
        <v>242</v>
      </c>
      <c r="W1897" s="10" t="s">
        <v>242</v>
      </c>
      <c r="X1897" s="15">
        <f>IF(ISERROR(VLOOKUP($A1897,'13. Updated Demand'!A:Z,15,FALSE)),0,VLOOKUP($A1897,'13. Updated Demand'!A:Z,15,FALSE))</f>
        <v>8.9600000000000009</v>
      </c>
      <c r="Y1897" s="16">
        <f>IF(ISERROR(VLOOKUP($A1897,'13. Updated Demand'!A:Z,16,FALSE)),0,VLOOKUP($A1897,'13. Updated Demand'!A:Z,16,FALSE))</f>
        <v>1.06</v>
      </c>
      <c r="Z1897" s="16">
        <f>IF(ISERROR(VLOOKUP($A1897,'13. Updated Demand'!A:Z,17,FALSE)),0,VLOOKUP($A1897,'13. Updated Demand'!A:Z,17,FALSE))</f>
        <v>1</v>
      </c>
      <c r="AA1897" s="16">
        <f>IF(ISERROR(VLOOKUP($A1897,'13. Updated Demand'!A:Z,18,FALSE)),0,VLOOKUP($A1897,'13. Updated Demand'!A:Z,18,FALSE))</f>
        <v>0.16</v>
      </c>
      <c r="AB1897" s="16">
        <f>IF(ISERROR(VLOOKUP($A1897,'13. Updated Demand'!A:Z,19,FALSE)),0,VLOOKUP($A1897,'13. Updated Demand'!A:Z,19,FALSE))</f>
        <v>0.73</v>
      </c>
      <c r="AC1897" s="16">
        <f>IF(ISERROR(VLOOKUP($A1897,'13. Updated Demand'!A:Z,20,FALSE)),0,VLOOKUP($A1897,'13. Updated Demand'!A:Z,20,FALSE))</f>
        <v>0</v>
      </c>
      <c r="AD1897" s="16">
        <f>IF(ISERROR(VLOOKUP($A1897,'13. Updated Demand'!A:Z,21,FALSE)),0,VLOOKUP($A1897,'13. Updated Demand'!A:Z,21,FALSE))</f>
        <v>0</v>
      </c>
      <c r="AE1897" s="16">
        <f>IF(ISERROR(VLOOKUP($A1897,'13. Updated Demand'!A:Z,22,FALSE)),0,VLOOKUP($A1897,'13. Updated Demand'!A:Z,22,FALSE))</f>
        <v>0</v>
      </c>
      <c r="AF1897" s="16">
        <f>IF(ISERROR(VLOOKUP($A1897,'13. Updated Demand'!A:Z,23,FALSE)),0,VLOOKUP($A1897,'13. Updated Demand'!A:Z,23,FALSE))</f>
        <v>0.5</v>
      </c>
      <c r="AG1897" s="16">
        <f>IF(ISERROR(VLOOKUP($A1897,'13. Updated Demand'!A:Z,24,FALSE)),0,VLOOKUP($A1897,'13. Updated Demand'!A:Z,24,FALSE))</f>
        <v>0</v>
      </c>
      <c r="AH1897" s="16">
        <f>IF(ISERROR(VLOOKUP($A1897,'13. Updated Demand'!A:Z,25,FALSE)),0,VLOOKUP($A1897,'13. Updated Demand'!A:Z,25,FALSE))</f>
        <v>1.33</v>
      </c>
      <c r="AI1897" s="16">
        <f>IF(ISERROR(VLOOKUP($A1897,'13. Updated Demand'!A:Z,26,FALSE)),0,VLOOKUP($A1897,'13. Updated Demand'!A:Z,26,FALSE))</f>
        <v>8.9</v>
      </c>
      <c r="AJ1897" s="16">
        <f t="shared" si="361"/>
        <v>22.64</v>
      </c>
      <c r="AK1897" s="19">
        <v>1.233333333</v>
      </c>
      <c r="AL1897" s="16">
        <f t="shared" si="359"/>
        <v>4.0908261756921653E-3</v>
      </c>
      <c r="AM1897" s="26">
        <v>0.27846027846437343</v>
      </c>
      <c r="AN1897" s="19">
        <v>81.400000000000006</v>
      </c>
      <c r="AO1897" s="19" t="s">
        <v>1758</v>
      </c>
      <c r="AP1897" s="19">
        <v>0</v>
      </c>
      <c r="AQ1897" s="19" t="s">
        <v>307</v>
      </c>
      <c r="AR1897" s="9" t="s">
        <v>311</v>
      </c>
      <c r="AS1897" s="12">
        <v>0</v>
      </c>
      <c r="AT1897" s="19">
        <v>38.632300000000001</v>
      </c>
      <c r="AU1897" s="19">
        <v>-122.6613</v>
      </c>
      <c r="AV1897" s="19" t="s">
        <v>385</v>
      </c>
    </row>
    <row r="1898" spans="1:48" x14ac:dyDescent="0.25">
      <c r="A1898" s="18" t="s">
        <v>2310</v>
      </c>
      <c r="B1898" s="10">
        <v>10000000</v>
      </c>
      <c r="C1898" s="9">
        <v>12</v>
      </c>
      <c r="D1898" s="8" t="str">
        <f t="shared" si="350"/>
        <v>N</v>
      </c>
      <c r="E1898" s="8" t="str">
        <f t="shared" si="351"/>
        <v>Y</v>
      </c>
      <c r="F1898" s="8" t="str">
        <f t="shared" si="352"/>
        <v>Y</v>
      </c>
      <c r="G1898" s="8" t="str">
        <f t="shared" si="353"/>
        <v>Y</v>
      </c>
      <c r="H1898" s="8" t="str">
        <f t="shared" si="354"/>
        <v>Upper</v>
      </c>
      <c r="I1898" s="8" t="str">
        <f t="shared" si="355"/>
        <v>West Fork and Below Lake</v>
      </c>
      <c r="J1898" s="8" t="str">
        <f t="shared" si="356"/>
        <v>Sonoma (d/s of Clov. Gage)</v>
      </c>
      <c r="K1898" s="8" t="str">
        <f t="shared" si="357"/>
        <v>Riparian</v>
      </c>
      <c r="L1898" s="8">
        <f t="shared" si="358"/>
        <v>1000</v>
      </c>
      <c r="M1898" s="8" t="str">
        <f t="shared" si="360"/>
        <v>-</v>
      </c>
      <c r="N1898" s="10" t="s">
        <v>242</v>
      </c>
      <c r="O1898" s="10" t="s">
        <v>241</v>
      </c>
      <c r="P1898" s="10" t="s">
        <v>242</v>
      </c>
      <c r="Q1898" s="10" t="s">
        <v>242</v>
      </c>
      <c r="R1898" s="10" t="s">
        <v>242</v>
      </c>
      <c r="S1898" s="10" t="s">
        <v>241</v>
      </c>
      <c r="T1898" s="10" t="s">
        <v>242</v>
      </c>
      <c r="U1898" s="10" t="s">
        <v>242</v>
      </c>
      <c r="V1898" s="10" t="s">
        <v>242</v>
      </c>
      <c r="W1898" s="10" t="s">
        <v>242</v>
      </c>
      <c r="X1898" s="15">
        <f>IF(ISERROR(VLOOKUP($A1898,'13. Updated Demand'!A:Z,15,FALSE)),0,VLOOKUP($A1898,'13. Updated Demand'!A:Z,15,FALSE))</f>
        <v>0.9</v>
      </c>
      <c r="Y1898" s="16">
        <f>IF(ISERROR(VLOOKUP($A1898,'13. Updated Demand'!A:Z,16,FALSE)),0,VLOOKUP($A1898,'13. Updated Demand'!A:Z,16,FALSE))</f>
        <v>0.9</v>
      </c>
      <c r="Z1898" s="16">
        <f>IF(ISERROR(VLOOKUP($A1898,'13. Updated Demand'!A:Z,17,FALSE)),0,VLOOKUP($A1898,'13. Updated Demand'!A:Z,17,FALSE))</f>
        <v>0.86</v>
      </c>
      <c r="AA1898" s="16">
        <f>IF(ISERROR(VLOOKUP($A1898,'13. Updated Demand'!A:Z,18,FALSE)),0,VLOOKUP($A1898,'13. Updated Demand'!A:Z,18,FALSE))</f>
        <v>0</v>
      </c>
      <c r="AB1898" s="16">
        <f>IF(ISERROR(VLOOKUP($A1898,'13. Updated Demand'!A:Z,19,FALSE)),0,VLOOKUP($A1898,'13. Updated Demand'!A:Z,19,FALSE))</f>
        <v>0</v>
      </c>
      <c r="AC1898" s="16">
        <f>IF(ISERROR(VLOOKUP($A1898,'13. Updated Demand'!A:Z,20,FALSE)),0,VLOOKUP($A1898,'13. Updated Demand'!A:Z,20,FALSE))</f>
        <v>0</v>
      </c>
      <c r="AD1898" s="16">
        <f>IF(ISERROR(VLOOKUP($A1898,'13. Updated Demand'!A:Z,21,FALSE)),0,VLOOKUP($A1898,'13. Updated Demand'!A:Z,21,FALSE))</f>
        <v>0</v>
      </c>
      <c r="AE1898" s="16">
        <f>IF(ISERROR(VLOOKUP($A1898,'13. Updated Demand'!A:Z,22,FALSE)),0,VLOOKUP($A1898,'13. Updated Demand'!A:Z,22,FALSE))</f>
        <v>0</v>
      </c>
      <c r="AF1898" s="16">
        <f>IF(ISERROR(VLOOKUP($A1898,'13. Updated Demand'!A:Z,23,FALSE)),0,VLOOKUP($A1898,'13. Updated Demand'!A:Z,23,FALSE))</f>
        <v>0.33</v>
      </c>
      <c r="AG1898" s="16">
        <f>IF(ISERROR(VLOOKUP($A1898,'13. Updated Demand'!A:Z,24,FALSE)),0,VLOOKUP($A1898,'13. Updated Demand'!A:Z,24,FALSE))</f>
        <v>0</v>
      </c>
      <c r="AH1898" s="16">
        <f>IF(ISERROR(VLOOKUP($A1898,'13. Updated Demand'!A:Z,25,FALSE)),0,VLOOKUP($A1898,'13. Updated Demand'!A:Z,25,FALSE))</f>
        <v>0.6</v>
      </c>
      <c r="AI1898" s="16">
        <f>IF(ISERROR(VLOOKUP($A1898,'13. Updated Demand'!A:Z,26,FALSE)),0,VLOOKUP($A1898,'13. Updated Demand'!A:Z,26,FALSE))</f>
        <v>6.2</v>
      </c>
      <c r="AJ1898" s="16">
        <f t="shared" si="361"/>
        <v>9.7900000000000009</v>
      </c>
      <c r="AK1898" s="19">
        <v>0.33333333300000001</v>
      </c>
      <c r="AL1898" s="16">
        <f t="shared" si="359"/>
        <v>1.1056286953262076E-3</v>
      </c>
      <c r="AM1898" s="26">
        <v>0.48039215686274517</v>
      </c>
      <c r="AN1898" s="19">
        <v>20.399999999999999</v>
      </c>
      <c r="AO1898" s="19" t="s">
        <v>1758</v>
      </c>
      <c r="AP1898" s="19">
        <v>0</v>
      </c>
      <c r="AQ1898" s="19" t="s">
        <v>307</v>
      </c>
      <c r="AR1898" s="9" t="s">
        <v>311</v>
      </c>
      <c r="AS1898" s="12">
        <v>0</v>
      </c>
      <c r="AT1898" s="19">
        <v>38.632899999999999</v>
      </c>
      <c r="AU1898" s="19">
        <v>-122.6627</v>
      </c>
      <c r="AV1898" s="19" t="s">
        <v>385</v>
      </c>
    </row>
    <row r="1899" spans="1:48" x14ac:dyDescent="0.25">
      <c r="A1899" s="18" t="s">
        <v>2311</v>
      </c>
      <c r="B1899" s="10">
        <v>10000000</v>
      </c>
      <c r="C1899" s="9">
        <v>23</v>
      </c>
      <c r="D1899" s="8" t="str">
        <f t="shared" si="350"/>
        <v>N</v>
      </c>
      <c r="E1899" s="8" t="str">
        <f t="shared" si="351"/>
        <v>N</v>
      </c>
      <c r="F1899" s="8" t="str">
        <f t="shared" si="352"/>
        <v>N</v>
      </c>
      <c r="G1899" s="8" t="str">
        <f t="shared" si="353"/>
        <v>N</v>
      </c>
      <c r="H1899" s="8" t="str">
        <f t="shared" si="354"/>
        <v>Lower</v>
      </c>
      <c r="I1899" s="8" t="str">
        <f t="shared" si="355"/>
        <v>Outside</v>
      </c>
      <c r="J1899" s="8" t="str">
        <f t="shared" si="356"/>
        <v>Outside</v>
      </c>
      <c r="K1899" s="8" t="str">
        <f t="shared" si="357"/>
        <v>Riparian</v>
      </c>
      <c r="L1899" s="8">
        <f t="shared" si="358"/>
        <v>1000</v>
      </c>
      <c r="M1899" s="8" t="str">
        <f t="shared" si="360"/>
        <v>-</v>
      </c>
      <c r="N1899" s="10" t="s">
        <v>242</v>
      </c>
      <c r="O1899" s="10" t="s">
        <v>242</v>
      </c>
      <c r="P1899" s="10" t="s">
        <v>242</v>
      </c>
      <c r="Q1899" s="10" t="s">
        <v>242</v>
      </c>
      <c r="R1899" s="10" t="s">
        <v>242</v>
      </c>
      <c r="S1899" s="10" t="s">
        <v>241</v>
      </c>
      <c r="T1899" s="10" t="s">
        <v>242</v>
      </c>
      <c r="U1899" s="10" t="s">
        <v>242</v>
      </c>
      <c r="V1899" s="10" t="s">
        <v>241</v>
      </c>
      <c r="W1899" s="10" t="s">
        <v>242</v>
      </c>
      <c r="X1899" s="15">
        <f>IF(ISERROR(VLOOKUP($A1899,'13. Updated Demand'!A:Z,15,FALSE)),0,VLOOKUP($A1899,'13. Updated Demand'!A:Z,15,FALSE))</f>
        <v>1</v>
      </c>
      <c r="Y1899" s="16">
        <f>IF(ISERROR(VLOOKUP($A1899,'13. Updated Demand'!A:Z,16,FALSE)),0,VLOOKUP($A1899,'13. Updated Demand'!A:Z,16,FALSE))</f>
        <v>0</v>
      </c>
      <c r="Z1899" s="16">
        <f>IF(ISERROR(VLOOKUP($A1899,'13. Updated Demand'!A:Z,17,FALSE)),0,VLOOKUP($A1899,'13. Updated Demand'!A:Z,17,FALSE))</f>
        <v>6.6666666999999999E-2</v>
      </c>
      <c r="AA1899" s="16">
        <f>IF(ISERROR(VLOOKUP($A1899,'13. Updated Demand'!A:Z,18,FALSE)),0,VLOOKUP($A1899,'13. Updated Demand'!A:Z,18,FALSE))</f>
        <v>0</v>
      </c>
      <c r="AB1899" s="16">
        <f>IF(ISERROR(VLOOKUP($A1899,'13. Updated Demand'!A:Z,19,FALSE)),0,VLOOKUP($A1899,'13. Updated Demand'!A:Z,19,FALSE))</f>
        <v>0</v>
      </c>
      <c r="AC1899" s="16">
        <f>IF(ISERROR(VLOOKUP($A1899,'13. Updated Demand'!A:Z,20,FALSE)),0,VLOOKUP($A1899,'13. Updated Demand'!A:Z,20,FALSE))</f>
        <v>0</v>
      </c>
      <c r="AD1899" s="16">
        <f>IF(ISERROR(VLOOKUP($A1899,'13. Updated Demand'!A:Z,21,FALSE)),0,VLOOKUP($A1899,'13. Updated Demand'!A:Z,21,FALSE))</f>
        <v>0</v>
      </c>
      <c r="AE1899" s="16">
        <f>IF(ISERROR(VLOOKUP($A1899,'13. Updated Demand'!A:Z,22,FALSE)),0,VLOOKUP($A1899,'13. Updated Demand'!A:Z,22,FALSE))</f>
        <v>0</v>
      </c>
      <c r="AF1899" s="16">
        <f>IF(ISERROR(VLOOKUP($A1899,'13. Updated Demand'!A:Z,23,FALSE)),0,VLOOKUP($A1899,'13. Updated Demand'!A:Z,23,FALSE))</f>
        <v>0</v>
      </c>
      <c r="AG1899" s="16">
        <f>IF(ISERROR(VLOOKUP($A1899,'13. Updated Demand'!A:Z,24,FALSE)),0,VLOOKUP($A1899,'13. Updated Demand'!A:Z,24,FALSE))</f>
        <v>0</v>
      </c>
      <c r="AH1899" s="16">
        <f>IF(ISERROR(VLOOKUP($A1899,'13. Updated Demand'!A:Z,25,FALSE)),0,VLOOKUP($A1899,'13. Updated Demand'!A:Z,25,FALSE))</f>
        <v>0.366666667</v>
      </c>
      <c r="AI1899" s="16">
        <f>IF(ISERROR(VLOOKUP($A1899,'13. Updated Demand'!A:Z,26,FALSE)),0,VLOOKUP($A1899,'13. Updated Demand'!A:Z,26,FALSE))</f>
        <v>0.46666666699999998</v>
      </c>
      <c r="AJ1899" s="16">
        <f t="shared" si="361"/>
        <v>1.900000001</v>
      </c>
      <c r="AK1899" s="19">
        <v>0</v>
      </c>
      <c r="AL1899" s="16">
        <f t="shared" si="359"/>
        <v>0</v>
      </c>
      <c r="AM1899" s="26">
        <v>0.27142857157142858</v>
      </c>
      <c r="AN1899" s="19">
        <v>7</v>
      </c>
      <c r="AO1899" s="19" t="s">
        <v>1758</v>
      </c>
      <c r="AP1899" s="19">
        <v>0</v>
      </c>
      <c r="AQ1899" s="19" t="s">
        <v>307</v>
      </c>
      <c r="AR1899" s="9" t="s">
        <v>391</v>
      </c>
      <c r="AS1899" s="12">
        <v>0</v>
      </c>
      <c r="AT1899" s="19">
        <v>38.580100000000002</v>
      </c>
      <c r="AU1899" s="19">
        <v>-122.7756</v>
      </c>
      <c r="AV1899" s="19" t="s">
        <v>385</v>
      </c>
    </row>
    <row r="1900" spans="1:48" x14ac:dyDescent="0.25">
      <c r="A1900" s="18" t="s">
        <v>2312</v>
      </c>
      <c r="B1900" s="10">
        <v>10000000</v>
      </c>
      <c r="C1900" s="9">
        <v>23</v>
      </c>
      <c r="D1900" s="8" t="str">
        <f t="shared" si="350"/>
        <v>N</v>
      </c>
      <c r="E1900" s="8" t="str">
        <f t="shared" si="351"/>
        <v>N</v>
      </c>
      <c r="F1900" s="8" t="str">
        <f t="shared" si="352"/>
        <v>N</v>
      </c>
      <c r="G1900" s="8" t="str">
        <f t="shared" si="353"/>
        <v>N</v>
      </c>
      <c r="H1900" s="8" t="str">
        <f t="shared" si="354"/>
        <v>Lower</v>
      </c>
      <c r="I1900" s="8" t="str">
        <f t="shared" si="355"/>
        <v>Outside</v>
      </c>
      <c r="J1900" s="8" t="str">
        <f t="shared" si="356"/>
        <v>Outside</v>
      </c>
      <c r="K1900" s="8" t="str">
        <f t="shared" si="357"/>
        <v>Riparian</v>
      </c>
      <c r="L1900" s="8">
        <f t="shared" si="358"/>
        <v>1000</v>
      </c>
      <c r="M1900" s="8" t="str">
        <f t="shared" si="360"/>
        <v>-</v>
      </c>
      <c r="N1900" s="10" t="s">
        <v>242</v>
      </c>
      <c r="O1900" s="10" t="s">
        <v>242</v>
      </c>
      <c r="P1900" s="10" t="s">
        <v>242</v>
      </c>
      <c r="Q1900" s="10" t="s">
        <v>242</v>
      </c>
      <c r="R1900" s="10" t="s">
        <v>242</v>
      </c>
      <c r="S1900" s="10" t="s">
        <v>241</v>
      </c>
      <c r="T1900" s="10" t="s">
        <v>242</v>
      </c>
      <c r="U1900" s="10" t="s">
        <v>242</v>
      </c>
      <c r="V1900" s="10" t="s">
        <v>241</v>
      </c>
      <c r="W1900" s="10" t="s">
        <v>242</v>
      </c>
      <c r="X1900" s="15">
        <f>IF(ISERROR(VLOOKUP($A1900,'13. Updated Demand'!A:Z,15,FALSE)),0,VLOOKUP($A1900,'13. Updated Demand'!A:Z,15,FALSE))</f>
        <v>3.3333333E-2</v>
      </c>
      <c r="Y1900" s="16">
        <f>IF(ISERROR(VLOOKUP($A1900,'13. Updated Demand'!A:Z,16,FALSE)),0,VLOOKUP($A1900,'13. Updated Demand'!A:Z,16,FALSE))</f>
        <v>0</v>
      </c>
      <c r="Z1900" s="16">
        <f>IF(ISERROR(VLOOKUP($A1900,'13. Updated Demand'!A:Z,17,FALSE)),0,VLOOKUP($A1900,'13. Updated Demand'!A:Z,17,FALSE))</f>
        <v>0</v>
      </c>
      <c r="AA1900" s="16">
        <f>IF(ISERROR(VLOOKUP($A1900,'13. Updated Demand'!A:Z,18,FALSE)),0,VLOOKUP($A1900,'13. Updated Demand'!A:Z,18,FALSE))</f>
        <v>0</v>
      </c>
      <c r="AB1900" s="16">
        <f>IF(ISERROR(VLOOKUP($A1900,'13. Updated Demand'!A:Z,19,FALSE)),0,VLOOKUP($A1900,'13. Updated Demand'!A:Z,19,FALSE))</f>
        <v>0</v>
      </c>
      <c r="AC1900" s="16">
        <f>IF(ISERROR(VLOOKUP($A1900,'13. Updated Demand'!A:Z,20,FALSE)),0,VLOOKUP($A1900,'13. Updated Demand'!A:Z,20,FALSE))</f>
        <v>0</v>
      </c>
      <c r="AD1900" s="16">
        <f>IF(ISERROR(VLOOKUP($A1900,'13. Updated Demand'!A:Z,21,FALSE)),0,VLOOKUP($A1900,'13. Updated Demand'!A:Z,21,FALSE))</f>
        <v>0</v>
      </c>
      <c r="AE1900" s="16">
        <f>IF(ISERROR(VLOOKUP($A1900,'13. Updated Demand'!A:Z,22,FALSE)),0,VLOOKUP($A1900,'13. Updated Demand'!A:Z,22,FALSE))</f>
        <v>0</v>
      </c>
      <c r="AF1900" s="16">
        <f>IF(ISERROR(VLOOKUP($A1900,'13. Updated Demand'!A:Z,23,FALSE)),0,VLOOKUP($A1900,'13. Updated Demand'!A:Z,23,FALSE))</f>
        <v>0</v>
      </c>
      <c r="AG1900" s="16">
        <f>IF(ISERROR(VLOOKUP($A1900,'13. Updated Demand'!A:Z,24,FALSE)),0,VLOOKUP($A1900,'13. Updated Demand'!A:Z,24,FALSE))</f>
        <v>0</v>
      </c>
      <c r="AH1900" s="16">
        <f>IF(ISERROR(VLOOKUP($A1900,'13. Updated Demand'!A:Z,25,FALSE)),0,VLOOKUP($A1900,'13. Updated Demand'!A:Z,25,FALSE))</f>
        <v>5.6666666999999997E-2</v>
      </c>
      <c r="AI1900" s="16">
        <f>IF(ISERROR(VLOOKUP($A1900,'13. Updated Demand'!A:Z,26,FALSE)),0,VLOOKUP($A1900,'13. Updated Demand'!A:Z,26,FALSE))</f>
        <v>6.3333333000000006E-2</v>
      </c>
      <c r="AJ1900" s="16">
        <f t="shared" si="361"/>
        <v>0.15333333300000002</v>
      </c>
      <c r="AK1900" s="19">
        <v>0</v>
      </c>
      <c r="AL1900" s="16">
        <f t="shared" si="359"/>
        <v>0</v>
      </c>
      <c r="AM1900" s="26">
        <v>3.0666666600000003E-2</v>
      </c>
      <c r="AN1900" s="19">
        <v>5</v>
      </c>
      <c r="AO1900" s="19" t="s">
        <v>1758</v>
      </c>
      <c r="AP1900" s="19">
        <v>0</v>
      </c>
      <c r="AQ1900" s="19" t="s">
        <v>307</v>
      </c>
      <c r="AR1900" s="9" t="s">
        <v>391</v>
      </c>
      <c r="AS1900" s="12">
        <v>0</v>
      </c>
      <c r="AT1900" s="19">
        <v>38.578299999999999</v>
      </c>
      <c r="AU1900" s="19">
        <v>-122.7747</v>
      </c>
      <c r="AV1900" s="19" t="s">
        <v>385</v>
      </c>
    </row>
    <row r="1901" spans="1:48" x14ac:dyDescent="0.25">
      <c r="A1901" s="18" t="s">
        <v>2313</v>
      </c>
      <c r="B1901" s="10">
        <v>10000000</v>
      </c>
      <c r="C1901" s="9">
        <v>5</v>
      </c>
      <c r="D1901" s="8" t="str">
        <f t="shared" si="350"/>
        <v>Y</v>
      </c>
      <c r="E1901" s="8" t="str">
        <f t="shared" si="351"/>
        <v>N</v>
      </c>
      <c r="F1901" s="8" t="str">
        <f t="shared" si="352"/>
        <v>Y</v>
      </c>
      <c r="G1901" s="8" t="str">
        <f t="shared" si="353"/>
        <v>Y</v>
      </c>
      <c r="H1901" s="8" t="str">
        <f t="shared" si="354"/>
        <v>Upper</v>
      </c>
      <c r="I1901" s="8" t="str">
        <f t="shared" si="355"/>
        <v>West Fork and Below Lake</v>
      </c>
      <c r="J1901" s="8" t="str">
        <f t="shared" si="356"/>
        <v>Mendocino (d/s of lake)</v>
      </c>
      <c r="K1901" s="8" t="str">
        <f t="shared" si="357"/>
        <v>Riparian</v>
      </c>
      <c r="L1901" s="8">
        <f t="shared" si="358"/>
        <v>1000</v>
      </c>
      <c r="M1901" s="8" t="str">
        <f t="shared" si="360"/>
        <v>-</v>
      </c>
      <c r="N1901" s="10" t="s">
        <v>242</v>
      </c>
      <c r="O1901" s="10" t="s">
        <v>241</v>
      </c>
      <c r="P1901" s="10" t="s">
        <v>242</v>
      </c>
      <c r="Q1901" s="10" t="s">
        <v>242</v>
      </c>
      <c r="R1901" s="10" t="s">
        <v>242</v>
      </c>
      <c r="S1901" s="10" t="s">
        <v>241</v>
      </c>
      <c r="T1901" s="10" t="s">
        <v>242</v>
      </c>
      <c r="U1901" s="10" t="s">
        <v>242</v>
      </c>
      <c r="V1901" s="10" t="s">
        <v>241</v>
      </c>
      <c r="W1901" s="10" t="s">
        <v>242</v>
      </c>
      <c r="X1901" s="15">
        <f>IF(ISERROR(VLOOKUP($A1901,'13. Updated Demand'!A:Z,15,FALSE)),0,VLOOKUP($A1901,'13. Updated Demand'!A:Z,15,FALSE))</f>
        <v>3.46</v>
      </c>
      <c r="Y1901" s="16">
        <f>IF(ISERROR(VLOOKUP($A1901,'13. Updated Demand'!A:Z,16,FALSE)),0,VLOOKUP($A1901,'13. Updated Demand'!A:Z,16,FALSE))</f>
        <v>0.8</v>
      </c>
      <c r="Z1901" s="16">
        <f>IF(ISERROR(VLOOKUP($A1901,'13. Updated Demand'!A:Z,17,FALSE)),0,VLOOKUP($A1901,'13. Updated Demand'!A:Z,17,FALSE))</f>
        <v>0</v>
      </c>
      <c r="AA1901" s="16">
        <f>IF(ISERROR(VLOOKUP($A1901,'13. Updated Demand'!A:Z,18,FALSE)),0,VLOOKUP($A1901,'13. Updated Demand'!A:Z,18,FALSE))</f>
        <v>0</v>
      </c>
      <c r="AB1901" s="16">
        <f>IF(ISERROR(VLOOKUP($A1901,'13. Updated Demand'!A:Z,19,FALSE)),0,VLOOKUP($A1901,'13. Updated Demand'!A:Z,19,FALSE))</f>
        <v>0</v>
      </c>
      <c r="AC1901" s="16">
        <f>IF(ISERROR(VLOOKUP($A1901,'13. Updated Demand'!A:Z,20,FALSE)),0,VLOOKUP($A1901,'13. Updated Demand'!A:Z,20,FALSE))</f>
        <v>0</v>
      </c>
      <c r="AD1901" s="16">
        <f>IF(ISERROR(VLOOKUP($A1901,'13. Updated Demand'!A:Z,21,FALSE)),0,VLOOKUP($A1901,'13. Updated Demand'!A:Z,21,FALSE))</f>
        <v>0</v>
      </c>
      <c r="AE1901" s="16">
        <f>IF(ISERROR(VLOOKUP($A1901,'13. Updated Demand'!A:Z,22,FALSE)),0,VLOOKUP($A1901,'13. Updated Demand'!A:Z,22,FALSE))</f>
        <v>0</v>
      </c>
      <c r="AF1901" s="16">
        <f>IF(ISERROR(VLOOKUP($A1901,'13. Updated Demand'!A:Z,23,FALSE)),0,VLOOKUP($A1901,'13. Updated Demand'!A:Z,23,FALSE))</f>
        <v>0</v>
      </c>
      <c r="AG1901" s="16">
        <f>IF(ISERROR(VLOOKUP($A1901,'13. Updated Demand'!A:Z,24,FALSE)),0,VLOOKUP($A1901,'13. Updated Demand'!A:Z,24,FALSE))</f>
        <v>0.16</v>
      </c>
      <c r="AH1901" s="16">
        <f>IF(ISERROR(VLOOKUP($A1901,'13. Updated Demand'!A:Z,25,FALSE)),0,VLOOKUP($A1901,'13. Updated Demand'!A:Z,25,FALSE))</f>
        <v>0.46</v>
      </c>
      <c r="AI1901" s="16">
        <f>IF(ISERROR(VLOOKUP($A1901,'13. Updated Demand'!A:Z,26,FALSE)),0,VLOOKUP($A1901,'13. Updated Demand'!A:Z,26,FALSE))</f>
        <v>2.5</v>
      </c>
      <c r="AJ1901" s="16">
        <f t="shared" si="361"/>
        <v>7.38</v>
      </c>
      <c r="AK1901" s="19">
        <v>0</v>
      </c>
      <c r="AL1901" s="16">
        <f t="shared" si="359"/>
        <v>0</v>
      </c>
      <c r="AM1901" s="26">
        <v>0.33636363640909095</v>
      </c>
      <c r="AN1901" s="19">
        <v>22</v>
      </c>
      <c r="AO1901" s="19" t="s">
        <v>1758</v>
      </c>
      <c r="AP1901" s="19">
        <v>0</v>
      </c>
      <c r="AQ1901" s="19" t="s">
        <v>307</v>
      </c>
      <c r="AR1901" s="9" t="s">
        <v>333</v>
      </c>
      <c r="AS1901" s="12">
        <v>0</v>
      </c>
      <c r="AT1901" s="19">
        <v>39.067799999999998</v>
      </c>
      <c r="AU1901" s="19">
        <v>-123.1962</v>
      </c>
      <c r="AV1901" s="19" t="s">
        <v>2314</v>
      </c>
    </row>
    <row r="1902" spans="1:48" x14ac:dyDescent="0.25">
      <c r="A1902" s="18" t="s">
        <v>2315</v>
      </c>
      <c r="B1902" s="10">
        <v>10000000</v>
      </c>
      <c r="C1902" s="9">
        <v>5</v>
      </c>
      <c r="D1902" s="8" t="str">
        <f t="shared" si="350"/>
        <v>Y</v>
      </c>
      <c r="E1902" s="8" t="str">
        <f t="shared" si="351"/>
        <v>N</v>
      </c>
      <c r="F1902" s="8" t="str">
        <f t="shared" si="352"/>
        <v>Y</v>
      </c>
      <c r="G1902" s="8" t="str">
        <f t="shared" si="353"/>
        <v>Y</v>
      </c>
      <c r="H1902" s="8" t="str">
        <f t="shared" si="354"/>
        <v>Upper</v>
      </c>
      <c r="I1902" s="8" t="str">
        <f t="shared" si="355"/>
        <v>West Fork and Below Lake</v>
      </c>
      <c r="J1902" s="8" t="str">
        <f t="shared" si="356"/>
        <v>Mendocino (d/s of lake)</v>
      </c>
      <c r="K1902" s="8" t="str">
        <f t="shared" si="357"/>
        <v>Riparian</v>
      </c>
      <c r="L1902" s="8">
        <f t="shared" si="358"/>
        <v>1000</v>
      </c>
      <c r="M1902" s="8" t="str">
        <f t="shared" si="360"/>
        <v>-</v>
      </c>
      <c r="N1902" s="10" t="s">
        <v>242</v>
      </c>
      <c r="O1902" s="10" t="s">
        <v>241</v>
      </c>
      <c r="P1902" s="10" t="s">
        <v>242</v>
      </c>
      <c r="Q1902" s="10" t="s">
        <v>242</v>
      </c>
      <c r="R1902" s="10" t="s">
        <v>242</v>
      </c>
      <c r="S1902" s="10" t="s">
        <v>241</v>
      </c>
      <c r="T1902" s="10" t="s">
        <v>242</v>
      </c>
      <c r="U1902" s="10" t="s">
        <v>242</v>
      </c>
      <c r="V1902" s="10" t="s">
        <v>241</v>
      </c>
      <c r="W1902" s="10" t="s">
        <v>242</v>
      </c>
      <c r="X1902" s="15">
        <f>IF(ISERROR(VLOOKUP($A1902,'13. Updated Demand'!A:Z,15,FALSE)),0,VLOOKUP($A1902,'13. Updated Demand'!A:Z,15,FALSE))</f>
        <v>0.03</v>
      </c>
      <c r="Y1902" s="16">
        <f>IF(ISERROR(VLOOKUP($A1902,'13. Updated Demand'!A:Z,16,FALSE)),0,VLOOKUP($A1902,'13. Updated Demand'!A:Z,16,FALSE))</f>
        <v>0.03</v>
      </c>
      <c r="Z1902" s="16">
        <f>IF(ISERROR(VLOOKUP($A1902,'13. Updated Demand'!A:Z,17,FALSE)),0,VLOOKUP($A1902,'13. Updated Demand'!A:Z,17,FALSE))</f>
        <v>0</v>
      </c>
      <c r="AA1902" s="16">
        <f>IF(ISERROR(VLOOKUP($A1902,'13. Updated Demand'!A:Z,18,FALSE)),0,VLOOKUP($A1902,'13. Updated Demand'!A:Z,18,FALSE))</f>
        <v>0</v>
      </c>
      <c r="AB1902" s="16">
        <f>IF(ISERROR(VLOOKUP($A1902,'13. Updated Demand'!A:Z,19,FALSE)),0,VLOOKUP($A1902,'13. Updated Demand'!A:Z,19,FALSE))</f>
        <v>0</v>
      </c>
      <c r="AC1902" s="16">
        <f>IF(ISERROR(VLOOKUP($A1902,'13. Updated Demand'!A:Z,20,FALSE)),0,VLOOKUP($A1902,'13. Updated Demand'!A:Z,20,FALSE))</f>
        <v>0</v>
      </c>
      <c r="AD1902" s="16">
        <f>IF(ISERROR(VLOOKUP($A1902,'13. Updated Demand'!A:Z,21,FALSE)),0,VLOOKUP($A1902,'13. Updated Demand'!A:Z,21,FALSE))</f>
        <v>0</v>
      </c>
      <c r="AE1902" s="16">
        <f>IF(ISERROR(VLOOKUP($A1902,'13. Updated Demand'!A:Z,22,FALSE)),0,VLOOKUP($A1902,'13. Updated Demand'!A:Z,22,FALSE))</f>
        <v>0</v>
      </c>
      <c r="AF1902" s="16">
        <f>IF(ISERROR(VLOOKUP($A1902,'13. Updated Demand'!A:Z,23,FALSE)),0,VLOOKUP($A1902,'13. Updated Demand'!A:Z,23,FALSE))</f>
        <v>0</v>
      </c>
      <c r="AG1902" s="16">
        <f>IF(ISERROR(VLOOKUP($A1902,'13. Updated Demand'!A:Z,24,FALSE)),0,VLOOKUP($A1902,'13. Updated Demand'!A:Z,24,FALSE))</f>
        <v>0</v>
      </c>
      <c r="AH1902" s="16">
        <f>IF(ISERROR(VLOOKUP($A1902,'13. Updated Demand'!A:Z,25,FALSE)),0,VLOOKUP($A1902,'13. Updated Demand'!A:Z,25,FALSE))</f>
        <v>0.8</v>
      </c>
      <c r="AI1902" s="16">
        <f>IF(ISERROR(VLOOKUP($A1902,'13. Updated Demand'!A:Z,26,FALSE)),0,VLOOKUP($A1902,'13. Updated Demand'!A:Z,26,FALSE))</f>
        <v>3.6</v>
      </c>
      <c r="AJ1902" s="16">
        <f t="shared" si="361"/>
        <v>4.46</v>
      </c>
      <c r="AK1902" s="19">
        <v>0</v>
      </c>
      <c r="AL1902" s="16">
        <f t="shared" si="359"/>
        <v>0</v>
      </c>
      <c r="AM1902" s="26">
        <v>0.49629629622222221</v>
      </c>
      <c r="AN1902" s="19">
        <v>9</v>
      </c>
      <c r="AO1902" s="19" t="s">
        <v>1758</v>
      </c>
      <c r="AP1902" s="19">
        <v>0</v>
      </c>
      <c r="AQ1902" s="19" t="s">
        <v>307</v>
      </c>
      <c r="AR1902" s="9" t="s">
        <v>333</v>
      </c>
      <c r="AS1902" s="12">
        <v>0</v>
      </c>
      <c r="AT1902" s="19">
        <v>39.066699999999997</v>
      </c>
      <c r="AU1902" s="19">
        <v>-123.1981</v>
      </c>
      <c r="AV1902" s="19" t="s">
        <v>2316</v>
      </c>
    </row>
    <row r="1903" spans="1:48" x14ac:dyDescent="0.25">
      <c r="A1903" s="18" t="s">
        <v>2317</v>
      </c>
      <c r="B1903" s="10">
        <v>10000000</v>
      </c>
      <c r="C1903" s="9">
        <v>5</v>
      </c>
      <c r="D1903" s="8" t="str">
        <f t="shared" si="350"/>
        <v>Y</v>
      </c>
      <c r="E1903" s="8" t="str">
        <f t="shared" si="351"/>
        <v>N</v>
      </c>
      <c r="F1903" s="8" t="str">
        <f t="shared" si="352"/>
        <v>Y</v>
      </c>
      <c r="G1903" s="8" t="str">
        <f t="shared" si="353"/>
        <v>Y</v>
      </c>
      <c r="H1903" s="8" t="str">
        <f t="shared" si="354"/>
        <v>Upper</v>
      </c>
      <c r="I1903" s="8" t="str">
        <f t="shared" si="355"/>
        <v>West Fork and Below Lake</v>
      </c>
      <c r="J1903" s="8" t="str">
        <f t="shared" si="356"/>
        <v>Mendocino (d/s of lake)</v>
      </c>
      <c r="K1903" s="8" t="str">
        <f t="shared" si="357"/>
        <v>Riparian</v>
      </c>
      <c r="L1903" s="8">
        <f t="shared" si="358"/>
        <v>1000</v>
      </c>
      <c r="M1903" s="8" t="str">
        <f t="shared" si="360"/>
        <v>-</v>
      </c>
      <c r="N1903" s="10" t="s">
        <v>242</v>
      </c>
      <c r="O1903" s="10" t="s">
        <v>241</v>
      </c>
      <c r="P1903" s="10" t="s">
        <v>242</v>
      </c>
      <c r="Q1903" s="10" t="s">
        <v>242</v>
      </c>
      <c r="R1903" s="10" t="s">
        <v>242</v>
      </c>
      <c r="S1903" s="10" t="s">
        <v>241</v>
      </c>
      <c r="T1903" s="10" t="s">
        <v>242</v>
      </c>
      <c r="U1903" s="10" t="s">
        <v>242</v>
      </c>
      <c r="V1903" s="10" t="s">
        <v>241</v>
      </c>
      <c r="W1903" s="10" t="s">
        <v>242</v>
      </c>
      <c r="X1903" s="15">
        <f>IF(ISERROR(VLOOKUP($A1903,'13. Updated Demand'!A:Z,15,FALSE)),0,VLOOKUP($A1903,'13. Updated Demand'!A:Z,15,FALSE))</f>
        <v>1.56</v>
      </c>
      <c r="Y1903" s="16">
        <f>IF(ISERROR(VLOOKUP($A1903,'13. Updated Demand'!A:Z,16,FALSE)),0,VLOOKUP($A1903,'13. Updated Demand'!A:Z,16,FALSE))</f>
        <v>0.86</v>
      </c>
      <c r="Z1903" s="16">
        <f>IF(ISERROR(VLOOKUP($A1903,'13. Updated Demand'!A:Z,17,FALSE)),0,VLOOKUP($A1903,'13. Updated Demand'!A:Z,17,FALSE))</f>
        <v>0</v>
      </c>
      <c r="AA1903" s="16">
        <f>IF(ISERROR(VLOOKUP($A1903,'13. Updated Demand'!A:Z,18,FALSE)),0,VLOOKUP($A1903,'13. Updated Demand'!A:Z,18,FALSE))</f>
        <v>0</v>
      </c>
      <c r="AB1903" s="16">
        <f>IF(ISERROR(VLOOKUP($A1903,'13. Updated Demand'!A:Z,19,FALSE)),0,VLOOKUP($A1903,'13. Updated Demand'!A:Z,19,FALSE))</f>
        <v>0</v>
      </c>
      <c r="AC1903" s="16">
        <f>IF(ISERROR(VLOOKUP($A1903,'13. Updated Demand'!A:Z,20,FALSE)),0,VLOOKUP($A1903,'13. Updated Demand'!A:Z,20,FALSE))</f>
        <v>0</v>
      </c>
      <c r="AD1903" s="16">
        <f>IF(ISERROR(VLOOKUP($A1903,'13. Updated Demand'!A:Z,21,FALSE)),0,VLOOKUP($A1903,'13. Updated Demand'!A:Z,21,FALSE))</f>
        <v>0</v>
      </c>
      <c r="AE1903" s="16">
        <f>IF(ISERROR(VLOOKUP($A1903,'13. Updated Demand'!A:Z,22,FALSE)),0,VLOOKUP($A1903,'13. Updated Demand'!A:Z,22,FALSE))</f>
        <v>0</v>
      </c>
      <c r="AF1903" s="16">
        <f>IF(ISERROR(VLOOKUP($A1903,'13. Updated Demand'!A:Z,23,FALSE)),0,VLOOKUP($A1903,'13. Updated Demand'!A:Z,23,FALSE))</f>
        <v>0</v>
      </c>
      <c r="AG1903" s="16">
        <f>IF(ISERROR(VLOOKUP($A1903,'13. Updated Demand'!A:Z,24,FALSE)),0,VLOOKUP($A1903,'13. Updated Demand'!A:Z,24,FALSE))</f>
        <v>0</v>
      </c>
      <c r="AH1903" s="16">
        <f>IF(ISERROR(VLOOKUP($A1903,'13. Updated Demand'!A:Z,25,FALSE)),0,VLOOKUP($A1903,'13. Updated Demand'!A:Z,25,FALSE))</f>
        <v>0.83</v>
      </c>
      <c r="AI1903" s="16">
        <f>IF(ISERROR(VLOOKUP($A1903,'13. Updated Demand'!A:Z,26,FALSE)),0,VLOOKUP($A1903,'13. Updated Demand'!A:Z,26,FALSE))</f>
        <v>2.46</v>
      </c>
      <c r="AJ1903" s="16">
        <f t="shared" si="361"/>
        <v>5.71</v>
      </c>
      <c r="AK1903" s="19">
        <v>0</v>
      </c>
      <c r="AL1903" s="16">
        <f t="shared" si="359"/>
        <v>0</v>
      </c>
      <c r="AM1903" s="26">
        <v>0.47777777783333336</v>
      </c>
      <c r="AN1903" s="19">
        <v>12</v>
      </c>
      <c r="AO1903" s="19" t="s">
        <v>1758</v>
      </c>
      <c r="AP1903" s="19">
        <v>0</v>
      </c>
      <c r="AQ1903" s="19" t="s">
        <v>307</v>
      </c>
      <c r="AR1903" s="9" t="s">
        <v>333</v>
      </c>
      <c r="AS1903" s="12">
        <v>0</v>
      </c>
      <c r="AT1903" s="19">
        <v>39.0625</v>
      </c>
      <c r="AU1903" s="19">
        <v>-123.20099999999999</v>
      </c>
      <c r="AV1903" s="19" t="s">
        <v>2318</v>
      </c>
    </row>
    <row r="1904" spans="1:48" x14ac:dyDescent="0.25">
      <c r="A1904" s="18" t="s">
        <v>2319</v>
      </c>
      <c r="B1904" s="10">
        <v>10000000</v>
      </c>
      <c r="C1904" s="9">
        <v>12</v>
      </c>
      <c r="D1904" s="8" t="str">
        <f t="shared" si="350"/>
        <v>N</v>
      </c>
      <c r="E1904" s="8" t="str">
        <f t="shared" si="351"/>
        <v>Y</v>
      </c>
      <c r="F1904" s="8" t="str">
        <f t="shared" si="352"/>
        <v>Y</v>
      </c>
      <c r="G1904" s="8" t="str">
        <f t="shared" si="353"/>
        <v>Y</v>
      </c>
      <c r="H1904" s="8" t="str">
        <f t="shared" si="354"/>
        <v>Upper</v>
      </c>
      <c r="I1904" s="8" t="str">
        <f t="shared" si="355"/>
        <v>West Fork and Below Lake</v>
      </c>
      <c r="J1904" s="8" t="str">
        <f t="shared" si="356"/>
        <v>Sonoma (d/s of Clov. Gage)</v>
      </c>
      <c r="K1904" s="8" t="str">
        <f t="shared" si="357"/>
        <v>Riparian</v>
      </c>
      <c r="L1904" s="8">
        <f t="shared" si="358"/>
        <v>1000</v>
      </c>
      <c r="M1904" s="8" t="str">
        <f t="shared" si="360"/>
        <v>-</v>
      </c>
      <c r="N1904" s="10" t="s">
        <v>242</v>
      </c>
      <c r="O1904" s="10" t="s">
        <v>241</v>
      </c>
      <c r="P1904" s="10" t="s">
        <v>242</v>
      </c>
      <c r="Q1904" s="10" t="s">
        <v>242</v>
      </c>
      <c r="R1904" s="10" t="s">
        <v>242</v>
      </c>
      <c r="S1904" s="10" t="s">
        <v>241</v>
      </c>
      <c r="T1904" s="10" t="s">
        <v>242</v>
      </c>
      <c r="U1904" s="10" t="s">
        <v>242</v>
      </c>
      <c r="V1904" s="10" t="s">
        <v>241</v>
      </c>
      <c r="W1904" s="10" t="s">
        <v>242</v>
      </c>
      <c r="X1904" s="15">
        <f>IF(ISERROR(VLOOKUP($A1904,'13. Updated Demand'!A:Z,15,FALSE)),0,VLOOKUP($A1904,'13. Updated Demand'!A:Z,15,FALSE))</f>
        <v>0</v>
      </c>
      <c r="Y1904" s="16">
        <f>IF(ISERROR(VLOOKUP($A1904,'13. Updated Demand'!A:Z,16,FALSE)),0,VLOOKUP($A1904,'13. Updated Demand'!A:Z,16,FALSE))</f>
        <v>1</v>
      </c>
      <c r="Z1904" s="16">
        <f>IF(ISERROR(VLOOKUP($A1904,'13. Updated Demand'!A:Z,17,FALSE)),0,VLOOKUP($A1904,'13. Updated Demand'!A:Z,17,FALSE))</f>
        <v>0</v>
      </c>
      <c r="AA1904" s="16">
        <f>IF(ISERROR(VLOOKUP($A1904,'13. Updated Demand'!A:Z,18,FALSE)),0,VLOOKUP($A1904,'13. Updated Demand'!A:Z,18,FALSE))</f>
        <v>0.2</v>
      </c>
      <c r="AB1904" s="16">
        <f>IF(ISERROR(VLOOKUP($A1904,'13. Updated Demand'!A:Z,19,FALSE)),0,VLOOKUP($A1904,'13. Updated Demand'!A:Z,19,FALSE))</f>
        <v>0</v>
      </c>
      <c r="AC1904" s="16">
        <f>IF(ISERROR(VLOOKUP($A1904,'13. Updated Demand'!A:Z,20,FALSE)),0,VLOOKUP($A1904,'13. Updated Demand'!A:Z,20,FALSE))</f>
        <v>0</v>
      </c>
      <c r="AD1904" s="16">
        <f>IF(ISERROR(VLOOKUP($A1904,'13. Updated Demand'!A:Z,21,FALSE)),0,VLOOKUP($A1904,'13. Updated Demand'!A:Z,21,FALSE))</f>
        <v>0</v>
      </c>
      <c r="AE1904" s="16">
        <f>IF(ISERROR(VLOOKUP($A1904,'13. Updated Demand'!A:Z,22,FALSE)),0,VLOOKUP($A1904,'13. Updated Demand'!A:Z,22,FALSE))</f>
        <v>0</v>
      </c>
      <c r="AF1904" s="16">
        <f>IF(ISERROR(VLOOKUP($A1904,'13. Updated Demand'!A:Z,23,FALSE)),0,VLOOKUP($A1904,'13. Updated Demand'!A:Z,23,FALSE))</f>
        <v>0</v>
      </c>
      <c r="AG1904" s="16">
        <f>IF(ISERROR(VLOOKUP($A1904,'13. Updated Demand'!A:Z,24,FALSE)),0,VLOOKUP($A1904,'13. Updated Demand'!A:Z,24,FALSE))</f>
        <v>0</v>
      </c>
      <c r="AH1904" s="16">
        <f>IF(ISERROR(VLOOKUP($A1904,'13. Updated Demand'!A:Z,25,FALSE)),0,VLOOKUP($A1904,'13. Updated Demand'!A:Z,25,FALSE))</f>
        <v>0.6</v>
      </c>
      <c r="AI1904" s="16">
        <f>IF(ISERROR(VLOOKUP($A1904,'13. Updated Demand'!A:Z,26,FALSE)),0,VLOOKUP($A1904,'13. Updated Demand'!A:Z,26,FALSE))</f>
        <v>0.36</v>
      </c>
      <c r="AJ1904" s="16">
        <f t="shared" si="361"/>
        <v>2.1599999999999997</v>
      </c>
      <c r="AK1904" s="19">
        <v>0</v>
      </c>
      <c r="AL1904" s="16">
        <f t="shared" si="359"/>
        <v>0</v>
      </c>
      <c r="AM1904" s="26">
        <v>0.18207282915966386</v>
      </c>
      <c r="AN1904" s="19">
        <v>11.9</v>
      </c>
      <c r="AO1904" s="19" t="s">
        <v>1758</v>
      </c>
      <c r="AP1904" s="19">
        <v>0</v>
      </c>
      <c r="AQ1904" s="19" t="s">
        <v>307</v>
      </c>
      <c r="AR1904" s="9" t="s">
        <v>311</v>
      </c>
      <c r="AS1904" s="12">
        <v>3.4039024194010059E-4</v>
      </c>
      <c r="AT1904" s="19">
        <v>38.629800000000003</v>
      </c>
      <c r="AU1904" s="19">
        <v>-122.6662</v>
      </c>
      <c r="AV1904" s="19" t="s">
        <v>385</v>
      </c>
    </row>
    <row r="1905" spans="1:48" x14ac:dyDescent="0.25">
      <c r="A1905" s="18" t="s">
        <v>2320</v>
      </c>
      <c r="B1905" s="10">
        <v>10000000</v>
      </c>
      <c r="C1905" s="9">
        <v>6</v>
      </c>
      <c r="D1905" s="8" t="str">
        <f t="shared" si="350"/>
        <v>Y</v>
      </c>
      <c r="E1905" s="8" t="str">
        <f t="shared" si="351"/>
        <v>N</v>
      </c>
      <c r="F1905" s="8" t="str">
        <f t="shared" si="352"/>
        <v>Y</v>
      </c>
      <c r="G1905" s="8" t="str">
        <f t="shared" si="353"/>
        <v>Y</v>
      </c>
      <c r="H1905" s="8" t="str">
        <f t="shared" si="354"/>
        <v>Upper</v>
      </c>
      <c r="I1905" s="8" t="str">
        <f t="shared" si="355"/>
        <v>West Fork and Below Lake</v>
      </c>
      <c r="J1905" s="8" t="str">
        <f t="shared" si="356"/>
        <v>Mendocino (d/s of lake)</v>
      </c>
      <c r="K1905" s="8" t="str">
        <f t="shared" si="357"/>
        <v>Riparian</v>
      </c>
      <c r="L1905" s="8">
        <f t="shared" si="358"/>
        <v>1000</v>
      </c>
      <c r="M1905" s="8" t="str">
        <f t="shared" si="360"/>
        <v>-</v>
      </c>
      <c r="N1905" s="10" t="s">
        <v>242</v>
      </c>
      <c r="O1905" s="10" t="s">
        <v>241</v>
      </c>
      <c r="P1905" s="10" t="s">
        <v>242</v>
      </c>
      <c r="Q1905" s="10" t="s">
        <v>242</v>
      </c>
      <c r="R1905" s="10" t="s">
        <v>242</v>
      </c>
      <c r="S1905" s="10" t="s">
        <v>241</v>
      </c>
      <c r="T1905" s="10" t="s">
        <v>242</v>
      </c>
      <c r="U1905" s="10" t="s">
        <v>242</v>
      </c>
      <c r="V1905" s="10" t="s">
        <v>242</v>
      </c>
      <c r="W1905" s="10" t="s">
        <v>242</v>
      </c>
      <c r="X1905" s="15">
        <f>IF(ISERROR(VLOOKUP($A1905,'13. Updated Demand'!A:Z,15,FALSE)),0,VLOOKUP($A1905,'13. Updated Demand'!A:Z,15,FALSE))</f>
        <v>5.93</v>
      </c>
      <c r="Y1905" s="16">
        <f>IF(ISERROR(VLOOKUP($A1905,'13. Updated Demand'!A:Z,16,FALSE)),0,VLOOKUP($A1905,'13. Updated Demand'!A:Z,16,FALSE))</f>
        <v>0</v>
      </c>
      <c r="Z1905" s="16">
        <f>IF(ISERROR(VLOOKUP($A1905,'13. Updated Demand'!A:Z,17,FALSE)),0,VLOOKUP($A1905,'13. Updated Demand'!A:Z,17,FALSE))</f>
        <v>0</v>
      </c>
      <c r="AA1905" s="16">
        <f>IF(ISERROR(VLOOKUP($A1905,'13. Updated Demand'!A:Z,18,FALSE)),0,VLOOKUP($A1905,'13. Updated Demand'!A:Z,18,FALSE))</f>
        <v>0</v>
      </c>
      <c r="AB1905" s="16">
        <f>IF(ISERROR(VLOOKUP($A1905,'13. Updated Demand'!A:Z,19,FALSE)),0,VLOOKUP($A1905,'13. Updated Demand'!A:Z,19,FALSE))</f>
        <v>0.13</v>
      </c>
      <c r="AC1905" s="16">
        <f>IF(ISERROR(VLOOKUP($A1905,'13. Updated Demand'!A:Z,20,FALSE)),0,VLOOKUP($A1905,'13. Updated Demand'!A:Z,20,FALSE))</f>
        <v>0</v>
      </c>
      <c r="AD1905" s="16">
        <f>IF(ISERROR(VLOOKUP($A1905,'13. Updated Demand'!A:Z,21,FALSE)),0,VLOOKUP($A1905,'13. Updated Demand'!A:Z,21,FALSE))</f>
        <v>0</v>
      </c>
      <c r="AE1905" s="16">
        <f>IF(ISERROR(VLOOKUP($A1905,'13. Updated Demand'!A:Z,22,FALSE)),0,VLOOKUP($A1905,'13. Updated Demand'!A:Z,22,FALSE))</f>
        <v>0</v>
      </c>
      <c r="AF1905" s="16">
        <f>IF(ISERROR(VLOOKUP($A1905,'13. Updated Demand'!A:Z,23,FALSE)),0,VLOOKUP($A1905,'13. Updated Demand'!A:Z,23,FALSE))</f>
        <v>0</v>
      </c>
      <c r="AG1905" s="16">
        <f>IF(ISERROR(VLOOKUP($A1905,'13. Updated Demand'!A:Z,24,FALSE)),0,VLOOKUP($A1905,'13. Updated Demand'!A:Z,24,FALSE))</f>
        <v>0.16</v>
      </c>
      <c r="AH1905" s="16">
        <f>IF(ISERROR(VLOOKUP($A1905,'13. Updated Demand'!A:Z,25,FALSE)),0,VLOOKUP($A1905,'13. Updated Demand'!A:Z,25,FALSE))</f>
        <v>0.36</v>
      </c>
      <c r="AI1905" s="16">
        <f>IF(ISERROR(VLOOKUP($A1905,'13. Updated Demand'!A:Z,26,FALSE)),0,VLOOKUP($A1905,'13. Updated Demand'!A:Z,26,FALSE))</f>
        <v>5.53</v>
      </c>
      <c r="AJ1905" s="16">
        <f t="shared" si="361"/>
        <v>12.11</v>
      </c>
      <c r="AK1905" s="19">
        <v>0.133333333</v>
      </c>
      <c r="AL1905" s="16">
        <f t="shared" si="359"/>
        <v>4.4225147746710584E-4</v>
      </c>
      <c r="AM1905" s="26">
        <v>0.70134874757225429</v>
      </c>
      <c r="AN1905" s="19">
        <v>17.3</v>
      </c>
      <c r="AO1905" s="19" t="s">
        <v>1758</v>
      </c>
      <c r="AP1905" s="19">
        <v>0</v>
      </c>
      <c r="AQ1905" s="19" t="s">
        <v>307</v>
      </c>
      <c r="AR1905" s="9" t="s">
        <v>319</v>
      </c>
      <c r="AS1905" s="12">
        <v>0</v>
      </c>
      <c r="AT1905" s="19">
        <v>38.961500000000001</v>
      </c>
      <c r="AU1905" s="19">
        <v>-123.0842</v>
      </c>
      <c r="AV1905" s="19" t="s">
        <v>385</v>
      </c>
    </row>
    <row r="1906" spans="1:48" x14ac:dyDescent="0.25">
      <c r="A1906" s="18" t="s">
        <v>2321</v>
      </c>
      <c r="B1906" s="10">
        <v>10000000</v>
      </c>
      <c r="C1906" s="9">
        <v>6</v>
      </c>
      <c r="D1906" s="8" t="str">
        <f t="shared" si="350"/>
        <v>Y</v>
      </c>
      <c r="E1906" s="8" t="str">
        <f t="shared" si="351"/>
        <v>N</v>
      </c>
      <c r="F1906" s="8" t="str">
        <f t="shared" si="352"/>
        <v>Y</v>
      </c>
      <c r="G1906" s="8" t="str">
        <f t="shared" si="353"/>
        <v>Y</v>
      </c>
      <c r="H1906" s="8" t="str">
        <f t="shared" si="354"/>
        <v>Upper</v>
      </c>
      <c r="I1906" s="8" t="str">
        <f t="shared" si="355"/>
        <v>West Fork and Below Lake</v>
      </c>
      <c r="J1906" s="8" t="str">
        <f t="shared" si="356"/>
        <v>Mendocino (d/s of lake)</v>
      </c>
      <c r="K1906" s="8" t="str">
        <f t="shared" si="357"/>
        <v>Riparian</v>
      </c>
      <c r="L1906" s="8">
        <f t="shared" si="358"/>
        <v>1000</v>
      </c>
      <c r="M1906" s="8" t="str">
        <f t="shared" si="360"/>
        <v>-</v>
      </c>
      <c r="N1906" s="10" t="s">
        <v>242</v>
      </c>
      <c r="O1906" s="10" t="s">
        <v>241</v>
      </c>
      <c r="P1906" s="10" t="s">
        <v>242</v>
      </c>
      <c r="Q1906" s="10" t="s">
        <v>242</v>
      </c>
      <c r="R1906" s="10" t="s">
        <v>242</v>
      </c>
      <c r="S1906" s="10" t="s">
        <v>241</v>
      </c>
      <c r="T1906" s="10" t="s">
        <v>242</v>
      </c>
      <c r="U1906" s="10" t="s">
        <v>242</v>
      </c>
      <c r="V1906" s="10" t="s">
        <v>241</v>
      </c>
      <c r="W1906" s="10" t="s">
        <v>242</v>
      </c>
      <c r="X1906" s="15">
        <f>IF(ISERROR(VLOOKUP($A1906,'13. Updated Demand'!A:Z,15,FALSE)),0,VLOOKUP($A1906,'13. Updated Demand'!A:Z,15,FALSE))</f>
        <v>19.100000000000001</v>
      </c>
      <c r="Y1906" s="16">
        <f>IF(ISERROR(VLOOKUP($A1906,'13. Updated Demand'!A:Z,16,FALSE)),0,VLOOKUP($A1906,'13. Updated Demand'!A:Z,16,FALSE))</f>
        <v>0.36</v>
      </c>
      <c r="Z1906" s="16">
        <f>IF(ISERROR(VLOOKUP($A1906,'13. Updated Demand'!A:Z,17,FALSE)),0,VLOOKUP($A1906,'13. Updated Demand'!A:Z,17,FALSE))</f>
        <v>8.4</v>
      </c>
      <c r="AA1906" s="16">
        <f>IF(ISERROR(VLOOKUP($A1906,'13. Updated Demand'!A:Z,18,FALSE)),0,VLOOKUP($A1906,'13. Updated Demand'!A:Z,18,FALSE))</f>
        <v>0</v>
      </c>
      <c r="AB1906" s="16">
        <f>IF(ISERROR(VLOOKUP($A1906,'13. Updated Demand'!A:Z,19,FALSE)),0,VLOOKUP($A1906,'13. Updated Demand'!A:Z,19,FALSE))</f>
        <v>0</v>
      </c>
      <c r="AC1906" s="16">
        <f>IF(ISERROR(VLOOKUP($A1906,'13. Updated Demand'!A:Z,20,FALSE)),0,VLOOKUP($A1906,'13. Updated Demand'!A:Z,20,FALSE))</f>
        <v>0</v>
      </c>
      <c r="AD1906" s="16">
        <f>IF(ISERROR(VLOOKUP($A1906,'13. Updated Demand'!A:Z,21,FALSE)),0,VLOOKUP($A1906,'13. Updated Demand'!A:Z,21,FALSE))</f>
        <v>0</v>
      </c>
      <c r="AE1906" s="16">
        <f>IF(ISERROR(VLOOKUP($A1906,'13. Updated Demand'!A:Z,22,FALSE)),0,VLOOKUP($A1906,'13. Updated Demand'!A:Z,22,FALSE))</f>
        <v>0</v>
      </c>
      <c r="AF1906" s="16">
        <f>IF(ISERROR(VLOOKUP($A1906,'13. Updated Demand'!A:Z,23,FALSE)),0,VLOOKUP($A1906,'13. Updated Demand'!A:Z,23,FALSE))</f>
        <v>0</v>
      </c>
      <c r="AG1906" s="16">
        <f>IF(ISERROR(VLOOKUP($A1906,'13. Updated Demand'!A:Z,24,FALSE)),0,VLOOKUP($A1906,'13. Updated Demand'!A:Z,24,FALSE))</f>
        <v>0</v>
      </c>
      <c r="AH1906" s="16">
        <f>IF(ISERROR(VLOOKUP($A1906,'13. Updated Demand'!A:Z,25,FALSE)),0,VLOOKUP($A1906,'13. Updated Demand'!A:Z,25,FALSE))</f>
        <v>3.63</v>
      </c>
      <c r="AI1906" s="16">
        <f>IF(ISERROR(VLOOKUP($A1906,'13. Updated Demand'!A:Z,26,FALSE)),0,VLOOKUP($A1906,'13. Updated Demand'!A:Z,26,FALSE))</f>
        <v>14.76</v>
      </c>
      <c r="AJ1906" s="16">
        <f t="shared" si="361"/>
        <v>46.25</v>
      </c>
      <c r="AK1906" s="19">
        <v>0</v>
      </c>
      <c r="AL1906" s="16">
        <f t="shared" si="359"/>
        <v>0</v>
      </c>
      <c r="AM1906" s="26">
        <v>0.58417508421717179</v>
      </c>
      <c r="AN1906" s="19">
        <v>79.2</v>
      </c>
      <c r="AO1906" s="19" t="s">
        <v>1758</v>
      </c>
      <c r="AP1906" s="19">
        <v>0</v>
      </c>
      <c r="AQ1906" s="19" t="s">
        <v>307</v>
      </c>
      <c r="AR1906" s="9" t="s">
        <v>319</v>
      </c>
      <c r="AS1906" s="12">
        <v>0</v>
      </c>
      <c r="AT1906" s="19">
        <v>38.965800000000002</v>
      </c>
      <c r="AU1906" s="19">
        <v>-123.1339</v>
      </c>
      <c r="AV1906" s="19" t="s">
        <v>2314</v>
      </c>
    </row>
    <row r="1907" spans="1:48" x14ac:dyDescent="0.25">
      <c r="A1907" s="18" t="s">
        <v>2322</v>
      </c>
      <c r="B1907" s="10">
        <v>10000000</v>
      </c>
      <c r="C1907" s="9">
        <v>6</v>
      </c>
      <c r="D1907" s="8" t="str">
        <f t="shared" si="350"/>
        <v>Y</v>
      </c>
      <c r="E1907" s="8" t="str">
        <f t="shared" si="351"/>
        <v>N</v>
      </c>
      <c r="F1907" s="8" t="str">
        <f t="shared" si="352"/>
        <v>Y</v>
      </c>
      <c r="G1907" s="8" t="str">
        <f t="shared" si="353"/>
        <v>Y</v>
      </c>
      <c r="H1907" s="8" t="str">
        <f t="shared" si="354"/>
        <v>Upper</v>
      </c>
      <c r="I1907" s="8" t="str">
        <f t="shared" si="355"/>
        <v>West Fork and Below Lake</v>
      </c>
      <c r="J1907" s="8" t="str">
        <f t="shared" si="356"/>
        <v>Mendocino (d/s of lake)</v>
      </c>
      <c r="K1907" s="8" t="str">
        <f t="shared" si="357"/>
        <v>Riparian</v>
      </c>
      <c r="L1907" s="8">
        <f t="shared" si="358"/>
        <v>1000</v>
      </c>
      <c r="M1907" s="8" t="str">
        <f t="shared" si="360"/>
        <v>-</v>
      </c>
      <c r="N1907" s="10" t="s">
        <v>242</v>
      </c>
      <c r="O1907" s="10" t="s">
        <v>241</v>
      </c>
      <c r="P1907" s="10" t="s">
        <v>242</v>
      </c>
      <c r="Q1907" s="10" t="s">
        <v>242</v>
      </c>
      <c r="R1907" s="10" t="s">
        <v>242</v>
      </c>
      <c r="S1907" s="10" t="s">
        <v>241</v>
      </c>
      <c r="T1907" s="10" t="s">
        <v>242</v>
      </c>
      <c r="U1907" s="10" t="s">
        <v>242</v>
      </c>
      <c r="V1907" s="10" t="s">
        <v>242</v>
      </c>
      <c r="W1907" s="10" t="s">
        <v>242</v>
      </c>
      <c r="X1907" s="15">
        <f>IF(ISERROR(VLOOKUP($A1907,'13. Updated Demand'!A:Z,15,FALSE)),0,VLOOKUP($A1907,'13. Updated Demand'!A:Z,15,FALSE))</f>
        <v>6.73</v>
      </c>
      <c r="Y1907" s="16">
        <f>IF(ISERROR(VLOOKUP($A1907,'13. Updated Demand'!A:Z,16,FALSE)),0,VLOOKUP($A1907,'13. Updated Demand'!A:Z,16,FALSE))</f>
        <v>5.36</v>
      </c>
      <c r="Z1907" s="16">
        <f>IF(ISERROR(VLOOKUP($A1907,'13. Updated Demand'!A:Z,17,FALSE)),0,VLOOKUP($A1907,'13. Updated Demand'!A:Z,17,FALSE))</f>
        <v>0.7</v>
      </c>
      <c r="AA1907" s="16">
        <f>IF(ISERROR(VLOOKUP($A1907,'13. Updated Demand'!A:Z,18,FALSE)),0,VLOOKUP($A1907,'13. Updated Demand'!A:Z,18,FALSE))</f>
        <v>0.1</v>
      </c>
      <c r="AB1907" s="16">
        <f>IF(ISERROR(VLOOKUP($A1907,'13. Updated Demand'!A:Z,19,FALSE)),0,VLOOKUP($A1907,'13. Updated Demand'!A:Z,19,FALSE))</f>
        <v>5.6</v>
      </c>
      <c r="AC1907" s="16">
        <f>IF(ISERROR(VLOOKUP($A1907,'13. Updated Demand'!A:Z,20,FALSE)),0,VLOOKUP($A1907,'13. Updated Demand'!A:Z,20,FALSE))</f>
        <v>0</v>
      </c>
      <c r="AD1907" s="16">
        <f>IF(ISERROR(VLOOKUP($A1907,'13. Updated Demand'!A:Z,21,FALSE)),0,VLOOKUP($A1907,'13. Updated Demand'!A:Z,21,FALSE))</f>
        <v>0</v>
      </c>
      <c r="AE1907" s="16">
        <f>IF(ISERROR(VLOOKUP($A1907,'13. Updated Demand'!A:Z,22,FALSE)),0,VLOOKUP($A1907,'13. Updated Demand'!A:Z,22,FALSE))</f>
        <v>0</v>
      </c>
      <c r="AF1907" s="16">
        <f>IF(ISERROR(VLOOKUP($A1907,'13. Updated Demand'!A:Z,23,FALSE)),0,VLOOKUP($A1907,'13. Updated Demand'!A:Z,23,FALSE))</f>
        <v>0</v>
      </c>
      <c r="AG1907" s="16">
        <f>IF(ISERROR(VLOOKUP($A1907,'13. Updated Demand'!A:Z,24,FALSE)),0,VLOOKUP($A1907,'13. Updated Demand'!A:Z,24,FALSE))</f>
        <v>0</v>
      </c>
      <c r="AH1907" s="16">
        <f>IF(ISERROR(VLOOKUP($A1907,'13. Updated Demand'!A:Z,25,FALSE)),0,VLOOKUP($A1907,'13. Updated Demand'!A:Z,25,FALSE))</f>
        <v>0.6</v>
      </c>
      <c r="AI1907" s="16">
        <f>IF(ISERROR(VLOOKUP($A1907,'13. Updated Demand'!A:Z,26,FALSE)),0,VLOOKUP($A1907,'13. Updated Demand'!A:Z,26,FALSE))</f>
        <v>2.2999999999999998</v>
      </c>
      <c r="AJ1907" s="16">
        <f t="shared" si="361"/>
        <v>21.39</v>
      </c>
      <c r="AK1907" s="19">
        <v>5.6</v>
      </c>
      <c r="AL1907" s="16">
        <f t="shared" si="359"/>
        <v>1.8574562100054849E-2</v>
      </c>
      <c r="AM1907" s="26">
        <v>0.89915966386554624</v>
      </c>
      <c r="AN1907" s="19">
        <v>23.8</v>
      </c>
      <c r="AO1907" s="19" t="s">
        <v>1758</v>
      </c>
      <c r="AP1907" s="19">
        <v>0</v>
      </c>
      <c r="AQ1907" s="19" t="s">
        <v>307</v>
      </c>
      <c r="AR1907" s="9" t="s">
        <v>319</v>
      </c>
      <c r="AS1907" s="12">
        <v>0</v>
      </c>
      <c r="AT1907" s="19">
        <v>38.982199999999999</v>
      </c>
      <c r="AU1907" s="19">
        <v>-123.1447</v>
      </c>
      <c r="AV1907" s="19" t="s">
        <v>2323</v>
      </c>
    </row>
    <row r="1908" spans="1:48" x14ac:dyDescent="0.25">
      <c r="A1908" s="18" t="s">
        <v>2324</v>
      </c>
      <c r="B1908" s="10">
        <v>10000000</v>
      </c>
      <c r="C1908" s="9">
        <v>6</v>
      </c>
      <c r="D1908" s="8" t="str">
        <f t="shared" si="350"/>
        <v>Y</v>
      </c>
      <c r="E1908" s="8" t="str">
        <f t="shared" si="351"/>
        <v>N</v>
      </c>
      <c r="F1908" s="8" t="str">
        <f t="shared" si="352"/>
        <v>Y</v>
      </c>
      <c r="G1908" s="8" t="str">
        <f t="shared" si="353"/>
        <v>Y</v>
      </c>
      <c r="H1908" s="8" t="str">
        <f t="shared" si="354"/>
        <v>Upper</v>
      </c>
      <c r="I1908" s="8" t="str">
        <f t="shared" si="355"/>
        <v>West Fork and Below Lake</v>
      </c>
      <c r="J1908" s="8" t="str">
        <f t="shared" si="356"/>
        <v>Mendocino (d/s of lake)</v>
      </c>
      <c r="K1908" s="8" t="str">
        <f t="shared" si="357"/>
        <v>Riparian</v>
      </c>
      <c r="L1908" s="8">
        <f t="shared" si="358"/>
        <v>1000</v>
      </c>
      <c r="M1908" s="8" t="str">
        <f t="shared" si="360"/>
        <v>-</v>
      </c>
      <c r="N1908" s="10" t="s">
        <v>242</v>
      </c>
      <c r="O1908" s="10" t="s">
        <v>241</v>
      </c>
      <c r="P1908" s="10" t="s">
        <v>242</v>
      </c>
      <c r="Q1908" s="10" t="s">
        <v>242</v>
      </c>
      <c r="R1908" s="10" t="s">
        <v>242</v>
      </c>
      <c r="S1908" s="10" t="s">
        <v>241</v>
      </c>
      <c r="T1908" s="10" t="s">
        <v>242</v>
      </c>
      <c r="U1908" s="10" t="s">
        <v>242</v>
      </c>
      <c r="V1908" s="10" t="s">
        <v>241</v>
      </c>
      <c r="W1908" s="10" t="s">
        <v>242</v>
      </c>
      <c r="X1908" s="15">
        <f>IF(ISERROR(VLOOKUP($A1908,'13. Updated Demand'!A:Z,15,FALSE)),0,VLOOKUP($A1908,'13. Updated Demand'!A:Z,15,FALSE))</f>
        <v>3.83</v>
      </c>
      <c r="Y1908" s="16">
        <f>IF(ISERROR(VLOOKUP($A1908,'13. Updated Demand'!A:Z,16,FALSE)),0,VLOOKUP($A1908,'13. Updated Demand'!A:Z,16,FALSE))</f>
        <v>1.7</v>
      </c>
      <c r="Z1908" s="16">
        <f>IF(ISERROR(VLOOKUP($A1908,'13. Updated Demand'!A:Z,17,FALSE)),0,VLOOKUP($A1908,'13. Updated Demand'!A:Z,17,FALSE))</f>
        <v>0</v>
      </c>
      <c r="AA1908" s="16">
        <f>IF(ISERROR(VLOOKUP($A1908,'13. Updated Demand'!A:Z,18,FALSE)),0,VLOOKUP($A1908,'13. Updated Demand'!A:Z,18,FALSE))</f>
        <v>0</v>
      </c>
      <c r="AB1908" s="16">
        <f>IF(ISERROR(VLOOKUP($A1908,'13. Updated Demand'!A:Z,19,FALSE)),0,VLOOKUP($A1908,'13. Updated Demand'!A:Z,19,FALSE))</f>
        <v>0</v>
      </c>
      <c r="AC1908" s="16">
        <f>IF(ISERROR(VLOOKUP($A1908,'13. Updated Demand'!A:Z,20,FALSE)),0,VLOOKUP($A1908,'13. Updated Demand'!A:Z,20,FALSE))</f>
        <v>0</v>
      </c>
      <c r="AD1908" s="16">
        <f>IF(ISERROR(VLOOKUP($A1908,'13. Updated Demand'!A:Z,21,FALSE)),0,VLOOKUP($A1908,'13. Updated Demand'!A:Z,21,FALSE))</f>
        <v>0</v>
      </c>
      <c r="AE1908" s="16">
        <f>IF(ISERROR(VLOOKUP($A1908,'13. Updated Demand'!A:Z,22,FALSE)),0,VLOOKUP($A1908,'13. Updated Demand'!A:Z,22,FALSE))</f>
        <v>0</v>
      </c>
      <c r="AF1908" s="16">
        <f>IF(ISERROR(VLOOKUP($A1908,'13. Updated Demand'!A:Z,23,FALSE)),0,VLOOKUP($A1908,'13. Updated Demand'!A:Z,23,FALSE))</f>
        <v>0</v>
      </c>
      <c r="AG1908" s="16">
        <f>IF(ISERROR(VLOOKUP($A1908,'13. Updated Demand'!A:Z,24,FALSE)),0,VLOOKUP($A1908,'13. Updated Demand'!A:Z,24,FALSE))</f>
        <v>0</v>
      </c>
      <c r="AH1908" s="16">
        <f>IF(ISERROR(VLOOKUP($A1908,'13. Updated Demand'!A:Z,25,FALSE)),0,VLOOKUP($A1908,'13. Updated Demand'!A:Z,25,FALSE))</f>
        <v>0.56000000000000005</v>
      </c>
      <c r="AI1908" s="16">
        <f>IF(ISERROR(VLOOKUP($A1908,'13. Updated Demand'!A:Z,26,FALSE)),0,VLOOKUP($A1908,'13. Updated Demand'!A:Z,26,FALSE))</f>
        <v>1.03</v>
      </c>
      <c r="AJ1908" s="16">
        <f t="shared" si="361"/>
        <v>7.12</v>
      </c>
      <c r="AK1908" s="19">
        <v>0</v>
      </c>
      <c r="AL1908" s="16">
        <f t="shared" si="359"/>
        <v>0</v>
      </c>
      <c r="AM1908" s="26">
        <v>0.40301318265536723</v>
      </c>
      <c r="AN1908" s="19">
        <v>17.7</v>
      </c>
      <c r="AO1908" s="19" t="s">
        <v>1758</v>
      </c>
      <c r="AP1908" s="19">
        <v>0</v>
      </c>
      <c r="AQ1908" s="19" t="s">
        <v>307</v>
      </c>
      <c r="AR1908" s="9" t="s">
        <v>319</v>
      </c>
      <c r="AS1908" s="12">
        <v>0</v>
      </c>
      <c r="AT1908" s="19">
        <v>38.9816</v>
      </c>
      <c r="AU1908" s="19">
        <v>-123.1427</v>
      </c>
      <c r="AV1908" s="19" t="s">
        <v>2316</v>
      </c>
    </row>
    <row r="1909" spans="1:48" x14ac:dyDescent="0.25">
      <c r="A1909" s="18" t="s">
        <v>2325</v>
      </c>
      <c r="B1909" s="10">
        <v>10000000</v>
      </c>
      <c r="C1909" s="9">
        <v>6</v>
      </c>
      <c r="D1909" s="8" t="str">
        <f t="shared" si="350"/>
        <v>Y</v>
      </c>
      <c r="E1909" s="8" t="str">
        <f t="shared" si="351"/>
        <v>N</v>
      </c>
      <c r="F1909" s="8" t="str">
        <f t="shared" si="352"/>
        <v>Y</v>
      </c>
      <c r="G1909" s="8" t="str">
        <f t="shared" si="353"/>
        <v>Y</v>
      </c>
      <c r="H1909" s="8" t="str">
        <f t="shared" si="354"/>
        <v>Upper</v>
      </c>
      <c r="I1909" s="8" t="str">
        <f t="shared" si="355"/>
        <v>West Fork and Below Lake</v>
      </c>
      <c r="J1909" s="8" t="str">
        <f t="shared" si="356"/>
        <v>Mendocino (d/s of lake)</v>
      </c>
      <c r="K1909" s="8" t="str">
        <f t="shared" si="357"/>
        <v>Riparian</v>
      </c>
      <c r="L1909" s="8">
        <f t="shared" si="358"/>
        <v>1000</v>
      </c>
      <c r="M1909" s="8" t="str">
        <f t="shared" si="360"/>
        <v>-</v>
      </c>
      <c r="N1909" s="10" t="s">
        <v>242</v>
      </c>
      <c r="O1909" s="10" t="s">
        <v>241</v>
      </c>
      <c r="P1909" s="10" t="s">
        <v>242</v>
      </c>
      <c r="Q1909" s="10" t="s">
        <v>242</v>
      </c>
      <c r="R1909" s="10" t="s">
        <v>242</v>
      </c>
      <c r="S1909" s="10" t="s">
        <v>241</v>
      </c>
      <c r="T1909" s="10" t="s">
        <v>242</v>
      </c>
      <c r="U1909" s="10" t="s">
        <v>242</v>
      </c>
      <c r="V1909" s="10" t="s">
        <v>241</v>
      </c>
      <c r="W1909" s="10" t="s">
        <v>242</v>
      </c>
      <c r="X1909" s="15">
        <f>IF(ISERROR(VLOOKUP($A1909,'13. Updated Demand'!A:Z,15,FALSE)),0,VLOOKUP($A1909,'13. Updated Demand'!A:Z,15,FALSE))</f>
        <v>25.13</v>
      </c>
      <c r="Y1909" s="16">
        <f>IF(ISERROR(VLOOKUP($A1909,'13. Updated Demand'!A:Z,16,FALSE)),0,VLOOKUP($A1909,'13. Updated Demand'!A:Z,16,FALSE))</f>
        <v>13.53</v>
      </c>
      <c r="Z1909" s="16">
        <f>IF(ISERROR(VLOOKUP($A1909,'13. Updated Demand'!A:Z,17,FALSE)),0,VLOOKUP($A1909,'13. Updated Demand'!A:Z,17,FALSE))</f>
        <v>7.13</v>
      </c>
      <c r="AA1909" s="16">
        <f>IF(ISERROR(VLOOKUP($A1909,'13. Updated Demand'!A:Z,18,FALSE)),0,VLOOKUP($A1909,'13. Updated Demand'!A:Z,18,FALSE))</f>
        <v>8.23</v>
      </c>
      <c r="AB1909" s="16">
        <f>IF(ISERROR(VLOOKUP($A1909,'13. Updated Demand'!A:Z,19,FALSE)),0,VLOOKUP($A1909,'13. Updated Demand'!A:Z,19,FALSE))</f>
        <v>0</v>
      </c>
      <c r="AC1909" s="16">
        <f>IF(ISERROR(VLOOKUP($A1909,'13. Updated Demand'!A:Z,20,FALSE)),0,VLOOKUP($A1909,'13. Updated Demand'!A:Z,20,FALSE))</f>
        <v>0</v>
      </c>
      <c r="AD1909" s="16">
        <f>IF(ISERROR(VLOOKUP($A1909,'13. Updated Demand'!A:Z,21,FALSE)),0,VLOOKUP($A1909,'13. Updated Demand'!A:Z,21,FALSE))</f>
        <v>0</v>
      </c>
      <c r="AE1909" s="16">
        <f>IF(ISERROR(VLOOKUP($A1909,'13. Updated Demand'!A:Z,22,FALSE)),0,VLOOKUP($A1909,'13. Updated Demand'!A:Z,22,FALSE))</f>
        <v>0</v>
      </c>
      <c r="AF1909" s="16">
        <f>IF(ISERROR(VLOOKUP($A1909,'13. Updated Demand'!A:Z,23,FALSE)),0,VLOOKUP($A1909,'13. Updated Demand'!A:Z,23,FALSE))</f>
        <v>0</v>
      </c>
      <c r="AG1909" s="16">
        <f>IF(ISERROR(VLOOKUP($A1909,'13. Updated Demand'!A:Z,24,FALSE)),0,VLOOKUP($A1909,'13. Updated Demand'!A:Z,24,FALSE))</f>
        <v>0</v>
      </c>
      <c r="AH1909" s="16">
        <f>IF(ISERROR(VLOOKUP($A1909,'13. Updated Demand'!A:Z,25,FALSE)),0,VLOOKUP($A1909,'13. Updated Demand'!A:Z,25,FALSE))</f>
        <v>0.53</v>
      </c>
      <c r="AI1909" s="16">
        <f>IF(ISERROR(VLOOKUP($A1909,'13. Updated Demand'!A:Z,26,FALSE)),0,VLOOKUP($A1909,'13. Updated Demand'!A:Z,26,FALSE))</f>
        <v>1.56</v>
      </c>
      <c r="AJ1909" s="16">
        <f t="shared" si="361"/>
        <v>56.11</v>
      </c>
      <c r="AK1909" s="19">
        <v>0</v>
      </c>
      <c r="AL1909" s="16">
        <f t="shared" si="359"/>
        <v>0</v>
      </c>
      <c r="AM1909" s="26">
        <v>0.66039215677647056</v>
      </c>
      <c r="AN1909" s="19">
        <v>85</v>
      </c>
      <c r="AO1909" s="19" t="s">
        <v>1758</v>
      </c>
      <c r="AP1909" s="19">
        <v>0</v>
      </c>
      <c r="AQ1909" s="19" t="s">
        <v>307</v>
      </c>
      <c r="AR1909" s="9" t="s">
        <v>319</v>
      </c>
      <c r="AS1909" s="12">
        <v>0</v>
      </c>
      <c r="AT1909" s="19">
        <v>38.982100000000003</v>
      </c>
      <c r="AU1909" s="19">
        <v>-123.139</v>
      </c>
      <c r="AV1909" s="19" t="s">
        <v>2318</v>
      </c>
    </row>
    <row r="1910" spans="1:48" x14ac:dyDescent="0.25">
      <c r="A1910" s="18" t="s">
        <v>2326</v>
      </c>
      <c r="B1910" s="10">
        <v>10000000</v>
      </c>
      <c r="C1910" s="9">
        <v>6</v>
      </c>
      <c r="D1910" s="8" t="str">
        <f t="shared" si="350"/>
        <v>Y</v>
      </c>
      <c r="E1910" s="8" t="str">
        <f t="shared" si="351"/>
        <v>N</v>
      </c>
      <c r="F1910" s="8" t="str">
        <f t="shared" si="352"/>
        <v>Y</v>
      </c>
      <c r="G1910" s="8" t="str">
        <f t="shared" si="353"/>
        <v>Y</v>
      </c>
      <c r="H1910" s="8" t="str">
        <f t="shared" si="354"/>
        <v>Upper</v>
      </c>
      <c r="I1910" s="8" t="str">
        <f t="shared" si="355"/>
        <v>West Fork and Below Lake</v>
      </c>
      <c r="J1910" s="8" t="str">
        <f t="shared" si="356"/>
        <v>Mendocino (d/s of lake)</v>
      </c>
      <c r="K1910" s="8" t="str">
        <f t="shared" si="357"/>
        <v>Riparian</v>
      </c>
      <c r="L1910" s="8">
        <f t="shared" si="358"/>
        <v>1000</v>
      </c>
      <c r="M1910" s="8" t="str">
        <f t="shared" si="360"/>
        <v>-</v>
      </c>
      <c r="N1910" s="10" t="s">
        <v>242</v>
      </c>
      <c r="O1910" s="10" t="s">
        <v>241</v>
      </c>
      <c r="P1910" s="10" t="s">
        <v>242</v>
      </c>
      <c r="Q1910" s="10" t="s">
        <v>242</v>
      </c>
      <c r="R1910" s="10" t="s">
        <v>242</v>
      </c>
      <c r="S1910" s="10" t="s">
        <v>241</v>
      </c>
      <c r="T1910" s="10" t="s">
        <v>242</v>
      </c>
      <c r="U1910" s="10" t="s">
        <v>241</v>
      </c>
      <c r="V1910" s="10" t="s">
        <v>241</v>
      </c>
      <c r="W1910" s="10" t="s">
        <v>242</v>
      </c>
      <c r="X1910" s="15">
        <f>IF(ISERROR(VLOOKUP($A1910,'13. Updated Demand'!A:Z,15,FALSE)),0,VLOOKUP($A1910,'13. Updated Demand'!A:Z,15,FALSE))</f>
        <v>0</v>
      </c>
      <c r="Y1910" s="16">
        <f>IF(ISERROR(VLOOKUP($A1910,'13. Updated Demand'!A:Z,16,FALSE)),0,VLOOKUP($A1910,'13. Updated Demand'!A:Z,16,FALSE))</f>
        <v>0</v>
      </c>
      <c r="Z1910" s="16">
        <f>IF(ISERROR(VLOOKUP($A1910,'13. Updated Demand'!A:Z,17,FALSE)),0,VLOOKUP($A1910,'13. Updated Demand'!A:Z,17,FALSE))</f>
        <v>0</v>
      </c>
      <c r="AA1910" s="16">
        <f>IF(ISERROR(VLOOKUP($A1910,'13. Updated Demand'!A:Z,18,FALSE)),0,VLOOKUP($A1910,'13. Updated Demand'!A:Z,18,FALSE))</f>
        <v>0</v>
      </c>
      <c r="AB1910" s="16">
        <f>IF(ISERROR(VLOOKUP($A1910,'13. Updated Demand'!A:Z,19,FALSE)),0,VLOOKUP($A1910,'13. Updated Demand'!A:Z,19,FALSE))</f>
        <v>0</v>
      </c>
      <c r="AC1910" s="16">
        <f>IF(ISERROR(VLOOKUP($A1910,'13. Updated Demand'!A:Z,20,FALSE)),0,VLOOKUP($A1910,'13. Updated Demand'!A:Z,20,FALSE))</f>
        <v>0</v>
      </c>
      <c r="AD1910" s="16">
        <f>IF(ISERROR(VLOOKUP($A1910,'13. Updated Demand'!A:Z,21,FALSE)),0,VLOOKUP($A1910,'13. Updated Demand'!A:Z,21,FALSE))</f>
        <v>0</v>
      </c>
      <c r="AE1910" s="16">
        <f>IF(ISERROR(VLOOKUP($A1910,'13. Updated Demand'!A:Z,22,FALSE)),0,VLOOKUP($A1910,'13. Updated Demand'!A:Z,22,FALSE))</f>
        <v>0</v>
      </c>
      <c r="AF1910" s="16">
        <f>IF(ISERROR(VLOOKUP($A1910,'13. Updated Demand'!A:Z,23,FALSE)),0,VLOOKUP($A1910,'13. Updated Demand'!A:Z,23,FALSE))</f>
        <v>0</v>
      </c>
      <c r="AG1910" s="16">
        <f>IF(ISERROR(VLOOKUP($A1910,'13. Updated Demand'!A:Z,24,FALSE)),0,VLOOKUP($A1910,'13. Updated Demand'!A:Z,24,FALSE))</f>
        <v>0</v>
      </c>
      <c r="AH1910" s="16">
        <f>IF(ISERROR(VLOOKUP($A1910,'13. Updated Demand'!A:Z,25,FALSE)),0,VLOOKUP($A1910,'13. Updated Demand'!A:Z,25,FALSE))</f>
        <v>0</v>
      </c>
      <c r="AI1910" s="16">
        <f>IF(ISERROR(VLOOKUP($A1910,'13. Updated Demand'!A:Z,26,FALSE)),0,VLOOKUP($A1910,'13. Updated Demand'!A:Z,26,FALSE))</f>
        <v>0</v>
      </c>
      <c r="AJ1910" s="16">
        <f t="shared" si="361"/>
        <v>0</v>
      </c>
      <c r="AK1910" s="19">
        <v>0</v>
      </c>
      <c r="AL1910" s="16">
        <f t="shared" si="359"/>
        <v>0</v>
      </c>
      <c r="AM1910" s="26">
        <v>0</v>
      </c>
      <c r="AN1910" s="19">
        <v>20</v>
      </c>
      <c r="AO1910" s="19" t="s">
        <v>1758</v>
      </c>
      <c r="AP1910" s="19">
        <v>0</v>
      </c>
      <c r="AQ1910" s="19" t="s">
        <v>307</v>
      </c>
      <c r="AR1910" s="9" t="s">
        <v>319</v>
      </c>
      <c r="AS1910" s="12">
        <v>0</v>
      </c>
      <c r="AT1910" s="19">
        <v>38.975999999999999</v>
      </c>
      <c r="AU1910" s="19">
        <v>-123.13939999999999</v>
      </c>
      <c r="AV1910" s="19" t="s">
        <v>2327</v>
      </c>
    </row>
    <row r="1911" spans="1:48" x14ac:dyDescent="0.25">
      <c r="A1911" s="18" t="s">
        <v>2328</v>
      </c>
      <c r="B1911" s="10">
        <v>10000000</v>
      </c>
      <c r="C1911" s="9">
        <v>6</v>
      </c>
      <c r="D1911" s="8" t="str">
        <f t="shared" si="350"/>
        <v>Y</v>
      </c>
      <c r="E1911" s="8" t="str">
        <f t="shared" si="351"/>
        <v>N</v>
      </c>
      <c r="F1911" s="8" t="str">
        <f t="shared" si="352"/>
        <v>Y</v>
      </c>
      <c r="G1911" s="8" t="str">
        <f t="shared" si="353"/>
        <v>Y</v>
      </c>
      <c r="H1911" s="8" t="str">
        <f t="shared" si="354"/>
        <v>Upper</v>
      </c>
      <c r="I1911" s="8" t="str">
        <f t="shared" si="355"/>
        <v>West Fork and Below Lake</v>
      </c>
      <c r="J1911" s="8" t="str">
        <f t="shared" si="356"/>
        <v>Mendocino (d/s of lake)</v>
      </c>
      <c r="K1911" s="8" t="str">
        <f t="shared" si="357"/>
        <v>Riparian</v>
      </c>
      <c r="L1911" s="8">
        <f t="shared" si="358"/>
        <v>1000</v>
      </c>
      <c r="M1911" s="8" t="str">
        <f t="shared" si="360"/>
        <v>-</v>
      </c>
      <c r="N1911" s="10" t="s">
        <v>242</v>
      </c>
      <c r="O1911" s="10" t="s">
        <v>241</v>
      </c>
      <c r="P1911" s="10" t="s">
        <v>242</v>
      </c>
      <c r="Q1911" s="10" t="s">
        <v>242</v>
      </c>
      <c r="R1911" s="10" t="s">
        <v>242</v>
      </c>
      <c r="S1911" s="10" t="s">
        <v>241</v>
      </c>
      <c r="T1911" s="10" t="s">
        <v>242</v>
      </c>
      <c r="U1911" s="10" t="s">
        <v>242</v>
      </c>
      <c r="V1911" s="10" t="s">
        <v>242</v>
      </c>
      <c r="W1911" s="10" t="s">
        <v>242</v>
      </c>
      <c r="X1911" s="15">
        <f>IF(ISERROR(VLOOKUP($A1911,'13. Updated Demand'!A:Z,15,FALSE)),0,VLOOKUP($A1911,'13. Updated Demand'!A:Z,15,FALSE))</f>
        <v>0</v>
      </c>
      <c r="Y1911" s="16">
        <f>IF(ISERROR(VLOOKUP($A1911,'13. Updated Demand'!A:Z,16,FALSE)),0,VLOOKUP($A1911,'13. Updated Demand'!A:Z,16,FALSE))</f>
        <v>0</v>
      </c>
      <c r="Z1911" s="16">
        <f>IF(ISERROR(VLOOKUP($A1911,'13. Updated Demand'!A:Z,17,FALSE)),0,VLOOKUP($A1911,'13. Updated Demand'!A:Z,17,FALSE))</f>
        <v>2.7</v>
      </c>
      <c r="AA1911" s="16">
        <f>IF(ISERROR(VLOOKUP($A1911,'13. Updated Demand'!A:Z,18,FALSE)),0,VLOOKUP($A1911,'13. Updated Demand'!A:Z,18,FALSE))</f>
        <v>7.6</v>
      </c>
      <c r="AB1911" s="16">
        <f>IF(ISERROR(VLOOKUP($A1911,'13. Updated Demand'!A:Z,19,FALSE)),0,VLOOKUP($A1911,'13. Updated Demand'!A:Z,19,FALSE))</f>
        <v>10.199999999999999</v>
      </c>
      <c r="AC1911" s="16">
        <f>IF(ISERROR(VLOOKUP($A1911,'13. Updated Demand'!A:Z,20,FALSE)),0,VLOOKUP($A1911,'13. Updated Demand'!A:Z,20,FALSE))</f>
        <v>0</v>
      </c>
      <c r="AD1911" s="16">
        <f>IF(ISERROR(VLOOKUP($A1911,'13. Updated Demand'!A:Z,21,FALSE)),0,VLOOKUP($A1911,'13. Updated Demand'!A:Z,21,FALSE))</f>
        <v>5.66</v>
      </c>
      <c r="AE1911" s="16">
        <f>IF(ISERROR(VLOOKUP($A1911,'13. Updated Demand'!A:Z,22,FALSE)),0,VLOOKUP($A1911,'13. Updated Demand'!A:Z,22,FALSE))</f>
        <v>0</v>
      </c>
      <c r="AF1911" s="16">
        <f>IF(ISERROR(VLOOKUP($A1911,'13. Updated Demand'!A:Z,23,FALSE)),0,VLOOKUP($A1911,'13. Updated Demand'!A:Z,23,FALSE))</f>
        <v>0</v>
      </c>
      <c r="AG1911" s="16">
        <f>IF(ISERROR(VLOOKUP($A1911,'13. Updated Demand'!A:Z,24,FALSE)),0,VLOOKUP($A1911,'13. Updated Demand'!A:Z,24,FALSE))</f>
        <v>0</v>
      </c>
      <c r="AH1911" s="16">
        <f>IF(ISERROR(VLOOKUP($A1911,'13. Updated Demand'!A:Z,25,FALSE)),0,VLOOKUP($A1911,'13. Updated Demand'!A:Z,25,FALSE))</f>
        <v>0</v>
      </c>
      <c r="AI1911" s="16">
        <f>IF(ISERROR(VLOOKUP($A1911,'13. Updated Demand'!A:Z,26,FALSE)),0,VLOOKUP($A1911,'13. Updated Demand'!A:Z,26,FALSE))</f>
        <v>0</v>
      </c>
      <c r="AJ1911" s="16">
        <f t="shared" si="361"/>
        <v>26.16</v>
      </c>
      <c r="AK1911" s="19">
        <v>15.866666667000001</v>
      </c>
      <c r="AL1911" s="16">
        <f t="shared" si="359"/>
        <v>5.2627925951261041E-2</v>
      </c>
      <c r="AM1911" s="26">
        <v>5.4034177960498198E-2</v>
      </c>
      <c r="AN1911" s="19">
        <v>484.26139999999998</v>
      </c>
      <c r="AO1911" s="19" t="s">
        <v>1758</v>
      </c>
      <c r="AP1911" s="19">
        <v>0</v>
      </c>
      <c r="AQ1911" s="19" t="s">
        <v>307</v>
      </c>
      <c r="AR1911" s="9" t="s">
        <v>319</v>
      </c>
      <c r="AS1911" s="12">
        <v>0</v>
      </c>
      <c r="AT1911" s="19">
        <v>38.978099999999998</v>
      </c>
      <c r="AU1911" s="19">
        <v>-123.1485</v>
      </c>
      <c r="AV1911" s="19" t="s">
        <v>2329</v>
      </c>
    </row>
    <row r="1912" spans="1:48" x14ac:dyDescent="0.25">
      <c r="A1912" s="18" t="s">
        <v>2330</v>
      </c>
      <c r="B1912" s="10">
        <v>10000000</v>
      </c>
      <c r="C1912" s="9">
        <v>6</v>
      </c>
      <c r="D1912" s="8" t="str">
        <f t="shared" si="350"/>
        <v>Y</v>
      </c>
      <c r="E1912" s="8" t="str">
        <f t="shared" si="351"/>
        <v>N</v>
      </c>
      <c r="F1912" s="8" t="str">
        <f t="shared" si="352"/>
        <v>Y</v>
      </c>
      <c r="G1912" s="8" t="str">
        <f t="shared" si="353"/>
        <v>Y</v>
      </c>
      <c r="H1912" s="8" t="str">
        <f t="shared" si="354"/>
        <v>Upper</v>
      </c>
      <c r="I1912" s="8" t="str">
        <f t="shared" si="355"/>
        <v>West Fork and Below Lake</v>
      </c>
      <c r="J1912" s="8" t="str">
        <f t="shared" si="356"/>
        <v>Mendocino (d/s of lake)</v>
      </c>
      <c r="K1912" s="8" t="str">
        <f t="shared" si="357"/>
        <v>Riparian</v>
      </c>
      <c r="L1912" s="8">
        <f t="shared" si="358"/>
        <v>1000</v>
      </c>
      <c r="M1912" s="8" t="str">
        <f t="shared" si="360"/>
        <v>-</v>
      </c>
      <c r="N1912" s="10" t="s">
        <v>242</v>
      </c>
      <c r="O1912" s="10" t="s">
        <v>241</v>
      </c>
      <c r="P1912" s="10" t="s">
        <v>242</v>
      </c>
      <c r="Q1912" s="10" t="s">
        <v>242</v>
      </c>
      <c r="R1912" s="10" t="s">
        <v>242</v>
      </c>
      <c r="S1912" s="10" t="s">
        <v>241</v>
      </c>
      <c r="T1912" s="10" t="s">
        <v>242</v>
      </c>
      <c r="U1912" s="10" t="s">
        <v>241</v>
      </c>
      <c r="V1912" s="10" t="s">
        <v>241</v>
      </c>
      <c r="W1912" s="10" t="s">
        <v>242</v>
      </c>
      <c r="X1912" s="15">
        <f>IF(ISERROR(VLOOKUP($A1912,'13. Updated Demand'!A:Z,15,FALSE)),0,VLOOKUP($A1912,'13. Updated Demand'!A:Z,15,FALSE))</f>
        <v>0</v>
      </c>
      <c r="Y1912" s="16">
        <f>IF(ISERROR(VLOOKUP($A1912,'13. Updated Demand'!A:Z,16,FALSE)),0,VLOOKUP($A1912,'13. Updated Demand'!A:Z,16,FALSE))</f>
        <v>0</v>
      </c>
      <c r="Z1912" s="16">
        <f>IF(ISERROR(VLOOKUP($A1912,'13. Updated Demand'!A:Z,17,FALSE)),0,VLOOKUP($A1912,'13. Updated Demand'!A:Z,17,FALSE))</f>
        <v>0</v>
      </c>
      <c r="AA1912" s="16">
        <f>IF(ISERROR(VLOOKUP($A1912,'13. Updated Demand'!A:Z,18,FALSE)),0,VLOOKUP($A1912,'13. Updated Demand'!A:Z,18,FALSE))</f>
        <v>0</v>
      </c>
      <c r="AB1912" s="16">
        <f>IF(ISERROR(VLOOKUP($A1912,'13. Updated Demand'!A:Z,19,FALSE)),0,VLOOKUP($A1912,'13. Updated Demand'!A:Z,19,FALSE))</f>
        <v>0</v>
      </c>
      <c r="AC1912" s="16">
        <f>IF(ISERROR(VLOOKUP($A1912,'13. Updated Demand'!A:Z,20,FALSE)),0,VLOOKUP($A1912,'13. Updated Demand'!A:Z,20,FALSE))</f>
        <v>0</v>
      </c>
      <c r="AD1912" s="16">
        <f>IF(ISERROR(VLOOKUP($A1912,'13. Updated Demand'!A:Z,21,FALSE)),0,VLOOKUP($A1912,'13. Updated Demand'!A:Z,21,FALSE))</f>
        <v>0</v>
      </c>
      <c r="AE1912" s="16">
        <f>IF(ISERROR(VLOOKUP($A1912,'13. Updated Demand'!A:Z,22,FALSE)),0,VLOOKUP($A1912,'13. Updated Demand'!A:Z,22,FALSE))</f>
        <v>0</v>
      </c>
      <c r="AF1912" s="16">
        <f>IF(ISERROR(VLOOKUP($A1912,'13. Updated Demand'!A:Z,23,FALSE)),0,VLOOKUP($A1912,'13. Updated Demand'!A:Z,23,FALSE))</f>
        <v>0</v>
      </c>
      <c r="AG1912" s="16">
        <f>IF(ISERROR(VLOOKUP($A1912,'13. Updated Demand'!A:Z,24,FALSE)),0,VLOOKUP($A1912,'13. Updated Demand'!A:Z,24,FALSE))</f>
        <v>0</v>
      </c>
      <c r="AH1912" s="16">
        <f>IF(ISERROR(VLOOKUP($A1912,'13. Updated Demand'!A:Z,25,FALSE)),0,VLOOKUP($A1912,'13. Updated Demand'!A:Z,25,FALSE))</f>
        <v>0</v>
      </c>
      <c r="AI1912" s="16">
        <f>IF(ISERROR(VLOOKUP($A1912,'13. Updated Demand'!A:Z,26,FALSE)),0,VLOOKUP($A1912,'13. Updated Demand'!A:Z,26,FALSE))</f>
        <v>0</v>
      </c>
      <c r="AJ1912" s="16">
        <f t="shared" si="361"/>
        <v>0</v>
      </c>
      <c r="AK1912" s="19">
        <v>0</v>
      </c>
      <c r="AL1912" s="16">
        <f t="shared" si="359"/>
        <v>0</v>
      </c>
      <c r="AM1912" s="26">
        <v>0</v>
      </c>
      <c r="AN1912" s="19">
        <v>322.72019999999998</v>
      </c>
      <c r="AO1912" s="19" t="s">
        <v>1758</v>
      </c>
      <c r="AP1912" s="19">
        <v>0</v>
      </c>
      <c r="AQ1912" s="19" t="s">
        <v>307</v>
      </c>
      <c r="AR1912" s="9" t="s">
        <v>319</v>
      </c>
      <c r="AS1912" s="12">
        <v>0</v>
      </c>
      <c r="AT1912" s="19">
        <v>38.9726</v>
      </c>
      <c r="AU1912" s="19">
        <v>-123.1421</v>
      </c>
      <c r="AV1912" s="19" t="s">
        <v>2331</v>
      </c>
    </row>
    <row r="1913" spans="1:48" x14ac:dyDescent="0.25">
      <c r="A1913" s="18" t="s">
        <v>2332</v>
      </c>
      <c r="B1913" s="10">
        <v>10000000</v>
      </c>
      <c r="C1913" s="9">
        <v>23</v>
      </c>
      <c r="D1913" s="8" t="str">
        <f t="shared" si="350"/>
        <v>N</v>
      </c>
      <c r="E1913" s="8" t="str">
        <f t="shared" si="351"/>
        <v>N</v>
      </c>
      <c r="F1913" s="8" t="str">
        <f t="shared" si="352"/>
        <v>N</v>
      </c>
      <c r="G1913" s="8" t="str">
        <f t="shared" si="353"/>
        <v>N</v>
      </c>
      <c r="H1913" s="8" t="str">
        <f t="shared" si="354"/>
        <v>Lower</v>
      </c>
      <c r="I1913" s="8" t="str">
        <f t="shared" si="355"/>
        <v>Outside</v>
      </c>
      <c r="J1913" s="8" t="str">
        <f t="shared" si="356"/>
        <v>Outside</v>
      </c>
      <c r="K1913" s="8" t="str">
        <f t="shared" si="357"/>
        <v>Riparian</v>
      </c>
      <c r="L1913" s="8">
        <f t="shared" si="358"/>
        <v>1000</v>
      </c>
      <c r="M1913" s="8" t="str">
        <f t="shared" si="360"/>
        <v>-</v>
      </c>
      <c r="N1913" s="10" t="s">
        <v>242</v>
      </c>
      <c r="O1913" s="10" t="s">
        <v>242</v>
      </c>
      <c r="P1913" s="10" t="s">
        <v>242</v>
      </c>
      <c r="Q1913" s="10" t="s">
        <v>242</v>
      </c>
      <c r="R1913" s="10" t="s">
        <v>242</v>
      </c>
      <c r="S1913" s="10" t="s">
        <v>241</v>
      </c>
      <c r="T1913" s="10" t="s">
        <v>242</v>
      </c>
      <c r="U1913" s="10" t="s">
        <v>242</v>
      </c>
      <c r="V1913" s="10" t="s">
        <v>242</v>
      </c>
      <c r="W1913" s="10" t="s">
        <v>242</v>
      </c>
      <c r="X1913" s="15">
        <f>IF(ISERROR(VLOOKUP($A1913,'13. Updated Demand'!A:Z,15,FALSE)),0,VLOOKUP($A1913,'13. Updated Demand'!A:Z,15,FALSE))</f>
        <v>7.4</v>
      </c>
      <c r="Y1913" s="16">
        <f>IF(ISERROR(VLOOKUP($A1913,'13. Updated Demand'!A:Z,16,FALSE)),0,VLOOKUP($A1913,'13. Updated Demand'!A:Z,16,FALSE))</f>
        <v>4.1666666670000003</v>
      </c>
      <c r="Z1913" s="16">
        <f>IF(ISERROR(VLOOKUP($A1913,'13. Updated Demand'!A:Z,17,FALSE)),0,VLOOKUP($A1913,'13. Updated Demand'!A:Z,17,FALSE))</f>
        <v>2.5</v>
      </c>
      <c r="AA1913" s="16">
        <f>IF(ISERROR(VLOOKUP($A1913,'13. Updated Demand'!A:Z,18,FALSE)),0,VLOOKUP($A1913,'13. Updated Demand'!A:Z,18,FALSE))</f>
        <v>4.5666666669999998</v>
      </c>
      <c r="AB1913" s="16">
        <f>IF(ISERROR(VLOOKUP($A1913,'13. Updated Demand'!A:Z,19,FALSE)),0,VLOOKUP($A1913,'13. Updated Demand'!A:Z,19,FALSE))</f>
        <v>0.1</v>
      </c>
      <c r="AC1913" s="16">
        <f>IF(ISERROR(VLOOKUP($A1913,'13. Updated Demand'!A:Z,20,FALSE)),0,VLOOKUP($A1913,'13. Updated Demand'!A:Z,20,FALSE))</f>
        <v>0</v>
      </c>
      <c r="AD1913" s="16">
        <f>IF(ISERROR(VLOOKUP($A1913,'13. Updated Demand'!A:Z,21,FALSE)),0,VLOOKUP($A1913,'13. Updated Demand'!A:Z,21,FALSE))</f>
        <v>0</v>
      </c>
      <c r="AE1913" s="16">
        <f>IF(ISERROR(VLOOKUP($A1913,'13. Updated Demand'!A:Z,22,FALSE)),0,VLOOKUP($A1913,'13. Updated Demand'!A:Z,22,FALSE))</f>
        <v>0</v>
      </c>
      <c r="AF1913" s="16">
        <f>IF(ISERROR(VLOOKUP($A1913,'13. Updated Demand'!A:Z,23,FALSE)),0,VLOOKUP($A1913,'13. Updated Demand'!A:Z,23,FALSE))</f>
        <v>0</v>
      </c>
      <c r="AG1913" s="16">
        <f>IF(ISERROR(VLOOKUP($A1913,'13. Updated Demand'!A:Z,24,FALSE)),0,VLOOKUP($A1913,'13. Updated Demand'!A:Z,24,FALSE))</f>
        <v>0</v>
      </c>
      <c r="AH1913" s="16">
        <f>IF(ISERROR(VLOOKUP($A1913,'13. Updated Demand'!A:Z,25,FALSE)),0,VLOOKUP($A1913,'13. Updated Demand'!A:Z,25,FALSE))</f>
        <v>1.3333333329999999</v>
      </c>
      <c r="AI1913" s="16">
        <f>IF(ISERROR(VLOOKUP($A1913,'13. Updated Demand'!A:Z,26,FALSE)),0,VLOOKUP($A1913,'13. Updated Demand'!A:Z,26,FALSE))</f>
        <v>4</v>
      </c>
      <c r="AJ1913" s="16">
        <f t="shared" si="361"/>
        <v>24.066666667</v>
      </c>
      <c r="AK1913" s="19">
        <v>0.1</v>
      </c>
      <c r="AL1913" s="16">
        <f t="shared" si="359"/>
        <v>3.3168860892955089E-4</v>
      </c>
      <c r="AM1913" s="26">
        <v>1.3370370370555555</v>
      </c>
      <c r="AN1913" s="19">
        <v>18</v>
      </c>
      <c r="AO1913" s="19" t="s">
        <v>1758</v>
      </c>
      <c r="AP1913" s="19">
        <v>0</v>
      </c>
      <c r="AQ1913" s="19" t="s">
        <v>307</v>
      </c>
      <c r="AR1913" s="9" t="s">
        <v>378</v>
      </c>
      <c r="AS1913" s="12">
        <v>0</v>
      </c>
      <c r="AT1913" s="19">
        <v>38.398700959999999</v>
      </c>
      <c r="AU1913" s="19">
        <v>-122.63521733</v>
      </c>
      <c r="AV1913" s="19" t="s">
        <v>385</v>
      </c>
    </row>
    <row r="1914" spans="1:48" x14ac:dyDescent="0.25">
      <c r="A1914" s="18" t="s">
        <v>2333</v>
      </c>
      <c r="B1914" s="10">
        <v>10000000</v>
      </c>
      <c r="C1914" s="9">
        <v>6</v>
      </c>
      <c r="D1914" s="8" t="str">
        <f t="shared" si="350"/>
        <v>Y</v>
      </c>
      <c r="E1914" s="8" t="str">
        <f t="shared" si="351"/>
        <v>N</v>
      </c>
      <c r="F1914" s="8" t="str">
        <f t="shared" si="352"/>
        <v>Y</v>
      </c>
      <c r="G1914" s="8" t="str">
        <f t="shared" si="353"/>
        <v>Y</v>
      </c>
      <c r="H1914" s="8" t="str">
        <f t="shared" si="354"/>
        <v>Upper</v>
      </c>
      <c r="I1914" s="8" t="str">
        <f t="shared" si="355"/>
        <v>West Fork and Below Lake</v>
      </c>
      <c r="J1914" s="8" t="str">
        <f t="shared" si="356"/>
        <v>Mendocino (d/s of lake)</v>
      </c>
      <c r="K1914" s="8" t="str">
        <f t="shared" si="357"/>
        <v>Riparian</v>
      </c>
      <c r="L1914" s="8">
        <f t="shared" si="358"/>
        <v>1000</v>
      </c>
      <c r="M1914" s="8" t="str">
        <f t="shared" si="360"/>
        <v>-</v>
      </c>
      <c r="N1914" s="10" t="s">
        <v>242</v>
      </c>
      <c r="O1914" s="10" t="s">
        <v>241</v>
      </c>
      <c r="P1914" s="10" t="s">
        <v>242</v>
      </c>
      <c r="Q1914" s="10" t="s">
        <v>242</v>
      </c>
      <c r="R1914" s="10" t="s">
        <v>242</v>
      </c>
      <c r="S1914" s="10" t="s">
        <v>241</v>
      </c>
      <c r="T1914" s="10" t="s">
        <v>242</v>
      </c>
      <c r="U1914" s="10" t="s">
        <v>242</v>
      </c>
      <c r="V1914" s="10" t="s">
        <v>241</v>
      </c>
      <c r="W1914" s="10" t="s">
        <v>242</v>
      </c>
      <c r="X1914" s="15">
        <f>IF(ISERROR(VLOOKUP($A1914,'13. Updated Demand'!A:Z,15,FALSE)),0,VLOOKUP($A1914,'13. Updated Demand'!A:Z,15,FALSE))</f>
        <v>0</v>
      </c>
      <c r="Y1914" s="16">
        <f>IF(ISERROR(VLOOKUP($A1914,'13. Updated Demand'!A:Z,16,FALSE)),0,VLOOKUP($A1914,'13. Updated Demand'!A:Z,16,FALSE))</f>
        <v>1.03</v>
      </c>
      <c r="Z1914" s="16">
        <f>IF(ISERROR(VLOOKUP($A1914,'13. Updated Demand'!A:Z,17,FALSE)),0,VLOOKUP($A1914,'13. Updated Demand'!A:Z,17,FALSE))</f>
        <v>0.93</v>
      </c>
      <c r="AA1914" s="16">
        <f>IF(ISERROR(VLOOKUP($A1914,'13. Updated Demand'!A:Z,18,FALSE)),0,VLOOKUP($A1914,'13. Updated Demand'!A:Z,18,FALSE))</f>
        <v>0</v>
      </c>
      <c r="AB1914" s="16">
        <f>IF(ISERROR(VLOOKUP($A1914,'13. Updated Demand'!A:Z,19,FALSE)),0,VLOOKUP($A1914,'13. Updated Demand'!A:Z,19,FALSE))</f>
        <v>0</v>
      </c>
      <c r="AC1914" s="16">
        <f>IF(ISERROR(VLOOKUP($A1914,'13. Updated Demand'!A:Z,20,FALSE)),0,VLOOKUP($A1914,'13. Updated Demand'!A:Z,20,FALSE))</f>
        <v>0</v>
      </c>
      <c r="AD1914" s="16">
        <f>IF(ISERROR(VLOOKUP($A1914,'13. Updated Demand'!A:Z,21,FALSE)),0,VLOOKUP($A1914,'13. Updated Demand'!A:Z,21,FALSE))</f>
        <v>0</v>
      </c>
      <c r="AE1914" s="16">
        <f>IF(ISERROR(VLOOKUP($A1914,'13. Updated Demand'!A:Z,22,FALSE)),0,VLOOKUP($A1914,'13. Updated Demand'!A:Z,22,FALSE))</f>
        <v>0</v>
      </c>
      <c r="AF1914" s="16">
        <f>IF(ISERROR(VLOOKUP($A1914,'13. Updated Demand'!A:Z,23,FALSE)),0,VLOOKUP($A1914,'13. Updated Demand'!A:Z,23,FALSE))</f>
        <v>0</v>
      </c>
      <c r="AG1914" s="16">
        <f>IF(ISERROR(VLOOKUP($A1914,'13. Updated Demand'!A:Z,24,FALSE)),0,VLOOKUP($A1914,'13. Updated Demand'!A:Z,24,FALSE))</f>
        <v>0</v>
      </c>
      <c r="AH1914" s="16">
        <f>IF(ISERROR(VLOOKUP($A1914,'13. Updated Demand'!A:Z,25,FALSE)),0,VLOOKUP($A1914,'13. Updated Demand'!A:Z,25,FALSE))</f>
        <v>0</v>
      </c>
      <c r="AI1914" s="16">
        <f>IF(ISERROR(VLOOKUP($A1914,'13. Updated Demand'!A:Z,26,FALSE)),0,VLOOKUP($A1914,'13. Updated Demand'!A:Z,26,FALSE))</f>
        <v>0.56000000000000005</v>
      </c>
      <c r="AJ1914" s="16">
        <f t="shared" si="361"/>
        <v>2.52</v>
      </c>
      <c r="AK1914" s="19">
        <v>0</v>
      </c>
      <c r="AL1914" s="16">
        <f t="shared" si="359"/>
        <v>0</v>
      </c>
      <c r="AM1914" s="26">
        <v>0.10872675248927037</v>
      </c>
      <c r="AN1914" s="19">
        <v>23.3</v>
      </c>
      <c r="AO1914" s="19" t="s">
        <v>1758</v>
      </c>
      <c r="AP1914" s="19">
        <v>0</v>
      </c>
      <c r="AQ1914" s="19" t="s">
        <v>307</v>
      </c>
      <c r="AR1914" s="9" t="s">
        <v>319</v>
      </c>
      <c r="AS1914" s="12">
        <v>0</v>
      </c>
      <c r="AT1914" s="19">
        <v>38.955246250000002</v>
      </c>
      <c r="AU1914" s="19">
        <v>-123.05095163999999</v>
      </c>
      <c r="AV1914" s="19" t="s">
        <v>385</v>
      </c>
    </row>
    <row r="1915" spans="1:48" x14ac:dyDescent="0.25">
      <c r="A1915" s="18" t="s">
        <v>2334</v>
      </c>
      <c r="B1915" s="10">
        <v>10000000</v>
      </c>
      <c r="C1915" s="9">
        <v>6</v>
      </c>
      <c r="D1915" s="8" t="str">
        <f t="shared" si="350"/>
        <v>Y</v>
      </c>
      <c r="E1915" s="8" t="str">
        <f t="shared" si="351"/>
        <v>N</v>
      </c>
      <c r="F1915" s="8" t="str">
        <f t="shared" si="352"/>
        <v>Y</v>
      </c>
      <c r="G1915" s="8" t="str">
        <f t="shared" si="353"/>
        <v>Y</v>
      </c>
      <c r="H1915" s="8" t="str">
        <f t="shared" si="354"/>
        <v>Upper</v>
      </c>
      <c r="I1915" s="8" t="str">
        <f t="shared" si="355"/>
        <v>West Fork and Below Lake</v>
      </c>
      <c r="J1915" s="8" t="str">
        <f t="shared" si="356"/>
        <v>Mendocino (d/s of lake)</v>
      </c>
      <c r="K1915" s="8" t="str">
        <f t="shared" si="357"/>
        <v>Riparian</v>
      </c>
      <c r="L1915" s="8">
        <f t="shared" si="358"/>
        <v>1000</v>
      </c>
      <c r="M1915" s="8" t="str">
        <f t="shared" si="360"/>
        <v>-</v>
      </c>
      <c r="N1915" s="10" t="s">
        <v>242</v>
      </c>
      <c r="O1915" s="10" t="s">
        <v>241</v>
      </c>
      <c r="P1915" s="10" t="s">
        <v>242</v>
      </c>
      <c r="Q1915" s="10" t="s">
        <v>242</v>
      </c>
      <c r="R1915" s="10" t="s">
        <v>242</v>
      </c>
      <c r="S1915" s="10" t="s">
        <v>241</v>
      </c>
      <c r="T1915" s="10" t="s">
        <v>242</v>
      </c>
      <c r="U1915" s="10" t="s">
        <v>242</v>
      </c>
      <c r="V1915" s="10" t="s">
        <v>241</v>
      </c>
      <c r="W1915" s="10" t="s">
        <v>242</v>
      </c>
      <c r="X1915" s="15">
        <f>IF(ISERROR(VLOOKUP($A1915,'13. Updated Demand'!A:Z,15,FALSE)),0,VLOOKUP($A1915,'13. Updated Demand'!A:Z,15,FALSE))</f>
        <v>0</v>
      </c>
      <c r="Y1915" s="16">
        <f>IF(ISERROR(VLOOKUP($A1915,'13. Updated Demand'!A:Z,16,FALSE)),0,VLOOKUP($A1915,'13. Updated Demand'!A:Z,16,FALSE))</f>
        <v>0.1</v>
      </c>
      <c r="Z1915" s="16">
        <f>IF(ISERROR(VLOOKUP($A1915,'13. Updated Demand'!A:Z,17,FALSE)),0,VLOOKUP($A1915,'13. Updated Demand'!A:Z,17,FALSE))</f>
        <v>0.5</v>
      </c>
      <c r="AA1915" s="16">
        <f>IF(ISERROR(VLOOKUP($A1915,'13. Updated Demand'!A:Z,18,FALSE)),0,VLOOKUP($A1915,'13. Updated Demand'!A:Z,18,FALSE))</f>
        <v>0</v>
      </c>
      <c r="AB1915" s="16">
        <f>IF(ISERROR(VLOOKUP($A1915,'13. Updated Demand'!A:Z,19,FALSE)),0,VLOOKUP($A1915,'13. Updated Demand'!A:Z,19,FALSE))</f>
        <v>0</v>
      </c>
      <c r="AC1915" s="16">
        <f>IF(ISERROR(VLOOKUP($A1915,'13. Updated Demand'!A:Z,20,FALSE)),0,VLOOKUP($A1915,'13. Updated Demand'!A:Z,20,FALSE))</f>
        <v>0</v>
      </c>
      <c r="AD1915" s="16">
        <f>IF(ISERROR(VLOOKUP($A1915,'13. Updated Demand'!A:Z,21,FALSE)),0,VLOOKUP($A1915,'13. Updated Demand'!A:Z,21,FALSE))</f>
        <v>0</v>
      </c>
      <c r="AE1915" s="16">
        <f>IF(ISERROR(VLOOKUP($A1915,'13. Updated Demand'!A:Z,22,FALSE)),0,VLOOKUP($A1915,'13. Updated Demand'!A:Z,22,FALSE))</f>
        <v>0</v>
      </c>
      <c r="AF1915" s="16">
        <f>IF(ISERROR(VLOOKUP($A1915,'13. Updated Demand'!A:Z,23,FALSE)),0,VLOOKUP($A1915,'13. Updated Demand'!A:Z,23,FALSE))</f>
        <v>0</v>
      </c>
      <c r="AG1915" s="16">
        <f>IF(ISERROR(VLOOKUP($A1915,'13. Updated Demand'!A:Z,24,FALSE)),0,VLOOKUP($A1915,'13. Updated Demand'!A:Z,24,FALSE))</f>
        <v>0.06</v>
      </c>
      <c r="AH1915" s="16">
        <f>IF(ISERROR(VLOOKUP($A1915,'13. Updated Demand'!A:Z,25,FALSE)),0,VLOOKUP($A1915,'13. Updated Demand'!A:Z,25,FALSE))</f>
        <v>0.26</v>
      </c>
      <c r="AI1915" s="16">
        <f>IF(ISERROR(VLOOKUP($A1915,'13. Updated Demand'!A:Z,26,FALSE)),0,VLOOKUP($A1915,'13. Updated Demand'!A:Z,26,FALSE))</f>
        <v>1.66</v>
      </c>
      <c r="AJ1915" s="16">
        <f t="shared" si="361"/>
        <v>2.58</v>
      </c>
      <c r="AK1915" s="19">
        <v>0</v>
      </c>
      <c r="AL1915" s="16">
        <f t="shared" si="359"/>
        <v>0</v>
      </c>
      <c r="AM1915" s="26">
        <v>0.23636363645454547</v>
      </c>
      <c r="AN1915" s="19">
        <v>11</v>
      </c>
      <c r="AO1915" s="19" t="s">
        <v>1758</v>
      </c>
      <c r="AP1915" s="19">
        <v>0</v>
      </c>
      <c r="AQ1915" s="19" t="s">
        <v>307</v>
      </c>
      <c r="AR1915" s="9" t="s">
        <v>319</v>
      </c>
      <c r="AS1915" s="12">
        <v>0</v>
      </c>
      <c r="AT1915" s="19">
        <v>38.960500000000003</v>
      </c>
      <c r="AU1915" s="19">
        <v>-123.0474</v>
      </c>
      <c r="AV1915" s="19" t="s">
        <v>385</v>
      </c>
    </row>
    <row r="1916" spans="1:48" x14ac:dyDescent="0.25">
      <c r="A1916" s="18" t="s">
        <v>2335</v>
      </c>
      <c r="B1916" s="10">
        <v>10000000</v>
      </c>
      <c r="C1916" s="9">
        <v>6</v>
      </c>
      <c r="D1916" s="8" t="str">
        <f t="shared" si="350"/>
        <v>Y</v>
      </c>
      <c r="E1916" s="8" t="str">
        <f t="shared" si="351"/>
        <v>N</v>
      </c>
      <c r="F1916" s="8" t="str">
        <f t="shared" si="352"/>
        <v>Y</v>
      </c>
      <c r="G1916" s="8" t="str">
        <f t="shared" si="353"/>
        <v>Y</v>
      </c>
      <c r="H1916" s="8" t="str">
        <f t="shared" si="354"/>
        <v>Upper</v>
      </c>
      <c r="I1916" s="8" t="str">
        <f t="shared" si="355"/>
        <v>West Fork and Below Lake</v>
      </c>
      <c r="J1916" s="8" t="str">
        <f t="shared" si="356"/>
        <v>Mendocino (d/s of lake)</v>
      </c>
      <c r="K1916" s="8" t="str">
        <f t="shared" si="357"/>
        <v>Riparian</v>
      </c>
      <c r="L1916" s="8">
        <f t="shared" si="358"/>
        <v>1000</v>
      </c>
      <c r="M1916" s="8" t="str">
        <f t="shared" si="360"/>
        <v>-</v>
      </c>
      <c r="N1916" s="10" t="s">
        <v>242</v>
      </c>
      <c r="O1916" s="10" t="s">
        <v>241</v>
      </c>
      <c r="P1916" s="10" t="s">
        <v>242</v>
      </c>
      <c r="Q1916" s="10" t="s">
        <v>242</v>
      </c>
      <c r="R1916" s="10" t="s">
        <v>242</v>
      </c>
      <c r="S1916" s="10" t="s">
        <v>241</v>
      </c>
      <c r="T1916" s="10" t="s">
        <v>242</v>
      </c>
      <c r="U1916" s="10" t="s">
        <v>242</v>
      </c>
      <c r="V1916" s="10" t="s">
        <v>241</v>
      </c>
      <c r="W1916" s="10" t="s">
        <v>242</v>
      </c>
      <c r="X1916" s="15">
        <f>IF(ISERROR(VLOOKUP($A1916,'13. Updated Demand'!A:Z,15,FALSE)),0,VLOOKUP($A1916,'13. Updated Demand'!A:Z,15,FALSE))</f>
        <v>1.03</v>
      </c>
      <c r="Y1916" s="16">
        <f>IF(ISERROR(VLOOKUP($A1916,'13. Updated Demand'!A:Z,16,FALSE)),0,VLOOKUP($A1916,'13. Updated Demand'!A:Z,16,FALSE))</f>
        <v>0.86</v>
      </c>
      <c r="Z1916" s="16">
        <f>IF(ISERROR(VLOOKUP($A1916,'13. Updated Demand'!A:Z,17,FALSE)),0,VLOOKUP($A1916,'13. Updated Demand'!A:Z,17,FALSE))</f>
        <v>2.83</v>
      </c>
      <c r="AA1916" s="16">
        <f>IF(ISERROR(VLOOKUP($A1916,'13. Updated Demand'!A:Z,18,FALSE)),0,VLOOKUP($A1916,'13. Updated Demand'!A:Z,18,FALSE))</f>
        <v>0</v>
      </c>
      <c r="AB1916" s="16">
        <f>IF(ISERROR(VLOOKUP($A1916,'13. Updated Demand'!A:Z,19,FALSE)),0,VLOOKUP($A1916,'13. Updated Demand'!A:Z,19,FALSE))</f>
        <v>0</v>
      </c>
      <c r="AC1916" s="16">
        <f>IF(ISERROR(VLOOKUP($A1916,'13. Updated Demand'!A:Z,20,FALSE)),0,VLOOKUP($A1916,'13. Updated Demand'!A:Z,20,FALSE))</f>
        <v>0</v>
      </c>
      <c r="AD1916" s="16">
        <f>IF(ISERROR(VLOOKUP($A1916,'13. Updated Demand'!A:Z,21,FALSE)),0,VLOOKUP($A1916,'13. Updated Demand'!A:Z,21,FALSE))</f>
        <v>0</v>
      </c>
      <c r="AE1916" s="16">
        <f>IF(ISERROR(VLOOKUP($A1916,'13. Updated Demand'!A:Z,22,FALSE)),0,VLOOKUP($A1916,'13. Updated Demand'!A:Z,22,FALSE))</f>
        <v>0</v>
      </c>
      <c r="AF1916" s="16">
        <f>IF(ISERROR(VLOOKUP($A1916,'13. Updated Demand'!A:Z,23,FALSE)),0,VLOOKUP($A1916,'13. Updated Demand'!A:Z,23,FALSE))</f>
        <v>0</v>
      </c>
      <c r="AG1916" s="16">
        <f>IF(ISERROR(VLOOKUP($A1916,'13. Updated Demand'!A:Z,24,FALSE)),0,VLOOKUP($A1916,'13. Updated Demand'!A:Z,24,FALSE))</f>
        <v>0</v>
      </c>
      <c r="AH1916" s="16">
        <f>IF(ISERROR(VLOOKUP($A1916,'13. Updated Demand'!A:Z,25,FALSE)),0,VLOOKUP($A1916,'13. Updated Demand'!A:Z,25,FALSE))</f>
        <v>0.16</v>
      </c>
      <c r="AI1916" s="16">
        <f>IF(ISERROR(VLOOKUP($A1916,'13. Updated Demand'!A:Z,26,FALSE)),0,VLOOKUP($A1916,'13. Updated Demand'!A:Z,26,FALSE))</f>
        <v>1.8</v>
      </c>
      <c r="AJ1916" s="16">
        <f t="shared" si="361"/>
        <v>6.6800000000000006</v>
      </c>
      <c r="AK1916" s="19">
        <v>0</v>
      </c>
      <c r="AL1916" s="16">
        <f t="shared" si="359"/>
        <v>0</v>
      </c>
      <c r="AM1916" s="26">
        <v>0.34895833333333337</v>
      </c>
      <c r="AN1916" s="19">
        <v>19.2</v>
      </c>
      <c r="AO1916" s="19" t="s">
        <v>1758</v>
      </c>
      <c r="AP1916" s="19">
        <v>0</v>
      </c>
      <c r="AQ1916" s="19" t="s">
        <v>307</v>
      </c>
      <c r="AR1916" s="9" t="s">
        <v>319</v>
      </c>
      <c r="AS1916" s="12">
        <v>0</v>
      </c>
      <c r="AT1916" s="19">
        <v>38.963500000000003</v>
      </c>
      <c r="AU1916" s="19">
        <v>-123.0568</v>
      </c>
      <c r="AV1916" s="19" t="s">
        <v>385</v>
      </c>
    </row>
    <row r="1917" spans="1:48" x14ac:dyDescent="0.25">
      <c r="A1917" s="18" t="s">
        <v>2336</v>
      </c>
      <c r="B1917" s="10">
        <v>10000000</v>
      </c>
      <c r="C1917" s="9">
        <v>14</v>
      </c>
      <c r="D1917" s="8" t="str">
        <f t="shared" si="350"/>
        <v>N</v>
      </c>
      <c r="E1917" s="8" t="str">
        <f t="shared" si="351"/>
        <v>N</v>
      </c>
      <c r="F1917" s="8" t="str">
        <f t="shared" si="352"/>
        <v>N</v>
      </c>
      <c r="G1917" s="8" t="str">
        <f t="shared" si="353"/>
        <v>N</v>
      </c>
      <c r="H1917" s="8" t="str">
        <f t="shared" si="354"/>
        <v>Lower</v>
      </c>
      <c r="I1917" s="8" t="str">
        <f t="shared" si="355"/>
        <v>Outside</v>
      </c>
      <c r="J1917" s="8" t="str">
        <f t="shared" si="356"/>
        <v>Outside</v>
      </c>
      <c r="K1917" s="8" t="str">
        <f t="shared" si="357"/>
        <v>Riparian</v>
      </c>
      <c r="L1917" s="8">
        <f t="shared" si="358"/>
        <v>1000</v>
      </c>
      <c r="M1917" s="8" t="str">
        <f t="shared" si="360"/>
        <v>-</v>
      </c>
      <c r="N1917" s="10" t="s">
        <v>242</v>
      </c>
      <c r="O1917" s="10" t="s">
        <v>242</v>
      </c>
      <c r="P1917" s="10" t="s">
        <v>242</v>
      </c>
      <c r="Q1917" s="10" t="s">
        <v>242</v>
      </c>
      <c r="R1917" s="10" t="s">
        <v>242</v>
      </c>
      <c r="S1917" s="10" t="s">
        <v>241</v>
      </c>
      <c r="T1917" s="10" t="s">
        <v>242</v>
      </c>
      <c r="U1917" s="10" t="s">
        <v>242</v>
      </c>
      <c r="V1917" s="10" t="s">
        <v>241</v>
      </c>
      <c r="W1917" s="10" t="s">
        <v>242</v>
      </c>
      <c r="X1917" s="15">
        <f>IF(ISERROR(VLOOKUP($A1917,'13. Updated Demand'!A:Z,15,FALSE)),0,VLOOKUP($A1917,'13. Updated Demand'!A:Z,15,FALSE))</f>
        <v>3.4333333330000002</v>
      </c>
      <c r="Y1917" s="16">
        <f>IF(ISERROR(VLOOKUP($A1917,'13. Updated Demand'!A:Z,16,FALSE)),0,VLOOKUP($A1917,'13. Updated Demand'!A:Z,16,FALSE))</f>
        <v>0</v>
      </c>
      <c r="Z1917" s="16">
        <f>IF(ISERROR(VLOOKUP($A1917,'13. Updated Demand'!A:Z,17,FALSE)),0,VLOOKUP($A1917,'13. Updated Demand'!A:Z,17,FALSE))</f>
        <v>0</v>
      </c>
      <c r="AA1917" s="16">
        <f>IF(ISERROR(VLOOKUP($A1917,'13. Updated Demand'!A:Z,18,FALSE)),0,VLOOKUP($A1917,'13. Updated Demand'!A:Z,18,FALSE))</f>
        <v>0</v>
      </c>
      <c r="AB1917" s="16">
        <f>IF(ISERROR(VLOOKUP($A1917,'13. Updated Demand'!A:Z,19,FALSE)),0,VLOOKUP($A1917,'13. Updated Demand'!A:Z,19,FALSE))</f>
        <v>0</v>
      </c>
      <c r="AC1917" s="16">
        <f>IF(ISERROR(VLOOKUP($A1917,'13. Updated Demand'!A:Z,20,FALSE)),0,VLOOKUP($A1917,'13. Updated Demand'!A:Z,20,FALSE))</f>
        <v>0</v>
      </c>
      <c r="AD1917" s="16">
        <f>IF(ISERROR(VLOOKUP($A1917,'13. Updated Demand'!A:Z,21,FALSE)),0,VLOOKUP($A1917,'13. Updated Demand'!A:Z,21,FALSE))</f>
        <v>0</v>
      </c>
      <c r="AE1917" s="16">
        <f>IF(ISERROR(VLOOKUP($A1917,'13. Updated Demand'!A:Z,22,FALSE)),0,VLOOKUP($A1917,'13. Updated Demand'!A:Z,22,FALSE))</f>
        <v>0</v>
      </c>
      <c r="AF1917" s="16">
        <f>IF(ISERROR(VLOOKUP($A1917,'13. Updated Demand'!A:Z,23,FALSE)),0,VLOOKUP($A1917,'13. Updated Demand'!A:Z,23,FALSE))</f>
        <v>0</v>
      </c>
      <c r="AG1917" s="16">
        <f>IF(ISERROR(VLOOKUP($A1917,'13. Updated Demand'!A:Z,24,FALSE)),0,VLOOKUP($A1917,'13. Updated Demand'!A:Z,24,FALSE))</f>
        <v>0</v>
      </c>
      <c r="AH1917" s="16">
        <f>IF(ISERROR(VLOOKUP($A1917,'13. Updated Demand'!A:Z,25,FALSE)),0,VLOOKUP($A1917,'13. Updated Demand'!A:Z,25,FALSE))</f>
        <v>2.1</v>
      </c>
      <c r="AI1917" s="16">
        <f>IF(ISERROR(VLOOKUP($A1917,'13. Updated Demand'!A:Z,26,FALSE)),0,VLOOKUP($A1917,'13. Updated Demand'!A:Z,26,FALSE))</f>
        <v>3.0333333329999999</v>
      </c>
      <c r="AJ1917" s="16">
        <f t="shared" si="361"/>
        <v>8.5666666659999997</v>
      </c>
      <c r="AK1917" s="19">
        <v>0</v>
      </c>
      <c r="AL1917" s="16">
        <f t="shared" si="359"/>
        <v>0</v>
      </c>
      <c r="AM1917" s="26">
        <v>0.41585760517799314</v>
      </c>
      <c r="AN1917" s="19">
        <v>20.6</v>
      </c>
      <c r="AO1917" s="19" t="s">
        <v>1758</v>
      </c>
      <c r="AP1917" s="19">
        <v>0</v>
      </c>
      <c r="AQ1917" s="19" t="s">
        <v>307</v>
      </c>
      <c r="AR1917" s="9" t="s">
        <v>493</v>
      </c>
      <c r="AS1917" s="12">
        <v>0</v>
      </c>
      <c r="AT1917" s="19">
        <v>38.690899999999999</v>
      </c>
      <c r="AU1917" s="19">
        <v>-123.00709999999999</v>
      </c>
      <c r="AV1917" s="19" t="s">
        <v>619</v>
      </c>
    </row>
    <row r="1918" spans="1:48" x14ac:dyDescent="0.25">
      <c r="A1918" s="18" t="s">
        <v>2337</v>
      </c>
      <c r="B1918" s="10">
        <v>10000000</v>
      </c>
      <c r="C1918" s="9">
        <v>1</v>
      </c>
      <c r="D1918" s="8" t="str">
        <f t="shared" si="350"/>
        <v>N</v>
      </c>
      <c r="E1918" s="8" t="str">
        <f t="shared" si="351"/>
        <v>N</v>
      </c>
      <c r="F1918" s="8" t="str">
        <f t="shared" si="352"/>
        <v>Y</v>
      </c>
      <c r="G1918" s="8" t="str">
        <f t="shared" si="353"/>
        <v>Y</v>
      </c>
      <c r="H1918" s="8" t="str">
        <f t="shared" si="354"/>
        <v>Upper</v>
      </c>
      <c r="I1918" s="8" t="str">
        <f t="shared" si="355"/>
        <v>West Fork and Below Lake</v>
      </c>
      <c r="J1918" s="8" t="str">
        <f t="shared" si="356"/>
        <v>Outside</v>
      </c>
      <c r="K1918" s="8" t="str">
        <f t="shared" si="357"/>
        <v>Riparian</v>
      </c>
      <c r="L1918" s="8">
        <f t="shared" si="358"/>
        <v>1000</v>
      </c>
      <c r="M1918" s="8" t="str">
        <f t="shared" si="360"/>
        <v>-</v>
      </c>
      <c r="N1918" s="10" t="s">
        <v>242</v>
      </c>
      <c r="O1918" s="10" t="s">
        <v>241</v>
      </c>
      <c r="P1918" s="10" t="s">
        <v>242</v>
      </c>
      <c r="Q1918" s="10" t="s">
        <v>242</v>
      </c>
      <c r="R1918" s="10" t="s">
        <v>242</v>
      </c>
      <c r="S1918" s="10" t="s">
        <v>241</v>
      </c>
      <c r="T1918" s="10" t="s">
        <v>242</v>
      </c>
      <c r="U1918" s="10" t="s">
        <v>242</v>
      </c>
      <c r="V1918" s="10" t="s">
        <v>241</v>
      </c>
      <c r="W1918" s="10" t="s">
        <v>242</v>
      </c>
      <c r="X1918" s="15">
        <f>IF(ISERROR(VLOOKUP($A1918,'13. Updated Demand'!A:Z,15,FALSE)),0,VLOOKUP($A1918,'13. Updated Demand'!A:Z,15,FALSE))</f>
        <v>0.06</v>
      </c>
      <c r="Y1918" s="16">
        <f>IF(ISERROR(VLOOKUP($A1918,'13. Updated Demand'!A:Z,16,FALSE)),0,VLOOKUP($A1918,'13. Updated Demand'!A:Z,16,FALSE))</f>
        <v>0</v>
      </c>
      <c r="Z1918" s="16">
        <f>IF(ISERROR(VLOOKUP($A1918,'13. Updated Demand'!A:Z,17,FALSE)),0,VLOOKUP($A1918,'13. Updated Demand'!A:Z,17,FALSE))</f>
        <v>0</v>
      </c>
      <c r="AA1918" s="16">
        <f>IF(ISERROR(VLOOKUP($A1918,'13. Updated Demand'!A:Z,18,FALSE)),0,VLOOKUP($A1918,'13. Updated Demand'!A:Z,18,FALSE))</f>
        <v>0.13</v>
      </c>
      <c r="AB1918" s="16">
        <f>IF(ISERROR(VLOOKUP($A1918,'13. Updated Demand'!A:Z,19,FALSE)),0,VLOOKUP($A1918,'13. Updated Demand'!A:Z,19,FALSE))</f>
        <v>0</v>
      </c>
      <c r="AC1918" s="16">
        <f>IF(ISERROR(VLOOKUP($A1918,'13. Updated Demand'!A:Z,20,FALSE)),0,VLOOKUP($A1918,'13. Updated Demand'!A:Z,20,FALSE))</f>
        <v>0</v>
      </c>
      <c r="AD1918" s="16">
        <f>IF(ISERROR(VLOOKUP($A1918,'13. Updated Demand'!A:Z,21,FALSE)),0,VLOOKUP($A1918,'13. Updated Demand'!A:Z,21,FALSE))</f>
        <v>0</v>
      </c>
      <c r="AE1918" s="16">
        <f>IF(ISERROR(VLOOKUP($A1918,'13. Updated Demand'!A:Z,22,FALSE)),0,VLOOKUP($A1918,'13. Updated Demand'!A:Z,22,FALSE))</f>
        <v>0</v>
      </c>
      <c r="AF1918" s="16">
        <f>IF(ISERROR(VLOOKUP($A1918,'13. Updated Demand'!A:Z,23,FALSE)),0,VLOOKUP($A1918,'13. Updated Demand'!A:Z,23,FALSE))</f>
        <v>0</v>
      </c>
      <c r="AG1918" s="16">
        <f>IF(ISERROR(VLOOKUP($A1918,'13. Updated Demand'!A:Z,24,FALSE)),0,VLOOKUP($A1918,'13. Updated Demand'!A:Z,24,FALSE))</f>
        <v>0</v>
      </c>
      <c r="AH1918" s="16">
        <f>IF(ISERROR(VLOOKUP($A1918,'13. Updated Demand'!A:Z,25,FALSE)),0,VLOOKUP($A1918,'13. Updated Demand'!A:Z,25,FALSE))</f>
        <v>0.23</v>
      </c>
      <c r="AI1918" s="16">
        <f>IF(ISERROR(VLOOKUP($A1918,'13. Updated Demand'!A:Z,26,FALSE)),0,VLOOKUP($A1918,'13. Updated Demand'!A:Z,26,FALSE))</f>
        <v>0.46</v>
      </c>
      <c r="AJ1918" s="16">
        <f t="shared" si="361"/>
        <v>0.88000000000000012</v>
      </c>
      <c r="AK1918" s="19">
        <v>0</v>
      </c>
      <c r="AL1918" s="16">
        <f t="shared" si="359"/>
        <v>0</v>
      </c>
      <c r="AM1918" s="26">
        <v>0</v>
      </c>
      <c r="AN1918" s="19"/>
      <c r="AO1918" s="19"/>
      <c r="AP1918" s="19">
        <v>0</v>
      </c>
      <c r="AQ1918" s="19" t="s">
        <v>307</v>
      </c>
      <c r="AR1918" s="9" t="s">
        <v>317</v>
      </c>
      <c r="AS1918" s="12">
        <v>0</v>
      </c>
      <c r="AT1918" s="19">
        <v>39.324100000000001</v>
      </c>
      <c r="AU1918" s="19">
        <v>-123.22880000000001</v>
      </c>
      <c r="AV1918" s="19" t="s">
        <v>385</v>
      </c>
    </row>
    <row r="1919" spans="1:48" x14ac:dyDescent="0.25">
      <c r="A1919" s="18" t="s">
        <v>2338</v>
      </c>
      <c r="B1919" s="10">
        <v>10000000</v>
      </c>
      <c r="C1919" s="9">
        <v>1</v>
      </c>
      <c r="D1919" s="8" t="str">
        <f t="shared" si="350"/>
        <v>N</v>
      </c>
      <c r="E1919" s="8" t="str">
        <f t="shared" si="351"/>
        <v>N</v>
      </c>
      <c r="F1919" s="8" t="str">
        <f t="shared" si="352"/>
        <v>Y</v>
      </c>
      <c r="G1919" s="8" t="str">
        <f t="shared" si="353"/>
        <v>Y</v>
      </c>
      <c r="H1919" s="8" t="str">
        <f t="shared" si="354"/>
        <v>Upper</v>
      </c>
      <c r="I1919" s="8" t="str">
        <f t="shared" si="355"/>
        <v>West Fork and Below Lake</v>
      </c>
      <c r="J1919" s="8" t="str">
        <f t="shared" si="356"/>
        <v>Outside</v>
      </c>
      <c r="K1919" s="8" t="str">
        <f t="shared" si="357"/>
        <v>Riparian</v>
      </c>
      <c r="L1919" s="8">
        <f t="shared" si="358"/>
        <v>1000</v>
      </c>
      <c r="M1919" s="8" t="str">
        <f t="shared" si="360"/>
        <v>-</v>
      </c>
      <c r="N1919" s="10" t="s">
        <v>242</v>
      </c>
      <c r="O1919" s="10" t="s">
        <v>241</v>
      </c>
      <c r="P1919" s="10" t="s">
        <v>242</v>
      </c>
      <c r="Q1919" s="10" t="s">
        <v>242</v>
      </c>
      <c r="R1919" s="10" t="s">
        <v>242</v>
      </c>
      <c r="S1919" s="10" t="s">
        <v>241</v>
      </c>
      <c r="T1919" s="10" t="s">
        <v>242</v>
      </c>
      <c r="U1919" s="10" t="s">
        <v>242</v>
      </c>
      <c r="V1919" s="10" t="s">
        <v>241</v>
      </c>
      <c r="W1919" s="10" t="s">
        <v>242</v>
      </c>
      <c r="X1919" s="15">
        <f>IF(ISERROR(VLOOKUP($A1919,'13. Updated Demand'!A:Z,15,FALSE)),0,VLOOKUP($A1919,'13. Updated Demand'!A:Z,15,FALSE))</f>
        <v>0.46</v>
      </c>
      <c r="Y1919" s="16">
        <f>IF(ISERROR(VLOOKUP($A1919,'13. Updated Demand'!A:Z,16,FALSE)),0,VLOOKUP($A1919,'13. Updated Demand'!A:Z,16,FALSE))</f>
        <v>0</v>
      </c>
      <c r="Z1919" s="16">
        <f>IF(ISERROR(VLOOKUP($A1919,'13. Updated Demand'!A:Z,17,FALSE)),0,VLOOKUP($A1919,'13. Updated Demand'!A:Z,17,FALSE))</f>
        <v>0.06</v>
      </c>
      <c r="AA1919" s="16">
        <f>IF(ISERROR(VLOOKUP($A1919,'13. Updated Demand'!A:Z,18,FALSE)),0,VLOOKUP($A1919,'13. Updated Demand'!A:Z,18,FALSE))</f>
        <v>0</v>
      </c>
      <c r="AB1919" s="16">
        <f>IF(ISERROR(VLOOKUP($A1919,'13. Updated Demand'!A:Z,19,FALSE)),0,VLOOKUP($A1919,'13. Updated Demand'!A:Z,19,FALSE))</f>
        <v>0</v>
      </c>
      <c r="AC1919" s="16">
        <f>IF(ISERROR(VLOOKUP($A1919,'13. Updated Demand'!A:Z,20,FALSE)),0,VLOOKUP($A1919,'13. Updated Demand'!A:Z,20,FALSE))</f>
        <v>0</v>
      </c>
      <c r="AD1919" s="16">
        <f>IF(ISERROR(VLOOKUP($A1919,'13. Updated Demand'!A:Z,21,FALSE)),0,VLOOKUP($A1919,'13. Updated Demand'!A:Z,21,FALSE))</f>
        <v>0</v>
      </c>
      <c r="AE1919" s="16">
        <f>IF(ISERROR(VLOOKUP($A1919,'13. Updated Demand'!A:Z,22,FALSE)),0,VLOOKUP($A1919,'13. Updated Demand'!A:Z,22,FALSE))</f>
        <v>0</v>
      </c>
      <c r="AF1919" s="16">
        <f>IF(ISERROR(VLOOKUP($A1919,'13. Updated Demand'!A:Z,23,FALSE)),0,VLOOKUP($A1919,'13. Updated Demand'!A:Z,23,FALSE))</f>
        <v>0</v>
      </c>
      <c r="AG1919" s="16">
        <f>IF(ISERROR(VLOOKUP($A1919,'13. Updated Demand'!A:Z,24,FALSE)),0,VLOOKUP($A1919,'13. Updated Demand'!A:Z,24,FALSE))</f>
        <v>0</v>
      </c>
      <c r="AH1919" s="16">
        <f>IF(ISERROR(VLOOKUP($A1919,'13. Updated Demand'!A:Z,25,FALSE)),0,VLOOKUP($A1919,'13. Updated Demand'!A:Z,25,FALSE))</f>
        <v>0</v>
      </c>
      <c r="AI1919" s="16">
        <f>IF(ISERROR(VLOOKUP($A1919,'13. Updated Demand'!A:Z,26,FALSE)),0,VLOOKUP($A1919,'13. Updated Demand'!A:Z,26,FALSE))</f>
        <v>0</v>
      </c>
      <c r="AJ1919" s="16">
        <f t="shared" si="361"/>
        <v>0.52</v>
      </c>
      <c r="AK1919" s="19">
        <v>0</v>
      </c>
      <c r="AL1919" s="16">
        <f t="shared" si="359"/>
        <v>0</v>
      </c>
      <c r="AM1919" s="26">
        <v>5.0775275043317641E-4</v>
      </c>
      <c r="AN1919" s="19">
        <v>1050.3800000000001</v>
      </c>
      <c r="AO1919" s="19" t="s">
        <v>1758</v>
      </c>
      <c r="AP1919" s="19">
        <v>0</v>
      </c>
      <c r="AQ1919" s="19" t="s">
        <v>307</v>
      </c>
      <c r="AR1919" s="9" t="s">
        <v>317</v>
      </c>
      <c r="AS1919" s="12">
        <v>0</v>
      </c>
      <c r="AT1919" s="19">
        <v>39.3247</v>
      </c>
      <c r="AU1919" s="19">
        <v>-123.23260000000001</v>
      </c>
      <c r="AV1919" s="19" t="s">
        <v>385</v>
      </c>
    </row>
    <row r="1920" spans="1:48" x14ac:dyDescent="0.25">
      <c r="A1920" s="18" t="s">
        <v>2339</v>
      </c>
      <c r="B1920" s="10">
        <v>10000000</v>
      </c>
      <c r="C1920" s="9">
        <v>12</v>
      </c>
      <c r="D1920" s="8" t="str">
        <f t="shared" si="350"/>
        <v>N</v>
      </c>
      <c r="E1920" s="8" t="str">
        <f t="shared" si="351"/>
        <v>Y</v>
      </c>
      <c r="F1920" s="8" t="str">
        <f t="shared" si="352"/>
        <v>Y</v>
      </c>
      <c r="G1920" s="8" t="str">
        <f t="shared" si="353"/>
        <v>Y</v>
      </c>
      <c r="H1920" s="8" t="str">
        <f t="shared" si="354"/>
        <v>Upper</v>
      </c>
      <c r="I1920" s="8" t="str">
        <f t="shared" si="355"/>
        <v>West Fork and Below Lake</v>
      </c>
      <c r="J1920" s="8" t="str">
        <f t="shared" si="356"/>
        <v>Sonoma (d/s of Clov. Gage)</v>
      </c>
      <c r="K1920" s="8" t="str">
        <f t="shared" si="357"/>
        <v>Riparian</v>
      </c>
      <c r="L1920" s="8">
        <f t="shared" si="358"/>
        <v>1000</v>
      </c>
      <c r="M1920" s="8" t="str">
        <f t="shared" si="360"/>
        <v>-</v>
      </c>
      <c r="N1920" s="10" t="s">
        <v>242</v>
      </c>
      <c r="O1920" s="10" t="s">
        <v>241</v>
      </c>
      <c r="P1920" s="10" t="s">
        <v>242</v>
      </c>
      <c r="Q1920" s="10" t="s">
        <v>242</v>
      </c>
      <c r="R1920" s="10" t="s">
        <v>242</v>
      </c>
      <c r="S1920" s="10" t="s">
        <v>241</v>
      </c>
      <c r="T1920" s="10" t="s">
        <v>242</v>
      </c>
      <c r="U1920" s="10" t="s">
        <v>241</v>
      </c>
      <c r="V1920" s="10" t="s">
        <v>241</v>
      </c>
      <c r="W1920" s="10" t="s">
        <v>242</v>
      </c>
      <c r="X1920" s="15">
        <f>IF(ISERROR(VLOOKUP($A1920,'13. Updated Demand'!A:Z,15,FALSE)),0,VLOOKUP($A1920,'13. Updated Demand'!A:Z,15,FALSE))</f>
        <v>0</v>
      </c>
      <c r="Y1920" s="16">
        <f>IF(ISERROR(VLOOKUP($A1920,'13. Updated Demand'!A:Z,16,FALSE)),0,VLOOKUP($A1920,'13. Updated Demand'!A:Z,16,FALSE))</f>
        <v>0</v>
      </c>
      <c r="Z1920" s="16">
        <f>IF(ISERROR(VLOOKUP($A1920,'13. Updated Demand'!A:Z,17,FALSE)),0,VLOOKUP($A1920,'13. Updated Demand'!A:Z,17,FALSE))</f>
        <v>0</v>
      </c>
      <c r="AA1920" s="16">
        <f>IF(ISERROR(VLOOKUP($A1920,'13. Updated Demand'!A:Z,18,FALSE)),0,VLOOKUP($A1920,'13. Updated Demand'!A:Z,18,FALSE))</f>
        <v>0</v>
      </c>
      <c r="AB1920" s="16">
        <f>IF(ISERROR(VLOOKUP($A1920,'13. Updated Demand'!A:Z,19,FALSE)),0,VLOOKUP($A1920,'13. Updated Demand'!A:Z,19,FALSE))</f>
        <v>0</v>
      </c>
      <c r="AC1920" s="16">
        <f>IF(ISERROR(VLOOKUP($A1920,'13. Updated Demand'!A:Z,20,FALSE)),0,VLOOKUP($A1920,'13. Updated Demand'!A:Z,20,FALSE))</f>
        <v>0</v>
      </c>
      <c r="AD1920" s="16">
        <f>IF(ISERROR(VLOOKUP($A1920,'13. Updated Demand'!A:Z,21,FALSE)),0,VLOOKUP($A1920,'13. Updated Demand'!A:Z,21,FALSE))</f>
        <v>0</v>
      </c>
      <c r="AE1920" s="16">
        <f>IF(ISERROR(VLOOKUP($A1920,'13. Updated Demand'!A:Z,22,FALSE)),0,VLOOKUP($A1920,'13. Updated Demand'!A:Z,22,FALSE))</f>
        <v>0</v>
      </c>
      <c r="AF1920" s="16">
        <f>IF(ISERROR(VLOOKUP($A1920,'13. Updated Demand'!A:Z,23,FALSE)),0,VLOOKUP($A1920,'13. Updated Demand'!A:Z,23,FALSE))</f>
        <v>0</v>
      </c>
      <c r="AG1920" s="16">
        <f>IF(ISERROR(VLOOKUP($A1920,'13. Updated Demand'!A:Z,24,FALSE)),0,VLOOKUP($A1920,'13. Updated Demand'!A:Z,24,FALSE))</f>
        <v>0</v>
      </c>
      <c r="AH1920" s="16">
        <f>IF(ISERROR(VLOOKUP($A1920,'13. Updated Demand'!A:Z,25,FALSE)),0,VLOOKUP($A1920,'13. Updated Demand'!A:Z,25,FALSE))</f>
        <v>0</v>
      </c>
      <c r="AI1920" s="16">
        <f>IF(ISERROR(VLOOKUP($A1920,'13. Updated Demand'!A:Z,26,FALSE)),0,VLOOKUP($A1920,'13. Updated Demand'!A:Z,26,FALSE))</f>
        <v>0</v>
      </c>
      <c r="AJ1920" s="16">
        <f t="shared" si="361"/>
        <v>0</v>
      </c>
      <c r="AK1920" s="19">
        <v>0</v>
      </c>
      <c r="AL1920" s="16">
        <f t="shared" si="359"/>
        <v>0</v>
      </c>
      <c r="AM1920" s="26">
        <v>0</v>
      </c>
      <c r="AN1920" s="19">
        <v>4.5</v>
      </c>
      <c r="AO1920" s="19" t="s">
        <v>1758</v>
      </c>
      <c r="AP1920" s="19">
        <v>0</v>
      </c>
      <c r="AQ1920" s="19" t="s">
        <v>307</v>
      </c>
      <c r="AR1920" s="9" t="s">
        <v>311</v>
      </c>
      <c r="AS1920" s="12">
        <v>0</v>
      </c>
      <c r="AT1920" s="19">
        <v>38.622999999999998</v>
      </c>
      <c r="AU1920" s="19">
        <v>-122.70489999999999</v>
      </c>
      <c r="AV1920" s="19" t="s">
        <v>385</v>
      </c>
    </row>
    <row r="1921" spans="1:48" x14ac:dyDescent="0.25">
      <c r="A1921" s="18" t="s">
        <v>2340</v>
      </c>
      <c r="B1921" s="10">
        <v>10000000</v>
      </c>
      <c r="C1921" s="9">
        <v>17</v>
      </c>
      <c r="D1921" s="8" t="str">
        <f t="shared" si="350"/>
        <v>N</v>
      </c>
      <c r="E1921" s="8" t="str">
        <f t="shared" si="351"/>
        <v>N</v>
      </c>
      <c r="F1921" s="8" t="str">
        <f t="shared" si="352"/>
        <v>N</v>
      </c>
      <c r="G1921" s="8" t="str">
        <f t="shared" si="353"/>
        <v>N</v>
      </c>
      <c r="H1921" s="8" t="str">
        <f t="shared" si="354"/>
        <v>Lower</v>
      </c>
      <c r="I1921" s="8" t="str">
        <f t="shared" si="355"/>
        <v>Outside</v>
      </c>
      <c r="J1921" s="8" t="str">
        <f t="shared" si="356"/>
        <v>Outside</v>
      </c>
      <c r="K1921" s="8" t="str">
        <f t="shared" si="357"/>
        <v>Riparian</v>
      </c>
      <c r="L1921" s="8">
        <f t="shared" si="358"/>
        <v>1000</v>
      </c>
      <c r="M1921" s="8" t="str">
        <f t="shared" si="360"/>
        <v>-</v>
      </c>
      <c r="N1921" s="10" t="s">
        <v>241</v>
      </c>
      <c r="O1921" s="10" t="s">
        <v>242</v>
      </c>
      <c r="P1921" s="10" t="s">
        <v>242</v>
      </c>
      <c r="Q1921" s="10" t="s">
        <v>242</v>
      </c>
      <c r="R1921" s="10" t="s">
        <v>242</v>
      </c>
      <c r="S1921" s="10" t="s">
        <v>241</v>
      </c>
      <c r="T1921" s="10" t="s">
        <v>242</v>
      </c>
      <c r="U1921" s="10" t="s">
        <v>241</v>
      </c>
      <c r="V1921" s="10" t="s">
        <v>241</v>
      </c>
      <c r="W1921" s="10" t="s">
        <v>242</v>
      </c>
      <c r="X1921" s="15">
        <f>IF(ISERROR(VLOOKUP($A1921,'13. Updated Demand'!A:Z,15,FALSE)),0,VLOOKUP($A1921,'13. Updated Demand'!A:Z,15,FALSE))</f>
        <v>0</v>
      </c>
      <c r="Y1921" s="16">
        <f>IF(ISERROR(VLOOKUP($A1921,'13. Updated Demand'!A:Z,16,FALSE)),0,VLOOKUP($A1921,'13. Updated Demand'!A:Z,16,FALSE))</f>
        <v>0</v>
      </c>
      <c r="Z1921" s="16">
        <f>IF(ISERROR(VLOOKUP($A1921,'13. Updated Demand'!A:Z,17,FALSE)),0,VLOOKUP($A1921,'13. Updated Demand'!A:Z,17,FALSE))</f>
        <v>0</v>
      </c>
      <c r="AA1921" s="16">
        <f>IF(ISERROR(VLOOKUP($A1921,'13. Updated Demand'!A:Z,18,FALSE)),0,VLOOKUP($A1921,'13. Updated Demand'!A:Z,18,FALSE))</f>
        <v>0</v>
      </c>
      <c r="AB1921" s="16">
        <f>IF(ISERROR(VLOOKUP($A1921,'13. Updated Demand'!A:Z,19,FALSE)),0,VLOOKUP($A1921,'13. Updated Demand'!A:Z,19,FALSE))</f>
        <v>0</v>
      </c>
      <c r="AC1921" s="16">
        <f>IF(ISERROR(VLOOKUP($A1921,'13. Updated Demand'!A:Z,20,FALSE)),0,VLOOKUP($A1921,'13. Updated Demand'!A:Z,20,FALSE))</f>
        <v>0</v>
      </c>
      <c r="AD1921" s="16">
        <f>IF(ISERROR(VLOOKUP($A1921,'13. Updated Demand'!A:Z,21,FALSE)),0,VLOOKUP($A1921,'13. Updated Demand'!A:Z,21,FALSE))</f>
        <v>0</v>
      </c>
      <c r="AE1921" s="16">
        <f>IF(ISERROR(VLOOKUP($A1921,'13. Updated Demand'!A:Z,22,FALSE)),0,VLOOKUP($A1921,'13. Updated Demand'!A:Z,22,FALSE))</f>
        <v>0</v>
      </c>
      <c r="AF1921" s="16">
        <f>IF(ISERROR(VLOOKUP($A1921,'13. Updated Demand'!A:Z,23,FALSE)),0,VLOOKUP($A1921,'13. Updated Demand'!A:Z,23,FALSE))</f>
        <v>0</v>
      </c>
      <c r="AG1921" s="16">
        <f>IF(ISERROR(VLOOKUP($A1921,'13. Updated Demand'!A:Z,24,FALSE)),0,VLOOKUP($A1921,'13. Updated Demand'!A:Z,24,FALSE))</f>
        <v>0</v>
      </c>
      <c r="AH1921" s="16">
        <f>IF(ISERROR(VLOOKUP($A1921,'13. Updated Demand'!A:Z,25,FALSE)),0,VLOOKUP($A1921,'13. Updated Demand'!A:Z,25,FALSE))</f>
        <v>0</v>
      </c>
      <c r="AI1921" s="16">
        <f>IF(ISERROR(VLOOKUP($A1921,'13. Updated Demand'!A:Z,26,FALSE)),0,VLOOKUP($A1921,'13. Updated Demand'!A:Z,26,FALSE))</f>
        <v>0</v>
      </c>
      <c r="AJ1921" s="16">
        <f t="shared" si="361"/>
        <v>0</v>
      </c>
      <c r="AK1921" s="19">
        <v>0</v>
      </c>
      <c r="AL1921" s="16">
        <f t="shared" si="359"/>
        <v>0</v>
      </c>
      <c r="AM1921" s="26">
        <v>0</v>
      </c>
      <c r="AN1921" s="19">
        <v>9.3353999999999999</v>
      </c>
      <c r="AO1921" s="19" t="s">
        <v>1758</v>
      </c>
      <c r="AP1921" s="19">
        <v>0</v>
      </c>
      <c r="AQ1921" s="19" t="s">
        <v>307</v>
      </c>
      <c r="AR1921" s="9" t="s">
        <v>486</v>
      </c>
      <c r="AS1921" s="12">
        <v>0</v>
      </c>
      <c r="AT1921" s="19">
        <v>38.563099999999999</v>
      </c>
      <c r="AU1921" s="19">
        <v>-122.86150000000001</v>
      </c>
      <c r="AV1921" s="19" t="s">
        <v>387</v>
      </c>
    </row>
    <row r="1922" spans="1:48" x14ac:dyDescent="0.25">
      <c r="A1922" s="18" t="s">
        <v>2341</v>
      </c>
      <c r="B1922" s="10">
        <v>10000000</v>
      </c>
      <c r="C1922" s="9">
        <v>17</v>
      </c>
      <c r="D1922" s="8" t="str">
        <f t="shared" ref="D1922:D1985" si="362">IF(OR(C1922=4,C1922=5,C1922=6),"Y","N")</f>
        <v>N</v>
      </c>
      <c r="E1922" s="8" t="str">
        <f t="shared" ref="E1922:E1985" si="363">IF(AND(C1922&gt;6,C1922&lt;14),"Y","N")</f>
        <v>N</v>
      </c>
      <c r="F1922" s="8" t="str">
        <f t="shared" ref="F1922:F1985" si="364">IF(C1922&lt;14,"Y","N")</f>
        <v>N</v>
      </c>
      <c r="G1922" s="8" t="str">
        <f t="shared" ref="G1922:G1985" si="365">IF(OR(C1922=1,AND(C1922&gt;3,C1922&lt;14)),"Y","N")</f>
        <v>N</v>
      </c>
      <c r="H1922" s="8" t="str">
        <f t="shared" ref="H1922:H1985" si="366">IF(C1922&lt;14,"Upper","Lower")</f>
        <v>Lower</v>
      </c>
      <c r="I1922" s="8" t="str">
        <f t="shared" ref="I1922:I1985" si="367">IF(G1922="Y","West Fork and Below Lake","Outside")</f>
        <v>Outside</v>
      </c>
      <c r="J1922" s="8" t="str">
        <f t="shared" ref="J1922:J1985" si="368">IF(D1922="Y", "Mendocino (d/s of lake)", IF(E1922="Y", "Sonoma (d/s of Clov. Gage)","Outside"))</f>
        <v>Outside</v>
      </c>
      <c r="K1922" s="8" t="str">
        <f t="shared" ref="K1922:K1985" si="369">IF(P1922="Y","pre-1914",IF(Q1922="Y","Pre-1949",IF(R1922="Y","Post-1949",IF(S1922="Y","Riparian","Unknown"))))</f>
        <v>Riparian</v>
      </c>
      <c r="L1922" s="8">
        <f t="shared" ref="L1922:L1985" si="370">_xlfn.NUMBERVALUE(LEFT(B1922,4))</f>
        <v>1000</v>
      </c>
      <c r="M1922" s="8" t="str">
        <f t="shared" si="360"/>
        <v>-</v>
      </c>
      <c r="N1922" s="10" t="s">
        <v>241</v>
      </c>
      <c r="O1922" s="10" t="s">
        <v>242</v>
      </c>
      <c r="P1922" s="10" t="s">
        <v>242</v>
      </c>
      <c r="Q1922" s="10" t="s">
        <v>242</v>
      </c>
      <c r="R1922" s="10" t="s">
        <v>242</v>
      </c>
      <c r="S1922" s="10" t="s">
        <v>241</v>
      </c>
      <c r="T1922" s="10" t="s">
        <v>242</v>
      </c>
      <c r="U1922" s="10" t="s">
        <v>242</v>
      </c>
      <c r="V1922" s="10" t="s">
        <v>242</v>
      </c>
      <c r="W1922" s="10" t="s">
        <v>242</v>
      </c>
      <c r="X1922" s="15">
        <f>IF(ISERROR(VLOOKUP($A1922,'13. Updated Demand'!A:Z,15,FALSE)),0,VLOOKUP($A1922,'13. Updated Demand'!A:Z,15,FALSE))</f>
        <v>5.0146670000000004E-3</v>
      </c>
      <c r="Y1922" s="16">
        <f>IF(ISERROR(VLOOKUP($A1922,'13. Updated Demand'!A:Z,16,FALSE)),0,VLOOKUP($A1922,'13. Updated Demand'!A:Z,16,FALSE))</f>
        <v>0</v>
      </c>
      <c r="Z1922" s="16">
        <f>IF(ISERROR(VLOOKUP($A1922,'13. Updated Demand'!A:Z,17,FALSE)),0,VLOOKUP($A1922,'13. Updated Demand'!A:Z,17,FALSE))</f>
        <v>0.114568</v>
      </c>
      <c r="AA1922" s="16">
        <f>IF(ISERROR(VLOOKUP($A1922,'13. Updated Demand'!A:Z,18,FALSE)),0,VLOOKUP($A1922,'13. Updated Demand'!A:Z,18,FALSE))</f>
        <v>6.4228332999999999E-2</v>
      </c>
      <c r="AB1922" s="16">
        <f>IF(ISERROR(VLOOKUP($A1922,'13. Updated Demand'!A:Z,19,FALSE)),0,VLOOKUP($A1922,'13. Updated Demand'!A:Z,19,FALSE))</f>
        <v>0.21129266699999999</v>
      </c>
      <c r="AC1922" s="16">
        <f>IF(ISERROR(VLOOKUP($A1922,'13. Updated Demand'!A:Z,20,FALSE)),0,VLOOKUP($A1922,'13. Updated Demand'!A:Z,20,FALSE))</f>
        <v>0.81928666699999997</v>
      </c>
      <c r="AD1922" s="16">
        <f>IF(ISERROR(VLOOKUP($A1922,'13. Updated Demand'!A:Z,21,FALSE)),0,VLOOKUP($A1922,'13. Updated Demand'!A:Z,21,FALSE))</f>
        <v>1.886213667</v>
      </c>
      <c r="AE1922" s="16">
        <f>IF(ISERROR(VLOOKUP($A1922,'13. Updated Demand'!A:Z,22,FALSE)),0,VLOOKUP($A1922,'13. Updated Demand'!A:Z,22,FALSE))</f>
        <v>1.547328</v>
      </c>
      <c r="AF1922" s="16">
        <f>IF(ISERROR(VLOOKUP($A1922,'13. Updated Demand'!A:Z,23,FALSE)),0,VLOOKUP($A1922,'13. Updated Demand'!A:Z,23,FALSE))</f>
        <v>0.886648667</v>
      </c>
      <c r="AG1922" s="16">
        <f>IF(ISERROR(VLOOKUP($A1922,'13. Updated Demand'!A:Z,24,FALSE)),0,VLOOKUP($A1922,'13. Updated Demand'!A:Z,24,FALSE))</f>
        <v>0.59763666699999995</v>
      </c>
      <c r="AH1922" s="16">
        <f>IF(ISERROR(VLOOKUP($A1922,'13. Updated Demand'!A:Z,25,FALSE)),0,VLOOKUP($A1922,'13. Updated Demand'!A:Z,25,FALSE))</f>
        <v>0.103333333</v>
      </c>
      <c r="AI1922" s="16">
        <f>IF(ISERROR(VLOOKUP($A1922,'13. Updated Demand'!A:Z,26,FALSE)),0,VLOOKUP($A1922,'13. Updated Demand'!A:Z,26,FALSE))</f>
        <v>1.8099667E-2</v>
      </c>
      <c r="AJ1922" s="16">
        <f t="shared" si="361"/>
        <v>6.2536503350000006</v>
      </c>
      <c r="AK1922" s="19">
        <v>5.3507696680000008</v>
      </c>
      <c r="AL1922" s="16">
        <f t="shared" ref="AL1922:AL1985" si="371">AK1922/152/1.983471</f>
        <v>1.7747893478813552E-2</v>
      </c>
      <c r="AM1922" s="26">
        <v>0.92509620340236698</v>
      </c>
      <c r="AN1922" s="19">
        <v>6.76</v>
      </c>
      <c r="AO1922" s="19" t="s">
        <v>1758</v>
      </c>
      <c r="AP1922" s="19">
        <v>0</v>
      </c>
      <c r="AQ1922" s="19" t="s">
        <v>307</v>
      </c>
      <c r="AR1922" s="9" t="s">
        <v>486</v>
      </c>
      <c r="AS1922" s="12">
        <v>0</v>
      </c>
      <c r="AT1922" s="19">
        <v>38.566099999999999</v>
      </c>
      <c r="AU1922" s="19">
        <v>-122.8618</v>
      </c>
      <c r="AV1922" s="19" t="s">
        <v>387</v>
      </c>
    </row>
    <row r="1923" spans="1:48" x14ac:dyDescent="0.25">
      <c r="A1923" s="18" t="s">
        <v>2342</v>
      </c>
      <c r="B1923" s="10">
        <v>10000000</v>
      </c>
      <c r="C1923" s="9">
        <v>17</v>
      </c>
      <c r="D1923" s="8" t="str">
        <f t="shared" si="362"/>
        <v>N</v>
      </c>
      <c r="E1923" s="8" t="str">
        <f t="shared" si="363"/>
        <v>N</v>
      </c>
      <c r="F1923" s="8" t="str">
        <f t="shared" si="364"/>
        <v>N</v>
      </c>
      <c r="G1923" s="8" t="str">
        <f t="shared" si="365"/>
        <v>N</v>
      </c>
      <c r="H1923" s="8" t="str">
        <f t="shared" si="366"/>
        <v>Lower</v>
      </c>
      <c r="I1923" s="8" t="str">
        <f t="shared" si="367"/>
        <v>Outside</v>
      </c>
      <c r="J1923" s="8" t="str">
        <f t="shared" si="368"/>
        <v>Outside</v>
      </c>
      <c r="K1923" s="8" t="str">
        <f t="shared" si="369"/>
        <v>Riparian</v>
      </c>
      <c r="L1923" s="8">
        <f t="shared" si="370"/>
        <v>1000</v>
      </c>
      <c r="M1923" s="8" t="str">
        <f t="shared" ref="M1923:M1986" si="372">IF(L1923=1949,"1949",IF(AND(L1923&gt;1949,L1923&lt;1953),"1950-1952",IF(AND(L1923&gt;1952,L1923&lt;1955),"1953-1954",IF(AND(L1923&gt;1954,L1923&lt;1957),"1955-1956",IF(AND(L1923&gt;1956,L1923&lt;1960),"1957-1959",IF(AND(L1923&gt;1959,L1923&lt;1971),"1960-1970",IF(AND(L1923&gt;1970,L1923&lt;1991),"1971-1990",IF(L1923&gt;1990,"1991-present","-"))))))))</f>
        <v>-</v>
      </c>
      <c r="N1923" s="10" t="s">
        <v>241</v>
      </c>
      <c r="O1923" s="10" t="s">
        <v>242</v>
      </c>
      <c r="P1923" s="10" t="s">
        <v>242</v>
      </c>
      <c r="Q1923" s="10" t="s">
        <v>242</v>
      </c>
      <c r="R1923" s="10" t="s">
        <v>242</v>
      </c>
      <c r="S1923" s="10" t="s">
        <v>241</v>
      </c>
      <c r="T1923" s="10" t="s">
        <v>242</v>
      </c>
      <c r="U1923" s="10" t="s">
        <v>242</v>
      </c>
      <c r="V1923" s="10" t="s">
        <v>242</v>
      </c>
      <c r="W1923" s="10" t="s">
        <v>242</v>
      </c>
      <c r="X1923" s="15">
        <f>IF(ISERROR(VLOOKUP($A1923,'13. Updated Demand'!A:Z,15,FALSE)),0,VLOOKUP($A1923,'13. Updated Demand'!A:Z,15,FALSE))</f>
        <v>0</v>
      </c>
      <c r="Y1923" s="16">
        <f>IF(ISERROR(VLOOKUP($A1923,'13. Updated Demand'!A:Z,16,FALSE)),0,VLOOKUP($A1923,'13. Updated Demand'!A:Z,16,FALSE))</f>
        <v>0.06</v>
      </c>
      <c r="Z1923" s="16">
        <f>IF(ISERROR(VLOOKUP($A1923,'13. Updated Demand'!A:Z,17,FALSE)),0,VLOOKUP($A1923,'13. Updated Demand'!A:Z,17,FALSE))</f>
        <v>0.60679366700000004</v>
      </c>
      <c r="AA1923" s="16">
        <f>IF(ISERROR(VLOOKUP($A1923,'13. Updated Demand'!A:Z,18,FALSE)),0,VLOOKUP($A1923,'13. Updated Demand'!A:Z,18,FALSE))</f>
        <v>0</v>
      </c>
      <c r="AB1923" s="16">
        <f>IF(ISERROR(VLOOKUP($A1923,'13. Updated Demand'!A:Z,19,FALSE)),0,VLOOKUP($A1923,'13. Updated Demand'!A:Z,19,FALSE))</f>
        <v>0.26252033299999999</v>
      </c>
      <c r="AC1923" s="16">
        <f>IF(ISERROR(VLOOKUP($A1923,'13. Updated Demand'!A:Z,20,FALSE)),0,VLOOKUP($A1923,'13. Updated Demand'!A:Z,20,FALSE))</f>
        <v>2.2775726669999998</v>
      </c>
      <c r="AD1923" s="16">
        <f>IF(ISERROR(VLOOKUP($A1923,'13. Updated Demand'!A:Z,21,FALSE)),0,VLOOKUP($A1923,'13. Updated Demand'!A:Z,21,FALSE))</f>
        <v>3.7468720000000002</v>
      </c>
      <c r="AE1923" s="16">
        <f>IF(ISERROR(VLOOKUP($A1923,'13. Updated Demand'!A:Z,22,FALSE)),0,VLOOKUP($A1923,'13. Updated Demand'!A:Z,22,FALSE))</f>
        <v>3.096473</v>
      </c>
      <c r="AF1923" s="16">
        <f>IF(ISERROR(VLOOKUP($A1923,'13. Updated Demand'!A:Z,23,FALSE)),0,VLOOKUP($A1923,'13. Updated Demand'!A:Z,23,FALSE))</f>
        <v>2.9102809999999999</v>
      </c>
      <c r="AG1923" s="16">
        <f>IF(ISERROR(VLOOKUP($A1923,'13. Updated Demand'!A:Z,24,FALSE)),0,VLOOKUP($A1923,'13. Updated Demand'!A:Z,24,FALSE))</f>
        <v>2.1542889999999999</v>
      </c>
      <c r="AH1923" s="16">
        <f>IF(ISERROR(VLOOKUP($A1923,'13. Updated Demand'!A:Z,25,FALSE)),0,VLOOKUP($A1923,'13. Updated Demand'!A:Z,25,FALSE))</f>
        <v>0.24253833299999999</v>
      </c>
      <c r="AI1923" s="16">
        <f>IF(ISERROR(VLOOKUP($A1923,'13. Updated Demand'!A:Z,26,FALSE)),0,VLOOKUP($A1923,'13. Updated Demand'!A:Z,26,FALSE))</f>
        <v>0</v>
      </c>
      <c r="AJ1923" s="16">
        <f t="shared" si="361"/>
        <v>15.357340000000001</v>
      </c>
      <c r="AK1923" s="19">
        <v>12.293718999999999</v>
      </c>
      <c r="AL1923" s="16">
        <f t="shared" si="371"/>
        <v>4.0776865536807899E-2</v>
      </c>
      <c r="AM1923" s="26">
        <v>0.57864883195177097</v>
      </c>
      <c r="AN1923" s="19">
        <v>26.54</v>
      </c>
      <c r="AO1923" s="19" t="s">
        <v>1758</v>
      </c>
      <c r="AP1923" s="19">
        <v>0</v>
      </c>
      <c r="AQ1923" s="19" t="s">
        <v>307</v>
      </c>
      <c r="AR1923" s="9" t="s">
        <v>486</v>
      </c>
      <c r="AS1923" s="12">
        <v>0</v>
      </c>
      <c r="AT1923" s="19">
        <v>38.5807</v>
      </c>
      <c r="AU1923" s="19">
        <v>-122.864</v>
      </c>
      <c r="AV1923" s="19" t="s">
        <v>548</v>
      </c>
    </row>
    <row r="1924" spans="1:48" x14ac:dyDescent="0.25">
      <c r="A1924" s="18" t="s">
        <v>2343</v>
      </c>
      <c r="B1924" s="10">
        <v>10000000</v>
      </c>
      <c r="C1924" s="9">
        <v>17</v>
      </c>
      <c r="D1924" s="8" t="str">
        <f t="shared" si="362"/>
        <v>N</v>
      </c>
      <c r="E1924" s="8" t="str">
        <f t="shared" si="363"/>
        <v>N</v>
      </c>
      <c r="F1924" s="8" t="str">
        <f t="shared" si="364"/>
        <v>N</v>
      </c>
      <c r="G1924" s="8" t="str">
        <f t="shared" si="365"/>
        <v>N</v>
      </c>
      <c r="H1924" s="8" t="str">
        <f t="shared" si="366"/>
        <v>Lower</v>
      </c>
      <c r="I1924" s="8" t="str">
        <f t="shared" si="367"/>
        <v>Outside</v>
      </c>
      <c r="J1924" s="8" t="str">
        <f t="shared" si="368"/>
        <v>Outside</v>
      </c>
      <c r="K1924" s="8" t="str">
        <f t="shared" si="369"/>
        <v>Riparian</v>
      </c>
      <c r="L1924" s="8">
        <f t="shared" si="370"/>
        <v>1000</v>
      </c>
      <c r="M1924" s="8" t="str">
        <f t="shared" si="372"/>
        <v>-</v>
      </c>
      <c r="N1924" s="10" t="s">
        <v>241</v>
      </c>
      <c r="O1924" s="10" t="s">
        <v>242</v>
      </c>
      <c r="P1924" s="10" t="s">
        <v>242</v>
      </c>
      <c r="Q1924" s="10" t="s">
        <v>242</v>
      </c>
      <c r="R1924" s="10" t="s">
        <v>242</v>
      </c>
      <c r="S1924" s="10" t="s">
        <v>241</v>
      </c>
      <c r="T1924" s="10" t="s">
        <v>242</v>
      </c>
      <c r="U1924" s="10" t="s">
        <v>242</v>
      </c>
      <c r="V1924" s="10" t="s">
        <v>242</v>
      </c>
      <c r="W1924" s="10" t="s">
        <v>242</v>
      </c>
      <c r="X1924" s="15">
        <f>IF(ISERROR(VLOOKUP($A1924,'13. Updated Demand'!A:Z,15,FALSE)),0,VLOOKUP($A1924,'13. Updated Demand'!A:Z,15,FALSE))</f>
        <v>0</v>
      </c>
      <c r="Y1924" s="16">
        <f>IF(ISERROR(VLOOKUP($A1924,'13. Updated Demand'!A:Z,16,FALSE)),0,VLOOKUP($A1924,'13. Updated Demand'!A:Z,16,FALSE))</f>
        <v>0.46351733299999998</v>
      </c>
      <c r="Z1924" s="16">
        <f>IF(ISERROR(VLOOKUP($A1924,'13. Updated Demand'!A:Z,17,FALSE)),0,VLOOKUP($A1924,'13. Updated Demand'!A:Z,17,FALSE))</f>
        <v>3.3542113329999999</v>
      </c>
      <c r="AA1924" s="16">
        <f>IF(ISERROR(VLOOKUP($A1924,'13. Updated Demand'!A:Z,18,FALSE)),0,VLOOKUP($A1924,'13. Updated Demand'!A:Z,18,FALSE))</f>
        <v>0</v>
      </c>
      <c r="AB1924" s="16">
        <f>IF(ISERROR(VLOOKUP($A1924,'13. Updated Demand'!A:Z,19,FALSE)),0,VLOOKUP($A1924,'13. Updated Demand'!A:Z,19,FALSE))</f>
        <v>0</v>
      </c>
      <c r="AC1924" s="16">
        <f>IF(ISERROR(VLOOKUP($A1924,'13. Updated Demand'!A:Z,20,FALSE)),0,VLOOKUP($A1924,'13. Updated Demand'!A:Z,20,FALSE))</f>
        <v>0</v>
      </c>
      <c r="AD1924" s="16">
        <f>IF(ISERROR(VLOOKUP($A1924,'13. Updated Demand'!A:Z,21,FALSE)),0,VLOOKUP($A1924,'13. Updated Demand'!A:Z,21,FALSE))</f>
        <v>1.92</v>
      </c>
      <c r="AE1924" s="16">
        <f>IF(ISERROR(VLOOKUP($A1924,'13. Updated Demand'!A:Z,22,FALSE)),0,VLOOKUP($A1924,'13. Updated Demand'!A:Z,22,FALSE))</f>
        <v>0</v>
      </c>
      <c r="AF1924" s="16">
        <f>IF(ISERROR(VLOOKUP($A1924,'13. Updated Demand'!A:Z,23,FALSE)),0,VLOOKUP($A1924,'13. Updated Demand'!A:Z,23,FALSE))</f>
        <v>0</v>
      </c>
      <c r="AG1924" s="16">
        <f>IF(ISERROR(VLOOKUP($A1924,'13. Updated Demand'!A:Z,24,FALSE)),0,VLOOKUP($A1924,'13. Updated Demand'!A:Z,24,FALSE))</f>
        <v>2.9763519999999999</v>
      </c>
      <c r="AH1924" s="16">
        <f>IF(ISERROR(VLOOKUP($A1924,'13. Updated Demand'!A:Z,25,FALSE)),0,VLOOKUP($A1924,'13. Updated Demand'!A:Z,25,FALSE))</f>
        <v>2.72</v>
      </c>
      <c r="AI1924" s="16">
        <f>IF(ISERROR(VLOOKUP($A1924,'13. Updated Demand'!A:Z,26,FALSE)),0,VLOOKUP($A1924,'13. Updated Demand'!A:Z,26,FALSE))</f>
        <v>0.32413599999999998</v>
      </c>
      <c r="AJ1924" s="16">
        <f t="shared" si="361"/>
        <v>11.758216665999999</v>
      </c>
      <c r="AK1924" s="19">
        <v>1.92</v>
      </c>
      <c r="AL1924" s="16">
        <f t="shared" si="371"/>
        <v>6.3684212914473775E-3</v>
      </c>
      <c r="AM1924" s="26">
        <v>0.43565085831789552</v>
      </c>
      <c r="AN1924" s="19">
        <v>26.99</v>
      </c>
      <c r="AO1924" s="19" t="s">
        <v>1758</v>
      </c>
      <c r="AP1924" s="19">
        <v>0</v>
      </c>
      <c r="AQ1924" s="19" t="s">
        <v>307</v>
      </c>
      <c r="AR1924" s="9" t="s">
        <v>486</v>
      </c>
      <c r="AS1924" s="12">
        <v>0</v>
      </c>
      <c r="AT1924" s="19">
        <v>38.573799999999999</v>
      </c>
      <c r="AU1924" s="19">
        <v>-122.8616</v>
      </c>
      <c r="AV1924" s="19" t="s">
        <v>548</v>
      </c>
    </row>
    <row r="1925" spans="1:48" x14ac:dyDescent="0.25">
      <c r="A1925" s="18" t="s">
        <v>2344</v>
      </c>
      <c r="B1925" s="10">
        <v>10000000</v>
      </c>
      <c r="C1925" s="9">
        <v>17</v>
      </c>
      <c r="D1925" s="8" t="str">
        <f t="shared" si="362"/>
        <v>N</v>
      </c>
      <c r="E1925" s="8" t="str">
        <f t="shared" si="363"/>
        <v>N</v>
      </c>
      <c r="F1925" s="8" t="str">
        <f t="shared" si="364"/>
        <v>N</v>
      </c>
      <c r="G1925" s="8" t="str">
        <f t="shared" si="365"/>
        <v>N</v>
      </c>
      <c r="H1925" s="8" t="str">
        <f t="shared" si="366"/>
        <v>Lower</v>
      </c>
      <c r="I1925" s="8" t="str">
        <f t="shared" si="367"/>
        <v>Outside</v>
      </c>
      <c r="J1925" s="8" t="str">
        <f t="shared" si="368"/>
        <v>Outside</v>
      </c>
      <c r="K1925" s="8" t="str">
        <f t="shared" si="369"/>
        <v>Riparian</v>
      </c>
      <c r="L1925" s="8">
        <f t="shared" si="370"/>
        <v>1000</v>
      </c>
      <c r="M1925" s="8" t="str">
        <f t="shared" si="372"/>
        <v>-</v>
      </c>
      <c r="N1925" s="10" t="s">
        <v>241</v>
      </c>
      <c r="O1925" s="10" t="s">
        <v>242</v>
      </c>
      <c r="P1925" s="10" t="s">
        <v>242</v>
      </c>
      <c r="Q1925" s="10" t="s">
        <v>242</v>
      </c>
      <c r="R1925" s="10" t="s">
        <v>242</v>
      </c>
      <c r="S1925" s="10" t="s">
        <v>241</v>
      </c>
      <c r="T1925" s="10" t="s">
        <v>242</v>
      </c>
      <c r="U1925" s="10" t="s">
        <v>241</v>
      </c>
      <c r="V1925" s="10" t="s">
        <v>241</v>
      </c>
      <c r="W1925" s="10" t="s">
        <v>242</v>
      </c>
      <c r="X1925" s="15">
        <f>IF(ISERROR(VLOOKUP($A1925,'13. Updated Demand'!A:Z,15,FALSE)),0,VLOOKUP($A1925,'13. Updated Demand'!A:Z,15,FALSE))</f>
        <v>0</v>
      </c>
      <c r="Y1925" s="16">
        <f>IF(ISERROR(VLOOKUP($A1925,'13. Updated Demand'!A:Z,16,FALSE)),0,VLOOKUP($A1925,'13. Updated Demand'!A:Z,16,FALSE))</f>
        <v>0</v>
      </c>
      <c r="Z1925" s="16">
        <f>IF(ISERROR(VLOOKUP($A1925,'13. Updated Demand'!A:Z,17,FALSE)),0,VLOOKUP($A1925,'13. Updated Demand'!A:Z,17,FALSE))</f>
        <v>0</v>
      </c>
      <c r="AA1925" s="16">
        <f>IF(ISERROR(VLOOKUP($A1925,'13. Updated Demand'!A:Z,18,FALSE)),0,VLOOKUP($A1925,'13. Updated Demand'!A:Z,18,FALSE))</f>
        <v>0</v>
      </c>
      <c r="AB1925" s="16">
        <f>IF(ISERROR(VLOOKUP($A1925,'13. Updated Demand'!A:Z,19,FALSE)),0,VLOOKUP($A1925,'13. Updated Demand'!A:Z,19,FALSE))</f>
        <v>0</v>
      </c>
      <c r="AC1925" s="16">
        <f>IF(ISERROR(VLOOKUP($A1925,'13. Updated Demand'!A:Z,20,FALSE)),0,VLOOKUP($A1925,'13. Updated Demand'!A:Z,20,FALSE))</f>
        <v>0</v>
      </c>
      <c r="AD1925" s="16">
        <f>IF(ISERROR(VLOOKUP($A1925,'13. Updated Demand'!A:Z,21,FALSE)),0,VLOOKUP($A1925,'13. Updated Demand'!A:Z,21,FALSE))</f>
        <v>0</v>
      </c>
      <c r="AE1925" s="16">
        <f>IF(ISERROR(VLOOKUP($A1925,'13. Updated Demand'!A:Z,22,FALSE)),0,VLOOKUP($A1925,'13. Updated Demand'!A:Z,22,FALSE))</f>
        <v>0</v>
      </c>
      <c r="AF1925" s="16">
        <f>IF(ISERROR(VLOOKUP($A1925,'13. Updated Demand'!A:Z,23,FALSE)),0,VLOOKUP($A1925,'13. Updated Demand'!A:Z,23,FALSE))</f>
        <v>0</v>
      </c>
      <c r="AG1925" s="16">
        <f>IF(ISERROR(VLOOKUP($A1925,'13. Updated Demand'!A:Z,24,FALSE)),0,VLOOKUP($A1925,'13. Updated Demand'!A:Z,24,FALSE))</f>
        <v>0</v>
      </c>
      <c r="AH1925" s="16">
        <f>IF(ISERROR(VLOOKUP($A1925,'13. Updated Demand'!A:Z,25,FALSE)),0,VLOOKUP($A1925,'13. Updated Demand'!A:Z,25,FALSE))</f>
        <v>0</v>
      </c>
      <c r="AI1925" s="16">
        <f>IF(ISERROR(VLOOKUP($A1925,'13. Updated Demand'!A:Z,26,FALSE)),0,VLOOKUP($A1925,'13. Updated Demand'!A:Z,26,FALSE))</f>
        <v>0</v>
      </c>
      <c r="AJ1925" s="16">
        <f t="shared" si="361"/>
        <v>0</v>
      </c>
      <c r="AK1925" s="19">
        <v>0</v>
      </c>
      <c r="AL1925" s="16">
        <f t="shared" si="371"/>
        <v>0</v>
      </c>
      <c r="AM1925" s="26">
        <v>0</v>
      </c>
      <c r="AN1925" s="19">
        <v>23.105599999999999</v>
      </c>
      <c r="AO1925" s="19" t="s">
        <v>1758</v>
      </c>
      <c r="AP1925" s="19">
        <v>0</v>
      </c>
      <c r="AQ1925" s="19" t="s">
        <v>307</v>
      </c>
      <c r="AR1925" s="9" t="s">
        <v>486</v>
      </c>
      <c r="AS1925" s="12">
        <v>0</v>
      </c>
      <c r="AT1925" s="19">
        <v>38.574399999999997</v>
      </c>
      <c r="AU1925" s="19">
        <v>-122.8613</v>
      </c>
      <c r="AV1925" s="19" t="s">
        <v>548</v>
      </c>
    </row>
    <row r="1926" spans="1:48" x14ac:dyDescent="0.25">
      <c r="A1926" s="18" t="s">
        <v>2345</v>
      </c>
      <c r="B1926" s="10">
        <v>10000000</v>
      </c>
      <c r="C1926" s="9">
        <v>16</v>
      </c>
      <c r="D1926" s="8" t="str">
        <f t="shared" si="362"/>
        <v>N</v>
      </c>
      <c r="E1926" s="8" t="str">
        <f t="shared" si="363"/>
        <v>N</v>
      </c>
      <c r="F1926" s="8" t="str">
        <f t="shared" si="364"/>
        <v>N</v>
      </c>
      <c r="G1926" s="8" t="str">
        <f t="shared" si="365"/>
        <v>N</v>
      </c>
      <c r="H1926" s="8" t="str">
        <f t="shared" si="366"/>
        <v>Lower</v>
      </c>
      <c r="I1926" s="8" t="str">
        <f t="shared" si="367"/>
        <v>Outside</v>
      </c>
      <c r="J1926" s="8" t="str">
        <f t="shared" si="368"/>
        <v>Outside</v>
      </c>
      <c r="K1926" s="8" t="str">
        <f t="shared" si="369"/>
        <v>Riparian</v>
      </c>
      <c r="L1926" s="8">
        <f t="shared" si="370"/>
        <v>1000</v>
      </c>
      <c r="M1926" s="8" t="str">
        <f t="shared" si="372"/>
        <v>-</v>
      </c>
      <c r="N1926" s="10" t="s">
        <v>242</v>
      </c>
      <c r="O1926" s="10" t="s">
        <v>242</v>
      </c>
      <c r="P1926" s="10" t="s">
        <v>242</v>
      </c>
      <c r="Q1926" s="10" t="s">
        <v>242</v>
      </c>
      <c r="R1926" s="10" t="s">
        <v>242</v>
      </c>
      <c r="S1926" s="10" t="s">
        <v>241</v>
      </c>
      <c r="T1926" s="10" t="s">
        <v>242</v>
      </c>
      <c r="U1926" s="10" t="s">
        <v>242</v>
      </c>
      <c r="V1926" s="10" t="s">
        <v>242</v>
      </c>
      <c r="W1926" s="10" t="s">
        <v>242</v>
      </c>
      <c r="X1926" s="15">
        <f>IF(ISERROR(VLOOKUP($A1926,'13. Updated Demand'!A:Z,15,FALSE)),0,VLOOKUP($A1926,'13. Updated Demand'!A:Z,15,FALSE))</f>
        <v>0</v>
      </c>
      <c r="Y1926" s="16">
        <f>IF(ISERROR(VLOOKUP($A1926,'13. Updated Demand'!A:Z,16,FALSE)),0,VLOOKUP($A1926,'13. Updated Demand'!A:Z,16,FALSE))</f>
        <v>0</v>
      </c>
      <c r="Z1926" s="16">
        <f>IF(ISERROR(VLOOKUP($A1926,'13. Updated Demand'!A:Z,17,FALSE)),0,VLOOKUP($A1926,'13. Updated Demand'!A:Z,17,FALSE))</f>
        <v>0</v>
      </c>
      <c r="AA1926" s="16">
        <f>IF(ISERROR(VLOOKUP($A1926,'13. Updated Demand'!A:Z,18,FALSE)),0,VLOOKUP($A1926,'13. Updated Demand'!A:Z,18,FALSE))</f>
        <v>0.16666666699999999</v>
      </c>
      <c r="AB1926" s="16">
        <f>IF(ISERROR(VLOOKUP($A1926,'13. Updated Demand'!A:Z,19,FALSE)),0,VLOOKUP($A1926,'13. Updated Demand'!A:Z,19,FALSE))</f>
        <v>0.51666666699999997</v>
      </c>
      <c r="AC1926" s="16">
        <f>IF(ISERROR(VLOOKUP($A1926,'13. Updated Demand'!A:Z,20,FALSE)),0,VLOOKUP($A1926,'13. Updated Demand'!A:Z,20,FALSE))</f>
        <v>0.60333333300000003</v>
      </c>
      <c r="AD1926" s="16">
        <f>IF(ISERROR(VLOOKUP($A1926,'13. Updated Demand'!A:Z,21,FALSE)),0,VLOOKUP($A1926,'13. Updated Demand'!A:Z,21,FALSE))</f>
        <v>0.81666666700000001</v>
      </c>
      <c r="AE1926" s="16">
        <f>IF(ISERROR(VLOOKUP($A1926,'13. Updated Demand'!A:Z,22,FALSE)),0,VLOOKUP($A1926,'13. Updated Demand'!A:Z,22,FALSE))</f>
        <v>0.34333333300000002</v>
      </c>
      <c r="AF1926" s="16">
        <f>IF(ISERROR(VLOOKUP($A1926,'13. Updated Demand'!A:Z,23,FALSE)),0,VLOOKUP($A1926,'13. Updated Demand'!A:Z,23,FALSE))</f>
        <v>0.206666667</v>
      </c>
      <c r="AG1926" s="16">
        <f>IF(ISERROR(VLOOKUP($A1926,'13. Updated Demand'!A:Z,24,FALSE)),0,VLOOKUP($A1926,'13. Updated Demand'!A:Z,24,FALSE))</f>
        <v>0</v>
      </c>
      <c r="AH1926" s="16">
        <f>IF(ISERROR(VLOOKUP($A1926,'13. Updated Demand'!A:Z,25,FALSE)),0,VLOOKUP($A1926,'13. Updated Demand'!A:Z,25,FALSE))</f>
        <v>0</v>
      </c>
      <c r="AI1926" s="16">
        <f>IF(ISERROR(VLOOKUP($A1926,'13. Updated Demand'!A:Z,26,FALSE)),0,VLOOKUP($A1926,'13. Updated Demand'!A:Z,26,FALSE))</f>
        <v>0</v>
      </c>
      <c r="AJ1926" s="16">
        <f t="shared" si="361"/>
        <v>2.653333334</v>
      </c>
      <c r="AK1926" s="19">
        <v>2.4866666670000002</v>
      </c>
      <c r="AL1926" s="16">
        <f t="shared" si="371"/>
        <v>8.2479900764871276E-3</v>
      </c>
      <c r="AM1926" s="26">
        <v>6.5759450624400858E-3</v>
      </c>
      <c r="AN1926" s="19">
        <v>403.49079999999998</v>
      </c>
      <c r="AO1926" s="19" t="s">
        <v>1758</v>
      </c>
      <c r="AP1926" s="19">
        <v>0</v>
      </c>
      <c r="AQ1926" s="19" t="s">
        <v>307</v>
      </c>
      <c r="AR1926" s="9" t="s">
        <v>394</v>
      </c>
      <c r="AS1926" s="12">
        <v>0</v>
      </c>
      <c r="AT1926" s="19">
        <v>38.642499999999998</v>
      </c>
      <c r="AU1926" s="19">
        <v>-122.90860000000001</v>
      </c>
      <c r="AV1926" s="19"/>
    </row>
    <row r="1927" spans="1:48" x14ac:dyDescent="0.25">
      <c r="A1927" s="18" t="s">
        <v>2346</v>
      </c>
      <c r="B1927" s="10">
        <v>10000000</v>
      </c>
      <c r="C1927" s="9">
        <v>10</v>
      </c>
      <c r="D1927" s="8" t="str">
        <f t="shared" si="362"/>
        <v>N</v>
      </c>
      <c r="E1927" s="8" t="str">
        <f t="shared" si="363"/>
        <v>Y</v>
      </c>
      <c r="F1927" s="8" t="str">
        <f t="shared" si="364"/>
        <v>Y</v>
      </c>
      <c r="G1927" s="8" t="str">
        <f t="shared" si="365"/>
        <v>Y</v>
      </c>
      <c r="H1927" s="8" t="str">
        <f t="shared" si="366"/>
        <v>Upper</v>
      </c>
      <c r="I1927" s="8" t="str">
        <f t="shared" si="367"/>
        <v>West Fork and Below Lake</v>
      </c>
      <c r="J1927" s="8" t="str">
        <f t="shared" si="368"/>
        <v>Sonoma (d/s of Clov. Gage)</v>
      </c>
      <c r="K1927" s="8" t="str">
        <f t="shared" si="369"/>
        <v>Riparian</v>
      </c>
      <c r="L1927" s="8">
        <f t="shared" si="370"/>
        <v>1000</v>
      </c>
      <c r="M1927" s="8" t="str">
        <f t="shared" si="372"/>
        <v>-</v>
      </c>
      <c r="N1927" s="10" t="s">
        <v>241</v>
      </c>
      <c r="O1927" s="10" t="s">
        <v>241</v>
      </c>
      <c r="P1927" s="10" t="s">
        <v>242</v>
      </c>
      <c r="Q1927" s="10" t="s">
        <v>242</v>
      </c>
      <c r="R1927" s="10" t="s">
        <v>242</v>
      </c>
      <c r="S1927" s="10" t="s">
        <v>241</v>
      </c>
      <c r="T1927" s="10" t="s">
        <v>242</v>
      </c>
      <c r="U1927" s="10" t="s">
        <v>242</v>
      </c>
      <c r="V1927" s="10" t="s">
        <v>242</v>
      </c>
      <c r="W1927" s="10" t="s">
        <v>242</v>
      </c>
      <c r="X1927" s="15">
        <f>IF(ISERROR(VLOOKUP($A1927,'13. Updated Demand'!A:Z,15,FALSE)),0,VLOOKUP($A1927,'13. Updated Demand'!A:Z,15,FALSE))</f>
        <v>0</v>
      </c>
      <c r="Y1927" s="16">
        <f>IF(ISERROR(VLOOKUP($A1927,'13. Updated Demand'!A:Z,16,FALSE)),0,VLOOKUP($A1927,'13. Updated Demand'!A:Z,16,FALSE))</f>
        <v>7.0000000000000007E-2</v>
      </c>
      <c r="Z1927" s="16">
        <f>IF(ISERROR(VLOOKUP($A1927,'13. Updated Demand'!A:Z,17,FALSE)),0,VLOOKUP($A1927,'13. Updated Demand'!A:Z,17,FALSE))</f>
        <v>0</v>
      </c>
      <c r="AA1927" s="16">
        <f>IF(ISERROR(VLOOKUP($A1927,'13. Updated Demand'!A:Z,18,FALSE)),0,VLOOKUP($A1927,'13. Updated Demand'!A:Z,18,FALSE))</f>
        <v>7.0000000000000007E-2</v>
      </c>
      <c r="AB1927" s="16">
        <f>IF(ISERROR(VLOOKUP($A1927,'13. Updated Demand'!A:Z,19,FALSE)),0,VLOOKUP($A1927,'13. Updated Demand'!A:Z,19,FALSE))</f>
        <v>0.37</v>
      </c>
      <c r="AC1927" s="16">
        <f>IF(ISERROR(VLOOKUP($A1927,'13. Updated Demand'!A:Z,20,FALSE)),0,VLOOKUP($A1927,'13. Updated Demand'!A:Z,20,FALSE))</f>
        <v>1.28</v>
      </c>
      <c r="AD1927" s="16">
        <f>IF(ISERROR(VLOOKUP($A1927,'13. Updated Demand'!A:Z,21,FALSE)),0,VLOOKUP($A1927,'13. Updated Demand'!A:Z,21,FALSE))</f>
        <v>1.51</v>
      </c>
      <c r="AE1927" s="16">
        <f>IF(ISERROR(VLOOKUP($A1927,'13. Updated Demand'!A:Z,22,FALSE)),0,VLOOKUP($A1927,'13. Updated Demand'!A:Z,22,FALSE))</f>
        <v>1.43</v>
      </c>
      <c r="AF1927" s="16">
        <f>IF(ISERROR(VLOOKUP($A1927,'13. Updated Demand'!A:Z,23,FALSE)),0,VLOOKUP($A1927,'13. Updated Demand'!A:Z,23,FALSE))</f>
        <v>1.28</v>
      </c>
      <c r="AG1927" s="16">
        <f>IF(ISERROR(VLOOKUP($A1927,'13. Updated Demand'!A:Z,24,FALSE)),0,VLOOKUP($A1927,'13. Updated Demand'!A:Z,24,FALSE))</f>
        <v>0.64</v>
      </c>
      <c r="AH1927" s="16">
        <f>IF(ISERROR(VLOOKUP($A1927,'13. Updated Demand'!A:Z,25,FALSE)),0,VLOOKUP($A1927,'13. Updated Demand'!A:Z,25,FALSE))</f>
        <v>0</v>
      </c>
      <c r="AI1927" s="16">
        <f>IF(ISERROR(VLOOKUP($A1927,'13. Updated Demand'!A:Z,26,FALSE)),0,VLOOKUP($A1927,'13. Updated Demand'!A:Z,26,FALSE))</f>
        <v>0</v>
      </c>
      <c r="AJ1927" s="16">
        <f t="shared" si="361"/>
        <v>6.6499999999999995</v>
      </c>
      <c r="AK1927" s="19">
        <v>5.8944313333333325</v>
      </c>
      <c r="AL1927" s="16">
        <f t="shared" si="371"/>
        <v>1.955115729384091E-2</v>
      </c>
      <c r="AM1927" s="26">
        <v>0.74358668891360757</v>
      </c>
      <c r="AN1927" s="19">
        <v>8.99</v>
      </c>
      <c r="AO1927" s="19" t="s">
        <v>1758</v>
      </c>
      <c r="AP1927" s="19">
        <v>0</v>
      </c>
      <c r="AQ1927" s="19" t="s">
        <v>307</v>
      </c>
      <c r="AR1927" s="9" t="s">
        <v>436</v>
      </c>
      <c r="AS1927" s="12">
        <v>0</v>
      </c>
      <c r="AT1927" s="19">
        <v>38.712000000000003</v>
      </c>
      <c r="AU1927" s="19">
        <v>-122.896</v>
      </c>
      <c r="AV1927" s="19" t="s">
        <v>387</v>
      </c>
    </row>
    <row r="1928" spans="1:48" x14ac:dyDescent="0.25">
      <c r="A1928" s="18" t="s">
        <v>2347</v>
      </c>
      <c r="B1928" s="10">
        <v>10000000</v>
      </c>
      <c r="C1928" s="9">
        <v>13</v>
      </c>
      <c r="D1928" s="8" t="str">
        <f t="shared" si="362"/>
        <v>N</v>
      </c>
      <c r="E1928" s="8" t="str">
        <f t="shared" si="363"/>
        <v>Y</v>
      </c>
      <c r="F1928" s="8" t="str">
        <f t="shared" si="364"/>
        <v>Y</v>
      </c>
      <c r="G1928" s="8" t="str">
        <f t="shared" si="365"/>
        <v>Y</v>
      </c>
      <c r="H1928" s="8" t="str">
        <f t="shared" si="366"/>
        <v>Upper</v>
      </c>
      <c r="I1928" s="8" t="str">
        <f t="shared" si="367"/>
        <v>West Fork and Below Lake</v>
      </c>
      <c r="J1928" s="8" t="str">
        <f t="shared" si="368"/>
        <v>Sonoma (d/s of Clov. Gage)</v>
      </c>
      <c r="K1928" s="8" t="str">
        <f t="shared" si="369"/>
        <v>Riparian</v>
      </c>
      <c r="L1928" s="8">
        <f t="shared" si="370"/>
        <v>1000</v>
      </c>
      <c r="M1928" s="8" t="str">
        <f t="shared" si="372"/>
        <v>-</v>
      </c>
      <c r="N1928" s="10" t="s">
        <v>242</v>
      </c>
      <c r="O1928" s="10" t="s">
        <v>241</v>
      </c>
      <c r="P1928" s="10" t="s">
        <v>242</v>
      </c>
      <c r="Q1928" s="10" t="s">
        <v>242</v>
      </c>
      <c r="R1928" s="10" t="s">
        <v>242</v>
      </c>
      <c r="S1928" s="10" t="s">
        <v>241</v>
      </c>
      <c r="T1928" s="10" t="s">
        <v>242</v>
      </c>
      <c r="U1928" s="10" t="s">
        <v>242</v>
      </c>
      <c r="V1928" s="10" t="s">
        <v>242</v>
      </c>
      <c r="W1928" s="10" t="s">
        <v>242</v>
      </c>
      <c r="X1928" s="15">
        <f>IF(ISERROR(VLOOKUP($A1928,'13. Updated Demand'!A:Z,15,FALSE)),0,VLOOKUP($A1928,'13. Updated Demand'!A:Z,15,FALSE))</f>
        <v>0</v>
      </c>
      <c r="Y1928" s="16">
        <f>IF(ISERROR(VLOOKUP($A1928,'13. Updated Demand'!A:Z,16,FALSE)),0,VLOOKUP($A1928,'13. Updated Demand'!A:Z,16,FALSE))</f>
        <v>0</v>
      </c>
      <c r="Z1928" s="16">
        <f>IF(ISERROR(VLOOKUP($A1928,'13. Updated Demand'!A:Z,17,FALSE)),0,VLOOKUP($A1928,'13. Updated Demand'!A:Z,17,FALSE))</f>
        <v>0.12</v>
      </c>
      <c r="AA1928" s="16">
        <f>IF(ISERROR(VLOOKUP($A1928,'13. Updated Demand'!A:Z,18,FALSE)),0,VLOOKUP($A1928,'13. Updated Demand'!A:Z,18,FALSE))</f>
        <v>0.57999999999999996</v>
      </c>
      <c r="AB1928" s="16">
        <f>IF(ISERROR(VLOOKUP($A1928,'13. Updated Demand'!A:Z,19,FALSE)),0,VLOOKUP($A1928,'13. Updated Demand'!A:Z,19,FALSE))</f>
        <v>0.36</v>
      </c>
      <c r="AC1928" s="16">
        <f>IF(ISERROR(VLOOKUP($A1928,'13. Updated Demand'!A:Z,20,FALSE)),0,VLOOKUP($A1928,'13. Updated Demand'!A:Z,20,FALSE))</f>
        <v>0.41</v>
      </c>
      <c r="AD1928" s="16">
        <f>IF(ISERROR(VLOOKUP($A1928,'13. Updated Demand'!A:Z,21,FALSE)),0,VLOOKUP($A1928,'13. Updated Demand'!A:Z,21,FALSE))</f>
        <v>0.37</v>
      </c>
      <c r="AE1928" s="16">
        <f>IF(ISERROR(VLOOKUP($A1928,'13. Updated Demand'!A:Z,22,FALSE)),0,VLOOKUP($A1928,'13. Updated Demand'!A:Z,22,FALSE))</f>
        <v>0.28999999999999998</v>
      </c>
      <c r="AF1928" s="16">
        <f>IF(ISERROR(VLOOKUP($A1928,'13. Updated Demand'!A:Z,23,FALSE)),0,VLOOKUP($A1928,'13. Updated Demand'!A:Z,23,FALSE))</f>
        <v>0.36</v>
      </c>
      <c r="AG1928" s="16">
        <f>IF(ISERROR(VLOOKUP($A1928,'13. Updated Demand'!A:Z,24,FALSE)),0,VLOOKUP($A1928,'13. Updated Demand'!A:Z,24,FALSE))</f>
        <v>0.33</v>
      </c>
      <c r="AH1928" s="16">
        <f>IF(ISERROR(VLOOKUP($A1928,'13. Updated Demand'!A:Z,25,FALSE)),0,VLOOKUP($A1928,'13. Updated Demand'!A:Z,25,FALSE))</f>
        <v>0.33</v>
      </c>
      <c r="AI1928" s="16">
        <f>IF(ISERROR(VLOOKUP($A1928,'13. Updated Demand'!A:Z,26,FALSE)),0,VLOOKUP($A1928,'13. Updated Demand'!A:Z,26,FALSE))</f>
        <v>0</v>
      </c>
      <c r="AJ1928" s="16">
        <f t="shared" si="361"/>
        <v>3.15</v>
      </c>
      <c r="AK1928" s="19">
        <v>1.7968739990000002</v>
      </c>
      <c r="AL1928" s="16">
        <f t="shared" si="371"/>
        <v>5.9600263714998936E-3</v>
      </c>
      <c r="AM1928" s="26">
        <v>0.11053970969235538</v>
      </c>
      <c r="AN1928" s="19">
        <v>28.724699999999999</v>
      </c>
      <c r="AO1928" s="19" t="s">
        <v>1758</v>
      </c>
      <c r="AP1928" s="19">
        <v>0</v>
      </c>
      <c r="AQ1928" s="19" t="s">
        <v>307</v>
      </c>
      <c r="AR1928" s="9" t="s">
        <v>507</v>
      </c>
      <c r="AS1928" s="12">
        <v>0</v>
      </c>
      <c r="AT1928" s="19">
        <v>38.605899999999998</v>
      </c>
      <c r="AU1928" s="19">
        <v>-122.85769999999999</v>
      </c>
      <c r="AV1928" s="19" t="s">
        <v>548</v>
      </c>
    </row>
    <row r="1929" spans="1:48" x14ac:dyDescent="0.25">
      <c r="A1929" s="18" t="s">
        <v>2348</v>
      </c>
      <c r="B1929" s="10">
        <v>10000000</v>
      </c>
      <c r="C1929" s="9">
        <v>13</v>
      </c>
      <c r="D1929" s="8" t="str">
        <f t="shared" si="362"/>
        <v>N</v>
      </c>
      <c r="E1929" s="8" t="str">
        <f t="shared" si="363"/>
        <v>Y</v>
      </c>
      <c r="F1929" s="8" t="str">
        <f t="shared" si="364"/>
        <v>Y</v>
      </c>
      <c r="G1929" s="8" t="str">
        <f t="shared" si="365"/>
        <v>Y</v>
      </c>
      <c r="H1929" s="8" t="str">
        <f t="shared" si="366"/>
        <v>Upper</v>
      </c>
      <c r="I1929" s="8" t="str">
        <f t="shared" si="367"/>
        <v>West Fork and Below Lake</v>
      </c>
      <c r="J1929" s="8" t="str">
        <f t="shared" si="368"/>
        <v>Sonoma (d/s of Clov. Gage)</v>
      </c>
      <c r="K1929" s="8" t="str">
        <f t="shared" si="369"/>
        <v>Riparian</v>
      </c>
      <c r="L1929" s="8">
        <f t="shared" si="370"/>
        <v>1000</v>
      </c>
      <c r="M1929" s="8" t="str">
        <f t="shared" si="372"/>
        <v>-</v>
      </c>
      <c r="N1929" s="10" t="s">
        <v>242</v>
      </c>
      <c r="O1929" s="10" t="s">
        <v>241</v>
      </c>
      <c r="P1929" s="10" t="s">
        <v>242</v>
      </c>
      <c r="Q1929" s="10" t="s">
        <v>242</v>
      </c>
      <c r="R1929" s="10" t="s">
        <v>242</v>
      </c>
      <c r="S1929" s="10" t="s">
        <v>241</v>
      </c>
      <c r="T1929" s="10" t="s">
        <v>242</v>
      </c>
      <c r="U1929" s="10" t="s">
        <v>241</v>
      </c>
      <c r="V1929" s="10" t="s">
        <v>241</v>
      </c>
      <c r="W1929" s="10" t="s">
        <v>242</v>
      </c>
      <c r="X1929" s="15">
        <f>IF(ISERROR(VLOOKUP($A1929,'13. Updated Demand'!A:Z,15,FALSE)),0,VLOOKUP($A1929,'13. Updated Demand'!A:Z,15,FALSE))</f>
        <v>0</v>
      </c>
      <c r="Y1929" s="16">
        <f>IF(ISERROR(VLOOKUP($A1929,'13. Updated Demand'!A:Z,16,FALSE)),0,VLOOKUP($A1929,'13. Updated Demand'!A:Z,16,FALSE))</f>
        <v>0</v>
      </c>
      <c r="Z1929" s="16">
        <f>IF(ISERROR(VLOOKUP($A1929,'13. Updated Demand'!A:Z,17,FALSE)),0,VLOOKUP($A1929,'13. Updated Demand'!A:Z,17,FALSE))</f>
        <v>0</v>
      </c>
      <c r="AA1929" s="16">
        <f>IF(ISERROR(VLOOKUP($A1929,'13. Updated Demand'!A:Z,18,FALSE)),0,VLOOKUP($A1929,'13. Updated Demand'!A:Z,18,FALSE))</f>
        <v>0</v>
      </c>
      <c r="AB1929" s="16">
        <f>IF(ISERROR(VLOOKUP($A1929,'13. Updated Demand'!A:Z,19,FALSE)),0,VLOOKUP($A1929,'13. Updated Demand'!A:Z,19,FALSE))</f>
        <v>0</v>
      </c>
      <c r="AC1929" s="16">
        <f>IF(ISERROR(VLOOKUP($A1929,'13. Updated Demand'!A:Z,20,FALSE)),0,VLOOKUP($A1929,'13. Updated Demand'!A:Z,20,FALSE))</f>
        <v>0</v>
      </c>
      <c r="AD1929" s="16">
        <f>IF(ISERROR(VLOOKUP($A1929,'13. Updated Demand'!A:Z,21,FALSE)),0,VLOOKUP($A1929,'13. Updated Demand'!A:Z,21,FALSE))</f>
        <v>0</v>
      </c>
      <c r="AE1929" s="16">
        <f>IF(ISERROR(VLOOKUP($A1929,'13. Updated Demand'!A:Z,22,FALSE)),0,VLOOKUP($A1929,'13. Updated Demand'!A:Z,22,FALSE))</f>
        <v>0</v>
      </c>
      <c r="AF1929" s="16">
        <f>IF(ISERROR(VLOOKUP($A1929,'13. Updated Demand'!A:Z,23,FALSE)),0,VLOOKUP($A1929,'13. Updated Demand'!A:Z,23,FALSE))</f>
        <v>0</v>
      </c>
      <c r="AG1929" s="16">
        <f>IF(ISERROR(VLOOKUP($A1929,'13. Updated Demand'!A:Z,24,FALSE)),0,VLOOKUP($A1929,'13. Updated Demand'!A:Z,24,FALSE))</f>
        <v>0</v>
      </c>
      <c r="AH1929" s="16">
        <f>IF(ISERROR(VLOOKUP($A1929,'13. Updated Demand'!A:Z,25,FALSE)),0,VLOOKUP($A1929,'13. Updated Demand'!A:Z,25,FALSE))</f>
        <v>0</v>
      </c>
      <c r="AI1929" s="16">
        <f>IF(ISERROR(VLOOKUP($A1929,'13. Updated Demand'!A:Z,26,FALSE)),0,VLOOKUP($A1929,'13. Updated Demand'!A:Z,26,FALSE))</f>
        <v>0</v>
      </c>
      <c r="AJ1929" s="16">
        <f t="shared" si="361"/>
        <v>0</v>
      </c>
      <c r="AK1929" s="19">
        <v>0</v>
      </c>
      <c r="AL1929" s="16">
        <f t="shared" si="371"/>
        <v>0</v>
      </c>
      <c r="AM1929" s="26">
        <v>0</v>
      </c>
      <c r="AN1929" s="19">
        <v>43.125300000000003</v>
      </c>
      <c r="AO1929" s="19" t="s">
        <v>1758</v>
      </c>
      <c r="AP1929" s="19">
        <v>0</v>
      </c>
      <c r="AQ1929" s="19" t="s">
        <v>307</v>
      </c>
      <c r="AR1929" s="9" t="s">
        <v>507</v>
      </c>
      <c r="AS1929" s="12">
        <v>0</v>
      </c>
      <c r="AT1929" s="19">
        <v>38.6021</v>
      </c>
      <c r="AU1929" s="19">
        <v>-122.8584</v>
      </c>
      <c r="AV1929" s="19" t="s">
        <v>548</v>
      </c>
    </row>
    <row r="1930" spans="1:48" x14ac:dyDescent="0.25">
      <c r="A1930" s="18" t="s">
        <v>2349</v>
      </c>
      <c r="B1930" s="10">
        <v>10000000</v>
      </c>
      <c r="C1930" s="9">
        <v>6</v>
      </c>
      <c r="D1930" s="8" t="str">
        <f t="shared" si="362"/>
        <v>Y</v>
      </c>
      <c r="E1930" s="8" t="str">
        <f t="shared" si="363"/>
        <v>N</v>
      </c>
      <c r="F1930" s="8" t="str">
        <f t="shared" si="364"/>
        <v>Y</v>
      </c>
      <c r="G1930" s="8" t="str">
        <f t="shared" si="365"/>
        <v>Y</v>
      </c>
      <c r="H1930" s="8" t="str">
        <f t="shared" si="366"/>
        <v>Upper</v>
      </c>
      <c r="I1930" s="8" t="str">
        <f t="shared" si="367"/>
        <v>West Fork and Below Lake</v>
      </c>
      <c r="J1930" s="8" t="str">
        <f t="shared" si="368"/>
        <v>Mendocino (d/s of lake)</v>
      </c>
      <c r="K1930" s="8" t="str">
        <f t="shared" si="369"/>
        <v>Riparian</v>
      </c>
      <c r="L1930" s="8">
        <f t="shared" si="370"/>
        <v>1000</v>
      </c>
      <c r="M1930" s="8" t="str">
        <f t="shared" si="372"/>
        <v>-</v>
      </c>
      <c r="N1930" s="10" t="s">
        <v>242</v>
      </c>
      <c r="O1930" s="10" t="s">
        <v>241</v>
      </c>
      <c r="P1930" s="10" t="s">
        <v>242</v>
      </c>
      <c r="Q1930" s="10" t="s">
        <v>242</v>
      </c>
      <c r="R1930" s="10" t="s">
        <v>242</v>
      </c>
      <c r="S1930" s="10" t="s">
        <v>241</v>
      </c>
      <c r="T1930" s="10" t="s">
        <v>242</v>
      </c>
      <c r="U1930" s="10" t="s">
        <v>242</v>
      </c>
      <c r="V1930" s="10" t="s">
        <v>242</v>
      </c>
      <c r="W1930" s="10" t="s">
        <v>242</v>
      </c>
      <c r="X1930" s="15">
        <f>IF(ISERROR(VLOOKUP($A1930,'13. Updated Demand'!A:Z,15,FALSE)),0,VLOOKUP($A1930,'13. Updated Demand'!A:Z,15,FALSE))</f>
        <v>11.06</v>
      </c>
      <c r="Y1930" s="16">
        <f>IF(ISERROR(VLOOKUP($A1930,'13. Updated Demand'!A:Z,16,FALSE)),0,VLOOKUP($A1930,'13. Updated Demand'!A:Z,16,FALSE))</f>
        <v>0</v>
      </c>
      <c r="Z1930" s="16">
        <f>IF(ISERROR(VLOOKUP($A1930,'13. Updated Demand'!A:Z,17,FALSE)),0,VLOOKUP($A1930,'13. Updated Demand'!A:Z,17,FALSE))</f>
        <v>0</v>
      </c>
      <c r="AA1930" s="16">
        <f>IF(ISERROR(VLOOKUP($A1930,'13. Updated Demand'!A:Z,18,FALSE)),0,VLOOKUP($A1930,'13. Updated Demand'!A:Z,18,FALSE))</f>
        <v>0</v>
      </c>
      <c r="AB1930" s="16">
        <f>IF(ISERROR(VLOOKUP($A1930,'13. Updated Demand'!A:Z,19,FALSE)),0,VLOOKUP($A1930,'13. Updated Demand'!A:Z,19,FALSE))</f>
        <v>0.53</v>
      </c>
      <c r="AC1930" s="16">
        <f>IF(ISERROR(VLOOKUP($A1930,'13. Updated Demand'!A:Z,20,FALSE)),0,VLOOKUP($A1930,'13. Updated Demand'!A:Z,20,FALSE))</f>
        <v>0</v>
      </c>
      <c r="AD1930" s="16">
        <f>IF(ISERROR(VLOOKUP($A1930,'13. Updated Demand'!A:Z,21,FALSE)),0,VLOOKUP($A1930,'13. Updated Demand'!A:Z,21,FALSE))</f>
        <v>0</v>
      </c>
      <c r="AE1930" s="16">
        <f>IF(ISERROR(VLOOKUP($A1930,'13. Updated Demand'!A:Z,22,FALSE)),0,VLOOKUP($A1930,'13. Updated Demand'!A:Z,22,FALSE))</f>
        <v>0</v>
      </c>
      <c r="AF1930" s="16">
        <f>IF(ISERROR(VLOOKUP($A1930,'13. Updated Demand'!A:Z,23,FALSE)),0,VLOOKUP($A1930,'13. Updated Demand'!A:Z,23,FALSE))</f>
        <v>0</v>
      </c>
      <c r="AG1930" s="16">
        <f>IF(ISERROR(VLOOKUP($A1930,'13. Updated Demand'!A:Z,24,FALSE)),0,VLOOKUP($A1930,'13. Updated Demand'!A:Z,24,FALSE))</f>
        <v>0</v>
      </c>
      <c r="AH1930" s="16">
        <f>IF(ISERROR(VLOOKUP($A1930,'13. Updated Demand'!A:Z,25,FALSE)),0,VLOOKUP($A1930,'13. Updated Demand'!A:Z,25,FALSE))</f>
        <v>3.6</v>
      </c>
      <c r="AI1930" s="16">
        <f>IF(ISERROR(VLOOKUP($A1930,'13. Updated Demand'!A:Z,26,FALSE)),0,VLOOKUP($A1930,'13. Updated Demand'!A:Z,26,FALSE))</f>
        <v>14.83</v>
      </c>
      <c r="AJ1930" s="16">
        <f t="shared" si="361"/>
        <v>30.02</v>
      </c>
      <c r="AK1930" s="19">
        <v>0.53333333299999997</v>
      </c>
      <c r="AL1930" s="16">
        <f t="shared" si="371"/>
        <v>1.7690059131853094E-3</v>
      </c>
      <c r="AM1930" s="26">
        <v>0.76226734347715741</v>
      </c>
      <c r="AN1930" s="19">
        <v>39.4</v>
      </c>
      <c r="AO1930" s="19" t="s">
        <v>1758</v>
      </c>
      <c r="AP1930" s="19">
        <v>0</v>
      </c>
      <c r="AQ1930" s="19" t="s">
        <v>307</v>
      </c>
      <c r="AR1930" s="9" t="s">
        <v>319</v>
      </c>
      <c r="AS1930" s="12">
        <v>0</v>
      </c>
      <c r="AT1930" s="19">
        <v>38.959200000000003</v>
      </c>
      <c r="AU1930" s="19">
        <v>-123.0782</v>
      </c>
      <c r="AV1930" s="19" t="s">
        <v>385</v>
      </c>
    </row>
    <row r="1931" spans="1:48" x14ac:dyDescent="0.25">
      <c r="A1931" s="18" t="s">
        <v>2350</v>
      </c>
      <c r="B1931" s="10">
        <v>10000000</v>
      </c>
      <c r="C1931" s="9">
        <v>6</v>
      </c>
      <c r="D1931" s="8" t="str">
        <f t="shared" si="362"/>
        <v>Y</v>
      </c>
      <c r="E1931" s="8" t="str">
        <f t="shared" si="363"/>
        <v>N</v>
      </c>
      <c r="F1931" s="8" t="str">
        <f t="shared" si="364"/>
        <v>Y</v>
      </c>
      <c r="G1931" s="8" t="str">
        <f t="shared" si="365"/>
        <v>Y</v>
      </c>
      <c r="H1931" s="8" t="str">
        <f t="shared" si="366"/>
        <v>Upper</v>
      </c>
      <c r="I1931" s="8" t="str">
        <f t="shared" si="367"/>
        <v>West Fork and Below Lake</v>
      </c>
      <c r="J1931" s="8" t="str">
        <f t="shared" si="368"/>
        <v>Mendocino (d/s of lake)</v>
      </c>
      <c r="K1931" s="8" t="str">
        <f t="shared" si="369"/>
        <v>Riparian</v>
      </c>
      <c r="L1931" s="8">
        <f t="shared" si="370"/>
        <v>1000</v>
      </c>
      <c r="M1931" s="8" t="str">
        <f t="shared" si="372"/>
        <v>-</v>
      </c>
      <c r="N1931" s="10" t="s">
        <v>242</v>
      </c>
      <c r="O1931" s="10" t="s">
        <v>241</v>
      </c>
      <c r="P1931" s="10" t="s">
        <v>242</v>
      </c>
      <c r="Q1931" s="10" t="s">
        <v>242</v>
      </c>
      <c r="R1931" s="10" t="s">
        <v>242</v>
      </c>
      <c r="S1931" s="10" t="s">
        <v>241</v>
      </c>
      <c r="T1931" s="10" t="s">
        <v>242</v>
      </c>
      <c r="U1931" s="10" t="s">
        <v>241</v>
      </c>
      <c r="V1931" s="10" t="s">
        <v>241</v>
      </c>
      <c r="W1931" s="10" t="s">
        <v>242</v>
      </c>
      <c r="X1931" s="15">
        <f>IF(ISERROR(VLOOKUP($A1931,'13. Updated Demand'!A:Z,15,FALSE)),0,VLOOKUP($A1931,'13. Updated Demand'!A:Z,15,FALSE))</f>
        <v>0</v>
      </c>
      <c r="Y1931" s="16">
        <f>IF(ISERROR(VLOOKUP($A1931,'13. Updated Demand'!A:Z,16,FALSE)),0,VLOOKUP($A1931,'13. Updated Demand'!A:Z,16,FALSE))</f>
        <v>0</v>
      </c>
      <c r="Z1931" s="16">
        <f>IF(ISERROR(VLOOKUP($A1931,'13. Updated Demand'!A:Z,17,FALSE)),0,VLOOKUP($A1931,'13. Updated Demand'!A:Z,17,FALSE))</f>
        <v>0</v>
      </c>
      <c r="AA1931" s="16">
        <f>IF(ISERROR(VLOOKUP($A1931,'13. Updated Demand'!A:Z,18,FALSE)),0,VLOOKUP($A1931,'13. Updated Demand'!A:Z,18,FALSE))</f>
        <v>0</v>
      </c>
      <c r="AB1931" s="16">
        <f>IF(ISERROR(VLOOKUP($A1931,'13. Updated Demand'!A:Z,19,FALSE)),0,VLOOKUP($A1931,'13. Updated Demand'!A:Z,19,FALSE))</f>
        <v>0</v>
      </c>
      <c r="AC1931" s="16">
        <f>IF(ISERROR(VLOOKUP($A1931,'13. Updated Demand'!A:Z,20,FALSE)),0,VLOOKUP($A1931,'13. Updated Demand'!A:Z,20,FALSE))</f>
        <v>0</v>
      </c>
      <c r="AD1931" s="16">
        <f>IF(ISERROR(VLOOKUP($A1931,'13. Updated Demand'!A:Z,21,FALSE)),0,VLOOKUP($A1931,'13. Updated Demand'!A:Z,21,FALSE))</f>
        <v>0</v>
      </c>
      <c r="AE1931" s="16">
        <f>IF(ISERROR(VLOOKUP($A1931,'13. Updated Demand'!A:Z,22,FALSE)),0,VLOOKUP($A1931,'13. Updated Demand'!A:Z,22,FALSE))</f>
        <v>0</v>
      </c>
      <c r="AF1931" s="16">
        <f>IF(ISERROR(VLOOKUP($A1931,'13. Updated Demand'!A:Z,23,FALSE)),0,VLOOKUP($A1931,'13. Updated Demand'!A:Z,23,FALSE))</f>
        <v>0</v>
      </c>
      <c r="AG1931" s="16">
        <f>IF(ISERROR(VLOOKUP($A1931,'13. Updated Demand'!A:Z,24,FALSE)),0,VLOOKUP($A1931,'13. Updated Demand'!A:Z,24,FALSE))</f>
        <v>0</v>
      </c>
      <c r="AH1931" s="16">
        <f>IF(ISERROR(VLOOKUP($A1931,'13. Updated Demand'!A:Z,25,FALSE)),0,VLOOKUP($A1931,'13. Updated Demand'!A:Z,25,FALSE))</f>
        <v>0</v>
      </c>
      <c r="AI1931" s="16">
        <f>IF(ISERROR(VLOOKUP($A1931,'13. Updated Demand'!A:Z,26,FALSE)),0,VLOOKUP($A1931,'13. Updated Demand'!A:Z,26,FALSE))</f>
        <v>0</v>
      </c>
      <c r="AJ1931" s="16">
        <f t="shared" si="361"/>
        <v>0</v>
      </c>
      <c r="AK1931" s="19">
        <v>0</v>
      </c>
      <c r="AL1931" s="16">
        <f t="shared" si="371"/>
        <v>0</v>
      </c>
      <c r="AM1931" s="26">
        <v>0</v>
      </c>
      <c r="AN1931" s="19">
        <v>50</v>
      </c>
      <c r="AO1931" s="19" t="s">
        <v>1758</v>
      </c>
      <c r="AP1931" s="19">
        <v>0</v>
      </c>
      <c r="AQ1931" s="19" t="s">
        <v>307</v>
      </c>
      <c r="AR1931" s="9" t="s">
        <v>319</v>
      </c>
      <c r="AS1931" s="12">
        <v>0</v>
      </c>
      <c r="AT1931" s="19">
        <v>38.978499999999997</v>
      </c>
      <c r="AU1931" s="19">
        <v>-123.0802</v>
      </c>
      <c r="AV1931" s="19" t="s">
        <v>385</v>
      </c>
    </row>
    <row r="1932" spans="1:48" x14ac:dyDescent="0.25">
      <c r="A1932" s="18" t="s">
        <v>2351</v>
      </c>
      <c r="B1932" s="10">
        <v>10000000</v>
      </c>
      <c r="C1932" s="9">
        <v>6</v>
      </c>
      <c r="D1932" s="8" t="str">
        <f t="shared" si="362"/>
        <v>Y</v>
      </c>
      <c r="E1932" s="8" t="str">
        <f t="shared" si="363"/>
        <v>N</v>
      </c>
      <c r="F1932" s="8" t="str">
        <f t="shared" si="364"/>
        <v>Y</v>
      </c>
      <c r="G1932" s="8" t="str">
        <f t="shared" si="365"/>
        <v>Y</v>
      </c>
      <c r="H1932" s="8" t="str">
        <f t="shared" si="366"/>
        <v>Upper</v>
      </c>
      <c r="I1932" s="8" t="str">
        <f t="shared" si="367"/>
        <v>West Fork and Below Lake</v>
      </c>
      <c r="J1932" s="8" t="str">
        <f t="shared" si="368"/>
        <v>Mendocino (d/s of lake)</v>
      </c>
      <c r="K1932" s="8" t="str">
        <f t="shared" si="369"/>
        <v>Riparian</v>
      </c>
      <c r="L1932" s="8">
        <f t="shared" si="370"/>
        <v>1000</v>
      </c>
      <c r="M1932" s="8" t="str">
        <f t="shared" si="372"/>
        <v>-</v>
      </c>
      <c r="N1932" s="10" t="s">
        <v>242</v>
      </c>
      <c r="O1932" s="10" t="s">
        <v>241</v>
      </c>
      <c r="P1932" s="10" t="s">
        <v>242</v>
      </c>
      <c r="Q1932" s="10" t="s">
        <v>242</v>
      </c>
      <c r="R1932" s="10" t="s">
        <v>242</v>
      </c>
      <c r="S1932" s="10" t="s">
        <v>241</v>
      </c>
      <c r="T1932" s="10" t="s">
        <v>242</v>
      </c>
      <c r="U1932" s="10" t="s">
        <v>241</v>
      </c>
      <c r="V1932" s="10" t="s">
        <v>241</v>
      </c>
      <c r="W1932" s="10" t="s">
        <v>242</v>
      </c>
      <c r="X1932" s="15">
        <f>IF(ISERROR(VLOOKUP($A1932,'13. Updated Demand'!A:Z,15,FALSE)),0,VLOOKUP($A1932,'13. Updated Demand'!A:Z,15,FALSE))</f>
        <v>0</v>
      </c>
      <c r="Y1932" s="16">
        <f>IF(ISERROR(VLOOKUP($A1932,'13. Updated Demand'!A:Z,16,FALSE)),0,VLOOKUP($A1932,'13. Updated Demand'!A:Z,16,FALSE))</f>
        <v>0</v>
      </c>
      <c r="Z1932" s="16">
        <f>IF(ISERROR(VLOOKUP($A1932,'13. Updated Demand'!A:Z,17,FALSE)),0,VLOOKUP($A1932,'13. Updated Demand'!A:Z,17,FALSE))</f>
        <v>0</v>
      </c>
      <c r="AA1932" s="16">
        <f>IF(ISERROR(VLOOKUP($A1932,'13. Updated Demand'!A:Z,18,FALSE)),0,VLOOKUP($A1932,'13. Updated Demand'!A:Z,18,FALSE))</f>
        <v>0</v>
      </c>
      <c r="AB1932" s="16">
        <f>IF(ISERROR(VLOOKUP($A1932,'13. Updated Demand'!A:Z,19,FALSE)),0,VLOOKUP($A1932,'13. Updated Demand'!A:Z,19,FALSE))</f>
        <v>0</v>
      </c>
      <c r="AC1932" s="16">
        <f>IF(ISERROR(VLOOKUP($A1932,'13. Updated Demand'!A:Z,20,FALSE)),0,VLOOKUP($A1932,'13. Updated Demand'!A:Z,20,FALSE))</f>
        <v>0</v>
      </c>
      <c r="AD1932" s="16">
        <f>IF(ISERROR(VLOOKUP($A1932,'13. Updated Demand'!A:Z,21,FALSE)),0,VLOOKUP($A1932,'13. Updated Demand'!A:Z,21,FALSE))</f>
        <v>0</v>
      </c>
      <c r="AE1932" s="16">
        <f>IF(ISERROR(VLOOKUP($A1932,'13. Updated Demand'!A:Z,22,FALSE)),0,VLOOKUP($A1932,'13. Updated Demand'!A:Z,22,FALSE))</f>
        <v>0</v>
      </c>
      <c r="AF1932" s="16">
        <f>IF(ISERROR(VLOOKUP($A1932,'13. Updated Demand'!A:Z,23,FALSE)),0,VLOOKUP($A1932,'13. Updated Demand'!A:Z,23,FALSE))</f>
        <v>0</v>
      </c>
      <c r="AG1932" s="16">
        <f>IF(ISERROR(VLOOKUP($A1932,'13. Updated Demand'!A:Z,24,FALSE)),0,VLOOKUP($A1932,'13. Updated Demand'!A:Z,24,FALSE))</f>
        <v>0</v>
      </c>
      <c r="AH1932" s="16">
        <f>IF(ISERROR(VLOOKUP($A1932,'13. Updated Demand'!A:Z,25,FALSE)),0,VLOOKUP($A1932,'13. Updated Demand'!A:Z,25,FALSE))</f>
        <v>0</v>
      </c>
      <c r="AI1932" s="16">
        <f>IF(ISERROR(VLOOKUP($A1932,'13. Updated Demand'!A:Z,26,FALSE)),0,VLOOKUP($A1932,'13. Updated Demand'!A:Z,26,FALSE))</f>
        <v>0</v>
      </c>
      <c r="AJ1932" s="16">
        <f t="shared" si="361"/>
        <v>0</v>
      </c>
      <c r="AK1932" s="19">
        <v>0</v>
      </c>
      <c r="AL1932" s="16">
        <f t="shared" si="371"/>
        <v>0</v>
      </c>
      <c r="AM1932" s="26">
        <v>0</v>
      </c>
      <c r="AN1932" s="19">
        <v>0</v>
      </c>
      <c r="AO1932" s="19" t="s">
        <v>1758</v>
      </c>
      <c r="AP1932" s="19">
        <v>0</v>
      </c>
      <c r="AQ1932" s="19" t="s">
        <v>307</v>
      </c>
      <c r="AR1932" s="9" t="s">
        <v>319</v>
      </c>
      <c r="AS1932" s="12">
        <v>0</v>
      </c>
      <c r="AT1932" s="19">
        <v>38.982300000000002</v>
      </c>
      <c r="AU1932" s="19">
        <v>-123.0808</v>
      </c>
      <c r="AV1932" s="19" t="s">
        <v>385</v>
      </c>
    </row>
    <row r="1933" spans="1:48" x14ac:dyDescent="0.25">
      <c r="A1933" s="18" t="s">
        <v>2352</v>
      </c>
      <c r="B1933" s="10">
        <v>10000000</v>
      </c>
      <c r="C1933" s="9">
        <v>1</v>
      </c>
      <c r="D1933" s="8" t="str">
        <f t="shared" si="362"/>
        <v>N</v>
      </c>
      <c r="E1933" s="8" t="str">
        <f t="shared" si="363"/>
        <v>N</v>
      </c>
      <c r="F1933" s="8" t="str">
        <f t="shared" si="364"/>
        <v>Y</v>
      </c>
      <c r="G1933" s="8" t="str">
        <f t="shared" si="365"/>
        <v>Y</v>
      </c>
      <c r="H1933" s="8" t="str">
        <f t="shared" si="366"/>
        <v>Upper</v>
      </c>
      <c r="I1933" s="8" t="str">
        <f t="shared" si="367"/>
        <v>West Fork and Below Lake</v>
      </c>
      <c r="J1933" s="8" t="str">
        <f t="shared" si="368"/>
        <v>Outside</v>
      </c>
      <c r="K1933" s="8" t="str">
        <f t="shared" si="369"/>
        <v>Riparian</v>
      </c>
      <c r="L1933" s="8">
        <f t="shared" si="370"/>
        <v>1000</v>
      </c>
      <c r="M1933" s="8" t="str">
        <f t="shared" si="372"/>
        <v>-</v>
      </c>
      <c r="N1933" s="10" t="s">
        <v>242</v>
      </c>
      <c r="O1933" s="10" t="s">
        <v>241</v>
      </c>
      <c r="P1933" s="10" t="s">
        <v>242</v>
      </c>
      <c r="Q1933" s="10" t="s">
        <v>242</v>
      </c>
      <c r="R1933" s="10" t="s">
        <v>242</v>
      </c>
      <c r="S1933" s="10" t="s">
        <v>241</v>
      </c>
      <c r="T1933" s="10" t="s">
        <v>242</v>
      </c>
      <c r="U1933" s="10" t="s">
        <v>241</v>
      </c>
      <c r="V1933" s="10" t="s">
        <v>241</v>
      </c>
      <c r="W1933" s="10" t="s">
        <v>242</v>
      </c>
      <c r="X1933" s="15">
        <f>IF(ISERROR(VLOOKUP($A1933,'13. Updated Demand'!A:Z,15,FALSE)),0,VLOOKUP($A1933,'13. Updated Demand'!A:Z,15,FALSE))</f>
        <v>0</v>
      </c>
      <c r="Y1933" s="16">
        <f>IF(ISERROR(VLOOKUP($A1933,'13. Updated Demand'!A:Z,16,FALSE)),0,VLOOKUP($A1933,'13. Updated Demand'!A:Z,16,FALSE))</f>
        <v>0</v>
      </c>
      <c r="Z1933" s="16">
        <f>IF(ISERROR(VLOOKUP($A1933,'13. Updated Demand'!A:Z,17,FALSE)),0,VLOOKUP($A1933,'13. Updated Demand'!A:Z,17,FALSE))</f>
        <v>0</v>
      </c>
      <c r="AA1933" s="16">
        <f>IF(ISERROR(VLOOKUP($A1933,'13. Updated Demand'!A:Z,18,FALSE)),0,VLOOKUP($A1933,'13. Updated Demand'!A:Z,18,FALSE))</f>
        <v>0</v>
      </c>
      <c r="AB1933" s="16">
        <f>IF(ISERROR(VLOOKUP($A1933,'13. Updated Demand'!A:Z,19,FALSE)),0,VLOOKUP($A1933,'13. Updated Demand'!A:Z,19,FALSE))</f>
        <v>0</v>
      </c>
      <c r="AC1933" s="16">
        <f>IF(ISERROR(VLOOKUP($A1933,'13. Updated Demand'!A:Z,20,FALSE)),0,VLOOKUP($A1933,'13. Updated Demand'!A:Z,20,FALSE))</f>
        <v>0</v>
      </c>
      <c r="AD1933" s="16">
        <f>IF(ISERROR(VLOOKUP($A1933,'13. Updated Demand'!A:Z,21,FALSE)),0,VLOOKUP($A1933,'13. Updated Demand'!A:Z,21,FALSE))</f>
        <v>0</v>
      </c>
      <c r="AE1933" s="16">
        <f>IF(ISERROR(VLOOKUP($A1933,'13. Updated Demand'!A:Z,22,FALSE)),0,VLOOKUP($A1933,'13. Updated Demand'!A:Z,22,FALSE))</f>
        <v>0</v>
      </c>
      <c r="AF1933" s="16">
        <f>IF(ISERROR(VLOOKUP($A1933,'13. Updated Demand'!A:Z,23,FALSE)),0,VLOOKUP($A1933,'13. Updated Demand'!A:Z,23,FALSE))</f>
        <v>0</v>
      </c>
      <c r="AG1933" s="16">
        <f>IF(ISERROR(VLOOKUP($A1933,'13. Updated Demand'!A:Z,24,FALSE)),0,VLOOKUP($A1933,'13. Updated Demand'!A:Z,24,FALSE))</f>
        <v>0</v>
      </c>
      <c r="AH1933" s="16">
        <f>IF(ISERROR(VLOOKUP($A1933,'13. Updated Demand'!A:Z,25,FALSE)),0,VLOOKUP($A1933,'13. Updated Demand'!A:Z,25,FALSE))</f>
        <v>0</v>
      </c>
      <c r="AI1933" s="16">
        <f>IF(ISERROR(VLOOKUP($A1933,'13. Updated Demand'!A:Z,26,FALSE)),0,VLOOKUP($A1933,'13. Updated Demand'!A:Z,26,FALSE))</f>
        <v>0</v>
      </c>
      <c r="AJ1933" s="16">
        <f t="shared" si="361"/>
        <v>0</v>
      </c>
      <c r="AK1933" s="19">
        <v>0</v>
      </c>
      <c r="AL1933" s="16">
        <f t="shared" si="371"/>
        <v>0</v>
      </c>
      <c r="AM1933" s="26">
        <v>0</v>
      </c>
      <c r="AN1933" s="19">
        <v>1.3257000000000001</v>
      </c>
      <c r="AO1933" s="19" t="s">
        <v>1758</v>
      </c>
      <c r="AP1933" s="19">
        <v>0</v>
      </c>
      <c r="AQ1933" s="19" t="s">
        <v>307</v>
      </c>
      <c r="AR1933" s="9" t="s">
        <v>317</v>
      </c>
      <c r="AS1933" s="12">
        <v>0</v>
      </c>
      <c r="AT1933" s="19">
        <v>39.228400000000001</v>
      </c>
      <c r="AU1933" s="19">
        <v>-123.2029</v>
      </c>
      <c r="AV1933" s="19" t="s">
        <v>387</v>
      </c>
    </row>
    <row r="1934" spans="1:48" x14ac:dyDescent="0.25">
      <c r="A1934" s="18" t="s">
        <v>2353</v>
      </c>
      <c r="B1934" s="10">
        <v>10000000</v>
      </c>
      <c r="C1934" s="9">
        <v>6</v>
      </c>
      <c r="D1934" s="8" t="str">
        <f t="shared" si="362"/>
        <v>Y</v>
      </c>
      <c r="E1934" s="8" t="str">
        <f t="shared" si="363"/>
        <v>N</v>
      </c>
      <c r="F1934" s="8" t="str">
        <f t="shared" si="364"/>
        <v>Y</v>
      </c>
      <c r="G1934" s="8" t="str">
        <f t="shared" si="365"/>
        <v>Y</v>
      </c>
      <c r="H1934" s="8" t="str">
        <f t="shared" si="366"/>
        <v>Upper</v>
      </c>
      <c r="I1934" s="8" t="str">
        <f t="shared" si="367"/>
        <v>West Fork and Below Lake</v>
      </c>
      <c r="J1934" s="8" t="str">
        <f t="shared" si="368"/>
        <v>Mendocino (d/s of lake)</v>
      </c>
      <c r="K1934" s="8" t="str">
        <f t="shared" si="369"/>
        <v>Riparian</v>
      </c>
      <c r="L1934" s="8">
        <f t="shared" si="370"/>
        <v>1000</v>
      </c>
      <c r="M1934" s="8" t="str">
        <f t="shared" si="372"/>
        <v>-</v>
      </c>
      <c r="N1934" s="10" t="s">
        <v>242</v>
      </c>
      <c r="O1934" s="10" t="s">
        <v>241</v>
      </c>
      <c r="P1934" s="10" t="s">
        <v>242</v>
      </c>
      <c r="Q1934" s="10" t="s">
        <v>242</v>
      </c>
      <c r="R1934" s="10" t="s">
        <v>242</v>
      </c>
      <c r="S1934" s="10" t="s">
        <v>241</v>
      </c>
      <c r="T1934" s="10" t="s">
        <v>242</v>
      </c>
      <c r="U1934" s="10" t="s">
        <v>242</v>
      </c>
      <c r="V1934" s="10" t="s">
        <v>241</v>
      </c>
      <c r="W1934" s="10" t="s">
        <v>242</v>
      </c>
      <c r="X1934" s="15">
        <f>IF(ISERROR(VLOOKUP($A1934,'13. Updated Demand'!A:Z,15,FALSE)),0,VLOOKUP($A1934,'13. Updated Demand'!A:Z,15,FALSE))</f>
        <v>1.96</v>
      </c>
      <c r="Y1934" s="16">
        <f>IF(ISERROR(VLOOKUP($A1934,'13. Updated Demand'!A:Z,16,FALSE)),0,VLOOKUP($A1934,'13. Updated Demand'!A:Z,16,FALSE))</f>
        <v>0</v>
      </c>
      <c r="Z1934" s="16">
        <f>IF(ISERROR(VLOOKUP($A1934,'13. Updated Demand'!A:Z,17,FALSE)),0,VLOOKUP($A1934,'13. Updated Demand'!A:Z,17,FALSE))</f>
        <v>0</v>
      </c>
      <c r="AA1934" s="16">
        <f>IF(ISERROR(VLOOKUP($A1934,'13. Updated Demand'!A:Z,18,FALSE)),0,VLOOKUP($A1934,'13. Updated Demand'!A:Z,18,FALSE))</f>
        <v>0</v>
      </c>
      <c r="AB1934" s="16">
        <f>IF(ISERROR(VLOOKUP($A1934,'13. Updated Demand'!A:Z,19,FALSE)),0,VLOOKUP($A1934,'13. Updated Demand'!A:Z,19,FALSE))</f>
        <v>0</v>
      </c>
      <c r="AC1934" s="16">
        <f>IF(ISERROR(VLOOKUP($A1934,'13. Updated Demand'!A:Z,20,FALSE)),0,VLOOKUP($A1934,'13. Updated Demand'!A:Z,20,FALSE))</f>
        <v>0</v>
      </c>
      <c r="AD1934" s="16">
        <f>IF(ISERROR(VLOOKUP($A1934,'13. Updated Demand'!A:Z,21,FALSE)),0,VLOOKUP($A1934,'13. Updated Demand'!A:Z,21,FALSE))</f>
        <v>0</v>
      </c>
      <c r="AE1934" s="16">
        <f>IF(ISERROR(VLOOKUP($A1934,'13. Updated Demand'!A:Z,22,FALSE)),0,VLOOKUP($A1934,'13. Updated Demand'!A:Z,22,FALSE))</f>
        <v>0</v>
      </c>
      <c r="AF1934" s="16">
        <f>IF(ISERROR(VLOOKUP($A1934,'13. Updated Demand'!A:Z,23,FALSE)),0,VLOOKUP($A1934,'13. Updated Demand'!A:Z,23,FALSE))</f>
        <v>0</v>
      </c>
      <c r="AG1934" s="16">
        <f>IF(ISERROR(VLOOKUP($A1934,'13. Updated Demand'!A:Z,24,FALSE)),0,VLOOKUP($A1934,'13. Updated Demand'!A:Z,24,FALSE))</f>
        <v>0</v>
      </c>
      <c r="AH1934" s="16">
        <f>IF(ISERROR(VLOOKUP($A1934,'13. Updated Demand'!A:Z,25,FALSE)),0,VLOOKUP($A1934,'13. Updated Demand'!A:Z,25,FALSE))</f>
        <v>0</v>
      </c>
      <c r="AI1934" s="16">
        <f>IF(ISERROR(VLOOKUP($A1934,'13. Updated Demand'!A:Z,26,FALSE)),0,VLOOKUP($A1934,'13. Updated Demand'!A:Z,26,FALSE))</f>
        <v>1.96</v>
      </c>
      <c r="AJ1934" s="16">
        <f t="shared" si="361"/>
        <v>3.92</v>
      </c>
      <c r="AK1934" s="19">
        <v>0</v>
      </c>
      <c r="AL1934" s="16">
        <f t="shared" si="371"/>
        <v>0</v>
      </c>
      <c r="AM1934" s="26">
        <v>1.9496520535288537E-3</v>
      </c>
      <c r="AN1934" s="19">
        <v>2017.454</v>
      </c>
      <c r="AO1934" s="19" t="s">
        <v>1758</v>
      </c>
      <c r="AP1934" s="19">
        <v>0</v>
      </c>
      <c r="AQ1934" s="19" t="s">
        <v>307</v>
      </c>
      <c r="AR1934" s="9" t="s">
        <v>319</v>
      </c>
      <c r="AS1934" s="12">
        <v>0</v>
      </c>
      <c r="AT1934" s="19">
        <v>38.993600000000001</v>
      </c>
      <c r="AU1934" s="19">
        <v>-123.15349999999999</v>
      </c>
      <c r="AV1934" s="19" t="s">
        <v>1886</v>
      </c>
    </row>
    <row r="1935" spans="1:48" x14ac:dyDescent="0.25">
      <c r="A1935" s="18" t="s">
        <v>2354</v>
      </c>
      <c r="B1935" s="10">
        <v>10000000</v>
      </c>
      <c r="C1935" s="9">
        <v>6</v>
      </c>
      <c r="D1935" s="8" t="str">
        <f t="shared" si="362"/>
        <v>Y</v>
      </c>
      <c r="E1935" s="8" t="str">
        <f t="shared" si="363"/>
        <v>N</v>
      </c>
      <c r="F1935" s="8" t="str">
        <f t="shared" si="364"/>
        <v>Y</v>
      </c>
      <c r="G1935" s="8" t="str">
        <f t="shared" si="365"/>
        <v>Y</v>
      </c>
      <c r="H1935" s="8" t="str">
        <f t="shared" si="366"/>
        <v>Upper</v>
      </c>
      <c r="I1935" s="8" t="str">
        <f t="shared" si="367"/>
        <v>West Fork and Below Lake</v>
      </c>
      <c r="J1935" s="8" t="str">
        <f t="shared" si="368"/>
        <v>Mendocino (d/s of lake)</v>
      </c>
      <c r="K1935" s="8" t="str">
        <f t="shared" si="369"/>
        <v>Riparian</v>
      </c>
      <c r="L1935" s="8">
        <f t="shared" si="370"/>
        <v>1000</v>
      </c>
      <c r="M1935" s="8" t="str">
        <f t="shared" si="372"/>
        <v>-</v>
      </c>
      <c r="N1935" s="10" t="s">
        <v>242</v>
      </c>
      <c r="O1935" s="10" t="s">
        <v>241</v>
      </c>
      <c r="P1935" s="10" t="s">
        <v>242</v>
      </c>
      <c r="Q1935" s="10" t="s">
        <v>242</v>
      </c>
      <c r="R1935" s="10" t="s">
        <v>242</v>
      </c>
      <c r="S1935" s="10" t="s">
        <v>241</v>
      </c>
      <c r="T1935" s="10" t="s">
        <v>242</v>
      </c>
      <c r="U1935" s="10" t="s">
        <v>242</v>
      </c>
      <c r="V1935" s="10" t="s">
        <v>241</v>
      </c>
      <c r="W1935" s="10" t="s">
        <v>242</v>
      </c>
      <c r="X1935" s="15">
        <f>IF(ISERROR(VLOOKUP($A1935,'13. Updated Demand'!A:Z,15,FALSE)),0,VLOOKUP($A1935,'13. Updated Demand'!A:Z,15,FALSE))</f>
        <v>14.26</v>
      </c>
      <c r="Y1935" s="16">
        <f>IF(ISERROR(VLOOKUP($A1935,'13. Updated Demand'!A:Z,16,FALSE)),0,VLOOKUP($A1935,'13. Updated Demand'!A:Z,16,FALSE))</f>
        <v>4</v>
      </c>
      <c r="Z1935" s="16">
        <f>IF(ISERROR(VLOOKUP($A1935,'13. Updated Demand'!A:Z,17,FALSE)),0,VLOOKUP($A1935,'13. Updated Demand'!A:Z,17,FALSE))</f>
        <v>1.66</v>
      </c>
      <c r="AA1935" s="16">
        <f>IF(ISERROR(VLOOKUP($A1935,'13. Updated Demand'!A:Z,18,FALSE)),0,VLOOKUP($A1935,'13. Updated Demand'!A:Z,18,FALSE))</f>
        <v>0</v>
      </c>
      <c r="AB1935" s="16">
        <f>IF(ISERROR(VLOOKUP($A1935,'13. Updated Demand'!A:Z,19,FALSE)),0,VLOOKUP($A1935,'13. Updated Demand'!A:Z,19,FALSE))</f>
        <v>0</v>
      </c>
      <c r="AC1935" s="16">
        <f>IF(ISERROR(VLOOKUP($A1935,'13. Updated Demand'!A:Z,20,FALSE)),0,VLOOKUP($A1935,'13. Updated Demand'!A:Z,20,FALSE))</f>
        <v>0</v>
      </c>
      <c r="AD1935" s="16">
        <f>IF(ISERROR(VLOOKUP($A1935,'13. Updated Demand'!A:Z,21,FALSE)),0,VLOOKUP($A1935,'13. Updated Demand'!A:Z,21,FALSE))</f>
        <v>0</v>
      </c>
      <c r="AE1935" s="16">
        <f>IF(ISERROR(VLOOKUP($A1935,'13. Updated Demand'!A:Z,22,FALSE)),0,VLOOKUP($A1935,'13. Updated Demand'!A:Z,22,FALSE))</f>
        <v>0</v>
      </c>
      <c r="AF1935" s="16">
        <f>IF(ISERROR(VLOOKUP($A1935,'13. Updated Demand'!A:Z,23,FALSE)),0,VLOOKUP($A1935,'13. Updated Demand'!A:Z,23,FALSE))</f>
        <v>0</v>
      </c>
      <c r="AG1935" s="16">
        <f>IF(ISERROR(VLOOKUP($A1935,'13. Updated Demand'!A:Z,24,FALSE)),0,VLOOKUP($A1935,'13. Updated Demand'!A:Z,24,FALSE))</f>
        <v>0</v>
      </c>
      <c r="AH1935" s="16">
        <f>IF(ISERROR(VLOOKUP($A1935,'13. Updated Demand'!A:Z,25,FALSE)),0,VLOOKUP($A1935,'13. Updated Demand'!A:Z,25,FALSE))</f>
        <v>0</v>
      </c>
      <c r="AI1935" s="16">
        <f>IF(ISERROR(VLOOKUP($A1935,'13. Updated Demand'!A:Z,26,FALSE)),0,VLOOKUP($A1935,'13. Updated Demand'!A:Z,26,FALSE))</f>
        <v>12.66</v>
      </c>
      <c r="AJ1935" s="16">
        <f t="shared" si="361"/>
        <v>32.58</v>
      </c>
      <c r="AK1935" s="19">
        <v>0</v>
      </c>
      <c r="AL1935" s="16">
        <f t="shared" si="371"/>
        <v>0</v>
      </c>
      <c r="AM1935" s="26">
        <v>1.6158980579978527E-2</v>
      </c>
      <c r="AN1935" s="19">
        <v>2017.454</v>
      </c>
      <c r="AO1935" s="19" t="s">
        <v>1758</v>
      </c>
      <c r="AP1935" s="19">
        <v>0</v>
      </c>
      <c r="AQ1935" s="19" t="s">
        <v>307</v>
      </c>
      <c r="AR1935" s="9" t="s">
        <v>319</v>
      </c>
      <c r="AS1935" s="12">
        <v>0</v>
      </c>
      <c r="AT1935" s="19">
        <v>38.991900000000001</v>
      </c>
      <c r="AU1935" s="19">
        <v>-123.1512</v>
      </c>
      <c r="AV1935" s="19" t="s">
        <v>1886</v>
      </c>
    </row>
    <row r="1936" spans="1:48" x14ac:dyDescent="0.25">
      <c r="A1936" s="18" t="s">
        <v>2355</v>
      </c>
      <c r="B1936" s="10">
        <v>10000000</v>
      </c>
      <c r="C1936" s="9">
        <v>18</v>
      </c>
      <c r="D1936" s="8" t="str">
        <f t="shared" si="362"/>
        <v>N</v>
      </c>
      <c r="E1936" s="8" t="str">
        <f t="shared" si="363"/>
        <v>N</v>
      </c>
      <c r="F1936" s="8" t="str">
        <f t="shared" si="364"/>
        <v>N</v>
      </c>
      <c r="G1936" s="8" t="str">
        <f t="shared" si="365"/>
        <v>N</v>
      </c>
      <c r="H1936" s="8" t="str">
        <f t="shared" si="366"/>
        <v>Lower</v>
      </c>
      <c r="I1936" s="8" t="str">
        <f t="shared" si="367"/>
        <v>Outside</v>
      </c>
      <c r="J1936" s="8" t="str">
        <f t="shared" si="368"/>
        <v>Outside</v>
      </c>
      <c r="K1936" s="8" t="str">
        <f t="shared" si="369"/>
        <v>Riparian</v>
      </c>
      <c r="L1936" s="8">
        <f t="shared" si="370"/>
        <v>1000</v>
      </c>
      <c r="M1936" s="8" t="str">
        <f t="shared" si="372"/>
        <v>-</v>
      </c>
      <c r="N1936" s="10" t="s">
        <v>242</v>
      </c>
      <c r="O1936" s="10" t="s">
        <v>242</v>
      </c>
      <c r="P1936" s="10" t="s">
        <v>242</v>
      </c>
      <c r="Q1936" s="10" t="s">
        <v>242</v>
      </c>
      <c r="R1936" s="10" t="s">
        <v>242</v>
      </c>
      <c r="S1936" s="10" t="s">
        <v>241</v>
      </c>
      <c r="T1936" s="10" t="s">
        <v>242</v>
      </c>
      <c r="U1936" s="10" t="s">
        <v>241</v>
      </c>
      <c r="V1936" s="10" t="s">
        <v>241</v>
      </c>
      <c r="W1936" s="10" t="s">
        <v>242</v>
      </c>
      <c r="X1936" s="15">
        <f>IF(ISERROR(VLOOKUP($A1936,'13. Updated Demand'!A:Z,15,FALSE)),0,VLOOKUP($A1936,'13. Updated Demand'!A:Z,15,FALSE))</f>
        <v>0</v>
      </c>
      <c r="Y1936" s="16">
        <f>IF(ISERROR(VLOOKUP($A1936,'13. Updated Demand'!A:Z,16,FALSE)),0,VLOOKUP($A1936,'13. Updated Demand'!A:Z,16,FALSE))</f>
        <v>0</v>
      </c>
      <c r="Z1936" s="16">
        <f>IF(ISERROR(VLOOKUP($A1936,'13. Updated Demand'!A:Z,17,FALSE)),0,VLOOKUP($A1936,'13. Updated Demand'!A:Z,17,FALSE))</f>
        <v>0</v>
      </c>
      <c r="AA1936" s="16">
        <f>IF(ISERROR(VLOOKUP($A1936,'13. Updated Demand'!A:Z,18,FALSE)),0,VLOOKUP($A1936,'13. Updated Demand'!A:Z,18,FALSE))</f>
        <v>0</v>
      </c>
      <c r="AB1936" s="16">
        <f>IF(ISERROR(VLOOKUP($A1936,'13. Updated Demand'!A:Z,19,FALSE)),0,VLOOKUP($A1936,'13. Updated Demand'!A:Z,19,FALSE))</f>
        <v>0</v>
      </c>
      <c r="AC1936" s="16">
        <f>IF(ISERROR(VLOOKUP($A1936,'13. Updated Demand'!A:Z,20,FALSE)),0,VLOOKUP($A1936,'13. Updated Demand'!A:Z,20,FALSE))</f>
        <v>0</v>
      </c>
      <c r="AD1936" s="16">
        <f>IF(ISERROR(VLOOKUP($A1936,'13. Updated Demand'!A:Z,21,FALSE)),0,VLOOKUP($A1936,'13. Updated Demand'!A:Z,21,FALSE))</f>
        <v>0</v>
      </c>
      <c r="AE1936" s="16">
        <f>IF(ISERROR(VLOOKUP($A1936,'13. Updated Demand'!A:Z,22,FALSE)),0,VLOOKUP($A1936,'13. Updated Demand'!A:Z,22,FALSE))</f>
        <v>0</v>
      </c>
      <c r="AF1936" s="16">
        <f>IF(ISERROR(VLOOKUP($A1936,'13. Updated Demand'!A:Z,23,FALSE)),0,VLOOKUP($A1936,'13. Updated Demand'!A:Z,23,FALSE))</f>
        <v>0</v>
      </c>
      <c r="AG1936" s="16">
        <f>IF(ISERROR(VLOOKUP($A1936,'13. Updated Demand'!A:Z,24,FALSE)),0,VLOOKUP($A1936,'13. Updated Demand'!A:Z,24,FALSE))</f>
        <v>0</v>
      </c>
      <c r="AH1936" s="16">
        <f>IF(ISERROR(VLOOKUP($A1936,'13. Updated Demand'!A:Z,25,FALSE)),0,VLOOKUP($A1936,'13. Updated Demand'!A:Z,25,FALSE))</f>
        <v>0</v>
      </c>
      <c r="AI1936" s="16">
        <f>IF(ISERROR(VLOOKUP($A1936,'13. Updated Demand'!A:Z,26,FALSE)),0,VLOOKUP($A1936,'13. Updated Demand'!A:Z,26,FALSE))</f>
        <v>0</v>
      </c>
      <c r="AJ1936" s="16">
        <f t="shared" ref="AJ1936:AJ1999" si="373">SUM(X1936:AI1936)</f>
        <v>0</v>
      </c>
      <c r="AK1936" s="19">
        <v>0</v>
      </c>
      <c r="AL1936" s="16">
        <f t="shared" si="371"/>
        <v>0</v>
      </c>
      <c r="AM1936" s="26">
        <v>0</v>
      </c>
      <c r="AN1936" s="19">
        <v>161.5412</v>
      </c>
      <c r="AO1936" s="19" t="s">
        <v>1758</v>
      </c>
      <c r="AP1936" s="19">
        <v>0</v>
      </c>
      <c r="AQ1936" s="19" t="s">
        <v>307</v>
      </c>
      <c r="AR1936" s="9" t="s">
        <v>352</v>
      </c>
      <c r="AS1936" s="12">
        <v>0</v>
      </c>
      <c r="AT1936" s="19">
        <v>38.406999999999996</v>
      </c>
      <c r="AU1936" s="19">
        <v>-122.8583</v>
      </c>
      <c r="AV1936" s="19" t="s">
        <v>2356</v>
      </c>
    </row>
    <row r="1937" spans="1:48" x14ac:dyDescent="0.25">
      <c r="A1937" s="18" t="s">
        <v>2357</v>
      </c>
      <c r="B1937" s="10">
        <v>10000000</v>
      </c>
      <c r="C1937" s="9">
        <v>4</v>
      </c>
      <c r="D1937" s="8" t="str">
        <f t="shared" si="362"/>
        <v>Y</v>
      </c>
      <c r="E1937" s="8" t="str">
        <f t="shared" si="363"/>
        <v>N</v>
      </c>
      <c r="F1937" s="8" t="str">
        <f t="shared" si="364"/>
        <v>Y</v>
      </c>
      <c r="G1937" s="8" t="str">
        <f t="shared" si="365"/>
        <v>Y</v>
      </c>
      <c r="H1937" s="8" t="str">
        <f t="shared" si="366"/>
        <v>Upper</v>
      </c>
      <c r="I1937" s="8" t="str">
        <f t="shared" si="367"/>
        <v>West Fork and Below Lake</v>
      </c>
      <c r="J1937" s="8" t="str">
        <f t="shared" si="368"/>
        <v>Mendocino (d/s of lake)</v>
      </c>
      <c r="K1937" s="8" t="str">
        <f t="shared" si="369"/>
        <v>Riparian</v>
      </c>
      <c r="L1937" s="8">
        <f t="shared" si="370"/>
        <v>1000</v>
      </c>
      <c r="M1937" s="8" t="str">
        <f t="shared" si="372"/>
        <v>-</v>
      </c>
      <c r="N1937" s="10" t="s">
        <v>242</v>
      </c>
      <c r="O1937" s="10" t="s">
        <v>241</v>
      </c>
      <c r="P1937" s="10" t="s">
        <v>242</v>
      </c>
      <c r="Q1937" s="10" t="s">
        <v>242</v>
      </c>
      <c r="R1937" s="10" t="s">
        <v>242</v>
      </c>
      <c r="S1937" s="10" t="s">
        <v>241</v>
      </c>
      <c r="T1937" s="10" t="s">
        <v>242</v>
      </c>
      <c r="U1937" s="10" t="s">
        <v>242</v>
      </c>
      <c r="V1937" s="10" t="s">
        <v>242</v>
      </c>
      <c r="W1937" s="10" t="s">
        <v>242</v>
      </c>
      <c r="X1937" s="15">
        <f>IF(ISERROR(VLOOKUP($A1937,'13. Updated Demand'!A:Z,15,FALSE)),0,VLOOKUP($A1937,'13. Updated Demand'!A:Z,15,FALSE))</f>
        <v>0</v>
      </c>
      <c r="Y1937" s="16">
        <f>IF(ISERROR(VLOOKUP($A1937,'13. Updated Demand'!A:Z,16,FALSE)),0,VLOOKUP($A1937,'13. Updated Demand'!A:Z,16,FALSE))</f>
        <v>0</v>
      </c>
      <c r="Z1937" s="16">
        <f>IF(ISERROR(VLOOKUP($A1937,'13. Updated Demand'!A:Z,17,FALSE)),0,VLOOKUP($A1937,'13. Updated Demand'!A:Z,17,FALSE))</f>
        <v>0</v>
      </c>
      <c r="AA1937" s="16">
        <f>IF(ISERROR(VLOOKUP($A1937,'13. Updated Demand'!A:Z,18,FALSE)),0,VLOOKUP($A1937,'13. Updated Demand'!A:Z,18,FALSE))</f>
        <v>0</v>
      </c>
      <c r="AB1937" s="16">
        <f>IF(ISERROR(VLOOKUP($A1937,'13. Updated Demand'!A:Z,19,FALSE)),0,VLOOKUP($A1937,'13. Updated Demand'!A:Z,19,FALSE))</f>
        <v>0</v>
      </c>
      <c r="AC1937" s="16">
        <f>IF(ISERROR(VLOOKUP($A1937,'13. Updated Demand'!A:Z,20,FALSE)),0,VLOOKUP($A1937,'13. Updated Demand'!A:Z,20,FALSE))</f>
        <v>4.5999999999999999E-3</v>
      </c>
      <c r="AD1937" s="16">
        <f>IF(ISERROR(VLOOKUP($A1937,'13. Updated Demand'!A:Z,21,FALSE)),0,VLOOKUP($A1937,'13. Updated Demand'!A:Z,21,FALSE))</f>
        <v>4.5999999999999999E-3</v>
      </c>
      <c r="AE1937" s="16">
        <f>IF(ISERROR(VLOOKUP($A1937,'13. Updated Demand'!A:Z,22,FALSE)),0,VLOOKUP($A1937,'13. Updated Demand'!A:Z,22,FALSE))</f>
        <v>4.5999999999999999E-3</v>
      </c>
      <c r="AF1937" s="16">
        <f>IF(ISERROR(VLOOKUP($A1937,'13. Updated Demand'!A:Z,23,FALSE)),0,VLOOKUP($A1937,'13. Updated Demand'!A:Z,23,FALSE))</f>
        <v>0</v>
      </c>
      <c r="AG1937" s="16">
        <f>IF(ISERROR(VLOOKUP($A1937,'13. Updated Demand'!A:Z,24,FALSE)),0,VLOOKUP($A1937,'13. Updated Demand'!A:Z,24,FALSE))</f>
        <v>0</v>
      </c>
      <c r="AH1937" s="16">
        <f>IF(ISERROR(VLOOKUP($A1937,'13. Updated Demand'!A:Z,25,FALSE)),0,VLOOKUP($A1937,'13. Updated Demand'!A:Z,25,FALSE))</f>
        <v>0</v>
      </c>
      <c r="AI1937" s="16">
        <f>IF(ISERROR(VLOOKUP($A1937,'13. Updated Demand'!A:Z,26,FALSE)),0,VLOOKUP($A1937,'13. Updated Demand'!A:Z,26,FALSE))</f>
        <v>0</v>
      </c>
      <c r="AJ1937" s="16">
        <f t="shared" si="373"/>
        <v>1.38E-2</v>
      </c>
      <c r="AK1937" s="19">
        <v>1.38E-2</v>
      </c>
      <c r="AL1937" s="16">
        <f t="shared" si="371"/>
        <v>4.577302803227802E-5</v>
      </c>
      <c r="AM1937" s="26">
        <v>3.0000391309451864E-4</v>
      </c>
      <c r="AN1937" s="19">
        <v>45.999400000000001</v>
      </c>
      <c r="AO1937" s="19" t="s">
        <v>1758</v>
      </c>
      <c r="AP1937" s="19">
        <v>0</v>
      </c>
      <c r="AQ1937" s="19" t="s">
        <v>307</v>
      </c>
      <c r="AR1937" s="9" t="s">
        <v>331</v>
      </c>
      <c r="AS1937" s="12">
        <v>3.4039024194010059E-4</v>
      </c>
      <c r="AT1937" s="19">
        <v>39.129600000000003</v>
      </c>
      <c r="AU1937" s="19">
        <v>-123.2188</v>
      </c>
      <c r="AV1937" s="19" t="s">
        <v>2358</v>
      </c>
    </row>
    <row r="1938" spans="1:48" x14ac:dyDescent="0.25">
      <c r="A1938" s="18" t="s">
        <v>2359</v>
      </c>
      <c r="B1938" s="10">
        <v>10000000</v>
      </c>
      <c r="C1938" s="9">
        <v>1</v>
      </c>
      <c r="D1938" s="8" t="str">
        <f t="shared" si="362"/>
        <v>N</v>
      </c>
      <c r="E1938" s="8" t="str">
        <f t="shared" si="363"/>
        <v>N</v>
      </c>
      <c r="F1938" s="8" t="str">
        <f t="shared" si="364"/>
        <v>Y</v>
      </c>
      <c r="G1938" s="8" t="str">
        <f t="shared" si="365"/>
        <v>Y</v>
      </c>
      <c r="H1938" s="8" t="str">
        <f t="shared" si="366"/>
        <v>Upper</v>
      </c>
      <c r="I1938" s="8" t="str">
        <f t="shared" si="367"/>
        <v>West Fork and Below Lake</v>
      </c>
      <c r="J1938" s="8" t="str">
        <f t="shared" si="368"/>
        <v>Outside</v>
      </c>
      <c r="K1938" s="8" t="str">
        <f t="shared" si="369"/>
        <v>Riparian</v>
      </c>
      <c r="L1938" s="8">
        <f t="shared" si="370"/>
        <v>1000</v>
      </c>
      <c r="M1938" s="8" t="str">
        <f t="shared" si="372"/>
        <v>-</v>
      </c>
      <c r="N1938" s="10" t="s">
        <v>242</v>
      </c>
      <c r="O1938" s="10" t="s">
        <v>241</v>
      </c>
      <c r="P1938" s="10" t="s">
        <v>242</v>
      </c>
      <c r="Q1938" s="10" t="s">
        <v>242</v>
      </c>
      <c r="R1938" s="10" t="s">
        <v>242</v>
      </c>
      <c r="S1938" s="10" t="s">
        <v>241</v>
      </c>
      <c r="T1938" s="10" t="s">
        <v>241</v>
      </c>
      <c r="U1938" s="10" t="s">
        <v>241</v>
      </c>
      <c r="V1938" s="10" t="s">
        <v>241</v>
      </c>
      <c r="W1938" s="10" t="s">
        <v>242</v>
      </c>
      <c r="X1938" s="15">
        <f>IF(ISERROR(VLOOKUP($A1938,'13. Updated Demand'!A:Z,15,FALSE)),0,VLOOKUP($A1938,'13. Updated Demand'!A:Z,15,FALSE))</f>
        <v>0</v>
      </c>
      <c r="Y1938" s="16">
        <f>IF(ISERROR(VLOOKUP($A1938,'13. Updated Demand'!A:Z,16,FALSE)),0,VLOOKUP($A1938,'13. Updated Demand'!A:Z,16,FALSE))</f>
        <v>0</v>
      </c>
      <c r="Z1938" s="16">
        <f>IF(ISERROR(VLOOKUP($A1938,'13. Updated Demand'!A:Z,17,FALSE)),0,VLOOKUP($A1938,'13. Updated Demand'!A:Z,17,FALSE))</f>
        <v>0</v>
      </c>
      <c r="AA1938" s="16">
        <f>IF(ISERROR(VLOOKUP($A1938,'13. Updated Demand'!A:Z,18,FALSE)),0,VLOOKUP($A1938,'13. Updated Demand'!A:Z,18,FALSE))</f>
        <v>0</v>
      </c>
      <c r="AB1938" s="16">
        <f>IF(ISERROR(VLOOKUP($A1938,'13. Updated Demand'!A:Z,19,FALSE)),0,VLOOKUP($A1938,'13. Updated Demand'!A:Z,19,FALSE))</f>
        <v>0</v>
      </c>
      <c r="AC1938" s="16">
        <f>IF(ISERROR(VLOOKUP($A1938,'13. Updated Demand'!A:Z,20,FALSE)),0,VLOOKUP($A1938,'13. Updated Demand'!A:Z,20,FALSE))</f>
        <v>0</v>
      </c>
      <c r="AD1938" s="16">
        <f>IF(ISERROR(VLOOKUP($A1938,'13. Updated Demand'!A:Z,21,FALSE)),0,VLOOKUP($A1938,'13. Updated Demand'!A:Z,21,FALSE))</f>
        <v>0</v>
      </c>
      <c r="AE1938" s="16">
        <f>IF(ISERROR(VLOOKUP($A1938,'13. Updated Demand'!A:Z,22,FALSE)),0,VLOOKUP($A1938,'13. Updated Demand'!A:Z,22,FALSE))</f>
        <v>0</v>
      </c>
      <c r="AF1938" s="16">
        <f>IF(ISERROR(VLOOKUP($A1938,'13. Updated Demand'!A:Z,23,FALSE)),0,VLOOKUP($A1938,'13. Updated Demand'!A:Z,23,FALSE))</f>
        <v>0</v>
      </c>
      <c r="AG1938" s="16">
        <f>IF(ISERROR(VLOOKUP($A1938,'13. Updated Demand'!A:Z,24,FALSE)),0,VLOOKUP($A1938,'13. Updated Demand'!A:Z,24,FALSE))</f>
        <v>0</v>
      </c>
      <c r="AH1938" s="16">
        <f>IF(ISERROR(VLOOKUP($A1938,'13. Updated Demand'!A:Z,25,FALSE)),0,VLOOKUP($A1938,'13. Updated Demand'!A:Z,25,FALSE))</f>
        <v>0</v>
      </c>
      <c r="AI1938" s="16">
        <f>IF(ISERROR(VLOOKUP($A1938,'13. Updated Demand'!A:Z,26,FALSE)),0,VLOOKUP($A1938,'13. Updated Demand'!A:Z,26,FALSE))</f>
        <v>0</v>
      </c>
      <c r="AJ1938" s="16">
        <f t="shared" si="373"/>
        <v>0</v>
      </c>
      <c r="AK1938" s="19">
        <v>0</v>
      </c>
      <c r="AL1938" s="16">
        <f t="shared" si="371"/>
        <v>0</v>
      </c>
      <c r="AM1938" s="26">
        <v>0</v>
      </c>
      <c r="AN1938" s="19">
        <v>9.17</v>
      </c>
      <c r="AO1938" s="19" t="s">
        <v>1758</v>
      </c>
      <c r="AP1938" s="19">
        <v>0</v>
      </c>
      <c r="AQ1938" s="19" t="s">
        <v>307</v>
      </c>
      <c r="AR1938" s="9" t="s">
        <v>317</v>
      </c>
      <c r="AS1938" s="12">
        <v>3.4039024194010059E-4</v>
      </c>
      <c r="AT1938" s="19">
        <v>39.317900000000002</v>
      </c>
      <c r="AU1938" s="19">
        <v>-123.193</v>
      </c>
      <c r="AV1938" s="19"/>
    </row>
    <row r="1939" spans="1:48" x14ac:dyDescent="0.25">
      <c r="A1939" s="18" t="s">
        <v>2360</v>
      </c>
      <c r="B1939" s="10">
        <v>10000000</v>
      </c>
      <c r="C1939" s="9">
        <v>1</v>
      </c>
      <c r="D1939" s="8" t="str">
        <f t="shared" si="362"/>
        <v>N</v>
      </c>
      <c r="E1939" s="8" t="str">
        <f t="shared" si="363"/>
        <v>N</v>
      </c>
      <c r="F1939" s="8" t="str">
        <f t="shared" si="364"/>
        <v>Y</v>
      </c>
      <c r="G1939" s="8" t="str">
        <f t="shared" si="365"/>
        <v>Y</v>
      </c>
      <c r="H1939" s="8" t="str">
        <f t="shared" si="366"/>
        <v>Upper</v>
      </c>
      <c r="I1939" s="8" t="str">
        <f t="shared" si="367"/>
        <v>West Fork and Below Lake</v>
      </c>
      <c r="J1939" s="8" t="str">
        <f t="shared" si="368"/>
        <v>Outside</v>
      </c>
      <c r="K1939" s="8" t="str">
        <f t="shared" si="369"/>
        <v>Riparian</v>
      </c>
      <c r="L1939" s="8">
        <f t="shared" si="370"/>
        <v>1000</v>
      </c>
      <c r="M1939" s="8" t="str">
        <f t="shared" si="372"/>
        <v>-</v>
      </c>
      <c r="N1939" s="10" t="s">
        <v>242</v>
      </c>
      <c r="O1939" s="10" t="s">
        <v>241</v>
      </c>
      <c r="P1939" s="10" t="s">
        <v>242</v>
      </c>
      <c r="Q1939" s="10" t="s">
        <v>242</v>
      </c>
      <c r="R1939" s="10" t="s">
        <v>242</v>
      </c>
      <c r="S1939" s="10" t="s">
        <v>241</v>
      </c>
      <c r="T1939" s="10" t="s">
        <v>241</v>
      </c>
      <c r="U1939" s="10" t="s">
        <v>241</v>
      </c>
      <c r="V1939" s="10" t="s">
        <v>241</v>
      </c>
      <c r="W1939" s="10" t="s">
        <v>242</v>
      </c>
      <c r="X1939" s="15">
        <f>IF(ISERROR(VLOOKUP($A1939,'13. Updated Demand'!A:Z,15,FALSE)),0,VLOOKUP($A1939,'13. Updated Demand'!A:Z,15,FALSE))</f>
        <v>0</v>
      </c>
      <c r="Y1939" s="16">
        <f>IF(ISERROR(VLOOKUP($A1939,'13. Updated Demand'!A:Z,16,FALSE)),0,VLOOKUP($A1939,'13. Updated Demand'!A:Z,16,FALSE))</f>
        <v>0</v>
      </c>
      <c r="Z1939" s="16">
        <f>IF(ISERROR(VLOOKUP($A1939,'13. Updated Demand'!A:Z,17,FALSE)),0,VLOOKUP($A1939,'13. Updated Demand'!A:Z,17,FALSE))</f>
        <v>0</v>
      </c>
      <c r="AA1939" s="16">
        <f>IF(ISERROR(VLOOKUP($A1939,'13. Updated Demand'!A:Z,18,FALSE)),0,VLOOKUP($A1939,'13. Updated Demand'!A:Z,18,FALSE))</f>
        <v>0</v>
      </c>
      <c r="AB1939" s="16">
        <f>IF(ISERROR(VLOOKUP($A1939,'13. Updated Demand'!A:Z,19,FALSE)),0,VLOOKUP($A1939,'13. Updated Demand'!A:Z,19,FALSE))</f>
        <v>0</v>
      </c>
      <c r="AC1939" s="16">
        <f>IF(ISERROR(VLOOKUP($A1939,'13. Updated Demand'!A:Z,20,FALSE)),0,VLOOKUP($A1939,'13. Updated Demand'!A:Z,20,FALSE))</f>
        <v>0</v>
      </c>
      <c r="AD1939" s="16">
        <f>IF(ISERROR(VLOOKUP($A1939,'13. Updated Demand'!A:Z,21,FALSE)),0,VLOOKUP($A1939,'13. Updated Demand'!A:Z,21,FALSE))</f>
        <v>0</v>
      </c>
      <c r="AE1939" s="16">
        <f>IF(ISERROR(VLOOKUP($A1939,'13. Updated Demand'!A:Z,22,FALSE)),0,VLOOKUP($A1939,'13. Updated Demand'!A:Z,22,FALSE))</f>
        <v>0</v>
      </c>
      <c r="AF1939" s="16">
        <f>IF(ISERROR(VLOOKUP($A1939,'13. Updated Demand'!A:Z,23,FALSE)),0,VLOOKUP($A1939,'13. Updated Demand'!A:Z,23,FALSE))</f>
        <v>0</v>
      </c>
      <c r="AG1939" s="16">
        <f>IF(ISERROR(VLOOKUP($A1939,'13. Updated Demand'!A:Z,24,FALSE)),0,VLOOKUP($A1939,'13. Updated Demand'!A:Z,24,FALSE))</f>
        <v>0</v>
      </c>
      <c r="AH1939" s="16">
        <f>IF(ISERROR(VLOOKUP($A1939,'13. Updated Demand'!A:Z,25,FALSE)),0,VLOOKUP($A1939,'13. Updated Demand'!A:Z,25,FALSE))</f>
        <v>0</v>
      </c>
      <c r="AI1939" s="16">
        <f>IF(ISERROR(VLOOKUP($A1939,'13. Updated Demand'!A:Z,26,FALSE)),0,VLOOKUP($A1939,'13. Updated Demand'!A:Z,26,FALSE))</f>
        <v>0</v>
      </c>
      <c r="AJ1939" s="16">
        <f t="shared" si="373"/>
        <v>0</v>
      </c>
      <c r="AK1939" s="19">
        <v>0</v>
      </c>
      <c r="AL1939" s="16">
        <f t="shared" si="371"/>
        <v>0</v>
      </c>
      <c r="AM1939" s="26">
        <v>0</v>
      </c>
      <c r="AN1939" s="19">
        <v>9.06</v>
      </c>
      <c r="AO1939" s="19" t="s">
        <v>1758</v>
      </c>
      <c r="AP1939" s="19">
        <v>0</v>
      </c>
      <c r="AQ1939" s="19" t="s">
        <v>307</v>
      </c>
      <c r="AR1939" s="9" t="s">
        <v>317</v>
      </c>
      <c r="AS1939" s="12">
        <v>3.4039024194010059E-4</v>
      </c>
      <c r="AT1939" s="19">
        <v>39.320099999999996</v>
      </c>
      <c r="AU1939" s="19">
        <v>-123.2034</v>
      </c>
      <c r="AV1939" s="19"/>
    </row>
    <row r="1940" spans="1:48" x14ac:dyDescent="0.25">
      <c r="A1940" s="18" t="s">
        <v>2361</v>
      </c>
      <c r="B1940" s="10">
        <v>10000000</v>
      </c>
      <c r="C1940" s="9">
        <v>1</v>
      </c>
      <c r="D1940" s="8" t="str">
        <f t="shared" si="362"/>
        <v>N</v>
      </c>
      <c r="E1940" s="8" t="str">
        <f t="shared" si="363"/>
        <v>N</v>
      </c>
      <c r="F1940" s="8" t="str">
        <f t="shared" si="364"/>
        <v>Y</v>
      </c>
      <c r="G1940" s="8" t="str">
        <f t="shared" si="365"/>
        <v>Y</v>
      </c>
      <c r="H1940" s="8" t="str">
        <f t="shared" si="366"/>
        <v>Upper</v>
      </c>
      <c r="I1940" s="8" t="str">
        <f t="shared" si="367"/>
        <v>West Fork and Below Lake</v>
      </c>
      <c r="J1940" s="8" t="str">
        <f t="shared" si="368"/>
        <v>Outside</v>
      </c>
      <c r="K1940" s="8" t="str">
        <f t="shared" si="369"/>
        <v>Riparian</v>
      </c>
      <c r="L1940" s="8">
        <f t="shared" si="370"/>
        <v>1000</v>
      </c>
      <c r="M1940" s="8" t="str">
        <f t="shared" si="372"/>
        <v>-</v>
      </c>
      <c r="N1940" s="10" t="s">
        <v>242</v>
      </c>
      <c r="O1940" s="10" t="s">
        <v>241</v>
      </c>
      <c r="P1940" s="10" t="s">
        <v>242</v>
      </c>
      <c r="Q1940" s="10" t="s">
        <v>242</v>
      </c>
      <c r="R1940" s="10" t="s">
        <v>242</v>
      </c>
      <c r="S1940" s="10" t="s">
        <v>241</v>
      </c>
      <c r="T1940" s="10" t="s">
        <v>242</v>
      </c>
      <c r="U1940" s="10" t="s">
        <v>242</v>
      </c>
      <c r="V1940" s="10" t="s">
        <v>242</v>
      </c>
      <c r="W1940" s="10" t="s">
        <v>242</v>
      </c>
      <c r="X1940" s="15">
        <f>IF(ISERROR(VLOOKUP($A1940,'13. Updated Demand'!A:Z,15,FALSE)),0,VLOOKUP($A1940,'13. Updated Demand'!A:Z,15,FALSE))</f>
        <v>0.21</v>
      </c>
      <c r="Y1940" s="16">
        <f>IF(ISERROR(VLOOKUP($A1940,'13. Updated Demand'!A:Z,16,FALSE)),0,VLOOKUP($A1940,'13. Updated Demand'!A:Z,16,FALSE))</f>
        <v>0.16</v>
      </c>
      <c r="Z1940" s="16">
        <f>IF(ISERROR(VLOOKUP($A1940,'13. Updated Demand'!A:Z,17,FALSE)),0,VLOOKUP($A1940,'13. Updated Demand'!A:Z,17,FALSE))</f>
        <v>0.1</v>
      </c>
      <c r="AA1940" s="16">
        <f>IF(ISERROR(VLOOKUP($A1940,'13. Updated Demand'!A:Z,18,FALSE)),0,VLOOKUP($A1940,'13. Updated Demand'!A:Z,18,FALSE))</f>
        <v>0.28999999999999998</v>
      </c>
      <c r="AB1940" s="16">
        <f>IF(ISERROR(VLOOKUP($A1940,'13. Updated Demand'!A:Z,19,FALSE)),0,VLOOKUP($A1940,'13. Updated Demand'!A:Z,19,FALSE))</f>
        <v>0.08</v>
      </c>
      <c r="AC1940" s="16">
        <f>IF(ISERROR(VLOOKUP($A1940,'13. Updated Demand'!A:Z,20,FALSE)),0,VLOOKUP($A1940,'13. Updated Demand'!A:Z,20,FALSE))</f>
        <v>0.01</v>
      </c>
      <c r="AD1940" s="16">
        <f>IF(ISERROR(VLOOKUP($A1940,'13. Updated Demand'!A:Z,21,FALSE)),0,VLOOKUP($A1940,'13. Updated Demand'!A:Z,21,FALSE))</f>
        <v>0</v>
      </c>
      <c r="AE1940" s="16">
        <f>IF(ISERROR(VLOOKUP($A1940,'13. Updated Demand'!A:Z,22,FALSE)),0,VLOOKUP($A1940,'13. Updated Demand'!A:Z,22,FALSE))</f>
        <v>0</v>
      </c>
      <c r="AF1940" s="16">
        <f>IF(ISERROR(VLOOKUP($A1940,'13. Updated Demand'!A:Z,23,FALSE)),0,VLOOKUP($A1940,'13. Updated Demand'!A:Z,23,FALSE))</f>
        <v>0</v>
      </c>
      <c r="AG1940" s="16">
        <f>IF(ISERROR(VLOOKUP($A1940,'13. Updated Demand'!A:Z,24,FALSE)),0,VLOOKUP($A1940,'13. Updated Demand'!A:Z,24,FALSE))</f>
        <v>0</v>
      </c>
      <c r="AH1940" s="16">
        <f>IF(ISERROR(VLOOKUP($A1940,'13. Updated Demand'!A:Z,25,FALSE)),0,VLOOKUP($A1940,'13. Updated Demand'!A:Z,25,FALSE))</f>
        <v>0</v>
      </c>
      <c r="AI1940" s="16">
        <f>IF(ISERROR(VLOOKUP($A1940,'13. Updated Demand'!A:Z,26,FALSE)),0,VLOOKUP($A1940,'13. Updated Demand'!A:Z,26,FALSE))</f>
        <v>0</v>
      </c>
      <c r="AJ1940" s="16">
        <f t="shared" si="373"/>
        <v>0.85</v>
      </c>
      <c r="AK1940" s="19">
        <v>0.10466666699999999</v>
      </c>
      <c r="AL1940" s="16">
        <f t="shared" si="371"/>
        <v>3.4716741178522528E-4</v>
      </c>
      <c r="AM1940" s="26">
        <v>0.42232854880382775</v>
      </c>
      <c r="AN1940" s="19">
        <v>2.09</v>
      </c>
      <c r="AO1940" s="19" t="s">
        <v>1758</v>
      </c>
      <c r="AP1940" s="19">
        <v>0</v>
      </c>
      <c r="AQ1940" s="19" t="s">
        <v>307</v>
      </c>
      <c r="AR1940" s="9" t="s">
        <v>317</v>
      </c>
      <c r="AS1940" s="12">
        <v>3.4039024194010059E-4</v>
      </c>
      <c r="AT1940" s="19">
        <v>39.320900000000002</v>
      </c>
      <c r="AU1940" s="19">
        <v>-123.19929999999999</v>
      </c>
      <c r="AV1940" s="19"/>
    </row>
    <row r="1941" spans="1:48" x14ac:dyDescent="0.25">
      <c r="A1941" s="18" t="s">
        <v>2362</v>
      </c>
      <c r="B1941" s="10">
        <v>10000000</v>
      </c>
      <c r="C1941" s="9">
        <v>1</v>
      </c>
      <c r="D1941" s="8" t="str">
        <f t="shared" si="362"/>
        <v>N</v>
      </c>
      <c r="E1941" s="8" t="str">
        <f t="shared" si="363"/>
        <v>N</v>
      </c>
      <c r="F1941" s="8" t="str">
        <f t="shared" si="364"/>
        <v>Y</v>
      </c>
      <c r="G1941" s="8" t="str">
        <f t="shared" si="365"/>
        <v>Y</v>
      </c>
      <c r="H1941" s="8" t="str">
        <f t="shared" si="366"/>
        <v>Upper</v>
      </c>
      <c r="I1941" s="8" t="str">
        <f t="shared" si="367"/>
        <v>West Fork and Below Lake</v>
      </c>
      <c r="J1941" s="8" t="str">
        <f t="shared" si="368"/>
        <v>Outside</v>
      </c>
      <c r="K1941" s="8" t="str">
        <f t="shared" si="369"/>
        <v>Riparian</v>
      </c>
      <c r="L1941" s="8">
        <f t="shared" si="370"/>
        <v>1000</v>
      </c>
      <c r="M1941" s="8" t="str">
        <f t="shared" si="372"/>
        <v>-</v>
      </c>
      <c r="N1941" s="10" t="s">
        <v>242</v>
      </c>
      <c r="O1941" s="10" t="s">
        <v>241</v>
      </c>
      <c r="P1941" s="10" t="s">
        <v>242</v>
      </c>
      <c r="Q1941" s="10" t="s">
        <v>242</v>
      </c>
      <c r="R1941" s="10" t="s">
        <v>242</v>
      </c>
      <c r="S1941" s="10" t="s">
        <v>241</v>
      </c>
      <c r="T1941" s="10" t="s">
        <v>242</v>
      </c>
      <c r="U1941" s="10" t="s">
        <v>242</v>
      </c>
      <c r="V1941" s="10" t="s">
        <v>242</v>
      </c>
      <c r="W1941" s="10" t="s">
        <v>242</v>
      </c>
      <c r="X1941" s="15">
        <f>IF(ISERROR(VLOOKUP($A1941,'13. Updated Demand'!A:Z,15,FALSE)),0,VLOOKUP($A1941,'13. Updated Demand'!A:Z,15,FALSE))</f>
        <v>0.35</v>
      </c>
      <c r="Y1941" s="16">
        <f>IF(ISERROR(VLOOKUP($A1941,'13. Updated Demand'!A:Z,16,FALSE)),0,VLOOKUP($A1941,'13. Updated Demand'!A:Z,16,FALSE))</f>
        <v>0.4</v>
      </c>
      <c r="Z1941" s="16">
        <f>IF(ISERROR(VLOOKUP($A1941,'13. Updated Demand'!A:Z,17,FALSE)),0,VLOOKUP($A1941,'13. Updated Demand'!A:Z,17,FALSE))</f>
        <v>0.55000000000000004</v>
      </c>
      <c r="AA1941" s="16">
        <f>IF(ISERROR(VLOOKUP($A1941,'13. Updated Demand'!A:Z,18,FALSE)),0,VLOOKUP($A1941,'13. Updated Demand'!A:Z,18,FALSE))</f>
        <v>0.99</v>
      </c>
      <c r="AB1941" s="16">
        <f>IF(ISERROR(VLOOKUP($A1941,'13. Updated Demand'!A:Z,19,FALSE)),0,VLOOKUP($A1941,'13. Updated Demand'!A:Z,19,FALSE))</f>
        <v>0.51</v>
      </c>
      <c r="AC1941" s="16">
        <f>IF(ISERROR(VLOOKUP($A1941,'13. Updated Demand'!A:Z,20,FALSE)),0,VLOOKUP($A1941,'13. Updated Demand'!A:Z,20,FALSE))</f>
        <v>0.45</v>
      </c>
      <c r="AD1941" s="16">
        <f>IF(ISERROR(VLOOKUP($A1941,'13. Updated Demand'!A:Z,21,FALSE)),0,VLOOKUP($A1941,'13. Updated Demand'!A:Z,21,FALSE))</f>
        <v>1.5E-3</v>
      </c>
      <c r="AE1941" s="16">
        <f>IF(ISERROR(VLOOKUP($A1941,'13. Updated Demand'!A:Z,22,FALSE)),0,VLOOKUP($A1941,'13. Updated Demand'!A:Z,22,FALSE))</f>
        <v>0.65</v>
      </c>
      <c r="AF1941" s="16">
        <f>IF(ISERROR(VLOOKUP($A1941,'13. Updated Demand'!A:Z,23,FALSE)),0,VLOOKUP($A1941,'13. Updated Demand'!A:Z,23,FALSE))</f>
        <v>0.48</v>
      </c>
      <c r="AG1941" s="16">
        <f>IF(ISERROR(VLOOKUP($A1941,'13. Updated Demand'!A:Z,24,FALSE)),0,VLOOKUP($A1941,'13. Updated Demand'!A:Z,24,FALSE))</f>
        <v>0.55000000000000004</v>
      </c>
      <c r="AH1941" s="16">
        <f>IF(ISERROR(VLOOKUP($A1941,'13. Updated Demand'!A:Z,25,FALSE)),0,VLOOKUP($A1941,'13. Updated Demand'!A:Z,25,FALSE))</f>
        <v>0.47</v>
      </c>
      <c r="AI1941" s="16">
        <f>IF(ISERROR(VLOOKUP($A1941,'13. Updated Demand'!A:Z,26,FALSE)),0,VLOOKUP($A1941,'13. Updated Demand'!A:Z,26,FALSE))</f>
        <v>0.5</v>
      </c>
      <c r="AJ1941" s="16">
        <f t="shared" si="373"/>
        <v>5.9014999999999995</v>
      </c>
      <c r="AK1941" s="19">
        <v>2.1065</v>
      </c>
      <c r="AL1941" s="16">
        <f t="shared" si="371"/>
        <v>6.9870205471009895E-3</v>
      </c>
      <c r="AM1941" s="26">
        <v>0.55571161048689133</v>
      </c>
      <c r="AN1941" s="19">
        <v>10.68</v>
      </c>
      <c r="AO1941" s="19" t="s">
        <v>1758</v>
      </c>
      <c r="AP1941" s="19">
        <v>0</v>
      </c>
      <c r="AQ1941" s="19" t="s">
        <v>307</v>
      </c>
      <c r="AR1941" s="9" t="s">
        <v>317</v>
      </c>
      <c r="AS1941" s="12">
        <v>3.4039024194010059E-4</v>
      </c>
      <c r="AT1941" s="19">
        <v>39.313600000000001</v>
      </c>
      <c r="AU1941" s="19">
        <v>-123.1951</v>
      </c>
      <c r="AV1941" s="19"/>
    </row>
    <row r="1942" spans="1:48" x14ac:dyDescent="0.25">
      <c r="A1942" s="18" t="s">
        <v>2363</v>
      </c>
      <c r="B1942" s="10">
        <v>10000000</v>
      </c>
      <c r="C1942" s="9">
        <v>5</v>
      </c>
      <c r="D1942" s="8" t="str">
        <f t="shared" si="362"/>
        <v>Y</v>
      </c>
      <c r="E1942" s="8" t="str">
        <f t="shared" si="363"/>
        <v>N</v>
      </c>
      <c r="F1942" s="8" t="str">
        <f t="shared" si="364"/>
        <v>Y</v>
      </c>
      <c r="G1942" s="8" t="str">
        <f t="shared" si="365"/>
        <v>Y</v>
      </c>
      <c r="H1942" s="8" t="str">
        <f t="shared" si="366"/>
        <v>Upper</v>
      </c>
      <c r="I1942" s="8" t="str">
        <f t="shared" si="367"/>
        <v>West Fork and Below Lake</v>
      </c>
      <c r="J1942" s="8" t="str">
        <f t="shared" si="368"/>
        <v>Mendocino (d/s of lake)</v>
      </c>
      <c r="K1942" s="8" t="str">
        <f t="shared" si="369"/>
        <v>Riparian</v>
      </c>
      <c r="L1942" s="8">
        <f t="shared" si="370"/>
        <v>1000</v>
      </c>
      <c r="M1942" s="8" t="str">
        <f t="shared" si="372"/>
        <v>-</v>
      </c>
      <c r="N1942" s="10" t="s">
        <v>241</v>
      </c>
      <c r="O1942" s="10" t="s">
        <v>241</v>
      </c>
      <c r="P1942" s="10" t="s">
        <v>242</v>
      </c>
      <c r="Q1942" s="10" t="s">
        <v>242</v>
      </c>
      <c r="R1942" s="10" t="s">
        <v>242</v>
      </c>
      <c r="S1942" s="10" t="s">
        <v>241</v>
      </c>
      <c r="T1942" s="10" t="s">
        <v>242</v>
      </c>
      <c r="U1942" s="10" t="s">
        <v>241</v>
      </c>
      <c r="V1942" s="10" t="s">
        <v>241</v>
      </c>
      <c r="W1942" s="10" t="s">
        <v>242</v>
      </c>
      <c r="X1942" s="15">
        <f>IF(ISERROR(VLOOKUP($A1942,'13. Updated Demand'!A:Z,15,FALSE)),0,VLOOKUP($A1942,'13. Updated Demand'!A:Z,15,FALSE))</f>
        <v>0</v>
      </c>
      <c r="Y1942" s="16">
        <f>IF(ISERROR(VLOOKUP($A1942,'13. Updated Demand'!A:Z,16,FALSE)),0,VLOOKUP($A1942,'13. Updated Demand'!A:Z,16,FALSE))</f>
        <v>0</v>
      </c>
      <c r="Z1942" s="16">
        <f>IF(ISERROR(VLOOKUP($A1942,'13. Updated Demand'!A:Z,17,FALSE)),0,VLOOKUP($A1942,'13. Updated Demand'!A:Z,17,FALSE))</f>
        <v>0</v>
      </c>
      <c r="AA1942" s="16">
        <f>IF(ISERROR(VLOOKUP($A1942,'13. Updated Demand'!A:Z,18,FALSE)),0,VLOOKUP($A1942,'13. Updated Demand'!A:Z,18,FALSE))</f>
        <v>0</v>
      </c>
      <c r="AB1942" s="16">
        <f>IF(ISERROR(VLOOKUP($A1942,'13. Updated Demand'!A:Z,19,FALSE)),0,VLOOKUP($A1942,'13. Updated Demand'!A:Z,19,FALSE))</f>
        <v>0</v>
      </c>
      <c r="AC1942" s="16">
        <f>IF(ISERROR(VLOOKUP($A1942,'13. Updated Demand'!A:Z,20,FALSE)),0,VLOOKUP($A1942,'13. Updated Demand'!A:Z,20,FALSE))</f>
        <v>0</v>
      </c>
      <c r="AD1942" s="16">
        <f>IF(ISERROR(VLOOKUP($A1942,'13. Updated Demand'!A:Z,21,FALSE)),0,VLOOKUP($A1942,'13. Updated Demand'!A:Z,21,FALSE))</f>
        <v>0</v>
      </c>
      <c r="AE1942" s="16">
        <f>IF(ISERROR(VLOOKUP($A1942,'13. Updated Demand'!A:Z,22,FALSE)),0,VLOOKUP($A1942,'13. Updated Demand'!A:Z,22,FALSE))</f>
        <v>0</v>
      </c>
      <c r="AF1942" s="16">
        <f>IF(ISERROR(VLOOKUP($A1942,'13. Updated Demand'!A:Z,23,FALSE)),0,VLOOKUP($A1942,'13. Updated Demand'!A:Z,23,FALSE))</f>
        <v>0</v>
      </c>
      <c r="AG1942" s="16">
        <f>IF(ISERROR(VLOOKUP($A1942,'13. Updated Demand'!A:Z,24,FALSE)),0,VLOOKUP($A1942,'13. Updated Demand'!A:Z,24,FALSE))</f>
        <v>0</v>
      </c>
      <c r="AH1942" s="16">
        <f>IF(ISERROR(VLOOKUP($A1942,'13. Updated Demand'!A:Z,25,FALSE)),0,VLOOKUP($A1942,'13. Updated Demand'!A:Z,25,FALSE))</f>
        <v>0</v>
      </c>
      <c r="AI1942" s="16">
        <f>IF(ISERROR(VLOOKUP($A1942,'13. Updated Demand'!A:Z,26,FALSE)),0,VLOOKUP($A1942,'13. Updated Demand'!A:Z,26,FALSE))</f>
        <v>0</v>
      </c>
      <c r="AJ1942" s="16">
        <f t="shared" si="373"/>
        <v>0</v>
      </c>
      <c r="AK1942" s="19">
        <v>0</v>
      </c>
      <c r="AL1942" s="16">
        <f t="shared" si="371"/>
        <v>0</v>
      </c>
      <c r="AM1942" s="26">
        <v>0</v>
      </c>
      <c r="AN1942" s="19">
        <v>13</v>
      </c>
      <c r="AO1942" s="19" t="s">
        <v>1758</v>
      </c>
      <c r="AP1942" s="19">
        <v>0</v>
      </c>
      <c r="AQ1942" s="19" t="s">
        <v>307</v>
      </c>
      <c r="AR1942" s="9" t="s">
        <v>333</v>
      </c>
      <c r="AS1942" s="12">
        <v>0</v>
      </c>
      <c r="AT1942" s="19">
        <v>39.035699999999999</v>
      </c>
      <c r="AU1942" s="19">
        <v>-123.129</v>
      </c>
      <c r="AV1942" s="19"/>
    </row>
    <row r="1943" spans="1:48" x14ac:dyDescent="0.25">
      <c r="A1943" s="18" t="s">
        <v>2364</v>
      </c>
      <c r="B1943" s="10">
        <v>10000000</v>
      </c>
      <c r="C1943" s="9">
        <v>10</v>
      </c>
      <c r="D1943" s="8" t="str">
        <f t="shared" si="362"/>
        <v>N</v>
      </c>
      <c r="E1943" s="8" t="str">
        <f t="shared" si="363"/>
        <v>Y</v>
      </c>
      <c r="F1943" s="8" t="str">
        <f t="shared" si="364"/>
        <v>Y</v>
      </c>
      <c r="G1943" s="8" t="str">
        <f t="shared" si="365"/>
        <v>Y</v>
      </c>
      <c r="H1943" s="8" t="str">
        <f t="shared" si="366"/>
        <v>Upper</v>
      </c>
      <c r="I1943" s="8" t="str">
        <f t="shared" si="367"/>
        <v>West Fork and Below Lake</v>
      </c>
      <c r="J1943" s="8" t="str">
        <f t="shared" si="368"/>
        <v>Sonoma (d/s of Clov. Gage)</v>
      </c>
      <c r="K1943" s="8" t="str">
        <f t="shared" si="369"/>
        <v>Riparian</v>
      </c>
      <c r="L1943" s="8">
        <f t="shared" si="370"/>
        <v>1000</v>
      </c>
      <c r="M1943" s="8" t="str">
        <f t="shared" si="372"/>
        <v>-</v>
      </c>
      <c r="N1943" s="10" t="s">
        <v>242</v>
      </c>
      <c r="O1943" s="10" t="s">
        <v>241</v>
      </c>
      <c r="P1943" s="10" t="s">
        <v>242</v>
      </c>
      <c r="Q1943" s="10" t="s">
        <v>242</v>
      </c>
      <c r="R1943" s="10" t="s">
        <v>242</v>
      </c>
      <c r="S1943" s="10" t="s">
        <v>241</v>
      </c>
      <c r="T1943" s="10" t="s">
        <v>242</v>
      </c>
      <c r="U1943" s="10" t="s">
        <v>241</v>
      </c>
      <c r="V1943" s="10" t="s">
        <v>241</v>
      </c>
      <c r="W1943" s="10" t="s">
        <v>242</v>
      </c>
      <c r="X1943" s="15">
        <f>IF(ISERROR(VLOOKUP($A1943,'13. Updated Demand'!A:Z,15,FALSE)),0,VLOOKUP($A1943,'13. Updated Demand'!A:Z,15,FALSE))</f>
        <v>0</v>
      </c>
      <c r="Y1943" s="16">
        <f>IF(ISERROR(VLOOKUP($A1943,'13. Updated Demand'!A:Z,16,FALSE)),0,VLOOKUP($A1943,'13. Updated Demand'!A:Z,16,FALSE))</f>
        <v>0</v>
      </c>
      <c r="Z1943" s="16">
        <f>IF(ISERROR(VLOOKUP($A1943,'13. Updated Demand'!A:Z,17,FALSE)),0,VLOOKUP($A1943,'13. Updated Demand'!A:Z,17,FALSE))</f>
        <v>0</v>
      </c>
      <c r="AA1943" s="16">
        <f>IF(ISERROR(VLOOKUP($A1943,'13. Updated Demand'!A:Z,18,FALSE)),0,VLOOKUP($A1943,'13. Updated Demand'!A:Z,18,FALSE))</f>
        <v>0</v>
      </c>
      <c r="AB1943" s="16">
        <f>IF(ISERROR(VLOOKUP($A1943,'13. Updated Demand'!A:Z,19,FALSE)),0,VLOOKUP($A1943,'13. Updated Demand'!A:Z,19,FALSE))</f>
        <v>0</v>
      </c>
      <c r="AC1943" s="16">
        <f>IF(ISERROR(VLOOKUP($A1943,'13. Updated Demand'!A:Z,20,FALSE)),0,VLOOKUP($A1943,'13. Updated Demand'!A:Z,20,FALSE))</f>
        <v>0</v>
      </c>
      <c r="AD1943" s="16">
        <f>IF(ISERROR(VLOOKUP($A1943,'13. Updated Demand'!A:Z,21,FALSE)),0,VLOOKUP($A1943,'13. Updated Demand'!A:Z,21,FALSE))</f>
        <v>0</v>
      </c>
      <c r="AE1943" s="16">
        <f>IF(ISERROR(VLOOKUP($A1943,'13. Updated Demand'!A:Z,22,FALSE)),0,VLOOKUP($A1943,'13. Updated Demand'!A:Z,22,FALSE))</f>
        <v>0</v>
      </c>
      <c r="AF1943" s="16">
        <f>IF(ISERROR(VLOOKUP($A1943,'13. Updated Demand'!A:Z,23,FALSE)),0,VLOOKUP($A1943,'13. Updated Demand'!A:Z,23,FALSE))</f>
        <v>0</v>
      </c>
      <c r="AG1943" s="16">
        <f>IF(ISERROR(VLOOKUP($A1943,'13. Updated Demand'!A:Z,24,FALSE)),0,VLOOKUP($A1943,'13. Updated Demand'!A:Z,24,FALSE))</f>
        <v>0</v>
      </c>
      <c r="AH1943" s="16">
        <f>IF(ISERROR(VLOOKUP($A1943,'13. Updated Demand'!A:Z,25,FALSE)),0,VLOOKUP($A1943,'13. Updated Demand'!A:Z,25,FALSE))</f>
        <v>0</v>
      </c>
      <c r="AI1943" s="16">
        <f>IF(ISERROR(VLOOKUP($A1943,'13. Updated Demand'!A:Z,26,FALSE)),0,VLOOKUP($A1943,'13. Updated Demand'!A:Z,26,FALSE))</f>
        <v>0</v>
      </c>
      <c r="AJ1943" s="16">
        <f t="shared" si="373"/>
        <v>0</v>
      </c>
      <c r="AK1943" s="19">
        <v>0</v>
      </c>
      <c r="AL1943" s="16">
        <f t="shared" si="371"/>
        <v>0</v>
      </c>
      <c r="AM1943" s="26">
        <v>0</v>
      </c>
      <c r="AN1943" s="19">
        <v>40</v>
      </c>
      <c r="AO1943" s="19" t="s">
        <v>1758</v>
      </c>
      <c r="AP1943" s="19">
        <v>0</v>
      </c>
      <c r="AQ1943" s="19" t="s">
        <v>307</v>
      </c>
      <c r="AR1943" s="9" t="s">
        <v>436</v>
      </c>
      <c r="AS1943" s="12">
        <v>0</v>
      </c>
      <c r="AT1943" s="19">
        <v>38.6858</v>
      </c>
      <c r="AU1943" s="19">
        <v>-122.809</v>
      </c>
      <c r="AV1943" s="19" t="s">
        <v>385</v>
      </c>
    </row>
    <row r="1944" spans="1:48" x14ac:dyDescent="0.25">
      <c r="A1944" s="18" t="s">
        <v>2365</v>
      </c>
      <c r="B1944" s="10">
        <v>10000000</v>
      </c>
      <c r="C1944" s="9">
        <v>9</v>
      </c>
      <c r="D1944" s="8" t="str">
        <f t="shared" si="362"/>
        <v>N</v>
      </c>
      <c r="E1944" s="8" t="str">
        <f t="shared" si="363"/>
        <v>Y</v>
      </c>
      <c r="F1944" s="8" t="str">
        <f t="shared" si="364"/>
        <v>Y</v>
      </c>
      <c r="G1944" s="8" t="str">
        <f t="shared" si="365"/>
        <v>Y</v>
      </c>
      <c r="H1944" s="8" t="str">
        <f t="shared" si="366"/>
        <v>Upper</v>
      </c>
      <c r="I1944" s="8" t="str">
        <f t="shared" si="367"/>
        <v>West Fork and Below Lake</v>
      </c>
      <c r="J1944" s="8" t="str">
        <f t="shared" si="368"/>
        <v>Sonoma (d/s of Clov. Gage)</v>
      </c>
      <c r="K1944" s="8" t="str">
        <f t="shared" si="369"/>
        <v>Riparian</v>
      </c>
      <c r="L1944" s="8">
        <f t="shared" si="370"/>
        <v>1000</v>
      </c>
      <c r="M1944" s="8" t="str">
        <f t="shared" si="372"/>
        <v>-</v>
      </c>
      <c r="N1944" s="10" t="s">
        <v>241</v>
      </c>
      <c r="O1944" s="10" t="s">
        <v>241</v>
      </c>
      <c r="P1944" s="10" t="s">
        <v>242</v>
      </c>
      <c r="Q1944" s="10" t="s">
        <v>242</v>
      </c>
      <c r="R1944" s="10" t="s">
        <v>242</v>
      </c>
      <c r="S1944" s="10" t="s">
        <v>241</v>
      </c>
      <c r="T1944" s="10" t="s">
        <v>242</v>
      </c>
      <c r="U1944" s="10" t="s">
        <v>241</v>
      </c>
      <c r="V1944" s="10" t="s">
        <v>241</v>
      </c>
      <c r="W1944" s="10" t="s">
        <v>242</v>
      </c>
      <c r="X1944" s="15">
        <f>IF(ISERROR(VLOOKUP($A1944,'13. Updated Demand'!A:Z,15,FALSE)),0,VLOOKUP($A1944,'13. Updated Demand'!A:Z,15,FALSE))</f>
        <v>0</v>
      </c>
      <c r="Y1944" s="16">
        <f>IF(ISERROR(VLOOKUP($A1944,'13. Updated Demand'!A:Z,16,FALSE)),0,VLOOKUP($A1944,'13. Updated Demand'!A:Z,16,FALSE))</f>
        <v>0</v>
      </c>
      <c r="Z1944" s="16">
        <f>IF(ISERROR(VLOOKUP($A1944,'13. Updated Demand'!A:Z,17,FALSE)),0,VLOOKUP($A1944,'13. Updated Demand'!A:Z,17,FALSE))</f>
        <v>0</v>
      </c>
      <c r="AA1944" s="16">
        <f>IF(ISERROR(VLOOKUP($A1944,'13. Updated Demand'!A:Z,18,FALSE)),0,VLOOKUP($A1944,'13. Updated Demand'!A:Z,18,FALSE))</f>
        <v>0</v>
      </c>
      <c r="AB1944" s="16">
        <f>IF(ISERROR(VLOOKUP($A1944,'13. Updated Demand'!A:Z,19,FALSE)),0,VLOOKUP($A1944,'13. Updated Demand'!A:Z,19,FALSE))</f>
        <v>0</v>
      </c>
      <c r="AC1944" s="16">
        <f>IF(ISERROR(VLOOKUP($A1944,'13. Updated Demand'!A:Z,20,FALSE)),0,VLOOKUP($A1944,'13. Updated Demand'!A:Z,20,FALSE))</f>
        <v>0</v>
      </c>
      <c r="AD1944" s="16">
        <f>IF(ISERROR(VLOOKUP($A1944,'13. Updated Demand'!A:Z,21,FALSE)),0,VLOOKUP($A1944,'13. Updated Demand'!A:Z,21,FALSE))</f>
        <v>0</v>
      </c>
      <c r="AE1944" s="16">
        <f>IF(ISERROR(VLOOKUP($A1944,'13. Updated Demand'!A:Z,22,FALSE)),0,VLOOKUP($A1944,'13. Updated Demand'!A:Z,22,FALSE))</f>
        <v>0</v>
      </c>
      <c r="AF1944" s="16">
        <f>IF(ISERROR(VLOOKUP($A1944,'13. Updated Demand'!A:Z,23,FALSE)),0,VLOOKUP($A1944,'13. Updated Demand'!A:Z,23,FALSE))</f>
        <v>0</v>
      </c>
      <c r="AG1944" s="16">
        <f>IF(ISERROR(VLOOKUP($A1944,'13. Updated Demand'!A:Z,24,FALSE)),0,VLOOKUP($A1944,'13. Updated Demand'!A:Z,24,FALSE))</f>
        <v>0</v>
      </c>
      <c r="AH1944" s="16">
        <f>IF(ISERROR(VLOOKUP($A1944,'13. Updated Demand'!A:Z,25,FALSE)),0,VLOOKUP($A1944,'13. Updated Demand'!A:Z,25,FALSE))</f>
        <v>0</v>
      </c>
      <c r="AI1944" s="16">
        <f>IF(ISERROR(VLOOKUP($A1944,'13. Updated Demand'!A:Z,26,FALSE)),0,VLOOKUP($A1944,'13. Updated Demand'!A:Z,26,FALSE))</f>
        <v>0</v>
      </c>
      <c r="AJ1944" s="16">
        <f t="shared" si="373"/>
        <v>0</v>
      </c>
      <c r="AK1944" s="19">
        <v>0</v>
      </c>
      <c r="AL1944" s="16">
        <f t="shared" si="371"/>
        <v>0</v>
      </c>
      <c r="AM1944" s="26">
        <v>0</v>
      </c>
      <c r="AN1944" s="19">
        <v>403.49079999999998</v>
      </c>
      <c r="AO1944" s="19" t="s">
        <v>1758</v>
      </c>
      <c r="AP1944" s="19">
        <v>0</v>
      </c>
      <c r="AQ1944" s="19" t="s">
        <v>307</v>
      </c>
      <c r="AR1944" s="9" t="s">
        <v>354</v>
      </c>
      <c r="AS1944" s="12">
        <v>0</v>
      </c>
      <c r="AT1944" s="19">
        <v>38.717500000000001</v>
      </c>
      <c r="AU1944" s="19">
        <v>-122.91119999999999</v>
      </c>
      <c r="AV1944" s="19" t="s">
        <v>548</v>
      </c>
    </row>
    <row r="1945" spans="1:48" x14ac:dyDescent="0.25">
      <c r="A1945" s="18" t="s">
        <v>2366</v>
      </c>
      <c r="B1945" s="10">
        <v>10000000</v>
      </c>
      <c r="C1945" s="9">
        <v>9</v>
      </c>
      <c r="D1945" s="8" t="str">
        <f t="shared" si="362"/>
        <v>N</v>
      </c>
      <c r="E1945" s="8" t="str">
        <f t="shared" si="363"/>
        <v>Y</v>
      </c>
      <c r="F1945" s="8" t="str">
        <f t="shared" si="364"/>
        <v>Y</v>
      </c>
      <c r="G1945" s="8" t="str">
        <f t="shared" si="365"/>
        <v>Y</v>
      </c>
      <c r="H1945" s="8" t="str">
        <f t="shared" si="366"/>
        <v>Upper</v>
      </c>
      <c r="I1945" s="8" t="str">
        <f t="shared" si="367"/>
        <v>West Fork and Below Lake</v>
      </c>
      <c r="J1945" s="8" t="str">
        <f t="shared" si="368"/>
        <v>Sonoma (d/s of Clov. Gage)</v>
      </c>
      <c r="K1945" s="8" t="str">
        <f t="shared" si="369"/>
        <v>Riparian</v>
      </c>
      <c r="L1945" s="8">
        <f t="shared" si="370"/>
        <v>1000</v>
      </c>
      <c r="M1945" s="8" t="str">
        <f t="shared" si="372"/>
        <v>-</v>
      </c>
      <c r="N1945" s="10" t="s">
        <v>241</v>
      </c>
      <c r="O1945" s="10" t="s">
        <v>241</v>
      </c>
      <c r="P1945" s="10" t="s">
        <v>242</v>
      </c>
      <c r="Q1945" s="10" t="s">
        <v>242</v>
      </c>
      <c r="R1945" s="10" t="s">
        <v>242</v>
      </c>
      <c r="S1945" s="10" t="s">
        <v>241</v>
      </c>
      <c r="T1945" s="10" t="s">
        <v>242</v>
      </c>
      <c r="U1945" s="10" t="s">
        <v>242</v>
      </c>
      <c r="V1945" s="10" t="s">
        <v>242</v>
      </c>
      <c r="W1945" s="10" t="s">
        <v>242</v>
      </c>
      <c r="X1945" s="15">
        <f>IF(ISERROR(VLOOKUP($A1945,'13. Updated Demand'!A:Z,15,FALSE)),0,VLOOKUP($A1945,'13. Updated Demand'!A:Z,15,FALSE))</f>
        <v>0</v>
      </c>
      <c r="Y1945" s="16">
        <f>IF(ISERROR(VLOOKUP($A1945,'13. Updated Demand'!A:Z,16,FALSE)),0,VLOOKUP($A1945,'13. Updated Demand'!A:Z,16,FALSE))</f>
        <v>0.2</v>
      </c>
      <c r="Z1945" s="16">
        <f>IF(ISERROR(VLOOKUP($A1945,'13. Updated Demand'!A:Z,17,FALSE)),0,VLOOKUP($A1945,'13. Updated Demand'!A:Z,17,FALSE))</f>
        <v>0</v>
      </c>
      <c r="AA1945" s="16">
        <f>IF(ISERROR(VLOOKUP($A1945,'13. Updated Demand'!A:Z,18,FALSE)),0,VLOOKUP($A1945,'13. Updated Demand'!A:Z,18,FALSE))</f>
        <v>0.1</v>
      </c>
      <c r="AB1945" s="16">
        <f>IF(ISERROR(VLOOKUP($A1945,'13. Updated Demand'!A:Z,19,FALSE)),0,VLOOKUP($A1945,'13. Updated Demand'!A:Z,19,FALSE))</f>
        <v>0.16</v>
      </c>
      <c r="AC1945" s="16">
        <f>IF(ISERROR(VLOOKUP($A1945,'13. Updated Demand'!A:Z,20,FALSE)),0,VLOOKUP($A1945,'13. Updated Demand'!A:Z,20,FALSE))</f>
        <v>0.34</v>
      </c>
      <c r="AD1945" s="16">
        <f>IF(ISERROR(VLOOKUP($A1945,'13. Updated Demand'!A:Z,21,FALSE)),0,VLOOKUP($A1945,'13. Updated Demand'!A:Z,21,FALSE))</f>
        <v>0.5</v>
      </c>
      <c r="AE1945" s="16">
        <f>IF(ISERROR(VLOOKUP($A1945,'13. Updated Demand'!A:Z,22,FALSE)),0,VLOOKUP($A1945,'13. Updated Demand'!A:Z,22,FALSE))</f>
        <v>0.76</v>
      </c>
      <c r="AF1945" s="16">
        <f>IF(ISERROR(VLOOKUP($A1945,'13. Updated Demand'!A:Z,23,FALSE)),0,VLOOKUP($A1945,'13. Updated Demand'!A:Z,23,FALSE))</f>
        <v>0.68</v>
      </c>
      <c r="AG1945" s="16">
        <f>IF(ISERROR(VLOOKUP($A1945,'13. Updated Demand'!A:Z,24,FALSE)),0,VLOOKUP($A1945,'13. Updated Demand'!A:Z,24,FALSE))</f>
        <v>0.37</v>
      </c>
      <c r="AH1945" s="16">
        <f>IF(ISERROR(VLOOKUP($A1945,'13. Updated Demand'!A:Z,25,FALSE)),0,VLOOKUP($A1945,'13. Updated Demand'!A:Z,25,FALSE))</f>
        <v>0</v>
      </c>
      <c r="AI1945" s="16">
        <f>IF(ISERROR(VLOOKUP($A1945,'13. Updated Demand'!A:Z,26,FALSE)),0,VLOOKUP($A1945,'13. Updated Demand'!A:Z,26,FALSE))</f>
        <v>0</v>
      </c>
      <c r="AJ1945" s="16">
        <f t="shared" si="373"/>
        <v>3.1100000000000003</v>
      </c>
      <c r="AK1945" s="19">
        <v>2.4633333333333329</v>
      </c>
      <c r="AL1945" s="16">
        <f t="shared" si="371"/>
        <v>8.1705960666312687E-3</v>
      </c>
      <c r="AM1945" s="26">
        <v>7.7655632627394071E-3</v>
      </c>
      <c r="AN1945" s="19">
        <v>403.49079999999998</v>
      </c>
      <c r="AO1945" s="19" t="s">
        <v>1758</v>
      </c>
      <c r="AP1945" s="19">
        <v>0</v>
      </c>
      <c r="AQ1945" s="19" t="s">
        <v>307</v>
      </c>
      <c r="AR1945" s="9" t="s">
        <v>354</v>
      </c>
      <c r="AS1945" s="12">
        <v>0</v>
      </c>
      <c r="AT1945" s="19">
        <v>38.718200000000003</v>
      </c>
      <c r="AU1945" s="19">
        <v>-122.91030000000001</v>
      </c>
      <c r="AV1945" s="19" t="s">
        <v>548</v>
      </c>
    </row>
    <row r="1946" spans="1:48" x14ac:dyDescent="0.25">
      <c r="A1946" s="18" t="s">
        <v>2367</v>
      </c>
      <c r="B1946" s="10">
        <v>10000000</v>
      </c>
      <c r="C1946" s="9">
        <v>10</v>
      </c>
      <c r="D1946" s="8" t="str">
        <f t="shared" si="362"/>
        <v>N</v>
      </c>
      <c r="E1946" s="8" t="str">
        <f t="shared" si="363"/>
        <v>Y</v>
      </c>
      <c r="F1946" s="8" t="str">
        <f t="shared" si="364"/>
        <v>Y</v>
      </c>
      <c r="G1946" s="8" t="str">
        <f t="shared" si="365"/>
        <v>Y</v>
      </c>
      <c r="H1946" s="8" t="str">
        <f t="shared" si="366"/>
        <v>Upper</v>
      </c>
      <c r="I1946" s="8" t="str">
        <f t="shared" si="367"/>
        <v>West Fork and Below Lake</v>
      </c>
      <c r="J1946" s="8" t="str">
        <f t="shared" si="368"/>
        <v>Sonoma (d/s of Clov. Gage)</v>
      </c>
      <c r="K1946" s="8" t="str">
        <f t="shared" si="369"/>
        <v>Riparian</v>
      </c>
      <c r="L1946" s="8">
        <f t="shared" si="370"/>
        <v>1000</v>
      </c>
      <c r="M1946" s="8" t="str">
        <f t="shared" si="372"/>
        <v>-</v>
      </c>
      <c r="N1946" s="10" t="s">
        <v>241</v>
      </c>
      <c r="O1946" s="10" t="s">
        <v>241</v>
      </c>
      <c r="P1946" s="10" t="s">
        <v>242</v>
      </c>
      <c r="Q1946" s="10" t="s">
        <v>242</v>
      </c>
      <c r="R1946" s="10" t="s">
        <v>242</v>
      </c>
      <c r="S1946" s="10" t="s">
        <v>241</v>
      </c>
      <c r="T1946" s="10" t="s">
        <v>242</v>
      </c>
      <c r="U1946" s="10" t="s">
        <v>242</v>
      </c>
      <c r="V1946" s="10" t="s">
        <v>242</v>
      </c>
      <c r="W1946" s="10" t="s">
        <v>242</v>
      </c>
      <c r="X1946" s="15">
        <f>IF(ISERROR(VLOOKUP($A1946,'13. Updated Demand'!A:Z,15,FALSE)),0,VLOOKUP($A1946,'13. Updated Demand'!A:Z,15,FALSE))</f>
        <v>0</v>
      </c>
      <c r="Y1946" s="16">
        <f>IF(ISERROR(VLOOKUP($A1946,'13. Updated Demand'!A:Z,16,FALSE)),0,VLOOKUP($A1946,'13. Updated Demand'!A:Z,16,FALSE))</f>
        <v>0.7</v>
      </c>
      <c r="Z1946" s="16">
        <f>IF(ISERROR(VLOOKUP($A1946,'13. Updated Demand'!A:Z,17,FALSE)),0,VLOOKUP($A1946,'13. Updated Demand'!A:Z,17,FALSE))</f>
        <v>1.5</v>
      </c>
      <c r="AA1946" s="16">
        <f>IF(ISERROR(VLOOKUP($A1946,'13. Updated Demand'!A:Z,18,FALSE)),0,VLOOKUP($A1946,'13. Updated Demand'!A:Z,18,FALSE))</f>
        <v>1.56</v>
      </c>
      <c r="AB1946" s="16">
        <f>IF(ISERROR(VLOOKUP($A1946,'13. Updated Demand'!A:Z,19,FALSE)),0,VLOOKUP($A1946,'13. Updated Demand'!A:Z,19,FALSE))</f>
        <v>0.73</v>
      </c>
      <c r="AC1946" s="16">
        <f>IF(ISERROR(VLOOKUP($A1946,'13. Updated Demand'!A:Z,20,FALSE)),0,VLOOKUP($A1946,'13. Updated Demand'!A:Z,20,FALSE))</f>
        <v>0</v>
      </c>
      <c r="AD1946" s="16">
        <f>IF(ISERROR(VLOOKUP($A1946,'13. Updated Demand'!A:Z,21,FALSE)),0,VLOOKUP($A1946,'13. Updated Demand'!A:Z,21,FALSE))</f>
        <v>0</v>
      </c>
      <c r="AE1946" s="16">
        <f>IF(ISERROR(VLOOKUP($A1946,'13. Updated Demand'!A:Z,22,FALSE)),0,VLOOKUP($A1946,'13. Updated Demand'!A:Z,22,FALSE))</f>
        <v>0</v>
      </c>
      <c r="AF1946" s="16">
        <f>IF(ISERROR(VLOOKUP($A1946,'13. Updated Demand'!A:Z,23,FALSE)),0,VLOOKUP($A1946,'13. Updated Demand'!A:Z,23,FALSE))</f>
        <v>0</v>
      </c>
      <c r="AG1946" s="16">
        <f>IF(ISERROR(VLOOKUP($A1946,'13. Updated Demand'!A:Z,24,FALSE)),0,VLOOKUP($A1946,'13. Updated Demand'!A:Z,24,FALSE))</f>
        <v>0</v>
      </c>
      <c r="AH1946" s="16">
        <f>IF(ISERROR(VLOOKUP($A1946,'13. Updated Demand'!A:Z,25,FALSE)),0,VLOOKUP($A1946,'13. Updated Demand'!A:Z,25,FALSE))</f>
        <v>0</v>
      </c>
      <c r="AI1946" s="16">
        <f>IF(ISERROR(VLOOKUP($A1946,'13. Updated Demand'!A:Z,26,FALSE)),0,VLOOKUP($A1946,'13. Updated Demand'!A:Z,26,FALSE))</f>
        <v>0</v>
      </c>
      <c r="AJ1946" s="16">
        <f t="shared" si="373"/>
        <v>4.49</v>
      </c>
      <c r="AK1946" s="19">
        <v>0.73333333333333295</v>
      </c>
      <c r="AL1946" s="16">
        <f t="shared" si="371"/>
        <v>2.4323831321500389E-3</v>
      </c>
      <c r="AM1946" s="26">
        <v>2.7881676608239913E-3</v>
      </c>
      <c r="AN1946" s="19">
        <v>1613.9631999999999</v>
      </c>
      <c r="AO1946" s="19" t="s">
        <v>1758</v>
      </c>
      <c r="AP1946" s="19">
        <v>0</v>
      </c>
      <c r="AQ1946" s="19" t="s">
        <v>307</v>
      </c>
      <c r="AR1946" s="9" t="s">
        <v>436</v>
      </c>
      <c r="AS1946" s="12">
        <v>0</v>
      </c>
      <c r="AT1946" s="19">
        <v>38.663499999999999</v>
      </c>
      <c r="AU1946" s="19">
        <v>-122.8386</v>
      </c>
      <c r="AV1946" s="19" t="s">
        <v>548</v>
      </c>
    </row>
    <row r="1947" spans="1:48" x14ac:dyDescent="0.25">
      <c r="A1947" s="18" t="s">
        <v>2368</v>
      </c>
      <c r="B1947" s="10">
        <v>10000000</v>
      </c>
      <c r="C1947" s="9">
        <v>9</v>
      </c>
      <c r="D1947" s="8" t="str">
        <f t="shared" si="362"/>
        <v>N</v>
      </c>
      <c r="E1947" s="8" t="str">
        <f t="shared" si="363"/>
        <v>Y</v>
      </c>
      <c r="F1947" s="8" t="str">
        <f t="shared" si="364"/>
        <v>Y</v>
      </c>
      <c r="G1947" s="8" t="str">
        <f t="shared" si="365"/>
        <v>Y</v>
      </c>
      <c r="H1947" s="8" t="str">
        <f t="shared" si="366"/>
        <v>Upper</v>
      </c>
      <c r="I1947" s="8" t="str">
        <f t="shared" si="367"/>
        <v>West Fork and Below Lake</v>
      </c>
      <c r="J1947" s="8" t="str">
        <f t="shared" si="368"/>
        <v>Sonoma (d/s of Clov. Gage)</v>
      </c>
      <c r="K1947" s="8" t="str">
        <f t="shared" si="369"/>
        <v>Riparian</v>
      </c>
      <c r="L1947" s="8">
        <f t="shared" si="370"/>
        <v>1000</v>
      </c>
      <c r="M1947" s="8" t="str">
        <f t="shared" si="372"/>
        <v>-</v>
      </c>
      <c r="N1947" s="10" t="s">
        <v>241</v>
      </c>
      <c r="O1947" s="10" t="s">
        <v>241</v>
      </c>
      <c r="P1947" s="10" t="s">
        <v>242</v>
      </c>
      <c r="Q1947" s="10" t="s">
        <v>242</v>
      </c>
      <c r="R1947" s="10" t="s">
        <v>242</v>
      </c>
      <c r="S1947" s="10" t="s">
        <v>241</v>
      </c>
      <c r="T1947" s="10" t="s">
        <v>242</v>
      </c>
      <c r="U1947" s="10" t="s">
        <v>242</v>
      </c>
      <c r="V1947" s="10" t="s">
        <v>242</v>
      </c>
      <c r="W1947" s="10" t="s">
        <v>242</v>
      </c>
      <c r="X1947" s="15">
        <f>IF(ISERROR(VLOOKUP($A1947,'13. Updated Demand'!A:Z,15,FALSE)),0,VLOOKUP($A1947,'13. Updated Demand'!A:Z,15,FALSE))</f>
        <v>0.05</v>
      </c>
      <c r="Y1947" s="16">
        <f>IF(ISERROR(VLOOKUP($A1947,'13. Updated Demand'!A:Z,16,FALSE)),0,VLOOKUP($A1947,'13. Updated Demand'!A:Z,16,FALSE))</f>
        <v>0.05</v>
      </c>
      <c r="Z1947" s="16">
        <f>IF(ISERROR(VLOOKUP($A1947,'13. Updated Demand'!A:Z,17,FALSE)),0,VLOOKUP($A1947,'13. Updated Demand'!A:Z,17,FALSE))</f>
        <v>0.05</v>
      </c>
      <c r="AA1947" s="16">
        <f>IF(ISERROR(VLOOKUP($A1947,'13. Updated Demand'!A:Z,18,FALSE)),0,VLOOKUP($A1947,'13. Updated Demand'!A:Z,18,FALSE))</f>
        <v>0.05</v>
      </c>
      <c r="AB1947" s="16">
        <f>IF(ISERROR(VLOOKUP($A1947,'13. Updated Demand'!A:Z,19,FALSE)),0,VLOOKUP($A1947,'13. Updated Demand'!A:Z,19,FALSE))</f>
        <v>0.05</v>
      </c>
      <c r="AC1947" s="16">
        <f>IF(ISERROR(VLOOKUP($A1947,'13. Updated Demand'!A:Z,20,FALSE)),0,VLOOKUP($A1947,'13. Updated Demand'!A:Z,20,FALSE))</f>
        <v>0.17</v>
      </c>
      <c r="AD1947" s="16">
        <f>IF(ISERROR(VLOOKUP($A1947,'13. Updated Demand'!A:Z,21,FALSE)),0,VLOOKUP($A1947,'13. Updated Demand'!A:Z,21,FALSE))</f>
        <v>0.17</v>
      </c>
      <c r="AE1947" s="16">
        <f>IF(ISERROR(VLOOKUP($A1947,'13. Updated Demand'!A:Z,22,FALSE)),0,VLOOKUP($A1947,'13. Updated Demand'!A:Z,22,FALSE))</f>
        <v>0.17</v>
      </c>
      <c r="AF1947" s="16">
        <f>IF(ISERROR(VLOOKUP($A1947,'13. Updated Demand'!A:Z,23,FALSE)),0,VLOOKUP($A1947,'13. Updated Demand'!A:Z,23,FALSE))</f>
        <v>0.17</v>
      </c>
      <c r="AG1947" s="16">
        <f>IF(ISERROR(VLOOKUP($A1947,'13. Updated Demand'!A:Z,24,FALSE)),0,VLOOKUP($A1947,'13. Updated Demand'!A:Z,24,FALSE))</f>
        <v>0.17</v>
      </c>
      <c r="AH1947" s="16">
        <f>IF(ISERROR(VLOOKUP($A1947,'13. Updated Demand'!A:Z,25,FALSE)),0,VLOOKUP($A1947,'13. Updated Demand'!A:Z,25,FALSE))</f>
        <v>0.05</v>
      </c>
      <c r="AI1947" s="16">
        <f>IF(ISERROR(VLOOKUP($A1947,'13. Updated Demand'!A:Z,26,FALSE)),0,VLOOKUP($A1947,'13. Updated Demand'!A:Z,26,FALSE))</f>
        <v>0.05</v>
      </c>
      <c r="AJ1947" s="16">
        <f t="shared" si="373"/>
        <v>1.2000000000000002</v>
      </c>
      <c r="AK1947" s="19">
        <v>0.74999999999999878</v>
      </c>
      <c r="AL1947" s="16">
        <f t="shared" si="371"/>
        <v>2.4876645669716277E-3</v>
      </c>
      <c r="AM1947" s="26">
        <v>3.1422919330152864E-2</v>
      </c>
      <c r="AN1947" s="19">
        <v>40.2042</v>
      </c>
      <c r="AO1947" s="19" t="s">
        <v>1758</v>
      </c>
      <c r="AP1947" s="19">
        <v>0</v>
      </c>
      <c r="AQ1947" s="19" t="s">
        <v>307</v>
      </c>
      <c r="AR1947" s="9" t="s">
        <v>354</v>
      </c>
      <c r="AS1947" s="12">
        <v>3.4039024194010059E-4</v>
      </c>
      <c r="AT1947" s="19">
        <v>38.718600000000002</v>
      </c>
      <c r="AU1947" s="19">
        <v>-122.91370000000001</v>
      </c>
      <c r="AV1947" s="19" t="s">
        <v>548</v>
      </c>
    </row>
    <row r="1948" spans="1:48" x14ac:dyDescent="0.25">
      <c r="A1948" s="18" t="s">
        <v>2369</v>
      </c>
      <c r="B1948" s="10">
        <v>10000000</v>
      </c>
      <c r="C1948" s="9">
        <v>9</v>
      </c>
      <c r="D1948" s="8" t="str">
        <f t="shared" si="362"/>
        <v>N</v>
      </c>
      <c r="E1948" s="8" t="str">
        <f t="shared" si="363"/>
        <v>Y</v>
      </c>
      <c r="F1948" s="8" t="str">
        <f t="shared" si="364"/>
        <v>Y</v>
      </c>
      <c r="G1948" s="8" t="str">
        <f t="shared" si="365"/>
        <v>Y</v>
      </c>
      <c r="H1948" s="8" t="str">
        <f t="shared" si="366"/>
        <v>Upper</v>
      </c>
      <c r="I1948" s="8" t="str">
        <f t="shared" si="367"/>
        <v>West Fork and Below Lake</v>
      </c>
      <c r="J1948" s="8" t="str">
        <f t="shared" si="368"/>
        <v>Sonoma (d/s of Clov. Gage)</v>
      </c>
      <c r="K1948" s="8" t="str">
        <f t="shared" si="369"/>
        <v>Riparian</v>
      </c>
      <c r="L1948" s="8">
        <f t="shared" si="370"/>
        <v>1000</v>
      </c>
      <c r="M1948" s="8" t="str">
        <f t="shared" si="372"/>
        <v>-</v>
      </c>
      <c r="N1948" s="10" t="s">
        <v>241</v>
      </c>
      <c r="O1948" s="10" t="s">
        <v>241</v>
      </c>
      <c r="P1948" s="10" t="s">
        <v>242</v>
      </c>
      <c r="Q1948" s="10" t="s">
        <v>242</v>
      </c>
      <c r="R1948" s="10" t="s">
        <v>242</v>
      </c>
      <c r="S1948" s="10" t="s">
        <v>241</v>
      </c>
      <c r="T1948" s="10" t="s">
        <v>242</v>
      </c>
      <c r="U1948" s="10" t="s">
        <v>242</v>
      </c>
      <c r="V1948" s="10" t="s">
        <v>242</v>
      </c>
      <c r="W1948" s="10" t="s">
        <v>242</v>
      </c>
      <c r="X1948" s="15">
        <f>IF(ISERROR(VLOOKUP($A1948,'13. Updated Demand'!A:Z,15,FALSE)),0,VLOOKUP($A1948,'13. Updated Demand'!A:Z,15,FALSE))</f>
        <v>0</v>
      </c>
      <c r="Y1948" s="16">
        <f>IF(ISERROR(VLOOKUP($A1948,'13. Updated Demand'!A:Z,16,FALSE)),0,VLOOKUP($A1948,'13. Updated Demand'!A:Z,16,FALSE))</f>
        <v>2.4</v>
      </c>
      <c r="Z1948" s="16">
        <f>IF(ISERROR(VLOOKUP($A1948,'13. Updated Demand'!A:Z,17,FALSE)),0,VLOOKUP($A1948,'13. Updated Demand'!A:Z,17,FALSE))</f>
        <v>0</v>
      </c>
      <c r="AA1948" s="16">
        <f>IF(ISERROR(VLOOKUP($A1948,'13. Updated Demand'!A:Z,18,FALSE)),0,VLOOKUP($A1948,'13. Updated Demand'!A:Z,18,FALSE))</f>
        <v>1.26</v>
      </c>
      <c r="AB1948" s="16">
        <f>IF(ISERROR(VLOOKUP($A1948,'13. Updated Demand'!A:Z,19,FALSE)),0,VLOOKUP($A1948,'13. Updated Demand'!A:Z,19,FALSE))</f>
        <v>2.33</v>
      </c>
      <c r="AC1948" s="16">
        <f>IF(ISERROR(VLOOKUP($A1948,'13. Updated Demand'!A:Z,20,FALSE)),0,VLOOKUP($A1948,'13. Updated Demand'!A:Z,20,FALSE))</f>
        <v>4.22</v>
      </c>
      <c r="AD1948" s="16">
        <f>IF(ISERROR(VLOOKUP($A1948,'13. Updated Demand'!A:Z,21,FALSE)),0,VLOOKUP($A1948,'13. Updated Demand'!A:Z,21,FALSE))</f>
        <v>6.11</v>
      </c>
      <c r="AE1948" s="16">
        <f>IF(ISERROR(VLOOKUP($A1948,'13. Updated Demand'!A:Z,22,FALSE)),0,VLOOKUP($A1948,'13. Updated Demand'!A:Z,22,FALSE))</f>
        <v>9.2799999999999994</v>
      </c>
      <c r="AF1948" s="16">
        <f>IF(ISERROR(VLOOKUP($A1948,'13. Updated Demand'!A:Z,23,FALSE)),0,VLOOKUP($A1948,'13. Updated Demand'!A:Z,23,FALSE))</f>
        <v>8.5399999999999991</v>
      </c>
      <c r="AG1948" s="16">
        <f>IF(ISERROR(VLOOKUP($A1948,'13. Updated Demand'!A:Z,24,FALSE)),0,VLOOKUP($A1948,'13. Updated Demand'!A:Z,24,FALSE))</f>
        <v>4.3499999999999996</v>
      </c>
      <c r="AH1948" s="16">
        <f>IF(ISERROR(VLOOKUP($A1948,'13. Updated Demand'!A:Z,25,FALSE)),0,VLOOKUP($A1948,'13. Updated Demand'!A:Z,25,FALSE))</f>
        <v>0.1</v>
      </c>
      <c r="AI1948" s="16">
        <f>IF(ISERROR(VLOOKUP($A1948,'13. Updated Demand'!A:Z,26,FALSE)),0,VLOOKUP($A1948,'13. Updated Demand'!A:Z,26,FALSE))</f>
        <v>0</v>
      </c>
      <c r="AJ1948" s="16">
        <f t="shared" si="373"/>
        <v>38.590000000000003</v>
      </c>
      <c r="AK1948" s="19">
        <v>30.496666666666659</v>
      </c>
      <c r="AL1948" s="16">
        <f t="shared" si="371"/>
        <v>0.10115396943654868</v>
      </c>
      <c r="AM1948" s="26">
        <v>1.1964647106529024E-2</v>
      </c>
      <c r="AN1948" s="19">
        <v>3227.5641999999998</v>
      </c>
      <c r="AO1948" s="19" t="s">
        <v>1758</v>
      </c>
      <c r="AP1948" s="19">
        <v>0</v>
      </c>
      <c r="AQ1948" s="19" t="s">
        <v>307</v>
      </c>
      <c r="AR1948" s="9" t="s">
        <v>354</v>
      </c>
      <c r="AS1948" s="12">
        <v>0</v>
      </c>
      <c r="AT1948" s="19">
        <v>38.716799999999999</v>
      </c>
      <c r="AU1948" s="19">
        <v>-122.9139</v>
      </c>
      <c r="AV1948" s="19" t="s">
        <v>548</v>
      </c>
    </row>
    <row r="1949" spans="1:48" x14ac:dyDescent="0.25">
      <c r="A1949" s="18" t="s">
        <v>2370</v>
      </c>
      <c r="B1949" s="10">
        <v>10000000</v>
      </c>
      <c r="C1949" s="9">
        <v>6</v>
      </c>
      <c r="D1949" s="8" t="str">
        <f t="shared" si="362"/>
        <v>Y</v>
      </c>
      <c r="E1949" s="8" t="str">
        <f t="shared" si="363"/>
        <v>N</v>
      </c>
      <c r="F1949" s="8" t="str">
        <f t="shared" si="364"/>
        <v>Y</v>
      </c>
      <c r="G1949" s="8" t="str">
        <f t="shared" si="365"/>
        <v>Y</v>
      </c>
      <c r="H1949" s="8" t="str">
        <f t="shared" si="366"/>
        <v>Upper</v>
      </c>
      <c r="I1949" s="8" t="str">
        <f t="shared" si="367"/>
        <v>West Fork and Below Lake</v>
      </c>
      <c r="J1949" s="8" t="str">
        <f t="shared" si="368"/>
        <v>Mendocino (d/s of lake)</v>
      </c>
      <c r="K1949" s="8" t="str">
        <f t="shared" si="369"/>
        <v>Riparian</v>
      </c>
      <c r="L1949" s="8">
        <f t="shared" si="370"/>
        <v>1000</v>
      </c>
      <c r="M1949" s="8" t="str">
        <f t="shared" si="372"/>
        <v>-</v>
      </c>
      <c r="N1949" s="10" t="s">
        <v>242</v>
      </c>
      <c r="O1949" s="10" t="s">
        <v>241</v>
      </c>
      <c r="P1949" s="10" t="s">
        <v>242</v>
      </c>
      <c r="Q1949" s="10" t="s">
        <v>242</v>
      </c>
      <c r="R1949" s="10" t="s">
        <v>242</v>
      </c>
      <c r="S1949" s="10" t="s">
        <v>241</v>
      </c>
      <c r="T1949" s="10" t="s">
        <v>242</v>
      </c>
      <c r="U1949" s="10" t="s">
        <v>242</v>
      </c>
      <c r="V1949" s="10" t="s">
        <v>241</v>
      </c>
      <c r="W1949" s="10" t="s">
        <v>242</v>
      </c>
      <c r="X1949" s="15">
        <f>IF(ISERROR(VLOOKUP($A1949,'13. Updated Demand'!A:Z,15,FALSE)),0,VLOOKUP($A1949,'13. Updated Demand'!A:Z,15,FALSE))</f>
        <v>0</v>
      </c>
      <c r="Y1949" s="16">
        <f>IF(ISERROR(VLOOKUP($A1949,'13. Updated Demand'!A:Z,16,FALSE)),0,VLOOKUP($A1949,'13. Updated Demand'!A:Z,16,FALSE))</f>
        <v>0.06</v>
      </c>
      <c r="Z1949" s="16">
        <f>IF(ISERROR(VLOOKUP($A1949,'13. Updated Demand'!A:Z,17,FALSE)),0,VLOOKUP($A1949,'13. Updated Demand'!A:Z,17,FALSE))</f>
        <v>0</v>
      </c>
      <c r="AA1949" s="16">
        <f>IF(ISERROR(VLOOKUP($A1949,'13. Updated Demand'!A:Z,18,FALSE)),0,VLOOKUP($A1949,'13. Updated Demand'!A:Z,18,FALSE))</f>
        <v>0</v>
      </c>
      <c r="AB1949" s="16">
        <f>IF(ISERROR(VLOOKUP($A1949,'13. Updated Demand'!A:Z,19,FALSE)),0,VLOOKUP($A1949,'13. Updated Demand'!A:Z,19,FALSE))</f>
        <v>0</v>
      </c>
      <c r="AC1949" s="16">
        <f>IF(ISERROR(VLOOKUP($A1949,'13. Updated Demand'!A:Z,20,FALSE)),0,VLOOKUP($A1949,'13. Updated Demand'!A:Z,20,FALSE))</f>
        <v>0</v>
      </c>
      <c r="AD1949" s="16">
        <f>IF(ISERROR(VLOOKUP($A1949,'13. Updated Demand'!A:Z,21,FALSE)),0,VLOOKUP($A1949,'13. Updated Demand'!A:Z,21,FALSE))</f>
        <v>0</v>
      </c>
      <c r="AE1949" s="16">
        <f>IF(ISERROR(VLOOKUP($A1949,'13. Updated Demand'!A:Z,22,FALSE)),0,VLOOKUP($A1949,'13. Updated Demand'!A:Z,22,FALSE))</f>
        <v>0</v>
      </c>
      <c r="AF1949" s="16">
        <f>IF(ISERROR(VLOOKUP($A1949,'13. Updated Demand'!A:Z,23,FALSE)),0,VLOOKUP($A1949,'13. Updated Demand'!A:Z,23,FALSE))</f>
        <v>0</v>
      </c>
      <c r="AG1949" s="16">
        <f>IF(ISERROR(VLOOKUP($A1949,'13. Updated Demand'!A:Z,24,FALSE)),0,VLOOKUP($A1949,'13. Updated Demand'!A:Z,24,FALSE))</f>
        <v>0</v>
      </c>
      <c r="AH1949" s="16">
        <f>IF(ISERROR(VLOOKUP($A1949,'13. Updated Demand'!A:Z,25,FALSE)),0,VLOOKUP($A1949,'13. Updated Demand'!A:Z,25,FALSE))</f>
        <v>0.06</v>
      </c>
      <c r="AI1949" s="16">
        <f>IF(ISERROR(VLOOKUP($A1949,'13. Updated Demand'!A:Z,26,FALSE)),0,VLOOKUP($A1949,'13. Updated Demand'!A:Z,26,FALSE))</f>
        <v>0</v>
      </c>
      <c r="AJ1949" s="16">
        <f t="shared" si="373"/>
        <v>0.12</v>
      </c>
      <c r="AK1949" s="19">
        <v>0</v>
      </c>
      <c r="AL1949" s="16">
        <f t="shared" si="371"/>
        <v>0</v>
      </c>
      <c r="AM1949" s="26">
        <v>6.4630796897721769E-3</v>
      </c>
      <c r="AN1949" s="19">
        <v>20.63</v>
      </c>
      <c r="AO1949" s="19" t="s">
        <v>1758</v>
      </c>
      <c r="AP1949" s="19">
        <v>0</v>
      </c>
      <c r="AQ1949" s="19" t="s">
        <v>307</v>
      </c>
      <c r="AR1949" s="9" t="s">
        <v>319</v>
      </c>
      <c r="AS1949" s="12">
        <v>0</v>
      </c>
      <c r="AT1949" s="19">
        <v>38.957599999999999</v>
      </c>
      <c r="AU1949" s="19">
        <v>-123.09739999999999</v>
      </c>
      <c r="AV1949" s="19" t="s">
        <v>2371</v>
      </c>
    </row>
    <row r="1950" spans="1:48" x14ac:dyDescent="0.25">
      <c r="A1950" s="18" t="s">
        <v>2372</v>
      </c>
      <c r="B1950" s="10">
        <v>10000000</v>
      </c>
      <c r="C1950" s="9">
        <v>6</v>
      </c>
      <c r="D1950" s="8" t="str">
        <f t="shared" si="362"/>
        <v>Y</v>
      </c>
      <c r="E1950" s="8" t="str">
        <f t="shared" si="363"/>
        <v>N</v>
      </c>
      <c r="F1950" s="8" t="str">
        <f t="shared" si="364"/>
        <v>Y</v>
      </c>
      <c r="G1950" s="8" t="str">
        <f t="shared" si="365"/>
        <v>Y</v>
      </c>
      <c r="H1950" s="8" t="str">
        <f t="shared" si="366"/>
        <v>Upper</v>
      </c>
      <c r="I1950" s="8" t="str">
        <f t="shared" si="367"/>
        <v>West Fork and Below Lake</v>
      </c>
      <c r="J1950" s="8" t="str">
        <f t="shared" si="368"/>
        <v>Mendocino (d/s of lake)</v>
      </c>
      <c r="K1950" s="8" t="str">
        <f t="shared" si="369"/>
        <v>Riparian</v>
      </c>
      <c r="L1950" s="8">
        <f t="shared" si="370"/>
        <v>1000</v>
      </c>
      <c r="M1950" s="8" t="str">
        <f t="shared" si="372"/>
        <v>-</v>
      </c>
      <c r="N1950" s="10" t="s">
        <v>242</v>
      </c>
      <c r="O1950" s="10" t="s">
        <v>241</v>
      </c>
      <c r="P1950" s="10" t="s">
        <v>242</v>
      </c>
      <c r="Q1950" s="10" t="s">
        <v>242</v>
      </c>
      <c r="R1950" s="10" t="s">
        <v>242</v>
      </c>
      <c r="S1950" s="10" t="s">
        <v>241</v>
      </c>
      <c r="T1950" s="10" t="s">
        <v>242</v>
      </c>
      <c r="U1950" s="10" t="s">
        <v>242</v>
      </c>
      <c r="V1950" s="10" t="s">
        <v>241</v>
      </c>
      <c r="W1950" s="10" t="s">
        <v>242</v>
      </c>
      <c r="X1950" s="15">
        <f>IF(ISERROR(VLOOKUP($A1950,'13. Updated Demand'!A:Z,15,FALSE)),0,VLOOKUP($A1950,'13. Updated Demand'!A:Z,15,FALSE))</f>
        <v>0</v>
      </c>
      <c r="Y1950" s="16">
        <f>IF(ISERROR(VLOOKUP($A1950,'13. Updated Demand'!A:Z,16,FALSE)),0,VLOOKUP($A1950,'13. Updated Demand'!A:Z,16,FALSE))</f>
        <v>0</v>
      </c>
      <c r="Z1950" s="16">
        <f>IF(ISERROR(VLOOKUP($A1950,'13. Updated Demand'!A:Z,17,FALSE)),0,VLOOKUP($A1950,'13. Updated Demand'!A:Z,17,FALSE))</f>
        <v>0</v>
      </c>
      <c r="AA1950" s="16">
        <f>IF(ISERROR(VLOOKUP($A1950,'13. Updated Demand'!A:Z,18,FALSE)),0,VLOOKUP($A1950,'13. Updated Demand'!A:Z,18,FALSE))</f>
        <v>0</v>
      </c>
      <c r="AB1950" s="16">
        <f>IF(ISERROR(VLOOKUP($A1950,'13. Updated Demand'!A:Z,19,FALSE)),0,VLOOKUP($A1950,'13. Updated Demand'!A:Z,19,FALSE))</f>
        <v>0</v>
      </c>
      <c r="AC1950" s="16">
        <f>IF(ISERROR(VLOOKUP($A1950,'13. Updated Demand'!A:Z,20,FALSE)),0,VLOOKUP($A1950,'13. Updated Demand'!A:Z,20,FALSE))</f>
        <v>0</v>
      </c>
      <c r="AD1950" s="16">
        <f>IF(ISERROR(VLOOKUP($A1950,'13. Updated Demand'!A:Z,21,FALSE)),0,VLOOKUP($A1950,'13. Updated Demand'!A:Z,21,FALSE))</f>
        <v>0</v>
      </c>
      <c r="AE1950" s="16">
        <f>IF(ISERROR(VLOOKUP($A1950,'13. Updated Demand'!A:Z,22,FALSE)),0,VLOOKUP($A1950,'13. Updated Demand'!A:Z,22,FALSE))</f>
        <v>0</v>
      </c>
      <c r="AF1950" s="16">
        <f>IF(ISERROR(VLOOKUP($A1950,'13. Updated Demand'!A:Z,23,FALSE)),0,VLOOKUP($A1950,'13. Updated Demand'!A:Z,23,FALSE))</f>
        <v>0</v>
      </c>
      <c r="AG1950" s="16">
        <f>IF(ISERROR(VLOOKUP($A1950,'13. Updated Demand'!A:Z,24,FALSE)),0,VLOOKUP($A1950,'13. Updated Demand'!A:Z,24,FALSE))</f>
        <v>0</v>
      </c>
      <c r="AH1950" s="16">
        <f>IF(ISERROR(VLOOKUP($A1950,'13. Updated Demand'!A:Z,25,FALSE)),0,VLOOKUP($A1950,'13. Updated Demand'!A:Z,25,FALSE))</f>
        <v>0.73</v>
      </c>
      <c r="AI1950" s="16">
        <f>IF(ISERROR(VLOOKUP($A1950,'13. Updated Demand'!A:Z,26,FALSE)),0,VLOOKUP($A1950,'13. Updated Demand'!A:Z,26,FALSE))</f>
        <v>0</v>
      </c>
      <c r="AJ1950" s="16">
        <f t="shared" si="373"/>
        <v>0.73</v>
      </c>
      <c r="AK1950" s="19">
        <v>0</v>
      </c>
      <c r="AL1950" s="16">
        <f t="shared" si="371"/>
        <v>0</v>
      </c>
      <c r="AM1950" s="26">
        <v>5.2380952357142858E-2</v>
      </c>
      <c r="AN1950" s="19">
        <v>14</v>
      </c>
      <c r="AO1950" s="19" t="s">
        <v>1758</v>
      </c>
      <c r="AP1950" s="19">
        <v>0</v>
      </c>
      <c r="AQ1950" s="19" t="s">
        <v>307</v>
      </c>
      <c r="AR1950" s="9" t="s">
        <v>319</v>
      </c>
      <c r="AS1950" s="12">
        <v>0</v>
      </c>
      <c r="AT1950" s="19">
        <v>38.996600000000001</v>
      </c>
      <c r="AU1950" s="19">
        <v>-123.1031</v>
      </c>
      <c r="AV1950" s="19" t="s">
        <v>2373</v>
      </c>
    </row>
    <row r="1951" spans="1:48" x14ac:dyDescent="0.25">
      <c r="A1951" s="18" t="s">
        <v>2374</v>
      </c>
      <c r="B1951" s="10">
        <v>10000000</v>
      </c>
      <c r="C1951" s="9">
        <v>6</v>
      </c>
      <c r="D1951" s="8" t="str">
        <f t="shared" si="362"/>
        <v>Y</v>
      </c>
      <c r="E1951" s="8" t="str">
        <f t="shared" si="363"/>
        <v>N</v>
      </c>
      <c r="F1951" s="8" t="str">
        <f t="shared" si="364"/>
        <v>Y</v>
      </c>
      <c r="G1951" s="8" t="str">
        <f t="shared" si="365"/>
        <v>Y</v>
      </c>
      <c r="H1951" s="8" t="str">
        <f t="shared" si="366"/>
        <v>Upper</v>
      </c>
      <c r="I1951" s="8" t="str">
        <f t="shared" si="367"/>
        <v>West Fork and Below Lake</v>
      </c>
      <c r="J1951" s="8" t="str">
        <f t="shared" si="368"/>
        <v>Mendocino (d/s of lake)</v>
      </c>
      <c r="K1951" s="8" t="str">
        <f t="shared" si="369"/>
        <v>Riparian</v>
      </c>
      <c r="L1951" s="8">
        <f t="shared" si="370"/>
        <v>1000</v>
      </c>
      <c r="M1951" s="8" t="str">
        <f t="shared" si="372"/>
        <v>-</v>
      </c>
      <c r="N1951" s="10" t="s">
        <v>241</v>
      </c>
      <c r="O1951" s="10" t="s">
        <v>241</v>
      </c>
      <c r="P1951" s="10" t="s">
        <v>242</v>
      </c>
      <c r="Q1951" s="10" t="s">
        <v>242</v>
      </c>
      <c r="R1951" s="10" t="s">
        <v>242</v>
      </c>
      <c r="S1951" s="10" t="s">
        <v>241</v>
      </c>
      <c r="T1951" s="10" t="s">
        <v>242</v>
      </c>
      <c r="U1951" s="10" t="s">
        <v>242</v>
      </c>
      <c r="V1951" s="10" t="s">
        <v>241</v>
      </c>
      <c r="W1951" s="10" t="s">
        <v>242</v>
      </c>
      <c r="X1951" s="15">
        <f>IF(ISERROR(VLOOKUP($A1951,'13. Updated Demand'!A:Z,15,FALSE)),0,VLOOKUP($A1951,'13. Updated Demand'!A:Z,15,FALSE))</f>
        <v>0</v>
      </c>
      <c r="Y1951" s="16">
        <f>IF(ISERROR(VLOOKUP($A1951,'13. Updated Demand'!A:Z,16,FALSE)),0,VLOOKUP($A1951,'13. Updated Demand'!A:Z,16,FALSE))</f>
        <v>6.6666666666666697E-3</v>
      </c>
      <c r="Z1951" s="16">
        <f>IF(ISERROR(VLOOKUP($A1951,'13. Updated Demand'!A:Z,17,FALSE)),0,VLOOKUP($A1951,'13. Updated Demand'!A:Z,17,FALSE))</f>
        <v>0</v>
      </c>
      <c r="AA1951" s="16">
        <f>IF(ISERROR(VLOOKUP($A1951,'13. Updated Demand'!A:Z,18,FALSE)),0,VLOOKUP($A1951,'13. Updated Demand'!A:Z,18,FALSE))</f>
        <v>0</v>
      </c>
      <c r="AB1951" s="16">
        <f>IF(ISERROR(VLOOKUP($A1951,'13. Updated Demand'!A:Z,19,FALSE)),0,VLOOKUP($A1951,'13. Updated Demand'!A:Z,19,FALSE))</f>
        <v>0</v>
      </c>
      <c r="AC1951" s="16">
        <f>IF(ISERROR(VLOOKUP($A1951,'13. Updated Demand'!A:Z,20,FALSE)),0,VLOOKUP($A1951,'13. Updated Demand'!A:Z,20,FALSE))</f>
        <v>0</v>
      </c>
      <c r="AD1951" s="16">
        <f>IF(ISERROR(VLOOKUP($A1951,'13. Updated Demand'!A:Z,21,FALSE)),0,VLOOKUP($A1951,'13. Updated Demand'!A:Z,21,FALSE))</f>
        <v>0</v>
      </c>
      <c r="AE1951" s="16">
        <f>IF(ISERROR(VLOOKUP($A1951,'13. Updated Demand'!A:Z,22,FALSE)),0,VLOOKUP($A1951,'13. Updated Demand'!A:Z,22,FALSE))</f>
        <v>0</v>
      </c>
      <c r="AF1951" s="16">
        <f>IF(ISERROR(VLOOKUP($A1951,'13. Updated Demand'!A:Z,23,FALSE)),0,VLOOKUP($A1951,'13. Updated Demand'!A:Z,23,FALSE))</f>
        <v>0</v>
      </c>
      <c r="AG1951" s="16">
        <f>IF(ISERROR(VLOOKUP($A1951,'13. Updated Demand'!A:Z,24,FALSE)),0,VLOOKUP($A1951,'13. Updated Demand'!A:Z,24,FALSE))</f>
        <v>0</v>
      </c>
      <c r="AH1951" s="16">
        <f>IF(ISERROR(VLOOKUP($A1951,'13. Updated Demand'!A:Z,25,FALSE)),0,VLOOKUP($A1951,'13. Updated Demand'!A:Z,25,FALSE))</f>
        <v>0</v>
      </c>
      <c r="AI1951" s="16">
        <f>IF(ISERROR(VLOOKUP($A1951,'13. Updated Demand'!A:Z,26,FALSE)),0,VLOOKUP($A1951,'13. Updated Demand'!A:Z,26,FALSE))</f>
        <v>0</v>
      </c>
      <c r="AJ1951" s="16">
        <f t="shared" si="373"/>
        <v>6.6666666666666697E-3</v>
      </c>
      <c r="AK1951" s="19">
        <v>0</v>
      </c>
      <c r="AL1951" s="16">
        <f t="shared" si="371"/>
        <v>0</v>
      </c>
      <c r="AM1951" s="26">
        <v>9.5238095238095281E-4</v>
      </c>
      <c r="AN1951" s="19">
        <v>7</v>
      </c>
      <c r="AO1951" s="19" t="s">
        <v>1758</v>
      </c>
      <c r="AP1951" s="19">
        <v>0</v>
      </c>
      <c r="AQ1951" s="19" t="s">
        <v>307</v>
      </c>
      <c r="AR1951" s="9" t="s">
        <v>319</v>
      </c>
      <c r="AS1951" s="12">
        <v>0</v>
      </c>
      <c r="AT1951" s="19">
        <v>38.968299999999999</v>
      </c>
      <c r="AU1951" s="19">
        <v>-123.0996</v>
      </c>
      <c r="AV1951" s="19" t="s">
        <v>2316</v>
      </c>
    </row>
    <row r="1952" spans="1:48" x14ac:dyDescent="0.25">
      <c r="A1952" s="18" t="s">
        <v>2375</v>
      </c>
      <c r="B1952" s="10">
        <v>10000000</v>
      </c>
      <c r="C1952" s="9">
        <v>15</v>
      </c>
      <c r="D1952" s="8" t="str">
        <f t="shared" si="362"/>
        <v>N</v>
      </c>
      <c r="E1952" s="8" t="str">
        <f t="shared" si="363"/>
        <v>N</v>
      </c>
      <c r="F1952" s="8" t="str">
        <f t="shared" si="364"/>
        <v>N</v>
      </c>
      <c r="G1952" s="8" t="str">
        <f t="shared" si="365"/>
        <v>N</v>
      </c>
      <c r="H1952" s="8" t="str">
        <f t="shared" si="366"/>
        <v>Lower</v>
      </c>
      <c r="I1952" s="8" t="str">
        <f t="shared" si="367"/>
        <v>Outside</v>
      </c>
      <c r="J1952" s="8" t="str">
        <f t="shared" si="368"/>
        <v>Outside</v>
      </c>
      <c r="K1952" s="8" t="str">
        <f t="shared" si="369"/>
        <v>Riparian</v>
      </c>
      <c r="L1952" s="8">
        <f t="shared" si="370"/>
        <v>1000</v>
      </c>
      <c r="M1952" s="8" t="str">
        <f t="shared" si="372"/>
        <v>-</v>
      </c>
      <c r="N1952" s="10" t="s">
        <v>242</v>
      </c>
      <c r="O1952" s="10" t="s">
        <v>242</v>
      </c>
      <c r="P1952" s="10" t="s">
        <v>242</v>
      </c>
      <c r="Q1952" s="10" t="s">
        <v>242</v>
      </c>
      <c r="R1952" s="10" t="s">
        <v>242</v>
      </c>
      <c r="S1952" s="10" t="s">
        <v>241</v>
      </c>
      <c r="T1952" s="10" t="s">
        <v>242</v>
      </c>
      <c r="U1952" s="10" t="s">
        <v>242</v>
      </c>
      <c r="V1952" s="10" t="s">
        <v>242</v>
      </c>
      <c r="W1952" s="10" t="s">
        <v>242</v>
      </c>
      <c r="X1952" s="15">
        <f>IF(ISERROR(VLOOKUP($A1952,'13. Updated Demand'!A:Z,15,FALSE)),0,VLOOKUP($A1952,'13. Updated Demand'!A:Z,15,FALSE))</f>
        <v>0</v>
      </c>
      <c r="Y1952" s="16">
        <f>IF(ISERROR(VLOOKUP($A1952,'13. Updated Demand'!A:Z,16,FALSE)),0,VLOOKUP($A1952,'13. Updated Demand'!A:Z,16,FALSE))</f>
        <v>0</v>
      </c>
      <c r="Z1952" s="16">
        <f>IF(ISERROR(VLOOKUP($A1952,'13. Updated Demand'!A:Z,17,FALSE)),0,VLOOKUP($A1952,'13. Updated Demand'!A:Z,17,FALSE))</f>
        <v>0.105339</v>
      </c>
      <c r="AA1952" s="16">
        <f>IF(ISERROR(VLOOKUP($A1952,'13. Updated Demand'!A:Z,18,FALSE)),0,VLOOKUP($A1952,'13. Updated Demand'!A:Z,18,FALSE))</f>
        <v>0.26359900000000003</v>
      </c>
      <c r="AB1952" s="16">
        <f>IF(ISERROR(VLOOKUP($A1952,'13. Updated Demand'!A:Z,19,FALSE)),0,VLOOKUP($A1952,'13. Updated Demand'!A:Z,19,FALSE))</f>
        <v>0.25536500000000001</v>
      </c>
      <c r="AC1952" s="16">
        <f>IF(ISERROR(VLOOKUP($A1952,'13. Updated Demand'!A:Z,20,FALSE)),0,VLOOKUP($A1952,'13. Updated Demand'!A:Z,20,FALSE))</f>
        <v>0.418991</v>
      </c>
      <c r="AD1952" s="16">
        <f>IF(ISERROR(VLOOKUP($A1952,'13. Updated Demand'!A:Z,21,FALSE)),0,VLOOKUP($A1952,'13. Updated Demand'!A:Z,21,FALSE))</f>
        <v>0.36751466700000002</v>
      </c>
      <c r="AE1952" s="16">
        <f>IF(ISERROR(VLOOKUP($A1952,'13. Updated Demand'!A:Z,22,FALSE)),0,VLOOKUP($A1952,'13. Updated Demand'!A:Z,22,FALSE))</f>
        <v>0.557152333</v>
      </c>
      <c r="AF1952" s="16">
        <f>IF(ISERROR(VLOOKUP($A1952,'13. Updated Demand'!A:Z,23,FALSE)),0,VLOOKUP($A1952,'13. Updated Demand'!A:Z,23,FALSE))</f>
        <v>0.72868366699999998</v>
      </c>
      <c r="AG1952" s="16">
        <f>IF(ISERROR(VLOOKUP($A1952,'13. Updated Demand'!A:Z,24,FALSE)),0,VLOOKUP($A1952,'13. Updated Demand'!A:Z,24,FALSE))</f>
        <v>8.0814667000000007E-2</v>
      </c>
      <c r="AH1952" s="16">
        <f>IF(ISERROR(VLOOKUP($A1952,'13. Updated Demand'!A:Z,25,FALSE)),0,VLOOKUP($A1952,'13. Updated Demand'!A:Z,25,FALSE))</f>
        <v>3.2274333000000002E-2</v>
      </c>
      <c r="AI1952" s="16">
        <f>IF(ISERROR(VLOOKUP($A1952,'13. Updated Demand'!A:Z,26,FALSE)),0,VLOOKUP($A1952,'13. Updated Demand'!A:Z,26,FALSE))</f>
        <v>0</v>
      </c>
      <c r="AJ1952" s="16">
        <f t="shared" si="373"/>
        <v>2.8097336669999997</v>
      </c>
      <c r="AK1952" s="19">
        <v>2.3277066669999997</v>
      </c>
      <c r="AL1952" s="16">
        <f t="shared" si="371"/>
        <v>7.7207378637327122E-3</v>
      </c>
      <c r="AM1952" s="26">
        <v>7.7574093511871885E-3</v>
      </c>
      <c r="AN1952" s="19">
        <v>362.2</v>
      </c>
      <c r="AO1952" s="19" t="s">
        <v>1758</v>
      </c>
      <c r="AP1952" s="19">
        <v>0</v>
      </c>
      <c r="AQ1952" s="19" t="s">
        <v>307</v>
      </c>
      <c r="AR1952" s="9" t="s">
        <v>489</v>
      </c>
      <c r="AS1952" s="12">
        <v>0</v>
      </c>
      <c r="AT1952" s="19">
        <v>38.668199999999999</v>
      </c>
      <c r="AU1952" s="19">
        <v>-122.9387</v>
      </c>
      <c r="AV1952" s="19" t="s">
        <v>2376</v>
      </c>
    </row>
    <row r="1953" spans="1:48" x14ac:dyDescent="0.25">
      <c r="A1953" s="18" t="s">
        <v>2377</v>
      </c>
      <c r="B1953" s="10">
        <v>10000000</v>
      </c>
      <c r="C1953" s="9">
        <v>6</v>
      </c>
      <c r="D1953" s="8" t="str">
        <f t="shared" si="362"/>
        <v>Y</v>
      </c>
      <c r="E1953" s="8" t="str">
        <f t="shared" si="363"/>
        <v>N</v>
      </c>
      <c r="F1953" s="8" t="str">
        <f t="shared" si="364"/>
        <v>Y</v>
      </c>
      <c r="G1953" s="8" t="str">
        <f t="shared" si="365"/>
        <v>Y</v>
      </c>
      <c r="H1953" s="8" t="str">
        <f t="shared" si="366"/>
        <v>Upper</v>
      </c>
      <c r="I1953" s="8" t="str">
        <f t="shared" si="367"/>
        <v>West Fork and Below Lake</v>
      </c>
      <c r="J1953" s="8" t="str">
        <f t="shared" si="368"/>
        <v>Mendocino (d/s of lake)</v>
      </c>
      <c r="K1953" s="8" t="str">
        <f t="shared" si="369"/>
        <v>Riparian</v>
      </c>
      <c r="L1953" s="8">
        <f t="shared" si="370"/>
        <v>1000</v>
      </c>
      <c r="M1953" s="8" t="str">
        <f t="shared" si="372"/>
        <v>-</v>
      </c>
      <c r="N1953" s="10" t="s">
        <v>241</v>
      </c>
      <c r="O1953" s="10" t="s">
        <v>241</v>
      </c>
      <c r="P1953" s="10" t="s">
        <v>242</v>
      </c>
      <c r="Q1953" s="10" t="s">
        <v>242</v>
      </c>
      <c r="R1953" s="10" t="s">
        <v>242</v>
      </c>
      <c r="S1953" s="10" t="s">
        <v>241</v>
      </c>
      <c r="T1953" s="10" t="s">
        <v>242</v>
      </c>
      <c r="U1953" s="10" t="s">
        <v>241</v>
      </c>
      <c r="V1953" s="10" t="s">
        <v>241</v>
      </c>
      <c r="W1953" s="10" t="s">
        <v>242</v>
      </c>
      <c r="X1953" s="15">
        <f>IF(ISERROR(VLOOKUP($A1953,'13. Updated Demand'!A:Z,15,FALSE)),0,VLOOKUP($A1953,'13. Updated Demand'!A:Z,15,FALSE))</f>
        <v>0</v>
      </c>
      <c r="Y1953" s="16">
        <f>IF(ISERROR(VLOOKUP($A1953,'13. Updated Demand'!A:Z,16,FALSE)),0,VLOOKUP($A1953,'13. Updated Demand'!A:Z,16,FALSE))</f>
        <v>0</v>
      </c>
      <c r="Z1953" s="16">
        <f>IF(ISERROR(VLOOKUP($A1953,'13. Updated Demand'!A:Z,17,FALSE)),0,VLOOKUP($A1953,'13. Updated Demand'!A:Z,17,FALSE))</f>
        <v>0</v>
      </c>
      <c r="AA1953" s="16">
        <f>IF(ISERROR(VLOOKUP($A1953,'13. Updated Demand'!A:Z,18,FALSE)),0,VLOOKUP($A1953,'13. Updated Demand'!A:Z,18,FALSE))</f>
        <v>0</v>
      </c>
      <c r="AB1953" s="16">
        <f>IF(ISERROR(VLOOKUP($A1953,'13. Updated Demand'!A:Z,19,FALSE)),0,VLOOKUP($A1953,'13. Updated Demand'!A:Z,19,FALSE))</f>
        <v>0</v>
      </c>
      <c r="AC1953" s="16">
        <f>IF(ISERROR(VLOOKUP($A1953,'13. Updated Demand'!A:Z,20,FALSE)),0,VLOOKUP($A1953,'13. Updated Demand'!A:Z,20,FALSE))</f>
        <v>0</v>
      </c>
      <c r="AD1953" s="16">
        <f>IF(ISERROR(VLOOKUP($A1953,'13. Updated Demand'!A:Z,21,FALSE)),0,VLOOKUP($A1953,'13. Updated Demand'!A:Z,21,FALSE))</f>
        <v>0</v>
      </c>
      <c r="AE1953" s="16">
        <f>IF(ISERROR(VLOOKUP($A1953,'13. Updated Demand'!A:Z,22,FALSE)),0,VLOOKUP($A1953,'13. Updated Demand'!A:Z,22,FALSE))</f>
        <v>0</v>
      </c>
      <c r="AF1953" s="16">
        <f>IF(ISERROR(VLOOKUP($A1953,'13. Updated Demand'!A:Z,23,FALSE)),0,VLOOKUP($A1953,'13. Updated Demand'!A:Z,23,FALSE))</f>
        <v>0</v>
      </c>
      <c r="AG1953" s="16">
        <f>IF(ISERROR(VLOOKUP($A1953,'13. Updated Demand'!A:Z,24,FALSE)),0,VLOOKUP($A1953,'13. Updated Demand'!A:Z,24,FALSE))</f>
        <v>0</v>
      </c>
      <c r="AH1953" s="16">
        <f>IF(ISERROR(VLOOKUP($A1953,'13. Updated Demand'!A:Z,25,FALSE)),0,VLOOKUP($A1953,'13. Updated Demand'!A:Z,25,FALSE))</f>
        <v>0</v>
      </c>
      <c r="AI1953" s="16">
        <f>IF(ISERROR(VLOOKUP($A1953,'13. Updated Demand'!A:Z,26,FALSE)),0,VLOOKUP($A1953,'13. Updated Demand'!A:Z,26,FALSE))</f>
        <v>0</v>
      </c>
      <c r="AJ1953" s="16">
        <f t="shared" si="373"/>
        <v>0</v>
      </c>
      <c r="AK1953" s="19">
        <v>0</v>
      </c>
      <c r="AL1953" s="16">
        <f t="shared" si="371"/>
        <v>0</v>
      </c>
      <c r="AM1953" s="26">
        <v>0</v>
      </c>
      <c r="AN1953" s="19">
        <v>0</v>
      </c>
      <c r="AO1953" s="19" t="s">
        <v>1758</v>
      </c>
      <c r="AP1953" s="19">
        <v>0</v>
      </c>
      <c r="AQ1953" s="19" t="s">
        <v>307</v>
      </c>
      <c r="AR1953" s="9" t="s">
        <v>319</v>
      </c>
      <c r="AS1953" s="12">
        <v>0</v>
      </c>
      <c r="AT1953" s="19">
        <v>39.002099999999999</v>
      </c>
      <c r="AU1953" s="19">
        <v>-123.1084</v>
      </c>
      <c r="AV1953" s="19" t="s">
        <v>387</v>
      </c>
    </row>
    <row r="1954" spans="1:48" x14ac:dyDescent="0.25">
      <c r="A1954" s="18" t="s">
        <v>2378</v>
      </c>
      <c r="B1954" s="10">
        <v>10000000</v>
      </c>
      <c r="C1954" s="9">
        <v>15</v>
      </c>
      <c r="D1954" s="8" t="str">
        <f t="shared" si="362"/>
        <v>N</v>
      </c>
      <c r="E1954" s="8" t="str">
        <f t="shared" si="363"/>
        <v>N</v>
      </c>
      <c r="F1954" s="8" t="str">
        <f t="shared" si="364"/>
        <v>N</v>
      </c>
      <c r="G1954" s="8" t="str">
        <f t="shared" si="365"/>
        <v>N</v>
      </c>
      <c r="H1954" s="8" t="str">
        <f t="shared" si="366"/>
        <v>Lower</v>
      </c>
      <c r="I1954" s="8" t="str">
        <f t="shared" si="367"/>
        <v>Outside</v>
      </c>
      <c r="J1954" s="8" t="str">
        <f t="shared" si="368"/>
        <v>Outside</v>
      </c>
      <c r="K1954" s="8" t="str">
        <f t="shared" si="369"/>
        <v>Riparian</v>
      </c>
      <c r="L1954" s="8">
        <f t="shared" si="370"/>
        <v>1000</v>
      </c>
      <c r="M1954" s="8" t="str">
        <f t="shared" si="372"/>
        <v>-</v>
      </c>
      <c r="N1954" s="10" t="s">
        <v>242</v>
      </c>
      <c r="O1954" s="10" t="s">
        <v>242</v>
      </c>
      <c r="P1954" s="10" t="s">
        <v>242</v>
      </c>
      <c r="Q1954" s="10" t="s">
        <v>242</v>
      </c>
      <c r="R1954" s="10" t="s">
        <v>242</v>
      </c>
      <c r="S1954" s="10" t="s">
        <v>241</v>
      </c>
      <c r="T1954" s="10" t="s">
        <v>242</v>
      </c>
      <c r="U1954" s="10" t="s">
        <v>242</v>
      </c>
      <c r="V1954" s="10" t="s">
        <v>242</v>
      </c>
      <c r="W1954" s="10" t="s">
        <v>242</v>
      </c>
      <c r="X1954" s="15">
        <f>IF(ISERROR(VLOOKUP($A1954,'13. Updated Demand'!A:Z,15,FALSE)),0,VLOOKUP($A1954,'13. Updated Demand'!A:Z,15,FALSE))</f>
        <v>0</v>
      </c>
      <c r="Y1954" s="16">
        <f>IF(ISERROR(VLOOKUP($A1954,'13. Updated Demand'!A:Z,16,FALSE)),0,VLOOKUP($A1954,'13. Updated Demand'!A:Z,16,FALSE))</f>
        <v>0</v>
      </c>
      <c r="Z1954" s="16">
        <f>IF(ISERROR(VLOOKUP($A1954,'13. Updated Demand'!A:Z,17,FALSE)),0,VLOOKUP($A1954,'13. Updated Demand'!A:Z,17,FALSE))</f>
        <v>5.0000000000000001E-3</v>
      </c>
      <c r="AA1954" s="16">
        <f>IF(ISERROR(VLOOKUP($A1954,'13. Updated Demand'!A:Z,18,FALSE)),0,VLOOKUP($A1954,'13. Updated Demand'!A:Z,18,FALSE))</f>
        <v>0</v>
      </c>
      <c r="AB1954" s="16">
        <f>IF(ISERROR(VLOOKUP($A1954,'13. Updated Demand'!A:Z,19,FALSE)),0,VLOOKUP($A1954,'13. Updated Demand'!A:Z,19,FALSE))</f>
        <v>0.14481333299999999</v>
      </c>
      <c r="AC1954" s="16">
        <f>IF(ISERROR(VLOOKUP($A1954,'13. Updated Demand'!A:Z,20,FALSE)),0,VLOOKUP($A1954,'13. Updated Demand'!A:Z,20,FALSE))</f>
        <v>0.114188333</v>
      </c>
      <c r="AD1954" s="16">
        <f>IF(ISERROR(VLOOKUP($A1954,'13. Updated Demand'!A:Z,21,FALSE)),0,VLOOKUP($A1954,'13. Updated Demand'!A:Z,21,FALSE))</f>
        <v>0.35318033300000001</v>
      </c>
      <c r="AE1954" s="16">
        <f>IF(ISERROR(VLOOKUP($A1954,'13. Updated Demand'!A:Z,22,FALSE)),0,VLOOKUP($A1954,'13. Updated Demand'!A:Z,22,FALSE))</f>
        <v>0.368979</v>
      </c>
      <c r="AF1954" s="16">
        <f>IF(ISERROR(VLOOKUP($A1954,'13. Updated Demand'!A:Z,23,FALSE)),0,VLOOKUP($A1954,'13. Updated Demand'!A:Z,23,FALSE))</f>
        <v>0.70104833300000002</v>
      </c>
      <c r="AG1954" s="16">
        <f>IF(ISERROR(VLOOKUP($A1954,'13. Updated Demand'!A:Z,24,FALSE)),0,VLOOKUP($A1954,'13. Updated Demand'!A:Z,24,FALSE))</f>
        <v>0.15568599999999999</v>
      </c>
      <c r="AH1954" s="16">
        <f>IF(ISERROR(VLOOKUP($A1954,'13. Updated Demand'!A:Z,25,FALSE)),0,VLOOKUP($A1954,'13. Updated Demand'!A:Z,25,FALSE))</f>
        <v>1.01333E-4</v>
      </c>
      <c r="AI1954" s="16">
        <f>IF(ISERROR(VLOOKUP($A1954,'13. Updated Demand'!A:Z,26,FALSE)),0,VLOOKUP($A1954,'13. Updated Demand'!A:Z,26,FALSE))</f>
        <v>0</v>
      </c>
      <c r="AJ1954" s="16">
        <f t="shared" si="373"/>
        <v>1.842996665</v>
      </c>
      <c r="AK1954" s="19">
        <v>1.6822093319999998</v>
      </c>
      <c r="AL1954" s="16">
        <f t="shared" si="371"/>
        <v>5.5796967325938895E-3</v>
      </c>
      <c r="AM1954" s="26">
        <v>4.6257634280407613E-2</v>
      </c>
      <c r="AN1954" s="19">
        <v>39.841999999999999</v>
      </c>
      <c r="AO1954" s="19" t="s">
        <v>1758</v>
      </c>
      <c r="AP1954" s="19">
        <v>0</v>
      </c>
      <c r="AQ1954" s="19" t="s">
        <v>307</v>
      </c>
      <c r="AR1954" s="9" t="s">
        <v>489</v>
      </c>
      <c r="AS1954" s="12">
        <v>3.4039024194010059E-4</v>
      </c>
      <c r="AT1954" s="19">
        <v>38.654699999999998</v>
      </c>
      <c r="AU1954" s="19">
        <v>-122.9251</v>
      </c>
      <c r="AV1954" s="19" t="s">
        <v>701</v>
      </c>
    </row>
    <row r="1955" spans="1:48" x14ac:dyDescent="0.25">
      <c r="A1955" s="18" t="s">
        <v>2379</v>
      </c>
      <c r="B1955" s="10">
        <v>10000000</v>
      </c>
      <c r="C1955" s="9">
        <v>22</v>
      </c>
      <c r="D1955" s="8" t="str">
        <f t="shared" si="362"/>
        <v>N</v>
      </c>
      <c r="E1955" s="8" t="str">
        <f t="shared" si="363"/>
        <v>N</v>
      </c>
      <c r="F1955" s="8" t="str">
        <f t="shared" si="364"/>
        <v>N</v>
      </c>
      <c r="G1955" s="8" t="str">
        <f t="shared" si="365"/>
        <v>N</v>
      </c>
      <c r="H1955" s="8" t="str">
        <f t="shared" si="366"/>
        <v>Lower</v>
      </c>
      <c r="I1955" s="8" t="str">
        <f t="shared" si="367"/>
        <v>Outside</v>
      </c>
      <c r="J1955" s="8" t="str">
        <f t="shared" si="368"/>
        <v>Outside</v>
      </c>
      <c r="K1955" s="8" t="str">
        <f t="shared" si="369"/>
        <v>Riparian</v>
      </c>
      <c r="L1955" s="8">
        <f t="shared" si="370"/>
        <v>1000</v>
      </c>
      <c r="M1955" s="8" t="str">
        <f t="shared" si="372"/>
        <v>-</v>
      </c>
      <c r="N1955" s="10" t="s">
        <v>242</v>
      </c>
      <c r="O1955" s="10" t="s">
        <v>242</v>
      </c>
      <c r="P1955" s="10" t="s">
        <v>242</v>
      </c>
      <c r="Q1955" s="10" t="s">
        <v>242</v>
      </c>
      <c r="R1955" s="10" t="s">
        <v>242</v>
      </c>
      <c r="S1955" s="10" t="s">
        <v>241</v>
      </c>
      <c r="T1955" s="10" t="s">
        <v>242</v>
      </c>
      <c r="U1955" s="10" t="s">
        <v>242</v>
      </c>
      <c r="V1955" s="10" t="s">
        <v>241</v>
      </c>
      <c r="W1955" s="10" t="s">
        <v>242</v>
      </c>
      <c r="X1955" s="15">
        <f>IF(ISERROR(VLOOKUP($A1955,'13. Updated Demand'!A:Z,15,FALSE)),0,VLOOKUP($A1955,'13. Updated Demand'!A:Z,15,FALSE))</f>
        <v>1.266666667</v>
      </c>
      <c r="Y1955" s="16">
        <f>IF(ISERROR(VLOOKUP($A1955,'13. Updated Demand'!A:Z,16,FALSE)),0,VLOOKUP($A1955,'13. Updated Demand'!A:Z,16,FALSE))</f>
        <v>0</v>
      </c>
      <c r="Z1955" s="16">
        <f>IF(ISERROR(VLOOKUP($A1955,'13. Updated Demand'!A:Z,17,FALSE)),0,VLOOKUP($A1955,'13. Updated Demand'!A:Z,17,FALSE))</f>
        <v>1.8533333329999999</v>
      </c>
      <c r="AA1955" s="16">
        <f>IF(ISERROR(VLOOKUP($A1955,'13. Updated Demand'!A:Z,18,FALSE)),0,VLOOKUP($A1955,'13. Updated Demand'!A:Z,18,FALSE))</f>
        <v>0</v>
      </c>
      <c r="AB1955" s="16">
        <f>IF(ISERROR(VLOOKUP($A1955,'13. Updated Demand'!A:Z,19,FALSE)),0,VLOOKUP($A1955,'13. Updated Demand'!A:Z,19,FALSE))</f>
        <v>0</v>
      </c>
      <c r="AC1955" s="16">
        <f>IF(ISERROR(VLOOKUP($A1955,'13. Updated Demand'!A:Z,20,FALSE)),0,VLOOKUP($A1955,'13. Updated Demand'!A:Z,20,FALSE))</f>
        <v>0</v>
      </c>
      <c r="AD1955" s="16">
        <f>IF(ISERROR(VLOOKUP($A1955,'13. Updated Demand'!A:Z,21,FALSE)),0,VLOOKUP($A1955,'13. Updated Demand'!A:Z,21,FALSE))</f>
        <v>0</v>
      </c>
      <c r="AE1955" s="16">
        <f>IF(ISERROR(VLOOKUP($A1955,'13. Updated Demand'!A:Z,22,FALSE)),0,VLOOKUP($A1955,'13. Updated Demand'!A:Z,22,FALSE))</f>
        <v>0</v>
      </c>
      <c r="AF1955" s="16">
        <f>IF(ISERROR(VLOOKUP($A1955,'13. Updated Demand'!A:Z,23,FALSE)),0,VLOOKUP($A1955,'13. Updated Demand'!A:Z,23,FALSE))</f>
        <v>0</v>
      </c>
      <c r="AG1955" s="16">
        <f>IF(ISERROR(VLOOKUP($A1955,'13. Updated Demand'!A:Z,24,FALSE)),0,VLOOKUP($A1955,'13. Updated Demand'!A:Z,24,FALSE))</f>
        <v>0</v>
      </c>
      <c r="AH1955" s="16">
        <f>IF(ISERROR(VLOOKUP($A1955,'13. Updated Demand'!A:Z,25,FALSE)),0,VLOOKUP($A1955,'13. Updated Demand'!A:Z,25,FALSE))</f>
        <v>3.7433333329999998</v>
      </c>
      <c r="AI1955" s="16">
        <f>IF(ISERROR(VLOOKUP($A1955,'13. Updated Demand'!A:Z,26,FALSE)),0,VLOOKUP($A1955,'13. Updated Demand'!A:Z,26,FALSE))</f>
        <v>2.0533333329999999</v>
      </c>
      <c r="AJ1955" s="16">
        <f t="shared" si="373"/>
        <v>8.9166666659999994</v>
      </c>
      <c r="AK1955" s="19">
        <v>0</v>
      </c>
      <c r="AL1955" s="16">
        <f t="shared" si="371"/>
        <v>0</v>
      </c>
      <c r="AM1955" s="26">
        <v>0.85326953741626799</v>
      </c>
      <c r="AN1955" s="19">
        <v>10.45</v>
      </c>
      <c r="AO1955" s="19" t="s">
        <v>1758</v>
      </c>
      <c r="AP1955" s="19">
        <v>0</v>
      </c>
      <c r="AQ1955" s="19" t="s">
        <v>307</v>
      </c>
      <c r="AR1955" s="9" t="s">
        <v>314</v>
      </c>
      <c r="AS1955" s="12">
        <v>0</v>
      </c>
      <c r="AT1955" s="19">
        <v>38.824100000000001</v>
      </c>
      <c r="AU1955" s="19">
        <v>-123.1383</v>
      </c>
      <c r="AV1955" s="19" t="s">
        <v>2380</v>
      </c>
    </row>
    <row r="1956" spans="1:48" x14ac:dyDescent="0.25">
      <c r="A1956" s="18" t="s">
        <v>2381</v>
      </c>
      <c r="B1956" s="10">
        <v>10000000</v>
      </c>
      <c r="C1956" s="9">
        <v>6</v>
      </c>
      <c r="D1956" s="8" t="str">
        <f t="shared" si="362"/>
        <v>Y</v>
      </c>
      <c r="E1956" s="8" t="str">
        <f t="shared" si="363"/>
        <v>N</v>
      </c>
      <c r="F1956" s="8" t="str">
        <f t="shared" si="364"/>
        <v>Y</v>
      </c>
      <c r="G1956" s="8" t="str">
        <f t="shared" si="365"/>
        <v>Y</v>
      </c>
      <c r="H1956" s="8" t="str">
        <f t="shared" si="366"/>
        <v>Upper</v>
      </c>
      <c r="I1956" s="8" t="str">
        <f t="shared" si="367"/>
        <v>West Fork and Below Lake</v>
      </c>
      <c r="J1956" s="8" t="str">
        <f t="shared" si="368"/>
        <v>Mendocino (d/s of lake)</v>
      </c>
      <c r="K1956" s="8" t="str">
        <f t="shared" si="369"/>
        <v>Riparian</v>
      </c>
      <c r="L1956" s="8">
        <f t="shared" si="370"/>
        <v>1000</v>
      </c>
      <c r="M1956" s="8" t="str">
        <f t="shared" si="372"/>
        <v>-</v>
      </c>
      <c r="N1956" s="10" t="s">
        <v>242</v>
      </c>
      <c r="O1956" s="10" t="s">
        <v>241</v>
      </c>
      <c r="P1956" s="10" t="s">
        <v>242</v>
      </c>
      <c r="Q1956" s="10" t="s">
        <v>242</v>
      </c>
      <c r="R1956" s="10" t="s">
        <v>242</v>
      </c>
      <c r="S1956" s="10" t="s">
        <v>241</v>
      </c>
      <c r="T1956" s="10" t="s">
        <v>242</v>
      </c>
      <c r="U1956" s="10" t="s">
        <v>241</v>
      </c>
      <c r="V1956" s="10" t="s">
        <v>241</v>
      </c>
      <c r="W1956" s="10" t="s">
        <v>242</v>
      </c>
      <c r="X1956" s="15">
        <f>IF(ISERROR(VLOOKUP($A1956,'13. Updated Demand'!A:Z,15,FALSE)),0,VLOOKUP($A1956,'13. Updated Demand'!A:Z,15,FALSE))</f>
        <v>0</v>
      </c>
      <c r="Y1956" s="16">
        <f>IF(ISERROR(VLOOKUP($A1956,'13. Updated Demand'!A:Z,16,FALSE)),0,VLOOKUP($A1956,'13. Updated Demand'!A:Z,16,FALSE))</f>
        <v>0</v>
      </c>
      <c r="Z1956" s="16">
        <f>IF(ISERROR(VLOOKUP($A1956,'13. Updated Demand'!A:Z,17,FALSE)),0,VLOOKUP($A1956,'13. Updated Demand'!A:Z,17,FALSE))</f>
        <v>0</v>
      </c>
      <c r="AA1956" s="16">
        <f>IF(ISERROR(VLOOKUP($A1956,'13. Updated Demand'!A:Z,18,FALSE)),0,VLOOKUP($A1956,'13. Updated Demand'!A:Z,18,FALSE))</f>
        <v>0</v>
      </c>
      <c r="AB1956" s="16">
        <f>IF(ISERROR(VLOOKUP($A1956,'13. Updated Demand'!A:Z,19,FALSE)),0,VLOOKUP($A1956,'13. Updated Demand'!A:Z,19,FALSE))</f>
        <v>0</v>
      </c>
      <c r="AC1956" s="16">
        <f>IF(ISERROR(VLOOKUP($A1956,'13. Updated Demand'!A:Z,20,FALSE)),0,VLOOKUP($A1956,'13. Updated Demand'!A:Z,20,FALSE))</f>
        <v>0</v>
      </c>
      <c r="AD1956" s="16">
        <f>IF(ISERROR(VLOOKUP($A1956,'13. Updated Demand'!A:Z,21,FALSE)),0,VLOOKUP($A1956,'13. Updated Demand'!A:Z,21,FALSE))</f>
        <v>0</v>
      </c>
      <c r="AE1956" s="16">
        <f>IF(ISERROR(VLOOKUP($A1956,'13. Updated Demand'!A:Z,22,FALSE)),0,VLOOKUP($A1956,'13. Updated Demand'!A:Z,22,FALSE))</f>
        <v>0</v>
      </c>
      <c r="AF1956" s="16">
        <f>IF(ISERROR(VLOOKUP($A1956,'13. Updated Demand'!A:Z,23,FALSE)),0,VLOOKUP($A1956,'13. Updated Demand'!A:Z,23,FALSE))</f>
        <v>0</v>
      </c>
      <c r="AG1956" s="16">
        <f>IF(ISERROR(VLOOKUP($A1956,'13. Updated Demand'!A:Z,24,FALSE)),0,VLOOKUP($A1956,'13. Updated Demand'!A:Z,24,FALSE))</f>
        <v>0</v>
      </c>
      <c r="AH1956" s="16">
        <f>IF(ISERROR(VLOOKUP($A1956,'13. Updated Demand'!A:Z,25,FALSE)),0,VLOOKUP($A1956,'13. Updated Demand'!A:Z,25,FALSE))</f>
        <v>0</v>
      </c>
      <c r="AI1956" s="16">
        <f>IF(ISERROR(VLOOKUP($A1956,'13. Updated Demand'!A:Z,26,FALSE)),0,VLOOKUP($A1956,'13. Updated Demand'!A:Z,26,FALSE))</f>
        <v>0</v>
      </c>
      <c r="AJ1956" s="16">
        <f t="shared" si="373"/>
        <v>0</v>
      </c>
      <c r="AK1956" s="19">
        <v>0</v>
      </c>
      <c r="AL1956" s="16">
        <f t="shared" si="371"/>
        <v>0</v>
      </c>
      <c r="AM1956" s="26">
        <v>0</v>
      </c>
      <c r="AN1956" s="19">
        <v>0</v>
      </c>
      <c r="AO1956" s="19" t="s">
        <v>1758</v>
      </c>
      <c r="AP1956" s="19">
        <v>0</v>
      </c>
      <c r="AQ1956" s="19" t="s">
        <v>307</v>
      </c>
      <c r="AR1956" s="9" t="s">
        <v>319</v>
      </c>
      <c r="AS1956" s="12">
        <v>0</v>
      </c>
      <c r="AT1956" s="19">
        <v>38.998699999999999</v>
      </c>
      <c r="AU1956" s="19">
        <v>-123.1022</v>
      </c>
      <c r="AV1956" s="19" t="s">
        <v>2382</v>
      </c>
    </row>
    <row r="1957" spans="1:48" x14ac:dyDescent="0.25">
      <c r="A1957" s="18" t="s">
        <v>2383</v>
      </c>
      <c r="B1957" s="10">
        <v>10000000</v>
      </c>
      <c r="C1957" s="9">
        <v>16</v>
      </c>
      <c r="D1957" s="8" t="str">
        <f t="shared" si="362"/>
        <v>N</v>
      </c>
      <c r="E1957" s="8" t="str">
        <f t="shared" si="363"/>
        <v>N</v>
      </c>
      <c r="F1957" s="8" t="str">
        <f t="shared" si="364"/>
        <v>N</v>
      </c>
      <c r="G1957" s="8" t="str">
        <f t="shared" si="365"/>
        <v>N</v>
      </c>
      <c r="H1957" s="8" t="str">
        <f t="shared" si="366"/>
        <v>Lower</v>
      </c>
      <c r="I1957" s="8" t="str">
        <f t="shared" si="367"/>
        <v>Outside</v>
      </c>
      <c r="J1957" s="8" t="str">
        <f t="shared" si="368"/>
        <v>Outside</v>
      </c>
      <c r="K1957" s="8" t="str">
        <f t="shared" si="369"/>
        <v>Riparian</v>
      </c>
      <c r="L1957" s="8">
        <f t="shared" si="370"/>
        <v>1000</v>
      </c>
      <c r="M1957" s="8" t="str">
        <f t="shared" si="372"/>
        <v>-</v>
      </c>
      <c r="N1957" s="10" t="s">
        <v>242</v>
      </c>
      <c r="O1957" s="10" t="s">
        <v>242</v>
      </c>
      <c r="P1957" s="10" t="s">
        <v>242</v>
      </c>
      <c r="Q1957" s="10" t="s">
        <v>242</v>
      </c>
      <c r="R1957" s="10" t="s">
        <v>242</v>
      </c>
      <c r="S1957" s="10" t="s">
        <v>241</v>
      </c>
      <c r="T1957" s="10" t="s">
        <v>242</v>
      </c>
      <c r="U1957" s="10" t="s">
        <v>242</v>
      </c>
      <c r="V1957" s="10" t="s">
        <v>242</v>
      </c>
      <c r="W1957" s="10" t="s">
        <v>242</v>
      </c>
      <c r="X1957" s="15">
        <f>IF(ISERROR(VLOOKUP($A1957,'13. Updated Demand'!A:Z,15,FALSE)),0,VLOOKUP($A1957,'13. Updated Demand'!A:Z,15,FALSE))</f>
        <v>0.33</v>
      </c>
      <c r="Y1957" s="16">
        <f>IF(ISERROR(VLOOKUP($A1957,'13. Updated Demand'!A:Z,16,FALSE)),0,VLOOKUP($A1957,'13. Updated Demand'!A:Z,16,FALSE))</f>
        <v>0.33</v>
      </c>
      <c r="Z1957" s="16">
        <f>IF(ISERROR(VLOOKUP($A1957,'13. Updated Demand'!A:Z,17,FALSE)),0,VLOOKUP($A1957,'13. Updated Demand'!A:Z,17,FALSE))</f>
        <v>0.33</v>
      </c>
      <c r="AA1957" s="16">
        <f>IF(ISERROR(VLOOKUP($A1957,'13. Updated Demand'!A:Z,18,FALSE)),0,VLOOKUP($A1957,'13. Updated Demand'!A:Z,18,FALSE))</f>
        <v>0.33</v>
      </c>
      <c r="AB1957" s="16">
        <f>IF(ISERROR(VLOOKUP($A1957,'13. Updated Demand'!A:Z,19,FALSE)),0,VLOOKUP($A1957,'13. Updated Demand'!A:Z,19,FALSE))</f>
        <v>0.33</v>
      </c>
      <c r="AC1957" s="16">
        <f>IF(ISERROR(VLOOKUP($A1957,'13. Updated Demand'!A:Z,20,FALSE)),0,VLOOKUP($A1957,'13. Updated Demand'!A:Z,20,FALSE))</f>
        <v>0.33</v>
      </c>
      <c r="AD1957" s="16">
        <f>IF(ISERROR(VLOOKUP($A1957,'13. Updated Demand'!A:Z,21,FALSE)),0,VLOOKUP($A1957,'13. Updated Demand'!A:Z,21,FALSE))</f>
        <v>0.33</v>
      </c>
      <c r="AE1957" s="16">
        <f>IF(ISERROR(VLOOKUP($A1957,'13. Updated Demand'!A:Z,22,FALSE)),0,VLOOKUP($A1957,'13. Updated Demand'!A:Z,22,FALSE))</f>
        <v>0.33</v>
      </c>
      <c r="AF1957" s="16">
        <f>IF(ISERROR(VLOOKUP($A1957,'13. Updated Demand'!A:Z,23,FALSE)),0,VLOOKUP($A1957,'13. Updated Demand'!A:Z,23,FALSE))</f>
        <v>0.33</v>
      </c>
      <c r="AG1957" s="16">
        <f>IF(ISERROR(VLOOKUP($A1957,'13. Updated Demand'!A:Z,24,FALSE)),0,VLOOKUP($A1957,'13. Updated Demand'!A:Z,24,FALSE))</f>
        <v>0.33</v>
      </c>
      <c r="AH1957" s="16">
        <f>IF(ISERROR(VLOOKUP($A1957,'13. Updated Demand'!A:Z,25,FALSE)),0,VLOOKUP($A1957,'13. Updated Demand'!A:Z,25,FALSE))</f>
        <v>0.33</v>
      </c>
      <c r="AI1957" s="16">
        <f>IF(ISERROR(VLOOKUP($A1957,'13. Updated Demand'!A:Z,26,FALSE)),0,VLOOKUP($A1957,'13. Updated Demand'!A:Z,26,FALSE))</f>
        <v>0.33</v>
      </c>
      <c r="AJ1957" s="16">
        <f t="shared" si="373"/>
        <v>3.9600000000000004</v>
      </c>
      <c r="AK1957" s="19">
        <v>1.6500000000000001</v>
      </c>
      <c r="AL1957" s="16">
        <f t="shared" si="371"/>
        <v>5.4728620473375907E-3</v>
      </c>
      <c r="AM1957" s="26">
        <v>0.982021078735276</v>
      </c>
      <c r="AN1957" s="19">
        <v>4.0324999999999998</v>
      </c>
      <c r="AO1957" s="19" t="s">
        <v>1758</v>
      </c>
      <c r="AP1957" s="19">
        <v>0</v>
      </c>
      <c r="AQ1957" s="19" t="s">
        <v>307</v>
      </c>
      <c r="AR1957" s="9" t="s">
        <v>394</v>
      </c>
      <c r="AS1957" s="12">
        <v>3.4039024194010059E-4</v>
      </c>
      <c r="AT1957" s="19">
        <v>38.575004190000001</v>
      </c>
      <c r="AU1957" s="19">
        <v>-122.89796020999999</v>
      </c>
      <c r="AV1957" s="19" t="s">
        <v>802</v>
      </c>
    </row>
    <row r="1958" spans="1:48" x14ac:dyDescent="0.25">
      <c r="A1958" s="18" t="s">
        <v>2384</v>
      </c>
      <c r="B1958" s="10">
        <v>10000000</v>
      </c>
      <c r="C1958" s="9">
        <v>6</v>
      </c>
      <c r="D1958" s="8" t="str">
        <f t="shared" si="362"/>
        <v>Y</v>
      </c>
      <c r="E1958" s="8" t="str">
        <f t="shared" si="363"/>
        <v>N</v>
      </c>
      <c r="F1958" s="8" t="str">
        <f t="shared" si="364"/>
        <v>Y</v>
      </c>
      <c r="G1958" s="8" t="str">
        <f t="shared" si="365"/>
        <v>Y</v>
      </c>
      <c r="H1958" s="8" t="str">
        <f t="shared" si="366"/>
        <v>Upper</v>
      </c>
      <c r="I1958" s="8" t="str">
        <f t="shared" si="367"/>
        <v>West Fork and Below Lake</v>
      </c>
      <c r="J1958" s="8" t="str">
        <f t="shared" si="368"/>
        <v>Mendocino (d/s of lake)</v>
      </c>
      <c r="K1958" s="8" t="str">
        <f t="shared" si="369"/>
        <v>Riparian</v>
      </c>
      <c r="L1958" s="8">
        <f t="shared" si="370"/>
        <v>1000</v>
      </c>
      <c r="M1958" s="8" t="str">
        <f t="shared" si="372"/>
        <v>-</v>
      </c>
      <c r="N1958" s="10" t="s">
        <v>242</v>
      </c>
      <c r="O1958" s="10" t="s">
        <v>241</v>
      </c>
      <c r="P1958" s="10" t="s">
        <v>242</v>
      </c>
      <c r="Q1958" s="10" t="s">
        <v>242</v>
      </c>
      <c r="R1958" s="10" t="s">
        <v>242</v>
      </c>
      <c r="S1958" s="10" t="s">
        <v>241</v>
      </c>
      <c r="T1958" s="10" t="s">
        <v>242</v>
      </c>
      <c r="U1958" s="10" t="s">
        <v>242</v>
      </c>
      <c r="V1958" s="10" t="s">
        <v>241</v>
      </c>
      <c r="W1958" s="10" t="s">
        <v>242</v>
      </c>
      <c r="X1958" s="15">
        <f>IF(ISERROR(VLOOKUP($A1958,'13. Updated Demand'!A:Z,15,FALSE)),0,VLOOKUP($A1958,'13. Updated Demand'!A:Z,15,FALSE))</f>
        <v>2.8</v>
      </c>
      <c r="Y1958" s="16">
        <f>IF(ISERROR(VLOOKUP($A1958,'13. Updated Demand'!A:Z,16,FALSE)),0,VLOOKUP($A1958,'13. Updated Demand'!A:Z,16,FALSE))</f>
        <v>0</v>
      </c>
      <c r="Z1958" s="16">
        <f>IF(ISERROR(VLOOKUP($A1958,'13. Updated Demand'!A:Z,17,FALSE)),0,VLOOKUP($A1958,'13. Updated Demand'!A:Z,17,FALSE))</f>
        <v>0</v>
      </c>
      <c r="AA1958" s="16">
        <f>IF(ISERROR(VLOOKUP($A1958,'13. Updated Demand'!A:Z,18,FALSE)),0,VLOOKUP($A1958,'13. Updated Demand'!A:Z,18,FALSE))</f>
        <v>0</v>
      </c>
      <c r="AB1958" s="16">
        <f>IF(ISERROR(VLOOKUP($A1958,'13. Updated Demand'!A:Z,19,FALSE)),0,VLOOKUP($A1958,'13. Updated Demand'!A:Z,19,FALSE))</f>
        <v>0</v>
      </c>
      <c r="AC1958" s="16">
        <f>IF(ISERROR(VLOOKUP($A1958,'13. Updated Demand'!A:Z,20,FALSE)),0,VLOOKUP($A1958,'13. Updated Demand'!A:Z,20,FALSE))</f>
        <v>0</v>
      </c>
      <c r="AD1958" s="16">
        <f>IF(ISERROR(VLOOKUP($A1958,'13. Updated Demand'!A:Z,21,FALSE)),0,VLOOKUP($A1958,'13. Updated Demand'!A:Z,21,FALSE))</f>
        <v>0</v>
      </c>
      <c r="AE1958" s="16">
        <f>IF(ISERROR(VLOOKUP($A1958,'13. Updated Demand'!A:Z,22,FALSE)),0,VLOOKUP($A1958,'13. Updated Demand'!A:Z,22,FALSE))</f>
        <v>0</v>
      </c>
      <c r="AF1958" s="16">
        <f>IF(ISERROR(VLOOKUP($A1958,'13. Updated Demand'!A:Z,23,FALSE)),0,VLOOKUP($A1958,'13. Updated Demand'!A:Z,23,FALSE))</f>
        <v>0</v>
      </c>
      <c r="AG1958" s="16">
        <f>IF(ISERROR(VLOOKUP($A1958,'13. Updated Demand'!A:Z,24,FALSE)),0,VLOOKUP($A1958,'13. Updated Demand'!A:Z,24,FALSE))</f>
        <v>0</v>
      </c>
      <c r="AH1958" s="16">
        <f>IF(ISERROR(VLOOKUP($A1958,'13. Updated Demand'!A:Z,25,FALSE)),0,VLOOKUP($A1958,'13. Updated Demand'!A:Z,25,FALSE))</f>
        <v>0</v>
      </c>
      <c r="AI1958" s="16">
        <f>IF(ISERROR(VLOOKUP($A1958,'13. Updated Demand'!A:Z,26,FALSE)),0,VLOOKUP($A1958,'13. Updated Demand'!A:Z,26,FALSE))</f>
        <v>3.96</v>
      </c>
      <c r="AJ1958" s="16">
        <f t="shared" si="373"/>
        <v>6.76</v>
      </c>
      <c r="AK1958" s="19">
        <v>0</v>
      </c>
      <c r="AL1958" s="16">
        <f t="shared" si="371"/>
        <v>0</v>
      </c>
      <c r="AM1958" s="26">
        <v>0.29420289856521736</v>
      </c>
      <c r="AN1958" s="19">
        <v>23</v>
      </c>
      <c r="AO1958" s="19" t="s">
        <v>1758</v>
      </c>
      <c r="AP1958" s="19">
        <v>0</v>
      </c>
      <c r="AQ1958" s="19" t="s">
        <v>307</v>
      </c>
      <c r="AR1958" s="9" t="s">
        <v>319</v>
      </c>
      <c r="AS1958" s="12">
        <v>0</v>
      </c>
      <c r="AT1958" s="19">
        <v>38.968899999999998</v>
      </c>
      <c r="AU1958" s="19">
        <v>-123.0921</v>
      </c>
      <c r="AV1958" s="19" t="s">
        <v>2385</v>
      </c>
    </row>
    <row r="1959" spans="1:48" x14ac:dyDescent="0.25">
      <c r="A1959" s="18" t="s">
        <v>2386</v>
      </c>
      <c r="B1959" s="10">
        <v>10000000</v>
      </c>
      <c r="C1959" s="9">
        <v>14</v>
      </c>
      <c r="D1959" s="8" t="str">
        <f t="shared" si="362"/>
        <v>N</v>
      </c>
      <c r="E1959" s="8" t="str">
        <f t="shared" si="363"/>
        <v>N</v>
      </c>
      <c r="F1959" s="8" t="str">
        <f t="shared" si="364"/>
        <v>N</v>
      </c>
      <c r="G1959" s="8" t="str">
        <f t="shared" si="365"/>
        <v>N</v>
      </c>
      <c r="H1959" s="8" t="str">
        <f t="shared" si="366"/>
        <v>Lower</v>
      </c>
      <c r="I1959" s="8" t="str">
        <f t="shared" si="367"/>
        <v>Outside</v>
      </c>
      <c r="J1959" s="8" t="str">
        <f t="shared" si="368"/>
        <v>Outside</v>
      </c>
      <c r="K1959" s="8" t="str">
        <f t="shared" si="369"/>
        <v>Riparian</v>
      </c>
      <c r="L1959" s="8">
        <f t="shared" si="370"/>
        <v>1000</v>
      </c>
      <c r="M1959" s="8" t="str">
        <f t="shared" si="372"/>
        <v>-</v>
      </c>
      <c r="N1959" s="10" t="s">
        <v>242</v>
      </c>
      <c r="O1959" s="10" t="s">
        <v>242</v>
      </c>
      <c r="P1959" s="10" t="s">
        <v>242</v>
      </c>
      <c r="Q1959" s="10" t="s">
        <v>242</v>
      </c>
      <c r="R1959" s="10" t="s">
        <v>242</v>
      </c>
      <c r="S1959" s="10" t="s">
        <v>241</v>
      </c>
      <c r="T1959" s="10" t="s">
        <v>242</v>
      </c>
      <c r="U1959" s="10" t="s">
        <v>242</v>
      </c>
      <c r="V1959" s="10" t="s">
        <v>242</v>
      </c>
      <c r="W1959" s="10" t="s">
        <v>242</v>
      </c>
      <c r="X1959" s="15">
        <f>IF(ISERROR(VLOOKUP($A1959,'13. Updated Demand'!A:Z,15,FALSE)),0,VLOOKUP($A1959,'13. Updated Demand'!A:Z,15,FALSE))</f>
        <v>0</v>
      </c>
      <c r="Y1959" s="16">
        <f>IF(ISERROR(VLOOKUP($A1959,'13. Updated Demand'!A:Z,16,FALSE)),0,VLOOKUP($A1959,'13. Updated Demand'!A:Z,16,FALSE))</f>
        <v>0</v>
      </c>
      <c r="Z1959" s="16">
        <f>IF(ISERROR(VLOOKUP($A1959,'13. Updated Demand'!A:Z,17,FALSE)),0,VLOOKUP($A1959,'13. Updated Demand'!A:Z,17,FALSE))</f>
        <v>0</v>
      </c>
      <c r="AA1959" s="16">
        <f>IF(ISERROR(VLOOKUP($A1959,'13. Updated Demand'!A:Z,18,FALSE)),0,VLOOKUP($A1959,'13. Updated Demand'!A:Z,18,FALSE))</f>
        <v>0.53333333299999997</v>
      </c>
      <c r="AB1959" s="16">
        <f>IF(ISERROR(VLOOKUP($A1959,'13. Updated Demand'!A:Z,19,FALSE)),0,VLOOKUP($A1959,'13. Updated Demand'!A:Z,19,FALSE))</f>
        <v>2.0666666669999998</v>
      </c>
      <c r="AC1959" s="16">
        <f>IF(ISERROR(VLOOKUP($A1959,'13. Updated Demand'!A:Z,20,FALSE)),0,VLOOKUP($A1959,'13. Updated Demand'!A:Z,20,FALSE))</f>
        <v>4.233333333</v>
      </c>
      <c r="AD1959" s="16">
        <f>IF(ISERROR(VLOOKUP($A1959,'13. Updated Demand'!A:Z,21,FALSE)),0,VLOOKUP($A1959,'13. Updated Demand'!A:Z,21,FALSE))</f>
        <v>8.3000000000000007</v>
      </c>
      <c r="AE1959" s="16">
        <f>IF(ISERROR(VLOOKUP($A1959,'13. Updated Demand'!A:Z,22,FALSE)),0,VLOOKUP($A1959,'13. Updated Demand'!A:Z,22,FALSE))</f>
        <v>9.0666666669999998</v>
      </c>
      <c r="AF1959" s="16">
        <f>IF(ISERROR(VLOOKUP($A1959,'13. Updated Demand'!A:Z,23,FALSE)),0,VLOOKUP($A1959,'13. Updated Demand'!A:Z,23,FALSE))</f>
        <v>6.9333333330000002</v>
      </c>
      <c r="AG1959" s="16">
        <f>IF(ISERROR(VLOOKUP($A1959,'13. Updated Demand'!A:Z,24,FALSE)),0,VLOOKUP($A1959,'13. Updated Demand'!A:Z,24,FALSE))</f>
        <v>0.86666666699999995</v>
      </c>
      <c r="AH1959" s="16">
        <f>IF(ISERROR(VLOOKUP($A1959,'13. Updated Demand'!A:Z,25,FALSE)),0,VLOOKUP($A1959,'13. Updated Demand'!A:Z,25,FALSE))</f>
        <v>0.2</v>
      </c>
      <c r="AI1959" s="16">
        <f>IF(ISERROR(VLOOKUP($A1959,'13. Updated Demand'!A:Z,26,FALSE)),0,VLOOKUP($A1959,'13. Updated Demand'!A:Z,26,FALSE))</f>
        <v>0</v>
      </c>
      <c r="AJ1959" s="16">
        <f t="shared" si="373"/>
        <v>32.200000000000003</v>
      </c>
      <c r="AK1959" s="19">
        <v>30.6</v>
      </c>
      <c r="AL1959" s="16">
        <f t="shared" si="371"/>
        <v>0.10149671433244259</v>
      </c>
      <c r="AM1959" s="26">
        <v>0.11397584561582354</v>
      </c>
      <c r="AN1959" s="19">
        <v>282.51600000000002</v>
      </c>
      <c r="AO1959" s="19" t="s">
        <v>1758</v>
      </c>
      <c r="AP1959" s="19">
        <v>0</v>
      </c>
      <c r="AQ1959" s="19" t="s">
        <v>307</v>
      </c>
      <c r="AR1959" s="9" t="s">
        <v>493</v>
      </c>
      <c r="AS1959" s="12">
        <v>0</v>
      </c>
      <c r="AT1959" s="19">
        <v>38.713900000000002</v>
      </c>
      <c r="AU1959" s="19">
        <v>-122.9868</v>
      </c>
      <c r="AV1959" s="19" t="s">
        <v>932</v>
      </c>
    </row>
    <row r="1960" spans="1:48" x14ac:dyDescent="0.25">
      <c r="A1960" s="18" t="s">
        <v>2387</v>
      </c>
      <c r="B1960" s="10">
        <v>10000000</v>
      </c>
      <c r="C1960" s="9">
        <v>14</v>
      </c>
      <c r="D1960" s="8" t="str">
        <f t="shared" si="362"/>
        <v>N</v>
      </c>
      <c r="E1960" s="8" t="str">
        <f t="shared" si="363"/>
        <v>N</v>
      </c>
      <c r="F1960" s="8" t="str">
        <f t="shared" si="364"/>
        <v>N</v>
      </c>
      <c r="G1960" s="8" t="str">
        <f t="shared" si="365"/>
        <v>N</v>
      </c>
      <c r="H1960" s="8" t="str">
        <f t="shared" si="366"/>
        <v>Lower</v>
      </c>
      <c r="I1960" s="8" t="str">
        <f t="shared" si="367"/>
        <v>Outside</v>
      </c>
      <c r="J1960" s="8" t="str">
        <f t="shared" si="368"/>
        <v>Outside</v>
      </c>
      <c r="K1960" s="8" t="str">
        <f t="shared" si="369"/>
        <v>Riparian</v>
      </c>
      <c r="L1960" s="8">
        <f t="shared" si="370"/>
        <v>1000</v>
      </c>
      <c r="M1960" s="8" t="str">
        <f t="shared" si="372"/>
        <v>-</v>
      </c>
      <c r="N1960" s="10" t="s">
        <v>242</v>
      </c>
      <c r="O1960" s="10" t="s">
        <v>242</v>
      </c>
      <c r="P1960" s="10" t="s">
        <v>242</v>
      </c>
      <c r="Q1960" s="10" t="s">
        <v>242</v>
      </c>
      <c r="R1960" s="10" t="s">
        <v>242</v>
      </c>
      <c r="S1960" s="10" t="s">
        <v>241</v>
      </c>
      <c r="T1960" s="10" t="s">
        <v>242</v>
      </c>
      <c r="U1960" s="10" t="s">
        <v>242</v>
      </c>
      <c r="V1960" s="10" t="s">
        <v>242</v>
      </c>
      <c r="W1960" s="10" t="s">
        <v>242</v>
      </c>
      <c r="X1960" s="15">
        <f>IF(ISERROR(VLOOKUP($A1960,'13. Updated Demand'!A:Z,15,FALSE)),0,VLOOKUP($A1960,'13. Updated Demand'!A:Z,15,FALSE))</f>
        <v>0.5</v>
      </c>
      <c r="Y1960" s="16">
        <f>IF(ISERROR(VLOOKUP($A1960,'13. Updated Demand'!A:Z,16,FALSE)),0,VLOOKUP($A1960,'13. Updated Demand'!A:Z,16,FALSE))</f>
        <v>0.7</v>
      </c>
      <c r="Z1960" s="16">
        <f>IF(ISERROR(VLOOKUP($A1960,'13. Updated Demand'!A:Z,17,FALSE)),0,VLOOKUP($A1960,'13. Updated Demand'!A:Z,17,FALSE))</f>
        <v>0.26666666700000002</v>
      </c>
      <c r="AA1960" s="16">
        <f>IF(ISERROR(VLOOKUP($A1960,'13. Updated Demand'!A:Z,18,FALSE)),0,VLOOKUP($A1960,'13. Updated Demand'!A:Z,18,FALSE))</f>
        <v>0.4</v>
      </c>
      <c r="AB1960" s="16">
        <f>IF(ISERROR(VLOOKUP($A1960,'13. Updated Demand'!A:Z,19,FALSE)),0,VLOOKUP($A1960,'13. Updated Demand'!A:Z,19,FALSE))</f>
        <v>0.7</v>
      </c>
      <c r="AC1960" s="16">
        <f>IF(ISERROR(VLOOKUP($A1960,'13. Updated Demand'!A:Z,20,FALSE)),0,VLOOKUP($A1960,'13. Updated Demand'!A:Z,20,FALSE))</f>
        <v>1.1333333329999999</v>
      </c>
      <c r="AD1960" s="16">
        <f>IF(ISERROR(VLOOKUP($A1960,'13. Updated Demand'!A:Z,21,FALSE)),0,VLOOKUP($A1960,'13. Updated Demand'!A:Z,21,FALSE))</f>
        <v>1.3666666670000001</v>
      </c>
      <c r="AE1960" s="16">
        <f>IF(ISERROR(VLOOKUP($A1960,'13. Updated Demand'!A:Z,22,FALSE)),0,VLOOKUP($A1960,'13. Updated Demand'!A:Z,22,FALSE))</f>
        <v>1.233333333</v>
      </c>
      <c r="AF1960" s="16">
        <f>IF(ISERROR(VLOOKUP($A1960,'13. Updated Demand'!A:Z,23,FALSE)),0,VLOOKUP($A1960,'13. Updated Demand'!A:Z,23,FALSE))</f>
        <v>1.1666666670000001</v>
      </c>
      <c r="AG1960" s="16">
        <f>IF(ISERROR(VLOOKUP($A1960,'13. Updated Demand'!A:Z,24,FALSE)),0,VLOOKUP($A1960,'13. Updated Demand'!A:Z,24,FALSE))</f>
        <v>1.233333333</v>
      </c>
      <c r="AH1960" s="16">
        <f>IF(ISERROR(VLOOKUP($A1960,'13. Updated Demand'!A:Z,25,FALSE)),0,VLOOKUP($A1960,'13. Updated Demand'!A:Z,25,FALSE))</f>
        <v>0.9</v>
      </c>
      <c r="AI1960" s="16">
        <f>IF(ISERROR(VLOOKUP($A1960,'13. Updated Demand'!A:Z,26,FALSE)),0,VLOOKUP($A1960,'13. Updated Demand'!A:Z,26,FALSE))</f>
        <v>0.8</v>
      </c>
      <c r="AJ1960" s="16">
        <f t="shared" si="373"/>
        <v>10.4</v>
      </c>
      <c r="AK1960" s="19">
        <v>5.6000000000000005</v>
      </c>
      <c r="AL1960" s="16">
        <f t="shared" si="371"/>
        <v>1.8574562100054853E-2</v>
      </c>
      <c r="AM1960" s="26">
        <v>0.12875972197804647</v>
      </c>
      <c r="AN1960" s="19">
        <v>80.770600000000002</v>
      </c>
      <c r="AO1960" s="19" t="s">
        <v>1758</v>
      </c>
      <c r="AP1960" s="19">
        <v>0</v>
      </c>
      <c r="AQ1960" s="19" t="s">
        <v>307</v>
      </c>
      <c r="AR1960" s="9" t="s">
        <v>493</v>
      </c>
      <c r="AS1960" s="12">
        <v>0</v>
      </c>
      <c r="AT1960" s="19">
        <v>38.711799999999997</v>
      </c>
      <c r="AU1960" s="19">
        <v>-122.9828</v>
      </c>
      <c r="AV1960" s="19" t="s">
        <v>701</v>
      </c>
    </row>
    <row r="1961" spans="1:48" x14ac:dyDescent="0.25">
      <c r="A1961" s="18" t="s">
        <v>2388</v>
      </c>
      <c r="B1961" s="10">
        <v>10000000</v>
      </c>
      <c r="C1961" s="9">
        <v>6</v>
      </c>
      <c r="D1961" s="8" t="str">
        <f t="shared" si="362"/>
        <v>Y</v>
      </c>
      <c r="E1961" s="8" t="str">
        <f t="shared" si="363"/>
        <v>N</v>
      </c>
      <c r="F1961" s="8" t="str">
        <f t="shared" si="364"/>
        <v>Y</v>
      </c>
      <c r="G1961" s="8" t="str">
        <f t="shared" si="365"/>
        <v>Y</v>
      </c>
      <c r="H1961" s="8" t="str">
        <f t="shared" si="366"/>
        <v>Upper</v>
      </c>
      <c r="I1961" s="8" t="str">
        <f t="shared" si="367"/>
        <v>West Fork and Below Lake</v>
      </c>
      <c r="J1961" s="8" t="str">
        <f t="shared" si="368"/>
        <v>Mendocino (d/s of lake)</v>
      </c>
      <c r="K1961" s="8" t="str">
        <f t="shared" si="369"/>
        <v>Riparian</v>
      </c>
      <c r="L1961" s="8">
        <f t="shared" si="370"/>
        <v>1000</v>
      </c>
      <c r="M1961" s="8" t="str">
        <f t="shared" si="372"/>
        <v>-</v>
      </c>
      <c r="N1961" s="10" t="s">
        <v>242</v>
      </c>
      <c r="O1961" s="10" t="s">
        <v>241</v>
      </c>
      <c r="P1961" s="10" t="s">
        <v>242</v>
      </c>
      <c r="Q1961" s="10" t="s">
        <v>242</v>
      </c>
      <c r="R1961" s="10" t="s">
        <v>242</v>
      </c>
      <c r="S1961" s="10" t="s">
        <v>241</v>
      </c>
      <c r="T1961" s="10" t="s">
        <v>242</v>
      </c>
      <c r="U1961" s="10" t="s">
        <v>242</v>
      </c>
      <c r="V1961" s="10" t="s">
        <v>242</v>
      </c>
      <c r="W1961" s="10" t="s">
        <v>242</v>
      </c>
      <c r="X1961" s="15">
        <f>IF(ISERROR(VLOOKUP($A1961,'13. Updated Demand'!A:Z,15,FALSE)),0,VLOOKUP($A1961,'13. Updated Demand'!A:Z,15,FALSE))</f>
        <v>7.0000000000000007E-2</v>
      </c>
      <c r="Y1961" s="16">
        <f>IF(ISERROR(VLOOKUP($A1961,'13. Updated Demand'!A:Z,16,FALSE)),0,VLOOKUP($A1961,'13. Updated Demand'!A:Z,16,FALSE))</f>
        <v>7.0000000000000007E-2</v>
      </c>
      <c r="Z1961" s="16">
        <f>IF(ISERROR(VLOOKUP($A1961,'13. Updated Demand'!A:Z,17,FALSE)),0,VLOOKUP($A1961,'13. Updated Demand'!A:Z,17,FALSE))</f>
        <v>7.0000000000000007E-2</v>
      </c>
      <c r="AA1961" s="16">
        <f>IF(ISERROR(VLOOKUP($A1961,'13. Updated Demand'!A:Z,18,FALSE)),0,VLOOKUP($A1961,'13. Updated Demand'!A:Z,18,FALSE))</f>
        <v>7.0000000000000007E-2</v>
      </c>
      <c r="AB1961" s="16">
        <f>IF(ISERROR(VLOOKUP($A1961,'13. Updated Demand'!A:Z,19,FALSE)),0,VLOOKUP($A1961,'13. Updated Demand'!A:Z,19,FALSE))</f>
        <v>7.0000000000000007E-2</v>
      </c>
      <c r="AC1961" s="16">
        <f>IF(ISERROR(VLOOKUP($A1961,'13. Updated Demand'!A:Z,20,FALSE)),0,VLOOKUP($A1961,'13. Updated Demand'!A:Z,20,FALSE))</f>
        <v>7.0000000000000007E-2</v>
      </c>
      <c r="AD1961" s="16">
        <f>IF(ISERROR(VLOOKUP($A1961,'13. Updated Demand'!A:Z,21,FALSE)),0,VLOOKUP($A1961,'13. Updated Demand'!A:Z,21,FALSE))</f>
        <v>7.0000000000000007E-2</v>
      </c>
      <c r="AE1961" s="16">
        <f>IF(ISERROR(VLOOKUP($A1961,'13. Updated Demand'!A:Z,22,FALSE)),0,VLOOKUP($A1961,'13. Updated Demand'!A:Z,22,FALSE))</f>
        <v>7.0000000000000007E-2</v>
      </c>
      <c r="AF1961" s="16">
        <f>IF(ISERROR(VLOOKUP($A1961,'13. Updated Demand'!A:Z,23,FALSE)),0,VLOOKUP($A1961,'13. Updated Demand'!A:Z,23,FALSE))</f>
        <v>7.0000000000000007E-2</v>
      </c>
      <c r="AG1961" s="16">
        <f>IF(ISERROR(VLOOKUP($A1961,'13. Updated Demand'!A:Z,24,FALSE)),0,VLOOKUP($A1961,'13. Updated Demand'!A:Z,24,FALSE))</f>
        <v>7.0000000000000007E-2</v>
      </c>
      <c r="AH1961" s="16">
        <f>IF(ISERROR(VLOOKUP($A1961,'13. Updated Demand'!A:Z,25,FALSE)),0,VLOOKUP($A1961,'13. Updated Demand'!A:Z,25,FALSE))</f>
        <v>7.0000000000000007E-2</v>
      </c>
      <c r="AI1961" s="16">
        <f>IF(ISERROR(VLOOKUP($A1961,'13. Updated Demand'!A:Z,26,FALSE)),0,VLOOKUP($A1961,'13. Updated Demand'!A:Z,26,FALSE))</f>
        <v>7.0000000000000007E-2</v>
      </c>
      <c r="AJ1961" s="16">
        <f t="shared" si="373"/>
        <v>0.8400000000000003</v>
      </c>
      <c r="AK1961" s="19">
        <v>0.38800000099999998</v>
      </c>
      <c r="AL1961" s="16">
        <f t="shared" si="371"/>
        <v>1.2869518059635437E-3</v>
      </c>
      <c r="AM1961" s="26">
        <v>2.5658015847598017E-3</v>
      </c>
      <c r="AN1961" s="19">
        <v>362.2</v>
      </c>
      <c r="AO1961" s="19" t="s">
        <v>1758</v>
      </c>
      <c r="AP1961" s="19">
        <v>0</v>
      </c>
      <c r="AQ1961" s="19" t="s">
        <v>307</v>
      </c>
      <c r="AR1961" s="9" t="s">
        <v>319</v>
      </c>
      <c r="AS1961" s="12">
        <v>3.4039024194010059E-4</v>
      </c>
      <c r="AT1961" s="19">
        <v>38.960599999999999</v>
      </c>
      <c r="AU1961" s="19">
        <v>-123.02719999999999</v>
      </c>
      <c r="AV1961" s="19" t="s">
        <v>2389</v>
      </c>
    </row>
    <row r="1962" spans="1:48" x14ac:dyDescent="0.25">
      <c r="A1962" s="18" t="s">
        <v>2390</v>
      </c>
      <c r="B1962" s="10">
        <v>10000000</v>
      </c>
      <c r="C1962" s="9">
        <v>16</v>
      </c>
      <c r="D1962" s="8" t="str">
        <f t="shared" si="362"/>
        <v>N</v>
      </c>
      <c r="E1962" s="8" t="str">
        <f t="shared" si="363"/>
        <v>N</v>
      </c>
      <c r="F1962" s="8" t="str">
        <f t="shared" si="364"/>
        <v>N</v>
      </c>
      <c r="G1962" s="8" t="str">
        <f t="shared" si="365"/>
        <v>N</v>
      </c>
      <c r="H1962" s="8" t="str">
        <f t="shared" si="366"/>
        <v>Lower</v>
      </c>
      <c r="I1962" s="8" t="str">
        <f t="shared" si="367"/>
        <v>Outside</v>
      </c>
      <c r="J1962" s="8" t="str">
        <f t="shared" si="368"/>
        <v>Outside</v>
      </c>
      <c r="K1962" s="8" t="str">
        <f t="shared" si="369"/>
        <v>Riparian</v>
      </c>
      <c r="L1962" s="8">
        <f t="shared" si="370"/>
        <v>1000</v>
      </c>
      <c r="M1962" s="8" t="str">
        <f t="shared" si="372"/>
        <v>-</v>
      </c>
      <c r="N1962" s="10" t="s">
        <v>242</v>
      </c>
      <c r="O1962" s="10" t="s">
        <v>242</v>
      </c>
      <c r="P1962" s="10" t="s">
        <v>242</v>
      </c>
      <c r="Q1962" s="10" t="s">
        <v>242</v>
      </c>
      <c r="R1962" s="10" t="s">
        <v>242</v>
      </c>
      <c r="S1962" s="10" t="s">
        <v>241</v>
      </c>
      <c r="T1962" s="10" t="s">
        <v>242</v>
      </c>
      <c r="U1962" s="10" t="s">
        <v>242</v>
      </c>
      <c r="V1962" s="10" t="s">
        <v>242</v>
      </c>
      <c r="W1962" s="10" t="s">
        <v>242</v>
      </c>
      <c r="X1962" s="15">
        <f>IF(ISERROR(VLOOKUP($A1962,'13. Updated Demand'!A:Z,15,FALSE)),0,VLOOKUP($A1962,'13. Updated Demand'!A:Z,15,FALSE))</f>
        <v>0</v>
      </c>
      <c r="Y1962" s="16">
        <f>IF(ISERROR(VLOOKUP($A1962,'13. Updated Demand'!A:Z,16,FALSE)),0,VLOOKUP($A1962,'13. Updated Demand'!A:Z,16,FALSE))</f>
        <v>5.0999999999999997E-2</v>
      </c>
      <c r="Z1962" s="16">
        <f>IF(ISERROR(VLOOKUP($A1962,'13. Updated Demand'!A:Z,17,FALSE)),0,VLOOKUP($A1962,'13. Updated Demand'!A:Z,17,FALSE))</f>
        <v>6.9560000000000004E-3</v>
      </c>
      <c r="AA1962" s="16">
        <f>IF(ISERROR(VLOOKUP($A1962,'13. Updated Demand'!A:Z,18,FALSE)),0,VLOOKUP($A1962,'13. Updated Demand'!A:Z,18,FALSE))</f>
        <v>4.0920000000000002E-3</v>
      </c>
      <c r="AB1962" s="16">
        <f>IF(ISERROR(VLOOKUP($A1962,'13. Updated Demand'!A:Z,19,FALSE)),0,VLOOKUP($A1962,'13. Updated Demand'!A:Z,19,FALSE))</f>
        <v>8.8666667000000005E-2</v>
      </c>
      <c r="AC1962" s="16">
        <f>IF(ISERROR(VLOOKUP($A1962,'13. Updated Demand'!A:Z,20,FALSE)),0,VLOOKUP($A1962,'13. Updated Demand'!A:Z,20,FALSE))</f>
        <v>0.21440899999999999</v>
      </c>
      <c r="AD1962" s="16">
        <f>IF(ISERROR(VLOOKUP($A1962,'13. Updated Demand'!A:Z,21,FALSE)),0,VLOOKUP($A1962,'13. Updated Demand'!A:Z,21,FALSE))</f>
        <v>0.25842999999999999</v>
      </c>
      <c r="AE1962" s="16">
        <f>IF(ISERROR(VLOOKUP($A1962,'13. Updated Demand'!A:Z,22,FALSE)),0,VLOOKUP($A1962,'13. Updated Demand'!A:Z,22,FALSE))</f>
        <v>0.24112166700000001</v>
      </c>
      <c r="AF1962" s="16">
        <f>IF(ISERROR(VLOOKUP($A1962,'13. Updated Demand'!A:Z,23,FALSE)),0,VLOOKUP($A1962,'13. Updated Demand'!A:Z,23,FALSE))</f>
        <v>0.24647266700000001</v>
      </c>
      <c r="AG1962" s="16">
        <f>IF(ISERROR(VLOOKUP($A1962,'13. Updated Demand'!A:Z,24,FALSE)),0,VLOOKUP($A1962,'13. Updated Demand'!A:Z,24,FALSE))</f>
        <v>0.30641800000000002</v>
      </c>
      <c r="AH1962" s="16">
        <f>IF(ISERROR(VLOOKUP($A1962,'13. Updated Demand'!A:Z,25,FALSE)),0,VLOOKUP($A1962,'13. Updated Demand'!A:Z,25,FALSE))</f>
        <v>4.7211666999999999E-2</v>
      </c>
      <c r="AI1962" s="16">
        <f>IF(ISERROR(VLOOKUP($A1962,'13. Updated Demand'!A:Z,26,FALSE)),0,VLOOKUP($A1962,'13. Updated Demand'!A:Z,26,FALSE))</f>
        <v>0</v>
      </c>
      <c r="AJ1962" s="16">
        <f t="shared" si="373"/>
        <v>1.464777668</v>
      </c>
      <c r="AK1962" s="19">
        <v>1.049100001</v>
      </c>
      <c r="AL1962" s="16">
        <f t="shared" si="371"/>
        <v>3.4797451995968046E-3</v>
      </c>
      <c r="AM1962" s="26">
        <v>3.2878966119423759E-3</v>
      </c>
      <c r="AN1962" s="19">
        <v>445.50599999999997</v>
      </c>
      <c r="AO1962" s="19" t="s">
        <v>1758</v>
      </c>
      <c r="AP1962" s="19">
        <v>0</v>
      </c>
      <c r="AQ1962" s="19" t="s">
        <v>307</v>
      </c>
      <c r="AR1962" s="9" t="s">
        <v>394</v>
      </c>
      <c r="AS1962" s="12">
        <v>0</v>
      </c>
      <c r="AT1962" s="19">
        <v>38.624499999999998</v>
      </c>
      <c r="AU1962" s="19">
        <v>-122.88500000000001</v>
      </c>
      <c r="AV1962" s="19" t="s">
        <v>701</v>
      </c>
    </row>
    <row r="1963" spans="1:48" x14ac:dyDescent="0.25">
      <c r="A1963" s="18" t="s">
        <v>2391</v>
      </c>
      <c r="B1963" s="10">
        <v>10000000</v>
      </c>
      <c r="C1963" s="9">
        <v>6</v>
      </c>
      <c r="D1963" s="8" t="str">
        <f t="shared" si="362"/>
        <v>Y</v>
      </c>
      <c r="E1963" s="8" t="str">
        <f t="shared" si="363"/>
        <v>N</v>
      </c>
      <c r="F1963" s="8" t="str">
        <f t="shared" si="364"/>
        <v>Y</v>
      </c>
      <c r="G1963" s="8" t="str">
        <f t="shared" si="365"/>
        <v>Y</v>
      </c>
      <c r="H1963" s="8" t="str">
        <f t="shared" si="366"/>
        <v>Upper</v>
      </c>
      <c r="I1963" s="8" t="str">
        <f t="shared" si="367"/>
        <v>West Fork and Below Lake</v>
      </c>
      <c r="J1963" s="8" t="str">
        <f t="shared" si="368"/>
        <v>Mendocino (d/s of lake)</v>
      </c>
      <c r="K1963" s="8" t="str">
        <f t="shared" si="369"/>
        <v>Riparian</v>
      </c>
      <c r="L1963" s="8">
        <f t="shared" si="370"/>
        <v>1000</v>
      </c>
      <c r="M1963" s="8" t="str">
        <f t="shared" si="372"/>
        <v>-</v>
      </c>
      <c r="N1963" s="10" t="s">
        <v>242</v>
      </c>
      <c r="O1963" s="10" t="s">
        <v>241</v>
      </c>
      <c r="P1963" s="10" t="s">
        <v>242</v>
      </c>
      <c r="Q1963" s="10" t="s">
        <v>242</v>
      </c>
      <c r="R1963" s="10" t="s">
        <v>242</v>
      </c>
      <c r="S1963" s="10" t="s">
        <v>241</v>
      </c>
      <c r="T1963" s="10" t="s">
        <v>242</v>
      </c>
      <c r="U1963" s="10" t="s">
        <v>242</v>
      </c>
      <c r="V1963" s="10" t="s">
        <v>241</v>
      </c>
      <c r="W1963" s="10" t="s">
        <v>242</v>
      </c>
      <c r="X1963" s="15">
        <f>IF(ISERROR(VLOOKUP($A1963,'13. Updated Demand'!A:Z,15,FALSE)),0,VLOOKUP($A1963,'13. Updated Demand'!A:Z,15,FALSE))</f>
        <v>3.43</v>
      </c>
      <c r="Y1963" s="16">
        <f>IF(ISERROR(VLOOKUP($A1963,'13. Updated Demand'!A:Z,16,FALSE)),0,VLOOKUP($A1963,'13. Updated Demand'!A:Z,16,FALSE))</f>
        <v>0.06</v>
      </c>
      <c r="Z1963" s="16">
        <f>IF(ISERROR(VLOOKUP($A1963,'13. Updated Demand'!A:Z,17,FALSE)),0,VLOOKUP($A1963,'13. Updated Demand'!A:Z,17,FALSE))</f>
        <v>1.8</v>
      </c>
      <c r="AA1963" s="16">
        <f>IF(ISERROR(VLOOKUP($A1963,'13. Updated Demand'!A:Z,18,FALSE)),0,VLOOKUP($A1963,'13. Updated Demand'!A:Z,18,FALSE))</f>
        <v>0</v>
      </c>
      <c r="AB1963" s="16">
        <f>IF(ISERROR(VLOOKUP($A1963,'13. Updated Demand'!A:Z,19,FALSE)),0,VLOOKUP($A1963,'13. Updated Demand'!A:Z,19,FALSE))</f>
        <v>0</v>
      </c>
      <c r="AC1963" s="16">
        <f>IF(ISERROR(VLOOKUP($A1963,'13. Updated Demand'!A:Z,20,FALSE)),0,VLOOKUP($A1963,'13. Updated Demand'!A:Z,20,FALSE))</f>
        <v>0</v>
      </c>
      <c r="AD1963" s="16">
        <f>IF(ISERROR(VLOOKUP($A1963,'13. Updated Demand'!A:Z,21,FALSE)),0,VLOOKUP($A1963,'13. Updated Demand'!A:Z,21,FALSE))</f>
        <v>0</v>
      </c>
      <c r="AE1963" s="16">
        <f>IF(ISERROR(VLOOKUP($A1963,'13. Updated Demand'!A:Z,22,FALSE)),0,VLOOKUP($A1963,'13. Updated Demand'!A:Z,22,FALSE))</f>
        <v>0</v>
      </c>
      <c r="AF1963" s="16">
        <f>IF(ISERROR(VLOOKUP($A1963,'13. Updated Demand'!A:Z,23,FALSE)),0,VLOOKUP($A1963,'13. Updated Demand'!A:Z,23,FALSE))</f>
        <v>0</v>
      </c>
      <c r="AG1963" s="16">
        <f>IF(ISERROR(VLOOKUP($A1963,'13. Updated Demand'!A:Z,24,FALSE)),0,VLOOKUP($A1963,'13. Updated Demand'!A:Z,24,FALSE))</f>
        <v>0</v>
      </c>
      <c r="AH1963" s="16">
        <f>IF(ISERROR(VLOOKUP($A1963,'13. Updated Demand'!A:Z,25,FALSE)),0,VLOOKUP($A1963,'13. Updated Demand'!A:Z,25,FALSE))</f>
        <v>0.03</v>
      </c>
      <c r="AI1963" s="16">
        <f>IF(ISERROR(VLOOKUP($A1963,'13. Updated Demand'!A:Z,26,FALSE)),0,VLOOKUP($A1963,'13. Updated Demand'!A:Z,26,FALSE))</f>
        <v>1.1000000000000001</v>
      </c>
      <c r="AJ1963" s="16">
        <f t="shared" si="373"/>
        <v>6.42</v>
      </c>
      <c r="AK1963" s="19">
        <v>0</v>
      </c>
      <c r="AL1963" s="16">
        <f t="shared" si="371"/>
        <v>0</v>
      </c>
      <c r="AM1963" s="26">
        <v>0.54985754982905988</v>
      </c>
      <c r="AN1963" s="19">
        <v>11.7</v>
      </c>
      <c r="AO1963" s="19" t="s">
        <v>1758</v>
      </c>
      <c r="AP1963" s="19">
        <v>0</v>
      </c>
      <c r="AQ1963" s="19" t="s">
        <v>307</v>
      </c>
      <c r="AR1963" s="9" t="s">
        <v>319</v>
      </c>
      <c r="AS1963" s="12">
        <v>0</v>
      </c>
      <c r="AT1963" s="19">
        <v>38.96170214</v>
      </c>
      <c r="AU1963" s="19">
        <v>-123.07063706</v>
      </c>
      <c r="AV1963" s="19" t="s">
        <v>385</v>
      </c>
    </row>
    <row r="1964" spans="1:48" x14ac:dyDescent="0.25">
      <c r="A1964" s="18" t="s">
        <v>2392</v>
      </c>
      <c r="B1964" s="10">
        <v>10000000</v>
      </c>
      <c r="C1964" s="9">
        <v>22</v>
      </c>
      <c r="D1964" s="8" t="str">
        <f t="shared" si="362"/>
        <v>N</v>
      </c>
      <c r="E1964" s="8" t="str">
        <f t="shared" si="363"/>
        <v>N</v>
      </c>
      <c r="F1964" s="8" t="str">
        <f t="shared" si="364"/>
        <v>N</v>
      </c>
      <c r="G1964" s="8" t="str">
        <f t="shared" si="365"/>
        <v>N</v>
      </c>
      <c r="H1964" s="8" t="str">
        <f t="shared" si="366"/>
        <v>Lower</v>
      </c>
      <c r="I1964" s="8" t="str">
        <f t="shared" si="367"/>
        <v>Outside</v>
      </c>
      <c r="J1964" s="8" t="str">
        <f t="shared" si="368"/>
        <v>Outside</v>
      </c>
      <c r="K1964" s="8" t="str">
        <f t="shared" si="369"/>
        <v>Riparian</v>
      </c>
      <c r="L1964" s="8">
        <f t="shared" si="370"/>
        <v>1000</v>
      </c>
      <c r="M1964" s="8" t="str">
        <f t="shared" si="372"/>
        <v>-</v>
      </c>
      <c r="N1964" s="10" t="s">
        <v>242</v>
      </c>
      <c r="O1964" s="10" t="s">
        <v>242</v>
      </c>
      <c r="P1964" s="10" t="s">
        <v>242</v>
      </c>
      <c r="Q1964" s="10" t="s">
        <v>242</v>
      </c>
      <c r="R1964" s="10" t="s">
        <v>242</v>
      </c>
      <c r="S1964" s="10" t="s">
        <v>241</v>
      </c>
      <c r="T1964" s="10" t="s">
        <v>242</v>
      </c>
      <c r="U1964" s="10" t="s">
        <v>242</v>
      </c>
      <c r="V1964" s="10" t="s">
        <v>241</v>
      </c>
      <c r="W1964" s="10" t="s">
        <v>242</v>
      </c>
      <c r="X1964" s="15">
        <f>IF(ISERROR(VLOOKUP($A1964,'13. Updated Demand'!A:Z,15,FALSE)),0,VLOOKUP($A1964,'13. Updated Demand'!A:Z,15,FALSE))</f>
        <v>0.823333333</v>
      </c>
      <c r="Y1964" s="16">
        <f>IF(ISERROR(VLOOKUP($A1964,'13. Updated Demand'!A:Z,16,FALSE)),0,VLOOKUP($A1964,'13. Updated Demand'!A:Z,16,FALSE))</f>
        <v>0</v>
      </c>
      <c r="Z1964" s="16">
        <f>IF(ISERROR(VLOOKUP($A1964,'13. Updated Demand'!A:Z,17,FALSE)),0,VLOOKUP($A1964,'13. Updated Demand'!A:Z,17,FALSE))</f>
        <v>1.6966666669999999</v>
      </c>
      <c r="AA1964" s="16">
        <f>IF(ISERROR(VLOOKUP($A1964,'13. Updated Demand'!A:Z,18,FALSE)),0,VLOOKUP($A1964,'13. Updated Demand'!A:Z,18,FALSE))</f>
        <v>0</v>
      </c>
      <c r="AB1964" s="16">
        <f>IF(ISERROR(VLOOKUP($A1964,'13. Updated Demand'!A:Z,19,FALSE)),0,VLOOKUP($A1964,'13. Updated Demand'!A:Z,19,FALSE))</f>
        <v>0</v>
      </c>
      <c r="AC1964" s="16">
        <f>IF(ISERROR(VLOOKUP($A1964,'13. Updated Demand'!A:Z,20,FALSE)),0,VLOOKUP($A1964,'13. Updated Demand'!A:Z,20,FALSE))</f>
        <v>0</v>
      </c>
      <c r="AD1964" s="16">
        <f>IF(ISERROR(VLOOKUP($A1964,'13. Updated Demand'!A:Z,21,FALSE)),0,VLOOKUP($A1964,'13. Updated Demand'!A:Z,21,FALSE))</f>
        <v>0</v>
      </c>
      <c r="AE1964" s="16">
        <f>IF(ISERROR(VLOOKUP($A1964,'13. Updated Demand'!A:Z,22,FALSE)),0,VLOOKUP($A1964,'13. Updated Demand'!A:Z,22,FALSE))</f>
        <v>0</v>
      </c>
      <c r="AF1964" s="16">
        <f>IF(ISERROR(VLOOKUP($A1964,'13. Updated Demand'!A:Z,23,FALSE)),0,VLOOKUP($A1964,'13. Updated Demand'!A:Z,23,FALSE))</f>
        <v>0</v>
      </c>
      <c r="AG1964" s="16">
        <f>IF(ISERROR(VLOOKUP($A1964,'13. Updated Demand'!A:Z,24,FALSE)),0,VLOOKUP($A1964,'13. Updated Demand'!A:Z,24,FALSE))</f>
        <v>0</v>
      </c>
      <c r="AH1964" s="16">
        <f>IF(ISERROR(VLOOKUP($A1964,'13. Updated Demand'!A:Z,25,FALSE)),0,VLOOKUP($A1964,'13. Updated Demand'!A:Z,25,FALSE))</f>
        <v>3.47</v>
      </c>
      <c r="AI1964" s="16">
        <f>IF(ISERROR(VLOOKUP($A1964,'13. Updated Demand'!A:Z,26,FALSE)),0,VLOOKUP($A1964,'13. Updated Demand'!A:Z,26,FALSE))</f>
        <v>1.88</v>
      </c>
      <c r="AJ1964" s="16">
        <f t="shared" si="373"/>
        <v>7.87</v>
      </c>
      <c r="AK1964" s="19">
        <v>0</v>
      </c>
      <c r="AL1964" s="16">
        <f t="shared" si="371"/>
        <v>0</v>
      </c>
      <c r="AM1964" s="26">
        <v>0.51203643461288229</v>
      </c>
      <c r="AN1964" s="19">
        <v>15.37</v>
      </c>
      <c r="AO1964" s="19" t="s">
        <v>1758</v>
      </c>
      <c r="AP1964" s="19">
        <v>0</v>
      </c>
      <c r="AQ1964" s="19" t="s">
        <v>307</v>
      </c>
      <c r="AR1964" s="9" t="s">
        <v>314</v>
      </c>
      <c r="AS1964" s="12">
        <v>0</v>
      </c>
      <c r="AT1964" s="19">
        <v>38.808700000000002</v>
      </c>
      <c r="AU1964" s="19">
        <v>-123.2025</v>
      </c>
      <c r="AV1964" s="19"/>
    </row>
    <row r="1965" spans="1:48" x14ac:dyDescent="0.25">
      <c r="A1965" s="18" t="s">
        <v>2393</v>
      </c>
      <c r="B1965" s="10">
        <v>10000000</v>
      </c>
      <c r="C1965" s="9">
        <v>6</v>
      </c>
      <c r="D1965" s="8" t="str">
        <f t="shared" si="362"/>
        <v>Y</v>
      </c>
      <c r="E1965" s="8" t="str">
        <f t="shared" si="363"/>
        <v>N</v>
      </c>
      <c r="F1965" s="8" t="str">
        <f t="shared" si="364"/>
        <v>Y</v>
      </c>
      <c r="G1965" s="8" t="str">
        <f t="shared" si="365"/>
        <v>Y</v>
      </c>
      <c r="H1965" s="8" t="str">
        <f t="shared" si="366"/>
        <v>Upper</v>
      </c>
      <c r="I1965" s="8" t="str">
        <f t="shared" si="367"/>
        <v>West Fork and Below Lake</v>
      </c>
      <c r="J1965" s="8" t="str">
        <f t="shared" si="368"/>
        <v>Mendocino (d/s of lake)</v>
      </c>
      <c r="K1965" s="8" t="str">
        <f t="shared" si="369"/>
        <v>Riparian</v>
      </c>
      <c r="L1965" s="8">
        <f t="shared" si="370"/>
        <v>1000</v>
      </c>
      <c r="M1965" s="8" t="str">
        <f t="shared" si="372"/>
        <v>-</v>
      </c>
      <c r="N1965" s="10" t="s">
        <v>242</v>
      </c>
      <c r="O1965" s="10" t="s">
        <v>241</v>
      </c>
      <c r="P1965" s="10" t="s">
        <v>242</v>
      </c>
      <c r="Q1965" s="10" t="s">
        <v>242</v>
      </c>
      <c r="R1965" s="10" t="s">
        <v>242</v>
      </c>
      <c r="S1965" s="10" t="s">
        <v>241</v>
      </c>
      <c r="T1965" s="10" t="s">
        <v>242</v>
      </c>
      <c r="U1965" s="10" t="s">
        <v>242</v>
      </c>
      <c r="V1965" s="10" t="s">
        <v>242</v>
      </c>
      <c r="W1965" s="10" t="s">
        <v>242</v>
      </c>
      <c r="X1965" s="15">
        <f>IF(ISERROR(VLOOKUP($A1965,'13. Updated Demand'!A:Z,15,FALSE)),0,VLOOKUP($A1965,'13. Updated Demand'!A:Z,15,FALSE))</f>
        <v>13.66</v>
      </c>
      <c r="Y1965" s="16">
        <f>IF(ISERROR(VLOOKUP($A1965,'13. Updated Demand'!A:Z,16,FALSE)),0,VLOOKUP($A1965,'13. Updated Demand'!A:Z,16,FALSE))</f>
        <v>8.66</v>
      </c>
      <c r="Z1965" s="16">
        <f>IF(ISERROR(VLOOKUP($A1965,'13. Updated Demand'!A:Z,17,FALSE)),0,VLOOKUP($A1965,'13. Updated Demand'!A:Z,17,FALSE))</f>
        <v>1</v>
      </c>
      <c r="AA1965" s="16">
        <f>IF(ISERROR(VLOOKUP($A1965,'13. Updated Demand'!A:Z,18,FALSE)),0,VLOOKUP($A1965,'13. Updated Demand'!A:Z,18,FALSE))</f>
        <v>1.4</v>
      </c>
      <c r="AB1965" s="16">
        <f>IF(ISERROR(VLOOKUP($A1965,'13. Updated Demand'!A:Z,19,FALSE)),0,VLOOKUP($A1965,'13. Updated Demand'!A:Z,19,FALSE))</f>
        <v>6.63</v>
      </c>
      <c r="AC1965" s="16">
        <f>IF(ISERROR(VLOOKUP($A1965,'13. Updated Demand'!A:Z,20,FALSE)),0,VLOOKUP($A1965,'13. Updated Demand'!A:Z,20,FALSE))</f>
        <v>0</v>
      </c>
      <c r="AD1965" s="16">
        <f>IF(ISERROR(VLOOKUP($A1965,'13. Updated Demand'!A:Z,21,FALSE)),0,VLOOKUP($A1965,'13. Updated Demand'!A:Z,21,FALSE))</f>
        <v>0</v>
      </c>
      <c r="AE1965" s="16">
        <f>IF(ISERROR(VLOOKUP($A1965,'13. Updated Demand'!A:Z,22,FALSE)),0,VLOOKUP($A1965,'13. Updated Demand'!A:Z,22,FALSE))</f>
        <v>0</v>
      </c>
      <c r="AF1965" s="16">
        <f>IF(ISERROR(VLOOKUP($A1965,'13. Updated Demand'!A:Z,23,FALSE)),0,VLOOKUP($A1965,'13. Updated Demand'!A:Z,23,FALSE))</f>
        <v>0</v>
      </c>
      <c r="AG1965" s="16">
        <f>IF(ISERROR(VLOOKUP($A1965,'13. Updated Demand'!A:Z,24,FALSE)),0,VLOOKUP($A1965,'13. Updated Demand'!A:Z,24,FALSE))</f>
        <v>0</v>
      </c>
      <c r="AH1965" s="16">
        <f>IF(ISERROR(VLOOKUP($A1965,'13. Updated Demand'!A:Z,25,FALSE)),0,VLOOKUP($A1965,'13. Updated Demand'!A:Z,25,FALSE))</f>
        <v>0</v>
      </c>
      <c r="AI1965" s="16">
        <f>IF(ISERROR(VLOOKUP($A1965,'13. Updated Demand'!A:Z,26,FALSE)),0,VLOOKUP($A1965,'13. Updated Demand'!A:Z,26,FALSE))</f>
        <v>0.33</v>
      </c>
      <c r="AJ1965" s="16">
        <f t="shared" si="373"/>
        <v>31.679999999999996</v>
      </c>
      <c r="AK1965" s="19">
        <v>6.6333333330000004</v>
      </c>
      <c r="AL1965" s="16">
        <f t="shared" si="371"/>
        <v>2.2002011057887919E-2</v>
      </c>
      <c r="AM1965" s="26">
        <v>1.136200716953405</v>
      </c>
      <c r="AN1965" s="19">
        <v>27.9</v>
      </c>
      <c r="AO1965" s="19" t="s">
        <v>1758</v>
      </c>
      <c r="AP1965" s="19">
        <v>0</v>
      </c>
      <c r="AQ1965" s="19" t="s">
        <v>307</v>
      </c>
      <c r="AR1965" s="9" t="s">
        <v>319</v>
      </c>
      <c r="AS1965" s="12">
        <v>0</v>
      </c>
      <c r="AT1965" s="19">
        <v>38.96334658</v>
      </c>
      <c r="AU1965" s="19">
        <v>-123.07072762999999</v>
      </c>
      <c r="AV1965" s="19"/>
    </row>
    <row r="1966" spans="1:48" x14ac:dyDescent="0.25">
      <c r="A1966" s="18" t="s">
        <v>2394</v>
      </c>
      <c r="B1966" s="10">
        <v>10000000</v>
      </c>
      <c r="C1966" s="9">
        <v>10</v>
      </c>
      <c r="D1966" s="8" t="str">
        <f t="shared" si="362"/>
        <v>N</v>
      </c>
      <c r="E1966" s="8" t="str">
        <f t="shared" si="363"/>
        <v>Y</v>
      </c>
      <c r="F1966" s="8" t="str">
        <f t="shared" si="364"/>
        <v>Y</v>
      </c>
      <c r="G1966" s="8" t="str">
        <f t="shared" si="365"/>
        <v>Y</v>
      </c>
      <c r="H1966" s="8" t="str">
        <f t="shared" si="366"/>
        <v>Upper</v>
      </c>
      <c r="I1966" s="8" t="str">
        <f t="shared" si="367"/>
        <v>West Fork and Below Lake</v>
      </c>
      <c r="J1966" s="8" t="str">
        <f t="shared" si="368"/>
        <v>Sonoma (d/s of Clov. Gage)</v>
      </c>
      <c r="K1966" s="8" t="str">
        <f t="shared" si="369"/>
        <v>Riparian</v>
      </c>
      <c r="L1966" s="8">
        <f t="shared" si="370"/>
        <v>1000</v>
      </c>
      <c r="M1966" s="8" t="str">
        <f t="shared" si="372"/>
        <v>-</v>
      </c>
      <c r="N1966" s="10" t="s">
        <v>242</v>
      </c>
      <c r="O1966" s="10" t="s">
        <v>241</v>
      </c>
      <c r="P1966" s="10" t="s">
        <v>242</v>
      </c>
      <c r="Q1966" s="10" t="s">
        <v>242</v>
      </c>
      <c r="R1966" s="10" t="s">
        <v>242</v>
      </c>
      <c r="S1966" s="10" t="s">
        <v>241</v>
      </c>
      <c r="T1966" s="10" t="s">
        <v>242</v>
      </c>
      <c r="U1966" s="10" t="s">
        <v>242</v>
      </c>
      <c r="V1966" s="10" t="s">
        <v>242</v>
      </c>
      <c r="W1966" s="10" t="s">
        <v>242</v>
      </c>
      <c r="X1966" s="15">
        <f>IF(ISERROR(VLOOKUP($A1966,'13. Updated Demand'!A:Z,15,FALSE)),0,VLOOKUP($A1966,'13. Updated Demand'!A:Z,15,FALSE))</f>
        <v>0</v>
      </c>
      <c r="Y1966" s="16">
        <f>IF(ISERROR(VLOOKUP($A1966,'13. Updated Demand'!A:Z,16,FALSE)),0,VLOOKUP($A1966,'13. Updated Demand'!A:Z,16,FALSE))</f>
        <v>0</v>
      </c>
      <c r="Z1966" s="16">
        <f>IF(ISERROR(VLOOKUP($A1966,'13. Updated Demand'!A:Z,17,FALSE)),0,VLOOKUP($A1966,'13. Updated Demand'!A:Z,17,FALSE))</f>
        <v>0</v>
      </c>
      <c r="AA1966" s="16">
        <f>IF(ISERROR(VLOOKUP($A1966,'13. Updated Demand'!A:Z,18,FALSE)),0,VLOOKUP($A1966,'13. Updated Demand'!A:Z,18,FALSE))</f>
        <v>0.4</v>
      </c>
      <c r="AB1966" s="16">
        <f>IF(ISERROR(VLOOKUP($A1966,'13. Updated Demand'!A:Z,19,FALSE)),0,VLOOKUP($A1966,'13. Updated Demand'!A:Z,19,FALSE))</f>
        <v>0.66</v>
      </c>
      <c r="AC1966" s="16">
        <f>IF(ISERROR(VLOOKUP($A1966,'13. Updated Demand'!A:Z,20,FALSE)),0,VLOOKUP($A1966,'13. Updated Demand'!A:Z,20,FALSE))</f>
        <v>0</v>
      </c>
      <c r="AD1966" s="16">
        <f>IF(ISERROR(VLOOKUP($A1966,'13. Updated Demand'!A:Z,21,FALSE)),0,VLOOKUP($A1966,'13. Updated Demand'!A:Z,21,FALSE))</f>
        <v>1.06</v>
      </c>
      <c r="AE1966" s="16">
        <f>IF(ISERROR(VLOOKUP($A1966,'13. Updated Demand'!A:Z,22,FALSE)),0,VLOOKUP($A1966,'13. Updated Demand'!A:Z,22,FALSE))</f>
        <v>1.1000000000000001</v>
      </c>
      <c r="AF1966" s="16">
        <f>IF(ISERROR(VLOOKUP($A1966,'13. Updated Demand'!A:Z,23,FALSE)),0,VLOOKUP($A1966,'13. Updated Demand'!A:Z,23,FALSE))</f>
        <v>3.36</v>
      </c>
      <c r="AG1966" s="16">
        <f>IF(ISERROR(VLOOKUP($A1966,'13. Updated Demand'!A:Z,24,FALSE)),0,VLOOKUP($A1966,'13. Updated Demand'!A:Z,24,FALSE))</f>
        <v>1.23</v>
      </c>
      <c r="AH1966" s="16">
        <f>IF(ISERROR(VLOOKUP($A1966,'13. Updated Demand'!A:Z,25,FALSE)),0,VLOOKUP($A1966,'13. Updated Demand'!A:Z,25,FALSE))</f>
        <v>2.4300000000000002</v>
      </c>
      <c r="AI1966" s="16">
        <f>IF(ISERROR(VLOOKUP($A1966,'13. Updated Demand'!A:Z,26,FALSE)),0,VLOOKUP($A1966,'13. Updated Demand'!A:Z,26,FALSE))</f>
        <v>3.33</v>
      </c>
      <c r="AJ1966" s="16">
        <f t="shared" si="373"/>
        <v>13.57</v>
      </c>
      <c r="AK1966" s="19">
        <v>6.2000000000000064</v>
      </c>
      <c r="AL1966" s="16">
        <f t="shared" si="371"/>
        <v>2.0564693753632179E-2</v>
      </c>
      <c r="AM1966" s="26">
        <v>0.73513513513513495</v>
      </c>
      <c r="AN1966" s="19">
        <v>18.5</v>
      </c>
      <c r="AO1966" s="19" t="s">
        <v>1758</v>
      </c>
      <c r="AP1966" s="19">
        <v>0</v>
      </c>
      <c r="AQ1966" s="19" t="s">
        <v>307</v>
      </c>
      <c r="AR1966" s="9" t="s">
        <v>436</v>
      </c>
      <c r="AS1966" s="12">
        <v>0</v>
      </c>
      <c r="AT1966" s="19">
        <v>38.705399999999997</v>
      </c>
      <c r="AU1966" s="19">
        <v>-122.82299999999999</v>
      </c>
      <c r="AV1966" s="19"/>
    </row>
    <row r="1967" spans="1:48" x14ac:dyDescent="0.25">
      <c r="A1967" s="18" t="s">
        <v>2395</v>
      </c>
      <c r="B1967" s="10">
        <v>10000000</v>
      </c>
      <c r="C1967" s="9">
        <v>16</v>
      </c>
      <c r="D1967" s="8" t="str">
        <f t="shared" si="362"/>
        <v>N</v>
      </c>
      <c r="E1967" s="8" t="str">
        <f t="shared" si="363"/>
        <v>N</v>
      </c>
      <c r="F1967" s="8" t="str">
        <f t="shared" si="364"/>
        <v>N</v>
      </c>
      <c r="G1967" s="8" t="str">
        <f t="shared" si="365"/>
        <v>N</v>
      </c>
      <c r="H1967" s="8" t="str">
        <f t="shared" si="366"/>
        <v>Lower</v>
      </c>
      <c r="I1967" s="8" t="str">
        <f t="shared" si="367"/>
        <v>Outside</v>
      </c>
      <c r="J1967" s="8" t="str">
        <f t="shared" si="368"/>
        <v>Outside</v>
      </c>
      <c r="K1967" s="8" t="str">
        <f t="shared" si="369"/>
        <v>Riparian</v>
      </c>
      <c r="L1967" s="8">
        <f t="shared" si="370"/>
        <v>1000</v>
      </c>
      <c r="M1967" s="8" t="str">
        <f t="shared" si="372"/>
        <v>-</v>
      </c>
      <c r="N1967" s="10" t="s">
        <v>242</v>
      </c>
      <c r="O1967" s="10" t="s">
        <v>242</v>
      </c>
      <c r="P1967" s="10" t="s">
        <v>242</v>
      </c>
      <c r="Q1967" s="10" t="s">
        <v>242</v>
      </c>
      <c r="R1967" s="10" t="s">
        <v>242</v>
      </c>
      <c r="S1967" s="10" t="s">
        <v>241</v>
      </c>
      <c r="T1967" s="10" t="s">
        <v>242</v>
      </c>
      <c r="U1967" s="10" t="s">
        <v>242</v>
      </c>
      <c r="V1967" s="10" t="s">
        <v>242</v>
      </c>
      <c r="W1967" s="10" t="s">
        <v>242</v>
      </c>
      <c r="X1967" s="15">
        <f>IF(ISERROR(VLOOKUP($A1967,'13. Updated Demand'!A:Z,15,FALSE)),0,VLOOKUP($A1967,'13. Updated Demand'!A:Z,15,FALSE))</f>
        <v>0</v>
      </c>
      <c r="Y1967" s="16">
        <f>IF(ISERROR(VLOOKUP($A1967,'13. Updated Demand'!A:Z,16,FALSE)),0,VLOOKUP($A1967,'13. Updated Demand'!A:Z,16,FALSE))</f>
        <v>0</v>
      </c>
      <c r="Z1967" s="16">
        <f>IF(ISERROR(VLOOKUP($A1967,'13. Updated Demand'!A:Z,17,FALSE)),0,VLOOKUP($A1967,'13. Updated Demand'!A:Z,17,FALSE))</f>
        <v>0</v>
      </c>
      <c r="AA1967" s="16">
        <f>IF(ISERROR(VLOOKUP($A1967,'13. Updated Demand'!A:Z,18,FALSE)),0,VLOOKUP($A1967,'13. Updated Demand'!A:Z,18,FALSE))</f>
        <v>0</v>
      </c>
      <c r="AB1967" s="16">
        <f>IF(ISERROR(VLOOKUP($A1967,'13. Updated Demand'!A:Z,19,FALSE)),0,VLOOKUP($A1967,'13. Updated Demand'!A:Z,19,FALSE))</f>
        <v>0.161</v>
      </c>
      <c r="AC1967" s="16">
        <f>IF(ISERROR(VLOOKUP($A1967,'13. Updated Demand'!A:Z,20,FALSE)),0,VLOOKUP($A1967,'13. Updated Demand'!A:Z,20,FALSE))</f>
        <v>9.2999999999999999E-2</v>
      </c>
      <c r="AD1967" s="16">
        <f>IF(ISERROR(VLOOKUP($A1967,'13. Updated Demand'!A:Z,21,FALSE)),0,VLOOKUP($A1967,'13. Updated Demand'!A:Z,21,FALSE))</f>
        <v>0.14499999999999999</v>
      </c>
      <c r="AE1967" s="16">
        <f>IF(ISERROR(VLOOKUP($A1967,'13. Updated Demand'!A:Z,22,FALSE)),0,VLOOKUP($A1967,'13. Updated Demand'!A:Z,22,FALSE))</f>
        <v>0.14499999999999999</v>
      </c>
      <c r="AF1967" s="16">
        <f>IF(ISERROR(VLOOKUP($A1967,'13. Updated Demand'!A:Z,23,FALSE)),0,VLOOKUP($A1967,'13. Updated Demand'!A:Z,23,FALSE))</f>
        <v>1.2250000000000001</v>
      </c>
      <c r="AG1967" s="16">
        <f>IF(ISERROR(VLOOKUP($A1967,'13. Updated Demand'!A:Z,24,FALSE)),0,VLOOKUP($A1967,'13. Updated Demand'!A:Z,24,FALSE))</f>
        <v>0</v>
      </c>
      <c r="AH1967" s="16">
        <f>IF(ISERROR(VLOOKUP($A1967,'13. Updated Demand'!A:Z,25,FALSE)),0,VLOOKUP($A1967,'13. Updated Demand'!A:Z,25,FALSE))</f>
        <v>0</v>
      </c>
      <c r="AI1967" s="16">
        <f>IF(ISERROR(VLOOKUP($A1967,'13. Updated Demand'!A:Z,26,FALSE)),0,VLOOKUP($A1967,'13. Updated Demand'!A:Z,26,FALSE))</f>
        <v>0</v>
      </c>
      <c r="AJ1967" s="16">
        <f t="shared" si="373"/>
        <v>1.7690000000000001</v>
      </c>
      <c r="AK1967" s="19">
        <v>1.7690000000000001</v>
      </c>
      <c r="AL1967" s="16">
        <f t="shared" si="371"/>
        <v>5.8675714919637564E-3</v>
      </c>
      <c r="AM1967" s="26">
        <v>3.7569553582805933E-3</v>
      </c>
      <c r="AN1967" s="19">
        <v>470.86</v>
      </c>
      <c r="AO1967" s="19" t="s">
        <v>1758</v>
      </c>
      <c r="AP1967" s="19">
        <v>0</v>
      </c>
      <c r="AQ1967" s="19" t="s">
        <v>307</v>
      </c>
      <c r="AR1967" s="9" t="s">
        <v>394</v>
      </c>
      <c r="AS1967" s="12">
        <v>0</v>
      </c>
      <c r="AT1967" s="19">
        <v>38.6312</v>
      </c>
      <c r="AU1967" s="19">
        <v>-122.8982</v>
      </c>
      <c r="AV1967" s="19" t="s">
        <v>701</v>
      </c>
    </row>
    <row r="1968" spans="1:48" x14ac:dyDescent="0.25">
      <c r="A1968" s="18" t="s">
        <v>2396</v>
      </c>
      <c r="B1968" s="10">
        <v>10000000</v>
      </c>
      <c r="C1968" s="9">
        <v>6</v>
      </c>
      <c r="D1968" s="8" t="str">
        <f t="shared" si="362"/>
        <v>Y</v>
      </c>
      <c r="E1968" s="8" t="str">
        <f t="shared" si="363"/>
        <v>N</v>
      </c>
      <c r="F1968" s="8" t="str">
        <f t="shared" si="364"/>
        <v>Y</v>
      </c>
      <c r="G1968" s="8" t="str">
        <f t="shared" si="365"/>
        <v>Y</v>
      </c>
      <c r="H1968" s="8" t="str">
        <f t="shared" si="366"/>
        <v>Upper</v>
      </c>
      <c r="I1968" s="8" t="str">
        <f t="shared" si="367"/>
        <v>West Fork and Below Lake</v>
      </c>
      <c r="J1968" s="8" t="str">
        <f t="shared" si="368"/>
        <v>Mendocino (d/s of lake)</v>
      </c>
      <c r="K1968" s="8" t="str">
        <f t="shared" si="369"/>
        <v>Riparian</v>
      </c>
      <c r="L1968" s="8">
        <f t="shared" si="370"/>
        <v>1000</v>
      </c>
      <c r="M1968" s="8" t="str">
        <f t="shared" si="372"/>
        <v>-</v>
      </c>
      <c r="N1968" s="10" t="s">
        <v>242</v>
      </c>
      <c r="O1968" s="10" t="s">
        <v>241</v>
      </c>
      <c r="P1968" s="10" t="s">
        <v>242</v>
      </c>
      <c r="Q1968" s="10" t="s">
        <v>242</v>
      </c>
      <c r="R1968" s="10" t="s">
        <v>242</v>
      </c>
      <c r="S1968" s="10" t="s">
        <v>241</v>
      </c>
      <c r="T1968" s="10" t="s">
        <v>242</v>
      </c>
      <c r="U1968" s="10" t="s">
        <v>242</v>
      </c>
      <c r="V1968" s="10" t="s">
        <v>241</v>
      </c>
      <c r="W1968" s="10" t="s">
        <v>242</v>
      </c>
      <c r="X1968" s="15">
        <f>IF(ISERROR(VLOOKUP($A1968,'13. Updated Demand'!A:Z,15,FALSE)),0,VLOOKUP($A1968,'13. Updated Demand'!A:Z,15,FALSE))</f>
        <v>1.78</v>
      </c>
      <c r="Y1968" s="16">
        <f>IF(ISERROR(VLOOKUP($A1968,'13. Updated Demand'!A:Z,16,FALSE)),0,VLOOKUP($A1968,'13. Updated Demand'!A:Z,16,FALSE))</f>
        <v>0.48</v>
      </c>
      <c r="Z1968" s="16">
        <f>IF(ISERROR(VLOOKUP($A1968,'13. Updated Demand'!A:Z,17,FALSE)),0,VLOOKUP($A1968,'13. Updated Demand'!A:Z,17,FALSE))</f>
        <v>0.63</v>
      </c>
      <c r="AA1968" s="16">
        <f>IF(ISERROR(VLOOKUP($A1968,'13. Updated Demand'!A:Z,18,FALSE)),0,VLOOKUP($A1968,'13. Updated Demand'!A:Z,18,FALSE))</f>
        <v>0.56000000000000005</v>
      </c>
      <c r="AB1968" s="16">
        <f>IF(ISERROR(VLOOKUP($A1968,'13. Updated Demand'!A:Z,19,FALSE)),0,VLOOKUP($A1968,'13. Updated Demand'!A:Z,19,FALSE))</f>
        <v>0</v>
      </c>
      <c r="AC1968" s="16">
        <f>IF(ISERROR(VLOOKUP($A1968,'13. Updated Demand'!A:Z,20,FALSE)),0,VLOOKUP($A1968,'13. Updated Demand'!A:Z,20,FALSE))</f>
        <v>0</v>
      </c>
      <c r="AD1968" s="16">
        <f>IF(ISERROR(VLOOKUP($A1968,'13. Updated Demand'!A:Z,21,FALSE)),0,VLOOKUP($A1968,'13. Updated Demand'!A:Z,21,FALSE))</f>
        <v>0</v>
      </c>
      <c r="AE1968" s="16">
        <f>IF(ISERROR(VLOOKUP($A1968,'13. Updated Demand'!A:Z,22,FALSE)),0,VLOOKUP($A1968,'13. Updated Demand'!A:Z,22,FALSE))</f>
        <v>0</v>
      </c>
      <c r="AF1968" s="16">
        <f>IF(ISERROR(VLOOKUP($A1968,'13. Updated Demand'!A:Z,23,FALSE)),0,VLOOKUP($A1968,'13. Updated Demand'!A:Z,23,FALSE))</f>
        <v>0</v>
      </c>
      <c r="AG1968" s="16">
        <f>IF(ISERROR(VLOOKUP($A1968,'13. Updated Demand'!A:Z,24,FALSE)),0,VLOOKUP($A1968,'13. Updated Demand'!A:Z,24,FALSE))</f>
        <v>0</v>
      </c>
      <c r="AH1968" s="16">
        <f>IF(ISERROR(VLOOKUP($A1968,'13. Updated Demand'!A:Z,25,FALSE)),0,VLOOKUP($A1968,'13. Updated Demand'!A:Z,25,FALSE))</f>
        <v>0.2</v>
      </c>
      <c r="AI1968" s="16">
        <f>IF(ISERROR(VLOOKUP($A1968,'13. Updated Demand'!A:Z,26,FALSE)),0,VLOOKUP($A1968,'13. Updated Demand'!A:Z,26,FALSE))</f>
        <v>0.89</v>
      </c>
      <c r="AJ1968" s="16">
        <f t="shared" si="373"/>
        <v>4.54</v>
      </c>
      <c r="AK1968" s="19">
        <v>0</v>
      </c>
      <c r="AL1968" s="16">
        <f t="shared" si="371"/>
        <v>0</v>
      </c>
      <c r="AM1968" s="26">
        <v>0.57552742620253161</v>
      </c>
      <c r="AN1968" s="19">
        <v>7.9</v>
      </c>
      <c r="AO1968" s="19" t="s">
        <v>1758</v>
      </c>
      <c r="AP1968" s="19">
        <v>0</v>
      </c>
      <c r="AQ1968" s="19" t="s">
        <v>307</v>
      </c>
      <c r="AR1968" s="9" t="s">
        <v>319</v>
      </c>
      <c r="AS1968" s="12">
        <v>0</v>
      </c>
      <c r="AT1968" s="19">
        <v>38.958199999999998</v>
      </c>
      <c r="AU1968" s="19">
        <v>-123.02549999999999</v>
      </c>
      <c r="AV1968" s="19"/>
    </row>
    <row r="1969" spans="1:48" x14ac:dyDescent="0.25">
      <c r="A1969" s="18" t="s">
        <v>2397</v>
      </c>
      <c r="B1969" s="10">
        <v>10000000</v>
      </c>
      <c r="C1969" s="9">
        <v>16</v>
      </c>
      <c r="D1969" s="8" t="str">
        <f t="shared" si="362"/>
        <v>N</v>
      </c>
      <c r="E1969" s="8" t="str">
        <f t="shared" si="363"/>
        <v>N</v>
      </c>
      <c r="F1969" s="8" t="str">
        <f t="shared" si="364"/>
        <v>N</v>
      </c>
      <c r="G1969" s="8" t="str">
        <f t="shared" si="365"/>
        <v>N</v>
      </c>
      <c r="H1969" s="8" t="str">
        <f t="shared" si="366"/>
        <v>Lower</v>
      </c>
      <c r="I1969" s="8" t="str">
        <f t="shared" si="367"/>
        <v>Outside</v>
      </c>
      <c r="J1969" s="8" t="str">
        <f t="shared" si="368"/>
        <v>Outside</v>
      </c>
      <c r="K1969" s="8" t="str">
        <f t="shared" si="369"/>
        <v>Riparian</v>
      </c>
      <c r="L1969" s="8">
        <f t="shared" si="370"/>
        <v>1000</v>
      </c>
      <c r="M1969" s="8" t="str">
        <f t="shared" si="372"/>
        <v>-</v>
      </c>
      <c r="N1969" s="10" t="s">
        <v>242</v>
      </c>
      <c r="O1969" s="10" t="s">
        <v>242</v>
      </c>
      <c r="P1969" s="10" t="s">
        <v>242</v>
      </c>
      <c r="Q1969" s="10" t="s">
        <v>242</v>
      </c>
      <c r="R1969" s="10" t="s">
        <v>242</v>
      </c>
      <c r="S1969" s="10" t="s">
        <v>241</v>
      </c>
      <c r="T1969" s="10" t="s">
        <v>242</v>
      </c>
      <c r="U1969" s="10" t="s">
        <v>242</v>
      </c>
      <c r="V1969" s="10" t="s">
        <v>242</v>
      </c>
      <c r="W1969" s="10" t="s">
        <v>242</v>
      </c>
      <c r="X1969" s="15">
        <f>IF(ISERROR(VLOOKUP($A1969,'13. Updated Demand'!A:Z,15,FALSE)),0,VLOOKUP($A1969,'13. Updated Demand'!A:Z,15,FALSE))</f>
        <v>1.6372332999999999E-2</v>
      </c>
      <c r="Y1969" s="16">
        <f>IF(ISERROR(VLOOKUP($A1969,'13. Updated Demand'!A:Z,16,FALSE)),0,VLOOKUP($A1969,'13. Updated Demand'!A:Z,16,FALSE))</f>
        <v>1.6372332999999999E-2</v>
      </c>
      <c r="Z1969" s="16">
        <f>IF(ISERROR(VLOOKUP($A1969,'13. Updated Demand'!A:Z,17,FALSE)),0,VLOOKUP($A1969,'13. Updated Demand'!A:Z,17,FALSE))</f>
        <v>1.6372332999999999E-2</v>
      </c>
      <c r="AA1969" s="16">
        <f>IF(ISERROR(VLOOKUP($A1969,'13. Updated Demand'!A:Z,18,FALSE)),0,VLOOKUP($A1969,'13. Updated Demand'!A:Z,18,FALSE))</f>
        <v>1.6372332999999999E-2</v>
      </c>
      <c r="AB1969" s="16">
        <f>IF(ISERROR(VLOOKUP($A1969,'13. Updated Demand'!A:Z,19,FALSE)),0,VLOOKUP($A1969,'13. Updated Demand'!A:Z,19,FALSE))</f>
        <v>8.1861666999999999E-2</v>
      </c>
      <c r="AC1969" s="16">
        <f>IF(ISERROR(VLOOKUP($A1969,'13. Updated Demand'!A:Z,20,FALSE)),0,VLOOKUP($A1969,'13. Updated Demand'!A:Z,20,FALSE))</f>
        <v>8.1861666999999999E-2</v>
      </c>
      <c r="AD1969" s="16">
        <f>IF(ISERROR(VLOOKUP($A1969,'13. Updated Demand'!A:Z,21,FALSE)),0,VLOOKUP($A1969,'13. Updated Demand'!A:Z,21,FALSE))</f>
        <v>8.1861666999999999E-2</v>
      </c>
      <c r="AE1969" s="16">
        <f>IF(ISERROR(VLOOKUP($A1969,'13. Updated Demand'!A:Z,22,FALSE)),0,VLOOKUP($A1969,'13. Updated Demand'!A:Z,22,FALSE))</f>
        <v>8.1861666999999999E-2</v>
      </c>
      <c r="AF1969" s="16">
        <f>IF(ISERROR(VLOOKUP($A1969,'13. Updated Demand'!A:Z,23,FALSE)),0,VLOOKUP($A1969,'13. Updated Demand'!A:Z,23,FALSE))</f>
        <v>8.1861666999999999E-2</v>
      </c>
      <c r="AG1969" s="16">
        <f>IF(ISERROR(VLOOKUP($A1969,'13. Updated Demand'!A:Z,24,FALSE)),0,VLOOKUP($A1969,'13. Updated Demand'!A:Z,24,FALSE))</f>
        <v>8.1861666999999999E-2</v>
      </c>
      <c r="AH1969" s="16">
        <f>IF(ISERROR(VLOOKUP($A1969,'13. Updated Demand'!A:Z,25,FALSE)),0,VLOOKUP($A1969,'13. Updated Demand'!A:Z,25,FALSE))</f>
        <v>1.6372332999999999E-2</v>
      </c>
      <c r="AI1969" s="16">
        <f>IF(ISERROR(VLOOKUP($A1969,'13. Updated Demand'!A:Z,26,FALSE)),0,VLOOKUP($A1969,'13. Updated Demand'!A:Z,26,FALSE))</f>
        <v>1.6372332999999999E-2</v>
      </c>
      <c r="AJ1969" s="16">
        <f t="shared" si="373"/>
        <v>0.58940399999999982</v>
      </c>
      <c r="AK1969" s="19">
        <v>0.40930833499999997</v>
      </c>
      <c r="AL1969" s="16">
        <f t="shared" si="371"/>
        <v>1.357629122594206E-3</v>
      </c>
      <c r="AM1969" s="26">
        <v>2.9587068922242853E-2</v>
      </c>
      <c r="AN1969" s="19">
        <v>19.920999999999999</v>
      </c>
      <c r="AO1969" s="19" t="s">
        <v>1758</v>
      </c>
      <c r="AP1969" s="19">
        <v>0</v>
      </c>
      <c r="AQ1969" s="19" t="s">
        <v>307</v>
      </c>
      <c r="AR1969" s="9" t="s">
        <v>394</v>
      </c>
      <c r="AS1969" s="12">
        <v>3.4039024194010059E-4</v>
      </c>
      <c r="AT1969" s="19">
        <v>38.583499969999998</v>
      </c>
      <c r="AU1969" s="19">
        <v>-122.88766941999999</v>
      </c>
      <c r="AV1969" s="19" t="s">
        <v>932</v>
      </c>
    </row>
    <row r="1970" spans="1:48" x14ac:dyDescent="0.25">
      <c r="A1970" s="18" t="s">
        <v>2398</v>
      </c>
      <c r="B1970" s="10">
        <v>10000000</v>
      </c>
      <c r="C1970" s="9">
        <v>6</v>
      </c>
      <c r="D1970" s="8" t="str">
        <f t="shared" si="362"/>
        <v>Y</v>
      </c>
      <c r="E1970" s="8" t="str">
        <f t="shared" si="363"/>
        <v>N</v>
      </c>
      <c r="F1970" s="8" t="str">
        <f t="shared" si="364"/>
        <v>Y</v>
      </c>
      <c r="G1970" s="8" t="str">
        <f t="shared" si="365"/>
        <v>Y</v>
      </c>
      <c r="H1970" s="8" t="str">
        <f t="shared" si="366"/>
        <v>Upper</v>
      </c>
      <c r="I1970" s="8" t="str">
        <f t="shared" si="367"/>
        <v>West Fork and Below Lake</v>
      </c>
      <c r="J1970" s="8" t="str">
        <f t="shared" si="368"/>
        <v>Mendocino (d/s of lake)</v>
      </c>
      <c r="K1970" s="8" t="str">
        <f t="shared" si="369"/>
        <v>Riparian</v>
      </c>
      <c r="L1970" s="8">
        <f t="shared" si="370"/>
        <v>1000</v>
      </c>
      <c r="M1970" s="8" t="str">
        <f t="shared" si="372"/>
        <v>-</v>
      </c>
      <c r="N1970" s="10" t="s">
        <v>242</v>
      </c>
      <c r="O1970" s="10" t="s">
        <v>241</v>
      </c>
      <c r="P1970" s="10" t="s">
        <v>242</v>
      </c>
      <c r="Q1970" s="10" t="s">
        <v>242</v>
      </c>
      <c r="R1970" s="10" t="s">
        <v>242</v>
      </c>
      <c r="S1970" s="10" t="s">
        <v>241</v>
      </c>
      <c r="T1970" s="10" t="s">
        <v>242</v>
      </c>
      <c r="U1970" s="10" t="s">
        <v>242</v>
      </c>
      <c r="V1970" s="10" t="s">
        <v>241</v>
      </c>
      <c r="W1970" s="10" t="s">
        <v>242</v>
      </c>
      <c r="X1970" s="15">
        <f>IF(ISERROR(VLOOKUP($A1970,'13. Updated Demand'!A:Z,15,FALSE)),0,VLOOKUP($A1970,'13. Updated Demand'!A:Z,15,FALSE))</f>
        <v>3.02</v>
      </c>
      <c r="Y1970" s="16">
        <f>IF(ISERROR(VLOOKUP($A1970,'13. Updated Demand'!A:Z,16,FALSE)),0,VLOOKUP($A1970,'13. Updated Demand'!A:Z,16,FALSE))</f>
        <v>0.83</v>
      </c>
      <c r="Z1970" s="16">
        <f>IF(ISERROR(VLOOKUP($A1970,'13. Updated Demand'!A:Z,17,FALSE)),0,VLOOKUP($A1970,'13. Updated Demand'!A:Z,17,FALSE))</f>
        <v>1.07</v>
      </c>
      <c r="AA1970" s="16">
        <f>IF(ISERROR(VLOOKUP($A1970,'13. Updated Demand'!A:Z,18,FALSE)),0,VLOOKUP($A1970,'13. Updated Demand'!A:Z,18,FALSE))</f>
        <v>0.95</v>
      </c>
      <c r="AB1970" s="16">
        <f>IF(ISERROR(VLOOKUP($A1970,'13. Updated Demand'!A:Z,19,FALSE)),0,VLOOKUP($A1970,'13. Updated Demand'!A:Z,19,FALSE))</f>
        <v>0</v>
      </c>
      <c r="AC1970" s="16">
        <f>IF(ISERROR(VLOOKUP($A1970,'13. Updated Demand'!A:Z,20,FALSE)),0,VLOOKUP($A1970,'13. Updated Demand'!A:Z,20,FALSE))</f>
        <v>0</v>
      </c>
      <c r="AD1970" s="16">
        <f>IF(ISERROR(VLOOKUP($A1970,'13. Updated Demand'!A:Z,21,FALSE)),0,VLOOKUP($A1970,'13. Updated Demand'!A:Z,21,FALSE))</f>
        <v>0</v>
      </c>
      <c r="AE1970" s="16">
        <f>IF(ISERROR(VLOOKUP($A1970,'13. Updated Demand'!A:Z,22,FALSE)),0,VLOOKUP($A1970,'13. Updated Demand'!A:Z,22,FALSE))</f>
        <v>0</v>
      </c>
      <c r="AF1970" s="16">
        <f>IF(ISERROR(VLOOKUP($A1970,'13. Updated Demand'!A:Z,23,FALSE)),0,VLOOKUP($A1970,'13. Updated Demand'!A:Z,23,FALSE))</f>
        <v>0</v>
      </c>
      <c r="AG1970" s="16">
        <f>IF(ISERROR(VLOOKUP($A1970,'13. Updated Demand'!A:Z,24,FALSE)),0,VLOOKUP($A1970,'13. Updated Demand'!A:Z,24,FALSE))</f>
        <v>0</v>
      </c>
      <c r="AH1970" s="16">
        <f>IF(ISERROR(VLOOKUP($A1970,'13. Updated Demand'!A:Z,25,FALSE)),0,VLOOKUP($A1970,'13. Updated Demand'!A:Z,25,FALSE))</f>
        <v>0.6</v>
      </c>
      <c r="AI1970" s="16">
        <f>IF(ISERROR(VLOOKUP($A1970,'13. Updated Demand'!A:Z,26,FALSE)),0,VLOOKUP($A1970,'13. Updated Demand'!A:Z,26,FALSE))</f>
        <v>1.78</v>
      </c>
      <c r="AJ1970" s="16">
        <f t="shared" si="373"/>
        <v>8.25</v>
      </c>
      <c r="AK1970" s="19">
        <v>0</v>
      </c>
      <c r="AL1970" s="16">
        <f t="shared" si="371"/>
        <v>0</v>
      </c>
      <c r="AM1970" s="26">
        <v>0.61840796029850753</v>
      </c>
      <c r="AN1970" s="19">
        <v>13.4</v>
      </c>
      <c r="AO1970" s="19" t="s">
        <v>1758</v>
      </c>
      <c r="AP1970" s="19">
        <v>0</v>
      </c>
      <c r="AQ1970" s="19" t="s">
        <v>307</v>
      </c>
      <c r="AR1970" s="9" t="s">
        <v>319</v>
      </c>
      <c r="AS1970" s="12">
        <v>0</v>
      </c>
      <c r="AT1970" s="19">
        <v>38.9619</v>
      </c>
      <c r="AU1970" s="19">
        <v>-123.02670000000001</v>
      </c>
      <c r="AV1970" s="19"/>
    </row>
    <row r="1971" spans="1:48" x14ac:dyDescent="0.25">
      <c r="A1971" s="18" t="s">
        <v>2399</v>
      </c>
      <c r="B1971" s="10">
        <v>10000000</v>
      </c>
      <c r="C1971" s="9">
        <v>6</v>
      </c>
      <c r="D1971" s="8" t="str">
        <f t="shared" si="362"/>
        <v>Y</v>
      </c>
      <c r="E1971" s="8" t="str">
        <f t="shared" si="363"/>
        <v>N</v>
      </c>
      <c r="F1971" s="8" t="str">
        <f t="shared" si="364"/>
        <v>Y</v>
      </c>
      <c r="G1971" s="8" t="str">
        <f t="shared" si="365"/>
        <v>Y</v>
      </c>
      <c r="H1971" s="8" t="str">
        <f t="shared" si="366"/>
        <v>Upper</v>
      </c>
      <c r="I1971" s="8" t="str">
        <f t="shared" si="367"/>
        <v>West Fork and Below Lake</v>
      </c>
      <c r="J1971" s="8" t="str">
        <f t="shared" si="368"/>
        <v>Mendocino (d/s of lake)</v>
      </c>
      <c r="K1971" s="8" t="str">
        <f t="shared" si="369"/>
        <v>Riparian</v>
      </c>
      <c r="L1971" s="8">
        <f t="shared" si="370"/>
        <v>1000</v>
      </c>
      <c r="M1971" s="8" t="str">
        <f t="shared" si="372"/>
        <v>-</v>
      </c>
      <c r="N1971" s="10" t="s">
        <v>242</v>
      </c>
      <c r="O1971" s="10" t="s">
        <v>241</v>
      </c>
      <c r="P1971" s="10" t="s">
        <v>242</v>
      </c>
      <c r="Q1971" s="10" t="s">
        <v>242</v>
      </c>
      <c r="R1971" s="10" t="s">
        <v>242</v>
      </c>
      <c r="S1971" s="10" t="s">
        <v>241</v>
      </c>
      <c r="T1971" s="10" t="s">
        <v>242</v>
      </c>
      <c r="U1971" s="10" t="s">
        <v>242</v>
      </c>
      <c r="V1971" s="10" t="s">
        <v>242</v>
      </c>
      <c r="W1971" s="10" t="s">
        <v>242</v>
      </c>
      <c r="X1971" s="15">
        <f>IF(ISERROR(VLOOKUP($A1971,'13. Updated Demand'!A:Z,15,FALSE)),0,VLOOKUP($A1971,'13. Updated Demand'!A:Z,15,FALSE))</f>
        <v>0.01</v>
      </c>
      <c r="Y1971" s="16">
        <f>IF(ISERROR(VLOOKUP($A1971,'13. Updated Demand'!A:Z,16,FALSE)),0,VLOOKUP($A1971,'13. Updated Demand'!A:Z,16,FALSE))</f>
        <v>0.04</v>
      </c>
      <c r="Z1971" s="16">
        <f>IF(ISERROR(VLOOKUP($A1971,'13. Updated Demand'!A:Z,17,FALSE)),0,VLOOKUP($A1971,'13. Updated Demand'!A:Z,17,FALSE))</f>
        <v>0.04</v>
      </c>
      <c r="AA1971" s="16">
        <f>IF(ISERROR(VLOOKUP($A1971,'13. Updated Demand'!A:Z,18,FALSE)),0,VLOOKUP($A1971,'13. Updated Demand'!A:Z,18,FALSE))</f>
        <v>3.333333E-3</v>
      </c>
      <c r="AB1971" s="16">
        <f>IF(ISERROR(VLOOKUP($A1971,'13. Updated Demand'!A:Z,19,FALSE)),0,VLOOKUP($A1971,'13. Updated Demand'!A:Z,19,FALSE))</f>
        <v>3.333333E-3</v>
      </c>
      <c r="AC1971" s="16">
        <f>IF(ISERROR(VLOOKUP($A1971,'13. Updated Demand'!A:Z,20,FALSE)),0,VLOOKUP($A1971,'13. Updated Demand'!A:Z,20,FALSE))</f>
        <v>0</v>
      </c>
      <c r="AD1971" s="16">
        <f>IF(ISERROR(VLOOKUP($A1971,'13. Updated Demand'!A:Z,21,FALSE)),0,VLOOKUP($A1971,'13. Updated Demand'!A:Z,21,FALSE))</f>
        <v>0</v>
      </c>
      <c r="AE1971" s="16">
        <f>IF(ISERROR(VLOOKUP($A1971,'13. Updated Demand'!A:Z,22,FALSE)),0,VLOOKUP($A1971,'13. Updated Demand'!A:Z,22,FALSE))</f>
        <v>0</v>
      </c>
      <c r="AF1971" s="16">
        <f>IF(ISERROR(VLOOKUP($A1971,'13. Updated Demand'!A:Z,23,FALSE)),0,VLOOKUP($A1971,'13. Updated Demand'!A:Z,23,FALSE))</f>
        <v>0</v>
      </c>
      <c r="AG1971" s="16">
        <f>IF(ISERROR(VLOOKUP($A1971,'13. Updated Demand'!A:Z,24,FALSE)),0,VLOOKUP($A1971,'13. Updated Demand'!A:Z,24,FALSE))</f>
        <v>0</v>
      </c>
      <c r="AH1971" s="16">
        <f>IF(ISERROR(VLOOKUP($A1971,'13. Updated Demand'!A:Z,25,FALSE)),0,VLOOKUP($A1971,'13. Updated Demand'!A:Z,25,FALSE))</f>
        <v>0</v>
      </c>
      <c r="AI1971" s="16">
        <f>IF(ISERROR(VLOOKUP($A1971,'13. Updated Demand'!A:Z,26,FALSE)),0,VLOOKUP($A1971,'13. Updated Demand'!A:Z,26,FALSE))</f>
        <v>0</v>
      </c>
      <c r="AJ1971" s="16">
        <f t="shared" si="373"/>
        <v>9.6666665999999984E-2</v>
      </c>
      <c r="AK1971" s="19">
        <v>3.333333E-3</v>
      </c>
      <c r="AL1971" s="16">
        <f t="shared" si="371"/>
        <v>1.1056285858689666E-5</v>
      </c>
      <c r="AM1971" s="26">
        <v>1.871345E-2</v>
      </c>
      <c r="AN1971" s="19">
        <v>5.7</v>
      </c>
      <c r="AO1971" s="19" t="s">
        <v>1758</v>
      </c>
      <c r="AP1971" s="19">
        <v>0</v>
      </c>
      <c r="AQ1971" s="19" t="s">
        <v>307</v>
      </c>
      <c r="AR1971" s="9" t="s">
        <v>319</v>
      </c>
      <c r="AS1971" s="12">
        <v>0</v>
      </c>
      <c r="AT1971" s="19">
        <v>38.965000000000003</v>
      </c>
      <c r="AU1971" s="19">
        <v>-123.02679999999999</v>
      </c>
      <c r="AV1971" s="19" t="s">
        <v>385</v>
      </c>
    </row>
    <row r="1972" spans="1:48" x14ac:dyDescent="0.25">
      <c r="A1972" s="18" t="s">
        <v>2400</v>
      </c>
      <c r="B1972" s="10">
        <v>10000000</v>
      </c>
      <c r="C1972" s="9">
        <v>16</v>
      </c>
      <c r="D1972" s="8" t="str">
        <f t="shared" si="362"/>
        <v>N</v>
      </c>
      <c r="E1972" s="8" t="str">
        <f t="shared" si="363"/>
        <v>N</v>
      </c>
      <c r="F1972" s="8" t="str">
        <f t="shared" si="364"/>
        <v>N</v>
      </c>
      <c r="G1972" s="8" t="str">
        <f t="shared" si="365"/>
        <v>N</v>
      </c>
      <c r="H1972" s="8" t="str">
        <f t="shared" si="366"/>
        <v>Lower</v>
      </c>
      <c r="I1972" s="8" t="str">
        <f t="shared" si="367"/>
        <v>Outside</v>
      </c>
      <c r="J1972" s="8" t="str">
        <f t="shared" si="368"/>
        <v>Outside</v>
      </c>
      <c r="K1972" s="8" t="str">
        <f t="shared" si="369"/>
        <v>Riparian</v>
      </c>
      <c r="L1972" s="8">
        <f t="shared" si="370"/>
        <v>1000</v>
      </c>
      <c r="M1972" s="8" t="str">
        <f t="shared" si="372"/>
        <v>-</v>
      </c>
      <c r="N1972" s="10" t="s">
        <v>242</v>
      </c>
      <c r="O1972" s="10" t="s">
        <v>242</v>
      </c>
      <c r="P1972" s="10" t="s">
        <v>242</v>
      </c>
      <c r="Q1972" s="10" t="s">
        <v>242</v>
      </c>
      <c r="R1972" s="10" t="s">
        <v>242</v>
      </c>
      <c r="S1972" s="10" t="s">
        <v>241</v>
      </c>
      <c r="T1972" s="10" t="s">
        <v>242</v>
      </c>
      <c r="U1972" s="10" t="s">
        <v>242</v>
      </c>
      <c r="V1972" s="10" t="s">
        <v>242</v>
      </c>
      <c r="W1972" s="10" t="s">
        <v>242</v>
      </c>
      <c r="X1972" s="15">
        <f>IF(ISERROR(VLOOKUP($A1972,'13. Updated Demand'!A:Z,15,FALSE)),0,VLOOKUP($A1972,'13. Updated Demand'!A:Z,15,FALSE))</f>
        <v>3.0214667000000001E-2</v>
      </c>
      <c r="Y1972" s="16">
        <f>IF(ISERROR(VLOOKUP($A1972,'13. Updated Demand'!A:Z,16,FALSE)),0,VLOOKUP($A1972,'13. Updated Demand'!A:Z,16,FALSE))</f>
        <v>4.0280000000000003E-2</v>
      </c>
      <c r="Z1972" s="16">
        <f>IF(ISERROR(VLOOKUP($A1972,'13. Updated Demand'!A:Z,17,FALSE)),0,VLOOKUP($A1972,'13. Updated Demand'!A:Z,17,FALSE))</f>
        <v>4.0280000000000003E-2</v>
      </c>
      <c r="AA1972" s="16">
        <f>IF(ISERROR(VLOOKUP($A1972,'13. Updated Demand'!A:Z,18,FALSE)),0,VLOOKUP($A1972,'13. Updated Demand'!A:Z,18,FALSE))</f>
        <v>4.0280000000000003E-2</v>
      </c>
      <c r="AB1972" s="16">
        <f>IF(ISERROR(VLOOKUP($A1972,'13. Updated Demand'!A:Z,19,FALSE)),0,VLOOKUP($A1972,'13. Updated Demand'!A:Z,19,FALSE))</f>
        <v>0.31774999999999998</v>
      </c>
      <c r="AC1972" s="16">
        <f>IF(ISERROR(VLOOKUP($A1972,'13. Updated Demand'!A:Z,20,FALSE)),0,VLOOKUP($A1972,'13. Updated Demand'!A:Z,20,FALSE))</f>
        <v>4.7449333000000003E-2</v>
      </c>
      <c r="AD1972" s="16">
        <f>IF(ISERROR(VLOOKUP($A1972,'13. Updated Demand'!A:Z,21,FALSE)),0,VLOOKUP($A1972,'13. Updated Demand'!A:Z,21,FALSE))</f>
        <v>7.3701332999999994E-2</v>
      </c>
      <c r="AE1972" s="16">
        <f>IF(ISERROR(VLOOKUP($A1972,'13. Updated Demand'!A:Z,22,FALSE)),0,VLOOKUP($A1972,'13. Updated Demand'!A:Z,22,FALSE))</f>
        <v>7.0249332999999997E-2</v>
      </c>
      <c r="AF1972" s="16">
        <f>IF(ISERROR(VLOOKUP($A1972,'13. Updated Demand'!A:Z,23,FALSE)),0,VLOOKUP($A1972,'13. Updated Demand'!A:Z,23,FALSE))</f>
        <v>5.8022667E-2</v>
      </c>
      <c r="AG1972" s="16">
        <f>IF(ISERROR(VLOOKUP($A1972,'13. Updated Demand'!A:Z,24,FALSE)),0,VLOOKUP($A1972,'13. Updated Demand'!A:Z,24,FALSE))</f>
        <v>5.1361333000000002E-2</v>
      </c>
      <c r="AH1972" s="16">
        <f>IF(ISERROR(VLOOKUP($A1972,'13. Updated Demand'!A:Z,25,FALSE)),0,VLOOKUP($A1972,'13. Updated Demand'!A:Z,25,FALSE))</f>
        <v>3.6253332999999999E-2</v>
      </c>
      <c r="AI1972" s="16">
        <f>IF(ISERROR(VLOOKUP($A1972,'13. Updated Demand'!A:Z,26,FALSE)),0,VLOOKUP($A1972,'13. Updated Demand'!A:Z,26,FALSE))</f>
        <v>9.8197667000000002E-2</v>
      </c>
      <c r="AJ1972" s="16">
        <f t="shared" si="373"/>
        <v>0.90403966600000008</v>
      </c>
      <c r="AK1972" s="19">
        <v>0.56717266599999994</v>
      </c>
      <c r="AL1972" s="16">
        <f t="shared" si="371"/>
        <v>1.8812471260840479E-3</v>
      </c>
      <c r="AM1972" s="26">
        <v>2.1171889133489463</v>
      </c>
      <c r="AN1972" s="19">
        <v>0.42699999999999999</v>
      </c>
      <c r="AO1972" s="19" t="s">
        <v>1758</v>
      </c>
      <c r="AP1972" s="19">
        <v>0</v>
      </c>
      <c r="AQ1972" s="19" t="s">
        <v>307</v>
      </c>
      <c r="AR1972" s="9" t="s">
        <v>394</v>
      </c>
      <c r="AS1972" s="12">
        <v>3.4039024194010059E-4</v>
      </c>
      <c r="AT1972" s="19">
        <v>38.589100000000002</v>
      </c>
      <c r="AU1972" s="19">
        <v>-122.922</v>
      </c>
      <c r="AV1972" s="19" t="s">
        <v>2401</v>
      </c>
    </row>
    <row r="1973" spans="1:48" x14ac:dyDescent="0.25">
      <c r="A1973" s="18" t="s">
        <v>2402</v>
      </c>
      <c r="B1973" s="10">
        <v>10000000</v>
      </c>
      <c r="C1973" s="9">
        <v>6</v>
      </c>
      <c r="D1973" s="8" t="str">
        <f t="shared" si="362"/>
        <v>Y</v>
      </c>
      <c r="E1973" s="8" t="str">
        <f t="shared" si="363"/>
        <v>N</v>
      </c>
      <c r="F1973" s="8" t="str">
        <f t="shared" si="364"/>
        <v>Y</v>
      </c>
      <c r="G1973" s="8" t="str">
        <f t="shared" si="365"/>
        <v>Y</v>
      </c>
      <c r="H1973" s="8" t="str">
        <f t="shared" si="366"/>
        <v>Upper</v>
      </c>
      <c r="I1973" s="8" t="str">
        <f t="shared" si="367"/>
        <v>West Fork and Below Lake</v>
      </c>
      <c r="J1973" s="8" t="str">
        <f t="shared" si="368"/>
        <v>Mendocino (d/s of lake)</v>
      </c>
      <c r="K1973" s="8" t="str">
        <f t="shared" si="369"/>
        <v>Riparian</v>
      </c>
      <c r="L1973" s="8">
        <f t="shared" si="370"/>
        <v>1000</v>
      </c>
      <c r="M1973" s="8" t="str">
        <f t="shared" si="372"/>
        <v>-</v>
      </c>
      <c r="N1973" s="10" t="s">
        <v>242</v>
      </c>
      <c r="O1973" s="10" t="s">
        <v>241</v>
      </c>
      <c r="P1973" s="10" t="s">
        <v>242</v>
      </c>
      <c r="Q1973" s="10" t="s">
        <v>242</v>
      </c>
      <c r="R1973" s="10" t="s">
        <v>242</v>
      </c>
      <c r="S1973" s="10" t="s">
        <v>241</v>
      </c>
      <c r="T1973" s="10" t="s">
        <v>242</v>
      </c>
      <c r="U1973" s="10" t="s">
        <v>242</v>
      </c>
      <c r="V1973" s="10" t="s">
        <v>242</v>
      </c>
      <c r="W1973" s="10" t="s">
        <v>242</v>
      </c>
      <c r="X1973" s="15">
        <f>IF(ISERROR(VLOOKUP($A1973,'13. Updated Demand'!A:Z,15,FALSE)),0,VLOOKUP($A1973,'13. Updated Demand'!A:Z,15,FALSE))</f>
        <v>0.01</v>
      </c>
      <c r="Y1973" s="16">
        <f>IF(ISERROR(VLOOKUP($A1973,'13. Updated Demand'!A:Z,16,FALSE)),0,VLOOKUP($A1973,'13. Updated Demand'!A:Z,16,FALSE))</f>
        <v>0.1</v>
      </c>
      <c r="Z1973" s="16">
        <f>IF(ISERROR(VLOOKUP($A1973,'13. Updated Demand'!A:Z,17,FALSE)),0,VLOOKUP($A1973,'13. Updated Demand'!A:Z,17,FALSE))</f>
        <v>0.15</v>
      </c>
      <c r="AA1973" s="16">
        <f>IF(ISERROR(VLOOKUP($A1973,'13. Updated Demand'!A:Z,18,FALSE)),0,VLOOKUP($A1973,'13. Updated Demand'!A:Z,18,FALSE))</f>
        <v>0.11</v>
      </c>
      <c r="AB1973" s="16">
        <f>IF(ISERROR(VLOOKUP($A1973,'13. Updated Demand'!A:Z,19,FALSE)),0,VLOOKUP($A1973,'13. Updated Demand'!A:Z,19,FALSE))</f>
        <v>0.2</v>
      </c>
      <c r="AC1973" s="16">
        <f>IF(ISERROR(VLOOKUP($A1973,'13. Updated Demand'!A:Z,20,FALSE)),0,VLOOKUP($A1973,'13. Updated Demand'!A:Z,20,FALSE))</f>
        <v>0.05</v>
      </c>
      <c r="AD1973" s="16">
        <f>IF(ISERROR(VLOOKUP($A1973,'13. Updated Demand'!A:Z,21,FALSE)),0,VLOOKUP($A1973,'13. Updated Demand'!A:Z,21,FALSE))</f>
        <v>0.03</v>
      </c>
      <c r="AE1973" s="16">
        <f>IF(ISERROR(VLOOKUP($A1973,'13. Updated Demand'!A:Z,22,FALSE)),0,VLOOKUP($A1973,'13. Updated Demand'!A:Z,22,FALSE))</f>
        <v>0.03</v>
      </c>
      <c r="AF1973" s="16">
        <f>IF(ISERROR(VLOOKUP($A1973,'13. Updated Demand'!A:Z,23,FALSE)),0,VLOOKUP($A1973,'13. Updated Demand'!A:Z,23,FALSE))</f>
        <v>0.01</v>
      </c>
      <c r="AG1973" s="16">
        <f>IF(ISERROR(VLOOKUP($A1973,'13. Updated Demand'!A:Z,24,FALSE)),0,VLOOKUP($A1973,'13. Updated Demand'!A:Z,24,FALSE))</f>
        <v>0.01</v>
      </c>
      <c r="AH1973" s="16">
        <f>IF(ISERROR(VLOOKUP($A1973,'13. Updated Demand'!A:Z,25,FALSE)),0,VLOOKUP($A1973,'13. Updated Demand'!A:Z,25,FALSE))</f>
        <v>0.12</v>
      </c>
      <c r="AI1973" s="16">
        <f>IF(ISERROR(VLOOKUP($A1973,'13. Updated Demand'!A:Z,26,FALSE)),0,VLOOKUP($A1973,'13. Updated Demand'!A:Z,26,FALSE))</f>
        <v>0.12</v>
      </c>
      <c r="AJ1973" s="16">
        <f t="shared" si="373"/>
        <v>0.94000000000000017</v>
      </c>
      <c r="AK1973" s="19">
        <v>0.33666666600000006</v>
      </c>
      <c r="AL1973" s="16">
        <f t="shared" si="371"/>
        <v>1.1166849811848976E-3</v>
      </c>
      <c r="AM1973" s="26">
        <v>2.7056874654886802E-3</v>
      </c>
      <c r="AN1973" s="19">
        <v>362.2</v>
      </c>
      <c r="AO1973" s="19" t="s">
        <v>1758</v>
      </c>
      <c r="AP1973" s="19">
        <v>0</v>
      </c>
      <c r="AQ1973" s="19" t="s">
        <v>307</v>
      </c>
      <c r="AR1973" s="9" t="s">
        <v>319</v>
      </c>
      <c r="AS1973" s="12">
        <v>0</v>
      </c>
      <c r="AT1973" s="19">
        <v>38.962299999999999</v>
      </c>
      <c r="AU1973" s="19">
        <v>-123.0227</v>
      </c>
      <c r="AV1973" s="19" t="s">
        <v>385</v>
      </c>
    </row>
    <row r="1974" spans="1:48" x14ac:dyDescent="0.25">
      <c r="A1974" s="18" t="s">
        <v>2403</v>
      </c>
      <c r="B1974" s="10">
        <v>10000000</v>
      </c>
      <c r="C1974" s="9">
        <v>16</v>
      </c>
      <c r="D1974" s="8" t="str">
        <f t="shared" si="362"/>
        <v>N</v>
      </c>
      <c r="E1974" s="8" t="str">
        <f t="shared" si="363"/>
        <v>N</v>
      </c>
      <c r="F1974" s="8" t="str">
        <f t="shared" si="364"/>
        <v>N</v>
      </c>
      <c r="G1974" s="8" t="str">
        <f t="shared" si="365"/>
        <v>N</v>
      </c>
      <c r="H1974" s="8" t="str">
        <f t="shared" si="366"/>
        <v>Lower</v>
      </c>
      <c r="I1974" s="8" t="str">
        <f t="shared" si="367"/>
        <v>Outside</v>
      </c>
      <c r="J1974" s="8" t="str">
        <f t="shared" si="368"/>
        <v>Outside</v>
      </c>
      <c r="K1974" s="8" t="str">
        <f t="shared" si="369"/>
        <v>Riparian</v>
      </c>
      <c r="L1974" s="8">
        <f t="shared" si="370"/>
        <v>1000</v>
      </c>
      <c r="M1974" s="8" t="str">
        <f t="shared" si="372"/>
        <v>-</v>
      </c>
      <c r="N1974" s="10" t="s">
        <v>242</v>
      </c>
      <c r="O1974" s="10" t="s">
        <v>242</v>
      </c>
      <c r="P1974" s="10" t="s">
        <v>242</v>
      </c>
      <c r="Q1974" s="10" t="s">
        <v>242</v>
      </c>
      <c r="R1974" s="10" t="s">
        <v>242</v>
      </c>
      <c r="S1974" s="10" t="s">
        <v>241</v>
      </c>
      <c r="T1974" s="10" t="s">
        <v>242</v>
      </c>
      <c r="U1974" s="10" t="s">
        <v>242</v>
      </c>
      <c r="V1974" s="10" t="s">
        <v>242</v>
      </c>
      <c r="W1974" s="10" t="s">
        <v>242</v>
      </c>
      <c r="X1974" s="15">
        <f>IF(ISERROR(VLOOKUP($A1974,'13. Updated Demand'!A:Z,15,FALSE)),0,VLOOKUP($A1974,'13. Updated Demand'!A:Z,15,FALSE))</f>
        <v>0.194333333</v>
      </c>
      <c r="Y1974" s="16">
        <f>IF(ISERROR(VLOOKUP($A1974,'13. Updated Demand'!A:Z,16,FALSE)),0,VLOOKUP($A1974,'13. Updated Demand'!A:Z,16,FALSE))</f>
        <v>0.18133333300000001</v>
      </c>
      <c r="Z1974" s="16">
        <f>IF(ISERROR(VLOOKUP($A1974,'13. Updated Demand'!A:Z,17,FALSE)),0,VLOOKUP($A1974,'13. Updated Demand'!A:Z,17,FALSE))</f>
        <v>0.17399999999999999</v>
      </c>
      <c r="AA1974" s="16">
        <f>IF(ISERROR(VLOOKUP($A1974,'13. Updated Demand'!A:Z,18,FALSE)),0,VLOOKUP($A1974,'13. Updated Demand'!A:Z,18,FALSE))</f>
        <v>0.13700000000000001</v>
      </c>
      <c r="AB1974" s="16">
        <f>IF(ISERROR(VLOOKUP($A1974,'13. Updated Demand'!A:Z,19,FALSE)),0,VLOOKUP($A1974,'13. Updated Demand'!A:Z,19,FALSE))</f>
        <v>0.116333333</v>
      </c>
      <c r="AC1974" s="16">
        <f>IF(ISERROR(VLOOKUP($A1974,'13. Updated Demand'!A:Z,20,FALSE)),0,VLOOKUP($A1974,'13. Updated Demand'!A:Z,20,FALSE))</f>
        <v>9.9000000000000005E-2</v>
      </c>
      <c r="AD1974" s="16">
        <f>IF(ISERROR(VLOOKUP($A1974,'13. Updated Demand'!A:Z,21,FALSE)),0,VLOOKUP($A1974,'13. Updated Demand'!A:Z,21,FALSE))</f>
        <v>6.9000000000000006E-2</v>
      </c>
      <c r="AE1974" s="16">
        <f>IF(ISERROR(VLOOKUP($A1974,'13. Updated Demand'!A:Z,22,FALSE)),0,VLOOKUP($A1974,'13. Updated Demand'!A:Z,22,FALSE))</f>
        <v>6.9000000000000006E-2</v>
      </c>
      <c r="AF1974" s="16">
        <f>IF(ISERROR(VLOOKUP($A1974,'13. Updated Demand'!A:Z,23,FALSE)),0,VLOOKUP($A1974,'13. Updated Demand'!A:Z,23,FALSE))</f>
        <v>6.6000000000000003E-2</v>
      </c>
      <c r="AG1974" s="16">
        <f>IF(ISERROR(VLOOKUP($A1974,'13. Updated Demand'!A:Z,24,FALSE)),0,VLOOKUP($A1974,'13. Updated Demand'!A:Z,24,FALSE))</f>
        <v>6.9000000000000006E-2</v>
      </c>
      <c r="AH1974" s="16">
        <f>IF(ISERROR(VLOOKUP($A1974,'13. Updated Demand'!A:Z,25,FALSE)),0,VLOOKUP($A1974,'13. Updated Demand'!A:Z,25,FALSE))</f>
        <v>7.6999999999999999E-2</v>
      </c>
      <c r="AI1974" s="16">
        <f>IF(ISERROR(VLOOKUP($A1974,'13. Updated Demand'!A:Z,26,FALSE)),0,VLOOKUP($A1974,'13. Updated Demand'!A:Z,26,FALSE))</f>
        <v>0.10299999999999999</v>
      </c>
      <c r="AJ1974" s="16">
        <f t="shared" si="373"/>
        <v>1.3549999989999999</v>
      </c>
      <c r="AK1974" s="19">
        <v>0.41933333300000003</v>
      </c>
      <c r="AL1974" s="16">
        <f t="shared" si="371"/>
        <v>1.3908808990056216E-3</v>
      </c>
      <c r="AM1974" s="26">
        <v>1.1200198371631673</v>
      </c>
      <c r="AN1974" s="19">
        <v>1.2098</v>
      </c>
      <c r="AO1974" s="19" t="s">
        <v>1758</v>
      </c>
      <c r="AP1974" s="19">
        <v>0</v>
      </c>
      <c r="AQ1974" s="19" t="s">
        <v>307</v>
      </c>
      <c r="AR1974" s="9" t="s">
        <v>394</v>
      </c>
      <c r="AS1974" s="12">
        <v>3.4039024194010059E-4</v>
      </c>
      <c r="AT1974" s="19">
        <v>38.587200000000003</v>
      </c>
      <c r="AU1974" s="19">
        <v>-122.9618</v>
      </c>
      <c r="AV1974" s="19" t="s">
        <v>2404</v>
      </c>
    </row>
    <row r="1975" spans="1:48" x14ac:dyDescent="0.25">
      <c r="A1975" s="18" t="s">
        <v>2405</v>
      </c>
      <c r="B1975" s="10">
        <v>10000000</v>
      </c>
      <c r="C1975" s="9">
        <v>10</v>
      </c>
      <c r="D1975" s="8" t="str">
        <f t="shared" si="362"/>
        <v>N</v>
      </c>
      <c r="E1975" s="8" t="str">
        <f t="shared" si="363"/>
        <v>Y</v>
      </c>
      <c r="F1975" s="8" t="str">
        <f t="shared" si="364"/>
        <v>Y</v>
      </c>
      <c r="G1975" s="8" t="str">
        <f t="shared" si="365"/>
        <v>Y</v>
      </c>
      <c r="H1975" s="8" t="str">
        <f t="shared" si="366"/>
        <v>Upper</v>
      </c>
      <c r="I1975" s="8" t="str">
        <f t="shared" si="367"/>
        <v>West Fork and Below Lake</v>
      </c>
      <c r="J1975" s="8" t="str">
        <f t="shared" si="368"/>
        <v>Sonoma (d/s of Clov. Gage)</v>
      </c>
      <c r="K1975" s="8" t="str">
        <f t="shared" si="369"/>
        <v>Riparian</v>
      </c>
      <c r="L1975" s="8">
        <f t="shared" si="370"/>
        <v>1000</v>
      </c>
      <c r="M1975" s="8" t="str">
        <f t="shared" si="372"/>
        <v>-</v>
      </c>
      <c r="N1975" s="10" t="s">
        <v>241</v>
      </c>
      <c r="O1975" s="10" t="s">
        <v>241</v>
      </c>
      <c r="P1975" s="10" t="s">
        <v>242</v>
      </c>
      <c r="Q1975" s="10" t="s">
        <v>242</v>
      </c>
      <c r="R1975" s="10" t="s">
        <v>242</v>
      </c>
      <c r="S1975" s="10" t="s">
        <v>241</v>
      </c>
      <c r="T1975" s="10" t="s">
        <v>242</v>
      </c>
      <c r="U1975" s="10" t="s">
        <v>242</v>
      </c>
      <c r="V1975" s="10" t="s">
        <v>242</v>
      </c>
      <c r="W1975" s="10" t="s">
        <v>242</v>
      </c>
      <c r="X1975" s="15">
        <f>IF(ISERROR(VLOOKUP($A1975,'13. Updated Demand'!A:Z,15,FALSE)),0,VLOOKUP($A1975,'13. Updated Demand'!A:Z,15,FALSE))</f>
        <v>0</v>
      </c>
      <c r="Y1975" s="16">
        <f>IF(ISERROR(VLOOKUP($A1975,'13. Updated Demand'!A:Z,16,FALSE)),0,VLOOKUP($A1975,'13. Updated Demand'!A:Z,16,FALSE))</f>
        <v>7.0000000000000007E-2</v>
      </c>
      <c r="Z1975" s="16">
        <f>IF(ISERROR(VLOOKUP($A1975,'13. Updated Demand'!A:Z,17,FALSE)),0,VLOOKUP($A1975,'13. Updated Demand'!A:Z,17,FALSE))</f>
        <v>0.57999999999999996</v>
      </c>
      <c r="AA1975" s="16">
        <f>IF(ISERROR(VLOOKUP($A1975,'13. Updated Demand'!A:Z,18,FALSE)),0,VLOOKUP($A1975,'13. Updated Demand'!A:Z,18,FALSE))</f>
        <v>0</v>
      </c>
      <c r="AB1975" s="16">
        <f>IF(ISERROR(VLOOKUP($A1975,'13. Updated Demand'!A:Z,19,FALSE)),0,VLOOKUP($A1975,'13. Updated Demand'!A:Z,19,FALSE))</f>
        <v>0</v>
      </c>
      <c r="AC1975" s="16">
        <f>IF(ISERROR(VLOOKUP($A1975,'13. Updated Demand'!A:Z,20,FALSE)),0,VLOOKUP($A1975,'13. Updated Demand'!A:Z,20,FALSE))</f>
        <v>0.13</v>
      </c>
      <c r="AD1975" s="16">
        <f>IF(ISERROR(VLOOKUP($A1975,'13. Updated Demand'!A:Z,21,FALSE)),0,VLOOKUP($A1975,'13. Updated Demand'!A:Z,21,FALSE))</f>
        <v>0</v>
      </c>
      <c r="AE1975" s="16">
        <f>IF(ISERROR(VLOOKUP($A1975,'13. Updated Demand'!A:Z,22,FALSE)),0,VLOOKUP($A1975,'13. Updated Demand'!A:Z,22,FALSE))</f>
        <v>0</v>
      </c>
      <c r="AF1975" s="16">
        <f>IF(ISERROR(VLOOKUP($A1975,'13. Updated Demand'!A:Z,23,FALSE)),0,VLOOKUP($A1975,'13. Updated Demand'!A:Z,23,FALSE))</f>
        <v>0</v>
      </c>
      <c r="AG1975" s="16">
        <f>IF(ISERROR(VLOOKUP($A1975,'13. Updated Demand'!A:Z,24,FALSE)),0,VLOOKUP($A1975,'13. Updated Demand'!A:Z,24,FALSE))</f>
        <v>0</v>
      </c>
      <c r="AH1975" s="16">
        <f>IF(ISERROR(VLOOKUP($A1975,'13. Updated Demand'!A:Z,25,FALSE)),0,VLOOKUP($A1975,'13. Updated Demand'!A:Z,25,FALSE))</f>
        <v>0</v>
      </c>
      <c r="AI1975" s="16">
        <f>IF(ISERROR(VLOOKUP($A1975,'13. Updated Demand'!A:Z,26,FALSE)),0,VLOOKUP($A1975,'13. Updated Demand'!A:Z,26,FALSE))</f>
        <v>0</v>
      </c>
      <c r="AJ1975" s="16">
        <f t="shared" si="373"/>
        <v>0.77999999999999992</v>
      </c>
      <c r="AK1975" s="19">
        <v>0.134866666666667</v>
      </c>
      <c r="AL1975" s="16">
        <f t="shared" si="371"/>
        <v>4.4733737057632209E-4</v>
      </c>
      <c r="AM1975" s="26">
        <v>1.3167315286599644E-3</v>
      </c>
      <c r="AN1975" s="19">
        <v>604.87400000000002</v>
      </c>
      <c r="AO1975" s="19" t="s">
        <v>1758</v>
      </c>
      <c r="AP1975" s="19">
        <v>0</v>
      </c>
      <c r="AQ1975" s="19" t="s">
        <v>307</v>
      </c>
      <c r="AR1975" s="9" t="s">
        <v>436</v>
      </c>
      <c r="AS1975" s="12">
        <v>0</v>
      </c>
      <c r="AT1975" s="19">
        <v>38.686</v>
      </c>
      <c r="AU1975" s="19">
        <v>-122.8545</v>
      </c>
      <c r="AV1975" s="19" t="s">
        <v>548</v>
      </c>
    </row>
    <row r="1976" spans="1:48" x14ac:dyDescent="0.25">
      <c r="A1976" s="18" t="s">
        <v>2406</v>
      </c>
      <c r="B1976" s="10">
        <v>10000000</v>
      </c>
      <c r="C1976" s="9">
        <v>10</v>
      </c>
      <c r="D1976" s="8" t="str">
        <f t="shared" si="362"/>
        <v>N</v>
      </c>
      <c r="E1976" s="8" t="str">
        <f t="shared" si="363"/>
        <v>Y</v>
      </c>
      <c r="F1976" s="8" t="str">
        <f t="shared" si="364"/>
        <v>Y</v>
      </c>
      <c r="G1976" s="8" t="str">
        <f t="shared" si="365"/>
        <v>Y</v>
      </c>
      <c r="H1976" s="8" t="str">
        <f t="shared" si="366"/>
        <v>Upper</v>
      </c>
      <c r="I1976" s="8" t="str">
        <f t="shared" si="367"/>
        <v>West Fork and Below Lake</v>
      </c>
      <c r="J1976" s="8" t="str">
        <f t="shared" si="368"/>
        <v>Sonoma (d/s of Clov. Gage)</v>
      </c>
      <c r="K1976" s="8" t="str">
        <f t="shared" si="369"/>
        <v>Riparian</v>
      </c>
      <c r="L1976" s="8">
        <f t="shared" si="370"/>
        <v>1000</v>
      </c>
      <c r="M1976" s="8" t="str">
        <f t="shared" si="372"/>
        <v>-</v>
      </c>
      <c r="N1976" s="10" t="s">
        <v>241</v>
      </c>
      <c r="O1976" s="10" t="s">
        <v>241</v>
      </c>
      <c r="P1976" s="10" t="s">
        <v>242</v>
      </c>
      <c r="Q1976" s="10" t="s">
        <v>242</v>
      </c>
      <c r="R1976" s="10" t="s">
        <v>242</v>
      </c>
      <c r="S1976" s="10" t="s">
        <v>241</v>
      </c>
      <c r="T1976" s="10" t="s">
        <v>242</v>
      </c>
      <c r="U1976" s="10" t="s">
        <v>242</v>
      </c>
      <c r="V1976" s="10" t="s">
        <v>242</v>
      </c>
      <c r="W1976" s="10" t="s">
        <v>242</v>
      </c>
      <c r="X1976" s="15">
        <f>IF(ISERROR(VLOOKUP($A1976,'13. Updated Demand'!A:Z,15,FALSE)),0,VLOOKUP($A1976,'13. Updated Demand'!A:Z,15,FALSE))</f>
        <v>0.09</v>
      </c>
      <c r="Y1976" s="16">
        <f>IF(ISERROR(VLOOKUP($A1976,'13. Updated Demand'!A:Z,16,FALSE)),0,VLOOKUP($A1976,'13. Updated Demand'!A:Z,16,FALSE))</f>
        <v>0.24</v>
      </c>
      <c r="Z1976" s="16">
        <f>IF(ISERROR(VLOOKUP($A1976,'13. Updated Demand'!A:Z,17,FALSE)),0,VLOOKUP($A1976,'13. Updated Demand'!A:Z,17,FALSE))</f>
        <v>0.28000000000000003</v>
      </c>
      <c r="AA1976" s="16">
        <f>IF(ISERROR(VLOOKUP($A1976,'13. Updated Demand'!A:Z,18,FALSE)),0,VLOOKUP($A1976,'13. Updated Demand'!A:Z,18,FALSE))</f>
        <v>0.12</v>
      </c>
      <c r="AB1976" s="16">
        <f>IF(ISERROR(VLOOKUP($A1976,'13. Updated Demand'!A:Z,19,FALSE)),0,VLOOKUP($A1976,'13. Updated Demand'!A:Z,19,FALSE))</f>
        <v>7.0000000000000007E-2</v>
      </c>
      <c r="AC1976" s="16">
        <f>IF(ISERROR(VLOOKUP($A1976,'13. Updated Demand'!A:Z,20,FALSE)),0,VLOOKUP($A1976,'13. Updated Demand'!A:Z,20,FALSE))</f>
        <v>0.28000000000000003</v>
      </c>
      <c r="AD1976" s="16">
        <f>IF(ISERROR(VLOOKUP($A1976,'13. Updated Demand'!A:Z,21,FALSE)),0,VLOOKUP($A1976,'13. Updated Demand'!A:Z,21,FALSE))</f>
        <v>0.45</v>
      </c>
      <c r="AE1976" s="16">
        <f>IF(ISERROR(VLOOKUP($A1976,'13. Updated Demand'!A:Z,22,FALSE)),0,VLOOKUP($A1976,'13. Updated Demand'!A:Z,22,FALSE))</f>
        <v>0.37</v>
      </c>
      <c r="AF1976" s="16">
        <f>IF(ISERROR(VLOOKUP($A1976,'13. Updated Demand'!A:Z,23,FALSE)),0,VLOOKUP($A1976,'13. Updated Demand'!A:Z,23,FALSE))</f>
        <v>0.26</v>
      </c>
      <c r="AG1976" s="16">
        <f>IF(ISERROR(VLOOKUP($A1976,'13. Updated Demand'!A:Z,24,FALSE)),0,VLOOKUP($A1976,'13. Updated Demand'!A:Z,24,FALSE))</f>
        <v>0.2</v>
      </c>
      <c r="AH1976" s="16">
        <f>IF(ISERROR(VLOOKUP($A1976,'13. Updated Demand'!A:Z,25,FALSE)),0,VLOOKUP($A1976,'13. Updated Demand'!A:Z,25,FALSE))</f>
        <v>0.09</v>
      </c>
      <c r="AI1976" s="16">
        <f>IF(ISERROR(VLOOKUP($A1976,'13. Updated Demand'!A:Z,26,FALSE)),0,VLOOKUP($A1976,'13. Updated Demand'!A:Z,26,FALSE))</f>
        <v>0.06</v>
      </c>
      <c r="AJ1976" s="16">
        <f t="shared" si="373"/>
        <v>2.5100000000000002</v>
      </c>
      <c r="AK1976" s="19">
        <v>1.4509333333333332</v>
      </c>
      <c r="AL1976" s="16">
        <f t="shared" si="371"/>
        <v>4.8125805898284971E-3</v>
      </c>
      <c r="AM1976" s="26">
        <v>3.9193017976562987E-2</v>
      </c>
      <c r="AN1976" s="19">
        <v>65.195999999999998</v>
      </c>
      <c r="AO1976" s="19" t="s">
        <v>1758</v>
      </c>
      <c r="AP1976" s="19">
        <v>0</v>
      </c>
      <c r="AQ1976" s="19" t="s">
        <v>307</v>
      </c>
      <c r="AR1976" s="9" t="s">
        <v>436</v>
      </c>
      <c r="AS1976" s="12">
        <v>3.4039024194010059E-4</v>
      </c>
      <c r="AT1976" s="19">
        <v>38.6877</v>
      </c>
      <c r="AU1976" s="19">
        <v>-122.8535</v>
      </c>
      <c r="AV1976" s="19" t="s">
        <v>548</v>
      </c>
    </row>
    <row r="1977" spans="1:48" x14ac:dyDescent="0.25">
      <c r="A1977" s="18" t="s">
        <v>2407</v>
      </c>
      <c r="B1977" s="10">
        <v>10000000</v>
      </c>
      <c r="C1977" s="9">
        <v>10</v>
      </c>
      <c r="D1977" s="8" t="str">
        <f t="shared" si="362"/>
        <v>N</v>
      </c>
      <c r="E1977" s="8" t="str">
        <f t="shared" si="363"/>
        <v>Y</v>
      </c>
      <c r="F1977" s="8" t="str">
        <f t="shared" si="364"/>
        <v>Y</v>
      </c>
      <c r="G1977" s="8" t="str">
        <f t="shared" si="365"/>
        <v>Y</v>
      </c>
      <c r="H1977" s="8" t="str">
        <f t="shared" si="366"/>
        <v>Upper</v>
      </c>
      <c r="I1977" s="8" t="str">
        <f t="shared" si="367"/>
        <v>West Fork and Below Lake</v>
      </c>
      <c r="J1977" s="8" t="str">
        <f t="shared" si="368"/>
        <v>Sonoma (d/s of Clov. Gage)</v>
      </c>
      <c r="K1977" s="8" t="str">
        <f t="shared" si="369"/>
        <v>Riparian</v>
      </c>
      <c r="L1977" s="8">
        <f t="shared" si="370"/>
        <v>1000</v>
      </c>
      <c r="M1977" s="8" t="str">
        <f t="shared" si="372"/>
        <v>-</v>
      </c>
      <c r="N1977" s="10" t="s">
        <v>241</v>
      </c>
      <c r="O1977" s="10" t="s">
        <v>241</v>
      </c>
      <c r="P1977" s="10" t="s">
        <v>242</v>
      </c>
      <c r="Q1977" s="10" t="s">
        <v>242</v>
      </c>
      <c r="R1977" s="10" t="s">
        <v>242</v>
      </c>
      <c r="S1977" s="10" t="s">
        <v>241</v>
      </c>
      <c r="T1977" s="10" t="s">
        <v>242</v>
      </c>
      <c r="U1977" s="10" t="s">
        <v>241</v>
      </c>
      <c r="V1977" s="10" t="s">
        <v>241</v>
      </c>
      <c r="W1977" s="10" t="s">
        <v>242</v>
      </c>
      <c r="X1977" s="15">
        <f>IF(ISERROR(VLOOKUP($A1977,'13. Updated Demand'!A:Z,15,FALSE)),0,VLOOKUP($A1977,'13. Updated Demand'!A:Z,15,FALSE))</f>
        <v>0</v>
      </c>
      <c r="Y1977" s="16">
        <f>IF(ISERROR(VLOOKUP($A1977,'13. Updated Demand'!A:Z,16,FALSE)),0,VLOOKUP($A1977,'13. Updated Demand'!A:Z,16,FALSE))</f>
        <v>0</v>
      </c>
      <c r="Z1977" s="16">
        <f>IF(ISERROR(VLOOKUP($A1977,'13. Updated Demand'!A:Z,17,FALSE)),0,VLOOKUP($A1977,'13. Updated Demand'!A:Z,17,FALSE))</f>
        <v>0</v>
      </c>
      <c r="AA1977" s="16">
        <f>IF(ISERROR(VLOOKUP($A1977,'13. Updated Demand'!A:Z,18,FALSE)),0,VLOOKUP($A1977,'13. Updated Demand'!A:Z,18,FALSE))</f>
        <v>0</v>
      </c>
      <c r="AB1977" s="16">
        <f>IF(ISERROR(VLOOKUP($A1977,'13. Updated Demand'!A:Z,19,FALSE)),0,VLOOKUP($A1977,'13. Updated Demand'!A:Z,19,FALSE))</f>
        <v>0</v>
      </c>
      <c r="AC1977" s="16">
        <f>IF(ISERROR(VLOOKUP($A1977,'13. Updated Demand'!A:Z,20,FALSE)),0,VLOOKUP($A1977,'13. Updated Demand'!A:Z,20,FALSE))</f>
        <v>0</v>
      </c>
      <c r="AD1977" s="16">
        <f>IF(ISERROR(VLOOKUP($A1977,'13. Updated Demand'!A:Z,21,FALSE)),0,VLOOKUP($A1977,'13. Updated Demand'!A:Z,21,FALSE))</f>
        <v>0</v>
      </c>
      <c r="AE1977" s="16">
        <f>IF(ISERROR(VLOOKUP($A1977,'13. Updated Demand'!A:Z,22,FALSE)),0,VLOOKUP($A1977,'13. Updated Demand'!A:Z,22,FALSE))</f>
        <v>0</v>
      </c>
      <c r="AF1977" s="16">
        <f>IF(ISERROR(VLOOKUP($A1977,'13. Updated Demand'!A:Z,23,FALSE)),0,VLOOKUP($A1977,'13. Updated Demand'!A:Z,23,FALSE))</f>
        <v>0</v>
      </c>
      <c r="AG1977" s="16">
        <f>IF(ISERROR(VLOOKUP($A1977,'13. Updated Demand'!A:Z,24,FALSE)),0,VLOOKUP($A1977,'13. Updated Demand'!A:Z,24,FALSE))</f>
        <v>0</v>
      </c>
      <c r="AH1977" s="16">
        <f>IF(ISERROR(VLOOKUP($A1977,'13. Updated Demand'!A:Z,25,FALSE)),0,VLOOKUP($A1977,'13. Updated Demand'!A:Z,25,FALSE))</f>
        <v>0</v>
      </c>
      <c r="AI1977" s="16">
        <f>IF(ISERROR(VLOOKUP($A1977,'13. Updated Demand'!A:Z,26,FALSE)),0,VLOOKUP($A1977,'13. Updated Demand'!A:Z,26,FALSE))</f>
        <v>0</v>
      </c>
      <c r="AJ1977" s="16">
        <f t="shared" si="373"/>
        <v>0</v>
      </c>
      <c r="AK1977" s="19">
        <v>0</v>
      </c>
      <c r="AL1977" s="16">
        <f t="shared" si="371"/>
        <v>0</v>
      </c>
      <c r="AM1977" s="26">
        <v>0</v>
      </c>
      <c r="AN1977" s="19">
        <v>72.44</v>
      </c>
      <c r="AO1977" s="19" t="s">
        <v>1758</v>
      </c>
      <c r="AP1977" s="19">
        <v>0</v>
      </c>
      <c r="AQ1977" s="19" t="s">
        <v>307</v>
      </c>
      <c r="AR1977" s="9" t="s">
        <v>436</v>
      </c>
      <c r="AS1977" s="12">
        <v>3.4039024194010059E-4</v>
      </c>
      <c r="AT1977" s="19">
        <v>38.6967</v>
      </c>
      <c r="AU1977" s="19">
        <v>-122.86</v>
      </c>
      <c r="AV1977" s="19" t="s">
        <v>548</v>
      </c>
    </row>
    <row r="1978" spans="1:48" x14ac:dyDescent="0.25">
      <c r="A1978" s="18" t="s">
        <v>2408</v>
      </c>
      <c r="B1978" s="10">
        <v>10000000</v>
      </c>
      <c r="C1978" s="9">
        <v>6</v>
      </c>
      <c r="D1978" s="8" t="str">
        <f t="shared" si="362"/>
        <v>Y</v>
      </c>
      <c r="E1978" s="8" t="str">
        <f t="shared" si="363"/>
        <v>N</v>
      </c>
      <c r="F1978" s="8" t="str">
        <f t="shared" si="364"/>
        <v>Y</v>
      </c>
      <c r="G1978" s="8" t="str">
        <f t="shared" si="365"/>
        <v>Y</v>
      </c>
      <c r="H1978" s="8" t="str">
        <f t="shared" si="366"/>
        <v>Upper</v>
      </c>
      <c r="I1978" s="8" t="str">
        <f t="shared" si="367"/>
        <v>West Fork and Below Lake</v>
      </c>
      <c r="J1978" s="8" t="str">
        <f t="shared" si="368"/>
        <v>Mendocino (d/s of lake)</v>
      </c>
      <c r="K1978" s="8" t="str">
        <f t="shared" si="369"/>
        <v>Riparian</v>
      </c>
      <c r="L1978" s="8">
        <f t="shared" si="370"/>
        <v>1000</v>
      </c>
      <c r="M1978" s="8" t="str">
        <f t="shared" si="372"/>
        <v>-</v>
      </c>
      <c r="N1978" s="10" t="s">
        <v>242</v>
      </c>
      <c r="O1978" s="10" t="s">
        <v>241</v>
      </c>
      <c r="P1978" s="10" t="s">
        <v>242</v>
      </c>
      <c r="Q1978" s="10" t="s">
        <v>242</v>
      </c>
      <c r="R1978" s="10" t="s">
        <v>242</v>
      </c>
      <c r="S1978" s="10" t="s">
        <v>241</v>
      </c>
      <c r="T1978" s="10" t="s">
        <v>242</v>
      </c>
      <c r="U1978" s="10" t="s">
        <v>242</v>
      </c>
      <c r="V1978" s="10" t="s">
        <v>241</v>
      </c>
      <c r="W1978" s="10" t="s">
        <v>242</v>
      </c>
      <c r="X1978" s="15">
        <f>IF(ISERROR(VLOOKUP($A1978,'13. Updated Demand'!A:Z,15,FALSE)),0,VLOOKUP($A1978,'13. Updated Demand'!A:Z,15,FALSE))</f>
        <v>2.2999999999999998</v>
      </c>
      <c r="Y1978" s="16">
        <f>IF(ISERROR(VLOOKUP($A1978,'13. Updated Demand'!A:Z,16,FALSE)),0,VLOOKUP($A1978,'13. Updated Demand'!A:Z,16,FALSE))</f>
        <v>0</v>
      </c>
      <c r="Z1978" s="16">
        <f>IF(ISERROR(VLOOKUP($A1978,'13. Updated Demand'!A:Z,17,FALSE)),0,VLOOKUP($A1978,'13. Updated Demand'!A:Z,17,FALSE))</f>
        <v>0</v>
      </c>
      <c r="AA1978" s="16">
        <f>IF(ISERROR(VLOOKUP($A1978,'13. Updated Demand'!A:Z,18,FALSE)),0,VLOOKUP($A1978,'13. Updated Demand'!A:Z,18,FALSE))</f>
        <v>0</v>
      </c>
      <c r="AB1978" s="16">
        <f>IF(ISERROR(VLOOKUP($A1978,'13. Updated Demand'!A:Z,19,FALSE)),0,VLOOKUP($A1978,'13. Updated Demand'!A:Z,19,FALSE))</f>
        <v>0</v>
      </c>
      <c r="AC1978" s="16">
        <f>IF(ISERROR(VLOOKUP($A1978,'13. Updated Demand'!A:Z,20,FALSE)),0,VLOOKUP($A1978,'13. Updated Demand'!A:Z,20,FALSE))</f>
        <v>0</v>
      </c>
      <c r="AD1978" s="16">
        <f>IF(ISERROR(VLOOKUP($A1978,'13. Updated Demand'!A:Z,21,FALSE)),0,VLOOKUP($A1978,'13. Updated Demand'!A:Z,21,FALSE))</f>
        <v>0</v>
      </c>
      <c r="AE1978" s="16">
        <f>IF(ISERROR(VLOOKUP($A1978,'13. Updated Demand'!A:Z,22,FALSE)),0,VLOOKUP($A1978,'13. Updated Demand'!A:Z,22,FALSE))</f>
        <v>0</v>
      </c>
      <c r="AF1978" s="16">
        <f>IF(ISERROR(VLOOKUP($A1978,'13. Updated Demand'!A:Z,23,FALSE)),0,VLOOKUP($A1978,'13. Updated Demand'!A:Z,23,FALSE))</f>
        <v>0</v>
      </c>
      <c r="AG1978" s="16">
        <f>IF(ISERROR(VLOOKUP($A1978,'13. Updated Demand'!A:Z,24,FALSE)),0,VLOOKUP($A1978,'13. Updated Demand'!A:Z,24,FALSE))</f>
        <v>0</v>
      </c>
      <c r="AH1978" s="16">
        <f>IF(ISERROR(VLOOKUP($A1978,'13. Updated Demand'!A:Z,25,FALSE)),0,VLOOKUP($A1978,'13. Updated Demand'!A:Z,25,FALSE))</f>
        <v>0.26</v>
      </c>
      <c r="AI1978" s="16">
        <f>IF(ISERROR(VLOOKUP($A1978,'13. Updated Demand'!A:Z,26,FALSE)),0,VLOOKUP($A1978,'13. Updated Demand'!A:Z,26,FALSE))</f>
        <v>4.9000000000000004</v>
      </c>
      <c r="AJ1978" s="16">
        <f t="shared" si="373"/>
        <v>7.46</v>
      </c>
      <c r="AK1978" s="19">
        <v>0</v>
      </c>
      <c r="AL1978" s="16">
        <f t="shared" si="371"/>
        <v>0</v>
      </c>
      <c r="AM1978" s="26">
        <v>0.19047619048469386</v>
      </c>
      <c r="AN1978" s="19">
        <v>39.200000000000003</v>
      </c>
      <c r="AO1978" s="19" t="s">
        <v>1758</v>
      </c>
      <c r="AP1978" s="19">
        <v>0</v>
      </c>
      <c r="AQ1978" s="19" t="s">
        <v>307</v>
      </c>
      <c r="AR1978" s="9" t="s">
        <v>319</v>
      </c>
      <c r="AS1978" s="12">
        <v>0</v>
      </c>
      <c r="AT1978" s="19">
        <v>38.949469229999998</v>
      </c>
      <c r="AU1978" s="19">
        <v>-123.05934899</v>
      </c>
      <c r="AV1978" s="19" t="s">
        <v>476</v>
      </c>
    </row>
    <row r="1979" spans="1:48" x14ac:dyDescent="0.25">
      <c r="A1979" s="18" t="s">
        <v>2409</v>
      </c>
      <c r="B1979" s="10">
        <v>10000000</v>
      </c>
      <c r="C1979" s="9">
        <v>6</v>
      </c>
      <c r="D1979" s="8" t="str">
        <f t="shared" si="362"/>
        <v>Y</v>
      </c>
      <c r="E1979" s="8" t="str">
        <f t="shared" si="363"/>
        <v>N</v>
      </c>
      <c r="F1979" s="8" t="str">
        <f t="shared" si="364"/>
        <v>Y</v>
      </c>
      <c r="G1979" s="8" t="str">
        <f t="shared" si="365"/>
        <v>Y</v>
      </c>
      <c r="H1979" s="8" t="str">
        <f t="shared" si="366"/>
        <v>Upper</v>
      </c>
      <c r="I1979" s="8" t="str">
        <f t="shared" si="367"/>
        <v>West Fork and Below Lake</v>
      </c>
      <c r="J1979" s="8" t="str">
        <f t="shared" si="368"/>
        <v>Mendocino (d/s of lake)</v>
      </c>
      <c r="K1979" s="8" t="str">
        <f t="shared" si="369"/>
        <v>Riparian</v>
      </c>
      <c r="L1979" s="8">
        <f t="shared" si="370"/>
        <v>1000</v>
      </c>
      <c r="M1979" s="8" t="str">
        <f t="shared" si="372"/>
        <v>-</v>
      </c>
      <c r="N1979" s="10" t="s">
        <v>242</v>
      </c>
      <c r="O1979" s="10" t="s">
        <v>241</v>
      </c>
      <c r="P1979" s="10" t="s">
        <v>242</v>
      </c>
      <c r="Q1979" s="10" t="s">
        <v>242</v>
      </c>
      <c r="R1979" s="10" t="s">
        <v>242</v>
      </c>
      <c r="S1979" s="10" t="s">
        <v>241</v>
      </c>
      <c r="T1979" s="10" t="s">
        <v>242</v>
      </c>
      <c r="U1979" s="10" t="s">
        <v>242</v>
      </c>
      <c r="V1979" s="10" t="s">
        <v>241</v>
      </c>
      <c r="W1979" s="10" t="s">
        <v>242</v>
      </c>
      <c r="X1979" s="15">
        <f>IF(ISERROR(VLOOKUP($A1979,'13. Updated Demand'!A:Z,15,FALSE)),0,VLOOKUP($A1979,'13. Updated Demand'!A:Z,15,FALSE))</f>
        <v>0.6</v>
      </c>
      <c r="Y1979" s="16">
        <f>IF(ISERROR(VLOOKUP($A1979,'13. Updated Demand'!A:Z,16,FALSE)),0,VLOOKUP($A1979,'13. Updated Demand'!A:Z,16,FALSE))</f>
        <v>0</v>
      </c>
      <c r="Z1979" s="16">
        <f>IF(ISERROR(VLOOKUP($A1979,'13. Updated Demand'!A:Z,17,FALSE)),0,VLOOKUP($A1979,'13. Updated Demand'!A:Z,17,FALSE))</f>
        <v>0</v>
      </c>
      <c r="AA1979" s="16">
        <f>IF(ISERROR(VLOOKUP($A1979,'13. Updated Demand'!A:Z,18,FALSE)),0,VLOOKUP($A1979,'13. Updated Demand'!A:Z,18,FALSE))</f>
        <v>0</v>
      </c>
      <c r="AB1979" s="16">
        <f>IF(ISERROR(VLOOKUP($A1979,'13. Updated Demand'!A:Z,19,FALSE)),0,VLOOKUP($A1979,'13. Updated Demand'!A:Z,19,FALSE))</f>
        <v>0</v>
      </c>
      <c r="AC1979" s="16">
        <f>IF(ISERROR(VLOOKUP($A1979,'13. Updated Demand'!A:Z,20,FALSE)),0,VLOOKUP($A1979,'13. Updated Demand'!A:Z,20,FALSE))</f>
        <v>0</v>
      </c>
      <c r="AD1979" s="16">
        <f>IF(ISERROR(VLOOKUP($A1979,'13. Updated Demand'!A:Z,21,FALSE)),0,VLOOKUP($A1979,'13. Updated Demand'!A:Z,21,FALSE))</f>
        <v>0</v>
      </c>
      <c r="AE1979" s="16">
        <f>IF(ISERROR(VLOOKUP($A1979,'13. Updated Demand'!A:Z,22,FALSE)),0,VLOOKUP($A1979,'13. Updated Demand'!A:Z,22,FALSE))</f>
        <v>0</v>
      </c>
      <c r="AF1979" s="16">
        <f>IF(ISERROR(VLOOKUP($A1979,'13. Updated Demand'!A:Z,23,FALSE)),0,VLOOKUP($A1979,'13. Updated Demand'!A:Z,23,FALSE))</f>
        <v>0</v>
      </c>
      <c r="AG1979" s="16">
        <f>IF(ISERROR(VLOOKUP($A1979,'13. Updated Demand'!A:Z,24,FALSE)),0,VLOOKUP($A1979,'13. Updated Demand'!A:Z,24,FALSE))</f>
        <v>0</v>
      </c>
      <c r="AH1979" s="16">
        <f>IF(ISERROR(VLOOKUP($A1979,'13. Updated Demand'!A:Z,25,FALSE)),0,VLOOKUP($A1979,'13. Updated Demand'!A:Z,25,FALSE))</f>
        <v>0.33</v>
      </c>
      <c r="AI1979" s="16">
        <f>IF(ISERROR(VLOOKUP($A1979,'13. Updated Demand'!A:Z,26,FALSE)),0,VLOOKUP($A1979,'13. Updated Demand'!A:Z,26,FALSE))</f>
        <v>2.93</v>
      </c>
      <c r="AJ1979" s="16">
        <f t="shared" si="373"/>
        <v>3.8600000000000003</v>
      </c>
      <c r="AK1979" s="19">
        <v>0</v>
      </c>
      <c r="AL1979" s="16">
        <f t="shared" si="371"/>
        <v>0</v>
      </c>
      <c r="AM1979" s="26">
        <v>0.12275132273015875</v>
      </c>
      <c r="AN1979" s="19">
        <v>31.5</v>
      </c>
      <c r="AO1979" s="19" t="s">
        <v>1758</v>
      </c>
      <c r="AP1979" s="19">
        <v>0</v>
      </c>
      <c r="AQ1979" s="19" t="s">
        <v>307</v>
      </c>
      <c r="AR1979" s="9" t="s">
        <v>319</v>
      </c>
      <c r="AS1979" s="12">
        <v>0</v>
      </c>
      <c r="AT1979" s="19">
        <v>38.951167400000003</v>
      </c>
      <c r="AU1979" s="19">
        <v>-123.06241034999999</v>
      </c>
      <c r="AV1979" s="19" t="s">
        <v>476</v>
      </c>
    </row>
    <row r="1980" spans="1:48" x14ac:dyDescent="0.25">
      <c r="A1980" s="18" t="s">
        <v>2410</v>
      </c>
      <c r="B1980" s="10">
        <v>10000000</v>
      </c>
      <c r="C1980" s="9">
        <v>1</v>
      </c>
      <c r="D1980" s="8" t="str">
        <f t="shared" si="362"/>
        <v>N</v>
      </c>
      <c r="E1980" s="8" t="str">
        <f t="shared" si="363"/>
        <v>N</v>
      </c>
      <c r="F1980" s="8" t="str">
        <f t="shared" si="364"/>
        <v>Y</v>
      </c>
      <c r="G1980" s="8" t="str">
        <f t="shared" si="365"/>
        <v>Y</v>
      </c>
      <c r="H1980" s="8" t="str">
        <f t="shared" si="366"/>
        <v>Upper</v>
      </c>
      <c r="I1980" s="8" t="str">
        <f t="shared" si="367"/>
        <v>West Fork and Below Lake</v>
      </c>
      <c r="J1980" s="8" t="str">
        <f t="shared" si="368"/>
        <v>Outside</v>
      </c>
      <c r="K1980" s="8" t="str">
        <f t="shared" si="369"/>
        <v>Riparian</v>
      </c>
      <c r="L1980" s="8">
        <f t="shared" si="370"/>
        <v>1000</v>
      </c>
      <c r="M1980" s="8" t="str">
        <f t="shared" si="372"/>
        <v>-</v>
      </c>
      <c r="N1980" s="10" t="s">
        <v>242</v>
      </c>
      <c r="O1980" s="10" t="s">
        <v>241</v>
      </c>
      <c r="P1980" s="10" t="s">
        <v>242</v>
      </c>
      <c r="Q1980" s="10" t="s">
        <v>242</v>
      </c>
      <c r="R1980" s="10" t="s">
        <v>242</v>
      </c>
      <c r="S1980" s="10" t="s">
        <v>241</v>
      </c>
      <c r="T1980" s="10" t="s">
        <v>242</v>
      </c>
      <c r="U1980" s="10" t="s">
        <v>242</v>
      </c>
      <c r="V1980" s="10" t="s">
        <v>241</v>
      </c>
      <c r="W1980" s="10" t="s">
        <v>242</v>
      </c>
      <c r="X1980" s="15">
        <f>IF(ISERROR(VLOOKUP($A1980,'13. Updated Demand'!A:Z,15,FALSE)),0,VLOOKUP($A1980,'13. Updated Demand'!A:Z,15,FALSE))</f>
        <v>2.62</v>
      </c>
      <c r="Y1980" s="16">
        <f>IF(ISERROR(VLOOKUP($A1980,'13. Updated Demand'!A:Z,16,FALSE)),0,VLOOKUP($A1980,'13. Updated Demand'!A:Z,16,FALSE))</f>
        <v>6.16</v>
      </c>
      <c r="Z1980" s="16">
        <f>IF(ISERROR(VLOOKUP($A1980,'13. Updated Demand'!A:Z,17,FALSE)),0,VLOOKUP($A1980,'13. Updated Demand'!A:Z,17,FALSE))</f>
        <v>0</v>
      </c>
      <c r="AA1980" s="16">
        <f>IF(ISERROR(VLOOKUP($A1980,'13. Updated Demand'!A:Z,18,FALSE)),0,VLOOKUP($A1980,'13. Updated Demand'!A:Z,18,FALSE))</f>
        <v>0</v>
      </c>
      <c r="AB1980" s="16">
        <f>IF(ISERROR(VLOOKUP($A1980,'13. Updated Demand'!A:Z,19,FALSE)),0,VLOOKUP($A1980,'13. Updated Demand'!A:Z,19,FALSE))</f>
        <v>0</v>
      </c>
      <c r="AC1980" s="16">
        <f>IF(ISERROR(VLOOKUP($A1980,'13. Updated Demand'!A:Z,20,FALSE)),0,VLOOKUP($A1980,'13. Updated Demand'!A:Z,20,FALSE))</f>
        <v>0</v>
      </c>
      <c r="AD1980" s="16">
        <f>IF(ISERROR(VLOOKUP($A1980,'13. Updated Demand'!A:Z,21,FALSE)),0,VLOOKUP($A1980,'13. Updated Demand'!A:Z,21,FALSE))</f>
        <v>0</v>
      </c>
      <c r="AE1980" s="16">
        <f>IF(ISERROR(VLOOKUP($A1980,'13. Updated Demand'!A:Z,22,FALSE)),0,VLOOKUP($A1980,'13. Updated Demand'!A:Z,22,FALSE))</f>
        <v>0</v>
      </c>
      <c r="AF1980" s="16">
        <f>IF(ISERROR(VLOOKUP($A1980,'13. Updated Demand'!A:Z,23,FALSE)),0,VLOOKUP($A1980,'13. Updated Demand'!A:Z,23,FALSE))</f>
        <v>0</v>
      </c>
      <c r="AG1980" s="16">
        <f>IF(ISERROR(VLOOKUP($A1980,'13. Updated Demand'!A:Z,24,FALSE)),0,VLOOKUP($A1980,'13. Updated Demand'!A:Z,24,FALSE))</f>
        <v>1.06</v>
      </c>
      <c r="AH1980" s="16">
        <f>IF(ISERROR(VLOOKUP($A1980,'13. Updated Demand'!A:Z,25,FALSE)),0,VLOOKUP($A1980,'13. Updated Demand'!A:Z,25,FALSE))</f>
        <v>10.23</v>
      </c>
      <c r="AI1980" s="16">
        <f>IF(ISERROR(VLOOKUP($A1980,'13. Updated Demand'!A:Z,26,FALSE)),0,VLOOKUP($A1980,'13. Updated Demand'!A:Z,26,FALSE))</f>
        <v>19.329999999999998</v>
      </c>
      <c r="AJ1980" s="16">
        <f t="shared" si="373"/>
        <v>39.4</v>
      </c>
      <c r="AK1980" s="19">
        <v>0</v>
      </c>
      <c r="AL1980" s="16">
        <f t="shared" si="371"/>
        <v>0</v>
      </c>
      <c r="AM1980" s="26">
        <v>0.78853333321999997</v>
      </c>
      <c r="AN1980" s="19">
        <v>50</v>
      </c>
      <c r="AO1980" s="19" t="s">
        <v>1758</v>
      </c>
      <c r="AP1980" s="19">
        <v>0</v>
      </c>
      <c r="AQ1980" s="19" t="s">
        <v>307</v>
      </c>
      <c r="AR1980" s="9" t="s">
        <v>317</v>
      </c>
      <c r="AS1980" s="12">
        <v>0</v>
      </c>
      <c r="AT1980" s="19">
        <v>39.321100000000001</v>
      </c>
      <c r="AU1980" s="19">
        <v>-123.34</v>
      </c>
      <c r="AV1980" s="19" t="s">
        <v>553</v>
      </c>
    </row>
    <row r="1981" spans="1:48" x14ac:dyDescent="0.25">
      <c r="A1981" s="18" t="s">
        <v>2411</v>
      </c>
      <c r="B1981" s="10">
        <v>10000000</v>
      </c>
      <c r="C1981" s="9">
        <v>6</v>
      </c>
      <c r="D1981" s="8" t="str">
        <f t="shared" si="362"/>
        <v>Y</v>
      </c>
      <c r="E1981" s="8" t="str">
        <f t="shared" si="363"/>
        <v>N</v>
      </c>
      <c r="F1981" s="8" t="str">
        <f t="shared" si="364"/>
        <v>Y</v>
      </c>
      <c r="G1981" s="8" t="str">
        <f t="shared" si="365"/>
        <v>Y</v>
      </c>
      <c r="H1981" s="8" t="str">
        <f t="shared" si="366"/>
        <v>Upper</v>
      </c>
      <c r="I1981" s="8" t="str">
        <f t="shared" si="367"/>
        <v>West Fork and Below Lake</v>
      </c>
      <c r="J1981" s="8" t="str">
        <f t="shared" si="368"/>
        <v>Mendocino (d/s of lake)</v>
      </c>
      <c r="K1981" s="8" t="str">
        <f t="shared" si="369"/>
        <v>Riparian</v>
      </c>
      <c r="L1981" s="8">
        <f t="shared" si="370"/>
        <v>1000</v>
      </c>
      <c r="M1981" s="8" t="str">
        <f t="shared" si="372"/>
        <v>-</v>
      </c>
      <c r="N1981" s="10" t="s">
        <v>242</v>
      </c>
      <c r="O1981" s="10" t="s">
        <v>241</v>
      </c>
      <c r="P1981" s="10" t="s">
        <v>242</v>
      </c>
      <c r="Q1981" s="10" t="s">
        <v>242</v>
      </c>
      <c r="R1981" s="10" t="s">
        <v>242</v>
      </c>
      <c r="S1981" s="10" t="s">
        <v>241</v>
      </c>
      <c r="T1981" s="10" t="s">
        <v>242</v>
      </c>
      <c r="U1981" s="10" t="s">
        <v>242</v>
      </c>
      <c r="V1981" s="10" t="s">
        <v>241</v>
      </c>
      <c r="W1981" s="10" t="s">
        <v>242</v>
      </c>
      <c r="X1981" s="15">
        <f>IF(ISERROR(VLOOKUP($A1981,'13. Updated Demand'!A:Z,15,FALSE)),0,VLOOKUP($A1981,'13. Updated Demand'!A:Z,15,FALSE))</f>
        <v>18.93</v>
      </c>
      <c r="Y1981" s="16">
        <f>IF(ISERROR(VLOOKUP($A1981,'13. Updated Demand'!A:Z,16,FALSE)),0,VLOOKUP($A1981,'13. Updated Demand'!A:Z,16,FALSE))</f>
        <v>0</v>
      </c>
      <c r="Z1981" s="16">
        <f>IF(ISERROR(VLOOKUP($A1981,'13. Updated Demand'!A:Z,17,FALSE)),0,VLOOKUP($A1981,'13. Updated Demand'!A:Z,17,FALSE))</f>
        <v>2.4</v>
      </c>
      <c r="AA1981" s="16">
        <f>IF(ISERROR(VLOOKUP($A1981,'13. Updated Demand'!A:Z,18,FALSE)),0,VLOOKUP($A1981,'13. Updated Demand'!A:Z,18,FALSE))</f>
        <v>0</v>
      </c>
      <c r="AB1981" s="16">
        <f>IF(ISERROR(VLOOKUP($A1981,'13. Updated Demand'!A:Z,19,FALSE)),0,VLOOKUP($A1981,'13. Updated Demand'!A:Z,19,FALSE))</f>
        <v>0</v>
      </c>
      <c r="AC1981" s="16">
        <f>IF(ISERROR(VLOOKUP($A1981,'13. Updated Demand'!A:Z,20,FALSE)),0,VLOOKUP($A1981,'13. Updated Demand'!A:Z,20,FALSE))</f>
        <v>0</v>
      </c>
      <c r="AD1981" s="16">
        <f>IF(ISERROR(VLOOKUP($A1981,'13. Updated Demand'!A:Z,21,FALSE)),0,VLOOKUP($A1981,'13. Updated Demand'!A:Z,21,FALSE))</f>
        <v>0</v>
      </c>
      <c r="AE1981" s="16">
        <f>IF(ISERROR(VLOOKUP($A1981,'13. Updated Demand'!A:Z,22,FALSE)),0,VLOOKUP($A1981,'13. Updated Demand'!A:Z,22,FALSE))</f>
        <v>0</v>
      </c>
      <c r="AF1981" s="16">
        <f>IF(ISERROR(VLOOKUP($A1981,'13. Updated Demand'!A:Z,23,FALSE)),0,VLOOKUP($A1981,'13. Updated Demand'!A:Z,23,FALSE))</f>
        <v>0</v>
      </c>
      <c r="AG1981" s="16">
        <f>IF(ISERROR(VLOOKUP($A1981,'13. Updated Demand'!A:Z,24,FALSE)),0,VLOOKUP($A1981,'13. Updated Demand'!A:Z,24,FALSE))</f>
        <v>0</v>
      </c>
      <c r="AH1981" s="16">
        <f>IF(ISERROR(VLOOKUP($A1981,'13. Updated Demand'!A:Z,25,FALSE)),0,VLOOKUP($A1981,'13. Updated Demand'!A:Z,25,FALSE))</f>
        <v>0.4</v>
      </c>
      <c r="AI1981" s="16">
        <f>IF(ISERROR(VLOOKUP($A1981,'13. Updated Demand'!A:Z,26,FALSE)),0,VLOOKUP($A1981,'13. Updated Demand'!A:Z,26,FALSE))</f>
        <v>1.7</v>
      </c>
      <c r="AJ1981" s="16">
        <f t="shared" si="373"/>
        <v>23.429999999999996</v>
      </c>
      <c r="AK1981" s="19">
        <v>0</v>
      </c>
      <c r="AL1981" s="16">
        <f t="shared" si="371"/>
        <v>0</v>
      </c>
      <c r="AM1981" s="26">
        <v>0.3210045661643835</v>
      </c>
      <c r="AN1981" s="19">
        <v>73</v>
      </c>
      <c r="AO1981" s="19" t="s">
        <v>1758</v>
      </c>
      <c r="AP1981" s="19">
        <v>0</v>
      </c>
      <c r="AQ1981" s="19" t="s">
        <v>307</v>
      </c>
      <c r="AR1981" s="9" t="s">
        <v>319</v>
      </c>
      <c r="AS1981" s="12">
        <v>0</v>
      </c>
      <c r="AT1981" s="19">
        <v>38.956024499999998</v>
      </c>
      <c r="AU1981" s="19">
        <v>-123.06439209</v>
      </c>
      <c r="AV1981" s="19" t="s">
        <v>476</v>
      </c>
    </row>
    <row r="1982" spans="1:48" x14ac:dyDescent="0.25">
      <c r="A1982" s="18" t="s">
        <v>2412</v>
      </c>
      <c r="B1982" s="10">
        <v>10000000</v>
      </c>
      <c r="C1982" s="9">
        <v>8</v>
      </c>
      <c r="D1982" s="8" t="str">
        <f t="shared" si="362"/>
        <v>N</v>
      </c>
      <c r="E1982" s="8" t="str">
        <f t="shared" si="363"/>
        <v>Y</v>
      </c>
      <c r="F1982" s="8" t="str">
        <f t="shared" si="364"/>
        <v>Y</v>
      </c>
      <c r="G1982" s="8" t="str">
        <f t="shared" si="365"/>
        <v>Y</v>
      </c>
      <c r="H1982" s="8" t="str">
        <f t="shared" si="366"/>
        <v>Upper</v>
      </c>
      <c r="I1982" s="8" t="str">
        <f t="shared" si="367"/>
        <v>West Fork and Below Lake</v>
      </c>
      <c r="J1982" s="8" t="str">
        <f t="shared" si="368"/>
        <v>Sonoma (d/s of Clov. Gage)</v>
      </c>
      <c r="K1982" s="8" t="str">
        <f t="shared" si="369"/>
        <v>Riparian</v>
      </c>
      <c r="L1982" s="8">
        <f t="shared" si="370"/>
        <v>1000</v>
      </c>
      <c r="M1982" s="8" t="str">
        <f t="shared" si="372"/>
        <v>-</v>
      </c>
      <c r="N1982" s="10" t="s">
        <v>242</v>
      </c>
      <c r="O1982" s="10" t="s">
        <v>241</v>
      </c>
      <c r="P1982" s="10" t="s">
        <v>242</v>
      </c>
      <c r="Q1982" s="10" t="s">
        <v>242</v>
      </c>
      <c r="R1982" s="10" t="s">
        <v>242</v>
      </c>
      <c r="S1982" s="10" t="s">
        <v>241</v>
      </c>
      <c r="T1982" s="10" t="s">
        <v>242</v>
      </c>
      <c r="U1982" s="10" t="s">
        <v>242</v>
      </c>
      <c r="V1982" s="10" t="s">
        <v>241</v>
      </c>
      <c r="W1982" s="10" t="s">
        <v>242</v>
      </c>
      <c r="X1982" s="15">
        <f>IF(ISERROR(VLOOKUP($A1982,'13. Updated Demand'!A:Z,15,FALSE)),0,VLOOKUP($A1982,'13. Updated Demand'!A:Z,15,FALSE))</f>
        <v>5</v>
      </c>
      <c r="Y1982" s="16">
        <f>IF(ISERROR(VLOOKUP($A1982,'13. Updated Demand'!A:Z,16,FALSE)),0,VLOOKUP($A1982,'13. Updated Demand'!A:Z,16,FALSE))</f>
        <v>5</v>
      </c>
      <c r="Z1982" s="16">
        <f>IF(ISERROR(VLOOKUP($A1982,'13. Updated Demand'!A:Z,17,FALSE)),0,VLOOKUP($A1982,'13. Updated Demand'!A:Z,17,FALSE))</f>
        <v>5</v>
      </c>
      <c r="AA1982" s="16">
        <f>IF(ISERROR(VLOOKUP($A1982,'13. Updated Demand'!A:Z,18,FALSE)),0,VLOOKUP($A1982,'13. Updated Demand'!A:Z,18,FALSE))</f>
        <v>0</v>
      </c>
      <c r="AB1982" s="16">
        <f>IF(ISERROR(VLOOKUP($A1982,'13. Updated Demand'!A:Z,19,FALSE)),0,VLOOKUP($A1982,'13. Updated Demand'!A:Z,19,FALSE))</f>
        <v>0</v>
      </c>
      <c r="AC1982" s="16">
        <f>IF(ISERROR(VLOOKUP($A1982,'13. Updated Demand'!A:Z,20,FALSE)),0,VLOOKUP($A1982,'13. Updated Demand'!A:Z,20,FALSE))</f>
        <v>0</v>
      </c>
      <c r="AD1982" s="16">
        <f>IF(ISERROR(VLOOKUP($A1982,'13. Updated Demand'!A:Z,21,FALSE)),0,VLOOKUP($A1982,'13. Updated Demand'!A:Z,21,FALSE))</f>
        <v>0</v>
      </c>
      <c r="AE1982" s="16">
        <f>IF(ISERROR(VLOOKUP($A1982,'13. Updated Demand'!A:Z,22,FALSE)),0,VLOOKUP($A1982,'13. Updated Demand'!A:Z,22,FALSE))</f>
        <v>0</v>
      </c>
      <c r="AF1982" s="16">
        <f>IF(ISERROR(VLOOKUP($A1982,'13. Updated Demand'!A:Z,23,FALSE)),0,VLOOKUP($A1982,'13. Updated Demand'!A:Z,23,FALSE))</f>
        <v>0</v>
      </c>
      <c r="AG1982" s="16">
        <f>IF(ISERROR(VLOOKUP($A1982,'13. Updated Demand'!A:Z,24,FALSE)),0,VLOOKUP($A1982,'13. Updated Demand'!A:Z,24,FALSE))</f>
        <v>0</v>
      </c>
      <c r="AH1982" s="16">
        <f>IF(ISERROR(VLOOKUP($A1982,'13. Updated Demand'!A:Z,25,FALSE)),0,VLOOKUP($A1982,'13. Updated Demand'!A:Z,25,FALSE))</f>
        <v>0</v>
      </c>
      <c r="AI1982" s="16">
        <f>IF(ISERROR(VLOOKUP($A1982,'13. Updated Demand'!A:Z,26,FALSE)),0,VLOOKUP($A1982,'13. Updated Demand'!A:Z,26,FALSE))</f>
        <v>0</v>
      </c>
      <c r="AJ1982" s="16">
        <f t="shared" si="373"/>
        <v>15</v>
      </c>
      <c r="AK1982" s="19">
        <v>0</v>
      </c>
      <c r="AL1982" s="16">
        <f t="shared" si="371"/>
        <v>0</v>
      </c>
      <c r="AM1982" s="26">
        <v>1.0804347669502208</v>
      </c>
      <c r="AN1982" s="19">
        <v>13.8833</v>
      </c>
      <c r="AO1982" s="19" t="s">
        <v>1758</v>
      </c>
      <c r="AP1982" s="19">
        <v>0</v>
      </c>
      <c r="AQ1982" s="19" t="s">
        <v>307</v>
      </c>
      <c r="AR1982" s="9" t="s">
        <v>409</v>
      </c>
      <c r="AS1982" s="12">
        <v>0</v>
      </c>
      <c r="AT1982" s="19">
        <v>38.844200000000001</v>
      </c>
      <c r="AU1982" s="19">
        <v>-122.9572</v>
      </c>
      <c r="AV1982" s="19" t="s">
        <v>395</v>
      </c>
    </row>
    <row r="1983" spans="1:48" x14ac:dyDescent="0.25">
      <c r="A1983" s="18" t="s">
        <v>2413</v>
      </c>
      <c r="B1983" s="10">
        <v>10000000</v>
      </c>
      <c r="C1983" s="9">
        <v>8</v>
      </c>
      <c r="D1983" s="8" t="str">
        <f t="shared" si="362"/>
        <v>N</v>
      </c>
      <c r="E1983" s="8" t="str">
        <f t="shared" si="363"/>
        <v>Y</v>
      </c>
      <c r="F1983" s="8" t="str">
        <f t="shared" si="364"/>
        <v>Y</v>
      </c>
      <c r="G1983" s="8" t="str">
        <f t="shared" si="365"/>
        <v>Y</v>
      </c>
      <c r="H1983" s="8" t="str">
        <f t="shared" si="366"/>
        <v>Upper</v>
      </c>
      <c r="I1983" s="8" t="str">
        <f t="shared" si="367"/>
        <v>West Fork and Below Lake</v>
      </c>
      <c r="J1983" s="8" t="str">
        <f t="shared" si="368"/>
        <v>Sonoma (d/s of Clov. Gage)</v>
      </c>
      <c r="K1983" s="8" t="str">
        <f t="shared" si="369"/>
        <v>Riparian</v>
      </c>
      <c r="L1983" s="8">
        <f t="shared" si="370"/>
        <v>1000</v>
      </c>
      <c r="M1983" s="8" t="str">
        <f t="shared" si="372"/>
        <v>-</v>
      </c>
      <c r="N1983" s="10" t="s">
        <v>242</v>
      </c>
      <c r="O1983" s="10" t="s">
        <v>241</v>
      </c>
      <c r="P1983" s="10" t="s">
        <v>242</v>
      </c>
      <c r="Q1983" s="10" t="s">
        <v>242</v>
      </c>
      <c r="R1983" s="10" t="s">
        <v>242</v>
      </c>
      <c r="S1983" s="10" t="s">
        <v>241</v>
      </c>
      <c r="T1983" s="10" t="s">
        <v>242</v>
      </c>
      <c r="U1983" s="10" t="s">
        <v>242</v>
      </c>
      <c r="V1983" s="10" t="s">
        <v>241</v>
      </c>
      <c r="W1983" s="10" t="s">
        <v>242</v>
      </c>
      <c r="X1983" s="15">
        <f>IF(ISERROR(VLOOKUP($A1983,'13. Updated Demand'!A:Z,15,FALSE)),0,VLOOKUP($A1983,'13. Updated Demand'!A:Z,15,FALSE))</f>
        <v>2.12</v>
      </c>
      <c r="Y1983" s="16">
        <f>IF(ISERROR(VLOOKUP($A1983,'13. Updated Demand'!A:Z,16,FALSE)),0,VLOOKUP($A1983,'13. Updated Demand'!A:Z,16,FALSE))</f>
        <v>2.12</v>
      </c>
      <c r="Z1983" s="16">
        <f>IF(ISERROR(VLOOKUP($A1983,'13. Updated Demand'!A:Z,17,FALSE)),0,VLOOKUP($A1983,'13. Updated Demand'!A:Z,17,FALSE))</f>
        <v>2.12</v>
      </c>
      <c r="AA1983" s="16">
        <f>IF(ISERROR(VLOOKUP($A1983,'13. Updated Demand'!A:Z,18,FALSE)),0,VLOOKUP($A1983,'13. Updated Demand'!A:Z,18,FALSE))</f>
        <v>0</v>
      </c>
      <c r="AB1983" s="16">
        <f>IF(ISERROR(VLOOKUP($A1983,'13. Updated Demand'!A:Z,19,FALSE)),0,VLOOKUP($A1983,'13. Updated Demand'!A:Z,19,FALSE))</f>
        <v>0</v>
      </c>
      <c r="AC1983" s="16">
        <f>IF(ISERROR(VLOOKUP($A1983,'13. Updated Demand'!A:Z,20,FALSE)),0,VLOOKUP($A1983,'13. Updated Demand'!A:Z,20,FALSE))</f>
        <v>0</v>
      </c>
      <c r="AD1983" s="16">
        <f>IF(ISERROR(VLOOKUP($A1983,'13. Updated Demand'!A:Z,21,FALSE)),0,VLOOKUP($A1983,'13. Updated Demand'!A:Z,21,FALSE))</f>
        <v>0</v>
      </c>
      <c r="AE1983" s="16">
        <f>IF(ISERROR(VLOOKUP($A1983,'13. Updated Demand'!A:Z,22,FALSE)),0,VLOOKUP($A1983,'13. Updated Demand'!A:Z,22,FALSE))</f>
        <v>0</v>
      </c>
      <c r="AF1983" s="16">
        <f>IF(ISERROR(VLOOKUP($A1983,'13. Updated Demand'!A:Z,23,FALSE)),0,VLOOKUP($A1983,'13. Updated Demand'!A:Z,23,FALSE))</f>
        <v>0</v>
      </c>
      <c r="AG1983" s="16">
        <f>IF(ISERROR(VLOOKUP($A1983,'13. Updated Demand'!A:Z,24,FALSE)),0,VLOOKUP($A1983,'13. Updated Demand'!A:Z,24,FALSE))</f>
        <v>0</v>
      </c>
      <c r="AH1983" s="16">
        <f>IF(ISERROR(VLOOKUP($A1983,'13. Updated Demand'!A:Z,25,FALSE)),0,VLOOKUP($A1983,'13. Updated Demand'!A:Z,25,FALSE))</f>
        <v>0</v>
      </c>
      <c r="AI1983" s="16">
        <f>IF(ISERROR(VLOOKUP($A1983,'13. Updated Demand'!A:Z,26,FALSE)),0,VLOOKUP($A1983,'13. Updated Demand'!A:Z,26,FALSE))</f>
        <v>0</v>
      </c>
      <c r="AJ1983" s="16">
        <f t="shared" si="373"/>
        <v>6.36</v>
      </c>
      <c r="AK1983" s="19">
        <v>0</v>
      </c>
      <c r="AL1983" s="16">
        <f t="shared" si="371"/>
        <v>0</v>
      </c>
      <c r="AM1983" s="26">
        <v>0.35636985956611467</v>
      </c>
      <c r="AN1983" s="19">
        <v>17.880299999999998</v>
      </c>
      <c r="AO1983" s="19" t="s">
        <v>1758</v>
      </c>
      <c r="AP1983" s="19">
        <v>0</v>
      </c>
      <c r="AQ1983" s="19" t="s">
        <v>307</v>
      </c>
      <c r="AR1983" s="9" t="s">
        <v>409</v>
      </c>
      <c r="AS1983" s="12">
        <v>0</v>
      </c>
      <c r="AT1983" s="19">
        <v>38.838099999999997</v>
      </c>
      <c r="AU1983" s="19">
        <v>-122.9727</v>
      </c>
      <c r="AV1983" s="19" t="s">
        <v>2414</v>
      </c>
    </row>
    <row r="1984" spans="1:48" x14ac:dyDescent="0.25">
      <c r="A1984" s="18" t="s">
        <v>2415</v>
      </c>
      <c r="B1984" s="10">
        <v>10000000</v>
      </c>
      <c r="C1984" s="9">
        <v>10</v>
      </c>
      <c r="D1984" s="8" t="str">
        <f t="shared" si="362"/>
        <v>N</v>
      </c>
      <c r="E1984" s="8" t="str">
        <f t="shared" si="363"/>
        <v>Y</v>
      </c>
      <c r="F1984" s="8" t="str">
        <f t="shared" si="364"/>
        <v>Y</v>
      </c>
      <c r="G1984" s="8" t="str">
        <f t="shared" si="365"/>
        <v>Y</v>
      </c>
      <c r="H1984" s="8" t="str">
        <f t="shared" si="366"/>
        <v>Upper</v>
      </c>
      <c r="I1984" s="8" t="str">
        <f t="shared" si="367"/>
        <v>West Fork and Below Lake</v>
      </c>
      <c r="J1984" s="8" t="str">
        <f t="shared" si="368"/>
        <v>Sonoma (d/s of Clov. Gage)</v>
      </c>
      <c r="K1984" s="8" t="str">
        <f t="shared" si="369"/>
        <v>Riparian</v>
      </c>
      <c r="L1984" s="8">
        <f t="shared" si="370"/>
        <v>1000</v>
      </c>
      <c r="M1984" s="8" t="str">
        <f t="shared" si="372"/>
        <v>-</v>
      </c>
      <c r="N1984" s="10" t="s">
        <v>241</v>
      </c>
      <c r="O1984" s="10" t="s">
        <v>241</v>
      </c>
      <c r="P1984" s="10" t="s">
        <v>242</v>
      </c>
      <c r="Q1984" s="10" t="s">
        <v>242</v>
      </c>
      <c r="R1984" s="10" t="s">
        <v>242</v>
      </c>
      <c r="S1984" s="10" t="s">
        <v>241</v>
      </c>
      <c r="T1984" s="10" t="s">
        <v>242</v>
      </c>
      <c r="U1984" s="10" t="s">
        <v>242</v>
      </c>
      <c r="V1984" s="10" t="s">
        <v>242</v>
      </c>
      <c r="W1984" s="10" t="s">
        <v>242</v>
      </c>
      <c r="X1984" s="15">
        <f>IF(ISERROR(VLOOKUP($A1984,'13. Updated Demand'!A:Z,15,FALSE)),0,VLOOKUP($A1984,'13. Updated Demand'!A:Z,15,FALSE))</f>
        <v>0.01</v>
      </c>
      <c r="Y1984" s="16">
        <f>IF(ISERROR(VLOOKUP($A1984,'13. Updated Demand'!A:Z,16,FALSE)),0,VLOOKUP($A1984,'13. Updated Demand'!A:Z,16,FALSE))</f>
        <v>0.2</v>
      </c>
      <c r="Z1984" s="16">
        <f>IF(ISERROR(VLOOKUP($A1984,'13. Updated Demand'!A:Z,17,FALSE)),0,VLOOKUP($A1984,'13. Updated Demand'!A:Z,17,FALSE))</f>
        <v>0.72</v>
      </c>
      <c r="AA1984" s="16">
        <f>IF(ISERROR(VLOOKUP($A1984,'13. Updated Demand'!A:Z,18,FALSE)),0,VLOOKUP($A1984,'13. Updated Demand'!A:Z,18,FALSE))</f>
        <v>0</v>
      </c>
      <c r="AB1984" s="16">
        <f>IF(ISERROR(VLOOKUP($A1984,'13. Updated Demand'!A:Z,19,FALSE)),0,VLOOKUP($A1984,'13. Updated Demand'!A:Z,19,FALSE))</f>
        <v>0</v>
      </c>
      <c r="AC1984" s="16">
        <f>IF(ISERROR(VLOOKUP($A1984,'13. Updated Demand'!A:Z,20,FALSE)),0,VLOOKUP($A1984,'13. Updated Demand'!A:Z,20,FALSE))</f>
        <v>0.15</v>
      </c>
      <c r="AD1984" s="16">
        <f>IF(ISERROR(VLOOKUP($A1984,'13. Updated Demand'!A:Z,21,FALSE)),0,VLOOKUP($A1984,'13. Updated Demand'!A:Z,21,FALSE))</f>
        <v>0</v>
      </c>
      <c r="AE1984" s="16">
        <f>IF(ISERROR(VLOOKUP($A1984,'13. Updated Demand'!A:Z,22,FALSE)),0,VLOOKUP($A1984,'13. Updated Demand'!A:Z,22,FALSE))</f>
        <v>0</v>
      </c>
      <c r="AF1984" s="16">
        <f>IF(ISERROR(VLOOKUP($A1984,'13. Updated Demand'!A:Z,23,FALSE)),0,VLOOKUP($A1984,'13. Updated Demand'!A:Z,23,FALSE))</f>
        <v>0</v>
      </c>
      <c r="AG1984" s="16">
        <f>IF(ISERROR(VLOOKUP($A1984,'13. Updated Demand'!A:Z,24,FALSE)),0,VLOOKUP($A1984,'13. Updated Demand'!A:Z,24,FALSE))</f>
        <v>0</v>
      </c>
      <c r="AH1984" s="16">
        <f>IF(ISERROR(VLOOKUP($A1984,'13. Updated Demand'!A:Z,25,FALSE)),0,VLOOKUP($A1984,'13. Updated Demand'!A:Z,25,FALSE))</f>
        <v>0</v>
      </c>
      <c r="AI1984" s="16">
        <f>IF(ISERROR(VLOOKUP($A1984,'13. Updated Demand'!A:Z,26,FALSE)),0,VLOOKUP($A1984,'13. Updated Demand'!A:Z,26,FALSE))</f>
        <v>0</v>
      </c>
      <c r="AJ1984" s="16">
        <f t="shared" si="373"/>
        <v>1.0799999999999998</v>
      </c>
      <c r="AK1984" s="19">
        <v>0.159</v>
      </c>
      <c r="AL1984" s="16">
        <f t="shared" si="371"/>
        <v>5.2738488819798596E-4</v>
      </c>
      <c r="AM1984" s="26">
        <v>1.1384622712719487E-3</v>
      </c>
      <c r="AN1984" s="19">
        <v>968.52279999999996</v>
      </c>
      <c r="AO1984" s="19" t="s">
        <v>1758</v>
      </c>
      <c r="AP1984" s="19">
        <v>0</v>
      </c>
      <c r="AQ1984" s="19" t="s">
        <v>307</v>
      </c>
      <c r="AR1984" s="9" t="s">
        <v>436</v>
      </c>
      <c r="AS1984" s="12">
        <v>0</v>
      </c>
      <c r="AT1984" s="19">
        <v>38.686999999999998</v>
      </c>
      <c r="AU1984" s="19">
        <v>-122.85420000000001</v>
      </c>
      <c r="AV1984" s="19" t="s">
        <v>548</v>
      </c>
    </row>
    <row r="1985" spans="1:48" x14ac:dyDescent="0.25">
      <c r="A1985" s="18" t="s">
        <v>2416</v>
      </c>
      <c r="B1985" s="10">
        <v>10000000</v>
      </c>
      <c r="C1985" s="9">
        <v>1</v>
      </c>
      <c r="D1985" s="8" t="str">
        <f t="shared" si="362"/>
        <v>N</v>
      </c>
      <c r="E1985" s="8" t="str">
        <f t="shared" si="363"/>
        <v>N</v>
      </c>
      <c r="F1985" s="8" t="str">
        <f t="shared" si="364"/>
        <v>Y</v>
      </c>
      <c r="G1985" s="8" t="str">
        <f t="shared" si="365"/>
        <v>Y</v>
      </c>
      <c r="H1985" s="8" t="str">
        <f t="shared" si="366"/>
        <v>Upper</v>
      </c>
      <c r="I1985" s="8" t="str">
        <f t="shared" si="367"/>
        <v>West Fork and Below Lake</v>
      </c>
      <c r="J1985" s="8" t="str">
        <f t="shared" si="368"/>
        <v>Outside</v>
      </c>
      <c r="K1985" s="8" t="str">
        <f t="shared" si="369"/>
        <v>Riparian</v>
      </c>
      <c r="L1985" s="8">
        <f t="shared" si="370"/>
        <v>1000</v>
      </c>
      <c r="M1985" s="8" t="str">
        <f t="shared" si="372"/>
        <v>-</v>
      </c>
      <c r="N1985" s="10" t="s">
        <v>242</v>
      </c>
      <c r="O1985" s="10" t="s">
        <v>241</v>
      </c>
      <c r="P1985" s="10" t="s">
        <v>242</v>
      </c>
      <c r="Q1985" s="10" t="s">
        <v>242</v>
      </c>
      <c r="R1985" s="10" t="s">
        <v>242</v>
      </c>
      <c r="S1985" s="10" t="s">
        <v>241</v>
      </c>
      <c r="T1985" s="10" t="s">
        <v>241</v>
      </c>
      <c r="U1985" s="10" t="s">
        <v>241</v>
      </c>
      <c r="V1985" s="10" t="s">
        <v>241</v>
      </c>
      <c r="W1985" s="10" t="s">
        <v>242</v>
      </c>
      <c r="X1985" s="15">
        <f>IF(ISERROR(VLOOKUP($A1985,'13. Updated Demand'!A:Z,15,FALSE)),0,VLOOKUP($A1985,'13. Updated Demand'!A:Z,15,FALSE))</f>
        <v>0</v>
      </c>
      <c r="Y1985" s="16">
        <f>IF(ISERROR(VLOOKUP($A1985,'13. Updated Demand'!A:Z,16,FALSE)),0,VLOOKUP($A1985,'13. Updated Demand'!A:Z,16,FALSE))</f>
        <v>0</v>
      </c>
      <c r="Z1985" s="16">
        <f>IF(ISERROR(VLOOKUP($A1985,'13. Updated Demand'!A:Z,17,FALSE)),0,VLOOKUP($A1985,'13. Updated Demand'!A:Z,17,FALSE))</f>
        <v>0</v>
      </c>
      <c r="AA1985" s="16">
        <f>IF(ISERROR(VLOOKUP($A1985,'13. Updated Demand'!A:Z,18,FALSE)),0,VLOOKUP($A1985,'13. Updated Demand'!A:Z,18,FALSE))</f>
        <v>0</v>
      </c>
      <c r="AB1985" s="16">
        <f>IF(ISERROR(VLOOKUP($A1985,'13. Updated Demand'!A:Z,19,FALSE)),0,VLOOKUP($A1985,'13. Updated Demand'!A:Z,19,FALSE))</f>
        <v>0</v>
      </c>
      <c r="AC1985" s="16">
        <f>IF(ISERROR(VLOOKUP($A1985,'13. Updated Demand'!A:Z,20,FALSE)),0,VLOOKUP($A1985,'13. Updated Demand'!A:Z,20,FALSE))</f>
        <v>0</v>
      </c>
      <c r="AD1985" s="16">
        <f>IF(ISERROR(VLOOKUP($A1985,'13. Updated Demand'!A:Z,21,FALSE)),0,VLOOKUP($A1985,'13. Updated Demand'!A:Z,21,FALSE))</f>
        <v>0</v>
      </c>
      <c r="AE1985" s="16">
        <f>IF(ISERROR(VLOOKUP($A1985,'13. Updated Demand'!A:Z,22,FALSE)),0,VLOOKUP($A1985,'13. Updated Demand'!A:Z,22,FALSE))</f>
        <v>0</v>
      </c>
      <c r="AF1985" s="16">
        <f>IF(ISERROR(VLOOKUP($A1985,'13. Updated Demand'!A:Z,23,FALSE)),0,VLOOKUP($A1985,'13. Updated Demand'!A:Z,23,FALSE))</f>
        <v>0</v>
      </c>
      <c r="AG1985" s="16">
        <f>IF(ISERROR(VLOOKUP($A1985,'13. Updated Demand'!A:Z,24,FALSE)),0,VLOOKUP($A1985,'13. Updated Demand'!A:Z,24,FALSE))</f>
        <v>0</v>
      </c>
      <c r="AH1985" s="16">
        <f>IF(ISERROR(VLOOKUP($A1985,'13. Updated Demand'!A:Z,25,FALSE)),0,VLOOKUP($A1985,'13. Updated Demand'!A:Z,25,FALSE))</f>
        <v>0</v>
      </c>
      <c r="AI1985" s="16">
        <f>IF(ISERROR(VLOOKUP($A1985,'13. Updated Demand'!A:Z,26,FALSE)),0,VLOOKUP($A1985,'13. Updated Demand'!A:Z,26,FALSE))</f>
        <v>0</v>
      </c>
      <c r="AJ1985" s="16">
        <f t="shared" si="373"/>
        <v>0</v>
      </c>
      <c r="AK1985" s="19">
        <v>0</v>
      </c>
      <c r="AL1985" s="16">
        <f t="shared" si="371"/>
        <v>0</v>
      </c>
      <c r="AM1985" s="26">
        <v>0</v>
      </c>
      <c r="AN1985" s="19">
        <v>32.597999999999999</v>
      </c>
      <c r="AO1985" s="19" t="s">
        <v>1758</v>
      </c>
      <c r="AP1985" s="19">
        <v>0</v>
      </c>
      <c r="AQ1985" s="19" t="s">
        <v>307</v>
      </c>
      <c r="AR1985" s="9" t="s">
        <v>317</v>
      </c>
      <c r="AS1985" s="12">
        <v>0</v>
      </c>
      <c r="AT1985" s="19">
        <v>39.291400000000003</v>
      </c>
      <c r="AU1985" s="19">
        <v>-123.3366</v>
      </c>
      <c r="AV1985" s="19"/>
    </row>
    <row r="1986" spans="1:48" x14ac:dyDescent="0.25">
      <c r="A1986" s="18" t="s">
        <v>2417</v>
      </c>
      <c r="B1986" s="10">
        <v>10000000</v>
      </c>
      <c r="C1986" s="9">
        <v>16</v>
      </c>
      <c r="D1986" s="8" t="str">
        <f t="shared" ref="D1986:D2049" si="374">IF(OR(C1986=4,C1986=5,C1986=6),"Y","N")</f>
        <v>N</v>
      </c>
      <c r="E1986" s="8" t="str">
        <f t="shared" ref="E1986:E2049" si="375">IF(AND(C1986&gt;6,C1986&lt;14),"Y","N")</f>
        <v>N</v>
      </c>
      <c r="F1986" s="8" t="str">
        <f t="shared" ref="F1986:F2049" si="376">IF(C1986&lt;14,"Y","N")</f>
        <v>N</v>
      </c>
      <c r="G1986" s="8" t="str">
        <f t="shared" ref="G1986:G2049" si="377">IF(OR(C1986=1,AND(C1986&gt;3,C1986&lt;14)),"Y","N")</f>
        <v>N</v>
      </c>
      <c r="H1986" s="8" t="str">
        <f t="shared" ref="H1986:H2049" si="378">IF(C1986&lt;14,"Upper","Lower")</f>
        <v>Lower</v>
      </c>
      <c r="I1986" s="8" t="str">
        <f t="shared" ref="I1986:I2049" si="379">IF(G1986="Y","West Fork and Below Lake","Outside")</f>
        <v>Outside</v>
      </c>
      <c r="J1986" s="8" t="str">
        <f t="shared" ref="J1986:J2049" si="380">IF(D1986="Y", "Mendocino (d/s of lake)", IF(E1986="Y", "Sonoma (d/s of Clov. Gage)","Outside"))</f>
        <v>Outside</v>
      </c>
      <c r="K1986" s="8" t="str">
        <f t="shared" ref="K1986:K2049" si="381">IF(P1986="Y","pre-1914",IF(Q1986="Y","Pre-1949",IF(R1986="Y","Post-1949",IF(S1986="Y","Riparian","Unknown"))))</f>
        <v>Riparian</v>
      </c>
      <c r="L1986" s="8">
        <f t="shared" ref="L1986:L2049" si="382">_xlfn.NUMBERVALUE(LEFT(B1986,4))</f>
        <v>1000</v>
      </c>
      <c r="M1986" s="8" t="str">
        <f t="shared" si="372"/>
        <v>-</v>
      </c>
      <c r="N1986" s="10" t="s">
        <v>242</v>
      </c>
      <c r="O1986" s="10" t="s">
        <v>242</v>
      </c>
      <c r="P1986" s="10" t="s">
        <v>242</v>
      </c>
      <c r="Q1986" s="10" t="s">
        <v>242</v>
      </c>
      <c r="R1986" s="10" t="s">
        <v>242</v>
      </c>
      <c r="S1986" s="10" t="s">
        <v>241</v>
      </c>
      <c r="T1986" s="10" t="s">
        <v>242</v>
      </c>
      <c r="U1986" s="10" t="s">
        <v>242</v>
      </c>
      <c r="V1986" s="10" t="s">
        <v>242</v>
      </c>
      <c r="W1986" s="10" t="s">
        <v>242</v>
      </c>
      <c r="X1986" s="15">
        <f>IF(ISERROR(VLOOKUP($A1986,'13. Updated Demand'!A:Z,15,FALSE)),0,VLOOKUP($A1986,'13. Updated Demand'!A:Z,15,FALSE))</f>
        <v>3.9123333000000003E-2</v>
      </c>
      <c r="Y1986" s="16">
        <f>IF(ISERROR(VLOOKUP($A1986,'13. Updated Demand'!A:Z,16,FALSE)),0,VLOOKUP($A1986,'13. Updated Demand'!A:Z,16,FALSE))</f>
        <v>3.9123333000000003E-2</v>
      </c>
      <c r="Z1986" s="16">
        <f>IF(ISERROR(VLOOKUP($A1986,'13. Updated Demand'!A:Z,17,FALSE)),0,VLOOKUP($A1986,'13. Updated Demand'!A:Z,17,FALSE))</f>
        <v>3.9323333000000002E-2</v>
      </c>
      <c r="AA1986" s="16">
        <f>IF(ISERROR(VLOOKUP($A1986,'13. Updated Demand'!A:Z,18,FALSE)),0,VLOOKUP($A1986,'13. Updated Demand'!A:Z,18,FALSE))</f>
        <v>3.9323333000000002E-2</v>
      </c>
      <c r="AB1986" s="16">
        <f>IF(ISERROR(VLOOKUP($A1986,'13. Updated Demand'!A:Z,19,FALSE)),0,VLOOKUP($A1986,'13. Updated Demand'!A:Z,19,FALSE))</f>
        <v>3.9456667000000001E-2</v>
      </c>
      <c r="AC1986" s="16">
        <f>IF(ISERROR(VLOOKUP($A1986,'13. Updated Demand'!A:Z,20,FALSE)),0,VLOOKUP($A1986,'13. Updated Demand'!A:Z,20,FALSE))</f>
        <v>3.9456667000000001E-2</v>
      </c>
      <c r="AD1986" s="16">
        <f>IF(ISERROR(VLOOKUP($A1986,'13. Updated Demand'!A:Z,21,FALSE)),0,VLOOKUP($A1986,'13. Updated Demand'!A:Z,21,FALSE))</f>
        <v>3.9456667000000001E-2</v>
      </c>
      <c r="AE1986" s="16">
        <f>IF(ISERROR(VLOOKUP($A1986,'13. Updated Demand'!A:Z,22,FALSE)),0,VLOOKUP($A1986,'13. Updated Demand'!A:Z,22,FALSE))</f>
        <v>3.9456667000000001E-2</v>
      </c>
      <c r="AF1986" s="16">
        <f>IF(ISERROR(VLOOKUP($A1986,'13. Updated Demand'!A:Z,23,FALSE)),0,VLOOKUP($A1986,'13. Updated Demand'!A:Z,23,FALSE))</f>
        <v>3.9456667000000001E-2</v>
      </c>
      <c r="AG1986" s="16">
        <f>IF(ISERROR(VLOOKUP($A1986,'13. Updated Demand'!A:Z,24,FALSE)),0,VLOOKUP($A1986,'13. Updated Demand'!A:Z,24,FALSE))</f>
        <v>3.9456667000000001E-2</v>
      </c>
      <c r="AH1986" s="16">
        <f>IF(ISERROR(VLOOKUP($A1986,'13. Updated Demand'!A:Z,25,FALSE)),0,VLOOKUP($A1986,'13. Updated Demand'!A:Z,25,FALSE))</f>
        <v>3.9123333000000003E-2</v>
      </c>
      <c r="AI1986" s="16">
        <f>IF(ISERROR(VLOOKUP($A1986,'13. Updated Demand'!A:Z,26,FALSE)),0,VLOOKUP($A1986,'13. Updated Demand'!A:Z,26,FALSE))</f>
        <v>3.9123333000000003E-2</v>
      </c>
      <c r="AJ1986" s="16">
        <f t="shared" si="373"/>
        <v>0.47187999999999997</v>
      </c>
      <c r="AK1986" s="19">
        <v>0.197283335</v>
      </c>
      <c r="AL1986" s="16">
        <f t="shared" ref="AL1986:AL2049" si="383">AK1986/152/1.983471</f>
        <v>6.5436634951132589E-4</v>
      </c>
      <c r="AM1986" s="26">
        <v>0.39004794180856339</v>
      </c>
      <c r="AN1986" s="19">
        <v>1.2098</v>
      </c>
      <c r="AO1986" s="19" t="s">
        <v>1758</v>
      </c>
      <c r="AP1986" s="19">
        <v>0</v>
      </c>
      <c r="AQ1986" s="19" t="s">
        <v>307</v>
      </c>
      <c r="AR1986" s="9" t="s">
        <v>394</v>
      </c>
      <c r="AS1986" s="12">
        <v>3.4039024194010059E-4</v>
      </c>
      <c r="AT1986" s="19">
        <v>38.568800000000003</v>
      </c>
      <c r="AU1986" s="19">
        <v>-122.9528</v>
      </c>
      <c r="AV1986" s="19" t="s">
        <v>2418</v>
      </c>
    </row>
    <row r="1987" spans="1:48" x14ac:dyDescent="0.25">
      <c r="A1987" s="18" t="s">
        <v>2419</v>
      </c>
      <c r="B1987" s="10">
        <v>10000000</v>
      </c>
      <c r="C1987" s="9">
        <v>23</v>
      </c>
      <c r="D1987" s="8" t="str">
        <f t="shared" si="374"/>
        <v>N</v>
      </c>
      <c r="E1987" s="8" t="str">
        <f t="shared" si="375"/>
        <v>N</v>
      </c>
      <c r="F1987" s="8" t="str">
        <f t="shared" si="376"/>
        <v>N</v>
      </c>
      <c r="G1987" s="8" t="str">
        <f t="shared" si="377"/>
        <v>N</v>
      </c>
      <c r="H1987" s="8" t="str">
        <f t="shared" si="378"/>
        <v>Lower</v>
      </c>
      <c r="I1987" s="8" t="str">
        <f t="shared" si="379"/>
        <v>Outside</v>
      </c>
      <c r="J1987" s="8" t="str">
        <f t="shared" si="380"/>
        <v>Outside</v>
      </c>
      <c r="K1987" s="8" t="str">
        <f t="shared" si="381"/>
        <v>Riparian</v>
      </c>
      <c r="L1987" s="8">
        <f t="shared" si="382"/>
        <v>1000</v>
      </c>
      <c r="M1987" s="8" t="str">
        <f t="shared" ref="M1987:M2050" si="384">IF(L1987=1949,"1949",IF(AND(L1987&gt;1949,L1987&lt;1953),"1950-1952",IF(AND(L1987&gt;1952,L1987&lt;1955),"1953-1954",IF(AND(L1987&gt;1954,L1987&lt;1957),"1955-1956",IF(AND(L1987&gt;1956,L1987&lt;1960),"1957-1959",IF(AND(L1987&gt;1959,L1987&lt;1971),"1960-1970",IF(AND(L1987&gt;1970,L1987&lt;1991),"1971-1990",IF(L1987&gt;1990,"1991-present","-"))))))))</f>
        <v>-</v>
      </c>
      <c r="N1987" s="10" t="s">
        <v>242</v>
      </c>
      <c r="O1987" s="10" t="s">
        <v>242</v>
      </c>
      <c r="P1987" s="10" t="s">
        <v>242</v>
      </c>
      <c r="Q1987" s="10" t="s">
        <v>242</v>
      </c>
      <c r="R1987" s="10" t="s">
        <v>242</v>
      </c>
      <c r="S1987" s="10" t="s">
        <v>241</v>
      </c>
      <c r="T1987" s="10" t="s">
        <v>242</v>
      </c>
      <c r="U1987" s="10" t="s">
        <v>242</v>
      </c>
      <c r="V1987" s="10" t="s">
        <v>241</v>
      </c>
      <c r="W1987" s="10" t="s">
        <v>242</v>
      </c>
      <c r="X1987" s="15">
        <f>IF(ISERROR(VLOOKUP($A1987,'13. Updated Demand'!A:Z,15,FALSE)),0,VLOOKUP($A1987,'13. Updated Demand'!A:Z,15,FALSE))</f>
        <v>5</v>
      </c>
      <c r="Y1987" s="16">
        <f>IF(ISERROR(VLOOKUP($A1987,'13. Updated Demand'!A:Z,16,FALSE)),0,VLOOKUP($A1987,'13. Updated Demand'!A:Z,16,FALSE))</f>
        <v>4.3333333329999997</v>
      </c>
      <c r="Z1987" s="16">
        <f>IF(ISERROR(VLOOKUP($A1987,'13. Updated Demand'!A:Z,17,FALSE)),0,VLOOKUP($A1987,'13. Updated Demand'!A:Z,17,FALSE))</f>
        <v>4</v>
      </c>
      <c r="AA1987" s="16">
        <f>IF(ISERROR(VLOOKUP($A1987,'13. Updated Demand'!A:Z,18,FALSE)),0,VLOOKUP($A1987,'13. Updated Demand'!A:Z,18,FALSE))</f>
        <v>1.3333333329999999</v>
      </c>
      <c r="AB1987" s="16">
        <f>IF(ISERROR(VLOOKUP($A1987,'13. Updated Demand'!A:Z,19,FALSE)),0,VLOOKUP($A1987,'13. Updated Demand'!A:Z,19,FALSE))</f>
        <v>0</v>
      </c>
      <c r="AC1987" s="16">
        <f>IF(ISERROR(VLOOKUP($A1987,'13. Updated Demand'!A:Z,20,FALSE)),0,VLOOKUP($A1987,'13. Updated Demand'!A:Z,20,FALSE))</f>
        <v>0</v>
      </c>
      <c r="AD1987" s="16">
        <f>IF(ISERROR(VLOOKUP($A1987,'13. Updated Demand'!A:Z,21,FALSE)),0,VLOOKUP($A1987,'13. Updated Demand'!A:Z,21,FALSE))</f>
        <v>0</v>
      </c>
      <c r="AE1987" s="16">
        <f>IF(ISERROR(VLOOKUP($A1987,'13. Updated Demand'!A:Z,22,FALSE)),0,VLOOKUP($A1987,'13. Updated Demand'!A:Z,22,FALSE))</f>
        <v>0</v>
      </c>
      <c r="AF1987" s="16">
        <f>IF(ISERROR(VLOOKUP($A1987,'13. Updated Demand'!A:Z,23,FALSE)),0,VLOOKUP($A1987,'13. Updated Demand'!A:Z,23,FALSE))</f>
        <v>0</v>
      </c>
      <c r="AG1987" s="16">
        <f>IF(ISERROR(VLOOKUP($A1987,'13. Updated Demand'!A:Z,24,FALSE)),0,VLOOKUP($A1987,'13. Updated Demand'!A:Z,24,FALSE))</f>
        <v>0</v>
      </c>
      <c r="AH1987" s="16">
        <f>IF(ISERROR(VLOOKUP($A1987,'13. Updated Demand'!A:Z,25,FALSE)),0,VLOOKUP($A1987,'13. Updated Demand'!A:Z,25,FALSE))</f>
        <v>0.33333333300000001</v>
      </c>
      <c r="AI1987" s="16">
        <f>IF(ISERROR(VLOOKUP($A1987,'13. Updated Demand'!A:Z,26,FALSE)),0,VLOOKUP($A1987,'13. Updated Demand'!A:Z,26,FALSE))</f>
        <v>2</v>
      </c>
      <c r="AJ1987" s="16">
        <f t="shared" si="373"/>
        <v>16.999999999</v>
      </c>
      <c r="AK1987" s="19">
        <v>0</v>
      </c>
      <c r="AL1987" s="16">
        <f t="shared" si="383"/>
        <v>0</v>
      </c>
      <c r="AM1987" s="26">
        <v>1.0119047618452381</v>
      </c>
      <c r="AN1987" s="19">
        <v>16.8</v>
      </c>
      <c r="AO1987" s="19" t="s">
        <v>1758</v>
      </c>
      <c r="AP1987" s="19">
        <v>0</v>
      </c>
      <c r="AQ1987" s="19" t="s">
        <v>307</v>
      </c>
      <c r="AR1987" s="9" t="s">
        <v>585</v>
      </c>
      <c r="AS1987" s="12">
        <v>0</v>
      </c>
      <c r="AT1987" s="19">
        <v>38.335848439999999</v>
      </c>
      <c r="AU1987" s="19">
        <v>-122.78130616999999</v>
      </c>
      <c r="AV1987" s="19" t="s">
        <v>417</v>
      </c>
    </row>
    <row r="1988" spans="1:48" x14ac:dyDescent="0.25">
      <c r="A1988" s="18" t="s">
        <v>2420</v>
      </c>
      <c r="B1988" s="10">
        <v>10000000</v>
      </c>
      <c r="C1988" s="9">
        <v>23</v>
      </c>
      <c r="D1988" s="8" t="str">
        <f t="shared" si="374"/>
        <v>N</v>
      </c>
      <c r="E1988" s="8" t="str">
        <f t="shared" si="375"/>
        <v>N</v>
      </c>
      <c r="F1988" s="8" t="str">
        <f t="shared" si="376"/>
        <v>N</v>
      </c>
      <c r="G1988" s="8" t="str">
        <f t="shared" si="377"/>
        <v>N</v>
      </c>
      <c r="H1988" s="8" t="str">
        <f t="shared" si="378"/>
        <v>Lower</v>
      </c>
      <c r="I1988" s="8" t="str">
        <f t="shared" si="379"/>
        <v>Outside</v>
      </c>
      <c r="J1988" s="8" t="str">
        <f t="shared" si="380"/>
        <v>Outside</v>
      </c>
      <c r="K1988" s="8" t="str">
        <f t="shared" si="381"/>
        <v>Riparian</v>
      </c>
      <c r="L1988" s="8">
        <f t="shared" si="382"/>
        <v>1000</v>
      </c>
      <c r="M1988" s="8" t="str">
        <f t="shared" si="384"/>
        <v>-</v>
      </c>
      <c r="N1988" s="10" t="s">
        <v>242</v>
      </c>
      <c r="O1988" s="10" t="s">
        <v>242</v>
      </c>
      <c r="P1988" s="10" t="s">
        <v>242</v>
      </c>
      <c r="Q1988" s="10" t="s">
        <v>242</v>
      </c>
      <c r="R1988" s="10" t="s">
        <v>242</v>
      </c>
      <c r="S1988" s="10" t="s">
        <v>241</v>
      </c>
      <c r="T1988" s="10" t="s">
        <v>242</v>
      </c>
      <c r="U1988" s="10" t="s">
        <v>242</v>
      </c>
      <c r="V1988" s="10" t="s">
        <v>242</v>
      </c>
      <c r="W1988" s="10" t="s">
        <v>242</v>
      </c>
      <c r="X1988" s="15">
        <f>IF(ISERROR(VLOOKUP($A1988,'13. Updated Demand'!A:Z,15,FALSE)),0,VLOOKUP($A1988,'13. Updated Demand'!A:Z,15,FALSE))</f>
        <v>0</v>
      </c>
      <c r="Y1988" s="16">
        <f>IF(ISERROR(VLOOKUP($A1988,'13. Updated Demand'!A:Z,16,FALSE)),0,VLOOKUP($A1988,'13. Updated Demand'!A:Z,16,FALSE))</f>
        <v>0</v>
      </c>
      <c r="Z1988" s="16">
        <f>IF(ISERROR(VLOOKUP($A1988,'13. Updated Demand'!A:Z,17,FALSE)),0,VLOOKUP($A1988,'13. Updated Demand'!A:Z,17,FALSE))</f>
        <v>0</v>
      </c>
      <c r="AA1988" s="16">
        <f>IF(ISERROR(VLOOKUP($A1988,'13. Updated Demand'!A:Z,18,FALSE)),0,VLOOKUP($A1988,'13. Updated Demand'!A:Z,18,FALSE))</f>
        <v>1.278667E-3</v>
      </c>
      <c r="AB1988" s="16">
        <f>IF(ISERROR(VLOOKUP($A1988,'13. Updated Demand'!A:Z,19,FALSE)),0,VLOOKUP($A1988,'13. Updated Demand'!A:Z,19,FALSE))</f>
        <v>3.1403329999999999E-3</v>
      </c>
      <c r="AC1988" s="16">
        <f>IF(ISERROR(VLOOKUP($A1988,'13. Updated Demand'!A:Z,20,FALSE)),0,VLOOKUP($A1988,'13. Updated Demand'!A:Z,20,FALSE))</f>
        <v>3.621333E-3</v>
      </c>
      <c r="AD1988" s="16">
        <f>IF(ISERROR(VLOOKUP($A1988,'13. Updated Demand'!A:Z,21,FALSE)),0,VLOOKUP($A1988,'13. Updated Demand'!A:Z,21,FALSE))</f>
        <v>2.7209999999999999E-3</v>
      </c>
      <c r="AE1988" s="16">
        <f>IF(ISERROR(VLOOKUP($A1988,'13. Updated Demand'!A:Z,22,FALSE)),0,VLOOKUP($A1988,'13. Updated Demand'!A:Z,22,FALSE))</f>
        <v>6.9566699999999997E-4</v>
      </c>
      <c r="AF1988" s="16">
        <f>IF(ISERROR(VLOOKUP($A1988,'13. Updated Demand'!A:Z,23,FALSE)),0,VLOOKUP($A1988,'13. Updated Demand'!A:Z,23,FALSE))</f>
        <v>0</v>
      </c>
      <c r="AG1988" s="16">
        <f>IF(ISERROR(VLOOKUP($A1988,'13. Updated Demand'!A:Z,24,FALSE)),0,VLOOKUP($A1988,'13. Updated Demand'!A:Z,24,FALSE))</f>
        <v>0</v>
      </c>
      <c r="AH1988" s="16">
        <f>IF(ISERROR(VLOOKUP($A1988,'13. Updated Demand'!A:Z,25,FALSE)),0,VLOOKUP($A1988,'13. Updated Demand'!A:Z,25,FALSE))</f>
        <v>0</v>
      </c>
      <c r="AI1988" s="16">
        <f>IF(ISERROR(VLOOKUP($A1988,'13. Updated Demand'!A:Z,26,FALSE)),0,VLOOKUP($A1988,'13. Updated Demand'!A:Z,26,FALSE))</f>
        <v>0</v>
      </c>
      <c r="AJ1988" s="16">
        <f t="shared" si="373"/>
        <v>1.1457E-2</v>
      </c>
      <c r="AK1988" s="19">
        <v>1.0178332999999999E-2</v>
      </c>
      <c r="AL1988" s="16">
        <f t="shared" si="383"/>
        <v>3.3760371139917426E-5</v>
      </c>
      <c r="AM1988" s="26">
        <v>1.7573163997791276E-3</v>
      </c>
      <c r="AN1988" s="19">
        <v>6.5195999999999996</v>
      </c>
      <c r="AO1988" s="19" t="s">
        <v>1758</v>
      </c>
      <c r="AP1988" s="19">
        <v>0</v>
      </c>
      <c r="AQ1988" s="19" t="s">
        <v>307</v>
      </c>
      <c r="AR1988" s="9" t="s">
        <v>585</v>
      </c>
      <c r="AS1988" s="12">
        <v>0</v>
      </c>
      <c r="AT1988" s="19">
        <v>38.339300000000001</v>
      </c>
      <c r="AU1988" s="19">
        <v>-122.7783</v>
      </c>
      <c r="AV1988" s="19" t="s">
        <v>1886</v>
      </c>
    </row>
    <row r="1989" spans="1:48" x14ac:dyDescent="0.25">
      <c r="A1989" s="18" t="s">
        <v>2421</v>
      </c>
      <c r="B1989" s="10">
        <v>10000000</v>
      </c>
      <c r="C1989" s="9">
        <v>23</v>
      </c>
      <c r="D1989" s="8" t="str">
        <f t="shared" si="374"/>
        <v>N</v>
      </c>
      <c r="E1989" s="8" t="str">
        <f t="shared" si="375"/>
        <v>N</v>
      </c>
      <c r="F1989" s="8" t="str">
        <f t="shared" si="376"/>
        <v>N</v>
      </c>
      <c r="G1989" s="8" t="str">
        <f t="shared" si="377"/>
        <v>N</v>
      </c>
      <c r="H1989" s="8" t="str">
        <f t="shared" si="378"/>
        <v>Lower</v>
      </c>
      <c r="I1989" s="8" t="str">
        <f t="shared" si="379"/>
        <v>Outside</v>
      </c>
      <c r="J1989" s="8" t="str">
        <f t="shared" si="380"/>
        <v>Outside</v>
      </c>
      <c r="K1989" s="8" t="str">
        <f t="shared" si="381"/>
        <v>Riparian</v>
      </c>
      <c r="L1989" s="8">
        <f t="shared" si="382"/>
        <v>1000</v>
      </c>
      <c r="M1989" s="8" t="str">
        <f t="shared" si="384"/>
        <v>-</v>
      </c>
      <c r="N1989" s="10" t="s">
        <v>242</v>
      </c>
      <c r="O1989" s="10" t="s">
        <v>242</v>
      </c>
      <c r="P1989" s="10" t="s">
        <v>242</v>
      </c>
      <c r="Q1989" s="10" t="s">
        <v>242</v>
      </c>
      <c r="R1989" s="10" t="s">
        <v>242</v>
      </c>
      <c r="S1989" s="10" t="s">
        <v>241</v>
      </c>
      <c r="T1989" s="10" t="s">
        <v>242</v>
      </c>
      <c r="U1989" s="10" t="s">
        <v>242</v>
      </c>
      <c r="V1989" s="10" t="s">
        <v>242</v>
      </c>
      <c r="W1989" s="10" t="s">
        <v>242</v>
      </c>
      <c r="X1989" s="15">
        <f>IF(ISERROR(VLOOKUP($A1989,'13. Updated Demand'!A:Z,15,FALSE)),0,VLOOKUP($A1989,'13. Updated Demand'!A:Z,15,FALSE))</f>
        <v>0</v>
      </c>
      <c r="Y1989" s="16">
        <f>IF(ISERROR(VLOOKUP($A1989,'13. Updated Demand'!A:Z,16,FALSE)),0,VLOOKUP($A1989,'13. Updated Demand'!A:Z,16,FALSE))</f>
        <v>0</v>
      </c>
      <c r="Z1989" s="16">
        <f>IF(ISERROR(VLOOKUP($A1989,'13. Updated Demand'!A:Z,17,FALSE)),0,VLOOKUP($A1989,'13. Updated Demand'!A:Z,17,FALSE))</f>
        <v>0</v>
      </c>
      <c r="AA1989" s="16">
        <f>IF(ISERROR(VLOOKUP($A1989,'13. Updated Demand'!A:Z,18,FALSE)),0,VLOOKUP($A1989,'13. Updated Demand'!A:Z,18,FALSE))</f>
        <v>8.8000000000000003E-4</v>
      </c>
      <c r="AB1989" s="16">
        <f>IF(ISERROR(VLOOKUP($A1989,'13. Updated Demand'!A:Z,19,FALSE)),0,VLOOKUP($A1989,'13. Updated Demand'!A:Z,19,FALSE))</f>
        <v>1.2377667E-2</v>
      </c>
      <c r="AC1989" s="16">
        <f>IF(ISERROR(VLOOKUP($A1989,'13. Updated Demand'!A:Z,20,FALSE)),0,VLOOKUP($A1989,'13. Updated Demand'!A:Z,20,FALSE))</f>
        <v>1.7819999999999999E-2</v>
      </c>
      <c r="AD1989" s="16">
        <f>IF(ISERROR(VLOOKUP($A1989,'13. Updated Demand'!A:Z,21,FALSE)),0,VLOOKUP($A1989,'13. Updated Demand'!A:Z,21,FALSE))</f>
        <v>1.5191E-2</v>
      </c>
      <c r="AE1989" s="16">
        <f>IF(ISERROR(VLOOKUP($A1989,'13. Updated Demand'!A:Z,22,FALSE)),0,VLOOKUP($A1989,'13. Updated Demand'!A:Z,22,FALSE))</f>
        <v>5.0633329999999997E-3</v>
      </c>
      <c r="AF1989" s="16">
        <f>IF(ISERROR(VLOOKUP($A1989,'13. Updated Demand'!A:Z,23,FALSE)),0,VLOOKUP($A1989,'13. Updated Demand'!A:Z,23,FALSE))</f>
        <v>5.2579999999999997E-3</v>
      </c>
      <c r="AG1989" s="16">
        <f>IF(ISERROR(VLOOKUP($A1989,'13. Updated Demand'!A:Z,24,FALSE)),0,VLOOKUP($A1989,'13. Updated Demand'!A:Z,24,FALSE))</f>
        <v>5.1353329999999997E-3</v>
      </c>
      <c r="AH1989" s="16">
        <f>IF(ISERROR(VLOOKUP($A1989,'13. Updated Demand'!A:Z,25,FALSE)),0,VLOOKUP($A1989,'13. Updated Demand'!A:Z,25,FALSE))</f>
        <v>1.186667E-3</v>
      </c>
      <c r="AI1989" s="16">
        <f>IF(ISERROR(VLOOKUP($A1989,'13. Updated Demand'!A:Z,26,FALSE)),0,VLOOKUP($A1989,'13. Updated Demand'!A:Z,26,FALSE))</f>
        <v>0</v>
      </c>
      <c r="AJ1989" s="16">
        <f t="shared" si="373"/>
        <v>6.2911999999999996E-2</v>
      </c>
      <c r="AK1989" s="19">
        <v>5.5709999999999996E-2</v>
      </c>
      <c r="AL1989" s="16">
        <f t="shared" si="383"/>
        <v>1.8478372403465279E-4</v>
      </c>
      <c r="AM1989" s="26">
        <v>4.8248358795018095E-3</v>
      </c>
      <c r="AN1989" s="19">
        <v>13.039199999999999</v>
      </c>
      <c r="AO1989" s="19" t="s">
        <v>1758</v>
      </c>
      <c r="AP1989" s="19">
        <v>0</v>
      </c>
      <c r="AQ1989" s="19" t="s">
        <v>307</v>
      </c>
      <c r="AR1989" s="9" t="s">
        <v>585</v>
      </c>
      <c r="AS1989" s="12">
        <v>0</v>
      </c>
      <c r="AT1989" s="19">
        <v>38.339799999999997</v>
      </c>
      <c r="AU1989" s="19">
        <v>-122.7783</v>
      </c>
      <c r="AV1989" s="19" t="s">
        <v>1886</v>
      </c>
    </row>
    <row r="1990" spans="1:48" x14ac:dyDescent="0.25">
      <c r="A1990" s="18" t="s">
        <v>2422</v>
      </c>
      <c r="B1990" s="10">
        <v>10000000</v>
      </c>
      <c r="C1990" s="9">
        <v>9</v>
      </c>
      <c r="D1990" s="8" t="str">
        <f t="shared" si="374"/>
        <v>N</v>
      </c>
      <c r="E1990" s="8" t="str">
        <f t="shared" si="375"/>
        <v>Y</v>
      </c>
      <c r="F1990" s="8" t="str">
        <f t="shared" si="376"/>
        <v>Y</v>
      </c>
      <c r="G1990" s="8" t="str">
        <f t="shared" si="377"/>
        <v>Y</v>
      </c>
      <c r="H1990" s="8" t="str">
        <f t="shared" si="378"/>
        <v>Upper</v>
      </c>
      <c r="I1990" s="8" t="str">
        <f t="shared" si="379"/>
        <v>West Fork and Below Lake</v>
      </c>
      <c r="J1990" s="8" t="str">
        <f t="shared" si="380"/>
        <v>Sonoma (d/s of Clov. Gage)</v>
      </c>
      <c r="K1990" s="8" t="str">
        <f t="shared" si="381"/>
        <v>Riparian</v>
      </c>
      <c r="L1990" s="8">
        <f t="shared" si="382"/>
        <v>1000</v>
      </c>
      <c r="M1990" s="8" t="str">
        <f t="shared" si="384"/>
        <v>-</v>
      </c>
      <c r="N1990" s="10" t="s">
        <v>241</v>
      </c>
      <c r="O1990" s="10" t="s">
        <v>241</v>
      </c>
      <c r="P1990" s="10" t="s">
        <v>242</v>
      </c>
      <c r="Q1990" s="10" t="s">
        <v>242</v>
      </c>
      <c r="R1990" s="10" t="s">
        <v>242</v>
      </c>
      <c r="S1990" s="10" t="s">
        <v>241</v>
      </c>
      <c r="T1990" s="10" t="s">
        <v>242</v>
      </c>
      <c r="U1990" s="10" t="s">
        <v>242</v>
      </c>
      <c r="V1990" s="10" t="s">
        <v>242</v>
      </c>
      <c r="W1990" s="10" t="s">
        <v>242</v>
      </c>
      <c r="X1990" s="15">
        <f>IF(ISERROR(VLOOKUP($A1990,'13. Updated Demand'!A:Z,15,FALSE)),0,VLOOKUP($A1990,'13. Updated Demand'!A:Z,15,FALSE))</f>
        <v>0</v>
      </c>
      <c r="Y1990" s="16">
        <f>IF(ISERROR(VLOOKUP($A1990,'13. Updated Demand'!A:Z,16,FALSE)),0,VLOOKUP($A1990,'13. Updated Demand'!A:Z,16,FALSE))</f>
        <v>0</v>
      </c>
      <c r="Z1990" s="16">
        <f>IF(ISERROR(VLOOKUP($A1990,'13. Updated Demand'!A:Z,17,FALSE)),0,VLOOKUP($A1990,'13. Updated Demand'!A:Z,17,FALSE))</f>
        <v>0.2</v>
      </c>
      <c r="AA1990" s="16">
        <f>IF(ISERROR(VLOOKUP($A1990,'13. Updated Demand'!A:Z,18,FALSE)),0,VLOOKUP($A1990,'13. Updated Demand'!A:Z,18,FALSE))</f>
        <v>0.2</v>
      </c>
      <c r="AB1990" s="16">
        <f>IF(ISERROR(VLOOKUP($A1990,'13. Updated Demand'!A:Z,19,FALSE)),0,VLOOKUP($A1990,'13. Updated Demand'!A:Z,19,FALSE))</f>
        <v>0.1</v>
      </c>
      <c r="AC1990" s="16">
        <f>IF(ISERROR(VLOOKUP($A1990,'13. Updated Demand'!A:Z,20,FALSE)),0,VLOOKUP($A1990,'13. Updated Demand'!A:Z,20,FALSE))</f>
        <v>1</v>
      </c>
      <c r="AD1990" s="16">
        <f>IF(ISERROR(VLOOKUP($A1990,'13. Updated Demand'!A:Z,21,FALSE)),0,VLOOKUP($A1990,'13. Updated Demand'!A:Z,21,FALSE))</f>
        <v>2.4300000000000002</v>
      </c>
      <c r="AE1990" s="16">
        <f>IF(ISERROR(VLOOKUP($A1990,'13. Updated Demand'!A:Z,22,FALSE)),0,VLOOKUP($A1990,'13. Updated Demand'!A:Z,22,FALSE))</f>
        <v>4.2300000000000004</v>
      </c>
      <c r="AF1990" s="16">
        <f>IF(ISERROR(VLOOKUP($A1990,'13. Updated Demand'!A:Z,23,FALSE)),0,VLOOKUP($A1990,'13. Updated Demand'!A:Z,23,FALSE))</f>
        <v>3.93</v>
      </c>
      <c r="AG1990" s="16">
        <f>IF(ISERROR(VLOOKUP($A1990,'13. Updated Demand'!A:Z,24,FALSE)),0,VLOOKUP($A1990,'13. Updated Demand'!A:Z,24,FALSE))</f>
        <v>0.96</v>
      </c>
      <c r="AH1990" s="16">
        <f>IF(ISERROR(VLOOKUP($A1990,'13. Updated Demand'!A:Z,25,FALSE)),0,VLOOKUP($A1990,'13. Updated Demand'!A:Z,25,FALSE))</f>
        <v>0.23</v>
      </c>
      <c r="AI1990" s="16">
        <f>IF(ISERROR(VLOOKUP($A1990,'13. Updated Demand'!A:Z,26,FALSE)),0,VLOOKUP($A1990,'13. Updated Demand'!A:Z,26,FALSE))</f>
        <v>0</v>
      </c>
      <c r="AJ1990" s="16">
        <f t="shared" si="373"/>
        <v>13.280000000000001</v>
      </c>
      <c r="AK1990" s="19">
        <v>11.69999999999999</v>
      </c>
      <c r="AL1990" s="16">
        <f t="shared" si="383"/>
        <v>3.8807567244757424E-2</v>
      </c>
      <c r="AM1990" s="26">
        <v>5.6492375653060315E-5</v>
      </c>
      <c r="AN1990" s="19">
        <v>235430</v>
      </c>
      <c r="AO1990" s="19" t="s">
        <v>1758</v>
      </c>
      <c r="AP1990" s="19">
        <v>0</v>
      </c>
      <c r="AQ1990" s="19" t="s">
        <v>307</v>
      </c>
      <c r="AR1990" s="9" t="s">
        <v>354</v>
      </c>
      <c r="AS1990" s="12">
        <v>0</v>
      </c>
      <c r="AT1990" s="19">
        <v>38.793799999999997</v>
      </c>
      <c r="AU1990" s="19">
        <v>-122.9961</v>
      </c>
      <c r="AV1990" s="19" t="s">
        <v>548</v>
      </c>
    </row>
    <row r="1991" spans="1:48" x14ac:dyDescent="0.25">
      <c r="A1991" s="18" t="s">
        <v>2423</v>
      </c>
      <c r="B1991" s="10">
        <v>10000000</v>
      </c>
      <c r="C1991" s="9">
        <v>10</v>
      </c>
      <c r="D1991" s="8" t="str">
        <f t="shared" si="374"/>
        <v>N</v>
      </c>
      <c r="E1991" s="8" t="str">
        <f t="shared" si="375"/>
        <v>Y</v>
      </c>
      <c r="F1991" s="8" t="str">
        <f t="shared" si="376"/>
        <v>Y</v>
      </c>
      <c r="G1991" s="8" t="str">
        <f t="shared" si="377"/>
        <v>Y</v>
      </c>
      <c r="H1991" s="8" t="str">
        <f t="shared" si="378"/>
        <v>Upper</v>
      </c>
      <c r="I1991" s="8" t="str">
        <f t="shared" si="379"/>
        <v>West Fork and Below Lake</v>
      </c>
      <c r="J1991" s="8" t="str">
        <f t="shared" si="380"/>
        <v>Sonoma (d/s of Clov. Gage)</v>
      </c>
      <c r="K1991" s="8" t="str">
        <f t="shared" si="381"/>
        <v>Riparian</v>
      </c>
      <c r="L1991" s="8">
        <f t="shared" si="382"/>
        <v>1000</v>
      </c>
      <c r="M1991" s="8" t="str">
        <f t="shared" si="384"/>
        <v>-</v>
      </c>
      <c r="N1991" s="10" t="s">
        <v>242</v>
      </c>
      <c r="O1991" s="10" t="s">
        <v>241</v>
      </c>
      <c r="P1991" s="10" t="s">
        <v>242</v>
      </c>
      <c r="Q1991" s="10" t="s">
        <v>242</v>
      </c>
      <c r="R1991" s="10" t="s">
        <v>242</v>
      </c>
      <c r="S1991" s="10" t="s">
        <v>241</v>
      </c>
      <c r="T1991" s="10" t="s">
        <v>242</v>
      </c>
      <c r="U1991" s="10" t="s">
        <v>242</v>
      </c>
      <c r="V1991" s="10" t="s">
        <v>241</v>
      </c>
      <c r="W1991" s="10" t="s">
        <v>242</v>
      </c>
      <c r="X1991" s="15">
        <f>IF(ISERROR(VLOOKUP($A1991,'13. Updated Demand'!A:Z,15,FALSE)),0,VLOOKUP($A1991,'13. Updated Demand'!A:Z,15,FALSE))</f>
        <v>4.03</v>
      </c>
      <c r="Y1991" s="16">
        <f>IF(ISERROR(VLOOKUP($A1991,'13. Updated Demand'!A:Z,16,FALSE)),0,VLOOKUP($A1991,'13. Updated Demand'!A:Z,16,FALSE))</f>
        <v>1.46</v>
      </c>
      <c r="Z1991" s="16">
        <f>IF(ISERROR(VLOOKUP($A1991,'13. Updated Demand'!A:Z,17,FALSE)),0,VLOOKUP($A1991,'13. Updated Demand'!A:Z,17,FALSE))</f>
        <v>2.4</v>
      </c>
      <c r="AA1991" s="16">
        <f>IF(ISERROR(VLOOKUP($A1991,'13. Updated Demand'!A:Z,18,FALSE)),0,VLOOKUP($A1991,'13. Updated Demand'!A:Z,18,FALSE))</f>
        <v>0</v>
      </c>
      <c r="AB1991" s="16">
        <f>IF(ISERROR(VLOOKUP($A1991,'13. Updated Demand'!A:Z,19,FALSE)),0,VLOOKUP($A1991,'13. Updated Demand'!A:Z,19,FALSE))</f>
        <v>0</v>
      </c>
      <c r="AC1991" s="16">
        <f>IF(ISERROR(VLOOKUP($A1991,'13. Updated Demand'!A:Z,20,FALSE)),0,VLOOKUP($A1991,'13. Updated Demand'!A:Z,20,FALSE))</f>
        <v>0</v>
      </c>
      <c r="AD1991" s="16">
        <f>IF(ISERROR(VLOOKUP($A1991,'13. Updated Demand'!A:Z,21,FALSE)),0,VLOOKUP($A1991,'13. Updated Demand'!A:Z,21,FALSE))</f>
        <v>0</v>
      </c>
      <c r="AE1991" s="16">
        <f>IF(ISERROR(VLOOKUP($A1991,'13. Updated Demand'!A:Z,22,FALSE)),0,VLOOKUP($A1991,'13. Updated Demand'!A:Z,22,FALSE))</f>
        <v>0</v>
      </c>
      <c r="AF1991" s="16">
        <f>IF(ISERROR(VLOOKUP($A1991,'13. Updated Demand'!A:Z,23,FALSE)),0,VLOOKUP($A1991,'13. Updated Demand'!A:Z,23,FALSE))</f>
        <v>0</v>
      </c>
      <c r="AG1991" s="16">
        <f>IF(ISERROR(VLOOKUP($A1991,'13. Updated Demand'!A:Z,24,FALSE)),0,VLOOKUP($A1991,'13. Updated Demand'!A:Z,24,FALSE))</f>
        <v>0</v>
      </c>
      <c r="AH1991" s="16">
        <f>IF(ISERROR(VLOOKUP($A1991,'13. Updated Demand'!A:Z,25,FALSE)),0,VLOOKUP($A1991,'13. Updated Demand'!A:Z,25,FALSE))</f>
        <v>0</v>
      </c>
      <c r="AI1991" s="16">
        <f>IF(ISERROR(VLOOKUP($A1991,'13. Updated Demand'!A:Z,26,FALSE)),0,VLOOKUP($A1991,'13. Updated Demand'!A:Z,26,FALSE))</f>
        <v>1.43</v>
      </c>
      <c r="AJ1991" s="16">
        <f t="shared" si="373"/>
        <v>9.32</v>
      </c>
      <c r="AK1991" s="19">
        <v>0</v>
      </c>
      <c r="AL1991" s="16">
        <f t="shared" si="383"/>
        <v>0</v>
      </c>
      <c r="AM1991" s="26">
        <v>0.53949903658959542</v>
      </c>
      <c r="AN1991" s="19">
        <v>17.3</v>
      </c>
      <c r="AO1991" s="19" t="s">
        <v>1758</v>
      </c>
      <c r="AP1991" s="19">
        <v>0</v>
      </c>
      <c r="AQ1991" s="19" t="s">
        <v>307</v>
      </c>
      <c r="AR1991" s="9" t="s">
        <v>436</v>
      </c>
      <c r="AS1991" s="12">
        <v>0</v>
      </c>
      <c r="AT1991" s="19">
        <v>38.692399999999999</v>
      </c>
      <c r="AU1991" s="19">
        <v>-122.8374</v>
      </c>
      <c r="AV1991" s="19" t="s">
        <v>385</v>
      </c>
    </row>
    <row r="1992" spans="1:48" x14ac:dyDescent="0.25">
      <c r="A1992" s="18" t="s">
        <v>2424</v>
      </c>
      <c r="B1992" s="10">
        <v>10000000</v>
      </c>
      <c r="C1992" s="9">
        <v>10</v>
      </c>
      <c r="D1992" s="8" t="str">
        <f t="shared" si="374"/>
        <v>N</v>
      </c>
      <c r="E1992" s="8" t="str">
        <f t="shared" si="375"/>
        <v>Y</v>
      </c>
      <c r="F1992" s="8" t="str">
        <f t="shared" si="376"/>
        <v>Y</v>
      </c>
      <c r="G1992" s="8" t="str">
        <f t="shared" si="377"/>
        <v>Y</v>
      </c>
      <c r="H1992" s="8" t="str">
        <f t="shared" si="378"/>
        <v>Upper</v>
      </c>
      <c r="I1992" s="8" t="str">
        <f t="shared" si="379"/>
        <v>West Fork and Below Lake</v>
      </c>
      <c r="J1992" s="8" t="str">
        <f t="shared" si="380"/>
        <v>Sonoma (d/s of Clov. Gage)</v>
      </c>
      <c r="K1992" s="8" t="str">
        <f t="shared" si="381"/>
        <v>Riparian</v>
      </c>
      <c r="L1992" s="8">
        <f t="shared" si="382"/>
        <v>1000</v>
      </c>
      <c r="M1992" s="8" t="str">
        <f t="shared" si="384"/>
        <v>-</v>
      </c>
      <c r="N1992" s="10" t="s">
        <v>241</v>
      </c>
      <c r="O1992" s="10" t="s">
        <v>241</v>
      </c>
      <c r="P1992" s="10" t="s">
        <v>242</v>
      </c>
      <c r="Q1992" s="10" t="s">
        <v>242</v>
      </c>
      <c r="R1992" s="10" t="s">
        <v>242</v>
      </c>
      <c r="S1992" s="10" t="s">
        <v>241</v>
      </c>
      <c r="T1992" s="10" t="s">
        <v>242</v>
      </c>
      <c r="U1992" s="10" t="s">
        <v>242</v>
      </c>
      <c r="V1992" s="10" t="s">
        <v>242</v>
      </c>
      <c r="W1992" s="10" t="s">
        <v>242</v>
      </c>
      <c r="X1992" s="15">
        <f>IF(ISERROR(VLOOKUP($A1992,'13. Updated Demand'!A:Z,15,FALSE)),0,VLOOKUP($A1992,'13. Updated Demand'!A:Z,15,FALSE))</f>
        <v>0</v>
      </c>
      <c r="Y1992" s="16">
        <f>IF(ISERROR(VLOOKUP($A1992,'13. Updated Demand'!A:Z,16,FALSE)),0,VLOOKUP($A1992,'13. Updated Demand'!A:Z,16,FALSE))</f>
        <v>0</v>
      </c>
      <c r="Z1992" s="16">
        <f>IF(ISERROR(VLOOKUP($A1992,'13. Updated Demand'!A:Z,17,FALSE)),0,VLOOKUP($A1992,'13. Updated Demand'!A:Z,17,FALSE))</f>
        <v>0</v>
      </c>
      <c r="AA1992" s="16">
        <f>IF(ISERROR(VLOOKUP($A1992,'13. Updated Demand'!A:Z,18,FALSE)),0,VLOOKUP($A1992,'13. Updated Demand'!A:Z,18,FALSE))</f>
        <v>0</v>
      </c>
      <c r="AB1992" s="16">
        <f>IF(ISERROR(VLOOKUP($A1992,'13. Updated Demand'!A:Z,19,FALSE)),0,VLOOKUP($A1992,'13. Updated Demand'!A:Z,19,FALSE))</f>
        <v>0</v>
      </c>
      <c r="AC1992" s="16">
        <f>IF(ISERROR(VLOOKUP($A1992,'13. Updated Demand'!A:Z,20,FALSE)),0,VLOOKUP($A1992,'13. Updated Demand'!A:Z,20,FALSE))</f>
        <v>0</v>
      </c>
      <c r="AD1992" s="16">
        <f>IF(ISERROR(VLOOKUP($A1992,'13. Updated Demand'!A:Z,21,FALSE)),0,VLOOKUP($A1992,'13. Updated Demand'!A:Z,21,FALSE))</f>
        <v>0.51</v>
      </c>
      <c r="AE1992" s="16">
        <f>IF(ISERROR(VLOOKUP($A1992,'13. Updated Demand'!A:Z,22,FALSE)),0,VLOOKUP($A1992,'13. Updated Demand'!A:Z,22,FALSE))</f>
        <v>0.51</v>
      </c>
      <c r="AF1992" s="16">
        <f>IF(ISERROR(VLOOKUP($A1992,'13. Updated Demand'!A:Z,23,FALSE)),0,VLOOKUP($A1992,'13. Updated Demand'!A:Z,23,FALSE))</f>
        <v>0.21</v>
      </c>
      <c r="AG1992" s="16">
        <f>IF(ISERROR(VLOOKUP($A1992,'13. Updated Demand'!A:Z,24,FALSE)),0,VLOOKUP($A1992,'13. Updated Demand'!A:Z,24,FALSE))</f>
        <v>0</v>
      </c>
      <c r="AH1992" s="16">
        <f>IF(ISERROR(VLOOKUP($A1992,'13. Updated Demand'!A:Z,25,FALSE)),0,VLOOKUP($A1992,'13. Updated Demand'!A:Z,25,FALSE))</f>
        <v>0</v>
      </c>
      <c r="AI1992" s="16">
        <f>IF(ISERROR(VLOOKUP($A1992,'13. Updated Demand'!A:Z,26,FALSE)),0,VLOOKUP($A1992,'13. Updated Demand'!A:Z,26,FALSE))</f>
        <v>0</v>
      </c>
      <c r="AJ1992" s="16">
        <f t="shared" si="373"/>
        <v>1.23</v>
      </c>
      <c r="AK1992" s="19">
        <v>1.243992999999999</v>
      </c>
      <c r="AL1992" s="16">
        <f t="shared" si="383"/>
        <v>4.1261830768809845E-3</v>
      </c>
      <c r="AM1992" s="26">
        <v>0.95898319457292558</v>
      </c>
      <c r="AN1992" s="19">
        <v>1.2971999999999999</v>
      </c>
      <c r="AO1992" s="19" t="s">
        <v>1758</v>
      </c>
      <c r="AP1992" s="19">
        <v>0</v>
      </c>
      <c r="AQ1992" s="19" t="s">
        <v>307</v>
      </c>
      <c r="AR1992" s="9" t="s">
        <v>436</v>
      </c>
      <c r="AS1992" s="12">
        <v>0</v>
      </c>
      <c r="AT1992" s="19">
        <v>38.6753</v>
      </c>
      <c r="AU1992" s="19">
        <v>-122.8387</v>
      </c>
      <c r="AV1992" s="19" t="s">
        <v>387</v>
      </c>
    </row>
    <row r="1993" spans="1:48" x14ac:dyDescent="0.25">
      <c r="A1993" s="18" t="s">
        <v>2425</v>
      </c>
      <c r="B1993" s="10">
        <v>10000000</v>
      </c>
      <c r="C1993" s="9">
        <v>15</v>
      </c>
      <c r="D1993" s="8" t="str">
        <f t="shared" si="374"/>
        <v>N</v>
      </c>
      <c r="E1993" s="8" t="str">
        <f t="shared" si="375"/>
        <v>N</v>
      </c>
      <c r="F1993" s="8" t="str">
        <f t="shared" si="376"/>
        <v>N</v>
      </c>
      <c r="G1993" s="8" t="str">
        <f t="shared" si="377"/>
        <v>N</v>
      </c>
      <c r="H1993" s="8" t="str">
        <f t="shared" si="378"/>
        <v>Lower</v>
      </c>
      <c r="I1993" s="8" t="str">
        <f t="shared" si="379"/>
        <v>Outside</v>
      </c>
      <c r="J1993" s="8" t="str">
        <f t="shared" si="380"/>
        <v>Outside</v>
      </c>
      <c r="K1993" s="8" t="str">
        <f t="shared" si="381"/>
        <v>Riparian</v>
      </c>
      <c r="L1993" s="8">
        <f t="shared" si="382"/>
        <v>1000</v>
      </c>
      <c r="M1993" s="8" t="str">
        <f t="shared" si="384"/>
        <v>-</v>
      </c>
      <c r="N1993" s="10" t="s">
        <v>242</v>
      </c>
      <c r="O1993" s="10" t="s">
        <v>242</v>
      </c>
      <c r="P1993" s="10" t="s">
        <v>242</v>
      </c>
      <c r="Q1993" s="10" t="s">
        <v>242</v>
      </c>
      <c r="R1993" s="10" t="s">
        <v>242</v>
      </c>
      <c r="S1993" s="10" t="s">
        <v>241</v>
      </c>
      <c r="T1993" s="10" t="s">
        <v>242</v>
      </c>
      <c r="U1993" s="10" t="s">
        <v>242</v>
      </c>
      <c r="V1993" s="10" t="s">
        <v>242</v>
      </c>
      <c r="W1993" s="10" t="s">
        <v>242</v>
      </c>
      <c r="X1993" s="15">
        <f>IF(ISERROR(VLOOKUP($A1993,'13. Updated Demand'!A:Z,15,FALSE)),0,VLOOKUP($A1993,'13. Updated Demand'!A:Z,15,FALSE))</f>
        <v>0</v>
      </c>
      <c r="Y1993" s="16">
        <f>IF(ISERROR(VLOOKUP($A1993,'13. Updated Demand'!A:Z,16,FALSE)),0,VLOOKUP($A1993,'13. Updated Demand'!A:Z,16,FALSE))</f>
        <v>0</v>
      </c>
      <c r="Z1993" s="16">
        <f>IF(ISERROR(VLOOKUP($A1993,'13. Updated Demand'!A:Z,17,FALSE)),0,VLOOKUP($A1993,'13. Updated Demand'!A:Z,17,FALSE))</f>
        <v>0.05</v>
      </c>
      <c r="AA1993" s="16">
        <f>IF(ISERROR(VLOOKUP($A1993,'13. Updated Demand'!A:Z,18,FALSE)),0,VLOOKUP($A1993,'13. Updated Demand'!A:Z,18,FALSE))</f>
        <v>0</v>
      </c>
      <c r="AB1993" s="16">
        <f>IF(ISERROR(VLOOKUP($A1993,'13. Updated Demand'!A:Z,19,FALSE)),0,VLOOKUP($A1993,'13. Updated Demand'!A:Z,19,FALSE))</f>
        <v>8.3333332999999996E-2</v>
      </c>
      <c r="AC1993" s="16">
        <f>IF(ISERROR(VLOOKUP($A1993,'13. Updated Demand'!A:Z,20,FALSE)),0,VLOOKUP($A1993,'13. Updated Demand'!A:Z,20,FALSE))</f>
        <v>2</v>
      </c>
      <c r="AD1993" s="16">
        <f>IF(ISERROR(VLOOKUP($A1993,'13. Updated Demand'!A:Z,21,FALSE)),0,VLOOKUP($A1993,'13. Updated Demand'!A:Z,21,FALSE))</f>
        <v>1.4666666669999999</v>
      </c>
      <c r="AE1993" s="16">
        <f>IF(ISERROR(VLOOKUP($A1993,'13. Updated Demand'!A:Z,22,FALSE)),0,VLOOKUP($A1993,'13. Updated Demand'!A:Z,22,FALSE))</f>
        <v>0.35</v>
      </c>
      <c r="AF1993" s="16">
        <f>IF(ISERROR(VLOOKUP($A1993,'13. Updated Demand'!A:Z,23,FALSE)),0,VLOOKUP($A1993,'13. Updated Demand'!A:Z,23,FALSE))</f>
        <v>0.46666666699999998</v>
      </c>
      <c r="AG1993" s="16">
        <f>IF(ISERROR(VLOOKUP($A1993,'13. Updated Demand'!A:Z,24,FALSE)),0,VLOOKUP($A1993,'13. Updated Demand'!A:Z,24,FALSE))</f>
        <v>0</v>
      </c>
      <c r="AH1993" s="16">
        <f>IF(ISERROR(VLOOKUP($A1993,'13. Updated Demand'!A:Z,25,FALSE)),0,VLOOKUP($A1993,'13. Updated Demand'!A:Z,25,FALSE))</f>
        <v>0</v>
      </c>
      <c r="AI1993" s="16">
        <f>IF(ISERROR(VLOOKUP($A1993,'13. Updated Demand'!A:Z,26,FALSE)),0,VLOOKUP($A1993,'13. Updated Demand'!A:Z,26,FALSE))</f>
        <v>0</v>
      </c>
      <c r="AJ1993" s="16">
        <f t="shared" si="373"/>
        <v>4.4166666669999994</v>
      </c>
      <c r="AK1993" s="19">
        <v>4.3666666669999996</v>
      </c>
      <c r="AL1993" s="16">
        <f t="shared" si="383"/>
        <v>1.4483735924362685E-2</v>
      </c>
      <c r="AM1993" s="26">
        <v>0</v>
      </c>
      <c r="AN1993" s="19"/>
      <c r="AO1993" s="19"/>
      <c r="AP1993" s="19">
        <v>0</v>
      </c>
      <c r="AQ1993" s="19" t="s">
        <v>307</v>
      </c>
      <c r="AR1993" s="9" t="s">
        <v>489</v>
      </c>
      <c r="AS1993" s="12">
        <v>0</v>
      </c>
      <c r="AT1993" s="19">
        <v>38.676699999999997</v>
      </c>
      <c r="AU1993" s="19">
        <v>-122.9404</v>
      </c>
      <c r="AV1993" s="19" t="s">
        <v>701</v>
      </c>
    </row>
    <row r="1994" spans="1:48" x14ac:dyDescent="0.25">
      <c r="A1994" s="18" t="s">
        <v>2426</v>
      </c>
      <c r="B1994" s="10">
        <v>10000000</v>
      </c>
      <c r="C1994" s="9">
        <v>15</v>
      </c>
      <c r="D1994" s="8" t="str">
        <f t="shared" si="374"/>
        <v>N</v>
      </c>
      <c r="E1994" s="8" t="str">
        <f t="shared" si="375"/>
        <v>N</v>
      </c>
      <c r="F1994" s="8" t="str">
        <f t="shared" si="376"/>
        <v>N</v>
      </c>
      <c r="G1994" s="8" t="str">
        <f t="shared" si="377"/>
        <v>N</v>
      </c>
      <c r="H1994" s="8" t="str">
        <f t="shared" si="378"/>
        <v>Lower</v>
      </c>
      <c r="I1994" s="8" t="str">
        <f t="shared" si="379"/>
        <v>Outside</v>
      </c>
      <c r="J1994" s="8" t="str">
        <f t="shared" si="380"/>
        <v>Outside</v>
      </c>
      <c r="K1994" s="8" t="str">
        <f t="shared" si="381"/>
        <v>Riparian</v>
      </c>
      <c r="L1994" s="8">
        <f t="shared" si="382"/>
        <v>1000</v>
      </c>
      <c r="M1994" s="8" t="str">
        <f t="shared" si="384"/>
        <v>-</v>
      </c>
      <c r="N1994" s="10" t="s">
        <v>242</v>
      </c>
      <c r="O1994" s="10" t="s">
        <v>242</v>
      </c>
      <c r="P1994" s="10" t="s">
        <v>242</v>
      </c>
      <c r="Q1994" s="10" t="s">
        <v>242</v>
      </c>
      <c r="R1994" s="10" t="s">
        <v>242</v>
      </c>
      <c r="S1994" s="10" t="s">
        <v>241</v>
      </c>
      <c r="T1994" s="10" t="s">
        <v>242</v>
      </c>
      <c r="U1994" s="10" t="s">
        <v>242</v>
      </c>
      <c r="V1994" s="10" t="s">
        <v>242</v>
      </c>
      <c r="W1994" s="10" t="s">
        <v>242</v>
      </c>
      <c r="X1994" s="15">
        <f>IF(ISERROR(VLOOKUP($A1994,'13. Updated Demand'!A:Z,15,FALSE)),0,VLOOKUP($A1994,'13. Updated Demand'!A:Z,15,FALSE))</f>
        <v>0</v>
      </c>
      <c r="Y1994" s="16">
        <f>IF(ISERROR(VLOOKUP($A1994,'13. Updated Demand'!A:Z,16,FALSE)),0,VLOOKUP($A1994,'13. Updated Demand'!A:Z,16,FALSE))</f>
        <v>0</v>
      </c>
      <c r="Z1994" s="16">
        <f>IF(ISERROR(VLOOKUP($A1994,'13. Updated Demand'!A:Z,17,FALSE)),0,VLOOKUP($A1994,'13. Updated Demand'!A:Z,17,FALSE))</f>
        <v>0</v>
      </c>
      <c r="AA1994" s="16">
        <f>IF(ISERROR(VLOOKUP($A1994,'13. Updated Demand'!A:Z,18,FALSE)),0,VLOOKUP($A1994,'13. Updated Demand'!A:Z,18,FALSE))</f>
        <v>0</v>
      </c>
      <c r="AB1994" s="16">
        <f>IF(ISERROR(VLOOKUP($A1994,'13. Updated Demand'!A:Z,19,FALSE)),0,VLOOKUP($A1994,'13. Updated Demand'!A:Z,19,FALSE))</f>
        <v>0</v>
      </c>
      <c r="AC1994" s="16">
        <f>IF(ISERROR(VLOOKUP($A1994,'13. Updated Demand'!A:Z,20,FALSE)),0,VLOOKUP($A1994,'13. Updated Demand'!A:Z,20,FALSE))</f>
        <v>0</v>
      </c>
      <c r="AD1994" s="16">
        <f>IF(ISERROR(VLOOKUP($A1994,'13. Updated Demand'!A:Z,21,FALSE)),0,VLOOKUP($A1994,'13. Updated Demand'!A:Z,21,FALSE))</f>
        <v>8.7666667000000004E-2</v>
      </c>
      <c r="AE1994" s="16">
        <f>IF(ISERROR(VLOOKUP($A1994,'13. Updated Demand'!A:Z,22,FALSE)),0,VLOOKUP($A1994,'13. Updated Demand'!A:Z,22,FALSE))</f>
        <v>8.7666667000000004E-2</v>
      </c>
      <c r="AF1994" s="16">
        <f>IF(ISERROR(VLOOKUP($A1994,'13. Updated Demand'!A:Z,23,FALSE)),0,VLOOKUP($A1994,'13. Updated Demand'!A:Z,23,FALSE))</f>
        <v>0</v>
      </c>
      <c r="AG1994" s="16">
        <f>IF(ISERROR(VLOOKUP($A1994,'13. Updated Demand'!A:Z,24,FALSE)),0,VLOOKUP($A1994,'13. Updated Demand'!A:Z,24,FALSE))</f>
        <v>0</v>
      </c>
      <c r="AH1994" s="16">
        <f>IF(ISERROR(VLOOKUP($A1994,'13. Updated Demand'!A:Z,25,FALSE)),0,VLOOKUP($A1994,'13. Updated Demand'!A:Z,25,FALSE))</f>
        <v>0</v>
      </c>
      <c r="AI1994" s="16">
        <f>IF(ISERROR(VLOOKUP($A1994,'13. Updated Demand'!A:Z,26,FALSE)),0,VLOOKUP($A1994,'13. Updated Demand'!A:Z,26,FALSE))</f>
        <v>0</v>
      </c>
      <c r="AJ1994" s="16">
        <f t="shared" si="373"/>
        <v>0.17533333400000001</v>
      </c>
      <c r="AK1994" s="19">
        <v>0.17533333400000001</v>
      </c>
      <c r="AL1994" s="16">
        <f t="shared" si="383"/>
        <v>5.8156069653440335E-4</v>
      </c>
      <c r="AM1994" s="26">
        <v>0.16698412761904763</v>
      </c>
      <c r="AN1994" s="19">
        <v>1.05</v>
      </c>
      <c r="AO1994" s="19" t="s">
        <v>1758</v>
      </c>
      <c r="AP1994" s="19">
        <v>0</v>
      </c>
      <c r="AQ1994" s="19" t="s">
        <v>307</v>
      </c>
      <c r="AR1994" s="9" t="s">
        <v>489</v>
      </c>
      <c r="AS1994" s="12">
        <v>0</v>
      </c>
      <c r="AT1994" s="19">
        <v>38.65686599</v>
      </c>
      <c r="AU1994" s="19">
        <v>-122.92910969</v>
      </c>
      <c r="AV1994" s="19" t="s">
        <v>932</v>
      </c>
    </row>
    <row r="1995" spans="1:48" x14ac:dyDescent="0.25">
      <c r="A1995" s="18" t="s">
        <v>2427</v>
      </c>
      <c r="B1995" s="10">
        <v>10000000</v>
      </c>
      <c r="C1995" s="9">
        <v>1</v>
      </c>
      <c r="D1995" s="8" t="str">
        <f t="shared" si="374"/>
        <v>N</v>
      </c>
      <c r="E1995" s="8" t="str">
        <f t="shared" si="375"/>
        <v>N</v>
      </c>
      <c r="F1995" s="8" t="str">
        <f t="shared" si="376"/>
        <v>Y</v>
      </c>
      <c r="G1995" s="8" t="str">
        <f t="shared" si="377"/>
        <v>Y</v>
      </c>
      <c r="H1995" s="8" t="str">
        <f t="shared" si="378"/>
        <v>Upper</v>
      </c>
      <c r="I1995" s="8" t="str">
        <f t="shared" si="379"/>
        <v>West Fork and Below Lake</v>
      </c>
      <c r="J1995" s="8" t="str">
        <f t="shared" si="380"/>
        <v>Outside</v>
      </c>
      <c r="K1995" s="8" t="str">
        <f t="shared" si="381"/>
        <v>Riparian</v>
      </c>
      <c r="L1995" s="8">
        <f t="shared" si="382"/>
        <v>1000</v>
      </c>
      <c r="M1995" s="8" t="str">
        <f t="shared" si="384"/>
        <v>-</v>
      </c>
      <c r="N1995" s="10" t="s">
        <v>242</v>
      </c>
      <c r="O1995" s="10" t="s">
        <v>241</v>
      </c>
      <c r="P1995" s="10" t="s">
        <v>242</v>
      </c>
      <c r="Q1995" s="10" t="s">
        <v>242</v>
      </c>
      <c r="R1995" s="10" t="s">
        <v>242</v>
      </c>
      <c r="S1995" s="10" t="s">
        <v>241</v>
      </c>
      <c r="T1995" s="10" t="s">
        <v>242</v>
      </c>
      <c r="U1995" s="10" t="s">
        <v>242</v>
      </c>
      <c r="V1995" s="10" t="s">
        <v>242</v>
      </c>
      <c r="W1995" s="10" t="s">
        <v>242</v>
      </c>
      <c r="X1995" s="15">
        <f>IF(ISERROR(VLOOKUP($A1995,'13. Updated Demand'!A:Z,15,FALSE)),0,VLOOKUP($A1995,'13. Updated Demand'!A:Z,15,FALSE))</f>
        <v>0</v>
      </c>
      <c r="Y1995" s="16">
        <f>IF(ISERROR(VLOOKUP($A1995,'13. Updated Demand'!A:Z,16,FALSE)),0,VLOOKUP($A1995,'13. Updated Demand'!A:Z,16,FALSE))</f>
        <v>2.66</v>
      </c>
      <c r="Z1995" s="16">
        <f>IF(ISERROR(VLOOKUP($A1995,'13. Updated Demand'!A:Z,17,FALSE)),0,VLOOKUP($A1995,'13. Updated Demand'!A:Z,17,FALSE))</f>
        <v>0.96</v>
      </c>
      <c r="AA1995" s="16">
        <f>IF(ISERROR(VLOOKUP($A1995,'13. Updated Demand'!A:Z,18,FALSE)),0,VLOOKUP($A1995,'13. Updated Demand'!A:Z,18,FALSE))</f>
        <v>1.93</v>
      </c>
      <c r="AB1995" s="16">
        <f>IF(ISERROR(VLOOKUP($A1995,'13. Updated Demand'!A:Z,19,FALSE)),0,VLOOKUP($A1995,'13. Updated Demand'!A:Z,19,FALSE))</f>
        <v>1.28</v>
      </c>
      <c r="AC1995" s="16">
        <f>IF(ISERROR(VLOOKUP($A1995,'13. Updated Demand'!A:Z,20,FALSE)),0,VLOOKUP($A1995,'13. Updated Demand'!A:Z,20,FALSE))</f>
        <v>2.84</v>
      </c>
      <c r="AD1995" s="16">
        <f>IF(ISERROR(VLOOKUP($A1995,'13. Updated Demand'!A:Z,21,FALSE)),0,VLOOKUP($A1995,'13. Updated Demand'!A:Z,21,FALSE))</f>
        <v>0</v>
      </c>
      <c r="AE1995" s="16">
        <f>IF(ISERROR(VLOOKUP($A1995,'13. Updated Demand'!A:Z,22,FALSE)),0,VLOOKUP($A1995,'13. Updated Demand'!A:Z,22,FALSE))</f>
        <v>0</v>
      </c>
      <c r="AF1995" s="16">
        <f>IF(ISERROR(VLOOKUP($A1995,'13. Updated Demand'!A:Z,23,FALSE)),0,VLOOKUP($A1995,'13. Updated Demand'!A:Z,23,FALSE))</f>
        <v>0</v>
      </c>
      <c r="AG1995" s="16">
        <f>IF(ISERROR(VLOOKUP($A1995,'13. Updated Demand'!A:Z,24,FALSE)),0,VLOOKUP($A1995,'13. Updated Demand'!A:Z,24,FALSE))</f>
        <v>0</v>
      </c>
      <c r="AH1995" s="16">
        <f>IF(ISERROR(VLOOKUP($A1995,'13. Updated Demand'!A:Z,25,FALSE)),0,VLOOKUP($A1995,'13. Updated Demand'!A:Z,25,FALSE))</f>
        <v>0</v>
      </c>
      <c r="AI1995" s="16">
        <f>IF(ISERROR(VLOOKUP($A1995,'13. Updated Demand'!A:Z,26,FALSE)),0,VLOOKUP($A1995,'13. Updated Demand'!A:Z,26,FALSE))</f>
        <v>2.81</v>
      </c>
      <c r="AJ1995" s="16">
        <f t="shared" si="373"/>
        <v>12.48</v>
      </c>
      <c r="AK1995" s="19">
        <v>4.13</v>
      </c>
      <c r="AL1995" s="16">
        <f t="shared" si="383"/>
        <v>1.3698739548790452E-2</v>
      </c>
      <c r="AM1995" s="26">
        <v>0.46621940614983232</v>
      </c>
      <c r="AN1995" s="19">
        <v>26.83</v>
      </c>
      <c r="AO1995" s="19" t="s">
        <v>1758</v>
      </c>
      <c r="AP1995" s="19">
        <v>0</v>
      </c>
      <c r="AQ1995" s="19" t="s">
        <v>307</v>
      </c>
      <c r="AR1995" s="9" t="s">
        <v>317</v>
      </c>
      <c r="AS1995" s="12">
        <v>0</v>
      </c>
      <c r="AT1995" s="19">
        <v>39.278799999999997</v>
      </c>
      <c r="AU1995" s="19">
        <v>-123.19459999999999</v>
      </c>
      <c r="AV1995" s="19" t="s">
        <v>1886</v>
      </c>
    </row>
    <row r="1996" spans="1:48" x14ac:dyDescent="0.25">
      <c r="A1996" s="18" t="s">
        <v>2428</v>
      </c>
      <c r="B1996" s="10">
        <v>10000000</v>
      </c>
      <c r="C1996" s="9">
        <v>15</v>
      </c>
      <c r="D1996" s="8" t="str">
        <f t="shared" si="374"/>
        <v>N</v>
      </c>
      <c r="E1996" s="8" t="str">
        <f t="shared" si="375"/>
        <v>N</v>
      </c>
      <c r="F1996" s="8" t="str">
        <f t="shared" si="376"/>
        <v>N</v>
      </c>
      <c r="G1996" s="8" t="str">
        <f t="shared" si="377"/>
        <v>N</v>
      </c>
      <c r="H1996" s="8" t="str">
        <f t="shared" si="378"/>
        <v>Lower</v>
      </c>
      <c r="I1996" s="8" t="str">
        <f t="shared" si="379"/>
        <v>Outside</v>
      </c>
      <c r="J1996" s="8" t="str">
        <f t="shared" si="380"/>
        <v>Outside</v>
      </c>
      <c r="K1996" s="8" t="str">
        <f t="shared" si="381"/>
        <v>Riparian</v>
      </c>
      <c r="L1996" s="8">
        <f t="shared" si="382"/>
        <v>1000</v>
      </c>
      <c r="M1996" s="8" t="str">
        <f t="shared" si="384"/>
        <v>-</v>
      </c>
      <c r="N1996" s="10" t="s">
        <v>242</v>
      </c>
      <c r="O1996" s="10" t="s">
        <v>242</v>
      </c>
      <c r="P1996" s="10" t="s">
        <v>242</v>
      </c>
      <c r="Q1996" s="10" t="s">
        <v>242</v>
      </c>
      <c r="R1996" s="10" t="s">
        <v>242</v>
      </c>
      <c r="S1996" s="10" t="s">
        <v>241</v>
      </c>
      <c r="T1996" s="10" t="s">
        <v>242</v>
      </c>
      <c r="U1996" s="10" t="s">
        <v>242</v>
      </c>
      <c r="V1996" s="10" t="s">
        <v>242</v>
      </c>
      <c r="W1996" s="10" t="s">
        <v>242</v>
      </c>
      <c r="X1996" s="15">
        <f>IF(ISERROR(VLOOKUP($A1996,'13. Updated Demand'!A:Z,15,FALSE)),0,VLOOKUP($A1996,'13. Updated Demand'!A:Z,15,FALSE))</f>
        <v>0</v>
      </c>
      <c r="Y1996" s="16">
        <f>IF(ISERROR(VLOOKUP($A1996,'13. Updated Demand'!A:Z,16,FALSE)),0,VLOOKUP($A1996,'13. Updated Demand'!A:Z,16,FALSE))</f>
        <v>0.4</v>
      </c>
      <c r="Z1996" s="16">
        <f>IF(ISERROR(VLOOKUP($A1996,'13. Updated Demand'!A:Z,17,FALSE)),0,VLOOKUP($A1996,'13. Updated Demand'!A:Z,17,FALSE))</f>
        <v>0</v>
      </c>
      <c r="AA1996" s="16">
        <f>IF(ISERROR(VLOOKUP($A1996,'13. Updated Demand'!A:Z,18,FALSE)),0,VLOOKUP($A1996,'13. Updated Demand'!A:Z,18,FALSE))</f>
        <v>0</v>
      </c>
      <c r="AB1996" s="16">
        <f>IF(ISERROR(VLOOKUP($A1996,'13. Updated Demand'!A:Z,19,FALSE)),0,VLOOKUP($A1996,'13. Updated Demand'!A:Z,19,FALSE))</f>
        <v>2.5000000000000001E-2</v>
      </c>
      <c r="AC1996" s="16">
        <f>IF(ISERROR(VLOOKUP($A1996,'13. Updated Demand'!A:Z,20,FALSE)),0,VLOOKUP($A1996,'13. Updated Demand'!A:Z,20,FALSE))</f>
        <v>6.5000000000000002E-2</v>
      </c>
      <c r="AD1996" s="16">
        <f>IF(ISERROR(VLOOKUP($A1996,'13. Updated Demand'!A:Z,21,FALSE)),0,VLOOKUP($A1996,'13. Updated Demand'!A:Z,21,FALSE))</f>
        <v>6.5000000000000002E-2</v>
      </c>
      <c r="AE1996" s="16">
        <f>IF(ISERROR(VLOOKUP($A1996,'13. Updated Demand'!A:Z,22,FALSE)),0,VLOOKUP($A1996,'13. Updated Demand'!A:Z,22,FALSE))</f>
        <v>7.4999999999999997E-2</v>
      </c>
      <c r="AF1996" s="16">
        <f>IF(ISERROR(VLOOKUP($A1996,'13. Updated Demand'!A:Z,23,FALSE)),0,VLOOKUP($A1996,'13. Updated Demand'!A:Z,23,FALSE))</f>
        <v>5.5E-2</v>
      </c>
      <c r="AG1996" s="16">
        <f>IF(ISERROR(VLOOKUP($A1996,'13. Updated Demand'!A:Z,24,FALSE)),0,VLOOKUP($A1996,'13. Updated Demand'!A:Z,24,FALSE))</f>
        <v>0.04</v>
      </c>
      <c r="AH1996" s="16">
        <f>IF(ISERROR(VLOOKUP($A1996,'13. Updated Demand'!A:Z,25,FALSE)),0,VLOOKUP($A1996,'13. Updated Demand'!A:Z,25,FALSE))</f>
        <v>0</v>
      </c>
      <c r="AI1996" s="16">
        <f>IF(ISERROR(VLOOKUP($A1996,'13. Updated Demand'!A:Z,26,FALSE)),0,VLOOKUP($A1996,'13. Updated Demand'!A:Z,26,FALSE))</f>
        <v>0</v>
      </c>
      <c r="AJ1996" s="16">
        <f t="shared" si="373"/>
        <v>0.72500000000000009</v>
      </c>
      <c r="AK1996" s="19">
        <v>0.28499999999999998</v>
      </c>
      <c r="AL1996" s="16">
        <f t="shared" si="383"/>
        <v>9.4531253544922003E-4</v>
      </c>
      <c r="AM1996" s="26">
        <v>9.098438833391899E-4</v>
      </c>
      <c r="AN1996" s="19">
        <v>796.84</v>
      </c>
      <c r="AO1996" s="19" t="s">
        <v>1758</v>
      </c>
      <c r="AP1996" s="19">
        <v>0</v>
      </c>
      <c r="AQ1996" s="19" t="s">
        <v>307</v>
      </c>
      <c r="AR1996" s="9" t="s">
        <v>489</v>
      </c>
      <c r="AS1996" s="12">
        <v>0</v>
      </c>
      <c r="AT1996" s="19">
        <v>38.655767689999998</v>
      </c>
      <c r="AU1996" s="19">
        <v>-122.92909538000001</v>
      </c>
      <c r="AV1996" s="19" t="s">
        <v>932</v>
      </c>
    </row>
    <row r="1997" spans="1:48" x14ac:dyDescent="0.25">
      <c r="A1997" s="18" t="s">
        <v>2429</v>
      </c>
      <c r="B1997" s="10">
        <v>10000000</v>
      </c>
      <c r="C1997" s="9">
        <v>23</v>
      </c>
      <c r="D1997" s="8" t="str">
        <f t="shared" si="374"/>
        <v>N</v>
      </c>
      <c r="E1997" s="8" t="str">
        <f t="shared" si="375"/>
        <v>N</v>
      </c>
      <c r="F1997" s="8" t="str">
        <f t="shared" si="376"/>
        <v>N</v>
      </c>
      <c r="G1997" s="8" t="str">
        <f t="shared" si="377"/>
        <v>N</v>
      </c>
      <c r="H1997" s="8" t="str">
        <f t="shared" si="378"/>
        <v>Lower</v>
      </c>
      <c r="I1997" s="8" t="str">
        <f t="shared" si="379"/>
        <v>Outside</v>
      </c>
      <c r="J1997" s="8" t="str">
        <f t="shared" si="380"/>
        <v>Outside</v>
      </c>
      <c r="K1997" s="8" t="str">
        <f t="shared" si="381"/>
        <v>Riparian</v>
      </c>
      <c r="L1997" s="8">
        <f t="shared" si="382"/>
        <v>1000</v>
      </c>
      <c r="M1997" s="8" t="str">
        <f t="shared" si="384"/>
        <v>-</v>
      </c>
      <c r="N1997" s="10" t="s">
        <v>242</v>
      </c>
      <c r="O1997" s="10" t="s">
        <v>242</v>
      </c>
      <c r="P1997" s="10" t="s">
        <v>242</v>
      </c>
      <c r="Q1997" s="10" t="s">
        <v>242</v>
      </c>
      <c r="R1997" s="10" t="s">
        <v>242</v>
      </c>
      <c r="S1997" s="10" t="s">
        <v>241</v>
      </c>
      <c r="T1997" s="10" t="s">
        <v>242</v>
      </c>
      <c r="U1997" s="10" t="s">
        <v>242</v>
      </c>
      <c r="V1997" s="10" t="s">
        <v>241</v>
      </c>
      <c r="W1997" s="10" t="s">
        <v>242</v>
      </c>
      <c r="X1997" s="15">
        <f>IF(ISERROR(VLOOKUP($A1997,'13. Updated Demand'!A:Z,15,FALSE)),0,VLOOKUP($A1997,'13. Updated Demand'!A:Z,15,FALSE))</f>
        <v>16.866666670000001</v>
      </c>
      <c r="Y1997" s="16">
        <f>IF(ISERROR(VLOOKUP($A1997,'13. Updated Demand'!A:Z,16,FALSE)),0,VLOOKUP($A1997,'13. Updated Demand'!A:Z,16,FALSE))</f>
        <v>0</v>
      </c>
      <c r="Z1997" s="16">
        <f>IF(ISERROR(VLOOKUP($A1997,'13. Updated Demand'!A:Z,17,FALSE)),0,VLOOKUP($A1997,'13. Updated Demand'!A:Z,17,FALSE))</f>
        <v>0.76666666699999997</v>
      </c>
      <c r="AA1997" s="16">
        <f>IF(ISERROR(VLOOKUP($A1997,'13. Updated Demand'!A:Z,18,FALSE)),0,VLOOKUP($A1997,'13. Updated Demand'!A:Z,18,FALSE))</f>
        <v>3.766666667</v>
      </c>
      <c r="AB1997" s="16">
        <f>IF(ISERROR(VLOOKUP($A1997,'13. Updated Demand'!A:Z,19,FALSE)),0,VLOOKUP($A1997,'13. Updated Demand'!A:Z,19,FALSE))</f>
        <v>0</v>
      </c>
      <c r="AC1997" s="16">
        <f>IF(ISERROR(VLOOKUP($A1997,'13. Updated Demand'!A:Z,20,FALSE)),0,VLOOKUP($A1997,'13. Updated Demand'!A:Z,20,FALSE))</f>
        <v>0</v>
      </c>
      <c r="AD1997" s="16">
        <f>IF(ISERROR(VLOOKUP($A1997,'13. Updated Demand'!A:Z,21,FALSE)),0,VLOOKUP($A1997,'13. Updated Demand'!A:Z,21,FALSE))</f>
        <v>0</v>
      </c>
      <c r="AE1997" s="16">
        <f>IF(ISERROR(VLOOKUP($A1997,'13. Updated Demand'!A:Z,22,FALSE)),0,VLOOKUP($A1997,'13. Updated Demand'!A:Z,22,FALSE))</f>
        <v>0</v>
      </c>
      <c r="AF1997" s="16">
        <f>IF(ISERROR(VLOOKUP($A1997,'13. Updated Demand'!A:Z,23,FALSE)),0,VLOOKUP($A1997,'13. Updated Demand'!A:Z,23,FALSE))</f>
        <v>0</v>
      </c>
      <c r="AG1997" s="16">
        <f>IF(ISERROR(VLOOKUP($A1997,'13. Updated Demand'!A:Z,24,FALSE)),0,VLOOKUP($A1997,'13. Updated Demand'!A:Z,24,FALSE))</f>
        <v>0</v>
      </c>
      <c r="AH1997" s="16">
        <f>IF(ISERROR(VLOOKUP($A1997,'13. Updated Demand'!A:Z,25,FALSE)),0,VLOOKUP($A1997,'13. Updated Demand'!A:Z,25,FALSE))</f>
        <v>0.3</v>
      </c>
      <c r="AI1997" s="16">
        <f>IF(ISERROR(VLOOKUP($A1997,'13. Updated Demand'!A:Z,26,FALSE)),0,VLOOKUP($A1997,'13. Updated Demand'!A:Z,26,FALSE))</f>
        <v>1.566666667</v>
      </c>
      <c r="AJ1997" s="16">
        <f t="shared" si="373"/>
        <v>23.266666670999999</v>
      </c>
      <c r="AK1997" s="19">
        <v>0</v>
      </c>
      <c r="AL1997" s="16">
        <f t="shared" si="383"/>
        <v>0</v>
      </c>
      <c r="AM1997" s="26">
        <v>1.0249632894713656</v>
      </c>
      <c r="AN1997" s="19">
        <v>22.7</v>
      </c>
      <c r="AO1997" s="19" t="s">
        <v>1758</v>
      </c>
      <c r="AP1997" s="19">
        <v>0</v>
      </c>
      <c r="AQ1997" s="19" t="s">
        <v>307</v>
      </c>
      <c r="AR1997" s="9" t="s">
        <v>323</v>
      </c>
      <c r="AS1997" s="12">
        <v>0</v>
      </c>
      <c r="AT1997" s="19">
        <v>38.519199999999998</v>
      </c>
      <c r="AU1997" s="19">
        <v>-122.6713</v>
      </c>
      <c r="AV1997" s="19" t="s">
        <v>385</v>
      </c>
    </row>
    <row r="1998" spans="1:48" x14ac:dyDescent="0.25">
      <c r="A1998" s="18" t="s">
        <v>2430</v>
      </c>
      <c r="B1998" s="10">
        <v>10000000</v>
      </c>
      <c r="C1998" s="9">
        <v>18</v>
      </c>
      <c r="D1998" s="8" t="str">
        <f t="shared" si="374"/>
        <v>N</v>
      </c>
      <c r="E1998" s="8" t="str">
        <f t="shared" si="375"/>
        <v>N</v>
      </c>
      <c r="F1998" s="8" t="str">
        <f t="shared" si="376"/>
        <v>N</v>
      </c>
      <c r="G1998" s="8" t="str">
        <f t="shared" si="377"/>
        <v>N</v>
      </c>
      <c r="H1998" s="8" t="str">
        <f t="shared" si="378"/>
        <v>Lower</v>
      </c>
      <c r="I1998" s="8" t="str">
        <f t="shared" si="379"/>
        <v>Outside</v>
      </c>
      <c r="J1998" s="8" t="str">
        <f t="shared" si="380"/>
        <v>Outside</v>
      </c>
      <c r="K1998" s="8" t="str">
        <f t="shared" si="381"/>
        <v>Riparian</v>
      </c>
      <c r="L1998" s="8">
        <f t="shared" si="382"/>
        <v>1000</v>
      </c>
      <c r="M1998" s="8" t="str">
        <f t="shared" si="384"/>
        <v>-</v>
      </c>
      <c r="N1998" s="10" t="s">
        <v>242</v>
      </c>
      <c r="O1998" s="10" t="s">
        <v>242</v>
      </c>
      <c r="P1998" s="10" t="s">
        <v>242</v>
      </c>
      <c r="Q1998" s="10" t="s">
        <v>242</v>
      </c>
      <c r="R1998" s="10" t="s">
        <v>242</v>
      </c>
      <c r="S1998" s="10" t="s">
        <v>241</v>
      </c>
      <c r="T1998" s="10" t="s">
        <v>242</v>
      </c>
      <c r="U1998" s="10" t="s">
        <v>242</v>
      </c>
      <c r="V1998" s="10" t="s">
        <v>241</v>
      </c>
      <c r="W1998" s="10" t="s">
        <v>242</v>
      </c>
      <c r="X1998" s="15">
        <f>IF(ISERROR(VLOOKUP($A1998,'13. Updated Demand'!A:Z,15,FALSE)),0,VLOOKUP($A1998,'13. Updated Demand'!A:Z,15,FALSE))</f>
        <v>7.9333333330000002</v>
      </c>
      <c r="Y1998" s="16">
        <f>IF(ISERROR(VLOOKUP($A1998,'13. Updated Demand'!A:Z,16,FALSE)),0,VLOOKUP($A1998,'13. Updated Demand'!A:Z,16,FALSE))</f>
        <v>0</v>
      </c>
      <c r="Z1998" s="16">
        <f>IF(ISERROR(VLOOKUP($A1998,'13. Updated Demand'!A:Z,17,FALSE)),0,VLOOKUP($A1998,'13. Updated Demand'!A:Z,17,FALSE))</f>
        <v>0</v>
      </c>
      <c r="AA1998" s="16">
        <f>IF(ISERROR(VLOOKUP($A1998,'13. Updated Demand'!A:Z,18,FALSE)),0,VLOOKUP($A1998,'13. Updated Demand'!A:Z,18,FALSE))</f>
        <v>0.66666666699999999</v>
      </c>
      <c r="AB1998" s="16">
        <f>IF(ISERROR(VLOOKUP($A1998,'13. Updated Demand'!A:Z,19,FALSE)),0,VLOOKUP($A1998,'13. Updated Demand'!A:Z,19,FALSE))</f>
        <v>0</v>
      </c>
      <c r="AC1998" s="16">
        <f>IF(ISERROR(VLOOKUP($A1998,'13. Updated Demand'!A:Z,20,FALSE)),0,VLOOKUP($A1998,'13. Updated Demand'!A:Z,20,FALSE))</f>
        <v>0</v>
      </c>
      <c r="AD1998" s="16">
        <f>IF(ISERROR(VLOOKUP($A1998,'13. Updated Demand'!A:Z,21,FALSE)),0,VLOOKUP($A1998,'13. Updated Demand'!A:Z,21,FALSE))</f>
        <v>0</v>
      </c>
      <c r="AE1998" s="16">
        <f>IF(ISERROR(VLOOKUP($A1998,'13. Updated Demand'!A:Z,22,FALSE)),0,VLOOKUP($A1998,'13. Updated Demand'!A:Z,22,FALSE))</f>
        <v>0</v>
      </c>
      <c r="AF1998" s="16">
        <f>IF(ISERROR(VLOOKUP($A1998,'13. Updated Demand'!A:Z,23,FALSE)),0,VLOOKUP($A1998,'13. Updated Demand'!A:Z,23,FALSE))</f>
        <v>0</v>
      </c>
      <c r="AG1998" s="16">
        <f>IF(ISERROR(VLOOKUP($A1998,'13. Updated Demand'!A:Z,24,FALSE)),0,VLOOKUP($A1998,'13. Updated Demand'!A:Z,24,FALSE))</f>
        <v>0</v>
      </c>
      <c r="AH1998" s="16">
        <f>IF(ISERROR(VLOOKUP($A1998,'13. Updated Demand'!A:Z,25,FALSE)),0,VLOOKUP($A1998,'13. Updated Demand'!A:Z,25,FALSE))</f>
        <v>2.6666666669999999</v>
      </c>
      <c r="AI1998" s="16">
        <f>IF(ISERROR(VLOOKUP($A1998,'13. Updated Demand'!A:Z,26,FALSE)),0,VLOOKUP($A1998,'13. Updated Demand'!A:Z,26,FALSE))</f>
        <v>3.3333333E-2</v>
      </c>
      <c r="AJ1998" s="16">
        <f t="shared" si="373"/>
        <v>11.299999999999999</v>
      </c>
      <c r="AK1998" s="19">
        <v>0</v>
      </c>
      <c r="AL1998" s="16">
        <f t="shared" si="383"/>
        <v>0</v>
      </c>
      <c r="AM1998" s="26">
        <v>0.16642120765832102</v>
      </c>
      <c r="AN1998" s="19">
        <v>67.900000000000006</v>
      </c>
      <c r="AO1998" s="19" t="s">
        <v>1758</v>
      </c>
      <c r="AP1998" s="19">
        <v>0</v>
      </c>
      <c r="AQ1998" s="19" t="s">
        <v>307</v>
      </c>
      <c r="AR1998" s="9" t="s">
        <v>352</v>
      </c>
      <c r="AS1998" s="12">
        <v>0</v>
      </c>
      <c r="AT1998" s="19">
        <v>38.468600000000002</v>
      </c>
      <c r="AU1998" s="19">
        <v>-122.8699</v>
      </c>
      <c r="AV1998" s="19" t="s">
        <v>385</v>
      </c>
    </row>
    <row r="1999" spans="1:48" x14ac:dyDescent="0.25">
      <c r="A1999" s="18" t="s">
        <v>2431</v>
      </c>
      <c r="B1999" s="10">
        <v>10000000</v>
      </c>
      <c r="C1999" s="9">
        <v>6</v>
      </c>
      <c r="D1999" s="8" t="str">
        <f t="shared" si="374"/>
        <v>Y</v>
      </c>
      <c r="E1999" s="8" t="str">
        <f t="shared" si="375"/>
        <v>N</v>
      </c>
      <c r="F1999" s="8" t="str">
        <f t="shared" si="376"/>
        <v>Y</v>
      </c>
      <c r="G1999" s="8" t="str">
        <f t="shared" si="377"/>
        <v>Y</v>
      </c>
      <c r="H1999" s="8" t="str">
        <f t="shared" si="378"/>
        <v>Upper</v>
      </c>
      <c r="I1999" s="8" t="str">
        <f t="shared" si="379"/>
        <v>West Fork and Below Lake</v>
      </c>
      <c r="J1999" s="8" t="str">
        <f t="shared" si="380"/>
        <v>Mendocino (d/s of lake)</v>
      </c>
      <c r="K1999" s="8" t="str">
        <f t="shared" si="381"/>
        <v>Riparian</v>
      </c>
      <c r="L1999" s="8">
        <f t="shared" si="382"/>
        <v>1000</v>
      </c>
      <c r="M1999" s="8" t="str">
        <f t="shared" si="384"/>
        <v>-</v>
      </c>
      <c r="N1999" s="10" t="s">
        <v>241</v>
      </c>
      <c r="O1999" s="10" t="s">
        <v>241</v>
      </c>
      <c r="P1999" s="10" t="s">
        <v>242</v>
      </c>
      <c r="Q1999" s="10" t="s">
        <v>242</v>
      </c>
      <c r="R1999" s="10" t="s">
        <v>242</v>
      </c>
      <c r="S1999" s="10" t="s">
        <v>241</v>
      </c>
      <c r="T1999" s="10" t="s">
        <v>242</v>
      </c>
      <c r="U1999" s="10" t="s">
        <v>242</v>
      </c>
      <c r="V1999" s="10" t="s">
        <v>241</v>
      </c>
      <c r="W1999" s="10" t="s">
        <v>242</v>
      </c>
      <c r="X1999" s="15">
        <f>IF(ISERROR(VLOOKUP($A1999,'13. Updated Demand'!A:Z,15,FALSE)),0,VLOOKUP($A1999,'13. Updated Demand'!A:Z,15,FALSE))</f>
        <v>0</v>
      </c>
      <c r="Y1999" s="16">
        <f>IF(ISERROR(VLOOKUP($A1999,'13. Updated Demand'!A:Z,16,FALSE)),0,VLOOKUP($A1999,'13. Updated Demand'!A:Z,16,FALSE))</f>
        <v>0</v>
      </c>
      <c r="Z1999" s="16">
        <f>IF(ISERROR(VLOOKUP($A1999,'13. Updated Demand'!A:Z,17,FALSE)),0,VLOOKUP($A1999,'13. Updated Demand'!A:Z,17,FALSE))</f>
        <v>0</v>
      </c>
      <c r="AA1999" s="16">
        <f>IF(ISERROR(VLOOKUP($A1999,'13. Updated Demand'!A:Z,18,FALSE)),0,VLOOKUP($A1999,'13. Updated Demand'!A:Z,18,FALSE))</f>
        <v>0</v>
      </c>
      <c r="AB1999" s="16">
        <f>IF(ISERROR(VLOOKUP($A1999,'13. Updated Demand'!A:Z,19,FALSE)),0,VLOOKUP($A1999,'13. Updated Demand'!A:Z,19,FALSE))</f>
        <v>0</v>
      </c>
      <c r="AC1999" s="16">
        <f>IF(ISERROR(VLOOKUP($A1999,'13. Updated Demand'!A:Z,20,FALSE)),0,VLOOKUP($A1999,'13. Updated Demand'!A:Z,20,FALSE))</f>
        <v>0</v>
      </c>
      <c r="AD1999" s="16">
        <f>IF(ISERROR(VLOOKUP($A1999,'13. Updated Demand'!A:Z,21,FALSE)),0,VLOOKUP($A1999,'13. Updated Demand'!A:Z,21,FALSE))</f>
        <v>0</v>
      </c>
      <c r="AE1999" s="16">
        <f>IF(ISERROR(VLOOKUP($A1999,'13. Updated Demand'!A:Z,22,FALSE)),0,VLOOKUP($A1999,'13. Updated Demand'!A:Z,22,FALSE))</f>
        <v>0</v>
      </c>
      <c r="AF1999" s="16">
        <f>IF(ISERROR(VLOOKUP($A1999,'13. Updated Demand'!A:Z,23,FALSE)),0,VLOOKUP($A1999,'13. Updated Demand'!A:Z,23,FALSE))</f>
        <v>0</v>
      </c>
      <c r="AG1999" s="16">
        <f>IF(ISERROR(VLOOKUP($A1999,'13. Updated Demand'!A:Z,24,FALSE)),0,VLOOKUP($A1999,'13. Updated Demand'!A:Z,24,FALSE))</f>
        <v>0</v>
      </c>
      <c r="AH1999" s="16">
        <f>IF(ISERROR(VLOOKUP($A1999,'13. Updated Demand'!A:Z,25,FALSE)),0,VLOOKUP($A1999,'13. Updated Demand'!A:Z,25,FALSE))</f>
        <v>0.96</v>
      </c>
      <c r="AI1999" s="16">
        <f>IF(ISERROR(VLOOKUP($A1999,'13. Updated Demand'!A:Z,26,FALSE)),0,VLOOKUP($A1999,'13. Updated Demand'!A:Z,26,FALSE))</f>
        <v>0.46</v>
      </c>
      <c r="AJ1999" s="16">
        <f t="shared" si="373"/>
        <v>1.42</v>
      </c>
      <c r="AK1999" s="19">
        <v>0</v>
      </c>
      <c r="AL1999" s="16">
        <f t="shared" si="383"/>
        <v>0</v>
      </c>
      <c r="AM1999" s="26">
        <v>0</v>
      </c>
      <c r="AN1999" s="19">
        <v>0</v>
      </c>
      <c r="AO1999" s="19" t="s">
        <v>1758</v>
      </c>
      <c r="AP1999" s="19">
        <v>0</v>
      </c>
      <c r="AQ1999" s="19" t="s">
        <v>307</v>
      </c>
      <c r="AR1999" s="9" t="s">
        <v>319</v>
      </c>
      <c r="AS1999" s="12">
        <v>0</v>
      </c>
      <c r="AT1999" s="19">
        <v>39.008899999999997</v>
      </c>
      <c r="AU1999" s="19">
        <v>-123.113</v>
      </c>
      <c r="AV1999" s="19" t="s">
        <v>548</v>
      </c>
    </row>
    <row r="2000" spans="1:48" x14ac:dyDescent="0.25">
      <c r="A2000" s="18" t="s">
        <v>2432</v>
      </c>
      <c r="B2000" s="10">
        <v>10000000</v>
      </c>
      <c r="C2000" s="9">
        <v>10</v>
      </c>
      <c r="D2000" s="8" t="str">
        <f t="shared" si="374"/>
        <v>N</v>
      </c>
      <c r="E2000" s="8" t="str">
        <f t="shared" si="375"/>
        <v>Y</v>
      </c>
      <c r="F2000" s="8" t="str">
        <f t="shared" si="376"/>
        <v>Y</v>
      </c>
      <c r="G2000" s="8" t="str">
        <f t="shared" si="377"/>
        <v>Y</v>
      </c>
      <c r="H2000" s="8" t="str">
        <f t="shared" si="378"/>
        <v>Upper</v>
      </c>
      <c r="I2000" s="8" t="str">
        <f t="shared" si="379"/>
        <v>West Fork and Below Lake</v>
      </c>
      <c r="J2000" s="8" t="str">
        <f t="shared" si="380"/>
        <v>Sonoma (d/s of Clov. Gage)</v>
      </c>
      <c r="K2000" s="8" t="str">
        <f t="shared" si="381"/>
        <v>Riparian</v>
      </c>
      <c r="L2000" s="8">
        <f t="shared" si="382"/>
        <v>1000</v>
      </c>
      <c r="M2000" s="8" t="str">
        <f t="shared" si="384"/>
        <v>-</v>
      </c>
      <c r="N2000" s="10" t="s">
        <v>242</v>
      </c>
      <c r="O2000" s="10" t="s">
        <v>241</v>
      </c>
      <c r="P2000" s="10" t="s">
        <v>242</v>
      </c>
      <c r="Q2000" s="10" t="s">
        <v>242</v>
      </c>
      <c r="R2000" s="10" t="s">
        <v>242</v>
      </c>
      <c r="S2000" s="10" t="s">
        <v>241</v>
      </c>
      <c r="T2000" s="10" t="s">
        <v>242</v>
      </c>
      <c r="U2000" s="10" t="s">
        <v>242</v>
      </c>
      <c r="V2000" s="10" t="s">
        <v>241</v>
      </c>
      <c r="W2000" s="10" t="s">
        <v>242</v>
      </c>
      <c r="X2000" s="15">
        <f>IF(ISERROR(VLOOKUP($A2000,'13. Updated Demand'!A:Z,15,FALSE)),0,VLOOKUP($A2000,'13. Updated Demand'!A:Z,15,FALSE))</f>
        <v>12.92</v>
      </c>
      <c r="Y2000" s="16">
        <f>IF(ISERROR(VLOOKUP($A2000,'13. Updated Demand'!A:Z,16,FALSE)),0,VLOOKUP($A2000,'13. Updated Demand'!A:Z,16,FALSE))</f>
        <v>0.23</v>
      </c>
      <c r="Z2000" s="16">
        <f>IF(ISERROR(VLOOKUP($A2000,'13. Updated Demand'!A:Z,17,FALSE)),0,VLOOKUP($A2000,'13. Updated Demand'!A:Z,17,FALSE))</f>
        <v>3.03</v>
      </c>
      <c r="AA2000" s="16">
        <f>IF(ISERROR(VLOOKUP($A2000,'13. Updated Demand'!A:Z,18,FALSE)),0,VLOOKUP($A2000,'13. Updated Demand'!A:Z,18,FALSE))</f>
        <v>1.82</v>
      </c>
      <c r="AB2000" s="16">
        <f>IF(ISERROR(VLOOKUP($A2000,'13. Updated Demand'!A:Z,19,FALSE)),0,VLOOKUP($A2000,'13. Updated Demand'!A:Z,19,FALSE))</f>
        <v>0</v>
      </c>
      <c r="AC2000" s="16">
        <f>IF(ISERROR(VLOOKUP($A2000,'13. Updated Demand'!A:Z,20,FALSE)),0,VLOOKUP($A2000,'13. Updated Demand'!A:Z,20,FALSE))</f>
        <v>0</v>
      </c>
      <c r="AD2000" s="16">
        <f>IF(ISERROR(VLOOKUP($A2000,'13. Updated Demand'!A:Z,21,FALSE)),0,VLOOKUP($A2000,'13. Updated Demand'!A:Z,21,FALSE))</f>
        <v>0</v>
      </c>
      <c r="AE2000" s="16">
        <f>IF(ISERROR(VLOOKUP($A2000,'13. Updated Demand'!A:Z,22,FALSE)),0,VLOOKUP($A2000,'13. Updated Demand'!A:Z,22,FALSE))</f>
        <v>0</v>
      </c>
      <c r="AF2000" s="16">
        <f>IF(ISERROR(VLOOKUP($A2000,'13. Updated Demand'!A:Z,23,FALSE)),0,VLOOKUP($A2000,'13. Updated Demand'!A:Z,23,FALSE))</f>
        <v>0</v>
      </c>
      <c r="AG2000" s="16">
        <f>IF(ISERROR(VLOOKUP($A2000,'13. Updated Demand'!A:Z,24,FALSE)),0,VLOOKUP($A2000,'13. Updated Demand'!A:Z,24,FALSE))</f>
        <v>0.04</v>
      </c>
      <c r="AH2000" s="16">
        <f>IF(ISERROR(VLOOKUP($A2000,'13. Updated Demand'!A:Z,25,FALSE)),0,VLOOKUP($A2000,'13. Updated Demand'!A:Z,25,FALSE))</f>
        <v>1.05</v>
      </c>
      <c r="AI2000" s="16">
        <f>IF(ISERROR(VLOOKUP($A2000,'13. Updated Demand'!A:Z,26,FALSE)),0,VLOOKUP($A2000,'13. Updated Demand'!A:Z,26,FALSE))</f>
        <v>7.33</v>
      </c>
      <c r="AJ2000" s="16">
        <f t="shared" ref="AJ2000:AJ2063" si="385">SUM(X2000:AI2000)</f>
        <v>26.42</v>
      </c>
      <c r="AK2000" s="19">
        <v>0</v>
      </c>
      <c r="AL2000" s="16">
        <f t="shared" si="383"/>
        <v>0</v>
      </c>
      <c r="AM2000" s="26">
        <v>0.34950215873645252</v>
      </c>
      <c r="AN2000" s="19">
        <v>75.66</v>
      </c>
      <c r="AO2000" s="19" t="s">
        <v>1758</v>
      </c>
      <c r="AP2000" s="19">
        <v>0</v>
      </c>
      <c r="AQ2000" s="19" t="s">
        <v>307</v>
      </c>
      <c r="AR2000" s="9" t="s">
        <v>436</v>
      </c>
      <c r="AS2000" s="12">
        <v>0</v>
      </c>
      <c r="AT2000" s="19">
        <v>38.707599999999999</v>
      </c>
      <c r="AU2000" s="19">
        <v>-122.83969999999999</v>
      </c>
      <c r="AV2000" s="19" t="s">
        <v>385</v>
      </c>
    </row>
    <row r="2001" spans="1:48" x14ac:dyDescent="0.25">
      <c r="A2001" s="18" t="s">
        <v>2433</v>
      </c>
      <c r="B2001" s="10">
        <v>10000000</v>
      </c>
      <c r="C2001" s="9">
        <v>23</v>
      </c>
      <c r="D2001" s="8" t="str">
        <f t="shared" si="374"/>
        <v>N</v>
      </c>
      <c r="E2001" s="8" t="str">
        <f t="shared" si="375"/>
        <v>N</v>
      </c>
      <c r="F2001" s="8" t="str">
        <f t="shared" si="376"/>
        <v>N</v>
      </c>
      <c r="G2001" s="8" t="str">
        <f t="shared" si="377"/>
        <v>N</v>
      </c>
      <c r="H2001" s="8" t="str">
        <f t="shared" si="378"/>
        <v>Lower</v>
      </c>
      <c r="I2001" s="8" t="str">
        <f t="shared" si="379"/>
        <v>Outside</v>
      </c>
      <c r="J2001" s="8" t="str">
        <f t="shared" si="380"/>
        <v>Outside</v>
      </c>
      <c r="K2001" s="8" t="str">
        <f t="shared" si="381"/>
        <v>Riparian</v>
      </c>
      <c r="L2001" s="8">
        <f t="shared" si="382"/>
        <v>1000</v>
      </c>
      <c r="M2001" s="8" t="str">
        <f t="shared" si="384"/>
        <v>-</v>
      </c>
      <c r="N2001" s="10" t="s">
        <v>242</v>
      </c>
      <c r="O2001" s="10" t="s">
        <v>242</v>
      </c>
      <c r="P2001" s="10" t="s">
        <v>242</v>
      </c>
      <c r="Q2001" s="10" t="s">
        <v>242</v>
      </c>
      <c r="R2001" s="10" t="s">
        <v>242</v>
      </c>
      <c r="S2001" s="10" t="s">
        <v>241</v>
      </c>
      <c r="T2001" s="10" t="s">
        <v>242</v>
      </c>
      <c r="U2001" s="10" t="s">
        <v>242</v>
      </c>
      <c r="V2001" s="10" t="s">
        <v>242</v>
      </c>
      <c r="W2001" s="10" t="s">
        <v>242</v>
      </c>
      <c r="X2001" s="15">
        <f>IF(ISERROR(VLOOKUP($A2001,'13. Updated Demand'!A:Z,15,FALSE)),0,VLOOKUP($A2001,'13. Updated Demand'!A:Z,15,FALSE))</f>
        <v>1.233333333</v>
      </c>
      <c r="Y2001" s="16">
        <f>IF(ISERROR(VLOOKUP($A2001,'13. Updated Demand'!A:Z,16,FALSE)),0,VLOOKUP($A2001,'13. Updated Demand'!A:Z,16,FALSE))</f>
        <v>1.8</v>
      </c>
      <c r="Z2001" s="16">
        <f>IF(ISERROR(VLOOKUP($A2001,'13. Updated Demand'!A:Z,17,FALSE)),0,VLOOKUP($A2001,'13. Updated Demand'!A:Z,17,FALSE))</f>
        <v>0.53333333299999997</v>
      </c>
      <c r="AA2001" s="16">
        <f>IF(ISERROR(VLOOKUP($A2001,'13. Updated Demand'!A:Z,18,FALSE)),0,VLOOKUP($A2001,'13. Updated Demand'!A:Z,18,FALSE))</f>
        <v>0</v>
      </c>
      <c r="AB2001" s="16">
        <f>IF(ISERROR(VLOOKUP($A2001,'13. Updated Demand'!A:Z,19,FALSE)),0,VLOOKUP($A2001,'13. Updated Demand'!A:Z,19,FALSE))</f>
        <v>0</v>
      </c>
      <c r="AC2001" s="16">
        <f>IF(ISERROR(VLOOKUP($A2001,'13. Updated Demand'!A:Z,20,FALSE)),0,VLOOKUP($A2001,'13. Updated Demand'!A:Z,20,FALSE))</f>
        <v>3.3333333E-2</v>
      </c>
      <c r="AD2001" s="16">
        <f>IF(ISERROR(VLOOKUP($A2001,'13. Updated Demand'!A:Z,21,FALSE)),0,VLOOKUP($A2001,'13. Updated Demand'!A:Z,21,FALSE))</f>
        <v>0</v>
      </c>
      <c r="AE2001" s="16">
        <f>IF(ISERROR(VLOOKUP($A2001,'13. Updated Demand'!A:Z,22,FALSE)),0,VLOOKUP($A2001,'13. Updated Demand'!A:Z,22,FALSE))</f>
        <v>0</v>
      </c>
      <c r="AF2001" s="16">
        <f>IF(ISERROR(VLOOKUP($A2001,'13. Updated Demand'!A:Z,23,FALSE)),0,VLOOKUP($A2001,'13. Updated Demand'!A:Z,23,FALSE))</f>
        <v>0</v>
      </c>
      <c r="AG2001" s="16">
        <f>IF(ISERROR(VLOOKUP($A2001,'13. Updated Demand'!A:Z,24,FALSE)),0,VLOOKUP($A2001,'13. Updated Demand'!A:Z,24,FALSE))</f>
        <v>0</v>
      </c>
      <c r="AH2001" s="16">
        <f>IF(ISERROR(VLOOKUP($A2001,'13. Updated Demand'!A:Z,25,FALSE)),0,VLOOKUP($A2001,'13. Updated Demand'!A:Z,25,FALSE))</f>
        <v>1.8</v>
      </c>
      <c r="AI2001" s="16">
        <f>IF(ISERROR(VLOOKUP($A2001,'13. Updated Demand'!A:Z,26,FALSE)),0,VLOOKUP($A2001,'13. Updated Demand'!A:Z,26,FALSE))</f>
        <v>2.6</v>
      </c>
      <c r="AJ2001" s="16">
        <f t="shared" si="385"/>
        <v>7.9999999989999999</v>
      </c>
      <c r="AK2001" s="19">
        <v>3.3333333E-2</v>
      </c>
      <c r="AL2001" s="16">
        <f t="shared" si="383"/>
        <v>1.1056286853755495E-4</v>
      </c>
      <c r="AM2001" s="26">
        <v>0</v>
      </c>
      <c r="AN2001" s="19">
        <v>0</v>
      </c>
      <c r="AO2001" s="19" t="s">
        <v>1758</v>
      </c>
      <c r="AP2001" s="19">
        <v>0</v>
      </c>
      <c r="AQ2001" s="19" t="s">
        <v>307</v>
      </c>
      <c r="AR2001" s="9" t="s">
        <v>391</v>
      </c>
      <c r="AS2001" s="12">
        <v>0</v>
      </c>
      <c r="AT2001" s="19">
        <v>38.5291</v>
      </c>
      <c r="AU2001" s="19">
        <v>-122.83710000000001</v>
      </c>
      <c r="AV2001" s="19" t="s">
        <v>385</v>
      </c>
    </row>
    <row r="2002" spans="1:48" x14ac:dyDescent="0.25">
      <c r="A2002" s="18" t="s">
        <v>2434</v>
      </c>
      <c r="B2002" s="10">
        <v>10000000</v>
      </c>
      <c r="C2002" s="9">
        <v>10</v>
      </c>
      <c r="D2002" s="8" t="str">
        <f t="shared" si="374"/>
        <v>N</v>
      </c>
      <c r="E2002" s="8" t="str">
        <f t="shared" si="375"/>
        <v>Y</v>
      </c>
      <c r="F2002" s="8" t="str">
        <f t="shared" si="376"/>
        <v>Y</v>
      </c>
      <c r="G2002" s="8" t="str">
        <f t="shared" si="377"/>
        <v>Y</v>
      </c>
      <c r="H2002" s="8" t="str">
        <f t="shared" si="378"/>
        <v>Upper</v>
      </c>
      <c r="I2002" s="8" t="str">
        <f t="shared" si="379"/>
        <v>West Fork and Below Lake</v>
      </c>
      <c r="J2002" s="8" t="str">
        <f t="shared" si="380"/>
        <v>Sonoma (d/s of Clov. Gage)</v>
      </c>
      <c r="K2002" s="8" t="str">
        <f t="shared" si="381"/>
        <v>Riparian</v>
      </c>
      <c r="L2002" s="8">
        <f t="shared" si="382"/>
        <v>1000</v>
      </c>
      <c r="M2002" s="8" t="str">
        <f t="shared" si="384"/>
        <v>-</v>
      </c>
      <c r="N2002" s="10" t="s">
        <v>242</v>
      </c>
      <c r="O2002" s="10" t="s">
        <v>241</v>
      </c>
      <c r="P2002" s="10" t="s">
        <v>242</v>
      </c>
      <c r="Q2002" s="10" t="s">
        <v>242</v>
      </c>
      <c r="R2002" s="10" t="s">
        <v>242</v>
      </c>
      <c r="S2002" s="10" t="s">
        <v>241</v>
      </c>
      <c r="T2002" s="10" t="s">
        <v>242</v>
      </c>
      <c r="U2002" s="10" t="s">
        <v>242</v>
      </c>
      <c r="V2002" s="10" t="s">
        <v>241</v>
      </c>
      <c r="W2002" s="10" t="s">
        <v>242</v>
      </c>
      <c r="X2002" s="15">
        <f>IF(ISERROR(VLOOKUP($A2002,'13. Updated Demand'!A:Z,15,FALSE)),0,VLOOKUP($A2002,'13. Updated Demand'!A:Z,15,FALSE))</f>
        <v>2.5099999999999998</v>
      </c>
      <c r="Y2002" s="16">
        <f>IF(ISERROR(VLOOKUP($A2002,'13. Updated Demand'!A:Z,16,FALSE)),0,VLOOKUP($A2002,'13. Updated Demand'!A:Z,16,FALSE))</f>
        <v>0</v>
      </c>
      <c r="Z2002" s="16">
        <f>IF(ISERROR(VLOOKUP($A2002,'13. Updated Demand'!A:Z,17,FALSE)),0,VLOOKUP($A2002,'13. Updated Demand'!A:Z,17,FALSE))</f>
        <v>0.47</v>
      </c>
      <c r="AA2002" s="16">
        <f>IF(ISERROR(VLOOKUP($A2002,'13. Updated Demand'!A:Z,18,FALSE)),0,VLOOKUP($A2002,'13. Updated Demand'!A:Z,18,FALSE))</f>
        <v>0.31</v>
      </c>
      <c r="AB2002" s="16">
        <f>IF(ISERROR(VLOOKUP($A2002,'13. Updated Demand'!A:Z,19,FALSE)),0,VLOOKUP($A2002,'13. Updated Demand'!A:Z,19,FALSE))</f>
        <v>0</v>
      </c>
      <c r="AC2002" s="16">
        <f>IF(ISERROR(VLOOKUP($A2002,'13. Updated Demand'!A:Z,20,FALSE)),0,VLOOKUP($A2002,'13. Updated Demand'!A:Z,20,FALSE))</f>
        <v>0</v>
      </c>
      <c r="AD2002" s="16">
        <f>IF(ISERROR(VLOOKUP($A2002,'13. Updated Demand'!A:Z,21,FALSE)),0,VLOOKUP($A2002,'13. Updated Demand'!A:Z,21,FALSE))</f>
        <v>0</v>
      </c>
      <c r="AE2002" s="16">
        <f>IF(ISERROR(VLOOKUP($A2002,'13. Updated Demand'!A:Z,22,FALSE)),0,VLOOKUP($A2002,'13. Updated Demand'!A:Z,22,FALSE))</f>
        <v>0</v>
      </c>
      <c r="AF2002" s="16">
        <f>IF(ISERROR(VLOOKUP($A2002,'13. Updated Demand'!A:Z,23,FALSE)),0,VLOOKUP($A2002,'13. Updated Demand'!A:Z,23,FALSE))</f>
        <v>0</v>
      </c>
      <c r="AG2002" s="16">
        <f>IF(ISERROR(VLOOKUP($A2002,'13. Updated Demand'!A:Z,24,FALSE)),0,VLOOKUP($A2002,'13. Updated Demand'!A:Z,24,FALSE))</f>
        <v>0</v>
      </c>
      <c r="AH2002" s="16">
        <f>IF(ISERROR(VLOOKUP($A2002,'13. Updated Demand'!A:Z,25,FALSE)),0,VLOOKUP($A2002,'13. Updated Demand'!A:Z,25,FALSE))</f>
        <v>0.43</v>
      </c>
      <c r="AI2002" s="16">
        <f>IF(ISERROR(VLOOKUP($A2002,'13. Updated Demand'!A:Z,26,FALSE)),0,VLOOKUP($A2002,'13. Updated Demand'!A:Z,26,FALSE))</f>
        <v>0.83</v>
      </c>
      <c r="AJ2002" s="16">
        <f t="shared" si="385"/>
        <v>4.55</v>
      </c>
      <c r="AK2002" s="19">
        <v>0</v>
      </c>
      <c r="AL2002" s="16">
        <f t="shared" si="383"/>
        <v>0</v>
      </c>
      <c r="AM2002" s="26">
        <v>0.22715187766699896</v>
      </c>
      <c r="AN2002" s="19">
        <v>20.059999999999999</v>
      </c>
      <c r="AO2002" s="19" t="s">
        <v>1758</v>
      </c>
      <c r="AP2002" s="19">
        <v>0</v>
      </c>
      <c r="AQ2002" s="19" t="s">
        <v>307</v>
      </c>
      <c r="AR2002" s="9" t="s">
        <v>436</v>
      </c>
      <c r="AS2002" s="12">
        <v>0</v>
      </c>
      <c r="AT2002" s="19">
        <v>38.7117</v>
      </c>
      <c r="AU2002" s="19">
        <v>-122.84399999999999</v>
      </c>
      <c r="AV2002" s="19" t="s">
        <v>385</v>
      </c>
    </row>
    <row r="2003" spans="1:48" x14ac:dyDescent="0.25">
      <c r="A2003" s="18" t="s">
        <v>2435</v>
      </c>
      <c r="B2003" s="10">
        <v>10000000</v>
      </c>
      <c r="C2003" s="9">
        <v>6</v>
      </c>
      <c r="D2003" s="8" t="str">
        <f t="shared" si="374"/>
        <v>Y</v>
      </c>
      <c r="E2003" s="8" t="str">
        <f t="shared" si="375"/>
        <v>N</v>
      </c>
      <c r="F2003" s="8" t="str">
        <f t="shared" si="376"/>
        <v>Y</v>
      </c>
      <c r="G2003" s="8" t="str">
        <f t="shared" si="377"/>
        <v>Y</v>
      </c>
      <c r="H2003" s="8" t="str">
        <f t="shared" si="378"/>
        <v>Upper</v>
      </c>
      <c r="I2003" s="8" t="str">
        <f t="shared" si="379"/>
        <v>West Fork and Below Lake</v>
      </c>
      <c r="J2003" s="8" t="str">
        <f t="shared" si="380"/>
        <v>Mendocino (d/s of lake)</v>
      </c>
      <c r="K2003" s="8" t="str">
        <f t="shared" si="381"/>
        <v>Riparian</v>
      </c>
      <c r="L2003" s="8">
        <f t="shared" si="382"/>
        <v>1000</v>
      </c>
      <c r="M2003" s="8" t="str">
        <f t="shared" si="384"/>
        <v>-</v>
      </c>
      <c r="N2003" s="10" t="s">
        <v>242</v>
      </c>
      <c r="O2003" s="10" t="s">
        <v>241</v>
      </c>
      <c r="P2003" s="10" t="s">
        <v>242</v>
      </c>
      <c r="Q2003" s="10" t="s">
        <v>242</v>
      </c>
      <c r="R2003" s="10" t="s">
        <v>242</v>
      </c>
      <c r="S2003" s="10" t="s">
        <v>241</v>
      </c>
      <c r="T2003" s="10" t="s">
        <v>242</v>
      </c>
      <c r="U2003" s="10" t="s">
        <v>242</v>
      </c>
      <c r="V2003" s="10" t="s">
        <v>241</v>
      </c>
      <c r="W2003" s="10" t="s">
        <v>242</v>
      </c>
      <c r="X2003" s="15">
        <f>IF(ISERROR(VLOOKUP($A2003,'13. Updated Demand'!A:Z,15,FALSE)),0,VLOOKUP($A2003,'13. Updated Demand'!A:Z,15,FALSE))</f>
        <v>0</v>
      </c>
      <c r="Y2003" s="16">
        <f>IF(ISERROR(VLOOKUP($A2003,'13. Updated Demand'!A:Z,16,FALSE)),0,VLOOKUP($A2003,'13. Updated Demand'!A:Z,16,FALSE))</f>
        <v>0</v>
      </c>
      <c r="Z2003" s="16">
        <f>IF(ISERROR(VLOOKUP($A2003,'13. Updated Demand'!A:Z,17,FALSE)),0,VLOOKUP($A2003,'13. Updated Demand'!A:Z,17,FALSE))</f>
        <v>0</v>
      </c>
      <c r="AA2003" s="16">
        <f>IF(ISERROR(VLOOKUP($A2003,'13. Updated Demand'!A:Z,18,FALSE)),0,VLOOKUP($A2003,'13. Updated Demand'!A:Z,18,FALSE))</f>
        <v>0</v>
      </c>
      <c r="AB2003" s="16">
        <f>IF(ISERROR(VLOOKUP($A2003,'13. Updated Demand'!A:Z,19,FALSE)),0,VLOOKUP($A2003,'13. Updated Demand'!A:Z,19,FALSE))</f>
        <v>0</v>
      </c>
      <c r="AC2003" s="16">
        <f>IF(ISERROR(VLOOKUP($A2003,'13. Updated Demand'!A:Z,20,FALSE)),0,VLOOKUP($A2003,'13. Updated Demand'!A:Z,20,FALSE))</f>
        <v>0</v>
      </c>
      <c r="AD2003" s="16">
        <f>IF(ISERROR(VLOOKUP($A2003,'13. Updated Demand'!A:Z,21,FALSE)),0,VLOOKUP($A2003,'13. Updated Demand'!A:Z,21,FALSE))</f>
        <v>0</v>
      </c>
      <c r="AE2003" s="16">
        <f>IF(ISERROR(VLOOKUP($A2003,'13. Updated Demand'!A:Z,22,FALSE)),0,VLOOKUP($A2003,'13. Updated Demand'!A:Z,22,FALSE))</f>
        <v>0</v>
      </c>
      <c r="AF2003" s="16">
        <f>IF(ISERROR(VLOOKUP($A2003,'13. Updated Demand'!A:Z,23,FALSE)),0,VLOOKUP($A2003,'13. Updated Demand'!A:Z,23,FALSE))</f>
        <v>0</v>
      </c>
      <c r="AG2003" s="16">
        <f>IF(ISERROR(VLOOKUP($A2003,'13. Updated Demand'!A:Z,24,FALSE)),0,VLOOKUP($A2003,'13. Updated Demand'!A:Z,24,FALSE))</f>
        <v>0</v>
      </c>
      <c r="AH2003" s="16">
        <f>IF(ISERROR(VLOOKUP($A2003,'13. Updated Demand'!A:Z,25,FALSE)),0,VLOOKUP($A2003,'13. Updated Demand'!A:Z,25,FALSE))</f>
        <v>0.73</v>
      </c>
      <c r="AI2003" s="16">
        <f>IF(ISERROR(VLOOKUP($A2003,'13. Updated Demand'!A:Z,26,FALSE)),0,VLOOKUP($A2003,'13. Updated Demand'!A:Z,26,FALSE))</f>
        <v>0.33</v>
      </c>
      <c r="AJ2003" s="16">
        <f t="shared" si="385"/>
        <v>1.06</v>
      </c>
      <c r="AK2003" s="19">
        <v>0</v>
      </c>
      <c r="AL2003" s="16">
        <f t="shared" si="383"/>
        <v>0</v>
      </c>
      <c r="AM2003" s="26">
        <v>0.53333333300000008</v>
      </c>
      <c r="AN2003" s="19">
        <v>2</v>
      </c>
      <c r="AO2003" s="19" t="s">
        <v>1758</v>
      </c>
      <c r="AP2003" s="19">
        <v>0</v>
      </c>
      <c r="AQ2003" s="19" t="s">
        <v>307</v>
      </c>
      <c r="AR2003" s="9" t="s">
        <v>319</v>
      </c>
      <c r="AS2003" s="12">
        <v>0</v>
      </c>
      <c r="AT2003" s="19">
        <v>38.872599999999998</v>
      </c>
      <c r="AU2003" s="19">
        <v>-123.0642</v>
      </c>
      <c r="AV2003" s="19" t="s">
        <v>385</v>
      </c>
    </row>
    <row r="2004" spans="1:48" x14ac:dyDescent="0.25">
      <c r="A2004" s="18" t="s">
        <v>2436</v>
      </c>
      <c r="B2004" s="10">
        <v>10000000</v>
      </c>
      <c r="C2004" s="9">
        <v>23</v>
      </c>
      <c r="D2004" s="8" t="str">
        <f t="shared" si="374"/>
        <v>N</v>
      </c>
      <c r="E2004" s="8" t="str">
        <f t="shared" si="375"/>
        <v>N</v>
      </c>
      <c r="F2004" s="8" t="str">
        <f t="shared" si="376"/>
        <v>N</v>
      </c>
      <c r="G2004" s="8" t="str">
        <f t="shared" si="377"/>
        <v>N</v>
      </c>
      <c r="H2004" s="8" t="str">
        <f t="shared" si="378"/>
        <v>Lower</v>
      </c>
      <c r="I2004" s="8" t="str">
        <f t="shared" si="379"/>
        <v>Outside</v>
      </c>
      <c r="J2004" s="8" t="str">
        <f t="shared" si="380"/>
        <v>Outside</v>
      </c>
      <c r="K2004" s="8" t="str">
        <f t="shared" si="381"/>
        <v>Riparian</v>
      </c>
      <c r="L2004" s="8">
        <f t="shared" si="382"/>
        <v>1000</v>
      </c>
      <c r="M2004" s="8" t="str">
        <f t="shared" si="384"/>
        <v>-</v>
      </c>
      <c r="N2004" s="10" t="s">
        <v>242</v>
      </c>
      <c r="O2004" s="10" t="s">
        <v>242</v>
      </c>
      <c r="P2004" s="10" t="s">
        <v>242</v>
      </c>
      <c r="Q2004" s="10" t="s">
        <v>242</v>
      </c>
      <c r="R2004" s="10" t="s">
        <v>242</v>
      </c>
      <c r="S2004" s="10" t="s">
        <v>241</v>
      </c>
      <c r="T2004" s="10" t="s">
        <v>242</v>
      </c>
      <c r="U2004" s="10" t="s">
        <v>242</v>
      </c>
      <c r="V2004" s="10" t="s">
        <v>241</v>
      </c>
      <c r="W2004" s="10" t="s">
        <v>242</v>
      </c>
      <c r="X2004" s="15">
        <f>IF(ISERROR(VLOOKUP($A2004,'13. Updated Demand'!A:Z,15,FALSE)),0,VLOOKUP($A2004,'13. Updated Demand'!A:Z,15,FALSE))</f>
        <v>0</v>
      </c>
      <c r="Y2004" s="16">
        <f>IF(ISERROR(VLOOKUP($A2004,'13. Updated Demand'!A:Z,16,FALSE)),0,VLOOKUP($A2004,'13. Updated Demand'!A:Z,16,FALSE))</f>
        <v>0</v>
      </c>
      <c r="Z2004" s="16">
        <f>IF(ISERROR(VLOOKUP($A2004,'13. Updated Demand'!A:Z,17,FALSE)),0,VLOOKUP($A2004,'13. Updated Demand'!A:Z,17,FALSE))</f>
        <v>2.4333333330000002</v>
      </c>
      <c r="AA2004" s="16">
        <f>IF(ISERROR(VLOOKUP($A2004,'13. Updated Demand'!A:Z,18,FALSE)),0,VLOOKUP($A2004,'13. Updated Demand'!A:Z,18,FALSE))</f>
        <v>0.43333333299999999</v>
      </c>
      <c r="AB2004" s="16">
        <f>IF(ISERROR(VLOOKUP($A2004,'13. Updated Demand'!A:Z,19,FALSE)),0,VLOOKUP($A2004,'13. Updated Demand'!A:Z,19,FALSE))</f>
        <v>0</v>
      </c>
      <c r="AC2004" s="16">
        <f>IF(ISERROR(VLOOKUP($A2004,'13. Updated Demand'!A:Z,20,FALSE)),0,VLOOKUP($A2004,'13. Updated Demand'!A:Z,20,FALSE))</f>
        <v>0</v>
      </c>
      <c r="AD2004" s="16">
        <f>IF(ISERROR(VLOOKUP($A2004,'13. Updated Demand'!A:Z,21,FALSE)),0,VLOOKUP($A2004,'13. Updated Demand'!A:Z,21,FALSE))</f>
        <v>0</v>
      </c>
      <c r="AE2004" s="16">
        <f>IF(ISERROR(VLOOKUP($A2004,'13. Updated Demand'!A:Z,22,FALSE)),0,VLOOKUP($A2004,'13. Updated Demand'!A:Z,22,FALSE))</f>
        <v>0</v>
      </c>
      <c r="AF2004" s="16">
        <f>IF(ISERROR(VLOOKUP($A2004,'13. Updated Demand'!A:Z,23,FALSE)),0,VLOOKUP($A2004,'13. Updated Demand'!A:Z,23,FALSE))</f>
        <v>0</v>
      </c>
      <c r="AG2004" s="16">
        <f>IF(ISERROR(VLOOKUP($A2004,'13. Updated Demand'!A:Z,24,FALSE)),0,VLOOKUP($A2004,'13. Updated Demand'!A:Z,24,FALSE))</f>
        <v>0</v>
      </c>
      <c r="AH2004" s="16">
        <f>IF(ISERROR(VLOOKUP($A2004,'13. Updated Demand'!A:Z,25,FALSE)),0,VLOOKUP($A2004,'13. Updated Demand'!A:Z,25,FALSE))</f>
        <v>1.266666667</v>
      </c>
      <c r="AI2004" s="16">
        <f>IF(ISERROR(VLOOKUP($A2004,'13. Updated Demand'!A:Z,26,FALSE)),0,VLOOKUP($A2004,'13. Updated Demand'!A:Z,26,FALSE))</f>
        <v>0</v>
      </c>
      <c r="AJ2004" s="16">
        <f t="shared" si="385"/>
        <v>4.1333333330000004</v>
      </c>
      <c r="AK2004" s="19">
        <v>0</v>
      </c>
      <c r="AL2004" s="16">
        <f t="shared" si="383"/>
        <v>0</v>
      </c>
      <c r="AM2004" s="26">
        <v>0.14252873562068966</v>
      </c>
      <c r="AN2004" s="19">
        <v>29</v>
      </c>
      <c r="AO2004" s="19" t="s">
        <v>1758</v>
      </c>
      <c r="AP2004" s="19">
        <v>0</v>
      </c>
      <c r="AQ2004" s="19" t="s">
        <v>307</v>
      </c>
      <c r="AR2004" s="9" t="s">
        <v>378</v>
      </c>
      <c r="AS2004" s="12">
        <v>0</v>
      </c>
      <c r="AT2004" s="19">
        <v>38.501899999999999</v>
      </c>
      <c r="AU2004" s="19">
        <v>-122.69280000000001</v>
      </c>
      <c r="AV2004" s="19" t="s">
        <v>385</v>
      </c>
    </row>
    <row r="2005" spans="1:48" x14ac:dyDescent="0.25">
      <c r="A2005" s="18" t="s">
        <v>2437</v>
      </c>
      <c r="B2005" s="10">
        <v>10000000</v>
      </c>
      <c r="C2005" s="9">
        <v>9</v>
      </c>
      <c r="D2005" s="8" t="str">
        <f t="shared" si="374"/>
        <v>N</v>
      </c>
      <c r="E2005" s="8" t="str">
        <f t="shared" si="375"/>
        <v>Y</v>
      </c>
      <c r="F2005" s="8" t="str">
        <f t="shared" si="376"/>
        <v>Y</v>
      </c>
      <c r="G2005" s="8" t="str">
        <f t="shared" si="377"/>
        <v>Y</v>
      </c>
      <c r="H2005" s="8" t="str">
        <f t="shared" si="378"/>
        <v>Upper</v>
      </c>
      <c r="I2005" s="8" t="str">
        <f t="shared" si="379"/>
        <v>West Fork and Below Lake</v>
      </c>
      <c r="J2005" s="8" t="str">
        <f t="shared" si="380"/>
        <v>Sonoma (d/s of Clov. Gage)</v>
      </c>
      <c r="K2005" s="8" t="str">
        <f t="shared" si="381"/>
        <v>Riparian</v>
      </c>
      <c r="L2005" s="8">
        <f t="shared" si="382"/>
        <v>1000</v>
      </c>
      <c r="M2005" s="8" t="str">
        <f t="shared" si="384"/>
        <v>-</v>
      </c>
      <c r="N2005" s="10" t="s">
        <v>242</v>
      </c>
      <c r="O2005" s="10" t="s">
        <v>241</v>
      </c>
      <c r="P2005" s="10" t="s">
        <v>242</v>
      </c>
      <c r="Q2005" s="10" t="s">
        <v>242</v>
      </c>
      <c r="R2005" s="10" t="s">
        <v>242</v>
      </c>
      <c r="S2005" s="10" t="s">
        <v>241</v>
      </c>
      <c r="T2005" s="10" t="s">
        <v>242</v>
      </c>
      <c r="U2005" s="10" t="s">
        <v>242</v>
      </c>
      <c r="V2005" s="10" t="s">
        <v>241</v>
      </c>
      <c r="W2005" s="10" t="s">
        <v>242</v>
      </c>
      <c r="X2005" s="15">
        <f>IF(ISERROR(VLOOKUP($A2005,'13. Updated Demand'!A:Z,15,FALSE)),0,VLOOKUP($A2005,'13. Updated Demand'!A:Z,15,FALSE))</f>
        <v>0</v>
      </c>
      <c r="Y2005" s="16">
        <f>IF(ISERROR(VLOOKUP($A2005,'13. Updated Demand'!A:Z,16,FALSE)),0,VLOOKUP($A2005,'13. Updated Demand'!A:Z,16,FALSE))</f>
        <v>0</v>
      </c>
      <c r="Z2005" s="16">
        <f>IF(ISERROR(VLOOKUP($A2005,'13. Updated Demand'!A:Z,17,FALSE)),0,VLOOKUP($A2005,'13. Updated Demand'!A:Z,17,FALSE))</f>
        <v>0.03</v>
      </c>
      <c r="AA2005" s="16">
        <f>IF(ISERROR(VLOOKUP($A2005,'13. Updated Demand'!A:Z,18,FALSE)),0,VLOOKUP($A2005,'13. Updated Demand'!A:Z,18,FALSE))</f>
        <v>0</v>
      </c>
      <c r="AB2005" s="16">
        <f>IF(ISERROR(VLOOKUP($A2005,'13. Updated Demand'!A:Z,19,FALSE)),0,VLOOKUP($A2005,'13. Updated Demand'!A:Z,19,FALSE))</f>
        <v>0</v>
      </c>
      <c r="AC2005" s="16">
        <f>IF(ISERROR(VLOOKUP($A2005,'13. Updated Demand'!A:Z,20,FALSE)),0,VLOOKUP($A2005,'13. Updated Demand'!A:Z,20,FALSE))</f>
        <v>0</v>
      </c>
      <c r="AD2005" s="16">
        <f>IF(ISERROR(VLOOKUP($A2005,'13. Updated Demand'!A:Z,21,FALSE)),0,VLOOKUP($A2005,'13. Updated Demand'!A:Z,21,FALSE))</f>
        <v>0</v>
      </c>
      <c r="AE2005" s="16">
        <f>IF(ISERROR(VLOOKUP($A2005,'13. Updated Demand'!A:Z,22,FALSE)),0,VLOOKUP($A2005,'13. Updated Demand'!A:Z,22,FALSE))</f>
        <v>0</v>
      </c>
      <c r="AF2005" s="16">
        <f>IF(ISERROR(VLOOKUP($A2005,'13. Updated Demand'!A:Z,23,FALSE)),0,VLOOKUP($A2005,'13. Updated Demand'!A:Z,23,FALSE))</f>
        <v>0</v>
      </c>
      <c r="AG2005" s="16">
        <f>IF(ISERROR(VLOOKUP($A2005,'13. Updated Demand'!A:Z,24,FALSE)),0,VLOOKUP($A2005,'13. Updated Demand'!A:Z,24,FALSE))</f>
        <v>0</v>
      </c>
      <c r="AH2005" s="16">
        <f>IF(ISERROR(VLOOKUP($A2005,'13. Updated Demand'!A:Z,25,FALSE)),0,VLOOKUP($A2005,'13. Updated Demand'!A:Z,25,FALSE))</f>
        <v>6.7</v>
      </c>
      <c r="AI2005" s="16">
        <f>IF(ISERROR(VLOOKUP($A2005,'13. Updated Demand'!A:Z,26,FALSE)),0,VLOOKUP($A2005,'13. Updated Demand'!A:Z,26,FALSE))</f>
        <v>5.4</v>
      </c>
      <c r="AJ2005" s="16">
        <f t="shared" si="385"/>
        <v>12.13</v>
      </c>
      <c r="AK2005" s="19">
        <v>0</v>
      </c>
      <c r="AL2005" s="16">
        <f t="shared" si="383"/>
        <v>0</v>
      </c>
      <c r="AM2005" s="26">
        <v>0.45786163520754714</v>
      </c>
      <c r="AN2005" s="19">
        <v>26.5</v>
      </c>
      <c r="AO2005" s="19" t="s">
        <v>1758</v>
      </c>
      <c r="AP2005" s="19">
        <v>0</v>
      </c>
      <c r="AQ2005" s="19" t="s">
        <v>307</v>
      </c>
      <c r="AR2005" s="9" t="s">
        <v>354</v>
      </c>
      <c r="AS2005" s="12">
        <v>0</v>
      </c>
      <c r="AT2005" s="19">
        <v>38.869999999999997</v>
      </c>
      <c r="AU2005" s="19">
        <v>-123.05419999999999</v>
      </c>
      <c r="AV2005" s="19" t="s">
        <v>385</v>
      </c>
    </row>
    <row r="2006" spans="1:48" x14ac:dyDescent="0.25">
      <c r="A2006" s="18" t="s">
        <v>83</v>
      </c>
      <c r="B2006" s="10">
        <v>10000000</v>
      </c>
      <c r="C2006" s="9">
        <v>5</v>
      </c>
      <c r="D2006" s="8" t="str">
        <f t="shared" si="374"/>
        <v>Y</v>
      </c>
      <c r="E2006" s="8" t="str">
        <f t="shared" si="375"/>
        <v>N</v>
      </c>
      <c r="F2006" s="8" t="str">
        <f t="shared" si="376"/>
        <v>Y</v>
      </c>
      <c r="G2006" s="8" t="str">
        <f t="shared" si="377"/>
        <v>Y</v>
      </c>
      <c r="H2006" s="8" t="str">
        <f t="shared" si="378"/>
        <v>Upper</v>
      </c>
      <c r="I2006" s="8" t="str">
        <f t="shared" si="379"/>
        <v>West Fork and Below Lake</v>
      </c>
      <c r="J2006" s="8" t="str">
        <f t="shared" si="380"/>
        <v>Mendocino (d/s of lake)</v>
      </c>
      <c r="K2006" s="8" t="str">
        <f t="shared" si="381"/>
        <v>Riparian</v>
      </c>
      <c r="L2006" s="8">
        <f t="shared" si="382"/>
        <v>1000</v>
      </c>
      <c r="M2006" s="8" t="str">
        <f t="shared" si="384"/>
        <v>-</v>
      </c>
      <c r="N2006" s="10" t="s">
        <v>241</v>
      </c>
      <c r="O2006" s="10" t="s">
        <v>241</v>
      </c>
      <c r="P2006" s="10" t="s">
        <v>242</v>
      </c>
      <c r="Q2006" s="10" t="s">
        <v>242</v>
      </c>
      <c r="R2006" s="10" t="s">
        <v>242</v>
      </c>
      <c r="S2006" s="10" t="s">
        <v>241</v>
      </c>
      <c r="T2006" s="10" t="s">
        <v>242</v>
      </c>
      <c r="U2006" s="10" t="s">
        <v>242</v>
      </c>
      <c r="V2006" s="10" t="s">
        <v>242</v>
      </c>
      <c r="W2006" s="10" t="s">
        <v>242</v>
      </c>
      <c r="X2006" s="15">
        <f>IF(ISERROR(VLOOKUP($A2006,'13. Updated Demand'!A:Z,15,FALSE)),0,VLOOKUP($A2006,'13. Updated Demand'!A:Z,15,FALSE))</f>
        <v>1.51</v>
      </c>
      <c r="Y2006" s="16">
        <f>IF(ISERROR(VLOOKUP($A2006,'13. Updated Demand'!A:Z,16,FALSE)),0,VLOOKUP($A2006,'13. Updated Demand'!A:Z,16,FALSE))</f>
        <v>1.38</v>
      </c>
      <c r="Z2006" s="16">
        <f>IF(ISERROR(VLOOKUP($A2006,'13. Updated Demand'!A:Z,17,FALSE)),0,VLOOKUP($A2006,'13. Updated Demand'!A:Z,17,FALSE))</f>
        <v>2.29</v>
      </c>
      <c r="AA2006" s="16">
        <f>IF(ISERROR(VLOOKUP($A2006,'13. Updated Demand'!A:Z,18,FALSE)),0,VLOOKUP($A2006,'13. Updated Demand'!A:Z,18,FALSE))</f>
        <v>1.79</v>
      </c>
      <c r="AB2006" s="16">
        <f>IF(ISERROR(VLOOKUP($A2006,'13. Updated Demand'!A:Z,19,FALSE)),0,VLOOKUP($A2006,'13. Updated Demand'!A:Z,19,FALSE))</f>
        <v>4.25</v>
      </c>
      <c r="AC2006" s="16">
        <f>IF(ISERROR(VLOOKUP($A2006,'13. Updated Demand'!A:Z,20,FALSE)),0,VLOOKUP($A2006,'13. Updated Demand'!A:Z,20,FALSE))</f>
        <v>8.73</v>
      </c>
      <c r="AD2006" s="16">
        <f>IF(ISERROR(VLOOKUP($A2006,'13. Updated Demand'!A:Z,21,FALSE)),0,VLOOKUP($A2006,'13. Updated Demand'!A:Z,21,FALSE))</f>
        <v>7.63</v>
      </c>
      <c r="AE2006" s="16">
        <f>IF(ISERROR(VLOOKUP($A2006,'13. Updated Demand'!A:Z,22,FALSE)),0,VLOOKUP($A2006,'13. Updated Demand'!A:Z,22,FALSE))</f>
        <v>9.02</v>
      </c>
      <c r="AF2006" s="16">
        <f>IF(ISERROR(VLOOKUP($A2006,'13. Updated Demand'!A:Z,23,FALSE)),0,VLOOKUP($A2006,'13. Updated Demand'!A:Z,23,FALSE))</f>
        <v>3.95</v>
      </c>
      <c r="AG2006" s="16">
        <f>IF(ISERROR(VLOOKUP($A2006,'13. Updated Demand'!A:Z,24,FALSE)),0,VLOOKUP($A2006,'13. Updated Demand'!A:Z,24,FALSE))</f>
        <v>1.63</v>
      </c>
      <c r="AH2006" s="16">
        <f>IF(ISERROR(VLOOKUP($A2006,'13. Updated Demand'!A:Z,25,FALSE)),0,VLOOKUP($A2006,'13. Updated Demand'!A:Z,25,FALSE))</f>
        <v>1.57</v>
      </c>
      <c r="AI2006" s="16">
        <f>IF(ISERROR(VLOOKUP($A2006,'13. Updated Demand'!A:Z,26,FALSE)),0,VLOOKUP($A2006,'13. Updated Demand'!A:Z,26,FALSE))</f>
        <v>1.1299999999999999</v>
      </c>
      <c r="AJ2006" s="16">
        <f t="shared" si="385"/>
        <v>44.88</v>
      </c>
      <c r="AK2006" s="19">
        <v>33.599333333333327</v>
      </c>
      <c r="AL2006" s="16">
        <f t="shared" si="383"/>
        <v>0.11144516134293622</v>
      </c>
      <c r="AM2006" s="26">
        <v>6.1710131470385961E-2</v>
      </c>
      <c r="AN2006" s="19">
        <v>728.02200000000005</v>
      </c>
      <c r="AO2006" s="19" t="s">
        <v>1758</v>
      </c>
      <c r="AP2006" s="19">
        <v>0</v>
      </c>
      <c r="AQ2006" s="19" t="s">
        <v>307</v>
      </c>
      <c r="AR2006" s="9" t="s">
        <v>333</v>
      </c>
      <c r="AS2006" s="12">
        <v>3.4039024194010059E-4</v>
      </c>
      <c r="AT2006" s="19">
        <v>39.035299999999999</v>
      </c>
      <c r="AU2006" s="19">
        <v>-123.1294</v>
      </c>
      <c r="AV2006" s="19" t="s">
        <v>548</v>
      </c>
    </row>
    <row r="2007" spans="1:48" x14ac:dyDescent="0.25">
      <c r="A2007" s="18" t="s">
        <v>2438</v>
      </c>
      <c r="B2007" s="10">
        <v>10000000</v>
      </c>
      <c r="C2007" s="9">
        <v>23</v>
      </c>
      <c r="D2007" s="8" t="str">
        <f t="shared" si="374"/>
        <v>N</v>
      </c>
      <c r="E2007" s="8" t="str">
        <f t="shared" si="375"/>
        <v>N</v>
      </c>
      <c r="F2007" s="8" t="str">
        <f t="shared" si="376"/>
        <v>N</v>
      </c>
      <c r="G2007" s="8" t="str">
        <f t="shared" si="377"/>
        <v>N</v>
      </c>
      <c r="H2007" s="8" t="str">
        <f t="shared" si="378"/>
        <v>Lower</v>
      </c>
      <c r="I2007" s="8" t="str">
        <f t="shared" si="379"/>
        <v>Outside</v>
      </c>
      <c r="J2007" s="8" t="str">
        <f t="shared" si="380"/>
        <v>Outside</v>
      </c>
      <c r="K2007" s="8" t="str">
        <f t="shared" si="381"/>
        <v>Riparian</v>
      </c>
      <c r="L2007" s="8">
        <f t="shared" si="382"/>
        <v>1000</v>
      </c>
      <c r="M2007" s="8" t="str">
        <f t="shared" si="384"/>
        <v>-</v>
      </c>
      <c r="N2007" s="10" t="s">
        <v>242</v>
      </c>
      <c r="O2007" s="10" t="s">
        <v>242</v>
      </c>
      <c r="P2007" s="10" t="s">
        <v>242</v>
      </c>
      <c r="Q2007" s="10" t="s">
        <v>242</v>
      </c>
      <c r="R2007" s="10" t="s">
        <v>242</v>
      </c>
      <c r="S2007" s="10" t="s">
        <v>241</v>
      </c>
      <c r="T2007" s="10" t="s">
        <v>242</v>
      </c>
      <c r="U2007" s="10" t="s">
        <v>241</v>
      </c>
      <c r="V2007" s="10" t="s">
        <v>241</v>
      </c>
      <c r="W2007" s="10" t="s">
        <v>242</v>
      </c>
      <c r="X2007" s="15">
        <f>IF(ISERROR(VLOOKUP($A2007,'13. Updated Demand'!A:Z,15,FALSE)),0,VLOOKUP($A2007,'13. Updated Demand'!A:Z,15,FALSE))</f>
        <v>0</v>
      </c>
      <c r="Y2007" s="16">
        <f>IF(ISERROR(VLOOKUP($A2007,'13. Updated Demand'!A:Z,16,FALSE)),0,VLOOKUP($A2007,'13. Updated Demand'!A:Z,16,FALSE))</f>
        <v>0</v>
      </c>
      <c r="Z2007" s="16">
        <f>IF(ISERROR(VLOOKUP($A2007,'13. Updated Demand'!A:Z,17,FALSE)),0,VLOOKUP($A2007,'13. Updated Demand'!A:Z,17,FALSE))</f>
        <v>0</v>
      </c>
      <c r="AA2007" s="16">
        <f>IF(ISERROR(VLOOKUP($A2007,'13. Updated Demand'!A:Z,18,FALSE)),0,VLOOKUP($A2007,'13. Updated Demand'!A:Z,18,FALSE))</f>
        <v>0</v>
      </c>
      <c r="AB2007" s="16">
        <f>IF(ISERROR(VLOOKUP($A2007,'13. Updated Demand'!A:Z,19,FALSE)),0,VLOOKUP($A2007,'13. Updated Demand'!A:Z,19,FALSE))</f>
        <v>0</v>
      </c>
      <c r="AC2007" s="16">
        <f>IF(ISERROR(VLOOKUP($A2007,'13. Updated Demand'!A:Z,20,FALSE)),0,VLOOKUP($A2007,'13. Updated Demand'!A:Z,20,FALSE))</f>
        <v>0</v>
      </c>
      <c r="AD2007" s="16">
        <f>IF(ISERROR(VLOOKUP($A2007,'13. Updated Demand'!A:Z,21,FALSE)),0,VLOOKUP($A2007,'13. Updated Demand'!A:Z,21,FALSE))</f>
        <v>0</v>
      </c>
      <c r="AE2007" s="16">
        <f>IF(ISERROR(VLOOKUP($A2007,'13. Updated Demand'!A:Z,22,FALSE)),0,VLOOKUP($A2007,'13. Updated Demand'!A:Z,22,FALSE))</f>
        <v>0</v>
      </c>
      <c r="AF2007" s="16">
        <f>IF(ISERROR(VLOOKUP($A2007,'13. Updated Demand'!A:Z,23,FALSE)),0,VLOOKUP($A2007,'13. Updated Demand'!A:Z,23,FALSE))</f>
        <v>0</v>
      </c>
      <c r="AG2007" s="16">
        <f>IF(ISERROR(VLOOKUP($A2007,'13. Updated Demand'!A:Z,24,FALSE)),0,VLOOKUP($A2007,'13. Updated Demand'!A:Z,24,FALSE))</f>
        <v>0</v>
      </c>
      <c r="AH2007" s="16">
        <f>IF(ISERROR(VLOOKUP($A2007,'13. Updated Demand'!A:Z,25,FALSE)),0,VLOOKUP($A2007,'13. Updated Demand'!A:Z,25,FALSE))</f>
        <v>0</v>
      </c>
      <c r="AI2007" s="16">
        <f>IF(ISERROR(VLOOKUP($A2007,'13. Updated Demand'!A:Z,26,FALSE)),0,VLOOKUP($A2007,'13. Updated Demand'!A:Z,26,FALSE))</f>
        <v>0</v>
      </c>
      <c r="AJ2007" s="16">
        <f t="shared" si="385"/>
        <v>0</v>
      </c>
      <c r="AK2007" s="19">
        <v>0</v>
      </c>
      <c r="AL2007" s="16">
        <f t="shared" si="383"/>
        <v>0</v>
      </c>
      <c r="AM2007" s="26">
        <v>0</v>
      </c>
      <c r="AN2007" s="19">
        <v>1811</v>
      </c>
      <c r="AO2007" s="19" t="s">
        <v>1758</v>
      </c>
      <c r="AP2007" s="19">
        <v>0</v>
      </c>
      <c r="AQ2007" s="19" t="s">
        <v>307</v>
      </c>
      <c r="AR2007" s="9" t="s">
        <v>378</v>
      </c>
      <c r="AS2007" s="12">
        <v>0</v>
      </c>
      <c r="AT2007" s="19">
        <v>38.502400000000002</v>
      </c>
      <c r="AU2007" s="19">
        <v>-122.6949</v>
      </c>
      <c r="AV2007" s="19" t="s">
        <v>385</v>
      </c>
    </row>
    <row r="2008" spans="1:48" x14ac:dyDescent="0.25">
      <c r="A2008" s="18" t="s">
        <v>2439</v>
      </c>
      <c r="B2008" s="10">
        <v>10000000</v>
      </c>
      <c r="C2008" s="9">
        <v>16</v>
      </c>
      <c r="D2008" s="8" t="str">
        <f t="shared" si="374"/>
        <v>N</v>
      </c>
      <c r="E2008" s="8" t="str">
        <f t="shared" si="375"/>
        <v>N</v>
      </c>
      <c r="F2008" s="8" t="str">
        <f t="shared" si="376"/>
        <v>N</v>
      </c>
      <c r="G2008" s="8" t="str">
        <f t="shared" si="377"/>
        <v>N</v>
      </c>
      <c r="H2008" s="8" t="str">
        <f t="shared" si="378"/>
        <v>Lower</v>
      </c>
      <c r="I2008" s="8" t="str">
        <f t="shared" si="379"/>
        <v>Outside</v>
      </c>
      <c r="J2008" s="8" t="str">
        <f t="shared" si="380"/>
        <v>Outside</v>
      </c>
      <c r="K2008" s="8" t="str">
        <f t="shared" si="381"/>
        <v>Riparian</v>
      </c>
      <c r="L2008" s="8">
        <f t="shared" si="382"/>
        <v>1000</v>
      </c>
      <c r="M2008" s="8" t="str">
        <f t="shared" si="384"/>
        <v>-</v>
      </c>
      <c r="N2008" s="10" t="s">
        <v>242</v>
      </c>
      <c r="O2008" s="10" t="s">
        <v>242</v>
      </c>
      <c r="P2008" s="10" t="s">
        <v>242</v>
      </c>
      <c r="Q2008" s="10" t="s">
        <v>242</v>
      </c>
      <c r="R2008" s="10" t="s">
        <v>242</v>
      </c>
      <c r="S2008" s="10" t="s">
        <v>241</v>
      </c>
      <c r="T2008" s="10" t="s">
        <v>242</v>
      </c>
      <c r="U2008" s="10" t="s">
        <v>242</v>
      </c>
      <c r="V2008" s="10" t="s">
        <v>242</v>
      </c>
      <c r="W2008" s="10" t="s">
        <v>242</v>
      </c>
      <c r="X2008" s="15">
        <f>IF(ISERROR(VLOOKUP($A2008,'13. Updated Demand'!A:Z,15,FALSE)),0,VLOOKUP($A2008,'13. Updated Demand'!A:Z,15,FALSE))</f>
        <v>0</v>
      </c>
      <c r="Y2008" s="16">
        <f>IF(ISERROR(VLOOKUP($A2008,'13. Updated Demand'!A:Z,16,FALSE)),0,VLOOKUP($A2008,'13. Updated Demand'!A:Z,16,FALSE))</f>
        <v>0</v>
      </c>
      <c r="Z2008" s="16">
        <f>IF(ISERROR(VLOOKUP($A2008,'13. Updated Demand'!A:Z,17,FALSE)),0,VLOOKUP($A2008,'13. Updated Demand'!A:Z,17,FALSE))</f>
        <v>0</v>
      </c>
      <c r="AA2008" s="16">
        <f>IF(ISERROR(VLOOKUP($A2008,'13. Updated Demand'!A:Z,18,FALSE)),0,VLOOKUP($A2008,'13. Updated Demand'!A:Z,18,FALSE))</f>
        <v>0</v>
      </c>
      <c r="AB2008" s="16">
        <f>IF(ISERROR(VLOOKUP($A2008,'13. Updated Demand'!A:Z,19,FALSE)),0,VLOOKUP($A2008,'13. Updated Demand'!A:Z,19,FALSE))</f>
        <v>0</v>
      </c>
      <c r="AC2008" s="16">
        <f>IF(ISERROR(VLOOKUP($A2008,'13. Updated Demand'!A:Z,20,FALSE)),0,VLOOKUP($A2008,'13. Updated Demand'!A:Z,20,FALSE))</f>
        <v>3.0333333000000001E-2</v>
      </c>
      <c r="AD2008" s="16">
        <f>IF(ISERROR(VLOOKUP($A2008,'13. Updated Demand'!A:Z,21,FALSE)),0,VLOOKUP($A2008,'13. Updated Demand'!A:Z,21,FALSE))</f>
        <v>3.9333332999999998E-2</v>
      </c>
      <c r="AE2008" s="16">
        <f>IF(ISERROR(VLOOKUP($A2008,'13. Updated Demand'!A:Z,22,FALSE)),0,VLOOKUP($A2008,'13. Updated Demand'!A:Z,22,FALSE))</f>
        <v>3.4000000000000002E-2</v>
      </c>
      <c r="AF2008" s="16">
        <f>IF(ISERROR(VLOOKUP($A2008,'13. Updated Demand'!A:Z,23,FALSE)),0,VLOOKUP($A2008,'13. Updated Demand'!A:Z,23,FALSE))</f>
        <v>1.4999999999999999E-2</v>
      </c>
      <c r="AG2008" s="16">
        <f>IF(ISERROR(VLOOKUP($A2008,'13. Updated Demand'!A:Z,24,FALSE)),0,VLOOKUP($A2008,'13. Updated Demand'!A:Z,24,FALSE))</f>
        <v>0.34</v>
      </c>
      <c r="AH2008" s="16">
        <f>IF(ISERROR(VLOOKUP($A2008,'13. Updated Demand'!A:Z,25,FALSE)),0,VLOOKUP($A2008,'13. Updated Demand'!A:Z,25,FALSE))</f>
        <v>0</v>
      </c>
      <c r="AI2008" s="16">
        <f>IF(ISERROR(VLOOKUP($A2008,'13. Updated Demand'!A:Z,26,FALSE)),0,VLOOKUP($A2008,'13. Updated Demand'!A:Z,26,FALSE))</f>
        <v>0</v>
      </c>
      <c r="AJ2008" s="16">
        <f t="shared" si="385"/>
        <v>0.45866666600000006</v>
      </c>
      <c r="AK2008" s="19">
        <v>0.118666666</v>
      </c>
      <c r="AL2008" s="16">
        <f t="shared" si="383"/>
        <v>3.9360381371847635E-4</v>
      </c>
      <c r="AM2008" s="26">
        <v>2.1105589269280328E-2</v>
      </c>
      <c r="AN2008" s="19">
        <v>21.731999999999999</v>
      </c>
      <c r="AO2008" s="19" t="s">
        <v>1758</v>
      </c>
      <c r="AP2008" s="19">
        <v>0</v>
      </c>
      <c r="AQ2008" s="19" t="s">
        <v>307</v>
      </c>
      <c r="AR2008" s="9" t="s">
        <v>394</v>
      </c>
      <c r="AS2008" s="12">
        <v>0</v>
      </c>
      <c r="AT2008" s="19">
        <v>38.651400000000002</v>
      </c>
      <c r="AU2008" s="19">
        <v>-122.9286</v>
      </c>
      <c r="AV2008" s="19" t="s">
        <v>701</v>
      </c>
    </row>
    <row r="2009" spans="1:48" x14ac:dyDescent="0.25">
      <c r="A2009" s="18" t="s">
        <v>2440</v>
      </c>
      <c r="B2009" s="10">
        <v>10000000</v>
      </c>
      <c r="C2009" s="9">
        <v>1</v>
      </c>
      <c r="D2009" s="8" t="str">
        <f t="shared" si="374"/>
        <v>N</v>
      </c>
      <c r="E2009" s="8" t="str">
        <f t="shared" si="375"/>
        <v>N</v>
      </c>
      <c r="F2009" s="8" t="str">
        <f t="shared" si="376"/>
        <v>Y</v>
      </c>
      <c r="G2009" s="8" t="str">
        <f t="shared" si="377"/>
        <v>Y</v>
      </c>
      <c r="H2009" s="8" t="str">
        <f t="shared" si="378"/>
        <v>Upper</v>
      </c>
      <c r="I2009" s="8" t="str">
        <f t="shared" si="379"/>
        <v>West Fork and Below Lake</v>
      </c>
      <c r="J2009" s="8" t="str">
        <f t="shared" si="380"/>
        <v>Outside</v>
      </c>
      <c r="K2009" s="8" t="str">
        <f t="shared" si="381"/>
        <v>Riparian</v>
      </c>
      <c r="L2009" s="8">
        <f t="shared" si="382"/>
        <v>1000</v>
      </c>
      <c r="M2009" s="8" t="str">
        <f t="shared" si="384"/>
        <v>-</v>
      </c>
      <c r="N2009" s="10" t="s">
        <v>242</v>
      </c>
      <c r="O2009" s="10" t="s">
        <v>241</v>
      </c>
      <c r="P2009" s="10" t="s">
        <v>242</v>
      </c>
      <c r="Q2009" s="10" t="s">
        <v>242</v>
      </c>
      <c r="R2009" s="10" t="s">
        <v>242</v>
      </c>
      <c r="S2009" s="10" t="s">
        <v>241</v>
      </c>
      <c r="T2009" s="10" t="s">
        <v>242</v>
      </c>
      <c r="U2009" s="10" t="s">
        <v>242</v>
      </c>
      <c r="V2009" s="10" t="s">
        <v>241</v>
      </c>
      <c r="W2009" s="10" t="s">
        <v>242</v>
      </c>
      <c r="X2009" s="15">
        <f>IF(ISERROR(VLOOKUP($A2009,'13. Updated Demand'!A:Z,15,FALSE)),0,VLOOKUP($A2009,'13. Updated Demand'!A:Z,15,FALSE))</f>
        <v>10</v>
      </c>
      <c r="Y2009" s="16">
        <f>IF(ISERROR(VLOOKUP($A2009,'13. Updated Demand'!A:Z,16,FALSE)),0,VLOOKUP($A2009,'13. Updated Demand'!A:Z,16,FALSE))</f>
        <v>3.66</v>
      </c>
      <c r="Z2009" s="16">
        <f>IF(ISERROR(VLOOKUP($A2009,'13. Updated Demand'!A:Z,17,FALSE)),0,VLOOKUP($A2009,'13. Updated Demand'!A:Z,17,FALSE))</f>
        <v>0</v>
      </c>
      <c r="AA2009" s="16">
        <f>IF(ISERROR(VLOOKUP($A2009,'13. Updated Demand'!A:Z,18,FALSE)),0,VLOOKUP($A2009,'13. Updated Demand'!A:Z,18,FALSE))</f>
        <v>0</v>
      </c>
      <c r="AB2009" s="16">
        <f>IF(ISERROR(VLOOKUP($A2009,'13. Updated Demand'!A:Z,19,FALSE)),0,VLOOKUP($A2009,'13. Updated Demand'!A:Z,19,FALSE))</f>
        <v>0</v>
      </c>
      <c r="AC2009" s="16">
        <f>IF(ISERROR(VLOOKUP($A2009,'13. Updated Demand'!A:Z,20,FALSE)),0,VLOOKUP($A2009,'13. Updated Demand'!A:Z,20,FALSE))</f>
        <v>0</v>
      </c>
      <c r="AD2009" s="16">
        <f>IF(ISERROR(VLOOKUP($A2009,'13. Updated Demand'!A:Z,21,FALSE)),0,VLOOKUP($A2009,'13. Updated Demand'!A:Z,21,FALSE))</f>
        <v>0</v>
      </c>
      <c r="AE2009" s="16">
        <f>IF(ISERROR(VLOOKUP($A2009,'13. Updated Demand'!A:Z,22,FALSE)),0,VLOOKUP($A2009,'13. Updated Demand'!A:Z,22,FALSE))</f>
        <v>0</v>
      </c>
      <c r="AF2009" s="16">
        <f>IF(ISERROR(VLOOKUP($A2009,'13. Updated Demand'!A:Z,23,FALSE)),0,VLOOKUP($A2009,'13. Updated Demand'!A:Z,23,FALSE))</f>
        <v>0</v>
      </c>
      <c r="AG2009" s="16">
        <f>IF(ISERROR(VLOOKUP($A2009,'13. Updated Demand'!A:Z,24,FALSE)),0,VLOOKUP($A2009,'13. Updated Demand'!A:Z,24,FALSE))</f>
        <v>0</v>
      </c>
      <c r="AH2009" s="16">
        <f>IF(ISERROR(VLOOKUP($A2009,'13. Updated Demand'!A:Z,25,FALSE)),0,VLOOKUP($A2009,'13. Updated Demand'!A:Z,25,FALSE))</f>
        <v>0</v>
      </c>
      <c r="AI2009" s="16">
        <f>IF(ISERROR(VLOOKUP($A2009,'13. Updated Demand'!A:Z,26,FALSE)),0,VLOOKUP($A2009,'13. Updated Demand'!A:Z,26,FALSE))</f>
        <v>0</v>
      </c>
      <c r="AJ2009" s="16">
        <f t="shared" si="385"/>
        <v>13.66</v>
      </c>
      <c r="AK2009" s="19">
        <v>0</v>
      </c>
      <c r="AL2009" s="16">
        <f t="shared" si="383"/>
        <v>0</v>
      </c>
      <c r="AM2009" s="26">
        <v>1.451245239243087E-3</v>
      </c>
      <c r="AN2009" s="19">
        <v>9417.2000000000007</v>
      </c>
      <c r="AO2009" s="19" t="s">
        <v>1758</v>
      </c>
      <c r="AP2009" s="19">
        <v>0</v>
      </c>
      <c r="AQ2009" s="19" t="s">
        <v>307</v>
      </c>
      <c r="AR2009" s="9" t="s">
        <v>317</v>
      </c>
      <c r="AS2009" s="12">
        <v>0</v>
      </c>
      <c r="AT2009" s="19">
        <v>39.213700000000003</v>
      </c>
      <c r="AU2009" s="19">
        <v>-123.2103</v>
      </c>
      <c r="AV2009" s="19" t="s">
        <v>385</v>
      </c>
    </row>
    <row r="2010" spans="1:48" x14ac:dyDescent="0.25">
      <c r="A2010" s="18" t="s">
        <v>2441</v>
      </c>
      <c r="B2010" s="10">
        <v>10000000</v>
      </c>
      <c r="C2010" s="9">
        <v>1</v>
      </c>
      <c r="D2010" s="8" t="str">
        <f t="shared" si="374"/>
        <v>N</v>
      </c>
      <c r="E2010" s="8" t="str">
        <f t="shared" si="375"/>
        <v>N</v>
      </c>
      <c r="F2010" s="8" t="str">
        <f t="shared" si="376"/>
        <v>Y</v>
      </c>
      <c r="G2010" s="8" t="str">
        <f t="shared" si="377"/>
        <v>Y</v>
      </c>
      <c r="H2010" s="8" t="str">
        <f t="shared" si="378"/>
        <v>Upper</v>
      </c>
      <c r="I2010" s="8" t="str">
        <f t="shared" si="379"/>
        <v>West Fork and Below Lake</v>
      </c>
      <c r="J2010" s="8" t="str">
        <f t="shared" si="380"/>
        <v>Outside</v>
      </c>
      <c r="K2010" s="8" t="str">
        <f t="shared" si="381"/>
        <v>Riparian</v>
      </c>
      <c r="L2010" s="8">
        <f t="shared" si="382"/>
        <v>1000</v>
      </c>
      <c r="M2010" s="8" t="str">
        <f t="shared" si="384"/>
        <v>-</v>
      </c>
      <c r="N2010" s="10" t="s">
        <v>242</v>
      </c>
      <c r="O2010" s="10" t="s">
        <v>241</v>
      </c>
      <c r="P2010" s="10" t="s">
        <v>242</v>
      </c>
      <c r="Q2010" s="10" t="s">
        <v>242</v>
      </c>
      <c r="R2010" s="10" t="s">
        <v>242</v>
      </c>
      <c r="S2010" s="10" t="s">
        <v>241</v>
      </c>
      <c r="T2010" s="10" t="s">
        <v>242</v>
      </c>
      <c r="U2010" s="10" t="s">
        <v>242</v>
      </c>
      <c r="V2010" s="10" t="s">
        <v>241</v>
      </c>
      <c r="W2010" s="10" t="s">
        <v>242</v>
      </c>
      <c r="X2010" s="15">
        <f>IF(ISERROR(VLOOKUP($A2010,'13. Updated Demand'!A:Z,15,FALSE)),0,VLOOKUP($A2010,'13. Updated Demand'!A:Z,15,FALSE))</f>
        <v>4</v>
      </c>
      <c r="Y2010" s="16">
        <f>IF(ISERROR(VLOOKUP($A2010,'13. Updated Demand'!A:Z,16,FALSE)),0,VLOOKUP($A2010,'13. Updated Demand'!A:Z,16,FALSE))</f>
        <v>4</v>
      </c>
      <c r="Z2010" s="16">
        <f>IF(ISERROR(VLOOKUP($A2010,'13. Updated Demand'!A:Z,17,FALSE)),0,VLOOKUP($A2010,'13. Updated Demand'!A:Z,17,FALSE))</f>
        <v>4</v>
      </c>
      <c r="AA2010" s="16">
        <f>IF(ISERROR(VLOOKUP($A2010,'13. Updated Demand'!A:Z,18,FALSE)),0,VLOOKUP($A2010,'13. Updated Demand'!A:Z,18,FALSE))</f>
        <v>4</v>
      </c>
      <c r="AB2010" s="16">
        <f>IF(ISERROR(VLOOKUP($A2010,'13. Updated Demand'!A:Z,19,FALSE)),0,VLOOKUP($A2010,'13. Updated Demand'!A:Z,19,FALSE))</f>
        <v>0</v>
      </c>
      <c r="AC2010" s="16">
        <f>IF(ISERROR(VLOOKUP($A2010,'13. Updated Demand'!A:Z,20,FALSE)),0,VLOOKUP($A2010,'13. Updated Demand'!A:Z,20,FALSE))</f>
        <v>0</v>
      </c>
      <c r="AD2010" s="16">
        <f>IF(ISERROR(VLOOKUP($A2010,'13. Updated Demand'!A:Z,21,FALSE)),0,VLOOKUP($A2010,'13. Updated Demand'!A:Z,21,FALSE))</f>
        <v>0</v>
      </c>
      <c r="AE2010" s="16">
        <f>IF(ISERROR(VLOOKUP($A2010,'13. Updated Demand'!A:Z,22,FALSE)),0,VLOOKUP($A2010,'13. Updated Demand'!A:Z,22,FALSE))</f>
        <v>0</v>
      </c>
      <c r="AF2010" s="16">
        <f>IF(ISERROR(VLOOKUP($A2010,'13. Updated Demand'!A:Z,23,FALSE)),0,VLOOKUP($A2010,'13. Updated Demand'!A:Z,23,FALSE))</f>
        <v>0</v>
      </c>
      <c r="AG2010" s="16">
        <f>IF(ISERROR(VLOOKUP($A2010,'13. Updated Demand'!A:Z,24,FALSE)),0,VLOOKUP($A2010,'13. Updated Demand'!A:Z,24,FALSE))</f>
        <v>0</v>
      </c>
      <c r="AH2010" s="16">
        <f>IF(ISERROR(VLOOKUP($A2010,'13. Updated Demand'!A:Z,25,FALSE)),0,VLOOKUP($A2010,'13. Updated Demand'!A:Z,25,FALSE))</f>
        <v>0</v>
      </c>
      <c r="AI2010" s="16">
        <f>IF(ISERROR(VLOOKUP($A2010,'13. Updated Demand'!A:Z,26,FALSE)),0,VLOOKUP($A2010,'13. Updated Demand'!A:Z,26,FALSE))</f>
        <v>0</v>
      </c>
      <c r="AJ2010" s="16">
        <f t="shared" si="385"/>
        <v>16</v>
      </c>
      <c r="AK2010" s="19">
        <v>0</v>
      </c>
      <c r="AL2010" s="16">
        <f t="shared" si="383"/>
        <v>0</v>
      </c>
      <c r="AM2010" s="26">
        <v>1</v>
      </c>
      <c r="AN2010" s="19">
        <v>16</v>
      </c>
      <c r="AO2010" s="19" t="s">
        <v>1758</v>
      </c>
      <c r="AP2010" s="19">
        <v>0</v>
      </c>
      <c r="AQ2010" s="19" t="s">
        <v>307</v>
      </c>
      <c r="AR2010" s="9" t="s">
        <v>317</v>
      </c>
      <c r="AS2010" s="12">
        <v>3.4039024194010059E-4</v>
      </c>
      <c r="AT2010" s="19">
        <v>39.225099999999998</v>
      </c>
      <c r="AU2010" s="19">
        <v>-123.2195</v>
      </c>
      <c r="AV2010" s="19" t="s">
        <v>385</v>
      </c>
    </row>
    <row r="2011" spans="1:48" x14ac:dyDescent="0.25">
      <c r="A2011" s="18" t="s">
        <v>2442</v>
      </c>
      <c r="B2011" s="10">
        <v>10000000</v>
      </c>
      <c r="C2011" s="9">
        <v>16</v>
      </c>
      <c r="D2011" s="8" t="str">
        <f t="shared" si="374"/>
        <v>N</v>
      </c>
      <c r="E2011" s="8" t="str">
        <f t="shared" si="375"/>
        <v>N</v>
      </c>
      <c r="F2011" s="8" t="str">
        <f t="shared" si="376"/>
        <v>N</v>
      </c>
      <c r="G2011" s="8" t="str">
        <f t="shared" si="377"/>
        <v>N</v>
      </c>
      <c r="H2011" s="8" t="str">
        <f t="shared" si="378"/>
        <v>Lower</v>
      </c>
      <c r="I2011" s="8" t="str">
        <f t="shared" si="379"/>
        <v>Outside</v>
      </c>
      <c r="J2011" s="8" t="str">
        <f t="shared" si="380"/>
        <v>Outside</v>
      </c>
      <c r="K2011" s="8" t="str">
        <f t="shared" si="381"/>
        <v>Riparian</v>
      </c>
      <c r="L2011" s="8">
        <f t="shared" si="382"/>
        <v>1000</v>
      </c>
      <c r="M2011" s="8" t="str">
        <f t="shared" si="384"/>
        <v>-</v>
      </c>
      <c r="N2011" s="10" t="s">
        <v>242</v>
      </c>
      <c r="O2011" s="10" t="s">
        <v>242</v>
      </c>
      <c r="P2011" s="10" t="s">
        <v>242</v>
      </c>
      <c r="Q2011" s="10" t="s">
        <v>242</v>
      </c>
      <c r="R2011" s="10" t="s">
        <v>242</v>
      </c>
      <c r="S2011" s="10" t="s">
        <v>241</v>
      </c>
      <c r="T2011" s="10" t="s">
        <v>242</v>
      </c>
      <c r="U2011" s="10" t="s">
        <v>242</v>
      </c>
      <c r="V2011" s="10" t="s">
        <v>242</v>
      </c>
      <c r="W2011" s="10" t="s">
        <v>242</v>
      </c>
      <c r="X2011" s="15">
        <f>IF(ISERROR(VLOOKUP($A2011,'13. Updated Demand'!A:Z,15,FALSE)),0,VLOOKUP($A2011,'13. Updated Demand'!A:Z,15,FALSE))</f>
        <v>0</v>
      </c>
      <c r="Y2011" s="16">
        <f>IF(ISERROR(VLOOKUP($A2011,'13. Updated Demand'!A:Z,16,FALSE)),0,VLOOKUP($A2011,'13. Updated Demand'!A:Z,16,FALSE))</f>
        <v>0</v>
      </c>
      <c r="Z2011" s="16">
        <f>IF(ISERROR(VLOOKUP($A2011,'13. Updated Demand'!A:Z,17,FALSE)),0,VLOOKUP($A2011,'13. Updated Demand'!A:Z,17,FALSE))</f>
        <v>0</v>
      </c>
      <c r="AA2011" s="16">
        <f>IF(ISERROR(VLOOKUP($A2011,'13. Updated Demand'!A:Z,18,FALSE)),0,VLOOKUP($A2011,'13. Updated Demand'!A:Z,18,FALSE))</f>
        <v>0</v>
      </c>
      <c r="AB2011" s="16">
        <f>IF(ISERROR(VLOOKUP($A2011,'13. Updated Demand'!A:Z,19,FALSE)),0,VLOOKUP($A2011,'13. Updated Demand'!A:Z,19,FALSE))</f>
        <v>2.9154442999999999E-2</v>
      </c>
      <c r="AC2011" s="16">
        <f>IF(ISERROR(VLOOKUP($A2011,'13. Updated Demand'!A:Z,20,FALSE)),0,VLOOKUP($A2011,'13. Updated Demand'!A:Z,20,FALSE))</f>
        <v>2.9154442999999999E-2</v>
      </c>
      <c r="AD2011" s="16">
        <f>IF(ISERROR(VLOOKUP($A2011,'13. Updated Demand'!A:Z,21,FALSE)),0,VLOOKUP($A2011,'13. Updated Demand'!A:Z,21,FALSE))</f>
        <v>2.9154442999999999E-2</v>
      </c>
      <c r="AE2011" s="16">
        <f>IF(ISERROR(VLOOKUP($A2011,'13. Updated Demand'!A:Z,22,FALSE)),0,VLOOKUP($A2011,'13. Updated Demand'!A:Z,22,FALSE))</f>
        <v>2.9154442999999999E-2</v>
      </c>
      <c r="AF2011" s="16">
        <f>IF(ISERROR(VLOOKUP($A2011,'13. Updated Demand'!A:Z,23,FALSE)),0,VLOOKUP($A2011,'13. Updated Demand'!A:Z,23,FALSE))</f>
        <v>2.9154442999999999E-2</v>
      </c>
      <c r="AG2011" s="16">
        <f>IF(ISERROR(VLOOKUP($A2011,'13. Updated Demand'!A:Z,24,FALSE)),0,VLOOKUP($A2011,'13. Updated Demand'!A:Z,24,FALSE))</f>
        <v>2.9154442999999999E-2</v>
      </c>
      <c r="AH2011" s="16">
        <f>IF(ISERROR(VLOOKUP($A2011,'13. Updated Demand'!A:Z,25,FALSE)),0,VLOOKUP($A2011,'13. Updated Demand'!A:Z,25,FALSE))</f>
        <v>0</v>
      </c>
      <c r="AI2011" s="16">
        <f>IF(ISERROR(VLOOKUP($A2011,'13. Updated Demand'!A:Z,26,FALSE)),0,VLOOKUP($A2011,'13. Updated Demand'!A:Z,26,FALSE))</f>
        <v>0</v>
      </c>
      <c r="AJ2011" s="16">
        <f t="shared" si="385"/>
        <v>0.17492665799999998</v>
      </c>
      <c r="AK2011" s="19">
        <v>0.14577221499999998</v>
      </c>
      <c r="AL2011" s="16">
        <f t="shared" si="383"/>
        <v>4.8350983213929407E-4</v>
      </c>
      <c r="AM2011" s="26">
        <v>0.24147799282164548</v>
      </c>
      <c r="AN2011" s="19">
        <v>0.72440000000000004</v>
      </c>
      <c r="AO2011" s="19" t="s">
        <v>1758</v>
      </c>
      <c r="AP2011" s="19">
        <v>0</v>
      </c>
      <c r="AQ2011" s="19" t="s">
        <v>307</v>
      </c>
      <c r="AR2011" s="9" t="s">
        <v>394</v>
      </c>
      <c r="AS2011" s="12">
        <v>0</v>
      </c>
      <c r="AT2011" s="19">
        <v>38.638300000000001</v>
      </c>
      <c r="AU2011" s="19">
        <v>-122.87430000000001</v>
      </c>
      <c r="AV2011" s="19" t="s">
        <v>2443</v>
      </c>
    </row>
    <row r="2012" spans="1:48" x14ac:dyDescent="0.25">
      <c r="A2012" s="18" t="s">
        <v>2444</v>
      </c>
      <c r="B2012" s="10">
        <v>10000000</v>
      </c>
      <c r="C2012" s="9">
        <v>16</v>
      </c>
      <c r="D2012" s="8" t="str">
        <f t="shared" si="374"/>
        <v>N</v>
      </c>
      <c r="E2012" s="8" t="str">
        <f t="shared" si="375"/>
        <v>N</v>
      </c>
      <c r="F2012" s="8" t="str">
        <f t="shared" si="376"/>
        <v>N</v>
      </c>
      <c r="G2012" s="8" t="str">
        <f t="shared" si="377"/>
        <v>N</v>
      </c>
      <c r="H2012" s="8" t="str">
        <f t="shared" si="378"/>
        <v>Lower</v>
      </c>
      <c r="I2012" s="8" t="str">
        <f t="shared" si="379"/>
        <v>Outside</v>
      </c>
      <c r="J2012" s="8" t="str">
        <f t="shared" si="380"/>
        <v>Outside</v>
      </c>
      <c r="K2012" s="8" t="str">
        <f t="shared" si="381"/>
        <v>Riparian</v>
      </c>
      <c r="L2012" s="8">
        <f t="shared" si="382"/>
        <v>1000</v>
      </c>
      <c r="M2012" s="8" t="str">
        <f t="shared" si="384"/>
        <v>-</v>
      </c>
      <c r="N2012" s="10" t="s">
        <v>242</v>
      </c>
      <c r="O2012" s="10" t="s">
        <v>242</v>
      </c>
      <c r="P2012" s="10" t="s">
        <v>242</v>
      </c>
      <c r="Q2012" s="10" t="s">
        <v>242</v>
      </c>
      <c r="R2012" s="10" t="s">
        <v>242</v>
      </c>
      <c r="S2012" s="10" t="s">
        <v>241</v>
      </c>
      <c r="T2012" s="10" t="s">
        <v>242</v>
      </c>
      <c r="U2012" s="10" t="s">
        <v>242</v>
      </c>
      <c r="V2012" s="10" t="s">
        <v>242</v>
      </c>
      <c r="W2012" s="10" t="s">
        <v>242</v>
      </c>
      <c r="X2012" s="15">
        <f>IF(ISERROR(VLOOKUP($A2012,'13. Updated Demand'!A:Z,15,FALSE)),0,VLOOKUP($A2012,'13. Updated Demand'!A:Z,15,FALSE))</f>
        <v>0</v>
      </c>
      <c r="Y2012" s="16">
        <f>IF(ISERROR(VLOOKUP($A2012,'13. Updated Demand'!A:Z,16,FALSE)),0,VLOOKUP($A2012,'13. Updated Demand'!A:Z,16,FALSE))</f>
        <v>0</v>
      </c>
      <c r="Z2012" s="16">
        <f>IF(ISERROR(VLOOKUP($A2012,'13. Updated Demand'!A:Z,17,FALSE)),0,VLOOKUP($A2012,'13. Updated Demand'!A:Z,17,FALSE))</f>
        <v>0</v>
      </c>
      <c r="AA2012" s="16">
        <f>IF(ISERROR(VLOOKUP($A2012,'13. Updated Demand'!A:Z,18,FALSE)),0,VLOOKUP($A2012,'13. Updated Demand'!A:Z,18,FALSE))</f>
        <v>0</v>
      </c>
      <c r="AB2012" s="16">
        <f>IF(ISERROR(VLOOKUP($A2012,'13. Updated Demand'!A:Z,19,FALSE)),0,VLOOKUP($A2012,'13. Updated Demand'!A:Z,19,FALSE))</f>
        <v>0</v>
      </c>
      <c r="AC2012" s="16">
        <f>IF(ISERROR(VLOOKUP($A2012,'13. Updated Demand'!A:Z,20,FALSE)),0,VLOOKUP($A2012,'13. Updated Demand'!A:Z,20,FALSE))</f>
        <v>1.7000000000000001E-2</v>
      </c>
      <c r="AD2012" s="16">
        <f>IF(ISERROR(VLOOKUP($A2012,'13. Updated Demand'!A:Z,21,FALSE)),0,VLOOKUP($A2012,'13. Updated Demand'!A:Z,21,FALSE))</f>
        <v>3.9E-2</v>
      </c>
      <c r="AE2012" s="16">
        <f>IF(ISERROR(VLOOKUP($A2012,'13. Updated Demand'!A:Z,22,FALSE)),0,VLOOKUP($A2012,'13. Updated Demand'!A:Z,22,FALSE))</f>
        <v>2.5000000000000001E-2</v>
      </c>
      <c r="AF2012" s="16">
        <f>IF(ISERROR(VLOOKUP($A2012,'13. Updated Demand'!A:Z,23,FALSE)),0,VLOOKUP($A2012,'13. Updated Demand'!A:Z,23,FALSE))</f>
        <v>0</v>
      </c>
      <c r="AG2012" s="16">
        <f>IF(ISERROR(VLOOKUP($A2012,'13. Updated Demand'!A:Z,24,FALSE)),0,VLOOKUP($A2012,'13. Updated Demand'!A:Z,24,FALSE))</f>
        <v>0</v>
      </c>
      <c r="AH2012" s="16">
        <f>IF(ISERROR(VLOOKUP($A2012,'13. Updated Demand'!A:Z,25,FALSE)),0,VLOOKUP($A2012,'13. Updated Demand'!A:Z,25,FALSE))</f>
        <v>0</v>
      </c>
      <c r="AI2012" s="16">
        <f>IF(ISERROR(VLOOKUP($A2012,'13. Updated Demand'!A:Z,26,FALSE)),0,VLOOKUP($A2012,'13. Updated Demand'!A:Z,26,FALSE))</f>
        <v>0</v>
      </c>
      <c r="AJ2012" s="16">
        <f t="shared" si="385"/>
        <v>8.1000000000000003E-2</v>
      </c>
      <c r="AK2012" s="19">
        <v>8.1000000000000003E-2</v>
      </c>
      <c r="AL2012" s="16">
        <f t="shared" si="383"/>
        <v>2.6866777323293622E-4</v>
      </c>
      <c r="AM2012" s="26">
        <v>0</v>
      </c>
      <c r="AN2012" s="19">
        <v>0</v>
      </c>
      <c r="AO2012" s="19" t="s">
        <v>1758</v>
      </c>
      <c r="AP2012" s="19">
        <v>0</v>
      </c>
      <c r="AQ2012" s="19" t="s">
        <v>307</v>
      </c>
      <c r="AR2012" s="9" t="s">
        <v>394</v>
      </c>
      <c r="AS2012" s="12">
        <v>0</v>
      </c>
      <c r="AT2012" s="19">
        <v>38.631999999999998</v>
      </c>
      <c r="AU2012" s="19">
        <v>-122.8952</v>
      </c>
      <c r="AV2012" s="19" t="s">
        <v>701</v>
      </c>
    </row>
    <row r="2013" spans="1:48" x14ac:dyDescent="0.25">
      <c r="A2013" s="18" t="s">
        <v>2445</v>
      </c>
      <c r="B2013" s="10">
        <v>10000000</v>
      </c>
      <c r="C2013" s="9">
        <v>16</v>
      </c>
      <c r="D2013" s="8" t="str">
        <f t="shared" si="374"/>
        <v>N</v>
      </c>
      <c r="E2013" s="8" t="str">
        <f t="shared" si="375"/>
        <v>N</v>
      </c>
      <c r="F2013" s="8" t="str">
        <f t="shared" si="376"/>
        <v>N</v>
      </c>
      <c r="G2013" s="8" t="str">
        <f t="shared" si="377"/>
        <v>N</v>
      </c>
      <c r="H2013" s="8" t="str">
        <f t="shared" si="378"/>
        <v>Lower</v>
      </c>
      <c r="I2013" s="8" t="str">
        <f t="shared" si="379"/>
        <v>Outside</v>
      </c>
      <c r="J2013" s="8" t="str">
        <f t="shared" si="380"/>
        <v>Outside</v>
      </c>
      <c r="K2013" s="8" t="str">
        <f t="shared" si="381"/>
        <v>Riparian</v>
      </c>
      <c r="L2013" s="8">
        <f t="shared" si="382"/>
        <v>1000</v>
      </c>
      <c r="M2013" s="8" t="str">
        <f t="shared" si="384"/>
        <v>-</v>
      </c>
      <c r="N2013" s="10" t="s">
        <v>242</v>
      </c>
      <c r="O2013" s="10" t="s">
        <v>242</v>
      </c>
      <c r="P2013" s="10" t="s">
        <v>242</v>
      </c>
      <c r="Q2013" s="10" t="s">
        <v>242</v>
      </c>
      <c r="R2013" s="10" t="s">
        <v>242</v>
      </c>
      <c r="S2013" s="10" t="s">
        <v>241</v>
      </c>
      <c r="T2013" s="10" t="s">
        <v>242</v>
      </c>
      <c r="U2013" s="10" t="s">
        <v>242</v>
      </c>
      <c r="V2013" s="10" t="s">
        <v>242</v>
      </c>
      <c r="W2013" s="10" t="s">
        <v>242</v>
      </c>
      <c r="X2013" s="15">
        <f>IF(ISERROR(VLOOKUP($A2013,'13. Updated Demand'!A:Z,15,FALSE)),0,VLOOKUP($A2013,'13. Updated Demand'!A:Z,15,FALSE))</f>
        <v>8.5023330000000008E-3</v>
      </c>
      <c r="Y2013" s="16">
        <f>IF(ISERROR(VLOOKUP($A2013,'13. Updated Demand'!A:Z,16,FALSE)),0,VLOOKUP($A2013,'13. Updated Demand'!A:Z,16,FALSE))</f>
        <v>6.8793329999999996E-3</v>
      </c>
      <c r="Z2013" s="16">
        <f>IF(ISERROR(VLOOKUP($A2013,'13. Updated Demand'!A:Z,17,FALSE)),0,VLOOKUP($A2013,'13. Updated Demand'!A:Z,17,FALSE))</f>
        <v>6.2630000000000003E-3</v>
      </c>
      <c r="AA2013" s="16">
        <f>IF(ISERROR(VLOOKUP($A2013,'13. Updated Demand'!A:Z,18,FALSE)),0,VLOOKUP($A2013,'13. Updated Demand'!A:Z,18,FALSE))</f>
        <v>7.540667E-3</v>
      </c>
      <c r="AB2013" s="16">
        <f>IF(ISERROR(VLOOKUP($A2013,'13. Updated Demand'!A:Z,19,FALSE)),0,VLOOKUP($A2013,'13. Updated Demand'!A:Z,19,FALSE))</f>
        <v>1.7891332999999999E-2</v>
      </c>
      <c r="AC2013" s="16">
        <f>IF(ISERROR(VLOOKUP($A2013,'13. Updated Demand'!A:Z,20,FALSE)),0,VLOOKUP($A2013,'13. Updated Demand'!A:Z,20,FALSE))</f>
        <v>2.1598666999999998E-2</v>
      </c>
      <c r="AD2013" s="16">
        <f>IF(ISERROR(VLOOKUP($A2013,'13. Updated Demand'!A:Z,21,FALSE)),0,VLOOKUP($A2013,'13. Updated Demand'!A:Z,21,FALSE))</f>
        <v>2.4741666999999998E-2</v>
      </c>
      <c r="AE2013" s="16">
        <f>IF(ISERROR(VLOOKUP($A2013,'13. Updated Demand'!A:Z,22,FALSE)),0,VLOOKUP($A2013,'13. Updated Demand'!A:Z,22,FALSE))</f>
        <v>2.1971000000000001E-2</v>
      </c>
      <c r="AF2013" s="16">
        <f>IF(ISERROR(VLOOKUP($A2013,'13. Updated Demand'!A:Z,23,FALSE)),0,VLOOKUP($A2013,'13. Updated Demand'!A:Z,23,FALSE))</f>
        <v>1.7688333000000001E-2</v>
      </c>
      <c r="AG2013" s="16">
        <f>IF(ISERROR(VLOOKUP($A2013,'13. Updated Demand'!A:Z,24,FALSE)),0,VLOOKUP($A2013,'13. Updated Demand'!A:Z,24,FALSE))</f>
        <v>1.166E-2</v>
      </c>
      <c r="AH2013" s="16">
        <f>IF(ISERROR(VLOOKUP($A2013,'13. Updated Demand'!A:Z,25,FALSE)),0,VLOOKUP($A2013,'13. Updated Demand'!A:Z,25,FALSE))</f>
        <v>1.5364667E-2</v>
      </c>
      <c r="AI2013" s="16">
        <f>IF(ISERROR(VLOOKUP($A2013,'13. Updated Demand'!A:Z,26,FALSE)),0,VLOOKUP($A2013,'13. Updated Demand'!A:Z,26,FALSE))</f>
        <v>7.5310000000000004E-3</v>
      </c>
      <c r="AJ2013" s="16">
        <f t="shared" si="385"/>
        <v>0.167632</v>
      </c>
      <c r="AK2013" s="19">
        <v>0.103891</v>
      </c>
      <c r="AL2013" s="16">
        <f t="shared" si="383"/>
        <v>3.4459461270299971E-4</v>
      </c>
      <c r="AM2013" s="26">
        <v>3.4641868154577392E-2</v>
      </c>
      <c r="AN2013" s="19">
        <v>4.8390000000000004</v>
      </c>
      <c r="AO2013" s="19" t="s">
        <v>1758</v>
      </c>
      <c r="AP2013" s="19">
        <v>0</v>
      </c>
      <c r="AQ2013" s="19" t="s">
        <v>307</v>
      </c>
      <c r="AR2013" s="9" t="s">
        <v>394</v>
      </c>
      <c r="AS2013" s="12">
        <v>3.4039024194010059E-4</v>
      </c>
      <c r="AT2013" s="19">
        <v>38.57936222</v>
      </c>
      <c r="AU2013" s="19">
        <v>-122.88472133</v>
      </c>
      <c r="AV2013" s="19" t="s">
        <v>1433</v>
      </c>
    </row>
    <row r="2014" spans="1:48" x14ac:dyDescent="0.25">
      <c r="A2014" s="18" t="s">
        <v>2446</v>
      </c>
      <c r="B2014" s="10">
        <v>10000000</v>
      </c>
      <c r="C2014" s="9">
        <v>5</v>
      </c>
      <c r="D2014" s="8" t="str">
        <f t="shared" si="374"/>
        <v>Y</v>
      </c>
      <c r="E2014" s="8" t="str">
        <f t="shared" si="375"/>
        <v>N</v>
      </c>
      <c r="F2014" s="8" t="str">
        <f t="shared" si="376"/>
        <v>Y</v>
      </c>
      <c r="G2014" s="8" t="str">
        <f t="shared" si="377"/>
        <v>Y</v>
      </c>
      <c r="H2014" s="8" t="str">
        <f t="shared" si="378"/>
        <v>Upper</v>
      </c>
      <c r="I2014" s="8" t="str">
        <f t="shared" si="379"/>
        <v>West Fork and Below Lake</v>
      </c>
      <c r="J2014" s="8" t="str">
        <f t="shared" si="380"/>
        <v>Mendocino (d/s of lake)</v>
      </c>
      <c r="K2014" s="8" t="str">
        <f t="shared" si="381"/>
        <v>Riparian</v>
      </c>
      <c r="L2014" s="8">
        <f t="shared" si="382"/>
        <v>1000</v>
      </c>
      <c r="M2014" s="8" t="str">
        <f t="shared" si="384"/>
        <v>-</v>
      </c>
      <c r="N2014" s="10" t="s">
        <v>241</v>
      </c>
      <c r="O2014" s="10" t="s">
        <v>241</v>
      </c>
      <c r="P2014" s="10" t="s">
        <v>242</v>
      </c>
      <c r="Q2014" s="10" t="s">
        <v>242</v>
      </c>
      <c r="R2014" s="10" t="s">
        <v>242</v>
      </c>
      <c r="S2014" s="10" t="s">
        <v>241</v>
      </c>
      <c r="T2014" s="10" t="s">
        <v>242</v>
      </c>
      <c r="U2014" s="10" t="s">
        <v>242</v>
      </c>
      <c r="V2014" s="10" t="s">
        <v>242</v>
      </c>
      <c r="W2014" s="10" t="s">
        <v>242</v>
      </c>
      <c r="X2014" s="15">
        <f>IF(ISERROR(VLOOKUP($A2014,'13. Updated Demand'!A:Z,15,FALSE)),0,VLOOKUP($A2014,'13. Updated Demand'!A:Z,15,FALSE))</f>
        <v>0</v>
      </c>
      <c r="Y2014" s="16">
        <f>IF(ISERROR(VLOOKUP($A2014,'13. Updated Demand'!A:Z,16,FALSE)),0,VLOOKUP($A2014,'13. Updated Demand'!A:Z,16,FALSE))</f>
        <v>0</v>
      </c>
      <c r="Z2014" s="16">
        <f>IF(ISERROR(VLOOKUP($A2014,'13. Updated Demand'!A:Z,17,FALSE)),0,VLOOKUP($A2014,'13. Updated Demand'!A:Z,17,FALSE))</f>
        <v>0</v>
      </c>
      <c r="AA2014" s="16">
        <f>IF(ISERROR(VLOOKUP($A2014,'13. Updated Demand'!A:Z,18,FALSE)),0,VLOOKUP($A2014,'13. Updated Demand'!A:Z,18,FALSE))</f>
        <v>0</v>
      </c>
      <c r="AB2014" s="16">
        <f>IF(ISERROR(VLOOKUP($A2014,'13. Updated Demand'!A:Z,19,FALSE)),0,VLOOKUP($A2014,'13. Updated Demand'!A:Z,19,FALSE))</f>
        <v>0</v>
      </c>
      <c r="AC2014" s="16">
        <f>IF(ISERROR(VLOOKUP($A2014,'13. Updated Demand'!A:Z,20,FALSE)),0,VLOOKUP($A2014,'13. Updated Demand'!A:Z,20,FALSE))</f>
        <v>0</v>
      </c>
      <c r="AD2014" s="16">
        <f>IF(ISERROR(VLOOKUP($A2014,'13. Updated Demand'!A:Z,21,FALSE)),0,VLOOKUP($A2014,'13. Updated Demand'!A:Z,21,FALSE))</f>
        <v>0</v>
      </c>
      <c r="AE2014" s="16">
        <f>IF(ISERROR(VLOOKUP($A2014,'13. Updated Demand'!A:Z,22,FALSE)),0,VLOOKUP($A2014,'13. Updated Demand'!A:Z,22,FALSE))</f>
        <v>0</v>
      </c>
      <c r="AF2014" s="16">
        <f>IF(ISERROR(VLOOKUP($A2014,'13. Updated Demand'!A:Z,23,FALSE)),0,VLOOKUP($A2014,'13. Updated Demand'!A:Z,23,FALSE))</f>
        <v>0</v>
      </c>
      <c r="AG2014" s="16">
        <f>IF(ISERROR(VLOOKUP($A2014,'13. Updated Demand'!A:Z,24,FALSE)),0,VLOOKUP($A2014,'13. Updated Demand'!A:Z,24,FALSE))</f>
        <v>0</v>
      </c>
      <c r="AH2014" s="16">
        <f>IF(ISERROR(VLOOKUP($A2014,'13. Updated Demand'!A:Z,25,FALSE)),0,VLOOKUP($A2014,'13. Updated Demand'!A:Z,25,FALSE))</f>
        <v>0</v>
      </c>
      <c r="AI2014" s="16">
        <f>IF(ISERROR(VLOOKUP($A2014,'13. Updated Demand'!A:Z,26,FALSE)),0,VLOOKUP($A2014,'13. Updated Demand'!A:Z,26,FALSE))</f>
        <v>0</v>
      </c>
      <c r="AJ2014" s="16">
        <f t="shared" si="385"/>
        <v>0</v>
      </c>
      <c r="AK2014" s="19">
        <v>40.333333333333286</v>
      </c>
      <c r="AL2014" s="16">
        <f t="shared" si="383"/>
        <v>0.13378107226825206</v>
      </c>
      <c r="AM2014" s="26">
        <v>8.9602902658918349E-2</v>
      </c>
      <c r="AN2014" s="19">
        <v>645.44039999999995</v>
      </c>
      <c r="AO2014" s="19" t="s">
        <v>1758</v>
      </c>
      <c r="AP2014" s="19">
        <v>0</v>
      </c>
      <c r="AQ2014" s="19" t="s">
        <v>307</v>
      </c>
      <c r="AR2014" s="9" t="s">
        <v>333</v>
      </c>
      <c r="AS2014" s="12">
        <v>0</v>
      </c>
      <c r="AT2014" s="19">
        <v>39.099499999999999</v>
      </c>
      <c r="AU2014" s="19">
        <v>-123.17100000000001</v>
      </c>
      <c r="AV2014" s="19" t="s">
        <v>2271</v>
      </c>
    </row>
    <row r="2015" spans="1:48" x14ac:dyDescent="0.25">
      <c r="A2015" s="18" t="s">
        <v>2447</v>
      </c>
      <c r="B2015" s="10">
        <v>10000000</v>
      </c>
      <c r="C2015" s="9">
        <v>5</v>
      </c>
      <c r="D2015" s="8" t="str">
        <f t="shared" si="374"/>
        <v>Y</v>
      </c>
      <c r="E2015" s="8" t="str">
        <f t="shared" si="375"/>
        <v>N</v>
      </c>
      <c r="F2015" s="8" t="str">
        <f t="shared" si="376"/>
        <v>Y</v>
      </c>
      <c r="G2015" s="8" t="str">
        <f t="shared" si="377"/>
        <v>Y</v>
      </c>
      <c r="H2015" s="8" t="str">
        <f t="shared" si="378"/>
        <v>Upper</v>
      </c>
      <c r="I2015" s="8" t="str">
        <f t="shared" si="379"/>
        <v>West Fork and Below Lake</v>
      </c>
      <c r="J2015" s="8" t="str">
        <f t="shared" si="380"/>
        <v>Mendocino (d/s of lake)</v>
      </c>
      <c r="K2015" s="8" t="str">
        <f t="shared" si="381"/>
        <v>Riparian</v>
      </c>
      <c r="L2015" s="8">
        <f t="shared" si="382"/>
        <v>1000</v>
      </c>
      <c r="M2015" s="8" t="str">
        <f t="shared" si="384"/>
        <v>-</v>
      </c>
      <c r="N2015" s="10" t="s">
        <v>241</v>
      </c>
      <c r="O2015" s="10" t="s">
        <v>241</v>
      </c>
      <c r="P2015" s="10" t="s">
        <v>242</v>
      </c>
      <c r="Q2015" s="10" t="s">
        <v>242</v>
      </c>
      <c r="R2015" s="10" t="s">
        <v>242</v>
      </c>
      <c r="S2015" s="10" t="s">
        <v>241</v>
      </c>
      <c r="T2015" s="10" t="s">
        <v>242</v>
      </c>
      <c r="U2015" s="10" t="s">
        <v>241</v>
      </c>
      <c r="V2015" s="10" t="s">
        <v>241</v>
      </c>
      <c r="W2015" s="10" t="s">
        <v>242</v>
      </c>
      <c r="X2015" s="15">
        <f>IF(ISERROR(VLOOKUP($A2015,'13. Updated Demand'!A:Z,15,FALSE)),0,VLOOKUP($A2015,'13. Updated Demand'!A:Z,15,FALSE))</f>
        <v>0</v>
      </c>
      <c r="Y2015" s="16">
        <f>IF(ISERROR(VLOOKUP($A2015,'13. Updated Demand'!A:Z,16,FALSE)),0,VLOOKUP($A2015,'13. Updated Demand'!A:Z,16,FALSE))</f>
        <v>0</v>
      </c>
      <c r="Z2015" s="16">
        <f>IF(ISERROR(VLOOKUP($A2015,'13. Updated Demand'!A:Z,17,FALSE)),0,VLOOKUP($A2015,'13. Updated Demand'!A:Z,17,FALSE))</f>
        <v>0</v>
      </c>
      <c r="AA2015" s="16">
        <f>IF(ISERROR(VLOOKUP($A2015,'13. Updated Demand'!A:Z,18,FALSE)),0,VLOOKUP($A2015,'13. Updated Demand'!A:Z,18,FALSE))</f>
        <v>0</v>
      </c>
      <c r="AB2015" s="16">
        <f>IF(ISERROR(VLOOKUP($A2015,'13. Updated Demand'!A:Z,19,FALSE)),0,VLOOKUP($A2015,'13. Updated Demand'!A:Z,19,FALSE))</f>
        <v>0</v>
      </c>
      <c r="AC2015" s="16">
        <f>IF(ISERROR(VLOOKUP($A2015,'13. Updated Demand'!A:Z,20,FALSE)),0,VLOOKUP($A2015,'13. Updated Demand'!A:Z,20,FALSE))</f>
        <v>0</v>
      </c>
      <c r="AD2015" s="16">
        <f>IF(ISERROR(VLOOKUP($A2015,'13. Updated Demand'!A:Z,21,FALSE)),0,VLOOKUP($A2015,'13. Updated Demand'!A:Z,21,FALSE))</f>
        <v>0</v>
      </c>
      <c r="AE2015" s="16">
        <f>IF(ISERROR(VLOOKUP($A2015,'13. Updated Demand'!A:Z,22,FALSE)),0,VLOOKUP($A2015,'13. Updated Demand'!A:Z,22,FALSE))</f>
        <v>0</v>
      </c>
      <c r="AF2015" s="16">
        <f>IF(ISERROR(VLOOKUP($A2015,'13. Updated Demand'!A:Z,23,FALSE)),0,VLOOKUP($A2015,'13. Updated Demand'!A:Z,23,FALSE))</f>
        <v>0</v>
      </c>
      <c r="AG2015" s="16">
        <f>IF(ISERROR(VLOOKUP($A2015,'13. Updated Demand'!A:Z,24,FALSE)),0,VLOOKUP($A2015,'13. Updated Demand'!A:Z,24,FALSE))</f>
        <v>0</v>
      </c>
      <c r="AH2015" s="16">
        <f>IF(ISERROR(VLOOKUP($A2015,'13. Updated Demand'!A:Z,25,FALSE)),0,VLOOKUP($A2015,'13. Updated Demand'!A:Z,25,FALSE))</f>
        <v>0</v>
      </c>
      <c r="AI2015" s="16">
        <f>IF(ISERROR(VLOOKUP($A2015,'13. Updated Demand'!A:Z,26,FALSE)),0,VLOOKUP($A2015,'13. Updated Demand'!A:Z,26,FALSE))</f>
        <v>0</v>
      </c>
      <c r="AJ2015" s="16">
        <f t="shared" si="385"/>
        <v>0</v>
      </c>
      <c r="AK2015" s="19">
        <v>0</v>
      </c>
      <c r="AL2015" s="16">
        <f t="shared" si="383"/>
        <v>0</v>
      </c>
      <c r="AM2015" s="26">
        <v>0</v>
      </c>
      <c r="AN2015" s="19">
        <v>565.03200000000004</v>
      </c>
      <c r="AO2015" s="19" t="s">
        <v>1758</v>
      </c>
      <c r="AP2015" s="19">
        <v>0</v>
      </c>
      <c r="AQ2015" s="19" t="s">
        <v>307</v>
      </c>
      <c r="AR2015" s="9" t="s">
        <v>333</v>
      </c>
      <c r="AS2015" s="12">
        <v>0</v>
      </c>
      <c r="AT2015" s="19">
        <v>39.098500000000001</v>
      </c>
      <c r="AU2015" s="19">
        <v>-123.17270000000001</v>
      </c>
      <c r="AV2015" s="19" t="s">
        <v>2271</v>
      </c>
    </row>
    <row r="2016" spans="1:48" x14ac:dyDescent="0.25">
      <c r="A2016" s="18" t="s">
        <v>2448</v>
      </c>
      <c r="B2016" s="10">
        <v>10000000</v>
      </c>
      <c r="C2016" s="9">
        <v>5</v>
      </c>
      <c r="D2016" s="8" t="str">
        <f t="shared" si="374"/>
        <v>Y</v>
      </c>
      <c r="E2016" s="8" t="str">
        <f t="shared" si="375"/>
        <v>N</v>
      </c>
      <c r="F2016" s="8" t="str">
        <f t="shared" si="376"/>
        <v>Y</v>
      </c>
      <c r="G2016" s="8" t="str">
        <f t="shared" si="377"/>
        <v>Y</v>
      </c>
      <c r="H2016" s="8" t="str">
        <f t="shared" si="378"/>
        <v>Upper</v>
      </c>
      <c r="I2016" s="8" t="str">
        <f t="shared" si="379"/>
        <v>West Fork and Below Lake</v>
      </c>
      <c r="J2016" s="8" t="str">
        <f t="shared" si="380"/>
        <v>Mendocino (d/s of lake)</v>
      </c>
      <c r="K2016" s="8" t="str">
        <f t="shared" si="381"/>
        <v>Riparian</v>
      </c>
      <c r="L2016" s="8">
        <f t="shared" si="382"/>
        <v>1000</v>
      </c>
      <c r="M2016" s="8" t="str">
        <f t="shared" si="384"/>
        <v>-</v>
      </c>
      <c r="N2016" s="10" t="s">
        <v>241</v>
      </c>
      <c r="O2016" s="10" t="s">
        <v>241</v>
      </c>
      <c r="P2016" s="10" t="s">
        <v>242</v>
      </c>
      <c r="Q2016" s="10" t="s">
        <v>242</v>
      </c>
      <c r="R2016" s="10" t="s">
        <v>242</v>
      </c>
      <c r="S2016" s="10" t="s">
        <v>241</v>
      </c>
      <c r="T2016" s="10" t="s">
        <v>242</v>
      </c>
      <c r="U2016" s="10" t="s">
        <v>242</v>
      </c>
      <c r="V2016" s="10" t="s">
        <v>242</v>
      </c>
      <c r="W2016" s="10" t="s">
        <v>242</v>
      </c>
      <c r="X2016" s="15">
        <f>IF(ISERROR(VLOOKUP($A2016,'13. Updated Demand'!A:Z,15,FALSE)),0,VLOOKUP($A2016,'13. Updated Demand'!A:Z,15,FALSE))</f>
        <v>0</v>
      </c>
      <c r="Y2016" s="16">
        <f>IF(ISERROR(VLOOKUP($A2016,'13. Updated Demand'!A:Z,16,FALSE)),0,VLOOKUP($A2016,'13. Updated Demand'!A:Z,16,FALSE))</f>
        <v>0</v>
      </c>
      <c r="Z2016" s="16">
        <f>IF(ISERROR(VLOOKUP($A2016,'13. Updated Demand'!A:Z,17,FALSE)),0,VLOOKUP($A2016,'13. Updated Demand'!A:Z,17,FALSE))</f>
        <v>0</v>
      </c>
      <c r="AA2016" s="16">
        <f>IF(ISERROR(VLOOKUP($A2016,'13. Updated Demand'!A:Z,18,FALSE)),0,VLOOKUP($A2016,'13. Updated Demand'!A:Z,18,FALSE))</f>
        <v>0</v>
      </c>
      <c r="AB2016" s="16">
        <f>IF(ISERROR(VLOOKUP($A2016,'13. Updated Demand'!A:Z,19,FALSE)),0,VLOOKUP($A2016,'13. Updated Demand'!A:Z,19,FALSE))</f>
        <v>0</v>
      </c>
      <c r="AC2016" s="16">
        <f>IF(ISERROR(VLOOKUP($A2016,'13. Updated Demand'!A:Z,20,FALSE)),0,VLOOKUP($A2016,'13. Updated Demand'!A:Z,20,FALSE))</f>
        <v>0</v>
      </c>
      <c r="AD2016" s="16">
        <f>IF(ISERROR(VLOOKUP($A2016,'13. Updated Demand'!A:Z,21,FALSE)),0,VLOOKUP($A2016,'13. Updated Demand'!A:Z,21,FALSE))</f>
        <v>0</v>
      </c>
      <c r="AE2016" s="16">
        <f>IF(ISERROR(VLOOKUP($A2016,'13. Updated Demand'!A:Z,22,FALSE)),0,VLOOKUP($A2016,'13. Updated Demand'!A:Z,22,FALSE))</f>
        <v>0</v>
      </c>
      <c r="AF2016" s="16">
        <f>IF(ISERROR(VLOOKUP($A2016,'13. Updated Demand'!A:Z,23,FALSE)),0,VLOOKUP($A2016,'13. Updated Demand'!A:Z,23,FALSE))</f>
        <v>0</v>
      </c>
      <c r="AG2016" s="16">
        <f>IF(ISERROR(VLOOKUP($A2016,'13. Updated Demand'!A:Z,24,FALSE)),0,VLOOKUP($A2016,'13. Updated Demand'!A:Z,24,FALSE))</f>
        <v>0</v>
      </c>
      <c r="AH2016" s="16">
        <f>IF(ISERROR(VLOOKUP($A2016,'13. Updated Demand'!A:Z,25,FALSE)),0,VLOOKUP($A2016,'13. Updated Demand'!A:Z,25,FALSE))</f>
        <v>0</v>
      </c>
      <c r="AI2016" s="16">
        <f>IF(ISERROR(VLOOKUP($A2016,'13. Updated Demand'!A:Z,26,FALSE)),0,VLOOKUP($A2016,'13. Updated Demand'!A:Z,26,FALSE))</f>
        <v>0</v>
      </c>
      <c r="AJ2016" s="16">
        <f t="shared" si="385"/>
        <v>0</v>
      </c>
      <c r="AK2016" s="19">
        <v>0.63000000000000012</v>
      </c>
      <c r="AL2016" s="16">
        <f t="shared" si="383"/>
        <v>2.0896382362561709E-3</v>
      </c>
      <c r="AM2016" s="26">
        <v>0.10307380820909262</v>
      </c>
      <c r="AN2016" s="19">
        <v>10.866</v>
      </c>
      <c r="AO2016" s="19" t="s">
        <v>1758</v>
      </c>
      <c r="AP2016" s="19">
        <v>0</v>
      </c>
      <c r="AQ2016" s="19" t="s">
        <v>307</v>
      </c>
      <c r="AR2016" s="9" t="s">
        <v>333</v>
      </c>
      <c r="AS2016" s="12">
        <v>3.4039024194010059E-4</v>
      </c>
      <c r="AT2016" s="19">
        <v>39.098199999999999</v>
      </c>
      <c r="AU2016" s="19">
        <v>-123.1747</v>
      </c>
      <c r="AV2016" s="19" t="s">
        <v>2449</v>
      </c>
    </row>
    <row r="2017" spans="1:48" x14ac:dyDescent="0.25">
      <c r="A2017" s="18" t="s">
        <v>2450</v>
      </c>
      <c r="B2017" s="10">
        <v>10000000</v>
      </c>
      <c r="C2017" s="9">
        <v>5</v>
      </c>
      <c r="D2017" s="8" t="str">
        <f t="shared" si="374"/>
        <v>Y</v>
      </c>
      <c r="E2017" s="8" t="str">
        <f t="shared" si="375"/>
        <v>N</v>
      </c>
      <c r="F2017" s="8" t="str">
        <f t="shared" si="376"/>
        <v>Y</v>
      </c>
      <c r="G2017" s="8" t="str">
        <f t="shared" si="377"/>
        <v>Y</v>
      </c>
      <c r="H2017" s="8" t="str">
        <f t="shared" si="378"/>
        <v>Upper</v>
      </c>
      <c r="I2017" s="8" t="str">
        <f t="shared" si="379"/>
        <v>West Fork and Below Lake</v>
      </c>
      <c r="J2017" s="8" t="str">
        <f t="shared" si="380"/>
        <v>Mendocino (d/s of lake)</v>
      </c>
      <c r="K2017" s="8" t="str">
        <f t="shared" si="381"/>
        <v>Riparian</v>
      </c>
      <c r="L2017" s="8">
        <f t="shared" si="382"/>
        <v>1000</v>
      </c>
      <c r="M2017" s="8" t="str">
        <f t="shared" si="384"/>
        <v>-</v>
      </c>
      <c r="N2017" s="10" t="s">
        <v>241</v>
      </c>
      <c r="O2017" s="10" t="s">
        <v>241</v>
      </c>
      <c r="P2017" s="10" t="s">
        <v>242</v>
      </c>
      <c r="Q2017" s="10" t="s">
        <v>242</v>
      </c>
      <c r="R2017" s="10" t="s">
        <v>242</v>
      </c>
      <c r="S2017" s="10" t="s">
        <v>241</v>
      </c>
      <c r="T2017" s="10" t="s">
        <v>242</v>
      </c>
      <c r="U2017" s="10" t="s">
        <v>241</v>
      </c>
      <c r="V2017" s="10" t="s">
        <v>241</v>
      </c>
      <c r="W2017" s="10" t="s">
        <v>242</v>
      </c>
      <c r="X2017" s="15">
        <f>IF(ISERROR(VLOOKUP($A2017,'13. Updated Demand'!A:Z,15,FALSE)),0,VLOOKUP($A2017,'13. Updated Demand'!A:Z,15,FALSE))</f>
        <v>0</v>
      </c>
      <c r="Y2017" s="16">
        <f>IF(ISERROR(VLOOKUP($A2017,'13. Updated Demand'!A:Z,16,FALSE)),0,VLOOKUP($A2017,'13. Updated Demand'!A:Z,16,FALSE))</f>
        <v>0</v>
      </c>
      <c r="Z2017" s="16">
        <f>IF(ISERROR(VLOOKUP($A2017,'13. Updated Demand'!A:Z,17,FALSE)),0,VLOOKUP($A2017,'13. Updated Demand'!A:Z,17,FALSE))</f>
        <v>0</v>
      </c>
      <c r="AA2017" s="16">
        <f>IF(ISERROR(VLOOKUP($A2017,'13. Updated Demand'!A:Z,18,FALSE)),0,VLOOKUP($A2017,'13. Updated Demand'!A:Z,18,FALSE))</f>
        <v>0</v>
      </c>
      <c r="AB2017" s="16">
        <f>IF(ISERROR(VLOOKUP($A2017,'13. Updated Demand'!A:Z,19,FALSE)),0,VLOOKUP($A2017,'13. Updated Demand'!A:Z,19,FALSE))</f>
        <v>0</v>
      </c>
      <c r="AC2017" s="16">
        <f>IF(ISERROR(VLOOKUP($A2017,'13. Updated Demand'!A:Z,20,FALSE)),0,VLOOKUP($A2017,'13. Updated Demand'!A:Z,20,FALSE))</f>
        <v>0</v>
      </c>
      <c r="AD2017" s="16">
        <f>IF(ISERROR(VLOOKUP($A2017,'13. Updated Demand'!A:Z,21,FALSE)),0,VLOOKUP($A2017,'13. Updated Demand'!A:Z,21,FALSE))</f>
        <v>0</v>
      </c>
      <c r="AE2017" s="16">
        <f>IF(ISERROR(VLOOKUP($A2017,'13. Updated Demand'!A:Z,22,FALSE)),0,VLOOKUP($A2017,'13. Updated Demand'!A:Z,22,FALSE))</f>
        <v>0</v>
      </c>
      <c r="AF2017" s="16">
        <f>IF(ISERROR(VLOOKUP($A2017,'13. Updated Demand'!A:Z,23,FALSE)),0,VLOOKUP($A2017,'13. Updated Demand'!A:Z,23,FALSE))</f>
        <v>0</v>
      </c>
      <c r="AG2017" s="16">
        <f>IF(ISERROR(VLOOKUP($A2017,'13. Updated Demand'!A:Z,24,FALSE)),0,VLOOKUP($A2017,'13. Updated Demand'!A:Z,24,FALSE))</f>
        <v>0</v>
      </c>
      <c r="AH2017" s="16">
        <f>IF(ISERROR(VLOOKUP($A2017,'13. Updated Demand'!A:Z,25,FALSE)),0,VLOOKUP($A2017,'13. Updated Demand'!A:Z,25,FALSE))</f>
        <v>0</v>
      </c>
      <c r="AI2017" s="16">
        <f>IF(ISERROR(VLOOKUP($A2017,'13. Updated Demand'!A:Z,26,FALSE)),0,VLOOKUP($A2017,'13. Updated Demand'!A:Z,26,FALSE))</f>
        <v>0</v>
      </c>
      <c r="AJ2017" s="16">
        <f t="shared" si="385"/>
        <v>0</v>
      </c>
      <c r="AK2017" s="19">
        <v>0</v>
      </c>
      <c r="AL2017" s="16">
        <f t="shared" si="383"/>
        <v>0</v>
      </c>
      <c r="AM2017" s="26">
        <v>0</v>
      </c>
      <c r="AN2017" s="19">
        <v>484.26139999999998</v>
      </c>
      <c r="AO2017" s="19" t="s">
        <v>1758</v>
      </c>
      <c r="AP2017" s="19">
        <v>0</v>
      </c>
      <c r="AQ2017" s="19" t="s">
        <v>307</v>
      </c>
      <c r="AR2017" s="9" t="s">
        <v>333</v>
      </c>
      <c r="AS2017" s="12">
        <v>0</v>
      </c>
      <c r="AT2017" s="19">
        <v>39.098100000000002</v>
      </c>
      <c r="AU2017" s="19">
        <v>-123.175</v>
      </c>
      <c r="AV2017" s="19" t="s">
        <v>2451</v>
      </c>
    </row>
    <row r="2018" spans="1:48" x14ac:dyDescent="0.25">
      <c r="A2018" s="18" t="s">
        <v>2452</v>
      </c>
      <c r="B2018" s="10">
        <v>10000000</v>
      </c>
      <c r="C2018" s="9">
        <v>5</v>
      </c>
      <c r="D2018" s="8" t="str">
        <f t="shared" si="374"/>
        <v>Y</v>
      </c>
      <c r="E2018" s="8" t="str">
        <f t="shared" si="375"/>
        <v>N</v>
      </c>
      <c r="F2018" s="8" t="str">
        <f t="shared" si="376"/>
        <v>Y</v>
      </c>
      <c r="G2018" s="8" t="str">
        <f t="shared" si="377"/>
        <v>Y</v>
      </c>
      <c r="H2018" s="8" t="str">
        <f t="shared" si="378"/>
        <v>Upper</v>
      </c>
      <c r="I2018" s="8" t="str">
        <f t="shared" si="379"/>
        <v>West Fork and Below Lake</v>
      </c>
      <c r="J2018" s="8" t="str">
        <f t="shared" si="380"/>
        <v>Mendocino (d/s of lake)</v>
      </c>
      <c r="K2018" s="8" t="str">
        <f t="shared" si="381"/>
        <v>Riparian</v>
      </c>
      <c r="L2018" s="8">
        <f t="shared" si="382"/>
        <v>1000</v>
      </c>
      <c r="M2018" s="8" t="str">
        <f t="shared" si="384"/>
        <v>-</v>
      </c>
      <c r="N2018" s="10" t="s">
        <v>241</v>
      </c>
      <c r="O2018" s="10" t="s">
        <v>241</v>
      </c>
      <c r="P2018" s="10" t="s">
        <v>242</v>
      </c>
      <c r="Q2018" s="10" t="s">
        <v>242</v>
      </c>
      <c r="R2018" s="10" t="s">
        <v>242</v>
      </c>
      <c r="S2018" s="10" t="s">
        <v>241</v>
      </c>
      <c r="T2018" s="10" t="s">
        <v>242</v>
      </c>
      <c r="U2018" s="10" t="s">
        <v>241</v>
      </c>
      <c r="V2018" s="10" t="s">
        <v>241</v>
      </c>
      <c r="W2018" s="10" t="s">
        <v>242</v>
      </c>
      <c r="X2018" s="15">
        <f>IF(ISERROR(VLOOKUP($A2018,'13. Updated Demand'!A:Z,15,FALSE)),0,VLOOKUP($A2018,'13. Updated Demand'!A:Z,15,FALSE))</f>
        <v>0</v>
      </c>
      <c r="Y2018" s="16">
        <f>IF(ISERROR(VLOOKUP($A2018,'13. Updated Demand'!A:Z,16,FALSE)),0,VLOOKUP($A2018,'13. Updated Demand'!A:Z,16,FALSE))</f>
        <v>0</v>
      </c>
      <c r="Z2018" s="16">
        <f>IF(ISERROR(VLOOKUP($A2018,'13. Updated Demand'!A:Z,17,FALSE)),0,VLOOKUP($A2018,'13. Updated Demand'!A:Z,17,FALSE))</f>
        <v>0</v>
      </c>
      <c r="AA2018" s="16">
        <f>IF(ISERROR(VLOOKUP($A2018,'13. Updated Demand'!A:Z,18,FALSE)),0,VLOOKUP($A2018,'13. Updated Demand'!A:Z,18,FALSE))</f>
        <v>0</v>
      </c>
      <c r="AB2018" s="16">
        <f>IF(ISERROR(VLOOKUP($A2018,'13. Updated Demand'!A:Z,19,FALSE)),0,VLOOKUP($A2018,'13. Updated Demand'!A:Z,19,FALSE))</f>
        <v>0</v>
      </c>
      <c r="AC2018" s="16">
        <f>IF(ISERROR(VLOOKUP($A2018,'13. Updated Demand'!A:Z,20,FALSE)),0,VLOOKUP($A2018,'13. Updated Demand'!A:Z,20,FALSE))</f>
        <v>0</v>
      </c>
      <c r="AD2018" s="16">
        <f>IF(ISERROR(VLOOKUP($A2018,'13. Updated Demand'!A:Z,21,FALSE)),0,VLOOKUP($A2018,'13. Updated Demand'!A:Z,21,FALSE))</f>
        <v>0</v>
      </c>
      <c r="AE2018" s="16">
        <f>IF(ISERROR(VLOOKUP($A2018,'13. Updated Demand'!A:Z,22,FALSE)),0,VLOOKUP($A2018,'13. Updated Demand'!A:Z,22,FALSE))</f>
        <v>0</v>
      </c>
      <c r="AF2018" s="16">
        <f>IF(ISERROR(VLOOKUP($A2018,'13. Updated Demand'!A:Z,23,FALSE)),0,VLOOKUP($A2018,'13. Updated Demand'!A:Z,23,FALSE))</f>
        <v>0</v>
      </c>
      <c r="AG2018" s="16">
        <f>IF(ISERROR(VLOOKUP($A2018,'13. Updated Demand'!A:Z,24,FALSE)),0,VLOOKUP($A2018,'13. Updated Demand'!A:Z,24,FALSE))</f>
        <v>0</v>
      </c>
      <c r="AH2018" s="16">
        <f>IF(ISERROR(VLOOKUP($A2018,'13. Updated Demand'!A:Z,25,FALSE)),0,VLOOKUP($A2018,'13. Updated Demand'!A:Z,25,FALSE))</f>
        <v>0</v>
      </c>
      <c r="AI2018" s="16">
        <f>IF(ISERROR(VLOOKUP($A2018,'13. Updated Demand'!A:Z,26,FALSE)),0,VLOOKUP($A2018,'13. Updated Demand'!A:Z,26,FALSE))</f>
        <v>0</v>
      </c>
      <c r="AJ2018" s="16">
        <f t="shared" si="385"/>
        <v>0</v>
      </c>
      <c r="AK2018" s="19">
        <v>0</v>
      </c>
      <c r="AL2018" s="16">
        <f t="shared" si="383"/>
        <v>0</v>
      </c>
      <c r="AM2018" s="26">
        <v>0</v>
      </c>
      <c r="AN2018" s="19">
        <v>443.69499999999999</v>
      </c>
      <c r="AO2018" s="19" t="s">
        <v>1758</v>
      </c>
      <c r="AP2018" s="19">
        <v>0</v>
      </c>
      <c r="AQ2018" s="19" t="s">
        <v>307</v>
      </c>
      <c r="AR2018" s="9" t="s">
        <v>333</v>
      </c>
      <c r="AS2018" s="12">
        <v>0</v>
      </c>
      <c r="AT2018" s="19">
        <v>39.097900000000003</v>
      </c>
      <c r="AU2018" s="19">
        <v>-123.17619999999999</v>
      </c>
      <c r="AV2018" s="19" t="s">
        <v>2271</v>
      </c>
    </row>
    <row r="2019" spans="1:48" x14ac:dyDescent="0.25">
      <c r="A2019" s="18" t="s">
        <v>2453</v>
      </c>
      <c r="B2019" s="10">
        <v>10000000</v>
      </c>
      <c r="C2019" s="9">
        <v>1</v>
      </c>
      <c r="D2019" s="8" t="str">
        <f t="shared" si="374"/>
        <v>N</v>
      </c>
      <c r="E2019" s="8" t="str">
        <f t="shared" si="375"/>
        <v>N</v>
      </c>
      <c r="F2019" s="8" t="str">
        <f t="shared" si="376"/>
        <v>Y</v>
      </c>
      <c r="G2019" s="8" t="str">
        <f t="shared" si="377"/>
        <v>Y</v>
      </c>
      <c r="H2019" s="8" t="str">
        <f t="shared" si="378"/>
        <v>Upper</v>
      </c>
      <c r="I2019" s="8" t="str">
        <f t="shared" si="379"/>
        <v>West Fork and Below Lake</v>
      </c>
      <c r="J2019" s="8" t="str">
        <f t="shared" si="380"/>
        <v>Outside</v>
      </c>
      <c r="K2019" s="8" t="str">
        <f t="shared" si="381"/>
        <v>Riparian</v>
      </c>
      <c r="L2019" s="8">
        <f t="shared" si="382"/>
        <v>1000</v>
      </c>
      <c r="M2019" s="8" t="str">
        <f t="shared" si="384"/>
        <v>-</v>
      </c>
      <c r="N2019" s="10" t="s">
        <v>242</v>
      </c>
      <c r="O2019" s="10" t="s">
        <v>241</v>
      </c>
      <c r="P2019" s="10" t="s">
        <v>242</v>
      </c>
      <c r="Q2019" s="10" t="s">
        <v>242</v>
      </c>
      <c r="R2019" s="10" t="s">
        <v>242</v>
      </c>
      <c r="S2019" s="10" t="s">
        <v>241</v>
      </c>
      <c r="T2019" s="10" t="s">
        <v>242</v>
      </c>
      <c r="U2019" s="10" t="s">
        <v>242</v>
      </c>
      <c r="V2019" s="10" t="s">
        <v>242</v>
      </c>
      <c r="W2019" s="10" t="s">
        <v>242</v>
      </c>
      <c r="X2019" s="15">
        <f>IF(ISERROR(VLOOKUP($A2019,'13. Updated Demand'!A:Z,15,FALSE)),0,VLOOKUP($A2019,'13. Updated Demand'!A:Z,15,FALSE))</f>
        <v>0.73</v>
      </c>
      <c r="Y2019" s="16">
        <f>IF(ISERROR(VLOOKUP($A2019,'13. Updated Demand'!A:Z,16,FALSE)),0,VLOOKUP($A2019,'13. Updated Demand'!A:Z,16,FALSE))</f>
        <v>0.09</v>
      </c>
      <c r="Z2019" s="16">
        <f>IF(ISERROR(VLOOKUP($A2019,'13. Updated Demand'!A:Z,17,FALSE)),0,VLOOKUP($A2019,'13. Updated Demand'!A:Z,17,FALSE))</f>
        <v>7.0000000000000007E-2</v>
      </c>
      <c r="AA2019" s="16">
        <f>IF(ISERROR(VLOOKUP($A2019,'13. Updated Demand'!A:Z,18,FALSE)),0,VLOOKUP($A2019,'13. Updated Demand'!A:Z,18,FALSE))</f>
        <v>0.11</v>
      </c>
      <c r="AB2019" s="16">
        <f>IF(ISERROR(VLOOKUP($A2019,'13. Updated Demand'!A:Z,19,FALSE)),0,VLOOKUP($A2019,'13. Updated Demand'!A:Z,19,FALSE))</f>
        <v>0.11</v>
      </c>
      <c r="AC2019" s="16">
        <f>IF(ISERROR(VLOOKUP($A2019,'13. Updated Demand'!A:Z,20,FALSE)),0,VLOOKUP($A2019,'13. Updated Demand'!A:Z,20,FALSE))</f>
        <v>0.11</v>
      </c>
      <c r="AD2019" s="16">
        <f>IF(ISERROR(VLOOKUP($A2019,'13. Updated Demand'!A:Z,21,FALSE)),0,VLOOKUP($A2019,'13. Updated Demand'!A:Z,21,FALSE))</f>
        <v>0.16</v>
      </c>
      <c r="AE2019" s="16">
        <f>IF(ISERROR(VLOOKUP($A2019,'13. Updated Demand'!A:Z,22,FALSE)),0,VLOOKUP($A2019,'13. Updated Demand'!A:Z,22,FALSE))</f>
        <v>0.16</v>
      </c>
      <c r="AF2019" s="16">
        <f>IF(ISERROR(VLOOKUP($A2019,'13. Updated Demand'!A:Z,23,FALSE)),0,VLOOKUP($A2019,'13. Updated Demand'!A:Z,23,FALSE))</f>
        <v>0.17</v>
      </c>
      <c r="AG2019" s="16">
        <f>IF(ISERROR(VLOOKUP($A2019,'13. Updated Demand'!A:Z,24,FALSE)),0,VLOOKUP($A2019,'13. Updated Demand'!A:Z,24,FALSE))</f>
        <v>0.17</v>
      </c>
      <c r="AH2019" s="16">
        <f>IF(ISERROR(VLOOKUP($A2019,'13. Updated Demand'!A:Z,25,FALSE)),0,VLOOKUP($A2019,'13. Updated Demand'!A:Z,25,FALSE))</f>
        <v>0.17</v>
      </c>
      <c r="AI2019" s="16">
        <f>IF(ISERROR(VLOOKUP($A2019,'13. Updated Demand'!A:Z,26,FALSE)),0,VLOOKUP($A2019,'13. Updated Demand'!A:Z,26,FALSE))</f>
        <v>0.14000000000000001</v>
      </c>
      <c r="AJ2019" s="16">
        <f t="shared" si="385"/>
        <v>2.19</v>
      </c>
      <c r="AK2019" s="19">
        <v>0.72927433333333402</v>
      </c>
      <c r="AL2019" s="16">
        <f t="shared" si="383"/>
        <v>2.418919891513592E-3</v>
      </c>
      <c r="AM2019" s="26">
        <v>1.2676732477230304</v>
      </c>
      <c r="AN2019" s="19">
        <v>1.7677</v>
      </c>
      <c r="AO2019" s="19" t="s">
        <v>1758</v>
      </c>
      <c r="AP2019" s="19">
        <v>0</v>
      </c>
      <c r="AQ2019" s="19" t="s">
        <v>307</v>
      </c>
      <c r="AR2019" s="9" t="s">
        <v>317</v>
      </c>
      <c r="AS2019" s="12">
        <v>3.4039024194010059E-4</v>
      </c>
      <c r="AT2019" s="19">
        <v>39.359699999999997</v>
      </c>
      <c r="AU2019" s="19">
        <v>-123.2343</v>
      </c>
      <c r="AV2019" s="19" t="s">
        <v>1501</v>
      </c>
    </row>
    <row r="2020" spans="1:48" x14ac:dyDescent="0.25">
      <c r="A2020" s="18" t="s">
        <v>2454</v>
      </c>
      <c r="B2020" s="10">
        <v>10000000</v>
      </c>
      <c r="C2020" s="9">
        <v>4</v>
      </c>
      <c r="D2020" s="8" t="str">
        <f t="shared" si="374"/>
        <v>Y</v>
      </c>
      <c r="E2020" s="8" t="str">
        <f t="shared" si="375"/>
        <v>N</v>
      </c>
      <c r="F2020" s="8" t="str">
        <f t="shared" si="376"/>
        <v>Y</v>
      </c>
      <c r="G2020" s="8" t="str">
        <f t="shared" si="377"/>
        <v>Y</v>
      </c>
      <c r="H2020" s="8" t="str">
        <f t="shared" si="378"/>
        <v>Upper</v>
      </c>
      <c r="I2020" s="8" t="str">
        <f t="shared" si="379"/>
        <v>West Fork and Below Lake</v>
      </c>
      <c r="J2020" s="8" t="str">
        <f t="shared" si="380"/>
        <v>Mendocino (d/s of lake)</v>
      </c>
      <c r="K2020" s="8" t="str">
        <f t="shared" si="381"/>
        <v>Riparian</v>
      </c>
      <c r="L2020" s="8">
        <f t="shared" si="382"/>
        <v>1000</v>
      </c>
      <c r="M2020" s="8" t="str">
        <f t="shared" si="384"/>
        <v>-</v>
      </c>
      <c r="N2020" s="10" t="s">
        <v>242</v>
      </c>
      <c r="O2020" s="10" t="s">
        <v>241</v>
      </c>
      <c r="P2020" s="10" t="s">
        <v>242</v>
      </c>
      <c r="Q2020" s="10" t="s">
        <v>242</v>
      </c>
      <c r="R2020" s="10" t="s">
        <v>242</v>
      </c>
      <c r="S2020" s="10" t="s">
        <v>241</v>
      </c>
      <c r="T2020" s="10" t="s">
        <v>242</v>
      </c>
      <c r="U2020" s="10" t="s">
        <v>242</v>
      </c>
      <c r="V2020" s="10" t="s">
        <v>241</v>
      </c>
      <c r="W2020" s="10" t="s">
        <v>242</v>
      </c>
      <c r="X2020" s="15">
        <f>IF(ISERROR(VLOOKUP($A2020,'13. Updated Demand'!A:Z,15,FALSE)),0,VLOOKUP($A2020,'13. Updated Demand'!A:Z,15,FALSE))</f>
        <v>0</v>
      </c>
      <c r="Y2020" s="16">
        <f>IF(ISERROR(VLOOKUP($A2020,'13. Updated Demand'!A:Z,16,FALSE)),0,VLOOKUP($A2020,'13. Updated Demand'!A:Z,16,FALSE))</f>
        <v>0.4</v>
      </c>
      <c r="Z2020" s="16">
        <f>IF(ISERROR(VLOOKUP($A2020,'13. Updated Demand'!A:Z,17,FALSE)),0,VLOOKUP($A2020,'13. Updated Demand'!A:Z,17,FALSE))</f>
        <v>0.21</v>
      </c>
      <c r="AA2020" s="16">
        <f>IF(ISERROR(VLOOKUP($A2020,'13. Updated Demand'!A:Z,18,FALSE)),0,VLOOKUP($A2020,'13. Updated Demand'!A:Z,18,FALSE))</f>
        <v>0</v>
      </c>
      <c r="AB2020" s="16">
        <f>IF(ISERROR(VLOOKUP($A2020,'13. Updated Demand'!A:Z,19,FALSE)),0,VLOOKUP($A2020,'13. Updated Demand'!A:Z,19,FALSE))</f>
        <v>0</v>
      </c>
      <c r="AC2020" s="16">
        <f>IF(ISERROR(VLOOKUP($A2020,'13. Updated Demand'!A:Z,20,FALSE)),0,VLOOKUP($A2020,'13. Updated Demand'!A:Z,20,FALSE))</f>
        <v>0</v>
      </c>
      <c r="AD2020" s="16">
        <f>IF(ISERROR(VLOOKUP($A2020,'13. Updated Demand'!A:Z,21,FALSE)),0,VLOOKUP($A2020,'13. Updated Demand'!A:Z,21,FALSE))</f>
        <v>0</v>
      </c>
      <c r="AE2020" s="16">
        <f>IF(ISERROR(VLOOKUP($A2020,'13. Updated Demand'!A:Z,22,FALSE)),0,VLOOKUP($A2020,'13. Updated Demand'!A:Z,22,FALSE))</f>
        <v>0</v>
      </c>
      <c r="AF2020" s="16">
        <f>IF(ISERROR(VLOOKUP($A2020,'13. Updated Demand'!A:Z,23,FALSE)),0,VLOOKUP($A2020,'13. Updated Demand'!A:Z,23,FALSE))</f>
        <v>0</v>
      </c>
      <c r="AG2020" s="16">
        <f>IF(ISERROR(VLOOKUP($A2020,'13. Updated Demand'!A:Z,24,FALSE)),0,VLOOKUP($A2020,'13. Updated Demand'!A:Z,24,FALSE))</f>
        <v>0</v>
      </c>
      <c r="AH2020" s="16">
        <f>IF(ISERROR(VLOOKUP($A2020,'13. Updated Demand'!A:Z,25,FALSE)),0,VLOOKUP($A2020,'13. Updated Demand'!A:Z,25,FALSE))</f>
        <v>0</v>
      </c>
      <c r="AI2020" s="16">
        <f>IF(ISERROR(VLOOKUP($A2020,'13. Updated Demand'!A:Z,26,FALSE)),0,VLOOKUP($A2020,'13. Updated Demand'!A:Z,26,FALSE))</f>
        <v>0</v>
      </c>
      <c r="AJ2020" s="16">
        <f t="shared" si="385"/>
        <v>0.61</v>
      </c>
      <c r="AK2020" s="19">
        <v>0</v>
      </c>
      <c r="AL2020" s="16">
        <f t="shared" si="383"/>
        <v>0</v>
      </c>
      <c r="AM2020" s="26">
        <v>9.9462365645161296E-2</v>
      </c>
      <c r="AN2020" s="19">
        <v>6.2</v>
      </c>
      <c r="AO2020" s="19" t="s">
        <v>1758</v>
      </c>
      <c r="AP2020" s="19">
        <v>0</v>
      </c>
      <c r="AQ2020" s="19" t="s">
        <v>307</v>
      </c>
      <c r="AR2020" s="9" t="s">
        <v>331</v>
      </c>
      <c r="AS2020" s="12">
        <v>0</v>
      </c>
      <c r="AT2020" s="19">
        <v>39.184199999999997</v>
      </c>
      <c r="AU2020" s="19">
        <v>-123.2196</v>
      </c>
      <c r="AV2020" s="19"/>
    </row>
    <row r="2021" spans="1:48" x14ac:dyDescent="0.25">
      <c r="A2021" s="18" t="s">
        <v>2455</v>
      </c>
      <c r="B2021" s="10">
        <v>10000000</v>
      </c>
      <c r="C2021" s="9">
        <v>23</v>
      </c>
      <c r="D2021" s="8" t="str">
        <f t="shared" si="374"/>
        <v>N</v>
      </c>
      <c r="E2021" s="8" t="str">
        <f t="shared" si="375"/>
        <v>N</v>
      </c>
      <c r="F2021" s="8" t="str">
        <f t="shared" si="376"/>
        <v>N</v>
      </c>
      <c r="G2021" s="8" t="str">
        <f t="shared" si="377"/>
        <v>N</v>
      </c>
      <c r="H2021" s="8" t="str">
        <f t="shared" si="378"/>
        <v>Lower</v>
      </c>
      <c r="I2021" s="8" t="str">
        <f t="shared" si="379"/>
        <v>Outside</v>
      </c>
      <c r="J2021" s="8" t="str">
        <f t="shared" si="380"/>
        <v>Outside</v>
      </c>
      <c r="K2021" s="8" t="str">
        <f t="shared" si="381"/>
        <v>Riparian</v>
      </c>
      <c r="L2021" s="8">
        <f t="shared" si="382"/>
        <v>1000</v>
      </c>
      <c r="M2021" s="8" t="str">
        <f t="shared" si="384"/>
        <v>-</v>
      </c>
      <c r="N2021" s="10" t="s">
        <v>242</v>
      </c>
      <c r="O2021" s="10" t="s">
        <v>242</v>
      </c>
      <c r="P2021" s="10" t="s">
        <v>242</v>
      </c>
      <c r="Q2021" s="10" t="s">
        <v>242</v>
      </c>
      <c r="R2021" s="10" t="s">
        <v>242</v>
      </c>
      <c r="S2021" s="10" t="s">
        <v>241</v>
      </c>
      <c r="T2021" s="10" t="s">
        <v>241</v>
      </c>
      <c r="U2021" s="10" t="s">
        <v>241</v>
      </c>
      <c r="V2021" s="10" t="s">
        <v>241</v>
      </c>
      <c r="W2021" s="10" t="s">
        <v>242</v>
      </c>
      <c r="X2021" s="15">
        <f>IF(ISERROR(VLOOKUP($A2021,'13. Updated Demand'!A:Z,15,FALSE)),0,VLOOKUP($A2021,'13. Updated Demand'!A:Z,15,FALSE))</f>
        <v>0</v>
      </c>
      <c r="Y2021" s="16">
        <f>IF(ISERROR(VLOOKUP($A2021,'13. Updated Demand'!A:Z,16,FALSE)),0,VLOOKUP($A2021,'13. Updated Demand'!A:Z,16,FALSE))</f>
        <v>0</v>
      </c>
      <c r="Z2021" s="16">
        <f>IF(ISERROR(VLOOKUP($A2021,'13. Updated Demand'!A:Z,17,FALSE)),0,VLOOKUP($A2021,'13. Updated Demand'!A:Z,17,FALSE))</f>
        <v>0</v>
      </c>
      <c r="AA2021" s="16">
        <f>IF(ISERROR(VLOOKUP($A2021,'13. Updated Demand'!A:Z,18,FALSE)),0,VLOOKUP($A2021,'13. Updated Demand'!A:Z,18,FALSE))</f>
        <v>0</v>
      </c>
      <c r="AB2021" s="16">
        <f>IF(ISERROR(VLOOKUP($A2021,'13. Updated Demand'!A:Z,19,FALSE)),0,VLOOKUP($A2021,'13. Updated Demand'!A:Z,19,FALSE))</f>
        <v>0</v>
      </c>
      <c r="AC2021" s="16">
        <f>IF(ISERROR(VLOOKUP($A2021,'13. Updated Demand'!A:Z,20,FALSE)),0,VLOOKUP($A2021,'13. Updated Demand'!A:Z,20,FALSE))</f>
        <v>0</v>
      </c>
      <c r="AD2021" s="16">
        <f>IF(ISERROR(VLOOKUP($A2021,'13. Updated Demand'!A:Z,21,FALSE)),0,VLOOKUP($A2021,'13. Updated Demand'!A:Z,21,FALSE))</f>
        <v>0</v>
      </c>
      <c r="AE2021" s="16">
        <f>IF(ISERROR(VLOOKUP($A2021,'13. Updated Demand'!A:Z,22,FALSE)),0,VLOOKUP($A2021,'13. Updated Demand'!A:Z,22,FALSE))</f>
        <v>0</v>
      </c>
      <c r="AF2021" s="16">
        <f>IF(ISERROR(VLOOKUP($A2021,'13. Updated Demand'!A:Z,23,FALSE)),0,VLOOKUP($A2021,'13. Updated Demand'!A:Z,23,FALSE))</f>
        <v>0</v>
      </c>
      <c r="AG2021" s="16">
        <f>IF(ISERROR(VLOOKUP($A2021,'13. Updated Demand'!A:Z,24,FALSE)),0,VLOOKUP($A2021,'13. Updated Demand'!A:Z,24,FALSE))</f>
        <v>0</v>
      </c>
      <c r="AH2021" s="16">
        <f>IF(ISERROR(VLOOKUP($A2021,'13. Updated Demand'!A:Z,25,FALSE)),0,VLOOKUP($A2021,'13. Updated Demand'!A:Z,25,FALSE))</f>
        <v>0</v>
      </c>
      <c r="AI2021" s="16">
        <f>IF(ISERROR(VLOOKUP($A2021,'13. Updated Demand'!A:Z,26,FALSE)),0,VLOOKUP($A2021,'13. Updated Demand'!A:Z,26,FALSE))</f>
        <v>0</v>
      </c>
      <c r="AJ2021" s="16">
        <f t="shared" si="385"/>
        <v>0</v>
      </c>
      <c r="AK2021" s="19">
        <v>0</v>
      </c>
      <c r="AL2021" s="16">
        <f t="shared" si="383"/>
        <v>0</v>
      </c>
      <c r="AM2021" s="26">
        <v>0</v>
      </c>
      <c r="AN2021" s="19">
        <v>84</v>
      </c>
      <c r="AO2021" s="19" t="s">
        <v>1758</v>
      </c>
      <c r="AP2021" s="19">
        <v>0</v>
      </c>
      <c r="AQ2021" s="19" t="s">
        <v>307</v>
      </c>
      <c r="AR2021" s="9" t="s">
        <v>725</v>
      </c>
      <c r="AS2021" s="12">
        <v>3.4039024194010059E-4</v>
      </c>
      <c r="AT2021" s="19">
        <v>38.482399999999998</v>
      </c>
      <c r="AU2021" s="19">
        <v>-122.73050000000001</v>
      </c>
      <c r="AV2021" s="19" t="s">
        <v>385</v>
      </c>
    </row>
    <row r="2022" spans="1:48" x14ac:dyDescent="0.25">
      <c r="A2022" s="18" t="s">
        <v>2456</v>
      </c>
      <c r="B2022" s="10">
        <v>10000000</v>
      </c>
      <c r="C2022" s="9">
        <v>12</v>
      </c>
      <c r="D2022" s="8" t="str">
        <f t="shared" si="374"/>
        <v>N</v>
      </c>
      <c r="E2022" s="8" t="str">
        <f t="shared" si="375"/>
        <v>Y</v>
      </c>
      <c r="F2022" s="8" t="str">
        <f t="shared" si="376"/>
        <v>Y</v>
      </c>
      <c r="G2022" s="8" t="str">
        <f t="shared" si="377"/>
        <v>Y</v>
      </c>
      <c r="H2022" s="8" t="str">
        <f t="shared" si="378"/>
        <v>Upper</v>
      </c>
      <c r="I2022" s="8" t="str">
        <f t="shared" si="379"/>
        <v>West Fork and Below Lake</v>
      </c>
      <c r="J2022" s="8" t="str">
        <f t="shared" si="380"/>
        <v>Sonoma (d/s of Clov. Gage)</v>
      </c>
      <c r="K2022" s="8" t="str">
        <f t="shared" si="381"/>
        <v>Riparian</v>
      </c>
      <c r="L2022" s="8">
        <f t="shared" si="382"/>
        <v>1000</v>
      </c>
      <c r="M2022" s="8" t="str">
        <f t="shared" si="384"/>
        <v>-</v>
      </c>
      <c r="N2022" s="10" t="s">
        <v>242</v>
      </c>
      <c r="O2022" s="10" t="s">
        <v>241</v>
      </c>
      <c r="P2022" s="10" t="s">
        <v>242</v>
      </c>
      <c r="Q2022" s="10" t="s">
        <v>242</v>
      </c>
      <c r="R2022" s="10" t="s">
        <v>242</v>
      </c>
      <c r="S2022" s="10" t="s">
        <v>241</v>
      </c>
      <c r="T2022" s="10" t="s">
        <v>242</v>
      </c>
      <c r="U2022" s="10" t="s">
        <v>242</v>
      </c>
      <c r="V2022" s="10" t="s">
        <v>242</v>
      </c>
      <c r="W2022" s="10" t="s">
        <v>242</v>
      </c>
      <c r="X2022" s="15">
        <f>IF(ISERROR(VLOOKUP($A2022,'13. Updated Demand'!A:Z,15,FALSE)),0,VLOOKUP($A2022,'13. Updated Demand'!A:Z,15,FALSE))</f>
        <v>0</v>
      </c>
      <c r="Y2022" s="16">
        <f>IF(ISERROR(VLOOKUP($A2022,'13. Updated Demand'!A:Z,16,FALSE)),0,VLOOKUP($A2022,'13. Updated Demand'!A:Z,16,FALSE))</f>
        <v>0.4</v>
      </c>
      <c r="Z2022" s="16">
        <f>IF(ISERROR(VLOOKUP($A2022,'13. Updated Demand'!A:Z,17,FALSE)),0,VLOOKUP($A2022,'13. Updated Demand'!A:Z,17,FALSE))</f>
        <v>1.1599999999999999</v>
      </c>
      <c r="AA2022" s="16">
        <f>IF(ISERROR(VLOOKUP($A2022,'13. Updated Demand'!A:Z,18,FALSE)),0,VLOOKUP($A2022,'13. Updated Demand'!A:Z,18,FALSE))</f>
        <v>3.7</v>
      </c>
      <c r="AB2022" s="16">
        <f>IF(ISERROR(VLOOKUP($A2022,'13. Updated Demand'!A:Z,19,FALSE)),0,VLOOKUP($A2022,'13. Updated Demand'!A:Z,19,FALSE))</f>
        <v>0.76</v>
      </c>
      <c r="AC2022" s="16">
        <f>IF(ISERROR(VLOOKUP($A2022,'13. Updated Demand'!A:Z,20,FALSE)),0,VLOOKUP($A2022,'13. Updated Demand'!A:Z,20,FALSE))</f>
        <v>0</v>
      </c>
      <c r="AD2022" s="16">
        <f>IF(ISERROR(VLOOKUP($A2022,'13. Updated Demand'!A:Z,21,FALSE)),0,VLOOKUP($A2022,'13. Updated Demand'!A:Z,21,FALSE))</f>
        <v>0</v>
      </c>
      <c r="AE2022" s="16">
        <f>IF(ISERROR(VLOOKUP($A2022,'13. Updated Demand'!A:Z,22,FALSE)),0,VLOOKUP($A2022,'13. Updated Demand'!A:Z,22,FALSE))</f>
        <v>0</v>
      </c>
      <c r="AF2022" s="16">
        <f>IF(ISERROR(VLOOKUP($A2022,'13. Updated Demand'!A:Z,23,FALSE)),0,VLOOKUP($A2022,'13. Updated Demand'!A:Z,23,FALSE))</f>
        <v>0</v>
      </c>
      <c r="AG2022" s="16">
        <f>IF(ISERROR(VLOOKUP($A2022,'13. Updated Demand'!A:Z,24,FALSE)),0,VLOOKUP($A2022,'13. Updated Demand'!A:Z,24,FALSE))</f>
        <v>0</v>
      </c>
      <c r="AH2022" s="16">
        <f>IF(ISERROR(VLOOKUP($A2022,'13. Updated Demand'!A:Z,25,FALSE)),0,VLOOKUP($A2022,'13. Updated Demand'!A:Z,25,FALSE))</f>
        <v>0</v>
      </c>
      <c r="AI2022" s="16">
        <f>IF(ISERROR(VLOOKUP($A2022,'13. Updated Demand'!A:Z,26,FALSE)),0,VLOOKUP($A2022,'13. Updated Demand'!A:Z,26,FALSE))</f>
        <v>0</v>
      </c>
      <c r="AJ2022" s="16">
        <f t="shared" si="385"/>
        <v>6.02</v>
      </c>
      <c r="AK2022" s="19">
        <v>0.76666666699999997</v>
      </c>
      <c r="AL2022" s="16">
        <f t="shared" si="383"/>
        <v>2.5429460028988521E-3</v>
      </c>
      <c r="AM2022" s="26">
        <v>0.27424242427272733</v>
      </c>
      <c r="AN2022" s="19">
        <v>22</v>
      </c>
      <c r="AO2022" s="19" t="s">
        <v>1758</v>
      </c>
      <c r="AP2022" s="19">
        <v>0</v>
      </c>
      <c r="AQ2022" s="19" t="s">
        <v>307</v>
      </c>
      <c r="AR2022" s="9" t="s">
        <v>311</v>
      </c>
      <c r="AS2022" s="12">
        <v>0</v>
      </c>
      <c r="AT2022" s="19">
        <v>38.615900000000003</v>
      </c>
      <c r="AU2022" s="19">
        <v>-122.68859999999999</v>
      </c>
      <c r="AV2022" s="19" t="s">
        <v>385</v>
      </c>
    </row>
    <row r="2023" spans="1:48" x14ac:dyDescent="0.25">
      <c r="A2023" s="18" t="s">
        <v>2457</v>
      </c>
      <c r="B2023" s="10">
        <v>10000000</v>
      </c>
      <c r="C2023" s="9">
        <v>17</v>
      </c>
      <c r="D2023" s="8" t="str">
        <f t="shared" si="374"/>
        <v>N</v>
      </c>
      <c r="E2023" s="8" t="str">
        <f t="shared" si="375"/>
        <v>N</v>
      </c>
      <c r="F2023" s="8" t="str">
        <f t="shared" si="376"/>
        <v>N</v>
      </c>
      <c r="G2023" s="8" t="str">
        <f t="shared" si="377"/>
        <v>N</v>
      </c>
      <c r="H2023" s="8" t="str">
        <f t="shared" si="378"/>
        <v>Lower</v>
      </c>
      <c r="I2023" s="8" t="str">
        <f t="shared" si="379"/>
        <v>Outside</v>
      </c>
      <c r="J2023" s="8" t="str">
        <f t="shared" si="380"/>
        <v>Outside</v>
      </c>
      <c r="K2023" s="8" t="str">
        <f t="shared" si="381"/>
        <v>Riparian</v>
      </c>
      <c r="L2023" s="8">
        <f t="shared" si="382"/>
        <v>1000</v>
      </c>
      <c r="M2023" s="8" t="str">
        <f t="shared" si="384"/>
        <v>-</v>
      </c>
      <c r="N2023" s="10" t="s">
        <v>241</v>
      </c>
      <c r="O2023" s="10" t="s">
        <v>242</v>
      </c>
      <c r="P2023" s="10" t="s">
        <v>242</v>
      </c>
      <c r="Q2023" s="10" t="s">
        <v>242</v>
      </c>
      <c r="R2023" s="10" t="s">
        <v>242</v>
      </c>
      <c r="S2023" s="10" t="s">
        <v>241</v>
      </c>
      <c r="T2023" s="10" t="s">
        <v>242</v>
      </c>
      <c r="U2023" s="10" t="s">
        <v>242</v>
      </c>
      <c r="V2023" s="10" t="s">
        <v>242</v>
      </c>
      <c r="W2023" s="10" t="s">
        <v>242</v>
      </c>
      <c r="X2023" s="15">
        <f>IF(ISERROR(VLOOKUP($A2023,'13. Updated Demand'!A:Z,15,FALSE)),0,VLOOKUP($A2023,'13. Updated Demand'!A:Z,15,FALSE))</f>
        <v>0</v>
      </c>
      <c r="Y2023" s="16">
        <f>IF(ISERROR(VLOOKUP($A2023,'13. Updated Demand'!A:Z,16,FALSE)),0,VLOOKUP($A2023,'13. Updated Demand'!A:Z,16,FALSE))</f>
        <v>0</v>
      </c>
      <c r="Z2023" s="16">
        <f>IF(ISERROR(VLOOKUP($A2023,'13. Updated Demand'!A:Z,17,FALSE)),0,VLOOKUP($A2023,'13. Updated Demand'!A:Z,17,FALSE))</f>
        <v>0</v>
      </c>
      <c r="AA2023" s="16">
        <f>IF(ISERROR(VLOOKUP($A2023,'13. Updated Demand'!A:Z,18,FALSE)),0,VLOOKUP($A2023,'13. Updated Demand'!A:Z,18,FALSE))</f>
        <v>0</v>
      </c>
      <c r="AB2023" s="16">
        <f>IF(ISERROR(VLOOKUP($A2023,'13. Updated Demand'!A:Z,19,FALSE)),0,VLOOKUP($A2023,'13. Updated Demand'!A:Z,19,FALSE))</f>
        <v>0</v>
      </c>
      <c r="AC2023" s="16">
        <f>IF(ISERROR(VLOOKUP($A2023,'13. Updated Demand'!A:Z,20,FALSE)),0,VLOOKUP($A2023,'13. Updated Demand'!A:Z,20,FALSE))</f>
        <v>0</v>
      </c>
      <c r="AD2023" s="16">
        <f>IF(ISERROR(VLOOKUP($A2023,'13. Updated Demand'!A:Z,21,FALSE)),0,VLOOKUP($A2023,'13. Updated Demand'!A:Z,21,FALSE))</f>
        <v>0</v>
      </c>
      <c r="AE2023" s="16">
        <f>IF(ISERROR(VLOOKUP($A2023,'13. Updated Demand'!A:Z,22,FALSE)),0,VLOOKUP($A2023,'13. Updated Demand'!A:Z,22,FALSE))</f>
        <v>0.86666666699999995</v>
      </c>
      <c r="AF2023" s="16">
        <f>IF(ISERROR(VLOOKUP($A2023,'13. Updated Demand'!A:Z,23,FALSE)),0,VLOOKUP($A2023,'13. Updated Demand'!A:Z,23,FALSE))</f>
        <v>0</v>
      </c>
      <c r="AG2023" s="16">
        <f>IF(ISERROR(VLOOKUP($A2023,'13. Updated Demand'!A:Z,24,FALSE)),0,VLOOKUP($A2023,'13. Updated Demand'!A:Z,24,FALSE))</f>
        <v>4.1333333330000004</v>
      </c>
      <c r="AH2023" s="16">
        <f>IF(ISERROR(VLOOKUP($A2023,'13. Updated Demand'!A:Z,25,FALSE)),0,VLOOKUP($A2023,'13. Updated Demand'!A:Z,25,FALSE))</f>
        <v>0</v>
      </c>
      <c r="AI2023" s="16">
        <f>IF(ISERROR(VLOOKUP($A2023,'13. Updated Demand'!A:Z,26,FALSE)),0,VLOOKUP($A2023,'13. Updated Demand'!A:Z,26,FALSE))</f>
        <v>0</v>
      </c>
      <c r="AJ2023" s="16">
        <f t="shared" si="385"/>
        <v>5</v>
      </c>
      <c r="AK2023" s="19">
        <v>0.86666666699999995</v>
      </c>
      <c r="AL2023" s="16">
        <f t="shared" si="383"/>
        <v>2.8746346118284031E-3</v>
      </c>
      <c r="AM2023" s="26">
        <v>4.425946740989525E-3</v>
      </c>
      <c r="AN2023" s="19">
        <v>1129.7018</v>
      </c>
      <c r="AO2023" s="19" t="s">
        <v>1758</v>
      </c>
      <c r="AP2023" s="19">
        <v>0</v>
      </c>
      <c r="AQ2023" s="19" t="s">
        <v>307</v>
      </c>
      <c r="AR2023" s="9" t="s">
        <v>486</v>
      </c>
      <c r="AS2023" s="12">
        <v>0</v>
      </c>
      <c r="AT2023" s="19">
        <v>38.584299999999999</v>
      </c>
      <c r="AU2023" s="19">
        <v>-122.8565</v>
      </c>
      <c r="AV2023" s="19"/>
    </row>
    <row r="2024" spans="1:48" x14ac:dyDescent="0.25">
      <c r="A2024" s="18" t="s">
        <v>2458</v>
      </c>
      <c r="B2024" s="10">
        <v>10000000</v>
      </c>
      <c r="C2024" s="9">
        <v>23</v>
      </c>
      <c r="D2024" s="8" t="str">
        <f t="shared" si="374"/>
        <v>N</v>
      </c>
      <c r="E2024" s="8" t="str">
        <f t="shared" si="375"/>
        <v>N</v>
      </c>
      <c r="F2024" s="8" t="str">
        <f t="shared" si="376"/>
        <v>N</v>
      </c>
      <c r="G2024" s="8" t="str">
        <f t="shared" si="377"/>
        <v>N</v>
      </c>
      <c r="H2024" s="8" t="str">
        <f t="shared" si="378"/>
        <v>Lower</v>
      </c>
      <c r="I2024" s="8" t="str">
        <f t="shared" si="379"/>
        <v>Outside</v>
      </c>
      <c r="J2024" s="8" t="str">
        <f t="shared" si="380"/>
        <v>Outside</v>
      </c>
      <c r="K2024" s="8" t="str">
        <f t="shared" si="381"/>
        <v>Riparian</v>
      </c>
      <c r="L2024" s="8">
        <f t="shared" si="382"/>
        <v>1000</v>
      </c>
      <c r="M2024" s="8" t="str">
        <f t="shared" si="384"/>
        <v>-</v>
      </c>
      <c r="N2024" s="10" t="s">
        <v>242</v>
      </c>
      <c r="O2024" s="10" t="s">
        <v>242</v>
      </c>
      <c r="P2024" s="10" t="s">
        <v>242</v>
      </c>
      <c r="Q2024" s="10" t="s">
        <v>242</v>
      </c>
      <c r="R2024" s="10" t="s">
        <v>242</v>
      </c>
      <c r="S2024" s="10" t="s">
        <v>241</v>
      </c>
      <c r="T2024" s="10" t="s">
        <v>242</v>
      </c>
      <c r="U2024" s="10" t="s">
        <v>241</v>
      </c>
      <c r="V2024" s="10" t="s">
        <v>241</v>
      </c>
      <c r="W2024" s="10" t="s">
        <v>242</v>
      </c>
      <c r="X2024" s="15">
        <f>IF(ISERROR(VLOOKUP($A2024,'13. Updated Demand'!A:Z,15,FALSE)),0,VLOOKUP($A2024,'13. Updated Demand'!A:Z,15,FALSE))</f>
        <v>0</v>
      </c>
      <c r="Y2024" s="16">
        <f>IF(ISERROR(VLOOKUP($A2024,'13. Updated Demand'!A:Z,16,FALSE)),0,VLOOKUP($A2024,'13. Updated Demand'!A:Z,16,FALSE))</f>
        <v>0</v>
      </c>
      <c r="Z2024" s="16">
        <f>IF(ISERROR(VLOOKUP($A2024,'13. Updated Demand'!A:Z,17,FALSE)),0,VLOOKUP($A2024,'13. Updated Demand'!A:Z,17,FALSE))</f>
        <v>0</v>
      </c>
      <c r="AA2024" s="16">
        <f>IF(ISERROR(VLOOKUP($A2024,'13. Updated Demand'!A:Z,18,FALSE)),0,VLOOKUP($A2024,'13. Updated Demand'!A:Z,18,FALSE))</f>
        <v>0</v>
      </c>
      <c r="AB2024" s="16">
        <f>IF(ISERROR(VLOOKUP($A2024,'13. Updated Demand'!A:Z,19,FALSE)),0,VLOOKUP($A2024,'13. Updated Demand'!A:Z,19,FALSE))</f>
        <v>0</v>
      </c>
      <c r="AC2024" s="16">
        <f>IF(ISERROR(VLOOKUP($A2024,'13. Updated Demand'!A:Z,20,FALSE)),0,VLOOKUP($A2024,'13. Updated Demand'!A:Z,20,FALSE))</f>
        <v>0</v>
      </c>
      <c r="AD2024" s="16">
        <f>IF(ISERROR(VLOOKUP($A2024,'13. Updated Demand'!A:Z,21,FALSE)),0,VLOOKUP($A2024,'13. Updated Demand'!A:Z,21,FALSE))</f>
        <v>0</v>
      </c>
      <c r="AE2024" s="16">
        <f>IF(ISERROR(VLOOKUP($A2024,'13. Updated Demand'!A:Z,22,FALSE)),0,VLOOKUP($A2024,'13. Updated Demand'!A:Z,22,FALSE))</f>
        <v>0</v>
      </c>
      <c r="AF2024" s="16">
        <f>IF(ISERROR(VLOOKUP($A2024,'13. Updated Demand'!A:Z,23,FALSE)),0,VLOOKUP($A2024,'13. Updated Demand'!A:Z,23,FALSE))</f>
        <v>0</v>
      </c>
      <c r="AG2024" s="16">
        <f>IF(ISERROR(VLOOKUP($A2024,'13. Updated Demand'!A:Z,24,FALSE)),0,VLOOKUP($A2024,'13. Updated Demand'!A:Z,24,FALSE))</f>
        <v>0</v>
      </c>
      <c r="AH2024" s="16">
        <f>IF(ISERROR(VLOOKUP($A2024,'13. Updated Demand'!A:Z,25,FALSE)),0,VLOOKUP($A2024,'13. Updated Demand'!A:Z,25,FALSE))</f>
        <v>0</v>
      </c>
      <c r="AI2024" s="16">
        <f>IF(ISERROR(VLOOKUP($A2024,'13. Updated Demand'!A:Z,26,FALSE)),0,VLOOKUP($A2024,'13. Updated Demand'!A:Z,26,FALSE))</f>
        <v>0</v>
      </c>
      <c r="AJ2024" s="16">
        <f t="shared" si="385"/>
        <v>0</v>
      </c>
      <c r="AK2024" s="19">
        <v>0</v>
      </c>
      <c r="AL2024" s="16">
        <f t="shared" si="383"/>
        <v>0</v>
      </c>
      <c r="AM2024" s="26">
        <v>0</v>
      </c>
      <c r="AN2024" s="19">
        <v>10</v>
      </c>
      <c r="AO2024" s="19" t="s">
        <v>1758</v>
      </c>
      <c r="AP2024" s="19">
        <v>0</v>
      </c>
      <c r="AQ2024" s="19" t="s">
        <v>307</v>
      </c>
      <c r="AR2024" s="9" t="s">
        <v>391</v>
      </c>
      <c r="AS2024" s="12">
        <v>0</v>
      </c>
      <c r="AT2024" s="19">
        <v>38.567900000000002</v>
      </c>
      <c r="AU2024" s="19">
        <v>-122.80410000000001</v>
      </c>
      <c r="AV2024" s="19"/>
    </row>
    <row r="2025" spans="1:48" x14ac:dyDescent="0.25">
      <c r="A2025" s="18" t="s">
        <v>2459</v>
      </c>
      <c r="B2025" s="10">
        <v>10000000</v>
      </c>
      <c r="C2025" s="9">
        <v>17</v>
      </c>
      <c r="D2025" s="8" t="str">
        <f t="shared" si="374"/>
        <v>N</v>
      </c>
      <c r="E2025" s="8" t="str">
        <f t="shared" si="375"/>
        <v>N</v>
      </c>
      <c r="F2025" s="8" t="str">
        <f t="shared" si="376"/>
        <v>N</v>
      </c>
      <c r="G2025" s="8" t="str">
        <f t="shared" si="377"/>
        <v>N</v>
      </c>
      <c r="H2025" s="8" t="str">
        <f t="shared" si="378"/>
        <v>Lower</v>
      </c>
      <c r="I2025" s="8" t="str">
        <f t="shared" si="379"/>
        <v>Outside</v>
      </c>
      <c r="J2025" s="8" t="str">
        <f t="shared" si="380"/>
        <v>Outside</v>
      </c>
      <c r="K2025" s="8" t="str">
        <f t="shared" si="381"/>
        <v>Riparian</v>
      </c>
      <c r="L2025" s="8">
        <f t="shared" si="382"/>
        <v>1000</v>
      </c>
      <c r="M2025" s="8" t="str">
        <f t="shared" si="384"/>
        <v>-</v>
      </c>
      <c r="N2025" s="10" t="s">
        <v>241</v>
      </c>
      <c r="O2025" s="10" t="s">
        <v>242</v>
      </c>
      <c r="P2025" s="10" t="s">
        <v>242</v>
      </c>
      <c r="Q2025" s="10" t="s">
        <v>242</v>
      </c>
      <c r="R2025" s="10" t="s">
        <v>242</v>
      </c>
      <c r="S2025" s="10" t="s">
        <v>241</v>
      </c>
      <c r="T2025" s="10" t="s">
        <v>242</v>
      </c>
      <c r="U2025" s="10" t="s">
        <v>242</v>
      </c>
      <c r="V2025" s="10" t="s">
        <v>242</v>
      </c>
      <c r="W2025" s="10" t="s">
        <v>242</v>
      </c>
      <c r="X2025" s="15">
        <f>IF(ISERROR(VLOOKUP($A2025,'13. Updated Demand'!A:Z,15,FALSE)),0,VLOOKUP($A2025,'13. Updated Demand'!A:Z,15,FALSE))</f>
        <v>6.6666670000000003E-3</v>
      </c>
      <c r="Y2025" s="16">
        <f>IF(ISERROR(VLOOKUP($A2025,'13. Updated Demand'!A:Z,16,FALSE)),0,VLOOKUP($A2025,'13. Updated Demand'!A:Z,16,FALSE))</f>
        <v>0.01</v>
      </c>
      <c r="Z2025" s="16">
        <f>IF(ISERROR(VLOOKUP($A2025,'13. Updated Demand'!A:Z,17,FALSE)),0,VLOOKUP($A2025,'13. Updated Demand'!A:Z,17,FALSE))</f>
        <v>0</v>
      </c>
      <c r="AA2025" s="16">
        <f>IF(ISERROR(VLOOKUP($A2025,'13. Updated Demand'!A:Z,18,FALSE)),0,VLOOKUP($A2025,'13. Updated Demand'!A:Z,18,FALSE))</f>
        <v>0</v>
      </c>
      <c r="AB2025" s="16">
        <f>IF(ISERROR(VLOOKUP($A2025,'13. Updated Demand'!A:Z,19,FALSE)),0,VLOOKUP($A2025,'13. Updated Demand'!A:Z,19,FALSE))</f>
        <v>0</v>
      </c>
      <c r="AC2025" s="16">
        <f>IF(ISERROR(VLOOKUP($A2025,'13. Updated Demand'!A:Z,20,FALSE)),0,VLOOKUP($A2025,'13. Updated Demand'!A:Z,20,FALSE))</f>
        <v>4.4733333330000002</v>
      </c>
      <c r="AD2025" s="16">
        <f>IF(ISERROR(VLOOKUP($A2025,'13. Updated Demand'!A:Z,21,FALSE)),0,VLOOKUP($A2025,'13. Updated Demand'!A:Z,21,FALSE))</f>
        <v>11.643333330000001</v>
      </c>
      <c r="AE2025" s="16">
        <f>IF(ISERROR(VLOOKUP($A2025,'13. Updated Demand'!A:Z,22,FALSE)),0,VLOOKUP($A2025,'13. Updated Demand'!A:Z,22,FALSE))</f>
        <v>16.16333333</v>
      </c>
      <c r="AF2025" s="16">
        <f>IF(ISERROR(VLOOKUP($A2025,'13. Updated Demand'!A:Z,23,FALSE)),0,VLOOKUP($A2025,'13. Updated Demand'!A:Z,23,FALSE))</f>
        <v>15.15</v>
      </c>
      <c r="AG2025" s="16">
        <f>IF(ISERROR(VLOOKUP($A2025,'13. Updated Demand'!A:Z,24,FALSE)),0,VLOOKUP($A2025,'13. Updated Demand'!A:Z,24,FALSE))</f>
        <v>16.059999999999999</v>
      </c>
      <c r="AH2025" s="16">
        <f>IF(ISERROR(VLOOKUP($A2025,'13. Updated Demand'!A:Z,25,FALSE)),0,VLOOKUP($A2025,'13. Updated Demand'!A:Z,25,FALSE))</f>
        <v>2.1796666669999998</v>
      </c>
      <c r="AI2025" s="16">
        <f>IF(ISERROR(VLOOKUP($A2025,'13. Updated Demand'!A:Z,26,FALSE)),0,VLOOKUP($A2025,'13. Updated Demand'!A:Z,26,FALSE))</f>
        <v>0.83933333300000001</v>
      </c>
      <c r="AJ2025" s="16">
        <f t="shared" si="385"/>
        <v>66.525666659999999</v>
      </c>
      <c r="AK2025" s="19">
        <v>47.429999993000003</v>
      </c>
      <c r="AL2025" s="16">
        <f t="shared" si="383"/>
        <v>0.15731990719206781</v>
      </c>
      <c r="AM2025" s="26">
        <v>9.1606525734256289E-2</v>
      </c>
      <c r="AN2025" s="19">
        <v>726.21100000000001</v>
      </c>
      <c r="AO2025" s="19" t="s">
        <v>1758</v>
      </c>
      <c r="AP2025" s="19">
        <v>0</v>
      </c>
      <c r="AQ2025" s="19" t="s">
        <v>307</v>
      </c>
      <c r="AR2025" s="9" t="s">
        <v>486</v>
      </c>
      <c r="AS2025" s="12">
        <v>0</v>
      </c>
      <c r="AT2025" s="19">
        <v>38.586399999999998</v>
      </c>
      <c r="AU2025" s="19">
        <v>-122.85639999999999</v>
      </c>
      <c r="AV2025" s="19"/>
    </row>
    <row r="2026" spans="1:48" x14ac:dyDescent="0.25">
      <c r="A2026" s="18" t="s">
        <v>2460</v>
      </c>
      <c r="B2026" s="10">
        <v>10000000</v>
      </c>
      <c r="C2026" s="9">
        <v>9</v>
      </c>
      <c r="D2026" s="8" t="str">
        <f t="shared" si="374"/>
        <v>N</v>
      </c>
      <c r="E2026" s="8" t="str">
        <f t="shared" si="375"/>
        <v>Y</v>
      </c>
      <c r="F2026" s="8" t="str">
        <f t="shared" si="376"/>
        <v>Y</v>
      </c>
      <c r="G2026" s="8" t="str">
        <f t="shared" si="377"/>
        <v>Y</v>
      </c>
      <c r="H2026" s="8" t="str">
        <f t="shared" si="378"/>
        <v>Upper</v>
      </c>
      <c r="I2026" s="8" t="str">
        <f t="shared" si="379"/>
        <v>West Fork and Below Lake</v>
      </c>
      <c r="J2026" s="8" t="str">
        <f t="shared" si="380"/>
        <v>Sonoma (d/s of Clov. Gage)</v>
      </c>
      <c r="K2026" s="8" t="str">
        <f t="shared" si="381"/>
        <v>Riparian</v>
      </c>
      <c r="L2026" s="8">
        <f t="shared" si="382"/>
        <v>1000</v>
      </c>
      <c r="M2026" s="8" t="str">
        <f t="shared" si="384"/>
        <v>-</v>
      </c>
      <c r="N2026" s="10" t="s">
        <v>242</v>
      </c>
      <c r="O2026" s="10" t="s">
        <v>241</v>
      </c>
      <c r="P2026" s="10" t="s">
        <v>242</v>
      </c>
      <c r="Q2026" s="10" t="s">
        <v>242</v>
      </c>
      <c r="R2026" s="10" t="s">
        <v>242</v>
      </c>
      <c r="S2026" s="10" t="s">
        <v>241</v>
      </c>
      <c r="T2026" s="10" t="s">
        <v>241</v>
      </c>
      <c r="U2026" s="10" t="s">
        <v>241</v>
      </c>
      <c r="V2026" s="10" t="s">
        <v>241</v>
      </c>
      <c r="W2026" s="10" t="s">
        <v>242</v>
      </c>
      <c r="X2026" s="15">
        <f>IF(ISERROR(VLOOKUP($A2026,'13. Updated Demand'!A:Z,15,FALSE)),0,VLOOKUP($A2026,'13. Updated Demand'!A:Z,15,FALSE))</f>
        <v>0</v>
      </c>
      <c r="Y2026" s="16">
        <f>IF(ISERROR(VLOOKUP($A2026,'13. Updated Demand'!A:Z,16,FALSE)),0,VLOOKUP($A2026,'13. Updated Demand'!A:Z,16,FALSE))</f>
        <v>0</v>
      </c>
      <c r="Z2026" s="16">
        <f>IF(ISERROR(VLOOKUP($A2026,'13. Updated Demand'!A:Z,17,FALSE)),0,VLOOKUP($A2026,'13. Updated Demand'!A:Z,17,FALSE))</f>
        <v>0</v>
      </c>
      <c r="AA2026" s="16">
        <f>IF(ISERROR(VLOOKUP($A2026,'13. Updated Demand'!A:Z,18,FALSE)),0,VLOOKUP($A2026,'13. Updated Demand'!A:Z,18,FALSE))</f>
        <v>0</v>
      </c>
      <c r="AB2026" s="16">
        <f>IF(ISERROR(VLOOKUP($A2026,'13. Updated Demand'!A:Z,19,FALSE)),0,VLOOKUP($A2026,'13. Updated Demand'!A:Z,19,FALSE))</f>
        <v>0</v>
      </c>
      <c r="AC2026" s="16">
        <f>IF(ISERROR(VLOOKUP($A2026,'13. Updated Demand'!A:Z,20,FALSE)),0,VLOOKUP($A2026,'13. Updated Demand'!A:Z,20,FALSE))</f>
        <v>0</v>
      </c>
      <c r="AD2026" s="16">
        <f>IF(ISERROR(VLOOKUP($A2026,'13. Updated Demand'!A:Z,21,FALSE)),0,VLOOKUP($A2026,'13. Updated Demand'!A:Z,21,FALSE))</f>
        <v>0</v>
      </c>
      <c r="AE2026" s="16">
        <f>IF(ISERROR(VLOOKUP($A2026,'13. Updated Demand'!A:Z,22,FALSE)),0,VLOOKUP($A2026,'13. Updated Demand'!A:Z,22,FALSE))</f>
        <v>0</v>
      </c>
      <c r="AF2026" s="16">
        <f>IF(ISERROR(VLOOKUP($A2026,'13. Updated Demand'!A:Z,23,FALSE)),0,VLOOKUP($A2026,'13. Updated Demand'!A:Z,23,FALSE))</f>
        <v>0</v>
      </c>
      <c r="AG2026" s="16">
        <f>IF(ISERROR(VLOOKUP($A2026,'13. Updated Demand'!A:Z,24,FALSE)),0,VLOOKUP($A2026,'13. Updated Demand'!A:Z,24,FALSE))</f>
        <v>0</v>
      </c>
      <c r="AH2026" s="16">
        <f>IF(ISERROR(VLOOKUP($A2026,'13. Updated Demand'!A:Z,25,FALSE)),0,VLOOKUP($A2026,'13. Updated Demand'!A:Z,25,FALSE))</f>
        <v>0</v>
      </c>
      <c r="AI2026" s="16">
        <f>IF(ISERROR(VLOOKUP($A2026,'13. Updated Demand'!A:Z,26,FALSE)),0,VLOOKUP($A2026,'13. Updated Demand'!A:Z,26,FALSE))</f>
        <v>0</v>
      </c>
      <c r="AJ2026" s="16">
        <f t="shared" si="385"/>
        <v>0</v>
      </c>
      <c r="AK2026" s="19">
        <v>0</v>
      </c>
      <c r="AL2026" s="16">
        <f t="shared" si="383"/>
        <v>0</v>
      </c>
      <c r="AM2026" s="26">
        <v>0</v>
      </c>
      <c r="AN2026" s="19">
        <v>125.1</v>
      </c>
      <c r="AO2026" s="19" t="s">
        <v>1758</v>
      </c>
      <c r="AP2026" s="19">
        <v>0</v>
      </c>
      <c r="AQ2026" s="19" t="s">
        <v>307</v>
      </c>
      <c r="AR2026" s="9" t="s">
        <v>354</v>
      </c>
      <c r="AS2026" s="12">
        <v>0</v>
      </c>
      <c r="AT2026" s="19">
        <v>38.8508</v>
      </c>
      <c r="AU2026" s="19">
        <v>-122.99420000000001</v>
      </c>
      <c r="AV2026" s="19"/>
    </row>
    <row r="2027" spans="1:48" x14ac:dyDescent="0.25">
      <c r="A2027" s="18" t="s">
        <v>2461</v>
      </c>
      <c r="B2027" s="10">
        <v>10000000</v>
      </c>
      <c r="C2027" s="9">
        <v>12</v>
      </c>
      <c r="D2027" s="8" t="str">
        <f t="shared" si="374"/>
        <v>N</v>
      </c>
      <c r="E2027" s="8" t="str">
        <f t="shared" si="375"/>
        <v>Y</v>
      </c>
      <c r="F2027" s="8" t="str">
        <f t="shared" si="376"/>
        <v>Y</v>
      </c>
      <c r="G2027" s="8" t="str">
        <f t="shared" si="377"/>
        <v>Y</v>
      </c>
      <c r="H2027" s="8" t="str">
        <f t="shared" si="378"/>
        <v>Upper</v>
      </c>
      <c r="I2027" s="8" t="str">
        <f t="shared" si="379"/>
        <v>West Fork and Below Lake</v>
      </c>
      <c r="J2027" s="8" t="str">
        <f t="shared" si="380"/>
        <v>Sonoma (d/s of Clov. Gage)</v>
      </c>
      <c r="K2027" s="8" t="str">
        <f t="shared" si="381"/>
        <v>Riparian</v>
      </c>
      <c r="L2027" s="8">
        <f t="shared" si="382"/>
        <v>1000</v>
      </c>
      <c r="M2027" s="8" t="str">
        <f t="shared" si="384"/>
        <v>-</v>
      </c>
      <c r="N2027" s="10" t="s">
        <v>242</v>
      </c>
      <c r="O2027" s="10" t="s">
        <v>241</v>
      </c>
      <c r="P2027" s="10" t="s">
        <v>242</v>
      </c>
      <c r="Q2027" s="10" t="s">
        <v>242</v>
      </c>
      <c r="R2027" s="10" t="s">
        <v>242</v>
      </c>
      <c r="S2027" s="10" t="s">
        <v>241</v>
      </c>
      <c r="T2027" s="10" t="s">
        <v>242</v>
      </c>
      <c r="U2027" s="10" t="s">
        <v>242</v>
      </c>
      <c r="V2027" s="10" t="s">
        <v>241</v>
      </c>
      <c r="W2027" s="10" t="s">
        <v>242</v>
      </c>
      <c r="X2027" s="15">
        <f>IF(ISERROR(VLOOKUP($A2027,'13. Updated Demand'!A:Z,15,FALSE)),0,VLOOKUP($A2027,'13. Updated Demand'!A:Z,15,FALSE))</f>
        <v>0.01</v>
      </c>
      <c r="Y2027" s="16">
        <f>IF(ISERROR(VLOOKUP($A2027,'13. Updated Demand'!A:Z,16,FALSE)),0,VLOOKUP($A2027,'13. Updated Demand'!A:Z,16,FALSE))</f>
        <v>0.01</v>
      </c>
      <c r="Z2027" s="16">
        <f>IF(ISERROR(VLOOKUP($A2027,'13. Updated Demand'!A:Z,17,FALSE)),0,VLOOKUP($A2027,'13. Updated Demand'!A:Z,17,FALSE))</f>
        <v>0.01</v>
      </c>
      <c r="AA2027" s="16">
        <f>IF(ISERROR(VLOOKUP($A2027,'13. Updated Demand'!A:Z,18,FALSE)),0,VLOOKUP($A2027,'13. Updated Demand'!A:Z,18,FALSE))</f>
        <v>0</v>
      </c>
      <c r="AB2027" s="16">
        <f>IF(ISERROR(VLOOKUP($A2027,'13. Updated Demand'!A:Z,19,FALSE)),0,VLOOKUP($A2027,'13. Updated Demand'!A:Z,19,FALSE))</f>
        <v>0</v>
      </c>
      <c r="AC2027" s="16">
        <f>IF(ISERROR(VLOOKUP($A2027,'13. Updated Demand'!A:Z,20,FALSE)),0,VLOOKUP($A2027,'13. Updated Demand'!A:Z,20,FALSE))</f>
        <v>0</v>
      </c>
      <c r="AD2027" s="16">
        <f>IF(ISERROR(VLOOKUP($A2027,'13. Updated Demand'!A:Z,21,FALSE)),0,VLOOKUP($A2027,'13. Updated Demand'!A:Z,21,FALSE))</f>
        <v>0</v>
      </c>
      <c r="AE2027" s="16">
        <f>IF(ISERROR(VLOOKUP($A2027,'13. Updated Demand'!A:Z,22,FALSE)),0,VLOOKUP($A2027,'13. Updated Demand'!A:Z,22,FALSE))</f>
        <v>0</v>
      </c>
      <c r="AF2027" s="16">
        <f>IF(ISERROR(VLOOKUP($A2027,'13. Updated Demand'!A:Z,23,FALSE)),0,VLOOKUP($A2027,'13. Updated Demand'!A:Z,23,FALSE))</f>
        <v>0</v>
      </c>
      <c r="AG2027" s="16">
        <f>IF(ISERROR(VLOOKUP($A2027,'13. Updated Demand'!A:Z,24,FALSE)),0,VLOOKUP($A2027,'13. Updated Demand'!A:Z,24,FALSE))</f>
        <v>0.01</v>
      </c>
      <c r="AH2027" s="16">
        <f>IF(ISERROR(VLOOKUP($A2027,'13. Updated Demand'!A:Z,25,FALSE)),0,VLOOKUP($A2027,'13. Updated Demand'!A:Z,25,FALSE))</f>
        <v>0.03</v>
      </c>
      <c r="AI2027" s="16">
        <f>IF(ISERROR(VLOOKUP($A2027,'13. Updated Demand'!A:Z,26,FALSE)),0,VLOOKUP($A2027,'13. Updated Demand'!A:Z,26,FALSE))</f>
        <v>0.03</v>
      </c>
      <c r="AJ2027" s="16">
        <f t="shared" si="385"/>
        <v>0.1</v>
      </c>
      <c r="AK2027" s="19">
        <v>0</v>
      </c>
      <c r="AL2027" s="16">
        <f t="shared" si="383"/>
        <v>0</v>
      </c>
      <c r="AM2027" s="26">
        <v>6.7488802994048721E-3</v>
      </c>
      <c r="AN2027" s="19">
        <v>16.298999999999999</v>
      </c>
      <c r="AO2027" s="19" t="s">
        <v>1758</v>
      </c>
      <c r="AP2027" s="19">
        <v>0</v>
      </c>
      <c r="AQ2027" s="19" t="s">
        <v>307</v>
      </c>
      <c r="AR2027" s="9" t="s">
        <v>311</v>
      </c>
      <c r="AS2027" s="12">
        <v>3.4039024194010059E-4</v>
      </c>
      <c r="AT2027" s="19">
        <v>38.586799999999997</v>
      </c>
      <c r="AU2027" s="19">
        <v>-122.75660000000001</v>
      </c>
      <c r="AV2027" s="19" t="s">
        <v>1229</v>
      </c>
    </row>
    <row r="2028" spans="1:48" x14ac:dyDescent="0.25">
      <c r="A2028" s="18" t="s">
        <v>2462</v>
      </c>
      <c r="B2028" s="10">
        <v>10000000</v>
      </c>
      <c r="C2028" s="9">
        <v>12</v>
      </c>
      <c r="D2028" s="8" t="str">
        <f t="shared" si="374"/>
        <v>N</v>
      </c>
      <c r="E2028" s="8" t="str">
        <f t="shared" si="375"/>
        <v>Y</v>
      </c>
      <c r="F2028" s="8" t="str">
        <f t="shared" si="376"/>
        <v>Y</v>
      </c>
      <c r="G2028" s="8" t="str">
        <f t="shared" si="377"/>
        <v>Y</v>
      </c>
      <c r="H2028" s="8" t="str">
        <f t="shared" si="378"/>
        <v>Upper</v>
      </c>
      <c r="I2028" s="8" t="str">
        <f t="shared" si="379"/>
        <v>West Fork and Below Lake</v>
      </c>
      <c r="J2028" s="8" t="str">
        <f t="shared" si="380"/>
        <v>Sonoma (d/s of Clov. Gage)</v>
      </c>
      <c r="K2028" s="8" t="str">
        <f t="shared" si="381"/>
        <v>Riparian</v>
      </c>
      <c r="L2028" s="8">
        <f t="shared" si="382"/>
        <v>1000</v>
      </c>
      <c r="M2028" s="8" t="str">
        <f t="shared" si="384"/>
        <v>-</v>
      </c>
      <c r="N2028" s="10" t="s">
        <v>242</v>
      </c>
      <c r="O2028" s="10" t="s">
        <v>241</v>
      </c>
      <c r="P2028" s="10" t="s">
        <v>242</v>
      </c>
      <c r="Q2028" s="10" t="s">
        <v>242</v>
      </c>
      <c r="R2028" s="10" t="s">
        <v>242</v>
      </c>
      <c r="S2028" s="10" t="s">
        <v>241</v>
      </c>
      <c r="T2028" s="10" t="s">
        <v>242</v>
      </c>
      <c r="U2028" s="10" t="s">
        <v>242</v>
      </c>
      <c r="V2028" s="10" t="s">
        <v>241</v>
      </c>
      <c r="W2028" s="10" t="s">
        <v>242</v>
      </c>
      <c r="X2028" s="15">
        <f>IF(ISERROR(VLOOKUP($A2028,'13. Updated Demand'!A:Z,15,FALSE)),0,VLOOKUP($A2028,'13. Updated Demand'!A:Z,15,FALSE))</f>
        <v>0.2</v>
      </c>
      <c r="Y2028" s="16">
        <f>IF(ISERROR(VLOOKUP($A2028,'13. Updated Demand'!A:Z,16,FALSE)),0,VLOOKUP($A2028,'13. Updated Demand'!A:Z,16,FALSE))</f>
        <v>0.2</v>
      </c>
      <c r="Z2028" s="16">
        <f>IF(ISERROR(VLOOKUP($A2028,'13. Updated Demand'!A:Z,17,FALSE)),0,VLOOKUP($A2028,'13. Updated Demand'!A:Z,17,FALSE))</f>
        <v>0</v>
      </c>
      <c r="AA2028" s="16">
        <f>IF(ISERROR(VLOOKUP($A2028,'13. Updated Demand'!A:Z,18,FALSE)),0,VLOOKUP($A2028,'13. Updated Demand'!A:Z,18,FALSE))</f>
        <v>0</v>
      </c>
      <c r="AB2028" s="16">
        <f>IF(ISERROR(VLOOKUP($A2028,'13. Updated Demand'!A:Z,19,FALSE)),0,VLOOKUP($A2028,'13. Updated Demand'!A:Z,19,FALSE))</f>
        <v>0</v>
      </c>
      <c r="AC2028" s="16">
        <f>IF(ISERROR(VLOOKUP($A2028,'13. Updated Demand'!A:Z,20,FALSE)),0,VLOOKUP($A2028,'13. Updated Demand'!A:Z,20,FALSE))</f>
        <v>0</v>
      </c>
      <c r="AD2028" s="16">
        <f>IF(ISERROR(VLOOKUP($A2028,'13. Updated Demand'!A:Z,21,FALSE)),0,VLOOKUP($A2028,'13. Updated Demand'!A:Z,21,FALSE))</f>
        <v>0</v>
      </c>
      <c r="AE2028" s="16">
        <f>IF(ISERROR(VLOOKUP($A2028,'13. Updated Demand'!A:Z,22,FALSE)),0,VLOOKUP($A2028,'13. Updated Demand'!A:Z,22,FALSE))</f>
        <v>0</v>
      </c>
      <c r="AF2028" s="16">
        <f>IF(ISERROR(VLOOKUP($A2028,'13. Updated Demand'!A:Z,23,FALSE)),0,VLOOKUP($A2028,'13. Updated Demand'!A:Z,23,FALSE))</f>
        <v>0</v>
      </c>
      <c r="AG2028" s="16">
        <f>IF(ISERROR(VLOOKUP($A2028,'13. Updated Demand'!A:Z,24,FALSE)),0,VLOOKUP($A2028,'13. Updated Demand'!A:Z,24,FALSE))</f>
        <v>0</v>
      </c>
      <c r="AH2028" s="16">
        <f>IF(ISERROR(VLOOKUP($A2028,'13. Updated Demand'!A:Z,25,FALSE)),0,VLOOKUP($A2028,'13. Updated Demand'!A:Z,25,FALSE))</f>
        <v>0</v>
      </c>
      <c r="AI2028" s="16">
        <f>IF(ISERROR(VLOOKUP($A2028,'13. Updated Demand'!A:Z,26,FALSE)),0,VLOOKUP($A2028,'13. Updated Demand'!A:Z,26,FALSE))</f>
        <v>0.6</v>
      </c>
      <c r="AJ2028" s="16">
        <f t="shared" si="385"/>
        <v>1</v>
      </c>
      <c r="AK2028" s="19">
        <v>0</v>
      </c>
      <c r="AL2028" s="16">
        <f t="shared" si="383"/>
        <v>0</v>
      </c>
      <c r="AM2028" s="26">
        <v>0.66666666666666663</v>
      </c>
      <c r="AN2028" s="19">
        <v>1.5</v>
      </c>
      <c r="AO2028" s="19" t="s">
        <v>1758</v>
      </c>
      <c r="AP2028" s="19">
        <v>0</v>
      </c>
      <c r="AQ2028" s="19" t="s">
        <v>307</v>
      </c>
      <c r="AR2028" s="9" t="s">
        <v>311</v>
      </c>
      <c r="AS2028" s="12">
        <v>0</v>
      </c>
      <c r="AT2028" s="19">
        <v>38.606299999999997</v>
      </c>
      <c r="AU2028" s="19">
        <v>-122.758</v>
      </c>
      <c r="AV2028" s="19"/>
    </row>
    <row r="2029" spans="1:48" x14ac:dyDescent="0.25">
      <c r="A2029" s="18" t="s">
        <v>2463</v>
      </c>
      <c r="B2029" s="10">
        <v>10000000</v>
      </c>
      <c r="C2029" s="9">
        <v>12</v>
      </c>
      <c r="D2029" s="8" t="str">
        <f t="shared" si="374"/>
        <v>N</v>
      </c>
      <c r="E2029" s="8" t="str">
        <f t="shared" si="375"/>
        <v>Y</v>
      </c>
      <c r="F2029" s="8" t="str">
        <f t="shared" si="376"/>
        <v>Y</v>
      </c>
      <c r="G2029" s="8" t="str">
        <f t="shared" si="377"/>
        <v>Y</v>
      </c>
      <c r="H2029" s="8" t="str">
        <f t="shared" si="378"/>
        <v>Upper</v>
      </c>
      <c r="I2029" s="8" t="str">
        <f t="shared" si="379"/>
        <v>West Fork and Below Lake</v>
      </c>
      <c r="J2029" s="8" t="str">
        <f t="shared" si="380"/>
        <v>Sonoma (d/s of Clov. Gage)</v>
      </c>
      <c r="K2029" s="8" t="str">
        <f t="shared" si="381"/>
        <v>Riparian</v>
      </c>
      <c r="L2029" s="8">
        <f t="shared" si="382"/>
        <v>1000</v>
      </c>
      <c r="M2029" s="8" t="str">
        <f t="shared" si="384"/>
        <v>-</v>
      </c>
      <c r="N2029" s="10" t="s">
        <v>242</v>
      </c>
      <c r="O2029" s="10" t="s">
        <v>241</v>
      </c>
      <c r="P2029" s="10" t="s">
        <v>242</v>
      </c>
      <c r="Q2029" s="10" t="s">
        <v>242</v>
      </c>
      <c r="R2029" s="10" t="s">
        <v>242</v>
      </c>
      <c r="S2029" s="10" t="s">
        <v>241</v>
      </c>
      <c r="T2029" s="10" t="s">
        <v>242</v>
      </c>
      <c r="U2029" s="10" t="s">
        <v>242</v>
      </c>
      <c r="V2029" s="10" t="s">
        <v>242</v>
      </c>
      <c r="W2029" s="10" t="s">
        <v>242</v>
      </c>
      <c r="X2029" s="15">
        <f>IF(ISERROR(VLOOKUP($A2029,'13. Updated Demand'!A:Z,15,FALSE)),0,VLOOKUP($A2029,'13. Updated Demand'!A:Z,15,FALSE))</f>
        <v>0</v>
      </c>
      <c r="Y2029" s="16">
        <f>IF(ISERROR(VLOOKUP($A2029,'13. Updated Demand'!A:Z,16,FALSE)),0,VLOOKUP($A2029,'13. Updated Demand'!A:Z,16,FALSE))</f>
        <v>0.6</v>
      </c>
      <c r="Z2029" s="16">
        <f>IF(ISERROR(VLOOKUP($A2029,'13. Updated Demand'!A:Z,17,FALSE)),0,VLOOKUP($A2029,'13. Updated Demand'!A:Z,17,FALSE))</f>
        <v>0</v>
      </c>
      <c r="AA2029" s="16">
        <f>IF(ISERROR(VLOOKUP($A2029,'13. Updated Demand'!A:Z,18,FALSE)),0,VLOOKUP($A2029,'13. Updated Demand'!A:Z,18,FALSE))</f>
        <v>0.06</v>
      </c>
      <c r="AB2029" s="16">
        <f>IF(ISERROR(VLOOKUP($A2029,'13. Updated Demand'!A:Z,19,FALSE)),0,VLOOKUP($A2029,'13. Updated Demand'!A:Z,19,FALSE))</f>
        <v>0</v>
      </c>
      <c r="AC2029" s="16">
        <f>IF(ISERROR(VLOOKUP($A2029,'13. Updated Demand'!A:Z,20,FALSE)),0,VLOOKUP($A2029,'13. Updated Demand'!A:Z,20,FALSE))</f>
        <v>0</v>
      </c>
      <c r="AD2029" s="16">
        <f>IF(ISERROR(VLOOKUP($A2029,'13. Updated Demand'!A:Z,21,FALSE)),0,VLOOKUP($A2029,'13. Updated Demand'!A:Z,21,FALSE))</f>
        <v>0.3</v>
      </c>
      <c r="AE2029" s="16">
        <f>IF(ISERROR(VLOOKUP($A2029,'13. Updated Demand'!A:Z,22,FALSE)),0,VLOOKUP($A2029,'13. Updated Demand'!A:Z,22,FALSE))</f>
        <v>0</v>
      </c>
      <c r="AF2029" s="16">
        <f>IF(ISERROR(VLOOKUP($A2029,'13. Updated Demand'!A:Z,23,FALSE)),0,VLOOKUP($A2029,'13. Updated Demand'!A:Z,23,FALSE))</f>
        <v>0</v>
      </c>
      <c r="AG2029" s="16">
        <f>IF(ISERROR(VLOOKUP($A2029,'13. Updated Demand'!A:Z,24,FALSE)),0,VLOOKUP($A2029,'13. Updated Demand'!A:Z,24,FALSE))</f>
        <v>0</v>
      </c>
      <c r="AH2029" s="16">
        <f>IF(ISERROR(VLOOKUP($A2029,'13. Updated Demand'!A:Z,25,FALSE)),0,VLOOKUP($A2029,'13. Updated Demand'!A:Z,25,FALSE))</f>
        <v>0.3</v>
      </c>
      <c r="AI2029" s="16">
        <f>IF(ISERROR(VLOOKUP($A2029,'13. Updated Demand'!A:Z,26,FALSE)),0,VLOOKUP($A2029,'13. Updated Demand'!A:Z,26,FALSE))</f>
        <v>1.03</v>
      </c>
      <c r="AJ2029" s="16">
        <f t="shared" si="385"/>
        <v>2.29</v>
      </c>
      <c r="AK2029" s="19">
        <v>0.3</v>
      </c>
      <c r="AL2029" s="16">
        <f t="shared" si="383"/>
        <v>9.9506582678865279E-4</v>
      </c>
      <c r="AM2029" s="26">
        <v>0</v>
      </c>
      <c r="AN2029" s="19">
        <v>0</v>
      </c>
      <c r="AO2029" s="19" t="s">
        <v>1758</v>
      </c>
      <c r="AP2029" s="19">
        <v>0</v>
      </c>
      <c r="AQ2029" s="19" t="s">
        <v>307</v>
      </c>
      <c r="AR2029" s="9" t="s">
        <v>311</v>
      </c>
      <c r="AS2029" s="12">
        <v>0</v>
      </c>
      <c r="AT2029" s="19">
        <v>38.607100000000003</v>
      </c>
      <c r="AU2029" s="19">
        <v>-122.7573</v>
      </c>
      <c r="AV2029" s="19"/>
    </row>
    <row r="2030" spans="1:48" x14ac:dyDescent="0.25">
      <c r="A2030" s="18" t="s">
        <v>2464</v>
      </c>
      <c r="B2030" s="10">
        <v>10000000</v>
      </c>
      <c r="C2030" s="9">
        <v>12</v>
      </c>
      <c r="D2030" s="8" t="str">
        <f t="shared" si="374"/>
        <v>N</v>
      </c>
      <c r="E2030" s="8" t="str">
        <f t="shared" si="375"/>
        <v>Y</v>
      </c>
      <c r="F2030" s="8" t="str">
        <f t="shared" si="376"/>
        <v>Y</v>
      </c>
      <c r="G2030" s="8" t="str">
        <f t="shared" si="377"/>
        <v>Y</v>
      </c>
      <c r="H2030" s="8" t="str">
        <f t="shared" si="378"/>
        <v>Upper</v>
      </c>
      <c r="I2030" s="8" t="str">
        <f t="shared" si="379"/>
        <v>West Fork and Below Lake</v>
      </c>
      <c r="J2030" s="8" t="str">
        <f t="shared" si="380"/>
        <v>Sonoma (d/s of Clov. Gage)</v>
      </c>
      <c r="K2030" s="8" t="str">
        <f t="shared" si="381"/>
        <v>Riparian</v>
      </c>
      <c r="L2030" s="8">
        <f t="shared" si="382"/>
        <v>1000</v>
      </c>
      <c r="M2030" s="8" t="str">
        <f t="shared" si="384"/>
        <v>-</v>
      </c>
      <c r="N2030" s="10" t="s">
        <v>242</v>
      </c>
      <c r="O2030" s="10" t="s">
        <v>241</v>
      </c>
      <c r="P2030" s="10" t="s">
        <v>242</v>
      </c>
      <c r="Q2030" s="10" t="s">
        <v>242</v>
      </c>
      <c r="R2030" s="10" t="s">
        <v>242</v>
      </c>
      <c r="S2030" s="10" t="s">
        <v>241</v>
      </c>
      <c r="T2030" s="10" t="s">
        <v>242</v>
      </c>
      <c r="U2030" s="10" t="s">
        <v>242</v>
      </c>
      <c r="V2030" s="10" t="s">
        <v>241</v>
      </c>
      <c r="W2030" s="10" t="s">
        <v>242</v>
      </c>
      <c r="X2030" s="15">
        <f>IF(ISERROR(VLOOKUP($A2030,'13. Updated Demand'!A:Z,15,FALSE)),0,VLOOKUP($A2030,'13. Updated Demand'!A:Z,15,FALSE))</f>
        <v>1.73</v>
      </c>
      <c r="Y2030" s="16">
        <f>IF(ISERROR(VLOOKUP($A2030,'13. Updated Demand'!A:Z,16,FALSE)),0,VLOOKUP($A2030,'13. Updated Demand'!A:Z,16,FALSE))</f>
        <v>1.73</v>
      </c>
      <c r="Z2030" s="16">
        <f>IF(ISERROR(VLOOKUP($A2030,'13. Updated Demand'!A:Z,17,FALSE)),0,VLOOKUP($A2030,'13. Updated Demand'!A:Z,17,FALSE))</f>
        <v>4.66</v>
      </c>
      <c r="AA2030" s="16">
        <f>IF(ISERROR(VLOOKUP($A2030,'13. Updated Demand'!A:Z,18,FALSE)),0,VLOOKUP($A2030,'13. Updated Demand'!A:Z,18,FALSE))</f>
        <v>0.33</v>
      </c>
      <c r="AB2030" s="16">
        <f>IF(ISERROR(VLOOKUP($A2030,'13. Updated Demand'!A:Z,19,FALSE)),0,VLOOKUP($A2030,'13. Updated Demand'!A:Z,19,FALSE))</f>
        <v>0</v>
      </c>
      <c r="AC2030" s="16">
        <f>IF(ISERROR(VLOOKUP($A2030,'13. Updated Demand'!A:Z,20,FALSE)),0,VLOOKUP($A2030,'13. Updated Demand'!A:Z,20,FALSE))</f>
        <v>0</v>
      </c>
      <c r="AD2030" s="16">
        <f>IF(ISERROR(VLOOKUP($A2030,'13. Updated Demand'!A:Z,21,FALSE)),0,VLOOKUP($A2030,'13. Updated Demand'!A:Z,21,FALSE))</f>
        <v>0</v>
      </c>
      <c r="AE2030" s="16">
        <f>IF(ISERROR(VLOOKUP($A2030,'13. Updated Demand'!A:Z,22,FALSE)),0,VLOOKUP($A2030,'13. Updated Demand'!A:Z,22,FALSE))</f>
        <v>0</v>
      </c>
      <c r="AF2030" s="16">
        <f>IF(ISERROR(VLOOKUP($A2030,'13. Updated Demand'!A:Z,23,FALSE)),0,VLOOKUP($A2030,'13. Updated Demand'!A:Z,23,FALSE))</f>
        <v>0</v>
      </c>
      <c r="AG2030" s="16">
        <f>IF(ISERROR(VLOOKUP($A2030,'13. Updated Demand'!A:Z,24,FALSE)),0,VLOOKUP($A2030,'13. Updated Demand'!A:Z,24,FALSE))</f>
        <v>0</v>
      </c>
      <c r="AH2030" s="16">
        <f>IF(ISERROR(VLOOKUP($A2030,'13. Updated Demand'!A:Z,25,FALSE)),0,VLOOKUP($A2030,'13. Updated Demand'!A:Z,25,FALSE))</f>
        <v>0.1</v>
      </c>
      <c r="AI2030" s="16">
        <f>IF(ISERROR(VLOOKUP($A2030,'13. Updated Demand'!A:Z,26,FALSE)),0,VLOOKUP($A2030,'13. Updated Demand'!A:Z,26,FALSE))</f>
        <v>0.7</v>
      </c>
      <c r="AJ2030" s="16">
        <f t="shared" si="385"/>
        <v>9.25</v>
      </c>
      <c r="AK2030" s="19">
        <v>0</v>
      </c>
      <c r="AL2030" s="16">
        <f t="shared" si="383"/>
        <v>0</v>
      </c>
      <c r="AM2030" s="26">
        <v>1.1031746030952378</v>
      </c>
      <c r="AN2030" s="19">
        <v>8.4</v>
      </c>
      <c r="AO2030" s="19" t="s">
        <v>1758</v>
      </c>
      <c r="AP2030" s="19">
        <v>0</v>
      </c>
      <c r="AQ2030" s="19" t="s">
        <v>307</v>
      </c>
      <c r="AR2030" s="9" t="s">
        <v>311</v>
      </c>
      <c r="AS2030" s="12">
        <v>0</v>
      </c>
      <c r="AT2030" s="19">
        <v>38.600999999999999</v>
      </c>
      <c r="AU2030" s="19">
        <v>-122.7535</v>
      </c>
      <c r="AV2030" s="19"/>
    </row>
    <row r="2031" spans="1:48" x14ac:dyDescent="0.25">
      <c r="A2031" s="18" t="s">
        <v>2465</v>
      </c>
      <c r="B2031" s="10">
        <v>10000000</v>
      </c>
      <c r="C2031" s="9">
        <v>1</v>
      </c>
      <c r="D2031" s="8" t="str">
        <f t="shared" si="374"/>
        <v>N</v>
      </c>
      <c r="E2031" s="8" t="str">
        <f t="shared" si="375"/>
        <v>N</v>
      </c>
      <c r="F2031" s="8" t="str">
        <f t="shared" si="376"/>
        <v>Y</v>
      </c>
      <c r="G2031" s="8" t="str">
        <f t="shared" si="377"/>
        <v>Y</v>
      </c>
      <c r="H2031" s="8" t="str">
        <f t="shared" si="378"/>
        <v>Upper</v>
      </c>
      <c r="I2031" s="8" t="str">
        <f t="shared" si="379"/>
        <v>West Fork and Below Lake</v>
      </c>
      <c r="J2031" s="8" t="str">
        <f t="shared" si="380"/>
        <v>Outside</v>
      </c>
      <c r="K2031" s="8" t="str">
        <f t="shared" si="381"/>
        <v>Riparian</v>
      </c>
      <c r="L2031" s="8">
        <f t="shared" si="382"/>
        <v>1000</v>
      </c>
      <c r="M2031" s="8" t="str">
        <f t="shared" si="384"/>
        <v>-</v>
      </c>
      <c r="N2031" s="10" t="s">
        <v>242</v>
      </c>
      <c r="O2031" s="10" t="s">
        <v>241</v>
      </c>
      <c r="P2031" s="10" t="s">
        <v>242</v>
      </c>
      <c r="Q2031" s="10" t="s">
        <v>242</v>
      </c>
      <c r="R2031" s="10" t="s">
        <v>242</v>
      </c>
      <c r="S2031" s="10" t="s">
        <v>241</v>
      </c>
      <c r="T2031" s="10" t="s">
        <v>242</v>
      </c>
      <c r="U2031" s="10" t="s">
        <v>242</v>
      </c>
      <c r="V2031" s="10" t="s">
        <v>242</v>
      </c>
      <c r="W2031" s="10" t="s">
        <v>242</v>
      </c>
      <c r="X2031" s="15">
        <f>IF(ISERROR(VLOOKUP($A2031,'13. Updated Demand'!A:Z,15,FALSE)),0,VLOOKUP($A2031,'13. Updated Demand'!A:Z,15,FALSE))</f>
        <v>0</v>
      </c>
      <c r="Y2031" s="16">
        <f>IF(ISERROR(VLOOKUP($A2031,'13. Updated Demand'!A:Z,16,FALSE)),0,VLOOKUP($A2031,'13. Updated Demand'!A:Z,16,FALSE))</f>
        <v>0</v>
      </c>
      <c r="Z2031" s="16">
        <f>IF(ISERROR(VLOOKUP($A2031,'13. Updated Demand'!A:Z,17,FALSE)),0,VLOOKUP($A2031,'13. Updated Demand'!A:Z,17,FALSE))</f>
        <v>0</v>
      </c>
      <c r="AA2031" s="16">
        <f>IF(ISERROR(VLOOKUP($A2031,'13. Updated Demand'!A:Z,18,FALSE)),0,VLOOKUP($A2031,'13. Updated Demand'!A:Z,18,FALSE))</f>
        <v>6.6666700000000002E-4</v>
      </c>
      <c r="AB2031" s="16">
        <f>IF(ISERROR(VLOOKUP($A2031,'13. Updated Demand'!A:Z,19,FALSE)),0,VLOOKUP($A2031,'13. Updated Demand'!A:Z,19,FALSE))</f>
        <v>2E-3</v>
      </c>
      <c r="AC2031" s="16">
        <f>IF(ISERROR(VLOOKUP($A2031,'13. Updated Demand'!A:Z,20,FALSE)),0,VLOOKUP($A2031,'13. Updated Demand'!A:Z,20,FALSE))</f>
        <v>0.33</v>
      </c>
      <c r="AD2031" s="16">
        <f>IF(ISERROR(VLOOKUP($A2031,'13. Updated Demand'!A:Z,21,FALSE)),0,VLOOKUP($A2031,'13. Updated Demand'!A:Z,21,FALSE))</f>
        <v>1.5E-3</v>
      </c>
      <c r="AE2031" s="16">
        <f>IF(ISERROR(VLOOKUP($A2031,'13. Updated Demand'!A:Z,22,FALSE)),0,VLOOKUP($A2031,'13. Updated Demand'!A:Z,22,FALSE))</f>
        <v>0.33</v>
      </c>
      <c r="AF2031" s="16">
        <f>IF(ISERROR(VLOOKUP($A2031,'13. Updated Demand'!A:Z,23,FALSE)),0,VLOOKUP($A2031,'13. Updated Demand'!A:Z,23,FALSE))</f>
        <v>0</v>
      </c>
      <c r="AG2031" s="16">
        <f>IF(ISERROR(VLOOKUP($A2031,'13. Updated Demand'!A:Z,24,FALSE)),0,VLOOKUP($A2031,'13. Updated Demand'!A:Z,24,FALSE))</f>
        <v>3.33333E-4</v>
      </c>
      <c r="AH2031" s="16">
        <f>IF(ISERROR(VLOOKUP($A2031,'13. Updated Demand'!A:Z,25,FALSE)),0,VLOOKUP($A2031,'13. Updated Demand'!A:Z,25,FALSE))</f>
        <v>0</v>
      </c>
      <c r="AI2031" s="16">
        <f>IF(ISERROR(VLOOKUP($A2031,'13. Updated Demand'!A:Z,26,FALSE)),0,VLOOKUP($A2031,'13. Updated Demand'!A:Z,26,FALSE))</f>
        <v>0</v>
      </c>
      <c r="AJ2031" s="16">
        <f t="shared" si="385"/>
        <v>0.66450000000000009</v>
      </c>
      <c r="AK2031" s="19">
        <v>0.67023333399999996</v>
      </c>
      <c r="AL2031" s="16">
        <f t="shared" si="383"/>
        <v>2.2230876221267506E-3</v>
      </c>
      <c r="AM2031" s="26">
        <v>33.561666700000004</v>
      </c>
      <c r="AN2031" s="19">
        <v>0.02</v>
      </c>
      <c r="AO2031" s="19" t="s">
        <v>1758</v>
      </c>
      <c r="AP2031" s="19">
        <v>0</v>
      </c>
      <c r="AQ2031" s="19" t="s">
        <v>307</v>
      </c>
      <c r="AR2031" s="9" t="s">
        <v>317</v>
      </c>
      <c r="AS2031" s="12">
        <v>3.4039024194010059E-4</v>
      </c>
      <c r="AT2031" s="19">
        <v>39.284399999999998</v>
      </c>
      <c r="AU2031" s="19">
        <v>-123.3507</v>
      </c>
      <c r="AV2031" s="19"/>
    </row>
    <row r="2032" spans="1:48" x14ac:dyDescent="0.25">
      <c r="A2032" s="18" t="s">
        <v>2466</v>
      </c>
      <c r="B2032" s="10">
        <v>10000000</v>
      </c>
      <c r="C2032" s="9">
        <v>15</v>
      </c>
      <c r="D2032" s="8" t="str">
        <f t="shared" si="374"/>
        <v>N</v>
      </c>
      <c r="E2032" s="8" t="str">
        <f t="shared" si="375"/>
        <v>N</v>
      </c>
      <c r="F2032" s="8" t="str">
        <f t="shared" si="376"/>
        <v>N</v>
      </c>
      <c r="G2032" s="8" t="str">
        <f t="shared" si="377"/>
        <v>N</v>
      </c>
      <c r="H2032" s="8" t="str">
        <f t="shared" si="378"/>
        <v>Lower</v>
      </c>
      <c r="I2032" s="8" t="str">
        <f t="shared" si="379"/>
        <v>Outside</v>
      </c>
      <c r="J2032" s="8" t="str">
        <f t="shared" si="380"/>
        <v>Outside</v>
      </c>
      <c r="K2032" s="8" t="str">
        <f t="shared" si="381"/>
        <v>Riparian</v>
      </c>
      <c r="L2032" s="8">
        <f t="shared" si="382"/>
        <v>1000</v>
      </c>
      <c r="M2032" s="8" t="str">
        <f t="shared" si="384"/>
        <v>-</v>
      </c>
      <c r="N2032" s="10" t="s">
        <v>242</v>
      </c>
      <c r="O2032" s="10" t="s">
        <v>242</v>
      </c>
      <c r="P2032" s="10" t="s">
        <v>242</v>
      </c>
      <c r="Q2032" s="10" t="s">
        <v>242</v>
      </c>
      <c r="R2032" s="10" t="s">
        <v>242</v>
      </c>
      <c r="S2032" s="10" t="s">
        <v>241</v>
      </c>
      <c r="T2032" s="10" t="s">
        <v>242</v>
      </c>
      <c r="U2032" s="10" t="s">
        <v>241</v>
      </c>
      <c r="V2032" s="10" t="s">
        <v>241</v>
      </c>
      <c r="W2032" s="10" t="s">
        <v>242</v>
      </c>
      <c r="X2032" s="15">
        <f>IF(ISERROR(VLOOKUP($A2032,'13. Updated Demand'!A:Z,15,FALSE)),0,VLOOKUP($A2032,'13. Updated Demand'!A:Z,15,FALSE))</f>
        <v>0</v>
      </c>
      <c r="Y2032" s="16">
        <f>IF(ISERROR(VLOOKUP($A2032,'13. Updated Demand'!A:Z,16,FALSE)),0,VLOOKUP($A2032,'13. Updated Demand'!A:Z,16,FALSE))</f>
        <v>0</v>
      </c>
      <c r="Z2032" s="16">
        <f>IF(ISERROR(VLOOKUP($A2032,'13. Updated Demand'!A:Z,17,FALSE)),0,VLOOKUP($A2032,'13. Updated Demand'!A:Z,17,FALSE))</f>
        <v>0</v>
      </c>
      <c r="AA2032" s="16">
        <f>IF(ISERROR(VLOOKUP($A2032,'13. Updated Demand'!A:Z,18,FALSE)),0,VLOOKUP($A2032,'13. Updated Demand'!A:Z,18,FALSE))</f>
        <v>0</v>
      </c>
      <c r="AB2032" s="16">
        <f>IF(ISERROR(VLOOKUP($A2032,'13. Updated Demand'!A:Z,19,FALSE)),0,VLOOKUP($A2032,'13. Updated Demand'!A:Z,19,FALSE))</f>
        <v>0</v>
      </c>
      <c r="AC2032" s="16">
        <f>IF(ISERROR(VLOOKUP($A2032,'13. Updated Demand'!A:Z,20,FALSE)),0,VLOOKUP($A2032,'13. Updated Demand'!A:Z,20,FALSE))</f>
        <v>0</v>
      </c>
      <c r="AD2032" s="16">
        <f>IF(ISERROR(VLOOKUP($A2032,'13. Updated Demand'!A:Z,21,FALSE)),0,VLOOKUP($A2032,'13. Updated Demand'!A:Z,21,FALSE))</f>
        <v>0</v>
      </c>
      <c r="AE2032" s="16">
        <f>IF(ISERROR(VLOOKUP($A2032,'13. Updated Demand'!A:Z,22,FALSE)),0,VLOOKUP($A2032,'13. Updated Demand'!A:Z,22,FALSE))</f>
        <v>0</v>
      </c>
      <c r="AF2032" s="16">
        <f>IF(ISERROR(VLOOKUP($A2032,'13. Updated Demand'!A:Z,23,FALSE)),0,VLOOKUP($A2032,'13. Updated Demand'!A:Z,23,FALSE))</f>
        <v>0</v>
      </c>
      <c r="AG2032" s="16">
        <f>IF(ISERROR(VLOOKUP($A2032,'13. Updated Demand'!A:Z,24,FALSE)),0,VLOOKUP($A2032,'13. Updated Demand'!A:Z,24,FALSE))</f>
        <v>0</v>
      </c>
      <c r="AH2032" s="16">
        <f>IF(ISERROR(VLOOKUP($A2032,'13. Updated Demand'!A:Z,25,FALSE)),0,VLOOKUP($A2032,'13. Updated Demand'!A:Z,25,FALSE))</f>
        <v>0</v>
      </c>
      <c r="AI2032" s="16">
        <f>IF(ISERROR(VLOOKUP($A2032,'13. Updated Demand'!A:Z,26,FALSE)),0,VLOOKUP($A2032,'13. Updated Demand'!A:Z,26,FALSE))</f>
        <v>0</v>
      </c>
      <c r="AJ2032" s="16">
        <f t="shared" si="385"/>
        <v>0</v>
      </c>
      <c r="AK2032" s="19">
        <v>0</v>
      </c>
      <c r="AL2032" s="16">
        <f t="shared" si="383"/>
        <v>0</v>
      </c>
      <c r="AM2032" s="26">
        <v>0</v>
      </c>
      <c r="AN2032" s="19">
        <v>40.928600000000003</v>
      </c>
      <c r="AO2032" s="19" t="s">
        <v>1758</v>
      </c>
      <c r="AP2032" s="19">
        <v>0</v>
      </c>
      <c r="AQ2032" s="19" t="s">
        <v>307</v>
      </c>
      <c r="AR2032" s="9" t="s">
        <v>489</v>
      </c>
      <c r="AS2032" s="12">
        <v>3.4039024194010059E-4</v>
      </c>
      <c r="AT2032" s="19">
        <v>38.669955479999999</v>
      </c>
      <c r="AU2032" s="19">
        <v>-122.94048923</v>
      </c>
      <c r="AV2032" s="19" t="s">
        <v>932</v>
      </c>
    </row>
    <row r="2033" spans="1:48" x14ac:dyDescent="0.25">
      <c r="A2033" s="18" t="s">
        <v>2467</v>
      </c>
      <c r="B2033" s="10">
        <v>10000000</v>
      </c>
      <c r="C2033" s="9">
        <v>6</v>
      </c>
      <c r="D2033" s="8" t="str">
        <f t="shared" si="374"/>
        <v>Y</v>
      </c>
      <c r="E2033" s="8" t="str">
        <f t="shared" si="375"/>
        <v>N</v>
      </c>
      <c r="F2033" s="8" t="str">
        <f t="shared" si="376"/>
        <v>Y</v>
      </c>
      <c r="G2033" s="8" t="str">
        <f t="shared" si="377"/>
        <v>Y</v>
      </c>
      <c r="H2033" s="8" t="str">
        <f t="shared" si="378"/>
        <v>Upper</v>
      </c>
      <c r="I2033" s="8" t="str">
        <f t="shared" si="379"/>
        <v>West Fork and Below Lake</v>
      </c>
      <c r="J2033" s="8" t="str">
        <f t="shared" si="380"/>
        <v>Mendocino (d/s of lake)</v>
      </c>
      <c r="K2033" s="8" t="str">
        <f t="shared" si="381"/>
        <v>Riparian</v>
      </c>
      <c r="L2033" s="8">
        <f t="shared" si="382"/>
        <v>1000</v>
      </c>
      <c r="M2033" s="8" t="str">
        <f t="shared" si="384"/>
        <v>-</v>
      </c>
      <c r="N2033" s="10" t="s">
        <v>241</v>
      </c>
      <c r="O2033" s="10" t="s">
        <v>241</v>
      </c>
      <c r="P2033" s="10" t="s">
        <v>242</v>
      </c>
      <c r="Q2033" s="10" t="s">
        <v>242</v>
      </c>
      <c r="R2033" s="10" t="s">
        <v>242</v>
      </c>
      <c r="S2033" s="10" t="s">
        <v>241</v>
      </c>
      <c r="T2033" s="10" t="s">
        <v>242</v>
      </c>
      <c r="U2033" s="10" t="s">
        <v>241</v>
      </c>
      <c r="V2033" s="10" t="s">
        <v>241</v>
      </c>
      <c r="W2033" s="10" t="s">
        <v>242</v>
      </c>
      <c r="X2033" s="15">
        <f>IF(ISERROR(VLOOKUP($A2033,'13. Updated Demand'!A:Z,15,FALSE)),0,VLOOKUP($A2033,'13. Updated Demand'!A:Z,15,FALSE))</f>
        <v>0</v>
      </c>
      <c r="Y2033" s="16">
        <f>IF(ISERROR(VLOOKUP($A2033,'13. Updated Demand'!A:Z,16,FALSE)),0,VLOOKUP($A2033,'13. Updated Demand'!A:Z,16,FALSE))</f>
        <v>0</v>
      </c>
      <c r="Z2033" s="16">
        <f>IF(ISERROR(VLOOKUP($A2033,'13. Updated Demand'!A:Z,17,FALSE)),0,VLOOKUP($A2033,'13. Updated Demand'!A:Z,17,FALSE))</f>
        <v>0</v>
      </c>
      <c r="AA2033" s="16">
        <f>IF(ISERROR(VLOOKUP($A2033,'13. Updated Demand'!A:Z,18,FALSE)),0,VLOOKUP($A2033,'13. Updated Demand'!A:Z,18,FALSE))</f>
        <v>0</v>
      </c>
      <c r="AB2033" s="16">
        <f>IF(ISERROR(VLOOKUP($A2033,'13. Updated Demand'!A:Z,19,FALSE)),0,VLOOKUP($A2033,'13. Updated Demand'!A:Z,19,FALSE))</f>
        <v>0</v>
      </c>
      <c r="AC2033" s="16">
        <f>IF(ISERROR(VLOOKUP($A2033,'13. Updated Demand'!A:Z,20,FALSE)),0,VLOOKUP($A2033,'13. Updated Demand'!A:Z,20,FALSE))</f>
        <v>0</v>
      </c>
      <c r="AD2033" s="16">
        <f>IF(ISERROR(VLOOKUP($A2033,'13. Updated Demand'!A:Z,21,FALSE)),0,VLOOKUP($A2033,'13. Updated Demand'!A:Z,21,FALSE))</f>
        <v>0</v>
      </c>
      <c r="AE2033" s="16">
        <f>IF(ISERROR(VLOOKUP($A2033,'13. Updated Demand'!A:Z,22,FALSE)),0,VLOOKUP($A2033,'13. Updated Demand'!A:Z,22,FALSE))</f>
        <v>0</v>
      </c>
      <c r="AF2033" s="16">
        <f>IF(ISERROR(VLOOKUP($A2033,'13. Updated Demand'!A:Z,23,FALSE)),0,VLOOKUP($A2033,'13. Updated Demand'!A:Z,23,FALSE))</f>
        <v>0</v>
      </c>
      <c r="AG2033" s="16">
        <f>IF(ISERROR(VLOOKUP($A2033,'13. Updated Demand'!A:Z,24,FALSE)),0,VLOOKUP($A2033,'13. Updated Demand'!A:Z,24,FALSE))</f>
        <v>0</v>
      </c>
      <c r="AH2033" s="16">
        <f>IF(ISERROR(VLOOKUP($A2033,'13. Updated Demand'!A:Z,25,FALSE)),0,VLOOKUP($A2033,'13. Updated Demand'!A:Z,25,FALSE))</f>
        <v>0</v>
      </c>
      <c r="AI2033" s="16">
        <f>IF(ISERROR(VLOOKUP($A2033,'13. Updated Demand'!A:Z,26,FALSE)),0,VLOOKUP($A2033,'13. Updated Demand'!A:Z,26,FALSE))</f>
        <v>0</v>
      </c>
      <c r="AJ2033" s="16">
        <f t="shared" si="385"/>
        <v>0</v>
      </c>
      <c r="AK2033" s="19">
        <v>0</v>
      </c>
      <c r="AL2033" s="16">
        <f t="shared" si="383"/>
        <v>0</v>
      </c>
      <c r="AM2033" s="26">
        <v>0</v>
      </c>
      <c r="AN2033" s="19">
        <v>322.358</v>
      </c>
      <c r="AO2033" s="19" t="s">
        <v>1758</v>
      </c>
      <c r="AP2033" s="19">
        <v>0</v>
      </c>
      <c r="AQ2033" s="19" t="s">
        <v>307</v>
      </c>
      <c r="AR2033" s="9" t="s">
        <v>319</v>
      </c>
      <c r="AS2033" s="12">
        <v>0</v>
      </c>
      <c r="AT2033" s="19">
        <v>38.976199999999999</v>
      </c>
      <c r="AU2033" s="19">
        <v>-123.10509999999999</v>
      </c>
      <c r="AV2033" s="19" t="s">
        <v>387</v>
      </c>
    </row>
    <row r="2034" spans="1:48" x14ac:dyDescent="0.25">
      <c r="A2034" s="18" t="s">
        <v>2468</v>
      </c>
      <c r="B2034" s="10">
        <v>10000000</v>
      </c>
      <c r="C2034" s="9">
        <v>1</v>
      </c>
      <c r="D2034" s="8" t="str">
        <f t="shared" si="374"/>
        <v>N</v>
      </c>
      <c r="E2034" s="8" t="str">
        <f t="shared" si="375"/>
        <v>N</v>
      </c>
      <c r="F2034" s="8" t="str">
        <f t="shared" si="376"/>
        <v>Y</v>
      </c>
      <c r="G2034" s="8" t="str">
        <f t="shared" si="377"/>
        <v>Y</v>
      </c>
      <c r="H2034" s="8" t="str">
        <f t="shared" si="378"/>
        <v>Upper</v>
      </c>
      <c r="I2034" s="8" t="str">
        <f t="shared" si="379"/>
        <v>West Fork and Below Lake</v>
      </c>
      <c r="J2034" s="8" t="str">
        <f t="shared" si="380"/>
        <v>Outside</v>
      </c>
      <c r="K2034" s="8" t="str">
        <f t="shared" si="381"/>
        <v>Riparian</v>
      </c>
      <c r="L2034" s="8">
        <f t="shared" si="382"/>
        <v>1000</v>
      </c>
      <c r="M2034" s="8" t="str">
        <f t="shared" si="384"/>
        <v>-</v>
      </c>
      <c r="N2034" s="10" t="s">
        <v>242</v>
      </c>
      <c r="O2034" s="10" t="s">
        <v>241</v>
      </c>
      <c r="P2034" s="10" t="s">
        <v>242</v>
      </c>
      <c r="Q2034" s="10" t="s">
        <v>242</v>
      </c>
      <c r="R2034" s="10" t="s">
        <v>242</v>
      </c>
      <c r="S2034" s="10" t="s">
        <v>241</v>
      </c>
      <c r="T2034" s="10" t="s">
        <v>241</v>
      </c>
      <c r="U2034" s="10" t="s">
        <v>241</v>
      </c>
      <c r="V2034" s="10" t="s">
        <v>241</v>
      </c>
      <c r="W2034" s="10" t="s">
        <v>242</v>
      </c>
      <c r="X2034" s="15">
        <f>IF(ISERROR(VLOOKUP($A2034,'13. Updated Demand'!A:Z,15,FALSE)),0,VLOOKUP($A2034,'13. Updated Demand'!A:Z,15,FALSE))</f>
        <v>0</v>
      </c>
      <c r="Y2034" s="16">
        <f>IF(ISERROR(VLOOKUP($A2034,'13. Updated Demand'!A:Z,16,FALSE)),0,VLOOKUP($A2034,'13. Updated Demand'!A:Z,16,FALSE))</f>
        <v>0</v>
      </c>
      <c r="Z2034" s="16">
        <f>IF(ISERROR(VLOOKUP($A2034,'13. Updated Demand'!A:Z,17,FALSE)),0,VLOOKUP($A2034,'13. Updated Demand'!A:Z,17,FALSE))</f>
        <v>0</v>
      </c>
      <c r="AA2034" s="16">
        <f>IF(ISERROR(VLOOKUP($A2034,'13. Updated Demand'!A:Z,18,FALSE)),0,VLOOKUP($A2034,'13. Updated Demand'!A:Z,18,FALSE))</f>
        <v>0</v>
      </c>
      <c r="AB2034" s="16">
        <f>IF(ISERROR(VLOOKUP($A2034,'13. Updated Demand'!A:Z,19,FALSE)),0,VLOOKUP($A2034,'13. Updated Demand'!A:Z,19,FALSE))</f>
        <v>0</v>
      </c>
      <c r="AC2034" s="16">
        <f>IF(ISERROR(VLOOKUP($A2034,'13. Updated Demand'!A:Z,20,FALSE)),0,VLOOKUP($A2034,'13. Updated Demand'!A:Z,20,FALSE))</f>
        <v>0</v>
      </c>
      <c r="AD2034" s="16">
        <f>IF(ISERROR(VLOOKUP($A2034,'13. Updated Demand'!A:Z,21,FALSE)),0,VLOOKUP($A2034,'13. Updated Demand'!A:Z,21,FALSE))</f>
        <v>0</v>
      </c>
      <c r="AE2034" s="16">
        <f>IF(ISERROR(VLOOKUP($A2034,'13. Updated Demand'!A:Z,22,FALSE)),0,VLOOKUP($A2034,'13. Updated Demand'!A:Z,22,FALSE))</f>
        <v>0</v>
      </c>
      <c r="AF2034" s="16">
        <f>IF(ISERROR(VLOOKUP($A2034,'13. Updated Demand'!A:Z,23,FALSE)),0,VLOOKUP($A2034,'13. Updated Demand'!A:Z,23,FALSE))</f>
        <v>0</v>
      </c>
      <c r="AG2034" s="16">
        <f>IF(ISERROR(VLOOKUP($A2034,'13. Updated Demand'!A:Z,24,FALSE)),0,VLOOKUP($A2034,'13. Updated Demand'!A:Z,24,FALSE))</f>
        <v>0</v>
      </c>
      <c r="AH2034" s="16">
        <f>IF(ISERROR(VLOOKUP($A2034,'13. Updated Demand'!A:Z,25,FALSE)),0,VLOOKUP($A2034,'13. Updated Demand'!A:Z,25,FALSE))</f>
        <v>0</v>
      </c>
      <c r="AI2034" s="16">
        <f>IF(ISERROR(VLOOKUP($A2034,'13. Updated Demand'!A:Z,26,FALSE)),0,VLOOKUP($A2034,'13. Updated Demand'!A:Z,26,FALSE))</f>
        <v>0</v>
      </c>
      <c r="AJ2034" s="16">
        <f t="shared" si="385"/>
        <v>0</v>
      </c>
      <c r="AK2034" s="19">
        <v>0</v>
      </c>
      <c r="AL2034" s="16">
        <f t="shared" si="383"/>
        <v>0</v>
      </c>
      <c r="AM2034" s="26">
        <v>0</v>
      </c>
      <c r="AN2034" s="19">
        <v>101.416</v>
      </c>
      <c r="AO2034" s="19" t="s">
        <v>1758</v>
      </c>
      <c r="AP2034" s="19">
        <v>0</v>
      </c>
      <c r="AQ2034" s="19" t="s">
        <v>307</v>
      </c>
      <c r="AR2034" s="9" t="s">
        <v>317</v>
      </c>
      <c r="AS2034" s="12">
        <v>0</v>
      </c>
      <c r="AT2034" s="19">
        <v>39.224400000000003</v>
      </c>
      <c r="AU2034" s="19">
        <v>-123.19159999999999</v>
      </c>
      <c r="AV2034" s="19"/>
    </row>
    <row r="2035" spans="1:48" x14ac:dyDescent="0.25">
      <c r="A2035" s="18" t="s">
        <v>2469</v>
      </c>
      <c r="B2035" s="10">
        <v>10000000</v>
      </c>
      <c r="C2035" s="9">
        <v>16</v>
      </c>
      <c r="D2035" s="8" t="str">
        <f t="shared" si="374"/>
        <v>N</v>
      </c>
      <c r="E2035" s="8" t="str">
        <f t="shared" si="375"/>
        <v>N</v>
      </c>
      <c r="F2035" s="8" t="str">
        <f t="shared" si="376"/>
        <v>N</v>
      </c>
      <c r="G2035" s="8" t="str">
        <f t="shared" si="377"/>
        <v>N</v>
      </c>
      <c r="H2035" s="8" t="str">
        <f t="shared" si="378"/>
        <v>Lower</v>
      </c>
      <c r="I2035" s="8" t="str">
        <f t="shared" si="379"/>
        <v>Outside</v>
      </c>
      <c r="J2035" s="8" t="str">
        <f t="shared" si="380"/>
        <v>Outside</v>
      </c>
      <c r="K2035" s="8" t="str">
        <f t="shared" si="381"/>
        <v>Riparian</v>
      </c>
      <c r="L2035" s="8">
        <f t="shared" si="382"/>
        <v>1000</v>
      </c>
      <c r="M2035" s="8" t="str">
        <f t="shared" si="384"/>
        <v>-</v>
      </c>
      <c r="N2035" s="10" t="s">
        <v>242</v>
      </c>
      <c r="O2035" s="10" t="s">
        <v>242</v>
      </c>
      <c r="P2035" s="10" t="s">
        <v>242</v>
      </c>
      <c r="Q2035" s="10" t="s">
        <v>242</v>
      </c>
      <c r="R2035" s="10" t="s">
        <v>242</v>
      </c>
      <c r="S2035" s="10" t="s">
        <v>241</v>
      </c>
      <c r="T2035" s="10" t="s">
        <v>242</v>
      </c>
      <c r="U2035" s="10" t="s">
        <v>242</v>
      </c>
      <c r="V2035" s="10" t="s">
        <v>242</v>
      </c>
      <c r="W2035" s="10" t="s">
        <v>242</v>
      </c>
      <c r="X2035" s="15">
        <f>IF(ISERROR(VLOOKUP($A2035,'13. Updated Demand'!A:Z,15,FALSE)),0,VLOOKUP($A2035,'13. Updated Demand'!A:Z,15,FALSE))</f>
        <v>5.6263329999999999E-3</v>
      </c>
      <c r="Y2035" s="16">
        <f>IF(ISERROR(VLOOKUP($A2035,'13. Updated Demand'!A:Z,16,FALSE)),0,VLOOKUP($A2035,'13. Updated Demand'!A:Z,16,FALSE))</f>
        <v>5.6263329999999999E-3</v>
      </c>
      <c r="Z2035" s="16">
        <f>IF(ISERROR(VLOOKUP($A2035,'13. Updated Demand'!A:Z,17,FALSE)),0,VLOOKUP($A2035,'13. Updated Demand'!A:Z,17,FALSE))</f>
        <v>4.2963330000000003E-3</v>
      </c>
      <c r="AA2035" s="16">
        <f>IF(ISERROR(VLOOKUP($A2035,'13. Updated Demand'!A:Z,18,FALSE)),0,VLOOKUP($A2035,'13. Updated Demand'!A:Z,18,FALSE))</f>
        <v>4.2963330000000003E-3</v>
      </c>
      <c r="AB2035" s="16">
        <f>IF(ISERROR(VLOOKUP($A2035,'13. Updated Demand'!A:Z,19,FALSE)),0,VLOOKUP($A2035,'13. Updated Demand'!A:Z,19,FALSE))</f>
        <v>4.2963330000000003E-3</v>
      </c>
      <c r="AC2035" s="16">
        <f>IF(ISERROR(VLOOKUP($A2035,'13. Updated Demand'!A:Z,20,FALSE)),0,VLOOKUP($A2035,'13. Updated Demand'!A:Z,20,FALSE))</f>
        <v>5.0123329999999999E-3</v>
      </c>
      <c r="AD2035" s="16">
        <f>IF(ISERROR(VLOOKUP($A2035,'13. Updated Demand'!A:Z,21,FALSE)),0,VLOOKUP($A2035,'13. Updated Demand'!A:Z,21,FALSE))</f>
        <v>5.0123329999999999E-3</v>
      </c>
      <c r="AE2035" s="16">
        <f>IF(ISERROR(VLOOKUP($A2035,'13. Updated Demand'!A:Z,22,FALSE)),0,VLOOKUP($A2035,'13. Updated Demand'!A:Z,22,FALSE))</f>
        <v>5.4216669999999998E-3</v>
      </c>
      <c r="AF2035" s="16">
        <f>IF(ISERROR(VLOOKUP($A2035,'13. Updated Demand'!A:Z,23,FALSE)),0,VLOOKUP($A2035,'13. Updated Demand'!A:Z,23,FALSE))</f>
        <v>5.3270000000000001E-3</v>
      </c>
      <c r="AG2035" s="16">
        <f>IF(ISERROR(VLOOKUP($A2035,'13. Updated Demand'!A:Z,24,FALSE)),0,VLOOKUP($A2035,'13. Updated Demand'!A:Z,24,FALSE))</f>
        <v>4.9103330000000002E-3</v>
      </c>
      <c r="AH2035" s="16">
        <f>IF(ISERROR(VLOOKUP($A2035,'13. Updated Demand'!A:Z,25,FALSE)),0,VLOOKUP($A2035,'13. Updated Demand'!A:Z,25,FALSE))</f>
        <v>4.5009999999999998E-3</v>
      </c>
      <c r="AI2035" s="16">
        <f>IF(ISERROR(VLOOKUP($A2035,'13. Updated Demand'!A:Z,26,FALSE)),0,VLOOKUP($A2035,'13. Updated Demand'!A:Z,26,FALSE))</f>
        <v>4.5009999999999998E-3</v>
      </c>
      <c r="AJ2035" s="16">
        <f t="shared" si="385"/>
        <v>5.8827330999999997E-2</v>
      </c>
      <c r="AK2035" s="19">
        <v>2.5069665999999997E-2</v>
      </c>
      <c r="AL2035" s="16">
        <f t="shared" si="383"/>
        <v>8.3153226418684577E-5</v>
      </c>
      <c r="AM2035" s="26">
        <v>0</v>
      </c>
      <c r="AN2035" s="19"/>
      <c r="AO2035" s="19"/>
      <c r="AP2035" s="19">
        <v>0</v>
      </c>
      <c r="AQ2035" s="19" t="s">
        <v>307</v>
      </c>
      <c r="AR2035" s="9" t="s">
        <v>394</v>
      </c>
      <c r="AS2035" s="12">
        <v>3.4039024194010059E-4</v>
      </c>
      <c r="AT2035" s="19">
        <v>38.590499999999999</v>
      </c>
      <c r="AU2035" s="19">
        <v>-122.9404</v>
      </c>
      <c r="AV2035" s="19" t="s">
        <v>1882</v>
      </c>
    </row>
    <row r="2036" spans="1:48" x14ac:dyDescent="0.25">
      <c r="A2036" s="18" t="s">
        <v>2470</v>
      </c>
      <c r="B2036" s="10">
        <v>10000000</v>
      </c>
      <c r="C2036" s="9">
        <v>5</v>
      </c>
      <c r="D2036" s="8" t="str">
        <f t="shared" si="374"/>
        <v>Y</v>
      </c>
      <c r="E2036" s="8" t="str">
        <f t="shared" si="375"/>
        <v>N</v>
      </c>
      <c r="F2036" s="8" t="str">
        <f t="shared" si="376"/>
        <v>Y</v>
      </c>
      <c r="G2036" s="8" t="str">
        <f t="shared" si="377"/>
        <v>Y</v>
      </c>
      <c r="H2036" s="8" t="str">
        <f t="shared" si="378"/>
        <v>Upper</v>
      </c>
      <c r="I2036" s="8" t="str">
        <f t="shared" si="379"/>
        <v>West Fork and Below Lake</v>
      </c>
      <c r="J2036" s="8" t="str">
        <f t="shared" si="380"/>
        <v>Mendocino (d/s of lake)</v>
      </c>
      <c r="K2036" s="8" t="str">
        <f t="shared" si="381"/>
        <v>Riparian</v>
      </c>
      <c r="L2036" s="8">
        <f t="shared" si="382"/>
        <v>1000</v>
      </c>
      <c r="M2036" s="8" t="str">
        <f t="shared" si="384"/>
        <v>-</v>
      </c>
      <c r="N2036" s="10" t="s">
        <v>242</v>
      </c>
      <c r="O2036" s="10" t="s">
        <v>241</v>
      </c>
      <c r="P2036" s="10" t="s">
        <v>242</v>
      </c>
      <c r="Q2036" s="10" t="s">
        <v>242</v>
      </c>
      <c r="R2036" s="10" t="s">
        <v>242</v>
      </c>
      <c r="S2036" s="10" t="s">
        <v>241</v>
      </c>
      <c r="T2036" s="10" t="s">
        <v>242</v>
      </c>
      <c r="U2036" s="10" t="s">
        <v>242</v>
      </c>
      <c r="V2036" s="10" t="s">
        <v>242</v>
      </c>
      <c r="W2036" s="10" t="s">
        <v>242</v>
      </c>
      <c r="X2036" s="15">
        <f>IF(ISERROR(VLOOKUP($A2036,'13. Updated Demand'!A:Z,15,FALSE)),0,VLOOKUP($A2036,'13. Updated Demand'!A:Z,15,FALSE))</f>
        <v>0.08</v>
      </c>
      <c r="Y2036" s="16">
        <f>IF(ISERROR(VLOOKUP($A2036,'13. Updated Demand'!A:Z,16,FALSE)),0,VLOOKUP($A2036,'13. Updated Demand'!A:Z,16,FALSE))</f>
        <v>0.1</v>
      </c>
      <c r="Z2036" s="16">
        <f>IF(ISERROR(VLOOKUP($A2036,'13. Updated Demand'!A:Z,17,FALSE)),0,VLOOKUP($A2036,'13. Updated Demand'!A:Z,17,FALSE))</f>
        <v>0.08</v>
      </c>
      <c r="AA2036" s="16">
        <f>IF(ISERROR(VLOOKUP($A2036,'13. Updated Demand'!A:Z,18,FALSE)),0,VLOOKUP($A2036,'13. Updated Demand'!A:Z,18,FALSE))</f>
        <v>0.09</v>
      </c>
      <c r="AB2036" s="16">
        <f>IF(ISERROR(VLOOKUP($A2036,'13. Updated Demand'!A:Z,19,FALSE)),0,VLOOKUP($A2036,'13. Updated Demand'!A:Z,19,FALSE))</f>
        <v>0.05</v>
      </c>
      <c r="AC2036" s="16">
        <f>IF(ISERROR(VLOOKUP($A2036,'13. Updated Demand'!A:Z,20,FALSE)),0,VLOOKUP($A2036,'13. Updated Demand'!A:Z,20,FALSE))</f>
        <v>0.18</v>
      </c>
      <c r="AD2036" s="16">
        <f>IF(ISERROR(VLOOKUP($A2036,'13. Updated Demand'!A:Z,21,FALSE)),0,VLOOKUP($A2036,'13. Updated Demand'!A:Z,21,FALSE))</f>
        <v>0.01</v>
      </c>
      <c r="AE2036" s="16">
        <f>IF(ISERROR(VLOOKUP($A2036,'13. Updated Demand'!A:Z,22,FALSE)),0,VLOOKUP($A2036,'13. Updated Demand'!A:Z,22,FALSE))</f>
        <v>0</v>
      </c>
      <c r="AF2036" s="16">
        <f>IF(ISERROR(VLOOKUP($A2036,'13. Updated Demand'!A:Z,23,FALSE)),0,VLOOKUP($A2036,'13. Updated Demand'!A:Z,23,FALSE))</f>
        <v>0.09</v>
      </c>
      <c r="AG2036" s="16">
        <f>IF(ISERROR(VLOOKUP($A2036,'13. Updated Demand'!A:Z,24,FALSE)),0,VLOOKUP($A2036,'13. Updated Demand'!A:Z,24,FALSE))</f>
        <v>0</v>
      </c>
      <c r="AH2036" s="16">
        <f>IF(ISERROR(VLOOKUP($A2036,'13. Updated Demand'!A:Z,25,FALSE)),0,VLOOKUP($A2036,'13. Updated Demand'!A:Z,25,FALSE))</f>
        <v>0.15</v>
      </c>
      <c r="AI2036" s="16">
        <f>IF(ISERROR(VLOOKUP($A2036,'13. Updated Demand'!A:Z,26,FALSE)),0,VLOOKUP($A2036,'13. Updated Demand'!A:Z,26,FALSE))</f>
        <v>0.1</v>
      </c>
      <c r="AJ2036" s="16">
        <f t="shared" si="385"/>
        <v>0.92999999999999994</v>
      </c>
      <c r="AK2036" s="19">
        <v>0.34333333300000002</v>
      </c>
      <c r="AL2036" s="16">
        <f t="shared" si="383"/>
        <v>1.1387975562191627E-3</v>
      </c>
      <c r="AM2036" s="26">
        <v>5.9014872552636734E-3</v>
      </c>
      <c r="AN2036" s="19">
        <v>161.5412</v>
      </c>
      <c r="AO2036" s="19" t="s">
        <v>1758</v>
      </c>
      <c r="AP2036" s="19">
        <v>0</v>
      </c>
      <c r="AQ2036" s="19" t="s">
        <v>307</v>
      </c>
      <c r="AR2036" s="9" t="s">
        <v>333</v>
      </c>
      <c r="AS2036" s="12">
        <v>0</v>
      </c>
      <c r="AT2036" s="19">
        <v>39.122999999999998</v>
      </c>
      <c r="AU2036" s="19">
        <v>-123.14919999999999</v>
      </c>
      <c r="AV2036" s="19" t="s">
        <v>2471</v>
      </c>
    </row>
    <row r="2037" spans="1:48" x14ac:dyDescent="0.25">
      <c r="A2037" s="18" t="s">
        <v>159</v>
      </c>
      <c r="B2037" s="10">
        <v>10000000</v>
      </c>
      <c r="C2037" s="9">
        <v>10</v>
      </c>
      <c r="D2037" s="8" t="str">
        <f t="shared" si="374"/>
        <v>N</v>
      </c>
      <c r="E2037" s="8" t="str">
        <f t="shared" si="375"/>
        <v>Y</v>
      </c>
      <c r="F2037" s="8" t="str">
        <f t="shared" si="376"/>
        <v>Y</v>
      </c>
      <c r="G2037" s="8" t="str">
        <f t="shared" si="377"/>
        <v>Y</v>
      </c>
      <c r="H2037" s="8" t="str">
        <f t="shared" si="378"/>
        <v>Upper</v>
      </c>
      <c r="I2037" s="8" t="str">
        <f t="shared" si="379"/>
        <v>West Fork and Below Lake</v>
      </c>
      <c r="J2037" s="8" t="str">
        <f t="shared" si="380"/>
        <v>Sonoma (d/s of Clov. Gage)</v>
      </c>
      <c r="K2037" s="8" t="str">
        <f t="shared" si="381"/>
        <v>Riparian</v>
      </c>
      <c r="L2037" s="8">
        <f t="shared" si="382"/>
        <v>1000</v>
      </c>
      <c r="M2037" s="8" t="str">
        <f t="shared" si="384"/>
        <v>-</v>
      </c>
      <c r="N2037" s="10" t="s">
        <v>241</v>
      </c>
      <c r="O2037" s="10" t="s">
        <v>241</v>
      </c>
      <c r="P2037" s="10" t="s">
        <v>242</v>
      </c>
      <c r="Q2037" s="10" t="s">
        <v>242</v>
      </c>
      <c r="R2037" s="10" t="s">
        <v>242</v>
      </c>
      <c r="S2037" s="10" t="s">
        <v>241</v>
      </c>
      <c r="T2037" s="10" t="s">
        <v>242</v>
      </c>
      <c r="U2037" s="10" t="s">
        <v>241</v>
      </c>
      <c r="V2037" s="10" t="s">
        <v>241</v>
      </c>
      <c r="W2037" s="10" t="s">
        <v>242</v>
      </c>
      <c r="X2037" s="15">
        <f>IF(ISERROR(VLOOKUP($A2037,'13. Updated Demand'!A:Z,15,FALSE)),0,VLOOKUP($A2037,'13. Updated Demand'!A:Z,15,FALSE))</f>
        <v>0</v>
      </c>
      <c r="Y2037" s="16">
        <f>IF(ISERROR(VLOOKUP($A2037,'13. Updated Demand'!A:Z,16,FALSE)),0,VLOOKUP($A2037,'13. Updated Demand'!A:Z,16,FALSE))</f>
        <v>0</v>
      </c>
      <c r="Z2037" s="16">
        <f>IF(ISERROR(VLOOKUP($A2037,'13. Updated Demand'!A:Z,17,FALSE)),0,VLOOKUP($A2037,'13. Updated Demand'!A:Z,17,FALSE))</f>
        <v>0</v>
      </c>
      <c r="AA2037" s="16">
        <f>IF(ISERROR(VLOOKUP($A2037,'13. Updated Demand'!A:Z,18,FALSE)),0,VLOOKUP($A2037,'13. Updated Demand'!A:Z,18,FALSE))</f>
        <v>0</v>
      </c>
      <c r="AB2037" s="16">
        <f>IF(ISERROR(VLOOKUP($A2037,'13. Updated Demand'!A:Z,19,FALSE)),0,VLOOKUP($A2037,'13. Updated Demand'!A:Z,19,FALSE))</f>
        <v>0</v>
      </c>
      <c r="AC2037" s="16">
        <f>IF(ISERROR(VLOOKUP($A2037,'13. Updated Demand'!A:Z,20,FALSE)),0,VLOOKUP($A2037,'13. Updated Demand'!A:Z,20,FALSE))</f>
        <v>0</v>
      </c>
      <c r="AD2037" s="16">
        <f>IF(ISERROR(VLOOKUP($A2037,'13. Updated Demand'!A:Z,21,FALSE)),0,VLOOKUP($A2037,'13. Updated Demand'!A:Z,21,FALSE))</f>
        <v>0</v>
      </c>
      <c r="AE2037" s="16">
        <f>IF(ISERROR(VLOOKUP($A2037,'13. Updated Demand'!A:Z,22,FALSE)),0,VLOOKUP($A2037,'13. Updated Demand'!A:Z,22,FALSE))</f>
        <v>0</v>
      </c>
      <c r="AF2037" s="16">
        <f>IF(ISERROR(VLOOKUP($A2037,'13. Updated Demand'!A:Z,23,FALSE)),0,VLOOKUP($A2037,'13. Updated Demand'!A:Z,23,FALSE))</f>
        <v>0</v>
      </c>
      <c r="AG2037" s="16">
        <f>IF(ISERROR(VLOOKUP($A2037,'13. Updated Demand'!A:Z,24,FALSE)),0,VLOOKUP($A2037,'13. Updated Demand'!A:Z,24,FALSE))</f>
        <v>0</v>
      </c>
      <c r="AH2037" s="16">
        <f>IF(ISERROR(VLOOKUP($A2037,'13. Updated Demand'!A:Z,25,FALSE)),0,VLOOKUP($A2037,'13. Updated Demand'!A:Z,25,FALSE))</f>
        <v>0</v>
      </c>
      <c r="AI2037" s="16">
        <f>IF(ISERROR(VLOOKUP($A2037,'13. Updated Demand'!A:Z,26,FALSE)),0,VLOOKUP($A2037,'13. Updated Demand'!A:Z,26,FALSE))</f>
        <v>0</v>
      </c>
      <c r="AJ2037" s="16">
        <f t="shared" si="385"/>
        <v>0</v>
      </c>
      <c r="AK2037" s="19">
        <v>0</v>
      </c>
      <c r="AL2037" s="16">
        <f t="shared" si="383"/>
        <v>0</v>
      </c>
      <c r="AM2037" s="26">
        <v>0</v>
      </c>
      <c r="AN2037" s="19">
        <v>967.07399999999996</v>
      </c>
      <c r="AO2037" s="19" t="s">
        <v>1758</v>
      </c>
      <c r="AP2037" s="19">
        <v>0</v>
      </c>
      <c r="AQ2037" s="19" t="s">
        <v>307</v>
      </c>
      <c r="AR2037" s="9" t="s">
        <v>436</v>
      </c>
      <c r="AS2037" s="12">
        <v>3.4039024194010059E-4</v>
      </c>
      <c r="AT2037" s="19">
        <v>38.686999999999998</v>
      </c>
      <c r="AU2037" s="19">
        <v>-122.85420000000001</v>
      </c>
      <c r="AV2037" s="19" t="s">
        <v>387</v>
      </c>
    </row>
    <row r="2038" spans="1:48" x14ac:dyDescent="0.25">
      <c r="A2038" s="18" t="s">
        <v>88</v>
      </c>
      <c r="B2038" s="10">
        <v>10000000</v>
      </c>
      <c r="C2038" s="9">
        <v>10</v>
      </c>
      <c r="D2038" s="8" t="str">
        <f t="shared" si="374"/>
        <v>N</v>
      </c>
      <c r="E2038" s="8" t="str">
        <f t="shared" si="375"/>
        <v>Y</v>
      </c>
      <c r="F2038" s="8" t="str">
        <f t="shared" si="376"/>
        <v>Y</v>
      </c>
      <c r="G2038" s="8" t="str">
        <f t="shared" si="377"/>
        <v>Y</v>
      </c>
      <c r="H2038" s="8" t="str">
        <f t="shared" si="378"/>
        <v>Upper</v>
      </c>
      <c r="I2038" s="8" t="str">
        <f t="shared" si="379"/>
        <v>West Fork and Below Lake</v>
      </c>
      <c r="J2038" s="8" t="str">
        <f t="shared" si="380"/>
        <v>Sonoma (d/s of Clov. Gage)</v>
      </c>
      <c r="K2038" s="8" t="str">
        <f t="shared" si="381"/>
        <v>Riparian</v>
      </c>
      <c r="L2038" s="8">
        <f t="shared" si="382"/>
        <v>1000</v>
      </c>
      <c r="M2038" s="8" t="str">
        <f t="shared" si="384"/>
        <v>-</v>
      </c>
      <c r="N2038" s="10" t="s">
        <v>241</v>
      </c>
      <c r="O2038" s="10" t="s">
        <v>241</v>
      </c>
      <c r="P2038" s="10" t="s">
        <v>242</v>
      </c>
      <c r="Q2038" s="10" t="s">
        <v>242</v>
      </c>
      <c r="R2038" s="10" t="s">
        <v>242</v>
      </c>
      <c r="S2038" s="10" t="s">
        <v>241</v>
      </c>
      <c r="T2038" s="10" t="s">
        <v>242</v>
      </c>
      <c r="U2038" s="10" t="s">
        <v>241</v>
      </c>
      <c r="V2038" s="10" t="s">
        <v>241</v>
      </c>
      <c r="W2038" s="10" t="s">
        <v>242</v>
      </c>
      <c r="X2038" s="15">
        <f>IF(ISERROR(VLOOKUP($A2038,'13. Updated Demand'!A:Z,15,FALSE)),0,VLOOKUP($A2038,'13. Updated Demand'!A:Z,15,FALSE))</f>
        <v>0</v>
      </c>
      <c r="Y2038" s="16">
        <f>IF(ISERROR(VLOOKUP($A2038,'13. Updated Demand'!A:Z,16,FALSE)),0,VLOOKUP($A2038,'13. Updated Demand'!A:Z,16,FALSE))</f>
        <v>0</v>
      </c>
      <c r="Z2038" s="16">
        <f>IF(ISERROR(VLOOKUP($A2038,'13. Updated Demand'!A:Z,17,FALSE)),0,VLOOKUP($A2038,'13. Updated Demand'!A:Z,17,FALSE))</f>
        <v>0</v>
      </c>
      <c r="AA2038" s="16">
        <f>IF(ISERROR(VLOOKUP($A2038,'13. Updated Demand'!A:Z,18,FALSE)),0,VLOOKUP($A2038,'13. Updated Demand'!A:Z,18,FALSE))</f>
        <v>0</v>
      </c>
      <c r="AB2038" s="16">
        <f>IF(ISERROR(VLOOKUP($A2038,'13. Updated Demand'!A:Z,19,FALSE)),0,VLOOKUP($A2038,'13. Updated Demand'!A:Z,19,FALSE))</f>
        <v>0</v>
      </c>
      <c r="AC2038" s="16">
        <f>IF(ISERROR(VLOOKUP($A2038,'13. Updated Demand'!A:Z,20,FALSE)),0,VLOOKUP($A2038,'13. Updated Demand'!A:Z,20,FALSE))</f>
        <v>0</v>
      </c>
      <c r="AD2038" s="16">
        <f>IF(ISERROR(VLOOKUP($A2038,'13. Updated Demand'!A:Z,21,FALSE)),0,VLOOKUP($A2038,'13. Updated Demand'!A:Z,21,FALSE))</f>
        <v>0</v>
      </c>
      <c r="AE2038" s="16">
        <f>IF(ISERROR(VLOOKUP($A2038,'13. Updated Demand'!A:Z,22,FALSE)),0,VLOOKUP($A2038,'13. Updated Demand'!A:Z,22,FALSE))</f>
        <v>0</v>
      </c>
      <c r="AF2038" s="16">
        <f>IF(ISERROR(VLOOKUP($A2038,'13. Updated Demand'!A:Z,23,FALSE)),0,VLOOKUP($A2038,'13. Updated Demand'!A:Z,23,FALSE))</f>
        <v>0</v>
      </c>
      <c r="AG2038" s="16">
        <f>IF(ISERROR(VLOOKUP($A2038,'13. Updated Demand'!A:Z,24,FALSE)),0,VLOOKUP($A2038,'13. Updated Demand'!A:Z,24,FALSE))</f>
        <v>0</v>
      </c>
      <c r="AH2038" s="16">
        <f>IF(ISERROR(VLOOKUP($A2038,'13. Updated Demand'!A:Z,25,FALSE)),0,VLOOKUP($A2038,'13. Updated Demand'!A:Z,25,FALSE))</f>
        <v>0</v>
      </c>
      <c r="AI2038" s="16">
        <f>IF(ISERROR(VLOOKUP($A2038,'13. Updated Demand'!A:Z,26,FALSE)),0,VLOOKUP($A2038,'13. Updated Demand'!A:Z,26,FALSE))</f>
        <v>0</v>
      </c>
      <c r="AJ2038" s="16">
        <f t="shared" si="385"/>
        <v>0</v>
      </c>
      <c r="AK2038" s="19">
        <v>0</v>
      </c>
      <c r="AL2038" s="16">
        <f t="shared" si="383"/>
        <v>0</v>
      </c>
      <c r="AM2038" s="26">
        <v>0</v>
      </c>
      <c r="AN2038" s="19">
        <v>1774.78</v>
      </c>
      <c r="AO2038" s="19" t="s">
        <v>1758</v>
      </c>
      <c r="AP2038" s="19">
        <v>0</v>
      </c>
      <c r="AQ2038" s="19" t="s">
        <v>307</v>
      </c>
      <c r="AR2038" s="9" t="s">
        <v>436</v>
      </c>
      <c r="AS2038" s="12">
        <v>0</v>
      </c>
      <c r="AT2038" s="19">
        <v>38.686999999999998</v>
      </c>
      <c r="AU2038" s="19">
        <v>-122.8541</v>
      </c>
      <c r="AV2038" s="19" t="s">
        <v>387</v>
      </c>
    </row>
    <row r="2039" spans="1:48" x14ac:dyDescent="0.25">
      <c r="A2039" s="18" t="s">
        <v>136</v>
      </c>
      <c r="B2039" s="10">
        <v>10000000</v>
      </c>
      <c r="C2039" s="9">
        <v>10</v>
      </c>
      <c r="D2039" s="8" t="str">
        <f t="shared" si="374"/>
        <v>N</v>
      </c>
      <c r="E2039" s="8" t="str">
        <f t="shared" si="375"/>
        <v>Y</v>
      </c>
      <c r="F2039" s="8" t="str">
        <f t="shared" si="376"/>
        <v>Y</v>
      </c>
      <c r="G2039" s="8" t="str">
        <f t="shared" si="377"/>
        <v>Y</v>
      </c>
      <c r="H2039" s="8" t="str">
        <f t="shared" si="378"/>
        <v>Upper</v>
      </c>
      <c r="I2039" s="8" t="str">
        <f t="shared" si="379"/>
        <v>West Fork and Below Lake</v>
      </c>
      <c r="J2039" s="8" t="str">
        <f t="shared" si="380"/>
        <v>Sonoma (d/s of Clov. Gage)</v>
      </c>
      <c r="K2039" s="8" t="str">
        <f t="shared" si="381"/>
        <v>Riparian</v>
      </c>
      <c r="L2039" s="8">
        <f t="shared" si="382"/>
        <v>1000</v>
      </c>
      <c r="M2039" s="8" t="str">
        <f t="shared" si="384"/>
        <v>-</v>
      </c>
      <c r="N2039" s="10" t="s">
        <v>241</v>
      </c>
      <c r="O2039" s="10" t="s">
        <v>241</v>
      </c>
      <c r="P2039" s="10" t="s">
        <v>242</v>
      </c>
      <c r="Q2039" s="10" t="s">
        <v>242</v>
      </c>
      <c r="R2039" s="10" t="s">
        <v>242</v>
      </c>
      <c r="S2039" s="10" t="s">
        <v>241</v>
      </c>
      <c r="T2039" s="10" t="s">
        <v>242</v>
      </c>
      <c r="U2039" s="10" t="s">
        <v>241</v>
      </c>
      <c r="V2039" s="10" t="s">
        <v>241</v>
      </c>
      <c r="W2039" s="10" t="s">
        <v>242</v>
      </c>
      <c r="X2039" s="15">
        <f>IF(ISERROR(VLOOKUP($A2039,'13. Updated Demand'!A:Z,15,FALSE)),0,VLOOKUP($A2039,'13. Updated Demand'!A:Z,15,FALSE))</f>
        <v>0</v>
      </c>
      <c r="Y2039" s="16">
        <f>IF(ISERROR(VLOOKUP($A2039,'13. Updated Demand'!A:Z,16,FALSE)),0,VLOOKUP($A2039,'13. Updated Demand'!A:Z,16,FALSE))</f>
        <v>0</v>
      </c>
      <c r="Z2039" s="16">
        <f>IF(ISERROR(VLOOKUP($A2039,'13. Updated Demand'!A:Z,17,FALSE)),0,VLOOKUP($A2039,'13. Updated Demand'!A:Z,17,FALSE))</f>
        <v>0</v>
      </c>
      <c r="AA2039" s="16">
        <f>IF(ISERROR(VLOOKUP($A2039,'13. Updated Demand'!A:Z,18,FALSE)),0,VLOOKUP($A2039,'13. Updated Demand'!A:Z,18,FALSE))</f>
        <v>0</v>
      </c>
      <c r="AB2039" s="16">
        <f>IF(ISERROR(VLOOKUP($A2039,'13. Updated Demand'!A:Z,19,FALSE)),0,VLOOKUP($A2039,'13. Updated Demand'!A:Z,19,FALSE))</f>
        <v>0</v>
      </c>
      <c r="AC2039" s="16">
        <f>IF(ISERROR(VLOOKUP($A2039,'13. Updated Demand'!A:Z,20,FALSE)),0,VLOOKUP($A2039,'13. Updated Demand'!A:Z,20,FALSE))</f>
        <v>0</v>
      </c>
      <c r="AD2039" s="16">
        <f>IF(ISERROR(VLOOKUP($A2039,'13. Updated Demand'!A:Z,21,FALSE)),0,VLOOKUP($A2039,'13. Updated Demand'!A:Z,21,FALSE))</f>
        <v>0</v>
      </c>
      <c r="AE2039" s="16">
        <f>IF(ISERROR(VLOOKUP($A2039,'13. Updated Demand'!A:Z,22,FALSE)),0,VLOOKUP($A2039,'13. Updated Demand'!A:Z,22,FALSE))</f>
        <v>0</v>
      </c>
      <c r="AF2039" s="16">
        <f>IF(ISERROR(VLOOKUP($A2039,'13. Updated Demand'!A:Z,23,FALSE)),0,VLOOKUP($A2039,'13. Updated Demand'!A:Z,23,FALSE))</f>
        <v>0</v>
      </c>
      <c r="AG2039" s="16">
        <f>IF(ISERROR(VLOOKUP($A2039,'13. Updated Demand'!A:Z,24,FALSE)),0,VLOOKUP($A2039,'13. Updated Demand'!A:Z,24,FALSE))</f>
        <v>0</v>
      </c>
      <c r="AH2039" s="16">
        <f>IF(ISERROR(VLOOKUP($A2039,'13. Updated Demand'!A:Z,25,FALSE)),0,VLOOKUP($A2039,'13. Updated Demand'!A:Z,25,FALSE))</f>
        <v>0</v>
      </c>
      <c r="AI2039" s="16">
        <f>IF(ISERROR(VLOOKUP($A2039,'13. Updated Demand'!A:Z,26,FALSE)),0,VLOOKUP($A2039,'13. Updated Demand'!A:Z,26,FALSE))</f>
        <v>0</v>
      </c>
      <c r="AJ2039" s="16">
        <f t="shared" si="385"/>
        <v>0</v>
      </c>
      <c r="AK2039" s="19">
        <v>0</v>
      </c>
      <c r="AL2039" s="16">
        <f t="shared" si="383"/>
        <v>0</v>
      </c>
      <c r="AM2039" s="26">
        <v>0</v>
      </c>
      <c r="AN2039" s="19">
        <v>0</v>
      </c>
      <c r="AO2039" s="19" t="s">
        <v>1758</v>
      </c>
      <c r="AP2039" s="19">
        <v>0</v>
      </c>
      <c r="AQ2039" s="19" t="s">
        <v>307</v>
      </c>
      <c r="AR2039" s="9" t="s">
        <v>436</v>
      </c>
      <c r="AS2039" s="12">
        <v>0</v>
      </c>
      <c r="AT2039" s="19">
        <v>38.703499999999998</v>
      </c>
      <c r="AU2039" s="19">
        <v>-122.8745</v>
      </c>
      <c r="AV2039" s="19" t="s">
        <v>387</v>
      </c>
    </row>
    <row r="2040" spans="1:48" x14ac:dyDescent="0.25">
      <c r="A2040" s="18" t="s">
        <v>137</v>
      </c>
      <c r="B2040" s="10">
        <v>10000000</v>
      </c>
      <c r="C2040" s="9">
        <v>10</v>
      </c>
      <c r="D2040" s="8" t="str">
        <f t="shared" si="374"/>
        <v>N</v>
      </c>
      <c r="E2040" s="8" t="str">
        <f t="shared" si="375"/>
        <v>Y</v>
      </c>
      <c r="F2040" s="8" t="str">
        <f t="shared" si="376"/>
        <v>Y</v>
      </c>
      <c r="G2040" s="8" t="str">
        <f t="shared" si="377"/>
        <v>Y</v>
      </c>
      <c r="H2040" s="8" t="str">
        <f t="shared" si="378"/>
        <v>Upper</v>
      </c>
      <c r="I2040" s="8" t="str">
        <f t="shared" si="379"/>
        <v>West Fork and Below Lake</v>
      </c>
      <c r="J2040" s="8" t="str">
        <f t="shared" si="380"/>
        <v>Sonoma (d/s of Clov. Gage)</v>
      </c>
      <c r="K2040" s="8" t="str">
        <f t="shared" si="381"/>
        <v>Riparian</v>
      </c>
      <c r="L2040" s="8">
        <f t="shared" si="382"/>
        <v>1000</v>
      </c>
      <c r="M2040" s="8" t="str">
        <f t="shared" si="384"/>
        <v>-</v>
      </c>
      <c r="N2040" s="10" t="s">
        <v>241</v>
      </c>
      <c r="O2040" s="10" t="s">
        <v>241</v>
      </c>
      <c r="P2040" s="10" t="s">
        <v>242</v>
      </c>
      <c r="Q2040" s="10" t="s">
        <v>242</v>
      </c>
      <c r="R2040" s="10" t="s">
        <v>242</v>
      </c>
      <c r="S2040" s="10" t="s">
        <v>241</v>
      </c>
      <c r="T2040" s="10" t="s">
        <v>242</v>
      </c>
      <c r="U2040" s="10" t="s">
        <v>241</v>
      </c>
      <c r="V2040" s="10" t="s">
        <v>241</v>
      </c>
      <c r="W2040" s="10" t="s">
        <v>242</v>
      </c>
      <c r="X2040" s="15">
        <f>IF(ISERROR(VLOOKUP($A2040,'13. Updated Demand'!A:Z,15,FALSE)),0,VLOOKUP($A2040,'13. Updated Demand'!A:Z,15,FALSE))</f>
        <v>0</v>
      </c>
      <c r="Y2040" s="16">
        <f>IF(ISERROR(VLOOKUP($A2040,'13. Updated Demand'!A:Z,16,FALSE)),0,VLOOKUP($A2040,'13. Updated Demand'!A:Z,16,FALSE))</f>
        <v>0</v>
      </c>
      <c r="Z2040" s="16">
        <f>IF(ISERROR(VLOOKUP($A2040,'13. Updated Demand'!A:Z,17,FALSE)),0,VLOOKUP($A2040,'13. Updated Demand'!A:Z,17,FALSE))</f>
        <v>0</v>
      </c>
      <c r="AA2040" s="16">
        <f>IF(ISERROR(VLOOKUP($A2040,'13. Updated Demand'!A:Z,18,FALSE)),0,VLOOKUP($A2040,'13. Updated Demand'!A:Z,18,FALSE))</f>
        <v>0</v>
      </c>
      <c r="AB2040" s="16">
        <f>IF(ISERROR(VLOOKUP($A2040,'13. Updated Demand'!A:Z,19,FALSE)),0,VLOOKUP($A2040,'13. Updated Demand'!A:Z,19,FALSE))</f>
        <v>0</v>
      </c>
      <c r="AC2040" s="16">
        <f>IF(ISERROR(VLOOKUP($A2040,'13. Updated Demand'!A:Z,20,FALSE)),0,VLOOKUP($A2040,'13. Updated Demand'!A:Z,20,FALSE))</f>
        <v>0</v>
      </c>
      <c r="AD2040" s="16">
        <f>IF(ISERROR(VLOOKUP($A2040,'13. Updated Demand'!A:Z,21,FALSE)),0,VLOOKUP($A2040,'13. Updated Demand'!A:Z,21,FALSE))</f>
        <v>0</v>
      </c>
      <c r="AE2040" s="16">
        <f>IF(ISERROR(VLOOKUP($A2040,'13. Updated Demand'!A:Z,22,FALSE)),0,VLOOKUP($A2040,'13. Updated Demand'!A:Z,22,FALSE))</f>
        <v>0</v>
      </c>
      <c r="AF2040" s="16">
        <f>IF(ISERROR(VLOOKUP($A2040,'13. Updated Demand'!A:Z,23,FALSE)),0,VLOOKUP($A2040,'13. Updated Demand'!A:Z,23,FALSE))</f>
        <v>0</v>
      </c>
      <c r="AG2040" s="16">
        <f>IF(ISERROR(VLOOKUP($A2040,'13. Updated Demand'!A:Z,24,FALSE)),0,VLOOKUP($A2040,'13. Updated Demand'!A:Z,24,FALSE))</f>
        <v>0</v>
      </c>
      <c r="AH2040" s="16">
        <f>IF(ISERROR(VLOOKUP($A2040,'13. Updated Demand'!A:Z,25,FALSE)),0,VLOOKUP($A2040,'13. Updated Demand'!A:Z,25,FALSE))</f>
        <v>0</v>
      </c>
      <c r="AI2040" s="16">
        <f>IF(ISERROR(VLOOKUP($A2040,'13. Updated Demand'!A:Z,26,FALSE)),0,VLOOKUP($A2040,'13. Updated Demand'!A:Z,26,FALSE))</f>
        <v>0</v>
      </c>
      <c r="AJ2040" s="16">
        <f t="shared" si="385"/>
        <v>0</v>
      </c>
      <c r="AK2040" s="19">
        <v>0</v>
      </c>
      <c r="AL2040" s="16">
        <f t="shared" si="383"/>
        <v>0</v>
      </c>
      <c r="AM2040" s="26">
        <v>0</v>
      </c>
      <c r="AN2040" s="19">
        <v>0</v>
      </c>
      <c r="AO2040" s="19" t="s">
        <v>1758</v>
      </c>
      <c r="AP2040" s="19">
        <v>0</v>
      </c>
      <c r="AQ2040" s="19" t="s">
        <v>307</v>
      </c>
      <c r="AR2040" s="9" t="s">
        <v>436</v>
      </c>
      <c r="AS2040" s="12">
        <v>0</v>
      </c>
      <c r="AT2040" s="19">
        <v>38.703200000000002</v>
      </c>
      <c r="AU2040" s="19">
        <v>-122.8764</v>
      </c>
      <c r="AV2040" s="19" t="s">
        <v>387</v>
      </c>
    </row>
    <row r="2041" spans="1:48" x14ac:dyDescent="0.25">
      <c r="A2041" s="18" t="s">
        <v>138</v>
      </c>
      <c r="B2041" s="10">
        <v>10000000</v>
      </c>
      <c r="C2041" s="9">
        <v>10</v>
      </c>
      <c r="D2041" s="8" t="str">
        <f t="shared" si="374"/>
        <v>N</v>
      </c>
      <c r="E2041" s="8" t="str">
        <f t="shared" si="375"/>
        <v>Y</v>
      </c>
      <c r="F2041" s="8" t="str">
        <f t="shared" si="376"/>
        <v>Y</v>
      </c>
      <c r="G2041" s="8" t="str">
        <f t="shared" si="377"/>
        <v>Y</v>
      </c>
      <c r="H2041" s="8" t="str">
        <f t="shared" si="378"/>
        <v>Upper</v>
      </c>
      <c r="I2041" s="8" t="str">
        <f t="shared" si="379"/>
        <v>West Fork and Below Lake</v>
      </c>
      <c r="J2041" s="8" t="str">
        <f t="shared" si="380"/>
        <v>Sonoma (d/s of Clov. Gage)</v>
      </c>
      <c r="K2041" s="8" t="str">
        <f t="shared" si="381"/>
        <v>Riparian</v>
      </c>
      <c r="L2041" s="8">
        <f t="shared" si="382"/>
        <v>1000</v>
      </c>
      <c r="M2041" s="8" t="str">
        <f t="shared" si="384"/>
        <v>-</v>
      </c>
      <c r="N2041" s="10" t="s">
        <v>241</v>
      </c>
      <c r="O2041" s="10" t="s">
        <v>241</v>
      </c>
      <c r="P2041" s="10" t="s">
        <v>242</v>
      </c>
      <c r="Q2041" s="10" t="s">
        <v>242</v>
      </c>
      <c r="R2041" s="10" t="s">
        <v>242</v>
      </c>
      <c r="S2041" s="10" t="s">
        <v>241</v>
      </c>
      <c r="T2041" s="10" t="s">
        <v>242</v>
      </c>
      <c r="U2041" s="10" t="s">
        <v>241</v>
      </c>
      <c r="V2041" s="10" t="s">
        <v>241</v>
      </c>
      <c r="W2041" s="10" t="s">
        <v>242</v>
      </c>
      <c r="X2041" s="15">
        <f>IF(ISERROR(VLOOKUP($A2041,'13. Updated Demand'!A:Z,15,FALSE)),0,VLOOKUP($A2041,'13. Updated Demand'!A:Z,15,FALSE))</f>
        <v>0</v>
      </c>
      <c r="Y2041" s="16">
        <f>IF(ISERROR(VLOOKUP($A2041,'13. Updated Demand'!A:Z,16,FALSE)),0,VLOOKUP($A2041,'13. Updated Demand'!A:Z,16,FALSE))</f>
        <v>0</v>
      </c>
      <c r="Z2041" s="16">
        <f>IF(ISERROR(VLOOKUP($A2041,'13. Updated Demand'!A:Z,17,FALSE)),0,VLOOKUP($A2041,'13. Updated Demand'!A:Z,17,FALSE))</f>
        <v>0</v>
      </c>
      <c r="AA2041" s="16">
        <f>IF(ISERROR(VLOOKUP($A2041,'13. Updated Demand'!A:Z,18,FALSE)),0,VLOOKUP($A2041,'13. Updated Demand'!A:Z,18,FALSE))</f>
        <v>0</v>
      </c>
      <c r="AB2041" s="16">
        <f>IF(ISERROR(VLOOKUP($A2041,'13. Updated Demand'!A:Z,19,FALSE)),0,VLOOKUP($A2041,'13. Updated Demand'!A:Z,19,FALSE))</f>
        <v>0</v>
      </c>
      <c r="AC2041" s="16">
        <f>IF(ISERROR(VLOOKUP($A2041,'13. Updated Demand'!A:Z,20,FALSE)),0,VLOOKUP($A2041,'13. Updated Demand'!A:Z,20,FALSE))</f>
        <v>0</v>
      </c>
      <c r="AD2041" s="16">
        <f>IF(ISERROR(VLOOKUP($A2041,'13. Updated Demand'!A:Z,21,FALSE)),0,VLOOKUP($A2041,'13. Updated Demand'!A:Z,21,FALSE))</f>
        <v>0</v>
      </c>
      <c r="AE2041" s="16">
        <f>IF(ISERROR(VLOOKUP($A2041,'13. Updated Demand'!A:Z,22,FALSE)),0,VLOOKUP($A2041,'13. Updated Demand'!A:Z,22,FALSE))</f>
        <v>0</v>
      </c>
      <c r="AF2041" s="16">
        <f>IF(ISERROR(VLOOKUP($A2041,'13. Updated Demand'!A:Z,23,FALSE)),0,VLOOKUP($A2041,'13. Updated Demand'!A:Z,23,FALSE))</f>
        <v>0</v>
      </c>
      <c r="AG2041" s="16">
        <f>IF(ISERROR(VLOOKUP($A2041,'13. Updated Demand'!A:Z,24,FALSE)),0,VLOOKUP($A2041,'13. Updated Demand'!A:Z,24,FALSE))</f>
        <v>0</v>
      </c>
      <c r="AH2041" s="16">
        <f>IF(ISERROR(VLOOKUP($A2041,'13. Updated Demand'!A:Z,25,FALSE)),0,VLOOKUP($A2041,'13. Updated Demand'!A:Z,25,FALSE))</f>
        <v>0</v>
      </c>
      <c r="AI2041" s="16">
        <f>IF(ISERROR(VLOOKUP($A2041,'13. Updated Demand'!A:Z,26,FALSE)),0,VLOOKUP($A2041,'13. Updated Demand'!A:Z,26,FALSE))</f>
        <v>0</v>
      </c>
      <c r="AJ2041" s="16">
        <f t="shared" si="385"/>
        <v>0</v>
      </c>
      <c r="AK2041" s="19">
        <v>0</v>
      </c>
      <c r="AL2041" s="16">
        <f t="shared" si="383"/>
        <v>0</v>
      </c>
      <c r="AM2041" s="26">
        <v>0</v>
      </c>
      <c r="AN2041" s="19">
        <v>0</v>
      </c>
      <c r="AO2041" s="19" t="s">
        <v>1758</v>
      </c>
      <c r="AP2041" s="19">
        <v>0</v>
      </c>
      <c r="AQ2041" s="19" t="s">
        <v>307</v>
      </c>
      <c r="AR2041" s="9" t="s">
        <v>436</v>
      </c>
      <c r="AS2041" s="12">
        <v>0</v>
      </c>
      <c r="AT2041" s="19">
        <v>38.705800000000004</v>
      </c>
      <c r="AU2041" s="19">
        <v>-122.8823</v>
      </c>
      <c r="AV2041" s="19" t="s">
        <v>387</v>
      </c>
    </row>
    <row r="2042" spans="1:48" x14ac:dyDescent="0.25">
      <c r="A2042" s="18" t="s">
        <v>139</v>
      </c>
      <c r="B2042" s="10">
        <v>10000000</v>
      </c>
      <c r="C2042" s="9">
        <v>10</v>
      </c>
      <c r="D2042" s="8" t="str">
        <f t="shared" si="374"/>
        <v>N</v>
      </c>
      <c r="E2042" s="8" t="str">
        <f t="shared" si="375"/>
        <v>Y</v>
      </c>
      <c r="F2042" s="8" t="str">
        <f t="shared" si="376"/>
        <v>Y</v>
      </c>
      <c r="G2042" s="8" t="str">
        <f t="shared" si="377"/>
        <v>Y</v>
      </c>
      <c r="H2042" s="8" t="str">
        <f t="shared" si="378"/>
        <v>Upper</v>
      </c>
      <c r="I2042" s="8" t="str">
        <f t="shared" si="379"/>
        <v>West Fork and Below Lake</v>
      </c>
      <c r="J2042" s="8" t="str">
        <f t="shared" si="380"/>
        <v>Sonoma (d/s of Clov. Gage)</v>
      </c>
      <c r="K2042" s="8" t="str">
        <f t="shared" si="381"/>
        <v>Riparian</v>
      </c>
      <c r="L2042" s="8">
        <f t="shared" si="382"/>
        <v>1000</v>
      </c>
      <c r="M2042" s="8" t="str">
        <f t="shared" si="384"/>
        <v>-</v>
      </c>
      <c r="N2042" s="10" t="s">
        <v>241</v>
      </c>
      <c r="O2042" s="10" t="s">
        <v>241</v>
      </c>
      <c r="P2042" s="10" t="s">
        <v>242</v>
      </c>
      <c r="Q2042" s="10" t="s">
        <v>242</v>
      </c>
      <c r="R2042" s="10" t="s">
        <v>242</v>
      </c>
      <c r="S2042" s="10" t="s">
        <v>241</v>
      </c>
      <c r="T2042" s="10" t="s">
        <v>242</v>
      </c>
      <c r="U2042" s="10" t="s">
        <v>242</v>
      </c>
      <c r="V2042" s="10" t="s">
        <v>242</v>
      </c>
      <c r="W2042" s="10" t="s">
        <v>242</v>
      </c>
      <c r="X2042" s="15">
        <f>IF(ISERROR(VLOOKUP($A2042,'13. Updated Demand'!A:Z,15,FALSE)),0,VLOOKUP($A2042,'13. Updated Demand'!A:Z,15,FALSE))</f>
        <v>0</v>
      </c>
      <c r="Y2042" s="16">
        <f>IF(ISERROR(VLOOKUP($A2042,'13. Updated Demand'!A:Z,16,FALSE)),0,VLOOKUP($A2042,'13. Updated Demand'!A:Z,16,FALSE))</f>
        <v>0</v>
      </c>
      <c r="Z2042" s="16">
        <f>IF(ISERROR(VLOOKUP($A2042,'13. Updated Demand'!A:Z,17,FALSE)),0,VLOOKUP($A2042,'13. Updated Demand'!A:Z,17,FALSE))</f>
        <v>0</v>
      </c>
      <c r="AA2042" s="16">
        <f>IF(ISERROR(VLOOKUP($A2042,'13. Updated Demand'!A:Z,18,FALSE)),0,VLOOKUP($A2042,'13. Updated Demand'!A:Z,18,FALSE))</f>
        <v>0.08</v>
      </c>
      <c r="AB2042" s="16">
        <f>IF(ISERROR(VLOOKUP($A2042,'13. Updated Demand'!A:Z,19,FALSE)),0,VLOOKUP($A2042,'13. Updated Demand'!A:Z,19,FALSE))</f>
        <v>1.66</v>
      </c>
      <c r="AC2042" s="16">
        <f>IF(ISERROR(VLOOKUP($A2042,'13. Updated Demand'!A:Z,20,FALSE)),0,VLOOKUP($A2042,'13. Updated Demand'!A:Z,20,FALSE))</f>
        <v>3.66</v>
      </c>
      <c r="AD2042" s="16">
        <f>IF(ISERROR(VLOOKUP($A2042,'13. Updated Demand'!A:Z,21,FALSE)),0,VLOOKUP($A2042,'13. Updated Demand'!A:Z,21,FALSE))</f>
        <v>4.33</v>
      </c>
      <c r="AE2042" s="16">
        <f>IF(ISERROR(VLOOKUP($A2042,'13. Updated Demand'!A:Z,22,FALSE)),0,VLOOKUP($A2042,'13. Updated Demand'!A:Z,22,FALSE))</f>
        <v>4</v>
      </c>
      <c r="AF2042" s="16">
        <f>IF(ISERROR(VLOOKUP($A2042,'13. Updated Demand'!A:Z,23,FALSE)),0,VLOOKUP($A2042,'13. Updated Demand'!A:Z,23,FALSE))</f>
        <v>3.33</v>
      </c>
      <c r="AG2042" s="16">
        <f>IF(ISERROR(VLOOKUP($A2042,'13. Updated Demand'!A:Z,24,FALSE)),0,VLOOKUP($A2042,'13. Updated Demand'!A:Z,24,FALSE))</f>
        <v>2.66</v>
      </c>
      <c r="AH2042" s="16">
        <f>IF(ISERROR(VLOOKUP($A2042,'13. Updated Demand'!A:Z,25,FALSE)),0,VLOOKUP($A2042,'13. Updated Demand'!A:Z,25,FALSE))</f>
        <v>0</v>
      </c>
      <c r="AI2042" s="16">
        <f>IF(ISERROR(VLOOKUP($A2042,'13. Updated Demand'!A:Z,26,FALSE)),0,VLOOKUP($A2042,'13. Updated Demand'!A:Z,26,FALSE))</f>
        <v>0</v>
      </c>
      <c r="AJ2042" s="16">
        <f t="shared" si="385"/>
        <v>19.720000000000002</v>
      </c>
      <c r="AK2042" s="19">
        <v>17</v>
      </c>
      <c r="AL2042" s="16">
        <f t="shared" si="383"/>
        <v>5.6387063518023653E-2</v>
      </c>
      <c r="AM2042" s="26">
        <v>0.48765432098765443</v>
      </c>
      <c r="AN2042" s="19">
        <v>40.5</v>
      </c>
      <c r="AO2042" s="19" t="s">
        <v>1758</v>
      </c>
      <c r="AP2042" s="19">
        <v>0</v>
      </c>
      <c r="AQ2042" s="19" t="s">
        <v>307</v>
      </c>
      <c r="AR2042" s="9" t="s">
        <v>436</v>
      </c>
      <c r="AS2042" s="12">
        <v>0</v>
      </c>
      <c r="AT2042" s="19">
        <v>38.7057</v>
      </c>
      <c r="AU2042" s="19">
        <v>-122.8775</v>
      </c>
      <c r="AV2042" s="19" t="s">
        <v>387</v>
      </c>
    </row>
    <row r="2043" spans="1:48" x14ac:dyDescent="0.25">
      <c r="A2043" s="18" t="s">
        <v>140</v>
      </c>
      <c r="B2043" s="10">
        <v>10000000</v>
      </c>
      <c r="C2043" s="9">
        <v>10</v>
      </c>
      <c r="D2043" s="8" t="str">
        <f t="shared" si="374"/>
        <v>N</v>
      </c>
      <c r="E2043" s="8" t="str">
        <f t="shared" si="375"/>
        <v>Y</v>
      </c>
      <c r="F2043" s="8" t="str">
        <f t="shared" si="376"/>
        <v>Y</v>
      </c>
      <c r="G2043" s="8" t="str">
        <f t="shared" si="377"/>
        <v>Y</v>
      </c>
      <c r="H2043" s="8" t="str">
        <f t="shared" si="378"/>
        <v>Upper</v>
      </c>
      <c r="I2043" s="8" t="str">
        <f t="shared" si="379"/>
        <v>West Fork and Below Lake</v>
      </c>
      <c r="J2043" s="8" t="str">
        <f t="shared" si="380"/>
        <v>Sonoma (d/s of Clov. Gage)</v>
      </c>
      <c r="K2043" s="8" t="str">
        <f t="shared" si="381"/>
        <v>Riparian</v>
      </c>
      <c r="L2043" s="8">
        <f t="shared" si="382"/>
        <v>1000</v>
      </c>
      <c r="M2043" s="8" t="str">
        <f t="shared" si="384"/>
        <v>-</v>
      </c>
      <c r="N2043" s="10" t="s">
        <v>241</v>
      </c>
      <c r="O2043" s="10" t="s">
        <v>241</v>
      </c>
      <c r="P2043" s="10" t="s">
        <v>242</v>
      </c>
      <c r="Q2043" s="10" t="s">
        <v>242</v>
      </c>
      <c r="R2043" s="10" t="s">
        <v>242</v>
      </c>
      <c r="S2043" s="10" t="s">
        <v>241</v>
      </c>
      <c r="T2043" s="10" t="s">
        <v>242</v>
      </c>
      <c r="U2043" s="10" t="s">
        <v>241</v>
      </c>
      <c r="V2043" s="10" t="s">
        <v>241</v>
      </c>
      <c r="W2043" s="10" t="s">
        <v>242</v>
      </c>
      <c r="X2043" s="15">
        <f>IF(ISERROR(VLOOKUP($A2043,'13. Updated Demand'!A:Z,15,FALSE)),0,VLOOKUP($A2043,'13. Updated Demand'!A:Z,15,FALSE))</f>
        <v>0</v>
      </c>
      <c r="Y2043" s="16">
        <f>IF(ISERROR(VLOOKUP($A2043,'13. Updated Demand'!A:Z,16,FALSE)),0,VLOOKUP($A2043,'13. Updated Demand'!A:Z,16,FALSE))</f>
        <v>0</v>
      </c>
      <c r="Z2043" s="16">
        <f>IF(ISERROR(VLOOKUP($A2043,'13. Updated Demand'!A:Z,17,FALSE)),0,VLOOKUP($A2043,'13. Updated Demand'!A:Z,17,FALSE))</f>
        <v>0</v>
      </c>
      <c r="AA2043" s="16">
        <f>IF(ISERROR(VLOOKUP($A2043,'13. Updated Demand'!A:Z,18,FALSE)),0,VLOOKUP($A2043,'13. Updated Demand'!A:Z,18,FALSE))</f>
        <v>0</v>
      </c>
      <c r="AB2043" s="16">
        <f>IF(ISERROR(VLOOKUP($A2043,'13. Updated Demand'!A:Z,19,FALSE)),0,VLOOKUP($A2043,'13. Updated Demand'!A:Z,19,FALSE))</f>
        <v>0</v>
      </c>
      <c r="AC2043" s="16">
        <f>IF(ISERROR(VLOOKUP($A2043,'13. Updated Demand'!A:Z,20,FALSE)),0,VLOOKUP($A2043,'13. Updated Demand'!A:Z,20,FALSE))</f>
        <v>0</v>
      </c>
      <c r="AD2043" s="16">
        <f>IF(ISERROR(VLOOKUP($A2043,'13. Updated Demand'!A:Z,21,FALSE)),0,VLOOKUP($A2043,'13. Updated Demand'!A:Z,21,FALSE))</f>
        <v>0</v>
      </c>
      <c r="AE2043" s="16">
        <f>IF(ISERROR(VLOOKUP($A2043,'13. Updated Demand'!A:Z,22,FALSE)),0,VLOOKUP($A2043,'13. Updated Demand'!A:Z,22,FALSE))</f>
        <v>0</v>
      </c>
      <c r="AF2043" s="16">
        <f>IF(ISERROR(VLOOKUP($A2043,'13. Updated Demand'!A:Z,23,FALSE)),0,VLOOKUP($A2043,'13. Updated Demand'!A:Z,23,FALSE))</f>
        <v>0</v>
      </c>
      <c r="AG2043" s="16">
        <f>IF(ISERROR(VLOOKUP($A2043,'13. Updated Demand'!A:Z,24,FALSE)),0,VLOOKUP($A2043,'13. Updated Demand'!A:Z,24,FALSE))</f>
        <v>0</v>
      </c>
      <c r="AH2043" s="16">
        <f>IF(ISERROR(VLOOKUP($A2043,'13. Updated Demand'!A:Z,25,FALSE)),0,VLOOKUP($A2043,'13. Updated Demand'!A:Z,25,FALSE))</f>
        <v>0</v>
      </c>
      <c r="AI2043" s="16">
        <f>IF(ISERROR(VLOOKUP($A2043,'13. Updated Demand'!A:Z,26,FALSE)),0,VLOOKUP($A2043,'13. Updated Demand'!A:Z,26,FALSE))</f>
        <v>0</v>
      </c>
      <c r="AJ2043" s="16">
        <f t="shared" si="385"/>
        <v>0</v>
      </c>
      <c r="AK2043" s="19">
        <v>0</v>
      </c>
      <c r="AL2043" s="16">
        <f t="shared" si="383"/>
        <v>0</v>
      </c>
      <c r="AM2043" s="26">
        <v>0</v>
      </c>
      <c r="AN2043" s="19">
        <v>60.4</v>
      </c>
      <c r="AO2043" s="19" t="s">
        <v>1758</v>
      </c>
      <c r="AP2043" s="19">
        <v>0</v>
      </c>
      <c r="AQ2043" s="19" t="s">
        <v>307</v>
      </c>
      <c r="AR2043" s="9" t="s">
        <v>436</v>
      </c>
      <c r="AS2043" s="12">
        <v>0</v>
      </c>
      <c r="AT2043" s="19">
        <v>38.705199999999998</v>
      </c>
      <c r="AU2043" s="19">
        <v>-122.8832</v>
      </c>
      <c r="AV2043" s="19" t="s">
        <v>387</v>
      </c>
    </row>
    <row r="2044" spans="1:48" x14ac:dyDescent="0.25">
      <c r="A2044" s="18" t="s">
        <v>2472</v>
      </c>
      <c r="B2044" s="10">
        <v>10000000</v>
      </c>
      <c r="C2044" s="9">
        <v>16</v>
      </c>
      <c r="D2044" s="8" t="str">
        <f t="shared" si="374"/>
        <v>N</v>
      </c>
      <c r="E2044" s="8" t="str">
        <f t="shared" si="375"/>
        <v>N</v>
      </c>
      <c r="F2044" s="8" t="str">
        <f t="shared" si="376"/>
        <v>N</v>
      </c>
      <c r="G2044" s="8" t="str">
        <f t="shared" si="377"/>
        <v>N</v>
      </c>
      <c r="H2044" s="8" t="str">
        <f t="shared" si="378"/>
        <v>Lower</v>
      </c>
      <c r="I2044" s="8" t="str">
        <f t="shared" si="379"/>
        <v>Outside</v>
      </c>
      <c r="J2044" s="8" t="str">
        <f t="shared" si="380"/>
        <v>Outside</v>
      </c>
      <c r="K2044" s="8" t="str">
        <f t="shared" si="381"/>
        <v>Riparian</v>
      </c>
      <c r="L2044" s="8">
        <f t="shared" si="382"/>
        <v>1000</v>
      </c>
      <c r="M2044" s="8" t="str">
        <f t="shared" si="384"/>
        <v>-</v>
      </c>
      <c r="N2044" s="10" t="s">
        <v>242</v>
      </c>
      <c r="O2044" s="10" t="s">
        <v>242</v>
      </c>
      <c r="P2044" s="10" t="s">
        <v>242</v>
      </c>
      <c r="Q2044" s="10" t="s">
        <v>242</v>
      </c>
      <c r="R2044" s="10" t="s">
        <v>242</v>
      </c>
      <c r="S2044" s="10" t="s">
        <v>241</v>
      </c>
      <c r="T2044" s="10" t="s">
        <v>242</v>
      </c>
      <c r="U2044" s="10" t="s">
        <v>242</v>
      </c>
      <c r="V2044" s="10" t="s">
        <v>242</v>
      </c>
      <c r="W2044" s="10" t="s">
        <v>242</v>
      </c>
      <c r="X2044" s="15">
        <f>IF(ISERROR(VLOOKUP($A2044,'13. Updated Demand'!A:Z,15,FALSE)),0,VLOOKUP($A2044,'13. Updated Demand'!A:Z,15,FALSE))</f>
        <v>0</v>
      </c>
      <c r="Y2044" s="16">
        <f>IF(ISERROR(VLOOKUP($A2044,'13. Updated Demand'!A:Z,16,FALSE)),0,VLOOKUP($A2044,'13. Updated Demand'!A:Z,16,FALSE))</f>
        <v>0</v>
      </c>
      <c r="Z2044" s="16">
        <f>IF(ISERROR(VLOOKUP($A2044,'13. Updated Demand'!A:Z,17,FALSE)),0,VLOOKUP($A2044,'13. Updated Demand'!A:Z,17,FALSE))</f>
        <v>1.6666669999999999E-3</v>
      </c>
      <c r="AA2044" s="16">
        <f>IF(ISERROR(VLOOKUP($A2044,'13. Updated Demand'!A:Z,18,FALSE)),0,VLOOKUP($A2044,'13. Updated Demand'!A:Z,18,FALSE))</f>
        <v>2E-3</v>
      </c>
      <c r="AB2044" s="16">
        <f>IF(ISERROR(VLOOKUP($A2044,'13. Updated Demand'!A:Z,19,FALSE)),0,VLOOKUP($A2044,'13. Updated Demand'!A:Z,19,FALSE))</f>
        <v>2.0666669999999999E-3</v>
      </c>
      <c r="AC2044" s="16">
        <f>IF(ISERROR(VLOOKUP($A2044,'13. Updated Demand'!A:Z,20,FALSE)),0,VLOOKUP($A2044,'13. Updated Demand'!A:Z,20,FALSE))</f>
        <v>2.3333329999999999E-3</v>
      </c>
      <c r="AD2044" s="16">
        <f>IF(ISERROR(VLOOKUP($A2044,'13. Updated Demand'!A:Z,21,FALSE)),0,VLOOKUP($A2044,'13. Updated Demand'!A:Z,21,FALSE))</f>
        <v>2.6666670000000002E-3</v>
      </c>
      <c r="AE2044" s="16">
        <f>IF(ISERROR(VLOOKUP($A2044,'13. Updated Demand'!A:Z,22,FALSE)),0,VLOOKUP($A2044,'13. Updated Demand'!A:Z,22,FALSE))</f>
        <v>1.6666669999999999E-3</v>
      </c>
      <c r="AF2044" s="16">
        <f>IF(ISERROR(VLOOKUP($A2044,'13. Updated Demand'!A:Z,23,FALSE)),0,VLOOKUP($A2044,'13. Updated Demand'!A:Z,23,FALSE))</f>
        <v>0</v>
      </c>
      <c r="AG2044" s="16">
        <f>IF(ISERROR(VLOOKUP($A2044,'13. Updated Demand'!A:Z,24,FALSE)),0,VLOOKUP($A2044,'13. Updated Demand'!A:Z,24,FALSE))</f>
        <v>0</v>
      </c>
      <c r="AH2044" s="16">
        <f>IF(ISERROR(VLOOKUP($A2044,'13. Updated Demand'!A:Z,25,FALSE)),0,VLOOKUP($A2044,'13. Updated Demand'!A:Z,25,FALSE))</f>
        <v>0</v>
      </c>
      <c r="AI2044" s="16">
        <f>IF(ISERROR(VLOOKUP($A2044,'13. Updated Demand'!A:Z,26,FALSE)),0,VLOOKUP($A2044,'13. Updated Demand'!A:Z,26,FALSE))</f>
        <v>0</v>
      </c>
      <c r="AJ2044" s="16">
        <f t="shared" si="385"/>
        <v>1.2400001000000001E-2</v>
      </c>
      <c r="AK2044" s="19">
        <v>8.7333339999999988E-3</v>
      </c>
      <c r="AL2044" s="16">
        <f t="shared" si="383"/>
        <v>2.8967474057771502E-5</v>
      </c>
      <c r="AM2044" s="26">
        <v>6.1134342707265131E-4</v>
      </c>
      <c r="AN2044" s="19">
        <v>20.283200000000001</v>
      </c>
      <c r="AO2044" s="19" t="s">
        <v>1758</v>
      </c>
      <c r="AP2044" s="19">
        <v>0</v>
      </c>
      <c r="AQ2044" s="19" t="s">
        <v>307</v>
      </c>
      <c r="AR2044" s="9" t="s">
        <v>394</v>
      </c>
      <c r="AS2044" s="12">
        <v>0</v>
      </c>
      <c r="AT2044" s="19">
        <v>38.581849400000003</v>
      </c>
      <c r="AU2044" s="19">
        <v>-122.88265308</v>
      </c>
      <c r="AV2044" s="19" t="s">
        <v>406</v>
      </c>
    </row>
    <row r="2045" spans="1:48" x14ac:dyDescent="0.25">
      <c r="A2045" s="18" t="s">
        <v>2473</v>
      </c>
      <c r="B2045" s="10">
        <v>10000000</v>
      </c>
      <c r="C2045" s="9">
        <v>1</v>
      </c>
      <c r="D2045" s="8" t="str">
        <f t="shared" si="374"/>
        <v>N</v>
      </c>
      <c r="E2045" s="8" t="str">
        <f t="shared" si="375"/>
        <v>N</v>
      </c>
      <c r="F2045" s="8" t="str">
        <f t="shared" si="376"/>
        <v>Y</v>
      </c>
      <c r="G2045" s="8" t="str">
        <f t="shared" si="377"/>
        <v>Y</v>
      </c>
      <c r="H2045" s="8" t="str">
        <f t="shared" si="378"/>
        <v>Upper</v>
      </c>
      <c r="I2045" s="8" t="str">
        <f t="shared" si="379"/>
        <v>West Fork and Below Lake</v>
      </c>
      <c r="J2045" s="8" t="str">
        <f t="shared" si="380"/>
        <v>Outside</v>
      </c>
      <c r="K2045" s="8" t="str">
        <f t="shared" si="381"/>
        <v>Riparian</v>
      </c>
      <c r="L2045" s="8">
        <f t="shared" si="382"/>
        <v>1000</v>
      </c>
      <c r="M2045" s="8" t="str">
        <f t="shared" si="384"/>
        <v>-</v>
      </c>
      <c r="N2045" s="10" t="s">
        <v>242</v>
      </c>
      <c r="O2045" s="10" t="s">
        <v>241</v>
      </c>
      <c r="P2045" s="10" t="s">
        <v>242</v>
      </c>
      <c r="Q2045" s="10" t="s">
        <v>242</v>
      </c>
      <c r="R2045" s="10" t="s">
        <v>242</v>
      </c>
      <c r="S2045" s="10" t="s">
        <v>241</v>
      </c>
      <c r="T2045" s="10" t="s">
        <v>242</v>
      </c>
      <c r="U2045" s="10" t="s">
        <v>242</v>
      </c>
      <c r="V2045" s="10" t="s">
        <v>241</v>
      </c>
      <c r="W2045" s="10" t="s">
        <v>242</v>
      </c>
      <c r="X2045" s="15">
        <f>IF(ISERROR(VLOOKUP($A2045,'13. Updated Demand'!A:Z,15,FALSE)),0,VLOOKUP($A2045,'13. Updated Demand'!A:Z,15,FALSE))</f>
        <v>1.34</v>
      </c>
      <c r="Y2045" s="16">
        <f>IF(ISERROR(VLOOKUP($A2045,'13. Updated Demand'!A:Z,16,FALSE)),0,VLOOKUP($A2045,'13. Updated Demand'!A:Z,16,FALSE))</f>
        <v>1.36</v>
      </c>
      <c r="Z2045" s="16">
        <f>IF(ISERROR(VLOOKUP($A2045,'13. Updated Demand'!A:Z,17,FALSE)),0,VLOOKUP($A2045,'13. Updated Demand'!A:Z,17,FALSE))</f>
        <v>1.37</v>
      </c>
      <c r="AA2045" s="16">
        <f>IF(ISERROR(VLOOKUP($A2045,'13. Updated Demand'!A:Z,18,FALSE)),0,VLOOKUP($A2045,'13. Updated Demand'!A:Z,18,FALSE))</f>
        <v>0</v>
      </c>
      <c r="AB2045" s="16">
        <f>IF(ISERROR(VLOOKUP($A2045,'13. Updated Demand'!A:Z,19,FALSE)),0,VLOOKUP($A2045,'13. Updated Demand'!A:Z,19,FALSE))</f>
        <v>0</v>
      </c>
      <c r="AC2045" s="16">
        <f>IF(ISERROR(VLOOKUP($A2045,'13. Updated Demand'!A:Z,20,FALSE)),0,VLOOKUP($A2045,'13. Updated Demand'!A:Z,20,FALSE))</f>
        <v>0</v>
      </c>
      <c r="AD2045" s="16">
        <f>IF(ISERROR(VLOOKUP($A2045,'13. Updated Demand'!A:Z,21,FALSE)),0,VLOOKUP($A2045,'13. Updated Demand'!A:Z,21,FALSE))</f>
        <v>0</v>
      </c>
      <c r="AE2045" s="16">
        <f>IF(ISERROR(VLOOKUP($A2045,'13. Updated Demand'!A:Z,22,FALSE)),0,VLOOKUP($A2045,'13. Updated Demand'!A:Z,22,FALSE))</f>
        <v>0</v>
      </c>
      <c r="AF2045" s="16">
        <f>IF(ISERROR(VLOOKUP($A2045,'13. Updated Demand'!A:Z,23,FALSE)),0,VLOOKUP($A2045,'13. Updated Demand'!A:Z,23,FALSE))</f>
        <v>0</v>
      </c>
      <c r="AG2045" s="16">
        <f>IF(ISERROR(VLOOKUP($A2045,'13. Updated Demand'!A:Z,24,FALSE)),0,VLOOKUP($A2045,'13. Updated Demand'!A:Z,24,FALSE))</f>
        <v>0</v>
      </c>
      <c r="AH2045" s="16">
        <f>IF(ISERROR(VLOOKUP($A2045,'13. Updated Demand'!A:Z,25,FALSE)),0,VLOOKUP($A2045,'13. Updated Demand'!A:Z,25,FALSE))</f>
        <v>0</v>
      </c>
      <c r="AI2045" s="16">
        <f>IF(ISERROR(VLOOKUP($A2045,'13. Updated Demand'!A:Z,26,FALSE)),0,VLOOKUP($A2045,'13. Updated Demand'!A:Z,26,FALSE))</f>
        <v>0</v>
      </c>
      <c r="AJ2045" s="16">
        <f t="shared" si="385"/>
        <v>4.07</v>
      </c>
      <c r="AK2045" s="19">
        <v>0</v>
      </c>
      <c r="AL2045" s="16">
        <f t="shared" si="383"/>
        <v>0</v>
      </c>
      <c r="AM2045" s="26">
        <v>0.99514622307861167</v>
      </c>
      <c r="AN2045" s="19">
        <v>4.0998999999999999</v>
      </c>
      <c r="AO2045" s="19" t="s">
        <v>1758</v>
      </c>
      <c r="AP2045" s="19">
        <v>0</v>
      </c>
      <c r="AQ2045" s="19" t="s">
        <v>307</v>
      </c>
      <c r="AR2045" s="9" t="s">
        <v>317</v>
      </c>
      <c r="AS2045" s="12">
        <v>0</v>
      </c>
      <c r="AT2045" s="19">
        <v>39.271299999999997</v>
      </c>
      <c r="AU2045" s="19">
        <v>-123.2538</v>
      </c>
      <c r="AV2045" s="19"/>
    </row>
    <row r="2046" spans="1:48" x14ac:dyDescent="0.25">
      <c r="A2046" s="18" t="s">
        <v>2474</v>
      </c>
      <c r="B2046" s="10">
        <v>10000000</v>
      </c>
      <c r="C2046" s="9">
        <v>1</v>
      </c>
      <c r="D2046" s="8" t="str">
        <f t="shared" si="374"/>
        <v>N</v>
      </c>
      <c r="E2046" s="8" t="str">
        <f t="shared" si="375"/>
        <v>N</v>
      </c>
      <c r="F2046" s="8" t="str">
        <f t="shared" si="376"/>
        <v>Y</v>
      </c>
      <c r="G2046" s="8" t="str">
        <f t="shared" si="377"/>
        <v>Y</v>
      </c>
      <c r="H2046" s="8" t="str">
        <f t="shared" si="378"/>
        <v>Upper</v>
      </c>
      <c r="I2046" s="8" t="str">
        <f t="shared" si="379"/>
        <v>West Fork and Below Lake</v>
      </c>
      <c r="J2046" s="8" t="str">
        <f t="shared" si="380"/>
        <v>Outside</v>
      </c>
      <c r="K2046" s="8" t="str">
        <f t="shared" si="381"/>
        <v>Riparian</v>
      </c>
      <c r="L2046" s="8">
        <f t="shared" si="382"/>
        <v>1000</v>
      </c>
      <c r="M2046" s="8" t="str">
        <f t="shared" si="384"/>
        <v>-</v>
      </c>
      <c r="N2046" s="10" t="s">
        <v>242</v>
      </c>
      <c r="O2046" s="10" t="s">
        <v>241</v>
      </c>
      <c r="P2046" s="10" t="s">
        <v>242</v>
      </c>
      <c r="Q2046" s="10" t="s">
        <v>242</v>
      </c>
      <c r="R2046" s="10" t="s">
        <v>242</v>
      </c>
      <c r="S2046" s="10" t="s">
        <v>241</v>
      </c>
      <c r="T2046" s="10" t="s">
        <v>242</v>
      </c>
      <c r="U2046" s="10" t="s">
        <v>242</v>
      </c>
      <c r="V2046" s="10" t="s">
        <v>241</v>
      </c>
      <c r="W2046" s="10" t="s">
        <v>242</v>
      </c>
      <c r="X2046" s="15">
        <f>IF(ISERROR(VLOOKUP($A2046,'13. Updated Demand'!A:Z,15,FALSE)),0,VLOOKUP($A2046,'13. Updated Demand'!A:Z,15,FALSE))</f>
        <v>3.41</v>
      </c>
      <c r="Y2046" s="16">
        <f>IF(ISERROR(VLOOKUP($A2046,'13. Updated Demand'!A:Z,16,FALSE)),0,VLOOKUP($A2046,'13. Updated Demand'!A:Z,16,FALSE))</f>
        <v>2.04</v>
      </c>
      <c r="Z2046" s="16">
        <f>IF(ISERROR(VLOOKUP($A2046,'13. Updated Demand'!A:Z,17,FALSE)),0,VLOOKUP($A2046,'13. Updated Demand'!A:Z,17,FALSE))</f>
        <v>2.0099999999999998</v>
      </c>
      <c r="AA2046" s="16">
        <f>IF(ISERROR(VLOOKUP($A2046,'13. Updated Demand'!A:Z,18,FALSE)),0,VLOOKUP($A2046,'13. Updated Demand'!A:Z,18,FALSE))</f>
        <v>0</v>
      </c>
      <c r="AB2046" s="16">
        <f>IF(ISERROR(VLOOKUP($A2046,'13. Updated Demand'!A:Z,19,FALSE)),0,VLOOKUP($A2046,'13. Updated Demand'!A:Z,19,FALSE))</f>
        <v>0</v>
      </c>
      <c r="AC2046" s="16">
        <f>IF(ISERROR(VLOOKUP($A2046,'13. Updated Demand'!A:Z,20,FALSE)),0,VLOOKUP($A2046,'13. Updated Demand'!A:Z,20,FALSE))</f>
        <v>0</v>
      </c>
      <c r="AD2046" s="16">
        <f>IF(ISERROR(VLOOKUP($A2046,'13. Updated Demand'!A:Z,21,FALSE)),0,VLOOKUP($A2046,'13. Updated Demand'!A:Z,21,FALSE))</f>
        <v>0</v>
      </c>
      <c r="AE2046" s="16">
        <f>IF(ISERROR(VLOOKUP($A2046,'13. Updated Demand'!A:Z,22,FALSE)),0,VLOOKUP($A2046,'13. Updated Demand'!A:Z,22,FALSE))</f>
        <v>0</v>
      </c>
      <c r="AF2046" s="16">
        <f>IF(ISERROR(VLOOKUP($A2046,'13. Updated Demand'!A:Z,23,FALSE)),0,VLOOKUP($A2046,'13. Updated Demand'!A:Z,23,FALSE))</f>
        <v>0</v>
      </c>
      <c r="AG2046" s="16">
        <f>IF(ISERROR(VLOOKUP($A2046,'13. Updated Demand'!A:Z,24,FALSE)),0,VLOOKUP($A2046,'13. Updated Demand'!A:Z,24,FALSE))</f>
        <v>0</v>
      </c>
      <c r="AH2046" s="16">
        <f>IF(ISERROR(VLOOKUP($A2046,'13. Updated Demand'!A:Z,25,FALSE)),0,VLOOKUP($A2046,'13. Updated Demand'!A:Z,25,FALSE))</f>
        <v>0</v>
      </c>
      <c r="AI2046" s="16">
        <f>IF(ISERROR(VLOOKUP($A2046,'13. Updated Demand'!A:Z,26,FALSE)),0,VLOOKUP($A2046,'13. Updated Demand'!A:Z,26,FALSE))</f>
        <v>0</v>
      </c>
      <c r="AJ2046" s="16">
        <f t="shared" si="385"/>
        <v>7.46</v>
      </c>
      <c r="AK2046" s="19">
        <v>0</v>
      </c>
      <c r="AL2046" s="16">
        <f t="shared" si="383"/>
        <v>0</v>
      </c>
      <c r="AM2046" s="26">
        <v>0.82959259255555562</v>
      </c>
      <c r="AN2046" s="19">
        <v>9</v>
      </c>
      <c r="AO2046" s="19" t="s">
        <v>1758</v>
      </c>
      <c r="AP2046" s="19">
        <v>0</v>
      </c>
      <c r="AQ2046" s="19" t="s">
        <v>307</v>
      </c>
      <c r="AR2046" s="9" t="s">
        <v>317</v>
      </c>
      <c r="AS2046" s="12">
        <v>0</v>
      </c>
      <c r="AT2046" s="19">
        <v>39.273400000000002</v>
      </c>
      <c r="AU2046" s="19">
        <v>-123.2574</v>
      </c>
      <c r="AV2046" s="19"/>
    </row>
    <row r="2047" spans="1:48" x14ac:dyDescent="0.25">
      <c r="A2047" s="18" t="s">
        <v>2475</v>
      </c>
      <c r="B2047" s="10">
        <v>10000000</v>
      </c>
      <c r="C2047" s="9">
        <v>9</v>
      </c>
      <c r="D2047" s="8" t="str">
        <f t="shared" si="374"/>
        <v>N</v>
      </c>
      <c r="E2047" s="8" t="str">
        <f t="shared" si="375"/>
        <v>Y</v>
      </c>
      <c r="F2047" s="8" t="str">
        <f t="shared" si="376"/>
        <v>Y</v>
      </c>
      <c r="G2047" s="8" t="str">
        <f t="shared" si="377"/>
        <v>Y</v>
      </c>
      <c r="H2047" s="8" t="str">
        <f t="shared" si="378"/>
        <v>Upper</v>
      </c>
      <c r="I2047" s="8" t="str">
        <f t="shared" si="379"/>
        <v>West Fork and Below Lake</v>
      </c>
      <c r="J2047" s="8" t="str">
        <f t="shared" si="380"/>
        <v>Sonoma (d/s of Clov. Gage)</v>
      </c>
      <c r="K2047" s="8" t="str">
        <f t="shared" si="381"/>
        <v>Riparian</v>
      </c>
      <c r="L2047" s="8">
        <f t="shared" si="382"/>
        <v>1000</v>
      </c>
      <c r="M2047" s="8" t="str">
        <f t="shared" si="384"/>
        <v>-</v>
      </c>
      <c r="N2047" s="10" t="s">
        <v>242</v>
      </c>
      <c r="O2047" s="10" t="s">
        <v>241</v>
      </c>
      <c r="P2047" s="10" t="s">
        <v>242</v>
      </c>
      <c r="Q2047" s="10" t="s">
        <v>242</v>
      </c>
      <c r="R2047" s="10" t="s">
        <v>242</v>
      </c>
      <c r="S2047" s="10" t="s">
        <v>241</v>
      </c>
      <c r="T2047" s="10" t="s">
        <v>242</v>
      </c>
      <c r="U2047" s="10" t="s">
        <v>242</v>
      </c>
      <c r="V2047" s="10" t="s">
        <v>242</v>
      </c>
      <c r="W2047" s="10" t="s">
        <v>242</v>
      </c>
      <c r="X2047" s="15">
        <f>IF(ISERROR(VLOOKUP($A2047,'13. Updated Demand'!A:Z,15,FALSE)),0,VLOOKUP($A2047,'13. Updated Demand'!A:Z,15,FALSE))</f>
        <v>0.21</v>
      </c>
      <c r="Y2047" s="16">
        <f>IF(ISERROR(VLOOKUP($A2047,'13. Updated Demand'!A:Z,16,FALSE)),0,VLOOKUP($A2047,'13. Updated Demand'!A:Z,16,FALSE))</f>
        <v>0.2</v>
      </c>
      <c r="Z2047" s="16">
        <f>IF(ISERROR(VLOOKUP($A2047,'13. Updated Demand'!A:Z,17,FALSE)),0,VLOOKUP($A2047,'13. Updated Demand'!A:Z,17,FALSE))</f>
        <v>0.24</v>
      </c>
      <c r="AA2047" s="16">
        <f>IF(ISERROR(VLOOKUP($A2047,'13. Updated Demand'!A:Z,18,FALSE)),0,VLOOKUP($A2047,'13. Updated Demand'!A:Z,18,FALSE))</f>
        <v>0.25</v>
      </c>
      <c r="AB2047" s="16">
        <f>IF(ISERROR(VLOOKUP($A2047,'13. Updated Demand'!A:Z,19,FALSE)),0,VLOOKUP($A2047,'13. Updated Demand'!A:Z,19,FALSE))</f>
        <v>0.35</v>
      </c>
      <c r="AC2047" s="16">
        <f>IF(ISERROR(VLOOKUP($A2047,'13. Updated Demand'!A:Z,20,FALSE)),0,VLOOKUP($A2047,'13. Updated Demand'!A:Z,20,FALSE))</f>
        <v>1.2</v>
      </c>
      <c r="AD2047" s="16">
        <f>IF(ISERROR(VLOOKUP($A2047,'13. Updated Demand'!A:Z,21,FALSE)),0,VLOOKUP($A2047,'13. Updated Demand'!A:Z,21,FALSE))</f>
        <v>1.21</v>
      </c>
      <c r="AE2047" s="16">
        <f>IF(ISERROR(VLOOKUP($A2047,'13. Updated Demand'!A:Z,22,FALSE)),0,VLOOKUP($A2047,'13. Updated Demand'!A:Z,22,FALSE))</f>
        <v>1.25</v>
      </c>
      <c r="AF2047" s="16">
        <f>IF(ISERROR(VLOOKUP($A2047,'13. Updated Demand'!A:Z,23,FALSE)),0,VLOOKUP($A2047,'13. Updated Demand'!A:Z,23,FALSE))</f>
        <v>0.98</v>
      </c>
      <c r="AG2047" s="16">
        <f>IF(ISERROR(VLOOKUP($A2047,'13. Updated Demand'!A:Z,24,FALSE)),0,VLOOKUP($A2047,'13. Updated Demand'!A:Z,24,FALSE))</f>
        <v>0.51</v>
      </c>
      <c r="AH2047" s="16">
        <f>IF(ISERROR(VLOOKUP($A2047,'13. Updated Demand'!A:Z,25,FALSE)),0,VLOOKUP($A2047,'13. Updated Demand'!A:Z,25,FALSE))</f>
        <v>0.26</v>
      </c>
      <c r="AI2047" s="16">
        <f>IF(ISERROR(VLOOKUP($A2047,'13. Updated Demand'!A:Z,26,FALSE)),0,VLOOKUP($A2047,'13. Updated Demand'!A:Z,26,FALSE))</f>
        <v>0.21</v>
      </c>
      <c r="AJ2047" s="16">
        <f t="shared" si="385"/>
        <v>6.87</v>
      </c>
      <c r="AK2047" s="19">
        <v>4.99</v>
      </c>
      <c r="AL2047" s="16">
        <f t="shared" si="383"/>
        <v>1.6551261585584592E-2</v>
      </c>
      <c r="AM2047" s="26">
        <v>0.98438171657830631</v>
      </c>
      <c r="AN2047" s="19">
        <v>6.9790000000000001</v>
      </c>
      <c r="AO2047" s="19" t="s">
        <v>1758</v>
      </c>
      <c r="AP2047" s="19">
        <v>0</v>
      </c>
      <c r="AQ2047" s="19" t="s">
        <v>307</v>
      </c>
      <c r="AR2047" s="9" t="s">
        <v>354</v>
      </c>
      <c r="AS2047" s="12">
        <v>0</v>
      </c>
      <c r="AT2047" s="19">
        <v>38.758600000000001</v>
      </c>
      <c r="AU2047" s="19">
        <v>-123.00839999999999</v>
      </c>
      <c r="AV2047" s="19" t="s">
        <v>2476</v>
      </c>
    </row>
    <row r="2048" spans="1:48" x14ac:dyDescent="0.25">
      <c r="A2048" s="18" t="s">
        <v>2477</v>
      </c>
      <c r="B2048" s="10">
        <v>10000000</v>
      </c>
      <c r="C2048" s="9">
        <v>9</v>
      </c>
      <c r="D2048" s="8" t="str">
        <f t="shared" si="374"/>
        <v>N</v>
      </c>
      <c r="E2048" s="8" t="str">
        <f t="shared" si="375"/>
        <v>Y</v>
      </c>
      <c r="F2048" s="8" t="str">
        <f t="shared" si="376"/>
        <v>Y</v>
      </c>
      <c r="G2048" s="8" t="str">
        <f t="shared" si="377"/>
        <v>Y</v>
      </c>
      <c r="H2048" s="8" t="str">
        <f t="shared" si="378"/>
        <v>Upper</v>
      </c>
      <c r="I2048" s="8" t="str">
        <f t="shared" si="379"/>
        <v>West Fork and Below Lake</v>
      </c>
      <c r="J2048" s="8" t="str">
        <f t="shared" si="380"/>
        <v>Sonoma (d/s of Clov. Gage)</v>
      </c>
      <c r="K2048" s="8" t="str">
        <f t="shared" si="381"/>
        <v>Riparian</v>
      </c>
      <c r="L2048" s="8">
        <f t="shared" si="382"/>
        <v>1000</v>
      </c>
      <c r="M2048" s="8" t="str">
        <f t="shared" si="384"/>
        <v>-</v>
      </c>
      <c r="N2048" s="10" t="s">
        <v>242</v>
      </c>
      <c r="O2048" s="10" t="s">
        <v>241</v>
      </c>
      <c r="P2048" s="10" t="s">
        <v>242</v>
      </c>
      <c r="Q2048" s="10" t="s">
        <v>242</v>
      </c>
      <c r="R2048" s="10" t="s">
        <v>242</v>
      </c>
      <c r="S2048" s="10" t="s">
        <v>241</v>
      </c>
      <c r="T2048" s="10" t="s">
        <v>242</v>
      </c>
      <c r="U2048" s="10" t="s">
        <v>242</v>
      </c>
      <c r="V2048" s="10" t="s">
        <v>241</v>
      </c>
      <c r="W2048" s="10" t="s">
        <v>242</v>
      </c>
      <c r="X2048" s="15">
        <f>IF(ISERROR(VLOOKUP($A2048,'13. Updated Demand'!A:Z,15,FALSE)),0,VLOOKUP($A2048,'13. Updated Demand'!A:Z,15,FALSE))</f>
        <v>2.33</v>
      </c>
      <c r="Y2048" s="16">
        <f>IF(ISERROR(VLOOKUP($A2048,'13. Updated Demand'!A:Z,16,FALSE)),0,VLOOKUP($A2048,'13. Updated Demand'!A:Z,16,FALSE))</f>
        <v>0.33</v>
      </c>
      <c r="Z2048" s="16">
        <f>IF(ISERROR(VLOOKUP($A2048,'13. Updated Demand'!A:Z,17,FALSE)),0,VLOOKUP($A2048,'13. Updated Demand'!A:Z,17,FALSE))</f>
        <v>0</v>
      </c>
      <c r="AA2048" s="16">
        <f>IF(ISERROR(VLOOKUP($A2048,'13. Updated Demand'!A:Z,18,FALSE)),0,VLOOKUP($A2048,'13. Updated Demand'!A:Z,18,FALSE))</f>
        <v>0</v>
      </c>
      <c r="AB2048" s="16">
        <f>IF(ISERROR(VLOOKUP($A2048,'13. Updated Demand'!A:Z,19,FALSE)),0,VLOOKUP($A2048,'13. Updated Demand'!A:Z,19,FALSE))</f>
        <v>0</v>
      </c>
      <c r="AC2048" s="16">
        <f>IF(ISERROR(VLOOKUP($A2048,'13. Updated Demand'!A:Z,20,FALSE)),0,VLOOKUP($A2048,'13. Updated Demand'!A:Z,20,FALSE))</f>
        <v>0</v>
      </c>
      <c r="AD2048" s="16">
        <f>IF(ISERROR(VLOOKUP($A2048,'13. Updated Demand'!A:Z,21,FALSE)),0,VLOOKUP($A2048,'13. Updated Demand'!A:Z,21,FALSE))</f>
        <v>0</v>
      </c>
      <c r="AE2048" s="16">
        <f>IF(ISERROR(VLOOKUP($A2048,'13. Updated Demand'!A:Z,22,FALSE)),0,VLOOKUP($A2048,'13. Updated Demand'!A:Z,22,FALSE))</f>
        <v>0</v>
      </c>
      <c r="AF2048" s="16">
        <f>IF(ISERROR(VLOOKUP($A2048,'13. Updated Demand'!A:Z,23,FALSE)),0,VLOOKUP($A2048,'13. Updated Demand'!A:Z,23,FALSE))</f>
        <v>0</v>
      </c>
      <c r="AG2048" s="16">
        <f>IF(ISERROR(VLOOKUP($A2048,'13. Updated Demand'!A:Z,24,FALSE)),0,VLOOKUP($A2048,'13. Updated Demand'!A:Z,24,FALSE))</f>
        <v>0</v>
      </c>
      <c r="AH2048" s="16">
        <f>IF(ISERROR(VLOOKUP($A2048,'13. Updated Demand'!A:Z,25,FALSE)),0,VLOOKUP($A2048,'13. Updated Demand'!A:Z,25,FALSE))</f>
        <v>0</v>
      </c>
      <c r="AI2048" s="16">
        <f>IF(ISERROR(VLOOKUP($A2048,'13. Updated Demand'!A:Z,26,FALSE)),0,VLOOKUP($A2048,'13. Updated Demand'!A:Z,26,FALSE))</f>
        <v>0.33</v>
      </c>
      <c r="AJ2048" s="16">
        <f t="shared" si="385"/>
        <v>2.99</v>
      </c>
      <c r="AK2048" s="19">
        <v>0</v>
      </c>
      <c r="AL2048" s="16">
        <f t="shared" si="383"/>
        <v>0</v>
      </c>
      <c r="AM2048" s="26">
        <v>37.546933654568214</v>
      </c>
      <c r="AN2048" s="19">
        <v>7.9899999999999999E-2</v>
      </c>
      <c r="AO2048" s="19" t="s">
        <v>1758</v>
      </c>
      <c r="AP2048" s="19">
        <v>0</v>
      </c>
      <c r="AQ2048" s="19" t="s">
        <v>307</v>
      </c>
      <c r="AR2048" s="9" t="s">
        <v>354</v>
      </c>
      <c r="AS2048" s="12">
        <v>3.4039024194010059E-4</v>
      </c>
      <c r="AT2048" s="19">
        <v>38.759500000000003</v>
      </c>
      <c r="AU2048" s="19">
        <v>-123</v>
      </c>
      <c r="AV2048" s="19" t="s">
        <v>1271</v>
      </c>
    </row>
    <row r="2049" spans="1:48" x14ac:dyDescent="0.25">
      <c r="A2049" s="18" t="s">
        <v>2478</v>
      </c>
      <c r="B2049" s="10">
        <v>10000000</v>
      </c>
      <c r="C2049" s="9">
        <v>10</v>
      </c>
      <c r="D2049" s="8" t="str">
        <f t="shared" si="374"/>
        <v>N</v>
      </c>
      <c r="E2049" s="8" t="str">
        <f t="shared" si="375"/>
        <v>Y</v>
      </c>
      <c r="F2049" s="8" t="str">
        <f t="shared" si="376"/>
        <v>Y</v>
      </c>
      <c r="G2049" s="8" t="str">
        <f t="shared" si="377"/>
        <v>Y</v>
      </c>
      <c r="H2049" s="8" t="str">
        <f t="shared" si="378"/>
        <v>Upper</v>
      </c>
      <c r="I2049" s="8" t="str">
        <f t="shared" si="379"/>
        <v>West Fork and Below Lake</v>
      </c>
      <c r="J2049" s="8" t="str">
        <f t="shared" si="380"/>
        <v>Sonoma (d/s of Clov. Gage)</v>
      </c>
      <c r="K2049" s="8" t="str">
        <f t="shared" si="381"/>
        <v>Riparian</v>
      </c>
      <c r="L2049" s="8">
        <f t="shared" si="382"/>
        <v>1000</v>
      </c>
      <c r="M2049" s="8" t="str">
        <f t="shared" si="384"/>
        <v>-</v>
      </c>
      <c r="N2049" s="10" t="s">
        <v>242</v>
      </c>
      <c r="O2049" s="10" t="s">
        <v>241</v>
      </c>
      <c r="P2049" s="10" t="s">
        <v>242</v>
      </c>
      <c r="Q2049" s="10" t="s">
        <v>242</v>
      </c>
      <c r="R2049" s="10" t="s">
        <v>242</v>
      </c>
      <c r="S2049" s="10" t="s">
        <v>241</v>
      </c>
      <c r="T2049" s="10" t="s">
        <v>242</v>
      </c>
      <c r="U2049" s="10" t="s">
        <v>242</v>
      </c>
      <c r="V2049" s="10" t="s">
        <v>241</v>
      </c>
      <c r="W2049" s="10" t="s">
        <v>242</v>
      </c>
      <c r="X2049" s="15">
        <f>IF(ISERROR(VLOOKUP($A2049,'13. Updated Demand'!A:Z,15,FALSE)),0,VLOOKUP($A2049,'13. Updated Demand'!A:Z,15,FALSE))</f>
        <v>0</v>
      </c>
      <c r="Y2049" s="16">
        <f>IF(ISERROR(VLOOKUP($A2049,'13. Updated Demand'!A:Z,16,FALSE)),0,VLOOKUP($A2049,'13. Updated Demand'!A:Z,16,FALSE))</f>
        <v>13.73</v>
      </c>
      <c r="Z2049" s="16">
        <f>IF(ISERROR(VLOOKUP($A2049,'13. Updated Demand'!A:Z,17,FALSE)),0,VLOOKUP($A2049,'13. Updated Demand'!A:Z,17,FALSE))</f>
        <v>12.66</v>
      </c>
      <c r="AA2049" s="16">
        <f>IF(ISERROR(VLOOKUP($A2049,'13. Updated Demand'!A:Z,18,FALSE)),0,VLOOKUP($A2049,'13. Updated Demand'!A:Z,18,FALSE))</f>
        <v>0</v>
      </c>
      <c r="AB2049" s="16">
        <f>IF(ISERROR(VLOOKUP($A2049,'13. Updated Demand'!A:Z,19,FALSE)),0,VLOOKUP($A2049,'13. Updated Demand'!A:Z,19,FALSE))</f>
        <v>0</v>
      </c>
      <c r="AC2049" s="16">
        <f>IF(ISERROR(VLOOKUP($A2049,'13. Updated Demand'!A:Z,20,FALSE)),0,VLOOKUP($A2049,'13. Updated Demand'!A:Z,20,FALSE))</f>
        <v>0</v>
      </c>
      <c r="AD2049" s="16">
        <f>IF(ISERROR(VLOOKUP($A2049,'13. Updated Demand'!A:Z,21,FALSE)),0,VLOOKUP($A2049,'13. Updated Demand'!A:Z,21,FALSE))</f>
        <v>0</v>
      </c>
      <c r="AE2049" s="16">
        <f>IF(ISERROR(VLOOKUP($A2049,'13. Updated Demand'!A:Z,22,FALSE)),0,VLOOKUP($A2049,'13. Updated Demand'!A:Z,22,FALSE))</f>
        <v>0</v>
      </c>
      <c r="AF2049" s="16">
        <f>IF(ISERROR(VLOOKUP($A2049,'13. Updated Demand'!A:Z,23,FALSE)),0,VLOOKUP($A2049,'13. Updated Demand'!A:Z,23,FALSE))</f>
        <v>0</v>
      </c>
      <c r="AG2049" s="16">
        <f>IF(ISERROR(VLOOKUP($A2049,'13. Updated Demand'!A:Z,24,FALSE)),0,VLOOKUP($A2049,'13. Updated Demand'!A:Z,24,FALSE))</f>
        <v>0</v>
      </c>
      <c r="AH2049" s="16">
        <f>IF(ISERROR(VLOOKUP($A2049,'13. Updated Demand'!A:Z,25,FALSE)),0,VLOOKUP($A2049,'13. Updated Demand'!A:Z,25,FALSE))</f>
        <v>0</v>
      </c>
      <c r="AI2049" s="16">
        <f>IF(ISERROR(VLOOKUP($A2049,'13. Updated Demand'!A:Z,26,FALSE)),0,VLOOKUP($A2049,'13. Updated Demand'!A:Z,26,FALSE))</f>
        <v>0</v>
      </c>
      <c r="AJ2049" s="16">
        <f t="shared" si="385"/>
        <v>26.39</v>
      </c>
      <c r="AK2049" s="19">
        <v>0</v>
      </c>
      <c r="AL2049" s="16">
        <f t="shared" si="383"/>
        <v>0</v>
      </c>
      <c r="AM2049" s="26">
        <v>0.92936759380499823</v>
      </c>
      <c r="AN2049" s="19">
        <v>28.41</v>
      </c>
      <c r="AO2049" s="19" t="s">
        <v>1758</v>
      </c>
      <c r="AP2049" s="19">
        <v>0</v>
      </c>
      <c r="AQ2049" s="19" t="s">
        <v>307</v>
      </c>
      <c r="AR2049" s="9" t="s">
        <v>436</v>
      </c>
      <c r="AS2049" s="12">
        <v>0</v>
      </c>
      <c r="AT2049" s="19">
        <v>38.688800000000001</v>
      </c>
      <c r="AU2049" s="19">
        <v>-122.8129</v>
      </c>
      <c r="AV2049" s="19" t="s">
        <v>385</v>
      </c>
    </row>
    <row r="2050" spans="1:48" x14ac:dyDescent="0.25">
      <c r="A2050" s="18" t="s">
        <v>2479</v>
      </c>
      <c r="B2050" s="10">
        <v>10000000</v>
      </c>
      <c r="C2050" s="9">
        <v>10</v>
      </c>
      <c r="D2050" s="8" t="str">
        <f t="shared" ref="D2050:D2113" si="386">IF(OR(C2050=4,C2050=5,C2050=6),"Y","N")</f>
        <v>N</v>
      </c>
      <c r="E2050" s="8" t="str">
        <f t="shared" ref="E2050:E2113" si="387">IF(AND(C2050&gt;6,C2050&lt;14),"Y","N")</f>
        <v>Y</v>
      </c>
      <c r="F2050" s="8" t="str">
        <f t="shared" ref="F2050:F2113" si="388">IF(C2050&lt;14,"Y","N")</f>
        <v>Y</v>
      </c>
      <c r="G2050" s="8" t="str">
        <f t="shared" ref="G2050:G2113" si="389">IF(OR(C2050=1,AND(C2050&gt;3,C2050&lt;14)),"Y","N")</f>
        <v>Y</v>
      </c>
      <c r="H2050" s="8" t="str">
        <f t="shared" ref="H2050:H2113" si="390">IF(C2050&lt;14,"Upper","Lower")</f>
        <v>Upper</v>
      </c>
      <c r="I2050" s="8" t="str">
        <f t="shared" ref="I2050:I2113" si="391">IF(G2050="Y","West Fork and Below Lake","Outside")</f>
        <v>West Fork and Below Lake</v>
      </c>
      <c r="J2050" s="8" t="str">
        <f t="shared" ref="J2050:J2113" si="392">IF(D2050="Y", "Mendocino (d/s of lake)", IF(E2050="Y", "Sonoma (d/s of Clov. Gage)","Outside"))</f>
        <v>Sonoma (d/s of Clov. Gage)</v>
      </c>
      <c r="K2050" s="8" t="str">
        <f t="shared" ref="K2050:K2113" si="393">IF(P2050="Y","pre-1914",IF(Q2050="Y","Pre-1949",IF(R2050="Y","Post-1949",IF(S2050="Y","Riparian","Unknown"))))</f>
        <v>Riparian</v>
      </c>
      <c r="L2050" s="8">
        <f t="shared" ref="L2050:L2113" si="394">_xlfn.NUMBERVALUE(LEFT(B2050,4))</f>
        <v>1000</v>
      </c>
      <c r="M2050" s="8" t="str">
        <f t="shared" si="384"/>
        <v>-</v>
      </c>
      <c r="N2050" s="10" t="s">
        <v>242</v>
      </c>
      <c r="O2050" s="10" t="s">
        <v>241</v>
      </c>
      <c r="P2050" s="10" t="s">
        <v>242</v>
      </c>
      <c r="Q2050" s="10" t="s">
        <v>242</v>
      </c>
      <c r="R2050" s="10" t="s">
        <v>242</v>
      </c>
      <c r="S2050" s="10" t="s">
        <v>241</v>
      </c>
      <c r="T2050" s="10" t="s">
        <v>242</v>
      </c>
      <c r="U2050" s="10" t="s">
        <v>241</v>
      </c>
      <c r="V2050" s="10" t="s">
        <v>241</v>
      </c>
      <c r="W2050" s="10" t="s">
        <v>242</v>
      </c>
      <c r="X2050" s="15">
        <f>IF(ISERROR(VLOOKUP($A2050,'13. Updated Demand'!A:Z,15,FALSE)),0,VLOOKUP($A2050,'13. Updated Demand'!A:Z,15,FALSE))</f>
        <v>0</v>
      </c>
      <c r="Y2050" s="16">
        <f>IF(ISERROR(VLOOKUP($A2050,'13. Updated Demand'!A:Z,16,FALSE)),0,VLOOKUP($A2050,'13. Updated Demand'!A:Z,16,FALSE))</f>
        <v>0</v>
      </c>
      <c r="Z2050" s="16">
        <f>IF(ISERROR(VLOOKUP($A2050,'13. Updated Demand'!A:Z,17,FALSE)),0,VLOOKUP($A2050,'13. Updated Demand'!A:Z,17,FALSE))</f>
        <v>0</v>
      </c>
      <c r="AA2050" s="16">
        <f>IF(ISERROR(VLOOKUP($A2050,'13. Updated Demand'!A:Z,18,FALSE)),0,VLOOKUP($A2050,'13. Updated Demand'!A:Z,18,FALSE))</f>
        <v>0</v>
      </c>
      <c r="AB2050" s="16">
        <f>IF(ISERROR(VLOOKUP($A2050,'13. Updated Demand'!A:Z,19,FALSE)),0,VLOOKUP($A2050,'13. Updated Demand'!A:Z,19,FALSE))</f>
        <v>0</v>
      </c>
      <c r="AC2050" s="16">
        <f>IF(ISERROR(VLOOKUP($A2050,'13. Updated Demand'!A:Z,20,FALSE)),0,VLOOKUP($A2050,'13. Updated Demand'!A:Z,20,FALSE))</f>
        <v>0</v>
      </c>
      <c r="AD2050" s="16">
        <f>IF(ISERROR(VLOOKUP($A2050,'13. Updated Demand'!A:Z,21,FALSE)),0,VLOOKUP($A2050,'13. Updated Demand'!A:Z,21,FALSE))</f>
        <v>0</v>
      </c>
      <c r="AE2050" s="16">
        <f>IF(ISERROR(VLOOKUP($A2050,'13. Updated Demand'!A:Z,22,FALSE)),0,VLOOKUP($A2050,'13. Updated Demand'!A:Z,22,FALSE))</f>
        <v>0</v>
      </c>
      <c r="AF2050" s="16">
        <f>IF(ISERROR(VLOOKUP($A2050,'13. Updated Demand'!A:Z,23,FALSE)),0,VLOOKUP($A2050,'13. Updated Demand'!A:Z,23,FALSE))</f>
        <v>0</v>
      </c>
      <c r="AG2050" s="16">
        <f>IF(ISERROR(VLOOKUP($A2050,'13. Updated Demand'!A:Z,24,FALSE)),0,VLOOKUP($A2050,'13. Updated Demand'!A:Z,24,FALSE))</f>
        <v>0</v>
      </c>
      <c r="AH2050" s="16">
        <f>IF(ISERROR(VLOOKUP($A2050,'13. Updated Demand'!A:Z,25,FALSE)),0,VLOOKUP($A2050,'13. Updated Demand'!A:Z,25,FALSE))</f>
        <v>0</v>
      </c>
      <c r="AI2050" s="16">
        <f>IF(ISERROR(VLOOKUP($A2050,'13. Updated Demand'!A:Z,26,FALSE)),0,VLOOKUP($A2050,'13. Updated Demand'!A:Z,26,FALSE))</f>
        <v>0</v>
      </c>
      <c r="AJ2050" s="16">
        <f t="shared" si="385"/>
        <v>0</v>
      </c>
      <c r="AK2050" s="19">
        <v>0</v>
      </c>
      <c r="AL2050" s="16">
        <f t="shared" ref="AL2050:AL2113" si="395">AK2050/152/1.983471</f>
        <v>0</v>
      </c>
      <c r="AM2050" s="26">
        <v>0</v>
      </c>
      <c r="AN2050" s="19">
        <v>9.5500000000000007</v>
      </c>
      <c r="AO2050" s="19" t="s">
        <v>1758</v>
      </c>
      <c r="AP2050" s="19">
        <v>0</v>
      </c>
      <c r="AQ2050" s="19" t="s">
        <v>307</v>
      </c>
      <c r="AR2050" s="9" t="s">
        <v>436</v>
      </c>
      <c r="AS2050" s="12">
        <v>0</v>
      </c>
      <c r="AT2050" s="19">
        <v>38.691600000000001</v>
      </c>
      <c r="AU2050" s="19">
        <v>-122.81740000000001</v>
      </c>
      <c r="AV2050" s="19" t="s">
        <v>385</v>
      </c>
    </row>
    <row r="2051" spans="1:48" x14ac:dyDescent="0.25">
      <c r="A2051" s="18" t="s">
        <v>2480</v>
      </c>
      <c r="B2051" s="10">
        <v>10000000</v>
      </c>
      <c r="C2051" s="9">
        <v>10</v>
      </c>
      <c r="D2051" s="8" t="str">
        <f t="shared" si="386"/>
        <v>N</v>
      </c>
      <c r="E2051" s="8" t="str">
        <f t="shared" si="387"/>
        <v>Y</v>
      </c>
      <c r="F2051" s="8" t="str">
        <f t="shared" si="388"/>
        <v>Y</v>
      </c>
      <c r="G2051" s="8" t="str">
        <f t="shared" si="389"/>
        <v>Y</v>
      </c>
      <c r="H2051" s="8" t="str">
        <f t="shared" si="390"/>
        <v>Upper</v>
      </c>
      <c r="I2051" s="8" t="str">
        <f t="shared" si="391"/>
        <v>West Fork and Below Lake</v>
      </c>
      <c r="J2051" s="8" t="str">
        <f t="shared" si="392"/>
        <v>Sonoma (d/s of Clov. Gage)</v>
      </c>
      <c r="K2051" s="8" t="str">
        <f t="shared" si="393"/>
        <v>Riparian</v>
      </c>
      <c r="L2051" s="8">
        <f t="shared" si="394"/>
        <v>1000</v>
      </c>
      <c r="M2051" s="8" t="str">
        <f t="shared" ref="M2051:M2114" si="396">IF(L2051=1949,"1949",IF(AND(L2051&gt;1949,L2051&lt;1953),"1950-1952",IF(AND(L2051&gt;1952,L2051&lt;1955),"1953-1954",IF(AND(L2051&gt;1954,L2051&lt;1957),"1955-1956",IF(AND(L2051&gt;1956,L2051&lt;1960),"1957-1959",IF(AND(L2051&gt;1959,L2051&lt;1971),"1960-1970",IF(AND(L2051&gt;1970,L2051&lt;1991),"1971-1990",IF(L2051&gt;1990,"1991-present","-"))))))))</f>
        <v>-</v>
      </c>
      <c r="N2051" s="10" t="s">
        <v>242</v>
      </c>
      <c r="O2051" s="10" t="s">
        <v>241</v>
      </c>
      <c r="P2051" s="10" t="s">
        <v>242</v>
      </c>
      <c r="Q2051" s="10" t="s">
        <v>242</v>
      </c>
      <c r="R2051" s="10" t="s">
        <v>242</v>
      </c>
      <c r="S2051" s="10" t="s">
        <v>241</v>
      </c>
      <c r="T2051" s="10" t="s">
        <v>242</v>
      </c>
      <c r="U2051" s="10" t="s">
        <v>242</v>
      </c>
      <c r="V2051" s="10" t="s">
        <v>242</v>
      </c>
      <c r="W2051" s="10" t="s">
        <v>242</v>
      </c>
      <c r="X2051" s="15">
        <f>IF(ISERROR(VLOOKUP($A2051,'13. Updated Demand'!A:Z,15,FALSE)),0,VLOOKUP($A2051,'13. Updated Demand'!A:Z,15,FALSE))</f>
        <v>0</v>
      </c>
      <c r="Y2051" s="16">
        <f>IF(ISERROR(VLOOKUP($A2051,'13. Updated Demand'!A:Z,16,FALSE)),0,VLOOKUP($A2051,'13. Updated Demand'!A:Z,16,FALSE))</f>
        <v>0</v>
      </c>
      <c r="Z2051" s="16">
        <f>IF(ISERROR(VLOOKUP($A2051,'13. Updated Demand'!A:Z,17,FALSE)),0,VLOOKUP($A2051,'13. Updated Demand'!A:Z,17,FALSE))</f>
        <v>0</v>
      </c>
      <c r="AA2051" s="16">
        <f>IF(ISERROR(VLOOKUP($A2051,'13. Updated Demand'!A:Z,18,FALSE)),0,VLOOKUP($A2051,'13. Updated Demand'!A:Z,18,FALSE))</f>
        <v>0</v>
      </c>
      <c r="AB2051" s="16">
        <f>IF(ISERROR(VLOOKUP($A2051,'13. Updated Demand'!A:Z,19,FALSE)),0,VLOOKUP($A2051,'13. Updated Demand'!A:Z,19,FALSE))</f>
        <v>0.08</v>
      </c>
      <c r="AC2051" s="16">
        <f>IF(ISERROR(VLOOKUP($A2051,'13. Updated Demand'!A:Z,20,FALSE)),0,VLOOKUP($A2051,'13. Updated Demand'!A:Z,20,FALSE))</f>
        <v>0</v>
      </c>
      <c r="AD2051" s="16">
        <f>IF(ISERROR(VLOOKUP($A2051,'13. Updated Demand'!A:Z,21,FALSE)),0,VLOOKUP($A2051,'13. Updated Demand'!A:Z,21,FALSE))</f>
        <v>0</v>
      </c>
      <c r="AE2051" s="16">
        <f>IF(ISERROR(VLOOKUP($A2051,'13. Updated Demand'!A:Z,22,FALSE)),0,VLOOKUP($A2051,'13. Updated Demand'!A:Z,22,FALSE))</f>
        <v>0</v>
      </c>
      <c r="AF2051" s="16">
        <f>IF(ISERROR(VLOOKUP($A2051,'13. Updated Demand'!A:Z,23,FALSE)),0,VLOOKUP($A2051,'13. Updated Demand'!A:Z,23,FALSE))</f>
        <v>0</v>
      </c>
      <c r="AG2051" s="16">
        <f>IF(ISERROR(VLOOKUP($A2051,'13. Updated Demand'!A:Z,24,FALSE)),0,VLOOKUP($A2051,'13. Updated Demand'!A:Z,24,FALSE))</f>
        <v>0</v>
      </c>
      <c r="AH2051" s="16">
        <f>IF(ISERROR(VLOOKUP($A2051,'13. Updated Demand'!A:Z,25,FALSE)),0,VLOOKUP($A2051,'13. Updated Demand'!A:Z,25,FALSE))</f>
        <v>0.1</v>
      </c>
      <c r="AI2051" s="16">
        <f>IF(ISERROR(VLOOKUP($A2051,'13. Updated Demand'!A:Z,26,FALSE)),0,VLOOKUP($A2051,'13. Updated Demand'!A:Z,26,FALSE))</f>
        <v>0</v>
      </c>
      <c r="AJ2051" s="16">
        <f t="shared" si="385"/>
        <v>0.18</v>
      </c>
      <c r="AK2051" s="19">
        <v>8.6666667000000003E-2</v>
      </c>
      <c r="AL2051" s="16">
        <f t="shared" si="395"/>
        <v>2.874634621779062E-4</v>
      </c>
      <c r="AM2051" s="26">
        <v>1.3333333357142856</v>
      </c>
      <c r="AN2051" s="19">
        <v>0.14000000000000001</v>
      </c>
      <c r="AO2051" s="19" t="s">
        <v>1758</v>
      </c>
      <c r="AP2051" s="19">
        <v>0</v>
      </c>
      <c r="AQ2051" s="19" t="s">
        <v>307</v>
      </c>
      <c r="AR2051" s="9" t="s">
        <v>436</v>
      </c>
      <c r="AS2051" s="12">
        <v>0</v>
      </c>
      <c r="AT2051" s="19">
        <v>38.694400000000002</v>
      </c>
      <c r="AU2051" s="19">
        <v>-122.8257</v>
      </c>
      <c r="AV2051" s="19" t="s">
        <v>385</v>
      </c>
    </row>
    <row r="2052" spans="1:48" x14ac:dyDescent="0.25">
      <c r="A2052" s="18" t="s">
        <v>2481</v>
      </c>
      <c r="B2052" s="10">
        <v>10000000</v>
      </c>
      <c r="C2052" s="9">
        <v>10</v>
      </c>
      <c r="D2052" s="8" t="str">
        <f t="shared" si="386"/>
        <v>N</v>
      </c>
      <c r="E2052" s="8" t="str">
        <f t="shared" si="387"/>
        <v>Y</v>
      </c>
      <c r="F2052" s="8" t="str">
        <f t="shared" si="388"/>
        <v>Y</v>
      </c>
      <c r="G2052" s="8" t="str">
        <f t="shared" si="389"/>
        <v>Y</v>
      </c>
      <c r="H2052" s="8" t="str">
        <f t="shared" si="390"/>
        <v>Upper</v>
      </c>
      <c r="I2052" s="8" t="str">
        <f t="shared" si="391"/>
        <v>West Fork and Below Lake</v>
      </c>
      <c r="J2052" s="8" t="str">
        <f t="shared" si="392"/>
        <v>Sonoma (d/s of Clov. Gage)</v>
      </c>
      <c r="K2052" s="8" t="str">
        <f t="shared" si="393"/>
        <v>Riparian</v>
      </c>
      <c r="L2052" s="8">
        <f t="shared" si="394"/>
        <v>1000</v>
      </c>
      <c r="M2052" s="8" t="str">
        <f t="shared" si="396"/>
        <v>-</v>
      </c>
      <c r="N2052" s="10" t="s">
        <v>242</v>
      </c>
      <c r="O2052" s="10" t="s">
        <v>241</v>
      </c>
      <c r="P2052" s="10" t="s">
        <v>242</v>
      </c>
      <c r="Q2052" s="10" t="s">
        <v>242</v>
      </c>
      <c r="R2052" s="10" t="s">
        <v>242</v>
      </c>
      <c r="S2052" s="10" t="s">
        <v>241</v>
      </c>
      <c r="T2052" s="10" t="s">
        <v>242</v>
      </c>
      <c r="U2052" s="10" t="s">
        <v>242</v>
      </c>
      <c r="V2052" s="10" t="s">
        <v>241</v>
      </c>
      <c r="W2052" s="10" t="s">
        <v>242</v>
      </c>
      <c r="X2052" s="15">
        <f>IF(ISERROR(VLOOKUP($A2052,'13. Updated Demand'!A:Z,15,FALSE)),0,VLOOKUP($A2052,'13. Updated Demand'!A:Z,15,FALSE))</f>
        <v>18.190000000000001</v>
      </c>
      <c r="Y2052" s="16">
        <f>IF(ISERROR(VLOOKUP($A2052,'13. Updated Demand'!A:Z,16,FALSE)),0,VLOOKUP($A2052,'13. Updated Demand'!A:Z,16,FALSE))</f>
        <v>3.66</v>
      </c>
      <c r="Z2052" s="16">
        <f>IF(ISERROR(VLOOKUP($A2052,'13. Updated Demand'!A:Z,17,FALSE)),0,VLOOKUP($A2052,'13. Updated Demand'!A:Z,17,FALSE))</f>
        <v>3.77</v>
      </c>
      <c r="AA2052" s="16">
        <f>IF(ISERROR(VLOOKUP($A2052,'13. Updated Demand'!A:Z,18,FALSE)),0,VLOOKUP($A2052,'13. Updated Demand'!A:Z,18,FALSE))</f>
        <v>3.18</v>
      </c>
      <c r="AB2052" s="16">
        <f>IF(ISERROR(VLOOKUP($A2052,'13. Updated Demand'!A:Z,19,FALSE)),0,VLOOKUP($A2052,'13. Updated Demand'!A:Z,19,FALSE))</f>
        <v>0</v>
      </c>
      <c r="AC2052" s="16">
        <f>IF(ISERROR(VLOOKUP($A2052,'13. Updated Demand'!A:Z,20,FALSE)),0,VLOOKUP($A2052,'13. Updated Demand'!A:Z,20,FALSE))</f>
        <v>0</v>
      </c>
      <c r="AD2052" s="16">
        <f>IF(ISERROR(VLOOKUP($A2052,'13. Updated Demand'!A:Z,21,FALSE)),0,VLOOKUP($A2052,'13. Updated Demand'!A:Z,21,FALSE))</f>
        <v>0</v>
      </c>
      <c r="AE2052" s="16">
        <f>IF(ISERROR(VLOOKUP($A2052,'13. Updated Demand'!A:Z,22,FALSE)),0,VLOOKUP($A2052,'13. Updated Demand'!A:Z,22,FALSE))</f>
        <v>0</v>
      </c>
      <c r="AF2052" s="16">
        <f>IF(ISERROR(VLOOKUP($A2052,'13. Updated Demand'!A:Z,23,FALSE)),0,VLOOKUP($A2052,'13. Updated Demand'!A:Z,23,FALSE))</f>
        <v>0</v>
      </c>
      <c r="AG2052" s="16">
        <f>IF(ISERROR(VLOOKUP($A2052,'13. Updated Demand'!A:Z,24,FALSE)),0,VLOOKUP($A2052,'13. Updated Demand'!A:Z,24,FALSE))</f>
        <v>1.41</v>
      </c>
      <c r="AH2052" s="16">
        <f>IF(ISERROR(VLOOKUP($A2052,'13. Updated Demand'!A:Z,25,FALSE)),0,VLOOKUP($A2052,'13. Updated Demand'!A:Z,25,FALSE))</f>
        <v>0</v>
      </c>
      <c r="AI2052" s="16">
        <f>IF(ISERROR(VLOOKUP($A2052,'13. Updated Demand'!A:Z,26,FALSE)),0,VLOOKUP($A2052,'13. Updated Demand'!A:Z,26,FALSE))</f>
        <v>1.87</v>
      </c>
      <c r="AJ2052" s="16">
        <f t="shared" si="385"/>
        <v>32.08</v>
      </c>
      <c r="AK2052" s="19">
        <v>0</v>
      </c>
      <c r="AL2052" s="16">
        <f t="shared" si="395"/>
        <v>0</v>
      </c>
      <c r="AM2052" s="26">
        <v>1.7721332595251243E-2</v>
      </c>
      <c r="AN2052" s="19">
        <v>1811</v>
      </c>
      <c r="AO2052" s="19" t="s">
        <v>1758</v>
      </c>
      <c r="AP2052" s="19">
        <v>0</v>
      </c>
      <c r="AQ2052" s="19" t="s">
        <v>307</v>
      </c>
      <c r="AR2052" s="9" t="s">
        <v>436</v>
      </c>
      <c r="AS2052" s="12">
        <v>0</v>
      </c>
      <c r="AT2052" s="19">
        <v>38.695399999999999</v>
      </c>
      <c r="AU2052" s="19">
        <v>-122.8228</v>
      </c>
      <c r="AV2052" s="19" t="s">
        <v>385</v>
      </c>
    </row>
    <row r="2053" spans="1:48" x14ac:dyDescent="0.25">
      <c r="A2053" s="18" t="s">
        <v>2482</v>
      </c>
      <c r="B2053" s="10">
        <v>10000000</v>
      </c>
      <c r="C2053" s="9">
        <v>10</v>
      </c>
      <c r="D2053" s="8" t="str">
        <f t="shared" si="386"/>
        <v>N</v>
      </c>
      <c r="E2053" s="8" t="str">
        <f t="shared" si="387"/>
        <v>Y</v>
      </c>
      <c r="F2053" s="8" t="str">
        <f t="shared" si="388"/>
        <v>Y</v>
      </c>
      <c r="G2053" s="8" t="str">
        <f t="shared" si="389"/>
        <v>Y</v>
      </c>
      <c r="H2053" s="8" t="str">
        <f t="shared" si="390"/>
        <v>Upper</v>
      </c>
      <c r="I2053" s="8" t="str">
        <f t="shared" si="391"/>
        <v>West Fork and Below Lake</v>
      </c>
      <c r="J2053" s="8" t="str">
        <f t="shared" si="392"/>
        <v>Sonoma (d/s of Clov. Gage)</v>
      </c>
      <c r="K2053" s="8" t="str">
        <f t="shared" si="393"/>
        <v>Riparian</v>
      </c>
      <c r="L2053" s="8">
        <f t="shared" si="394"/>
        <v>1000</v>
      </c>
      <c r="M2053" s="8" t="str">
        <f t="shared" si="396"/>
        <v>-</v>
      </c>
      <c r="N2053" s="10" t="s">
        <v>242</v>
      </c>
      <c r="O2053" s="10" t="s">
        <v>241</v>
      </c>
      <c r="P2053" s="10" t="s">
        <v>242</v>
      </c>
      <c r="Q2053" s="10" t="s">
        <v>242</v>
      </c>
      <c r="R2053" s="10" t="s">
        <v>242</v>
      </c>
      <c r="S2053" s="10" t="s">
        <v>241</v>
      </c>
      <c r="T2053" s="10" t="s">
        <v>242</v>
      </c>
      <c r="U2053" s="10" t="s">
        <v>242</v>
      </c>
      <c r="V2053" s="10" t="s">
        <v>241</v>
      </c>
      <c r="W2053" s="10" t="s">
        <v>242</v>
      </c>
      <c r="X2053" s="15">
        <f>IF(ISERROR(VLOOKUP($A2053,'13. Updated Demand'!A:Z,15,FALSE)),0,VLOOKUP($A2053,'13. Updated Demand'!A:Z,15,FALSE))</f>
        <v>5.74</v>
      </c>
      <c r="Y2053" s="16">
        <f>IF(ISERROR(VLOOKUP($A2053,'13. Updated Demand'!A:Z,16,FALSE)),0,VLOOKUP($A2053,'13. Updated Demand'!A:Z,16,FALSE))</f>
        <v>1.1499999999999999</v>
      </c>
      <c r="Z2053" s="16">
        <f>IF(ISERROR(VLOOKUP($A2053,'13. Updated Demand'!A:Z,17,FALSE)),0,VLOOKUP($A2053,'13. Updated Demand'!A:Z,17,FALSE))</f>
        <v>1.19</v>
      </c>
      <c r="AA2053" s="16">
        <f>IF(ISERROR(VLOOKUP($A2053,'13. Updated Demand'!A:Z,18,FALSE)),0,VLOOKUP($A2053,'13. Updated Demand'!A:Z,18,FALSE))</f>
        <v>1</v>
      </c>
      <c r="AB2053" s="16">
        <f>IF(ISERROR(VLOOKUP($A2053,'13. Updated Demand'!A:Z,19,FALSE)),0,VLOOKUP($A2053,'13. Updated Demand'!A:Z,19,FALSE))</f>
        <v>0</v>
      </c>
      <c r="AC2053" s="16">
        <f>IF(ISERROR(VLOOKUP($A2053,'13. Updated Demand'!A:Z,20,FALSE)),0,VLOOKUP($A2053,'13. Updated Demand'!A:Z,20,FALSE))</f>
        <v>0</v>
      </c>
      <c r="AD2053" s="16">
        <f>IF(ISERROR(VLOOKUP($A2053,'13. Updated Demand'!A:Z,21,FALSE)),0,VLOOKUP($A2053,'13. Updated Demand'!A:Z,21,FALSE))</f>
        <v>0</v>
      </c>
      <c r="AE2053" s="16">
        <f>IF(ISERROR(VLOOKUP($A2053,'13. Updated Demand'!A:Z,22,FALSE)),0,VLOOKUP($A2053,'13. Updated Demand'!A:Z,22,FALSE))</f>
        <v>0</v>
      </c>
      <c r="AF2053" s="16">
        <f>IF(ISERROR(VLOOKUP($A2053,'13. Updated Demand'!A:Z,23,FALSE)),0,VLOOKUP($A2053,'13. Updated Demand'!A:Z,23,FALSE))</f>
        <v>0</v>
      </c>
      <c r="AG2053" s="16">
        <f>IF(ISERROR(VLOOKUP($A2053,'13. Updated Demand'!A:Z,24,FALSE)),0,VLOOKUP($A2053,'13. Updated Demand'!A:Z,24,FALSE))</f>
        <v>0.44</v>
      </c>
      <c r="AH2053" s="16">
        <f>IF(ISERROR(VLOOKUP($A2053,'13. Updated Demand'!A:Z,25,FALSE)),0,VLOOKUP($A2053,'13. Updated Demand'!A:Z,25,FALSE))</f>
        <v>0</v>
      </c>
      <c r="AI2053" s="16">
        <f>IF(ISERROR(VLOOKUP($A2053,'13. Updated Demand'!A:Z,26,FALSE)),0,VLOOKUP($A2053,'13. Updated Demand'!A:Z,26,FALSE))</f>
        <v>0.59</v>
      </c>
      <c r="AJ2053" s="16">
        <f t="shared" si="385"/>
        <v>10.11</v>
      </c>
      <c r="AK2053" s="19">
        <v>0</v>
      </c>
      <c r="AL2053" s="16">
        <f t="shared" si="395"/>
        <v>0</v>
      </c>
      <c r="AM2053" s="26">
        <v>5.5972759066813919E-3</v>
      </c>
      <c r="AN2053" s="19">
        <v>1811</v>
      </c>
      <c r="AO2053" s="19" t="s">
        <v>1758</v>
      </c>
      <c r="AP2053" s="19">
        <v>0</v>
      </c>
      <c r="AQ2053" s="19" t="s">
        <v>307</v>
      </c>
      <c r="AR2053" s="9" t="s">
        <v>436</v>
      </c>
      <c r="AS2053" s="12">
        <v>0</v>
      </c>
      <c r="AT2053" s="19">
        <v>38.696899999999999</v>
      </c>
      <c r="AU2053" s="19">
        <v>-122.8252</v>
      </c>
      <c r="AV2053" s="19" t="s">
        <v>385</v>
      </c>
    </row>
    <row r="2054" spans="1:48" x14ac:dyDescent="0.25">
      <c r="A2054" s="18" t="s">
        <v>2483</v>
      </c>
      <c r="B2054" s="10">
        <v>10000000</v>
      </c>
      <c r="C2054" s="9">
        <v>10</v>
      </c>
      <c r="D2054" s="8" t="str">
        <f t="shared" si="386"/>
        <v>N</v>
      </c>
      <c r="E2054" s="8" t="str">
        <f t="shared" si="387"/>
        <v>Y</v>
      </c>
      <c r="F2054" s="8" t="str">
        <f t="shared" si="388"/>
        <v>Y</v>
      </c>
      <c r="G2054" s="8" t="str">
        <f t="shared" si="389"/>
        <v>Y</v>
      </c>
      <c r="H2054" s="8" t="str">
        <f t="shared" si="390"/>
        <v>Upper</v>
      </c>
      <c r="I2054" s="8" t="str">
        <f t="shared" si="391"/>
        <v>West Fork and Below Lake</v>
      </c>
      <c r="J2054" s="8" t="str">
        <f t="shared" si="392"/>
        <v>Sonoma (d/s of Clov. Gage)</v>
      </c>
      <c r="K2054" s="8" t="str">
        <f t="shared" si="393"/>
        <v>Riparian</v>
      </c>
      <c r="L2054" s="8">
        <f t="shared" si="394"/>
        <v>1000</v>
      </c>
      <c r="M2054" s="8" t="str">
        <f t="shared" si="396"/>
        <v>-</v>
      </c>
      <c r="N2054" s="10" t="s">
        <v>241</v>
      </c>
      <c r="O2054" s="10" t="s">
        <v>241</v>
      </c>
      <c r="P2054" s="10" t="s">
        <v>242</v>
      </c>
      <c r="Q2054" s="10" t="s">
        <v>242</v>
      </c>
      <c r="R2054" s="10" t="s">
        <v>242</v>
      </c>
      <c r="S2054" s="10" t="s">
        <v>241</v>
      </c>
      <c r="T2054" s="10" t="s">
        <v>242</v>
      </c>
      <c r="U2054" s="10" t="s">
        <v>242</v>
      </c>
      <c r="V2054" s="10" t="s">
        <v>242</v>
      </c>
      <c r="W2054" s="10" t="s">
        <v>242</v>
      </c>
      <c r="X2054" s="15">
        <f>IF(ISERROR(VLOOKUP($A2054,'13. Updated Demand'!A:Z,15,FALSE)),0,VLOOKUP($A2054,'13. Updated Demand'!A:Z,15,FALSE))</f>
        <v>0</v>
      </c>
      <c r="Y2054" s="16">
        <f>IF(ISERROR(VLOOKUP($A2054,'13. Updated Demand'!A:Z,16,FALSE)),0,VLOOKUP($A2054,'13. Updated Demand'!A:Z,16,FALSE))</f>
        <v>0</v>
      </c>
      <c r="Z2054" s="16">
        <f>IF(ISERROR(VLOOKUP($A2054,'13. Updated Demand'!A:Z,17,FALSE)),0,VLOOKUP($A2054,'13. Updated Demand'!A:Z,17,FALSE))</f>
        <v>0</v>
      </c>
      <c r="AA2054" s="16">
        <f>IF(ISERROR(VLOOKUP($A2054,'13. Updated Demand'!A:Z,18,FALSE)),0,VLOOKUP($A2054,'13. Updated Demand'!A:Z,18,FALSE))</f>
        <v>0</v>
      </c>
      <c r="AB2054" s="16">
        <f>IF(ISERROR(VLOOKUP($A2054,'13. Updated Demand'!A:Z,19,FALSE)),0,VLOOKUP($A2054,'13. Updated Demand'!A:Z,19,FALSE))</f>
        <v>0.06</v>
      </c>
      <c r="AC2054" s="16">
        <f>IF(ISERROR(VLOOKUP($A2054,'13. Updated Demand'!A:Z,20,FALSE)),0,VLOOKUP($A2054,'13. Updated Demand'!A:Z,20,FALSE))</f>
        <v>1.1599999999999999</v>
      </c>
      <c r="AD2054" s="16">
        <f>IF(ISERROR(VLOOKUP($A2054,'13. Updated Demand'!A:Z,21,FALSE)),0,VLOOKUP($A2054,'13. Updated Demand'!A:Z,21,FALSE))</f>
        <v>3.73</v>
      </c>
      <c r="AE2054" s="16">
        <f>IF(ISERROR(VLOOKUP($A2054,'13. Updated Demand'!A:Z,22,FALSE)),0,VLOOKUP($A2054,'13. Updated Demand'!A:Z,22,FALSE))</f>
        <v>0.66</v>
      </c>
      <c r="AF2054" s="16">
        <f>IF(ISERROR(VLOOKUP($A2054,'13. Updated Demand'!A:Z,23,FALSE)),0,VLOOKUP($A2054,'13. Updated Demand'!A:Z,23,FALSE))</f>
        <v>0.4</v>
      </c>
      <c r="AG2054" s="16">
        <f>IF(ISERROR(VLOOKUP($A2054,'13. Updated Demand'!A:Z,24,FALSE)),0,VLOOKUP($A2054,'13. Updated Demand'!A:Z,24,FALSE))</f>
        <v>0.53</v>
      </c>
      <c r="AH2054" s="16">
        <f>IF(ISERROR(VLOOKUP($A2054,'13. Updated Demand'!A:Z,25,FALSE)),0,VLOOKUP($A2054,'13. Updated Demand'!A:Z,25,FALSE))</f>
        <v>0.03</v>
      </c>
      <c r="AI2054" s="16">
        <f>IF(ISERROR(VLOOKUP($A2054,'13. Updated Demand'!A:Z,26,FALSE)),0,VLOOKUP($A2054,'13. Updated Demand'!A:Z,26,FALSE))</f>
        <v>0</v>
      </c>
      <c r="AJ2054" s="16">
        <f t="shared" si="385"/>
        <v>6.5700000000000012</v>
      </c>
      <c r="AK2054" s="19">
        <v>6.0333333333333341</v>
      </c>
      <c r="AL2054" s="16">
        <f t="shared" si="395"/>
        <v>2.0011879405416242E-2</v>
      </c>
      <c r="AM2054" s="26">
        <v>1.8221976808393155E-2</v>
      </c>
      <c r="AN2054" s="19">
        <v>362.2</v>
      </c>
      <c r="AO2054" s="19" t="s">
        <v>1758</v>
      </c>
      <c r="AP2054" s="19">
        <v>0</v>
      </c>
      <c r="AQ2054" s="19" t="s">
        <v>307</v>
      </c>
      <c r="AR2054" s="9" t="s">
        <v>436</v>
      </c>
      <c r="AS2054" s="12">
        <v>0</v>
      </c>
      <c r="AT2054" s="19">
        <v>38.668199999999999</v>
      </c>
      <c r="AU2054" s="19">
        <v>-122.8552</v>
      </c>
      <c r="AV2054" s="19" t="s">
        <v>548</v>
      </c>
    </row>
    <row r="2055" spans="1:48" x14ac:dyDescent="0.25">
      <c r="A2055" s="18" t="s">
        <v>2484</v>
      </c>
      <c r="B2055" s="10">
        <v>10000000</v>
      </c>
      <c r="C2055" s="9">
        <v>10</v>
      </c>
      <c r="D2055" s="8" t="str">
        <f t="shared" si="386"/>
        <v>N</v>
      </c>
      <c r="E2055" s="8" t="str">
        <f t="shared" si="387"/>
        <v>Y</v>
      </c>
      <c r="F2055" s="8" t="str">
        <f t="shared" si="388"/>
        <v>Y</v>
      </c>
      <c r="G2055" s="8" t="str">
        <f t="shared" si="389"/>
        <v>Y</v>
      </c>
      <c r="H2055" s="8" t="str">
        <f t="shared" si="390"/>
        <v>Upper</v>
      </c>
      <c r="I2055" s="8" t="str">
        <f t="shared" si="391"/>
        <v>West Fork and Below Lake</v>
      </c>
      <c r="J2055" s="8" t="str">
        <f t="shared" si="392"/>
        <v>Sonoma (d/s of Clov. Gage)</v>
      </c>
      <c r="K2055" s="8" t="str">
        <f t="shared" si="393"/>
        <v>Riparian</v>
      </c>
      <c r="L2055" s="8">
        <f t="shared" si="394"/>
        <v>1000</v>
      </c>
      <c r="M2055" s="8" t="str">
        <f t="shared" si="396"/>
        <v>-</v>
      </c>
      <c r="N2055" s="10" t="s">
        <v>241</v>
      </c>
      <c r="O2055" s="10" t="s">
        <v>241</v>
      </c>
      <c r="P2055" s="10" t="s">
        <v>242</v>
      </c>
      <c r="Q2055" s="10" t="s">
        <v>242</v>
      </c>
      <c r="R2055" s="10" t="s">
        <v>242</v>
      </c>
      <c r="S2055" s="10" t="s">
        <v>241</v>
      </c>
      <c r="T2055" s="10" t="s">
        <v>242</v>
      </c>
      <c r="U2055" s="10" t="s">
        <v>241</v>
      </c>
      <c r="V2055" s="10" t="s">
        <v>241</v>
      </c>
      <c r="W2055" s="10" t="s">
        <v>242</v>
      </c>
      <c r="X2055" s="15">
        <f>IF(ISERROR(VLOOKUP($A2055,'13. Updated Demand'!A:Z,15,FALSE)),0,VLOOKUP($A2055,'13. Updated Demand'!A:Z,15,FALSE))</f>
        <v>0</v>
      </c>
      <c r="Y2055" s="16">
        <f>IF(ISERROR(VLOOKUP($A2055,'13. Updated Demand'!A:Z,16,FALSE)),0,VLOOKUP($A2055,'13. Updated Demand'!A:Z,16,FALSE))</f>
        <v>0</v>
      </c>
      <c r="Z2055" s="16">
        <f>IF(ISERROR(VLOOKUP($A2055,'13. Updated Demand'!A:Z,17,FALSE)),0,VLOOKUP($A2055,'13. Updated Demand'!A:Z,17,FALSE))</f>
        <v>0</v>
      </c>
      <c r="AA2055" s="16">
        <f>IF(ISERROR(VLOOKUP($A2055,'13. Updated Demand'!A:Z,18,FALSE)),0,VLOOKUP($A2055,'13. Updated Demand'!A:Z,18,FALSE))</f>
        <v>0</v>
      </c>
      <c r="AB2055" s="16">
        <f>IF(ISERROR(VLOOKUP($A2055,'13. Updated Demand'!A:Z,19,FALSE)),0,VLOOKUP($A2055,'13. Updated Demand'!A:Z,19,FALSE))</f>
        <v>0</v>
      </c>
      <c r="AC2055" s="16">
        <f>IF(ISERROR(VLOOKUP($A2055,'13. Updated Demand'!A:Z,20,FALSE)),0,VLOOKUP($A2055,'13. Updated Demand'!A:Z,20,FALSE))</f>
        <v>0</v>
      </c>
      <c r="AD2055" s="16">
        <f>IF(ISERROR(VLOOKUP($A2055,'13. Updated Demand'!A:Z,21,FALSE)),0,VLOOKUP($A2055,'13. Updated Demand'!A:Z,21,FALSE))</f>
        <v>0</v>
      </c>
      <c r="AE2055" s="16">
        <f>IF(ISERROR(VLOOKUP($A2055,'13. Updated Demand'!A:Z,22,FALSE)),0,VLOOKUP($A2055,'13. Updated Demand'!A:Z,22,FALSE))</f>
        <v>0</v>
      </c>
      <c r="AF2055" s="16">
        <f>IF(ISERROR(VLOOKUP($A2055,'13. Updated Demand'!A:Z,23,FALSE)),0,VLOOKUP($A2055,'13. Updated Demand'!A:Z,23,FALSE))</f>
        <v>0</v>
      </c>
      <c r="AG2055" s="16">
        <f>IF(ISERROR(VLOOKUP($A2055,'13. Updated Demand'!A:Z,24,FALSE)),0,VLOOKUP($A2055,'13. Updated Demand'!A:Z,24,FALSE))</f>
        <v>0</v>
      </c>
      <c r="AH2055" s="16">
        <f>IF(ISERROR(VLOOKUP($A2055,'13. Updated Demand'!A:Z,25,FALSE)),0,VLOOKUP($A2055,'13. Updated Demand'!A:Z,25,FALSE))</f>
        <v>0</v>
      </c>
      <c r="AI2055" s="16">
        <f>IF(ISERROR(VLOOKUP($A2055,'13. Updated Demand'!A:Z,26,FALSE)),0,VLOOKUP($A2055,'13. Updated Demand'!A:Z,26,FALSE))</f>
        <v>0</v>
      </c>
      <c r="AJ2055" s="16">
        <f t="shared" si="385"/>
        <v>0</v>
      </c>
      <c r="AK2055" s="19">
        <v>0</v>
      </c>
      <c r="AL2055" s="16">
        <f t="shared" si="395"/>
        <v>0</v>
      </c>
      <c r="AM2055" s="26">
        <v>0</v>
      </c>
      <c r="AN2055" s="19">
        <v>57.951999999999998</v>
      </c>
      <c r="AO2055" s="19" t="s">
        <v>1758</v>
      </c>
      <c r="AP2055" s="19">
        <v>0</v>
      </c>
      <c r="AQ2055" s="19" t="s">
        <v>307</v>
      </c>
      <c r="AR2055" s="9" t="s">
        <v>436</v>
      </c>
      <c r="AS2055" s="12">
        <v>0</v>
      </c>
      <c r="AT2055" s="19">
        <v>38.671399999999998</v>
      </c>
      <c r="AU2055" s="19">
        <v>-122.8583</v>
      </c>
      <c r="AV2055" s="19" t="s">
        <v>548</v>
      </c>
    </row>
    <row r="2056" spans="1:48" x14ac:dyDescent="0.25">
      <c r="A2056" s="18" t="s">
        <v>2485</v>
      </c>
      <c r="B2056" s="10">
        <v>10000000</v>
      </c>
      <c r="C2056" s="9">
        <v>10</v>
      </c>
      <c r="D2056" s="8" t="str">
        <f t="shared" si="386"/>
        <v>N</v>
      </c>
      <c r="E2056" s="8" t="str">
        <f t="shared" si="387"/>
        <v>Y</v>
      </c>
      <c r="F2056" s="8" t="str">
        <f t="shared" si="388"/>
        <v>Y</v>
      </c>
      <c r="G2056" s="8" t="str">
        <f t="shared" si="389"/>
        <v>Y</v>
      </c>
      <c r="H2056" s="8" t="str">
        <f t="shared" si="390"/>
        <v>Upper</v>
      </c>
      <c r="I2056" s="8" t="str">
        <f t="shared" si="391"/>
        <v>West Fork and Below Lake</v>
      </c>
      <c r="J2056" s="8" t="str">
        <f t="shared" si="392"/>
        <v>Sonoma (d/s of Clov. Gage)</v>
      </c>
      <c r="K2056" s="8" t="str">
        <f t="shared" si="393"/>
        <v>Riparian</v>
      </c>
      <c r="L2056" s="8">
        <f t="shared" si="394"/>
        <v>1000</v>
      </c>
      <c r="M2056" s="8" t="str">
        <f t="shared" si="396"/>
        <v>-</v>
      </c>
      <c r="N2056" s="10" t="s">
        <v>241</v>
      </c>
      <c r="O2056" s="10" t="s">
        <v>241</v>
      </c>
      <c r="P2056" s="10" t="s">
        <v>242</v>
      </c>
      <c r="Q2056" s="10" t="s">
        <v>242</v>
      </c>
      <c r="R2056" s="10" t="s">
        <v>242</v>
      </c>
      <c r="S2056" s="10" t="s">
        <v>241</v>
      </c>
      <c r="T2056" s="10" t="s">
        <v>242</v>
      </c>
      <c r="U2056" s="10" t="s">
        <v>242</v>
      </c>
      <c r="V2056" s="10" t="s">
        <v>242</v>
      </c>
      <c r="W2056" s="10" t="s">
        <v>242</v>
      </c>
      <c r="X2056" s="15">
        <f>IF(ISERROR(VLOOKUP($A2056,'13. Updated Demand'!A:Z,15,FALSE)),0,VLOOKUP($A2056,'13. Updated Demand'!A:Z,15,FALSE))</f>
        <v>0</v>
      </c>
      <c r="Y2056" s="16">
        <f>IF(ISERROR(VLOOKUP($A2056,'13. Updated Demand'!A:Z,16,FALSE)),0,VLOOKUP($A2056,'13. Updated Demand'!A:Z,16,FALSE))</f>
        <v>0</v>
      </c>
      <c r="Z2056" s="16">
        <f>IF(ISERROR(VLOOKUP($A2056,'13. Updated Demand'!A:Z,17,FALSE)),0,VLOOKUP($A2056,'13. Updated Demand'!A:Z,17,FALSE))</f>
        <v>0</v>
      </c>
      <c r="AA2056" s="16">
        <f>IF(ISERROR(VLOOKUP($A2056,'13. Updated Demand'!A:Z,18,FALSE)),0,VLOOKUP($A2056,'13. Updated Demand'!A:Z,18,FALSE))</f>
        <v>0</v>
      </c>
      <c r="AB2056" s="16">
        <f>IF(ISERROR(VLOOKUP($A2056,'13. Updated Demand'!A:Z,19,FALSE)),0,VLOOKUP($A2056,'13. Updated Demand'!A:Z,19,FALSE))</f>
        <v>0</v>
      </c>
      <c r="AC2056" s="16">
        <f>IF(ISERROR(VLOOKUP($A2056,'13. Updated Demand'!A:Z,20,FALSE)),0,VLOOKUP($A2056,'13. Updated Demand'!A:Z,20,FALSE))</f>
        <v>0</v>
      </c>
      <c r="AD2056" s="16">
        <f>IF(ISERROR(VLOOKUP($A2056,'13. Updated Demand'!A:Z,21,FALSE)),0,VLOOKUP($A2056,'13. Updated Demand'!A:Z,21,FALSE))</f>
        <v>0</v>
      </c>
      <c r="AE2056" s="16">
        <f>IF(ISERROR(VLOOKUP($A2056,'13. Updated Demand'!A:Z,22,FALSE)),0,VLOOKUP($A2056,'13. Updated Demand'!A:Z,22,FALSE))</f>
        <v>0</v>
      </c>
      <c r="AF2056" s="16">
        <f>IF(ISERROR(VLOOKUP($A2056,'13. Updated Demand'!A:Z,23,FALSE)),0,VLOOKUP($A2056,'13. Updated Demand'!A:Z,23,FALSE))</f>
        <v>0</v>
      </c>
      <c r="AG2056" s="16">
        <f>IF(ISERROR(VLOOKUP($A2056,'13. Updated Demand'!A:Z,24,FALSE)),0,VLOOKUP($A2056,'13. Updated Demand'!A:Z,24,FALSE))</f>
        <v>0</v>
      </c>
      <c r="AH2056" s="16">
        <f>IF(ISERROR(VLOOKUP($A2056,'13. Updated Demand'!A:Z,25,FALSE)),0,VLOOKUP($A2056,'13. Updated Demand'!A:Z,25,FALSE))</f>
        <v>0</v>
      </c>
      <c r="AI2056" s="16">
        <f>IF(ISERROR(VLOOKUP($A2056,'13. Updated Demand'!A:Z,26,FALSE)),0,VLOOKUP($A2056,'13. Updated Demand'!A:Z,26,FALSE))</f>
        <v>0</v>
      </c>
      <c r="AJ2056" s="16">
        <f t="shared" si="385"/>
        <v>0</v>
      </c>
      <c r="AK2056" s="19">
        <v>5.1999999999999957</v>
      </c>
      <c r="AL2056" s="16">
        <f t="shared" si="395"/>
        <v>1.7247807664336635E-2</v>
      </c>
      <c r="AM2056" s="26">
        <v>26.227272727272709</v>
      </c>
      <c r="AN2056" s="19">
        <v>0.22</v>
      </c>
      <c r="AO2056" s="19" t="s">
        <v>1758</v>
      </c>
      <c r="AP2056" s="19">
        <v>0</v>
      </c>
      <c r="AQ2056" s="19" t="s">
        <v>307</v>
      </c>
      <c r="AR2056" s="9" t="s">
        <v>436</v>
      </c>
      <c r="AS2056" s="12">
        <v>0</v>
      </c>
      <c r="AT2056" s="19">
        <v>38.672600000000003</v>
      </c>
      <c r="AU2056" s="19">
        <v>-122.8665</v>
      </c>
      <c r="AV2056" s="19" t="s">
        <v>548</v>
      </c>
    </row>
    <row r="2057" spans="1:48" x14ac:dyDescent="0.25">
      <c r="A2057" s="18" t="s">
        <v>2486</v>
      </c>
      <c r="B2057" s="10">
        <v>10000000</v>
      </c>
      <c r="C2057" s="9">
        <v>10</v>
      </c>
      <c r="D2057" s="8" t="str">
        <f t="shared" si="386"/>
        <v>N</v>
      </c>
      <c r="E2057" s="8" t="str">
        <f t="shared" si="387"/>
        <v>Y</v>
      </c>
      <c r="F2057" s="8" t="str">
        <f t="shared" si="388"/>
        <v>Y</v>
      </c>
      <c r="G2057" s="8" t="str">
        <f t="shared" si="389"/>
        <v>Y</v>
      </c>
      <c r="H2057" s="8" t="str">
        <f t="shared" si="390"/>
        <v>Upper</v>
      </c>
      <c r="I2057" s="8" t="str">
        <f t="shared" si="391"/>
        <v>West Fork and Below Lake</v>
      </c>
      <c r="J2057" s="8" t="str">
        <f t="shared" si="392"/>
        <v>Sonoma (d/s of Clov. Gage)</v>
      </c>
      <c r="K2057" s="8" t="str">
        <f t="shared" si="393"/>
        <v>Riparian</v>
      </c>
      <c r="L2057" s="8">
        <f t="shared" si="394"/>
        <v>1000</v>
      </c>
      <c r="M2057" s="8" t="str">
        <f t="shared" si="396"/>
        <v>-</v>
      </c>
      <c r="N2057" s="10" t="s">
        <v>241</v>
      </c>
      <c r="O2057" s="10" t="s">
        <v>241</v>
      </c>
      <c r="P2057" s="10" t="s">
        <v>242</v>
      </c>
      <c r="Q2057" s="10" t="s">
        <v>242</v>
      </c>
      <c r="R2057" s="10" t="s">
        <v>242</v>
      </c>
      <c r="S2057" s="10" t="s">
        <v>241</v>
      </c>
      <c r="T2057" s="10" t="s">
        <v>242</v>
      </c>
      <c r="U2057" s="10" t="s">
        <v>241</v>
      </c>
      <c r="V2057" s="10" t="s">
        <v>241</v>
      </c>
      <c r="W2057" s="10" t="s">
        <v>242</v>
      </c>
      <c r="X2057" s="15">
        <f>IF(ISERROR(VLOOKUP($A2057,'13. Updated Demand'!A:Z,15,FALSE)),0,VLOOKUP($A2057,'13. Updated Demand'!A:Z,15,FALSE))</f>
        <v>0</v>
      </c>
      <c r="Y2057" s="16">
        <f>IF(ISERROR(VLOOKUP($A2057,'13. Updated Demand'!A:Z,16,FALSE)),0,VLOOKUP($A2057,'13. Updated Demand'!A:Z,16,FALSE))</f>
        <v>0</v>
      </c>
      <c r="Z2057" s="16">
        <f>IF(ISERROR(VLOOKUP($A2057,'13. Updated Demand'!A:Z,17,FALSE)),0,VLOOKUP($A2057,'13. Updated Demand'!A:Z,17,FALSE))</f>
        <v>0</v>
      </c>
      <c r="AA2057" s="16">
        <f>IF(ISERROR(VLOOKUP($A2057,'13. Updated Demand'!A:Z,18,FALSE)),0,VLOOKUP($A2057,'13. Updated Demand'!A:Z,18,FALSE))</f>
        <v>0</v>
      </c>
      <c r="AB2057" s="16">
        <f>IF(ISERROR(VLOOKUP($A2057,'13. Updated Demand'!A:Z,19,FALSE)),0,VLOOKUP($A2057,'13. Updated Demand'!A:Z,19,FALSE))</f>
        <v>0</v>
      </c>
      <c r="AC2057" s="16">
        <f>IF(ISERROR(VLOOKUP($A2057,'13. Updated Demand'!A:Z,20,FALSE)),0,VLOOKUP($A2057,'13. Updated Demand'!A:Z,20,FALSE))</f>
        <v>0</v>
      </c>
      <c r="AD2057" s="16">
        <f>IF(ISERROR(VLOOKUP($A2057,'13. Updated Demand'!A:Z,21,FALSE)),0,VLOOKUP($A2057,'13. Updated Demand'!A:Z,21,FALSE))</f>
        <v>0</v>
      </c>
      <c r="AE2057" s="16">
        <f>IF(ISERROR(VLOOKUP($A2057,'13. Updated Demand'!A:Z,22,FALSE)),0,VLOOKUP($A2057,'13. Updated Demand'!A:Z,22,FALSE))</f>
        <v>0</v>
      </c>
      <c r="AF2057" s="16">
        <f>IF(ISERROR(VLOOKUP($A2057,'13. Updated Demand'!A:Z,23,FALSE)),0,VLOOKUP($A2057,'13. Updated Demand'!A:Z,23,FALSE))</f>
        <v>0</v>
      </c>
      <c r="AG2057" s="16">
        <f>IF(ISERROR(VLOOKUP($A2057,'13. Updated Demand'!A:Z,24,FALSE)),0,VLOOKUP($A2057,'13. Updated Demand'!A:Z,24,FALSE))</f>
        <v>0</v>
      </c>
      <c r="AH2057" s="16">
        <f>IF(ISERROR(VLOOKUP($A2057,'13. Updated Demand'!A:Z,25,FALSE)),0,VLOOKUP($A2057,'13. Updated Demand'!A:Z,25,FALSE))</f>
        <v>0</v>
      </c>
      <c r="AI2057" s="16">
        <f>IF(ISERROR(VLOOKUP($A2057,'13. Updated Demand'!A:Z,26,FALSE)),0,VLOOKUP($A2057,'13. Updated Demand'!A:Z,26,FALSE))</f>
        <v>0</v>
      </c>
      <c r="AJ2057" s="16">
        <f t="shared" si="385"/>
        <v>0</v>
      </c>
      <c r="AK2057" s="19">
        <v>0</v>
      </c>
      <c r="AL2057" s="16">
        <f t="shared" si="395"/>
        <v>0</v>
      </c>
      <c r="AM2057" s="26">
        <v>0</v>
      </c>
      <c r="AN2057" s="19">
        <v>2013.8320000000001</v>
      </c>
      <c r="AO2057" s="19" t="s">
        <v>1758</v>
      </c>
      <c r="AP2057" s="19">
        <v>0</v>
      </c>
      <c r="AQ2057" s="19" t="s">
        <v>307</v>
      </c>
      <c r="AR2057" s="9" t="s">
        <v>436</v>
      </c>
      <c r="AS2057" s="12">
        <v>0</v>
      </c>
      <c r="AT2057" s="19">
        <v>38.671500000000002</v>
      </c>
      <c r="AU2057" s="19">
        <v>-122.8562</v>
      </c>
      <c r="AV2057" s="19" t="s">
        <v>548</v>
      </c>
    </row>
    <row r="2058" spans="1:48" x14ac:dyDescent="0.25">
      <c r="A2058" s="18" t="s">
        <v>2487</v>
      </c>
      <c r="B2058" s="10">
        <v>10000000</v>
      </c>
      <c r="C2058" s="9">
        <v>10</v>
      </c>
      <c r="D2058" s="8" t="str">
        <f t="shared" si="386"/>
        <v>N</v>
      </c>
      <c r="E2058" s="8" t="str">
        <f t="shared" si="387"/>
        <v>Y</v>
      </c>
      <c r="F2058" s="8" t="str">
        <f t="shared" si="388"/>
        <v>Y</v>
      </c>
      <c r="G2058" s="8" t="str">
        <f t="shared" si="389"/>
        <v>Y</v>
      </c>
      <c r="H2058" s="8" t="str">
        <f t="shared" si="390"/>
        <v>Upper</v>
      </c>
      <c r="I2058" s="8" t="str">
        <f t="shared" si="391"/>
        <v>West Fork and Below Lake</v>
      </c>
      <c r="J2058" s="8" t="str">
        <f t="shared" si="392"/>
        <v>Sonoma (d/s of Clov. Gage)</v>
      </c>
      <c r="K2058" s="8" t="str">
        <f t="shared" si="393"/>
        <v>Riparian</v>
      </c>
      <c r="L2058" s="8">
        <f t="shared" si="394"/>
        <v>1000</v>
      </c>
      <c r="M2058" s="8" t="str">
        <f t="shared" si="396"/>
        <v>-</v>
      </c>
      <c r="N2058" s="10" t="s">
        <v>241</v>
      </c>
      <c r="O2058" s="10" t="s">
        <v>241</v>
      </c>
      <c r="P2058" s="10" t="s">
        <v>242</v>
      </c>
      <c r="Q2058" s="10" t="s">
        <v>242</v>
      </c>
      <c r="R2058" s="10" t="s">
        <v>242</v>
      </c>
      <c r="S2058" s="10" t="s">
        <v>241</v>
      </c>
      <c r="T2058" s="10" t="s">
        <v>242</v>
      </c>
      <c r="U2058" s="10" t="s">
        <v>241</v>
      </c>
      <c r="V2058" s="10" t="s">
        <v>241</v>
      </c>
      <c r="W2058" s="10" t="s">
        <v>242</v>
      </c>
      <c r="X2058" s="15">
        <f>IF(ISERROR(VLOOKUP($A2058,'13. Updated Demand'!A:Z,15,FALSE)),0,VLOOKUP($A2058,'13. Updated Demand'!A:Z,15,FALSE))</f>
        <v>0</v>
      </c>
      <c r="Y2058" s="16">
        <f>IF(ISERROR(VLOOKUP($A2058,'13. Updated Demand'!A:Z,16,FALSE)),0,VLOOKUP($A2058,'13. Updated Demand'!A:Z,16,FALSE))</f>
        <v>0</v>
      </c>
      <c r="Z2058" s="16">
        <f>IF(ISERROR(VLOOKUP($A2058,'13. Updated Demand'!A:Z,17,FALSE)),0,VLOOKUP($A2058,'13. Updated Demand'!A:Z,17,FALSE))</f>
        <v>0</v>
      </c>
      <c r="AA2058" s="16">
        <f>IF(ISERROR(VLOOKUP($A2058,'13. Updated Demand'!A:Z,18,FALSE)),0,VLOOKUP($A2058,'13. Updated Demand'!A:Z,18,FALSE))</f>
        <v>0</v>
      </c>
      <c r="AB2058" s="16">
        <f>IF(ISERROR(VLOOKUP($A2058,'13. Updated Demand'!A:Z,19,FALSE)),0,VLOOKUP($A2058,'13. Updated Demand'!A:Z,19,FALSE))</f>
        <v>0</v>
      </c>
      <c r="AC2058" s="16">
        <f>IF(ISERROR(VLOOKUP($A2058,'13. Updated Demand'!A:Z,20,FALSE)),0,VLOOKUP($A2058,'13. Updated Demand'!A:Z,20,FALSE))</f>
        <v>0</v>
      </c>
      <c r="AD2058" s="16">
        <f>IF(ISERROR(VLOOKUP($A2058,'13. Updated Demand'!A:Z,21,FALSE)),0,VLOOKUP($A2058,'13. Updated Demand'!A:Z,21,FALSE))</f>
        <v>0</v>
      </c>
      <c r="AE2058" s="16">
        <f>IF(ISERROR(VLOOKUP($A2058,'13. Updated Demand'!A:Z,22,FALSE)),0,VLOOKUP($A2058,'13. Updated Demand'!A:Z,22,FALSE))</f>
        <v>0</v>
      </c>
      <c r="AF2058" s="16">
        <f>IF(ISERROR(VLOOKUP($A2058,'13. Updated Demand'!A:Z,23,FALSE)),0,VLOOKUP($A2058,'13. Updated Demand'!A:Z,23,FALSE))</f>
        <v>0</v>
      </c>
      <c r="AG2058" s="16">
        <f>IF(ISERROR(VLOOKUP($A2058,'13. Updated Demand'!A:Z,24,FALSE)),0,VLOOKUP($A2058,'13. Updated Demand'!A:Z,24,FALSE))</f>
        <v>0</v>
      </c>
      <c r="AH2058" s="16">
        <f>IF(ISERROR(VLOOKUP($A2058,'13. Updated Demand'!A:Z,25,FALSE)),0,VLOOKUP($A2058,'13. Updated Demand'!A:Z,25,FALSE))</f>
        <v>0</v>
      </c>
      <c r="AI2058" s="16">
        <f>IF(ISERROR(VLOOKUP($A2058,'13. Updated Demand'!A:Z,26,FALSE)),0,VLOOKUP($A2058,'13. Updated Demand'!A:Z,26,FALSE))</f>
        <v>0</v>
      </c>
      <c r="AJ2058" s="16">
        <f t="shared" si="385"/>
        <v>0</v>
      </c>
      <c r="AK2058" s="19">
        <v>0</v>
      </c>
      <c r="AL2058" s="16">
        <f t="shared" si="395"/>
        <v>0</v>
      </c>
      <c r="AM2058" s="26">
        <v>0</v>
      </c>
      <c r="AN2058" s="19">
        <v>2419.4960000000001</v>
      </c>
      <c r="AO2058" s="19" t="s">
        <v>1758</v>
      </c>
      <c r="AP2058" s="19">
        <v>0</v>
      </c>
      <c r="AQ2058" s="19" t="s">
        <v>307</v>
      </c>
      <c r="AR2058" s="9" t="s">
        <v>436</v>
      </c>
      <c r="AS2058" s="12">
        <v>0</v>
      </c>
      <c r="AT2058" s="19">
        <v>38.673699999999997</v>
      </c>
      <c r="AU2058" s="19">
        <v>-122.861</v>
      </c>
      <c r="AV2058" s="19" t="s">
        <v>548</v>
      </c>
    </row>
    <row r="2059" spans="1:48" x14ac:dyDescent="0.25">
      <c r="A2059" s="18" t="s">
        <v>2488</v>
      </c>
      <c r="B2059" s="10">
        <v>10000000</v>
      </c>
      <c r="C2059" s="9">
        <v>10</v>
      </c>
      <c r="D2059" s="8" t="str">
        <f t="shared" si="386"/>
        <v>N</v>
      </c>
      <c r="E2059" s="8" t="str">
        <f t="shared" si="387"/>
        <v>Y</v>
      </c>
      <c r="F2059" s="8" t="str">
        <f t="shared" si="388"/>
        <v>Y</v>
      </c>
      <c r="G2059" s="8" t="str">
        <f t="shared" si="389"/>
        <v>Y</v>
      </c>
      <c r="H2059" s="8" t="str">
        <f t="shared" si="390"/>
        <v>Upper</v>
      </c>
      <c r="I2059" s="8" t="str">
        <f t="shared" si="391"/>
        <v>West Fork and Below Lake</v>
      </c>
      <c r="J2059" s="8" t="str">
        <f t="shared" si="392"/>
        <v>Sonoma (d/s of Clov. Gage)</v>
      </c>
      <c r="K2059" s="8" t="str">
        <f t="shared" si="393"/>
        <v>Riparian</v>
      </c>
      <c r="L2059" s="8">
        <f t="shared" si="394"/>
        <v>1000</v>
      </c>
      <c r="M2059" s="8" t="str">
        <f t="shared" si="396"/>
        <v>-</v>
      </c>
      <c r="N2059" s="10" t="s">
        <v>241</v>
      </c>
      <c r="O2059" s="10" t="s">
        <v>241</v>
      </c>
      <c r="P2059" s="10" t="s">
        <v>242</v>
      </c>
      <c r="Q2059" s="10" t="s">
        <v>242</v>
      </c>
      <c r="R2059" s="10" t="s">
        <v>242</v>
      </c>
      <c r="S2059" s="10" t="s">
        <v>241</v>
      </c>
      <c r="T2059" s="10" t="s">
        <v>242</v>
      </c>
      <c r="U2059" s="10" t="s">
        <v>242</v>
      </c>
      <c r="V2059" s="10" t="s">
        <v>242</v>
      </c>
      <c r="W2059" s="10" t="s">
        <v>242</v>
      </c>
      <c r="X2059" s="15">
        <f>IF(ISERROR(VLOOKUP($A2059,'13. Updated Demand'!A:Z,15,FALSE)),0,VLOOKUP($A2059,'13. Updated Demand'!A:Z,15,FALSE))</f>
        <v>0</v>
      </c>
      <c r="Y2059" s="16">
        <f>IF(ISERROR(VLOOKUP($A2059,'13. Updated Demand'!A:Z,16,FALSE)),0,VLOOKUP($A2059,'13. Updated Demand'!A:Z,16,FALSE))</f>
        <v>0</v>
      </c>
      <c r="Z2059" s="16">
        <f>IF(ISERROR(VLOOKUP($A2059,'13. Updated Demand'!A:Z,17,FALSE)),0,VLOOKUP($A2059,'13. Updated Demand'!A:Z,17,FALSE))</f>
        <v>0</v>
      </c>
      <c r="AA2059" s="16">
        <f>IF(ISERROR(VLOOKUP($A2059,'13. Updated Demand'!A:Z,18,FALSE)),0,VLOOKUP($A2059,'13. Updated Demand'!A:Z,18,FALSE))</f>
        <v>0</v>
      </c>
      <c r="AB2059" s="16">
        <f>IF(ISERROR(VLOOKUP($A2059,'13. Updated Demand'!A:Z,19,FALSE)),0,VLOOKUP($A2059,'13. Updated Demand'!A:Z,19,FALSE))</f>
        <v>0</v>
      </c>
      <c r="AC2059" s="16">
        <f>IF(ISERROR(VLOOKUP($A2059,'13. Updated Demand'!A:Z,20,FALSE)),0,VLOOKUP($A2059,'13. Updated Demand'!A:Z,20,FALSE))</f>
        <v>0</v>
      </c>
      <c r="AD2059" s="16">
        <f>IF(ISERROR(VLOOKUP($A2059,'13. Updated Demand'!A:Z,21,FALSE)),0,VLOOKUP($A2059,'13. Updated Demand'!A:Z,21,FALSE))</f>
        <v>0</v>
      </c>
      <c r="AE2059" s="16">
        <f>IF(ISERROR(VLOOKUP($A2059,'13. Updated Demand'!A:Z,22,FALSE)),0,VLOOKUP($A2059,'13. Updated Demand'!A:Z,22,FALSE))</f>
        <v>0</v>
      </c>
      <c r="AF2059" s="16">
        <f>IF(ISERROR(VLOOKUP($A2059,'13. Updated Demand'!A:Z,23,FALSE)),0,VLOOKUP($A2059,'13. Updated Demand'!A:Z,23,FALSE))</f>
        <v>0</v>
      </c>
      <c r="AG2059" s="16">
        <f>IF(ISERROR(VLOOKUP($A2059,'13. Updated Demand'!A:Z,24,FALSE)),0,VLOOKUP($A2059,'13. Updated Demand'!A:Z,24,FALSE))</f>
        <v>0</v>
      </c>
      <c r="AH2059" s="16">
        <f>IF(ISERROR(VLOOKUP($A2059,'13. Updated Demand'!A:Z,25,FALSE)),0,VLOOKUP($A2059,'13. Updated Demand'!A:Z,25,FALSE))</f>
        <v>0</v>
      </c>
      <c r="AI2059" s="16">
        <f>IF(ISERROR(VLOOKUP($A2059,'13. Updated Demand'!A:Z,26,FALSE)),0,VLOOKUP($A2059,'13. Updated Demand'!A:Z,26,FALSE))</f>
        <v>0</v>
      </c>
      <c r="AJ2059" s="16">
        <f t="shared" si="385"/>
        <v>0</v>
      </c>
      <c r="AK2059" s="19">
        <v>30.13333333333334</v>
      </c>
      <c r="AL2059" s="16">
        <f t="shared" si="395"/>
        <v>9.9948834157438021E-2</v>
      </c>
      <c r="AM2059" s="26">
        <v>1.4321209906386946E-2</v>
      </c>
      <c r="AN2059" s="19">
        <v>2741.8539999999998</v>
      </c>
      <c r="AO2059" s="19" t="s">
        <v>1758</v>
      </c>
      <c r="AP2059" s="19">
        <v>0</v>
      </c>
      <c r="AQ2059" s="19" t="s">
        <v>307</v>
      </c>
      <c r="AR2059" s="9" t="s">
        <v>436</v>
      </c>
      <c r="AS2059" s="12">
        <v>0</v>
      </c>
      <c r="AT2059" s="19">
        <v>38.667900000000003</v>
      </c>
      <c r="AU2059" s="19">
        <v>-122.8563</v>
      </c>
      <c r="AV2059" s="19" t="s">
        <v>548</v>
      </c>
    </row>
    <row r="2060" spans="1:48" x14ac:dyDescent="0.25">
      <c r="A2060" s="18" t="s">
        <v>2489</v>
      </c>
      <c r="B2060" s="10">
        <v>10000000</v>
      </c>
      <c r="C2060" s="9">
        <v>10</v>
      </c>
      <c r="D2060" s="8" t="str">
        <f t="shared" si="386"/>
        <v>N</v>
      </c>
      <c r="E2060" s="8" t="str">
        <f t="shared" si="387"/>
        <v>Y</v>
      </c>
      <c r="F2060" s="8" t="str">
        <f t="shared" si="388"/>
        <v>Y</v>
      </c>
      <c r="G2060" s="8" t="str">
        <f t="shared" si="389"/>
        <v>Y</v>
      </c>
      <c r="H2060" s="8" t="str">
        <f t="shared" si="390"/>
        <v>Upper</v>
      </c>
      <c r="I2060" s="8" t="str">
        <f t="shared" si="391"/>
        <v>West Fork and Below Lake</v>
      </c>
      <c r="J2060" s="8" t="str">
        <f t="shared" si="392"/>
        <v>Sonoma (d/s of Clov. Gage)</v>
      </c>
      <c r="K2060" s="8" t="str">
        <f t="shared" si="393"/>
        <v>Riparian</v>
      </c>
      <c r="L2060" s="8">
        <f t="shared" si="394"/>
        <v>1000</v>
      </c>
      <c r="M2060" s="8" t="str">
        <f t="shared" si="396"/>
        <v>-</v>
      </c>
      <c r="N2060" s="10" t="s">
        <v>241</v>
      </c>
      <c r="O2060" s="10" t="s">
        <v>241</v>
      </c>
      <c r="P2060" s="10" t="s">
        <v>242</v>
      </c>
      <c r="Q2060" s="10" t="s">
        <v>242</v>
      </c>
      <c r="R2060" s="10" t="s">
        <v>242</v>
      </c>
      <c r="S2060" s="10" t="s">
        <v>241</v>
      </c>
      <c r="T2060" s="10" t="s">
        <v>242</v>
      </c>
      <c r="U2060" s="10" t="s">
        <v>242</v>
      </c>
      <c r="V2060" s="10" t="s">
        <v>242</v>
      </c>
      <c r="W2060" s="10" t="s">
        <v>242</v>
      </c>
      <c r="X2060" s="15">
        <f>IF(ISERROR(VLOOKUP($A2060,'13. Updated Demand'!A:Z,15,FALSE)),0,VLOOKUP($A2060,'13. Updated Demand'!A:Z,15,FALSE))</f>
        <v>0</v>
      </c>
      <c r="Y2060" s="16">
        <f>IF(ISERROR(VLOOKUP($A2060,'13. Updated Demand'!A:Z,16,FALSE)),0,VLOOKUP($A2060,'13. Updated Demand'!A:Z,16,FALSE))</f>
        <v>0</v>
      </c>
      <c r="Z2060" s="16">
        <f>IF(ISERROR(VLOOKUP($A2060,'13. Updated Demand'!A:Z,17,FALSE)),0,VLOOKUP($A2060,'13. Updated Demand'!A:Z,17,FALSE))</f>
        <v>0</v>
      </c>
      <c r="AA2060" s="16">
        <f>IF(ISERROR(VLOOKUP($A2060,'13. Updated Demand'!A:Z,18,FALSE)),0,VLOOKUP($A2060,'13. Updated Demand'!A:Z,18,FALSE))</f>
        <v>0</v>
      </c>
      <c r="AB2060" s="16">
        <f>IF(ISERROR(VLOOKUP($A2060,'13. Updated Demand'!A:Z,19,FALSE)),0,VLOOKUP($A2060,'13. Updated Demand'!A:Z,19,FALSE))</f>
        <v>0</v>
      </c>
      <c r="AC2060" s="16">
        <f>IF(ISERROR(VLOOKUP($A2060,'13. Updated Demand'!A:Z,20,FALSE)),0,VLOOKUP($A2060,'13. Updated Demand'!A:Z,20,FALSE))</f>
        <v>0</v>
      </c>
      <c r="AD2060" s="16">
        <f>IF(ISERROR(VLOOKUP($A2060,'13. Updated Demand'!A:Z,21,FALSE)),0,VLOOKUP($A2060,'13. Updated Demand'!A:Z,21,FALSE))</f>
        <v>0</v>
      </c>
      <c r="AE2060" s="16">
        <f>IF(ISERROR(VLOOKUP($A2060,'13. Updated Demand'!A:Z,22,FALSE)),0,VLOOKUP($A2060,'13. Updated Demand'!A:Z,22,FALSE))</f>
        <v>0</v>
      </c>
      <c r="AF2060" s="16">
        <f>IF(ISERROR(VLOOKUP($A2060,'13. Updated Demand'!A:Z,23,FALSE)),0,VLOOKUP($A2060,'13. Updated Demand'!A:Z,23,FALSE))</f>
        <v>0</v>
      </c>
      <c r="AG2060" s="16">
        <f>IF(ISERROR(VLOOKUP($A2060,'13. Updated Demand'!A:Z,24,FALSE)),0,VLOOKUP($A2060,'13. Updated Demand'!A:Z,24,FALSE))</f>
        <v>0</v>
      </c>
      <c r="AH2060" s="16">
        <f>IF(ISERROR(VLOOKUP($A2060,'13. Updated Demand'!A:Z,25,FALSE)),0,VLOOKUP($A2060,'13. Updated Demand'!A:Z,25,FALSE))</f>
        <v>0</v>
      </c>
      <c r="AI2060" s="16">
        <f>IF(ISERROR(VLOOKUP($A2060,'13. Updated Demand'!A:Z,26,FALSE)),0,VLOOKUP($A2060,'13. Updated Demand'!A:Z,26,FALSE))</f>
        <v>0</v>
      </c>
      <c r="AJ2060" s="16">
        <f t="shared" si="385"/>
        <v>0</v>
      </c>
      <c r="AK2060" s="19">
        <v>15.133999999999999</v>
      </c>
      <c r="AL2060" s="16">
        <f t="shared" si="395"/>
        <v>5.0197754075398233E-2</v>
      </c>
      <c r="AM2060" s="26">
        <v>6.886545457203761E-3</v>
      </c>
      <c r="AN2060" s="19">
        <v>2662.8944000000001</v>
      </c>
      <c r="AO2060" s="19" t="s">
        <v>1758</v>
      </c>
      <c r="AP2060" s="19">
        <v>0</v>
      </c>
      <c r="AQ2060" s="19" t="s">
        <v>307</v>
      </c>
      <c r="AR2060" s="9" t="s">
        <v>436</v>
      </c>
      <c r="AS2060" s="12">
        <v>0</v>
      </c>
      <c r="AT2060" s="19">
        <v>38.667900000000003</v>
      </c>
      <c r="AU2060" s="19">
        <v>-122.86069999999999</v>
      </c>
      <c r="AV2060" s="19" t="s">
        <v>548</v>
      </c>
    </row>
    <row r="2061" spans="1:48" x14ac:dyDescent="0.25">
      <c r="A2061" s="18" t="s">
        <v>2490</v>
      </c>
      <c r="B2061" s="10">
        <v>10000000</v>
      </c>
      <c r="C2061" s="9">
        <v>10</v>
      </c>
      <c r="D2061" s="8" t="str">
        <f t="shared" si="386"/>
        <v>N</v>
      </c>
      <c r="E2061" s="8" t="str">
        <f t="shared" si="387"/>
        <v>Y</v>
      </c>
      <c r="F2061" s="8" t="str">
        <f t="shared" si="388"/>
        <v>Y</v>
      </c>
      <c r="G2061" s="8" t="str">
        <f t="shared" si="389"/>
        <v>Y</v>
      </c>
      <c r="H2061" s="8" t="str">
        <f t="shared" si="390"/>
        <v>Upper</v>
      </c>
      <c r="I2061" s="8" t="str">
        <f t="shared" si="391"/>
        <v>West Fork and Below Lake</v>
      </c>
      <c r="J2061" s="8" t="str">
        <f t="shared" si="392"/>
        <v>Sonoma (d/s of Clov. Gage)</v>
      </c>
      <c r="K2061" s="8" t="str">
        <f t="shared" si="393"/>
        <v>Riparian</v>
      </c>
      <c r="L2061" s="8">
        <f t="shared" si="394"/>
        <v>1000</v>
      </c>
      <c r="M2061" s="8" t="str">
        <f t="shared" si="396"/>
        <v>-</v>
      </c>
      <c r="N2061" s="10" t="s">
        <v>241</v>
      </c>
      <c r="O2061" s="10" t="s">
        <v>241</v>
      </c>
      <c r="P2061" s="10" t="s">
        <v>242</v>
      </c>
      <c r="Q2061" s="10" t="s">
        <v>242</v>
      </c>
      <c r="R2061" s="10" t="s">
        <v>242</v>
      </c>
      <c r="S2061" s="10" t="s">
        <v>241</v>
      </c>
      <c r="T2061" s="10" t="s">
        <v>242</v>
      </c>
      <c r="U2061" s="10" t="s">
        <v>241</v>
      </c>
      <c r="V2061" s="10" t="s">
        <v>241</v>
      </c>
      <c r="W2061" s="10" t="s">
        <v>242</v>
      </c>
      <c r="X2061" s="15">
        <f>IF(ISERROR(VLOOKUP($A2061,'13. Updated Demand'!A:Z,15,FALSE)),0,VLOOKUP($A2061,'13. Updated Demand'!A:Z,15,FALSE))</f>
        <v>0</v>
      </c>
      <c r="Y2061" s="16">
        <f>IF(ISERROR(VLOOKUP($A2061,'13. Updated Demand'!A:Z,16,FALSE)),0,VLOOKUP($A2061,'13. Updated Demand'!A:Z,16,FALSE))</f>
        <v>0</v>
      </c>
      <c r="Z2061" s="16">
        <f>IF(ISERROR(VLOOKUP($A2061,'13. Updated Demand'!A:Z,17,FALSE)),0,VLOOKUP($A2061,'13. Updated Demand'!A:Z,17,FALSE))</f>
        <v>0</v>
      </c>
      <c r="AA2061" s="16">
        <f>IF(ISERROR(VLOOKUP($A2061,'13. Updated Demand'!A:Z,18,FALSE)),0,VLOOKUP($A2061,'13. Updated Demand'!A:Z,18,FALSE))</f>
        <v>0</v>
      </c>
      <c r="AB2061" s="16">
        <f>IF(ISERROR(VLOOKUP($A2061,'13. Updated Demand'!A:Z,19,FALSE)),0,VLOOKUP($A2061,'13. Updated Demand'!A:Z,19,FALSE))</f>
        <v>0</v>
      </c>
      <c r="AC2061" s="16">
        <f>IF(ISERROR(VLOOKUP($A2061,'13. Updated Demand'!A:Z,20,FALSE)),0,VLOOKUP($A2061,'13. Updated Demand'!A:Z,20,FALSE))</f>
        <v>0</v>
      </c>
      <c r="AD2061" s="16">
        <f>IF(ISERROR(VLOOKUP($A2061,'13. Updated Demand'!A:Z,21,FALSE)),0,VLOOKUP($A2061,'13. Updated Demand'!A:Z,21,FALSE))</f>
        <v>0</v>
      </c>
      <c r="AE2061" s="16">
        <f>IF(ISERROR(VLOOKUP($A2061,'13. Updated Demand'!A:Z,22,FALSE)),0,VLOOKUP($A2061,'13. Updated Demand'!A:Z,22,FALSE))</f>
        <v>0</v>
      </c>
      <c r="AF2061" s="16">
        <f>IF(ISERROR(VLOOKUP($A2061,'13. Updated Demand'!A:Z,23,FALSE)),0,VLOOKUP($A2061,'13. Updated Demand'!A:Z,23,FALSE))</f>
        <v>0</v>
      </c>
      <c r="AG2061" s="16">
        <f>IF(ISERROR(VLOOKUP($A2061,'13. Updated Demand'!A:Z,24,FALSE)),0,VLOOKUP($A2061,'13. Updated Demand'!A:Z,24,FALSE))</f>
        <v>0</v>
      </c>
      <c r="AH2061" s="16">
        <f>IF(ISERROR(VLOOKUP($A2061,'13. Updated Demand'!A:Z,25,FALSE)),0,VLOOKUP($A2061,'13. Updated Demand'!A:Z,25,FALSE))</f>
        <v>0</v>
      </c>
      <c r="AI2061" s="16">
        <f>IF(ISERROR(VLOOKUP($A2061,'13. Updated Demand'!A:Z,26,FALSE)),0,VLOOKUP($A2061,'13. Updated Demand'!A:Z,26,FALSE))</f>
        <v>0</v>
      </c>
      <c r="AJ2061" s="16">
        <f t="shared" si="385"/>
        <v>0</v>
      </c>
      <c r="AK2061" s="19">
        <v>0</v>
      </c>
      <c r="AL2061" s="16">
        <f t="shared" si="395"/>
        <v>0</v>
      </c>
      <c r="AM2061" s="26">
        <v>0</v>
      </c>
      <c r="AN2061" s="19">
        <v>1371.6514</v>
      </c>
      <c r="AO2061" s="19" t="s">
        <v>1758</v>
      </c>
      <c r="AP2061" s="19">
        <v>0</v>
      </c>
      <c r="AQ2061" s="19" t="s">
        <v>307</v>
      </c>
      <c r="AR2061" s="9" t="s">
        <v>436</v>
      </c>
      <c r="AS2061" s="12">
        <v>0</v>
      </c>
      <c r="AT2061" s="19">
        <v>38.672699999999999</v>
      </c>
      <c r="AU2061" s="19">
        <v>-122.867</v>
      </c>
      <c r="AV2061" s="19" t="s">
        <v>548</v>
      </c>
    </row>
    <row r="2062" spans="1:48" x14ac:dyDescent="0.25">
      <c r="A2062" s="18" t="s">
        <v>2491</v>
      </c>
      <c r="B2062" s="10">
        <v>10000000</v>
      </c>
      <c r="C2062" s="9">
        <v>10</v>
      </c>
      <c r="D2062" s="8" t="str">
        <f t="shared" si="386"/>
        <v>N</v>
      </c>
      <c r="E2062" s="8" t="str">
        <f t="shared" si="387"/>
        <v>Y</v>
      </c>
      <c r="F2062" s="8" t="str">
        <f t="shared" si="388"/>
        <v>Y</v>
      </c>
      <c r="G2062" s="8" t="str">
        <f t="shared" si="389"/>
        <v>Y</v>
      </c>
      <c r="H2062" s="8" t="str">
        <f t="shared" si="390"/>
        <v>Upper</v>
      </c>
      <c r="I2062" s="8" t="str">
        <f t="shared" si="391"/>
        <v>West Fork and Below Lake</v>
      </c>
      <c r="J2062" s="8" t="str">
        <f t="shared" si="392"/>
        <v>Sonoma (d/s of Clov. Gage)</v>
      </c>
      <c r="K2062" s="8" t="str">
        <f t="shared" si="393"/>
        <v>Riparian</v>
      </c>
      <c r="L2062" s="8">
        <f t="shared" si="394"/>
        <v>1000</v>
      </c>
      <c r="M2062" s="8" t="str">
        <f t="shared" si="396"/>
        <v>-</v>
      </c>
      <c r="N2062" s="10" t="s">
        <v>241</v>
      </c>
      <c r="O2062" s="10" t="s">
        <v>241</v>
      </c>
      <c r="P2062" s="10" t="s">
        <v>242</v>
      </c>
      <c r="Q2062" s="10" t="s">
        <v>242</v>
      </c>
      <c r="R2062" s="10" t="s">
        <v>242</v>
      </c>
      <c r="S2062" s="10" t="s">
        <v>241</v>
      </c>
      <c r="T2062" s="10" t="s">
        <v>242</v>
      </c>
      <c r="U2062" s="10" t="s">
        <v>241</v>
      </c>
      <c r="V2062" s="10" t="s">
        <v>241</v>
      </c>
      <c r="W2062" s="10" t="s">
        <v>242</v>
      </c>
      <c r="X2062" s="15">
        <f>IF(ISERROR(VLOOKUP($A2062,'13. Updated Demand'!A:Z,15,FALSE)),0,VLOOKUP($A2062,'13. Updated Demand'!A:Z,15,FALSE))</f>
        <v>0</v>
      </c>
      <c r="Y2062" s="16">
        <f>IF(ISERROR(VLOOKUP($A2062,'13. Updated Demand'!A:Z,16,FALSE)),0,VLOOKUP($A2062,'13. Updated Demand'!A:Z,16,FALSE))</f>
        <v>0</v>
      </c>
      <c r="Z2062" s="16">
        <f>IF(ISERROR(VLOOKUP($A2062,'13. Updated Demand'!A:Z,17,FALSE)),0,VLOOKUP($A2062,'13. Updated Demand'!A:Z,17,FALSE))</f>
        <v>0</v>
      </c>
      <c r="AA2062" s="16">
        <f>IF(ISERROR(VLOOKUP($A2062,'13. Updated Demand'!A:Z,18,FALSE)),0,VLOOKUP($A2062,'13. Updated Demand'!A:Z,18,FALSE))</f>
        <v>0</v>
      </c>
      <c r="AB2062" s="16">
        <f>IF(ISERROR(VLOOKUP($A2062,'13. Updated Demand'!A:Z,19,FALSE)),0,VLOOKUP($A2062,'13. Updated Demand'!A:Z,19,FALSE))</f>
        <v>0</v>
      </c>
      <c r="AC2062" s="16">
        <f>IF(ISERROR(VLOOKUP($A2062,'13. Updated Demand'!A:Z,20,FALSE)),0,VLOOKUP($A2062,'13. Updated Demand'!A:Z,20,FALSE))</f>
        <v>0</v>
      </c>
      <c r="AD2062" s="16">
        <f>IF(ISERROR(VLOOKUP($A2062,'13. Updated Demand'!A:Z,21,FALSE)),0,VLOOKUP($A2062,'13. Updated Demand'!A:Z,21,FALSE))</f>
        <v>0</v>
      </c>
      <c r="AE2062" s="16">
        <f>IF(ISERROR(VLOOKUP($A2062,'13. Updated Demand'!A:Z,22,FALSE)),0,VLOOKUP($A2062,'13. Updated Demand'!A:Z,22,FALSE))</f>
        <v>0</v>
      </c>
      <c r="AF2062" s="16">
        <f>IF(ISERROR(VLOOKUP($A2062,'13. Updated Demand'!A:Z,23,FALSE)),0,VLOOKUP($A2062,'13. Updated Demand'!A:Z,23,FALSE))</f>
        <v>0</v>
      </c>
      <c r="AG2062" s="16">
        <f>IF(ISERROR(VLOOKUP($A2062,'13. Updated Demand'!A:Z,24,FALSE)),0,VLOOKUP($A2062,'13. Updated Demand'!A:Z,24,FALSE))</f>
        <v>0</v>
      </c>
      <c r="AH2062" s="16">
        <f>IF(ISERROR(VLOOKUP($A2062,'13. Updated Demand'!A:Z,25,FALSE)),0,VLOOKUP($A2062,'13. Updated Demand'!A:Z,25,FALSE))</f>
        <v>0</v>
      </c>
      <c r="AI2062" s="16">
        <f>IF(ISERROR(VLOOKUP($A2062,'13. Updated Demand'!A:Z,26,FALSE)),0,VLOOKUP($A2062,'13. Updated Demand'!A:Z,26,FALSE))</f>
        <v>0</v>
      </c>
      <c r="AJ2062" s="16">
        <f t="shared" si="385"/>
        <v>0</v>
      </c>
      <c r="AK2062" s="19">
        <v>0</v>
      </c>
      <c r="AL2062" s="16">
        <f t="shared" si="395"/>
        <v>0</v>
      </c>
      <c r="AM2062" s="26">
        <v>0</v>
      </c>
      <c r="AN2062" s="19">
        <v>241.9496</v>
      </c>
      <c r="AO2062" s="19" t="s">
        <v>1758</v>
      </c>
      <c r="AP2062" s="19">
        <v>0</v>
      </c>
      <c r="AQ2062" s="19" t="s">
        <v>307</v>
      </c>
      <c r="AR2062" s="9" t="s">
        <v>436</v>
      </c>
      <c r="AS2062" s="12">
        <v>0</v>
      </c>
      <c r="AT2062" s="19">
        <v>38.673900000000003</v>
      </c>
      <c r="AU2062" s="19">
        <v>-122.8642</v>
      </c>
      <c r="AV2062" s="19" t="s">
        <v>548</v>
      </c>
    </row>
    <row r="2063" spans="1:48" x14ac:dyDescent="0.25">
      <c r="A2063" s="18" t="s">
        <v>2492</v>
      </c>
      <c r="B2063" s="10">
        <v>10000000</v>
      </c>
      <c r="C2063" s="9">
        <v>11</v>
      </c>
      <c r="D2063" s="8" t="str">
        <f t="shared" si="386"/>
        <v>N</v>
      </c>
      <c r="E2063" s="8" t="str">
        <f t="shared" si="387"/>
        <v>Y</v>
      </c>
      <c r="F2063" s="8" t="str">
        <f t="shared" si="388"/>
        <v>Y</v>
      </c>
      <c r="G2063" s="8" t="str">
        <f t="shared" si="389"/>
        <v>Y</v>
      </c>
      <c r="H2063" s="8" t="str">
        <f t="shared" si="390"/>
        <v>Upper</v>
      </c>
      <c r="I2063" s="8" t="str">
        <f t="shared" si="391"/>
        <v>West Fork and Below Lake</v>
      </c>
      <c r="J2063" s="8" t="str">
        <f t="shared" si="392"/>
        <v>Sonoma (d/s of Clov. Gage)</v>
      </c>
      <c r="K2063" s="8" t="str">
        <f t="shared" si="393"/>
        <v>Riparian</v>
      </c>
      <c r="L2063" s="8">
        <f t="shared" si="394"/>
        <v>1000</v>
      </c>
      <c r="M2063" s="8" t="str">
        <f t="shared" si="396"/>
        <v>-</v>
      </c>
      <c r="N2063" s="10" t="s">
        <v>242</v>
      </c>
      <c r="O2063" s="10" t="s">
        <v>241</v>
      </c>
      <c r="P2063" s="10" t="s">
        <v>242</v>
      </c>
      <c r="Q2063" s="10" t="s">
        <v>242</v>
      </c>
      <c r="R2063" s="10" t="s">
        <v>242</v>
      </c>
      <c r="S2063" s="10" t="s">
        <v>241</v>
      </c>
      <c r="T2063" s="10" t="s">
        <v>242</v>
      </c>
      <c r="U2063" s="10" t="s">
        <v>242</v>
      </c>
      <c r="V2063" s="10" t="s">
        <v>241</v>
      </c>
      <c r="W2063" s="10" t="s">
        <v>242</v>
      </c>
      <c r="X2063" s="15">
        <f>IF(ISERROR(VLOOKUP($A2063,'13. Updated Demand'!A:Z,15,FALSE)),0,VLOOKUP($A2063,'13. Updated Demand'!A:Z,15,FALSE))</f>
        <v>0.26</v>
      </c>
      <c r="Y2063" s="16">
        <f>IF(ISERROR(VLOOKUP($A2063,'13. Updated Demand'!A:Z,16,FALSE)),0,VLOOKUP($A2063,'13. Updated Demand'!A:Z,16,FALSE))</f>
        <v>0.16</v>
      </c>
      <c r="Z2063" s="16">
        <f>IF(ISERROR(VLOOKUP($A2063,'13. Updated Demand'!A:Z,17,FALSE)),0,VLOOKUP($A2063,'13. Updated Demand'!A:Z,17,FALSE))</f>
        <v>0.33</v>
      </c>
      <c r="AA2063" s="16">
        <f>IF(ISERROR(VLOOKUP($A2063,'13. Updated Demand'!A:Z,18,FALSE)),0,VLOOKUP($A2063,'13. Updated Demand'!A:Z,18,FALSE))</f>
        <v>0.4</v>
      </c>
      <c r="AB2063" s="16">
        <f>IF(ISERROR(VLOOKUP($A2063,'13. Updated Demand'!A:Z,19,FALSE)),0,VLOOKUP($A2063,'13. Updated Demand'!A:Z,19,FALSE))</f>
        <v>0</v>
      </c>
      <c r="AC2063" s="16">
        <f>IF(ISERROR(VLOOKUP($A2063,'13. Updated Demand'!A:Z,20,FALSE)),0,VLOOKUP($A2063,'13. Updated Demand'!A:Z,20,FALSE))</f>
        <v>0</v>
      </c>
      <c r="AD2063" s="16">
        <f>IF(ISERROR(VLOOKUP($A2063,'13. Updated Demand'!A:Z,21,FALSE)),0,VLOOKUP($A2063,'13. Updated Demand'!A:Z,21,FALSE))</f>
        <v>0</v>
      </c>
      <c r="AE2063" s="16">
        <f>IF(ISERROR(VLOOKUP($A2063,'13. Updated Demand'!A:Z,22,FALSE)),0,VLOOKUP($A2063,'13. Updated Demand'!A:Z,22,FALSE))</f>
        <v>0</v>
      </c>
      <c r="AF2063" s="16">
        <f>IF(ISERROR(VLOOKUP($A2063,'13. Updated Demand'!A:Z,23,FALSE)),0,VLOOKUP($A2063,'13. Updated Demand'!A:Z,23,FALSE))</f>
        <v>0</v>
      </c>
      <c r="AG2063" s="16">
        <f>IF(ISERROR(VLOOKUP($A2063,'13. Updated Demand'!A:Z,24,FALSE)),0,VLOOKUP($A2063,'13. Updated Demand'!A:Z,24,FALSE))</f>
        <v>0</v>
      </c>
      <c r="AH2063" s="16">
        <f>IF(ISERROR(VLOOKUP($A2063,'13. Updated Demand'!A:Z,25,FALSE)),0,VLOOKUP($A2063,'13. Updated Demand'!A:Z,25,FALSE))</f>
        <v>2.5299999999999998</v>
      </c>
      <c r="AI2063" s="16">
        <f>IF(ISERROR(VLOOKUP($A2063,'13. Updated Demand'!A:Z,26,FALSE)),0,VLOOKUP($A2063,'13. Updated Demand'!A:Z,26,FALSE))</f>
        <v>0.63</v>
      </c>
      <c r="AJ2063" s="16">
        <f t="shared" si="385"/>
        <v>4.3099999999999996</v>
      </c>
      <c r="AK2063" s="19">
        <v>0</v>
      </c>
      <c r="AL2063" s="16">
        <f t="shared" si="395"/>
        <v>0</v>
      </c>
      <c r="AM2063" s="26">
        <v>1.0833333332499999</v>
      </c>
      <c r="AN2063" s="19">
        <v>4</v>
      </c>
      <c r="AO2063" s="19" t="s">
        <v>1758</v>
      </c>
      <c r="AP2063" s="19">
        <v>0</v>
      </c>
      <c r="AQ2063" s="19" t="s">
        <v>307</v>
      </c>
      <c r="AR2063" s="9" t="s">
        <v>308</v>
      </c>
      <c r="AS2063" s="12">
        <v>0</v>
      </c>
      <c r="AT2063" s="19">
        <v>38.6389</v>
      </c>
      <c r="AU2063" s="19">
        <v>-122.6478</v>
      </c>
      <c r="AV2063" s="19"/>
    </row>
    <row r="2064" spans="1:48" x14ac:dyDescent="0.25">
      <c r="A2064" s="18" t="s">
        <v>2493</v>
      </c>
      <c r="B2064" s="10">
        <v>10000000</v>
      </c>
      <c r="C2064" s="9">
        <v>1</v>
      </c>
      <c r="D2064" s="8" t="str">
        <f t="shared" si="386"/>
        <v>N</v>
      </c>
      <c r="E2064" s="8" t="str">
        <f t="shared" si="387"/>
        <v>N</v>
      </c>
      <c r="F2064" s="8" t="str">
        <f t="shared" si="388"/>
        <v>Y</v>
      </c>
      <c r="G2064" s="8" t="str">
        <f t="shared" si="389"/>
        <v>Y</v>
      </c>
      <c r="H2064" s="8" t="str">
        <f t="shared" si="390"/>
        <v>Upper</v>
      </c>
      <c r="I2064" s="8" t="str">
        <f t="shared" si="391"/>
        <v>West Fork and Below Lake</v>
      </c>
      <c r="J2064" s="8" t="str">
        <f t="shared" si="392"/>
        <v>Outside</v>
      </c>
      <c r="K2064" s="8" t="str">
        <f t="shared" si="393"/>
        <v>Riparian</v>
      </c>
      <c r="L2064" s="8">
        <f t="shared" si="394"/>
        <v>1000</v>
      </c>
      <c r="M2064" s="8" t="str">
        <f t="shared" si="396"/>
        <v>-</v>
      </c>
      <c r="N2064" s="10" t="s">
        <v>242</v>
      </c>
      <c r="O2064" s="10" t="s">
        <v>241</v>
      </c>
      <c r="P2064" s="10" t="s">
        <v>242</v>
      </c>
      <c r="Q2064" s="10" t="s">
        <v>242</v>
      </c>
      <c r="R2064" s="10" t="s">
        <v>242</v>
      </c>
      <c r="S2064" s="10" t="s">
        <v>241</v>
      </c>
      <c r="T2064" s="10" t="s">
        <v>242</v>
      </c>
      <c r="U2064" s="10" t="s">
        <v>242</v>
      </c>
      <c r="V2064" s="10" t="s">
        <v>242</v>
      </c>
      <c r="W2064" s="10" t="s">
        <v>242</v>
      </c>
      <c r="X2064" s="15">
        <f>IF(ISERROR(VLOOKUP($A2064,'13. Updated Demand'!A:Z,15,FALSE)),0,VLOOKUP($A2064,'13. Updated Demand'!A:Z,15,FALSE))</f>
        <v>0</v>
      </c>
      <c r="Y2064" s="16">
        <f>IF(ISERROR(VLOOKUP($A2064,'13. Updated Demand'!A:Z,16,FALSE)),0,VLOOKUP($A2064,'13. Updated Demand'!A:Z,16,FALSE))</f>
        <v>0</v>
      </c>
      <c r="Z2064" s="16">
        <f>IF(ISERROR(VLOOKUP($A2064,'13. Updated Demand'!A:Z,17,FALSE)),0,VLOOKUP($A2064,'13. Updated Demand'!A:Z,17,FALSE))</f>
        <v>0</v>
      </c>
      <c r="AA2064" s="16">
        <f>IF(ISERROR(VLOOKUP($A2064,'13. Updated Demand'!A:Z,18,FALSE)),0,VLOOKUP($A2064,'13. Updated Demand'!A:Z,18,FALSE))</f>
        <v>0</v>
      </c>
      <c r="AB2064" s="16">
        <f>IF(ISERROR(VLOOKUP($A2064,'13. Updated Demand'!A:Z,19,FALSE)),0,VLOOKUP($A2064,'13. Updated Demand'!A:Z,19,FALSE))</f>
        <v>0</v>
      </c>
      <c r="AC2064" s="16">
        <f>IF(ISERROR(VLOOKUP($A2064,'13. Updated Demand'!A:Z,20,FALSE)),0,VLOOKUP($A2064,'13. Updated Demand'!A:Z,20,FALSE))</f>
        <v>7.6666670000000003E-3</v>
      </c>
      <c r="AD2064" s="16">
        <f>IF(ISERROR(VLOOKUP($A2064,'13. Updated Demand'!A:Z,21,FALSE)),0,VLOOKUP($A2064,'13. Updated Demand'!A:Z,21,FALSE))</f>
        <v>7.6666670000000003E-3</v>
      </c>
      <c r="AE2064" s="16">
        <f>IF(ISERROR(VLOOKUP($A2064,'13. Updated Demand'!A:Z,22,FALSE)),0,VLOOKUP($A2064,'13. Updated Demand'!A:Z,22,FALSE))</f>
        <v>0.01</v>
      </c>
      <c r="AF2064" s="16">
        <f>IF(ISERROR(VLOOKUP($A2064,'13. Updated Demand'!A:Z,23,FALSE)),0,VLOOKUP($A2064,'13. Updated Demand'!A:Z,23,FALSE))</f>
        <v>7.6666670000000003E-3</v>
      </c>
      <c r="AG2064" s="16">
        <f>IF(ISERROR(VLOOKUP($A2064,'13. Updated Demand'!A:Z,24,FALSE)),0,VLOOKUP($A2064,'13. Updated Demand'!A:Z,24,FALSE))</f>
        <v>7.6666670000000003E-3</v>
      </c>
      <c r="AH2064" s="16">
        <f>IF(ISERROR(VLOOKUP($A2064,'13. Updated Demand'!A:Z,25,FALSE)),0,VLOOKUP($A2064,'13. Updated Demand'!A:Z,25,FALSE))</f>
        <v>5.0000000000000001E-3</v>
      </c>
      <c r="AI2064" s="16">
        <f>IF(ISERROR(VLOOKUP($A2064,'13. Updated Demand'!A:Z,26,FALSE)),0,VLOOKUP($A2064,'13. Updated Demand'!A:Z,26,FALSE))</f>
        <v>0</v>
      </c>
      <c r="AJ2064" s="16">
        <f t="shared" ref="AJ2064:AJ2127" si="397">SUM(X2064:AI2064)</f>
        <v>4.5666668000000001E-2</v>
      </c>
      <c r="AK2064" s="19">
        <v>3.3000001000000001E-2</v>
      </c>
      <c r="AL2064" s="16">
        <f t="shared" si="395"/>
        <v>1.094572442636379E-4</v>
      </c>
      <c r="AM2064" s="26">
        <v>6.3040679182771956E-3</v>
      </c>
      <c r="AN2064" s="19">
        <v>7.2439999999999998</v>
      </c>
      <c r="AO2064" s="19" t="s">
        <v>1758</v>
      </c>
      <c r="AP2064" s="19">
        <v>0</v>
      </c>
      <c r="AQ2064" s="19" t="s">
        <v>307</v>
      </c>
      <c r="AR2064" s="9" t="s">
        <v>317</v>
      </c>
      <c r="AS2064" s="12">
        <v>3.4039024194010059E-4</v>
      </c>
      <c r="AT2064" s="19">
        <v>39.300600000000003</v>
      </c>
      <c r="AU2064" s="19">
        <v>-123.21259999999999</v>
      </c>
      <c r="AV2064" s="19" t="s">
        <v>387</v>
      </c>
    </row>
    <row r="2065" spans="1:48" x14ac:dyDescent="0.25">
      <c r="A2065" s="18" t="s">
        <v>2494</v>
      </c>
      <c r="B2065" s="10">
        <v>10000000</v>
      </c>
      <c r="C2065" s="9">
        <v>1</v>
      </c>
      <c r="D2065" s="8" t="str">
        <f t="shared" si="386"/>
        <v>N</v>
      </c>
      <c r="E2065" s="8" t="str">
        <f t="shared" si="387"/>
        <v>N</v>
      </c>
      <c r="F2065" s="8" t="str">
        <f t="shared" si="388"/>
        <v>Y</v>
      </c>
      <c r="G2065" s="8" t="str">
        <f t="shared" si="389"/>
        <v>Y</v>
      </c>
      <c r="H2065" s="8" t="str">
        <f t="shared" si="390"/>
        <v>Upper</v>
      </c>
      <c r="I2065" s="8" t="str">
        <f t="shared" si="391"/>
        <v>West Fork and Below Lake</v>
      </c>
      <c r="J2065" s="8" t="str">
        <f t="shared" si="392"/>
        <v>Outside</v>
      </c>
      <c r="K2065" s="8" t="str">
        <f t="shared" si="393"/>
        <v>Riparian</v>
      </c>
      <c r="L2065" s="8">
        <f t="shared" si="394"/>
        <v>1000</v>
      </c>
      <c r="M2065" s="8" t="str">
        <f t="shared" si="396"/>
        <v>-</v>
      </c>
      <c r="N2065" s="10" t="s">
        <v>242</v>
      </c>
      <c r="O2065" s="10" t="s">
        <v>241</v>
      </c>
      <c r="P2065" s="10" t="s">
        <v>242</v>
      </c>
      <c r="Q2065" s="10" t="s">
        <v>242</v>
      </c>
      <c r="R2065" s="10" t="s">
        <v>242</v>
      </c>
      <c r="S2065" s="10" t="s">
        <v>241</v>
      </c>
      <c r="T2065" s="10" t="s">
        <v>242</v>
      </c>
      <c r="U2065" s="10" t="s">
        <v>242</v>
      </c>
      <c r="V2065" s="10" t="s">
        <v>242</v>
      </c>
      <c r="W2065" s="10" t="s">
        <v>242</v>
      </c>
      <c r="X2065" s="15">
        <f>IF(ISERROR(VLOOKUP($A2065,'13. Updated Demand'!A:Z,15,FALSE)),0,VLOOKUP($A2065,'13. Updated Demand'!A:Z,15,FALSE))</f>
        <v>0.01</v>
      </c>
      <c r="Y2065" s="16">
        <f>IF(ISERROR(VLOOKUP($A2065,'13. Updated Demand'!A:Z,16,FALSE)),0,VLOOKUP($A2065,'13. Updated Demand'!A:Z,16,FALSE))</f>
        <v>0.01</v>
      </c>
      <c r="Z2065" s="16">
        <f>IF(ISERROR(VLOOKUP($A2065,'13. Updated Demand'!A:Z,17,FALSE)),0,VLOOKUP($A2065,'13. Updated Demand'!A:Z,17,FALSE))</f>
        <v>0.01</v>
      </c>
      <c r="AA2065" s="16">
        <f>IF(ISERROR(VLOOKUP($A2065,'13. Updated Demand'!A:Z,18,FALSE)),0,VLOOKUP($A2065,'13. Updated Demand'!A:Z,18,FALSE))</f>
        <v>0.01</v>
      </c>
      <c r="AB2065" s="16">
        <f>IF(ISERROR(VLOOKUP($A2065,'13. Updated Demand'!A:Z,19,FALSE)),0,VLOOKUP($A2065,'13. Updated Demand'!A:Z,19,FALSE))</f>
        <v>0.01</v>
      </c>
      <c r="AC2065" s="16">
        <f>IF(ISERROR(VLOOKUP($A2065,'13. Updated Demand'!A:Z,20,FALSE)),0,VLOOKUP($A2065,'13. Updated Demand'!A:Z,20,FALSE))</f>
        <v>0.01</v>
      </c>
      <c r="AD2065" s="16">
        <f>IF(ISERROR(VLOOKUP($A2065,'13. Updated Demand'!A:Z,21,FALSE)),0,VLOOKUP($A2065,'13. Updated Demand'!A:Z,21,FALSE))</f>
        <v>0.01</v>
      </c>
      <c r="AE2065" s="16">
        <f>IF(ISERROR(VLOOKUP($A2065,'13. Updated Demand'!A:Z,22,FALSE)),0,VLOOKUP($A2065,'13. Updated Demand'!A:Z,22,FALSE))</f>
        <v>0.01</v>
      </c>
      <c r="AF2065" s="16">
        <f>IF(ISERROR(VLOOKUP($A2065,'13. Updated Demand'!A:Z,23,FALSE)),0,VLOOKUP($A2065,'13. Updated Demand'!A:Z,23,FALSE))</f>
        <v>0.01</v>
      </c>
      <c r="AG2065" s="16">
        <f>IF(ISERROR(VLOOKUP($A2065,'13. Updated Demand'!A:Z,24,FALSE)),0,VLOOKUP($A2065,'13. Updated Demand'!A:Z,24,FALSE))</f>
        <v>0.01</v>
      </c>
      <c r="AH2065" s="16">
        <f>IF(ISERROR(VLOOKUP($A2065,'13. Updated Demand'!A:Z,25,FALSE)),0,VLOOKUP($A2065,'13. Updated Demand'!A:Z,25,FALSE))</f>
        <v>0.01</v>
      </c>
      <c r="AI2065" s="16">
        <f>IF(ISERROR(VLOOKUP($A2065,'13. Updated Demand'!A:Z,26,FALSE)),0,VLOOKUP($A2065,'13. Updated Demand'!A:Z,26,FALSE))</f>
        <v>0.01</v>
      </c>
      <c r="AJ2065" s="16">
        <f t="shared" si="397"/>
        <v>0.11999999999999998</v>
      </c>
      <c r="AK2065" s="19">
        <v>6.6666665E-2</v>
      </c>
      <c r="AL2065" s="16">
        <f t="shared" si="395"/>
        <v>2.2112573375822377E-4</v>
      </c>
      <c r="AM2065" s="26">
        <v>2.2087244064053012E-2</v>
      </c>
      <c r="AN2065" s="19">
        <v>7.2439999999999998</v>
      </c>
      <c r="AO2065" s="19" t="s">
        <v>1758</v>
      </c>
      <c r="AP2065" s="19">
        <v>0</v>
      </c>
      <c r="AQ2065" s="19" t="s">
        <v>307</v>
      </c>
      <c r="AR2065" s="9" t="s">
        <v>317</v>
      </c>
      <c r="AS2065" s="12">
        <v>0</v>
      </c>
      <c r="AT2065" s="19">
        <v>39.300600000000003</v>
      </c>
      <c r="AU2065" s="19">
        <v>-123.21250000000001</v>
      </c>
      <c r="AV2065" s="19" t="s">
        <v>387</v>
      </c>
    </row>
    <row r="2066" spans="1:48" x14ac:dyDescent="0.25">
      <c r="A2066" s="18" t="s">
        <v>2495</v>
      </c>
      <c r="B2066" s="10">
        <v>10000000</v>
      </c>
      <c r="C2066" s="9">
        <v>15</v>
      </c>
      <c r="D2066" s="8" t="str">
        <f t="shared" si="386"/>
        <v>N</v>
      </c>
      <c r="E2066" s="8" t="str">
        <f t="shared" si="387"/>
        <v>N</v>
      </c>
      <c r="F2066" s="8" t="str">
        <f t="shared" si="388"/>
        <v>N</v>
      </c>
      <c r="G2066" s="8" t="str">
        <f t="shared" si="389"/>
        <v>N</v>
      </c>
      <c r="H2066" s="8" t="str">
        <f t="shared" si="390"/>
        <v>Lower</v>
      </c>
      <c r="I2066" s="8" t="str">
        <f t="shared" si="391"/>
        <v>Outside</v>
      </c>
      <c r="J2066" s="8" t="str">
        <f t="shared" si="392"/>
        <v>Outside</v>
      </c>
      <c r="K2066" s="8" t="str">
        <f t="shared" si="393"/>
        <v>Riparian</v>
      </c>
      <c r="L2066" s="8">
        <f t="shared" si="394"/>
        <v>1000</v>
      </c>
      <c r="M2066" s="8" t="str">
        <f t="shared" si="396"/>
        <v>-</v>
      </c>
      <c r="N2066" s="10" t="s">
        <v>242</v>
      </c>
      <c r="O2066" s="10" t="s">
        <v>242</v>
      </c>
      <c r="P2066" s="10" t="s">
        <v>242</v>
      </c>
      <c r="Q2066" s="10" t="s">
        <v>242</v>
      </c>
      <c r="R2066" s="10" t="s">
        <v>242</v>
      </c>
      <c r="S2066" s="10" t="s">
        <v>241</v>
      </c>
      <c r="T2066" s="10" t="s">
        <v>242</v>
      </c>
      <c r="U2066" s="10" t="s">
        <v>242</v>
      </c>
      <c r="V2066" s="10" t="s">
        <v>242</v>
      </c>
      <c r="W2066" s="10" t="s">
        <v>242</v>
      </c>
      <c r="X2066" s="15">
        <f>IF(ISERROR(VLOOKUP($A2066,'13. Updated Demand'!A:Z,15,FALSE)),0,VLOOKUP($A2066,'13. Updated Demand'!A:Z,15,FALSE))</f>
        <v>0</v>
      </c>
      <c r="Y2066" s="16">
        <f>IF(ISERROR(VLOOKUP($A2066,'13. Updated Demand'!A:Z,16,FALSE)),0,VLOOKUP($A2066,'13. Updated Demand'!A:Z,16,FALSE))</f>
        <v>0.108560667</v>
      </c>
      <c r="Z2066" s="16">
        <f>IF(ISERROR(VLOOKUP($A2066,'13. Updated Demand'!A:Z,17,FALSE)),0,VLOOKUP($A2066,'13. Updated Demand'!A:Z,17,FALSE))</f>
        <v>6.5469666999999995E-2</v>
      </c>
      <c r="AA2066" s="16">
        <f>IF(ISERROR(VLOOKUP($A2066,'13. Updated Demand'!A:Z,18,FALSE)),0,VLOOKUP($A2066,'13. Updated Demand'!A:Z,18,FALSE))</f>
        <v>0</v>
      </c>
      <c r="AB2066" s="16">
        <f>IF(ISERROR(VLOOKUP($A2066,'13. Updated Demand'!A:Z,19,FALSE)),0,VLOOKUP($A2066,'13. Updated Demand'!A:Z,19,FALSE))</f>
        <v>0</v>
      </c>
      <c r="AC2066" s="16">
        <f>IF(ISERROR(VLOOKUP($A2066,'13. Updated Demand'!A:Z,20,FALSE)),0,VLOOKUP($A2066,'13. Updated Demand'!A:Z,20,FALSE))</f>
        <v>0</v>
      </c>
      <c r="AD2066" s="16">
        <f>IF(ISERROR(VLOOKUP($A2066,'13. Updated Demand'!A:Z,21,FALSE)),0,VLOOKUP($A2066,'13. Updated Demand'!A:Z,21,FALSE))</f>
        <v>0</v>
      </c>
      <c r="AE2066" s="16">
        <f>IF(ISERROR(VLOOKUP($A2066,'13. Updated Demand'!A:Z,22,FALSE)),0,VLOOKUP($A2066,'13. Updated Demand'!A:Z,22,FALSE))</f>
        <v>0</v>
      </c>
      <c r="AF2066" s="16">
        <f>IF(ISERROR(VLOOKUP($A2066,'13. Updated Demand'!A:Z,23,FALSE)),0,VLOOKUP($A2066,'13. Updated Demand'!A:Z,23,FALSE))</f>
        <v>1.7999999999999999E-2</v>
      </c>
      <c r="AG2066" s="16">
        <f>IF(ISERROR(VLOOKUP($A2066,'13. Updated Demand'!A:Z,24,FALSE)),0,VLOOKUP($A2066,'13. Updated Demand'!A:Z,24,FALSE))</f>
        <v>0.33839066699999998</v>
      </c>
      <c r="AH2066" s="16">
        <f>IF(ISERROR(VLOOKUP($A2066,'13. Updated Demand'!A:Z,25,FALSE)),0,VLOOKUP($A2066,'13. Updated Demand'!A:Z,25,FALSE))</f>
        <v>0.29948866699999999</v>
      </c>
      <c r="AI2066" s="16">
        <f>IF(ISERROR(VLOOKUP($A2066,'13. Updated Demand'!A:Z,26,FALSE)),0,VLOOKUP($A2066,'13. Updated Demand'!A:Z,26,FALSE))</f>
        <v>0</v>
      </c>
      <c r="AJ2066" s="16">
        <f t="shared" si="397"/>
        <v>0.82990966799999999</v>
      </c>
      <c r="AK2066" s="19">
        <v>1.7999999999999999E-2</v>
      </c>
      <c r="AL2066" s="16">
        <f t="shared" si="395"/>
        <v>5.9703949607319164E-5</v>
      </c>
      <c r="AM2066" s="26">
        <v>2.5458913675685622E-3</v>
      </c>
      <c r="AN2066" s="19">
        <v>325.98</v>
      </c>
      <c r="AO2066" s="19" t="s">
        <v>1758</v>
      </c>
      <c r="AP2066" s="19">
        <v>0</v>
      </c>
      <c r="AQ2066" s="19" t="s">
        <v>307</v>
      </c>
      <c r="AR2066" s="9" t="s">
        <v>489</v>
      </c>
      <c r="AS2066" s="12">
        <v>0</v>
      </c>
      <c r="AT2066" s="19">
        <v>38.668799999999997</v>
      </c>
      <c r="AU2066" s="19">
        <v>-122.9391</v>
      </c>
      <c r="AV2066" s="19" t="s">
        <v>701</v>
      </c>
    </row>
    <row r="2067" spans="1:48" x14ac:dyDescent="0.25">
      <c r="A2067" s="18" t="s">
        <v>2496</v>
      </c>
      <c r="B2067" s="10">
        <v>10000000</v>
      </c>
      <c r="C2067" s="9">
        <v>1</v>
      </c>
      <c r="D2067" s="8" t="str">
        <f t="shared" si="386"/>
        <v>N</v>
      </c>
      <c r="E2067" s="8" t="str">
        <f t="shared" si="387"/>
        <v>N</v>
      </c>
      <c r="F2067" s="8" t="str">
        <f t="shared" si="388"/>
        <v>Y</v>
      </c>
      <c r="G2067" s="8" t="str">
        <f t="shared" si="389"/>
        <v>Y</v>
      </c>
      <c r="H2067" s="8" t="str">
        <f t="shared" si="390"/>
        <v>Upper</v>
      </c>
      <c r="I2067" s="8" t="str">
        <f t="shared" si="391"/>
        <v>West Fork and Below Lake</v>
      </c>
      <c r="J2067" s="8" t="str">
        <f t="shared" si="392"/>
        <v>Outside</v>
      </c>
      <c r="K2067" s="8" t="str">
        <f t="shared" si="393"/>
        <v>Riparian</v>
      </c>
      <c r="L2067" s="8">
        <f t="shared" si="394"/>
        <v>1000</v>
      </c>
      <c r="M2067" s="8" t="str">
        <f t="shared" si="396"/>
        <v>-</v>
      </c>
      <c r="N2067" s="10" t="s">
        <v>242</v>
      </c>
      <c r="O2067" s="10" t="s">
        <v>241</v>
      </c>
      <c r="P2067" s="10" t="s">
        <v>242</v>
      </c>
      <c r="Q2067" s="10" t="s">
        <v>242</v>
      </c>
      <c r="R2067" s="10" t="s">
        <v>242</v>
      </c>
      <c r="S2067" s="10" t="s">
        <v>241</v>
      </c>
      <c r="T2067" s="10" t="s">
        <v>242</v>
      </c>
      <c r="U2067" s="10" t="s">
        <v>242</v>
      </c>
      <c r="V2067" s="10" t="s">
        <v>242</v>
      </c>
      <c r="W2067" s="10" t="s">
        <v>242</v>
      </c>
      <c r="X2067" s="15">
        <f>IF(ISERROR(VLOOKUP($A2067,'13. Updated Demand'!A:Z,15,FALSE)),0,VLOOKUP($A2067,'13. Updated Demand'!A:Z,15,FALSE))</f>
        <v>4.8</v>
      </c>
      <c r="Y2067" s="16">
        <f>IF(ISERROR(VLOOKUP($A2067,'13. Updated Demand'!A:Z,16,FALSE)),0,VLOOKUP($A2067,'13. Updated Demand'!A:Z,16,FALSE))</f>
        <v>5.4</v>
      </c>
      <c r="Z2067" s="16">
        <f>IF(ISERROR(VLOOKUP($A2067,'13. Updated Demand'!A:Z,17,FALSE)),0,VLOOKUP($A2067,'13. Updated Demand'!A:Z,17,FALSE))</f>
        <v>4.4000000000000004</v>
      </c>
      <c r="AA2067" s="16">
        <f>IF(ISERROR(VLOOKUP($A2067,'13. Updated Demand'!A:Z,18,FALSE)),0,VLOOKUP($A2067,'13. Updated Demand'!A:Z,18,FALSE))</f>
        <v>3.33</v>
      </c>
      <c r="AB2067" s="16">
        <f>IF(ISERROR(VLOOKUP($A2067,'13. Updated Demand'!A:Z,19,FALSE)),0,VLOOKUP($A2067,'13. Updated Demand'!A:Z,19,FALSE))</f>
        <v>3.33</v>
      </c>
      <c r="AC2067" s="16">
        <f>IF(ISERROR(VLOOKUP($A2067,'13. Updated Demand'!A:Z,20,FALSE)),0,VLOOKUP($A2067,'13. Updated Demand'!A:Z,20,FALSE))</f>
        <v>3.33</v>
      </c>
      <c r="AD2067" s="16">
        <f>IF(ISERROR(VLOOKUP($A2067,'13. Updated Demand'!A:Z,21,FALSE)),0,VLOOKUP($A2067,'13. Updated Demand'!A:Z,21,FALSE))</f>
        <v>3.76</v>
      </c>
      <c r="AE2067" s="16">
        <f>IF(ISERROR(VLOOKUP($A2067,'13. Updated Demand'!A:Z,22,FALSE)),0,VLOOKUP($A2067,'13. Updated Demand'!A:Z,22,FALSE))</f>
        <v>2.73</v>
      </c>
      <c r="AF2067" s="16">
        <f>IF(ISERROR(VLOOKUP($A2067,'13. Updated Demand'!A:Z,23,FALSE)),0,VLOOKUP($A2067,'13. Updated Demand'!A:Z,23,FALSE))</f>
        <v>1.9</v>
      </c>
      <c r="AG2067" s="16">
        <f>IF(ISERROR(VLOOKUP($A2067,'13. Updated Demand'!A:Z,24,FALSE)),0,VLOOKUP($A2067,'13. Updated Demand'!A:Z,24,FALSE))</f>
        <v>1.83</v>
      </c>
      <c r="AH2067" s="16">
        <f>IF(ISERROR(VLOOKUP($A2067,'13. Updated Demand'!A:Z,25,FALSE)),0,VLOOKUP($A2067,'13. Updated Demand'!A:Z,25,FALSE))</f>
        <v>1.83</v>
      </c>
      <c r="AI2067" s="16">
        <f>IF(ISERROR(VLOOKUP($A2067,'13. Updated Demand'!A:Z,26,FALSE)),0,VLOOKUP($A2067,'13. Updated Demand'!A:Z,26,FALSE))</f>
        <v>1.96</v>
      </c>
      <c r="AJ2067" s="16">
        <f t="shared" si="397"/>
        <v>38.599999999999994</v>
      </c>
      <c r="AK2067" s="19">
        <v>15.066666666666661</v>
      </c>
      <c r="AL2067" s="16">
        <f t="shared" si="395"/>
        <v>4.9974417078718983E-2</v>
      </c>
      <c r="AM2067" s="26">
        <v>2.8822242116781043</v>
      </c>
      <c r="AN2067" s="19">
        <v>13.404</v>
      </c>
      <c r="AO2067" s="19" t="s">
        <v>1758</v>
      </c>
      <c r="AP2067" s="19">
        <v>0</v>
      </c>
      <c r="AQ2067" s="19" t="s">
        <v>307</v>
      </c>
      <c r="AR2067" s="9" t="s">
        <v>317</v>
      </c>
      <c r="AS2067" s="12">
        <v>0</v>
      </c>
      <c r="AT2067" s="19">
        <v>39.272100000000002</v>
      </c>
      <c r="AU2067" s="19">
        <v>-123.2636</v>
      </c>
      <c r="AV2067" s="19" t="s">
        <v>444</v>
      </c>
    </row>
    <row r="2068" spans="1:48" x14ac:dyDescent="0.25">
      <c r="A2068" s="21" t="s">
        <v>135</v>
      </c>
      <c r="B2068" s="22">
        <v>10000000</v>
      </c>
      <c r="C2068" s="9">
        <v>4</v>
      </c>
      <c r="D2068" s="8" t="str">
        <f t="shared" si="386"/>
        <v>Y</v>
      </c>
      <c r="E2068" s="8" t="str">
        <f t="shared" si="387"/>
        <v>N</v>
      </c>
      <c r="F2068" s="8" t="str">
        <f t="shared" si="388"/>
        <v>Y</v>
      </c>
      <c r="G2068" s="8" t="str">
        <f t="shared" si="389"/>
        <v>Y</v>
      </c>
      <c r="H2068" s="8" t="str">
        <f t="shared" si="390"/>
        <v>Upper</v>
      </c>
      <c r="I2068" s="8" t="str">
        <f t="shared" si="391"/>
        <v>West Fork and Below Lake</v>
      </c>
      <c r="J2068" s="8" t="str">
        <f t="shared" si="392"/>
        <v>Mendocino (d/s of lake)</v>
      </c>
      <c r="K2068" s="8" t="str">
        <f t="shared" si="393"/>
        <v>Riparian</v>
      </c>
      <c r="L2068" s="8">
        <f t="shared" si="394"/>
        <v>1000</v>
      </c>
      <c r="M2068" s="8" t="str">
        <f t="shared" si="396"/>
        <v>-</v>
      </c>
      <c r="N2068" s="10" t="s">
        <v>241</v>
      </c>
      <c r="O2068" s="10" t="s">
        <v>241</v>
      </c>
      <c r="P2068" s="10" t="s">
        <v>242</v>
      </c>
      <c r="Q2068" s="10" t="s">
        <v>242</v>
      </c>
      <c r="R2068" s="10" t="s">
        <v>242</v>
      </c>
      <c r="S2068" s="10" t="s">
        <v>241</v>
      </c>
      <c r="T2068" s="10" t="s">
        <v>242</v>
      </c>
      <c r="U2068" s="10" t="s">
        <v>242</v>
      </c>
      <c r="V2068" s="10" t="s">
        <v>242</v>
      </c>
      <c r="W2068" s="10" t="s">
        <v>242</v>
      </c>
      <c r="X2068" s="15">
        <f>IF(ISERROR(VLOOKUP($A2068,'13. Updated Demand'!A:Z,15,FALSE)),0,VLOOKUP($A2068,'13. Updated Demand'!A:Z,15,FALSE))</f>
        <v>7.06</v>
      </c>
      <c r="Y2068" s="16">
        <f>IF(ISERROR(VLOOKUP($A2068,'13. Updated Demand'!A:Z,16,FALSE)),0,VLOOKUP($A2068,'13. Updated Demand'!A:Z,16,FALSE))</f>
        <v>4.84</v>
      </c>
      <c r="Z2068" s="16">
        <f>IF(ISERROR(VLOOKUP($A2068,'13. Updated Demand'!A:Z,17,FALSE)),0,VLOOKUP($A2068,'13. Updated Demand'!A:Z,17,FALSE))</f>
        <v>6.43</v>
      </c>
      <c r="AA2068" s="16">
        <f>IF(ISERROR(VLOOKUP($A2068,'13. Updated Demand'!A:Z,18,FALSE)),0,VLOOKUP($A2068,'13. Updated Demand'!A:Z,18,FALSE))</f>
        <v>23.74</v>
      </c>
      <c r="AB2068" s="16">
        <f>IF(ISERROR(VLOOKUP($A2068,'13. Updated Demand'!A:Z,19,FALSE)),0,VLOOKUP($A2068,'13. Updated Demand'!A:Z,19,FALSE))</f>
        <v>33.67</v>
      </c>
      <c r="AC2068" s="16">
        <f>IF(ISERROR(VLOOKUP($A2068,'13. Updated Demand'!A:Z,20,FALSE)),0,VLOOKUP($A2068,'13. Updated Demand'!A:Z,20,FALSE))</f>
        <v>44.32</v>
      </c>
      <c r="AD2068" s="16">
        <f>IF(ISERROR(VLOOKUP($A2068,'13. Updated Demand'!A:Z,21,FALSE)),0,VLOOKUP($A2068,'13. Updated Demand'!A:Z,21,FALSE))</f>
        <v>19.21</v>
      </c>
      <c r="AE2068" s="16">
        <f>IF(ISERROR(VLOOKUP($A2068,'13. Updated Demand'!A:Z,22,FALSE)),0,VLOOKUP($A2068,'13. Updated Demand'!A:Z,22,FALSE))</f>
        <v>10.119999999999999</v>
      </c>
      <c r="AF2068" s="16">
        <f>IF(ISERROR(VLOOKUP($A2068,'13. Updated Demand'!A:Z,23,FALSE)),0,VLOOKUP($A2068,'13. Updated Demand'!A:Z,23,FALSE))</f>
        <v>10.119999999999999</v>
      </c>
      <c r="AG2068" s="16">
        <f>IF(ISERROR(VLOOKUP($A2068,'13. Updated Demand'!A:Z,24,FALSE)),0,VLOOKUP($A2068,'13. Updated Demand'!A:Z,24,FALSE))</f>
        <v>0</v>
      </c>
      <c r="AH2068" s="16">
        <f>IF(ISERROR(VLOOKUP($A2068,'13. Updated Demand'!A:Z,25,FALSE)),0,VLOOKUP($A2068,'13. Updated Demand'!A:Z,25,FALSE))</f>
        <v>1.1000000000000001</v>
      </c>
      <c r="AI2068" s="16">
        <f>IF(ISERROR(VLOOKUP($A2068,'13. Updated Demand'!A:Z,26,FALSE)),0,VLOOKUP($A2068,'13. Updated Demand'!A:Z,26,FALSE))</f>
        <v>9.09</v>
      </c>
      <c r="AJ2068" s="16">
        <f t="shared" si="397"/>
        <v>169.70000000000002</v>
      </c>
      <c r="AK2068" s="19">
        <v>117.46833333333331</v>
      </c>
      <c r="AL2068" s="16">
        <f t="shared" si="395"/>
        <v>0.38962908076606123</v>
      </c>
      <c r="AM2068" s="26">
        <v>0.10508155195083356</v>
      </c>
      <c r="AN2068" s="23">
        <v>1615.412</v>
      </c>
      <c r="AO2068" s="23" t="s">
        <v>1758</v>
      </c>
      <c r="AP2068" s="23">
        <v>0</v>
      </c>
      <c r="AQ2068" s="23" t="s">
        <v>307</v>
      </c>
      <c r="AR2068" s="9" t="s">
        <v>331</v>
      </c>
      <c r="AS2068" s="12">
        <v>0.15601216585669261</v>
      </c>
      <c r="AT2068" s="23">
        <v>39.188000000000002</v>
      </c>
      <c r="AU2068" s="23">
        <v>-123.2002</v>
      </c>
      <c r="AV2068" s="23" t="s">
        <v>387</v>
      </c>
    </row>
    <row r="2069" spans="1:48" x14ac:dyDescent="0.25">
      <c r="A2069" s="18" t="s">
        <v>2497</v>
      </c>
      <c r="B2069" s="10">
        <v>10000000</v>
      </c>
      <c r="C2069" s="9">
        <v>6</v>
      </c>
      <c r="D2069" s="8" t="str">
        <f t="shared" si="386"/>
        <v>Y</v>
      </c>
      <c r="E2069" s="8" t="str">
        <f t="shared" si="387"/>
        <v>N</v>
      </c>
      <c r="F2069" s="8" t="str">
        <f t="shared" si="388"/>
        <v>Y</v>
      </c>
      <c r="G2069" s="8" t="str">
        <f t="shared" si="389"/>
        <v>Y</v>
      </c>
      <c r="H2069" s="8" t="str">
        <f t="shared" si="390"/>
        <v>Upper</v>
      </c>
      <c r="I2069" s="8" t="str">
        <f t="shared" si="391"/>
        <v>West Fork and Below Lake</v>
      </c>
      <c r="J2069" s="8" t="str">
        <f t="shared" si="392"/>
        <v>Mendocino (d/s of lake)</v>
      </c>
      <c r="K2069" s="8" t="str">
        <f t="shared" si="393"/>
        <v>Riparian</v>
      </c>
      <c r="L2069" s="8">
        <f t="shared" si="394"/>
        <v>1000</v>
      </c>
      <c r="M2069" s="8" t="str">
        <f t="shared" si="396"/>
        <v>-</v>
      </c>
      <c r="N2069" s="10" t="s">
        <v>241</v>
      </c>
      <c r="O2069" s="10" t="s">
        <v>241</v>
      </c>
      <c r="P2069" s="10" t="s">
        <v>242</v>
      </c>
      <c r="Q2069" s="10" t="s">
        <v>242</v>
      </c>
      <c r="R2069" s="10" t="s">
        <v>242</v>
      </c>
      <c r="S2069" s="10" t="s">
        <v>241</v>
      </c>
      <c r="T2069" s="10" t="s">
        <v>242</v>
      </c>
      <c r="U2069" s="10" t="s">
        <v>242</v>
      </c>
      <c r="V2069" s="10" t="s">
        <v>241</v>
      </c>
      <c r="W2069" s="10" t="s">
        <v>242</v>
      </c>
      <c r="X2069" s="15">
        <f>IF(ISERROR(VLOOKUP($A2069,'13. Updated Demand'!A:Z,15,FALSE)),0,VLOOKUP($A2069,'13. Updated Demand'!A:Z,15,FALSE))</f>
        <v>0</v>
      </c>
      <c r="Y2069" s="16">
        <f>IF(ISERROR(VLOOKUP($A2069,'13. Updated Demand'!A:Z,16,FALSE)),0,VLOOKUP($A2069,'13. Updated Demand'!A:Z,16,FALSE))</f>
        <v>0</v>
      </c>
      <c r="Z2069" s="16">
        <f>IF(ISERROR(VLOOKUP($A2069,'13. Updated Demand'!A:Z,17,FALSE)),0,VLOOKUP($A2069,'13. Updated Demand'!A:Z,17,FALSE))</f>
        <v>2.71</v>
      </c>
      <c r="AA2069" s="16">
        <f>IF(ISERROR(VLOOKUP($A2069,'13. Updated Demand'!A:Z,18,FALSE)),0,VLOOKUP($A2069,'13. Updated Demand'!A:Z,18,FALSE))</f>
        <v>0.13</v>
      </c>
      <c r="AB2069" s="16">
        <f>IF(ISERROR(VLOOKUP($A2069,'13. Updated Demand'!A:Z,19,FALSE)),0,VLOOKUP($A2069,'13. Updated Demand'!A:Z,19,FALSE))</f>
        <v>0</v>
      </c>
      <c r="AC2069" s="16">
        <f>IF(ISERROR(VLOOKUP($A2069,'13. Updated Demand'!A:Z,20,FALSE)),0,VLOOKUP($A2069,'13. Updated Demand'!A:Z,20,FALSE))</f>
        <v>0</v>
      </c>
      <c r="AD2069" s="16">
        <f>IF(ISERROR(VLOOKUP($A2069,'13. Updated Demand'!A:Z,21,FALSE)),0,VLOOKUP($A2069,'13. Updated Demand'!A:Z,21,FALSE))</f>
        <v>0</v>
      </c>
      <c r="AE2069" s="16">
        <f>IF(ISERROR(VLOOKUP($A2069,'13. Updated Demand'!A:Z,22,FALSE)),0,VLOOKUP($A2069,'13. Updated Demand'!A:Z,22,FALSE))</f>
        <v>0</v>
      </c>
      <c r="AF2069" s="16">
        <f>IF(ISERROR(VLOOKUP($A2069,'13. Updated Demand'!A:Z,23,FALSE)),0,VLOOKUP($A2069,'13. Updated Demand'!A:Z,23,FALSE))</f>
        <v>0</v>
      </c>
      <c r="AG2069" s="16">
        <f>IF(ISERROR(VLOOKUP($A2069,'13. Updated Demand'!A:Z,24,FALSE)),0,VLOOKUP($A2069,'13. Updated Demand'!A:Z,24,FALSE))</f>
        <v>0</v>
      </c>
      <c r="AH2069" s="16">
        <f>IF(ISERROR(VLOOKUP($A2069,'13. Updated Demand'!A:Z,25,FALSE)),0,VLOOKUP($A2069,'13. Updated Demand'!A:Z,25,FALSE))</f>
        <v>0</v>
      </c>
      <c r="AI2069" s="16">
        <f>IF(ISERROR(VLOOKUP($A2069,'13. Updated Demand'!A:Z,26,FALSE)),0,VLOOKUP($A2069,'13. Updated Demand'!A:Z,26,FALSE))</f>
        <v>0</v>
      </c>
      <c r="AJ2069" s="16">
        <f t="shared" si="397"/>
        <v>2.84</v>
      </c>
      <c r="AK2069" s="19">
        <v>0</v>
      </c>
      <c r="AL2069" s="16">
        <f t="shared" si="395"/>
        <v>0</v>
      </c>
      <c r="AM2069" s="26">
        <v>1.8567194560305853</v>
      </c>
      <c r="AN2069" s="19">
        <v>1.5344</v>
      </c>
      <c r="AO2069" s="19" t="s">
        <v>1758</v>
      </c>
      <c r="AP2069" s="19">
        <v>0</v>
      </c>
      <c r="AQ2069" s="19" t="s">
        <v>307</v>
      </c>
      <c r="AR2069" s="9" t="s">
        <v>319</v>
      </c>
      <c r="AS2069" s="12">
        <v>0</v>
      </c>
      <c r="AT2069" s="19">
        <v>39.0199</v>
      </c>
      <c r="AU2069" s="19">
        <v>-123.12739999999999</v>
      </c>
      <c r="AV2069" s="19" t="s">
        <v>387</v>
      </c>
    </row>
    <row r="2070" spans="1:48" x14ac:dyDescent="0.25">
      <c r="A2070" s="18" t="s">
        <v>2498</v>
      </c>
      <c r="B2070" s="10">
        <v>10000000</v>
      </c>
      <c r="C2070" s="9">
        <v>18</v>
      </c>
      <c r="D2070" s="8" t="str">
        <f t="shared" si="386"/>
        <v>N</v>
      </c>
      <c r="E2070" s="8" t="str">
        <f t="shared" si="387"/>
        <v>N</v>
      </c>
      <c r="F2070" s="8" t="str">
        <f t="shared" si="388"/>
        <v>N</v>
      </c>
      <c r="G2070" s="8" t="str">
        <f t="shared" si="389"/>
        <v>N</v>
      </c>
      <c r="H2070" s="8" t="str">
        <f t="shared" si="390"/>
        <v>Lower</v>
      </c>
      <c r="I2070" s="8" t="str">
        <f t="shared" si="391"/>
        <v>Outside</v>
      </c>
      <c r="J2070" s="8" t="str">
        <f t="shared" si="392"/>
        <v>Outside</v>
      </c>
      <c r="K2070" s="8" t="str">
        <f t="shared" si="393"/>
        <v>Riparian</v>
      </c>
      <c r="L2070" s="8">
        <f t="shared" si="394"/>
        <v>1000</v>
      </c>
      <c r="M2070" s="8" t="str">
        <f t="shared" si="396"/>
        <v>-</v>
      </c>
      <c r="N2070" s="10" t="s">
        <v>241</v>
      </c>
      <c r="O2070" s="10" t="s">
        <v>242</v>
      </c>
      <c r="P2070" s="10" t="s">
        <v>242</v>
      </c>
      <c r="Q2070" s="10" t="s">
        <v>242</v>
      </c>
      <c r="R2070" s="10" t="s">
        <v>242</v>
      </c>
      <c r="S2070" s="10" t="s">
        <v>241</v>
      </c>
      <c r="T2070" s="10" t="s">
        <v>242</v>
      </c>
      <c r="U2070" s="10" t="s">
        <v>242</v>
      </c>
      <c r="V2070" s="10" t="s">
        <v>242</v>
      </c>
      <c r="W2070" s="10" t="s">
        <v>242</v>
      </c>
      <c r="X2070" s="15">
        <f>IF(ISERROR(VLOOKUP($A2070,'13. Updated Demand'!A:Z,15,FALSE)),0,VLOOKUP($A2070,'13. Updated Demand'!A:Z,15,FALSE))</f>
        <v>0</v>
      </c>
      <c r="Y2070" s="16">
        <f>IF(ISERROR(VLOOKUP($A2070,'13. Updated Demand'!A:Z,16,FALSE)),0,VLOOKUP($A2070,'13. Updated Demand'!A:Z,16,FALSE))</f>
        <v>0.56666666700000001</v>
      </c>
      <c r="Z2070" s="16">
        <f>IF(ISERROR(VLOOKUP($A2070,'13. Updated Demand'!A:Z,17,FALSE)),0,VLOOKUP($A2070,'13. Updated Demand'!A:Z,17,FALSE))</f>
        <v>1.8666666670000001</v>
      </c>
      <c r="AA2070" s="16">
        <f>IF(ISERROR(VLOOKUP($A2070,'13. Updated Demand'!A:Z,18,FALSE)),0,VLOOKUP($A2070,'13. Updated Demand'!A:Z,18,FALSE))</f>
        <v>0.133333333</v>
      </c>
      <c r="AB2070" s="16">
        <f>IF(ISERROR(VLOOKUP($A2070,'13. Updated Demand'!A:Z,19,FALSE)),0,VLOOKUP($A2070,'13. Updated Demand'!A:Z,19,FALSE))</f>
        <v>0</v>
      </c>
      <c r="AC2070" s="16">
        <f>IF(ISERROR(VLOOKUP($A2070,'13. Updated Demand'!A:Z,20,FALSE)),0,VLOOKUP($A2070,'13. Updated Demand'!A:Z,20,FALSE))</f>
        <v>0</v>
      </c>
      <c r="AD2070" s="16">
        <f>IF(ISERROR(VLOOKUP($A2070,'13. Updated Demand'!A:Z,21,FALSE)),0,VLOOKUP($A2070,'13. Updated Demand'!A:Z,21,FALSE))</f>
        <v>0</v>
      </c>
      <c r="AE2070" s="16">
        <f>IF(ISERROR(VLOOKUP($A2070,'13. Updated Demand'!A:Z,22,FALSE)),0,VLOOKUP($A2070,'13. Updated Demand'!A:Z,22,FALSE))</f>
        <v>0</v>
      </c>
      <c r="AF2070" s="16">
        <f>IF(ISERROR(VLOOKUP($A2070,'13. Updated Demand'!A:Z,23,FALSE)),0,VLOOKUP($A2070,'13. Updated Demand'!A:Z,23,FALSE))</f>
        <v>4.8333333329999997</v>
      </c>
      <c r="AG2070" s="16">
        <f>IF(ISERROR(VLOOKUP($A2070,'13. Updated Demand'!A:Z,24,FALSE)),0,VLOOKUP($A2070,'13. Updated Demand'!A:Z,24,FALSE))</f>
        <v>2.8666666670000001</v>
      </c>
      <c r="AH2070" s="16">
        <f>IF(ISERROR(VLOOKUP($A2070,'13. Updated Demand'!A:Z,25,FALSE)),0,VLOOKUP($A2070,'13. Updated Demand'!A:Z,25,FALSE))</f>
        <v>1.733333333</v>
      </c>
      <c r="AI2070" s="16">
        <f>IF(ISERROR(VLOOKUP($A2070,'13. Updated Demand'!A:Z,26,FALSE)),0,VLOOKUP($A2070,'13. Updated Demand'!A:Z,26,FALSE))</f>
        <v>0</v>
      </c>
      <c r="AJ2070" s="16">
        <f t="shared" si="397"/>
        <v>12</v>
      </c>
      <c r="AK2070" s="19">
        <v>4.8333333329999997</v>
      </c>
      <c r="AL2070" s="16">
        <f t="shared" si="395"/>
        <v>1.6031616097155997E-2</v>
      </c>
      <c r="AM2070" s="26">
        <v>4.6532116466785371E-3</v>
      </c>
      <c r="AN2070" s="19">
        <v>2578.864</v>
      </c>
      <c r="AO2070" s="19" t="s">
        <v>1758</v>
      </c>
      <c r="AP2070" s="19">
        <v>0</v>
      </c>
      <c r="AQ2070" s="19" t="s">
        <v>307</v>
      </c>
      <c r="AR2070" s="9" t="s">
        <v>352</v>
      </c>
      <c r="AS2070" s="12">
        <v>0</v>
      </c>
      <c r="AT2070" s="19">
        <v>38.4968</v>
      </c>
      <c r="AU2070" s="19">
        <v>-122.88679999999999</v>
      </c>
      <c r="AV2070" s="19" t="s">
        <v>2271</v>
      </c>
    </row>
    <row r="2071" spans="1:48" x14ac:dyDescent="0.25">
      <c r="A2071" s="18" t="s">
        <v>2499</v>
      </c>
      <c r="B2071" s="10">
        <v>10000000</v>
      </c>
      <c r="C2071" s="9">
        <v>11</v>
      </c>
      <c r="D2071" s="8" t="str">
        <f t="shared" si="386"/>
        <v>N</v>
      </c>
      <c r="E2071" s="8" t="str">
        <f t="shared" si="387"/>
        <v>Y</v>
      </c>
      <c r="F2071" s="8" t="str">
        <f t="shared" si="388"/>
        <v>Y</v>
      </c>
      <c r="G2071" s="8" t="str">
        <f t="shared" si="389"/>
        <v>Y</v>
      </c>
      <c r="H2071" s="8" t="str">
        <f t="shared" si="390"/>
        <v>Upper</v>
      </c>
      <c r="I2071" s="8" t="str">
        <f t="shared" si="391"/>
        <v>West Fork and Below Lake</v>
      </c>
      <c r="J2071" s="8" t="str">
        <f t="shared" si="392"/>
        <v>Sonoma (d/s of Clov. Gage)</v>
      </c>
      <c r="K2071" s="8" t="str">
        <f t="shared" si="393"/>
        <v>Riparian</v>
      </c>
      <c r="L2071" s="8">
        <f t="shared" si="394"/>
        <v>1000</v>
      </c>
      <c r="M2071" s="8" t="str">
        <f t="shared" si="396"/>
        <v>-</v>
      </c>
      <c r="N2071" s="10" t="s">
        <v>242</v>
      </c>
      <c r="O2071" s="10" t="s">
        <v>241</v>
      </c>
      <c r="P2071" s="10" t="s">
        <v>242</v>
      </c>
      <c r="Q2071" s="10" t="s">
        <v>242</v>
      </c>
      <c r="R2071" s="10" t="s">
        <v>242</v>
      </c>
      <c r="S2071" s="10" t="s">
        <v>241</v>
      </c>
      <c r="T2071" s="10" t="s">
        <v>242</v>
      </c>
      <c r="U2071" s="10" t="s">
        <v>242</v>
      </c>
      <c r="V2071" s="10" t="s">
        <v>241</v>
      </c>
      <c r="W2071" s="10" t="s">
        <v>242</v>
      </c>
      <c r="X2071" s="15">
        <f>IF(ISERROR(VLOOKUP($A2071,'13. Updated Demand'!A:Z,15,FALSE)),0,VLOOKUP($A2071,'13. Updated Demand'!A:Z,15,FALSE))</f>
        <v>0.1</v>
      </c>
      <c r="Y2071" s="16">
        <f>IF(ISERROR(VLOOKUP($A2071,'13. Updated Demand'!A:Z,16,FALSE)),0,VLOOKUP($A2071,'13. Updated Demand'!A:Z,16,FALSE))</f>
        <v>0.1</v>
      </c>
      <c r="Z2071" s="16">
        <f>IF(ISERROR(VLOOKUP($A2071,'13. Updated Demand'!A:Z,17,FALSE)),0,VLOOKUP($A2071,'13. Updated Demand'!A:Z,17,FALSE))</f>
        <v>0.1</v>
      </c>
      <c r="AA2071" s="16">
        <f>IF(ISERROR(VLOOKUP($A2071,'13. Updated Demand'!A:Z,18,FALSE)),0,VLOOKUP($A2071,'13. Updated Demand'!A:Z,18,FALSE))</f>
        <v>0.1</v>
      </c>
      <c r="AB2071" s="16">
        <f>IF(ISERROR(VLOOKUP($A2071,'13. Updated Demand'!A:Z,19,FALSE)),0,VLOOKUP($A2071,'13. Updated Demand'!A:Z,19,FALSE))</f>
        <v>0</v>
      </c>
      <c r="AC2071" s="16">
        <f>IF(ISERROR(VLOOKUP($A2071,'13. Updated Demand'!A:Z,20,FALSE)),0,VLOOKUP($A2071,'13. Updated Demand'!A:Z,20,FALSE))</f>
        <v>0</v>
      </c>
      <c r="AD2071" s="16">
        <f>IF(ISERROR(VLOOKUP($A2071,'13. Updated Demand'!A:Z,21,FALSE)),0,VLOOKUP($A2071,'13. Updated Demand'!A:Z,21,FALSE))</f>
        <v>0</v>
      </c>
      <c r="AE2071" s="16">
        <f>IF(ISERROR(VLOOKUP($A2071,'13. Updated Demand'!A:Z,22,FALSE)),0,VLOOKUP($A2071,'13. Updated Demand'!A:Z,22,FALSE))</f>
        <v>0</v>
      </c>
      <c r="AF2071" s="16">
        <f>IF(ISERROR(VLOOKUP($A2071,'13. Updated Demand'!A:Z,23,FALSE)),0,VLOOKUP($A2071,'13. Updated Demand'!A:Z,23,FALSE))</f>
        <v>0</v>
      </c>
      <c r="AG2071" s="16">
        <f>IF(ISERROR(VLOOKUP($A2071,'13. Updated Demand'!A:Z,24,FALSE)),0,VLOOKUP($A2071,'13. Updated Demand'!A:Z,24,FALSE))</f>
        <v>1.25</v>
      </c>
      <c r="AH2071" s="16">
        <f>IF(ISERROR(VLOOKUP($A2071,'13. Updated Demand'!A:Z,25,FALSE)),0,VLOOKUP($A2071,'13. Updated Demand'!A:Z,25,FALSE))</f>
        <v>1.35</v>
      </c>
      <c r="AI2071" s="16">
        <f>IF(ISERROR(VLOOKUP($A2071,'13. Updated Demand'!A:Z,26,FALSE)),0,VLOOKUP($A2071,'13. Updated Demand'!A:Z,26,FALSE))</f>
        <v>0.1</v>
      </c>
      <c r="AJ2071" s="16">
        <f t="shared" si="397"/>
        <v>3.1</v>
      </c>
      <c r="AK2071" s="19">
        <v>0</v>
      </c>
      <c r="AL2071" s="16">
        <f t="shared" si="395"/>
        <v>0</v>
      </c>
      <c r="AM2071" s="26">
        <v>1.7388888888888887</v>
      </c>
      <c r="AN2071" s="19">
        <v>1.8</v>
      </c>
      <c r="AO2071" s="19" t="s">
        <v>1758</v>
      </c>
      <c r="AP2071" s="19">
        <v>0</v>
      </c>
      <c r="AQ2071" s="19" t="s">
        <v>307</v>
      </c>
      <c r="AR2071" s="9" t="s">
        <v>308</v>
      </c>
      <c r="AS2071" s="12">
        <v>0</v>
      </c>
      <c r="AT2071" s="19">
        <v>38.644300000000001</v>
      </c>
      <c r="AU2071" s="19">
        <v>-122.724</v>
      </c>
      <c r="AV2071" s="19" t="s">
        <v>385</v>
      </c>
    </row>
    <row r="2072" spans="1:48" x14ac:dyDescent="0.25">
      <c r="A2072" s="18" t="s">
        <v>2500</v>
      </c>
      <c r="B2072" s="10">
        <v>10000000</v>
      </c>
      <c r="C2072" s="9">
        <v>6</v>
      </c>
      <c r="D2072" s="8" t="str">
        <f t="shared" si="386"/>
        <v>Y</v>
      </c>
      <c r="E2072" s="8" t="str">
        <f t="shared" si="387"/>
        <v>N</v>
      </c>
      <c r="F2072" s="8" t="str">
        <f t="shared" si="388"/>
        <v>Y</v>
      </c>
      <c r="G2072" s="8" t="str">
        <f t="shared" si="389"/>
        <v>Y</v>
      </c>
      <c r="H2072" s="8" t="str">
        <f t="shared" si="390"/>
        <v>Upper</v>
      </c>
      <c r="I2072" s="8" t="str">
        <f t="shared" si="391"/>
        <v>West Fork and Below Lake</v>
      </c>
      <c r="J2072" s="8" t="str">
        <f t="shared" si="392"/>
        <v>Mendocino (d/s of lake)</v>
      </c>
      <c r="K2072" s="8" t="str">
        <f t="shared" si="393"/>
        <v>Riparian</v>
      </c>
      <c r="L2072" s="8">
        <f t="shared" si="394"/>
        <v>1000</v>
      </c>
      <c r="M2072" s="8" t="str">
        <f t="shared" si="396"/>
        <v>-</v>
      </c>
      <c r="N2072" s="10" t="s">
        <v>242</v>
      </c>
      <c r="O2072" s="10" t="s">
        <v>241</v>
      </c>
      <c r="P2072" s="10" t="s">
        <v>242</v>
      </c>
      <c r="Q2072" s="10" t="s">
        <v>242</v>
      </c>
      <c r="R2072" s="10" t="s">
        <v>242</v>
      </c>
      <c r="S2072" s="10" t="s">
        <v>241</v>
      </c>
      <c r="T2072" s="10" t="s">
        <v>242</v>
      </c>
      <c r="U2072" s="10" t="s">
        <v>241</v>
      </c>
      <c r="V2072" s="10" t="s">
        <v>241</v>
      </c>
      <c r="W2072" s="10" t="s">
        <v>242</v>
      </c>
      <c r="X2072" s="15">
        <f>IF(ISERROR(VLOOKUP($A2072,'13. Updated Demand'!A:Z,15,FALSE)),0,VLOOKUP($A2072,'13. Updated Demand'!A:Z,15,FALSE))</f>
        <v>0</v>
      </c>
      <c r="Y2072" s="16">
        <f>IF(ISERROR(VLOOKUP($A2072,'13. Updated Demand'!A:Z,16,FALSE)),0,VLOOKUP($A2072,'13. Updated Demand'!A:Z,16,FALSE))</f>
        <v>0</v>
      </c>
      <c r="Z2072" s="16">
        <f>IF(ISERROR(VLOOKUP($A2072,'13. Updated Demand'!A:Z,17,FALSE)),0,VLOOKUP($A2072,'13. Updated Demand'!A:Z,17,FALSE))</f>
        <v>0</v>
      </c>
      <c r="AA2072" s="16">
        <f>IF(ISERROR(VLOOKUP($A2072,'13. Updated Demand'!A:Z,18,FALSE)),0,VLOOKUP($A2072,'13. Updated Demand'!A:Z,18,FALSE))</f>
        <v>0</v>
      </c>
      <c r="AB2072" s="16">
        <f>IF(ISERROR(VLOOKUP($A2072,'13. Updated Demand'!A:Z,19,FALSE)),0,VLOOKUP($A2072,'13. Updated Demand'!A:Z,19,FALSE))</f>
        <v>0</v>
      </c>
      <c r="AC2072" s="16">
        <f>IF(ISERROR(VLOOKUP($A2072,'13. Updated Demand'!A:Z,20,FALSE)),0,VLOOKUP($A2072,'13. Updated Demand'!A:Z,20,FALSE))</f>
        <v>0</v>
      </c>
      <c r="AD2072" s="16">
        <f>IF(ISERROR(VLOOKUP($A2072,'13. Updated Demand'!A:Z,21,FALSE)),0,VLOOKUP($A2072,'13. Updated Demand'!A:Z,21,FALSE))</f>
        <v>0</v>
      </c>
      <c r="AE2072" s="16">
        <f>IF(ISERROR(VLOOKUP($A2072,'13. Updated Demand'!A:Z,22,FALSE)),0,VLOOKUP($A2072,'13. Updated Demand'!A:Z,22,FALSE))</f>
        <v>0</v>
      </c>
      <c r="AF2072" s="16">
        <f>IF(ISERROR(VLOOKUP($A2072,'13. Updated Demand'!A:Z,23,FALSE)),0,VLOOKUP($A2072,'13. Updated Demand'!A:Z,23,FALSE))</f>
        <v>0</v>
      </c>
      <c r="AG2072" s="16">
        <f>IF(ISERROR(VLOOKUP($A2072,'13. Updated Demand'!A:Z,24,FALSE)),0,VLOOKUP($A2072,'13. Updated Demand'!A:Z,24,FALSE))</f>
        <v>0</v>
      </c>
      <c r="AH2072" s="16">
        <f>IF(ISERROR(VLOOKUP($A2072,'13. Updated Demand'!A:Z,25,FALSE)),0,VLOOKUP($A2072,'13. Updated Demand'!A:Z,25,FALSE))</f>
        <v>0</v>
      </c>
      <c r="AI2072" s="16">
        <f>IF(ISERROR(VLOOKUP($A2072,'13. Updated Demand'!A:Z,26,FALSE)),0,VLOOKUP($A2072,'13. Updated Demand'!A:Z,26,FALSE))</f>
        <v>0</v>
      </c>
      <c r="AJ2072" s="16">
        <f t="shared" si="397"/>
        <v>0</v>
      </c>
      <c r="AK2072" s="19">
        <v>0</v>
      </c>
      <c r="AL2072" s="16">
        <f t="shared" si="395"/>
        <v>0</v>
      </c>
      <c r="AM2072" s="26">
        <v>0</v>
      </c>
      <c r="AN2072" s="19">
        <v>1613.9631999999999</v>
      </c>
      <c r="AO2072" s="19" t="s">
        <v>1758</v>
      </c>
      <c r="AP2072" s="19">
        <v>0</v>
      </c>
      <c r="AQ2072" s="19" t="s">
        <v>307</v>
      </c>
      <c r="AR2072" s="9" t="s">
        <v>319</v>
      </c>
      <c r="AS2072" s="12">
        <v>0</v>
      </c>
      <c r="AT2072" s="19">
        <v>38.983899999999998</v>
      </c>
      <c r="AU2072" s="19">
        <v>-123.12350000000001</v>
      </c>
      <c r="AV2072" s="19" t="s">
        <v>385</v>
      </c>
    </row>
    <row r="2073" spans="1:48" x14ac:dyDescent="0.25">
      <c r="A2073" s="18" t="s">
        <v>2501</v>
      </c>
      <c r="B2073" s="10">
        <v>10000000</v>
      </c>
      <c r="C2073" s="9">
        <v>12</v>
      </c>
      <c r="D2073" s="8" t="str">
        <f t="shared" si="386"/>
        <v>N</v>
      </c>
      <c r="E2073" s="8" t="str">
        <f t="shared" si="387"/>
        <v>Y</v>
      </c>
      <c r="F2073" s="8" t="str">
        <f t="shared" si="388"/>
        <v>Y</v>
      </c>
      <c r="G2073" s="8" t="str">
        <f t="shared" si="389"/>
        <v>Y</v>
      </c>
      <c r="H2073" s="8" t="str">
        <f t="shared" si="390"/>
        <v>Upper</v>
      </c>
      <c r="I2073" s="8" t="str">
        <f t="shared" si="391"/>
        <v>West Fork and Below Lake</v>
      </c>
      <c r="J2073" s="8" t="str">
        <f t="shared" si="392"/>
        <v>Sonoma (d/s of Clov. Gage)</v>
      </c>
      <c r="K2073" s="8" t="str">
        <f t="shared" si="393"/>
        <v>Riparian</v>
      </c>
      <c r="L2073" s="8">
        <f t="shared" si="394"/>
        <v>1000</v>
      </c>
      <c r="M2073" s="8" t="str">
        <f t="shared" si="396"/>
        <v>-</v>
      </c>
      <c r="N2073" s="10" t="s">
        <v>242</v>
      </c>
      <c r="O2073" s="10" t="s">
        <v>241</v>
      </c>
      <c r="P2073" s="10" t="s">
        <v>242</v>
      </c>
      <c r="Q2073" s="10" t="s">
        <v>242</v>
      </c>
      <c r="R2073" s="10" t="s">
        <v>242</v>
      </c>
      <c r="S2073" s="10" t="s">
        <v>241</v>
      </c>
      <c r="T2073" s="10" t="s">
        <v>241</v>
      </c>
      <c r="U2073" s="10" t="s">
        <v>241</v>
      </c>
      <c r="V2073" s="10" t="s">
        <v>241</v>
      </c>
      <c r="W2073" s="10" t="s">
        <v>242</v>
      </c>
      <c r="X2073" s="15">
        <f>IF(ISERROR(VLOOKUP($A2073,'13. Updated Demand'!A:Z,15,FALSE)),0,VLOOKUP($A2073,'13. Updated Demand'!A:Z,15,FALSE))</f>
        <v>0</v>
      </c>
      <c r="Y2073" s="16">
        <f>IF(ISERROR(VLOOKUP($A2073,'13. Updated Demand'!A:Z,16,FALSE)),0,VLOOKUP($A2073,'13. Updated Demand'!A:Z,16,FALSE))</f>
        <v>0</v>
      </c>
      <c r="Z2073" s="16">
        <f>IF(ISERROR(VLOOKUP($A2073,'13. Updated Demand'!A:Z,17,FALSE)),0,VLOOKUP($A2073,'13. Updated Demand'!A:Z,17,FALSE))</f>
        <v>0</v>
      </c>
      <c r="AA2073" s="16">
        <f>IF(ISERROR(VLOOKUP($A2073,'13. Updated Demand'!A:Z,18,FALSE)),0,VLOOKUP($A2073,'13. Updated Demand'!A:Z,18,FALSE))</f>
        <v>0</v>
      </c>
      <c r="AB2073" s="16">
        <f>IF(ISERROR(VLOOKUP($A2073,'13. Updated Demand'!A:Z,19,FALSE)),0,VLOOKUP($A2073,'13. Updated Demand'!A:Z,19,FALSE))</f>
        <v>0</v>
      </c>
      <c r="AC2073" s="16">
        <f>IF(ISERROR(VLOOKUP($A2073,'13. Updated Demand'!A:Z,20,FALSE)),0,VLOOKUP($A2073,'13. Updated Demand'!A:Z,20,FALSE))</f>
        <v>0</v>
      </c>
      <c r="AD2073" s="16">
        <f>IF(ISERROR(VLOOKUP($A2073,'13. Updated Demand'!A:Z,21,FALSE)),0,VLOOKUP($A2073,'13. Updated Demand'!A:Z,21,FALSE))</f>
        <v>0</v>
      </c>
      <c r="AE2073" s="16">
        <f>IF(ISERROR(VLOOKUP($A2073,'13. Updated Demand'!A:Z,22,FALSE)),0,VLOOKUP($A2073,'13. Updated Demand'!A:Z,22,FALSE))</f>
        <v>0</v>
      </c>
      <c r="AF2073" s="16">
        <f>IF(ISERROR(VLOOKUP($A2073,'13. Updated Demand'!A:Z,23,FALSE)),0,VLOOKUP($A2073,'13. Updated Demand'!A:Z,23,FALSE))</f>
        <v>0</v>
      </c>
      <c r="AG2073" s="16">
        <f>IF(ISERROR(VLOOKUP($A2073,'13. Updated Demand'!A:Z,24,FALSE)),0,VLOOKUP($A2073,'13. Updated Demand'!A:Z,24,FALSE))</f>
        <v>0</v>
      </c>
      <c r="AH2073" s="16">
        <f>IF(ISERROR(VLOOKUP($A2073,'13. Updated Demand'!A:Z,25,FALSE)),0,VLOOKUP($A2073,'13. Updated Demand'!A:Z,25,FALSE))</f>
        <v>0</v>
      </c>
      <c r="AI2073" s="16">
        <f>IF(ISERROR(VLOOKUP($A2073,'13. Updated Demand'!A:Z,26,FALSE)),0,VLOOKUP($A2073,'13. Updated Demand'!A:Z,26,FALSE))</f>
        <v>0</v>
      </c>
      <c r="AJ2073" s="16">
        <f t="shared" si="397"/>
        <v>0</v>
      </c>
      <c r="AK2073" s="19">
        <v>0</v>
      </c>
      <c r="AL2073" s="16">
        <f t="shared" si="395"/>
        <v>0</v>
      </c>
      <c r="AM2073" s="26">
        <v>0</v>
      </c>
      <c r="AN2073" s="19">
        <v>15</v>
      </c>
      <c r="AO2073" s="19" t="s">
        <v>1758</v>
      </c>
      <c r="AP2073" s="19">
        <v>0</v>
      </c>
      <c r="AQ2073" s="19" t="s">
        <v>307</v>
      </c>
      <c r="AR2073" s="9" t="s">
        <v>311</v>
      </c>
      <c r="AS2073" s="12">
        <v>0</v>
      </c>
      <c r="AT2073" s="19">
        <v>38.610500000000002</v>
      </c>
      <c r="AU2073" s="19">
        <v>-122.75230000000001</v>
      </c>
      <c r="AV2073" s="19" t="s">
        <v>385</v>
      </c>
    </row>
    <row r="2074" spans="1:48" x14ac:dyDescent="0.25">
      <c r="A2074" s="18" t="s">
        <v>2502</v>
      </c>
      <c r="B2074" s="10">
        <v>10000000</v>
      </c>
      <c r="C2074" s="9">
        <v>12</v>
      </c>
      <c r="D2074" s="8" t="str">
        <f t="shared" si="386"/>
        <v>N</v>
      </c>
      <c r="E2074" s="8" t="str">
        <f t="shared" si="387"/>
        <v>Y</v>
      </c>
      <c r="F2074" s="8" t="str">
        <f t="shared" si="388"/>
        <v>Y</v>
      </c>
      <c r="G2074" s="8" t="str">
        <f t="shared" si="389"/>
        <v>Y</v>
      </c>
      <c r="H2074" s="8" t="str">
        <f t="shared" si="390"/>
        <v>Upper</v>
      </c>
      <c r="I2074" s="8" t="str">
        <f t="shared" si="391"/>
        <v>West Fork and Below Lake</v>
      </c>
      <c r="J2074" s="8" t="str">
        <f t="shared" si="392"/>
        <v>Sonoma (d/s of Clov. Gage)</v>
      </c>
      <c r="K2074" s="8" t="str">
        <f t="shared" si="393"/>
        <v>Riparian</v>
      </c>
      <c r="L2074" s="8">
        <f t="shared" si="394"/>
        <v>1000</v>
      </c>
      <c r="M2074" s="8" t="str">
        <f t="shared" si="396"/>
        <v>-</v>
      </c>
      <c r="N2074" s="10" t="s">
        <v>242</v>
      </c>
      <c r="O2074" s="10" t="s">
        <v>241</v>
      </c>
      <c r="P2074" s="10" t="s">
        <v>242</v>
      </c>
      <c r="Q2074" s="10" t="s">
        <v>242</v>
      </c>
      <c r="R2074" s="10" t="s">
        <v>242</v>
      </c>
      <c r="S2074" s="10" t="s">
        <v>241</v>
      </c>
      <c r="T2074" s="10" t="s">
        <v>241</v>
      </c>
      <c r="U2074" s="10" t="s">
        <v>241</v>
      </c>
      <c r="V2074" s="10" t="s">
        <v>241</v>
      </c>
      <c r="W2074" s="10" t="s">
        <v>242</v>
      </c>
      <c r="X2074" s="15">
        <f>IF(ISERROR(VLOOKUP($A2074,'13. Updated Demand'!A:Z,15,FALSE)),0,VLOOKUP($A2074,'13. Updated Demand'!A:Z,15,FALSE))</f>
        <v>0</v>
      </c>
      <c r="Y2074" s="16">
        <f>IF(ISERROR(VLOOKUP($A2074,'13. Updated Demand'!A:Z,16,FALSE)),0,VLOOKUP($A2074,'13. Updated Demand'!A:Z,16,FALSE))</f>
        <v>0</v>
      </c>
      <c r="Z2074" s="16">
        <f>IF(ISERROR(VLOOKUP($A2074,'13. Updated Demand'!A:Z,17,FALSE)),0,VLOOKUP($A2074,'13. Updated Demand'!A:Z,17,FALSE))</f>
        <v>0</v>
      </c>
      <c r="AA2074" s="16">
        <f>IF(ISERROR(VLOOKUP($A2074,'13. Updated Demand'!A:Z,18,FALSE)),0,VLOOKUP($A2074,'13. Updated Demand'!A:Z,18,FALSE))</f>
        <v>0</v>
      </c>
      <c r="AB2074" s="16">
        <f>IF(ISERROR(VLOOKUP($A2074,'13. Updated Demand'!A:Z,19,FALSE)),0,VLOOKUP($A2074,'13. Updated Demand'!A:Z,19,FALSE))</f>
        <v>0</v>
      </c>
      <c r="AC2074" s="16">
        <f>IF(ISERROR(VLOOKUP($A2074,'13. Updated Demand'!A:Z,20,FALSE)),0,VLOOKUP($A2074,'13. Updated Demand'!A:Z,20,FALSE))</f>
        <v>0</v>
      </c>
      <c r="AD2074" s="16">
        <f>IF(ISERROR(VLOOKUP($A2074,'13. Updated Demand'!A:Z,21,FALSE)),0,VLOOKUP($A2074,'13. Updated Demand'!A:Z,21,FALSE))</f>
        <v>0</v>
      </c>
      <c r="AE2074" s="16">
        <f>IF(ISERROR(VLOOKUP($A2074,'13. Updated Demand'!A:Z,22,FALSE)),0,VLOOKUP($A2074,'13. Updated Demand'!A:Z,22,FALSE))</f>
        <v>0</v>
      </c>
      <c r="AF2074" s="16">
        <f>IF(ISERROR(VLOOKUP($A2074,'13. Updated Demand'!A:Z,23,FALSE)),0,VLOOKUP($A2074,'13. Updated Demand'!A:Z,23,FALSE))</f>
        <v>0</v>
      </c>
      <c r="AG2074" s="16">
        <f>IF(ISERROR(VLOOKUP($A2074,'13. Updated Demand'!A:Z,24,FALSE)),0,VLOOKUP($A2074,'13. Updated Demand'!A:Z,24,FALSE))</f>
        <v>0</v>
      </c>
      <c r="AH2074" s="16">
        <f>IF(ISERROR(VLOOKUP($A2074,'13. Updated Demand'!A:Z,25,FALSE)),0,VLOOKUP($A2074,'13. Updated Demand'!A:Z,25,FALSE))</f>
        <v>0</v>
      </c>
      <c r="AI2074" s="16">
        <f>IF(ISERROR(VLOOKUP($A2074,'13. Updated Demand'!A:Z,26,FALSE)),0,VLOOKUP($A2074,'13. Updated Demand'!A:Z,26,FALSE))</f>
        <v>0</v>
      </c>
      <c r="AJ2074" s="16">
        <f t="shared" si="397"/>
        <v>0</v>
      </c>
      <c r="AK2074" s="19">
        <v>0</v>
      </c>
      <c r="AL2074" s="16">
        <f t="shared" si="395"/>
        <v>0</v>
      </c>
      <c r="AM2074" s="26">
        <v>0</v>
      </c>
      <c r="AN2074" s="19">
        <v>10</v>
      </c>
      <c r="AO2074" s="19" t="s">
        <v>1758</v>
      </c>
      <c r="AP2074" s="19">
        <v>0</v>
      </c>
      <c r="AQ2074" s="19" t="s">
        <v>307</v>
      </c>
      <c r="AR2074" s="9" t="s">
        <v>311</v>
      </c>
      <c r="AS2074" s="12">
        <v>0</v>
      </c>
      <c r="AT2074" s="19">
        <v>38.610399999999998</v>
      </c>
      <c r="AU2074" s="19">
        <v>-122.75579999999999</v>
      </c>
      <c r="AV2074" s="19" t="s">
        <v>385</v>
      </c>
    </row>
    <row r="2075" spans="1:48" x14ac:dyDescent="0.25">
      <c r="A2075" s="18" t="s">
        <v>57</v>
      </c>
      <c r="B2075" s="10">
        <v>10000000</v>
      </c>
      <c r="C2075" s="9">
        <v>5</v>
      </c>
      <c r="D2075" s="8" t="str">
        <f t="shared" si="386"/>
        <v>Y</v>
      </c>
      <c r="E2075" s="8" t="str">
        <f t="shared" si="387"/>
        <v>N</v>
      </c>
      <c r="F2075" s="8" t="str">
        <f t="shared" si="388"/>
        <v>Y</v>
      </c>
      <c r="G2075" s="8" t="str">
        <f t="shared" si="389"/>
        <v>Y</v>
      </c>
      <c r="H2075" s="8" t="str">
        <f t="shared" si="390"/>
        <v>Upper</v>
      </c>
      <c r="I2075" s="8" t="str">
        <f t="shared" si="391"/>
        <v>West Fork and Below Lake</v>
      </c>
      <c r="J2075" s="8" t="str">
        <f t="shared" si="392"/>
        <v>Mendocino (d/s of lake)</v>
      </c>
      <c r="K2075" s="8" t="str">
        <f t="shared" si="393"/>
        <v>Riparian</v>
      </c>
      <c r="L2075" s="8">
        <f t="shared" si="394"/>
        <v>1000</v>
      </c>
      <c r="M2075" s="8" t="str">
        <f t="shared" si="396"/>
        <v>-</v>
      </c>
      <c r="N2075" s="10" t="s">
        <v>241</v>
      </c>
      <c r="O2075" s="10" t="s">
        <v>241</v>
      </c>
      <c r="P2075" s="10" t="s">
        <v>242</v>
      </c>
      <c r="Q2075" s="10" t="s">
        <v>242</v>
      </c>
      <c r="R2075" s="10" t="s">
        <v>242</v>
      </c>
      <c r="S2075" s="10" t="s">
        <v>241</v>
      </c>
      <c r="T2075" s="10" t="s">
        <v>242</v>
      </c>
      <c r="U2075" s="10" t="s">
        <v>242</v>
      </c>
      <c r="V2075" s="10" t="s">
        <v>241</v>
      </c>
      <c r="W2075" s="10" t="s">
        <v>242</v>
      </c>
      <c r="X2075" s="15">
        <f>IF(ISERROR(VLOOKUP($A2075,'13. Updated Demand'!A:Z,15,FALSE)),0,VLOOKUP($A2075,'13. Updated Demand'!A:Z,15,FALSE))</f>
        <v>0</v>
      </c>
      <c r="Y2075" s="16">
        <f>IF(ISERROR(VLOOKUP($A2075,'13. Updated Demand'!A:Z,16,FALSE)),0,VLOOKUP($A2075,'13. Updated Demand'!A:Z,16,FALSE))</f>
        <v>0</v>
      </c>
      <c r="Z2075" s="16">
        <f>IF(ISERROR(VLOOKUP($A2075,'13. Updated Demand'!A:Z,17,FALSE)),0,VLOOKUP($A2075,'13. Updated Demand'!A:Z,17,FALSE))</f>
        <v>0.33</v>
      </c>
      <c r="AA2075" s="16">
        <f>IF(ISERROR(VLOOKUP($A2075,'13. Updated Demand'!A:Z,18,FALSE)),0,VLOOKUP($A2075,'13. Updated Demand'!A:Z,18,FALSE))</f>
        <v>0.86</v>
      </c>
      <c r="AB2075" s="16">
        <f>IF(ISERROR(VLOOKUP($A2075,'13. Updated Demand'!A:Z,19,FALSE)),0,VLOOKUP($A2075,'13. Updated Demand'!A:Z,19,FALSE))</f>
        <v>0</v>
      </c>
      <c r="AC2075" s="16">
        <f>IF(ISERROR(VLOOKUP($A2075,'13. Updated Demand'!A:Z,20,FALSE)),0,VLOOKUP($A2075,'13. Updated Demand'!A:Z,20,FALSE))</f>
        <v>0</v>
      </c>
      <c r="AD2075" s="16">
        <f>IF(ISERROR(VLOOKUP($A2075,'13. Updated Demand'!A:Z,21,FALSE)),0,VLOOKUP($A2075,'13. Updated Demand'!A:Z,21,FALSE))</f>
        <v>0</v>
      </c>
      <c r="AE2075" s="16">
        <f>IF(ISERROR(VLOOKUP($A2075,'13. Updated Demand'!A:Z,22,FALSE)),0,VLOOKUP($A2075,'13. Updated Demand'!A:Z,22,FALSE))</f>
        <v>0</v>
      </c>
      <c r="AF2075" s="16">
        <f>IF(ISERROR(VLOOKUP($A2075,'13. Updated Demand'!A:Z,23,FALSE)),0,VLOOKUP($A2075,'13. Updated Demand'!A:Z,23,FALSE))</f>
        <v>0</v>
      </c>
      <c r="AG2075" s="16">
        <f>IF(ISERROR(VLOOKUP($A2075,'13. Updated Demand'!A:Z,24,FALSE)),0,VLOOKUP($A2075,'13. Updated Demand'!A:Z,24,FALSE))</f>
        <v>0</v>
      </c>
      <c r="AH2075" s="16">
        <f>IF(ISERROR(VLOOKUP($A2075,'13. Updated Demand'!A:Z,25,FALSE)),0,VLOOKUP($A2075,'13. Updated Demand'!A:Z,25,FALSE))</f>
        <v>0</v>
      </c>
      <c r="AI2075" s="16">
        <f>IF(ISERROR(VLOOKUP($A2075,'13. Updated Demand'!A:Z,26,FALSE)),0,VLOOKUP($A2075,'13. Updated Demand'!A:Z,26,FALSE))</f>
        <v>0</v>
      </c>
      <c r="AJ2075" s="16">
        <f t="shared" si="397"/>
        <v>1.19</v>
      </c>
      <c r="AK2075" s="19">
        <v>0</v>
      </c>
      <c r="AL2075" s="16">
        <f t="shared" si="395"/>
        <v>0</v>
      </c>
      <c r="AM2075" s="26">
        <v>2.2400856608756716E-4</v>
      </c>
      <c r="AN2075" s="19">
        <v>5356.9380000000001</v>
      </c>
      <c r="AO2075" s="19" t="s">
        <v>1758</v>
      </c>
      <c r="AP2075" s="19">
        <v>0</v>
      </c>
      <c r="AQ2075" s="19" t="s">
        <v>307</v>
      </c>
      <c r="AR2075" s="9" t="s">
        <v>333</v>
      </c>
      <c r="AS2075" s="12">
        <v>0</v>
      </c>
      <c r="AT2075" s="19">
        <v>39.081699999999998</v>
      </c>
      <c r="AU2075" s="19">
        <v>-123.16930000000001</v>
      </c>
      <c r="AV2075" s="19" t="s">
        <v>387</v>
      </c>
    </row>
    <row r="2076" spans="1:48" x14ac:dyDescent="0.25">
      <c r="A2076" s="18" t="s">
        <v>2503</v>
      </c>
      <c r="B2076" s="10">
        <v>10000000</v>
      </c>
      <c r="C2076" s="9">
        <v>1</v>
      </c>
      <c r="D2076" s="8" t="str">
        <f t="shared" si="386"/>
        <v>N</v>
      </c>
      <c r="E2076" s="8" t="str">
        <f t="shared" si="387"/>
        <v>N</v>
      </c>
      <c r="F2076" s="8" t="str">
        <f t="shared" si="388"/>
        <v>Y</v>
      </c>
      <c r="G2076" s="8" t="str">
        <f t="shared" si="389"/>
        <v>Y</v>
      </c>
      <c r="H2076" s="8" t="str">
        <f t="shared" si="390"/>
        <v>Upper</v>
      </c>
      <c r="I2076" s="8" t="str">
        <f t="shared" si="391"/>
        <v>West Fork and Below Lake</v>
      </c>
      <c r="J2076" s="8" t="str">
        <f t="shared" si="392"/>
        <v>Outside</v>
      </c>
      <c r="K2076" s="8" t="str">
        <f t="shared" si="393"/>
        <v>Riparian</v>
      </c>
      <c r="L2076" s="8">
        <f t="shared" si="394"/>
        <v>1000</v>
      </c>
      <c r="M2076" s="8" t="str">
        <f t="shared" si="396"/>
        <v>-</v>
      </c>
      <c r="N2076" s="10" t="s">
        <v>242</v>
      </c>
      <c r="O2076" s="10" t="s">
        <v>241</v>
      </c>
      <c r="P2076" s="10" t="s">
        <v>242</v>
      </c>
      <c r="Q2076" s="10" t="s">
        <v>242</v>
      </c>
      <c r="R2076" s="10" t="s">
        <v>242</v>
      </c>
      <c r="S2076" s="10" t="s">
        <v>241</v>
      </c>
      <c r="T2076" s="10" t="s">
        <v>242</v>
      </c>
      <c r="U2076" s="10" t="s">
        <v>242</v>
      </c>
      <c r="V2076" s="10" t="s">
        <v>242</v>
      </c>
      <c r="W2076" s="10" t="s">
        <v>242</v>
      </c>
      <c r="X2076" s="15">
        <f>IF(ISERROR(VLOOKUP($A2076,'13. Updated Demand'!A:Z,15,FALSE)),0,VLOOKUP($A2076,'13. Updated Demand'!A:Z,15,FALSE))</f>
        <v>0</v>
      </c>
      <c r="Y2076" s="16">
        <f>IF(ISERROR(VLOOKUP($A2076,'13. Updated Demand'!A:Z,16,FALSE)),0,VLOOKUP($A2076,'13. Updated Demand'!A:Z,16,FALSE))</f>
        <v>0</v>
      </c>
      <c r="Z2076" s="16">
        <f>IF(ISERROR(VLOOKUP($A2076,'13. Updated Demand'!A:Z,17,FALSE)),0,VLOOKUP($A2076,'13. Updated Demand'!A:Z,17,FALSE))</f>
        <v>7.0000000000000007E-2</v>
      </c>
      <c r="AA2076" s="16">
        <f>IF(ISERROR(VLOOKUP($A2076,'13. Updated Demand'!A:Z,18,FALSE)),0,VLOOKUP($A2076,'13. Updated Demand'!A:Z,18,FALSE))</f>
        <v>0.39</v>
      </c>
      <c r="AB2076" s="16">
        <f>IF(ISERROR(VLOOKUP($A2076,'13. Updated Demand'!A:Z,19,FALSE)),0,VLOOKUP($A2076,'13. Updated Demand'!A:Z,19,FALSE))</f>
        <v>0.15</v>
      </c>
      <c r="AC2076" s="16">
        <f>IF(ISERROR(VLOOKUP($A2076,'13. Updated Demand'!A:Z,20,FALSE)),0,VLOOKUP($A2076,'13. Updated Demand'!A:Z,20,FALSE))</f>
        <v>0.57999999999999996</v>
      </c>
      <c r="AD2076" s="16">
        <f>IF(ISERROR(VLOOKUP($A2076,'13. Updated Demand'!A:Z,21,FALSE)),0,VLOOKUP($A2076,'13. Updated Demand'!A:Z,21,FALSE))</f>
        <v>1.01</v>
      </c>
      <c r="AE2076" s="16">
        <f>IF(ISERROR(VLOOKUP($A2076,'13. Updated Demand'!A:Z,22,FALSE)),0,VLOOKUP($A2076,'13. Updated Demand'!A:Z,22,FALSE))</f>
        <v>0.59</v>
      </c>
      <c r="AF2076" s="16">
        <f>IF(ISERROR(VLOOKUP($A2076,'13. Updated Demand'!A:Z,23,FALSE)),0,VLOOKUP($A2076,'13. Updated Demand'!A:Z,23,FALSE))</f>
        <v>0.23</v>
      </c>
      <c r="AG2076" s="16">
        <f>IF(ISERROR(VLOOKUP($A2076,'13. Updated Demand'!A:Z,24,FALSE)),0,VLOOKUP($A2076,'13. Updated Demand'!A:Z,24,FALSE))</f>
        <v>0</v>
      </c>
      <c r="AH2076" s="16">
        <f>IF(ISERROR(VLOOKUP($A2076,'13. Updated Demand'!A:Z,25,FALSE)),0,VLOOKUP($A2076,'13. Updated Demand'!A:Z,25,FALSE))</f>
        <v>0</v>
      </c>
      <c r="AI2076" s="16">
        <f>IF(ISERROR(VLOOKUP($A2076,'13. Updated Demand'!A:Z,26,FALSE)),0,VLOOKUP($A2076,'13. Updated Demand'!A:Z,26,FALSE))</f>
        <v>0</v>
      </c>
      <c r="AJ2076" s="16">
        <f t="shared" si="397"/>
        <v>3.02</v>
      </c>
      <c r="AK2076" s="19">
        <v>2.5866729990000001</v>
      </c>
      <c r="AL2076" s="16">
        <f t="shared" si="395"/>
        <v>8.5796996879393961E-3</v>
      </c>
      <c r="AM2076" s="26">
        <v>0.54443926131002196</v>
      </c>
      <c r="AN2076" s="19">
        <v>5.6166999999999998</v>
      </c>
      <c r="AO2076" s="19" t="s">
        <v>1758</v>
      </c>
      <c r="AP2076" s="19">
        <v>0</v>
      </c>
      <c r="AQ2076" s="19" t="s">
        <v>307</v>
      </c>
      <c r="AR2076" s="9" t="s">
        <v>317</v>
      </c>
      <c r="AS2076" s="12">
        <v>0</v>
      </c>
      <c r="AT2076" s="19">
        <v>39.197299999999998</v>
      </c>
      <c r="AU2076" s="19">
        <v>-123.19589999999999</v>
      </c>
      <c r="AV2076" s="19" t="s">
        <v>387</v>
      </c>
    </row>
    <row r="2077" spans="1:48" x14ac:dyDescent="0.25">
      <c r="A2077" s="18" t="s">
        <v>2504</v>
      </c>
      <c r="B2077" s="10">
        <v>10000000</v>
      </c>
      <c r="C2077" s="9">
        <v>5</v>
      </c>
      <c r="D2077" s="8" t="str">
        <f t="shared" si="386"/>
        <v>Y</v>
      </c>
      <c r="E2077" s="8" t="str">
        <f t="shared" si="387"/>
        <v>N</v>
      </c>
      <c r="F2077" s="8" t="str">
        <f t="shared" si="388"/>
        <v>Y</v>
      </c>
      <c r="G2077" s="8" t="str">
        <f t="shared" si="389"/>
        <v>Y</v>
      </c>
      <c r="H2077" s="8" t="str">
        <f t="shared" si="390"/>
        <v>Upper</v>
      </c>
      <c r="I2077" s="8" t="str">
        <f t="shared" si="391"/>
        <v>West Fork and Below Lake</v>
      </c>
      <c r="J2077" s="8" t="str">
        <f t="shared" si="392"/>
        <v>Mendocino (d/s of lake)</v>
      </c>
      <c r="K2077" s="8" t="str">
        <f t="shared" si="393"/>
        <v>Riparian</v>
      </c>
      <c r="L2077" s="8">
        <f t="shared" si="394"/>
        <v>1000</v>
      </c>
      <c r="M2077" s="8" t="str">
        <f t="shared" si="396"/>
        <v>-</v>
      </c>
      <c r="N2077" s="10" t="s">
        <v>242</v>
      </c>
      <c r="O2077" s="10" t="s">
        <v>241</v>
      </c>
      <c r="P2077" s="10" t="s">
        <v>242</v>
      </c>
      <c r="Q2077" s="10" t="s">
        <v>242</v>
      </c>
      <c r="R2077" s="10" t="s">
        <v>242</v>
      </c>
      <c r="S2077" s="10" t="s">
        <v>241</v>
      </c>
      <c r="T2077" s="10" t="s">
        <v>242</v>
      </c>
      <c r="U2077" s="10" t="s">
        <v>241</v>
      </c>
      <c r="V2077" s="10" t="s">
        <v>241</v>
      </c>
      <c r="W2077" s="10" t="s">
        <v>242</v>
      </c>
      <c r="X2077" s="15">
        <f>IF(ISERROR(VLOOKUP($A2077,'13. Updated Demand'!A:Z,15,FALSE)),0,VLOOKUP($A2077,'13. Updated Demand'!A:Z,15,FALSE))</f>
        <v>0</v>
      </c>
      <c r="Y2077" s="16">
        <f>IF(ISERROR(VLOOKUP($A2077,'13. Updated Demand'!A:Z,16,FALSE)),0,VLOOKUP($A2077,'13. Updated Demand'!A:Z,16,FALSE))</f>
        <v>0</v>
      </c>
      <c r="Z2077" s="16">
        <f>IF(ISERROR(VLOOKUP($A2077,'13. Updated Demand'!A:Z,17,FALSE)),0,VLOOKUP($A2077,'13. Updated Demand'!A:Z,17,FALSE))</f>
        <v>0</v>
      </c>
      <c r="AA2077" s="16">
        <f>IF(ISERROR(VLOOKUP($A2077,'13. Updated Demand'!A:Z,18,FALSE)),0,VLOOKUP($A2077,'13. Updated Demand'!A:Z,18,FALSE))</f>
        <v>0</v>
      </c>
      <c r="AB2077" s="16">
        <f>IF(ISERROR(VLOOKUP($A2077,'13. Updated Demand'!A:Z,19,FALSE)),0,VLOOKUP($A2077,'13. Updated Demand'!A:Z,19,FALSE))</f>
        <v>0</v>
      </c>
      <c r="AC2077" s="16">
        <f>IF(ISERROR(VLOOKUP($A2077,'13. Updated Demand'!A:Z,20,FALSE)),0,VLOOKUP($A2077,'13. Updated Demand'!A:Z,20,FALSE))</f>
        <v>0</v>
      </c>
      <c r="AD2077" s="16">
        <f>IF(ISERROR(VLOOKUP($A2077,'13. Updated Demand'!A:Z,21,FALSE)),0,VLOOKUP($A2077,'13. Updated Demand'!A:Z,21,FALSE))</f>
        <v>0</v>
      </c>
      <c r="AE2077" s="16">
        <f>IF(ISERROR(VLOOKUP($A2077,'13. Updated Demand'!A:Z,22,FALSE)),0,VLOOKUP($A2077,'13. Updated Demand'!A:Z,22,FALSE))</f>
        <v>0</v>
      </c>
      <c r="AF2077" s="16">
        <f>IF(ISERROR(VLOOKUP($A2077,'13. Updated Demand'!A:Z,23,FALSE)),0,VLOOKUP($A2077,'13. Updated Demand'!A:Z,23,FALSE))</f>
        <v>0</v>
      </c>
      <c r="AG2077" s="16">
        <f>IF(ISERROR(VLOOKUP($A2077,'13. Updated Demand'!A:Z,24,FALSE)),0,VLOOKUP($A2077,'13. Updated Demand'!A:Z,24,FALSE))</f>
        <v>0</v>
      </c>
      <c r="AH2077" s="16">
        <f>IF(ISERROR(VLOOKUP($A2077,'13. Updated Demand'!A:Z,25,FALSE)),0,VLOOKUP($A2077,'13. Updated Demand'!A:Z,25,FALSE))</f>
        <v>0</v>
      </c>
      <c r="AI2077" s="16">
        <f>IF(ISERROR(VLOOKUP($A2077,'13. Updated Demand'!A:Z,26,FALSE)),0,VLOOKUP($A2077,'13. Updated Demand'!A:Z,26,FALSE))</f>
        <v>0</v>
      </c>
      <c r="AJ2077" s="16">
        <f t="shared" si="397"/>
        <v>0</v>
      </c>
      <c r="AK2077" s="19">
        <v>0</v>
      </c>
      <c r="AL2077" s="16">
        <f t="shared" si="395"/>
        <v>0</v>
      </c>
      <c r="AM2077" s="26">
        <v>0</v>
      </c>
      <c r="AN2077" s="19">
        <v>1.8</v>
      </c>
      <c r="AO2077" s="19" t="s">
        <v>1758</v>
      </c>
      <c r="AP2077" s="19">
        <v>0</v>
      </c>
      <c r="AQ2077" s="19" t="s">
        <v>307</v>
      </c>
      <c r="AR2077" s="9" t="s">
        <v>333</v>
      </c>
      <c r="AS2077" s="12">
        <v>0</v>
      </c>
      <c r="AT2077" s="19">
        <v>39.082500000000003</v>
      </c>
      <c r="AU2077" s="19">
        <v>-123.1895</v>
      </c>
      <c r="AV2077" s="19" t="s">
        <v>2505</v>
      </c>
    </row>
    <row r="2078" spans="1:48" x14ac:dyDescent="0.25">
      <c r="A2078" s="18" t="s">
        <v>2506</v>
      </c>
      <c r="B2078" s="10">
        <v>10000000</v>
      </c>
      <c r="C2078" s="9">
        <v>1</v>
      </c>
      <c r="D2078" s="8" t="str">
        <f t="shared" si="386"/>
        <v>N</v>
      </c>
      <c r="E2078" s="8" t="str">
        <f t="shared" si="387"/>
        <v>N</v>
      </c>
      <c r="F2078" s="8" t="str">
        <f t="shared" si="388"/>
        <v>Y</v>
      </c>
      <c r="G2078" s="8" t="str">
        <f t="shared" si="389"/>
        <v>Y</v>
      </c>
      <c r="H2078" s="8" t="str">
        <f t="shared" si="390"/>
        <v>Upper</v>
      </c>
      <c r="I2078" s="8" t="str">
        <f t="shared" si="391"/>
        <v>West Fork and Below Lake</v>
      </c>
      <c r="J2078" s="8" t="str">
        <f t="shared" si="392"/>
        <v>Outside</v>
      </c>
      <c r="K2078" s="8" t="str">
        <f t="shared" si="393"/>
        <v>Riparian</v>
      </c>
      <c r="L2078" s="8">
        <f t="shared" si="394"/>
        <v>1000</v>
      </c>
      <c r="M2078" s="8" t="str">
        <f t="shared" si="396"/>
        <v>-</v>
      </c>
      <c r="N2078" s="10" t="s">
        <v>242</v>
      </c>
      <c r="O2078" s="10" t="s">
        <v>241</v>
      </c>
      <c r="P2078" s="10" t="s">
        <v>242</v>
      </c>
      <c r="Q2078" s="10" t="s">
        <v>242</v>
      </c>
      <c r="R2078" s="10" t="s">
        <v>242</v>
      </c>
      <c r="S2078" s="10" t="s">
        <v>241</v>
      </c>
      <c r="T2078" s="10" t="s">
        <v>242</v>
      </c>
      <c r="U2078" s="10" t="s">
        <v>242</v>
      </c>
      <c r="V2078" s="10" t="s">
        <v>241</v>
      </c>
      <c r="W2078" s="10" t="s">
        <v>242</v>
      </c>
      <c r="X2078" s="15">
        <f>IF(ISERROR(VLOOKUP($A2078,'13. Updated Demand'!A:Z,15,FALSE)),0,VLOOKUP($A2078,'13. Updated Demand'!A:Z,15,FALSE))</f>
        <v>0.16</v>
      </c>
      <c r="Y2078" s="16">
        <f>IF(ISERROR(VLOOKUP($A2078,'13. Updated Demand'!A:Z,16,FALSE)),0,VLOOKUP($A2078,'13. Updated Demand'!A:Z,16,FALSE))</f>
        <v>0.08</v>
      </c>
      <c r="Z2078" s="16">
        <f>IF(ISERROR(VLOOKUP($A2078,'13. Updated Demand'!A:Z,17,FALSE)),0,VLOOKUP($A2078,'13. Updated Demand'!A:Z,17,FALSE))</f>
        <v>0.08</v>
      </c>
      <c r="AA2078" s="16">
        <f>IF(ISERROR(VLOOKUP($A2078,'13. Updated Demand'!A:Z,18,FALSE)),0,VLOOKUP($A2078,'13. Updated Demand'!A:Z,18,FALSE))</f>
        <v>0.08</v>
      </c>
      <c r="AB2078" s="16">
        <f>IF(ISERROR(VLOOKUP($A2078,'13. Updated Demand'!A:Z,19,FALSE)),0,VLOOKUP($A2078,'13. Updated Demand'!A:Z,19,FALSE))</f>
        <v>0</v>
      </c>
      <c r="AC2078" s="16">
        <f>IF(ISERROR(VLOOKUP($A2078,'13. Updated Demand'!A:Z,20,FALSE)),0,VLOOKUP($A2078,'13. Updated Demand'!A:Z,20,FALSE))</f>
        <v>0</v>
      </c>
      <c r="AD2078" s="16">
        <f>IF(ISERROR(VLOOKUP($A2078,'13. Updated Demand'!A:Z,21,FALSE)),0,VLOOKUP($A2078,'13. Updated Demand'!A:Z,21,FALSE))</f>
        <v>0</v>
      </c>
      <c r="AE2078" s="16">
        <f>IF(ISERROR(VLOOKUP($A2078,'13. Updated Demand'!A:Z,22,FALSE)),0,VLOOKUP($A2078,'13. Updated Demand'!A:Z,22,FALSE))</f>
        <v>0</v>
      </c>
      <c r="AF2078" s="16">
        <f>IF(ISERROR(VLOOKUP($A2078,'13. Updated Demand'!A:Z,23,FALSE)),0,VLOOKUP($A2078,'13. Updated Demand'!A:Z,23,FALSE))</f>
        <v>0</v>
      </c>
      <c r="AG2078" s="16">
        <f>IF(ISERROR(VLOOKUP($A2078,'13. Updated Demand'!A:Z,24,FALSE)),0,VLOOKUP($A2078,'13. Updated Demand'!A:Z,24,FALSE))</f>
        <v>0</v>
      </c>
      <c r="AH2078" s="16">
        <f>IF(ISERROR(VLOOKUP($A2078,'13. Updated Demand'!A:Z,25,FALSE)),0,VLOOKUP($A2078,'13. Updated Demand'!A:Z,25,FALSE))</f>
        <v>0</v>
      </c>
      <c r="AI2078" s="16">
        <f>IF(ISERROR(VLOOKUP($A2078,'13. Updated Demand'!A:Z,26,FALSE)),0,VLOOKUP($A2078,'13. Updated Demand'!A:Z,26,FALSE))</f>
        <v>0</v>
      </c>
      <c r="AJ2078" s="16">
        <f t="shared" si="397"/>
        <v>0.4</v>
      </c>
      <c r="AK2078" s="19">
        <v>0</v>
      </c>
      <c r="AL2078" s="16">
        <f t="shared" si="395"/>
        <v>0</v>
      </c>
      <c r="AM2078" s="26">
        <v>6.1728394962962962</v>
      </c>
      <c r="AN2078" s="19">
        <v>6.7500000000000004E-2</v>
      </c>
      <c r="AO2078" s="19" t="s">
        <v>1758</v>
      </c>
      <c r="AP2078" s="19">
        <v>0</v>
      </c>
      <c r="AQ2078" s="19" t="s">
        <v>307</v>
      </c>
      <c r="AR2078" s="9" t="s">
        <v>317</v>
      </c>
      <c r="AS2078" s="12">
        <v>0</v>
      </c>
      <c r="AT2078" s="19">
        <v>39.230899999999998</v>
      </c>
      <c r="AU2078" s="19">
        <v>-123.2075</v>
      </c>
      <c r="AV2078" s="19" t="s">
        <v>2507</v>
      </c>
    </row>
    <row r="2079" spans="1:48" x14ac:dyDescent="0.25">
      <c r="A2079" s="18" t="s">
        <v>2508</v>
      </c>
      <c r="B2079" s="10">
        <v>10000000</v>
      </c>
      <c r="C2079" s="9">
        <v>14</v>
      </c>
      <c r="D2079" s="8" t="str">
        <f t="shared" si="386"/>
        <v>N</v>
      </c>
      <c r="E2079" s="8" t="str">
        <f t="shared" si="387"/>
        <v>N</v>
      </c>
      <c r="F2079" s="8" t="str">
        <f t="shared" si="388"/>
        <v>N</v>
      </c>
      <c r="G2079" s="8" t="str">
        <f t="shared" si="389"/>
        <v>N</v>
      </c>
      <c r="H2079" s="8" t="str">
        <f t="shared" si="390"/>
        <v>Lower</v>
      </c>
      <c r="I2079" s="8" t="str">
        <f t="shared" si="391"/>
        <v>Outside</v>
      </c>
      <c r="J2079" s="8" t="str">
        <f t="shared" si="392"/>
        <v>Outside</v>
      </c>
      <c r="K2079" s="8" t="str">
        <f t="shared" si="393"/>
        <v>Riparian</v>
      </c>
      <c r="L2079" s="8">
        <f t="shared" si="394"/>
        <v>1000</v>
      </c>
      <c r="M2079" s="8" t="str">
        <f t="shared" si="396"/>
        <v>-</v>
      </c>
      <c r="N2079" s="10" t="s">
        <v>242</v>
      </c>
      <c r="O2079" s="10" t="s">
        <v>242</v>
      </c>
      <c r="P2079" s="10" t="s">
        <v>242</v>
      </c>
      <c r="Q2079" s="10" t="s">
        <v>242</v>
      </c>
      <c r="R2079" s="10" t="s">
        <v>242</v>
      </c>
      <c r="S2079" s="10" t="s">
        <v>241</v>
      </c>
      <c r="T2079" s="10" t="s">
        <v>242</v>
      </c>
      <c r="U2079" s="10" t="s">
        <v>241</v>
      </c>
      <c r="V2079" s="10" t="s">
        <v>241</v>
      </c>
      <c r="W2079" s="10" t="s">
        <v>242</v>
      </c>
      <c r="X2079" s="15">
        <f>IF(ISERROR(VLOOKUP($A2079,'13. Updated Demand'!A:Z,15,FALSE)),0,VLOOKUP($A2079,'13. Updated Demand'!A:Z,15,FALSE))</f>
        <v>0</v>
      </c>
      <c r="Y2079" s="16">
        <f>IF(ISERROR(VLOOKUP($A2079,'13. Updated Demand'!A:Z,16,FALSE)),0,VLOOKUP($A2079,'13. Updated Demand'!A:Z,16,FALSE))</f>
        <v>0</v>
      </c>
      <c r="Z2079" s="16">
        <f>IF(ISERROR(VLOOKUP($A2079,'13. Updated Demand'!A:Z,17,FALSE)),0,VLOOKUP($A2079,'13. Updated Demand'!A:Z,17,FALSE))</f>
        <v>0</v>
      </c>
      <c r="AA2079" s="16">
        <f>IF(ISERROR(VLOOKUP($A2079,'13. Updated Demand'!A:Z,18,FALSE)),0,VLOOKUP($A2079,'13. Updated Demand'!A:Z,18,FALSE))</f>
        <v>0</v>
      </c>
      <c r="AB2079" s="16">
        <f>IF(ISERROR(VLOOKUP($A2079,'13. Updated Demand'!A:Z,19,FALSE)),0,VLOOKUP($A2079,'13. Updated Demand'!A:Z,19,FALSE))</f>
        <v>0</v>
      </c>
      <c r="AC2079" s="16">
        <f>IF(ISERROR(VLOOKUP($A2079,'13. Updated Demand'!A:Z,20,FALSE)),0,VLOOKUP($A2079,'13. Updated Demand'!A:Z,20,FALSE))</f>
        <v>0</v>
      </c>
      <c r="AD2079" s="16">
        <f>IF(ISERROR(VLOOKUP($A2079,'13. Updated Demand'!A:Z,21,FALSE)),0,VLOOKUP($A2079,'13. Updated Demand'!A:Z,21,FALSE))</f>
        <v>0</v>
      </c>
      <c r="AE2079" s="16">
        <f>IF(ISERROR(VLOOKUP($A2079,'13. Updated Demand'!A:Z,22,FALSE)),0,VLOOKUP($A2079,'13. Updated Demand'!A:Z,22,FALSE))</f>
        <v>0</v>
      </c>
      <c r="AF2079" s="16">
        <f>IF(ISERROR(VLOOKUP($A2079,'13. Updated Demand'!A:Z,23,FALSE)),0,VLOOKUP($A2079,'13. Updated Demand'!A:Z,23,FALSE))</f>
        <v>0</v>
      </c>
      <c r="AG2079" s="16">
        <f>IF(ISERROR(VLOOKUP($A2079,'13. Updated Demand'!A:Z,24,FALSE)),0,VLOOKUP($A2079,'13. Updated Demand'!A:Z,24,FALSE))</f>
        <v>0</v>
      </c>
      <c r="AH2079" s="16">
        <f>IF(ISERROR(VLOOKUP($A2079,'13. Updated Demand'!A:Z,25,FALSE)),0,VLOOKUP($A2079,'13. Updated Demand'!A:Z,25,FALSE))</f>
        <v>0</v>
      </c>
      <c r="AI2079" s="16">
        <f>IF(ISERROR(VLOOKUP($A2079,'13. Updated Demand'!A:Z,26,FALSE)),0,VLOOKUP($A2079,'13. Updated Demand'!A:Z,26,FALSE))</f>
        <v>0</v>
      </c>
      <c r="AJ2079" s="16">
        <f t="shared" si="397"/>
        <v>0</v>
      </c>
      <c r="AK2079" s="19">
        <v>0</v>
      </c>
      <c r="AL2079" s="16">
        <f t="shared" si="395"/>
        <v>0</v>
      </c>
      <c r="AM2079" s="26">
        <v>0</v>
      </c>
      <c r="AN2079" s="19">
        <v>33.36</v>
      </c>
      <c r="AO2079" s="19" t="s">
        <v>1758</v>
      </c>
      <c r="AP2079" s="19">
        <v>0</v>
      </c>
      <c r="AQ2079" s="19" t="s">
        <v>307</v>
      </c>
      <c r="AR2079" s="9" t="s">
        <v>493</v>
      </c>
      <c r="AS2079" s="12">
        <v>0</v>
      </c>
      <c r="AT2079" s="19">
        <v>38.6999</v>
      </c>
      <c r="AU2079" s="19">
        <v>-122.9599</v>
      </c>
      <c r="AV2079" s="19" t="s">
        <v>932</v>
      </c>
    </row>
    <row r="2080" spans="1:48" x14ac:dyDescent="0.25">
      <c r="A2080" s="18" t="s">
        <v>2509</v>
      </c>
      <c r="B2080" s="10">
        <v>10000000</v>
      </c>
      <c r="C2080" s="9">
        <v>4</v>
      </c>
      <c r="D2080" s="8" t="str">
        <f t="shared" si="386"/>
        <v>Y</v>
      </c>
      <c r="E2080" s="8" t="str">
        <f t="shared" si="387"/>
        <v>N</v>
      </c>
      <c r="F2080" s="8" t="str">
        <f t="shared" si="388"/>
        <v>Y</v>
      </c>
      <c r="G2080" s="8" t="str">
        <f t="shared" si="389"/>
        <v>Y</v>
      </c>
      <c r="H2080" s="8" t="str">
        <f t="shared" si="390"/>
        <v>Upper</v>
      </c>
      <c r="I2080" s="8" t="str">
        <f t="shared" si="391"/>
        <v>West Fork and Below Lake</v>
      </c>
      <c r="J2080" s="8" t="str">
        <f t="shared" si="392"/>
        <v>Mendocino (d/s of lake)</v>
      </c>
      <c r="K2080" s="8" t="str">
        <f t="shared" si="393"/>
        <v>Riparian</v>
      </c>
      <c r="L2080" s="8">
        <f t="shared" si="394"/>
        <v>1000</v>
      </c>
      <c r="M2080" s="8" t="str">
        <f t="shared" si="396"/>
        <v>-</v>
      </c>
      <c r="N2080" s="10" t="s">
        <v>241</v>
      </c>
      <c r="O2080" s="10" t="s">
        <v>241</v>
      </c>
      <c r="P2080" s="10" t="s">
        <v>242</v>
      </c>
      <c r="Q2080" s="10" t="s">
        <v>242</v>
      </c>
      <c r="R2080" s="10" t="s">
        <v>242</v>
      </c>
      <c r="S2080" s="10" t="s">
        <v>241</v>
      </c>
      <c r="T2080" s="10" t="s">
        <v>242</v>
      </c>
      <c r="U2080" s="10" t="s">
        <v>242</v>
      </c>
      <c r="V2080" s="10" t="s">
        <v>242</v>
      </c>
      <c r="W2080" s="10" t="s">
        <v>242</v>
      </c>
      <c r="X2080" s="15">
        <f>IF(ISERROR(VLOOKUP($A2080,'13. Updated Demand'!A:Z,15,FALSE)),0,VLOOKUP($A2080,'13. Updated Demand'!A:Z,15,FALSE))</f>
        <v>0</v>
      </c>
      <c r="Y2080" s="16">
        <f>IF(ISERROR(VLOOKUP($A2080,'13. Updated Demand'!A:Z,16,FALSE)),0,VLOOKUP($A2080,'13. Updated Demand'!A:Z,16,FALSE))</f>
        <v>0</v>
      </c>
      <c r="Z2080" s="16">
        <f>IF(ISERROR(VLOOKUP($A2080,'13. Updated Demand'!A:Z,17,FALSE)),0,VLOOKUP($A2080,'13. Updated Demand'!A:Z,17,FALSE))</f>
        <v>0</v>
      </c>
      <c r="AA2080" s="16">
        <f>IF(ISERROR(VLOOKUP($A2080,'13. Updated Demand'!A:Z,18,FALSE)),0,VLOOKUP($A2080,'13. Updated Demand'!A:Z,18,FALSE))</f>
        <v>0</v>
      </c>
      <c r="AB2080" s="16">
        <f>IF(ISERROR(VLOOKUP($A2080,'13. Updated Demand'!A:Z,19,FALSE)),0,VLOOKUP($A2080,'13. Updated Demand'!A:Z,19,FALSE))</f>
        <v>0</v>
      </c>
      <c r="AC2080" s="16">
        <f>IF(ISERROR(VLOOKUP($A2080,'13. Updated Demand'!A:Z,20,FALSE)),0,VLOOKUP($A2080,'13. Updated Demand'!A:Z,20,FALSE))</f>
        <v>0</v>
      </c>
      <c r="AD2080" s="16">
        <f>IF(ISERROR(VLOOKUP($A2080,'13. Updated Demand'!A:Z,21,FALSE)),0,VLOOKUP($A2080,'13. Updated Demand'!A:Z,21,FALSE))</f>
        <v>20.66</v>
      </c>
      <c r="AE2080" s="16">
        <f>IF(ISERROR(VLOOKUP($A2080,'13. Updated Demand'!A:Z,22,FALSE)),0,VLOOKUP($A2080,'13. Updated Demand'!A:Z,22,FALSE))</f>
        <v>17</v>
      </c>
      <c r="AF2080" s="16">
        <f>IF(ISERROR(VLOOKUP($A2080,'13. Updated Demand'!A:Z,23,FALSE)),0,VLOOKUP($A2080,'13. Updated Demand'!A:Z,23,FALSE))</f>
        <v>4.33</v>
      </c>
      <c r="AG2080" s="16">
        <f>IF(ISERROR(VLOOKUP($A2080,'13. Updated Demand'!A:Z,24,FALSE)),0,VLOOKUP($A2080,'13. Updated Demand'!A:Z,24,FALSE))</f>
        <v>0</v>
      </c>
      <c r="AH2080" s="16">
        <f>IF(ISERROR(VLOOKUP($A2080,'13. Updated Demand'!A:Z,25,FALSE)),0,VLOOKUP($A2080,'13. Updated Demand'!A:Z,25,FALSE))</f>
        <v>0</v>
      </c>
      <c r="AI2080" s="16">
        <f>IF(ISERROR(VLOOKUP($A2080,'13. Updated Demand'!A:Z,26,FALSE)),0,VLOOKUP($A2080,'13. Updated Demand'!A:Z,26,FALSE))</f>
        <v>0</v>
      </c>
      <c r="AJ2080" s="16">
        <f t="shared" si="397"/>
        <v>41.989999999999995</v>
      </c>
      <c r="AK2080" s="19">
        <v>42.000000000000028</v>
      </c>
      <c r="AL2080" s="16">
        <f t="shared" si="395"/>
        <v>0.13930921575041147</v>
      </c>
      <c r="AM2080" s="26">
        <v>6.9394395113841545E-2</v>
      </c>
      <c r="AN2080" s="19">
        <v>605.23620000000005</v>
      </c>
      <c r="AO2080" s="19" t="s">
        <v>1758</v>
      </c>
      <c r="AP2080" s="19">
        <v>0</v>
      </c>
      <c r="AQ2080" s="19" t="s">
        <v>307</v>
      </c>
      <c r="AR2080" s="9" t="s">
        <v>331</v>
      </c>
      <c r="AS2080" s="12">
        <v>0</v>
      </c>
      <c r="AT2080" s="19">
        <v>39.142200000000003</v>
      </c>
      <c r="AU2080" s="19">
        <v>-123.18380000000001</v>
      </c>
      <c r="AV2080" s="19" t="s">
        <v>2510</v>
      </c>
    </row>
    <row r="2081" spans="1:48" x14ac:dyDescent="0.25">
      <c r="A2081" s="18" t="s">
        <v>2511</v>
      </c>
      <c r="B2081" s="10">
        <v>10000000</v>
      </c>
      <c r="C2081" s="9">
        <v>4</v>
      </c>
      <c r="D2081" s="8" t="str">
        <f t="shared" si="386"/>
        <v>Y</v>
      </c>
      <c r="E2081" s="8" t="str">
        <f t="shared" si="387"/>
        <v>N</v>
      </c>
      <c r="F2081" s="8" t="str">
        <f t="shared" si="388"/>
        <v>Y</v>
      </c>
      <c r="G2081" s="8" t="str">
        <f t="shared" si="389"/>
        <v>Y</v>
      </c>
      <c r="H2081" s="8" t="str">
        <f t="shared" si="390"/>
        <v>Upper</v>
      </c>
      <c r="I2081" s="8" t="str">
        <f t="shared" si="391"/>
        <v>West Fork and Below Lake</v>
      </c>
      <c r="J2081" s="8" t="str">
        <f t="shared" si="392"/>
        <v>Mendocino (d/s of lake)</v>
      </c>
      <c r="K2081" s="8" t="str">
        <f t="shared" si="393"/>
        <v>Riparian</v>
      </c>
      <c r="L2081" s="8">
        <f t="shared" si="394"/>
        <v>1000</v>
      </c>
      <c r="M2081" s="8" t="str">
        <f t="shared" si="396"/>
        <v>-</v>
      </c>
      <c r="N2081" s="10" t="s">
        <v>241</v>
      </c>
      <c r="O2081" s="10" t="s">
        <v>241</v>
      </c>
      <c r="P2081" s="10" t="s">
        <v>242</v>
      </c>
      <c r="Q2081" s="10" t="s">
        <v>242</v>
      </c>
      <c r="R2081" s="10" t="s">
        <v>242</v>
      </c>
      <c r="S2081" s="10" t="s">
        <v>241</v>
      </c>
      <c r="T2081" s="10" t="s">
        <v>242</v>
      </c>
      <c r="U2081" s="10" t="s">
        <v>242</v>
      </c>
      <c r="V2081" s="10" t="s">
        <v>242</v>
      </c>
      <c r="W2081" s="10" t="s">
        <v>242</v>
      </c>
      <c r="X2081" s="15">
        <f>IF(ISERROR(VLOOKUP($A2081,'13. Updated Demand'!A:Z,15,FALSE)),0,VLOOKUP($A2081,'13. Updated Demand'!A:Z,15,FALSE))</f>
        <v>0</v>
      </c>
      <c r="Y2081" s="16">
        <f>IF(ISERROR(VLOOKUP($A2081,'13. Updated Demand'!A:Z,16,FALSE)),0,VLOOKUP($A2081,'13. Updated Demand'!A:Z,16,FALSE))</f>
        <v>0</v>
      </c>
      <c r="Z2081" s="16">
        <f>IF(ISERROR(VLOOKUP($A2081,'13. Updated Demand'!A:Z,17,FALSE)),0,VLOOKUP($A2081,'13. Updated Demand'!A:Z,17,FALSE))</f>
        <v>0</v>
      </c>
      <c r="AA2081" s="16">
        <f>IF(ISERROR(VLOOKUP($A2081,'13. Updated Demand'!A:Z,18,FALSE)),0,VLOOKUP($A2081,'13. Updated Demand'!A:Z,18,FALSE))</f>
        <v>0</v>
      </c>
      <c r="AB2081" s="16">
        <f>IF(ISERROR(VLOOKUP($A2081,'13. Updated Demand'!A:Z,19,FALSE)),0,VLOOKUP($A2081,'13. Updated Demand'!A:Z,19,FALSE))</f>
        <v>0</v>
      </c>
      <c r="AC2081" s="16">
        <f>IF(ISERROR(VLOOKUP($A2081,'13. Updated Demand'!A:Z,20,FALSE)),0,VLOOKUP($A2081,'13. Updated Demand'!A:Z,20,FALSE))</f>
        <v>0</v>
      </c>
      <c r="AD2081" s="16">
        <f>IF(ISERROR(VLOOKUP($A2081,'13. Updated Demand'!A:Z,21,FALSE)),0,VLOOKUP($A2081,'13. Updated Demand'!A:Z,21,FALSE))</f>
        <v>5.66</v>
      </c>
      <c r="AE2081" s="16">
        <f>IF(ISERROR(VLOOKUP($A2081,'13. Updated Demand'!A:Z,22,FALSE)),0,VLOOKUP($A2081,'13. Updated Demand'!A:Z,22,FALSE))</f>
        <v>4.33</v>
      </c>
      <c r="AF2081" s="16">
        <f>IF(ISERROR(VLOOKUP($A2081,'13. Updated Demand'!A:Z,23,FALSE)),0,VLOOKUP($A2081,'13. Updated Demand'!A:Z,23,FALSE))</f>
        <v>1.33</v>
      </c>
      <c r="AG2081" s="16">
        <f>IF(ISERROR(VLOOKUP($A2081,'13. Updated Demand'!A:Z,24,FALSE)),0,VLOOKUP($A2081,'13. Updated Demand'!A:Z,24,FALSE))</f>
        <v>0</v>
      </c>
      <c r="AH2081" s="16">
        <f>IF(ISERROR(VLOOKUP($A2081,'13. Updated Demand'!A:Z,25,FALSE)),0,VLOOKUP($A2081,'13. Updated Demand'!A:Z,25,FALSE))</f>
        <v>0</v>
      </c>
      <c r="AI2081" s="16">
        <f>IF(ISERROR(VLOOKUP($A2081,'13. Updated Demand'!A:Z,26,FALSE)),0,VLOOKUP($A2081,'13. Updated Demand'!A:Z,26,FALSE))</f>
        <v>0</v>
      </c>
      <c r="AJ2081" s="16">
        <f t="shared" si="397"/>
        <v>11.32</v>
      </c>
      <c r="AK2081" s="19">
        <v>11.33333333333333</v>
      </c>
      <c r="AL2081" s="16">
        <f t="shared" si="395"/>
        <v>3.7591375678682426E-2</v>
      </c>
      <c r="AM2081" s="26">
        <v>4.6841711386724057E-2</v>
      </c>
      <c r="AN2081" s="19">
        <v>241.9496</v>
      </c>
      <c r="AO2081" s="19" t="s">
        <v>1758</v>
      </c>
      <c r="AP2081" s="19">
        <v>0</v>
      </c>
      <c r="AQ2081" s="19" t="s">
        <v>307</v>
      </c>
      <c r="AR2081" s="9" t="s">
        <v>331</v>
      </c>
      <c r="AS2081" s="12">
        <v>0</v>
      </c>
      <c r="AT2081" s="19">
        <v>39.142200000000003</v>
      </c>
      <c r="AU2081" s="19">
        <v>-123.18380000000001</v>
      </c>
      <c r="AV2081" s="19" t="s">
        <v>548</v>
      </c>
    </row>
    <row r="2082" spans="1:48" x14ac:dyDescent="0.25">
      <c r="A2082" s="18" t="s">
        <v>2512</v>
      </c>
      <c r="B2082" s="10">
        <v>10000000</v>
      </c>
      <c r="C2082" s="9">
        <v>4</v>
      </c>
      <c r="D2082" s="8" t="str">
        <f t="shared" si="386"/>
        <v>Y</v>
      </c>
      <c r="E2082" s="8" t="str">
        <f t="shared" si="387"/>
        <v>N</v>
      </c>
      <c r="F2082" s="8" t="str">
        <f t="shared" si="388"/>
        <v>Y</v>
      </c>
      <c r="G2082" s="8" t="str">
        <f t="shared" si="389"/>
        <v>Y</v>
      </c>
      <c r="H2082" s="8" t="str">
        <f t="shared" si="390"/>
        <v>Upper</v>
      </c>
      <c r="I2082" s="8" t="str">
        <f t="shared" si="391"/>
        <v>West Fork and Below Lake</v>
      </c>
      <c r="J2082" s="8" t="str">
        <f t="shared" si="392"/>
        <v>Mendocino (d/s of lake)</v>
      </c>
      <c r="K2082" s="8" t="str">
        <f t="shared" si="393"/>
        <v>Riparian</v>
      </c>
      <c r="L2082" s="8">
        <f t="shared" si="394"/>
        <v>1000</v>
      </c>
      <c r="M2082" s="8" t="str">
        <f t="shared" si="396"/>
        <v>-</v>
      </c>
      <c r="N2082" s="10" t="s">
        <v>241</v>
      </c>
      <c r="O2082" s="10" t="s">
        <v>241</v>
      </c>
      <c r="P2082" s="10" t="s">
        <v>242</v>
      </c>
      <c r="Q2082" s="10" t="s">
        <v>242</v>
      </c>
      <c r="R2082" s="10" t="s">
        <v>242</v>
      </c>
      <c r="S2082" s="10" t="s">
        <v>241</v>
      </c>
      <c r="T2082" s="10" t="s">
        <v>242</v>
      </c>
      <c r="U2082" s="10" t="s">
        <v>241</v>
      </c>
      <c r="V2082" s="10" t="s">
        <v>241</v>
      </c>
      <c r="W2082" s="10" t="s">
        <v>242</v>
      </c>
      <c r="X2082" s="15">
        <f>IF(ISERROR(VLOOKUP($A2082,'13. Updated Demand'!A:Z,15,FALSE)),0,VLOOKUP($A2082,'13. Updated Demand'!A:Z,15,FALSE))</f>
        <v>0</v>
      </c>
      <c r="Y2082" s="16">
        <f>IF(ISERROR(VLOOKUP($A2082,'13. Updated Demand'!A:Z,16,FALSE)),0,VLOOKUP($A2082,'13. Updated Demand'!A:Z,16,FALSE))</f>
        <v>0</v>
      </c>
      <c r="Z2082" s="16">
        <f>IF(ISERROR(VLOOKUP($A2082,'13. Updated Demand'!A:Z,17,FALSE)),0,VLOOKUP($A2082,'13. Updated Demand'!A:Z,17,FALSE))</f>
        <v>0</v>
      </c>
      <c r="AA2082" s="16">
        <f>IF(ISERROR(VLOOKUP($A2082,'13. Updated Demand'!A:Z,18,FALSE)),0,VLOOKUP($A2082,'13. Updated Demand'!A:Z,18,FALSE))</f>
        <v>0</v>
      </c>
      <c r="AB2082" s="16">
        <f>IF(ISERROR(VLOOKUP($A2082,'13. Updated Demand'!A:Z,19,FALSE)),0,VLOOKUP($A2082,'13. Updated Demand'!A:Z,19,FALSE))</f>
        <v>0</v>
      </c>
      <c r="AC2082" s="16">
        <f>IF(ISERROR(VLOOKUP($A2082,'13. Updated Demand'!A:Z,20,FALSE)),0,VLOOKUP($A2082,'13. Updated Demand'!A:Z,20,FALSE))</f>
        <v>0</v>
      </c>
      <c r="AD2082" s="16">
        <f>IF(ISERROR(VLOOKUP($A2082,'13. Updated Demand'!A:Z,21,FALSE)),0,VLOOKUP($A2082,'13. Updated Demand'!A:Z,21,FALSE))</f>
        <v>0</v>
      </c>
      <c r="AE2082" s="16">
        <f>IF(ISERROR(VLOOKUP($A2082,'13. Updated Demand'!A:Z,22,FALSE)),0,VLOOKUP($A2082,'13. Updated Demand'!A:Z,22,FALSE))</f>
        <v>0</v>
      </c>
      <c r="AF2082" s="16">
        <f>IF(ISERROR(VLOOKUP($A2082,'13. Updated Demand'!A:Z,23,FALSE)),0,VLOOKUP($A2082,'13. Updated Demand'!A:Z,23,FALSE))</f>
        <v>0</v>
      </c>
      <c r="AG2082" s="16">
        <f>IF(ISERROR(VLOOKUP($A2082,'13. Updated Demand'!A:Z,24,FALSE)),0,VLOOKUP($A2082,'13. Updated Demand'!A:Z,24,FALSE))</f>
        <v>0</v>
      </c>
      <c r="AH2082" s="16">
        <f>IF(ISERROR(VLOOKUP($A2082,'13. Updated Demand'!A:Z,25,FALSE)),0,VLOOKUP($A2082,'13. Updated Demand'!A:Z,25,FALSE))</f>
        <v>0</v>
      </c>
      <c r="AI2082" s="16">
        <f>IF(ISERROR(VLOOKUP($A2082,'13. Updated Demand'!A:Z,26,FALSE)),0,VLOOKUP($A2082,'13. Updated Demand'!A:Z,26,FALSE))</f>
        <v>0</v>
      </c>
      <c r="AJ2082" s="16">
        <f t="shared" si="397"/>
        <v>0</v>
      </c>
      <c r="AK2082" s="19">
        <v>0</v>
      </c>
      <c r="AL2082" s="16">
        <f t="shared" si="395"/>
        <v>0</v>
      </c>
      <c r="AM2082" s="26">
        <v>0</v>
      </c>
      <c r="AN2082" s="19">
        <v>0</v>
      </c>
      <c r="AO2082" s="19" t="s">
        <v>1758</v>
      </c>
      <c r="AP2082" s="19">
        <v>0</v>
      </c>
      <c r="AQ2082" s="19" t="s">
        <v>307</v>
      </c>
      <c r="AR2082" s="9" t="s">
        <v>331</v>
      </c>
      <c r="AS2082" s="12">
        <v>0</v>
      </c>
      <c r="AT2082" s="19">
        <v>39.142299999999999</v>
      </c>
      <c r="AU2082" s="19">
        <v>-123.1807</v>
      </c>
      <c r="AV2082" s="19" t="s">
        <v>387</v>
      </c>
    </row>
    <row r="2083" spans="1:48" x14ac:dyDescent="0.25">
      <c r="A2083" s="18" t="s">
        <v>2513</v>
      </c>
      <c r="B2083" s="10">
        <v>10000000</v>
      </c>
      <c r="C2083" s="9">
        <v>1</v>
      </c>
      <c r="D2083" s="8" t="str">
        <f t="shared" si="386"/>
        <v>N</v>
      </c>
      <c r="E2083" s="8" t="str">
        <f t="shared" si="387"/>
        <v>N</v>
      </c>
      <c r="F2083" s="8" t="str">
        <f t="shared" si="388"/>
        <v>Y</v>
      </c>
      <c r="G2083" s="8" t="str">
        <f t="shared" si="389"/>
        <v>Y</v>
      </c>
      <c r="H2083" s="8" t="str">
        <f t="shared" si="390"/>
        <v>Upper</v>
      </c>
      <c r="I2083" s="8" t="str">
        <f t="shared" si="391"/>
        <v>West Fork and Below Lake</v>
      </c>
      <c r="J2083" s="8" t="str">
        <f t="shared" si="392"/>
        <v>Outside</v>
      </c>
      <c r="K2083" s="8" t="str">
        <f t="shared" si="393"/>
        <v>Riparian</v>
      </c>
      <c r="L2083" s="8">
        <f t="shared" si="394"/>
        <v>1000</v>
      </c>
      <c r="M2083" s="8" t="str">
        <f t="shared" si="396"/>
        <v>-</v>
      </c>
      <c r="N2083" s="10" t="s">
        <v>242</v>
      </c>
      <c r="O2083" s="10" t="s">
        <v>241</v>
      </c>
      <c r="P2083" s="10" t="s">
        <v>242</v>
      </c>
      <c r="Q2083" s="10" t="s">
        <v>242</v>
      </c>
      <c r="R2083" s="10" t="s">
        <v>242</v>
      </c>
      <c r="S2083" s="10" t="s">
        <v>241</v>
      </c>
      <c r="T2083" s="10" t="s">
        <v>242</v>
      </c>
      <c r="U2083" s="10" t="s">
        <v>241</v>
      </c>
      <c r="V2083" s="10" t="s">
        <v>241</v>
      </c>
      <c r="W2083" s="10" t="s">
        <v>242</v>
      </c>
      <c r="X2083" s="15">
        <f>IF(ISERROR(VLOOKUP($A2083,'13. Updated Demand'!A:Z,15,FALSE)),0,VLOOKUP($A2083,'13. Updated Demand'!A:Z,15,FALSE))</f>
        <v>0</v>
      </c>
      <c r="Y2083" s="16">
        <f>IF(ISERROR(VLOOKUP($A2083,'13. Updated Demand'!A:Z,16,FALSE)),0,VLOOKUP($A2083,'13. Updated Demand'!A:Z,16,FALSE))</f>
        <v>0</v>
      </c>
      <c r="Z2083" s="16">
        <f>IF(ISERROR(VLOOKUP($A2083,'13. Updated Demand'!A:Z,17,FALSE)),0,VLOOKUP($A2083,'13. Updated Demand'!A:Z,17,FALSE))</f>
        <v>0</v>
      </c>
      <c r="AA2083" s="16">
        <f>IF(ISERROR(VLOOKUP($A2083,'13. Updated Demand'!A:Z,18,FALSE)),0,VLOOKUP($A2083,'13. Updated Demand'!A:Z,18,FALSE))</f>
        <v>0</v>
      </c>
      <c r="AB2083" s="16">
        <f>IF(ISERROR(VLOOKUP($A2083,'13. Updated Demand'!A:Z,19,FALSE)),0,VLOOKUP($A2083,'13. Updated Demand'!A:Z,19,FALSE))</f>
        <v>0</v>
      </c>
      <c r="AC2083" s="16">
        <f>IF(ISERROR(VLOOKUP($A2083,'13. Updated Demand'!A:Z,20,FALSE)),0,VLOOKUP($A2083,'13. Updated Demand'!A:Z,20,FALSE))</f>
        <v>0</v>
      </c>
      <c r="AD2083" s="16">
        <f>IF(ISERROR(VLOOKUP($A2083,'13. Updated Demand'!A:Z,21,FALSE)),0,VLOOKUP($A2083,'13. Updated Demand'!A:Z,21,FALSE))</f>
        <v>0</v>
      </c>
      <c r="AE2083" s="16">
        <f>IF(ISERROR(VLOOKUP($A2083,'13. Updated Demand'!A:Z,22,FALSE)),0,VLOOKUP($A2083,'13. Updated Demand'!A:Z,22,FALSE))</f>
        <v>0</v>
      </c>
      <c r="AF2083" s="16">
        <f>IF(ISERROR(VLOOKUP($A2083,'13. Updated Demand'!A:Z,23,FALSE)),0,VLOOKUP($A2083,'13. Updated Demand'!A:Z,23,FALSE))</f>
        <v>0</v>
      </c>
      <c r="AG2083" s="16">
        <f>IF(ISERROR(VLOOKUP($A2083,'13. Updated Demand'!A:Z,24,FALSE)),0,VLOOKUP($A2083,'13. Updated Demand'!A:Z,24,FALSE))</f>
        <v>0</v>
      </c>
      <c r="AH2083" s="16">
        <f>IF(ISERROR(VLOOKUP($A2083,'13. Updated Demand'!A:Z,25,FALSE)),0,VLOOKUP($A2083,'13. Updated Demand'!A:Z,25,FALSE))</f>
        <v>0</v>
      </c>
      <c r="AI2083" s="16">
        <f>IF(ISERROR(VLOOKUP($A2083,'13. Updated Demand'!A:Z,26,FALSE)),0,VLOOKUP($A2083,'13. Updated Demand'!A:Z,26,FALSE))</f>
        <v>0</v>
      </c>
      <c r="AJ2083" s="16">
        <f t="shared" si="397"/>
        <v>0</v>
      </c>
      <c r="AK2083" s="19">
        <v>0</v>
      </c>
      <c r="AL2083" s="16">
        <f t="shared" si="395"/>
        <v>0</v>
      </c>
      <c r="AM2083" s="26">
        <v>0</v>
      </c>
      <c r="AN2083" s="19">
        <v>54</v>
      </c>
      <c r="AO2083" s="19" t="s">
        <v>1758</v>
      </c>
      <c r="AP2083" s="19">
        <v>0</v>
      </c>
      <c r="AQ2083" s="19" t="s">
        <v>307</v>
      </c>
      <c r="AR2083" s="9" t="s">
        <v>317</v>
      </c>
      <c r="AS2083" s="12">
        <v>0</v>
      </c>
      <c r="AT2083" s="19">
        <v>39.278799999999997</v>
      </c>
      <c r="AU2083" s="19">
        <v>-123.2246</v>
      </c>
      <c r="AV2083" s="19" t="s">
        <v>387</v>
      </c>
    </row>
    <row r="2084" spans="1:48" x14ac:dyDescent="0.25">
      <c r="A2084" s="18" t="s">
        <v>2514</v>
      </c>
      <c r="B2084" s="10">
        <v>10000000</v>
      </c>
      <c r="C2084" s="9">
        <v>6</v>
      </c>
      <c r="D2084" s="8" t="str">
        <f t="shared" si="386"/>
        <v>Y</v>
      </c>
      <c r="E2084" s="8" t="str">
        <f t="shared" si="387"/>
        <v>N</v>
      </c>
      <c r="F2084" s="8" t="str">
        <f t="shared" si="388"/>
        <v>Y</v>
      </c>
      <c r="G2084" s="8" t="str">
        <f t="shared" si="389"/>
        <v>Y</v>
      </c>
      <c r="H2084" s="8" t="str">
        <f t="shared" si="390"/>
        <v>Upper</v>
      </c>
      <c r="I2084" s="8" t="str">
        <f t="shared" si="391"/>
        <v>West Fork and Below Lake</v>
      </c>
      <c r="J2084" s="8" t="str">
        <f t="shared" si="392"/>
        <v>Mendocino (d/s of lake)</v>
      </c>
      <c r="K2084" s="8" t="str">
        <f t="shared" si="393"/>
        <v>Riparian</v>
      </c>
      <c r="L2084" s="8">
        <f t="shared" si="394"/>
        <v>1000</v>
      </c>
      <c r="M2084" s="8" t="str">
        <f t="shared" si="396"/>
        <v>-</v>
      </c>
      <c r="N2084" s="10" t="s">
        <v>242</v>
      </c>
      <c r="O2084" s="10" t="s">
        <v>241</v>
      </c>
      <c r="P2084" s="10" t="s">
        <v>242</v>
      </c>
      <c r="Q2084" s="10" t="s">
        <v>242</v>
      </c>
      <c r="R2084" s="10" t="s">
        <v>242</v>
      </c>
      <c r="S2084" s="10" t="s">
        <v>241</v>
      </c>
      <c r="T2084" s="10" t="s">
        <v>242</v>
      </c>
      <c r="U2084" s="10" t="s">
        <v>241</v>
      </c>
      <c r="V2084" s="10" t="s">
        <v>241</v>
      </c>
      <c r="W2084" s="10" t="s">
        <v>242</v>
      </c>
      <c r="X2084" s="15">
        <f>IF(ISERROR(VLOOKUP($A2084,'13. Updated Demand'!A:Z,15,FALSE)),0,VLOOKUP($A2084,'13. Updated Demand'!A:Z,15,FALSE))</f>
        <v>0</v>
      </c>
      <c r="Y2084" s="16">
        <f>IF(ISERROR(VLOOKUP($A2084,'13. Updated Demand'!A:Z,16,FALSE)),0,VLOOKUP($A2084,'13. Updated Demand'!A:Z,16,FALSE))</f>
        <v>0</v>
      </c>
      <c r="Z2084" s="16">
        <f>IF(ISERROR(VLOOKUP($A2084,'13. Updated Demand'!A:Z,17,FALSE)),0,VLOOKUP($A2084,'13. Updated Demand'!A:Z,17,FALSE))</f>
        <v>0</v>
      </c>
      <c r="AA2084" s="16">
        <f>IF(ISERROR(VLOOKUP($A2084,'13. Updated Demand'!A:Z,18,FALSE)),0,VLOOKUP($A2084,'13. Updated Demand'!A:Z,18,FALSE))</f>
        <v>0</v>
      </c>
      <c r="AB2084" s="16">
        <f>IF(ISERROR(VLOOKUP($A2084,'13. Updated Demand'!A:Z,19,FALSE)),0,VLOOKUP($A2084,'13. Updated Demand'!A:Z,19,FALSE))</f>
        <v>0</v>
      </c>
      <c r="AC2084" s="16">
        <f>IF(ISERROR(VLOOKUP($A2084,'13. Updated Demand'!A:Z,20,FALSE)),0,VLOOKUP($A2084,'13. Updated Demand'!A:Z,20,FALSE))</f>
        <v>0</v>
      </c>
      <c r="AD2084" s="16">
        <f>IF(ISERROR(VLOOKUP($A2084,'13. Updated Demand'!A:Z,21,FALSE)),0,VLOOKUP($A2084,'13. Updated Demand'!A:Z,21,FALSE))</f>
        <v>0</v>
      </c>
      <c r="AE2084" s="16">
        <f>IF(ISERROR(VLOOKUP($A2084,'13. Updated Demand'!A:Z,22,FALSE)),0,VLOOKUP($A2084,'13. Updated Demand'!A:Z,22,FALSE))</f>
        <v>0</v>
      </c>
      <c r="AF2084" s="16">
        <f>IF(ISERROR(VLOOKUP($A2084,'13. Updated Demand'!A:Z,23,FALSE)),0,VLOOKUP($A2084,'13. Updated Demand'!A:Z,23,FALSE))</f>
        <v>0</v>
      </c>
      <c r="AG2084" s="16">
        <f>IF(ISERROR(VLOOKUP($A2084,'13. Updated Demand'!A:Z,24,FALSE)),0,VLOOKUP($A2084,'13. Updated Demand'!A:Z,24,FALSE))</f>
        <v>0</v>
      </c>
      <c r="AH2084" s="16">
        <f>IF(ISERROR(VLOOKUP($A2084,'13. Updated Demand'!A:Z,25,FALSE)),0,VLOOKUP($A2084,'13. Updated Demand'!A:Z,25,FALSE))</f>
        <v>0</v>
      </c>
      <c r="AI2084" s="16">
        <f>IF(ISERROR(VLOOKUP($A2084,'13. Updated Demand'!A:Z,26,FALSE)),0,VLOOKUP($A2084,'13. Updated Demand'!A:Z,26,FALSE))</f>
        <v>0</v>
      </c>
      <c r="AJ2084" s="16">
        <f t="shared" si="397"/>
        <v>0</v>
      </c>
      <c r="AK2084" s="19">
        <v>0</v>
      </c>
      <c r="AL2084" s="16">
        <f t="shared" si="395"/>
        <v>0</v>
      </c>
      <c r="AM2084" s="26">
        <v>0</v>
      </c>
      <c r="AN2084" s="19">
        <v>8</v>
      </c>
      <c r="AO2084" s="19" t="s">
        <v>1758</v>
      </c>
      <c r="AP2084" s="19">
        <v>0</v>
      </c>
      <c r="AQ2084" s="19" t="s">
        <v>307</v>
      </c>
      <c r="AR2084" s="9" t="s">
        <v>319</v>
      </c>
      <c r="AS2084" s="12">
        <v>0</v>
      </c>
      <c r="AT2084" s="19">
        <v>39.017600000000002</v>
      </c>
      <c r="AU2084" s="19">
        <v>-123.1399</v>
      </c>
      <c r="AV2084" s="19" t="s">
        <v>2515</v>
      </c>
    </row>
    <row r="2085" spans="1:48" x14ac:dyDescent="0.25">
      <c r="A2085" s="18" t="s">
        <v>2516</v>
      </c>
      <c r="B2085" s="10">
        <v>10000000</v>
      </c>
      <c r="C2085" s="9">
        <v>6</v>
      </c>
      <c r="D2085" s="8" t="str">
        <f t="shared" si="386"/>
        <v>Y</v>
      </c>
      <c r="E2085" s="8" t="str">
        <f t="shared" si="387"/>
        <v>N</v>
      </c>
      <c r="F2085" s="8" t="str">
        <f t="shared" si="388"/>
        <v>Y</v>
      </c>
      <c r="G2085" s="8" t="str">
        <f t="shared" si="389"/>
        <v>Y</v>
      </c>
      <c r="H2085" s="8" t="str">
        <f t="shared" si="390"/>
        <v>Upper</v>
      </c>
      <c r="I2085" s="8" t="str">
        <f t="shared" si="391"/>
        <v>West Fork and Below Lake</v>
      </c>
      <c r="J2085" s="8" t="str">
        <f t="shared" si="392"/>
        <v>Mendocino (d/s of lake)</v>
      </c>
      <c r="K2085" s="8" t="str">
        <f t="shared" si="393"/>
        <v>Riparian</v>
      </c>
      <c r="L2085" s="8">
        <f t="shared" si="394"/>
        <v>1000</v>
      </c>
      <c r="M2085" s="8" t="str">
        <f t="shared" si="396"/>
        <v>-</v>
      </c>
      <c r="N2085" s="10" t="s">
        <v>242</v>
      </c>
      <c r="O2085" s="10" t="s">
        <v>241</v>
      </c>
      <c r="P2085" s="10" t="s">
        <v>242</v>
      </c>
      <c r="Q2085" s="10" t="s">
        <v>242</v>
      </c>
      <c r="R2085" s="10" t="s">
        <v>242</v>
      </c>
      <c r="S2085" s="10" t="s">
        <v>241</v>
      </c>
      <c r="T2085" s="10" t="s">
        <v>242</v>
      </c>
      <c r="U2085" s="10" t="s">
        <v>241</v>
      </c>
      <c r="V2085" s="10" t="s">
        <v>241</v>
      </c>
      <c r="W2085" s="10" t="s">
        <v>242</v>
      </c>
      <c r="X2085" s="15">
        <f>IF(ISERROR(VLOOKUP($A2085,'13. Updated Demand'!A:Z,15,FALSE)),0,VLOOKUP($A2085,'13. Updated Demand'!A:Z,15,FALSE))</f>
        <v>0</v>
      </c>
      <c r="Y2085" s="16">
        <f>IF(ISERROR(VLOOKUP($A2085,'13. Updated Demand'!A:Z,16,FALSE)),0,VLOOKUP($A2085,'13. Updated Demand'!A:Z,16,FALSE))</f>
        <v>0</v>
      </c>
      <c r="Z2085" s="16">
        <f>IF(ISERROR(VLOOKUP($A2085,'13. Updated Demand'!A:Z,17,FALSE)),0,VLOOKUP($A2085,'13. Updated Demand'!A:Z,17,FALSE))</f>
        <v>0</v>
      </c>
      <c r="AA2085" s="16">
        <f>IF(ISERROR(VLOOKUP($A2085,'13. Updated Demand'!A:Z,18,FALSE)),0,VLOOKUP($A2085,'13. Updated Demand'!A:Z,18,FALSE))</f>
        <v>0</v>
      </c>
      <c r="AB2085" s="16">
        <f>IF(ISERROR(VLOOKUP($A2085,'13. Updated Demand'!A:Z,19,FALSE)),0,VLOOKUP($A2085,'13. Updated Demand'!A:Z,19,FALSE))</f>
        <v>0</v>
      </c>
      <c r="AC2085" s="16">
        <f>IF(ISERROR(VLOOKUP($A2085,'13. Updated Demand'!A:Z,20,FALSE)),0,VLOOKUP($A2085,'13. Updated Demand'!A:Z,20,FALSE))</f>
        <v>0</v>
      </c>
      <c r="AD2085" s="16">
        <f>IF(ISERROR(VLOOKUP($A2085,'13. Updated Demand'!A:Z,21,FALSE)),0,VLOOKUP($A2085,'13. Updated Demand'!A:Z,21,FALSE))</f>
        <v>0</v>
      </c>
      <c r="AE2085" s="16">
        <f>IF(ISERROR(VLOOKUP($A2085,'13. Updated Demand'!A:Z,22,FALSE)),0,VLOOKUP($A2085,'13. Updated Demand'!A:Z,22,FALSE))</f>
        <v>0</v>
      </c>
      <c r="AF2085" s="16">
        <f>IF(ISERROR(VLOOKUP($A2085,'13. Updated Demand'!A:Z,23,FALSE)),0,VLOOKUP($A2085,'13. Updated Demand'!A:Z,23,FALSE))</f>
        <v>0</v>
      </c>
      <c r="AG2085" s="16">
        <f>IF(ISERROR(VLOOKUP($A2085,'13. Updated Demand'!A:Z,24,FALSE)),0,VLOOKUP($A2085,'13. Updated Demand'!A:Z,24,FALSE))</f>
        <v>0</v>
      </c>
      <c r="AH2085" s="16">
        <f>IF(ISERROR(VLOOKUP($A2085,'13. Updated Demand'!A:Z,25,FALSE)),0,VLOOKUP($A2085,'13. Updated Demand'!A:Z,25,FALSE))</f>
        <v>0</v>
      </c>
      <c r="AI2085" s="16">
        <f>IF(ISERROR(VLOOKUP($A2085,'13. Updated Demand'!A:Z,26,FALSE)),0,VLOOKUP($A2085,'13. Updated Demand'!A:Z,26,FALSE))</f>
        <v>0</v>
      </c>
      <c r="AJ2085" s="16">
        <f t="shared" si="397"/>
        <v>0</v>
      </c>
      <c r="AK2085" s="19">
        <v>0</v>
      </c>
      <c r="AL2085" s="16">
        <f t="shared" si="395"/>
        <v>0</v>
      </c>
      <c r="AM2085" s="26">
        <v>0</v>
      </c>
      <c r="AN2085" s="19">
        <v>12</v>
      </c>
      <c r="AO2085" s="19" t="s">
        <v>1758</v>
      </c>
      <c r="AP2085" s="19">
        <v>0</v>
      </c>
      <c r="AQ2085" s="19" t="s">
        <v>307</v>
      </c>
      <c r="AR2085" s="9" t="s">
        <v>319</v>
      </c>
      <c r="AS2085" s="12">
        <v>0</v>
      </c>
      <c r="AT2085" s="19">
        <v>39.011853189999997</v>
      </c>
      <c r="AU2085" s="19">
        <v>-123.14153412</v>
      </c>
      <c r="AV2085" s="19" t="s">
        <v>385</v>
      </c>
    </row>
    <row r="2086" spans="1:48" x14ac:dyDescent="0.25">
      <c r="A2086" s="18" t="s">
        <v>2517</v>
      </c>
      <c r="B2086" s="10">
        <v>10000000</v>
      </c>
      <c r="C2086" s="9">
        <v>6</v>
      </c>
      <c r="D2086" s="8" t="str">
        <f t="shared" si="386"/>
        <v>Y</v>
      </c>
      <c r="E2086" s="8" t="str">
        <f t="shared" si="387"/>
        <v>N</v>
      </c>
      <c r="F2086" s="8" t="str">
        <f t="shared" si="388"/>
        <v>Y</v>
      </c>
      <c r="G2086" s="8" t="str">
        <f t="shared" si="389"/>
        <v>Y</v>
      </c>
      <c r="H2086" s="8" t="str">
        <f t="shared" si="390"/>
        <v>Upper</v>
      </c>
      <c r="I2086" s="8" t="str">
        <f t="shared" si="391"/>
        <v>West Fork and Below Lake</v>
      </c>
      <c r="J2086" s="8" t="str">
        <f t="shared" si="392"/>
        <v>Mendocino (d/s of lake)</v>
      </c>
      <c r="K2086" s="8" t="str">
        <f t="shared" si="393"/>
        <v>Riparian</v>
      </c>
      <c r="L2086" s="8">
        <f t="shared" si="394"/>
        <v>1000</v>
      </c>
      <c r="M2086" s="8" t="str">
        <f t="shared" si="396"/>
        <v>-</v>
      </c>
      <c r="N2086" s="10" t="s">
        <v>242</v>
      </c>
      <c r="O2086" s="10" t="s">
        <v>241</v>
      </c>
      <c r="P2086" s="10" t="s">
        <v>242</v>
      </c>
      <c r="Q2086" s="10" t="s">
        <v>242</v>
      </c>
      <c r="R2086" s="10" t="s">
        <v>242</v>
      </c>
      <c r="S2086" s="10" t="s">
        <v>241</v>
      </c>
      <c r="T2086" s="10" t="s">
        <v>242</v>
      </c>
      <c r="U2086" s="10" t="s">
        <v>241</v>
      </c>
      <c r="V2086" s="10" t="s">
        <v>241</v>
      </c>
      <c r="W2086" s="10" t="s">
        <v>242</v>
      </c>
      <c r="X2086" s="15">
        <f>IF(ISERROR(VLOOKUP($A2086,'13. Updated Demand'!A:Z,15,FALSE)),0,VLOOKUP($A2086,'13. Updated Demand'!A:Z,15,FALSE))</f>
        <v>0</v>
      </c>
      <c r="Y2086" s="16">
        <f>IF(ISERROR(VLOOKUP($A2086,'13. Updated Demand'!A:Z,16,FALSE)),0,VLOOKUP($A2086,'13. Updated Demand'!A:Z,16,FALSE))</f>
        <v>0</v>
      </c>
      <c r="Z2086" s="16">
        <f>IF(ISERROR(VLOOKUP($A2086,'13. Updated Demand'!A:Z,17,FALSE)),0,VLOOKUP($A2086,'13. Updated Demand'!A:Z,17,FALSE))</f>
        <v>0</v>
      </c>
      <c r="AA2086" s="16">
        <f>IF(ISERROR(VLOOKUP($A2086,'13. Updated Demand'!A:Z,18,FALSE)),0,VLOOKUP($A2086,'13. Updated Demand'!A:Z,18,FALSE))</f>
        <v>0</v>
      </c>
      <c r="AB2086" s="16">
        <f>IF(ISERROR(VLOOKUP($A2086,'13. Updated Demand'!A:Z,19,FALSE)),0,VLOOKUP($A2086,'13. Updated Demand'!A:Z,19,FALSE))</f>
        <v>0</v>
      </c>
      <c r="AC2086" s="16">
        <f>IF(ISERROR(VLOOKUP($A2086,'13. Updated Demand'!A:Z,20,FALSE)),0,VLOOKUP($A2086,'13. Updated Demand'!A:Z,20,FALSE))</f>
        <v>0</v>
      </c>
      <c r="AD2086" s="16">
        <f>IF(ISERROR(VLOOKUP($A2086,'13. Updated Demand'!A:Z,21,FALSE)),0,VLOOKUP($A2086,'13. Updated Demand'!A:Z,21,FALSE))</f>
        <v>0</v>
      </c>
      <c r="AE2086" s="16">
        <f>IF(ISERROR(VLOOKUP($A2086,'13. Updated Demand'!A:Z,22,FALSE)),0,VLOOKUP($A2086,'13. Updated Demand'!A:Z,22,FALSE))</f>
        <v>0</v>
      </c>
      <c r="AF2086" s="16">
        <f>IF(ISERROR(VLOOKUP($A2086,'13. Updated Demand'!A:Z,23,FALSE)),0,VLOOKUP($A2086,'13. Updated Demand'!A:Z,23,FALSE))</f>
        <v>0</v>
      </c>
      <c r="AG2086" s="16">
        <f>IF(ISERROR(VLOOKUP($A2086,'13. Updated Demand'!A:Z,24,FALSE)),0,VLOOKUP($A2086,'13. Updated Demand'!A:Z,24,FALSE))</f>
        <v>0</v>
      </c>
      <c r="AH2086" s="16">
        <f>IF(ISERROR(VLOOKUP($A2086,'13. Updated Demand'!A:Z,25,FALSE)),0,VLOOKUP($A2086,'13. Updated Demand'!A:Z,25,FALSE))</f>
        <v>0</v>
      </c>
      <c r="AI2086" s="16">
        <f>IF(ISERROR(VLOOKUP($A2086,'13. Updated Demand'!A:Z,26,FALSE)),0,VLOOKUP($A2086,'13. Updated Demand'!A:Z,26,FALSE))</f>
        <v>0</v>
      </c>
      <c r="AJ2086" s="16">
        <f t="shared" si="397"/>
        <v>0</v>
      </c>
      <c r="AK2086" s="19">
        <v>0</v>
      </c>
      <c r="AL2086" s="16">
        <f t="shared" si="395"/>
        <v>0</v>
      </c>
      <c r="AM2086" s="26">
        <v>0</v>
      </c>
      <c r="AN2086" s="19">
        <v>1826.2123999999999</v>
      </c>
      <c r="AO2086" s="19" t="s">
        <v>1758</v>
      </c>
      <c r="AP2086" s="19">
        <v>0</v>
      </c>
      <c r="AQ2086" s="19" t="s">
        <v>307</v>
      </c>
      <c r="AR2086" s="9" t="s">
        <v>319</v>
      </c>
      <c r="AS2086" s="12">
        <v>0</v>
      </c>
      <c r="AT2086" s="19">
        <v>38.984699999999997</v>
      </c>
      <c r="AU2086" s="19">
        <v>-123.1272</v>
      </c>
      <c r="AV2086" s="19" t="s">
        <v>385</v>
      </c>
    </row>
    <row r="2087" spans="1:48" x14ac:dyDescent="0.25">
      <c r="A2087" s="18" t="s">
        <v>2518</v>
      </c>
      <c r="B2087" s="10">
        <v>10000000</v>
      </c>
      <c r="C2087" s="9">
        <v>6</v>
      </c>
      <c r="D2087" s="8" t="str">
        <f t="shared" si="386"/>
        <v>Y</v>
      </c>
      <c r="E2087" s="8" t="str">
        <f t="shared" si="387"/>
        <v>N</v>
      </c>
      <c r="F2087" s="8" t="str">
        <f t="shared" si="388"/>
        <v>Y</v>
      </c>
      <c r="G2087" s="8" t="str">
        <f t="shared" si="389"/>
        <v>Y</v>
      </c>
      <c r="H2087" s="8" t="str">
        <f t="shared" si="390"/>
        <v>Upper</v>
      </c>
      <c r="I2087" s="8" t="str">
        <f t="shared" si="391"/>
        <v>West Fork and Below Lake</v>
      </c>
      <c r="J2087" s="8" t="str">
        <f t="shared" si="392"/>
        <v>Mendocino (d/s of lake)</v>
      </c>
      <c r="K2087" s="8" t="str">
        <f t="shared" si="393"/>
        <v>Riparian</v>
      </c>
      <c r="L2087" s="8">
        <f t="shared" si="394"/>
        <v>1000</v>
      </c>
      <c r="M2087" s="8" t="str">
        <f t="shared" si="396"/>
        <v>-</v>
      </c>
      <c r="N2087" s="10" t="s">
        <v>242</v>
      </c>
      <c r="O2087" s="10" t="s">
        <v>241</v>
      </c>
      <c r="P2087" s="10" t="s">
        <v>242</v>
      </c>
      <c r="Q2087" s="10" t="s">
        <v>242</v>
      </c>
      <c r="R2087" s="10" t="s">
        <v>242</v>
      </c>
      <c r="S2087" s="10" t="s">
        <v>241</v>
      </c>
      <c r="T2087" s="10" t="s">
        <v>242</v>
      </c>
      <c r="U2087" s="10" t="s">
        <v>241</v>
      </c>
      <c r="V2087" s="10" t="s">
        <v>241</v>
      </c>
      <c r="W2087" s="10" t="s">
        <v>242</v>
      </c>
      <c r="X2087" s="15">
        <f>IF(ISERROR(VLOOKUP($A2087,'13. Updated Demand'!A:Z,15,FALSE)),0,VLOOKUP($A2087,'13. Updated Demand'!A:Z,15,FALSE))</f>
        <v>0</v>
      </c>
      <c r="Y2087" s="16">
        <f>IF(ISERROR(VLOOKUP($A2087,'13. Updated Demand'!A:Z,16,FALSE)),0,VLOOKUP($A2087,'13. Updated Demand'!A:Z,16,FALSE))</f>
        <v>0</v>
      </c>
      <c r="Z2087" s="16">
        <f>IF(ISERROR(VLOOKUP($A2087,'13. Updated Demand'!A:Z,17,FALSE)),0,VLOOKUP($A2087,'13. Updated Demand'!A:Z,17,FALSE))</f>
        <v>0</v>
      </c>
      <c r="AA2087" s="16">
        <f>IF(ISERROR(VLOOKUP($A2087,'13. Updated Demand'!A:Z,18,FALSE)),0,VLOOKUP($A2087,'13. Updated Demand'!A:Z,18,FALSE))</f>
        <v>0</v>
      </c>
      <c r="AB2087" s="16">
        <f>IF(ISERROR(VLOOKUP($A2087,'13. Updated Demand'!A:Z,19,FALSE)),0,VLOOKUP($A2087,'13. Updated Demand'!A:Z,19,FALSE))</f>
        <v>0</v>
      </c>
      <c r="AC2087" s="16">
        <f>IF(ISERROR(VLOOKUP($A2087,'13. Updated Demand'!A:Z,20,FALSE)),0,VLOOKUP($A2087,'13. Updated Demand'!A:Z,20,FALSE))</f>
        <v>0</v>
      </c>
      <c r="AD2087" s="16">
        <f>IF(ISERROR(VLOOKUP($A2087,'13. Updated Demand'!A:Z,21,FALSE)),0,VLOOKUP($A2087,'13. Updated Demand'!A:Z,21,FALSE))</f>
        <v>0</v>
      </c>
      <c r="AE2087" s="16">
        <f>IF(ISERROR(VLOOKUP($A2087,'13. Updated Demand'!A:Z,22,FALSE)),0,VLOOKUP($A2087,'13. Updated Demand'!A:Z,22,FALSE))</f>
        <v>0</v>
      </c>
      <c r="AF2087" s="16">
        <f>IF(ISERROR(VLOOKUP($A2087,'13. Updated Demand'!A:Z,23,FALSE)),0,VLOOKUP($A2087,'13. Updated Demand'!A:Z,23,FALSE))</f>
        <v>0</v>
      </c>
      <c r="AG2087" s="16">
        <f>IF(ISERROR(VLOOKUP($A2087,'13. Updated Demand'!A:Z,24,FALSE)),0,VLOOKUP($A2087,'13. Updated Demand'!A:Z,24,FALSE))</f>
        <v>0</v>
      </c>
      <c r="AH2087" s="16">
        <f>IF(ISERROR(VLOOKUP($A2087,'13. Updated Demand'!A:Z,25,FALSE)),0,VLOOKUP($A2087,'13. Updated Demand'!A:Z,25,FALSE))</f>
        <v>0</v>
      </c>
      <c r="AI2087" s="16">
        <f>IF(ISERROR(VLOOKUP($A2087,'13. Updated Demand'!A:Z,26,FALSE)),0,VLOOKUP($A2087,'13. Updated Demand'!A:Z,26,FALSE))</f>
        <v>0</v>
      </c>
      <c r="AJ2087" s="16">
        <f t="shared" si="397"/>
        <v>0</v>
      </c>
      <c r="AK2087" s="19">
        <v>0</v>
      </c>
      <c r="AL2087" s="16">
        <f t="shared" si="395"/>
        <v>0</v>
      </c>
      <c r="AM2087" s="26">
        <v>0</v>
      </c>
      <c r="AN2087" s="19">
        <v>2191.31</v>
      </c>
      <c r="AO2087" s="19" t="s">
        <v>1758</v>
      </c>
      <c r="AP2087" s="19">
        <v>0</v>
      </c>
      <c r="AQ2087" s="19" t="s">
        <v>307</v>
      </c>
      <c r="AR2087" s="9" t="s">
        <v>319</v>
      </c>
      <c r="AS2087" s="12">
        <v>0</v>
      </c>
      <c r="AT2087" s="19">
        <v>38.984000000000002</v>
      </c>
      <c r="AU2087" s="19">
        <v>-123.12439999999999</v>
      </c>
      <c r="AV2087" s="19" t="s">
        <v>385</v>
      </c>
    </row>
    <row r="2088" spans="1:48" x14ac:dyDescent="0.25">
      <c r="A2088" s="18" t="s">
        <v>2519</v>
      </c>
      <c r="B2088" s="10">
        <v>10000000</v>
      </c>
      <c r="C2088" s="9">
        <v>5</v>
      </c>
      <c r="D2088" s="8" t="str">
        <f t="shared" si="386"/>
        <v>Y</v>
      </c>
      <c r="E2088" s="8" t="str">
        <f t="shared" si="387"/>
        <v>N</v>
      </c>
      <c r="F2088" s="8" t="str">
        <f t="shared" si="388"/>
        <v>Y</v>
      </c>
      <c r="G2088" s="8" t="str">
        <f t="shared" si="389"/>
        <v>Y</v>
      </c>
      <c r="H2088" s="8" t="str">
        <f t="shared" si="390"/>
        <v>Upper</v>
      </c>
      <c r="I2088" s="8" t="str">
        <f t="shared" si="391"/>
        <v>West Fork and Below Lake</v>
      </c>
      <c r="J2088" s="8" t="str">
        <f t="shared" si="392"/>
        <v>Mendocino (d/s of lake)</v>
      </c>
      <c r="K2088" s="8" t="str">
        <f t="shared" si="393"/>
        <v>Riparian</v>
      </c>
      <c r="L2088" s="8">
        <f t="shared" si="394"/>
        <v>1000</v>
      </c>
      <c r="M2088" s="8" t="str">
        <f t="shared" si="396"/>
        <v>-</v>
      </c>
      <c r="N2088" s="10" t="s">
        <v>242</v>
      </c>
      <c r="O2088" s="10" t="s">
        <v>241</v>
      </c>
      <c r="P2088" s="10" t="s">
        <v>242</v>
      </c>
      <c r="Q2088" s="10" t="s">
        <v>242</v>
      </c>
      <c r="R2088" s="10" t="s">
        <v>242</v>
      </c>
      <c r="S2088" s="10" t="s">
        <v>241</v>
      </c>
      <c r="T2088" s="10" t="s">
        <v>242</v>
      </c>
      <c r="U2088" s="10" t="s">
        <v>241</v>
      </c>
      <c r="V2088" s="10" t="s">
        <v>241</v>
      </c>
      <c r="W2088" s="10" t="s">
        <v>242</v>
      </c>
      <c r="X2088" s="15">
        <f>IF(ISERROR(VLOOKUP($A2088,'13. Updated Demand'!A:Z,15,FALSE)),0,VLOOKUP($A2088,'13. Updated Demand'!A:Z,15,FALSE))</f>
        <v>0</v>
      </c>
      <c r="Y2088" s="16">
        <f>IF(ISERROR(VLOOKUP($A2088,'13. Updated Demand'!A:Z,16,FALSE)),0,VLOOKUP($A2088,'13. Updated Demand'!A:Z,16,FALSE))</f>
        <v>0</v>
      </c>
      <c r="Z2088" s="16">
        <f>IF(ISERROR(VLOOKUP($A2088,'13. Updated Demand'!A:Z,17,FALSE)),0,VLOOKUP($A2088,'13. Updated Demand'!A:Z,17,FALSE))</f>
        <v>0</v>
      </c>
      <c r="AA2088" s="16">
        <f>IF(ISERROR(VLOOKUP($A2088,'13. Updated Demand'!A:Z,18,FALSE)),0,VLOOKUP($A2088,'13. Updated Demand'!A:Z,18,FALSE))</f>
        <v>0</v>
      </c>
      <c r="AB2088" s="16">
        <f>IF(ISERROR(VLOOKUP($A2088,'13. Updated Demand'!A:Z,19,FALSE)),0,VLOOKUP($A2088,'13. Updated Demand'!A:Z,19,FALSE))</f>
        <v>0</v>
      </c>
      <c r="AC2088" s="16">
        <f>IF(ISERROR(VLOOKUP($A2088,'13. Updated Demand'!A:Z,20,FALSE)),0,VLOOKUP($A2088,'13. Updated Demand'!A:Z,20,FALSE))</f>
        <v>0</v>
      </c>
      <c r="AD2088" s="16">
        <f>IF(ISERROR(VLOOKUP($A2088,'13. Updated Demand'!A:Z,21,FALSE)),0,VLOOKUP($A2088,'13. Updated Demand'!A:Z,21,FALSE))</f>
        <v>0</v>
      </c>
      <c r="AE2088" s="16">
        <f>IF(ISERROR(VLOOKUP($A2088,'13. Updated Demand'!A:Z,22,FALSE)),0,VLOOKUP($A2088,'13. Updated Demand'!A:Z,22,FALSE))</f>
        <v>0</v>
      </c>
      <c r="AF2088" s="16">
        <f>IF(ISERROR(VLOOKUP($A2088,'13. Updated Demand'!A:Z,23,FALSE)),0,VLOOKUP($A2088,'13. Updated Demand'!A:Z,23,FALSE))</f>
        <v>0</v>
      </c>
      <c r="AG2088" s="16">
        <f>IF(ISERROR(VLOOKUP($A2088,'13. Updated Demand'!A:Z,24,FALSE)),0,VLOOKUP($A2088,'13. Updated Demand'!A:Z,24,FALSE))</f>
        <v>0</v>
      </c>
      <c r="AH2088" s="16">
        <f>IF(ISERROR(VLOOKUP($A2088,'13. Updated Demand'!A:Z,25,FALSE)),0,VLOOKUP($A2088,'13. Updated Demand'!A:Z,25,FALSE))</f>
        <v>0</v>
      </c>
      <c r="AI2088" s="16">
        <f>IF(ISERROR(VLOOKUP($A2088,'13. Updated Demand'!A:Z,26,FALSE)),0,VLOOKUP($A2088,'13. Updated Demand'!A:Z,26,FALSE))</f>
        <v>0</v>
      </c>
      <c r="AJ2088" s="16">
        <f t="shared" si="397"/>
        <v>0</v>
      </c>
      <c r="AK2088" s="19">
        <v>0</v>
      </c>
      <c r="AL2088" s="16">
        <f t="shared" si="395"/>
        <v>0</v>
      </c>
      <c r="AM2088" s="26">
        <v>0</v>
      </c>
      <c r="AN2088" s="19">
        <v>2017.454</v>
      </c>
      <c r="AO2088" s="19" t="s">
        <v>1758</v>
      </c>
      <c r="AP2088" s="19">
        <v>0</v>
      </c>
      <c r="AQ2088" s="19" t="s">
        <v>307</v>
      </c>
      <c r="AR2088" s="9" t="s">
        <v>333</v>
      </c>
      <c r="AS2088" s="12">
        <v>0</v>
      </c>
      <c r="AT2088" s="19">
        <v>39.1006</v>
      </c>
      <c r="AU2088" s="19">
        <v>-123.18940000000001</v>
      </c>
      <c r="AV2088" s="19" t="s">
        <v>1438</v>
      </c>
    </row>
    <row r="2089" spans="1:48" x14ac:dyDescent="0.25">
      <c r="A2089" s="18" t="s">
        <v>2520</v>
      </c>
      <c r="B2089" s="10">
        <v>10000000</v>
      </c>
      <c r="C2089" s="9">
        <v>6</v>
      </c>
      <c r="D2089" s="8" t="str">
        <f t="shared" si="386"/>
        <v>Y</v>
      </c>
      <c r="E2089" s="8" t="str">
        <f t="shared" si="387"/>
        <v>N</v>
      </c>
      <c r="F2089" s="8" t="str">
        <f t="shared" si="388"/>
        <v>Y</v>
      </c>
      <c r="G2089" s="8" t="str">
        <f t="shared" si="389"/>
        <v>Y</v>
      </c>
      <c r="H2089" s="8" t="str">
        <f t="shared" si="390"/>
        <v>Upper</v>
      </c>
      <c r="I2089" s="8" t="str">
        <f t="shared" si="391"/>
        <v>West Fork and Below Lake</v>
      </c>
      <c r="J2089" s="8" t="str">
        <f t="shared" si="392"/>
        <v>Mendocino (d/s of lake)</v>
      </c>
      <c r="K2089" s="8" t="str">
        <f t="shared" si="393"/>
        <v>Riparian</v>
      </c>
      <c r="L2089" s="8">
        <f t="shared" si="394"/>
        <v>1000</v>
      </c>
      <c r="M2089" s="8" t="str">
        <f t="shared" si="396"/>
        <v>-</v>
      </c>
      <c r="N2089" s="10" t="s">
        <v>242</v>
      </c>
      <c r="O2089" s="10" t="s">
        <v>241</v>
      </c>
      <c r="P2089" s="10" t="s">
        <v>242</v>
      </c>
      <c r="Q2089" s="10" t="s">
        <v>242</v>
      </c>
      <c r="R2089" s="10" t="s">
        <v>242</v>
      </c>
      <c r="S2089" s="10" t="s">
        <v>241</v>
      </c>
      <c r="T2089" s="10" t="s">
        <v>242</v>
      </c>
      <c r="U2089" s="10" t="s">
        <v>242</v>
      </c>
      <c r="V2089" s="10" t="s">
        <v>241</v>
      </c>
      <c r="W2089" s="10" t="s">
        <v>242</v>
      </c>
      <c r="X2089" s="15">
        <f>IF(ISERROR(VLOOKUP($A2089,'13. Updated Demand'!A:Z,15,FALSE)),0,VLOOKUP($A2089,'13. Updated Demand'!A:Z,15,FALSE))</f>
        <v>0</v>
      </c>
      <c r="Y2089" s="16">
        <f>IF(ISERROR(VLOOKUP($A2089,'13. Updated Demand'!A:Z,16,FALSE)),0,VLOOKUP($A2089,'13. Updated Demand'!A:Z,16,FALSE))</f>
        <v>0</v>
      </c>
      <c r="Z2089" s="16">
        <f>IF(ISERROR(VLOOKUP($A2089,'13. Updated Demand'!A:Z,17,FALSE)),0,VLOOKUP($A2089,'13. Updated Demand'!A:Z,17,FALSE))</f>
        <v>0.04</v>
      </c>
      <c r="AA2089" s="16">
        <f>IF(ISERROR(VLOOKUP($A2089,'13. Updated Demand'!A:Z,18,FALSE)),0,VLOOKUP($A2089,'13. Updated Demand'!A:Z,18,FALSE))</f>
        <v>0</v>
      </c>
      <c r="AB2089" s="16">
        <f>IF(ISERROR(VLOOKUP($A2089,'13. Updated Demand'!A:Z,19,FALSE)),0,VLOOKUP($A2089,'13. Updated Demand'!A:Z,19,FALSE))</f>
        <v>0</v>
      </c>
      <c r="AC2089" s="16">
        <f>IF(ISERROR(VLOOKUP($A2089,'13. Updated Demand'!A:Z,20,FALSE)),0,VLOOKUP($A2089,'13. Updated Demand'!A:Z,20,FALSE))</f>
        <v>0</v>
      </c>
      <c r="AD2089" s="16">
        <f>IF(ISERROR(VLOOKUP($A2089,'13. Updated Demand'!A:Z,21,FALSE)),0,VLOOKUP($A2089,'13. Updated Demand'!A:Z,21,FALSE))</f>
        <v>0</v>
      </c>
      <c r="AE2089" s="16">
        <f>IF(ISERROR(VLOOKUP($A2089,'13. Updated Demand'!A:Z,22,FALSE)),0,VLOOKUP($A2089,'13. Updated Demand'!A:Z,22,FALSE))</f>
        <v>0</v>
      </c>
      <c r="AF2089" s="16">
        <f>IF(ISERROR(VLOOKUP($A2089,'13. Updated Demand'!A:Z,23,FALSE)),0,VLOOKUP($A2089,'13. Updated Demand'!A:Z,23,FALSE))</f>
        <v>0</v>
      </c>
      <c r="AG2089" s="16">
        <f>IF(ISERROR(VLOOKUP($A2089,'13. Updated Demand'!A:Z,24,FALSE)),0,VLOOKUP($A2089,'13. Updated Demand'!A:Z,24,FALSE))</f>
        <v>0</v>
      </c>
      <c r="AH2089" s="16">
        <f>IF(ISERROR(VLOOKUP($A2089,'13. Updated Demand'!A:Z,25,FALSE)),0,VLOOKUP($A2089,'13. Updated Demand'!A:Z,25,FALSE))</f>
        <v>0</v>
      </c>
      <c r="AI2089" s="16">
        <f>IF(ISERROR(VLOOKUP($A2089,'13. Updated Demand'!A:Z,26,FALSE)),0,VLOOKUP($A2089,'13. Updated Demand'!A:Z,26,FALSE))</f>
        <v>0</v>
      </c>
      <c r="AJ2089" s="16">
        <f t="shared" si="397"/>
        <v>0.04</v>
      </c>
      <c r="AK2089" s="19">
        <v>0</v>
      </c>
      <c r="AL2089" s="16">
        <f t="shared" si="395"/>
        <v>0</v>
      </c>
      <c r="AM2089" s="26">
        <v>4.5057618556169168E-5</v>
      </c>
      <c r="AN2089" s="19">
        <v>887.75220000000002</v>
      </c>
      <c r="AO2089" s="19" t="s">
        <v>1758</v>
      </c>
      <c r="AP2089" s="19">
        <v>0</v>
      </c>
      <c r="AQ2089" s="19" t="s">
        <v>307</v>
      </c>
      <c r="AR2089" s="9" t="s">
        <v>319</v>
      </c>
      <c r="AS2089" s="12">
        <v>0</v>
      </c>
      <c r="AT2089" s="19">
        <v>38.979999999999997</v>
      </c>
      <c r="AU2089" s="19">
        <v>-123.11360000000001</v>
      </c>
      <c r="AV2089" s="19" t="s">
        <v>2521</v>
      </c>
    </row>
    <row r="2090" spans="1:48" x14ac:dyDescent="0.25">
      <c r="A2090" s="18" t="s">
        <v>2522</v>
      </c>
      <c r="B2090" s="10">
        <v>10000000</v>
      </c>
      <c r="C2090" s="9">
        <v>5</v>
      </c>
      <c r="D2090" s="8" t="str">
        <f t="shared" si="386"/>
        <v>Y</v>
      </c>
      <c r="E2090" s="8" t="str">
        <f t="shared" si="387"/>
        <v>N</v>
      </c>
      <c r="F2090" s="8" t="str">
        <f t="shared" si="388"/>
        <v>Y</v>
      </c>
      <c r="G2090" s="8" t="str">
        <f t="shared" si="389"/>
        <v>Y</v>
      </c>
      <c r="H2090" s="8" t="str">
        <f t="shared" si="390"/>
        <v>Upper</v>
      </c>
      <c r="I2090" s="8" t="str">
        <f t="shared" si="391"/>
        <v>West Fork and Below Lake</v>
      </c>
      <c r="J2090" s="8" t="str">
        <f t="shared" si="392"/>
        <v>Mendocino (d/s of lake)</v>
      </c>
      <c r="K2090" s="8" t="str">
        <f t="shared" si="393"/>
        <v>Riparian</v>
      </c>
      <c r="L2090" s="8">
        <f t="shared" si="394"/>
        <v>1000</v>
      </c>
      <c r="M2090" s="8" t="str">
        <f t="shared" si="396"/>
        <v>-</v>
      </c>
      <c r="N2090" s="10" t="s">
        <v>242</v>
      </c>
      <c r="O2090" s="10" t="s">
        <v>241</v>
      </c>
      <c r="P2090" s="10" t="s">
        <v>242</v>
      </c>
      <c r="Q2090" s="10" t="s">
        <v>242</v>
      </c>
      <c r="R2090" s="10" t="s">
        <v>242</v>
      </c>
      <c r="S2090" s="10" t="s">
        <v>241</v>
      </c>
      <c r="T2090" s="10" t="s">
        <v>242</v>
      </c>
      <c r="U2090" s="10" t="s">
        <v>242</v>
      </c>
      <c r="V2090" s="10" t="s">
        <v>242</v>
      </c>
      <c r="W2090" s="10" t="s">
        <v>242</v>
      </c>
      <c r="X2090" s="15">
        <f>IF(ISERROR(VLOOKUP($A2090,'13. Updated Demand'!A:Z,15,FALSE)),0,VLOOKUP($A2090,'13. Updated Demand'!A:Z,15,FALSE))</f>
        <v>0</v>
      </c>
      <c r="Y2090" s="16">
        <f>IF(ISERROR(VLOOKUP($A2090,'13. Updated Demand'!A:Z,16,FALSE)),0,VLOOKUP($A2090,'13. Updated Demand'!A:Z,16,FALSE))</f>
        <v>0</v>
      </c>
      <c r="Z2090" s="16">
        <f>IF(ISERROR(VLOOKUP($A2090,'13. Updated Demand'!A:Z,17,FALSE)),0,VLOOKUP($A2090,'13. Updated Demand'!A:Z,17,FALSE))</f>
        <v>0</v>
      </c>
      <c r="AA2090" s="16">
        <f>IF(ISERROR(VLOOKUP($A2090,'13. Updated Demand'!A:Z,18,FALSE)),0,VLOOKUP($A2090,'13. Updated Demand'!A:Z,18,FALSE))</f>
        <v>0</v>
      </c>
      <c r="AB2090" s="16">
        <f>IF(ISERROR(VLOOKUP($A2090,'13. Updated Demand'!A:Z,19,FALSE)),0,VLOOKUP($A2090,'13. Updated Demand'!A:Z,19,FALSE))</f>
        <v>0</v>
      </c>
      <c r="AC2090" s="16">
        <f>IF(ISERROR(VLOOKUP($A2090,'13. Updated Demand'!A:Z,20,FALSE)),0,VLOOKUP($A2090,'13. Updated Demand'!A:Z,20,FALSE))</f>
        <v>4.4999999999999999E-4</v>
      </c>
      <c r="AD2090" s="16">
        <f>IF(ISERROR(VLOOKUP($A2090,'13. Updated Demand'!A:Z,21,FALSE)),0,VLOOKUP($A2090,'13. Updated Demand'!A:Z,21,FALSE))</f>
        <v>0</v>
      </c>
      <c r="AE2090" s="16">
        <f>IF(ISERROR(VLOOKUP($A2090,'13. Updated Demand'!A:Z,22,FALSE)),0,VLOOKUP($A2090,'13. Updated Demand'!A:Z,22,FALSE))</f>
        <v>3.5400000000000002E-3</v>
      </c>
      <c r="AF2090" s="16">
        <f>IF(ISERROR(VLOOKUP($A2090,'13. Updated Demand'!A:Z,23,FALSE)),0,VLOOKUP($A2090,'13. Updated Demand'!A:Z,23,FALSE))</f>
        <v>0</v>
      </c>
      <c r="AG2090" s="16">
        <f>IF(ISERROR(VLOOKUP($A2090,'13. Updated Demand'!A:Z,24,FALSE)),0,VLOOKUP($A2090,'13. Updated Demand'!A:Z,24,FALSE))</f>
        <v>0</v>
      </c>
      <c r="AH2090" s="16">
        <f>IF(ISERROR(VLOOKUP($A2090,'13. Updated Demand'!A:Z,25,FALSE)),0,VLOOKUP($A2090,'13. Updated Demand'!A:Z,25,FALSE))</f>
        <v>0</v>
      </c>
      <c r="AI2090" s="16">
        <f>IF(ISERROR(VLOOKUP($A2090,'13. Updated Demand'!A:Z,26,FALSE)),0,VLOOKUP($A2090,'13. Updated Demand'!A:Z,26,FALSE))</f>
        <v>0</v>
      </c>
      <c r="AJ2090" s="16">
        <f t="shared" si="397"/>
        <v>3.9900000000000005E-3</v>
      </c>
      <c r="AK2090" s="19">
        <v>3.9900000000000005E-3</v>
      </c>
      <c r="AL2090" s="16">
        <f t="shared" si="395"/>
        <v>1.3234375496289084E-5</v>
      </c>
      <c r="AM2090" s="26">
        <v>1.5737161789066815E-3</v>
      </c>
      <c r="AN2090" s="19">
        <v>2.5354000000000001</v>
      </c>
      <c r="AO2090" s="19" t="s">
        <v>1758</v>
      </c>
      <c r="AP2090" s="19">
        <v>0</v>
      </c>
      <c r="AQ2090" s="19" t="s">
        <v>307</v>
      </c>
      <c r="AR2090" s="9" t="s">
        <v>333</v>
      </c>
      <c r="AS2090" s="12">
        <v>3.4039024194010059E-4</v>
      </c>
      <c r="AT2090" s="19">
        <v>39.093699999999998</v>
      </c>
      <c r="AU2090" s="19">
        <v>-123.2443</v>
      </c>
      <c r="AV2090" s="19" t="s">
        <v>1438</v>
      </c>
    </row>
    <row r="2091" spans="1:48" x14ac:dyDescent="0.25">
      <c r="A2091" s="18" t="s">
        <v>2523</v>
      </c>
      <c r="B2091" s="10">
        <v>10000000</v>
      </c>
      <c r="C2091" s="9">
        <v>10</v>
      </c>
      <c r="D2091" s="8" t="str">
        <f t="shared" si="386"/>
        <v>N</v>
      </c>
      <c r="E2091" s="8" t="str">
        <f t="shared" si="387"/>
        <v>Y</v>
      </c>
      <c r="F2091" s="8" t="str">
        <f t="shared" si="388"/>
        <v>Y</v>
      </c>
      <c r="G2091" s="8" t="str">
        <f t="shared" si="389"/>
        <v>Y</v>
      </c>
      <c r="H2091" s="8" t="str">
        <f t="shared" si="390"/>
        <v>Upper</v>
      </c>
      <c r="I2091" s="8" t="str">
        <f t="shared" si="391"/>
        <v>West Fork and Below Lake</v>
      </c>
      <c r="J2091" s="8" t="str">
        <f t="shared" si="392"/>
        <v>Sonoma (d/s of Clov. Gage)</v>
      </c>
      <c r="K2091" s="8" t="str">
        <f t="shared" si="393"/>
        <v>Riparian</v>
      </c>
      <c r="L2091" s="8">
        <f t="shared" si="394"/>
        <v>1000</v>
      </c>
      <c r="M2091" s="8" t="str">
        <f t="shared" si="396"/>
        <v>-</v>
      </c>
      <c r="N2091" s="10" t="s">
        <v>241</v>
      </c>
      <c r="O2091" s="10" t="s">
        <v>241</v>
      </c>
      <c r="P2091" s="10" t="s">
        <v>242</v>
      </c>
      <c r="Q2091" s="10" t="s">
        <v>242</v>
      </c>
      <c r="R2091" s="10" t="s">
        <v>242</v>
      </c>
      <c r="S2091" s="10" t="s">
        <v>241</v>
      </c>
      <c r="T2091" s="10" t="s">
        <v>242</v>
      </c>
      <c r="U2091" s="10" t="s">
        <v>242</v>
      </c>
      <c r="V2091" s="10" t="s">
        <v>241</v>
      </c>
      <c r="W2091" s="10" t="s">
        <v>242</v>
      </c>
      <c r="X2091" s="15">
        <f>IF(ISERROR(VLOOKUP($A2091,'13. Updated Demand'!A:Z,15,FALSE)),0,VLOOKUP($A2091,'13. Updated Demand'!A:Z,15,FALSE))</f>
        <v>0</v>
      </c>
      <c r="Y2091" s="16">
        <f>IF(ISERROR(VLOOKUP($A2091,'13. Updated Demand'!A:Z,16,FALSE)),0,VLOOKUP($A2091,'13. Updated Demand'!A:Z,16,FALSE))</f>
        <v>1.2</v>
      </c>
      <c r="Z2091" s="16">
        <f>IF(ISERROR(VLOOKUP($A2091,'13. Updated Demand'!A:Z,17,FALSE)),0,VLOOKUP($A2091,'13. Updated Demand'!A:Z,17,FALSE))</f>
        <v>1</v>
      </c>
      <c r="AA2091" s="16">
        <f>IF(ISERROR(VLOOKUP($A2091,'13. Updated Demand'!A:Z,18,FALSE)),0,VLOOKUP($A2091,'13. Updated Demand'!A:Z,18,FALSE))</f>
        <v>0</v>
      </c>
      <c r="AB2091" s="16">
        <f>IF(ISERROR(VLOOKUP($A2091,'13. Updated Demand'!A:Z,19,FALSE)),0,VLOOKUP($A2091,'13. Updated Demand'!A:Z,19,FALSE))</f>
        <v>0</v>
      </c>
      <c r="AC2091" s="16">
        <f>IF(ISERROR(VLOOKUP($A2091,'13. Updated Demand'!A:Z,20,FALSE)),0,VLOOKUP($A2091,'13. Updated Demand'!A:Z,20,FALSE))</f>
        <v>0</v>
      </c>
      <c r="AD2091" s="16">
        <f>IF(ISERROR(VLOOKUP($A2091,'13. Updated Demand'!A:Z,21,FALSE)),0,VLOOKUP($A2091,'13. Updated Demand'!A:Z,21,FALSE))</f>
        <v>0</v>
      </c>
      <c r="AE2091" s="16">
        <f>IF(ISERROR(VLOOKUP($A2091,'13. Updated Demand'!A:Z,22,FALSE)),0,VLOOKUP($A2091,'13. Updated Demand'!A:Z,22,FALSE))</f>
        <v>0</v>
      </c>
      <c r="AF2091" s="16">
        <f>IF(ISERROR(VLOOKUP($A2091,'13. Updated Demand'!A:Z,23,FALSE)),0,VLOOKUP($A2091,'13. Updated Demand'!A:Z,23,FALSE))</f>
        <v>0</v>
      </c>
      <c r="AG2091" s="16">
        <f>IF(ISERROR(VLOOKUP($A2091,'13. Updated Demand'!A:Z,24,FALSE)),0,VLOOKUP($A2091,'13. Updated Demand'!A:Z,24,FALSE))</f>
        <v>0.06</v>
      </c>
      <c r="AH2091" s="16">
        <f>IF(ISERROR(VLOOKUP($A2091,'13. Updated Demand'!A:Z,25,FALSE)),0,VLOOKUP($A2091,'13. Updated Demand'!A:Z,25,FALSE))</f>
        <v>1.36</v>
      </c>
      <c r="AI2091" s="16">
        <f>IF(ISERROR(VLOOKUP($A2091,'13. Updated Demand'!A:Z,26,FALSE)),0,VLOOKUP($A2091,'13. Updated Demand'!A:Z,26,FALSE))</f>
        <v>0</v>
      </c>
      <c r="AJ2091" s="16">
        <f t="shared" si="397"/>
        <v>3.62</v>
      </c>
      <c r="AK2091" s="19">
        <v>0</v>
      </c>
      <c r="AL2091" s="16">
        <f t="shared" si="395"/>
        <v>0</v>
      </c>
      <c r="AM2091" s="26">
        <v>1.5007914816287165E-3</v>
      </c>
      <c r="AN2091" s="19">
        <v>2420.9448000000002</v>
      </c>
      <c r="AO2091" s="19" t="s">
        <v>1758</v>
      </c>
      <c r="AP2091" s="19">
        <v>0</v>
      </c>
      <c r="AQ2091" s="19" t="s">
        <v>307</v>
      </c>
      <c r="AR2091" s="9" t="s">
        <v>436</v>
      </c>
      <c r="AS2091" s="12">
        <v>0</v>
      </c>
      <c r="AT2091" s="19">
        <v>38.687600000000003</v>
      </c>
      <c r="AU2091" s="19">
        <v>-122.86150000000001</v>
      </c>
      <c r="AV2091" s="19" t="s">
        <v>548</v>
      </c>
    </row>
    <row r="2092" spans="1:48" x14ac:dyDescent="0.25">
      <c r="A2092" s="18" t="s">
        <v>2524</v>
      </c>
      <c r="B2092" s="10">
        <v>10000000</v>
      </c>
      <c r="C2092" s="9">
        <v>10</v>
      </c>
      <c r="D2092" s="8" t="str">
        <f t="shared" si="386"/>
        <v>N</v>
      </c>
      <c r="E2092" s="8" t="str">
        <f t="shared" si="387"/>
        <v>Y</v>
      </c>
      <c r="F2092" s="8" t="str">
        <f t="shared" si="388"/>
        <v>Y</v>
      </c>
      <c r="G2092" s="8" t="str">
        <f t="shared" si="389"/>
        <v>Y</v>
      </c>
      <c r="H2092" s="8" t="str">
        <f t="shared" si="390"/>
        <v>Upper</v>
      </c>
      <c r="I2092" s="8" t="str">
        <f t="shared" si="391"/>
        <v>West Fork and Below Lake</v>
      </c>
      <c r="J2092" s="8" t="str">
        <f t="shared" si="392"/>
        <v>Sonoma (d/s of Clov. Gage)</v>
      </c>
      <c r="K2092" s="8" t="str">
        <f t="shared" si="393"/>
        <v>Riparian</v>
      </c>
      <c r="L2092" s="8">
        <f t="shared" si="394"/>
        <v>1000</v>
      </c>
      <c r="M2092" s="8" t="str">
        <f t="shared" si="396"/>
        <v>-</v>
      </c>
      <c r="N2092" s="10" t="s">
        <v>241</v>
      </c>
      <c r="O2092" s="10" t="s">
        <v>241</v>
      </c>
      <c r="P2092" s="10" t="s">
        <v>242</v>
      </c>
      <c r="Q2092" s="10" t="s">
        <v>242</v>
      </c>
      <c r="R2092" s="10" t="s">
        <v>242</v>
      </c>
      <c r="S2092" s="10" t="s">
        <v>241</v>
      </c>
      <c r="T2092" s="10" t="s">
        <v>242</v>
      </c>
      <c r="U2092" s="10" t="s">
        <v>242</v>
      </c>
      <c r="V2092" s="10" t="s">
        <v>241</v>
      </c>
      <c r="W2092" s="10" t="s">
        <v>242</v>
      </c>
      <c r="X2092" s="15">
        <f>IF(ISERROR(VLOOKUP($A2092,'13. Updated Demand'!A:Z,15,FALSE)),0,VLOOKUP($A2092,'13. Updated Demand'!A:Z,15,FALSE))</f>
        <v>0</v>
      </c>
      <c r="Y2092" s="16">
        <f>IF(ISERROR(VLOOKUP($A2092,'13. Updated Demand'!A:Z,16,FALSE)),0,VLOOKUP($A2092,'13. Updated Demand'!A:Z,16,FALSE))</f>
        <v>0.5</v>
      </c>
      <c r="Z2092" s="16">
        <f>IF(ISERROR(VLOOKUP($A2092,'13. Updated Demand'!A:Z,17,FALSE)),0,VLOOKUP($A2092,'13. Updated Demand'!A:Z,17,FALSE))</f>
        <v>1.5</v>
      </c>
      <c r="AA2092" s="16">
        <f>IF(ISERROR(VLOOKUP($A2092,'13. Updated Demand'!A:Z,18,FALSE)),0,VLOOKUP($A2092,'13. Updated Demand'!A:Z,18,FALSE))</f>
        <v>0</v>
      </c>
      <c r="AB2092" s="16">
        <f>IF(ISERROR(VLOOKUP($A2092,'13. Updated Demand'!A:Z,19,FALSE)),0,VLOOKUP($A2092,'13. Updated Demand'!A:Z,19,FALSE))</f>
        <v>0</v>
      </c>
      <c r="AC2092" s="16">
        <f>IF(ISERROR(VLOOKUP($A2092,'13. Updated Demand'!A:Z,20,FALSE)),0,VLOOKUP($A2092,'13. Updated Demand'!A:Z,20,FALSE))</f>
        <v>0</v>
      </c>
      <c r="AD2092" s="16">
        <f>IF(ISERROR(VLOOKUP($A2092,'13. Updated Demand'!A:Z,21,FALSE)),0,VLOOKUP($A2092,'13. Updated Demand'!A:Z,21,FALSE))</f>
        <v>0</v>
      </c>
      <c r="AE2092" s="16">
        <f>IF(ISERROR(VLOOKUP($A2092,'13. Updated Demand'!A:Z,22,FALSE)),0,VLOOKUP($A2092,'13. Updated Demand'!A:Z,22,FALSE))</f>
        <v>0</v>
      </c>
      <c r="AF2092" s="16">
        <f>IF(ISERROR(VLOOKUP($A2092,'13. Updated Demand'!A:Z,23,FALSE)),0,VLOOKUP($A2092,'13. Updated Demand'!A:Z,23,FALSE))</f>
        <v>0</v>
      </c>
      <c r="AG2092" s="16">
        <f>IF(ISERROR(VLOOKUP($A2092,'13. Updated Demand'!A:Z,24,FALSE)),0,VLOOKUP($A2092,'13. Updated Demand'!A:Z,24,FALSE))</f>
        <v>0.06</v>
      </c>
      <c r="AH2092" s="16">
        <f>IF(ISERROR(VLOOKUP($A2092,'13. Updated Demand'!A:Z,25,FALSE)),0,VLOOKUP($A2092,'13. Updated Demand'!A:Z,25,FALSE))</f>
        <v>4.26</v>
      </c>
      <c r="AI2092" s="16">
        <f>IF(ISERROR(VLOOKUP($A2092,'13. Updated Demand'!A:Z,26,FALSE)),0,VLOOKUP($A2092,'13. Updated Demand'!A:Z,26,FALSE))</f>
        <v>0</v>
      </c>
      <c r="AJ2092" s="16">
        <f t="shared" si="397"/>
        <v>6.32</v>
      </c>
      <c r="AK2092" s="19">
        <v>0</v>
      </c>
      <c r="AL2092" s="16">
        <f t="shared" si="395"/>
        <v>0</v>
      </c>
      <c r="AM2092" s="26">
        <v>2.2423358965356966E-3</v>
      </c>
      <c r="AN2092" s="19">
        <v>2824.4355999999998</v>
      </c>
      <c r="AO2092" s="19" t="s">
        <v>1758</v>
      </c>
      <c r="AP2092" s="19">
        <v>0</v>
      </c>
      <c r="AQ2092" s="19" t="s">
        <v>307</v>
      </c>
      <c r="AR2092" s="9" t="s">
        <v>436</v>
      </c>
      <c r="AS2092" s="12">
        <v>0</v>
      </c>
      <c r="AT2092" s="19">
        <v>38.695099999999996</v>
      </c>
      <c r="AU2092" s="19">
        <v>-122.86279999999999</v>
      </c>
      <c r="AV2092" s="19" t="s">
        <v>548</v>
      </c>
    </row>
    <row r="2093" spans="1:48" x14ac:dyDescent="0.25">
      <c r="A2093" s="18" t="s">
        <v>2525</v>
      </c>
      <c r="B2093" s="10">
        <v>10000000</v>
      </c>
      <c r="C2093" s="9">
        <v>10</v>
      </c>
      <c r="D2093" s="8" t="str">
        <f t="shared" si="386"/>
        <v>N</v>
      </c>
      <c r="E2093" s="8" t="str">
        <f t="shared" si="387"/>
        <v>Y</v>
      </c>
      <c r="F2093" s="8" t="str">
        <f t="shared" si="388"/>
        <v>Y</v>
      </c>
      <c r="G2093" s="8" t="str">
        <f t="shared" si="389"/>
        <v>Y</v>
      </c>
      <c r="H2093" s="8" t="str">
        <f t="shared" si="390"/>
        <v>Upper</v>
      </c>
      <c r="I2093" s="8" t="str">
        <f t="shared" si="391"/>
        <v>West Fork and Below Lake</v>
      </c>
      <c r="J2093" s="8" t="str">
        <f t="shared" si="392"/>
        <v>Sonoma (d/s of Clov. Gage)</v>
      </c>
      <c r="K2093" s="8" t="str">
        <f t="shared" si="393"/>
        <v>Riparian</v>
      </c>
      <c r="L2093" s="8">
        <f t="shared" si="394"/>
        <v>1000</v>
      </c>
      <c r="M2093" s="8" t="str">
        <f t="shared" si="396"/>
        <v>-</v>
      </c>
      <c r="N2093" s="10" t="s">
        <v>241</v>
      </c>
      <c r="O2093" s="10" t="s">
        <v>241</v>
      </c>
      <c r="P2093" s="10" t="s">
        <v>242</v>
      </c>
      <c r="Q2093" s="10" t="s">
        <v>242</v>
      </c>
      <c r="R2093" s="10" t="s">
        <v>242</v>
      </c>
      <c r="S2093" s="10" t="s">
        <v>241</v>
      </c>
      <c r="T2093" s="10" t="s">
        <v>242</v>
      </c>
      <c r="U2093" s="10" t="s">
        <v>242</v>
      </c>
      <c r="V2093" s="10" t="s">
        <v>241</v>
      </c>
      <c r="W2093" s="10" t="s">
        <v>242</v>
      </c>
      <c r="X2093" s="15">
        <f>IF(ISERROR(VLOOKUP($A2093,'13. Updated Demand'!A:Z,15,FALSE)),0,VLOOKUP($A2093,'13. Updated Demand'!A:Z,15,FALSE))</f>
        <v>0</v>
      </c>
      <c r="Y2093" s="16">
        <f>IF(ISERROR(VLOOKUP($A2093,'13. Updated Demand'!A:Z,16,FALSE)),0,VLOOKUP($A2093,'13. Updated Demand'!A:Z,16,FALSE))</f>
        <v>0.46</v>
      </c>
      <c r="Z2093" s="16">
        <f>IF(ISERROR(VLOOKUP($A2093,'13. Updated Demand'!A:Z,17,FALSE)),0,VLOOKUP($A2093,'13. Updated Demand'!A:Z,17,FALSE))</f>
        <v>1</v>
      </c>
      <c r="AA2093" s="16">
        <f>IF(ISERROR(VLOOKUP($A2093,'13. Updated Demand'!A:Z,18,FALSE)),0,VLOOKUP($A2093,'13. Updated Demand'!A:Z,18,FALSE))</f>
        <v>0</v>
      </c>
      <c r="AB2093" s="16">
        <f>IF(ISERROR(VLOOKUP($A2093,'13. Updated Demand'!A:Z,19,FALSE)),0,VLOOKUP($A2093,'13. Updated Demand'!A:Z,19,FALSE))</f>
        <v>0</v>
      </c>
      <c r="AC2093" s="16">
        <f>IF(ISERROR(VLOOKUP($A2093,'13. Updated Demand'!A:Z,20,FALSE)),0,VLOOKUP($A2093,'13. Updated Demand'!A:Z,20,FALSE))</f>
        <v>0</v>
      </c>
      <c r="AD2093" s="16">
        <f>IF(ISERROR(VLOOKUP($A2093,'13. Updated Demand'!A:Z,21,FALSE)),0,VLOOKUP($A2093,'13. Updated Demand'!A:Z,21,FALSE))</f>
        <v>0</v>
      </c>
      <c r="AE2093" s="16">
        <f>IF(ISERROR(VLOOKUP($A2093,'13. Updated Demand'!A:Z,22,FALSE)),0,VLOOKUP($A2093,'13. Updated Demand'!A:Z,22,FALSE))</f>
        <v>0</v>
      </c>
      <c r="AF2093" s="16">
        <f>IF(ISERROR(VLOOKUP($A2093,'13. Updated Demand'!A:Z,23,FALSE)),0,VLOOKUP($A2093,'13. Updated Demand'!A:Z,23,FALSE))</f>
        <v>0</v>
      </c>
      <c r="AG2093" s="16">
        <f>IF(ISERROR(VLOOKUP($A2093,'13. Updated Demand'!A:Z,24,FALSE)),0,VLOOKUP($A2093,'13. Updated Demand'!A:Z,24,FALSE))</f>
        <v>0.16</v>
      </c>
      <c r="AH2093" s="16">
        <f>IF(ISERROR(VLOOKUP($A2093,'13. Updated Demand'!A:Z,25,FALSE)),0,VLOOKUP($A2093,'13. Updated Demand'!A:Z,25,FALSE))</f>
        <v>0.8</v>
      </c>
      <c r="AI2093" s="16">
        <f>IF(ISERROR(VLOOKUP($A2093,'13. Updated Demand'!A:Z,26,FALSE)),0,VLOOKUP($A2093,'13. Updated Demand'!A:Z,26,FALSE))</f>
        <v>0</v>
      </c>
      <c r="AJ2093" s="16">
        <f t="shared" si="397"/>
        <v>2.42</v>
      </c>
      <c r="AK2093" s="19">
        <v>0</v>
      </c>
      <c r="AL2093" s="16">
        <f t="shared" si="395"/>
        <v>0</v>
      </c>
      <c r="AM2093" s="26">
        <v>1.4358203827252009E-3</v>
      </c>
      <c r="AN2093" s="19">
        <v>1694.7338</v>
      </c>
      <c r="AO2093" s="19" t="s">
        <v>1758</v>
      </c>
      <c r="AP2093" s="19">
        <v>0</v>
      </c>
      <c r="AQ2093" s="19" t="s">
        <v>307</v>
      </c>
      <c r="AR2093" s="9" t="s">
        <v>436</v>
      </c>
      <c r="AS2093" s="12">
        <v>0</v>
      </c>
      <c r="AT2093" s="19">
        <v>38.694299999999998</v>
      </c>
      <c r="AU2093" s="19">
        <v>-122.8599</v>
      </c>
      <c r="AV2093" s="19" t="s">
        <v>387</v>
      </c>
    </row>
    <row r="2094" spans="1:48" x14ac:dyDescent="0.25">
      <c r="A2094" s="18" t="s">
        <v>2526</v>
      </c>
      <c r="B2094" s="10">
        <v>10000000</v>
      </c>
      <c r="C2094" s="9">
        <v>10</v>
      </c>
      <c r="D2094" s="8" t="str">
        <f t="shared" si="386"/>
        <v>N</v>
      </c>
      <c r="E2094" s="8" t="str">
        <f t="shared" si="387"/>
        <v>Y</v>
      </c>
      <c r="F2094" s="8" t="str">
        <f t="shared" si="388"/>
        <v>Y</v>
      </c>
      <c r="G2094" s="8" t="str">
        <f t="shared" si="389"/>
        <v>Y</v>
      </c>
      <c r="H2094" s="8" t="str">
        <f t="shared" si="390"/>
        <v>Upper</v>
      </c>
      <c r="I2094" s="8" t="str">
        <f t="shared" si="391"/>
        <v>West Fork and Below Lake</v>
      </c>
      <c r="J2094" s="8" t="str">
        <f t="shared" si="392"/>
        <v>Sonoma (d/s of Clov. Gage)</v>
      </c>
      <c r="K2094" s="8" t="str">
        <f t="shared" si="393"/>
        <v>Riparian</v>
      </c>
      <c r="L2094" s="8">
        <f t="shared" si="394"/>
        <v>1000</v>
      </c>
      <c r="M2094" s="8" t="str">
        <f t="shared" si="396"/>
        <v>-</v>
      </c>
      <c r="N2094" s="10" t="s">
        <v>241</v>
      </c>
      <c r="O2094" s="10" t="s">
        <v>241</v>
      </c>
      <c r="P2094" s="10" t="s">
        <v>242</v>
      </c>
      <c r="Q2094" s="10" t="s">
        <v>242</v>
      </c>
      <c r="R2094" s="10" t="s">
        <v>242</v>
      </c>
      <c r="S2094" s="10" t="s">
        <v>241</v>
      </c>
      <c r="T2094" s="10" t="s">
        <v>242</v>
      </c>
      <c r="U2094" s="10" t="s">
        <v>242</v>
      </c>
      <c r="V2094" s="10" t="s">
        <v>242</v>
      </c>
      <c r="W2094" s="10" t="s">
        <v>242</v>
      </c>
      <c r="X2094" s="15">
        <f>IF(ISERROR(VLOOKUP($A2094,'13. Updated Demand'!A:Z,15,FALSE)),0,VLOOKUP($A2094,'13. Updated Demand'!A:Z,15,FALSE))</f>
        <v>0</v>
      </c>
      <c r="Y2094" s="16">
        <f>IF(ISERROR(VLOOKUP($A2094,'13. Updated Demand'!A:Z,16,FALSE)),0,VLOOKUP($A2094,'13. Updated Demand'!A:Z,16,FALSE))</f>
        <v>0.33</v>
      </c>
      <c r="Z2094" s="16">
        <f>IF(ISERROR(VLOOKUP($A2094,'13. Updated Demand'!A:Z,17,FALSE)),0,VLOOKUP($A2094,'13. Updated Demand'!A:Z,17,FALSE))</f>
        <v>1.43</v>
      </c>
      <c r="AA2094" s="16">
        <f>IF(ISERROR(VLOOKUP($A2094,'13. Updated Demand'!A:Z,18,FALSE)),0,VLOOKUP($A2094,'13. Updated Demand'!A:Z,18,FALSE))</f>
        <v>0</v>
      </c>
      <c r="AB2094" s="16">
        <f>IF(ISERROR(VLOOKUP($A2094,'13. Updated Demand'!A:Z,19,FALSE)),0,VLOOKUP($A2094,'13. Updated Demand'!A:Z,19,FALSE))</f>
        <v>1.33</v>
      </c>
      <c r="AC2094" s="16">
        <f>IF(ISERROR(VLOOKUP($A2094,'13. Updated Demand'!A:Z,20,FALSE)),0,VLOOKUP($A2094,'13. Updated Demand'!A:Z,20,FALSE))</f>
        <v>1.36</v>
      </c>
      <c r="AD2094" s="16">
        <f>IF(ISERROR(VLOOKUP($A2094,'13. Updated Demand'!A:Z,21,FALSE)),0,VLOOKUP($A2094,'13. Updated Demand'!A:Z,21,FALSE))</f>
        <v>0.96</v>
      </c>
      <c r="AE2094" s="16">
        <f>IF(ISERROR(VLOOKUP($A2094,'13. Updated Demand'!A:Z,22,FALSE)),0,VLOOKUP($A2094,'13. Updated Demand'!A:Z,22,FALSE))</f>
        <v>0.93</v>
      </c>
      <c r="AF2094" s="16">
        <f>IF(ISERROR(VLOOKUP($A2094,'13. Updated Demand'!A:Z,23,FALSE)),0,VLOOKUP($A2094,'13. Updated Demand'!A:Z,23,FALSE))</f>
        <v>1.46</v>
      </c>
      <c r="AG2094" s="16">
        <f>IF(ISERROR(VLOOKUP($A2094,'13. Updated Demand'!A:Z,24,FALSE)),0,VLOOKUP($A2094,'13. Updated Demand'!A:Z,24,FALSE))</f>
        <v>0.2</v>
      </c>
      <c r="AH2094" s="16">
        <f>IF(ISERROR(VLOOKUP($A2094,'13. Updated Demand'!A:Z,25,FALSE)),0,VLOOKUP($A2094,'13. Updated Demand'!A:Z,25,FALSE))</f>
        <v>0.16</v>
      </c>
      <c r="AI2094" s="16">
        <f>IF(ISERROR(VLOOKUP($A2094,'13. Updated Demand'!A:Z,26,FALSE)),0,VLOOKUP($A2094,'13. Updated Demand'!A:Z,26,FALSE))</f>
        <v>0</v>
      </c>
      <c r="AJ2094" s="16">
        <f t="shared" si="397"/>
        <v>8.16</v>
      </c>
      <c r="AK2094" s="19">
        <v>6.06666666666667</v>
      </c>
      <c r="AL2094" s="16">
        <f t="shared" si="395"/>
        <v>2.0122442275059431E-2</v>
      </c>
      <c r="AM2094" s="26">
        <v>7.526404830997333E-3</v>
      </c>
      <c r="AN2094" s="19">
        <v>1089.4975999999999</v>
      </c>
      <c r="AO2094" s="19" t="s">
        <v>1758</v>
      </c>
      <c r="AP2094" s="19">
        <v>0</v>
      </c>
      <c r="AQ2094" s="19" t="s">
        <v>307</v>
      </c>
      <c r="AR2094" s="9" t="s">
        <v>436</v>
      </c>
      <c r="AS2094" s="12">
        <v>3.4039024194010059E-4</v>
      </c>
      <c r="AT2094" s="19">
        <v>38.692900000000002</v>
      </c>
      <c r="AU2094" s="19">
        <v>-122.86020000000001</v>
      </c>
      <c r="AV2094" s="19" t="s">
        <v>548</v>
      </c>
    </row>
    <row r="2095" spans="1:48" x14ac:dyDescent="0.25">
      <c r="A2095" s="18" t="s">
        <v>2527</v>
      </c>
      <c r="B2095" s="10">
        <v>10000000</v>
      </c>
      <c r="C2095" s="9">
        <v>4</v>
      </c>
      <c r="D2095" s="8" t="str">
        <f t="shared" si="386"/>
        <v>Y</v>
      </c>
      <c r="E2095" s="8" t="str">
        <f t="shared" si="387"/>
        <v>N</v>
      </c>
      <c r="F2095" s="8" t="str">
        <f t="shared" si="388"/>
        <v>Y</v>
      </c>
      <c r="G2095" s="8" t="str">
        <f t="shared" si="389"/>
        <v>Y</v>
      </c>
      <c r="H2095" s="8" t="str">
        <f t="shared" si="390"/>
        <v>Upper</v>
      </c>
      <c r="I2095" s="8" t="str">
        <f t="shared" si="391"/>
        <v>West Fork and Below Lake</v>
      </c>
      <c r="J2095" s="8" t="str">
        <f t="shared" si="392"/>
        <v>Mendocino (d/s of lake)</v>
      </c>
      <c r="K2095" s="8" t="str">
        <f t="shared" si="393"/>
        <v>Riparian</v>
      </c>
      <c r="L2095" s="8">
        <f t="shared" si="394"/>
        <v>1000</v>
      </c>
      <c r="M2095" s="8" t="str">
        <f t="shared" si="396"/>
        <v>-</v>
      </c>
      <c r="N2095" s="10" t="s">
        <v>241</v>
      </c>
      <c r="O2095" s="10" t="s">
        <v>241</v>
      </c>
      <c r="P2095" s="10" t="s">
        <v>242</v>
      </c>
      <c r="Q2095" s="10" t="s">
        <v>242</v>
      </c>
      <c r="R2095" s="10" t="s">
        <v>242</v>
      </c>
      <c r="S2095" s="10" t="s">
        <v>241</v>
      </c>
      <c r="T2095" s="10" t="s">
        <v>242</v>
      </c>
      <c r="U2095" s="10" t="s">
        <v>242</v>
      </c>
      <c r="V2095" s="10" t="s">
        <v>242</v>
      </c>
      <c r="W2095" s="10" t="s">
        <v>242</v>
      </c>
      <c r="X2095" s="15">
        <f>IF(ISERROR(VLOOKUP($A2095,'13. Updated Demand'!A:Z,15,FALSE)),0,VLOOKUP($A2095,'13. Updated Demand'!A:Z,15,FALSE))</f>
        <v>19.45</v>
      </c>
      <c r="Y2095" s="16">
        <f>IF(ISERROR(VLOOKUP($A2095,'13. Updated Demand'!A:Z,16,FALSE)),0,VLOOKUP($A2095,'13. Updated Demand'!A:Z,16,FALSE))</f>
        <v>16.329999999999998</v>
      </c>
      <c r="Z2095" s="16">
        <f>IF(ISERROR(VLOOKUP($A2095,'13. Updated Demand'!A:Z,17,FALSE)),0,VLOOKUP($A2095,'13. Updated Demand'!A:Z,17,FALSE))</f>
        <v>17.09</v>
      </c>
      <c r="AA2095" s="16">
        <f>IF(ISERROR(VLOOKUP($A2095,'13. Updated Demand'!A:Z,18,FALSE)),0,VLOOKUP($A2095,'13. Updated Demand'!A:Z,18,FALSE))</f>
        <v>18.87</v>
      </c>
      <c r="AB2095" s="16">
        <f>IF(ISERROR(VLOOKUP($A2095,'13. Updated Demand'!A:Z,19,FALSE)),0,VLOOKUP($A2095,'13. Updated Demand'!A:Z,19,FALSE))</f>
        <v>13.51</v>
      </c>
      <c r="AC2095" s="16">
        <f>IF(ISERROR(VLOOKUP($A2095,'13. Updated Demand'!A:Z,20,FALSE)),0,VLOOKUP($A2095,'13. Updated Demand'!A:Z,20,FALSE))</f>
        <v>25.84</v>
      </c>
      <c r="AD2095" s="16">
        <f>IF(ISERROR(VLOOKUP($A2095,'13. Updated Demand'!A:Z,21,FALSE)),0,VLOOKUP($A2095,'13. Updated Demand'!A:Z,21,FALSE))</f>
        <v>29.39</v>
      </c>
      <c r="AE2095" s="16">
        <f>IF(ISERROR(VLOOKUP($A2095,'13. Updated Demand'!A:Z,22,FALSE)),0,VLOOKUP($A2095,'13. Updated Demand'!A:Z,22,FALSE))</f>
        <v>32.19</v>
      </c>
      <c r="AF2095" s="16">
        <f>IF(ISERROR(VLOOKUP($A2095,'13. Updated Demand'!A:Z,23,FALSE)),0,VLOOKUP($A2095,'13. Updated Demand'!A:Z,23,FALSE))</f>
        <v>32.6</v>
      </c>
      <c r="AG2095" s="16">
        <f>IF(ISERROR(VLOOKUP($A2095,'13. Updated Demand'!A:Z,24,FALSE)),0,VLOOKUP($A2095,'13. Updated Demand'!A:Z,24,FALSE))</f>
        <v>14.48</v>
      </c>
      <c r="AH2095" s="16">
        <f>IF(ISERROR(VLOOKUP($A2095,'13. Updated Demand'!A:Z,25,FALSE)),0,VLOOKUP($A2095,'13. Updated Demand'!A:Z,25,FALSE))</f>
        <v>8.1199999999999992</v>
      </c>
      <c r="AI2095" s="16">
        <f>IF(ISERROR(VLOOKUP($A2095,'13. Updated Demand'!A:Z,26,FALSE)),0,VLOOKUP($A2095,'13. Updated Demand'!A:Z,26,FALSE))</f>
        <v>5.83</v>
      </c>
      <c r="AJ2095" s="16">
        <f t="shared" si="397"/>
        <v>233.70000000000002</v>
      </c>
      <c r="AK2095" s="19">
        <v>133.55593333333331</v>
      </c>
      <c r="AL2095" s="16">
        <f t="shared" si="395"/>
        <v>0.44298981741621163</v>
      </c>
      <c r="AM2095" s="26">
        <v>0.24134444744098957</v>
      </c>
      <c r="AN2095" s="19">
        <v>968.52279999999996</v>
      </c>
      <c r="AO2095" s="19" t="s">
        <v>1758</v>
      </c>
      <c r="AP2095" s="19">
        <v>0</v>
      </c>
      <c r="AQ2095" s="19" t="s">
        <v>307</v>
      </c>
      <c r="AR2095" s="9" t="s">
        <v>331</v>
      </c>
      <c r="AS2095" s="12">
        <v>3.4039024194010059E-4</v>
      </c>
      <c r="AT2095" s="19">
        <v>39.148499999999999</v>
      </c>
      <c r="AU2095" s="19">
        <v>-123.1799</v>
      </c>
      <c r="AV2095" s="19" t="s">
        <v>387</v>
      </c>
    </row>
    <row r="2096" spans="1:48" x14ac:dyDescent="0.25">
      <c r="A2096" s="18" t="s">
        <v>2528</v>
      </c>
      <c r="B2096" s="10">
        <v>10000000</v>
      </c>
      <c r="C2096" s="9">
        <v>9</v>
      </c>
      <c r="D2096" s="8" t="str">
        <f t="shared" si="386"/>
        <v>N</v>
      </c>
      <c r="E2096" s="8" t="str">
        <f t="shared" si="387"/>
        <v>Y</v>
      </c>
      <c r="F2096" s="8" t="str">
        <f t="shared" si="388"/>
        <v>Y</v>
      </c>
      <c r="G2096" s="8" t="str">
        <f t="shared" si="389"/>
        <v>Y</v>
      </c>
      <c r="H2096" s="8" t="str">
        <f t="shared" si="390"/>
        <v>Upper</v>
      </c>
      <c r="I2096" s="8" t="str">
        <f t="shared" si="391"/>
        <v>West Fork and Below Lake</v>
      </c>
      <c r="J2096" s="8" t="str">
        <f t="shared" si="392"/>
        <v>Sonoma (d/s of Clov. Gage)</v>
      </c>
      <c r="K2096" s="8" t="str">
        <f t="shared" si="393"/>
        <v>Riparian</v>
      </c>
      <c r="L2096" s="8">
        <f t="shared" si="394"/>
        <v>1000</v>
      </c>
      <c r="M2096" s="8" t="str">
        <f t="shared" si="396"/>
        <v>-</v>
      </c>
      <c r="N2096" s="10" t="s">
        <v>241</v>
      </c>
      <c r="O2096" s="10" t="s">
        <v>241</v>
      </c>
      <c r="P2096" s="10" t="s">
        <v>242</v>
      </c>
      <c r="Q2096" s="10" t="s">
        <v>242</v>
      </c>
      <c r="R2096" s="10" t="s">
        <v>242</v>
      </c>
      <c r="S2096" s="10" t="s">
        <v>241</v>
      </c>
      <c r="T2096" s="10" t="s">
        <v>242</v>
      </c>
      <c r="U2096" s="10" t="s">
        <v>242</v>
      </c>
      <c r="V2096" s="10" t="s">
        <v>242</v>
      </c>
      <c r="W2096" s="10" t="s">
        <v>242</v>
      </c>
      <c r="X2096" s="15">
        <f>IF(ISERROR(VLOOKUP($A2096,'13. Updated Demand'!A:Z,15,FALSE)),0,VLOOKUP($A2096,'13. Updated Demand'!A:Z,15,FALSE))</f>
        <v>0</v>
      </c>
      <c r="Y2096" s="16">
        <f>IF(ISERROR(VLOOKUP($A2096,'13. Updated Demand'!A:Z,16,FALSE)),0,VLOOKUP($A2096,'13. Updated Demand'!A:Z,16,FALSE))</f>
        <v>0</v>
      </c>
      <c r="Z2096" s="16">
        <f>IF(ISERROR(VLOOKUP($A2096,'13. Updated Demand'!A:Z,17,FALSE)),0,VLOOKUP($A2096,'13. Updated Demand'!A:Z,17,FALSE))</f>
        <v>0</v>
      </c>
      <c r="AA2096" s="16">
        <f>IF(ISERROR(VLOOKUP($A2096,'13. Updated Demand'!A:Z,18,FALSE)),0,VLOOKUP($A2096,'13. Updated Demand'!A:Z,18,FALSE))</f>
        <v>0</v>
      </c>
      <c r="AB2096" s="16">
        <f>IF(ISERROR(VLOOKUP($A2096,'13. Updated Demand'!A:Z,19,FALSE)),0,VLOOKUP($A2096,'13. Updated Demand'!A:Z,19,FALSE))</f>
        <v>0.4</v>
      </c>
      <c r="AC2096" s="16">
        <f>IF(ISERROR(VLOOKUP($A2096,'13. Updated Demand'!A:Z,20,FALSE)),0,VLOOKUP($A2096,'13. Updated Demand'!A:Z,20,FALSE))</f>
        <v>3.35</v>
      </c>
      <c r="AD2096" s="16">
        <f>IF(ISERROR(VLOOKUP($A2096,'13. Updated Demand'!A:Z,21,FALSE)),0,VLOOKUP($A2096,'13. Updated Demand'!A:Z,21,FALSE))</f>
        <v>6.24</v>
      </c>
      <c r="AE2096" s="16">
        <f>IF(ISERROR(VLOOKUP($A2096,'13. Updated Demand'!A:Z,22,FALSE)),0,VLOOKUP($A2096,'13. Updated Demand'!A:Z,22,FALSE))</f>
        <v>4.45</v>
      </c>
      <c r="AF2096" s="16">
        <f>IF(ISERROR(VLOOKUP($A2096,'13. Updated Demand'!A:Z,23,FALSE)),0,VLOOKUP($A2096,'13. Updated Demand'!A:Z,23,FALSE))</f>
        <v>3.19</v>
      </c>
      <c r="AG2096" s="16">
        <f>IF(ISERROR(VLOOKUP($A2096,'13. Updated Demand'!A:Z,24,FALSE)),0,VLOOKUP($A2096,'13. Updated Demand'!A:Z,24,FALSE))</f>
        <v>0</v>
      </c>
      <c r="AH2096" s="16">
        <f>IF(ISERROR(VLOOKUP($A2096,'13. Updated Demand'!A:Z,25,FALSE)),0,VLOOKUP($A2096,'13. Updated Demand'!A:Z,25,FALSE))</f>
        <v>0</v>
      </c>
      <c r="AI2096" s="16">
        <f>IF(ISERROR(VLOOKUP($A2096,'13. Updated Demand'!A:Z,26,FALSE)),0,VLOOKUP($A2096,'13. Updated Demand'!A:Z,26,FALSE))</f>
        <v>0</v>
      </c>
      <c r="AJ2096" s="16">
        <f t="shared" si="397"/>
        <v>17.630000000000003</v>
      </c>
      <c r="AK2096" s="19">
        <v>17.64</v>
      </c>
      <c r="AL2096" s="16">
        <f t="shared" si="395"/>
        <v>5.8509870615172779E-2</v>
      </c>
      <c r="AM2096" s="26">
        <v>0.14581549215208456</v>
      </c>
      <c r="AN2096" s="19">
        <v>120.9748</v>
      </c>
      <c r="AO2096" s="19" t="s">
        <v>1758</v>
      </c>
      <c r="AP2096" s="19">
        <v>0</v>
      </c>
      <c r="AQ2096" s="19" t="s">
        <v>307</v>
      </c>
      <c r="AR2096" s="9" t="s">
        <v>354</v>
      </c>
      <c r="AS2096" s="12">
        <v>0</v>
      </c>
      <c r="AT2096" s="19">
        <v>38.721600000000002</v>
      </c>
      <c r="AU2096" s="19">
        <v>-122.8989</v>
      </c>
      <c r="AV2096" s="19" t="s">
        <v>548</v>
      </c>
    </row>
    <row r="2097" spans="1:48" x14ac:dyDescent="0.25">
      <c r="A2097" s="18" t="s">
        <v>2529</v>
      </c>
      <c r="B2097" s="10">
        <v>10000000</v>
      </c>
      <c r="C2097" s="9">
        <v>1</v>
      </c>
      <c r="D2097" s="8" t="str">
        <f t="shared" si="386"/>
        <v>N</v>
      </c>
      <c r="E2097" s="8" t="str">
        <f t="shared" si="387"/>
        <v>N</v>
      </c>
      <c r="F2097" s="8" t="str">
        <f t="shared" si="388"/>
        <v>Y</v>
      </c>
      <c r="G2097" s="8" t="str">
        <f t="shared" si="389"/>
        <v>Y</v>
      </c>
      <c r="H2097" s="8" t="str">
        <f t="shared" si="390"/>
        <v>Upper</v>
      </c>
      <c r="I2097" s="8" t="str">
        <f t="shared" si="391"/>
        <v>West Fork and Below Lake</v>
      </c>
      <c r="J2097" s="8" t="str">
        <f t="shared" si="392"/>
        <v>Outside</v>
      </c>
      <c r="K2097" s="8" t="str">
        <f t="shared" si="393"/>
        <v>Riparian</v>
      </c>
      <c r="L2097" s="8">
        <f t="shared" si="394"/>
        <v>1000</v>
      </c>
      <c r="M2097" s="8" t="str">
        <f t="shared" si="396"/>
        <v>-</v>
      </c>
      <c r="N2097" s="10" t="s">
        <v>242</v>
      </c>
      <c r="O2097" s="10" t="s">
        <v>241</v>
      </c>
      <c r="P2097" s="10" t="s">
        <v>242</v>
      </c>
      <c r="Q2097" s="10" t="s">
        <v>242</v>
      </c>
      <c r="R2097" s="10" t="s">
        <v>242</v>
      </c>
      <c r="S2097" s="10" t="s">
        <v>241</v>
      </c>
      <c r="T2097" s="10" t="s">
        <v>242</v>
      </c>
      <c r="U2097" s="10" t="s">
        <v>241</v>
      </c>
      <c r="V2097" s="10" t="s">
        <v>241</v>
      </c>
      <c r="W2097" s="10" t="s">
        <v>242</v>
      </c>
      <c r="X2097" s="15">
        <f>IF(ISERROR(VLOOKUP($A2097,'13. Updated Demand'!A:Z,15,FALSE)),0,VLOOKUP($A2097,'13. Updated Demand'!A:Z,15,FALSE))</f>
        <v>0</v>
      </c>
      <c r="Y2097" s="16">
        <f>IF(ISERROR(VLOOKUP($A2097,'13. Updated Demand'!A:Z,16,FALSE)),0,VLOOKUP($A2097,'13. Updated Demand'!A:Z,16,FALSE))</f>
        <v>0</v>
      </c>
      <c r="Z2097" s="16">
        <f>IF(ISERROR(VLOOKUP($A2097,'13. Updated Demand'!A:Z,17,FALSE)),0,VLOOKUP($A2097,'13. Updated Demand'!A:Z,17,FALSE))</f>
        <v>0</v>
      </c>
      <c r="AA2097" s="16">
        <f>IF(ISERROR(VLOOKUP($A2097,'13. Updated Demand'!A:Z,18,FALSE)),0,VLOOKUP($A2097,'13. Updated Demand'!A:Z,18,FALSE))</f>
        <v>0</v>
      </c>
      <c r="AB2097" s="16">
        <f>IF(ISERROR(VLOOKUP($A2097,'13. Updated Demand'!A:Z,19,FALSE)),0,VLOOKUP($A2097,'13. Updated Demand'!A:Z,19,FALSE))</f>
        <v>0</v>
      </c>
      <c r="AC2097" s="16">
        <f>IF(ISERROR(VLOOKUP($A2097,'13. Updated Demand'!A:Z,20,FALSE)),0,VLOOKUP($A2097,'13. Updated Demand'!A:Z,20,FALSE))</f>
        <v>0</v>
      </c>
      <c r="AD2097" s="16">
        <f>IF(ISERROR(VLOOKUP($A2097,'13. Updated Demand'!A:Z,21,FALSE)),0,VLOOKUP($A2097,'13. Updated Demand'!A:Z,21,FALSE))</f>
        <v>0</v>
      </c>
      <c r="AE2097" s="16">
        <f>IF(ISERROR(VLOOKUP($A2097,'13. Updated Demand'!A:Z,22,FALSE)),0,VLOOKUP($A2097,'13. Updated Demand'!A:Z,22,FALSE))</f>
        <v>0</v>
      </c>
      <c r="AF2097" s="16">
        <f>IF(ISERROR(VLOOKUP($A2097,'13. Updated Demand'!A:Z,23,FALSE)),0,VLOOKUP($A2097,'13. Updated Demand'!A:Z,23,FALSE))</f>
        <v>0</v>
      </c>
      <c r="AG2097" s="16">
        <f>IF(ISERROR(VLOOKUP($A2097,'13. Updated Demand'!A:Z,24,FALSE)),0,VLOOKUP($A2097,'13. Updated Demand'!A:Z,24,FALSE))</f>
        <v>0</v>
      </c>
      <c r="AH2097" s="16">
        <f>IF(ISERROR(VLOOKUP($A2097,'13. Updated Demand'!A:Z,25,FALSE)),0,VLOOKUP($A2097,'13. Updated Demand'!A:Z,25,FALSE))</f>
        <v>0</v>
      </c>
      <c r="AI2097" s="16">
        <f>IF(ISERROR(VLOOKUP($A2097,'13. Updated Demand'!A:Z,26,FALSE)),0,VLOOKUP($A2097,'13. Updated Demand'!A:Z,26,FALSE))</f>
        <v>0</v>
      </c>
      <c r="AJ2097" s="16">
        <f t="shared" si="397"/>
        <v>0</v>
      </c>
      <c r="AK2097" s="19">
        <v>0</v>
      </c>
      <c r="AL2097" s="16">
        <f t="shared" si="395"/>
        <v>0</v>
      </c>
      <c r="AM2097" s="26">
        <v>0</v>
      </c>
      <c r="AN2097" s="19">
        <v>9</v>
      </c>
      <c r="AO2097" s="19" t="s">
        <v>1758</v>
      </c>
      <c r="AP2097" s="19">
        <v>0</v>
      </c>
      <c r="AQ2097" s="19" t="s">
        <v>307</v>
      </c>
      <c r="AR2097" s="9" t="s">
        <v>317</v>
      </c>
      <c r="AS2097" s="12">
        <v>0</v>
      </c>
      <c r="AT2097" s="19">
        <v>39.271799999999999</v>
      </c>
      <c r="AU2097" s="19">
        <v>-123.2105</v>
      </c>
      <c r="AV2097" s="19" t="s">
        <v>548</v>
      </c>
    </row>
    <row r="2098" spans="1:48" x14ac:dyDescent="0.25">
      <c r="A2098" s="18" t="s">
        <v>2530</v>
      </c>
      <c r="B2098" s="10">
        <v>10000000</v>
      </c>
      <c r="C2098" s="9">
        <v>1</v>
      </c>
      <c r="D2098" s="8" t="str">
        <f t="shared" si="386"/>
        <v>N</v>
      </c>
      <c r="E2098" s="8" t="str">
        <f t="shared" si="387"/>
        <v>N</v>
      </c>
      <c r="F2098" s="8" t="str">
        <f t="shared" si="388"/>
        <v>Y</v>
      </c>
      <c r="G2098" s="8" t="str">
        <f t="shared" si="389"/>
        <v>Y</v>
      </c>
      <c r="H2098" s="8" t="str">
        <f t="shared" si="390"/>
        <v>Upper</v>
      </c>
      <c r="I2098" s="8" t="str">
        <f t="shared" si="391"/>
        <v>West Fork and Below Lake</v>
      </c>
      <c r="J2098" s="8" t="str">
        <f t="shared" si="392"/>
        <v>Outside</v>
      </c>
      <c r="K2098" s="8" t="str">
        <f t="shared" si="393"/>
        <v>Riparian</v>
      </c>
      <c r="L2098" s="8">
        <f t="shared" si="394"/>
        <v>1000</v>
      </c>
      <c r="M2098" s="8" t="str">
        <f t="shared" si="396"/>
        <v>-</v>
      </c>
      <c r="N2098" s="10" t="s">
        <v>242</v>
      </c>
      <c r="O2098" s="10" t="s">
        <v>241</v>
      </c>
      <c r="P2098" s="10" t="s">
        <v>242</v>
      </c>
      <c r="Q2098" s="10" t="s">
        <v>242</v>
      </c>
      <c r="R2098" s="10" t="s">
        <v>242</v>
      </c>
      <c r="S2098" s="10" t="s">
        <v>241</v>
      </c>
      <c r="T2098" s="10" t="s">
        <v>242</v>
      </c>
      <c r="U2098" s="10" t="s">
        <v>241</v>
      </c>
      <c r="V2098" s="10" t="s">
        <v>241</v>
      </c>
      <c r="W2098" s="10" t="s">
        <v>242</v>
      </c>
      <c r="X2098" s="15">
        <f>IF(ISERROR(VLOOKUP($A2098,'13. Updated Demand'!A:Z,15,FALSE)),0,VLOOKUP($A2098,'13. Updated Demand'!A:Z,15,FALSE))</f>
        <v>0</v>
      </c>
      <c r="Y2098" s="16">
        <f>IF(ISERROR(VLOOKUP($A2098,'13. Updated Demand'!A:Z,16,FALSE)),0,VLOOKUP($A2098,'13. Updated Demand'!A:Z,16,FALSE))</f>
        <v>0</v>
      </c>
      <c r="Z2098" s="16">
        <f>IF(ISERROR(VLOOKUP($A2098,'13. Updated Demand'!A:Z,17,FALSE)),0,VLOOKUP($A2098,'13. Updated Demand'!A:Z,17,FALSE))</f>
        <v>0</v>
      </c>
      <c r="AA2098" s="16">
        <f>IF(ISERROR(VLOOKUP($A2098,'13. Updated Demand'!A:Z,18,FALSE)),0,VLOOKUP($A2098,'13. Updated Demand'!A:Z,18,FALSE))</f>
        <v>0</v>
      </c>
      <c r="AB2098" s="16">
        <f>IF(ISERROR(VLOOKUP($A2098,'13. Updated Demand'!A:Z,19,FALSE)),0,VLOOKUP($A2098,'13. Updated Demand'!A:Z,19,FALSE))</f>
        <v>0</v>
      </c>
      <c r="AC2098" s="16">
        <f>IF(ISERROR(VLOOKUP($A2098,'13. Updated Demand'!A:Z,20,FALSE)),0,VLOOKUP($A2098,'13. Updated Demand'!A:Z,20,FALSE))</f>
        <v>0</v>
      </c>
      <c r="AD2098" s="16">
        <f>IF(ISERROR(VLOOKUP($A2098,'13. Updated Demand'!A:Z,21,FALSE)),0,VLOOKUP($A2098,'13. Updated Demand'!A:Z,21,FALSE))</f>
        <v>0</v>
      </c>
      <c r="AE2098" s="16">
        <f>IF(ISERROR(VLOOKUP($A2098,'13. Updated Demand'!A:Z,22,FALSE)),0,VLOOKUP($A2098,'13. Updated Demand'!A:Z,22,FALSE))</f>
        <v>0</v>
      </c>
      <c r="AF2098" s="16">
        <f>IF(ISERROR(VLOOKUP($A2098,'13. Updated Demand'!A:Z,23,FALSE)),0,VLOOKUP($A2098,'13. Updated Demand'!A:Z,23,FALSE))</f>
        <v>0</v>
      </c>
      <c r="AG2098" s="16">
        <f>IF(ISERROR(VLOOKUP($A2098,'13. Updated Demand'!A:Z,24,FALSE)),0,VLOOKUP($A2098,'13. Updated Demand'!A:Z,24,FALSE))</f>
        <v>0</v>
      </c>
      <c r="AH2098" s="16">
        <f>IF(ISERROR(VLOOKUP($A2098,'13. Updated Demand'!A:Z,25,FALSE)),0,VLOOKUP($A2098,'13. Updated Demand'!A:Z,25,FALSE))</f>
        <v>0</v>
      </c>
      <c r="AI2098" s="16">
        <f>IF(ISERROR(VLOOKUP($A2098,'13. Updated Demand'!A:Z,26,FALSE)),0,VLOOKUP($A2098,'13. Updated Demand'!A:Z,26,FALSE))</f>
        <v>0</v>
      </c>
      <c r="AJ2098" s="16">
        <f t="shared" si="397"/>
        <v>0</v>
      </c>
      <c r="AK2098" s="19">
        <v>0</v>
      </c>
      <c r="AL2098" s="16">
        <f t="shared" si="395"/>
        <v>0</v>
      </c>
      <c r="AM2098" s="26">
        <v>0</v>
      </c>
      <c r="AN2098" s="19">
        <v>484.26139999999998</v>
      </c>
      <c r="AO2098" s="19" t="s">
        <v>1758</v>
      </c>
      <c r="AP2098" s="19">
        <v>0</v>
      </c>
      <c r="AQ2098" s="19" t="s">
        <v>307</v>
      </c>
      <c r="AR2098" s="9" t="s">
        <v>317</v>
      </c>
      <c r="AS2098" s="12">
        <v>0</v>
      </c>
      <c r="AT2098" s="19">
        <v>39.271900000000002</v>
      </c>
      <c r="AU2098" s="19">
        <v>-123.2094</v>
      </c>
      <c r="AV2098" s="19" t="s">
        <v>1813</v>
      </c>
    </row>
    <row r="2099" spans="1:48" x14ac:dyDescent="0.25">
      <c r="A2099" s="18" t="s">
        <v>2531</v>
      </c>
      <c r="B2099" s="10">
        <v>10000000</v>
      </c>
      <c r="C2099" s="9">
        <v>1</v>
      </c>
      <c r="D2099" s="8" t="str">
        <f t="shared" si="386"/>
        <v>N</v>
      </c>
      <c r="E2099" s="8" t="str">
        <f t="shared" si="387"/>
        <v>N</v>
      </c>
      <c r="F2099" s="8" t="str">
        <f t="shared" si="388"/>
        <v>Y</v>
      </c>
      <c r="G2099" s="8" t="str">
        <f t="shared" si="389"/>
        <v>Y</v>
      </c>
      <c r="H2099" s="8" t="str">
        <f t="shared" si="390"/>
        <v>Upper</v>
      </c>
      <c r="I2099" s="8" t="str">
        <f t="shared" si="391"/>
        <v>West Fork and Below Lake</v>
      </c>
      <c r="J2099" s="8" t="str">
        <f t="shared" si="392"/>
        <v>Outside</v>
      </c>
      <c r="K2099" s="8" t="str">
        <f t="shared" si="393"/>
        <v>Riparian</v>
      </c>
      <c r="L2099" s="8">
        <f t="shared" si="394"/>
        <v>1000</v>
      </c>
      <c r="M2099" s="8" t="str">
        <f t="shared" si="396"/>
        <v>-</v>
      </c>
      <c r="N2099" s="10" t="s">
        <v>242</v>
      </c>
      <c r="O2099" s="10" t="s">
        <v>241</v>
      </c>
      <c r="P2099" s="10" t="s">
        <v>242</v>
      </c>
      <c r="Q2099" s="10" t="s">
        <v>242</v>
      </c>
      <c r="R2099" s="10" t="s">
        <v>242</v>
      </c>
      <c r="S2099" s="10" t="s">
        <v>241</v>
      </c>
      <c r="T2099" s="10" t="s">
        <v>242</v>
      </c>
      <c r="U2099" s="10" t="s">
        <v>241</v>
      </c>
      <c r="V2099" s="10" t="s">
        <v>241</v>
      </c>
      <c r="W2099" s="10" t="s">
        <v>242</v>
      </c>
      <c r="X2099" s="15">
        <f>IF(ISERROR(VLOOKUP($A2099,'13. Updated Demand'!A:Z,15,FALSE)),0,VLOOKUP($A2099,'13. Updated Demand'!A:Z,15,FALSE))</f>
        <v>0</v>
      </c>
      <c r="Y2099" s="16">
        <f>IF(ISERROR(VLOOKUP($A2099,'13. Updated Demand'!A:Z,16,FALSE)),0,VLOOKUP($A2099,'13. Updated Demand'!A:Z,16,FALSE))</f>
        <v>0</v>
      </c>
      <c r="Z2099" s="16">
        <f>IF(ISERROR(VLOOKUP($A2099,'13. Updated Demand'!A:Z,17,FALSE)),0,VLOOKUP($A2099,'13. Updated Demand'!A:Z,17,FALSE))</f>
        <v>0</v>
      </c>
      <c r="AA2099" s="16">
        <f>IF(ISERROR(VLOOKUP($A2099,'13. Updated Demand'!A:Z,18,FALSE)),0,VLOOKUP($A2099,'13. Updated Demand'!A:Z,18,FALSE))</f>
        <v>0</v>
      </c>
      <c r="AB2099" s="16">
        <f>IF(ISERROR(VLOOKUP($A2099,'13. Updated Demand'!A:Z,19,FALSE)),0,VLOOKUP($A2099,'13. Updated Demand'!A:Z,19,FALSE))</f>
        <v>0</v>
      </c>
      <c r="AC2099" s="16">
        <f>IF(ISERROR(VLOOKUP($A2099,'13. Updated Demand'!A:Z,20,FALSE)),0,VLOOKUP($A2099,'13. Updated Demand'!A:Z,20,FALSE))</f>
        <v>0</v>
      </c>
      <c r="AD2099" s="16">
        <f>IF(ISERROR(VLOOKUP($A2099,'13. Updated Demand'!A:Z,21,FALSE)),0,VLOOKUP($A2099,'13. Updated Demand'!A:Z,21,FALSE))</f>
        <v>0</v>
      </c>
      <c r="AE2099" s="16">
        <f>IF(ISERROR(VLOOKUP($A2099,'13. Updated Demand'!A:Z,22,FALSE)),0,VLOOKUP($A2099,'13. Updated Demand'!A:Z,22,FALSE))</f>
        <v>0</v>
      </c>
      <c r="AF2099" s="16">
        <f>IF(ISERROR(VLOOKUP($A2099,'13. Updated Demand'!A:Z,23,FALSE)),0,VLOOKUP($A2099,'13. Updated Demand'!A:Z,23,FALSE))</f>
        <v>0</v>
      </c>
      <c r="AG2099" s="16">
        <f>IF(ISERROR(VLOOKUP($A2099,'13. Updated Demand'!A:Z,24,FALSE)),0,VLOOKUP($A2099,'13. Updated Demand'!A:Z,24,FALSE))</f>
        <v>0</v>
      </c>
      <c r="AH2099" s="16">
        <f>IF(ISERROR(VLOOKUP($A2099,'13. Updated Demand'!A:Z,25,FALSE)),0,VLOOKUP($A2099,'13. Updated Demand'!A:Z,25,FALSE))</f>
        <v>0</v>
      </c>
      <c r="AI2099" s="16">
        <f>IF(ISERROR(VLOOKUP($A2099,'13. Updated Demand'!A:Z,26,FALSE)),0,VLOOKUP($A2099,'13. Updated Demand'!A:Z,26,FALSE))</f>
        <v>0</v>
      </c>
      <c r="AJ2099" s="16">
        <f t="shared" si="397"/>
        <v>0</v>
      </c>
      <c r="AK2099" s="19">
        <v>0</v>
      </c>
      <c r="AL2099" s="16">
        <f t="shared" si="395"/>
        <v>0</v>
      </c>
      <c r="AM2099" s="26">
        <v>0</v>
      </c>
      <c r="AN2099" s="19">
        <v>80.770600000000002</v>
      </c>
      <c r="AO2099" s="19" t="s">
        <v>1758</v>
      </c>
      <c r="AP2099" s="19">
        <v>0</v>
      </c>
      <c r="AQ2099" s="19" t="s">
        <v>307</v>
      </c>
      <c r="AR2099" s="9" t="s">
        <v>317</v>
      </c>
      <c r="AS2099" s="12">
        <v>0</v>
      </c>
      <c r="AT2099" s="19">
        <v>39.273899999999998</v>
      </c>
      <c r="AU2099" s="19">
        <v>-123.208</v>
      </c>
      <c r="AV2099" s="19" t="s">
        <v>1813</v>
      </c>
    </row>
    <row r="2100" spans="1:48" x14ac:dyDescent="0.25">
      <c r="A2100" s="18" t="s">
        <v>2532</v>
      </c>
      <c r="B2100" s="10">
        <v>10000000</v>
      </c>
      <c r="C2100" s="9">
        <v>18</v>
      </c>
      <c r="D2100" s="8" t="str">
        <f t="shared" si="386"/>
        <v>N</v>
      </c>
      <c r="E2100" s="8" t="str">
        <f t="shared" si="387"/>
        <v>N</v>
      </c>
      <c r="F2100" s="8" t="str">
        <f t="shared" si="388"/>
        <v>N</v>
      </c>
      <c r="G2100" s="8" t="str">
        <f t="shared" si="389"/>
        <v>N</v>
      </c>
      <c r="H2100" s="8" t="str">
        <f t="shared" si="390"/>
        <v>Lower</v>
      </c>
      <c r="I2100" s="8" t="str">
        <f t="shared" si="391"/>
        <v>Outside</v>
      </c>
      <c r="J2100" s="8" t="str">
        <f t="shared" si="392"/>
        <v>Outside</v>
      </c>
      <c r="K2100" s="8" t="str">
        <f t="shared" si="393"/>
        <v>Riparian</v>
      </c>
      <c r="L2100" s="8">
        <f t="shared" si="394"/>
        <v>1000</v>
      </c>
      <c r="M2100" s="8" t="str">
        <f t="shared" si="396"/>
        <v>-</v>
      </c>
      <c r="N2100" s="10" t="s">
        <v>242</v>
      </c>
      <c r="O2100" s="10" t="s">
        <v>242</v>
      </c>
      <c r="P2100" s="10" t="s">
        <v>242</v>
      </c>
      <c r="Q2100" s="10" t="s">
        <v>242</v>
      </c>
      <c r="R2100" s="10" t="s">
        <v>242</v>
      </c>
      <c r="S2100" s="10" t="s">
        <v>241</v>
      </c>
      <c r="T2100" s="10" t="s">
        <v>241</v>
      </c>
      <c r="U2100" s="10" t="s">
        <v>241</v>
      </c>
      <c r="V2100" s="10" t="s">
        <v>241</v>
      </c>
      <c r="W2100" s="10" t="s">
        <v>242</v>
      </c>
      <c r="X2100" s="15">
        <f>IF(ISERROR(VLOOKUP($A2100,'13. Updated Demand'!A:Z,15,FALSE)),0,VLOOKUP($A2100,'13. Updated Demand'!A:Z,15,FALSE))</f>
        <v>0</v>
      </c>
      <c r="Y2100" s="16">
        <f>IF(ISERROR(VLOOKUP($A2100,'13. Updated Demand'!A:Z,16,FALSE)),0,VLOOKUP($A2100,'13. Updated Demand'!A:Z,16,FALSE))</f>
        <v>0</v>
      </c>
      <c r="Z2100" s="16">
        <f>IF(ISERROR(VLOOKUP($A2100,'13. Updated Demand'!A:Z,17,FALSE)),0,VLOOKUP($A2100,'13. Updated Demand'!A:Z,17,FALSE))</f>
        <v>0</v>
      </c>
      <c r="AA2100" s="16">
        <f>IF(ISERROR(VLOOKUP($A2100,'13. Updated Demand'!A:Z,18,FALSE)),0,VLOOKUP($A2100,'13. Updated Demand'!A:Z,18,FALSE))</f>
        <v>0</v>
      </c>
      <c r="AB2100" s="16">
        <f>IF(ISERROR(VLOOKUP($A2100,'13. Updated Demand'!A:Z,19,FALSE)),0,VLOOKUP($A2100,'13. Updated Demand'!A:Z,19,FALSE))</f>
        <v>0</v>
      </c>
      <c r="AC2100" s="16">
        <f>IF(ISERROR(VLOOKUP($A2100,'13. Updated Demand'!A:Z,20,FALSE)),0,VLOOKUP($A2100,'13. Updated Demand'!A:Z,20,FALSE))</f>
        <v>0</v>
      </c>
      <c r="AD2100" s="16">
        <f>IF(ISERROR(VLOOKUP($A2100,'13. Updated Demand'!A:Z,21,FALSE)),0,VLOOKUP($A2100,'13. Updated Demand'!A:Z,21,FALSE))</f>
        <v>0</v>
      </c>
      <c r="AE2100" s="16">
        <f>IF(ISERROR(VLOOKUP($A2100,'13. Updated Demand'!A:Z,22,FALSE)),0,VLOOKUP($A2100,'13. Updated Demand'!A:Z,22,FALSE))</f>
        <v>0</v>
      </c>
      <c r="AF2100" s="16">
        <f>IF(ISERROR(VLOOKUP($A2100,'13. Updated Demand'!A:Z,23,FALSE)),0,VLOOKUP($A2100,'13. Updated Demand'!A:Z,23,FALSE))</f>
        <v>0</v>
      </c>
      <c r="AG2100" s="16">
        <f>IF(ISERROR(VLOOKUP($A2100,'13. Updated Demand'!A:Z,24,FALSE)),0,VLOOKUP($A2100,'13. Updated Demand'!A:Z,24,FALSE))</f>
        <v>0</v>
      </c>
      <c r="AH2100" s="16">
        <f>IF(ISERROR(VLOOKUP($A2100,'13. Updated Demand'!A:Z,25,FALSE)),0,VLOOKUP($A2100,'13. Updated Demand'!A:Z,25,FALSE))</f>
        <v>0</v>
      </c>
      <c r="AI2100" s="16">
        <f>IF(ISERROR(VLOOKUP($A2100,'13. Updated Demand'!A:Z,26,FALSE)),0,VLOOKUP($A2100,'13. Updated Demand'!A:Z,26,FALSE))</f>
        <v>0</v>
      </c>
      <c r="AJ2100" s="16">
        <f t="shared" si="397"/>
        <v>0</v>
      </c>
      <c r="AK2100" s="19">
        <v>0</v>
      </c>
      <c r="AL2100" s="16">
        <f t="shared" si="395"/>
        <v>0</v>
      </c>
      <c r="AM2100" s="26">
        <v>0</v>
      </c>
      <c r="AN2100" s="19">
        <v>67.37</v>
      </c>
      <c r="AO2100" s="19" t="s">
        <v>1758</v>
      </c>
      <c r="AP2100" s="19">
        <v>0</v>
      </c>
      <c r="AQ2100" s="19" t="s">
        <v>307</v>
      </c>
      <c r="AR2100" s="9" t="s">
        <v>352</v>
      </c>
      <c r="AS2100" s="12">
        <v>0</v>
      </c>
      <c r="AT2100" s="19">
        <v>38.562800000000003</v>
      </c>
      <c r="AU2100" s="19">
        <v>-122.9759</v>
      </c>
      <c r="AV2100" s="19" t="s">
        <v>1741</v>
      </c>
    </row>
    <row r="2101" spans="1:48" x14ac:dyDescent="0.25">
      <c r="A2101" s="18" t="s">
        <v>2533</v>
      </c>
      <c r="B2101" s="10">
        <v>10000000</v>
      </c>
      <c r="C2101" s="9">
        <v>1</v>
      </c>
      <c r="D2101" s="8" t="str">
        <f t="shared" si="386"/>
        <v>N</v>
      </c>
      <c r="E2101" s="8" t="str">
        <f t="shared" si="387"/>
        <v>N</v>
      </c>
      <c r="F2101" s="8" t="str">
        <f t="shared" si="388"/>
        <v>Y</v>
      </c>
      <c r="G2101" s="8" t="str">
        <f t="shared" si="389"/>
        <v>Y</v>
      </c>
      <c r="H2101" s="8" t="str">
        <f t="shared" si="390"/>
        <v>Upper</v>
      </c>
      <c r="I2101" s="8" t="str">
        <f t="shared" si="391"/>
        <v>West Fork and Below Lake</v>
      </c>
      <c r="J2101" s="8" t="str">
        <f t="shared" si="392"/>
        <v>Outside</v>
      </c>
      <c r="K2101" s="8" t="str">
        <f t="shared" si="393"/>
        <v>Riparian</v>
      </c>
      <c r="L2101" s="8">
        <f t="shared" si="394"/>
        <v>1000</v>
      </c>
      <c r="M2101" s="8" t="str">
        <f t="shared" si="396"/>
        <v>-</v>
      </c>
      <c r="N2101" s="10" t="s">
        <v>242</v>
      </c>
      <c r="O2101" s="10" t="s">
        <v>241</v>
      </c>
      <c r="P2101" s="10" t="s">
        <v>242</v>
      </c>
      <c r="Q2101" s="10" t="s">
        <v>242</v>
      </c>
      <c r="R2101" s="10" t="s">
        <v>242</v>
      </c>
      <c r="S2101" s="10" t="s">
        <v>241</v>
      </c>
      <c r="T2101" s="10" t="s">
        <v>242</v>
      </c>
      <c r="U2101" s="10" t="s">
        <v>242</v>
      </c>
      <c r="V2101" s="10" t="s">
        <v>241</v>
      </c>
      <c r="W2101" s="10" t="s">
        <v>242</v>
      </c>
      <c r="X2101" s="15">
        <f>IF(ISERROR(VLOOKUP($A2101,'13. Updated Demand'!A:Z,15,FALSE)),0,VLOOKUP($A2101,'13. Updated Demand'!A:Z,15,FALSE))</f>
        <v>4</v>
      </c>
      <c r="Y2101" s="16">
        <f>IF(ISERROR(VLOOKUP($A2101,'13. Updated Demand'!A:Z,16,FALSE)),0,VLOOKUP($A2101,'13. Updated Demand'!A:Z,16,FALSE))</f>
        <v>4.16</v>
      </c>
      <c r="Z2101" s="16">
        <f>IF(ISERROR(VLOOKUP($A2101,'13. Updated Demand'!A:Z,17,FALSE)),0,VLOOKUP($A2101,'13. Updated Demand'!A:Z,17,FALSE))</f>
        <v>0.5</v>
      </c>
      <c r="AA2101" s="16">
        <f>IF(ISERROR(VLOOKUP($A2101,'13. Updated Demand'!A:Z,18,FALSE)),0,VLOOKUP($A2101,'13. Updated Demand'!A:Z,18,FALSE))</f>
        <v>0</v>
      </c>
      <c r="AB2101" s="16">
        <f>IF(ISERROR(VLOOKUP($A2101,'13. Updated Demand'!A:Z,19,FALSE)),0,VLOOKUP($A2101,'13. Updated Demand'!A:Z,19,FALSE))</f>
        <v>0</v>
      </c>
      <c r="AC2101" s="16">
        <f>IF(ISERROR(VLOOKUP($A2101,'13. Updated Demand'!A:Z,20,FALSE)),0,VLOOKUP($A2101,'13. Updated Demand'!A:Z,20,FALSE))</f>
        <v>0</v>
      </c>
      <c r="AD2101" s="16">
        <f>IF(ISERROR(VLOOKUP($A2101,'13. Updated Demand'!A:Z,21,FALSE)),0,VLOOKUP($A2101,'13. Updated Demand'!A:Z,21,FALSE))</f>
        <v>0</v>
      </c>
      <c r="AE2101" s="16">
        <f>IF(ISERROR(VLOOKUP($A2101,'13. Updated Demand'!A:Z,22,FALSE)),0,VLOOKUP($A2101,'13. Updated Demand'!A:Z,22,FALSE))</f>
        <v>0</v>
      </c>
      <c r="AF2101" s="16">
        <f>IF(ISERROR(VLOOKUP($A2101,'13. Updated Demand'!A:Z,23,FALSE)),0,VLOOKUP($A2101,'13. Updated Demand'!A:Z,23,FALSE))</f>
        <v>0</v>
      </c>
      <c r="AG2101" s="16">
        <f>IF(ISERROR(VLOOKUP($A2101,'13. Updated Demand'!A:Z,24,FALSE)),0,VLOOKUP($A2101,'13. Updated Demand'!A:Z,24,FALSE))</f>
        <v>0</v>
      </c>
      <c r="AH2101" s="16">
        <f>IF(ISERROR(VLOOKUP($A2101,'13. Updated Demand'!A:Z,25,FALSE)),0,VLOOKUP($A2101,'13. Updated Demand'!A:Z,25,FALSE))</f>
        <v>0</v>
      </c>
      <c r="AI2101" s="16">
        <f>IF(ISERROR(VLOOKUP($A2101,'13. Updated Demand'!A:Z,26,FALSE)),0,VLOOKUP($A2101,'13. Updated Demand'!A:Z,26,FALSE))</f>
        <v>1.33</v>
      </c>
      <c r="AJ2101" s="16">
        <f t="shared" si="397"/>
        <v>9.99</v>
      </c>
      <c r="AK2101" s="19">
        <v>0</v>
      </c>
      <c r="AL2101" s="16">
        <f t="shared" si="395"/>
        <v>0</v>
      </c>
      <c r="AM2101" s="26">
        <v>1.666666666666667</v>
      </c>
      <c r="AN2101" s="19">
        <v>6</v>
      </c>
      <c r="AO2101" s="19" t="s">
        <v>1758</v>
      </c>
      <c r="AP2101" s="19">
        <v>0</v>
      </c>
      <c r="AQ2101" s="19" t="s">
        <v>307</v>
      </c>
      <c r="AR2101" s="9" t="s">
        <v>317</v>
      </c>
      <c r="AS2101" s="12">
        <v>0</v>
      </c>
      <c r="AT2101" s="19">
        <v>39.253300000000003</v>
      </c>
      <c r="AU2101" s="19">
        <v>-123.1931</v>
      </c>
      <c r="AV2101" s="19" t="s">
        <v>2534</v>
      </c>
    </row>
    <row r="2102" spans="1:48" x14ac:dyDescent="0.25">
      <c r="A2102" s="18" t="s">
        <v>2535</v>
      </c>
      <c r="B2102" s="10">
        <v>10000000</v>
      </c>
      <c r="C2102" s="9">
        <v>15</v>
      </c>
      <c r="D2102" s="8" t="str">
        <f t="shared" si="386"/>
        <v>N</v>
      </c>
      <c r="E2102" s="8" t="str">
        <f t="shared" si="387"/>
        <v>N</v>
      </c>
      <c r="F2102" s="8" t="str">
        <f t="shared" si="388"/>
        <v>N</v>
      </c>
      <c r="G2102" s="8" t="str">
        <f t="shared" si="389"/>
        <v>N</v>
      </c>
      <c r="H2102" s="8" t="str">
        <f t="shared" si="390"/>
        <v>Lower</v>
      </c>
      <c r="I2102" s="8" t="str">
        <f t="shared" si="391"/>
        <v>Outside</v>
      </c>
      <c r="J2102" s="8" t="str">
        <f t="shared" si="392"/>
        <v>Outside</v>
      </c>
      <c r="K2102" s="8" t="str">
        <f t="shared" si="393"/>
        <v>Riparian</v>
      </c>
      <c r="L2102" s="8">
        <f t="shared" si="394"/>
        <v>1000</v>
      </c>
      <c r="M2102" s="8" t="str">
        <f t="shared" si="396"/>
        <v>-</v>
      </c>
      <c r="N2102" s="10" t="s">
        <v>242</v>
      </c>
      <c r="O2102" s="10" t="s">
        <v>242</v>
      </c>
      <c r="P2102" s="10" t="s">
        <v>242</v>
      </c>
      <c r="Q2102" s="10" t="s">
        <v>242</v>
      </c>
      <c r="R2102" s="10" t="s">
        <v>242</v>
      </c>
      <c r="S2102" s="10" t="s">
        <v>241</v>
      </c>
      <c r="T2102" s="10" t="s">
        <v>242</v>
      </c>
      <c r="U2102" s="10" t="s">
        <v>242</v>
      </c>
      <c r="V2102" s="10" t="s">
        <v>241</v>
      </c>
      <c r="W2102" s="10" t="s">
        <v>242</v>
      </c>
      <c r="X2102" s="15">
        <f>IF(ISERROR(VLOOKUP($A2102,'13. Updated Demand'!A:Z,15,FALSE)),0,VLOOKUP($A2102,'13. Updated Demand'!A:Z,15,FALSE))</f>
        <v>0</v>
      </c>
      <c r="Y2102" s="16">
        <f>IF(ISERROR(VLOOKUP($A2102,'13. Updated Demand'!A:Z,16,FALSE)),0,VLOOKUP($A2102,'13. Updated Demand'!A:Z,16,FALSE))</f>
        <v>1.64</v>
      </c>
      <c r="Z2102" s="16">
        <f>IF(ISERROR(VLOOKUP($A2102,'13. Updated Demand'!A:Z,17,FALSE)),0,VLOOKUP($A2102,'13. Updated Demand'!A:Z,17,FALSE))</f>
        <v>3.3</v>
      </c>
      <c r="AA2102" s="16">
        <f>IF(ISERROR(VLOOKUP($A2102,'13. Updated Demand'!A:Z,18,FALSE)),0,VLOOKUP($A2102,'13. Updated Demand'!A:Z,18,FALSE))</f>
        <v>0.206666667</v>
      </c>
      <c r="AB2102" s="16">
        <f>IF(ISERROR(VLOOKUP($A2102,'13. Updated Demand'!A:Z,19,FALSE)),0,VLOOKUP($A2102,'13. Updated Demand'!A:Z,19,FALSE))</f>
        <v>0</v>
      </c>
      <c r="AC2102" s="16">
        <f>IF(ISERROR(VLOOKUP($A2102,'13. Updated Demand'!A:Z,20,FALSE)),0,VLOOKUP($A2102,'13. Updated Demand'!A:Z,20,FALSE))</f>
        <v>0</v>
      </c>
      <c r="AD2102" s="16">
        <f>IF(ISERROR(VLOOKUP($A2102,'13. Updated Demand'!A:Z,21,FALSE)),0,VLOOKUP($A2102,'13. Updated Demand'!A:Z,21,FALSE))</f>
        <v>0</v>
      </c>
      <c r="AE2102" s="16">
        <f>IF(ISERROR(VLOOKUP($A2102,'13. Updated Demand'!A:Z,22,FALSE)),0,VLOOKUP($A2102,'13. Updated Demand'!A:Z,22,FALSE))</f>
        <v>0</v>
      </c>
      <c r="AF2102" s="16">
        <f>IF(ISERROR(VLOOKUP($A2102,'13. Updated Demand'!A:Z,23,FALSE)),0,VLOOKUP($A2102,'13. Updated Demand'!A:Z,23,FALSE))</f>
        <v>0</v>
      </c>
      <c r="AG2102" s="16">
        <f>IF(ISERROR(VLOOKUP($A2102,'13. Updated Demand'!A:Z,24,FALSE)),0,VLOOKUP($A2102,'13. Updated Demand'!A:Z,24,FALSE))</f>
        <v>2</v>
      </c>
      <c r="AH2102" s="16">
        <f>IF(ISERROR(VLOOKUP($A2102,'13. Updated Demand'!A:Z,25,FALSE)),0,VLOOKUP($A2102,'13. Updated Demand'!A:Z,25,FALSE))</f>
        <v>0</v>
      </c>
      <c r="AI2102" s="16">
        <f>IF(ISERROR(VLOOKUP($A2102,'13. Updated Demand'!A:Z,26,FALSE)),0,VLOOKUP($A2102,'13. Updated Demand'!A:Z,26,FALSE))</f>
        <v>0</v>
      </c>
      <c r="AJ2102" s="16">
        <f t="shared" si="397"/>
        <v>7.1466666669999999</v>
      </c>
      <c r="AK2102" s="19">
        <v>0</v>
      </c>
      <c r="AL2102" s="16">
        <f t="shared" si="395"/>
        <v>0</v>
      </c>
      <c r="AM2102" s="26">
        <v>0.1401307189607843</v>
      </c>
      <c r="AN2102" s="19">
        <v>51</v>
      </c>
      <c r="AO2102" s="19" t="s">
        <v>1758</v>
      </c>
      <c r="AP2102" s="19">
        <v>0</v>
      </c>
      <c r="AQ2102" s="19" t="s">
        <v>307</v>
      </c>
      <c r="AR2102" s="9" t="s">
        <v>489</v>
      </c>
      <c r="AS2102" s="12">
        <v>0</v>
      </c>
      <c r="AT2102" s="19">
        <v>38.676499999999997</v>
      </c>
      <c r="AU2102" s="19">
        <v>-122.94459999999999</v>
      </c>
      <c r="AV2102" s="19" t="s">
        <v>932</v>
      </c>
    </row>
    <row r="2103" spans="1:48" x14ac:dyDescent="0.25">
      <c r="A2103" s="18" t="s">
        <v>2536</v>
      </c>
      <c r="B2103" s="10">
        <v>10000000</v>
      </c>
      <c r="C2103" s="9">
        <v>15</v>
      </c>
      <c r="D2103" s="8" t="str">
        <f t="shared" si="386"/>
        <v>N</v>
      </c>
      <c r="E2103" s="8" t="str">
        <f t="shared" si="387"/>
        <v>N</v>
      </c>
      <c r="F2103" s="8" t="str">
        <f t="shared" si="388"/>
        <v>N</v>
      </c>
      <c r="G2103" s="8" t="str">
        <f t="shared" si="389"/>
        <v>N</v>
      </c>
      <c r="H2103" s="8" t="str">
        <f t="shared" si="390"/>
        <v>Lower</v>
      </c>
      <c r="I2103" s="8" t="str">
        <f t="shared" si="391"/>
        <v>Outside</v>
      </c>
      <c r="J2103" s="8" t="str">
        <f t="shared" si="392"/>
        <v>Outside</v>
      </c>
      <c r="K2103" s="8" t="str">
        <f t="shared" si="393"/>
        <v>Riparian</v>
      </c>
      <c r="L2103" s="8">
        <f t="shared" si="394"/>
        <v>1000</v>
      </c>
      <c r="M2103" s="8" t="str">
        <f t="shared" si="396"/>
        <v>-</v>
      </c>
      <c r="N2103" s="10" t="s">
        <v>242</v>
      </c>
      <c r="O2103" s="10" t="s">
        <v>242</v>
      </c>
      <c r="P2103" s="10" t="s">
        <v>242</v>
      </c>
      <c r="Q2103" s="10" t="s">
        <v>242</v>
      </c>
      <c r="R2103" s="10" t="s">
        <v>242</v>
      </c>
      <c r="S2103" s="10" t="s">
        <v>241</v>
      </c>
      <c r="T2103" s="10" t="s">
        <v>242</v>
      </c>
      <c r="U2103" s="10" t="s">
        <v>242</v>
      </c>
      <c r="V2103" s="10" t="s">
        <v>241</v>
      </c>
      <c r="W2103" s="10" t="s">
        <v>242</v>
      </c>
      <c r="X2103" s="15">
        <f>IF(ISERROR(VLOOKUP($A2103,'13. Updated Demand'!A:Z,15,FALSE)),0,VLOOKUP($A2103,'13. Updated Demand'!A:Z,15,FALSE))</f>
        <v>0</v>
      </c>
      <c r="Y2103" s="16">
        <f>IF(ISERROR(VLOOKUP($A2103,'13. Updated Demand'!A:Z,16,FALSE)),0,VLOOKUP($A2103,'13. Updated Demand'!A:Z,16,FALSE))</f>
        <v>2.29</v>
      </c>
      <c r="Z2103" s="16">
        <f>IF(ISERROR(VLOOKUP($A2103,'13. Updated Demand'!A:Z,17,FALSE)),0,VLOOKUP($A2103,'13. Updated Demand'!A:Z,17,FALSE))</f>
        <v>4.4000000000000004</v>
      </c>
      <c r="AA2103" s="16">
        <f>IF(ISERROR(VLOOKUP($A2103,'13. Updated Demand'!A:Z,18,FALSE)),0,VLOOKUP($A2103,'13. Updated Demand'!A:Z,18,FALSE))</f>
        <v>8.6666667000000003E-2</v>
      </c>
      <c r="AB2103" s="16">
        <f>IF(ISERROR(VLOOKUP($A2103,'13. Updated Demand'!A:Z,19,FALSE)),0,VLOOKUP($A2103,'13. Updated Demand'!A:Z,19,FALSE))</f>
        <v>0</v>
      </c>
      <c r="AC2103" s="16">
        <f>IF(ISERROR(VLOOKUP($A2103,'13. Updated Demand'!A:Z,20,FALSE)),0,VLOOKUP($A2103,'13. Updated Demand'!A:Z,20,FALSE))</f>
        <v>0</v>
      </c>
      <c r="AD2103" s="16">
        <f>IF(ISERROR(VLOOKUP($A2103,'13. Updated Demand'!A:Z,21,FALSE)),0,VLOOKUP($A2103,'13. Updated Demand'!A:Z,21,FALSE))</f>
        <v>0</v>
      </c>
      <c r="AE2103" s="16">
        <f>IF(ISERROR(VLOOKUP($A2103,'13. Updated Demand'!A:Z,22,FALSE)),0,VLOOKUP($A2103,'13. Updated Demand'!A:Z,22,FALSE))</f>
        <v>0</v>
      </c>
      <c r="AF2103" s="16">
        <f>IF(ISERROR(VLOOKUP($A2103,'13. Updated Demand'!A:Z,23,FALSE)),0,VLOOKUP($A2103,'13. Updated Demand'!A:Z,23,FALSE))</f>
        <v>0</v>
      </c>
      <c r="AG2103" s="16">
        <f>IF(ISERROR(VLOOKUP($A2103,'13. Updated Demand'!A:Z,24,FALSE)),0,VLOOKUP($A2103,'13. Updated Demand'!A:Z,24,FALSE))</f>
        <v>2.7566666670000002</v>
      </c>
      <c r="AH2103" s="16">
        <f>IF(ISERROR(VLOOKUP($A2103,'13. Updated Demand'!A:Z,25,FALSE)),0,VLOOKUP($A2103,'13. Updated Demand'!A:Z,25,FALSE))</f>
        <v>0</v>
      </c>
      <c r="AI2103" s="16">
        <f>IF(ISERROR(VLOOKUP($A2103,'13. Updated Demand'!A:Z,26,FALSE)),0,VLOOKUP($A2103,'13. Updated Demand'!A:Z,26,FALSE))</f>
        <v>0</v>
      </c>
      <c r="AJ2103" s="16">
        <f t="shared" si="397"/>
        <v>9.5333333340000017</v>
      </c>
      <c r="AK2103" s="19">
        <v>0</v>
      </c>
      <c r="AL2103" s="16">
        <f t="shared" si="395"/>
        <v>0</v>
      </c>
      <c r="AM2103" s="26">
        <v>0.16436781610344831</v>
      </c>
      <c r="AN2103" s="19">
        <v>58</v>
      </c>
      <c r="AO2103" s="19" t="s">
        <v>1758</v>
      </c>
      <c r="AP2103" s="19">
        <v>0</v>
      </c>
      <c r="AQ2103" s="19" t="s">
        <v>307</v>
      </c>
      <c r="AR2103" s="9" t="s">
        <v>489</v>
      </c>
      <c r="AS2103" s="12">
        <v>0</v>
      </c>
      <c r="AT2103" s="19">
        <v>38.676499999999997</v>
      </c>
      <c r="AU2103" s="19">
        <v>-122.9448</v>
      </c>
      <c r="AV2103" s="19" t="s">
        <v>932</v>
      </c>
    </row>
    <row r="2104" spans="1:48" x14ac:dyDescent="0.25">
      <c r="A2104" s="18" t="s">
        <v>2537</v>
      </c>
      <c r="B2104" s="10">
        <v>10000000</v>
      </c>
      <c r="C2104" s="9">
        <v>5</v>
      </c>
      <c r="D2104" s="8" t="str">
        <f t="shared" si="386"/>
        <v>Y</v>
      </c>
      <c r="E2104" s="8" t="str">
        <f t="shared" si="387"/>
        <v>N</v>
      </c>
      <c r="F2104" s="8" t="str">
        <f t="shared" si="388"/>
        <v>Y</v>
      </c>
      <c r="G2104" s="8" t="str">
        <f t="shared" si="389"/>
        <v>Y</v>
      </c>
      <c r="H2104" s="8" t="str">
        <f t="shared" si="390"/>
        <v>Upper</v>
      </c>
      <c r="I2104" s="8" t="str">
        <f t="shared" si="391"/>
        <v>West Fork and Below Lake</v>
      </c>
      <c r="J2104" s="8" t="str">
        <f t="shared" si="392"/>
        <v>Mendocino (d/s of lake)</v>
      </c>
      <c r="K2104" s="8" t="str">
        <f t="shared" si="393"/>
        <v>Riparian</v>
      </c>
      <c r="L2104" s="8">
        <f t="shared" si="394"/>
        <v>1000</v>
      </c>
      <c r="M2104" s="8" t="str">
        <f t="shared" si="396"/>
        <v>-</v>
      </c>
      <c r="N2104" s="10" t="s">
        <v>242</v>
      </c>
      <c r="O2104" s="10" t="s">
        <v>241</v>
      </c>
      <c r="P2104" s="10" t="s">
        <v>242</v>
      </c>
      <c r="Q2104" s="10" t="s">
        <v>242</v>
      </c>
      <c r="R2104" s="10" t="s">
        <v>242</v>
      </c>
      <c r="S2104" s="10" t="s">
        <v>241</v>
      </c>
      <c r="T2104" s="10" t="s">
        <v>242</v>
      </c>
      <c r="U2104" s="10" t="s">
        <v>242</v>
      </c>
      <c r="V2104" s="10" t="s">
        <v>242</v>
      </c>
      <c r="W2104" s="10" t="s">
        <v>242</v>
      </c>
      <c r="X2104" s="15">
        <f>IF(ISERROR(VLOOKUP($A2104,'13. Updated Demand'!A:Z,15,FALSE)),0,VLOOKUP($A2104,'13. Updated Demand'!A:Z,15,FALSE))</f>
        <v>0</v>
      </c>
      <c r="Y2104" s="16">
        <f>IF(ISERROR(VLOOKUP($A2104,'13. Updated Demand'!A:Z,16,FALSE)),0,VLOOKUP($A2104,'13. Updated Demand'!A:Z,16,FALSE))</f>
        <v>0</v>
      </c>
      <c r="Z2104" s="16">
        <f>IF(ISERROR(VLOOKUP($A2104,'13. Updated Demand'!A:Z,17,FALSE)),0,VLOOKUP($A2104,'13. Updated Demand'!A:Z,17,FALSE))</f>
        <v>3.33333E-4</v>
      </c>
      <c r="AA2104" s="16">
        <f>IF(ISERROR(VLOOKUP($A2104,'13. Updated Demand'!A:Z,18,FALSE)),0,VLOOKUP($A2104,'13. Updated Demand'!A:Z,18,FALSE))</f>
        <v>1.4E-3</v>
      </c>
      <c r="AB2104" s="16">
        <f>IF(ISERROR(VLOOKUP($A2104,'13. Updated Demand'!A:Z,19,FALSE)),0,VLOOKUP($A2104,'13. Updated Demand'!A:Z,19,FALSE))</f>
        <v>2.8E-3</v>
      </c>
      <c r="AC2104" s="16">
        <f>IF(ISERROR(VLOOKUP($A2104,'13. Updated Demand'!A:Z,20,FALSE)),0,VLOOKUP($A2104,'13. Updated Demand'!A:Z,20,FALSE))</f>
        <v>3.6666670000000002E-3</v>
      </c>
      <c r="AD2104" s="16">
        <f>IF(ISERROR(VLOOKUP($A2104,'13. Updated Demand'!A:Z,21,FALSE)),0,VLOOKUP($A2104,'13. Updated Demand'!A:Z,21,FALSE))</f>
        <v>3.6666670000000002E-3</v>
      </c>
      <c r="AE2104" s="16">
        <f>IF(ISERROR(VLOOKUP($A2104,'13. Updated Demand'!A:Z,22,FALSE)),0,VLOOKUP($A2104,'13. Updated Demand'!A:Z,22,FALSE))</f>
        <v>3.6666670000000002E-3</v>
      </c>
      <c r="AF2104" s="16">
        <f>IF(ISERROR(VLOOKUP($A2104,'13. Updated Demand'!A:Z,23,FALSE)),0,VLOOKUP($A2104,'13. Updated Demand'!A:Z,23,FALSE))</f>
        <v>3.1333329999999999E-3</v>
      </c>
      <c r="AG2104" s="16">
        <f>IF(ISERROR(VLOOKUP($A2104,'13. Updated Demand'!A:Z,24,FALSE)),0,VLOOKUP($A2104,'13. Updated Demand'!A:Z,24,FALSE))</f>
        <v>2.5999999999999999E-3</v>
      </c>
      <c r="AH2104" s="16">
        <f>IF(ISERROR(VLOOKUP($A2104,'13. Updated Demand'!A:Z,25,FALSE)),0,VLOOKUP($A2104,'13. Updated Demand'!A:Z,25,FALSE))</f>
        <v>1.7333330000000001E-3</v>
      </c>
      <c r="AI2104" s="16">
        <f>IF(ISERROR(VLOOKUP($A2104,'13. Updated Demand'!A:Z,26,FALSE)),0,VLOOKUP($A2104,'13. Updated Demand'!A:Z,26,FALSE))</f>
        <v>0</v>
      </c>
      <c r="AJ2104" s="16">
        <f t="shared" si="397"/>
        <v>2.3000000000000003E-2</v>
      </c>
      <c r="AK2104" s="19">
        <v>1.6933334000000001E-2</v>
      </c>
      <c r="AL2104" s="16">
        <f t="shared" si="395"/>
        <v>5.6165939989994684E-5</v>
      </c>
      <c r="AM2104" s="26">
        <v>1.5875207067918279E-5</v>
      </c>
      <c r="AN2104" s="19">
        <v>1448.8</v>
      </c>
      <c r="AO2104" s="19" t="s">
        <v>1758</v>
      </c>
      <c r="AP2104" s="19">
        <v>0</v>
      </c>
      <c r="AQ2104" s="19" t="s">
        <v>307</v>
      </c>
      <c r="AR2104" s="9" t="s">
        <v>333</v>
      </c>
      <c r="AS2104" s="12">
        <v>0</v>
      </c>
      <c r="AT2104" s="19">
        <v>39.041400000000003</v>
      </c>
      <c r="AU2104" s="19">
        <v>-123.1529</v>
      </c>
      <c r="AV2104" s="19" t="s">
        <v>2538</v>
      </c>
    </row>
    <row r="2105" spans="1:48" x14ac:dyDescent="0.25">
      <c r="A2105" s="18" t="s">
        <v>2539</v>
      </c>
      <c r="B2105" s="10">
        <v>10000000</v>
      </c>
      <c r="C2105" s="9">
        <v>5</v>
      </c>
      <c r="D2105" s="8" t="str">
        <f t="shared" si="386"/>
        <v>Y</v>
      </c>
      <c r="E2105" s="8" t="str">
        <f t="shared" si="387"/>
        <v>N</v>
      </c>
      <c r="F2105" s="8" t="str">
        <f t="shared" si="388"/>
        <v>Y</v>
      </c>
      <c r="G2105" s="8" t="str">
        <f t="shared" si="389"/>
        <v>Y</v>
      </c>
      <c r="H2105" s="8" t="str">
        <f t="shared" si="390"/>
        <v>Upper</v>
      </c>
      <c r="I2105" s="8" t="str">
        <f t="shared" si="391"/>
        <v>West Fork and Below Lake</v>
      </c>
      <c r="J2105" s="8" t="str">
        <f t="shared" si="392"/>
        <v>Mendocino (d/s of lake)</v>
      </c>
      <c r="K2105" s="8" t="str">
        <f t="shared" si="393"/>
        <v>Riparian</v>
      </c>
      <c r="L2105" s="8">
        <f t="shared" si="394"/>
        <v>1000</v>
      </c>
      <c r="M2105" s="8" t="str">
        <f t="shared" si="396"/>
        <v>-</v>
      </c>
      <c r="N2105" s="10" t="s">
        <v>242</v>
      </c>
      <c r="O2105" s="10" t="s">
        <v>241</v>
      </c>
      <c r="P2105" s="10" t="s">
        <v>242</v>
      </c>
      <c r="Q2105" s="10" t="s">
        <v>242</v>
      </c>
      <c r="R2105" s="10" t="s">
        <v>242</v>
      </c>
      <c r="S2105" s="10" t="s">
        <v>241</v>
      </c>
      <c r="T2105" s="10" t="s">
        <v>242</v>
      </c>
      <c r="U2105" s="10" t="s">
        <v>242</v>
      </c>
      <c r="V2105" s="10" t="s">
        <v>242</v>
      </c>
      <c r="W2105" s="10" t="s">
        <v>242</v>
      </c>
      <c r="X2105" s="15">
        <f>IF(ISERROR(VLOOKUP($A2105,'13. Updated Demand'!A:Z,15,FALSE)),0,VLOOKUP($A2105,'13. Updated Demand'!A:Z,15,FALSE))</f>
        <v>0</v>
      </c>
      <c r="Y2105" s="16">
        <f>IF(ISERROR(VLOOKUP($A2105,'13. Updated Demand'!A:Z,16,FALSE)),0,VLOOKUP($A2105,'13. Updated Demand'!A:Z,16,FALSE))</f>
        <v>0</v>
      </c>
      <c r="Z2105" s="16">
        <f>IF(ISERROR(VLOOKUP($A2105,'13. Updated Demand'!A:Z,17,FALSE)),0,VLOOKUP($A2105,'13. Updated Demand'!A:Z,17,FALSE))</f>
        <v>0</v>
      </c>
      <c r="AA2105" s="16">
        <f>IF(ISERROR(VLOOKUP($A2105,'13. Updated Demand'!A:Z,18,FALSE)),0,VLOOKUP($A2105,'13. Updated Demand'!A:Z,18,FALSE))</f>
        <v>0.14000000000000001</v>
      </c>
      <c r="AB2105" s="16">
        <f>IF(ISERROR(VLOOKUP($A2105,'13. Updated Demand'!A:Z,19,FALSE)),0,VLOOKUP($A2105,'13. Updated Demand'!A:Z,19,FALSE))</f>
        <v>0.6</v>
      </c>
      <c r="AC2105" s="16">
        <f>IF(ISERROR(VLOOKUP($A2105,'13. Updated Demand'!A:Z,20,FALSE)),0,VLOOKUP($A2105,'13. Updated Demand'!A:Z,20,FALSE))</f>
        <v>1.18</v>
      </c>
      <c r="AD2105" s="16">
        <f>IF(ISERROR(VLOOKUP($A2105,'13. Updated Demand'!A:Z,21,FALSE)),0,VLOOKUP($A2105,'13. Updated Demand'!A:Z,21,FALSE))</f>
        <v>1</v>
      </c>
      <c r="AE2105" s="16">
        <f>IF(ISERROR(VLOOKUP($A2105,'13. Updated Demand'!A:Z,22,FALSE)),0,VLOOKUP($A2105,'13. Updated Demand'!A:Z,22,FALSE))</f>
        <v>0.89</v>
      </c>
      <c r="AF2105" s="16">
        <f>IF(ISERROR(VLOOKUP($A2105,'13. Updated Demand'!A:Z,23,FALSE)),0,VLOOKUP($A2105,'13. Updated Demand'!A:Z,23,FALSE))</f>
        <v>0.34</v>
      </c>
      <c r="AG2105" s="16">
        <f>IF(ISERROR(VLOOKUP($A2105,'13. Updated Demand'!A:Z,24,FALSE)),0,VLOOKUP($A2105,'13. Updated Demand'!A:Z,24,FALSE))</f>
        <v>0.67</v>
      </c>
      <c r="AH2105" s="16">
        <f>IF(ISERROR(VLOOKUP($A2105,'13. Updated Demand'!A:Z,25,FALSE)),0,VLOOKUP($A2105,'13. Updated Demand'!A:Z,25,FALSE))</f>
        <v>0.67</v>
      </c>
      <c r="AI2105" s="16">
        <f>IF(ISERROR(VLOOKUP($A2105,'13. Updated Demand'!A:Z,26,FALSE)),0,VLOOKUP($A2105,'13. Updated Demand'!A:Z,26,FALSE))</f>
        <v>0.01</v>
      </c>
      <c r="AJ2105" s="16">
        <f t="shared" si="397"/>
        <v>5.5</v>
      </c>
      <c r="AK2105" s="19">
        <v>4.0259999989999997</v>
      </c>
      <c r="AL2105" s="16">
        <f t="shared" si="395"/>
        <v>1.3353783392186833E-2</v>
      </c>
      <c r="AM2105" s="26">
        <v>3.8210933186085035E-3</v>
      </c>
      <c r="AN2105" s="19">
        <v>1448.8</v>
      </c>
      <c r="AO2105" s="19" t="s">
        <v>1758</v>
      </c>
      <c r="AP2105" s="19">
        <v>0</v>
      </c>
      <c r="AQ2105" s="19" t="s">
        <v>307</v>
      </c>
      <c r="AR2105" s="9" t="s">
        <v>333</v>
      </c>
      <c r="AS2105" s="12">
        <v>0</v>
      </c>
      <c r="AT2105" s="19">
        <v>39.041400000000003</v>
      </c>
      <c r="AU2105" s="19">
        <v>-123.15300000000001</v>
      </c>
      <c r="AV2105" s="19" t="s">
        <v>1788</v>
      </c>
    </row>
    <row r="2106" spans="1:48" x14ac:dyDescent="0.25">
      <c r="A2106" s="18" t="s">
        <v>2540</v>
      </c>
      <c r="B2106" s="10">
        <v>10000000</v>
      </c>
      <c r="C2106" s="9">
        <v>15</v>
      </c>
      <c r="D2106" s="8" t="str">
        <f t="shared" si="386"/>
        <v>N</v>
      </c>
      <c r="E2106" s="8" t="str">
        <f t="shared" si="387"/>
        <v>N</v>
      </c>
      <c r="F2106" s="8" t="str">
        <f t="shared" si="388"/>
        <v>N</v>
      </c>
      <c r="G2106" s="8" t="str">
        <f t="shared" si="389"/>
        <v>N</v>
      </c>
      <c r="H2106" s="8" t="str">
        <f t="shared" si="390"/>
        <v>Lower</v>
      </c>
      <c r="I2106" s="8" t="str">
        <f t="shared" si="391"/>
        <v>Outside</v>
      </c>
      <c r="J2106" s="8" t="str">
        <f t="shared" si="392"/>
        <v>Outside</v>
      </c>
      <c r="K2106" s="8" t="str">
        <f t="shared" si="393"/>
        <v>Riparian</v>
      </c>
      <c r="L2106" s="8">
        <f t="shared" si="394"/>
        <v>1000</v>
      </c>
      <c r="M2106" s="8" t="str">
        <f t="shared" si="396"/>
        <v>-</v>
      </c>
      <c r="N2106" s="10" t="s">
        <v>242</v>
      </c>
      <c r="O2106" s="10" t="s">
        <v>242</v>
      </c>
      <c r="P2106" s="10" t="s">
        <v>242</v>
      </c>
      <c r="Q2106" s="10" t="s">
        <v>242</v>
      </c>
      <c r="R2106" s="10" t="s">
        <v>242</v>
      </c>
      <c r="S2106" s="10" t="s">
        <v>241</v>
      </c>
      <c r="T2106" s="10" t="s">
        <v>242</v>
      </c>
      <c r="U2106" s="10" t="s">
        <v>242</v>
      </c>
      <c r="V2106" s="10" t="s">
        <v>241</v>
      </c>
      <c r="W2106" s="10" t="s">
        <v>242</v>
      </c>
      <c r="X2106" s="15">
        <f>IF(ISERROR(VLOOKUP($A2106,'13. Updated Demand'!A:Z,15,FALSE)),0,VLOOKUP($A2106,'13. Updated Demand'!A:Z,15,FALSE))</f>
        <v>5.25</v>
      </c>
      <c r="Y2106" s="16">
        <f>IF(ISERROR(VLOOKUP($A2106,'13. Updated Demand'!A:Z,16,FALSE)),0,VLOOKUP($A2106,'13. Updated Demand'!A:Z,16,FALSE))</f>
        <v>0.55333333299999998</v>
      </c>
      <c r="Z2106" s="16">
        <f>IF(ISERROR(VLOOKUP($A2106,'13. Updated Demand'!A:Z,17,FALSE)),0,VLOOKUP($A2106,'13. Updated Demand'!A:Z,17,FALSE))</f>
        <v>3.2166666670000001</v>
      </c>
      <c r="AA2106" s="16">
        <f>IF(ISERROR(VLOOKUP($A2106,'13. Updated Demand'!A:Z,18,FALSE)),0,VLOOKUP($A2106,'13. Updated Demand'!A:Z,18,FALSE))</f>
        <v>0</v>
      </c>
      <c r="AB2106" s="16">
        <f>IF(ISERROR(VLOOKUP($A2106,'13. Updated Demand'!A:Z,19,FALSE)),0,VLOOKUP($A2106,'13. Updated Demand'!A:Z,19,FALSE))</f>
        <v>0</v>
      </c>
      <c r="AC2106" s="16">
        <f>IF(ISERROR(VLOOKUP($A2106,'13. Updated Demand'!A:Z,20,FALSE)),0,VLOOKUP($A2106,'13. Updated Demand'!A:Z,20,FALSE))</f>
        <v>0</v>
      </c>
      <c r="AD2106" s="16">
        <f>IF(ISERROR(VLOOKUP($A2106,'13. Updated Demand'!A:Z,21,FALSE)),0,VLOOKUP($A2106,'13. Updated Demand'!A:Z,21,FALSE))</f>
        <v>0</v>
      </c>
      <c r="AE2106" s="16">
        <f>IF(ISERROR(VLOOKUP($A2106,'13. Updated Demand'!A:Z,22,FALSE)),0,VLOOKUP($A2106,'13. Updated Demand'!A:Z,22,FALSE))</f>
        <v>0</v>
      </c>
      <c r="AF2106" s="16">
        <f>IF(ISERROR(VLOOKUP($A2106,'13. Updated Demand'!A:Z,23,FALSE)),0,VLOOKUP($A2106,'13. Updated Demand'!A:Z,23,FALSE))</f>
        <v>0</v>
      </c>
      <c r="AG2106" s="16">
        <f>IF(ISERROR(VLOOKUP($A2106,'13. Updated Demand'!A:Z,24,FALSE)),0,VLOOKUP($A2106,'13. Updated Demand'!A:Z,24,FALSE))</f>
        <v>0</v>
      </c>
      <c r="AH2106" s="16">
        <f>IF(ISERROR(VLOOKUP($A2106,'13. Updated Demand'!A:Z,25,FALSE)),0,VLOOKUP($A2106,'13. Updated Demand'!A:Z,25,FALSE))</f>
        <v>5.2</v>
      </c>
      <c r="AI2106" s="16">
        <f>IF(ISERROR(VLOOKUP($A2106,'13. Updated Demand'!A:Z,26,FALSE)),0,VLOOKUP($A2106,'13. Updated Demand'!A:Z,26,FALSE))</f>
        <v>12.34333333</v>
      </c>
      <c r="AJ2106" s="16">
        <f t="shared" si="397"/>
        <v>26.563333329999999</v>
      </c>
      <c r="AK2106" s="19">
        <v>0</v>
      </c>
      <c r="AL2106" s="16">
        <f t="shared" si="395"/>
        <v>0</v>
      </c>
      <c r="AM2106" s="26">
        <v>0.37996471649263341</v>
      </c>
      <c r="AN2106" s="19">
        <v>69.91</v>
      </c>
      <c r="AO2106" s="19" t="s">
        <v>1758</v>
      </c>
      <c r="AP2106" s="19">
        <v>0</v>
      </c>
      <c r="AQ2106" s="19" t="s">
        <v>307</v>
      </c>
      <c r="AR2106" s="9" t="s">
        <v>489</v>
      </c>
      <c r="AS2106" s="12">
        <v>0</v>
      </c>
      <c r="AT2106" s="19">
        <v>38.659399999999998</v>
      </c>
      <c r="AU2106" s="19">
        <v>-122.95099999999999</v>
      </c>
      <c r="AV2106" s="19"/>
    </row>
    <row r="2107" spans="1:48" x14ac:dyDescent="0.25">
      <c r="A2107" s="18" t="s">
        <v>2541</v>
      </c>
      <c r="B2107" s="10">
        <v>10000000</v>
      </c>
      <c r="C2107" s="9">
        <v>15</v>
      </c>
      <c r="D2107" s="8" t="str">
        <f t="shared" si="386"/>
        <v>N</v>
      </c>
      <c r="E2107" s="8" t="str">
        <f t="shared" si="387"/>
        <v>N</v>
      </c>
      <c r="F2107" s="8" t="str">
        <f t="shared" si="388"/>
        <v>N</v>
      </c>
      <c r="G2107" s="8" t="str">
        <f t="shared" si="389"/>
        <v>N</v>
      </c>
      <c r="H2107" s="8" t="str">
        <f t="shared" si="390"/>
        <v>Lower</v>
      </c>
      <c r="I2107" s="8" t="str">
        <f t="shared" si="391"/>
        <v>Outside</v>
      </c>
      <c r="J2107" s="8" t="str">
        <f t="shared" si="392"/>
        <v>Outside</v>
      </c>
      <c r="K2107" s="8" t="str">
        <f t="shared" si="393"/>
        <v>Riparian</v>
      </c>
      <c r="L2107" s="8">
        <f t="shared" si="394"/>
        <v>1000</v>
      </c>
      <c r="M2107" s="8" t="str">
        <f t="shared" si="396"/>
        <v>-</v>
      </c>
      <c r="N2107" s="10" t="s">
        <v>242</v>
      </c>
      <c r="O2107" s="10" t="s">
        <v>242</v>
      </c>
      <c r="P2107" s="10" t="s">
        <v>242</v>
      </c>
      <c r="Q2107" s="10" t="s">
        <v>242</v>
      </c>
      <c r="R2107" s="10" t="s">
        <v>242</v>
      </c>
      <c r="S2107" s="10" t="s">
        <v>241</v>
      </c>
      <c r="T2107" s="10" t="s">
        <v>242</v>
      </c>
      <c r="U2107" s="10" t="s">
        <v>241</v>
      </c>
      <c r="V2107" s="10" t="s">
        <v>241</v>
      </c>
      <c r="W2107" s="10" t="s">
        <v>242</v>
      </c>
      <c r="X2107" s="15">
        <f>IF(ISERROR(VLOOKUP($A2107,'13. Updated Demand'!A:Z,15,FALSE)),0,VLOOKUP($A2107,'13. Updated Demand'!A:Z,15,FALSE))</f>
        <v>0</v>
      </c>
      <c r="Y2107" s="16">
        <f>IF(ISERROR(VLOOKUP($A2107,'13. Updated Demand'!A:Z,16,FALSE)),0,VLOOKUP($A2107,'13. Updated Demand'!A:Z,16,FALSE))</f>
        <v>0</v>
      </c>
      <c r="Z2107" s="16">
        <f>IF(ISERROR(VLOOKUP($A2107,'13. Updated Demand'!A:Z,17,FALSE)),0,VLOOKUP($A2107,'13. Updated Demand'!A:Z,17,FALSE))</f>
        <v>0</v>
      </c>
      <c r="AA2107" s="16">
        <f>IF(ISERROR(VLOOKUP($A2107,'13. Updated Demand'!A:Z,18,FALSE)),0,VLOOKUP($A2107,'13. Updated Demand'!A:Z,18,FALSE))</f>
        <v>0</v>
      </c>
      <c r="AB2107" s="16">
        <f>IF(ISERROR(VLOOKUP($A2107,'13. Updated Demand'!A:Z,19,FALSE)),0,VLOOKUP($A2107,'13. Updated Demand'!A:Z,19,FALSE))</f>
        <v>0</v>
      </c>
      <c r="AC2107" s="16">
        <f>IF(ISERROR(VLOOKUP($A2107,'13. Updated Demand'!A:Z,20,FALSE)),0,VLOOKUP($A2107,'13. Updated Demand'!A:Z,20,FALSE))</f>
        <v>0</v>
      </c>
      <c r="AD2107" s="16">
        <f>IF(ISERROR(VLOOKUP($A2107,'13. Updated Demand'!A:Z,21,FALSE)),0,VLOOKUP($A2107,'13. Updated Demand'!A:Z,21,FALSE))</f>
        <v>0</v>
      </c>
      <c r="AE2107" s="16">
        <f>IF(ISERROR(VLOOKUP($A2107,'13. Updated Demand'!A:Z,22,FALSE)),0,VLOOKUP($A2107,'13. Updated Demand'!A:Z,22,FALSE))</f>
        <v>0</v>
      </c>
      <c r="AF2107" s="16">
        <f>IF(ISERROR(VLOOKUP($A2107,'13. Updated Demand'!A:Z,23,FALSE)),0,VLOOKUP($A2107,'13. Updated Demand'!A:Z,23,FALSE))</f>
        <v>0</v>
      </c>
      <c r="AG2107" s="16">
        <f>IF(ISERROR(VLOOKUP($A2107,'13. Updated Demand'!A:Z,24,FALSE)),0,VLOOKUP($A2107,'13. Updated Demand'!A:Z,24,FALSE))</f>
        <v>0</v>
      </c>
      <c r="AH2107" s="16">
        <f>IF(ISERROR(VLOOKUP($A2107,'13. Updated Demand'!A:Z,25,FALSE)),0,VLOOKUP($A2107,'13. Updated Demand'!A:Z,25,FALSE))</f>
        <v>0</v>
      </c>
      <c r="AI2107" s="16">
        <f>IF(ISERROR(VLOOKUP($A2107,'13. Updated Demand'!A:Z,26,FALSE)),0,VLOOKUP($A2107,'13. Updated Demand'!A:Z,26,FALSE))</f>
        <v>0</v>
      </c>
      <c r="AJ2107" s="16">
        <f t="shared" si="397"/>
        <v>0</v>
      </c>
      <c r="AK2107" s="19">
        <v>0</v>
      </c>
      <c r="AL2107" s="16">
        <f t="shared" si="395"/>
        <v>0</v>
      </c>
      <c r="AM2107" s="26">
        <v>0</v>
      </c>
      <c r="AN2107" s="19">
        <v>807.70600000000002</v>
      </c>
      <c r="AO2107" s="19" t="s">
        <v>1758</v>
      </c>
      <c r="AP2107" s="19">
        <v>0</v>
      </c>
      <c r="AQ2107" s="19" t="s">
        <v>307</v>
      </c>
      <c r="AR2107" s="9" t="s">
        <v>489</v>
      </c>
      <c r="AS2107" s="12">
        <v>0</v>
      </c>
      <c r="AT2107" s="19">
        <v>38.665799999999997</v>
      </c>
      <c r="AU2107" s="19">
        <v>-122.9409</v>
      </c>
      <c r="AV2107" s="19" t="s">
        <v>932</v>
      </c>
    </row>
    <row r="2108" spans="1:48" x14ac:dyDescent="0.25">
      <c r="A2108" s="18" t="s">
        <v>2542</v>
      </c>
      <c r="B2108" s="10">
        <v>10000000</v>
      </c>
      <c r="C2108" s="9">
        <v>8</v>
      </c>
      <c r="D2108" s="8" t="str">
        <f t="shared" si="386"/>
        <v>N</v>
      </c>
      <c r="E2108" s="8" t="str">
        <f t="shared" si="387"/>
        <v>Y</v>
      </c>
      <c r="F2108" s="8" t="str">
        <f t="shared" si="388"/>
        <v>Y</v>
      </c>
      <c r="G2108" s="8" t="str">
        <f t="shared" si="389"/>
        <v>Y</v>
      </c>
      <c r="H2108" s="8" t="str">
        <f t="shared" si="390"/>
        <v>Upper</v>
      </c>
      <c r="I2108" s="8" t="str">
        <f t="shared" si="391"/>
        <v>West Fork and Below Lake</v>
      </c>
      <c r="J2108" s="8" t="str">
        <f t="shared" si="392"/>
        <v>Sonoma (d/s of Clov. Gage)</v>
      </c>
      <c r="K2108" s="8" t="str">
        <f t="shared" si="393"/>
        <v>Riparian</v>
      </c>
      <c r="L2108" s="8">
        <f t="shared" si="394"/>
        <v>1000</v>
      </c>
      <c r="M2108" s="8" t="str">
        <f t="shared" si="396"/>
        <v>-</v>
      </c>
      <c r="N2108" s="10" t="s">
        <v>242</v>
      </c>
      <c r="O2108" s="10" t="s">
        <v>241</v>
      </c>
      <c r="P2108" s="10" t="s">
        <v>242</v>
      </c>
      <c r="Q2108" s="10" t="s">
        <v>242</v>
      </c>
      <c r="R2108" s="10" t="s">
        <v>242</v>
      </c>
      <c r="S2108" s="10" t="s">
        <v>241</v>
      </c>
      <c r="T2108" s="10" t="s">
        <v>242</v>
      </c>
      <c r="U2108" s="10" t="s">
        <v>241</v>
      </c>
      <c r="V2108" s="10" t="s">
        <v>241</v>
      </c>
      <c r="W2108" s="10" t="s">
        <v>242</v>
      </c>
      <c r="X2108" s="15">
        <f>IF(ISERROR(VLOOKUP($A2108,'13. Updated Demand'!A:Z,15,FALSE)),0,VLOOKUP($A2108,'13. Updated Demand'!A:Z,15,FALSE))</f>
        <v>0</v>
      </c>
      <c r="Y2108" s="16">
        <f>IF(ISERROR(VLOOKUP($A2108,'13. Updated Demand'!A:Z,16,FALSE)),0,VLOOKUP($A2108,'13. Updated Demand'!A:Z,16,FALSE))</f>
        <v>0</v>
      </c>
      <c r="Z2108" s="16">
        <f>IF(ISERROR(VLOOKUP($A2108,'13. Updated Demand'!A:Z,17,FALSE)),0,VLOOKUP($A2108,'13. Updated Demand'!A:Z,17,FALSE))</f>
        <v>0</v>
      </c>
      <c r="AA2108" s="16">
        <f>IF(ISERROR(VLOOKUP($A2108,'13. Updated Demand'!A:Z,18,FALSE)),0,VLOOKUP($A2108,'13. Updated Demand'!A:Z,18,FALSE))</f>
        <v>0</v>
      </c>
      <c r="AB2108" s="16">
        <f>IF(ISERROR(VLOOKUP($A2108,'13. Updated Demand'!A:Z,19,FALSE)),0,VLOOKUP($A2108,'13. Updated Demand'!A:Z,19,FALSE))</f>
        <v>0</v>
      </c>
      <c r="AC2108" s="16">
        <f>IF(ISERROR(VLOOKUP($A2108,'13. Updated Demand'!A:Z,20,FALSE)),0,VLOOKUP($A2108,'13. Updated Demand'!A:Z,20,FALSE))</f>
        <v>0</v>
      </c>
      <c r="AD2108" s="16">
        <f>IF(ISERROR(VLOOKUP($A2108,'13. Updated Demand'!A:Z,21,FALSE)),0,VLOOKUP($A2108,'13. Updated Demand'!A:Z,21,FALSE))</f>
        <v>0</v>
      </c>
      <c r="AE2108" s="16">
        <f>IF(ISERROR(VLOOKUP($A2108,'13. Updated Demand'!A:Z,22,FALSE)),0,VLOOKUP($A2108,'13. Updated Demand'!A:Z,22,FALSE))</f>
        <v>0</v>
      </c>
      <c r="AF2108" s="16">
        <f>IF(ISERROR(VLOOKUP($A2108,'13. Updated Demand'!A:Z,23,FALSE)),0,VLOOKUP($A2108,'13. Updated Demand'!A:Z,23,FALSE))</f>
        <v>0</v>
      </c>
      <c r="AG2108" s="16">
        <f>IF(ISERROR(VLOOKUP($A2108,'13. Updated Demand'!A:Z,24,FALSE)),0,VLOOKUP($A2108,'13. Updated Demand'!A:Z,24,FALSE))</f>
        <v>0</v>
      </c>
      <c r="AH2108" s="16">
        <f>IF(ISERROR(VLOOKUP($A2108,'13. Updated Demand'!A:Z,25,FALSE)),0,VLOOKUP($A2108,'13. Updated Demand'!A:Z,25,FALSE))</f>
        <v>0</v>
      </c>
      <c r="AI2108" s="16">
        <f>IF(ISERROR(VLOOKUP($A2108,'13. Updated Demand'!A:Z,26,FALSE)),0,VLOOKUP($A2108,'13. Updated Demand'!A:Z,26,FALSE))</f>
        <v>0</v>
      </c>
      <c r="AJ2108" s="16">
        <f t="shared" si="397"/>
        <v>0</v>
      </c>
      <c r="AK2108" s="19">
        <v>0</v>
      </c>
      <c r="AL2108" s="16">
        <f t="shared" si="395"/>
        <v>0</v>
      </c>
      <c r="AM2108" s="26">
        <v>0</v>
      </c>
      <c r="AN2108" s="19">
        <v>322.358</v>
      </c>
      <c r="AO2108" s="19" t="s">
        <v>1758</v>
      </c>
      <c r="AP2108" s="19">
        <v>0</v>
      </c>
      <c r="AQ2108" s="19" t="s">
        <v>307</v>
      </c>
      <c r="AR2108" s="9" t="s">
        <v>409</v>
      </c>
      <c r="AS2108" s="12">
        <v>0</v>
      </c>
      <c r="AT2108" s="19">
        <v>38.804299999999998</v>
      </c>
      <c r="AU2108" s="19">
        <v>-122.80500000000001</v>
      </c>
      <c r="AV2108" s="19" t="s">
        <v>1788</v>
      </c>
    </row>
    <row r="2109" spans="1:48" x14ac:dyDescent="0.25">
      <c r="A2109" s="18" t="s">
        <v>2543</v>
      </c>
      <c r="B2109" s="10">
        <v>10000000</v>
      </c>
      <c r="C2109" s="9">
        <v>7</v>
      </c>
      <c r="D2109" s="8" t="str">
        <f t="shared" si="386"/>
        <v>N</v>
      </c>
      <c r="E2109" s="8" t="str">
        <f t="shared" si="387"/>
        <v>Y</v>
      </c>
      <c r="F2109" s="8" t="str">
        <f t="shared" si="388"/>
        <v>Y</v>
      </c>
      <c r="G2109" s="8" t="str">
        <f t="shared" si="389"/>
        <v>Y</v>
      </c>
      <c r="H2109" s="8" t="str">
        <f t="shared" si="390"/>
        <v>Upper</v>
      </c>
      <c r="I2109" s="8" t="str">
        <f t="shared" si="391"/>
        <v>West Fork and Below Lake</v>
      </c>
      <c r="J2109" s="8" t="str">
        <f t="shared" si="392"/>
        <v>Sonoma (d/s of Clov. Gage)</v>
      </c>
      <c r="K2109" s="8" t="str">
        <f t="shared" si="393"/>
        <v>Riparian</v>
      </c>
      <c r="L2109" s="8">
        <f t="shared" si="394"/>
        <v>1000</v>
      </c>
      <c r="M2109" s="8" t="str">
        <f t="shared" si="396"/>
        <v>-</v>
      </c>
      <c r="N2109" s="10" t="s">
        <v>242</v>
      </c>
      <c r="O2109" s="10" t="s">
        <v>241</v>
      </c>
      <c r="P2109" s="10" t="s">
        <v>242</v>
      </c>
      <c r="Q2109" s="10" t="s">
        <v>242</v>
      </c>
      <c r="R2109" s="10" t="s">
        <v>242</v>
      </c>
      <c r="S2109" s="10" t="s">
        <v>241</v>
      </c>
      <c r="T2109" s="10" t="s">
        <v>242</v>
      </c>
      <c r="U2109" s="10" t="s">
        <v>241</v>
      </c>
      <c r="V2109" s="10" t="s">
        <v>241</v>
      </c>
      <c r="W2109" s="10" t="s">
        <v>242</v>
      </c>
      <c r="X2109" s="15">
        <f>IF(ISERROR(VLOOKUP($A2109,'13. Updated Demand'!A:Z,15,FALSE)),0,VLOOKUP($A2109,'13. Updated Demand'!A:Z,15,FALSE))</f>
        <v>0</v>
      </c>
      <c r="Y2109" s="16">
        <f>IF(ISERROR(VLOOKUP($A2109,'13. Updated Demand'!A:Z,16,FALSE)),0,VLOOKUP($A2109,'13. Updated Demand'!A:Z,16,FALSE))</f>
        <v>0</v>
      </c>
      <c r="Z2109" s="16">
        <f>IF(ISERROR(VLOOKUP($A2109,'13. Updated Demand'!A:Z,17,FALSE)),0,VLOOKUP($A2109,'13. Updated Demand'!A:Z,17,FALSE))</f>
        <v>0</v>
      </c>
      <c r="AA2109" s="16">
        <f>IF(ISERROR(VLOOKUP($A2109,'13. Updated Demand'!A:Z,18,FALSE)),0,VLOOKUP($A2109,'13. Updated Demand'!A:Z,18,FALSE))</f>
        <v>0</v>
      </c>
      <c r="AB2109" s="16">
        <f>IF(ISERROR(VLOOKUP($A2109,'13. Updated Demand'!A:Z,19,FALSE)),0,VLOOKUP($A2109,'13. Updated Demand'!A:Z,19,FALSE))</f>
        <v>0</v>
      </c>
      <c r="AC2109" s="16">
        <f>IF(ISERROR(VLOOKUP($A2109,'13. Updated Demand'!A:Z,20,FALSE)),0,VLOOKUP($A2109,'13. Updated Demand'!A:Z,20,FALSE))</f>
        <v>0</v>
      </c>
      <c r="AD2109" s="16">
        <f>IF(ISERROR(VLOOKUP($A2109,'13. Updated Demand'!A:Z,21,FALSE)),0,VLOOKUP($A2109,'13. Updated Demand'!A:Z,21,FALSE))</f>
        <v>0</v>
      </c>
      <c r="AE2109" s="16">
        <f>IF(ISERROR(VLOOKUP($A2109,'13. Updated Demand'!A:Z,22,FALSE)),0,VLOOKUP($A2109,'13. Updated Demand'!A:Z,22,FALSE))</f>
        <v>0</v>
      </c>
      <c r="AF2109" s="16">
        <f>IF(ISERROR(VLOOKUP($A2109,'13. Updated Demand'!A:Z,23,FALSE)),0,VLOOKUP($A2109,'13. Updated Demand'!A:Z,23,FALSE))</f>
        <v>0</v>
      </c>
      <c r="AG2109" s="16">
        <f>IF(ISERROR(VLOOKUP($A2109,'13. Updated Demand'!A:Z,24,FALSE)),0,VLOOKUP($A2109,'13. Updated Demand'!A:Z,24,FALSE))</f>
        <v>0</v>
      </c>
      <c r="AH2109" s="16">
        <f>IF(ISERROR(VLOOKUP($A2109,'13. Updated Demand'!A:Z,25,FALSE)),0,VLOOKUP($A2109,'13. Updated Demand'!A:Z,25,FALSE))</f>
        <v>0</v>
      </c>
      <c r="AI2109" s="16">
        <f>IF(ISERROR(VLOOKUP($A2109,'13. Updated Demand'!A:Z,26,FALSE)),0,VLOOKUP($A2109,'13. Updated Demand'!A:Z,26,FALSE))</f>
        <v>0</v>
      </c>
      <c r="AJ2109" s="16">
        <f t="shared" si="397"/>
        <v>0</v>
      </c>
      <c r="AK2109" s="19">
        <v>0</v>
      </c>
      <c r="AL2109" s="16">
        <f t="shared" si="395"/>
        <v>0</v>
      </c>
      <c r="AM2109" s="26">
        <v>0</v>
      </c>
      <c r="AN2109" s="19">
        <v>242.67400000000001</v>
      </c>
      <c r="AO2109" s="19" t="s">
        <v>1758</v>
      </c>
      <c r="AP2109" s="19">
        <v>0</v>
      </c>
      <c r="AQ2109" s="19" t="s">
        <v>307</v>
      </c>
      <c r="AR2109" s="9" t="s">
        <v>823</v>
      </c>
      <c r="AS2109" s="12">
        <v>0</v>
      </c>
      <c r="AT2109" s="19">
        <v>38.78</v>
      </c>
      <c r="AU2109" s="19">
        <v>-122.76009999999999</v>
      </c>
      <c r="AV2109" s="19" t="s">
        <v>1788</v>
      </c>
    </row>
    <row r="2110" spans="1:48" x14ac:dyDescent="0.25">
      <c r="A2110" s="18" t="s">
        <v>2544</v>
      </c>
      <c r="B2110" s="10">
        <v>10000000</v>
      </c>
      <c r="C2110" s="9">
        <v>8</v>
      </c>
      <c r="D2110" s="8" t="str">
        <f t="shared" si="386"/>
        <v>N</v>
      </c>
      <c r="E2110" s="8" t="str">
        <f t="shared" si="387"/>
        <v>Y</v>
      </c>
      <c r="F2110" s="8" t="str">
        <f t="shared" si="388"/>
        <v>Y</v>
      </c>
      <c r="G2110" s="8" t="str">
        <f t="shared" si="389"/>
        <v>Y</v>
      </c>
      <c r="H2110" s="8" t="str">
        <f t="shared" si="390"/>
        <v>Upper</v>
      </c>
      <c r="I2110" s="8" t="str">
        <f t="shared" si="391"/>
        <v>West Fork and Below Lake</v>
      </c>
      <c r="J2110" s="8" t="str">
        <f t="shared" si="392"/>
        <v>Sonoma (d/s of Clov. Gage)</v>
      </c>
      <c r="K2110" s="8" t="str">
        <f t="shared" si="393"/>
        <v>Riparian</v>
      </c>
      <c r="L2110" s="8">
        <f t="shared" si="394"/>
        <v>1000</v>
      </c>
      <c r="M2110" s="8" t="str">
        <f t="shared" si="396"/>
        <v>-</v>
      </c>
      <c r="N2110" s="10" t="s">
        <v>242</v>
      </c>
      <c r="O2110" s="10" t="s">
        <v>241</v>
      </c>
      <c r="P2110" s="10" t="s">
        <v>242</v>
      </c>
      <c r="Q2110" s="10" t="s">
        <v>242</v>
      </c>
      <c r="R2110" s="10" t="s">
        <v>242</v>
      </c>
      <c r="S2110" s="10" t="s">
        <v>241</v>
      </c>
      <c r="T2110" s="10" t="s">
        <v>242</v>
      </c>
      <c r="U2110" s="10" t="s">
        <v>241</v>
      </c>
      <c r="V2110" s="10" t="s">
        <v>241</v>
      </c>
      <c r="W2110" s="10" t="s">
        <v>242</v>
      </c>
      <c r="X2110" s="15">
        <f>IF(ISERROR(VLOOKUP($A2110,'13. Updated Demand'!A:Z,15,FALSE)),0,VLOOKUP($A2110,'13. Updated Demand'!A:Z,15,FALSE))</f>
        <v>0</v>
      </c>
      <c r="Y2110" s="16">
        <f>IF(ISERROR(VLOOKUP($A2110,'13. Updated Demand'!A:Z,16,FALSE)),0,VLOOKUP($A2110,'13. Updated Demand'!A:Z,16,FALSE))</f>
        <v>0</v>
      </c>
      <c r="Z2110" s="16">
        <f>IF(ISERROR(VLOOKUP($A2110,'13. Updated Demand'!A:Z,17,FALSE)),0,VLOOKUP($A2110,'13. Updated Demand'!A:Z,17,FALSE))</f>
        <v>0</v>
      </c>
      <c r="AA2110" s="16">
        <f>IF(ISERROR(VLOOKUP($A2110,'13. Updated Demand'!A:Z,18,FALSE)),0,VLOOKUP($A2110,'13. Updated Demand'!A:Z,18,FALSE))</f>
        <v>0</v>
      </c>
      <c r="AB2110" s="16">
        <f>IF(ISERROR(VLOOKUP($A2110,'13. Updated Demand'!A:Z,19,FALSE)),0,VLOOKUP($A2110,'13. Updated Demand'!A:Z,19,FALSE))</f>
        <v>0</v>
      </c>
      <c r="AC2110" s="16">
        <f>IF(ISERROR(VLOOKUP($A2110,'13. Updated Demand'!A:Z,20,FALSE)),0,VLOOKUP($A2110,'13. Updated Demand'!A:Z,20,FALSE))</f>
        <v>0</v>
      </c>
      <c r="AD2110" s="16">
        <f>IF(ISERROR(VLOOKUP($A2110,'13. Updated Demand'!A:Z,21,FALSE)),0,VLOOKUP($A2110,'13. Updated Demand'!A:Z,21,FALSE))</f>
        <v>0</v>
      </c>
      <c r="AE2110" s="16">
        <f>IF(ISERROR(VLOOKUP($A2110,'13. Updated Demand'!A:Z,22,FALSE)),0,VLOOKUP($A2110,'13. Updated Demand'!A:Z,22,FALSE))</f>
        <v>0</v>
      </c>
      <c r="AF2110" s="16">
        <f>IF(ISERROR(VLOOKUP($A2110,'13. Updated Demand'!A:Z,23,FALSE)),0,VLOOKUP($A2110,'13. Updated Demand'!A:Z,23,FALSE))</f>
        <v>0</v>
      </c>
      <c r="AG2110" s="16">
        <f>IF(ISERROR(VLOOKUP($A2110,'13. Updated Demand'!A:Z,24,FALSE)),0,VLOOKUP($A2110,'13. Updated Demand'!A:Z,24,FALSE))</f>
        <v>0</v>
      </c>
      <c r="AH2110" s="16">
        <f>IF(ISERROR(VLOOKUP($A2110,'13. Updated Demand'!A:Z,25,FALSE)),0,VLOOKUP($A2110,'13. Updated Demand'!A:Z,25,FALSE))</f>
        <v>0</v>
      </c>
      <c r="AI2110" s="16">
        <f>IF(ISERROR(VLOOKUP($A2110,'13. Updated Demand'!A:Z,26,FALSE)),0,VLOOKUP($A2110,'13. Updated Demand'!A:Z,26,FALSE))</f>
        <v>0</v>
      </c>
      <c r="AJ2110" s="16">
        <f t="shared" si="397"/>
        <v>0</v>
      </c>
      <c r="AK2110" s="19">
        <v>0</v>
      </c>
      <c r="AL2110" s="16">
        <f t="shared" si="395"/>
        <v>0</v>
      </c>
      <c r="AM2110" s="26">
        <v>0</v>
      </c>
      <c r="AN2110" s="19">
        <v>202.83199999999999</v>
      </c>
      <c r="AO2110" s="19" t="s">
        <v>1758</v>
      </c>
      <c r="AP2110" s="19">
        <v>0</v>
      </c>
      <c r="AQ2110" s="19" t="s">
        <v>307</v>
      </c>
      <c r="AR2110" s="9" t="s">
        <v>409</v>
      </c>
      <c r="AS2110" s="12">
        <v>0</v>
      </c>
      <c r="AT2110" s="19">
        <v>38.8127</v>
      </c>
      <c r="AU2110" s="19">
        <v>-122.80589999999999</v>
      </c>
      <c r="AV2110" s="19" t="s">
        <v>2545</v>
      </c>
    </row>
    <row r="2111" spans="1:48" x14ac:dyDescent="0.25">
      <c r="A2111" s="18" t="s">
        <v>2546</v>
      </c>
      <c r="B2111" s="10">
        <v>10000000</v>
      </c>
      <c r="C2111" s="9">
        <v>8</v>
      </c>
      <c r="D2111" s="8" t="str">
        <f t="shared" si="386"/>
        <v>N</v>
      </c>
      <c r="E2111" s="8" t="str">
        <f t="shared" si="387"/>
        <v>Y</v>
      </c>
      <c r="F2111" s="8" t="str">
        <f t="shared" si="388"/>
        <v>Y</v>
      </c>
      <c r="G2111" s="8" t="str">
        <f t="shared" si="389"/>
        <v>Y</v>
      </c>
      <c r="H2111" s="8" t="str">
        <f t="shared" si="390"/>
        <v>Upper</v>
      </c>
      <c r="I2111" s="8" t="str">
        <f t="shared" si="391"/>
        <v>West Fork and Below Lake</v>
      </c>
      <c r="J2111" s="8" t="str">
        <f t="shared" si="392"/>
        <v>Sonoma (d/s of Clov. Gage)</v>
      </c>
      <c r="K2111" s="8" t="str">
        <f t="shared" si="393"/>
        <v>Riparian</v>
      </c>
      <c r="L2111" s="8">
        <f t="shared" si="394"/>
        <v>1000</v>
      </c>
      <c r="M2111" s="8" t="str">
        <f t="shared" si="396"/>
        <v>-</v>
      </c>
      <c r="N2111" s="10" t="s">
        <v>242</v>
      </c>
      <c r="O2111" s="10" t="s">
        <v>241</v>
      </c>
      <c r="P2111" s="10" t="s">
        <v>242</v>
      </c>
      <c r="Q2111" s="10" t="s">
        <v>242</v>
      </c>
      <c r="R2111" s="10" t="s">
        <v>242</v>
      </c>
      <c r="S2111" s="10" t="s">
        <v>241</v>
      </c>
      <c r="T2111" s="10" t="s">
        <v>242</v>
      </c>
      <c r="U2111" s="10" t="s">
        <v>241</v>
      </c>
      <c r="V2111" s="10" t="s">
        <v>241</v>
      </c>
      <c r="W2111" s="10" t="s">
        <v>242</v>
      </c>
      <c r="X2111" s="15">
        <f>IF(ISERROR(VLOOKUP($A2111,'13. Updated Demand'!A:Z,15,FALSE)),0,VLOOKUP($A2111,'13. Updated Demand'!A:Z,15,FALSE))</f>
        <v>0</v>
      </c>
      <c r="Y2111" s="16">
        <f>IF(ISERROR(VLOOKUP($A2111,'13. Updated Demand'!A:Z,16,FALSE)),0,VLOOKUP($A2111,'13. Updated Demand'!A:Z,16,FALSE))</f>
        <v>0</v>
      </c>
      <c r="Z2111" s="16">
        <f>IF(ISERROR(VLOOKUP($A2111,'13. Updated Demand'!A:Z,17,FALSE)),0,VLOOKUP($A2111,'13. Updated Demand'!A:Z,17,FALSE))</f>
        <v>0</v>
      </c>
      <c r="AA2111" s="16">
        <f>IF(ISERROR(VLOOKUP($A2111,'13. Updated Demand'!A:Z,18,FALSE)),0,VLOOKUP($A2111,'13. Updated Demand'!A:Z,18,FALSE))</f>
        <v>0</v>
      </c>
      <c r="AB2111" s="16">
        <f>IF(ISERROR(VLOOKUP($A2111,'13. Updated Demand'!A:Z,19,FALSE)),0,VLOOKUP($A2111,'13. Updated Demand'!A:Z,19,FALSE))</f>
        <v>0</v>
      </c>
      <c r="AC2111" s="16">
        <f>IF(ISERROR(VLOOKUP($A2111,'13. Updated Demand'!A:Z,20,FALSE)),0,VLOOKUP($A2111,'13. Updated Demand'!A:Z,20,FALSE))</f>
        <v>0</v>
      </c>
      <c r="AD2111" s="16">
        <f>IF(ISERROR(VLOOKUP($A2111,'13. Updated Demand'!A:Z,21,FALSE)),0,VLOOKUP($A2111,'13. Updated Demand'!A:Z,21,FALSE))</f>
        <v>0</v>
      </c>
      <c r="AE2111" s="16">
        <f>IF(ISERROR(VLOOKUP($A2111,'13. Updated Demand'!A:Z,22,FALSE)),0,VLOOKUP($A2111,'13. Updated Demand'!A:Z,22,FALSE))</f>
        <v>0</v>
      </c>
      <c r="AF2111" s="16">
        <f>IF(ISERROR(VLOOKUP($A2111,'13. Updated Demand'!A:Z,23,FALSE)),0,VLOOKUP($A2111,'13. Updated Demand'!A:Z,23,FALSE))</f>
        <v>0</v>
      </c>
      <c r="AG2111" s="16">
        <f>IF(ISERROR(VLOOKUP($A2111,'13. Updated Demand'!A:Z,24,FALSE)),0,VLOOKUP($A2111,'13. Updated Demand'!A:Z,24,FALSE))</f>
        <v>0</v>
      </c>
      <c r="AH2111" s="16">
        <f>IF(ISERROR(VLOOKUP($A2111,'13. Updated Demand'!A:Z,25,FALSE)),0,VLOOKUP($A2111,'13. Updated Demand'!A:Z,25,FALSE))</f>
        <v>0</v>
      </c>
      <c r="AI2111" s="16">
        <f>IF(ISERROR(VLOOKUP($A2111,'13. Updated Demand'!A:Z,26,FALSE)),0,VLOOKUP($A2111,'13. Updated Demand'!A:Z,26,FALSE))</f>
        <v>0</v>
      </c>
      <c r="AJ2111" s="16">
        <f t="shared" si="397"/>
        <v>0</v>
      </c>
      <c r="AK2111" s="19">
        <v>0</v>
      </c>
      <c r="AL2111" s="16">
        <f t="shared" si="395"/>
        <v>0</v>
      </c>
      <c r="AM2111" s="26">
        <v>0</v>
      </c>
      <c r="AN2111" s="19">
        <v>398.42</v>
      </c>
      <c r="AO2111" s="19" t="s">
        <v>1758</v>
      </c>
      <c r="AP2111" s="19">
        <v>0</v>
      </c>
      <c r="AQ2111" s="19" t="s">
        <v>307</v>
      </c>
      <c r="AR2111" s="9" t="s">
        <v>409</v>
      </c>
      <c r="AS2111" s="12">
        <v>0</v>
      </c>
      <c r="AT2111" s="19">
        <v>38.807699999999997</v>
      </c>
      <c r="AU2111" s="19">
        <v>-122.8158</v>
      </c>
      <c r="AV2111" s="19" t="s">
        <v>1788</v>
      </c>
    </row>
    <row r="2112" spans="1:48" x14ac:dyDescent="0.25">
      <c r="A2112" s="18" t="s">
        <v>2547</v>
      </c>
      <c r="B2112" s="10">
        <v>10000000</v>
      </c>
      <c r="C2112" s="9">
        <v>7</v>
      </c>
      <c r="D2112" s="8" t="str">
        <f t="shared" si="386"/>
        <v>N</v>
      </c>
      <c r="E2112" s="8" t="str">
        <f t="shared" si="387"/>
        <v>Y</v>
      </c>
      <c r="F2112" s="8" t="str">
        <f t="shared" si="388"/>
        <v>Y</v>
      </c>
      <c r="G2112" s="8" t="str">
        <f t="shared" si="389"/>
        <v>Y</v>
      </c>
      <c r="H2112" s="8" t="str">
        <f t="shared" si="390"/>
        <v>Upper</v>
      </c>
      <c r="I2112" s="8" t="str">
        <f t="shared" si="391"/>
        <v>West Fork and Below Lake</v>
      </c>
      <c r="J2112" s="8" t="str">
        <f t="shared" si="392"/>
        <v>Sonoma (d/s of Clov. Gage)</v>
      </c>
      <c r="K2112" s="8" t="str">
        <f t="shared" si="393"/>
        <v>Riparian</v>
      </c>
      <c r="L2112" s="8">
        <f t="shared" si="394"/>
        <v>1000</v>
      </c>
      <c r="M2112" s="8" t="str">
        <f t="shared" si="396"/>
        <v>-</v>
      </c>
      <c r="N2112" s="10" t="s">
        <v>242</v>
      </c>
      <c r="O2112" s="10" t="s">
        <v>241</v>
      </c>
      <c r="P2112" s="10" t="s">
        <v>242</v>
      </c>
      <c r="Q2112" s="10" t="s">
        <v>242</v>
      </c>
      <c r="R2112" s="10" t="s">
        <v>242</v>
      </c>
      <c r="S2112" s="10" t="s">
        <v>241</v>
      </c>
      <c r="T2112" s="10" t="s">
        <v>242</v>
      </c>
      <c r="U2112" s="10" t="s">
        <v>241</v>
      </c>
      <c r="V2112" s="10" t="s">
        <v>241</v>
      </c>
      <c r="W2112" s="10" t="s">
        <v>242</v>
      </c>
      <c r="X2112" s="15">
        <f>IF(ISERROR(VLOOKUP($A2112,'13. Updated Demand'!A:Z,15,FALSE)),0,VLOOKUP($A2112,'13. Updated Demand'!A:Z,15,FALSE))</f>
        <v>0</v>
      </c>
      <c r="Y2112" s="16">
        <f>IF(ISERROR(VLOOKUP($A2112,'13. Updated Demand'!A:Z,16,FALSE)),0,VLOOKUP($A2112,'13. Updated Demand'!A:Z,16,FALSE))</f>
        <v>0</v>
      </c>
      <c r="Z2112" s="16">
        <f>IF(ISERROR(VLOOKUP($A2112,'13. Updated Demand'!A:Z,17,FALSE)),0,VLOOKUP($A2112,'13. Updated Demand'!A:Z,17,FALSE))</f>
        <v>0</v>
      </c>
      <c r="AA2112" s="16">
        <f>IF(ISERROR(VLOOKUP($A2112,'13. Updated Demand'!A:Z,18,FALSE)),0,VLOOKUP($A2112,'13. Updated Demand'!A:Z,18,FALSE))</f>
        <v>0</v>
      </c>
      <c r="AB2112" s="16">
        <f>IF(ISERROR(VLOOKUP($A2112,'13. Updated Demand'!A:Z,19,FALSE)),0,VLOOKUP($A2112,'13. Updated Demand'!A:Z,19,FALSE))</f>
        <v>0</v>
      </c>
      <c r="AC2112" s="16">
        <f>IF(ISERROR(VLOOKUP($A2112,'13. Updated Demand'!A:Z,20,FALSE)),0,VLOOKUP($A2112,'13. Updated Demand'!A:Z,20,FALSE))</f>
        <v>0</v>
      </c>
      <c r="AD2112" s="16">
        <f>IF(ISERROR(VLOOKUP($A2112,'13. Updated Demand'!A:Z,21,FALSE)),0,VLOOKUP($A2112,'13. Updated Demand'!A:Z,21,FALSE))</f>
        <v>0</v>
      </c>
      <c r="AE2112" s="16">
        <f>IF(ISERROR(VLOOKUP($A2112,'13. Updated Demand'!A:Z,22,FALSE)),0,VLOOKUP($A2112,'13. Updated Demand'!A:Z,22,FALSE))</f>
        <v>0</v>
      </c>
      <c r="AF2112" s="16">
        <f>IF(ISERROR(VLOOKUP($A2112,'13. Updated Demand'!A:Z,23,FALSE)),0,VLOOKUP($A2112,'13. Updated Demand'!A:Z,23,FALSE))</f>
        <v>0</v>
      </c>
      <c r="AG2112" s="16">
        <f>IF(ISERROR(VLOOKUP($A2112,'13. Updated Demand'!A:Z,24,FALSE)),0,VLOOKUP($A2112,'13. Updated Demand'!A:Z,24,FALSE))</f>
        <v>0</v>
      </c>
      <c r="AH2112" s="16">
        <f>IF(ISERROR(VLOOKUP($A2112,'13. Updated Demand'!A:Z,25,FALSE)),0,VLOOKUP($A2112,'13. Updated Demand'!A:Z,25,FALSE))</f>
        <v>0</v>
      </c>
      <c r="AI2112" s="16">
        <f>IF(ISERROR(VLOOKUP($A2112,'13. Updated Demand'!A:Z,26,FALSE)),0,VLOOKUP($A2112,'13. Updated Demand'!A:Z,26,FALSE))</f>
        <v>0</v>
      </c>
      <c r="AJ2112" s="16">
        <f t="shared" si="397"/>
        <v>0</v>
      </c>
      <c r="AK2112" s="19">
        <v>0</v>
      </c>
      <c r="AL2112" s="16">
        <f t="shared" si="395"/>
        <v>0</v>
      </c>
      <c r="AM2112" s="26">
        <v>0</v>
      </c>
      <c r="AN2112" s="19">
        <v>315.11399999999998</v>
      </c>
      <c r="AO2112" s="19" t="s">
        <v>1758</v>
      </c>
      <c r="AP2112" s="19">
        <v>0</v>
      </c>
      <c r="AQ2112" s="19" t="s">
        <v>307</v>
      </c>
      <c r="AR2112" s="9" t="s">
        <v>823</v>
      </c>
      <c r="AS2112" s="12">
        <v>0</v>
      </c>
      <c r="AT2112" s="19">
        <v>38.794899999999998</v>
      </c>
      <c r="AU2112" s="19">
        <v>-122.7572</v>
      </c>
      <c r="AV2112" s="19" t="s">
        <v>1788</v>
      </c>
    </row>
    <row r="2113" spans="1:48" x14ac:dyDescent="0.25">
      <c r="A2113" s="18" t="s">
        <v>2548</v>
      </c>
      <c r="B2113" s="10">
        <v>10000000</v>
      </c>
      <c r="C2113" s="9">
        <v>7</v>
      </c>
      <c r="D2113" s="8" t="str">
        <f t="shared" si="386"/>
        <v>N</v>
      </c>
      <c r="E2113" s="8" t="str">
        <f t="shared" si="387"/>
        <v>Y</v>
      </c>
      <c r="F2113" s="8" t="str">
        <f t="shared" si="388"/>
        <v>Y</v>
      </c>
      <c r="G2113" s="8" t="str">
        <f t="shared" si="389"/>
        <v>Y</v>
      </c>
      <c r="H2113" s="8" t="str">
        <f t="shared" si="390"/>
        <v>Upper</v>
      </c>
      <c r="I2113" s="8" t="str">
        <f t="shared" si="391"/>
        <v>West Fork and Below Lake</v>
      </c>
      <c r="J2113" s="8" t="str">
        <f t="shared" si="392"/>
        <v>Sonoma (d/s of Clov. Gage)</v>
      </c>
      <c r="K2113" s="8" t="str">
        <f t="shared" si="393"/>
        <v>Riparian</v>
      </c>
      <c r="L2113" s="8">
        <f t="shared" si="394"/>
        <v>1000</v>
      </c>
      <c r="M2113" s="8" t="str">
        <f t="shared" si="396"/>
        <v>-</v>
      </c>
      <c r="N2113" s="10" t="s">
        <v>242</v>
      </c>
      <c r="O2113" s="10" t="s">
        <v>241</v>
      </c>
      <c r="P2113" s="10" t="s">
        <v>242</v>
      </c>
      <c r="Q2113" s="10" t="s">
        <v>242</v>
      </c>
      <c r="R2113" s="10" t="s">
        <v>242</v>
      </c>
      <c r="S2113" s="10" t="s">
        <v>241</v>
      </c>
      <c r="T2113" s="10" t="s">
        <v>242</v>
      </c>
      <c r="U2113" s="10" t="s">
        <v>242</v>
      </c>
      <c r="V2113" s="10" t="s">
        <v>241</v>
      </c>
      <c r="W2113" s="10" t="s">
        <v>242</v>
      </c>
      <c r="X2113" s="15">
        <f>IF(ISERROR(VLOOKUP($A2113,'13. Updated Demand'!A:Z,15,FALSE)),0,VLOOKUP($A2113,'13. Updated Demand'!A:Z,15,FALSE))</f>
        <v>0</v>
      </c>
      <c r="Y2113" s="16">
        <f>IF(ISERROR(VLOOKUP($A2113,'13. Updated Demand'!A:Z,16,FALSE)),0,VLOOKUP($A2113,'13. Updated Demand'!A:Z,16,FALSE))</f>
        <v>7.77</v>
      </c>
      <c r="Z2113" s="16">
        <f>IF(ISERROR(VLOOKUP($A2113,'13. Updated Demand'!A:Z,17,FALSE)),0,VLOOKUP($A2113,'13. Updated Demand'!A:Z,17,FALSE))</f>
        <v>9.34</v>
      </c>
      <c r="AA2113" s="16">
        <f>IF(ISERROR(VLOOKUP($A2113,'13. Updated Demand'!A:Z,18,FALSE)),0,VLOOKUP($A2113,'13. Updated Demand'!A:Z,18,FALSE))</f>
        <v>0</v>
      </c>
      <c r="AB2113" s="16">
        <f>IF(ISERROR(VLOOKUP($A2113,'13. Updated Demand'!A:Z,19,FALSE)),0,VLOOKUP($A2113,'13. Updated Demand'!A:Z,19,FALSE))</f>
        <v>0</v>
      </c>
      <c r="AC2113" s="16">
        <f>IF(ISERROR(VLOOKUP($A2113,'13. Updated Demand'!A:Z,20,FALSE)),0,VLOOKUP($A2113,'13. Updated Demand'!A:Z,20,FALSE))</f>
        <v>0</v>
      </c>
      <c r="AD2113" s="16">
        <f>IF(ISERROR(VLOOKUP($A2113,'13. Updated Demand'!A:Z,21,FALSE)),0,VLOOKUP($A2113,'13. Updated Demand'!A:Z,21,FALSE))</f>
        <v>0</v>
      </c>
      <c r="AE2113" s="16">
        <f>IF(ISERROR(VLOOKUP($A2113,'13. Updated Demand'!A:Z,22,FALSE)),0,VLOOKUP($A2113,'13. Updated Demand'!A:Z,22,FALSE))</f>
        <v>0</v>
      </c>
      <c r="AF2113" s="16">
        <f>IF(ISERROR(VLOOKUP($A2113,'13. Updated Demand'!A:Z,23,FALSE)),0,VLOOKUP($A2113,'13. Updated Demand'!A:Z,23,FALSE))</f>
        <v>0</v>
      </c>
      <c r="AG2113" s="16">
        <f>IF(ISERROR(VLOOKUP($A2113,'13. Updated Demand'!A:Z,24,FALSE)),0,VLOOKUP($A2113,'13. Updated Demand'!A:Z,24,FALSE))</f>
        <v>0</v>
      </c>
      <c r="AH2113" s="16">
        <f>IF(ISERROR(VLOOKUP($A2113,'13. Updated Demand'!A:Z,25,FALSE)),0,VLOOKUP($A2113,'13. Updated Demand'!A:Z,25,FALSE))</f>
        <v>0</v>
      </c>
      <c r="AI2113" s="16">
        <f>IF(ISERROR(VLOOKUP($A2113,'13. Updated Demand'!A:Z,26,FALSE)),0,VLOOKUP($A2113,'13. Updated Demand'!A:Z,26,FALSE))</f>
        <v>0</v>
      </c>
      <c r="AJ2113" s="16">
        <f t="shared" si="397"/>
        <v>17.11</v>
      </c>
      <c r="AK2113" s="19">
        <v>0</v>
      </c>
      <c r="AL2113" s="16">
        <f t="shared" si="395"/>
        <v>0</v>
      </c>
      <c r="AM2113" s="26">
        <v>4.2969730435219108E-2</v>
      </c>
      <c r="AN2113" s="19">
        <v>398.42</v>
      </c>
      <c r="AO2113" s="19" t="s">
        <v>1758</v>
      </c>
      <c r="AP2113" s="19">
        <v>0</v>
      </c>
      <c r="AQ2113" s="19" t="s">
        <v>307</v>
      </c>
      <c r="AR2113" s="9" t="s">
        <v>823</v>
      </c>
      <c r="AS2113" s="12">
        <v>0</v>
      </c>
      <c r="AT2113" s="19">
        <v>38.784799999999997</v>
      </c>
      <c r="AU2113" s="19">
        <v>-122.7835</v>
      </c>
      <c r="AV2113" s="19" t="s">
        <v>1788</v>
      </c>
    </row>
    <row r="2114" spans="1:48" x14ac:dyDescent="0.25">
      <c r="A2114" s="18" t="s">
        <v>2549</v>
      </c>
      <c r="B2114" s="10">
        <v>10000000</v>
      </c>
      <c r="C2114" s="9">
        <v>7</v>
      </c>
      <c r="D2114" s="8" t="str">
        <f t="shared" ref="D2114:D2177" si="398">IF(OR(C2114=4,C2114=5,C2114=6),"Y","N")</f>
        <v>N</v>
      </c>
      <c r="E2114" s="8" t="str">
        <f t="shared" ref="E2114:E2177" si="399">IF(AND(C2114&gt;6,C2114&lt;14),"Y","N")</f>
        <v>Y</v>
      </c>
      <c r="F2114" s="8" t="str">
        <f t="shared" ref="F2114:F2177" si="400">IF(C2114&lt;14,"Y","N")</f>
        <v>Y</v>
      </c>
      <c r="G2114" s="8" t="str">
        <f t="shared" ref="G2114:G2177" si="401">IF(OR(C2114=1,AND(C2114&gt;3,C2114&lt;14)),"Y","N")</f>
        <v>Y</v>
      </c>
      <c r="H2114" s="8" t="str">
        <f t="shared" ref="H2114:H2177" si="402">IF(C2114&lt;14,"Upper","Lower")</f>
        <v>Upper</v>
      </c>
      <c r="I2114" s="8" t="str">
        <f t="shared" ref="I2114:I2177" si="403">IF(G2114="Y","West Fork and Below Lake","Outside")</f>
        <v>West Fork and Below Lake</v>
      </c>
      <c r="J2114" s="8" t="str">
        <f t="shared" ref="J2114:J2177" si="404">IF(D2114="Y", "Mendocino (d/s of lake)", IF(E2114="Y", "Sonoma (d/s of Clov. Gage)","Outside"))</f>
        <v>Sonoma (d/s of Clov. Gage)</v>
      </c>
      <c r="K2114" s="8" t="str">
        <f t="shared" ref="K2114:K2177" si="405">IF(P2114="Y","pre-1914",IF(Q2114="Y","Pre-1949",IF(R2114="Y","Post-1949",IF(S2114="Y","Riparian","Unknown"))))</f>
        <v>Riparian</v>
      </c>
      <c r="L2114" s="8">
        <f t="shared" ref="L2114:L2177" si="406">_xlfn.NUMBERVALUE(LEFT(B2114,4))</f>
        <v>1000</v>
      </c>
      <c r="M2114" s="8" t="str">
        <f t="shared" si="396"/>
        <v>-</v>
      </c>
      <c r="N2114" s="10" t="s">
        <v>242</v>
      </c>
      <c r="O2114" s="10" t="s">
        <v>241</v>
      </c>
      <c r="P2114" s="10" t="s">
        <v>242</v>
      </c>
      <c r="Q2114" s="10" t="s">
        <v>242</v>
      </c>
      <c r="R2114" s="10" t="s">
        <v>242</v>
      </c>
      <c r="S2114" s="10" t="s">
        <v>241</v>
      </c>
      <c r="T2114" s="10" t="s">
        <v>242</v>
      </c>
      <c r="U2114" s="10" t="s">
        <v>241</v>
      </c>
      <c r="V2114" s="10" t="s">
        <v>241</v>
      </c>
      <c r="W2114" s="10" t="s">
        <v>242</v>
      </c>
      <c r="X2114" s="15">
        <f>IF(ISERROR(VLOOKUP($A2114,'13. Updated Demand'!A:Z,15,FALSE)),0,VLOOKUP($A2114,'13. Updated Demand'!A:Z,15,FALSE))</f>
        <v>0</v>
      </c>
      <c r="Y2114" s="16">
        <f>IF(ISERROR(VLOOKUP($A2114,'13. Updated Demand'!A:Z,16,FALSE)),0,VLOOKUP($A2114,'13. Updated Demand'!A:Z,16,FALSE))</f>
        <v>0</v>
      </c>
      <c r="Z2114" s="16">
        <f>IF(ISERROR(VLOOKUP($A2114,'13. Updated Demand'!A:Z,17,FALSE)),0,VLOOKUP($A2114,'13. Updated Demand'!A:Z,17,FALSE))</f>
        <v>0</v>
      </c>
      <c r="AA2114" s="16">
        <f>IF(ISERROR(VLOOKUP($A2114,'13. Updated Demand'!A:Z,18,FALSE)),0,VLOOKUP($A2114,'13. Updated Demand'!A:Z,18,FALSE))</f>
        <v>0</v>
      </c>
      <c r="AB2114" s="16">
        <f>IF(ISERROR(VLOOKUP($A2114,'13. Updated Demand'!A:Z,19,FALSE)),0,VLOOKUP($A2114,'13. Updated Demand'!A:Z,19,FALSE))</f>
        <v>0</v>
      </c>
      <c r="AC2114" s="16">
        <f>IF(ISERROR(VLOOKUP($A2114,'13. Updated Demand'!A:Z,20,FALSE)),0,VLOOKUP($A2114,'13. Updated Demand'!A:Z,20,FALSE))</f>
        <v>0</v>
      </c>
      <c r="AD2114" s="16">
        <f>IF(ISERROR(VLOOKUP($A2114,'13. Updated Demand'!A:Z,21,FALSE)),0,VLOOKUP($A2114,'13. Updated Demand'!A:Z,21,FALSE))</f>
        <v>0</v>
      </c>
      <c r="AE2114" s="16">
        <f>IF(ISERROR(VLOOKUP($A2114,'13. Updated Demand'!A:Z,22,FALSE)),0,VLOOKUP($A2114,'13. Updated Demand'!A:Z,22,FALSE))</f>
        <v>0</v>
      </c>
      <c r="AF2114" s="16">
        <f>IF(ISERROR(VLOOKUP($A2114,'13. Updated Demand'!A:Z,23,FALSE)),0,VLOOKUP($A2114,'13. Updated Demand'!A:Z,23,FALSE))</f>
        <v>0</v>
      </c>
      <c r="AG2114" s="16">
        <f>IF(ISERROR(VLOOKUP($A2114,'13. Updated Demand'!A:Z,24,FALSE)),0,VLOOKUP($A2114,'13. Updated Demand'!A:Z,24,FALSE))</f>
        <v>0</v>
      </c>
      <c r="AH2114" s="16">
        <f>IF(ISERROR(VLOOKUP($A2114,'13. Updated Demand'!A:Z,25,FALSE)),0,VLOOKUP($A2114,'13. Updated Demand'!A:Z,25,FALSE))</f>
        <v>0</v>
      </c>
      <c r="AI2114" s="16">
        <f>IF(ISERROR(VLOOKUP($A2114,'13. Updated Demand'!A:Z,26,FALSE)),0,VLOOKUP($A2114,'13. Updated Demand'!A:Z,26,FALSE))</f>
        <v>0</v>
      </c>
      <c r="AJ2114" s="16">
        <f t="shared" si="397"/>
        <v>0</v>
      </c>
      <c r="AK2114" s="19">
        <v>0</v>
      </c>
      <c r="AL2114" s="16">
        <f t="shared" ref="AL2114:AL2177" si="407">AK2114/152/1.983471</f>
        <v>0</v>
      </c>
      <c r="AM2114" s="26">
        <v>0</v>
      </c>
      <c r="AN2114" s="19">
        <v>724.4</v>
      </c>
      <c r="AO2114" s="19" t="s">
        <v>1758</v>
      </c>
      <c r="AP2114" s="19">
        <v>0</v>
      </c>
      <c r="AQ2114" s="19" t="s">
        <v>307</v>
      </c>
      <c r="AR2114" s="9" t="s">
        <v>823</v>
      </c>
      <c r="AS2114" s="12">
        <v>0</v>
      </c>
      <c r="AT2114" s="19">
        <v>38.784100000000002</v>
      </c>
      <c r="AU2114" s="19">
        <v>-122.7683</v>
      </c>
      <c r="AV2114" s="19" t="s">
        <v>1788</v>
      </c>
    </row>
    <row r="2115" spans="1:48" x14ac:dyDescent="0.25">
      <c r="A2115" s="18" t="s">
        <v>2550</v>
      </c>
      <c r="B2115" s="10">
        <v>10000000</v>
      </c>
      <c r="C2115" s="9">
        <v>8</v>
      </c>
      <c r="D2115" s="8" t="str">
        <f t="shared" si="398"/>
        <v>N</v>
      </c>
      <c r="E2115" s="8" t="str">
        <f t="shared" si="399"/>
        <v>Y</v>
      </c>
      <c r="F2115" s="8" t="str">
        <f t="shared" si="400"/>
        <v>Y</v>
      </c>
      <c r="G2115" s="8" t="str">
        <f t="shared" si="401"/>
        <v>Y</v>
      </c>
      <c r="H2115" s="8" t="str">
        <f t="shared" si="402"/>
        <v>Upper</v>
      </c>
      <c r="I2115" s="8" t="str">
        <f t="shared" si="403"/>
        <v>West Fork and Below Lake</v>
      </c>
      <c r="J2115" s="8" t="str">
        <f t="shared" si="404"/>
        <v>Sonoma (d/s of Clov. Gage)</v>
      </c>
      <c r="K2115" s="8" t="str">
        <f t="shared" si="405"/>
        <v>Riparian</v>
      </c>
      <c r="L2115" s="8">
        <f t="shared" si="406"/>
        <v>1000</v>
      </c>
      <c r="M2115" s="8" t="str">
        <f t="shared" ref="M2115:M2178" si="408">IF(L2115=1949,"1949",IF(AND(L2115&gt;1949,L2115&lt;1953),"1950-1952",IF(AND(L2115&gt;1952,L2115&lt;1955),"1953-1954",IF(AND(L2115&gt;1954,L2115&lt;1957),"1955-1956",IF(AND(L2115&gt;1956,L2115&lt;1960),"1957-1959",IF(AND(L2115&gt;1959,L2115&lt;1971),"1960-1970",IF(AND(L2115&gt;1970,L2115&lt;1991),"1971-1990",IF(L2115&gt;1990,"1991-present","-"))))))))</f>
        <v>-</v>
      </c>
      <c r="N2115" s="10" t="s">
        <v>242</v>
      </c>
      <c r="O2115" s="10" t="s">
        <v>241</v>
      </c>
      <c r="P2115" s="10" t="s">
        <v>242</v>
      </c>
      <c r="Q2115" s="10" t="s">
        <v>242</v>
      </c>
      <c r="R2115" s="10" t="s">
        <v>242</v>
      </c>
      <c r="S2115" s="10" t="s">
        <v>241</v>
      </c>
      <c r="T2115" s="10" t="s">
        <v>242</v>
      </c>
      <c r="U2115" s="10" t="s">
        <v>241</v>
      </c>
      <c r="V2115" s="10" t="s">
        <v>241</v>
      </c>
      <c r="W2115" s="10" t="s">
        <v>242</v>
      </c>
      <c r="X2115" s="15">
        <f>IF(ISERROR(VLOOKUP($A2115,'13. Updated Demand'!A:Z,15,FALSE)),0,VLOOKUP($A2115,'13. Updated Demand'!A:Z,15,FALSE))</f>
        <v>0</v>
      </c>
      <c r="Y2115" s="16">
        <f>IF(ISERROR(VLOOKUP($A2115,'13. Updated Demand'!A:Z,16,FALSE)),0,VLOOKUP($A2115,'13. Updated Demand'!A:Z,16,FALSE))</f>
        <v>0</v>
      </c>
      <c r="Z2115" s="16">
        <f>IF(ISERROR(VLOOKUP($A2115,'13. Updated Demand'!A:Z,17,FALSE)),0,VLOOKUP($A2115,'13. Updated Demand'!A:Z,17,FALSE))</f>
        <v>0</v>
      </c>
      <c r="AA2115" s="16">
        <f>IF(ISERROR(VLOOKUP($A2115,'13. Updated Demand'!A:Z,18,FALSE)),0,VLOOKUP($A2115,'13. Updated Demand'!A:Z,18,FALSE))</f>
        <v>0</v>
      </c>
      <c r="AB2115" s="16">
        <f>IF(ISERROR(VLOOKUP($A2115,'13. Updated Demand'!A:Z,19,FALSE)),0,VLOOKUP($A2115,'13. Updated Demand'!A:Z,19,FALSE))</f>
        <v>0</v>
      </c>
      <c r="AC2115" s="16">
        <f>IF(ISERROR(VLOOKUP($A2115,'13. Updated Demand'!A:Z,20,FALSE)),0,VLOOKUP($A2115,'13. Updated Demand'!A:Z,20,FALSE))</f>
        <v>0</v>
      </c>
      <c r="AD2115" s="16">
        <f>IF(ISERROR(VLOOKUP($A2115,'13. Updated Demand'!A:Z,21,FALSE)),0,VLOOKUP($A2115,'13. Updated Demand'!A:Z,21,FALSE))</f>
        <v>0</v>
      </c>
      <c r="AE2115" s="16">
        <f>IF(ISERROR(VLOOKUP($A2115,'13. Updated Demand'!A:Z,22,FALSE)),0,VLOOKUP($A2115,'13. Updated Demand'!A:Z,22,FALSE))</f>
        <v>0</v>
      </c>
      <c r="AF2115" s="16">
        <f>IF(ISERROR(VLOOKUP($A2115,'13. Updated Demand'!A:Z,23,FALSE)),0,VLOOKUP($A2115,'13. Updated Demand'!A:Z,23,FALSE))</f>
        <v>0</v>
      </c>
      <c r="AG2115" s="16">
        <f>IF(ISERROR(VLOOKUP($A2115,'13. Updated Demand'!A:Z,24,FALSE)),0,VLOOKUP($A2115,'13. Updated Demand'!A:Z,24,FALSE))</f>
        <v>0</v>
      </c>
      <c r="AH2115" s="16">
        <f>IF(ISERROR(VLOOKUP($A2115,'13. Updated Demand'!A:Z,25,FALSE)),0,VLOOKUP($A2115,'13. Updated Demand'!A:Z,25,FALSE))</f>
        <v>0</v>
      </c>
      <c r="AI2115" s="16">
        <f>IF(ISERROR(VLOOKUP($A2115,'13. Updated Demand'!A:Z,26,FALSE)),0,VLOOKUP($A2115,'13. Updated Demand'!A:Z,26,FALSE))</f>
        <v>0</v>
      </c>
      <c r="AJ2115" s="16">
        <f t="shared" si="397"/>
        <v>0</v>
      </c>
      <c r="AK2115" s="19">
        <v>0</v>
      </c>
      <c r="AL2115" s="16">
        <f t="shared" si="407"/>
        <v>0</v>
      </c>
      <c r="AM2115" s="26">
        <v>0</v>
      </c>
      <c r="AN2115" s="19">
        <v>398.42</v>
      </c>
      <c r="AO2115" s="19" t="s">
        <v>1758</v>
      </c>
      <c r="AP2115" s="19">
        <v>0</v>
      </c>
      <c r="AQ2115" s="19" t="s">
        <v>307</v>
      </c>
      <c r="AR2115" s="9" t="s">
        <v>409</v>
      </c>
      <c r="AS2115" s="12">
        <v>0</v>
      </c>
      <c r="AT2115" s="19">
        <v>38.808999999999997</v>
      </c>
      <c r="AU2115" s="19">
        <v>-122.81019999999999</v>
      </c>
      <c r="AV2115" s="19" t="s">
        <v>1788</v>
      </c>
    </row>
    <row r="2116" spans="1:48" x14ac:dyDescent="0.25">
      <c r="A2116" s="18" t="s">
        <v>2551</v>
      </c>
      <c r="B2116" s="10">
        <v>10000000</v>
      </c>
      <c r="C2116" s="9">
        <v>7</v>
      </c>
      <c r="D2116" s="8" t="str">
        <f t="shared" si="398"/>
        <v>N</v>
      </c>
      <c r="E2116" s="8" t="str">
        <f t="shared" si="399"/>
        <v>Y</v>
      </c>
      <c r="F2116" s="8" t="str">
        <f t="shared" si="400"/>
        <v>Y</v>
      </c>
      <c r="G2116" s="8" t="str">
        <f t="shared" si="401"/>
        <v>Y</v>
      </c>
      <c r="H2116" s="8" t="str">
        <f t="shared" si="402"/>
        <v>Upper</v>
      </c>
      <c r="I2116" s="8" t="str">
        <f t="shared" si="403"/>
        <v>West Fork and Below Lake</v>
      </c>
      <c r="J2116" s="8" t="str">
        <f t="shared" si="404"/>
        <v>Sonoma (d/s of Clov. Gage)</v>
      </c>
      <c r="K2116" s="8" t="str">
        <f t="shared" si="405"/>
        <v>Riparian</v>
      </c>
      <c r="L2116" s="8">
        <f t="shared" si="406"/>
        <v>1000</v>
      </c>
      <c r="M2116" s="8" t="str">
        <f t="shared" si="408"/>
        <v>-</v>
      </c>
      <c r="N2116" s="10" t="s">
        <v>242</v>
      </c>
      <c r="O2116" s="10" t="s">
        <v>241</v>
      </c>
      <c r="P2116" s="10" t="s">
        <v>242</v>
      </c>
      <c r="Q2116" s="10" t="s">
        <v>242</v>
      </c>
      <c r="R2116" s="10" t="s">
        <v>242</v>
      </c>
      <c r="S2116" s="10" t="s">
        <v>241</v>
      </c>
      <c r="T2116" s="10" t="s">
        <v>242</v>
      </c>
      <c r="U2116" s="10" t="s">
        <v>242</v>
      </c>
      <c r="V2116" s="10" t="s">
        <v>241</v>
      </c>
      <c r="W2116" s="10" t="s">
        <v>242</v>
      </c>
      <c r="X2116" s="15">
        <f>IF(ISERROR(VLOOKUP($A2116,'13. Updated Demand'!A:Z,15,FALSE)),0,VLOOKUP($A2116,'13. Updated Demand'!A:Z,15,FALSE))</f>
        <v>1.61</v>
      </c>
      <c r="Y2116" s="16">
        <f>IF(ISERROR(VLOOKUP($A2116,'13. Updated Demand'!A:Z,16,FALSE)),0,VLOOKUP($A2116,'13. Updated Demand'!A:Z,16,FALSE))</f>
        <v>6.23</v>
      </c>
      <c r="Z2116" s="16">
        <f>IF(ISERROR(VLOOKUP($A2116,'13. Updated Demand'!A:Z,17,FALSE)),0,VLOOKUP($A2116,'13. Updated Demand'!A:Z,17,FALSE))</f>
        <v>7.13</v>
      </c>
      <c r="AA2116" s="16">
        <f>IF(ISERROR(VLOOKUP($A2116,'13. Updated Demand'!A:Z,18,FALSE)),0,VLOOKUP($A2116,'13. Updated Demand'!A:Z,18,FALSE))</f>
        <v>0</v>
      </c>
      <c r="AB2116" s="16">
        <f>IF(ISERROR(VLOOKUP($A2116,'13. Updated Demand'!A:Z,19,FALSE)),0,VLOOKUP($A2116,'13. Updated Demand'!A:Z,19,FALSE))</f>
        <v>0</v>
      </c>
      <c r="AC2116" s="16">
        <f>IF(ISERROR(VLOOKUP($A2116,'13. Updated Demand'!A:Z,20,FALSE)),0,VLOOKUP($A2116,'13. Updated Demand'!A:Z,20,FALSE))</f>
        <v>0</v>
      </c>
      <c r="AD2116" s="16">
        <f>IF(ISERROR(VLOOKUP($A2116,'13. Updated Demand'!A:Z,21,FALSE)),0,VLOOKUP($A2116,'13. Updated Demand'!A:Z,21,FALSE))</f>
        <v>0</v>
      </c>
      <c r="AE2116" s="16">
        <f>IF(ISERROR(VLOOKUP($A2116,'13. Updated Demand'!A:Z,22,FALSE)),0,VLOOKUP($A2116,'13. Updated Demand'!A:Z,22,FALSE))</f>
        <v>0</v>
      </c>
      <c r="AF2116" s="16">
        <f>IF(ISERROR(VLOOKUP($A2116,'13. Updated Demand'!A:Z,23,FALSE)),0,VLOOKUP($A2116,'13. Updated Demand'!A:Z,23,FALSE))</f>
        <v>0</v>
      </c>
      <c r="AG2116" s="16">
        <f>IF(ISERROR(VLOOKUP($A2116,'13. Updated Demand'!A:Z,24,FALSE)),0,VLOOKUP($A2116,'13. Updated Demand'!A:Z,24,FALSE))</f>
        <v>0</v>
      </c>
      <c r="AH2116" s="16">
        <f>IF(ISERROR(VLOOKUP($A2116,'13. Updated Demand'!A:Z,25,FALSE)),0,VLOOKUP($A2116,'13. Updated Demand'!A:Z,25,FALSE))</f>
        <v>0</v>
      </c>
      <c r="AI2116" s="16">
        <f>IF(ISERROR(VLOOKUP($A2116,'13. Updated Demand'!A:Z,26,FALSE)),0,VLOOKUP($A2116,'13. Updated Demand'!A:Z,26,FALSE))</f>
        <v>0</v>
      </c>
      <c r="AJ2116" s="16">
        <f t="shared" si="397"/>
        <v>14.97</v>
      </c>
      <c r="AK2116" s="19">
        <v>0</v>
      </c>
      <c r="AL2116" s="16">
        <f t="shared" si="407"/>
        <v>0</v>
      </c>
      <c r="AM2116" s="26">
        <v>2.2976869745076383E-2</v>
      </c>
      <c r="AN2116" s="19">
        <v>651.96</v>
      </c>
      <c r="AO2116" s="19" t="s">
        <v>1758</v>
      </c>
      <c r="AP2116" s="19">
        <v>0</v>
      </c>
      <c r="AQ2116" s="19" t="s">
        <v>307</v>
      </c>
      <c r="AR2116" s="9" t="s">
        <v>823</v>
      </c>
      <c r="AS2116" s="12">
        <v>0</v>
      </c>
      <c r="AT2116" s="19">
        <v>38.807099999999998</v>
      </c>
      <c r="AU2116" s="19">
        <v>-122.7847</v>
      </c>
      <c r="AV2116" s="19" t="s">
        <v>2552</v>
      </c>
    </row>
    <row r="2117" spans="1:48" x14ac:dyDescent="0.25">
      <c r="A2117" s="18" t="s">
        <v>2553</v>
      </c>
      <c r="B2117" s="10">
        <v>10000000</v>
      </c>
      <c r="C2117" s="9">
        <v>8</v>
      </c>
      <c r="D2117" s="8" t="str">
        <f t="shared" si="398"/>
        <v>N</v>
      </c>
      <c r="E2117" s="8" t="str">
        <f t="shared" si="399"/>
        <v>Y</v>
      </c>
      <c r="F2117" s="8" t="str">
        <f t="shared" si="400"/>
        <v>Y</v>
      </c>
      <c r="G2117" s="8" t="str">
        <f t="shared" si="401"/>
        <v>Y</v>
      </c>
      <c r="H2117" s="8" t="str">
        <f t="shared" si="402"/>
        <v>Upper</v>
      </c>
      <c r="I2117" s="8" t="str">
        <f t="shared" si="403"/>
        <v>West Fork and Below Lake</v>
      </c>
      <c r="J2117" s="8" t="str">
        <f t="shared" si="404"/>
        <v>Sonoma (d/s of Clov. Gage)</v>
      </c>
      <c r="K2117" s="8" t="str">
        <f t="shared" si="405"/>
        <v>Riparian</v>
      </c>
      <c r="L2117" s="8">
        <f t="shared" si="406"/>
        <v>1000</v>
      </c>
      <c r="M2117" s="8" t="str">
        <f t="shared" si="408"/>
        <v>-</v>
      </c>
      <c r="N2117" s="10" t="s">
        <v>242</v>
      </c>
      <c r="O2117" s="10" t="s">
        <v>241</v>
      </c>
      <c r="P2117" s="10" t="s">
        <v>242</v>
      </c>
      <c r="Q2117" s="10" t="s">
        <v>242</v>
      </c>
      <c r="R2117" s="10" t="s">
        <v>242</v>
      </c>
      <c r="S2117" s="10" t="s">
        <v>241</v>
      </c>
      <c r="T2117" s="10" t="s">
        <v>242</v>
      </c>
      <c r="U2117" s="10" t="s">
        <v>241</v>
      </c>
      <c r="V2117" s="10" t="s">
        <v>241</v>
      </c>
      <c r="W2117" s="10" t="s">
        <v>242</v>
      </c>
      <c r="X2117" s="15">
        <f>IF(ISERROR(VLOOKUP($A2117,'13. Updated Demand'!A:Z,15,FALSE)),0,VLOOKUP($A2117,'13. Updated Demand'!A:Z,15,FALSE))</f>
        <v>0</v>
      </c>
      <c r="Y2117" s="16">
        <f>IF(ISERROR(VLOOKUP($A2117,'13. Updated Demand'!A:Z,16,FALSE)),0,VLOOKUP($A2117,'13. Updated Demand'!A:Z,16,FALSE))</f>
        <v>0</v>
      </c>
      <c r="Z2117" s="16">
        <f>IF(ISERROR(VLOOKUP($A2117,'13. Updated Demand'!A:Z,17,FALSE)),0,VLOOKUP($A2117,'13. Updated Demand'!A:Z,17,FALSE))</f>
        <v>0</v>
      </c>
      <c r="AA2117" s="16">
        <f>IF(ISERROR(VLOOKUP($A2117,'13. Updated Demand'!A:Z,18,FALSE)),0,VLOOKUP($A2117,'13. Updated Demand'!A:Z,18,FALSE))</f>
        <v>0</v>
      </c>
      <c r="AB2117" s="16">
        <f>IF(ISERROR(VLOOKUP($A2117,'13. Updated Demand'!A:Z,19,FALSE)),0,VLOOKUP($A2117,'13. Updated Demand'!A:Z,19,FALSE))</f>
        <v>0</v>
      </c>
      <c r="AC2117" s="16">
        <f>IF(ISERROR(VLOOKUP($A2117,'13. Updated Demand'!A:Z,20,FALSE)),0,VLOOKUP($A2117,'13. Updated Demand'!A:Z,20,FALSE))</f>
        <v>0</v>
      </c>
      <c r="AD2117" s="16">
        <f>IF(ISERROR(VLOOKUP($A2117,'13. Updated Demand'!A:Z,21,FALSE)),0,VLOOKUP($A2117,'13. Updated Demand'!A:Z,21,FALSE))</f>
        <v>0</v>
      </c>
      <c r="AE2117" s="16">
        <f>IF(ISERROR(VLOOKUP($A2117,'13. Updated Demand'!A:Z,22,FALSE)),0,VLOOKUP($A2117,'13. Updated Demand'!A:Z,22,FALSE))</f>
        <v>0</v>
      </c>
      <c r="AF2117" s="16">
        <f>IF(ISERROR(VLOOKUP($A2117,'13. Updated Demand'!A:Z,23,FALSE)),0,VLOOKUP($A2117,'13. Updated Demand'!A:Z,23,FALSE))</f>
        <v>0</v>
      </c>
      <c r="AG2117" s="16">
        <f>IF(ISERROR(VLOOKUP($A2117,'13. Updated Demand'!A:Z,24,FALSE)),0,VLOOKUP($A2117,'13. Updated Demand'!A:Z,24,FALSE))</f>
        <v>0</v>
      </c>
      <c r="AH2117" s="16">
        <f>IF(ISERROR(VLOOKUP($A2117,'13. Updated Demand'!A:Z,25,FALSE)),0,VLOOKUP($A2117,'13. Updated Demand'!A:Z,25,FALSE))</f>
        <v>0</v>
      </c>
      <c r="AI2117" s="16">
        <f>IF(ISERROR(VLOOKUP($A2117,'13. Updated Demand'!A:Z,26,FALSE)),0,VLOOKUP($A2117,'13. Updated Demand'!A:Z,26,FALSE))</f>
        <v>0</v>
      </c>
      <c r="AJ2117" s="16">
        <f t="shared" si="397"/>
        <v>0</v>
      </c>
      <c r="AK2117" s="19">
        <v>0</v>
      </c>
      <c r="AL2117" s="16">
        <f t="shared" si="407"/>
        <v>0</v>
      </c>
      <c r="AM2117" s="26">
        <v>0</v>
      </c>
      <c r="AN2117" s="19">
        <v>242.67400000000001</v>
      </c>
      <c r="AO2117" s="19" t="s">
        <v>1758</v>
      </c>
      <c r="AP2117" s="19">
        <v>0</v>
      </c>
      <c r="AQ2117" s="19" t="s">
        <v>307</v>
      </c>
      <c r="AR2117" s="9" t="s">
        <v>409</v>
      </c>
      <c r="AS2117" s="12">
        <v>0</v>
      </c>
      <c r="AT2117" s="19">
        <v>38.8232</v>
      </c>
      <c r="AU2117" s="19">
        <v>-122.8015</v>
      </c>
      <c r="AV2117" s="19" t="s">
        <v>2554</v>
      </c>
    </row>
    <row r="2118" spans="1:48" x14ac:dyDescent="0.25">
      <c r="A2118" s="18" t="s">
        <v>2555</v>
      </c>
      <c r="B2118" s="10">
        <v>10000000</v>
      </c>
      <c r="C2118" s="9">
        <v>8</v>
      </c>
      <c r="D2118" s="8" t="str">
        <f t="shared" si="398"/>
        <v>N</v>
      </c>
      <c r="E2118" s="8" t="str">
        <f t="shared" si="399"/>
        <v>Y</v>
      </c>
      <c r="F2118" s="8" t="str">
        <f t="shared" si="400"/>
        <v>Y</v>
      </c>
      <c r="G2118" s="8" t="str">
        <f t="shared" si="401"/>
        <v>Y</v>
      </c>
      <c r="H2118" s="8" t="str">
        <f t="shared" si="402"/>
        <v>Upper</v>
      </c>
      <c r="I2118" s="8" t="str">
        <f t="shared" si="403"/>
        <v>West Fork and Below Lake</v>
      </c>
      <c r="J2118" s="8" t="str">
        <f t="shared" si="404"/>
        <v>Sonoma (d/s of Clov. Gage)</v>
      </c>
      <c r="K2118" s="8" t="str">
        <f t="shared" si="405"/>
        <v>Riparian</v>
      </c>
      <c r="L2118" s="8">
        <f t="shared" si="406"/>
        <v>1000</v>
      </c>
      <c r="M2118" s="8" t="str">
        <f t="shared" si="408"/>
        <v>-</v>
      </c>
      <c r="N2118" s="10" t="s">
        <v>242</v>
      </c>
      <c r="O2118" s="10" t="s">
        <v>241</v>
      </c>
      <c r="P2118" s="10" t="s">
        <v>242</v>
      </c>
      <c r="Q2118" s="10" t="s">
        <v>242</v>
      </c>
      <c r="R2118" s="10" t="s">
        <v>242</v>
      </c>
      <c r="S2118" s="10" t="s">
        <v>241</v>
      </c>
      <c r="T2118" s="10" t="s">
        <v>242</v>
      </c>
      <c r="U2118" s="10" t="s">
        <v>241</v>
      </c>
      <c r="V2118" s="10" t="s">
        <v>241</v>
      </c>
      <c r="W2118" s="10" t="s">
        <v>242</v>
      </c>
      <c r="X2118" s="15">
        <f>IF(ISERROR(VLOOKUP($A2118,'13. Updated Demand'!A:Z,15,FALSE)),0,VLOOKUP($A2118,'13. Updated Demand'!A:Z,15,FALSE))</f>
        <v>0</v>
      </c>
      <c r="Y2118" s="16">
        <f>IF(ISERROR(VLOOKUP($A2118,'13. Updated Demand'!A:Z,16,FALSE)),0,VLOOKUP($A2118,'13. Updated Demand'!A:Z,16,FALSE))</f>
        <v>0</v>
      </c>
      <c r="Z2118" s="16">
        <f>IF(ISERROR(VLOOKUP($A2118,'13. Updated Demand'!A:Z,17,FALSE)),0,VLOOKUP($A2118,'13. Updated Demand'!A:Z,17,FALSE))</f>
        <v>0</v>
      </c>
      <c r="AA2118" s="16">
        <f>IF(ISERROR(VLOOKUP($A2118,'13. Updated Demand'!A:Z,18,FALSE)),0,VLOOKUP($A2118,'13. Updated Demand'!A:Z,18,FALSE))</f>
        <v>0</v>
      </c>
      <c r="AB2118" s="16">
        <f>IF(ISERROR(VLOOKUP($A2118,'13. Updated Demand'!A:Z,19,FALSE)),0,VLOOKUP($A2118,'13. Updated Demand'!A:Z,19,FALSE))</f>
        <v>0</v>
      </c>
      <c r="AC2118" s="16">
        <f>IF(ISERROR(VLOOKUP($A2118,'13. Updated Demand'!A:Z,20,FALSE)),0,VLOOKUP($A2118,'13. Updated Demand'!A:Z,20,FALSE))</f>
        <v>0</v>
      </c>
      <c r="AD2118" s="16">
        <f>IF(ISERROR(VLOOKUP($A2118,'13. Updated Demand'!A:Z,21,FALSE)),0,VLOOKUP($A2118,'13. Updated Demand'!A:Z,21,FALSE))</f>
        <v>0</v>
      </c>
      <c r="AE2118" s="16">
        <f>IF(ISERROR(VLOOKUP($A2118,'13. Updated Demand'!A:Z,22,FALSE)),0,VLOOKUP($A2118,'13. Updated Demand'!A:Z,22,FALSE))</f>
        <v>0</v>
      </c>
      <c r="AF2118" s="16">
        <f>IF(ISERROR(VLOOKUP($A2118,'13. Updated Demand'!A:Z,23,FALSE)),0,VLOOKUP($A2118,'13. Updated Demand'!A:Z,23,FALSE))</f>
        <v>0</v>
      </c>
      <c r="AG2118" s="16">
        <f>IF(ISERROR(VLOOKUP($A2118,'13. Updated Demand'!A:Z,24,FALSE)),0,VLOOKUP($A2118,'13. Updated Demand'!A:Z,24,FALSE))</f>
        <v>0</v>
      </c>
      <c r="AH2118" s="16">
        <f>IF(ISERROR(VLOOKUP($A2118,'13. Updated Demand'!A:Z,25,FALSE)),0,VLOOKUP($A2118,'13. Updated Demand'!A:Z,25,FALSE))</f>
        <v>0</v>
      </c>
      <c r="AI2118" s="16">
        <f>IF(ISERROR(VLOOKUP($A2118,'13. Updated Demand'!A:Z,26,FALSE)),0,VLOOKUP($A2118,'13. Updated Demand'!A:Z,26,FALSE))</f>
        <v>0</v>
      </c>
      <c r="AJ2118" s="16">
        <f t="shared" si="397"/>
        <v>0</v>
      </c>
      <c r="AK2118" s="19">
        <v>0</v>
      </c>
      <c r="AL2118" s="16">
        <f t="shared" si="407"/>
        <v>0</v>
      </c>
      <c r="AM2118" s="26">
        <v>0</v>
      </c>
      <c r="AN2118" s="19">
        <v>119.526</v>
      </c>
      <c r="AO2118" s="19" t="s">
        <v>1758</v>
      </c>
      <c r="AP2118" s="19">
        <v>0</v>
      </c>
      <c r="AQ2118" s="19" t="s">
        <v>307</v>
      </c>
      <c r="AR2118" s="9" t="s">
        <v>409</v>
      </c>
      <c r="AS2118" s="12">
        <v>0</v>
      </c>
      <c r="AT2118" s="19">
        <v>38.804499999999997</v>
      </c>
      <c r="AU2118" s="19">
        <v>-122.807</v>
      </c>
      <c r="AV2118" s="19" t="s">
        <v>1788</v>
      </c>
    </row>
    <row r="2119" spans="1:48" x14ac:dyDescent="0.25">
      <c r="A2119" s="18" t="s">
        <v>2556</v>
      </c>
      <c r="B2119" s="10">
        <v>10000000</v>
      </c>
      <c r="C2119" s="9">
        <v>8</v>
      </c>
      <c r="D2119" s="8" t="str">
        <f t="shared" si="398"/>
        <v>N</v>
      </c>
      <c r="E2119" s="8" t="str">
        <f t="shared" si="399"/>
        <v>Y</v>
      </c>
      <c r="F2119" s="8" t="str">
        <f t="shared" si="400"/>
        <v>Y</v>
      </c>
      <c r="G2119" s="8" t="str">
        <f t="shared" si="401"/>
        <v>Y</v>
      </c>
      <c r="H2119" s="8" t="str">
        <f t="shared" si="402"/>
        <v>Upper</v>
      </c>
      <c r="I2119" s="8" t="str">
        <f t="shared" si="403"/>
        <v>West Fork and Below Lake</v>
      </c>
      <c r="J2119" s="8" t="str">
        <f t="shared" si="404"/>
        <v>Sonoma (d/s of Clov. Gage)</v>
      </c>
      <c r="K2119" s="8" t="str">
        <f t="shared" si="405"/>
        <v>Riparian</v>
      </c>
      <c r="L2119" s="8">
        <f t="shared" si="406"/>
        <v>1000</v>
      </c>
      <c r="M2119" s="8" t="str">
        <f t="shared" si="408"/>
        <v>-</v>
      </c>
      <c r="N2119" s="10" t="s">
        <v>242</v>
      </c>
      <c r="O2119" s="10" t="s">
        <v>241</v>
      </c>
      <c r="P2119" s="10" t="s">
        <v>242</v>
      </c>
      <c r="Q2119" s="10" t="s">
        <v>242</v>
      </c>
      <c r="R2119" s="10" t="s">
        <v>242</v>
      </c>
      <c r="S2119" s="10" t="s">
        <v>241</v>
      </c>
      <c r="T2119" s="10" t="s">
        <v>242</v>
      </c>
      <c r="U2119" s="10" t="s">
        <v>241</v>
      </c>
      <c r="V2119" s="10" t="s">
        <v>241</v>
      </c>
      <c r="W2119" s="10" t="s">
        <v>242</v>
      </c>
      <c r="X2119" s="15">
        <f>IF(ISERROR(VLOOKUP($A2119,'13. Updated Demand'!A:Z,15,FALSE)),0,VLOOKUP($A2119,'13. Updated Demand'!A:Z,15,FALSE))</f>
        <v>0</v>
      </c>
      <c r="Y2119" s="16">
        <f>IF(ISERROR(VLOOKUP($A2119,'13. Updated Demand'!A:Z,16,FALSE)),0,VLOOKUP($A2119,'13. Updated Demand'!A:Z,16,FALSE))</f>
        <v>0</v>
      </c>
      <c r="Z2119" s="16">
        <f>IF(ISERROR(VLOOKUP($A2119,'13. Updated Demand'!A:Z,17,FALSE)),0,VLOOKUP($A2119,'13. Updated Demand'!A:Z,17,FALSE))</f>
        <v>0</v>
      </c>
      <c r="AA2119" s="16">
        <f>IF(ISERROR(VLOOKUP($A2119,'13. Updated Demand'!A:Z,18,FALSE)),0,VLOOKUP($A2119,'13. Updated Demand'!A:Z,18,FALSE))</f>
        <v>0</v>
      </c>
      <c r="AB2119" s="16">
        <f>IF(ISERROR(VLOOKUP($A2119,'13. Updated Demand'!A:Z,19,FALSE)),0,VLOOKUP($A2119,'13. Updated Demand'!A:Z,19,FALSE))</f>
        <v>0</v>
      </c>
      <c r="AC2119" s="16">
        <f>IF(ISERROR(VLOOKUP($A2119,'13. Updated Demand'!A:Z,20,FALSE)),0,VLOOKUP($A2119,'13. Updated Demand'!A:Z,20,FALSE))</f>
        <v>0</v>
      </c>
      <c r="AD2119" s="16">
        <f>IF(ISERROR(VLOOKUP($A2119,'13. Updated Demand'!A:Z,21,FALSE)),0,VLOOKUP($A2119,'13. Updated Demand'!A:Z,21,FALSE))</f>
        <v>0</v>
      </c>
      <c r="AE2119" s="16">
        <f>IF(ISERROR(VLOOKUP($A2119,'13. Updated Demand'!A:Z,22,FALSE)),0,VLOOKUP($A2119,'13. Updated Demand'!A:Z,22,FALSE))</f>
        <v>0</v>
      </c>
      <c r="AF2119" s="16">
        <f>IF(ISERROR(VLOOKUP($A2119,'13. Updated Demand'!A:Z,23,FALSE)),0,VLOOKUP($A2119,'13. Updated Demand'!A:Z,23,FALSE))</f>
        <v>0</v>
      </c>
      <c r="AG2119" s="16">
        <f>IF(ISERROR(VLOOKUP($A2119,'13. Updated Demand'!A:Z,24,FALSE)),0,VLOOKUP($A2119,'13. Updated Demand'!A:Z,24,FALSE))</f>
        <v>0</v>
      </c>
      <c r="AH2119" s="16">
        <f>IF(ISERROR(VLOOKUP($A2119,'13. Updated Demand'!A:Z,25,FALSE)),0,VLOOKUP($A2119,'13. Updated Demand'!A:Z,25,FALSE))</f>
        <v>0</v>
      </c>
      <c r="AI2119" s="16">
        <f>IF(ISERROR(VLOOKUP($A2119,'13. Updated Demand'!A:Z,26,FALSE)),0,VLOOKUP($A2119,'13. Updated Demand'!A:Z,26,FALSE))</f>
        <v>0</v>
      </c>
      <c r="AJ2119" s="16">
        <f t="shared" si="397"/>
        <v>0</v>
      </c>
      <c r="AK2119" s="19">
        <v>0</v>
      </c>
      <c r="AL2119" s="16">
        <f t="shared" si="407"/>
        <v>0</v>
      </c>
      <c r="AM2119" s="26">
        <v>0</v>
      </c>
      <c r="AN2119" s="19">
        <v>50.707999999999998</v>
      </c>
      <c r="AO2119" s="19" t="s">
        <v>1758</v>
      </c>
      <c r="AP2119" s="19">
        <v>0</v>
      </c>
      <c r="AQ2119" s="19" t="s">
        <v>307</v>
      </c>
      <c r="AR2119" s="9" t="s">
        <v>409</v>
      </c>
      <c r="AS2119" s="12">
        <v>0</v>
      </c>
      <c r="AT2119" s="19">
        <v>38.811399999999999</v>
      </c>
      <c r="AU2119" s="19">
        <v>-122.82089999999999</v>
      </c>
      <c r="AV2119" s="19" t="s">
        <v>1788</v>
      </c>
    </row>
    <row r="2120" spans="1:48" x14ac:dyDescent="0.25">
      <c r="A2120" s="18" t="s">
        <v>2557</v>
      </c>
      <c r="B2120" s="10">
        <v>10000000</v>
      </c>
      <c r="C2120" s="9">
        <v>12</v>
      </c>
      <c r="D2120" s="8" t="str">
        <f t="shared" si="398"/>
        <v>N</v>
      </c>
      <c r="E2120" s="8" t="str">
        <f t="shared" si="399"/>
        <v>Y</v>
      </c>
      <c r="F2120" s="8" t="str">
        <f t="shared" si="400"/>
        <v>Y</v>
      </c>
      <c r="G2120" s="8" t="str">
        <f t="shared" si="401"/>
        <v>Y</v>
      </c>
      <c r="H2120" s="8" t="str">
        <f t="shared" si="402"/>
        <v>Upper</v>
      </c>
      <c r="I2120" s="8" t="str">
        <f t="shared" si="403"/>
        <v>West Fork and Below Lake</v>
      </c>
      <c r="J2120" s="8" t="str">
        <f t="shared" si="404"/>
        <v>Sonoma (d/s of Clov. Gage)</v>
      </c>
      <c r="K2120" s="8" t="str">
        <f t="shared" si="405"/>
        <v>Riparian</v>
      </c>
      <c r="L2120" s="8">
        <f t="shared" si="406"/>
        <v>1000</v>
      </c>
      <c r="M2120" s="8" t="str">
        <f t="shared" si="408"/>
        <v>-</v>
      </c>
      <c r="N2120" s="10" t="s">
        <v>242</v>
      </c>
      <c r="O2120" s="10" t="s">
        <v>241</v>
      </c>
      <c r="P2120" s="10" t="s">
        <v>242</v>
      </c>
      <c r="Q2120" s="10" t="s">
        <v>242</v>
      </c>
      <c r="R2120" s="10" t="s">
        <v>242</v>
      </c>
      <c r="S2120" s="10" t="s">
        <v>241</v>
      </c>
      <c r="T2120" s="10" t="s">
        <v>242</v>
      </c>
      <c r="U2120" s="10" t="s">
        <v>242</v>
      </c>
      <c r="V2120" s="10" t="s">
        <v>242</v>
      </c>
      <c r="W2120" s="10" t="s">
        <v>242</v>
      </c>
      <c r="X2120" s="15">
        <f>IF(ISERROR(VLOOKUP($A2120,'13. Updated Demand'!A:Z,15,FALSE)),0,VLOOKUP($A2120,'13. Updated Demand'!A:Z,15,FALSE))</f>
        <v>0</v>
      </c>
      <c r="Y2120" s="16">
        <f>IF(ISERROR(VLOOKUP($A2120,'13. Updated Demand'!A:Z,16,FALSE)),0,VLOOKUP($A2120,'13. Updated Demand'!A:Z,16,FALSE))</f>
        <v>1</v>
      </c>
      <c r="Z2120" s="16">
        <f>IF(ISERROR(VLOOKUP($A2120,'13. Updated Demand'!A:Z,17,FALSE)),0,VLOOKUP($A2120,'13. Updated Demand'!A:Z,17,FALSE))</f>
        <v>2</v>
      </c>
      <c r="AA2120" s="16">
        <f>IF(ISERROR(VLOOKUP($A2120,'13. Updated Demand'!A:Z,18,FALSE)),0,VLOOKUP($A2120,'13. Updated Demand'!A:Z,18,FALSE))</f>
        <v>1.33</v>
      </c>
      <c r="AB2120" s="16">
        <f>IF(ISERROR(VLOOKUP($A2120,'13. Updated Demand'!A:Z,19,FALSE)),0,VLOOKUP($A2120,'13. Updated Demand'!A:Z,19,FALSE))</f>
        <v>2</v>
      </c>
      <c r="AC2120" s="16">
        <f>IF(ISERROR(VLOOKUP($A2120,'13. Updated Demand'!A:Z,20,FALSE)),0,VLOOKUP($A2120,'13. Updated Demand'!A:Z,20,FALSE))</f>
        <v>0</v>
      </c>
      <c r="AD2120" s="16">
        <f>IF(ISERROR(VLOOKUP($A2120,'13. Updated Demand'!A:Z,21,FALSE)),0,VLOOKUP($A2120,'13. Updated Demand'!A:Z,21,FALSE))</f>
        <v>0</v>
      </c>
      <c r="AE2120" s="16">
        <f>IF(ISERROR(VLOOKUP($A2120,'13. Updated Demand'!A:Z,22,FALSE)),0,VLOOKUP($A2120,'13. Updated Demand'!A:Z,22,FALSE))</f>
        <v>0</v>
      </c>
      <c r="AF2120" s="16">
        <f>IF(ISERROR(VLOOKUP($A2120,'13. Updated Demand'!A:Z,23,FALSE)),0,VLOOKUP($A2120,'13. Updated Demand'!A:Z,23,FALSE))</f>
        <v>0</v>
      </c>
      <c r="AG2120" s="16">
        <f>IF(ISERROR(VLOOKUP($A2120,'13. Updated Demand'!A:Z,24,FALSE)),0,VLOOKUP($A2120,'13. Updated Demand'!A:Z,24,FALSE))</f>
        <v>0</v>
      </c>
      <c r="AH2120" s="16">
        <f>IF(ISERROR(VLOOKUP($A2120,'13. Updated Demand'!A:Z,25,FALSE)),0,VLOOKUP($A2120,'13. Updated Demand'!A:Z,25,FALSE))</f>
        <v>0</v>
      </c>
      <c r="AI2120" s="16">
        <f>IF(ISERROR(VLOOKUP($A2120,'13. Updated Demand'!A:Z,26,FALSE)),0,VLOOKUP($A2120,'13. Updated Demand'!A:Z,26,FALSE))</f>
        <v>0</v>
      </c>
      <c r="AJ2120" s="16">
        <f t="shared" si="397"/>
        <v>6.33</v>
      </c>
      <c r="AK2120" s="19">
        <v>2</v>
      </c>
      <c r="AL2120" s="16">
        <f t="shared" si="407"/>
        <v>6.6337721785910174E-3</v>
      </c>
      <c r="AM2120" s="26">
        <v>0.57575757572727271</v>
      </c>
      <c r="AN2120" s="19">
        <v>11</v>
      </c>
      <c r="AO2120" s="19" t="s">
        <v>1758</v>
      </c>
      <c r="AP2120" s="19">
        <v>0</v>
      </c>
      <c r="AQ2120" s="19" t="s">
        <v>307</v>
      </c>
      <c r="AR2120" s="9" t="s">
        <v>311</v>
      </c>
      <c r="AS2120" s="12">
        <v>0</v>
      </c>
      <c r="AT2120" s="19">
        <v>38.623600000000003</v>
      </c>
      <c r="AU2120" s="19">
        <v>-122.669</v>
      </c>
      <c r="AV2120" s="19" t="s">
        <v>385</v>
      </c>
    </row>
    <row r="2121" spans="1:48" x14ac:dyDescent="0.25">
      <c r="A2121" s="18" t="s">
        <v>2558</v>
      </c>
      <c r="B2121" s="10">
        <v>10000000</v>
      </c>
      <c r="C2121" s="9">
        <v>6</v>
      </c>
      <c r="D2121" s="8" t="str">
        <f t="shared" si="398"/>
        <v>Y</v>
      </c>
      <c r="E2121" s="8" t="str">
        <f t="shared" si="399"/>
        <v>N</v>
      </c>
      <c r="F2121" s="8" t="str">
        <f t="shared" si="400"/>
        <v>Y</v>
      </c>
      <c r="G2121" s="8" t="str">
        <f t="shared" si="401"/>
        <v>Y</v>
      </c>
      <c r="H2121" s="8" t="str">
        <f t="shared" si="402"/>
        <v>Upper</v>
      </c>
      <c r="I2121" s="8" t="str">
        <f t="shared" si="403"/>
        <v>West Fork and Below Lake</v>
      </c>
      <c r="J2121" s="8" t="str">
        <f t="shared" si="404"/>
        <v>Mendocino (d/s of lake)</v>
      </c>
      <c r="K2121" s="8" t="str">
        <f t="shared" si="405"/>
        <v>Riparian</v>
      </c>
      <c r="L2121" s="8">
        <f t="shared" si="406"/>
        <v>1000</v>
      </c>
      <c r="M2121" s="8" t="str">
        <f t="shared" si="408"/>
        <v>-</v>
      </c>
      <c r="N2121" s="10" t="s">
        <v>241</v>
      </c>
      <c r="O2121" s="10" t="s">
        <v>241</v>
      </c>
      <c r="P2121" s="10" t="s">
        <v>242</v>
      </c>
      <c r="Q2121" s="10" t="s">
        <v>242</v>
      </c>
      <c r="R2121" s="10" t="s">
        <v>242</v>
      </c>
      <c r="S2121" s="10" t="s">
        <v>241</v>
      </c>
      <c r="T2121" s="10" t="s">
        <v>242</v>
      </c>
      <c r="U2121" s="10" t="s">
        <v>242</v>
      </c>
      <c r="V2121" s="10" t="s">
        <v>241</v>
      </c>
      <c r="W2121" s="10" t="s">
        <v>242</v>
      </c>
      <c r="X2121" s="15">
        <f>IF(ISERROR(VLOOKUP($A2121,'13. Updated Demand'!A:Z,15,FALSE)),0,VLOOKUP($A2121,'13. Updated Demand'!A:Z,15,FALSE))</f>
        <v>0</v>
      </c>
      <c r="Y2121" s="16">
        <f>IF(ISERROR(VLOOKUP($A2121,'13. Updated Demand'!A:Z,16,FALSE)),0,VLOOKUP($A2121,'13. Updated Demand'!A:Z,16,FALSE))</f>
        <v>0</v>
      </c>
      <c r="Z2121" s="16">
        <f>IF(ISERROR(VLOOKUP($A2121,'13. Updated Demand'!A:Z,17,FALSE)),0,VLOOKUP($A2121,'13. Updated Demand'!A:Z,17,FALSE))</f>
        <v>1.03</v>
      </c>
      <c r="AA2121" s="16">
        <f>IF(ISERROR(VLOOKUP($A2121,'13. Updated Demand'!A:Z,18,FALSE)),0,VLOOKUP($A2121,'13. Updated Demand'!A:Z,18,FALSE))</f>
        <v>1.66</v>
      </c>
      <c r="AB2121" s="16">
        <f>IF(ISERROR(VLOOKUP($A2121,'13. Updated Demand'!A:Z,19,FALSE)),0,VLOOKUP($A2121,'13. Updated Demand'!A:Z,19,FALSE))</f>
        <v>0</v>
      </c>
      <c r="AC2121" s="16">
        <f>IF(ISERROR(VLOOKUP($A2121,'13. Updated Demand'!A:Z,20,FALSE)),0,VLOOKUP($A2121,'13. Updated Demand'!A:Z,20,FALSE))</f>
        <v>0</v>
      </c>
      <c r="AD2121" s="16">
        <f>IF(ISERROR(VLOOKUP($A2121,'13. Updated Demand'!A:Z,21,FALSE)),0,VLOOKUP($A2121,'13. Updated Demand'!A:Z,21,FALSE))</f>
        <v>0</v>
      </c>
      <c r="AE2121" s="16">
        <f>IF(ISERROR(VLOOKUP($A2121,'13. Updated Demand'!A:Z,22,FALSE)),0,VLOOKUP($A2121,'13. Updated Demand'!A:Z,22,FALSE))</f>
        <v>0</v>
      </c>
      <c r="AF2121" s="16">
        <f>IF(ISERROR(VLOOKUP($A2121,'13. Updated Demand'!A:Z,23,FALSE)),0,VLOOKUP($A2121,'13. Updated Demand'!A:Z,23,FALSE))</f>
        <v>0</v>
      </c>
      <c r="AG2121" s="16">
        <f>IF(ISERROR(VLOOKUP($A2121,'13. Updated Demand'!A:Z,24,FALSE)),0,VLOOKUP($A2121,'13. Updated Demand'!A:Z,24,FALSE))</f>
        <v>0</v>
      </c>
      <c r="AH2121" s="16">
        <f>IF(ISERROR(VLOOKUP($A2121,'13. Updated Demand'!A:Z,25,FALSE)),0,VLOOKUP($A2121,'13. Updated Demand'!A:Z,25,FALSE))</f>
        <v>0</v>
      </c>
      <c r="AI2121" s="16">
        <f>IF(ISERROR(VLOOKUP($A2121,'13. Updated Demand'!A:Z,26,FALSE)),0,VLOOKUP($A2121,'13. Updated Demand'!A:Z,26,FALSE))</f>
        <v>0</v>
      </c>
      <c r="AJ2121" s="16">
        <f t="shared" si="397"/>
        <v>2.69</v>
      </c>
      <c r="AK2121" s="19">
        <v>0</v>
      </c>
      <c r="AL2121" s="16">
        <f t="shared" si="407"/>
        <v>0</v>
      </c>
      <c r="AM2121" s="26">
        <v>2.2589227448421264E-3</v>
      </c>
      <c r="AN2121" s="19">
        <v>1195.26</v>
      </c>
      <c r="AO2121" s="19" t="s">
        <v>1758</v>
      </c>
      <c r="AP2121" s="19">
        <v>0</v>
      </c>
      <c r="AQ2121" s="19" t="s">
        <v>307</v>
      </c>
      <c r="AR2121" s="9" t="s">
        <v>319</v>
      </c>
      <c r="AS2121" s="12">
        <v>0</v>
      </c>
      <c r="AT2121" s="19">
        <v>38.965699999999998</v>
      </c>
      <c r="AU2121" s="19">
        <v>-123.1054</v>
      </c>
      <c r="AV2121" s="19" t="s">
        <v>387</v>
      </c>
    </row>
    <row r="2122" spans="1:48" x14ac:dyDescent="0.25">
      <c r="A2122" s="18" t="s">
        <v>2559</v>
      </c>
      <c r="B2122" s="10">
        <v>10000000</v>
      </c>
      <c r="C2122" s="9">
        <v>10</v>
      </c>
      <c r="D2122" s="8" t="str">
        <f t="shared" si="398"/>
        <v>N</v>
      </c>
      <c r="E2122" s="8" t="str">
        <f t="shared" si="399"/>
        <v>Y</v>
      </c>
      <c r="F2122" s="8" t="str">
        <f t="shared" si="400"/>
        <v>Y</v>
      </c>
      <c r="G2122" s="8" t="str">
        <f t="shared" si="401"/>
        <v>Y</v>
      </c>
      <c r="H2122" s="8" t="str">
        <f t="shared" si="402"/>
        <v>Upper</v>
      </c>
      <c r="I2122" s="8" t="str">
        <f t="shared" si="403"/>
        <v>West Fork and Below Lake</v>
      </c>
      <c r="J2122" s="8" t="str">
        <f t="shared" si="404"/>
        <v>Sonoma (d/s of Clov. Gage)</v>
      </c>
      <c r="K2122" s="8" t="str">
        <f t="shared" si="405"/>
        <v>Riparian</v>
      </c>
      <c r="L2122" s="8">
        <f t="shared" si="406"/>
        <v>1000</v>
      </c>
      <c r="M2122" s="8" t="str">
        <f t="shared" si="408"/>
        <v>-</v>
      </c>
      <c r="N2122" s="10" t="s">
        <v>241</v>
      </c>
      <c r="O2122" s="10" t="s">
        <v>241</v>
      </c>
      <c r="P2122" s="10" t="s">
        <v>242</v>
      </c>
      <c r="Q2122" s="10" t="s">
        <v>242</v>
      </c>
      <c r="R2122" s="10" t="s">
        <v>242</v>
      </c>
      <c r="S2122" s="10" t="s">
        <v>241</v>
      </c>
      <c r="T2122" s="10" t="s">
        <v>242</v>
      </c>
      <c r="U2122" s="10" t="s">
        <v>242</v>
      </c>
      <c r="V2122" s="10" t="s">
        <v>241</v>
      </c>
      <c r="W2122" s="10" t="s">
        <v>242</v>
      </c>
      <c r="X2122" s="15">
        <f>IF(ISERROR(VLOOKUP($A2122,'13. Updated Demand'!A:Z,15,FALSE)),0,VLOOKUP($A2122,'13. Updated Demand'!A:Z,15,FALSE))</f>
        <v>0</v>
      </c>
      <c r="Y2122" s="16">
        <f>IF(ISERROR(VLOOKUP($A2122,'13. Updated Demand'!A:Z,16,FALSE)),0,VLOOKUP($A2122,'13. Updated Demand'!A:Z,16,FALSE))</f>
        <v>0.03</v>
      </c>
      <c r="Z2122" s="16">
        <f>IF(ISERROR(VLOOKUP($A2122,'13. Updated Demand'!A:Z,17,FALSE)),0,VLOOKUP($A2122,'13. Updated Demand'!A:Z,17,FALSE))</f>
        <v>0.46</v>
      </c>
      <c r="AA2122" s="16">
        <f>IF(ISERROR(VLOOKUP($A2122,'13. Updated Demand'!A:Z,18,FALSE)),0,VLOOKUP($A2122,'13. Updated Demand'!A:Z,18,FALSE))</f>
        <v>0</v>
      </c>
      <c r="AB2122" s="16">
        <f>IF(ISERROR(VLOOKUP($A2122,'13. Updated Demand'!A:Z,19,FALSE)),0,VLOOKUP($A2122,'13. Updated Demand'!A:Z,19,FALSE))</f>
        <v>0</v>
      </c>
      <c r="AC2122" s="16">
        <f>IF(ISERROR(VLOOKUP($A2122,'13. Updated Demand'!A:Z,20,FALSE)),0,VLOOKUP($A2122,'13. Updated Demand'!A:Z,20,FALSE))</f>
        <v>0</v>
      </c>
      <c r="AD2122" s="16">
        <f>IF(ISERROR(VLOOKUP($A2122,'13. Updated Demand'!A:Z,21,FALSE)),0,VLOOKUP($A2122,'13. Updated Demand'!A:Z,21,FALSE))</f>
        <v>0</v>
      </c>
      <c r="AE2122" s="16">
        <f>IF(ISERROR(VLOOKUP($A2122,'13. Updated Demand'!A:Z,22,FALSE)),0,VLOOKUP($A2122,'13. Updated Demand'!A:Z,22,FALSE))</f>
        <v>0</v>
      </c>
      <c r="AF2122" s="16">
        <f>IF(ISERROR(VLOOKUP($A2122,'13. Updated Demand'!A:Z,23,FALSE)),0,VLOOKUP($A2122,'13. Updated Demand'!A:Z,23,FALSE))</f>
        <v>0</v>
      </c>
      <c r="AG2122" s="16">
        <f>IF(ISERROR(VLOOKUP($A2122,'13. Updated Demand'!A:Z,24,FALSE)),0,VLOOKUP($A2122,'13. Updated Demand'!A:Z,24,FALSE))</f>
        <v>0</v>
      </c>
      <c r="AH2122" s="16">
        <f>IF(ISERROR(VLOOKUP($A2122,'13. Updated Demand'!A:Z,25,FALSE)),0,VLOOKUP($A2122,'13. Updated Demand'!A:Z,25,FALSE))</f>
        <v>0.56000000000000005</v>
      </c>
      <c r="AI2122" s="16">
        <f>IF(ISERROR(VLOOKUP($A2122,'13. Updated Demand'!A:Z,26,FALSE)),0,VLOOKUP($A2122,'13. Updated Demand'!A:Z,26,FALSE))</f>
        <v>0</v>
      </c>
      <c r="AJ2122" s="16">
        <f t="shared" si="397"/>
        <v>1.05</v>
      </c>
      <c r="AK2122" s="19">
        <v>0</v>
      </c>
      <c r="AL2122" s="16">
        <f t="shared" si="407"/>
        <v>0</v>
      </c>
      <c r="AM2122" s="26">
        <v>1.4724829744156092E-3</v>
      </c>
      <c r="AN2122" s="19">
        <v>724.4</v>
      </c>
      <c r="AO2122" s="19" t="s">
        <v>1758</v>
      </c>
      <c r="AP2122" s="19">
        <v>0</v>
      </c>
      <c r="AQ2122" s="19" t="s">
        <v>307</v>
      </c>
      <c r="AR2122" s="9" t="s">
        <v>436</v>
      </c>
      <c r="AS2122" s="12">
        <v>0</v>
      </c>
      <c r="AT2122" s="19">
        <v>38.701099999999997</v>
      </c>
      <c r="AU2122" s="19">
        <v>-122.8847</v>
      </c>
      <c r="AV2122" s="19" t="s">
        <v>548</v>
      </c>
    </row>
    <row r="2123" spans="1:48" x14ac:dyDescent="0.25">
      <c r="A2123" s="18" t="s">
        <v>2560</v>
      </c>
      <c r="B2123" s="10">
        <v>10000000</v>
      </c>
      <c r="C2123" s="9">
        <v>10</v>
      </c>
      <c r="D2123" s="8" t="str">
        <f t="shared" si="398"/>
        <v>N</v>
      </c>
      <c r="E2123" s="8" t="str">
        <f t="shared" si="399"/>
        <v>Y</v>
      </c>
      <c r="F2123" s="8" t="str">
        <f t="shared" si="400"/>
        <v>Y</v>
      </c>
      <c r="G2123" s="8" t="str">
        <f t="shared" si="401"/>
        <v>Y</v>
      </c>
      <c r="H2123" s="8" t="str">
        <f t="shared" si="402"/>
        <v>Upper</v>
      </c>
      <c r="I2123" s="8" t="str">
        <f t="shared" si="403"/>
        <v>West Fork and Below Lake</v>
      </c>
      <c r="J2123" s="8" t="str">
        <f t="shared" si="404"/>
        <v>Sonoma (d/s of Clov. Gage)</v>
      </c>
      <c r="K2123" s="8" t="str">
        <f t="shared" si="405"/>
        <v>Riparian</v>
      </c>
      <c r="L2123" s="8">
        <f t="shared" si="406"/>
        <v>1000</v>
      </c>
      <c r="M2123" s="8" t="str">
        <f t="shared" si="408"/>
        <v>-</v>
      </c>
      <c r="N2123" s="10" t="s">
        <v>241</v>
      </c>
      <c r="O2123" s="10" t="s">
        <v>241</v>
      </c>
      <c r="P2123" s="10" t="s">
        <v>242</v>
      </c>
      <c r="Q2123" s="10" t="s">
        <v>242</v>
      </c>
      <c r="R2123" s="10" t="s">
        <v>242</v>
      </c>
      <c r="S2123" s="10" t="s">
        <v>241</v>
      </c>
      <c r="T2123" s="10" t="s">
        <v>242</v>
      </c>
      <c r="U2123" s="10" t="s">
        <v>242</v>
      </c>
      <c r="V2123" s="10" t="s">
        <v>241</v>
      </c>
      <c r="W2123" s="10" t="s">
        <v>242</v>
      </c>
      <c r="X2123" s="15">
        <f>IF(ISERROR(VLOOKUP($A2123,'13. Updated Demand'!A:Z,15,FALSE)),0,VLOOKUP($A2123,'13. Updated Demand'!A:Z,15,FALSE))</f>
        <v>0</v>
      </c>
      <c r="Y2123" s="16">
        <f>IF(ISERROR(VLOOKUP($A2123,'13. Updated Demand'!A:Z,16,FALSE)),0,VLOOKUP($A2123,'13. Updated Demand'!A:Z,16,FALSE))</f>
        <v>0.33</v>
      </c>
      <c r="Z2123" s="16">
        <f>IF(ISERROR(VLOOKUP($A2123,'13. Updated Demand'!A:Z,17,FALSE)),0,VLOOKUP($A2123,'13. Updated Demand'!A:Z,17,FALSE))</f>
        <v>0.03</v>
      </c>
      <c r="AA2123" s="16">
        <f>IF(ISERROR(VLOOKUP($A2123,'13. Updated Demand'!A:Z,18,FALSE)),0,VLOOKUP($A2123,'13. Updated Demand'!A:Z,18,FALSE))</f>
        <v>0</v>
      </c>
      <c r="AB2123" s="16">
        <f>IF(ISERROR(VLOOKUP($A2123,'13. Updated Demand'!A:Z,19,FALSE)),0,VLOOKUP($A2123,'13. Updated Demand'!A:Z,19,FALSE))</f>
        <v>0</v>
      </c>
      <c r="AC2123" s="16">
        <f>IF(ISERROR(VLOOKUP($A2123,'13. Updated Demand'!A:Z,20,FALSE)),0,VLOOKUP($A2123,'13. Updated Demand'!A:Z,20,FALSE))</f>
        <v>0</v>
      </c>
      <c r="AD2123" s="16">
        <f>IF(ISERROR(VLOOKUP($A2123,'13. Updated Demand'!A:Z,21,FALSE)),0,VLOOKUP($A2123,'13. Updated Demand'!A:Z,21,FALSE))</f>
        <v>0</v>
      </c>
      <c r="AE2123" s="16">
        <f>IF(ISERROR(VLOOKUP($A2123,'13. Updated Demand'!A:Z,22,FALSE)),0,VLOOKUP($A2123,'13. Updated Demand'!A:Z,22,FALSE))</f>
        <v>0</v>
      </c>
      <c r="AF2123" s="16">
        <f>IF(ISERROR(VLOOKUP($A2123,'13. Updated Demand'!A:Z,23,FALSE)),0,VLOOKUP($A2123,'13. Updated Demand'!A:Z,23,FALSE))</f>
        <v>0</v>
      </c>
      <c r="AG2123" s="16">
        <f>IF(ISERROR(VLOOKUP($A2123,'13. Updated Demand'!A:Z,24,FALSE)),0,VLOOKUP($A2123,'13. Updated Demand'!A:Z,24,FALSE))</f>
        <v>0</v>
      </c>
      <c r="AH2123" s="16">
        <f>IF(ISERROR(VLOOKUP($A2123,'13. Updated Demand'!A:Z,25,FALSE)),0,VLOOKUP($A2123,'13. Updated Demand'!A:Z,25,FALSE))</f>
        <v>0.36</v>
      </c>
      <c r="AI2123" s="16">
        <f>IF(ISERROR(VLOOKUP($A2123,'13. Updated Demand'!A:Z,26,FALSE)),0,VLOOKUP($A2123,'13. Updated Demand'!A:Z,26,FALSE))</f>
        <v>1.33</v>
      </c>
      <c r="AJ2123" s="16">
        <f t="shared" si="397"/>
        <v>2.0499999999999998</v>
      </c>
      <c r="AK2123" s="19">
        <v>0</v>
      </c>
      <c r="AL2123" s="16">
        <f t="shared" si="407"/>
        <v>0</v>
      </c>
      <c r="AM2123" s="26">
        <v>4.3891319429695931E-3</v>
      </c>
      <c r="AN2123" s="19">
        <v>470.86</v>
      </c>
      <c r="AO2123" s="19" t="s">
        <v>1758</v>
      </c>
      <c r="AP2123" s="19">
        <v>0</v>
      </c>
      <c r="AQ2123" s="19" t="s">
        <v>307</v>
      </c>
      <c r="AR2123" s="9" t="s">
        <v>436</v>
      </c>
      <c r="AS2123" s="12">
        <v>0</v>
      </c>
      <c r="AT2123" s="19">
        <v>38.6995</v>
      </c>
      <c r="AU2123" s="19">
        <v>-122.88800000000001</v>
      </c>
      <c r="AV2123" s="19" t="s">
        <v>548</v>
      </c>
    </row>
    <row r="2124" spans="1:48" x14ac:dyDescent="0.25">
      <c r="A2124" s="18" t="s">
        <v>2561</v>
      </c>
      <c r="B2124" s="10">
        <v>10000000</v>
      </c>
      <c r="C2124" s="9">
        <v>9</v>
      </c>
      <c r="D2124" s="8" t="str">
        <f t="shared" si="398"/>
        <v>N</v>
      </c>
      <c r="E2124" s="8" t="str">
        <f t="shared" si="399"/>
        <v>Y</v>
      </c>
      <c r="F2124" s="8" t="str">
        <f t="shared" si="400"/>
        <v>Y</v>
      </c>
      <c r="G2124" s="8" t="str">
        <f t="shared" si="401"/>
        <v>Y</v>
      </c>
      <c r="H2124" s="8" t="str">
        <f t="shared" si="402"/>
        <v>Upper</v>
      </c>
      <c r="I2124" s="8" t="str">
        <f t="shared" si="403"/>
        <v>West Fork and Below Lake</v>
      </c>
      <c r="J2124" s="8" t="str">
        <f t="shared" si="404"/>
        <v>Sonoma (d/s of Clov. Gage)</v>
      </c>
      <c r="K2124" s="8" t="str">
        <f t="shared" si="405"/>
        <v>Riparian</v>
      </c>
      <c r="L2124" s="8">
        <f t="shared" si="406"/>
        <v>1000</v>
      </c>
      <c r="M2124" s="8" t="str">
        <f t="shared" si="408"/>
        <v>-</v>
      </c>
      <c r="N2124" s="10" t="s">
        <v>241</v>
      </c>
      <c r="O2124" s="10" t="s">
        <v>241</v>
      </c>
      <c r="P2124" s="10" t="s">
        <v>242</v>
      </c>
      <c r="Q2124" s="10" t="s">
        <v>242</v>
      </c>
      <c r="R2124" s="10" t="s">
        <v>242</v>
      </c>
      <c r="S2124" s="10" t="s">
        <v>241</v>
      </c>
      <c r="T2124" s="10" t="s">
        <v>242</v>
      </c>
      <c r="U2124" s="10" t="s">
        <v>242</v>
      </c>
      <c r="V2124" s="10" t="s">
        <v>242</v>
      </c>
      <c r="W2124" s="10" t="s">
        <v>242</v>
      </c>
      <c r="X2124" s="15">
        <f>IF(ISERROR(VLOOKUP($A2124,'13. Updated Demand'!A:Z,15,FALSE)),0,VLOOKUP($A2124,'13. Updated Demand'!A:Z,15,FALSE))</f>
        <v>0</v>
      </c>
      <c r="Y2124" s="16">
        <f>IF(ISERROR(VLOOKUP($A2124,'13. Updated Demand'!A:Z,16,FALSE)),0,VLOOKUP($A2124,'13. Updated Demand'!A:Z,16,FALSE))</f>
        <v>0</v>
      </c>
      <c r="Z2124" s="16">
        <f>IF(ISERROR(VLOOKUP($A2124,'13. Updated Demand'!A:Z,17,FALSE)),0,VLOOKUP($A2124,'13. Updated Demand'!A:Z,17,FALSE))</f>
        <v>0.5</v>
      </c>
      <c r="AA2124" s="16">
        <f>IF(ISERROR(VLOOKUP($A2124,'13. Updated Demand'!A:Z,18,FALSE)),0,VLOOKUP($A2124,'13. Updated Demand'!A:Z,18,FALSE))</f>
        <v>1.03</v>
      </c>
      <c r="AB2124" s="16">
        <f>IF(ISERROR(VLOOKUP($A2124,'13. Updated Demand'!A:Z,19,FALSE)),0,VLOOKUP($A2124,'13. Updated Demand'!A:Z,19,FALSE))</f>
        <v>0.33</v>
      </c>
      <c r="AC2124" s="16">
        <f>IF(ISERROR(VLOOKUP($A2124,'13. Updated Demand'!A:Z,20,FALSE)),0,VLOOKUP($A2124,'13. Updated Demand'!A:Z,20,FALSE))</f>
        <v>0.66</v>
      </c>
      <c r="AD2124" s="16">
        <f>IF(ISERROR(VLOOKUP($A2124,'13. Updated Demand'!A:Z,21,FALSE)),0,VLOOKUP($A2124,'13. Updated Demand'!A:Z,21,FALSE))</f>
        <v>1</v>
      </c>
      <c r="AE2124" s="16">
        <f>IF(ISERROR(VLOOKUP($A2124,'13. Updated Demand'!A:Z,22,FALSE)),0,VLOOKUP($A2124,'13. Updated Demand'!A:Z,22,FALSE))</f>
        <v>3.7</v>
      </c>
      <c r="AF2124" s="16">
        <f>IF(ISERROR(VLOOKUP($A2124,'13. Updated Demand'!A:Z,23,FALSE)),0,VLOOKUP($A2124,'13. Updated Demand'!A:Z,23,FALSE))</f>
        <v>2.7</v>
      </c>
      <c r="AG2124" s="16">
        <f>IF(ISERROR(VLOOKUP($A2124,'13. Updated Demand'!A:Z,24,FALSE)),0,VLOOKUP($A2124,'13. Updated Demand'!A:Z,24,FALSE))</f>
        <v>0.4</v>
      </c>
      <c r="AH2124" s="16">
        <f>IF(ISERROR(VLOOKUP($A2124,'13. Updated Demand'!A:Z,25,FALSE)),0,VLOOKUP($A2124,'13. Updated Demand'!A:Z,25,FALSE))</f>
        <v>0.1</v>
      </c>
      <c r="AI2124" s="16">
        <f>IF(ISERROR(VLOOKUP($A2124,'13. Updated Demand'!A:Z,26,FALSE)),0,VLOOKUP($A2124,'13. Updated Demand'!A:Z,26,FALSE))</f>
        <v>0</v>
      </c>
      <c r="AJ2124" s="16">
        <f t="shared" si="397"/>
        <v>10.420000000000002</v>
      </c>
      <c r="AK2124" s="19">
        <v>8.4</v>
      </c>
      <c r="AL2124" s="16">
        <f t="shared" si="407"/>
        <v>2.7861843150082277E-2</v>
      </c>
      <c r="AM2124" s="26">
        <v>1.6944381286473721E-2</v>
      </c>
      <c r="AN2124" s="19">
        <v>615.74</v>
      </c>
      <c r="AO2124" s="19" t="s">
        <v>1758</v>
      </c>
      <c r="AP2124" s="19">
        <v>0</v>
      </c>
      <c r="AQ2124" s="19" t="s">
        <v>307</v>
      </c>
      <c r="AR2124" s="9" t="s">
        <v>354</v>
      </c>
      <c r="AS2124" s="12">
        <v>0</v>
      </c>
      <c r="AT2124" s="19">
        <v>38.792400000000001</v>
      </c>
      <c r="AU2124" s="19">
        <v>-123.0003</v>
      </c>
      <c r="AV2124" s="19" t="s">
        <v>387</v>
      </c>
    </row>
    <row r="2125" spans="1:48" x14ac:dyDescent="0.25">
      <c r="A2125" s="18" t="s">
        <v>2562</v>
      </c>
      <c r="B2125" s="10">
        <v>10000000</v>
      </c>
      <c r="C2125" s="9">
        <v>9</v>
      </c>
      <c r="D2125" s="8" t="str">
        <f t="shared" si="398"/>
        <v>N</v>
      </c>
      <c r="E2125" s="8" t="str">
        <f t="shared" si="399"/>
        <v>Y</v>
      </c>
      <c r="F2125" s="8" t="str">
        <f t="shared" si="400"/>
        <v>Y</v>
      </c>
      <c r="G2125" s="8" t="str">
        <f t="shared" si="401"/>
        <v>Y</v>
      </c>
      <c r="H2125" s="8" t="str">
        <f t="shared" si="402"/>
        <v>Upper</v>
      </c>
      <c r="I2125" s="8" t="str">
        <f t="shared" si="403"/>
        <v>West Fork and Below Lake</v>
      </c>
      <c r="J2125" s="8" t="str">
        <f t="shared" si="404"/>
        <v>Sonoma (d/s of Clov. Gage)</v>
      </c>
      <c r="K2125" s="8" t="str">
        <f t="shared" si="405"/>
        <v>Riparian</v>
      </c>
      <c r="L2125" s="8">
        <f t="shared" si="406"/>
        <v>1000</v>
      </c>
      <c r="M2125" s="8" t="str">
        <f t="shared" si="408"/>
        <v>-</v>
      </c>
      <c r="N2125" s="10" t="s">
        <v>241</v>
      </c>
      <c r="O2125" s="10" t="s">
        <v>241</v>
      </c>
      <c r="P2125" s="10" t="s">
        <v>242</v>
      </c>
      <c r="Q2125" s="10" t="s">
        <v>242</v>
      </c>
      <c r="R2125" s="10" t="s">
        <v>242</v>
      </c>
      <c r="S2125" s="10" t="s">
        <v>241</v>
      </c>
      <c r="T2125" s="10" t="s">
        <v>242</v>
      </c>
      <c r="U2125" s="10" t="s">
        <v>242</v>
      </c>
      <c r="V2125" s="10" t="s">
        <v>241</v>
      </c>
      <c r="W2125" s="10" t="s">
        <v>242</v>
      </c>
      <c r="X2125" s="15">
        <f>IF(ISERROR(VLOOKUP($A2125,'13. Updated Demand'!A:Z,15,FALSE)),0,VLOOKUP($A2125,'13. Updated Demand'!A:Z,15,FALSE))</f>
        <v>0</v>
      </c>
      <c r="Y2125" s="16">
        <f>IF(ISERROR(VLOOKUP($A2125,'13. Updated Demand'!A:Z,16,FALSE)),0,VLOOKUP($A2125,'13. Updated Demand'!A:Z,16,FALSE))</f>
        <v>0</v>
      </c>
      <c r="Z2125" s="16">
        <f>IF(ISERROR(VLOOKUP($A2125,'13. Updated Demand'!A:Z,17,FALSE)),0,VLOOKUP($A2125,'13. Updated Demand'!A:Z,17,FALSE))</f>
        <v>0</v>
      </c>
      <c r="AA2125" s="16">
        <f>IF(ISERROR(VLOOKUP($A2125,'13. Updated Demand'!A:Z,18,FALSE)),0,VLOOKUP($A2125,'13. Updated Demand'!A:Z,18,FALSE))</f>
        <v>0</v>
      </c>
      <c r="AB2125" s="16">
        <f>IF(ISERROR(VLOOKUP($A2125,'13. Updated Demand'!A:Z,19,FALSE)),0,VLOOKUP($A2125,'13. Updated Demand'!A:Z,19,FALSE))</f>
        <v>0</v>
      </c>
      <c r="AC2125" s="16">
        <f>IF(ISERROR(VLOOKUP($A2125,'13. Updated Demand'!A:Z,20,FALSE)),0,VLOOKUP($A2125,'13. Updated Demand'!A:Z,20,FALSE))</f>
        <v>0</v>
      </c>
      <c r="AD2125" s="16">
        <f>IF(ISERROR(VLOOKUP($A2125,'13. Updated Demand'!A:Z,21,FALSE)),0,VLOOKUP($A2125,'13. Updated Demand'!A:Z,21,FALSE))</f>
        <v>0</v>
      </c>
      <c r="AE2125" s="16">
        <f>IF(ISERROR(VLOOKUP($A2125,'13. Updated Demand'!A:Z,22,FALSE)),0,VLOOKUP($A2125,'13. Updated Demand'!A:Z,22,FALSE))</f>
        <v>0</v>
      </c>
      <c r="AF2125" s="16">
        <f>IF(ISERROR(VLOOKUP($A2125,'13. Updated Demand'!A:Z,23,FALSE)),0,VLOOKUP($A2125,'13. Updated Demand'!A:Z,23,FALSE))</f>
        <v>0</v>
      </c>
      <c r="AG2125" s="16">
        <f>IF(ISERROR(VLOOKUP($A2125,'13. Updated Demand'!A:Z,24,FALSE)),0,VLOOKUP($A2125,'13. Updated Demand'!A:Z,24,FALSE))</f>
        <v>0</v>
      </c>
      <c r="AH2125" s="16">
        <f>IF(ISERROR(VLOOKUP($A2125,'13. Updated Demand'!A:Z,25,FALSE)),0,VLOOKUP($A2125,'13. Updated Demand'!A:Z,25,FALSE))</f>
        <v>0</v>
      </c>
      <c r="AI2125" s="16">
        <f>IF(ISERROR(VLOOKUP($A2125,'13. Updated Demand'!A:Z,26,FALSE)),0,VLOOKUP($A2125,'13. Updated Demand'!A:Z,26,FALSE))</f>
        <v>3.3333333333333301E-5</v>
      </c>
      <c r="AJ2125" s="16">
        <f t="shared" si="397"/>
        <v>3.3333333333333301E-5</v>
      </c>
      <c r="AK2125" s="19">
        <v>0</v>
      </c>
      <c r="AL2125" s="16">
        <f t="shared" si="407"/>
        <v>0</v>
      </c>
      <c r="AM2125" s="26">
        <v>5.4135403471162018E-8</v>
      </c>
      <c r="AN2125" s="19">
        <v>615.74</v>
      </c>
      <c r="AO2125" s="19" t="s">
        <v>1758</v>
      </c>
      <c r="AP2125" s="19">
        <v>0</v>
      </c>
      <c r="AQ2125" s="19" t="s">
        <v>307</v>
      </c>
      <c r="AR2125" s="9" t="s">
        <v>354</v>
      </c>
      <c r="AS2125" s="12">
        <v>0</v>
      </c>
      <c r="AT2125" s="19">
        <v>38.793834599999997</v>
      </c>
      <c r="AU2125" s="19">
        <v>-122.997703</v>
      </c>
      <c r="AV2125" s="19" t="s">
        <v>387</v>
      </c>
    </row>
    <row r="2126" spans="1:48" x14ac:dyDescent="0.25">
      <c r="A2126" s="18" t="s">
        <v>2563</v>
      </c>
      <c r="B2126" s="10">
        <v>10000000</v>
      </c>
      <c r="C2126" s="9">
        <v>17</v>
      </c>
      <c r="D2126" s="8" t="str">
        <f t="shared" si="398"/>
        <v>N</v>
      </c>
      <c r="E2126" s="8" t="str">
        <f t="shared" si="399"/>
        <v>N</v>
      </c>
      <c r="F2126" s="8" t="str">
        <f t="shared" si="400"/>
        <v>N</v>
      </c>
      <c r="G2126" s="8" t="str">
        <f t="shared" si="401"/>
        <v>N</v>
      </c>
      <c r="H2126" s="8" t="str">
        <f t="shared" si="402"/>
        <v>Lower</v>
      </c>
      <c r="I2126" s="8" t="str">
        <f t="shared" si="403"/>
        <v>Outside</v>
      </c>
      <c r="J2126" s="8" t="str">
        <f t="shared" si="404"/>
        <v>Outside</v>
      </c>
      <c r="K2126" s="8" t="str">
        <f t="shared" si="405"/>
        <v>Riparian</v>
      </c>
      <c r="L2126" s="8">
        <f t="shared" si="406"/>
        <v>1000</v>
      </c>
      <c r="M2126" s="8" t="str">
        <f t="shared" si="408"/>
        <v>-</v>
      </c>
      <c r="N2126" s="10" t="s">
        <v>241</v>
      </c>
      <c r="O2126" s="10" t="s">
        <v>242</v>
      </c>
      <c r="P2126" s="10" t="s">
        <v>242</v>
      </c>
      <c r="Q2126" s="10" t="s">
        <v>242</v>
      </c>
      <c r="R2126" s="10" t="s">
        <v>242</v>
      </c>
      <c r="S2126" s="10" t="s">
        <v>241</v>
      </c>
      <c r="T2126" s="10" t="s">
        <v>242</v>
      </c>
      <c r="U2126" s="10" t="s">
        <v>242</v>
      </c>
      <c r="V2126" s="10" t="s">
        <v>242</v>
      </c>
      <c r="W2126" s="10" t="s">
        <v>242</v>
      </c>
      <c r="X2126" s="15">
        <f>IF(ISERROR(VLOOKUP($A2126,'13. Updated Demand'!A:Z,15,FALSE)),0,VLOOKUP($A2126,'13. Updated Demand'!A:Z,15,FALSE))</f>
        <v>0.46666666699999998</v>
      </c>
      <c r="Y2126" s="16">
        <f>IF(ISERROR(VLOOKUP($A2126,'13. Updated Demand'!A:Z,16,FALSE)),0,VLOOKUP($A2126,'13. Updated Demand'!A:Z,16,FALSE))</f>
        <v>0.233333333</v>
      </c>
      <c r="Z2126" s="16">
        <f>IF(ISERROR(VLOOKUP($A2126,'13. Updated Demand'!A:Z,17,FALSE)),0,VLOOKUP($A2126,'13. Updated Demand'!A:Z,17,FALSE))</f>
        <v>0.2</v>
      </c>
      <c r="AA2126" s="16">
        <f>IF(ISERROR(VLOOKUP($A2126,'13. Updated Demand'!A:Z,18,FALSE)),0,VLOOKUP($A2126,'13. Updated Demand'!A:Z,18,FALSE))</f>
        <v>0.26666666700000002</v>
      </c>
      <c r="AB2126" s="16">
        <f>IF(ISERROR(VLOOKUP($A2126,'13. Updated Demand'!A:Z,19,FALSE)),0,VLOOKUP($A2126,'13. Updated Demand'!A:Z,19,FALSE))</f>
        <v>0.5</v>
      </c>
      <c r="AC2126" s="16">
        <f>IF(ISERROR(VLOOKUP($A2126,'13. Updated Demand'!A:Z,20,FALSE)),0,VLOOKUP($A2126,'13. Updated Demand'!A:Z,20,FALSE))</f>
        <v>1.766666667</v>
      </c>
      <c r="AD2126" s="16">
        <f>IF(ISERROR(VLOOKUP($A2126,'13. Updated Demand'!A:Z,21,FALSE)),0,VLOOKUP($A2126,'13. Updated Demand'!A:Z,21,FALSE))</f>
        <v>3.1</v>
      </c>
      <c r="AE2126" s="16">
        <f>IF(ISERROR(VLOOKUP($A2126,'13. Updated Demand'!A:Z,22,FALSE)),0,VLOOKUP($A2126,'13. Updated Demand'!A:Z,22,FALSE))</f>
        <v>2.6</v>
      </c>
      <c r="AF2126" s="16">
        <f>IF(ISERROR(VLOOKUP($A2126,'13. Updated Demand'!A:Z,23,FALSE)),0,VLOOKUP($A2126,'13. Updated Demand'!A:Z,23,FALSE))</f>
        <v>2.5333333329999999</v>
      </c>
      <c r="AG2126" s="16">
        <f>IF(ISERROR(VLOOKUP($A2126,'13. Updated Demand'!A:Z,24,FALSE)),0,VLOOKUP($A2126,'13. Updated Demand'!A:Z,24,FALSE))</f>
        <v>0.9</v>
      </c>
      <c r="AH2126" s="16">
        <f>IF(ISERROR(VLOOKUP($A2126,'13. Updated Demand'!A:Z,25,FALSE)),0,VLOOKUP($A2126,'13. Updated Demand'!A:Z,25,FALSE))</f>
        <v>0.33333333300000001</v>
      </c>
      <c r="AI2126" s="16">
        <f>IF(ISERROR(VLOOKUP($A2126,'13. Updated Demand'!A:Z,26,FALSE)),0,VLOOKUP($A2126,'13. Updated Demand'!A:Z,26,FALSE))</f>
        <v>0.3</v>
      </c>
      <c r="AJ2126" s="16">
        <f t="shared" si="397"/>
        <v>13.200000000000001</v>
      </c>
      <c r="AK2126" s="19">
        <v>10.5</v>
      </c>
      <c r="AL2126" s="16">
        <f t="shared" si="407"/>
        <v>3.4827303937602846E-2</v>
      </c>
      <c r="AM2126" s="26">
        <v>6.5078488601404125E-2</v>
      </c>
      <c r="AN2126" s="19">
        <v>202.83199999999999</v>
      </c>
      <c r="AO2126" s="19" t="s">
        <v>1758</v>
      </c>
      <c r="AP2126" s="19">
        <v>0</v>
      </c>
      <c r="AQ2126" s="19" t="s">
        <v>307</v>
      </c>
      <c r="AR2126" s="9" t="s">
        <v>486</v>
      </c>
      <c r="AS2126" s="12">
        <v>0</v>
      </c>
      <c r="AT2126" s="19">
        <v>38.529499999999999</v>
      </c>
      <c r="AU2126" s="19">
        <v>-122.8642</v>
      </c>
      <c r="AV2126" s="19" t="s">
        <v>548</v>
      </c>
    </row>
    <row r="2127" spans="1:48" x14ac:dyDescent="0.25">
      <c r="A2127" s="18" t="s">
        <v>2564</v>
      </c>
      <c r="B2127" s="10">
        <v>10000000</v>
      </c>
      <c r="C2127" s="9">
        <v>17</v>
      </c>
      <c r="D2127" s="8" t="str">
        <f t="shared" si="398"/>
        <v>N</v>
      </c>
      <c r="E2127" s="8" t="str">
        <f t="shared" si="399"/>
        <v>N</v>
      </c>
      <c r="F2127" s="8" t="str">
        <f t="shared" si="400"/>
        <v>N</v>
      </c>
      <c r="G2127" s="8" t="str">
        <f t="shared" si="401"/>
        <v>N</v>
      </c>
      <c r="H2127" s="8" t="str">
        <f t="shared" si="402"/>
        <v>Lower</v>
      </c>
      <c r="I2127" s="8" t="str">
        <f t="shared" si="403"/>
        <v>Outside</v>
      </c>
      <c r="J2127" s="8" t="str">
        <f t="shared" si="404"/>
        <v>Outside</v>
      </c>
      <c r="K2127" s="8" t="str">
        <f t="shared" si="405"/>
        <v>Riparian</v>
      </c>
      <c r="L2127" s="8">
        <f t="shared" si="406"/>
        <v>1000</v>
      </c>
      <c r="M2127" s="8" t="str">
        <f t="shared" si="408"/>
        <v>-</v>
      </c>
      <c r="N2127" s="10" t="s">
        <v>241</v>
      </c>
      <c r="O2127" s="10" t="s">
        <v>242</v>
      </c>
      <c r="P2127" s="10" t="s">
        <v>242</v>
      </c>
      <c r="Q2127" s="10" t="s">
        <v>242</v>
      </c>
      <c r="R2127" s="10" t="s">
        <v>242</v>
      </c>
      <c r="S2127" s="10" t="s">
        <v>241</v>
      </c>
      <c r="T2127" s="10" t="s">
        <v>242</v>
      </c>
      <c r="U2127" s="10" t="s">
        <v>242</v>
      </c>
      <c r="V2127" s="10" t="s">
        <v>242</v>
      </c>
      <c r="W2127" s="10" t="s">
        <v>242</v>
      </c>
      <c r="X2127" s="15">
        <f>IF(ISERROR(VLOOKUP($A2127,'13. Updated Demand'!A:Z,15,FALSE)),0,VLOOKUP($A2127,'13. Updated Demand'!A:Z,15,FALSE))</f>
        <v>0.2</v>
      </c>
      <c r="Y2127" s="16">
        <f>IF(ISERROR(VLOOKUP($A2127,'13. Updated Demand'!A:Z,16,FALSE)),0,VLOOKUP($A2127,'13. Updated Demand'!A:Z,16,FALSE))</f>
        <v>0.16666666699999999</v>
      </c>
      <c r="Z2127" s="16">
        <f>IF(ISERROR(VLOOKUP($A2127,'13. Updated Demand'!A:Z,17,FALSE)),0,VLOOKUP($A2127,'13. Updated Demand'!A:Z,17,FALSE))</f>
        <v>0.26666666700000002</v>
      </c>
      <c r="AA2127" s="16">
        <f>IF(ISERROR(VLOOKUP($A2127,'13. Updated Demand'!A:Z,18,FALSE)),0,VLOOKUP($A2127,'13. Updated Demand'!A:Z,18,FALSE))</f>
        <v>0.233333333</v>
      </c>
      <c r="AB2127" s="16">
        <f>IF(ISERROR(VLOOKUP($A2127,'13. Updated Demand'!A:Z,19,FALSE)),0,VLOOKUP($A2127,'13. Updated Demand'!A:Z,19,FALSE))</f>
        <v>0.63333333300000005</v>
      </c>
      <c r="AC2127" s="16">
        <f>IF(ISERROR(VLOOKUP($A2127,'13. Updated Demand'!A:Z,20,FALSE)),0,VLOOKUP($A2127,'13. Updated Demand'!A:Z,20,FALSE))</f>
        <v>1</v>
      </c>
      <c r="AD2127" s="16">
        <f>IF(ISERROR(VLOOKUP($A2127,'13. Updated Demand'!A:Z,21,FALSE)),0,VLOOKUP($A2127,'13. Updated Demand'!A:Z,21,FALSE))</f>
        <v>1.3666666670000001</v>
      </c>
      <c r="AE2127" s="16">
        <f>IF(ISERROR(VLOOKUP($A2127,'13. Updated Demand'!A:Z,22,FALSE)),0,VLOOKUP($A2127,'13. Updated Demand'!A:Z,22,FALSE))</f>
        <v>1.233333333</v>
      </c>
      <c r="AF2127" s="16">
        <f>IF(ISERROR(VLOOKUP($A2127,'13. Updated Demand'!A:Z,23,FALSE)),0,VLOOKUP($A2127,'13. Updated Demand'!A:Z,23,FALSE))</f>
        <v>1</v>
      </c>
      <c r="AG2127" s="16">
        <f>IF(ISERROR(VLOOKUP($A2127,'13. Updated Demand'!A:Z,24,FALSE)),0,VLOOKUP($A2127,'13. Updated Demand'!A:Z,24,FALSE))</f>
        <v>0.83333333300000001</v>
      </c>
      <c r="AH2127" s="16">
        <f>IF(ISERROR(VLOOKUP($A2127,'13. Updated Demand'!A:Z,25,FALSE)),0,VLOOKUP($A2127,'13. Updated Demand'!A:Z,25,FALSE))</f>
        <v>0.6</v>
      </c>
      <c r="AI2127" s="16">
        <f>IF(ISERROR(VLOOKUP($A2127,'13. Updated Demand'!A:Z,26,FALSE)),0,VLOOKUP($A2127,'13. Updated Demand'!A:Z,26,FALSE))</f>
        <v>1.4</v>
      </c>
      <c r="AJ2127" s="16">
        <f t="shared" si="397"/>
        <v>8.9333333329999984</v>
      </c>
      <c r="AK2127" s="19">
        <v>5.2333333333333325</v>
      </c>
      <c r="AL2127" s="16">
        <f t="shared" si="407"/>
        <v>1.7358370533979831E-2</v>
      </c>
      <c r="AM2127" s="26">
        <v>0.11210949918846107</v>
      </c>
      <c r="AN2127" s="19">
        <v>79.683999999999997</v>
      </c>
      <c r="AO2127" s="19" t="s">
        <v>1758</v>
      </c>
      <c r="AP2127" s="19">
        <v>0</v>
      </c>
      <c r="AQ2127" s="19" t="s">
        <v>307</v>
      </c>
      <c r="AR2127" s="9" t="s">
        <v>486</v>
      </c>
      <c r="AS2127" s="12">
        <v>3.4039024194010059E-4</v>
      </c>
      <c r="AT2127" s="19">
        <v>38.529899999999998</v>
      </c>
      <c r="AU2127" s="19">
        <v>-122.8642</v>
      </c>
      <c r="AV2127" s="19" t="s">
        <v>548</v>
      </c>
    </row>
    <row r="2128" spans="1:48" x14ac:dyDescent="0.25">
      <c r="A2128" s="18" t="s">
        <v>2565</v>
      </c>
      <c r="B2128" s="10">
        <v>10000000</v>
      </c>
      <c r="C2128" s="9">
        <v>17</v>
      </c>
      <c r="D2128" s="8" t="str">
        <f t="shared" si="398"/>
        <v>N</v>
      </c>
      <c r="E2128" s="8" t="str">
        <f t="shared" si="399"/>
        <v>N</v>
      </c>
      <c r="F2128" s="8" t="str">
        <f t="shared" si="400"/>
        <v>N</v>
      </c>
      <c r="G2128" s="8" t="str">
        <f t="shared" si="401"/>
        <v>N</v>
      </c>
      <c r="H2128" s="8" t="str">
        <f t="shared" si="402"/>
        <v>Lower</v>
      </c>
      <c r="I2128" s="8" t="str">
        <f t="shared" si="403"/>
        <v>Outside</v>
      </c>
      <c r="J2128" s="8" t="str">
        <f t="shared" si="404"/>
        <v>Outside</v>
      </c>
      <c r="K2128" s="8" t="str">
        <f t="shared" si="405"/>
        <v>Riparian</v>
      </c>
      <c r="L2128" s="8">
        <f t="shared" si="406"/>
        <v>1000</v>
      </c>
      <c r="M2128" s="8" t="str">
        <f t="shared" si="408"/>
        <v>-</v>
      </c>
      <c r="N2128" s="10" t="s">
        <v>241</v>
      </c>
      <c r="O2128" s="10" t="s">
        <v>242</v>
      </c>
      <c r="P2128" s="10" t="s">
        <v>242</v>
      </c>
      <c r="Q2128" s="10" t="s">
        <v>242</v>
      </c>
      <c r="R2128" s="10" t="s">
        <v>242</v>
      </c>
      <c r="S2128" s="10" t="s">
        <v>241</v>
      </c>
      <c r="T2128" s="10" t="s">
        <v>242</v>
      </c>
      <c r="U2128" s="10" t="s">
        <v>242</v>
      </c>
      <c r="V2128" s="10" t="s">
        <v>241</v>
      </c>
      <c r="W2128" s="10" t="s">
        <v>242</v>
      </c>
      <c r="X2128" s="15">
        <f>IF(ISERROR(VLOOKUP($A2128,'13. Updated Demand'!A:Z,15,FALSE)),0,VLOOKUP($A2128,'13. Updated Demand'!A:Z,15,FALSE))</f>
        <v>0</v>
      </c>
      <c r="Y2128" s="16">
        <f>IF(ISERROR(VLOOKUP($A2128,'13. Updated Demand'!A:Z,16,FALSE)),0,VLOOKUP($A2128,'13. Updated Demand'!A:Z,16,FALSE))</f>
        <v>6.6666666999999999E-2</v>
      </c>
      <c r="Z2128" s="16">
        <f>IF(ISERROR(VLOOKUP($A2128,'13. Updated Demand'!A:Z,17,FALSE)),0,VLOOKUP($A2128,'13. Updated Demand'!A:Z,17,FALSE))</f>
        <v>6.6666666999999999E-2</v>
      </c>
      <c r="AA2128" s="16">
        <f>IF(ISERROR(VLOOKUP($A2128,'13. Updated Demand'!A:Z,18,FALSE)),0,VLOOKUP($A2128,'13. Updated Demand'!A:Z,18,FALSE))</f>
        <v>0</v>
      </c>
      <c r="AB2128" s="16">
        <f>IF(ISERROR(VLOOKUP($A2128,'13. Updated Demand'!A:Z,19,FALSE)),0,VLOOKUP($A2128,'13. Updated Demand'!A:Z,19,FALSE))</f>
        <v>0</v>
      </c>
      <c r="AC2128" s="16">
        <f>IF(ISERROR(VLOOKUP($A2128,'13. Updated Demand'!A:Z,20,FALSE)),0,VLOOKUP($A2128,'13. Updated Demand'!A:Z,20,FALSE))</f>
        <v>0</v>
      </c>
      <c r="AD2128" s="16">
        <f>IF(ISERROR(VLOOKUP($A2128,'13. Updated Demand'!A:Z,21,FALSE)),0,VLOOKUP($A2128,'13. Updated Demand'!A:Z,21,FALSE))</f>
        <v>0</v>
      </c>
      <c r="AE2128" s="16">
        <f>IF(ISERROR(VLOOKUP($A2128,'13. Updated Demand'!A:Z,22,FALSE)),0,VLOOKUP($A2128,'13. Updated Demand'!A:Z,22,FALSE))</f>
        <v>0</v>
      </c>
      <c r="AF2128" s="16">
        <f>IF(ISERROR(VLOOKUP($A2128,'13. Updated Demand'!A:Z,23,FALSE)),0,VLOOKUP($A2128,'13. Updated Demand'!A:Z,23,FALSE))</f>
        <v>0</v>
      </c>
      <c r="AG2128" s="16">
        <f>IF(ISERROR(VLOOKUP($A2128,'13. Updated Demand'!A:Z,24,FALSE)),0,VLOOKUP($A2128,'13. Updated Demand'!A:Z,24,FALSE))</f>
        <v>0</v>
      </c>
      <c r="AH2128" s="16">
        <f>IF(ISERROR(VLOOKUP($A2128,'13. Updated Demand'!A:Z,25,FALSE)),0,VLOOKUP($A2128,'13. Updated Demand'!A:Z,25,FALSE))</f>
        <v>0</v>
      </c>
      <c r="AI2128" s="16">
        <f>IF(ISERROR(VLOOKUP($A2128,'13. Updated Demand'!A:Z,26,FALSE)),0,VLOOKUP($A2128,'13. Updated Demand'!A:Z,26,FALSE))</f>
        <v>0</v>
      </c>
      <c r="AJ2128" s="16">
        <f t="shared" ref="AJ2128:AJ2191" si="409">SUM(X2128:AI2128)</f>
        <v>0.133333334</v>
      </c>
      <c r="AK2128" s="19">
        <v>0</v>
      </c>
      <c r="AL2128" s="16">
        <f t="shared" si="407"/>
        <v>0</v>
      </c>
      <c r="AM2128" s="26">
        <v>1.1155174104378963E-4</v>
      </c>
      <c r="AN2128" s="19">
        <v>1195.26</v>
      </c>
      <c r="AO2128" s="19" t="s">
        <v>1758</v>
      </c>
      <c r="AP2128" s="19">
        <v>0</v>
      </c>
      <c r="AQ2128" s="19" t="s">
        <v>307</v>
      </c>
      <c r="AR2128" s="9" t="s">
        <v>486</v>
      </c>
      <c r="AS2128" s="12">
        <v>0</v>
      </c>
      <c r="AT2128" s="19">
        <v>38.5289</v>
      </c>
      <c r="AU2128" s="19">
        <v>-122.8638</v>
      </c>
      <c r="AV2128" s="19" t="s">
        <v>548</v>
      </c>
    </row>
    <row r="2129" spans="1:48" x14ac:dyDescent="0.25">
      <c r="A2129" s="18" t="s">
        <v>2566</v>
      </c>
      <c r="B2129" s="10">
        <v>10000000</v>
      </c>
      <c r="C2129" s="9">
        <v>23</v>
      </c>
      <c r="D2129" s="8" t="str">
        <f t="shared" si="398"/>
        <v>N</v>
      </c>
      <c r="E2129" s="8" t="str">
        <f t="shared" si="399"/>
        <v>N</v>
      </c>
      <c r="F2129" s="8" t="str">
        <f t="shared" si="400"/>
        <v>N</v>
      </c>
      <c r="G2129" s="8" t="str">
        <f t="shared" si="401"/>
        <v>N</v>
      </c>
      <c r="H2129" s="8" t="str">
        <f t="shared" si="402"/>
        <v>Lower</v>
      </c>
      <c r="I2129" s="8" t="str">
        <f t="shared" si="403"/>
        <v>Outside</v>
      </c>
      <c r="J2129" s="8" t="str">
        <f t="shared" si="404"/>
        <v>Outside</v>
      </c>
      <c r="K2129" s="8" t="str">
        <f t="shared" si="405"/>
        <v>Riparian</v>
      </c>
      <c r="L2129" s="8">
        <f t="shared" si="406"/>
        <v>1000</v>
      </c>
      <c r="M2129" s="8" t="str">
        <f t="shared" si="408"/>
        <v>-</v>
      </c>
      <c r="N2129" s="10" t="s">
        <v>242</v>
      </c>
      <c r="O2129" s="10" t="s">
        <v>242</v>
      </c>
      <c r="P2129" s="10" t="s">
        <v>242</v>
      </c>
      <c r="Q2129" s="10" t="s">
        <v>242</v>
      </c>
      <c r="R2129" s="10" t="s">
        <v>242</v>
      </c>
      <c r="S2129" s="10" t="s">
        <v>241</v>
      </c>
      <c r="T2129" s="10" t="s">
        <v>242</v>
      </c>
      <c r="U2129" s="10" t="s">
        <v>242</v>
      </c>
      <c r="V2129" s="10" t="s">
        <v>242</v>
      </c>
      <c r="W2129" s="10" t="s">
        <v>242</v>
      </c>
      <c r="X2129" s="15">
        <f>IF(ISERROR(VLOOKUP($A2129,'13. Updated Demand'!A:Z,15,FALSE)),0,VLOOKUP($A2129,'13. Updated Demand'!A:Z,15,FALSE))</f>
        <v>0</v>
      </c>
      <c r="Y2129" s="16">
        <f>IF(ISERROR(VLOOKUP($A2129,'13. Updated Demand'!A:Z,16,FALSE)),0,VLOOKUP($A2129,'13. Updated Demand'!A:Z,16,FALSE))</f>
        <v>0</v>
      </c>
      <c r="Z2129" s="16">
        <f>IF(ISERROR(VLOOKUP($A2129,'13. Updated Demand'!A:Z,17,FALSE)),0,VLOOKUP($A2129,'13. Updated Demand'!A:Z,17,FALSE))</f>
        <v>0</v>
      </c>
      <c r="AA2129" s="16">
        <f>IF(ISERROR(VLOOKUP($A2129,'13. Updated Demand'!A:Z,18,FALSE)),0,VLOOKUP($A2129,'13. Updated Demand'!A:Z,18,FALSE))</f>
        <v>0</v>
      </c>
      <c r="AB2129" s="16">
        <f>IF(ISERROR(VLOOKUP($A2129,'13. Updated Demand'!A:Z,19,FALSE)),0,VLOOKUP($A2129,'13. Updated Demand'!A:Z,19,FALSE))</f>
        <v>0</v>
      </c>
      <c r="AC2129" s="16">
        <f>IF(ISERROR(VLOOKUP($A2129,'13. Updated Demand'!A:Z,20,FALSE)),0,VLOOKUP($A2129,'13. Updated Demand'!A:Z,20,FALSE))</f>
        <v>0</v>
      </c>
      <c r="AD2129" s="16">
        <f>IF(ISERROR(VLOOKUP($A2129,'13. Updated Demand'!A:Z,21,FALSE)),0,VLOOKUP($A2129,'13. Updated Demand'!A:Z,21,FALSE))</f>
        <v>6.2359667000000001E-2</v>
      </c>
      <c r="AE2129" s="16">
        <f>IF(ISERROR(VLOOKUP($A2129,'13. Updated Demand'!A:Z,22,FALSE)),0,VLOOKUP($A2129,'13. Updated Demand'!A:Z,22,FALSE))</f>
        <v>0.129112333</v>
      </c>
      <c r="AF2129" s="16">
        <f>IF(ISERROR(VLOOKUP($A2129,'13. Updated Demand'!A:Z,23,FALSE)),0,VLOOKUP($A2129,'13. Updated Demand'!A:Z,23,FALSE))</f>
        <v>3.288E-2</v>
      </c>
      <c r="AG2129" s="16">
        <f>IF(ISERROR(VLOOKUP($A2129,'13. Updated Demand'!A:Z,24,FALSE)),0,VLOOKUP($A2129,'13. Updated Demand'!A:Z,24,FALSE))</f>
        <v>2.9479667000000001E-2</v>
      </c>
      <c r="AH2129" s="16">
        <f>IF(ISERROR(VLOOKUP($A2129,'13. Updated Demand'!A:Z,25,FALSE)),0,VLOOKUP($A2129,'13. Updated Demand'!A:Z,25,FALSE))</f>
        <v>0</v>
      </c>
      <c r="AI2129" s="16">
        <f>IF(ISERROR(VLOOKUP($A2129,'13. Updated Demand'!A:Z,26,FALSE)),0,VLOOKUP($A2129,'13. Updated Demand'!A:Z,26,FALSE))</f>
        <v>0</v>
      </c>
      <c r="AJ2129" s="16">
        <f t="shared" si="409"/>
        <v>0.25383166699999998</v>
      </c>
      <c r="AK2129" s="19">
        <v>0.224352</v>
      </c>
      <c r="AL2129" s="16">
        <f t="shared" si="407"/>
        <v>7.4415002790562601E-4</v>
      </c>
      <c r="AM2129" s="26">
        <v>4.1939273790959621E-4</v>
      </c>
      <c r="AN2129" s="19">
        <v>605.23620000000005</v>
      </c>
      <c r="AO2129" s="19" t="s">
        <v>1758</v>
      </c>
      <c r="AP2129" s="19">
        <v>0</v>
      </c>
      <c r="AQ2129" s="19" t="s">
        <v>307</v>
      </c>
      <c r="AR2129" s="9" t="s">
        <v>323</v>
      </c>
      <c r="AS2129" s="12">
        <v>0</v>
      </c>
      <c r="AT2129" s="19">
        <v>38.489199999999997</v>
      </c>
      <c r="AU2129" s="19">
        <v>-122.78530000000001</v>
      </c>
      <c r="AV2129" s="19" t="s">
        <v>735</v>
      </c>
    </row>
    <row r="2130" spans="1:48" x14ac:dyDescent="0.25">
      <c r="A2130" s="18" t="s">
        <v>2567</v>
      </c>
      <c r="B2130" s="10">
        <v>10000000</v>
      </c>
      <c r="C2130" s="9">
        <v>1</v>
      </c>
      <c r="D2130" s="8" t="str">
        <f t="shared" si="398"/>
        <v>N</v>
      </c>
      <c r="E2130" s="8" t="str">
        <f t="shared" si="399"/>
        <v>N</v>
      </c>
      <c r="F2130" s="8" t="str">
        <f t="shared" si="400"/>
        <v>Y</v>
      </c>
      <c r="G2130" s="8" t="str">
        <f t="shared" si="401"/>
        <v>Y</v>
      </c>
      <c r="H2130" s="8" t="str">
        <f t="shared" si="402"/>
        <v>Upper</v>
      </c>
      <c r="I2130" s="8" t="str">
        <f t="shared" si="403"/>
        <v>West Fork and Below Lake</v>
      </c>
      <c r="J2130" s="8" t="str">
        <f t="shared" si="404"/>
        <v>Outside</v>
      </c>
      <c r="K2130" s="8" t="str">
        <f t="shared" si="405"/>
        <v>Riparian</v>
      </c>
      <c r="L2130" s="8">
        <f t="shared" si="406"/>
        <v>1000</v>
      </c>
      <c r="M2130" s="8" t="str">
        <f t="shared" si="408"/>
        <v>-</v>
      </c>
      <c r="N2130" s="10" t="s">
        <v>242</v>
      </c>
      <c r="O2130" s="10" t="s">
        <v>241</v>
      </c>
      <c r="P2130" s="10" t="s">
        <v>242</v>
      </c>
      <c r="Q2130" s="10" t="s">
        <v>242</v>
      </c>
      <c r="R2130" s="10" t="s">
        <v>242</v>
      </c>
      <c r="S2130" s="10" t="s">
        <v>241</v>
      </c>
      <c r="T2130" s="10" t="s">
        <v>242</v>
      </c>
      <c r="U2130" s="10" t="s">
        <v>241</v>
      </c>
      <c r="V2130" s="10" t="s">
        <v>241</v>
      </c>
      <c r="W2130" s="10" t="s">
        <v>242</v>
      </c>
      <c r="X2130" s="15">
        <f>IF(ISERROR(VLOOKUP($A2130,'13. Updated Demand'!A:Z,15,FALSE)),0,VLOOKUP($A2130,'13. Updated Demand'!A:Z,15,FALSE))</f>
        <v>0</v>
      </c>
      <c r="Y2130" s="16">
        <f>IF(ISERROR(VLOOKUP($A2130,'13. Updated Demand'!A:Z,16,FALSE)),0,VLOOKUP($A2130,'13. Updated Demand'!A:Z,16,FALSE))</f>
        <v>0</v>
      </c>
      <c r="Z2130" s="16">
        <f>IF(ISERROR(VLOOKUP($A2130,'13. Updated Demand'!A:Z,17,FALSE)),0,VLOOKUP($A2130,'13. Updated Demand'!A:Z,17,FALSE))</f>
        <v>0</v>
      </c>
      <c r="AA2130" s="16">
        <f>IF(ISERROR(VLOOKUP($A2130,'13. Updated Demand'!A:Z,18,FALSE)),0,VLOOKUP($A2130,'13. Updated Demand'!A:Z,18,FALSE))</f>
        <v>0</v>
      </c>
      <c r="AB2130" s="16">
        <f>IF(ISERROR(VLOOKUP($A2130,'13. Updated Demand'!A:Z,19,FALSE)),0,VLOOKUP($A2130,'13. Updated Demand'!A:Z,19,FALSE))</f>
        <v>0</v>
      </c>
      <c r="AC2130" s="16">
        <f>IF(ISERROR(VLOOKUP($A2130,'13. Updated Demand'!A:Z,20,FALSE)),0,VLOOKUP($A2130,'13. Updated Demand'!A:Z,20,FALSE))</f>
        <v>0</v>
      </c>
      <c r="AD2130" s="16">
        <f>IF(ISERROR(VLOOKUP($A2130,'13. Updated Demand'!A:Z,21,FALSE)),0,VLOOKUP($A2130,'13. Updated Demand'!A:Z,21,FALSE))</f>
        <v>0</v>
      </c>
      <c r="AE2130" s="16">
        <f>IF(ISERROR(VLOOKUP($A2130,'13. Updated Demand'!A:Z,22,FALSE)),0,VLOOKUP($A2130,'13. Updated Demand'!A:Z,22,FALSE))</f>
        <v>0</v>
      </c>
      <c r="AF2130" s="16">
        <f>IF(ISERROR(VLOOKUP($A2130,'13. Updated Demand'!A:Z,23,FALSE)),0,VLOOKUP($A2130,'13. Updated Demand'!A:Z,23,FALSE))</f>
        <v>0</v>
      </c>
      <c r="AG2130" s="16">
        <f>IF(ISERROR(VLOOKUP($A2130,'13. Updated Demand'!A:Z,24,FALSE)),0,VLOOKUP($A2130,'13. Updated Demand'!A:Z,24,FALSE))</f>
        <v>0</v>
      </c>
      <c r="AH2130" s="16">
        <f>IF(ISERROR(VLOOKUP($A2130,'13. Updated Demand'!A:Z,25,FALSE)),0,VLOOKUP($A2130,'13. Updated Demand'!A:Z,25,FALSE))</f>
        <v>0</v>
      </c>
      <c r="AI2130" s="16">
        <f>IF(ISERROR(VLOOKUP($A2130,'13. Updated Demand'!A:Z,26,FALSE)),0,VLOOKUP($A2130,'13. Updated Demand'!A:Z,26,FALSE))</f>
        <v>0</v>
      </c>
      <c r="AJ2130" s="16">
        <f t="shared" si="409"/>
        <v>0</v>
      </c>
      <c r="AK2130" s="19">
        <v>0</v>
      </c>
      <c r="AL2130" s="16">
        <f t="shared" si="407"/>
        <v>0</v>
      </c>
      <c r="AM2130" s="26">
        <v>0</v>
      </c>
      <c r="AN2130" s="19">
        <v>8.0399999999999991</v>
      </c>
      <c r="AO2130" s="19" t="s">
        <v>1758</v>
      </c>
      <c r="AP2130" s="19">
        <v>0</v>
      </c>
      <c r="AQ2130" s="19" t="s">
        <v>307</v>
      </c>
      <c r="AR2130" s="9" t="s">
        <v>317</v>
      </c>
      <c r="AS2130" s="12">
        <v>0</v>
      </c>
      <c r="AT2130" s="19">
        <v>39.304499999999997</v>
      </c>
      <c r="AU2130" s="19">
        <v>-123.208</v>
      </c>
      <c r="AV2130" s="19" t="s">
        <v>385</v>
      </c>
    </row>
    <row r="2131" spans="1:48" x14ac:dyDescent="0.25">
      <c r="A2131" s="18" t="s">
        <v>2568</v>
      </c>
      <c r="B2131" s="10">
        <v>10000000</v>
      </c>
      <c r="C2131" s="9">
        <v>15</v>
      </c>
      <c r="D2131" s="8" t="str">
        <f t="shared" si="398"/>
        <v>N</v>
      </c>
      <c r="E2131" s="8" t="str">
        <f t="shared" si="399"/>
        <v>N</v>
      </c>
      <c r="F2131" s="8" t="str">
        <f t="shared" si="400"/>
        <v>N</v>
      </c>
      <c r="G2131" s="8" t="str">
        <f t="shared" si="401"/>
        <v>N</v>
      </c>
      <c r="H2131" s="8" t="str">
        <f t="shared" si="402"/>
        <v>Lower</v>
      </c>
      <c r="I2131" s="8" t="str">
        <f t="shared" si="403"/>
        <v>Outside</v>
      </c>
      <c r="J2131" s="8" t="str">
        <f t="shared" si="404"/>
        <v>Outside</v>
      </c>
      <c r="K2131" s="8" t="str">
        <f t="shared" si="405"/>
        <v>Riparian</v>
      </c>
      <c r="L2131" s="8">
        <f t="shared" si="406"/>
        <v>1000</v>
      </c>
      <c r="M2131" s="8" t="str">
        <f t="shared" si="408"/>
        <v>-</v>
      </c>
      <c r="N2131" s="10" t="s">
        <v>242</v>
      </c>
      <c r="O2131" s="10" t="s">
        <v>242</v>
      </c>
      <c r="P2131" s="10" t="s">
        <v>242</v>
      </c>
      <c r="Q2131" s="10" t="s">
        <v>242</v>
      </c>
      <c r="R2131" s="10" t="s">
        <v>242</v>
      </c>
      <c r="S2131" s="10" t="s">
        <v>241</v>
      </c>
      <c r="T2131" s="10" t="s">
        <v>242</v>
      </c>
      <c r="U2131" s="10" t="s">
        <v>241</v>
      </c>
      <c r="V2131" s="10" t="s">
        <v>241</v>
      </c>
      <c r="W2131" s="10" t="s">
        <v>242</v>
      </c>
      <c r="X2131" s="15">
        <f>IF(ISERROR(VLOOKUP($A2131,'13. Updated Demand'!A:Z,15,FALSE)),0,VLOOKUP($A2131,'13. Updated Demand'!A:Z,15,FALSE))</f>
        <v>0</v>
      </c>
      <c r="Y2131" s="16">
        <f>IF(ISERROR(VLOOKUP($A2131,'13. Updated Demand'!A:Z,16,FALSE)),0,VLOOKUP($A2131,'13. Updated Demand'!A:Z,16,FALSE))</f>
        <v>0</v>
      </c>
      <c r="Z2131" s="16">
        <f>IF(ISERROR(VLOOKUP($A2131,'13. Updated Demand'!A:Z,17,FALSE)),0,VLOOKUP($A2131,'13. Updated Demand'!A:Z,17,FALSE))</f>
        <v>0</v>
      </c>
      <c r="AA2131" s="16">
        <f>IF(ISERROR(VLOOKUP($A2131,'13. Updated Demand'!A:Z,18,FALSE)),0,VLOOKUP($A2131,'13. Updated Demand'!A:Z,18,FALSE))</f>
        <v>0</v>
      </c>
      <c r="AB2131" s="16">
        <f>IF(ISERROR(VLOOKUP($A2131,'13. Updated Demand'!A:Z,19,FALSE)),0,VLOOKUP($A2131,'13. Updated Demand'!A:Z,19,FALSE))</f>
        <v>0</v>
      </c>
      <c r="AC2131" s="16">
        <f>IF(ISERROR(VLOOKUP($A2131,'13. Updated Demand'!A:Z,20,FALSE)),0,VLOOKUP($A2131,'13. Updated Demand'!A:Z,20,FALSE))</f>
        <v>0</v>
      </c>
      <c r="AD2131" s="16">
        <f>IF(ISERROR(VLOOKUP($A2131,'13. Updated Demand'!A:Z,21,FALSE)),0,VLOOKUP($A2131,'13. Updated Demand'!A:Z,21,FALSE))</f>
        <v>0</v>
      </c>
      <c r="AE2131" s="16">
        <f>IF(ISERROR(VLOOKUP($A2131,'13. Updated Demand'!A:Z,22,FALSE)),0,VLOOKUP($A2131,'13. Updated Demand'!A:Z,22,FALSE))</f>
        <v>0</v>
      </c>
      <c r="AF2131" s="16">
        <f>IF(ISERROR(VLOOKUP($A2131,'13. Updated Demand'!A:Z,23,FALSE)),0,VLOOKUP($A2131,'13. Updated Demand'!A:Z,23,FALSE))</f>
        <v>0</v>
      </c>
      <c r="AG2131" s="16">
        <f>IF(ISERROR(VLOOKUP($A2131,'13. Updated Demand'!A:Z,24,FALSE)),0,VLOOKUP($A2131,'13. Updated Demand'!A:Z,24,FALSE))</f>
        <v>0</v>
      </c>
      <c r="AH2131" s="16">
        <f>IF(ISERROR(VLOOKUP($A2131,'13. Updated Demand'!A:Z,25,FALSE)),0,VLOOKUP($A2131,'13. Updated Demand'!A:Z,25,FALSE))</f>
        <v>0</v>
      </c>
      <c r="AI2131" s="16">
        <f>IF(ISERROR(VLOOKUP($A2131,'13. Updated Demand'!A:Z,26,FALSE)),0,VLOOKUP($A2131,'13. Updated Demand'!A:Z,26,FALSE))</f>
        <v>0</v>
      </c>
      <c r="AJ2131" s="16">
        <f t="shared" si="409"/>
        <v>0</v>
      </c>
      <c r="AK2131" s="19">
        <v>0</v>
      </c>
      <c r="AL2131" s="16">
        <f t="shared" si="407"/>
        <v>0</v>
      </c>
      <c r="AM2131" s="26">
        <v>0</v>
      </c>
      <c r="AN2131" s="19">
        <v>0</v>
      </c>
      <c r="AO2131" s="19" t="s">
        <v>1758</v>
      </c>
      <c r="AP2131" s="19">
        <v>0</v>
      </c>
      <c r="AQ2131" s="19" t="s">
        <v>307</v>
      </c>
      <c r="AR2131" s="9" t="s">
        <v>489</v>
      </c>
      <c r="AS2131" s="12">
        <v>0</v>
      </c>
      <c r="AT2131" s="19">
        <v>38.691099999999999</v>
      </c>
      <c r="AU2131" s="19">
        <v>-122.95610000000001</v>
      </c>
      <c r="AV2131" s="19" t="s">
        <v>932</v>
      </c>
    </row>
    <row r="2132" spans="1:48" x14ac:dyDescent="0.25">
      <c r="A2132" s="18" t="s">
        <v>2569</v>
      </c>
      <c r="B2132" s="10">
        <v>10000000</v>
      </c>
      <c r="C2132" s="9">
        <v>16</v>
      </c>
      <c r="D2132" s="8" t="str">
        <f t="shared" si="398"/>
        <v>N</v>
      </c>
      <c r="E2132" s="8" t="str">
        <f t="shared" si="399"/>
        <v>N</v>
      </c>
      <c r="F2132" s="8" t="str">
        <f t="shared" si="400"/>
        <v>N</v>
      </c>
      <c r="G2132" s="8" t="str">
        <f t="shared" si="401"/>
        <v>N</v>
      </c>
      <c r="H2132" s="8" t="str">
        <f t="shared" si="402"/>
        <v>Lower</v>
      </c>
      <c r="I2132" s="8" t="str">
        <f t="shared" si="403"/>
        <v>Outside</v>
      </c>
      <c r="J2132" s="8" t="str">
        <f t="shared" si="404"/>
        <v>Outside</v>
      </c>
      <c r="K2132" s="8" t="str">
        <f t="shared" si="405"/>
        <v>Riparian</v>
      </c>
      <c r="L2132" s="8">
        <f t="shared" si="406"/>
        <v>1000</v>
      </c>
      <c r="M2132" s="8" t="str">
        <f t="shared" si="408"/>
        <v>-</v>
      </c>
      <c r="N2132" s="10" t="s">
        <v>242</v>
      </c>
      <c r="O2132" s="10" t="s">
        <v>242</v>
      </c>
      <c r="P2132" s="10" t="s">
        <v>242</v>
      </c>
      <c r="Q2132" s="10" t="s">
        <v>242</v>
      </c>
      <c r="R2132" s="10" t="s">
        <v>242</v>
      </c>
      <c r="S2132" s="10" t="s">
        <v>241</v>
      </c>
      <c r="T2132" s="10" t="s">
        <v>242</v>
      </c>
      <c r="U2132" s="10" t="s">
        <v>241</v>
      </c>
      <c r="V2132" s="10" t="s">
        <v>241</v>
      </c>
      <c r="W2132" s="10" t="s">
        <v>242</v>
      </c>
      <c r="X2132" s="15">
        <f>IF(ISERROR(VLOOKUP($A2132,'13. Updated Demand'!A:Z,15,FALSE)),0,VLOOKUP($A2132,'13. Updated Demand'!A:Z,15,FALSE))</f>
        <v>0</v>
      </c>
      <c r="Y2132" s="16">
        <f>IF(ISERROR(VLOOKUP($A2132,'13. Updated Demand'!A:Z,16,FALSE)),0,VLOOKUP($A2132,'13. Updated Demand'!A:Z,16,FALSE))</f>
        <v>0</v>
      </c>
      <c r="Z2132" s="16">
        <f>IF(ISERROR(VLOOKUP($A2132,'13. Updated Demand'!A:Z,17,FALSE)),0,VLOOKUP($A2132,'13. Updated Demand'!A:Z,17,FALSE))</f>
        <v>0</v>
      </c>
      <c r="AA2132" s="16">
        <f>IF(ISERROR(VLOOKUP($A2132,'13. Updated Demand'!A:Z,18,FALSE)),0,VLOOKUP($A2132,'13. Updated Demand'!A:Z,18,FALSE))</f>
        <v>0</v>
      </c>
      <c r="AB2132" s="16">
        <f>IF(ISERROR(VLOOKUP($A2132,'13. Updated Demand'!A:Z,19,FALSE)),0,VLOOKUP($A2132,'13. Updated Demand'!A:Z,19,FALSE))</f>
        <v>0</v>
      </c>
      <c r="AC2132" s="16">
        <f>IF(ISERROR(VLOOKUP($A2132,'13. Updated Demand'!A:Z,20,FALSE)),0,VLOOKUP($A2132,'13. Updated Demand'!A:Z,20,FALSE))</f>
        <v>0</v>
      </c>
      <c r="AD2132" s="16">
        <f>IF(ISERROR(VLOOKUP($A2132,'13. Updated Demand'!A:Z,21,FALSE)),0,VLOOKUP($A2132,'13. Updated Demand'!A:Z,21,FALSE))</f>
        <v>0</v>
      </c>
      <c r="AE2132" s="16">
        <f>IF(ISERROR(VLOOKUP($A2132,'13. Updated Demand'!A:Z,22,FALSE)),0,VLOOKUP($A2132,'13. Updated Demand'!A:Z,22,FALSE))</f>
        <v>0</v>
      </c>
      <c r="AF2132" s="16">
        <f>IF(ISERROR(VLOOKUP($A2132,'13. Updated Demand'!A:Z,23,FALSE)),0,VLOOKUP($A2132,'13. Updated Demand'!A:Z,23,FALSE))</f>
        <v>0</v>
      </c>
      <c r="AG2132" s="16">
        <f>IF(ISERROR(VLOOKUP($A2132,'13. Updated Demand'!A:Z,24,FALSE)),0,VLOOKUP($A2132,'13. Updated Demand'!A:Z,24,FALSE))</f>
        <v>0</v>
      </c>
      <c r="AH2132" s="16">
        <f>IF(ISERROR(VLOOKUP($A2132,'13. Updated Demand'!A:Z,25,FALSE)),0,VLOOKUP($A2132,'13. Updated Demand'!A:Z,25,FALSE))</f>
        <v>0</v>
      </c>
      <c r="AI2132" s="16">
        <f>IF(ISERROR(VLOOKUP($A2132,'13. Updated Demand'!A:Z,26,FALSE)),0,VLOOKUP($A2132,'13. Updated Demand'!A:Z,26,FALSE))</f>
        <v>0</v>
      </c>
      <c r="AJ2132" s="16">
        <f t="shared" si="409"/>
        <v>0</v>
      </c>
      <c r="AK2132" s="19">
        <v>0</v>
      </c>
      <c r="AL2132" s="16">
        <f t="shared" si="407"/>
        <v>0</v>
      </c>
      <c r="AM2132" s="26">
        <v>0</v>
      </c>
      <c r="AN2132" s="19">
        <v>112.282</v>
      </c>
      <c r="AO2132" s="19" t="s">
        <v>1758</v>
      </c>
      <c r="AP2132" s="19">
        <v>0</v>
      </c>
      <c r="AQ2132" s="19" t="s">
        <v>307</v>
      </c>
      <c r="AR2132" s="9" t="s">
        <v>394</v>
      </c>
      <c r="AS2132" s="12">
        <v>0</v>
      </c>
      <c r="AT2132" s="19">
        <v>38.574732310000002</v>
      </c>
      <c r="AU2132" s="19">
        <v>-122.89760698000001</v>
      </c>
      <c r="AV2132" s="19" t="s">
        <v>1433</v>
      </c>
    </row>
    <row r="2133" spans="1:48" x14ac:dyDescent="0.25">
      <c r="A2133" s="18" t="s">
        <v>2570</v>
      </c>
      <c r="B2133" s="10">
        <v>10000000</v>
      </c>
      <c r="C2133" s="9">
        <v>22</v>
      </c>
      <c r="D2133" s="8" t="str">
        <f t="shared" si="398"/>
        <v>N</v>
      </c>
      <c r="E2133" s="8" t="str">
        <f t="shared" si="399"/>
        <v>N</v>
      </c>
      <c r="F2133" s="8" t="str">
        <f t="shared" si="400"/>
        <v>N</v>
      </c>
      <c r="G2133" s="8" t="str">
        <f t="shared" si="401"/>
        <v>N</v>
      </c>
      <c r="H2133" s="8" t="str">
        <f t="shared" si="402"/>
        <v>Lower</v>
      </c>
      <c r="I2133" s="8" t="str">
        <f t="shared" si="403"/>
        <v>Outside</v>
      </c>
      <c r="J2133" s="8" t="str">
        <f t="shared" si="404"/>
        <v>Outside</v>
      </c>
      <c r="K2133" s="8" t="str">
        <f t="shared" si="405"/>
        <v>Riparian</v>
      </c>
      <c r="L2133" s="8">
        <f t="shared" si="406"/>
        <v>1000</v>
      </c>
      <c r="M2133" s="8" t="str">
        <f t="shared" si="408"/>
        <v>-</v>
      </c>
      <c r="N2133" s="10" t="s">
        <v>242</v>
      </c>
      <c r="O2133" s="10" t="s">
        <v>242</v>
      </c>
      <c r="P2133" s="10" t="s">
        <v>242</v>
      </c>
      <c r="Q2133" s="10" t="s">
        <v>242</v>
      </c>
      <c r="R2133" s="10" t="s">
        <v>242</v>
      </c>
      <c r="S2133" s="10" t="s">
        <v>241</v>
      </c>
      <c r="T2133" s="10" t="s">
        <v>242</v>
      </c>
      <c r="U2133" s="10" t="s">
        <v>242</v>
      </c>
      <c r="V2133" s="10" t="s">
        <v>241</v>
      </c>
      <c r="W2133" s="10" t="s">
        <v>242</v>
      </c>
      <c r="X2133" s="15">
        <f>IF(ISERROR(VLOOKUP($A2133,'13. Updated Demand'!A:Z,15,FALSE)),0,VLOOKUP($A2133,'13. Updated Demand'!A:Z,15,FALSE))</f>
        <v>9.15</v>
      </c>
      <c r="Y2133" s="16">
        <f>IF(ISERROR(VLOOKUP($A2133,'13. Updated Demand'!A:Z,16,FALSE)),0,VLOOKUP($A2133,'13. Updated Demand'!A:Z,16,FALSE))</f>
        <v>0</v>
      </c>
      <c r="Z2133" s="16">
        <f>IF(ISERROR(VLOOKUP($A2133,'13. Updated Demand'!A:Z,17,FALSE)),0,VLOOKUP($A2133,'13. Updated Demand'!A:Z,17,FALSE))</f>
        <v>0</v>
      </c>
      <c r="AA2133" s="16">
        <f>IF(ISERROR(VLOOKUP($A2133,'13. Updated Demand'!A:Z,18,FALSE)),0,VLOOKUP($A2133,'13. Updated Demand'!A:Z,18,FALSE))</f>
        <v>0</v>
      </c>
      <c r="AB2133" s="16">
        <f>IF(ISERROR(VLOOKUP($A2133,'13. Updated Demand'!A:Z,19,FALSE)),0,VLOOKUP($A2133,'13. Updated Demand'!A:Z,19,FALSE))</f>
        <v>0</v>
      </c>
      <c r="AC2133" s="16">
        <f>IF(ISERROR(VLOOKUP($A2133,'13. Updated Demand'!A:Z,20,FALSE)),0,VLOOKUP($A2133,'13. Updated Demand'!A:Z,20,FALSE))</f>
        <v>0</v>
      </c>
      <c r="AD2133" s="16">
        <f>IF(ISERROR(VLOOKUP($A2133,'13. Updated Demand'!A:Z,21,FALSE)),0,VLOOKUP($A2133,'13. Updated Demand'!A:Z,21,FALSE))</f>
        <v>0</v>
      </c>
      <c r="AE2133" s="16">
        <f>IF(ISERROR(VLOOKUP($A2133,'13. Updated Demand'!A:Z,22,FALSE)),0,VLOOKUP($A2133,'13. Updated Demand'!A:Z,22,FALSE))</f>
        <v>0</v>
      </c>
      <c r="AF2133" s="16">
        <f>IF(ISERROR(VLOOKUP($A2133,'13. Updated Demand'!A:Z,23,FALSE)),0,VLOOKUP($A2133,'13. Updated Demand'!A:Z,23,FALSE))</f>
        <v>0</v>
      </c>
      <c r="AG2133" s="16">
        <f>IF(ISERROR(VLOOKUP($A2133,'13. Updated Demand'!A:Z,24,FALSE)),0,VLOOKUP($A2133,'13. Updated Demand'!A:Z,24,FALSE))</f>
        <v>0</v>
      </c>
      <c r="AH2133" s="16">
        <f>IF(ISERROR(VLOOKUP($A2133,'13. Updated Demand'!A:Z,25,FALSE)),0,VLOOKUP($A2133,'13. Updated Demand'!A:Z,25,FALSE))</f>
        <v>0</v>
      </c>
      <c r="AI2133" s="16">
        <f>IF(ISERROR(VLOOKUP($A2133,'13. Updated Demand'!A:Z,26,FALSE)),0,VLOOKUP($A2133,'13. Updated Demand'!A:Z,26,FALSE))</f>
        <v>0</v>
      </c>
      <c r="AJ2133" s="16">
        <f t="shared" si="409"/>
        <v>9.15</v>
      </c>
      <c r="AK2133" s="19">
        <v>0</v>
      </c>
      <c r="AL2133" s="16">
        <f t="shared" si="407"/>
        <v>0</v>
      </c>
      <c r="AM2133" s="26">
        <v>0</v>
      </c>
      <c r="AN2133" s="19">
        <v>0</v>
      </c>
      <c r="AO2133" s="19" t="s">
        <v>1758</v>
      </c>
      <c r="AP2133" s="19">
        <v>0</v>
      </c>
      <c r="AQ2133" s="19" t="s">
        <v>307</v>
      </c>
      <c r="AR2133" s="9" t="s">
        <v>314</v>
      </c>
      <c r="AS2133" s="12">
        <v>0</v>
      </c>
      <c r="AT2133" s="19">
        <v>38.887300000000003</v>
      </c>
      <c r="AU2133" s="19">
        <v>-123.1613</v>
      </c>
      <c r="AV2133" s="19" t="s">
        <v>385</v>
      </c>
    </row>
    <row r="2134" spans="1:48" x14ac:dyDescent="0.25">
      <c r="A2134" s="18" t="s">
        <v>2571</v>
      </c>
      <c r="B2134" s="10">
        <v>10000000</v>
      </c>
      <c r="C2134" s="9">
        <v>22</v>
      </c>
      <c r="D2134" s="8" t="str">
        <f t="shared" si="398"/>
        <v>N</v>
      </c>
      <c r="E2134" s="8" t="str">
        <f t="shared" si="399"/>
        <v>N</v>
      </c>
      <c r="F2134" s="8" t="str">
        <f t="shared" si="400"/>
        <v>N</v>
      </c>
      <c r="G2134" s="8" t="str">
        <f t="shared" si="401"/>
        <v>N</v>
      </c>
      <c r="H2134" s="8" t="str">
        <f t="shared" si="402"/>
        <v>Lower</v>
      </c>
      <c r="I2134" s="8" t="str">
        <f t="shared" si="403"/>
        <v>Outside</v>
      </c>
      <c r="J2134" s="8" t="str">
        <f t="shared" si="404"/>
        <v>Outside</v>
      </c>
      <c r="K2134" s="8" t="str">
        <f t="shared" si="405"/>
        <v>Riparian</v>
      </c>
      <c r="L2134" s="8">
        <f t="shared" si="406"/>
        <v>1000</v>
      </c>
      <c r="M2134" s="8" t="str">
        <f t="shared" si="408"/>
        <v>-</v>
      </c>
      <c r="N2134" s="10" t="s">
        <v>242</v>
      </c>
      <c r="O2134" s="10" t="s">
        <v>242</v>
      </c>
      <c r="P2134" s="10" t="s">
        <v>242</v>
      </c>
      <c r="Q2134" s="10" t="s">
        <v>242</v>
      </c>
      <c r="R2134" s="10" t="s">
        <v>242</v>
      </c>
      <c r="S2134" s="10" t="s">
        <v>241</v>
      </c>
      <c r="T2134" s="10" t="s">
        <v>242</v>
      </c>
      <c r="U2134" s="10" t="s">
        <v>241</v>
      </c>
      <c r="V2134" s="10" t="s">
        <v>241</v>
      </c>
      <c r="W2134" s="10" t="s">
        <v>242</v>
      </c>
      <c r="X2134" s="15">
        <f>IF(ISERROR(VLOOKUP($A2134,'13. Updated Demand'!A:Z,15,FALSE)),0,VLOOKUP($A2134,'13. Updated Demand'!A:Z,15,FALSE))</f>
        <v>0</v>
      </c>
      <c r="Y2134" s="16">
        <f>IF(ISERROR(VLOOKUP($A2134,'13. Updated Demand'!A:Z,16,FALSE)),0,VLOOKUP($A2134,'13. Updated Demand'!A:Z,16,FALSE))</f>
        <v>0</v>
      </c>
      <c r="Z2134" s="16">
        <f>IF(ISERROR(VLOOKUP($A2134,'13. Updated Demand'!A:Z,17,FALSE)),0,VLOOKUP($A2134,'13. Updated Demand'!A:Z,17,FALSE))</f>
        <v>0</v>
      </c>
      <c r="AA2134" s="16">
        <f>IF(ISERROR(VLOOKUP($A2134,'13. Updated Demand'!A:Z,18,FALSE)),0,VLOOKUP($A2134,'13. Updated Demand'!A:Z,18,FALSE))</f>
        <v>0</v>
      </c>
      <c r="AB2134" s="16">
        <f>IF(ISERROR(VLOOKUP($A2134,'13. Updated Demand'!A:Z,19,FALSE)),0,VLOOKUP($A2134,'13. Updated Demand'!A:Z,19,FALSE))</f>
        <v>0</v>
      </c>
      <c r="AC2134" s="16">
        <f>IF(ISERROR(VLOOKUP($A2134,'13. Updated Demand'!A:Z,20,FALSE)),0,VLOOKUP($A2134,'13. Updated Demand'!A:Z,20,FALSE))</f>
        <v>0</v>
      </c>
      <c r="AD2134" s="16">
        <f>IF(ISERROR(VLOOKUP($A2134,'13. Updated Demand'!A:Z,21,FALSE)),0,VLOOKUP($A2134,'13. Updated Demand'!A:Z,21,FALSE))</f>
        <v>0</v>
      </c>
      <c r="AE2134" s="16">
        <f>IF(ISERROR(VLOOKUP($A2134,'13. Updated Demand'!A:Z,22,FALSE)),0,VLOOKUP($A2134,'13. Updated Demand'!A:Z,22,FALSE))</f>
        <v>0</v>
      </c>
      <c r="AF2134" s="16">
        <f>IF(ISERROR(VLOOKUP($A2134,'13. Updated Demand'!A:Z,23,FALSE)),0,VLOOKUP($A2134,'13. Updated Demand'!A:Z,23,FALSE))</f>
        <v>0</v>
      </c>
      <c r="AG2134" s="16">
        <f>IF(ISERROR(VLOOKUP($A2134,'13. Updated Demand'!A:Z,24,FALSE)),0,VLOOKUP($A2134,'13. Updated Demand'!A:Z,24,FALSE))</f>
        <v>0</v>
      </c>
      <c r="AH2134" s="16">
        <f>IF(ISERROR(VLOOKUP($A2134,'13. Updated Demand'!A:Z,25,FALSE)),0,VLOOKUP($A2134,'13. Updated Demand'!A:Z,25,FALSE))</f>
        <v>0</v>
      </c>
      <c r="AI2134" s="16">
        <f>IF(ISERROR(VLOOKUP($A2134,'13. Updated Demand'!A:Z,26,FALSE)),0,VLOOKUP($A2134,'13. Updated Demand'!A:Z,26,FALSE))</f>
        <v>0</v>
      </c>
      <c r="AJ2134" s="16">
        <f t="shared" si="409"/>
        <v>0</v>
      </c>
      <c r="AK2134" s="19">
        <v>0</v>
      </c>
      <c r="AL2134" s="16">
        <f t="shared" si="407"/>
        <v>0</v>
      </c>
      <c r="AM2134" s="26">
        <v>0</v>
      </c>
      <c r="AN2134" s="19">
        <v>0</v>
      </c>
      <c r="AO2134" s="19" t="s">
        <v>1758</v>
      </c>
      <c r="AP2134" s="19">
        <v>0</v>
      </c>
      <c r="AQ2134" s="19" t="s">
        <v>307</v>
      </c>
      <c r="AR2134" s="9" t="s">
        <v>314</v>
      </c>
      <c r="AS2134" s="12">
        <v>0</v>
      </c>
      <c r="AT2134" s="19">
        <v>38.899000000000001</v>
      </c>
      <c r="AU2134" s="19">
        <v>-123.1596</v>
      </c>
      <c r="AV2134" s="19" t="s">
        <v>385</v>
      </c>
    </row>
    <row r="2135" spans="1:48" x14ac:dyDescent="0.25">
      <c r="A2135" s="18" t="s">
        <v>2572</v>
      </c>
      <c r="B2135" s="10">
        <v>10000000</v>
      </c>
      <c r="C2135" s="9">
        <v>1</v>
      </c>
      <c r="D2135" s="8" t="str">
        <f t="shared" si="398"/>
        <v>N</v>
      </c>
      <c r="E2135" s="8" t="str">
        <f t="shared" si="399"/>
        <v>N</v>
      </c>
      <c r="F2135" s="8" t="str">
        <f t="shared" si="400"/>
        <v>Y</v>
      </c>
      <c r="G2135" s="8" t="str">
        <f t="shared" si="401"/>
        <v>Y</v>
      </c>
      <c r="H2135" s="8" t="str">
        <f t="shared" si="402"/>
        <v>Upper</v>
      </c>
      <c r="I2135" s="8" t="str">
        <f t="shared" si="403"/>
        <v>West Fork and Below Lake</v>
      </c>
      <c r="J2135" s="8" t="str">
        <f t="shared" si="404"/>
        <v>Outside</v>
      </c>
      <c r="K2135" s="8" t="str">
        <f t="shared" si="405"/>
        <v>Riparian</v>
      </c>
      <c r="L2135" s="8">
        <f t="shared" si="406"/>
        <v>1000</v>
      </c>
      <c r="M2135" s="8" t="str">
        <f t="shared" si="408"/>
        <v>-</v>
      </c>
      <c r="N2135" s="10" t="s">
        <v>242</v>
      </c>
      <c r="O2135" s="10" t="s">
        <v>241</v>
      </c>
      <c r="P2135" s="10" t="s">
        <v>242</v>
      </c>
      <c r="Q2135" s="10" t="s">
        <v>242</v>
      </c>
      <c r="R2135" s="10" t="s">
        <v>242</v>
      </c>
      <c r="S2135" s="10" t="s">
        <v>241</v>
      </c>
      <c r="T2135" s="10" t="s">
        <v>242</v>
      </c>
      <c r="U2135" s="10" t="s">
        <v>241</v>
      </c>
      <c r="V2135" s="10" t="s">
        <v>241</v>
      </c>
      <c r="W2135" s="10" t="s">
        <v>242</v>
      </c>
      <c r="X2135" s="15">
        <f>IF(ISERROR(VLOOKUP($A2135,'13. Updated Demand'!A:Z,15,FALSE)),0,VLOOKUP($A2135,'13. Updated Demand'!A:Z,15,FALSE))</f>
        <v>0</v>
      </c>
      <c r="Y2135" s="16">
        <f>IF(ISERROR(VLOOKUP($A2135,'13. Updated Demand'!A:Z,16,FALSE)),0,VLOOKUP($A2135,'13. Updated Demand'!A:Z,16,FALSE))</f>
        <v>0</v>
      </c>
      <c r="Z2135" s="16">
        <f>IF(ISERROR(VLOOKUP($A2135,'13. Updated Demand'!A:Z,17,FALSE)),0,VLOOKUP($A2135,'13. Updated Demand'!A:Z,17,FALSE))</f>
        <v>0</v>
      </c>
      <c r="AA2135" s="16">
        <f>IF(ISERROR(VLOOKUP($A2135,'13. Updated Demand'!A:Z,18,FALSE)),0,VLOOKUP($A2135,'13. Updated Demand'!A:Z,18,FALSE))</f>
        <v>0</v>
      </c>
      <c r="AB2135" s="16">
        <f>IF(ISERROR(VLOOKUP($A2135,'13. Updated Demand'!A:Z,19,FALSE)),0,VLOOKUP($A2135,'13. Updated Demand'!A:Z,19,FALSE))</f>
        <v>0</v>
      </c>
      <c r="AC2135" s="16">
        <f>IF(ISERROR(VLOOKUP($A2135,'13. Updated Demand'!A:Z,20,FALSE)),0,VLOOKUP($A2135,'13. Updated Demand'!A:Z,20,FALSE))</f>
        <v>0</v>
      </c>
      <c r="AD2135" s="16">
        <f>IF(ISERROR(VLOOKUP($A2135,'13. Updated Demand'!A:Z,21,FALSE)),0,VLOOKUP($A2135,'13. Updated Demand'!A:Z,21,FALSE))</f>
        <v>0</v>
      </c>
      <c r="AE2135" s="16">
        <f>IF(ISERROR(VLOOKUP($A2135,'13. Updated Demand'!A:Z,22,FALSE)),0,VLOOKUP($A2135,'13. Updated Demand'!A:Z,22,FALSE))</f>
        <v>0</v>
      </c>
      <c r="AF2135" s="16">
        <f>IF(ISERROR(VLOOKUP($A2135,'13. Updated Demand'!A:Z,23,FALSE)),0,VLOOKUP($A2135,'13. Updated Demand'!A:Z,23,FALSE))</f>
        <v>0</v>
      </c>
      <c r="AG2135" s="16">
        <f>IF(ISERROR(VLOOKUP($A2135,'13. Updated Demand'!A:Z,24,FALSE)),0,VLOOKUP($A2135,'13. Updated Demand'!A:Z,24,FALSE))</f>
        <v>0</v>
      </c>
      <c r="AH2135" s="16">
        <f>IF(ISERROR(VLOOKUP($A2135,'13. Updated Demand'!A:Z,25,FALSE)),0,VLOOKUP($A2135,'13. Updated Demand'!A:Z,25,FALSE))</f>
        <v>0</v>
      </c>
      <c r="AI2135" s="16">
        <f>IF(ISERROR(VLOOKUP($A2135,'13. Updated Demand'!A:Z,26,FALSE)),0,VLOOKUP($A2135,'13. Updated Demand'!A:Z,26,FALSE))</f>
        <v>0</v>
      </c>
      <c r="AJ2135" s="16">
        <f t="shared" si="409"/>
        <v>0</v>
      </c>
      <c r="AK2135" s="19">
        <v>0</v>
      </c>
      <c r="AL2135" s="16">
        <f t="shared" si="407"/>
        <v>0</v>
      </c>
      <c r="AM2135" s="26">
        <v>0</v>
      </c>
      <c r="AN2135" s="19">
        <v>2897.6</v>
      </c>
      <c r="AO2135" s="19" t="s">
        <v>1758</v>
      </c>
      <c r="AP2135" s="19">
        <v>0</v>
      </c>
      <c r="AQ2135" s="19" t="s">
        <v>307</v>
      </c>
      <c r="AR2135" s="9" t="s">
        <v>317</v>
      </c>
      <c r="AS2135" s="12">
        <v>0</v>
      </c>
      <c r="AT2135" s="19">
        <v>39.2789</v>
      </c>
      <c r="AU2135" s="19">
        <v>-123.1767</v>
      </c>
      <c r="AV2135" s="19" t="s">
        <v>2573</v>
      </c>
    </row>
    <row r="2136" spans="1:48" x14ac:dyDescent="0.25">
      <c r="A2136" s="18" t="s">
        <v>2574</v>
      </c>
      <c r="B2136" s="10">
        <v>10000000</v>
      </c>
      <c r="C2136" s="9">
        <v>4</v>
      </c>
      <c r="D2136" s="8" t="str">
        <f t="shared" si="398"/>
        <v>Y</v>
      </c>
      <c r="E2136" s="8" t="str">
        <f t="shared" si="399"/>
        <v>N</v>
      </c>
      <c r="F2136" s="8" t="str">
        <f t="shared" si="400"/>
        <v>Y</v>
      </c>
      <c r="G2136" s="8" t="str">
        <f t="shared" si="401"/>
        <v>Y</v>
      </c>
      <c r="H2136" s="8" t="str">
        <f t="shared" si="402"/>
        <v>Upper</v>
      </c>
      <c r="I2136" s="8" t="str">
        <f t="shared" si="403"/>
        <v>West Fork and Below Lake</v>
      </c>
      <c r="J2136" s="8" t="str">
        <f t="shared" si="404"/>
        <v>Mendocino (d/s of lake)</v>
      </c>
      <c r="K2136" s="8" t="str">
        <f t="shared" si="405"/>
        <v>Riparian</v>
      </c>
      <c r="L2136" s="8">
        <f t="shared" si="406"/>
        <v>1000</v>
      </c>
      <c r="M2136" s="8" t="str">
        <f t="shared" si="408"/>
        <v>-</v>
      </c>
      <c r="N2136" s="10" t="s">
        <v>242</v>
      </c>
      <c r="O2136" s="10" t="s">
        <v>241</v>
      </c>
      <c r="P2136" s="10" t="s">
        <v>242</v>
      </c>
      <c r="Q2136" s="10" t="s">
        <v>242</v>
      </c>
      <c r="R2136" s="10" t="s">
        <v>242</v>
      </c>
      <c r="S2136" s="10" t="s">
        <v>241</v>
      </c>
      <c r="T2136" s="10" t="s">
        <v>242</v>
      </c>
      <c r="U2136" s="10" t="s">
        <v>242</v>
      </c>
      <c r="V2136" s="10" t="s">
        <v>242</v>
      </c>
      <c r="W2136" s="10" t="s">
        <v>242</v>
      </c>
      <c r="X2136" s="15">
        <f>IF(ISERROR(VLOOKUP($A2136,'13. Updated Demand'!A:Z,15,FALSE)),0,VLOOKUP($A2136,'13. Updated Demand'!A:Z,15,FALSE))</f>
        <v>6.1</v>
      </c>
      <c r="Y2136" s="16">
        <f>IF(ISERROR(VLOOKUP($A2136,'13. Updated Demand'!A:Z,16,FALSE)),0,VLOOKUP($A2136,'13. Updated Demand'!A:Z,16,FALSE))</f>
        <v>2.82</v>
      </c>
      <c r="Z2136" s="16">
        <f>IF(ISERROR(VLOOKUP($A2136,'13. Updated Demand'!A:Z,17,FALSE)),0,VLOOKUP($A2136,'13. Updated Demand'!A:Z,17,FALSE))</f>
        <v>0.91</v>
      </c>
      <c r="AA2136" s="16">
        <f>IF(ISERROR(VLOOKUP($A2136,'13. Updated Demand'!A:Z,18,FALSE)),0,VLOOKUP($A2136,'13. Updated Demand'!A:Z,18,FALSE))</f>
        <v>2.68</v>
      </c>
      <c r="AB2136" s="16">
        <f>IF(ISERROR(VLOOKUP($A2136,'13. Updated Demand'!A:Z,19,FALSE)),0,VLOOKUP($A2136,'13. Updated Demand'!A:Z,19,FALSE))</f>
        <v>0.22</v>
      </c>
      <c r="AC2136" s="16">
        <f>IF(ISERROR(VLOOKUP($A2136,'13. Updated Demand'!A:Z,20,FALSE)),0,VLOOKUP($A2136,'13. Updated Demand'!A:Z,20,FALSE))</f>
        <v>0</v>
      </c>
      <c r="AD2136" s="16">
        <f>IF(ISERROR(VLOOKUP($A2136,'13. Updated Demand'!A:Z,21,FALSE)),0,VLOOKUP($A2136,'13. Updated Demand'!A:Z,21,FALSE))</f>
        <v>0</v>
      </c>
      <c r="AE2136" s="16">
        <f>IF(ISERROR(VLOOKUP($A2136,'13. Updated Demand'!A:Z,22,FALSE)),0,VLOOKUP($A2136,'13. Updated Demand'!A:Z,22,FALSE))</f>
        <v>0</v>
      </c>
      <c r="AF2136" s="16">
        <f>IF(ISERROR(VLOOKUP($A2136,'13. Updated Demand'!A:Z,23,FALSE)),0,VLOOKUP($A2136,'13. Updated Demand'!A:Z,23,FALSE))</f>
        <v>0</v>
      </c>
      <c r="AG2136" s="16">
        <f>IF(ISERROR(VLOOKUP($A2136,'13. Updated Demand'!A:Z,24,FALSE)),0,VLOOKUP($A2136,'13. Updated Demand'!A:Z,24,FALSE))</f>
        <v>0</v>
      </c>
      <c r="AH2136" s="16">
        <f>IF(ISERROR(VLOOKUP($A2136,'13. Updated Demand'!A:Z,25,FALSE)),0,VLOOKUP($A2136,'13. Updated Demand'!A:Z,25,FALSE))</f>
        <v>0.01</v>
      </c>
      <c r="AI2136" s="16">
        <f>IF(ISERROR(VLOOKUP($A2136,'13. Updated Demand'!A:Z,26,FALSE)),0,VLOOKUP($A2136,'13. Updated Demand'!A:Z,26,FALSE))</f>
        <v>0.71</v>
      </c>
      <c r="AJ2136" s="16">
        <f t="shared" si="409"/>
        <v>13.45</v>
      </c>
      <c r="AK2136" s="19">
        <v>0.22666666699999999</v>
      </c>
      <c r="AL2136" s="16">
        <f t="shared" si="407"/>
        <v>7.5182751467927733E-4</v>
      </c>
      <c r="AM2136" s="26">
        <v>0.46168779263446386</v>
      </c>
      <c r="AN2136" s="19">
        <v>29.19</v>
      </c>
      <c r="AO2136" s="19" t="s">
        <v>1758</v>
      </c>
      <c r="AP2136" s="19">
        <v>0</v>
      </c>
      <c r="AQ2136" s="19" t="s">
        <v>307</v>
      </c>
      <c r="AR2136" s="9" t="s">
        <v>331</v>
      </c>
      <c r="AS2136" s="12">
        <v>0</v>
      </c>
      <c r="AT2136" s="19">
        <v>39.146900000000002</v>
      </c>
      <c r="AU2136" s="19">
        <v>-123.16549999999999</v>
      </c>
      <c r="AV2136" s="19" t="s">
        <v>1062</v>
      </c>
    </row>
    <row r="2137" spans="1:48" x14ac:dyDescent="0.25">
      <c r="A2137" s="18" t="s">
        <v>2575</v>
      </c>
      <c r="B2137" s="10">
        <v>10000000</v>
      </c>
      <c r="C2137" s="9">
        <v>4</v>
      </c>
      <c r="D2137" s="8" t="str">
        <f t="shared" si="398"/>
        <v>Y</v>
      </c>
      <c r="E2137" s="8" t="str">
        <f t="shared" si="399"/>
        <v>N</v>
      </c>
      <c r="F2137" s="8" t="str">
        <f t="shared" si="400"/>
        <v>Y</v>
      </c>
      <c r="G2137" s="8" t="str">
        <f t="shared" si="401"/>
        <v>Y</v>
      </c>
      <c r="H2137" s="8" t="str">
        <f t="shared" si="402"/>
        <v>Upper</v>
      </c>
      <c r="I2137" s="8" t="str">
        <f t="shared" si="403"/>
        <v>West Fork and Below Lake</v>
      </c>
      <c r="J2137" s="8" t="str">
        <f t="shared" si="404"/>
        <v>Mendocino (d/s of lake)</v>
      </c>
      <c r="K2137" s="8" t="str">
        <f t="shared" si="405"/>
        <v>Riparian</v>
      </c>
      <c r="L2137" s="8">
        <f t="shared" si="406"/>
        <v>1000</v>
      </c>
      <c r="M2137" s="8" t="str">
        <f t="shared" si="408"/>
        <v>-</v>
      </c>
      <c r="N2137" s="10" t="s">
        <v>242</v>
      </c>
      <c r="O2137" s="10" t="s">
        <v>241</v>
      </c>
      <c r="P2137" s="10" t="s">
        <v>242</v>
      </c>
      <c r="Q2137" s="10" t="s">
        <v>242</v>
      </c>
      <c r="R2137" s="10" t="s">
        <v>242</v>
      </c>
      <c r="S2137" s="10" t="s">
        <v>241</v>
      </c>
      <c r="T2137" s="10" t="s">
        <v>242</v>
      </c>
      <c r="U2137" s="10" t="s">
        <v>241</v>
      </c>
      <c r="V2137" s="10" t="s">
        <v>241</v>
      </c>
      <c r="W2137" s="10" t="s">
        <v>242</v>
      </c>
      <c r="X2137" s="15">
        <f>IF(ISERROR(VLOOKUP($A2137,'13. Updated Demand'!A:Z,15,FALSE)),0,VLOOKUP($A2137,'13. Updated Demand'!A:Z,15,FALSE))</f>
        <v>0</v>
      </c>
      <c r="Y2137" s="16">
        <f>IF(ISERROR(VLOOKUP($A2137,'13. Updated Demand'!A:Z,16,FALSE)),0,VLOOKUP($A2137,'13. Updated Demand'!A:Z,16,FALSE))</f>
        <v>0</v>
      </c>
      <c r="Z2137" s="16">
        <f>IF(ISERROR(VLOOKUP($A2137,'13. Updated Demand'!A:Z,17,FALSE)),0,VLOOKUP($A2137,'13. Updated Demand'!A:Z,17,FALSE))</f>
        <v>0</v>
      </c>
      <c r="AA2137" s="16">
        <f>IF(ISERROR(VLOOKUP($A2137,'13. Updated Demand'!A:Z,18,FALSE)),0,VLOOKUP($A2137,'13. Updated Demand'!A:Z,18,FALSE))</f>
        <v>0</v>
      </c>
      <c r="AB2137" s="16">
        <f>IF(ISERROR(VLOOKUP($A2137,'13. Updated Demand'!A:Z,19,FALSE)),0,VLOOKUP($A2137,'13. Updated Demand'!A:Z,19,FALSE))</f>
        <v>0</v>
      </c>
      <c r="AC2137" s="16">
        <f>IF(ISERROR(VLOOKUP($A2137,'13. Updated Demand'!A:Z,20,FALSE)),0,VLOOKUP($A2137,'13. Updated Demand'!A:Z,20,FALSE))</f>
        <v>0</v>
      </c>
      <c r="AD2137" s="16">
        <f>IF(ISERROR(VLOOKUP($A2137,'13. Updated Demand'!A:Z,21,FALSE)),0,VLOOKUP($A2137,'13. Updated Demand'!A:Z,21,FALSE))</f>
        <v>0</v>
      </c>
      <c r="AE2137" s="16">
        <f>IF(ISERROR(VLOOKUP($A2137,'13. Updated Demand'!A:Z,22,FALSE)),0,VLOOKUP($A2137,'13. Updated Demand'!A:Z,22,FALSE))</f>
        <v>0</v>
      </c>
      <c r="AF2137" s="16">
        <f>IF(ISERROR(VLOOKUP($A2137,'13. Updated Demand'!A:Z,23,FALSE)),0,VLOOKUP($A2137,'13. Updated Demand'!A:Z,23,FALSE))</f>
        <v>0</v>
      </c>
      <c r="AG2137" s="16">
        <f>IF(ISERROR(VLOOKUP($A2137,'13. Updated Demand'!A:Z,24,FALSE)),0,VLOOKUP($A2137,'13. Updated Demand'!A:Z,24,FALSE))</f>
        <v>0</v>
      </c>
      <c r="AH2137" s="16">
        <f>IF(ISERROR(VLOOKUP($A2137,'13. Updated Demand'!A:Z,25,FALSE)),0,VLOOKUP($A2137,'13. Updated Demand'!A:Z,25,FALSE))</f>
        <v>0</v>
      </c>
      <c r="AI2137" s="16">
        <f>IF(ISERROR(VLOOKUP($A2137,'13. Updated Demand'!A:Z,26,FALSE)),0,VLOOKUP($A2137,'13. Updated Demand'!A:Z,26,FALSE))</f>
        <v>0</v>
      </c>
      <c r="AJ2137" s="16">
        <f t="shared" si="409"/>
        <v>0</v>
      </c>
      <c r="AK2137" s="19">
        <v>0</v>
      </c>
      <c r="AL2137" s="16">
        <f t="shared" si="407"/>
        <v>0</v>
      </c>
      <c r="AM2137" s="26">
        <v>0</v>
      </c>
      <c r="AN2137" s="19">
        <v>161.5412</v>
      </c>
      <c r="AO2137" s="19" t="s">
        <v>1758</v>
      </c>
      <c r="AP2137" s="19">
        <v>0</v>
      </c>
      <c r="AQ2137" s="19" t="s">
        <v>307</v>
      </c>
      <c r="AR2137" s="9" t="s">
        <v>331</v>
      </c>
      <c r="AS2137" s="12">
        <v>0</v>
      </c>
      <c r="AT2137" s="19">
        <v>39.142699999999998</v>
      </c>
      <c r="AU2137" s="19">
        <v>-123.1639</v>
      </c>
      <c r="AV2137" s="19" t="s">
        <v>1062</v>
      </c>
    </row>
    <row r="2138" spans="1:48" x14ac:dyDescent="0.25">
      <c r="A2138" s="18" t="s">
        <v>2576</v>
      </c>
      <c r="B2138" s="10">
        <v>10000000</v>
      </c>
      <c r="C2138" s="9">
        <v>9</v>
      </c>
      <c r="D2138" s="8" t="str">
        <f t="shared" si="398"/>
        <v>N</v>
      </c>
      <c r="E2138" s="8" t="str">
        <f t="shared" si="399"/>
        <v>Y</v>
      </c>
      <c r="F2138" s="8" t="str">
        <f t="shared" si="400"/>
        <v>Y</v>
      </c>
      <c r="G2138" s="8" t="str">
        <f t="shared" si="401"/>
        <v>Y</v>
      </c>
      <c r="H2138" s="8" t="str">
        <f t="shared" si="402"/>
        <v>Upper</v>
      </c>
      <c r="I2138" s="8" t="str">
        <f t="shared" si="403"/>
        <v>West Fork and Below Lake</v>
      </c>
      <c r="J2138" s="8" t="str">
        <f t="shared" si="404"/>
        <v>Sonoma (d/s of Clov. Gage)</v>
      </c>
      <c r="K2138" s="8" t="str">
        <f t="shared" si="405"/>
        <v>Riparian</v>
      </c>
      <c r="L2138" s="8">
        <f t="shared" si="406"/>
        <v>1000</v>
      </c>
      <c r="M2138" s="8" t="str">
        <f t="shared" si="408"/>
        <v>-</v>
      </c>
      <c r="N2138" s="10" t="s">
        <v>242</v>
      </c>
      <c r="O2138" s="10" t="s">
        <v>241</v>
      </c>
      <c r="P2138" s="10" t="s">
        <v>242</v>
      </c>
      <c r="Q2138" s="10" t="s">
        <v>242</v>
      </c>
      <c r="R2138" s="10" t="s">
        <v>242</v>
      </c>
      <c r="S2138" s="10" t="s">
        <v>241</v>
      </c>
      <c r="T2138" s="10" t="s">
        <v>242</v>
      </c>
      <c r="U2138" s="10" t="s">
        <v>242</v>
      </c>
      <c r="V2138" s="10" t="s">
        <v>241</v>
      </c>
      <c r="W2138" s="10" t="s">
        <v>242</v>
      </c>
      <c r="X2138" s="15">
        <f>IF(ISERROR(VLOOKUP($A2138,'13. Updated Demand'!A:Z,15,FALSE)),0,VLOOKUP($A2138,'13. Updated Demand'!A:Z,15,FALSE))</f>
        <v>3.0000000000000001E-3</v>
      </c>
      <c r="Y2138" s="16">
        <f>IF(ISERROR(VLOOKUP($A2138,'13. Updated Demand'!A:Z,16,FALSE)),0,VLOOKUP($A2138,'13. Updated Demand'!A:Z,16,FALSE))</f>
        <v>0</v>
      </c>
      <c r="Z2138" s="16">
        <f>IF(ISERROR(VLOOKUP($A2138,'13. Updated Demand'!A:Z,17,FALSE)),0,VLOOKUP($A2138,'13. Updated Demand'!A:Z,17,FALSE))</f>
        <v>3.0000000000000001E-3</v>
      </c>
      <c r="AA2138" s="16">
        <f>IF(ISERROR(VLOOKUP($A2138,'13. Updated Demand'!A:Z,18,FALSE)),0,VLOOKUP($A2138,'13. Updated Demand'!A:Z,18,FALSE))</f>
        <v>3.0000000000000001E-3</v>
      </c>
      <c r="AB2138" s="16">
        <f>IF(ISERROR(VLOOKUP($A2138,'13. Updated Demand'!A:Z,19,FALSE)),0,VLOOKUP($A2138,'13. Updated Demand'!A:Z,19,FALSE))</f>
        <v>0</v>
      </c>
      <c r="AC2138" s="16">
        <f>IF(ISERROR(VLOOKUP($A2138,'13. Updated Demand'!A:Z,20,FALSE)),0,VLOOKUP($A2138,'13. Updated Demand'!A:Z,20,FALSE))</f>
        <v>0</v>
      </c>
      <c r="AD2138" s="16">
        <f>IF(ISERROR(VLOOKUP($A2138,'13. Updated Demand'!A:Z,21,FALSE)),0,VLOOKUP($A2138,'13. Updated Demand'!A:Z,21,FALSE))</f>
        <v>0</v>
      </c>
      <c r="AE2138" s="16">
        <f>IF(ISERROR(VLOOKUP($A2138,'13. Updated Demand'!A:Z,22,FALSE)),0,VLOOKUP($A2138,'13. Updated Demand'!A:Z,22,FALSE))</f>
        <v>0</v>
      </c>
      <c r="AF2138" s="16">
        <f>IF(ISERROR(VLOOKUP($A2138,'13. Updated Demand'!A:Z,23,FALSE)),0,VLOOKUP($A2138,'13. Updated Demand'!A:Z,23,FALSE))</f>
        <v>0</v>
      </c>
      <c r="AG2138" s="16">
        <f>IF(ISERROR(VLOOKUP($A2138,'13. Updated Demand'!A:Z,24,FALSE)),0,VLOOKUP($A2138,'13. Updated Demand'!A:Z,24,FALSE))</f>
        <v>0</v>
      </c>
      <c r="AH2138" s="16">
        <f>IF(ISERROR(VLOOKUP($A2138,'13. Updated Demand'!A:Z,25,FALSE)),0,VLOOKUP($A2138,'13. Updated Demand'!A:Z,25,FALSE))</f>
        <v>3.0000000000000001E-3</v>
      </c>
      <c r="AI2138" s="16">
        <f>IF(ISERROR(VLOOKUP($A2138,'13. Updated Demand'!A:Z,26,FALSE)),0,VLOOKUP($A2138,'13. Updated Demand'!A:Z,26,FALSE))</f>
        <v>3.0000000000000001E-3</v>
      </c>
      <c r="AJ2138" s="16">
        <f t="shared" si="409"/>
        <v>1.4999999999999999E-2</v>
      </c>
      <c r="AK2138" s="19">
        <v>0</v>
      </c>
      <c r="AL2138" s="16">
        <f t="shared" si="407"/>
        <v>0</v>
      </c>
      <c r="AM2138" s="26">
        <v>1.5789473684210526E-3</v>
      </c>
      <c r="AN2138" s="19">
        <v>9.5</v>
      </c>
      <c r="AO2138" s="19" t="s">
        <v>1758</v>
      </c>
      <c r="AP2138" s="19">
        <v>0</v>
      </c>
      <c r="AQ2138" s="19" t="s">
        <v>307</v>
      </c>
      <c r="AR2138" s="9" t="s">
        <v>354</v>
      </c>
      <c r="AS2138" s="12">
        <v>0</v>
      </c>
      <c r="AT2138" s="19">
        <v>38.8504</v>
      </c>
      <c r="AU2138" s="19">
        <v>-122.9877</v>
      </c>
      <c r="AV2138" s="19" t="s">
        <v>2577</v>
      </c>
    </row>
    <row r="2139" spans="1:48" x14ac:dyDescent="0.25">
      <c r="A2139" s="18" t="s">
        <v>2578</v>
      </c>
      <c r="B2139" s="10">
        <v>10000000</v>
      </c>
      <c r="C2139" s="9">
        <v>9</v>
      </c>
      <c r="D2139" s="8" t="str">
        <f t="shared" si="398"/>
        <v>N</v>
      </c>
      <c r="E2139" s="8" t="str">
        <f t="shared" si="399"/>
        <v>Y</v>
      </c>
      <c r="F2139" s="8" t="str">
        <f t="shared" si="400"/>
        <v>Y</v>
      </c>
      <c r="G2139" s="8" t="str">
        <f t="shared" si="401"/>
        <v>Y</v>
      </c>
      <c r="H2139" s="8" t="str">
        <f t="shared" si="402"/>
        <v>Upper</v>
      </c>
      <c r="I2139" s="8" t="str">
        <f t="shared" si="403"/>
        <v>West Fork and Below Lake</v>
      </c>
      <c r="J2139" s="8" t="str">
        <f t="shared" si="404"/>
        <v>Sonoma (d/s of Clov. Gage)</v>
      </c>
      <c r="K2139" s="8" t="str">
        <f t="shared" si="405"/>
        <v>Riparian</v>
      </c>
      <c r="L2139" s="8">
        <f t="shared" si="406"/>
        <v>1000</v>
      </c>
      <c r="M2139" s="8" t="str">
        <f t="shared" si="408"/>
        <v>-</v>
      </c>
      <c r="N2139" s="10" t="s">
        <v>242</v>
      </c>
      <c r="O2139" s="10" t="s">
        <v>241</v>
      </c>
      <c r="P2139" s="10" t="s">
        <v>242</v>
      </c>
      <c r="Q2139" s="10" t="s">
        <v>242</v>
      </c>
      <c r="R2139" s="10" t="s">
        <v>242</v>
      </c>
      <c r="S2139" s="10" t="s">
        <v>241</v>
      </c>
      <c r="T2139" s="10" t="s">
        <v>242</v>
      </c>
      <c r="U2139" s="10" t="s">
        <v>242</v>
      </c>
      <c r="V2139" s="10" t="s">
        <v>241</v>
      </c>
      <c r="W2139" s="10" t="s">
        <v>242</v>
      </c>
      <c r="X2139" s="15">
        <f>IF(ISERROR(VLOOKUP($A2139,'13. Updated Demand'!A:Z,15,FALSE)),0,VLOOKUP($A2139,'13. Updated Demand'!A:Z,15,FALSE))</f>
        <v>0</v>
      </c>
      <c r="Y2139" s="16">
        <f>IF(ISERROR(VLOOKUP($A2139,'13. Updated Demand'!A:Z,16,FALSE)),0,VLOOKUP($A2139,'13. Updated Demand'!A:Z,16,FALSE))</f>
        <v>0</v>
      </c>
      <c r="Z2139" s="16">
        <f>IF(ISERROR(VLOOKUP($A2139,'13. Updated Demand'!A:Z,17,FALSE)),0,VLOOKUP($A2139,'13. Updated Demand'!A:Z,17,FALSE))</f>
        <v>0</v>
      </c>
      <c r="AA2139" s="16">
        <f>IF(ISERROR(VLOOKUP($A2139,'13. Updated Demand'!A:Z,18,FALSE)),0,VLOOKUP($A2139,'13. Updated Demand'!A:Z,18,FALSE))</f>
        <v>0</v>
      </c>
      <c r="AB2139" s="16">
        <f>IF(ISERROR(VLOOKUP($A2139,'13. Updated Demand'!A:Z,19,FALSE)),0,VLOOKUP($A2139,'13. Updated Demand'!A:Z,19,FALSE))</f>
        <v>0</v>
      </c>
      <c r="AC2139" s="16">
        <f>IF(ISERROR(VLOOKUP($A2139,'13. Updated Demand'!A:Z,20,FALSE)),0,VLOOKUP($A2139,'13. Updated Demand'!A:Z,20,FALSE))</f>
        <v>0</v>
      </c>
      <c r="AD2139" s="16">
        <f>IF(ISERROR(VLOOKUP($A2139,'13. Updated Demand'!A:Z,21,FALSE)),0,VLOOKUP($A2139,'13. Updated Demand'!A:Z,21,FALSE))</f>
        <v>0</v>
      </c>
      <c r="AE2139" s="16">
        <f>IF(ISERROR(VLOOKUP($A2139,'13. Updated Demand'!A:Z,22,FALSE)),0,VLOOKUP($A2139,'13. Updated Demand'!A:Z,22,FALSE))</f>
        <v>0</v>
      </c>
      <c r="AF2139" s="16">
        <f>IF(ISERROR(VLOOKUP($A2139,'13. Updated Demand'!A:Z,23,FALSE)),0,VLOOKUP($A2139,'13. Updated Demand'!A:Z,23,FALSE))</f>
        <v>0</v>
      </c>
      <c r="AG2139" s="16">
        <f>IF(ISERROR(VLOOKUP($A2139,'13. Updated Demand'!A:Z,24,FALSE)),0,VLOOKUP($A2139,'13. Updated Demand'!A:Z,24,FALSE))</f>
        <v>0</v>
      </c>
      <c r="AH2139" s="16">
        <f>IF(ISERROR(VLOOKUP($A2139,'13. Updated Demand'!A:Z,25,FALSE)),0,VLOOKUP($A2139,'13. Updated Demand'!A:Z,25,FALSE))</f>
        <v>0</v>
      </c>
      <c r="AI2139" s="16">
        <f>IF(ISERROR(VLOOKUP($A2139,'13. Updated Demand'!A:Z,26,FALSE)),0,VLOOKUP($A2139,'13. Updated Demand'!A:Z,26,FALSE))</f>
        <v>0</v>
      </c>
      <c r="AJ2139" s="16">
        <f t="shared" si="409"/>
        <v>0</v>
      </c>
      <c r="AK2139" s="19">
        <v>0</v>
      </c>
      <c r="AL2139" s="16">
        <f t="shared" si="407"/>
        <v>0</v>
      </c>
      <c r="AM2139" s="26">
        <v>0.5681054397595221</v>
      </c>
      <c r="AN2139" s="19">
        <v>64.471599999999995</v>
      </c>
      <c r="AO2139" s="19" t="s">
        <v>1758</v>
      </c>
      <c r="AP2139" s="19">
        <v>0</v>
      </c>
      <c r="AQ2139" s="19" t="s">
        <v>307</v>
      </c>
      <c r="AR2139" s="9" t="s">
        <v>354</v>
      </c>
      <c r="AS2139" s="12">
        <v>0</v>
      </c>
      <c r="AT2139" s="19">
        <v>38.737200000000001</v>
      </c>
      <c r="AU2139" s="19">
        <v>-122.8997</v>
      </c>
      <c r="AV2139" s="19" t="s">
        <v>2579</v>
      </c>
    </row>
    <row r="2140" spans="1:48" x14ac:dyDescent="0.25">
      <c r="A2140" s="18" t="s">
        <v>2580</v>
      </c>
      <c r="B2140" s="10">
        <v>10000000</v>
      </c>
      <c r="C2140" s="9">
        <v>9</v>
      </c>
      <c r="D2140" s="8" t="str">
        <f t="shared" si="398"/>
        <v>N</v>
      </c>
      <c r="E2140" s="8" t="str">
        <f t="shared" si="399"/>
        <v>Y</v>
      </c>
      <c r="F2140" s="8" t="str">
        <f t="shared" si="400"/>
        <v>Y</v>
      </c>
      <c r="G2140" s="8" t="str">
        <f t="shared" si="401"/>
        <v>Y</v>
      </c>
      <c r="H2140" s="8" t="str">
        <f t="shared" si="402"/>
        <v>Upper</v>
      </c>
      <c r="I2140" s="8" t="str">
        <f t="shared" si="403"/>
        <v>West Fork and Below Lake</v>
      </c>
      <c r="J2140" s="8" t="str">
        <f t="shared" si="404"/>
        <v>Sonoma (d/s of Clov. Gage)</v>
      </c>
      <c r="K2140" s="8" t="str">
        <f t="shared" si="405"/>
        <v>Riparian</v>
      </c>
      <c r="L2140" s="8">
        <f t="shared" si="406"/>
        <v>1000</v>
      </c>
      <c r="M2140" s="8" t="str">
        <f t="shared" si="408"/>
        <v>-</v>
      </c>
      <c r="N2140" s="10" t="s">
        <v>242</v>
      </c>
      <c r="O2140" s="10" t="s">
        <v>241</v>
      </c>
      <c r="P2140" s="10" t="s">
        <v>242</v>
      </c>
      <c r="Q2140" s="10" t="s">
        <v>242</v>
      </c>
      <c r="R2140" s="10" t="s">
        <v>242</v>
      </c>
      <c r="S2140" s="10" t="s">
        <v>241</v>
      </c>
      <c r="T2140" s="10" t="s">
        <v>242</v>
      </c>
      <c r="U2140" s="10" t="s">
        <v>242</v>
      </c>
      <c r="V2140" s="10" t="s">
        <v>241</v>
      </c>
      <c r="W2140" s="10" t="s">
        <v>242</v>
      </c>
      <c r="X2140" s="15">
        <f>IF(ISERROR(VLOOKUP($A2140,'13. Updated Demand'!A:Z,15,FALSE)),0,VLOOKUP($A2140,'13. Updated Demand'!A:Z,15,FALSE))</f>
        <v>11.22</v>
      </c>
      <c r="Y2140" s="16">
        <f>IF(ISERROR(VLOOKUP($A2140,'13. Updated Demand'!A:Z,16,FALSE)),0,VLOOKUP($A2140,'13. Updated Demand'!A:Z,16,FALSE))</f>
        <v>10.47</v>
      </c>
      <c r="Z2140" s="16">
        <f>IF(ISERROR(VLOOKUP($A2140,'13. Updated Demand'!A:Z,17,FALSE)),0,VLOOKUP($A2140,'13. Updated Demand'!A:Z,17,FALSE))</f>
        <v>11.91</v>
      </c>
      <c r="AA2140" s="16">
        <f>IF(ISERROR(VLOOKUP($A2140,'13. Updated Demand'!A:Z,18,FALSE)),0,VLOOKUP($A2140,'13. Updated Demand'!A:Z,18,FALSE))</f>
        <v>1</v>
      </c>
      <c r="AB2140" s="16">
        <f>IF(ISERROR(VLOOKUP($A2140,'13. Updated Demand'!A:Z,19,FALSE)),0,VLOOKUP($A2140,'13. Updated Demand'!A:Z,19,FALSE))</f>
        <v>0</v>
      </c>
      <c r="AC2140" s="16">
        <f>IF(ISERROR(VLOOKUP($A2140,'13. Updated Demand'!A:Z,20,FALSE)),0,VLOOKUP($A2140,'13. Updated Demand'!A:Z,20,FALSE))</f>
        <v>0</v>
      </c>
      <c r="AD2140" s="16">
        <f>IF(ISERROR(VLOOKUP($A2140,'13. Updated Demand'!A:Z,21,FALSE)),0,VLOOKUP($A2140,'13. Updated Demand'!A:Z,21,FALSE))</f>
        <v>0</v>
      </c>
      <c r="AE2140" s="16">
        <f>IF(ISERROR(VLOOKUP($A2140,'13. Updated Demand'!A:Z,22,FALSE)),0,VLOOKUP($A2140,'13. Updated Demand'!A:Z,22,FALSE))</f>
        <v>0</v>
      </c>
      <c r="AF2140" s="16">
        <f>IF(ISERROR(VLOOKUP($A2140,'13. Updated Demand'!A:Z,23,FALSE)),0,VLOOKUP($A2140,'13. Updated Demand'!A:Z,23,FALSE))</f>
        <v>0</v>
      </c>
      <c r="AG2140" s="16">
        <f>IF(ISERROR(VLOOKUP($A2140,'13. Updated Demand'!A:Z,24,FALSE)),0,VLOOKUP($A2140,'13. Updated Demand'!A:Z,24,FALSE))</f>
        <v>0</v>
      </c>
      <c r="AH2140" s="16">
        <f>IF(ISERROR(VLOOKUP($A2140,'13. Updated Demand'!A:Z,25,FALSE)),0,VLOOKUP($A2140,'13. Updated Demand'!A:Z,25,FALSE))</f>
        <v>0</v>
      </c>
      <c r="AI2140" s="16">
        <f>IF(ISERROR(VLOOKUP($A2140,'13. Updated Demand'!A:Z,26,FALSE)),0,VLOOKUP($A2140,'13. Updated Demand'!A:Z,26,FALSE))</f>
        <v>2.02</v>
      </c>
      <c r="AJ2140" s="16">
        <f t="shared" si="409"/>
        <v>36.620000000000005</v>
      </c>
      <c r="AK2140" s="19">
        <v>0</v>
      </c>
      <c r="AL2140" s="16">
        <f t="shared" si="407"/>
        <v>0</v>
      </c>
      <c r="AM2140" s="26">
        <v>0.5681054397595221</v>
      </c>
      <c r="AN2140" s="19">
        <v>64.471599999999995</v>
      </c>
      <c r="AO2140" s="19" t="s">
        <v>1758</v>
      </c>
      <c r="AP2140" s="19">
        <v>0</v>
      </c>
      <c r="AQ2140" s="19" t="s">
        <v>307</v>
      </c>
      <c r="AR2140" s="9" t="s">
        <v>354</v>
      </c>
      <c r="AS2140" s="12">
        <v>0</v>
      </c>
      <c r="AT2140" s="19">
        <v>38.738999999999997</v>
      </c>
      <c r="AU2140" s="19">
        <v>-122.893</v>
      </c>
      <c r="AV2140" s="19" t="s">
        <v>2579</v>
      </c>
    </row>
    <row r="2141" spans="1:48" x14ac:dyDescent="0.25">
      <c r="A2141" s="18" t="s">
        <v>2581</v>
      </c>
      <c r="B2141" s="10">
        <v>10000000</v>
      </c>
      <c r="C2141" s="9">
        <v>9</v>
      </c>
      <c r="D2141" s="8" t="str">
        <f t="shared" si="398"/>
        <v>N</v>
      </c>
      <c r="E2141" s="8" t="str">
        <f t="shared" si="399"/>
        <v>Y</v>
      </c>
      <c r="F2141" s="8" t="str">
        <f t="shared" si="400"/>
        <v>Y</v>
      </c>
      <c r="G2141" s="8" t="str">
        <f t="shared" si="401"/>
        <v>Y</v>
      </c>
      <c r="H2141" s="8" t="str">
        <f t="shared" si="402"/>
        <v>Upper</v>
      </c>
      <c r="I2141" s="8" t="str">
        <f t="shared" si="403"/>
        <v>West Fork and Below Lake</v>
      </c>
      <c r="J2141" s="8" t="str">
        <f t="shared" si="404"/>
        <v>Sonoma (d/s of Clov. Gage)</v>
      </c>
      <c r="K2141" s="8" t="str">
        <f t="shared" si="405"/>
        <v>Riparian</v>
      </c>
      <c r="L2141" s="8">
        <f t="shared" si="406"/>
        <v>1000</v>
      </c>
      <c r="M2141" s="8" t="str">
        <f t="shared" si="408"/>
        <v>-</v>
      </c>
      <c r="N2141" s="10" t="s">
        <v>242</v>
      </c>
      <c r="O2141" s="10" t="s">
        <v>241</v>
      </c>
      <c r="P2141" s="10" t="s">
        <v>242</v>
      </c>
      <c r="Q2141" s="10" t="s">
        <v>242</v>
      </c>
      <c r="R2141" s="10" t="s">
        <v>242</v>
      </c>
      <c r="S2141" s="10" t="s">
        <v>241</v>
      </c>
      <c r="T2141" s="10" t="s">
        <v>242</v>
      </c>
      <c r="U2141" s="10" t="s">
        <v>241</v>
      </c>
      <c r="V2141" s="10" t="s">
        <v>241</v>
      </c>
      <c r="W2141" s="10" t="s">
        <v>242</v>
      </c>
      <c r="X2141" s="15">
        <f>IF(ISERROR(VLOOKUP($A2141,'13. Updated Demand'!A:Z,15,FALSE)),0,VLOOKUP($A2141,'13. Updated Demand'!A:Z,15,FALSE))</f>
        <v>0</v>
      </c>
      <c r="Y2141" s="16">
        <f>IF(ISERROR(VLOOKUP($A2141,'13. Updated Demand'!A:Z,16,FALSE)),0,VLOOKUP($A2141,'13. Updated Demand'!A:Z,16,FALSE))</f>
        <v>0</v>
      </c>
      <c r="Z2141" s="16">
        <f>IF(ISERROR(VLOOKUP($A2141,'13. Updated Demand'!A:Z,17,FALSE)),0,VLOOKUP($A2141,'13. Updated Demand'!A:Z,17,FALSE))</f>
        <v>0</v>
      </c>
      <c r="AA2141" s="16">
        <f>IF(ISERROR(VLOOKUP($A2141,'13. Updated Demand'!A:Z,18,FALSE)),0,VLOOKUP($A2141,'13. Updated Demand'!A:Z,18,FALSE))</f>
        <v>0</v>
      </c>
      <c r="AB2141" s="16">
        <f>IF(ISERROR(VLOOKUP($A2141,'13. Updated Demand'!A:Z,19,FALSE)),0,VLOOKUP($A2141,'13. Updated Demand'!A:Z,19,FALSE))</f>
        <v>0</v>
      </c>
      <c r="AC2141" s="16">
        <f>IF(ISERROR(VLOOKUP($A2141,'13. Updated Demand'!A:Z,20,FALSE)),0,VLOOKUP($A2141,'13. Updated Demand'!A:Z,20,FALSE))</f>
        <v>0</v>
      </c>
      <c r="AD2141" s="16">
        <f>IF(ISERROR(VLOOKUP($A2141,'13. Updated Demand'!A:Z,21,FALSE)),0,VLOOKUP($A2141,'13. Updated Demand'!A:Z,21,FALSE))</f>
        <v>0</v>
      </c>
      <c r="AE2141" s="16">
        <f>IF(ISERROR(VLOOKUP($A2141,'13. Updated Demand'!A:Z,22,FALSE)),0,VLOOKUP($A2141,'13. Updated Demand'!A:Z,22,FALSE))</f>
        <v>0</v>
      </c>
      <c r="AF2141" s="16">
        <f>IF(ISERROR(VLOOKUP($A2141,'13. Updated Demand'!A:Z,23,FALSE)),0,VLOOKUP($A2141,'13. Updated Demand'!A:Z,23,FALSE))</f>
        <v>0</v>
      </c>
      <c r="AG2141" s="16">
        <f>IF(ISERROR(VLOOKUP($A2141,'13. Updated Demand'!A:Z,24,FALSE)),0,VLOOKUP($A2141,'13. Updated Demand'!A:Z,24,FALSE))</f>
        <v>0</v>
      </c>
      <c r="AH2141" s="16">
        <f>IF(ISERROR(VLOOKUP($A2141,'13. Updated Demand'!A:Z,25,FALSE)),0,VLOOKUP($A2141,'13. Updated Demand'!A:Z,25,FALSE))</f>
        <v>0</v>
      </c>
      <c r="AI2141" s="16">
        <f>IF(ISERROR(VLOOKUP($A2141,'13. Updated Demand'!A:Z,26,FALSE)),0,VLOOKUP($A2141,'13. Updated Demand'!A:Z,26,FALSE))</f>
        <v>0</v>
      </c>
      <c r="AJ2141" s="16">
        <f t="shared" si="409"/>
        <v>0</v>
      </c>
      <c r="AK2141" s="19">
        <v>0</v>
      </c>
      <c r="AL2141" s="16">
        <f t="shared" si="407"/>
        <v>0</v>
      </c>
      <c r="AM2141" s="26">
        <v>0</v>
      </c>
      <c r="AN2141" s="19">
        <v>14</v>
      </c>
      <c r="AO2141" s="19" t="s">
        <v>1758</v>
      </c>
      <c r="AP2141" s="19">
        <v>0</v>
      </c>
      <c r="AQ2141" s="19" t="s">
        <v>307</v>
      </c>
      <c r="AR2141" s="9" t="s">
        <v>354</v>
      </c>
      <c r="AS2141" s="12">
        <v>0</v>
      </c>
      <c r="AT2141" s="19">
        <v>38.868499999999997</v>
      </c>
      <c r="AU2141" s="19">
        <v>-123.05249999999999</v>
      </c>
      <c r="AV2141" s="19" t="s">
        <v>1041</v>
      </c>
    </row>
    <row r="2142" spans="1:48" x14ac:dyDescent="0.25">
      <c r="A2142" s="18" t="s">
        <v>2582</v>
      </c>
      <c r="B2142" s="10">
        <v>10000000</v>
      </c>
      <c r="C2142" s="9">
        <v>6</v>
      </c>
      <c r="D2142" s="8" t="str">
        <f t="shared" si="398"/>
        <v>Y</v>
      </c>
      <c r="E2142" s="8" t="str">
        <f t="shared" si="399"/>
        <v>N</v>
      </c>
      <c r="F2142" s="8" t="str">
        <f t="shared" si="400"/>
        <v>Y</v>
      </c>
      <c r="G2142" s="8" t="str">
        <f t="shared" si="401"/>
        <v>Y</v>
      </c>
      <c r="H2142" s="8" t="str">
        <f t="shared" si="402"/>
        <v>Upper</v>
      </c>
      <c r="I2142" s="8" t="str">
        <f t="shared" si="403"/>
        <v>West Fork and Below Lake</v>
      </c>
      <c r="J2142" s="8" t="str">
        <f t="shared" si="404"/>
        <v>Mendocino (d/s of lake)</v>
      </c>
      <c r="K2142" s="8" t="str">
        <f t="shared" si="405"/>
        <v>Riparian</v>
      </c>
      <c r="L2142" s="8">
        <f t="shared" si="406"/>
        <v>1000</v>
      </c>
      <c r="M2142" s="8" t="str">
        <f t="shared" si="408"/>
        <v>-</v>
      </c>
      <c r="N2142" s="10" t="s">
        <v>242</v>
      </c>
      <c r="O2142" s="10" t="s">
        <v>241</v>
      </c>
      <c r="P2142" s="10" t="s">
        <v>242</v>
      </c>
      <c r="Q2142" s="10" t="s">
        <v>242</v>
      </c>
      <c r="R2142" s="10" t="s">
        <v>242</v>
      </c>
      <c r="S2142" s="10" t="s">
        <v>241</v>
      </c>
      <c r="T2142" s="10" t="s">
        <v>242</v>
      </c>
      <c r="U2142" s="10" t="s">
        <v>242</v>
      </c>
      <c r="V2142" s="10" t="s">
        <v>241</v>
      </c>
      <c r="W2142" s="10" t="s">
        <v>242</v>
      </c>
      <c r="X2142" s="15">
        <f>IF(ISERROR(VLOOKUP($A2142,'13. Updated Demand'!A:Z,15,FALSE)),0,VLOOKUP($A2142,'13. Updated Demand'!A:Z,15,FALSE))</f>
        <v>0</v>
      </c>
      <c r="Y2142" s="16">
        <f>IF(ISERROR(VLOOKUP($A2142,'13. Updated Demand'!A:Z,16,FALSE)),0,VLOOKUP($A2142,'13. Updated Demand'!A:Z,16,FALSE))</f>
        <v>0.33</v>
      </c>
      <c r="Z2142" s="16">
        <f>IF(ISERROR(VLOOKUP($A2142,'13. Updated Demand'!A:Z,17,FALSE)),0,VLOOKUP($A2142,'13. Updated Demand'!A:Z,17,FALSE))</f>
        <v>0.63</v>
      </c>
      <c r="AA2142" s="16">
        <f>IF(ISERROR(VLOOKUP($A2142,'13. Updated Demand'!A:Z,18,FALSE)),0,VLOOKUP($A2142,'13. Updated Demand'!A:Z,18,FALSE))</f>
        <v>0</v>
      </c>
      <c r="AB2142" s="16">
        <f>IF(ISERROR(VLOOKUP($A2142,'13. Updated Demand'!A:Z,19,FALSE)),0,VLOOKUP($A2142,'13. Updated Demand'!A:Z,19,FALSE))</f>
        <v>0</v>
      </c>
      <c r="AC2142" s="16">
        <f>IF(ISERROR(VLOOKUP($A2142,'13. Updated Demand'!A:Z,20,FALSE)),0,VLOOKUP($A2142,'13. Updated Demand'!A:Z,20,FALSE))</f>
        <v>0</v>
      </c>
      <c r="AD2142" s="16">
        <f>IF(ISERROR(VLOOKUP($A2142,'13. Updated Demand'!A:Z,21,FALSE)),0,VLOOKUP($A2142,'13. Updated Demand'!A:Z,21,FALSE))</f>
        <v>0</v>
      </c>
      <c r="AE2142" s="16">
        <f>IF(ISERROR(VLOOKUP($A2142,'13. Updated Demand'!A:Z,22,FALSE)),0,VLOOKUP($A2142,'13. Updated Demand'!A:Z,22,FALSE))</f>
        <v>0</v>
      </c>
      <c r="AF2142" s="16">
        <f>IF(ISERROR(VLOOKUP($A2142,'13. Updated Demand'!A:Z,23,FALSE)),0,VLOOKUP($A2142,'13. Updated Demand'!A:Z,23,FALSE))</f>
        <v>0</v>
      </c>
      <c r="AG2142" s="16">
        <f>IF(ISERROR(VLOOKUP($A2142,'13. Updated Demand'!A:Z,24,FALSE)),0,VLOOKUP($A2142,'13. Updated Demand'!A:Z,24,FALSE))</f>
        <v>0</v>
      </c>
      <c r="AH2142" s="16">
        <f>IF(ISERROR(VLOOKUP($A2142,'13. Updated Demand'!A:Z,25,FALSE)),0,VLOOKUP($A2142,'13. Updated Demand'!A:Z,25,FALSE))</f>
        <v>0.83</v>
      </c>
      <c r="AI2142" s="16">
        <f>IF(ISERROR(VLOOKUP($A2142,'13. Updated Demand'!A:Z,26,FALSE)),0,VLOOKUP($A2142,'13. Updated Demand'!A:Z,26,FALSE))</f>
        <v>0.3</v>
      </c>
      <c r="AJ2142" s="16">
        <f t="shared" si="409"/>
        <v>2.09</v>
      </c>
      <c r="AK2142" s="19">
        <v>0</v>
      </c>
      <c r="AL2142" s="16">
        <f t="shared" si="407"/>
        <v>0</v>
      </c>
      <c r="AM2142" s="26">
        <v>0</v>
      </c>
      <c r="AN2142" s="19">
        <v>0</v>
      </c>
      <c r="AO2142" s="19" t="s">
        <v>1758</v>
      </c>
      <c r="AP2142" s="19">
        <v>0</v>
      </c>
      <c r="AQ2142" s="19" t="s">
        <v>307</v>
      </c>
      <c r="AR2142" s="9" t="s">
        <v>319</v>
      </c>
      <c r="AS2142" s="12">
        <v>0</v>
      </c>
      <c r="AT2142" s="19">
        <v>38.986600000000003</v>
      </c>
      <c r="AU2142" s="19">
        <v>-123.1585</v>
      </c>
      <c r="AV2142" s="19" t="s">
        <v>385</v>
      </c>
    </row>
    <row r="2143" spans="1:48" x14ac:dyDescent="0.25">
      <c r="A2143" s="18" t="s">
        <v>2583</v>
      </c>
      <c r="B2143" s="10">
        <v>10000000</v>
      </c>
      <c r="C2143" s="9">
        <v>18</v>
      </c>
      <c r="D2143" s="8" t="str">
        <f t="shared" si="398"/>
        <v>N</v>
      </c>
      <c r="E2143" s="8" t="str">
        <f t="shared" si="399"/>
        <v>N</v>
      </c>
      <c r="F2143" s="8" t="str">
        <f t="shared" si="400"/>
        <v>N</v>
      </c>
      <c r="G2143" s="8" t="str">
        <f t="shared" si="401"/>
        <v>N</v>
      </c>
      <c r="H2143" s="8" t="str">
        <f t="shared" si="402"/>
        <v>Lower</v>
      </c>
      <c r="I2143" s="8" t="str">
        <f t="shared" si="403"/>
        <v>Outside</v>
      </c>
      <c r="J2143" s="8" t="str">
        <f t="shared" si="404"/>
        <v>Outside</v>
      </c>
      <c r="K2143" s="8" t="str">
        <f t="shared" si="405"/>
        <v>Riparian</v>
      </c>
      <c r="L2143" s="8">
        <f t="shared" si="406"/>
        <v>1000</v>
      </c>
      <c r="M2143" s="8" t="str">
        <f t="shared" si="408"/>
        <v>-</v>
      </c>
      <c r="N2143" s="10" t="s">
        <v>241</v>
      </c>
      <c r="O2143" s="10" t="s">
        <v>242</v>
      </c>
      <c r="P2143" s="10" t="s">
        <v>242</v>
      </c>
      <c r="Q2143" s="10" t="s">
        <v>242</v>
      </c>
      <c r="R2143" s="10" t="s">
        <v>242</v>
      </c>
      <c r="S2143" s="10" t="s">
        <v>241</v>
      </c>
      <c r="T2143" s="10" t="s">
        <v>242</v>
      </c>
      <c r="U2143" s="10" t="s">
        <v>242</v>
      </c>
      <c r="V2143" s="10" t="s">
        <v>241</v>
      </c>
      <c r="W2143" s="10" t="s">
        <v>242</v>
      </c>
      <c r="X2143" s="15">
        <f>IF(ISERROR(VLOOKUP($A2143,'13. Updated Demand'!A:Z,15,FALSE)),0,VLOOKUP($A2143,'13. Updated Demand'!A:Z,15,FALSE))</f>
        <v>0</v>
      </c>
      <c r="Y2143" s="16">
        <f>IF(ISERROR(VLOOKUP($A2143,'13. Updated Demand'!A:Z,16,FALSE)),0,VLOOKUP($A2143,'13. Updated Demand'!A:Z,16,FALSE))</f>
        <v>0.233333333</v>
      </c>
      <c r="Z2143" s="16">
        <f>IF(ISERROR(VLOOKUP($A2143,'13. Updated Demand'!A:Z,17,FALSE)),0,VLOOKUP($A2143,'13. Updated Demand'!A:Z,17,FALSE))</f>
        <v>1.066666667</v>
      </c>
      <c r="AA2143" s="16">
        <f>IF(ISERROR(VLOOKUP($A2143,'13. Updated Demand'!A:Z,18,FALSE)),0,VLOOKUP($A2143,'13. Updated Demand'!A:Z,18,FALSE))</f>
        <v>0.1</v>
      </c>
      <c r="AB2143" s="16">
        <f>IF(ISERROR(VLOOKUP($A2143,'13. Updated Demand'!A:Z,19,FALSE)),0,VLOOKUP($A2143,'13. Updated Demand'!A:Z,19,FALSE))</f>
        <v>0</v>
      </c>
      <c r="AC2143" s="16">
        <f>IF(ISERROR(VLOOKUP($A2143,'13. Updated Demand'!A:Z,20,FALSE)),0,VLOOKUP($A2143,'13. Updated Demand'!A:Z,20,FALSE))</f>
        <v>0</v>
      </c>
      <c r="AD2143" s="16">
        <f>IF(ISERROR(VLOOKUP($A2143,'13. Updated Demand'!A:Z,21,FALSE)),0,VLOOKUP($A2143,'13. Updated Demand'!A:Z,21,FALSE))</f>
        <v>0</v>
      </c>
      <c r="AE2143" s="16">
        <f>IF(ISERROR(VLOOKUP($A2143,'13. Updated Demand'!A:Z,22,FALSE)),0,VLOOKUP($A2143,'13. Updated Demand'!A:Z,22,FALSE))</f>
        <v>0</v>
      </c>
      <c r="AF2143" s="16">
        <f>IF(ISERROR(VLOOKUP($A2143,'13. Updated Demand'!A:Z,23,FALSE)),0,VLOOKUP($A2143,'13. Updated Demand'!A:Z,23,FALSE))</f>
        <v>0</v>
      </c>
      <c r="AG2143" s="16">
        <f>IF(ISERROR(VLOOKUP($A2143,'13. Updated Demand'!A:Z,24,FALSE)),0,VLOOKUP($A2143,'13. Updated Demand'!A:Z,24,FALSE))</f>
        <v>0</v>
      </c>
      <c r="AH2143" s="16">
        <f>IF(ISERROR(VLOOKUP($A2143,'13. Updated Demand'!A:Z,25,FALSE)),0,VLOOKUP($A2143,'13. Updated Demand'!A:Z,25,FALSE))</f>
        <v>0</v>
      </c>
      <c r="AI2143" s="16">
        <f>IF(ISERROR(VLOOKUP($A2143,'13. Updated Demand'!A:Z,26,FALSE)),0,VLOOKUP($A2143,'13. Updated Demand'!A:Z,26,FALSE))</f>
        <v>0</v>
      </c>
      <c r="AJ2143" s="16">
        <f t="shared" si="409"/>
        <v>1.4000000000000001</v>
      </c>
      <c r="AK2143" s="19">
        <v>0</v>
      </c>
      <c r="AL2143" s="16">
        <f t="shared" si="407"/>
        <v>0</v>
      </c>
      <c r="AM2143" s="26">
        <v>5.4211329703239444E-4</v>
      </c>
      <c r="AN2143" s="19">
        <v>2582.4859999999999</v>
      </c>
      <c r="AO2143" s="19" t="s">
        <v>1758</v>
      </c>
      <c r="AP2143" s="19">
        <v>0</v>
      </c>
      <c r="AQ2143" s="19" t="s">
        <v>307</v>
      </c>
      <c r="AR2143" s="9" t="s">
        <v>352</v>
      </c>
      <c r="AS2143" s="12">
        <v>0</v>
      </c>
      <c r="AT2143" s="19">
        <v>38.497500000000002</v>
      </c>
      <c r="AU2143" s="19">
        <v>-122.8858</v>
      </c>
      <c r="AV2143" s="19" t="s">
        <v>387</v>
      </c>
    </row>
    <row r="2144" spans="1:48" x14ac:dyDescent="0.25">
      <c r="A2144" s="18" t="s">
        <v>2584</v>
      </c>
      <c r="B2144" s="10">
        <v>10000000</v>
      </c>
      <c r="C2144" s="9">
        <v>13</v>
      </c>
      <c r="D2144" s="8" t="str">
        <f t="shared" si="398"/>
        <v>N</v>
      </c>
      <c r="E2144" s="8" t="str">
        <f t="shared" si="399"/>
        <v>Y</v>
      </c>
      <c r="F2144" s="8" t="str">
        <f t="shared" si="400"/>
        <v>Y</v>
      </c>
      <c r="G2144" s="8" t="str">
        <f t="shared" si="401"/>
        <v>Y</v>
      </c>
      <c r="H2144" s="8" t="str">
        <f t="shared" si="402"/>
        <v>Upper</v>
      </c>
      <c r="I2144" s="8" t="str">
        <f t="shared" si="403"/>
        <v>West Fork and Below Lake</v>
      </c>
      <c r="J2144" s="8" t="str">
        <f t="shared" si="404"/>
        <v>Sonoma (d/s of Clov. Gage)</v>
      </c>
      <c r="K2144" s="8" t="str">
        <f t="shared" si="405"/>
        <v>Riparian</v>
      </c>
      <c r="L2144" s="8">
        <f t="shared" si="406"/>
        <v>1000</v>
      </c>
      <c r="M2144" s="8" t="str">
        <f t="shared" si="408"/>
        <v>-</v>
      </c>
      <c r="N2144" s="10" t="s">
        <v>242</v>
      </c>
      <c r="O2144" s="10" t="s">
        <v>241</v>
      </c>
      <c r="P2144" s="10" t="s">
        <v>242</v>
      </c>
      <c r="Q2144" s="10" t="s">
        <v>242</v>
      </c>
      <c r="R2144" s="10" t="s">
        <v>242</v>
      </c>
      <c r="S2144" s="10" t="s">
        <v>241</v>
      </c>
      <c r="T2144" s="10" t="s">
        <v>241</v>
      </c>
      <c r="U2144" s="10" t="s">
        <v>241</v>
      </c>
      <c r="V2144" s="10" t="s">
        <v>241</v>
      </c>
      <c r="W2144" s="10" t="s">
        <v>242</v>
      </c>
      <c r="X2144" s="15">
        <f>IF(ISERROR(VLOOKUP($A2144,'13. Updated Demand'!A:Z,15,FALSE)),0,VLOOKUP($A2144,'13. Updated Demand'!A:Z,15,FALSE))</f>
        <v>0</v>
      </c>
      <c r="Y2144" s="16">
        <f>IF(ISERROR(VLOOKUP($A2144,'13. Updated Demand'!A:Z,16,FALSE)),0,VLOOKUP($A2144,'13. Updated Demand'!A:Z,16,FALSE))</f>
        <v>0</v>
      </c>
      <c r="Z2144" s="16">
        <f>IF(ISERROR(VLOOKUP($A2144,'13. Updated Demand'!A:Z,17,FALSE)),0,VLOOKUP($A2144,'13. Updated Demand'!A:Z,17,FALSE))</f>
        <v>0</v>
      </c>
      <c r="AA2144" s="16">
        <f>IF(ISERROR(VLOOKUP($A2144,'13. Updated Demand'!A:Z,18,FALSE)),0,VLOOKUP($A2144,'13. Updated Demand'!A:Z,18,FALSE))</f>
        <v>0</v>
      </c>
      <c r="AB2144" s="16">
        <f>IF(ISERROR(VLOOKUP($A2144,'13. Updated Demand'!A:Z,19,FALSE)),0,VLOOKUP($A2144,'13. Updated Demand'!A:Z,19,FALSE))</f>
        <v>0</v>
      </c>
      <c r="AC2144" s="16">
        <f>IF(ISERROR(VLOOKUP($A2144,'13. Updated Demand'!A:Z,20,FALSE)),0,VLOOKUP($A2144,'13. Updated Demand'!A:Z,20,FALSE))</f>
        <v>0</v>
      </c>
      <c r="AD2144" s="16">
        <f>IF(ISERROR(VLOOKUP($A2144,'13. Updated Demand'!A:Z,21,FALSE)),0,VLOOKUP($A2144,'13. Updated Demand'!A:Z,21,FALSE))</f>
        <v>0</v>
      </c>
      <c r="AE2144" s="16">
        <f>IF(ISERROR(VLOOKUP($A2144,'13. Updated Demand'!A:Z,22,FALSE)),0,VLOOKUP($A2144,'13. Updated Demand'!A:Z,22,FALSE))</f>
        <v>0</v>
      </c>
      <c r="AF2144" s="16">
        <f>IF(ISERROR(VLOOKUP($A2144,'13. Updated Demand'!A:Z,23,FALSE)),0,VLOOKUP($A2144,'13. Updated Demand'!A:Z,23,FALSE))</f>
        <v>0</v>
      </c>
      <c r="AG2144" s="16">
        <f>IF(ISERROR(VLOOKUP($A2144,'13. Updated Demand'!A:Z,24,FALSE)),0,VLOOKUP($A2144,'13. Updated Demand'!A:Z,24,FALSE))</f>
        <v>0</v>
      </c>
      <c r="AH2144" s="16">
        <f>IF(ISERROR(VLOOKUP($A2144,'13. Updated Demand'!A:Z,25,FALSE)),0,VLOOKUP($A2144,'13. Updated Demand'!A:Z,25,FALSE))</f>
        <v>0</v>
      </c>
      <c r="AI2144" s="16">
        <f>IF(ISERROR(VLOOKUP($A2144,'13. Updated Demand'!A:Z,26,FALSE)),0,VLOOKUP($A2144,'13. Updated Demand'!A:Z,26,FALSE))</f>
        <v>0</v>
      </c>
      <c r="AJ2144" s="16">
        <f t="shared" si="409"/>
        <v>0</v>
      </c>
      <c r="AK2144" s="19">
        <v>0</v>
      </c>
      <c r="AL2144" s="16">
        <f t="shared" si="407"/>
        <v>0</v>
      </c>
      <c r="AM2144" s="26">
        <v>0</v>
      </c>
      <c r="AN2144" s="19">
        <v>403.49079999999998</v>
      </c>
      <c r="AO2144" s="19" t="s">
        <v>1758</v>
      </c>
      <c r="AP2144" s="19">
        <v>0</v>
      </c>
      <c r="AQ2144" s="19" t="s">
        <v>307</v>
      </c>
      <c r="AR2144" s="9" t="s">
        <v>507</v>
      </c>
      <c r="AS2144" s="12">
        <v>0</v>
      </c>
      <c r="AT2144" s="19">
        <v>38.601599999999998</v>
      </c>
      <c r="AU2144" s="19">
        <v>-122.8455</v>
      </c>
      <c r="AV2144" s="19" t="s">
        <v>548</v>
      </c>
    </row>
    <row r="2145" spans="1:48" x14ac:dyDescent="0.25">
      <c r="A2145" s="18" t="s">
        <v>2585</v>
      </c>
      <c r="B2145" s="10">
        <v>10000000</v>
      </c>
      <c r="C2145" s="9">
        <v>13</v>
      </c>
      <c r="D2145" s="8" t="str">
        <f t="shared" si="398"/>
        <v>N</v>
      </c>
      <c r="E2145" s="8" t="str">
        <f t="shared" si="399"/>
        <v>Y</v>
      </c>
      <c r="F2145" s="8" t="str">
        <f t="shared" si="400"/>
        <v>Y</v>
      </c>
      <c r="G2145" s="8" t="str">
        <f t="shared" si="401"/>
        <v>Y</v>
      </c>
      <c r="H2145" s="8" t="str">
        <f t="shared" si="402"/>
        <v>Upper</v>
      </c>
      <c r="I2145" s="8" t="str">
        <f t="shared" si="403"/>
        <v>West Fork and Below Lake</v>
      </c>
      <c r="J2145" s="8" t="str">
        <f t="shared" si="404"/>
        <v>Sonoma (d/s of Clov. Gage)</v>
      </c>
      <c r="K2145" s="8" t="str">
        <f t="shared" si="405"/>
        <v>Riparian</v>
      </c>
      <c r="L2145" s="8">
        <f t="shared" si="406"/>
        <v>1000</v>
      </c>
      <c r="M2145" s="8" t="str">
        <f t="shared" si="408"/>
        <v>-</v>
      </c>
      <c r="N2145" s="10" t="s">
        <v>242</v>
      </c>
      <c r="O2145" s="10" t="s">
        <v>241</v>
      </c>
      <c r="P2145" s="10" t="s">
        <v>242</v>
      </c>
      <c r="Q2145" s="10" t="s">
        <v>242</v>
      </c>
      <c r="R2145" s="10" t="s">
        <v>242</v>
      </c>
      <c r="S2145" s="10" t="s">
        <v>241</v>
      </c>
      <c r="T2145" s="10" t="s">
        <v>241</v>
      </c>
      <c r="U2145" s="10" t="s">
        <v>241</v>
      </c>
      <c r="V2145" s="10" t="s">
        <v>241</v>
      </c>
      <c r="W2145" s="10" t="s">
        <v>242</v>
      </c>
      <c r="X2145" s="15">
        <f>IF(ISERROR(VLOOKUP($A2145,'13. Updated Demand'!A:Z,15,FALSE)),0,VLOOKUP($A2145,'13. Updated Demand'!A:Z,15,FALSE))</f>
        <v>0</v>
      </c>
      <c r="Y2145" s="16">
        <f>IF(ISERROR(VLOOKUP($A2145,'13. Updated Demand'!A:Z,16,FALSE)),0,VLOOKUP($A2145,'13. Updated Demand'!A:Z,16,FALSE))</f>
        <v>0</v>
      </c>
      <c r="Z2145" s="16">
        <f>IF(ISERROR(VLOOKUP($A2145,'13. Updated Demand'!A:Z,17,FALSE)),0,VLOOKUP($A2145,'13. Updated Demand'!A:Z,17,FALSE))</f>
        <v>0</v>
      </c>
      <c r="AA2145" s="16">
        <f>IF(ISERROR(VLOOKUP($A2145,'13. Updated Demand'!A:Z,18,FALSE)),0,VLOOKUP($A2145,'13. Updated Demand'!A:Z,18,FALSE))</f>
        <v>0</v>
      </c>
      <c r="AB2145" s="16">
        <f>IF(ISERROR(VLOOKUP($A2145,'13. Updated Demand'!A:Z,19,FALSE)),0,VLOOKUP($A2145,'13. Updated Demand'!A:Z,19,FALSE))</f>
        <v>0</v>
      </c>
      <c r="AC2145" s="16">
        <f>IF(ISERROR(VLOOKUP($A2145,'13. Updated Demand'!A:Z,20,FALSE)),0,VLOOKUP($A2145,'13. Updated Demand'!A:Z,20,FALSE))</f>
        <v>0</v>
      </c>
      <c r="AD2145" s="16">
        <f>IF(ISERROR(VLOOKUP($A2145,'13. Updated Demand'!A:Z,21,FALSE)),0,VLOOKUP($A2145,'13. Updated Demand'!A:Z,21,FALSE))</f>
        <v>0</v>
      </c>
      <c r="AE2145" s="16">
        <f>IF(ISERROR(VLOOKUP($A2145,'13. Updated Demand'!A:Z,22,FALSE)),0,VLOOKUP($A2145,'13. Updated Demand'!A:Z,22,FALSE))</f>
        <v>0</v>
      </c>
      <c r="AF2145" s="16">
        <f>IF(ISERROR(VLOOKUP($A2145,'13. Updated Demand'!A:Z,23,FALSE)),0,VLOOKUP($A2145,'13. Updated Demand'!A:Z,23,FALSE))</f>
        <v>0</v>
      </c>
      <c r="AG2145" s="16">
        <f>IF(ISERROR(VLOOKUP($A2145,'13. Updated Demand'!A:Z,24,FALSE)),0,VLOOKUP($A2145,'13. Updated Demand'!A:Z,24,FALSE))</f>
        <v>0</v>
      </c>
      <c r="AH2145" s="16">
        <f>IF(ISERROR(VLOOKUP($A2145,'13. Updated Demand'!A:Z,25,FALSE)),0,VLOOKUP($A2145,'13. Updated Demand'!A:Z,25,FALSE))</f>
        <v>0</v>
      </c>
      <c r="AI2145" s="16">
        <f>IF(ISERROR(VLOOKUP($A2145,'13. Updated Demand'!A:Z,26,FALSE)),0,VLOOKUP($A2145,'13. Updated Demand'!A:Z,26,FALSE))</f>
        <v>0</v>
      </c>
      <c r="AJ2145" s="16">
        <f t="shared" si="409"/>
        <v>0</v>
      </c>
      <c r="AK2145" s="19">
        <v>0</v>
      </c>
      <c r="AL2145" s="16">
        <f t="shared" si="407"/>
        <v>0</v>
      </c>
      <c r="AM2145" s="26">
        <v>0</v>
      </c>
      <c r="AN2145" s="19">
        <v>403.49079999999998</v>
      </c>
      <c r="AO2145" s="19" t="s">
        <v>1758</v>
      </c>
      <c r="AP2145" s="19">
        <v>0</v>
      </c>
      <c r="AQ2145" s="19" t="s">
        <v>307</v>
      </c>
      <c r="AR2145" s="9" t="s">
        <v>507</v>
      </c>
      <c r="AS2145" s="12">
        <v>0</v>
      </c>
      <c r="AT2145" s="19">
        <v>38.601599999999998</v>
      </c>
      <c r="AU2145" s="19">
        <v>-122.8455</v>
      </c>
      <c r="AV2145" s="19" t="s">
        <v>548</v>
      </c>
    </row>
    <row r="2146" spans="1:48" x14ac:dyDescent="0.25">
      <c r="A2146" s="18" t="s">
        <v>2586</v>
      </c>
      <c r="B2146" s="10">
        <v>10000000</v>
      </c>
      <c r="C2146" s="9">
        <v>13</v>
      </c>
      <c r="D2146" s="8" t="str">
        <f t="shared" si="398"/>
        <v>N</v>
      </c>
      <c r="E2146" s="8" t="str">
        <f t="shared" si="399"/>
        <v>Y</v>
      </c>
      <c r="F2146" s="8" t="str">
        <f t="shared" si="400"/>
        <v>Y</v>
      </c>
      <c r="G2146" s="8" t="str">
        <f t="shared" si="401"/>
        <v>Y</v>
      </c>
      <c r="H2146" s="8" t="str">
        <f t="shared" si="402"/>
        <v>Upper</v>
      </c>
      <c r="I2146" s="8" t="str">
        <f t="shared" si="403"/>
        <v>West Fork and Below Lake</v>
      </c>
      <c r="J2146" s="8" t="str">
        <f t="shared" si="404"/>
        <v>Sonoma (d/s of Clov. Gage)</v>
      </c>
      <c r="K2146" s="8" t="str">
        <f t="shared" si="405"/>
        <v>Riparian</v>
      </c>
      <c r="L2146" s="8">
        <f t="shared" si="406"/>
        <v>1000</v>
      </c>
      <c r="M2146" s="8" t="str">
        <f t="shared" si="408"/>
        <v>-</v>
      </c>
      <c r="N2146" s="10" t="s">
        <v>242</v>
      </c>
      <c r="O2146" s="10" t="s">
        <v>241</v>
      </c>
      <c r="P2146" s="10" t="s">
        <v>242</v>
      </c>
      <c r="Q2146" s="10" t="s">
        <v>242</v>
      </c>
      <c r="R2146" s="10" t="s">
        <v>242</v>
      </c>
      <c r="S2146" s="10" t="s">
        <v>241</v>
      </c>
      <c r="T2146" s="10" t="s">
        <v>242</v>
      </c>
      <c r="U2146" s="10" t="s">
        <v>242</v>
      </c>
      <c r="V2146" s="10" t="s">
        <v>242</v>
      </c>
      <c r="W2146" s="10" t="s">
        <v>242</v>
      </c>
      <c r="X2146" s="15">
        <f>IF(ISERROR(VLOOKUP($A2146,'13. Updated Demand'!A:Z,15,FALSE)),0,VLOOKUP($A2146,'13. Updated Demand'!A:Z,15,FALSE))</f>
        <v>0</v>
      </c>
      <c r="Y2146" s="16">
        <f>IF(ISERROR(VLOOKUP($A2146,'13. Updated Demand'!A:Z,16,FALSE)),0,VLOOKUP($A2146,'13. Updated Demand'!A:Z,16,FALSE))</f>
        <v>0</v>
      </c>
      <c r="Z2146" s="16">
        <f>IF(ISERROR(VLOOKUP($A2146,'13. Updated Demand'!A:Z,17,FALSE)),0,VLOOKUP($A2146,'13. Updated Demand'!A:Z,17,FALSE))</f>
        <v>0.04</v>
      </c>
      <c r="AA2146" s="16">
        <f>IF(ISERROR(VLOOKUP($A2146,'13. Updated Demand'!A:Z,18,FALSE)),0,VLOOKUP($A2146,'13. Updated Demand'!A:Z,18,FALSE))</f>
        <v>0.05</v>
      </c>
      <c r="AB2146" s="16">
        <f>IF(ISERROR(VLOOKUP($A2146,'13. Updated Demand'!A:Z,19,FALSE)),0,VLOOKUP($A2146,'13. Updated Demand'!A:Z,19,FALSE))</f>
        <v>0.17</v>
      </c>
      <c r="AC2146" s="16">
        <f>IF(ISERROR(VLOOKUP($A2146,'13. Updated Demand'!A:Z,20,FALSE)),0,VLOOKUP($A2146,'13. Updated Demand'!A:Z,20,FALSE))</f>
        <v>0.28999999999999998</v>
      </c>
      <c r="AD2146" s="16">
        <f>IF(ISERROR(VLOOKUP($A2146,'13. Updated Demand'!A:Z,21,FALSE)),0,VLOOKUP($A2146,'13. Updated Demand'!A:Z,21,FALSE))</f>
        <v>0.38</v>
      </c>
      <c r="AE2146" s="16">
        <f>IF(ISERROR(VLOOKUP($A2146,'13. Updated Demand'!A:Z,22,FALSE)),0,VLOOKUP($A2146,'13. Updated Demand'!A:Z,22,FALSE))</f>
        <v>0.28000000000000003</v>
      </c>
      <c r="AF2146" s="16">
        <f>IF(ISERROR(VLOOKUP($A2146,'13. Updated Demand'!A:Z,23,FALSE)),0,VLOOKUP($A2146,'13. Updated Demand'!A:Z,23,FALSE))</f>
        <v>0.28999999999999998</v>
      </c>
      <c r="AG2146" s="16">
        <f>IF(ISERROR(VLOOKUP($A2146,'13. Updated Demand'!A:Z,24,FALSE)),0,VLOOKUP($A2146,'13. Updated Demand'!A:Z,24,FALSE))</f>
        <v>0.05</v>
      </c>
      <c r="AH2146" s="16">
        <f>IF(ISERROR(VLOOKUP($A2146,'13. Updated Demand'!A:Z,25,FALSE)),0,VLOOKUP($A2146,'13. Updated Demand'!A:Z,25,FALSE))</f>
        <v>0.01</v>
      </c>
      <c r="AI2146" s="16">
        <f>IF(ISERROR(VLOOKUP($A2146,'13. Updated Demand'!A:Z,26,FALSE)),0,VLOOKUP($A2146,'13. Updated Demand'!A:Z,26,FALSE))</f>
        <v>0</v>
      </c>
      <c r="AJ2146" s="16">
        <f t="shared" si="409"/>
        <v>1.56</v>
      </c>
      <c r="AK2146" s="19">
        <v>1.435196999</v>
      </c>
      <c r="AL2146" s="16">
        <f t="shared" si="407"/>
        <v>4.7603849613817601E-3</v>
      </c>
      <c r="AM2146" s="26">
        <v>6.6096312954828287E-3</v>
      </c>
      <c r="AN2146" s="19">
        <v>242.67400000000001</v>
      </c>
      <c r="AO2146" s="19" t="s">
        <v>1758</v>
      </c>
      <c r="AP2146" s="19">
        <v>0</v>
      </c>
      <c r="AQ2146" s="19" t="s">
        <v>307</v>
      </c>
      <c r="AR2146" s="9" t="s">
        <v>507</v>
      </c>
      <c r="AS2146" s="12">
        <v>0</v>
      </c>
      <c r="AT2146" s="19">
        <v>38.597999999999999</v>
      </c>
      <c r="AU2146" s="19">
        <v>-122.84780000000001</v>
      </c>
      <c r="AV2146" s="19" t="s">
        <v>548</v>
      </c>
    </row>
    <row r="2147" spans="1:48" x14ac:dyDescent="0.25">
      <c r="A2147" s="18" t="s">
        <v>2587</v>
      </c>
      <c r="B2147" s="10">
        <v>10000000</v>
      </c>
      <c r="C2147" s="9">
        <v>13</v>
      </c>
      <c r="D2147" s="8" t="str">
        <f t="shared" si="398"/>
        <v>N</v>
      </c>
      <c r="E2147" s="8" t="str">
        <f t="shared" si="399"/>
        <v>Y</v>
      </c>
      <c r="F2147" s="8" t="str">
        <f t="shared" si="400"/>
        <v>Y</v>
      </c>
      <c r="G2147" s="8" t="str">
        <f t="shared" si="401"/>
        <v>Y</v>
      </c>
      <c r="H2147" s="8" t="str">
        <f t="shared" si="402"/>
        <v>Upper</v>
      </c>
      <c r="I2147" s="8" t="str">
        <f t="shared" si="403"/>
        <v>West Fork and Below Lake</v>
      </c>
      <c r="J2147" s="8" t="str">
        <f t="shared" si="404"/>
        <v>Sonoma (d/s of Clov. Gage)</v>
      </c>
      <c r="K2147" s="8" t="str">
        <f t="shared" si="405"/>
        <v>Riparian</v>
      </c>
      <c r="L2147" s="8">
        <f t="shared" si="406"/>
        <v>1000</v>
      </c>
      <c r="M2147" s="8" t="str">
        <f t="shared" si="408"/>
        <v>-</v>
      </c>
      <c r="N2147" s="10" t="s">
        <v>242</v>
      </c>
      <c r="O2147" s="10" t="s">
        <v>241</v>
      </c>
      <c r="P2147" s="10" t="s">
        <v>242</v>
      </c>
      <c r="Q2147" s="10" t="s">
        <v>242</v>
      </c>
      <c r="R2147" s="10" t="s">
        <v>242</v>
      </c>
      <c r="S2147" s="10" t="s">
        <v>241</v>
      </c>
      <c r="T2147" s="10" t="s">
        <v>242</v>
      </c>
      <c r="U2147" s="10" t="s">
        <v>242</v>
      </c>
      <c r="V2147" s="10" t="s">
        <v>242</v>
      </c>
      <c r="W2147" s="10" t="s">
        <v>242</v>
      </c>
      <c r="X2147" s="15">
        <f>IF(ISERROR(VLOOKUP($A2147,'13. Updated Demand'!A:Z,15,FALSE)),0,VLOOKUP($A2147,'13. Updated Demand'!A:Z,15,FALSE))</f>
        <v>0</v>
      </c>
      <c r="Y2147" s="16">
        <f>IF(ISERROR(VLOOKUP($A2147,'13. Updated Demand'!A:Z,16,FALSE)),0,VLOOKUP($A2147,'13. Updated Demand'!A:Z,16,FALSE))</f>
        <v>2.9999999999999997E-4</v>
      </c>
      <c r="Z2147" s="16">
        <f>IF(ISERROR(VLOOKUP($A2147,'13. Updated Demand'!A:Z,17,FALSE)),0,VLOOKUP($A2147,'13. Updated Demand'!A:Z,17,FALSE))</f>
        <v>0.08</v>
      </c>
      <c r="AA2147" s="16">
        <f>IF(ISERROR(VLOOKUP($A2147,'13. Updated Demand'!A:Z,18,FALSE)),0,VLOOKUP($A2147,'13. Updated Demand'!A:Z,18,FALSE))</f>
        <v>0.05</v>
      </c>
      <c r="AB2147" s="16">
        <f>IF(ISERROR(VLOOKUP($A2147,'13. Updated Demand'!A:Z,19,FALSE)),0,VLOOKUP($A2147,'13. Updated Demand'!A:Z,19,FALSE))</f>
        <v>0.26</v>
      </c>
      <c r="AC2147" s="16">
        <f>IF(ISERROR(VLOOKUP($A2147,'13. Updated Demand'!A:Z,20,FALSE)),0,VLOOKUP($A2147,'13. Updated Demand'!A:Z,20,FALSE))</f>
        <v>0.28000000000000003</v>
      </c>
      <c r="AD2147" s="16">
        <f>IF(ISERROR(VLOOKUP($A2147,'13. Updated Demand'!A:Z,21,FALSE)),0,VLOOKUP($A2147,'13. Updated Demand'!A:Z,21,FALSE))</f>
        <v>0.39</v>
      </c>
      <c r="AE2147" s="16">
        <f>IF(ISERROR(VLOOKUP($A2147,'13. Updated Demand'!A:Z,22,FALSE)),0,VLOOKUP($A2147,'13. Updated Demand'!A:Z,22,FALSE))</f>
        <v>0.64</v>
      </c>
      <c r="AF2147" s="16">
        <f>IF(ISERROR(VLOOKUP($A2147,'13. Updated Demand'!A:Z,23,FALSE)),0,VLOOKUP($A2147,'13. Updated Demand'!A:Z,23,FALSE))</f>
        <v>0.17</v>
      </c>
      <c r="AG2147" s="16">
        <f>IF(ISERROR(VLOOKUP($A2147,'13. Updated Demand'!A:Z,24,FALSE)),0,VLOOKUP($A2147,'13. Updated Demand'!A:Z,24,FALSE))</f>
        <v>0.09</v>
      </c>
      <c r="AH2147" s="16">
        <f>IF(ISERROR(VLOOKUP($A2147,'13. Updated Demand'!A:Z,25,FALSE)),0,VLOOKUP($A2147,'13. Updated Demand'!A:Z,25,FALSE))</f>
        <v>0</v>
      </c>
      <c r="AI2147" s="16">
        <f>IF(ISERROR(VLOOKUP($A2147,'13. Updated Demand'!A:Z,26,FALSE)),0,VLOOKUP($A2147,'13. Updated Demand'!A:Z,26,FALSE))</f>
        <v>0</v>
      </c>
      <c r="AJ2147" s="16">
        <f t="shared" si="409"/>
        <v>1.9602999999999999</v>
      </c>
      <c r="AK2147" s="19">
        <v>1.7615670000000001</v>
      </c>
      <c r="AL2147" s="16">
        <f t="shared" si="407"/>
        <v>5.8429170776620222E-3</v>
      </c>
      <c r="AM2147" s="26">
        <v>8.2405545423077878E-3</v>
      </c>
      <c r="AN2147" s="19">
        <v>242.67400000000001</v>
      </c>
      <c r="AO2147" s="19" t="s">
        <v>1758</v>
      </c>
      <c r="AP2147" s="19">
        <v>0</v>
      </c>
      <c r="AQ2147" s="19" t="s">
        <v>307</v>
      </c>
      <c r="AR2147" s="9" t="s">
        <v>507</v>
      </c>
      <c r="AS2147" s="12">
        <v>0</v>
      </c>
      <c r="AT2147" s="19">
        <v>38.6</v>
      </c>
      <c r="AU2147" s="19">
        <v>-122.8503</v>
      </c>
      <c r="AV2147" s="19" t="s">
        <v>548</v>
      </c>
    </row>
    <row r="2148" spans="1:48" x14ac:dyDescent="0.25">
      <c r="A2148" s="18" t="s">
        <v>2588</v>
      </c>
      <c r="B2148" s="10">
        <v>10000000</v>
      </c>
      <c r="C2148" s="9">
        <v>13</v>
      </c>
      <c r="D2148" s="8" t="str">
        <f t="shared" si="398"/>
        <v>N</v>
      </c>
      <c r="E2148" s="8" t="str">
        <f t="shared" si="399"/>
        <v>Y</v>
      </c>
      <c r="F2148" s="8" t="str">
        <f t="shared" si="400"/>
        <v>Y</v>
      </c>
      <c r="G2148" s="8" t="str">
        <f t="shared" si="401"/>
        <v>Y</v>
      </c>
      <c r="H2148" s="8" t="str">
        <f t="shared" si="402"/>
        <v>Upper</v>
      </c>
      <c r="I2148" s="8" t="str">
        <f t="shared" si="403"/>
        <v>West Fork and Below Lake</v>
      </c>
      <c r="J2148" s="8" t="str">
        <f t="shared" si="404"/>
        <v>Sonoma (d/s of Clov. Gage)</v>
      </c>
      <c r="K2148" s="8" t="str">
        <f t="shared" si="405"/>
        <v>Riparian</v>
      </c>
      <c r="L2148" s="8">
        <f t="shared" si="406"/>
        <v>1000</v>
      </c>
      <c r="M2148" s="8" t="str">
        <f t="shared" si="408"/>
        <v>-</v>
      </c>
      <c r="N2148" s="10" t="s">
        <v>242</v>
      </c>
      <c r="O2148" s="10" t="s">
        <v>241</v>
      </c>
      <c r="P2148" s="10" t="s">
        <v>242</v>
      </c>
      <c r="Q2148" s="10" t="s">
        <v>242</v>
      </c>
      <c r="R2148" s="10" t="s">
        <v>242</v>
      </c>
      <c r="S2148" s="10" t="s">
        <v>241</v>
      </c>
      <c r="T2148" s="10" t="s">
        <v>242</v>
      </c>
      <c r="U2148" s="10" t="s">
        <v>241</v>
      </c>
      <c r="V2148" s="10" t="s">
        <v>241</v>
      </c>
      <c r="W2148" s="10" t="s">
        <v>242</v>
      </c>
      <c r="X2148" s="15">
        <f>IF(ISERROR(VLOOKUP($A2148,'13. Updated Demand'!A:Z,15,FALSE)),0,VLOOKUP($A2148,'13. Updated Demand'!A:Z,15,FALSE))</f>
        <v>0</v>
      </c>
      <c r="Y2148" s="16">
        <f>IF(ISERROR(VLOOKUP($A2148,'13. Updated Demand'!A:Z,16,FALSE)),0,VLOOKUP($A2148,'13. Updated Demand'!A:Z,16,FALSE))</f>
        <v>0</v>
      </c>
      <c r="Z2148" s="16">
        <f>IF(ISERROR(VLOOKUP($A2148,'13. Updated Demand'!A:Z,17,FALSE)),0,VLOOKUP($A2148,'13. Updated Demand'!A:Z,17,FALSE))</f>
        <v>0</v>
      </c>
      <c r="AA2148" s="16">
        <f>IF(ISERROR(VLOOKUP($A2148,'13. Updated Demand'!A:Z,18,FALSE)),0,VLOOKUP($A2148,'13. Updated Demand'!A:Z,18,FALSE))</f>
        <v>0</v>
      </c>
      <c r="AB2148" s="16">
        <f>IF(ISERROR(VLOOKUP($A2148,'13. Updated Demand'!A:Z,19,FALSE)),0,VLOOKUP($A2148,'13. Updated Demand'!A:Z,19,FALSE))</f>
        <v>0</v>
      </c>
      <c r="AC2148" s="16">
        <f>IF(ISERROR(VLOOKUP($A2148,'13. Updated Demand'!A:Z,20,FALSE)),0,VLOOKUP($A2148,'13. Updated Demand'!A:Z,20,FALSE))</f>
        <v>0</v>
      </c>
      <c r="AD2148" s="16">
        <f>IF(ISERROR(VLOOKUP($A2148,'13. Updated Demand'!A:Z,21,FALSE)),0,VLOOKUP($A2148,'13. Updated Demand'!A:Z,21,FALSE))</f>
        <v>0</v>
      </c>
      <c r="AE2148" s="16">
        <f>IF(ISERROR(VLOOKUP($A2148,'13. Updated Demand'!A:Z,22,FALSE)),0,VLOOKUP($A2148,'13. Updated Demand'!A:Z,22,FALSE))</f>
        <v>0</v>
      </c>
      <c r="AF2148" s="16">
        <f>IF(ISERROR(VLOOKUP($A2148,'13. Updated Demand'!A:Z,23,FALSE)),0,VLOOKUP($A2148,'13. Updated Demand'!A:Z,23,FALSE))</f>
        <v>0</v>
      </c>
      <c r="AG2148" s="16">
        <f>IF(ISERROR(VLOOKUP($A2148,'13. Updated Demand'!A:Z,24,FALSE)),0,VLOOKUP($A2148,'13. Updated Demand'!A:Z,24,FALSE))</f>
        <v>0</v>
      </c>
      <c r="AH2148" s="16">
        <f>IF(ISERROR(VLOOKUP($A2148,'13. Updated Demand'!A:Z,25,FALSE)),0,VLOOKUP($A2148,'13. Updated Demand'!A:Z,25,FALSE))</f>
        <v>0</v>
      </c>
      <c r="AI2148" s="16">
        <f>IF(ISERROR(VLOOKUP($A2148,'13. Updated Demand'!A:Z,26,FALSE)),0,VLOOKUP($A2148,'13. Updated Demand'!A:Z,26,FALSE))</f>
        <v>0</v>
      </c>
      <c r="AJ2148" s="16">
        <f t="shared" si="409"/>
        <v>0</v>
      </c>
      <c r="AK2148" s="19">
        <v>0</v>
      </c>
      <c r="AL2148" s="16">
        <f t="shared" si="407"/>
        <v>0</v>
      </c>
      <c r="AM2148" s="26">
        <v>0</v>
      </c>
      <c r="AN2148" s="19">
        <v>242.67400000000001</v>
      </c>
      <c r="AO2148" s="19" t="s">
        <v>1758</v>
      </c>
      <c r="AP2148" s="19">
        <v>0</v>
      </c>
      <c r="AQ2148" s="19" t="s">
        <v>307</v>
      </c>
      <c r="AR2148" s="9" t="s">
        <v>507</v>
      </c>
      <c r="AS2148" s="12">
        <v>0</v>
      </c>
      <c r="AT2148" s="19">
        <v>38.6</v>
      </c>
      <c r="AU2148" s="19">
        <v>-122.8503</v>
      </c>
      <c r="AV2148" s="19" t="s">
        <v>548</v>
      </c>
    </row>
    <row r="2149" spans="1:48" x14ac:dyDescent="0.25">
      <c r="A2149" s="18" t="s">
        <v>2589</v>
      </c>
      <c r="B2149" s="10">
        <v>10000000</v>
      </c>
      <c r="C2149" s="9">
        <v>16</v>
      </c>
      <c r="D2149" s="8" t="str">
        <f t="shared" si="398"/>
        <v>N</v>
      </c>
      <c r="E2149" s="8" t="str">
        <f t="shared" si="399"/>
        <v>N</v>
      </c>
      <c r="F2149" s="8" t="str">
        <f t="shared" si="400"/>
        <v>N</v>
      </c>
      <c r="G2149" s="8" t="str">
        <f t="shared" si="401"/>
        <v>N</v>
      </c>
      <c r="H2149" s="8" t="str">
        <f t="shared" si="402"/>
        <v>Lower</v>
      </c>
      <c r="I2149" s="8" t="str">
        <f t="shared" si="403"/>
        <v>Outside</v>
      </c>
      <c r="J2149" s="8" t="str">
        <f t="shared" si="404"/>
        <v>Outside</v>
      </c>
      <c r="K2149" s="8" t="str">
        <f t="shared" si="405"/>
        <v>Riparian</v>
      </c>
      <c r="L2149" s="8">
        <f t="shared" si="406"/>
        <v>1000</v>
      </c>
      <c r="M2149" s="8" t="str">
        <f t="shared" si="408"/>
        <v>-</v>
      </c>
      <c r="N2149" s="10" t="s">
        <v>242</v>
      </c>
      <c r="O2149" s="10" t="s">
        <v>242</v>
      </c>
      <c r="P2149" s="10" t="s">
        <v>242</v>
      </c>
      <c r="Q2149" s="10" t="s">
        <v>242</v>
      </c>
      <c r="R2149" s="10" t="s">
        <v>242</v>
      </c>
      <c r="S2149" s="10" t="s">
        <v>241</v>
      </c>
      <c r="T2149" s="10" t="s">
        <v>242</v>
      </c>
      <c r="U2149" s="10" t="s">
        <v>241</v>
      </c>
      <c r="V2149" s="10" t="s">
        <v>241</v>
      </c>
      <c r="W2149" s="10" t="s">
        <v>242</v>
      </c>
      <c r="X2149" s="15">
        <f>IF(ISERROR(VLOOKUP($A2149,'13. Updated Demand'!A:Z,15,FALSE)),0,VLOOKUP($A2149,'13. Updated Demand'!A:Z,15,FALSE))</f>
        <v>0</v>
      </c>
      <c r="Y2149" s="16">
        <f>IF(ISERROR(VLOOKUP($A2149,'13. Updated Demand'!A:Z,16,FALSE)),0,VLOOKUP($A2149,'13. Updated Demand'!A:Z,16,FALSE))</f>
        <v>0</v>
      </c>
      <c r="Z2149" s="16">
        <f>IF(ISERROR(VLOOKUP($A2149,'13. Updated Demand'!A:Z,17,FALSE)),0,VLOOKUP($A2149,'13. Updated Demand'!A:Z,17,FALSE))</f>
        <v>0</v>
      </c>
      <c r="AA2149" s="16">
        <f>IF(ISERROR(VLOOKUP($A2149,'13. Updated Demand'!A:Z,18,FALSE)),0,VLOOKUP($A2149,'13. Updated Demand'!A:Z,18,FALSE))</f>
        <v>0</v>
      </c>
      <c r="AB2149" s="16">
        <f>IF(ISERROR(VLOOKUP($A2149,'13. Updated Demand'!A:Z,19,FALSE)),0,VLOOKUP($A2149,'13. Updated Demand'!A:Z,19,FALSE))</f>
        <v>0</v>
      </c>
      <c r="AC2149" s="16">
        <f>IF(ISERROR(VLOOKUP($A2149,'13. Updated Demand'!A:Z,20,FALSE)),0,VLOOKUP($A2149,'13. Updated Demand'!A:Z,20,FALSE))</f>
        <v>0</v>
      </c>
      <c r="AD2149" s="16">
        <f>IF(ISERROR(VLOOKUP($A2149,'13. Updated Demand'!A:Z,21,FALSE)),0,VLOOKUP($A2149,'13. Updated Demand'!A:Z,21,FALSE))</f>
        <v>0</v>
      </c>
      <c r="AE2149" s="16">
        <f>IF(ISERROR(VLOOKUP($A2149,'13. Updated Demand'!A:Z,22,FALSE)),0,VLOOKUP($A2149,'13. Updated Demand'!A:Z,22,FALSE))</f>
        <v>0</v>
      </c>
      <c r="AF2149" s="16">
        <f>IF(ISERROR(VLOOKUP($A2149,'13. Updated Demand'!A:Z,23,FALSE)),0,VLOOKUP($A2149,'13. Updated Demand'!A:Z,23,FALSE))</f>
        <v>0</v>
      </c>
      <c r="AG2149" s="16">
        <f>IF(ISERROR(VLOOKUP($A2149,'13. Updated Demand'!A:Z,24,FALSE)),0,VLOOKUP($A2149,'13. Updated Demand'!A:Z,24,FALSE))</f>
        <v>0</v>
      </c>
      <c r="AH2149" s="16">
        <f>IF(ISERROR(VLOOKUP($A2149,'13. Updated Demand'!A:Z,25,FALSE)),0,VLOOKUP($A2149,'13. Updated Demand'!A:Z,25,FALSE))</f>
        <v>0</v>
      </c>
      <c r="AI2149" s="16">
        <f>IF(ISERROR(VLOOKUP($A2149,'13. Updated Demand'!A:Z,26,FALSE)),0,VLOOKUP($A2149,'13. Updated Demand'!A:Z,26,FALSE))</f>
        <v>0</v>
      </c>
      <c r="AJ2149" s="16">
        <f t="shared" si="409"/>
        <v>0</v>
      </c>
      <c r="AK2149" s="19">
        <v>0</v>
      </c>
      <c r="AL2149" s="16">
        <f t="shared" si="407"/>
        <v>0</v>
      </c>
      <c r="AM2149" s="26">
        <v>0</v>
      </c>
      <c r="AN2149" s="19">
        <v>242.67400000000001</v>
      </c>
      <c r="AO2149" s="19" t="s">
        <v>1758</v>
      </c>
      <c r="AP2149" s="19">
        <v>0</v>
      </c>
      <c r="AQ2149" s="19" t="s">
        <v>307</v>
      </c>
      <c r="AR2149" s="9" t="s">
        <v>394</v>
      </c>
      <c r="AS2149" s="12">
        <v>0</v>
      </c>
      <c r="AT2149" s="19">
        <v>38.620199999999997</v>
      </c>
      <c r="AU2149" s="19">
        <v>-122.8882</v>
      </c>
      <c r="AV2149" s="19" t="s">
        <v>701</v>
      </c>
    </row>
    <row r="2150" spans="1:48" x14ac:dyDescent="0.25">
      <c r="A2150" s="18" t="s">
        <v>2590</v>
      </c>
      <c r="B2150" s="10">
        <v>10000000</v>
      </c>
      <c r="C2150" s="9">
        <v>9</v>
      </c>
      <c r="D2150" s="8" t="str">
        <f t="shared" si="398"/>
        <v>N</v>
      </c>
      <c r="E2150" s="8" t="str">
        <f t="shared" si="399"/>
        <v>Y</v>
      </c>
      <c r="F2150" s="8" t="str">
        <f t="shared" si="400"/>
        <v>Y</v>
      </c>
      <c r="G2150" s="8" t="str">
        <f t="shared" si="401"/>
        <v>Y</v>
      </c>
      <c r="H2150" s="8" t="str">
        <f t="shared" si="402"/>
        <v>Upper</v>
      </c>
      <c r="I2150" s="8" t="str">
        <f t="shared" si="403"/>
        <v>West Fork and Below Lake</v>
      </c>
      <c r="J2150" s="8" t="str">
        <f t="shared" si="404"/>
        <v>Sonoma (d/s of Clov. Gage)</v>
      </c>
      <c r="K2150" s="8" t="str">
        <f t="shared" si="405"/>
        <v>Riparian</v>
      </c>
      <c r="L2150" s="8">
        <f t="shared" si="406"/>
        <v>1000</v>
      </c>
      <c r="M2150" s="8" t="str">
        <f t="shared" si="408"/>
        <v>-</v>
      </c>
      <c r="N2150" s="10" t="s">
        <v>241</v>
      </c>
      <c r="O2150" s="10" t="s">
        <v>241</v>
      </c>
      <c r="P2150" s="10" t="s">
        <v>242</v>
      </c>
      <c r="Q2150" s="10" t="s">
        <v>242</v>
      </c>
      <c r="R2150" s="10" t="s">
        <v>242</v>
      </c>
      <c r="S2150" s="10" t="s">
        <v>241</v>
      </c>
      <c r="T2150" s="10" t="s">
        <v>242</v>
      </c>
      <c r="U2150" s="10" t="s">
        <v>242</v>
      </c>
      <c r="V2150" s="10" t="s">
        <v>242</v>
      </c>
      <c r="W2150" s="10" t="s">
        <v>242</v>
      </c>
      <c r="X2150" s="15">
        <f>IF(ISERROR(VLOOKUP($A2150,'13. Updated Demand'!A:Z,15,FALSE)),0,VLOOKUP($A2150,'13. Updated Demand'!A:Z,15,FALSE))</f>
        <v>0</v>
      </c>
      <c r="Y2150" s="16">
        <f>IF(ISERROR(VLOOKUP($A2150,'13. Updated Demand'!A:Z,16,FALSE)),0,VLOOKUP($A2150,'13. Updated Demand'!A:Z,16,FALSE))</f>
        <v>0</v>
      </c>
      <c r="Z2150" s="16">
        <f>IF(ISERROR(VLOOKUP($A2150,'13. Updated Demand'!A:Z,17,FALSE)),0,VLOOKUP($A2150,'13. Updated Demand'!A:Z,17,FALSE))</f>
        <v>0.03</v>
      </c>
      <c r="AA2150" s="16">
        <f>IF(ISERROR(VLOOKUP($A2150,'13. Updated Demand'!A:Z,18,FALSE)),0,VLOOKUP($A2150,'13. Updated Demand'!A:Z,18,FALSE))</f>
        <v>0</v>
      </c>
      <c r="AB2150" s="16">
        <f>IF(ISERROR(VLOOKUP($A2150,'13. Updated Demand'!A:Z,19,FALSE)),0,VLOOKUP($A2150,'13. Updated Demand'!A:Z,19,FALSE))</f>
        <v>0.69</v>
      </c>
      <c r="AC2150" s="16">
        <f>IF(ISERROR(VLOOKUP($A2150,'13. Updated Demand'!A:Z,20,FALSE)),0,VLOOKUP($A2150,'13. Updated Demand'!A:Z,20,FALSE))</f>
        <v>1.04</v>
      </c>
      <c r="AD2150" s="16">
        <f>IF(ISERROR(VLOOKUP($A2150,'13. Updated Demand'!A:Z,21,FALSE)),0,VLOOKUP($A2150,'13. Updated Demand'!A:Z,21,FALSE))</f>
        <v>1.95</v>
      </c>
      <c r="AE2150" s="16">
        <f>IF(ISERROR(VLOOKUP($A2150,'13. Updated Demand'!A:Z,22,FALSE)),0,VLOOKUP($A2150,'13. Updated Demand'!A:Z,22,FALSE))</f>
        <v>2.2400000000000002</v>
      </c>
      <c r="AF2150" s="16">
        <f>IF(ISERROR(VLOOKUP($A2150,'13. Updated Demand'!A:Z,23,FALSE)),0,VLOOKUP($A2150,'13. Updated Demand'!A:Z,23,FALSE))</f>
        <v>2.0299999999999998</v>
      </c>
      <c r="AG2150" s="16">
        <f>IF(ISERROR(VLOOKUP($A2150,'13. Updated Demand'!A:Z,24,FALSE)),0,VLOOKUP($A2150,'13. Updated Demand'!A:Z,24,FALSE))</f>
        <v>0.91</v>
      </c>
      <c r="AH2150" s="16">
        <f>IF(ISERROR(VLOOKUP($A2150,'13. Updated Demand'!A:Z,25,FALSE)),0,VLOOKUP($A2150,'13. Updated Demand'!A:Z,25,FALSE))</f>
        <v>0.5</v>
      </c>
      <c r="AI2150" s="16">
        <f>IF(ISERROR(VLOOKUP($A2150,'13. Updated Demand'!A:Z,26,FALSE)),0,VLOOKUP($A2150,'13. Updated Demand'!A:Z,26,FALSE))</f>
        <v>0</v>
      </c>
      <c r="AJ2150" s="16">
        <f t="shared" si="409"/>
        <v>9.39</v>
      </c>
      <c r="AK2150" s="19">
        <v>7.9618166666666639</v>
      </c>
      <c r="AL2150" s="16">
        <f t="shared" si="407"/>
        <v>2.6408438947187796E-2</v>
      </c>
      <c r="AM2150" s="26">
        <v>5.828181706379959E-2</v>
      </c>
      <c r="AN2150" s="19">
        <v>161.5412</v>
      </c>
      <c r="AO2150" s="19" t="s">
        <v>1758</v>
      </c>
      <c r="AP2150" s="19">
        <v>0</v>
      </c>
      <c r="AQ2150" s="19" t="s">
        <v>307</v>
      </c>
      <c r="AR2150" s="9" t="s">
        <v>354</v>
      </c>
      <c r="AS2150" s="12">
        <v>0</v>
      </c>
      <c r="AT2150" s="19">
        <v>38.724499999999999</v>
      </c>
      <c r="AU2150" s="19">
        <v>-122.9265</v>
      </c>
      <c r="AV2150" s="19" t="s">
        <v>387</v>
      </c>
    </row>
    <row r="2151" spans="1:48" x14ac:dyDescent="0.25">
      <c r="A2151" s="18" t="s">
        <v>2591</v>
      </c>
      <c r="B2151" s="10">
        <v>10000000</v>
      </c>
      <c r="C2151" s="9">
        <v>13</v>
      </c>
      <c r="D2151" s="8" t="str">
        <f t="shared" si="398"/>
        <v>N</v>
      </c>
      <c r="E2151" s="8" t="str">
        <f t="shared" si="399"/>
        <v>Y</v>
      </c>
      <c r="F2151" s="8" t="str">
        <f t="shared" si="400"/>
        <v>Y</v>
      </c>
      <c r="G2151" s="8" t="str">
        <f t="shared" si="401"/>
        <v>Y</v>
      </c>
      <c r="H2151" s="8" t="str">
        <f t="shared" si="402"/>
        <v>Upper</v>
      </c>
      <c r="I2151" s="8" t="str">
        <f t="shared" si="403"/>
        <v>West Fork and Below Lake</v>
      </c>
      <c r="J2151" s="8" t="str">
        <f t="shared" si="404"/>
        <v>Sonoma (d/s of Clov. Gage)</v>
      </c>
      <c r="K2151" s="8" t="str">
        <f t="shared" si="405"/>
        <v>Riparian</v>
      </c>
      <c r="L2151" s="8">
        <f t="shared" si="406"/>
        <v>1000</v>
      </c>
      <c r="M2151" s="8" t="str">
        <f t="shared" si="408"/>
        <v>-</v>
      </c>
      <c r="N2151" s="10" t="s">
        <v>242</v>
      </c>
      <c r="O2151" s="10" t="s">
        <v>241</v>
      </c>
      <c r="P2151" s="10" t="s">
        <v>242</v>
      </c>
      <c r="Q2151" s="10" t="s">
        <v>242</v>
      </c>
      <c r="R2151" s="10" t="s">
        <v>242</v>
      </c>
      <c r="S2151" s="10" t="s">
        <v>241</v>
      </c>
      <c r="T2151" s="10" t="s">
        <v>242</v>
      </c>
      <c r="U2151" s="10" t="s">
        <v>241</v>
      </c>
      <c r="V2151" s="10" t="s">
        <v>241</v>
      </c>
      <c r="W2151" s="10" t="s">
        <v>242</v>
      </c>
      <c r="X2151" s="15">
        <f>IF(ISERROR(VLOOKUP($A2151,'13. Updated Demand'!A:Z,15,FALSE)),0,VLOOKUP($A2151,'13. Updated Demand'!A:Z,15,FALSE))</f>
        <v>0</v>
      </c>
      <c r="Y2151" s="16">
        <f>IF(ISERROR(VLOOKUP($A2151,'13. Updated Demand'!A:Z,16,FALSE)),0,VLOOKUP($A2151,'13. Updated Demand'!A:Z,16,FALSE))</f>
        <v>0</v>
      </c>
      <c r="Z2151" s="16">
        <f>IF(ISERROR(VLOOKUP($A2151,'13. Updated Demand'!A:Z,17,FALSE)),0,VLOOKUP($A2151,'13. Updated Demand'!A:Z,17,FALSE))</f>
        <v>0</v>
      </c>
      <c r="AA2151" s="16">
        <f>IF(ISERROR(VLOOKUP($A2151,'13. Updated Demand'!A:Z,18,FALSE)),0,VLOOKUP($A2151,'13. Updated Demand'!A:Z,18,FALSE))</f>
        <v>0</v>
      </c>
      <c r="AB2151" s="16">
        <f>IF(ISERROR(VLOOKUP($A2151,'13. Updated Demand'!A:Z,19,FALSE)),0,VLOOKUP($A2151,'13. Updated Demand'!A:Z,19,FALSE))</f>
        <v>0</v>
      </c>
      <c r="AC2151" s="16">
        <f>IF(ISERROR(VLOOKUP($A2151,'13. Updated Demand'!A:Z,20,FALSE)),0,VLOOKUP($A2151,'13. Updated Demand'!A:Z,20,FALSE))</f>
        <v>0</v>
      </c>
      <c r="AD2151" s="16">
        <f>IF(ISERROR(VLOOKUP($A2151,'13. Updated Demand'!A:Z,21,FALSE)),0,VLOOKUP($A2151,'13. Updated Demand'!A:Z,21,FALSE))</f>
        <v>0</v>
      </c>
      <c r="AE2151" s="16">
        <f>IF(ISERROR(VLOOKUP($A2151,'13. Updated Demand'!A:Z,22,FALSE)),0,VLOOKUP($A2151,'13. Updated Demand'!A:Z,22,FALSE))</f>
        <v>0</v>
      </c>
      <c r="AF2151" s="16">
        <f>IF(ISERROR(VLOOKUP($A2151,'13. Updated Demand'!A:Z,23,FALSE)),0,VLOOKUP($A2151,'13. Updated Demand'!A:Z,23,FALSE))</f>
        <v>0</v>
      </c>
      <c r="AG2151" s="16">
        <f>IF(ISERROR(VLOOKUP($A2151,'13. Updated Demand'!A:Z,24,FALSE)),0,VLOOKUP($A2151,'13. Updated Demand'!A:Z,24,FALSE))</f>
        <v>0</v>
      </c>
      <c r="AH2151" s="16">
        <f>IF(ISERROR(VLOOKUP($A2151,'13. Updated Demand'!A:Z,25,FALSE)),0,VLOOKUP($A2151,'13. Updated Demand'!A:Z,25,FALSE))</f>
        <v>0</v>
      </c>
      <c r="AI2151" s="16">
        <f>IF(ISERROR(VLOOKUP($A2151,'13. Updated Demand'!A:Z,26,FALSE)),0,VLOOKUP($A2151,'13. Updated Demand'!A:Z,26,FALSE))</f>
        <v>0</v>
      </c>
      <c r="AJ2151" s="16">
        <f t="shared" si="409"/>
        <v>0</v>
      </c>
      <c r="AK2151" s="19">
        <v>0</v>
      </c>
      <c r="AL2151" s="16">
        <f t="shared" si="407"/>
        <v>0</v>
      </c>
      <c r="AM2151" s="26">
        <v>0</v>
      </c>
      <c r="AN2151" s="19">
        <v>36.22</v>
      </c>
      <c r="AO2151" s="19" t="s">
        <v>1758</v>
      </c>
      <c r="AP2151" s="19">
        <v>0</v>
      </c>
      <c r="AQ2151" s="19" t="s">
        <v>307</v>
      </c>
      <c r="AR2151" s="9" t="s">
        <v>507</v>
      </c>
      <c r="AS2151" s="12">
        <v>0</v>
      </c>
      <c r="AT2151" s="19">
        <v>38.598599999999998</v>
      </c>
      <c r="AU2151" s="19">
        <v>-122.846</v>
      </c>
      <c r="AV2151" s="19" t="s">
        <v>548</v>
      </c>
    </row>
    <row r="2152" spans="1:48" x14ac:dyDescent="0.25">
      <c r="A2152" s="18" t="s">
        <v>2592</v>
      </c>
      <c r="B2152" s="10">
        <v>10000000</v>
      </c>
      <c r="C2152" s="9">
        <v>16</v>
      </c>
      <c r="D2152" s="8" t="str">
        <f t="shared" si="398"/>
        <v>N</v>
      </c>
      <c r="E2152" s="8" t="str">
        <f t="shared" si="399"/>
        <v>N</v>
      </c>
      <c r="F2152" s="8" t="str">
        <f t="shared" si="400"/>
        <v>N</v>
      </c>
      <c r="G2152" s="8" t="str">
        <f t="shared" si="401"/>
        <v>N</v>
      </c>
      <c r="H2152" s="8" t="str">
        <f t="shared" si="402"/>
        <v>Lower</v>
      </c>
      <c r="I2152" s="8" t="str">
        <f t="shared" si="403"/>
        <v>Outside</v>
      </c>
      <c r="J2152" s="8" t="str">
        <f t="shared" si="404"/>
        <v>Outside</v>
      </c>
      <c r="K2152" s="8" t="str">
        <f t="shared" si="405"/>
        <v>Riparian</v>
      </c>
      <c r="L2152" s="8">
        <f t="shared" si="406"/>
        <v>1000</v>
      </c>
      <c r="M2152" s="8" t="str">
        <f t="shared" si="408"/>
        <v>-</v>
      </c>
      <c r="N2152" s="10" t="s">
        <v>242</v>
      </c>
      <c r="O2152" s="10" t="s">
        <v>242</v>
      </c>
      <c r="P2152" s="10" t="s">
        <v>242</v>
      </c>
      <c r="Q2152" s="10" t="s">
        <v>242</v>
      </c>
      <c r="R2152" s="10" t="s">
        <v>242</v>
      </c>
      <c r="S2152" s="10" t="s">
        <v>241</v>
      </c>
      <c r="T2152" s="10" t="s">
        <v>242</v>
      </c>
      <c r="U2152" s="10" t="s">
        <v>242</v>
      </c>
      <c r="V2152" s="10" t="s">
        <v>242</v>
      </c>
      <c r="W2152" s="10" t="s">
        <v>242</v>
      </c>
      <c r="X2152" s="15">
        <f>IF(ISERROR(VLOOKUP($A2152,'13. Updated Demand'!A:Z,15,FALSE)),0,VLOOKUP($A2152,'13. Updated Demand'!A:Z,15,FALSE))</f>
        <v>0</v>
      </c>
      <c r="Y2152" s="16">
        <f>IF(ISERROR(VLOOKUP($A2152,'13. Updated Demand'!A:Z,16,FALSE)),0,VLOOKUP($A2152,'13. Updated Demand'!A:Z,16,FALSE))</f>
        <v>0.44492199999999998</v>
      </c>
      <c r="Z2152" s="16">
        <f>IF(ISERROR(VLOOKUP($A2152,'13. Updated Demand'!A:Z,17,FALSE)),0,VLOOKUP($A2152,'13. Updated Demand'!A:Z,17,FALSE))</f>
        <v>0.32223299999999999</v>
      </c>
      <c r="AA2152" s="16">
        <f>IF(ISERROR(VLOOKUP($A2152,'13. Updated Demand'!A:Z,18,FALSE)),0,VLOOKUP($A2152,'13. Updated Demand'!A:Z,18,FALSE))</f>
        <v>0</v>
      </c>
      <c r="AB2152" s="16">
        <f>IF(ISERROR(VLOOKUP($A2152,'13. Updated Demand'!A:Z,19,FALSE)),0,VLOOKUP($A2152,'13. Updated Demand'!A:Z,19,FALSE))</f>
        <v>5.0000000000000001E-3</v>
      </c>
      <c r="AC2152" s="16">
        <f>IF(ISERROR(VLOOKUP($A2152,'13. Updated Demand'!A:Z,20,FALSE)),0,VLOOKUP($A2152,'13. Updated Demand'!A:Z,20,FALSE))</f>
        <v>5.0000000000000001E-4</v>
      </c>
      <c r="AD2152" s="16">
        <f>IF(ISERROR(VLOOKUP($A2152,'13. Updated Demand'!A:Z,21,FALSE)),0,VLOOKUP($A2152,'13. Updated Demand'!A:Z,21,FALSE))</f>
        <v>0</v>
      </c>
      <c r="AE2152" s="16">
        <f>IF(ISERROR(VLOOKUP($A2152,'13. Updated Demand'!A:Z,22,FALSE)),0,VLOOKUP($A2152,'13. Updated Demand'!A:Z,22,FALSE))</f>
        <v>0</v>
      </c>
      <c r="AF2152" s="16">
        <f>IF(ISERROR(VLOOKUP($A2152,'13. Updated Demand'!A:Z,23,FALSE)),0,VLOOKUP($A2152,'13. Updated Demand'!A:Z,23,FALSE))</f>
        <v>0</v>
      </c>
      <c r="AG2152" s="16">
        <f>IF(ISERROR(VLOOKUP($A2152,'13. Updated Demand'!A:Z,24,FALSE)),0,VLOOKUP($A2152,'13. Updated Demand'!A:Z,24,FALSE))</f>
        <v>3.0061999999999998E-2</v>
      </c>
      <c r="AH2152" s="16">
        <f>IF(ISERROR(VLOOKUP($A2152,'13. Updated Demand'!A:Z,25,FALSE)),0,VLOOKUP($A2152,'13. Updated Demand'!A:Z,25,FALSE))</f>
        <v>0</v>
      </c>
      <c r="AI2152" s="16">
        <f>IF(ISERROR(VLOOKUP($A2152,'13. Updated Demand'!A:Z,26,FALSE)),0,VLOOKUP($A2152,'13. Updated Demand'!A:Z,26,FALSE))</f>
        <v>0</v>
      </c>
      <c r="AJ2152" s="16">
        <f t="shared" si="409"/>
        <v>0.80271700000000001</v>
      </c>
      <c r="AK2152" s="19">
        <v>5.4999999999999997E-3</v>
      </c>
      <c r="AL2152" s="16">
        <f t="shared" si="407"/>
        <v>1.8242873491125299E-5</v>
      </c>
      <c r="AM2152" s="26">
        <v>7.9150922931292892E-4</v>
      </c>
      <c r="AN2152" s="19">
        <v>1014.16</v>
      </c>
      <c r="AO2152" s="19" t="s">
        <v>1758</v>
      </c>
      <c r="AP2152" s="19">
        <v>0</v>
      </c>
      <c r="AQ2152" s="19" t="s">
        <v>307</v>
      </c>
      <c r="AR2152" s="9" t="s">
        <v>394</v>
      </c>
      <c r="AS2152" s="12">
        <v>0</v>
      </c>
      <c r="AT2152" s="19">
        <v>38.625399999999999</v>
      </c>
      <c r="AU2152" s="19">
        <v>-122.8922</v>
      </c>
      <c r="AV2152" s="19" t="s">
        <v>932</v>
      </c>
    </row>
    <row r="2153" spans="1:48" x14ac:dyDescent="0.25">
      <c r="A2153" s="18" t="s">
        <v>2593</v>
      </c>
      <c r="B2153" s="10">
        <v>10000000</v>
      </c>
      <c r="C2153" s="9">
        <v>6</v>
      </c>
      <c r="D2153" s="8" t="str">
        <f t="shared" si="398"/>
        <v>Y</v>
      </c>
      <c r="E2153" s="8" t="str">
        <f t="shared" si="399"/>
        <v>N</v>
      </c>
      <c r="F2153" s="8" t="str">
        <f t="shared" si="400"/>
        <v>Y</v>
      </c>
      <c r="G2153" s="8" t="str">
        <f t="shared" si="401"/>
        <v>Y</v>
      </c>
      <c r="H2153" s="8" t="str">
        <f t="shared" si="402"/>
        <v>Upper</v>
      </c>
      <c r="I2153" s="8" t="str">
        <f t="shared" si="403"/>
        <v>West Fork and Below Lake</v>
      </c>
      <c r="J2153" s="8" t="str">
        <f t="shared" si="404"/>
        <v>Mendocino (d/s of lake)</v>
      </c>
      <c r="K2153" s="8" t="str">
        <f t="shared" si="405"/>
        <v>Riparian</v>
      </c>
      <c r="L2153" s="8">
        <f t="shared" si="406"/>
        <v>1000</v>
      </c>
      <c r="M2153" s="8" t="str">
        <f t="shared" si="408"/>
        <v>-</v>
      </c>
      <c r="N2153" s="10" t="s">
        <v>242</v>
      </c>
      <c r="O2153" s="10" t="s">
        <v>241</v>
      </c>
      <c r="P2153" s="10" t="s">
        <v>242</v>
      </c>
      <c r="Q2153" s="10" t="s">
        <v>242</v>
      </c>
      <c r="R2153" s="10" t="s">
        <v>242</v>
      </c>
      <c r="S2153" s="10" t="s">
        <v>241</v>
      </c>
      <c r="T2153" s="10" t="s">
        <v>242</v>
      </c>
      <c r="U2153" s="10" t="s">
        <v>242</v>
      </c>
      <c r="V2153" s="10" t="s">
        <v>242</v>
      </c>
      <c r="W2153" s="10" t="s">
        <v>242</v>
      </c>
      <c r="X2153" s="15">
        <f>IF(ISERROR(VLOOKUP($A2153,'13. Updated Demand'!A:Z,15,FALSE)),0,VLOOKUP($A2153,'13. Updated Demand'!A:Z,15,FALSE))</f>
        <v>4.7567899285256101E-4</v>
      </c>
      <c r="Y2153" s="16">
        <f>IF(ISERROR(VLOOKUP($A2153,'13. Updated Demand'!A:Z,16,FALSE)),0,VLOOKUP($A2153,'13. Updated Demand'!A:Z,16,FALSE))</f>
        <v>4.7567899285256101E-4</v>
      </c>
      <c r="Z2153" s="16">
        <f>IF(ISERROR(VLOOKUP($A2153,'13. Updated Demand'!A:Z,17,FALSE)),0,VLOOKUP($A2153,'13. Updated Demand'!A:Z,17,FALSE))</f>
        <v>4.7567899285256101E-4</v>
      </c>
      <c r="AA2153" s="16">
        <f>IF(ISERROR(VLOOKUP($A2153,'13. Updated Demand'!A:Z,18,FALSE)),0,VLOOKUP($A2153,'13. Updated Demand'!A:Z,18,FALSE))</f>
        <v>4.7567899285256101E-4</v>
      </c>
      <c r="AB2153" s="16">
        <f>IF(ISERROR(VLOOKUP($A2153,'13. Updated Demand'!A:Z,19,FALSE)),0,VLOOKUP($A2153,'13. Updated Demand'!A:Z,19,FALSE))</f>
        <v>9.2066901896879305E-4</v>
      </c>
      <c r="AC2153" s="16">
        <f>IF(ISERROR(VLOOKUP($A2153,'13. Updated Demand'!A:Z,20,FALSE)),0,VLOOKUP($A2153,'13. Updated Demand'!A:Z,20,FALSE))</f>
        <v>9.2066901896879305E-4</v>
      </c>
      <c r="AD2153" s="16">
        <f>IF(ISERROR(VLOOKUP($A2153,'13. Updated Demand'!A:Z,21,FALSE)),0,VLOOKUP($A2153,'13. Updated Demand'!A:Z,21,FALSE))</f>
        <v>9.2066901896879305E-4</v>
      </c>
      <c r="AE2153" s="16">
        <f>IF(ISERROR(VLOOKUP($A2153,'13. Updated Demand'!A:Z,22,FALSE)),0,VLOOKUP($A2153,'13. Updated Demand'!A:Z,22,FALSE))</f>
        <v>9.2066901896879305E-4</v>
      </c>
      <c r="AF2153" s="16">
        <f>IF(ISERROR(VLOOKUP($A2153,'13. Updated Demand'!A:Z,23,FALSE)),0,VLOOKUP($A2153,'13. Updated Demand'!A:Z,23,FALSE))</f>
        <v>9.2066901896879305E-4</v>
      </c>
      <c r="AG2153" s="16">
        <f>IF(ISERROR(VLOOKUP($A2153,'13. Updated Demand'!A:Z,24,FALSE)),0,VLOOKUP($A2153,'13. Updated Demand'!A:Z,24,FALSE))</f>
        <v>4.7567899285256101E-4</v>
      </c>
      <c r="AH2153" s="16">
        <f>IF(ISERROR(VLOOKUP($A2153,'13. Updated Demand'!A:Z,25,FALSE)),0,VLOOKUP($A2153,'13. Updated Demand'!A:Z,25,FALSE))</f>
        <v>4.7567899285256101E-4</v>
      </c>
      <c r="AI2153" s="16">
        <f>IF(ISERROR(VLOOKUP($A2153,'13. Updated Demand'!A:Z,26,FALSE)),0,VLOOKUP($A2153,'13. Updated Demand'!A:Z,26,FALSE))</f>
        <v>4.7567899285256101E-4</v>
      </c>
      <c r="AJ2153" s="16">
        <f t="shared" si="409"/>
        <v>7.9330980448118933E-3</v>
      </c>
      <c r="AK2153" s="19">
        <v>4.6033450948439652E-3</v>
      </c>
      <c r="AL2153" s="16">
        <f t="shared" si="407"/>
        <v>1.5268771309314663E-5</v>
      </c>
      <c r="AM2153" s="26">
        <v>6.8923527756836606E-2</v>
      </c>
      <c r="AN2153" s="19">
        <v>0.11509999999999999</v>
      </c>
      <c r="AO2153" s="19" t="s">
        <v>1758</v>
      </c>
      <c r="AP2153" s="19">
        <v>0</v>
      </c>
      <c r="AQ2153" s="19" t="s">
        <v>307</v>
      </c>
      <c r="AR2153" s="9" t="s">
        <v>319</v>
      </c>
      <c r="AS2153" s="12">
        <v>3.4039024194010059E-4</v>
      </c>
      <c r="AT2153" s="19">
        <v>38.9895</v>
      </c>
      <c r="AU2153" s="19">
        <v>-123.1628</v>
      </c>
      <c r="AV2153" s="19" t="s">
        <v>362</v>
      </c>
    </row>
    <row r="2154" spans="1:48" x14ac:dyDescent="0.25">
      <c r="A2154" s="18" t="s">
        <v>2594</v>
      </c>
      <c r="B2154" s="10">
        <v>10000000</v>
      </c>
      <c r="C2154" s="9">
        <v>12</v>
      </c>
      <c r="D2154" s="8" t="str">
        <f t="shared" si="398"/>
        <v>N</v>
      </c>
      <c r="E2154" s="8" t="str">
        <f t="shared" si="399"/>
        <v>Y</v>
      </c>
      <c r="F2154" s="8" t="str">
        <f t="shared" si="400"/>
        <v>Y</v>
      </c>
      <c r="G2154" s="8" t="str">
        <f t="shared" si="401"/>
        <v>Y</v>
      </c>
      <c r="H2154" s="8" t="str">
        <f t="shared" si="402"/>
        <v>Upper</v>
      </c>
      <c r="I2154" s="8" t="str">
        <f t="shared" si="403"/>
        <v>West Fork and Below Lake</v>
      </c>
      <c r="J2154" s="8" t="str">
        <f t="shared" si="404"/>
        <v>Sonoma (d/s of Clov. Gage)</v>
      </c>
      <c r="K2154" s="8" t="str">
        <f t="shared" si="405"/>
        <v>Riparian</v>
      </c>
      <c r="L2154" s="8">
        <f t="shared" si="406"/>
        <v>1000</v>
      </c>
      <c r="M2154" s="8" t="str">
        <f t="shared" si="408"/>
        <v>-</v>
      </c>
      <c r="N2154" s="10" t="s">
        <v>242</v>
      </c>
      <c r="O2154" s="10" t="s">
        <v>241</v>
      </c>
      <c r="P2154" s="10" t="s">
        <v>242</v>
      </c>
      <c r="Q2154" s="10" t="s">
        <v>242</v>
      </c>
      <c r="R2154" s="10" t="s">
        <v>242</v>
      </c>
      <c r="S2154" s="10" t="s">
        <v>241</v>
      </c>
      <c r="T2154" s="10" t="s">
        <v>242</v>
      </c>
      <c r="U2154" s="10" t="s">
        <v>242</v>
      </c>
      <c r="V2154" s="10" t="s">
        <v>242</v>
      </c>
      <c r="W2154" s="10" t="s">
        <v>242</v>
      </c>
      <c r="X2154" s="15">
        <f>IF(ISERROR(VLOOKUP($A2154,'13. Updated Demand'!A:Z,15,FALSE)),0,VLOOKUP($A2154,'13. Updated Demand'!A:Z,15,FALSE))</f>
        <v>3.36</v>
      </c>
      <c r="Y2154" s="16">
        <f>IF(ISERROR(VLOOKUP($A2154,'13. Updated Demand'!A:Z,16,FALSE)),0,VLOOKUP($A2154,'13. Updated Demand'!A:Z,16,FALSE))</f>
        <v>3.36</v>
      </c>
      <c r="Z2154" s="16">
        <f>IF(ISERROR(VLOOKUP($A2154,'13. Updated Demand'!A:Z,17,FALSE)),0,VLOOKUP($A2154,'13. Updated Demand'!A:Z,17,FALSE))</f>
        <v>4.1500000000000004</v>
      </c>
      <c r="AA2154" s="16">
        <f>IF(ISERROR(VLOOKUP($A2154,'13. Updated Demand'!A:Z,18,FALSE)),0,VLOOKUP($A2154,'13. Updated Demand'!A:Z,18,FALSE))</f>
        <v>3.02</v>
      </c>
      <c r="AB2154" s="16">
        <f>IF(ISERROR(VLOOKUP($A2154,'13. Updated Demand'!A:Z,19,FALSE)),0,VLOOKUP($A2154,'13. Updated Demand'!A:Z,19,FALSE))</f>
        <v>0.26</v>
      </c>
      <c r="AC2154" s="16">
        <f>IF(ISERROR(VLOOKUP($A2154,'13. Updated Demand'!A:Z,20,FALSE)),0,VLOOKUP($A2154,'13. Updated Demand'!A:Z,20,FALSE))</f>
        <v>0</v>
      </c>
      <c r="AD2154" s="16">
        <f>IF(ISERROR(VLOOKUP($A2154,'13. Updated Demand'!A:Z,21,FALSE)),0,VLOOKUP($A2154,'13. Updated Demand'!A:Z,21,FALSE))</f>
        <v>0</v>
      </c>
      <c r="AE2154" s="16">
        <f>IF(ISERROR(VLOOKUP($A2154,'13. Updated Demand'!A:Z,22,FALSE)),0,VLOOKUP($A2154,'13. Updated Demand'!A:Z,22,FALSE))</f>
        <v>0</v>
      </c>
      <c r="AF2154" s="16">
        <f>IF(ISERROR(VLOOKUP($A2154,'13. Updated Demand'!A:Z,23,FALSE)),0,VLOOKUP($A2154,'13. Updated Demand'!A:Z,23,FALSE))</f>
        <v>0</v>
      </c>
      <c r="AG2154" s="16">
        <f>IF(ISERROR(VLOOKUP($A2154,'13. Updated Demand'!A:Z,24,FALSE)),0,VLOOKUP($A2154,'13. Updated Demand'!A:Z,24,FALSE))</f>
        <v>0</v>
      </c>
      <c r="AH2154" s="16">
        <f>IF(ISERROR(VLOOKUP($A2154,'13. Updated Demand'!A:Z,25,FALSE)),0,VLOOKUP($A2154,'13. Updated Demand'!A:Z,25,FALSE))</f>
        <v>0</v>
      </c>
      <c r="AI2154" s="16">
        <f>IF(ISERROR(VLOOKUP($A2154,'13. Updated Demand'!A:Z,26,FALSE)),0,VLOOKUP($A2154,'13. Updated Demand'!A:Z,26,FALSE))</f>
        <v>2.33</v>
      </c>
      <c r="AJ2154" s="16">
        <f t="shared" si="409"/>
        <v>16.48</v>
      </c>
      <c r="AK2154" s="19">
        <v>0.26666666700000002</v>
      </c>
      <c r="AL2154" s="16">
        <f t="shared" si="407"/>
        <v>8.8450295825109784E-4</v>
      </c>
      <c r="AM2154" s="26">
        <v>4.1065361332895574E-2</v>
      </c>
      <c r="AN2154" s="19">
        <v>402.04199999999997</v>
      </c>
      <c r="AO2154" s="19" t="s">
        <v>1758</v>
      </c>
      <c r="AP2154" s="19">
        <v>0</v>
      </c>
      <c r="AQ2154" s="19" t="s">
        <v>307</v>
      </c>
      <c r="AR2154" s="9" t="s">
        <v>311</v>
      </c>
      <c r="AS2154" s="12">
        <v>3.4039024194010059E-4</v>
      </c>
      <c r="AT2154" s="19">
        <v>38.6051</v>
      </c>
      <c r="AU2154" s="19">
        <v>-122.67440000000001</v>
      </c>
      <c r="AV2154" s="19" t="s">
        <v>385</v>
      </c>
    </row>
    <row r="2155" spans="1:48" x14ac:dyDescent="0.25">
      <c r="A2155" s="18" t="s">
        <v>2595</v>
      </c>
      <c r="B2155" s="10">
        <v>10000000</v>
      </c>
      <c r="C2155" s="9">
        <v>9</v>
      </c>
      <c r="D2155" s="8" t="str">
        <f t="shared" si="398"/>
        <v>N</v>
      </c>
      <c r="E2155" s="8" t="str">
        <f t="shared" si="399"/>
        <v>Y</v>
      </c>
      <c r="F2155" s="8" t="str">
        <f t="shared" si="400"/>
        <v>Y</v>
      </c>
      <c r="G2155" s="8" t="str">
        <f t="shared" si="401"/>
        <v>Y</v>
      </c>
      <c r="H2155" s="8" t="str">
        <f t="shared" si="402"/>
        <v>Upper</v>
      </c>
      <c r="I2155" s="8" t="str">
        <f t="shared" si="403"/>
        <v>West Fork and Below Lake</v>
      </c>
      <c r="J2155" s="8" t="str">
        <f t="shared" si="404"/>
        <v>Sonoma (d/s of Clov. Gage)</v>
      </c>
      <c r="K2155" s="8" t="str">
        <f t="shared" si="405"/>
        <v>Riparian</v>
      </c>
      <c r="L2155" s="8">
        <f t="shared" si="406"/>
        <v>1000</v>
      </c>
      <c r="M2155" s="8" t="str">
        <f t="shared" si="408"/>
        <v>-</v>
      </c>
      <c r="N2155" s="10" t="s">
        <v>241</v>
      </c>
      <c r="O2155" s="10" t="s">
        <v>241</v>
      </c>
      <c r="P2155" s="10" t="s">
        <v>242</v>
      </c>
      <c r="Q2155" s="10" t="s">
        <v>242</v>
      </c>
      <c r="R2155" s="10" t="s">
        <v>242</v>
      </c>
      <c r="S2155" s="10" t="s">
        <v>241</v>
      </c>
      <c r="T2155" s="10" t="s">
        <v>242</v>
      </c>
      <c r="U2155" s="10" t="s">
        <v>242</v>
      </c>
      <c r="V2155" s="10" t="s">
        <v>242</v>
      </c>
      <c r="W2155" s="10" t="s">
        <v>242</v>
      </c>
      <c r="X2155" s="15">
        <f>IF(ISERROR(VLOOKUP($A2155,'13. Updated Demand'!A:Z,15,FALSE)),0,VLOOKUP($A2155,'13. Updated Demand'!A:Z,15,FALSE))</f>
        <v>0.01</v>
      </c>
      <c r="Y2155" s="16">
        <f>IF(ISERROR(VLOOKUP($A2155,'13. Updated Demand'!A:Z,16,FALSE)),0,VLOOKUP($A2155,'13. Updated Demand'!A:Z,16,FALSE))</f>
        <v>6.6666666666666697E-3</v>
      </c>
      <c r="Z2155" s="16">
        <f>IF(ISERROR(VLOOKUP($A2155,'13. Updated Demand'!A:Z,17,FALSE)),0,VLOOKUP($A2155,'13. Updated Demand'!A:Z,17,FALSE))</f>
        <v>6.6666666666666697E-3</v>
      </c>
      <c r="AA2155" s="16">
        <f>IF(ISERROR(VLOOKUP($A2155,'13. Updated Demand'!A:Z,18,FALSE)),0,VLOOKUP($A2155,'13. Updated Demand'!A:Z,18,FALSE))</f>
        <v>0.02</v>
      </c>
      <c r="AB2155" s="16">
        <f>IF(ISERROR(VLOOKUP($A2155,'13. Updated Demand'!A:Z,19,FALSE)),0,VLOOKUP($A2155,'13. Updated Demand'!A:Z,19,FALSE))</f>
        <v>0.02</v>
      </c>
      <c r="AC2155" s="16">
        <f>IF(ISERROR(VLOOKUP($A2155,'13. Updated Demand'!A:Z,20,FALSE)),0,VLOOKUP($A2155,'13. Updated Demand'!A:Z,20,FALSE))</f>
        <v>0.04</v>
      </c>
      <c r="AD2155" s="16">
        <f>IF(ISERROR(VLOOKUP($A2155,'13. Updated Demand'!A:Z,21,FALSE)),0,VLOOKUP($A2155,'13. Updated Demand'!A:Z,21,FALSE))</f>
        <v>0.06</v>
      </c>
      <c r="AE2155" s="16">
        <f>IF(ISERROR(VLOOKUP($A2155,'13. Updated Demand'!A:Z,22,FALSE)),0,VLOOKUP($A2155,'13. Updated Demand'!A:Z,22,FALSE))</f>
        <v>0.04</v>
      </c>
      <c r="AF2155" s="16">
        <f>IF(ISERROR(VLOOKUP($A2155,'13. Updated Demand'!A:Z,23,FALSE)),0,VLOOKUP($A2155,'13. Updated Demand'!A:Z,23,FALSE))</f>
        <v>0.04</v>
      </c>
      <c r="AG2155" s="16">
        <f>IF(ISERROR(VLOOKUP($A2155,'13. Updated Demand'!A:Z,24,FALSE)),0,VLOOKUP($A2155,'13. Updated Demand'!A:Z,24,FALSE))</f>
        <v>0.04</v>
      </c>
      <c r="AH2155" s="16">
        <f>IF(ISERROR(VLOOKUP($A2155,'13. Updated Demand'!A:Z,25,FALSE)),0,VLOOKUP($A2155,'13. Updated Demand'!A:Z,25,FALSE))</f>
        <v>0.03</v>
      </c>
      <c r="AI2155" s="16">
        <f>IF(ISERROR(VLOOKUP($A2155,'13. Updated Demand'!A:Z,26,FALSE)),0,VLOOKUP($A2155,'13. Updated Demand'!A:Z,26,FALSE))</f>
        <v>0.02</v>
      </c>
      <c r="AJ2155" s="16">
        <f t="shared" si="409"/>
        <v>0.33333333333333337</v>
      </c>
      <c r="AK2155" s="19">
        <v>0.21333333333333332</v>
      </c>
      <c r="AL2155" s="16">
        <f t="shared" si="407"/>
        <v>7.0760236571637525E-4</v>
      </c>
      <c r="AM2155" s="26">
        <v>5.015645131603165E-3</v>
      </c>
      <c r="AN2155" s="19">
        <v>72.44</v>
      </c>
      <c r="AO2155" s="19" t="s">
        <v>1758</v>
      </c>
      <c r="AP2155" s="19">
        <v>0</v>
      </c>
      <c r="AQ2155" s="19" t="s">
        <v>307</v>
      </c>
      <c r="AR2155" s="9" t="s">
        <v>354</v>
      </c>
      <c r="AS2155" s="12">
        <v>0</v>
      </c>
      <c r="AT2155" s="19">
        <v>38.790399999999998</v>
      </c>
      <c r="AU2155" s="19">
        <v>-123.0033</v>
      </c>
      <c r="AV2155" s="19" t="s">
        <v>548</v>
      </c>
    </row>
    <row r="2156" spans="1:48" x14ac:dyDescent="0.25">
      <c r="A2156" s="18" t="s">
        <v>2596</v>
      </c>
      <c r="B2156" s="10">
        <v>10000000</v>
      </c>
      <c r="C2156" s="9">
        <v>17</v>
      </c>
      <c r="D2156" s="8" t="str">
        <f t="shared" si="398"/>
        <v>N</v>
      </c>
      <c r="E2156" s="8" t="str">
        <f t="shared" si="399"/>
        <v>N</v>
      </c>
      <c r="F2156" s="8" t="str">
        <f t="shared" si="400"/>
        <v>N</v>
      </c>
      <c r="G2156" s="8" t="str">
        <f t="shared" si="401"/>
        <v>N</v>
      </c>
      <c r="H2156" s="8" t="str">
        <f t="shared" si="402"/>
        <v>Lower</v>
      </c>
      <c r="I2156" s="8" t="str">
        <f t="shared" si="403"/>
        <v>Outside</v>
      </c>
      <c r="J2156" s="8" t="str">
        <f t="shared" si="404"/>
        <v>Outside</v>
      </c>
      <c r="K2156" s="8" t="str">
        <f t="shared" si="405"/>
        <v>Riparian</v>
      </c>
      <c r="L2156" s="8">
        <f t="shared" si="406"/>
        <v>1000</v>
      </c>
      <c r="M2156" s="8" t="str">
        <f t="shared" si="408"/>
        <v>-</v>
      </c>
      <c r="N2156" s="10" t="s">
        <v>241</v>
      </c>
      <c r="O2156" s="10" t="s">
        <v>242</v>
      </c>
      <c r="P2156" s="10" t="s">
        <v>242</v>
      </c>
      <c r="Q2156" s="10" t="s">
        <v>242</v>
      </c>
      <c r="R2156" s="10" t="s">
        <v>242</v>
      </c>
      <c r="S2156" s="10" t="s">
        <v>241</v>
      </c>
      <c r="T2156" s="10" t="s">
        <v>242</v>
      </c>
      <c r="U2156" s="10" t="s">
        <v>242</v>
      </c>
      <c r="V2156" s="10" t="s">
        <v>242</v>
      </c>
      <c r="W2156" s="10" t="s">
        <v>242</v>
      </c>
      <c r="X2156" s="15">
        <f>IF(ISERROR(VLOOKUP($A2156,'13. Updated Demand'!A:Z,15,FALSE)),0,VLOOKUP($A2156,'13. Updated Demand'!A:Z,15,FALSE))</f>
        <v>3.3333333E-2</v>
      </c>
      <c r="Y2156" s="16">
        <f>IF(ISERROR(VLOOKUP($A2156,'13. Updated Demand'!A:Z,16,FALSE)),0,VLOOKUP($A2156,'13. Updated Demand'!A:Z,16,FALSE))</f>
        <v>6.6666666999999999E-2</v>
      </c>
      <c r="Z2156" s="16">
        <f>IF(ISERROR(VLOOKUP($A2156,'13. Updated Demand'!A:Z,17,FALSE)),0,VLOOKUP($A2156,'13. Updated Demand'!A:Z,17,FALSE))</f>
        <v>0.16666666699999999</v>
      </c>
      <c r="AA2156" s="16">
        <f>IF(ISERROR(VLOOKUP($A2156,'13. Updated Demand'!A:Z,18,FALSE)),0,VLOOKUP($A2156,'13. Updated Demand'!A:Z,18,FALSE))</f>
        <v>0.133333333</v>
      </c>
      <c r="AB2156" s="16">
        <f>IF(ISERROR(VLOOKUP($A2156,'13. Updated Demand'!A:Z,19,FALSE)),0,VLOOKUP($A2156,'13. Updated Demand'!A:Z,19,FALSE))</f>
        <v>3.3333333E-2</v>
      </c>
      <c r="AC2156" s="16">
        <f>IF(ISERROR(VLOOKUP($A2156,'13. Updated Demand'!A:Z,20,FALSE)),0,VLOOKUP($A2156,'13. Updated Demand'!A:Z,20,FALSE))</f>
        <v>0.26666666700000002</v>
      </c>
      <c r="AD2156" s="16">
        <f>IF(ISERROR(VLOOKUP($A2156,'13. Updated Demand'!A:Z,21,FALSE)),0,VLOOKUP($A2156,'13. Updated Demand'!A:Z,21,FALSE))</f>
        <v>0.7</v>
      </c>
      <c r="AE2156" s="16">
        <f>IF(ISERROR(VLOOKUP($A2156,'13. Updated Demand'!A:Z,22,FALSE)),0,VLOOKUP($A2156,'13. Updated Demand'!A:Z,22,FALSE))</f>
        <v>0.46666666699999998</v>
      </c>
      <c r="AF2156" s="16">
        <f>IF(ISERROR(VLOOKUP($A2156,'13. Updated Demand'!A:Z,23,FALSE)),0,VLOOKUP($A2156,'13. Updated Demand'!A:Z,23,FALSE))</f>
        <v>0.366666667</v>
      </c>
      <c r="AG2156" s="16">
        <f>IF(ISERROR(VLOOKUP($A2156,'13. Updated Demand'!A:Z,24,FALSE)),0,VLOOKUP($A2156,'13. Updated Demand'!A:Z,24,FALSE))</f>
        <v>0.1</v>
      </c>
      <c r="AH2156" s="16">
        <f>IF(ISERROR(VLOOKUP($A2156,'13. Updated Demand'!A:Z,25,FALSE)),0,VLOOKUP($A2156,'13. Updated Demand'!A:Z,25,FALSE))</f>
        <v>0.233333333</v>
      </c>
      <c r="AI2156" s="16">
        <f>IF(ISERROR(VLOOKUP($A2156,'13. Updated Demand'!A:Z,26,FALSE)),0,VLOOKUP($A2156,'13. Updated Demand'!A:Z,26,FALSE))</f>
        <v>0</v>
      </c>
      <c r="AJ2156" s="16">
        <f t="shared" si="409"/>
        <v>2.5666666669999998</v>
      </c>
      <c r="AK2156" s="19">
        <v>1.833333334</v>
      </c>
      <c r="AL2156" s="16">
        <f t="shared" si="407"/>
        <v>6.0809578325863572E-3</v>
      </c>
      <c r="AM2156" s="26">
        <v>1.5747387367323146E-2</v>
      </c>
      <c r="AN2156" s="19">
        <v>162.99</v>
      </c>
      <c r="AO2156" s="19" t="s">
        <v>1758</v>
      </c>
      <c r="AP2156" s="19">
        <v>0</v>
      </c>
      <c r="AQ2156" s="19" t="s">
        <v>307</v>
      </c>
      <c r="AR2156" s="9" t="s">
        <v>486</v>
      </c>
      <c r="AS2156" s="12">
        <v>0</v>
      </c>
      <c r="AT2156" s="19">
        <v>38.529600000000002</v>
      </c>
      <c r="AU2156" s="19">
        <v>-122.8634</v>
      </c>
      <c r="AV2156" s="19" t="s">
        <v>548</v>
      </c>
    </row>
    <row r="2157" spans="1:48" x14ac:dyDescent="0.25">
      <c r="A2157" s="18" t="s">
        <v>2597</v>
      </c>
      <c r="B2157" s="10">
        <v>10000000</v>
      </c>
      <c r="C2157" s="9">
        <v>18</v>
      </c>
      <c r="D2157" s="8" t="str">
        <f t="shared" si="398"/>
        <v>N</v>
      </c>
      <c r="E2157" s="8" t="str">
        <f t="shared" si="399"/>
        <v>N</v>
      </c>
      <c r="F2157" s="8" t="str">
        <f t="shared" si="400"/>
        <v>N</v>
      </c>
      <c r="G2157" s="8" t="str">
        <f t="shared" si="401"/>
        <v>N</v>
      </c>
      <c r="H2157" s="8" t="str">
        <f t="shared" si="402"/>
        <v>Lower</v>
      </c>
      <c r="I2157" s="8" t="str">
        <f t="shared" si="403"/>
        <v>Outside</v>
      </c>
      <c r="J2157" s="8" t="str">
        <f t="shared" si="404"/>
        <v>Outside</v>
      </c>
      <c r="K2157" s="8" t="str">
        <f t="shared" si="405"/>
        <v>Riparian</v>
      </c>
      <c r="L2157" s="8">
        <f t="shared" si="406"/>
        <v>1000</v>
      </c>
      <c r="M2157" s="8" t="str">
        <f t="shared" si="408"/>
        <v>-</v>
      </c>
      <c r="N2157" s="10" t="s">
        <v>242</v>
      </c>
      <c r="O2157" s="10" t="s">
        <v>242</v>
      </c>
      <c r="P2157" s="10" t="s">
        <v>242</v>
      </c>
      <c r="Q2157" s="10" t="s">
        <v>242</v>
      </c>
      <c r="R2157" s="10" t="s">
        <v>242</v>
      </c>
      <c r="S2157" s="10" t="s">
        <v>241</v>
      </c>
      <c r="T2157" s="10" t="s">
        <v>242</v>
      </c>
      <c r="U2157" s="10" t="s">
        <v>241</v>
      </c>
      <c r="V2157" s="10" t="s">
        <v>241</v>
      </c>
      <c r="W2157" s="10" t="s">
        <v>242</v>
      </c>
      <c r="X2157" s="15">
        <f>IF(ISERROR(VLOOKUP($A2157,'13. Updated Demand'!A:Z,15,FALSE)),0,VLOOKUP($A2157,'13. Updated Demand'!A:Z,15,FALSE))</f>
        <v>0</v>
      </c>
      <c r="Y2157" s="16">
        <f>IF(ISERROR(VLOOKUP($A2157,'13. Updated Demand'!A:Z,16,FALSE)),0,VLOOKUP($A2157,'13. Updated Demand'!A:Z,16,FALSE))</f>
        <v>0</v>
      </c>
      <c r="Z2157" s="16">
        <f>IF(ISERROR(VLOOKUP($A2157,'13. Updated Demand'!A:Z,17,FALSE)),0,VLOOKUP($A2157,'13. Updated Demand'!A:Z,17,FALSE))</f>
        <v>0</v>
      </c>
      <c r="AA2157" s="16">
        <f>IF(ISERROR(VLOOKUP($A2157,'13. Updated Demand'!A:Z,18,FALSE)),0,VLOOKUP($A2157,'13. Updated Demand'!A:Z,18,FALSE))</f>
        <v>0</v>
      </c>
      <c r="AB2157" s="16">
        <f>IF(ISERROR(VLOOKUP($A2157,'13. Updated Demand'!A:Z,19,FALSE)),0,VLOOKUP($A2157,'13. Updated Demand'!A:Z,19,FALSE))</f>
        <v>0</v>
      </c>
      <c r="AC2157" s="16">
        <f>IF(ISERROR(VLOOKUP($A2157,'13. Updated Demand'!A:Z,20,FALSE)),0,VLOOKUP($A2157,'13. Updated Demand'!A:Z,20,FALSE))</f>
        <v>0</v>
      </c>
      <c r="AD2157" s="16">
        <f>IF(ISERROR(VLOOKUP($A2157,'13. Updated Demand'!A:Z,21,FALSE)),0,VLOOKUP($A2157,'13. Updated Demand'!A:Z,21,FALSE))</f>
        <v>0</v>
      </c>
      <c r="AE2157" s="16">
        <f>IF(ISERROR(VLOOKUP($A2157,'13. Updated Demand'!A:Z,22,FALSE)),0,VLOOKUP($A2157,'13. Updated Demand'!A:Z,22,FALSE))</f>
        <v>0</v>
      </c>
      <c r="AF2157" s="16">
        <f>IF(ISERROR(VLOOKUP($A2157,'13. Updated Demand'!A:Z,23,FALSE)),0,VLOOKUP($A2157,'13. Updated Demand'!A:Z,23,FALSE))</f>
        <v>0</v>
      </c>
      <c r="AG2157" s="16">
        <f>IF(ISERROR(VLOOKUP($A2157,'13. Updated Demand'!A:Z,24,FALSE)),0,VLOOKUP($A2157,'13. Updated Demand'!A:Z,24,FALSE))</f>
        <v>0</v>
      </c>
      <c r="AH2157" s="16">
        <f>IF(ISERROR(VLOOKUP($A2157,'13. Updated Demand'!A:Z,25,FALSE)),0,VLOOKUP($A2157,'13. Updated Demand'!A:Z,25,FALSE))</f>
        <v>0</v>
      </c>
      <c r="AI2157" s="16">
        <f>IF(ISERROR(VLOOKUP($A2157,'13. Updated Demand'!A:Z,26,FALSE)),0,VLOOKUP($A2157,'13. Updated Demand'!A:Z,26,FALSE))</f>
        <v>0</v>
      </c>
      <c r="AJ2157" s="16">
        <f t="shared" si="409"/>
        <v>0</v>
      </c>
      <c r="AK2157" s="19">
        <v>0</v>
      </c>
      <c r="AL2157" s="16">
        <f t="shared" si="407"/>
        <v>0</v>
      </c>
      <c r="AM2157" s="26">
        <v>0</v>
      </c>
      <c r="AN2157" s="19">
        <v>28976</v>
      </c>
      <c r="AO2157" s="19" t="s">
        <v>1758</v>
      </c>
      <c r="AP2157" s="19">
        <v>0</v>
      </c>
      <c r="AQ2157" s="19" t="s">
        <v>307</v>
      </c>
      <c r="AR2157" s="9" t="s">
        <v>352</v>
      </c>
      <c r="AS2157" s="12">
        <v>0</v>
      </c>
      <c r="AT2157" s="19">
        <v>38.447000000000003</v>
      </c>
      <c r="AU2157" s="19">
        <v>-122.8843</v>
      </c>
      <c r="AV2157" s="19" t="s">
        <v>469</v>
      </c>
    </row>
    <row r="2158" spans="1:48" x14ac:dyDescent="0.25">
      <c r="A2158" s="18" t="s">
        <v>2598</v>
      </c>
      <c r="B2158" s="10">
        <v>10000000</v>
      </c>
      <c r="C2158" s="9">
        <v>18</v>
      </c>
      <c r="D2158" s="8" t="str">
        <f t="shared" si="398"/>
        <v>N</v>
      </c>
      <c r="E2158" s="8" t="str">
        <f t="shared" si="399"/>
        <v>N</v>
      </c>
      <c r="F2158" s="8" t="str">
        <f t="shared" si="400"/>
        <v>N</v>
      </c>
      <c r="G2158" s="8" t="str">
        <f t="shared" si="401"/>
        <v>N</v>
      </c>
      <c r="H2158" s="8" t="str">
        <f t="shared" si="402"/>
        <v>Lower</v>
      </c>
      <c r="I2158" s="8" t="str">
        <f t="shared" si="403"/>
        <v>Outside</v>
      </c>
      <c r="J2158" s="8" t="str">
        <f t="shared" si="404"/>
        <v>Outside</v>
      </c>
      <c r="K2158" s="8" t="str">
        <f t="shared" si="405"/>
        <v>Riparian</v>
      </c>
      <c r="L2158" s="8">
        <f t="shared" si="406"/>
        <v>1000</v>
      </c>
      <c r="M2158" s="8" t="str">
        <f t="shared" si="408"/>
        <v>-</v>
      </c>
      <c r="N2158" s="10" t="s">
        <v>242</v>
      </c>
      <c r="O2158" s="10" t="s">
        <v>242</v>
      </c>
      <c r="P2158" s="10" t="s">
        <v>242</v>
      </c>
      <c r="Q2158" s="10" t="s">
        <v>242</v>
      </c>
      <c r="R2158" s="10" t="s">
        <v>242</v>
      </c>
      <c r="S2158" s="10" t="s">
        <v>241</v>
      </c>
      <c r="T2158" s="10" t="s">
        <v>242</v>
      </c>
      <c r="U2158" s="10" t="s">
        <v>241</v>
      </c>
      <c r="V2158" s="10" t="s">
        <v>241</v>
      </c>
      <c r="W2158" s="10" t="s">
        <v>242</v>
      </c>
      <c r="X2158" s="15">
        <f>IF(ISERROR(VLOOKUP($A2158,'13. Updated Demand'!A:Z,15,FALSE)),0,VLOOKUP($A2158,'13. Updated Demand'!A:Z,15,FALSE))</f>
        <v>0</v>
      </c>
      <c r="Y2158" s="16">
        <f>IF(ISERROR(VLOOKUP($A2158,'13. Updated Demand'!A:Z,16,FALSE)),0,VLOOKUP($A2158,'13. Updated Demand'!A:Z,16,FALSE))</f>
        <v>0</v>
      </c>
      <c r="Z2158" s="16">
        <f>IF(ISERROR(VLOOKUP($A2158,'13. Updated Demand'!A:Z,17,FALSE)),0,VLOOKUP($A2158,'13. Updated Demand'!A:Z,17,FALSE))</f>
        <v>0</v>
      </c>
      <c r="AA2158" s="16">
        <f>IF(ISERROR(VLOOKUP($A2158,'13. Updated Demand'!A:Z,18,FALSE)),0,VLOOKUP($A2158,'13. Updated Demand'!A:Z,18,FALSE))</f>
        <v>0</v>
      </c>
      <c r="AB2158" s="16">
        <f>IF(ISERROR(VLOOKUP($A2158,'13. Updated Demand'!A:Z,19,FALSE)),0,VLOOKUP($A2158,'13. Updated Demand'!A:Z,19,FALSE))</f>
        <v>0</v>
      </c>
      <c r="AC2158" s="16">
        <f>IF(ISERROR(VLOOKUP($A2158,'13. Updated Demand'!A:Z,20,FALSE)),0,VLOOKUP($A2158,'13. Updated Demand'!A:Z,20,FALSE))</f>
        <v>0</v>
      </c>
      <c r="AD2158" s="16">
        <f>IF(ISERROR(VLOOKUP($A2158,'13. Updated Demand'!A:Z,21,FALSE)),0,VLOOKUP($A2158,'13. Updated Demand'!A:Z,21,FALSE))</f>
        <v>0</v>
      </c>
      <c r="AE2158" s="16">
        <f>IF(ISERROR(VLOOKUP($A2158,'13. Updated Demand'!A:Z,22,FALSE)),0,VLOOKUP($A2158,'13. Updated Demand'!A:Z,22,FALSE))</f>
        <v>0</v>
      </c>
      <c r="AF2158" s="16">
        <f>IF(ISERROR(VLOOKUP($A2158,'13. Updated Demand'!A:Z,23,FALSE)),0,VLOOKUP($A2158,'13. Updated Demand'!A:Z,23,FALSE))</f>
        <v>0</v>
      </c>
      <c r="AG2158" s="16">
        <f>IF(ISERROR(VLOOKUP($A2158,'13. Updated Demand'!A:Z,24,FALSE)),0,VLOOKUP($A2158,'13. Updated Demand'!A:Z,24,FALSE))</f>
        <v>0</v>
      </c>
      <c r="AH2158" s="16">
        <f>IF(ISERROR(VLOOKUP($A2158,'13. Updated Demand'!A:Z,25,FALSE)),0,VLOOKUP($A2158,'13. Updated Demand'!A:Z,25,FALSE))</f>
        <v>0</v>
      </c>
      <c r="AI2158" s="16">
        <f>IF(ISERROR(VLOOKUP($A2158,'13. Updated Demand'!A:Z,26,FALSE)),0,VLOOKUP($A2158,'13. Updated Demand'!A:Z,26,FALSE))</f>
        <v>0</v>
      </c>
      <c r="AJ2158" s="16">
        <f t="shared" si="409"/>
        <v>0</v>
      </c>
      <c r="AK2158" s="19">
        <v>0</v>
      </c>
      <c r="AL2158" s="16">
        <f t="shared" si="407"/>
        <v>0</v>
      </c>
      <c r="AM2158" s="26">
        <v>0</v>
      </c>
      <c r="AN2158" s="19">
        <v>119.526</v>
      </c>
      <c r="AO2158" s="19" t="s">
        <v>1758</v>
      </c>
      <c r="AP2158" s="19">
        <v>0</v>
      </c>
      <c r="AQ2158" s="19" t="s">
        <v>307</v>
      </c>
      <c r="AR2158" s="9" t="s">
        <v>352</v>
      </c>
      <c r="AS2158" s="12">
        <v>0</v>
      </c>
      <c r="AT2158" s="19">
        <v>38.447200000000002</v>
      </c>
      <c r="AU2158" s="19">
        <v>-122.8854</v>
      </c>
      <c r="AV2158" s="19" t="s">
        <v>469</v>
      </c>
    </row>
    <row r="2159" spans="1:48" x14ac:dyDescent="0.25">
      <c r="A2159" s="18" t="s">
        <v>2599</v>
      </c>
      <c r="B2159" s="10">
        <v>10000000</v>
      </c>
      <c r="C2159" s="9">
        <v>21</v>
      </c>
      <c r="D2159" s="8" t="str">
        <f t="shared" si="398"/>
        <v>N</v>
      </c>
      <c r="E2159" s="8" t="str">
        <f t="shared" si="399"/>
        <v>N</v>
      </c>
      <c r="F2159" s="8" t="str">
        <f t="shared" si="400"/>
        <v>N</v>
      </c>
      <c r="G2159" s="8" t="str">
        <f t="shared" si="401"/>
        <v>N</v>
      </c>
      <c r="H2159" s="8" t="str">
        <f t="shared" si="402"/>
        <v>Lower</v>
      </c>
      <c r="I2159" s="8" t="str">
        <f t="shared" si="403"/>
        <v>Outside</v>
      </c>
      <c r="J2159" s="8" t="str">
        <f t="shared" si="404"/>
        <v>Outside</v>
      </c>
      <c r="K2159" s="8" t="str">
        <f t="shared" si="405"/>
        <v>Riparian</v>
      </c>
      <c r="L2159" s="8">
        <f t="shared" si="406"/>
        <v>1000</v>
      </c>
      <c r="M2159" s="8" t="str">
        <f t="shared" si="408"/>
        <v>-</v>
      </c>
      <c r="N2159" s="10" t="s">
        <v>242</v>
      </c>
      <c r="O2159" s="10" t="s">
        <v>242</v>
      </c>
      <c r="P2159" s="10" t="s">
        <v>242</v>
      </c>
      <c r="Q2159" s="10" t="s">
        <v>242</v>
      </c>
      <c r="R2159" s="10" t="s">
        <v>242</v>
      </c>
      <c r="S2159" s="10" t="s">
        <v>241</v>
      </c>
      <c r="T2159" s="10" t="s">
        <v>242</v>
      </c>
      <c r="U2159" s="10" t="s">
        <v>242</v>
      </c>
      <c r="V2159" s="10" t="s">
        <v>241</v>
      </c>
      <c r="W2159" s="10" t="s">
        <v>242</v>
      </c>
      <c r="X2159" s="15">
        <f>IF(ISERROR(VLOOKUP($A2159,'13. Updated Demand'!A:Z,15,FALSE)),0,VLOOKUP($A2159,'13. Updated Demand'!A:Z,15,FALSE))</f>
        <v>10</v>
      </c>
      <c r="Y2159" s="16">
        <f>IF(ISERROR(VLOOKUP($A2159,'13. Updated Demand'!A:Z,16,FALSE)),0,VLOOKUP($A2159,'13. Updated Demand'!A:Z,16,FALSE))</f>
        <v>0.66666666699999999</v>
      </c>
      <c r="Z2159" s="16">
        <f>IF(ISERROR(VLOOKUP($A2159,'13. Updated Demand'!A:Z,17,FALSE)),0,VLOOKUP($A2159,'13. Updated Demand'!A:Z,17,FALSE))</f>
        <v>1.3333333329999999</v>
      </c>
      <c r="AA2159" s="16">
        <f>IF(ISERROR(VLOOKUP($A2159,'13. Updated Demand'!A:Z,18,FALSE)),0,VLOOKUP($A2159,'13. Updated Demand'!A:Z,18,FALSE))</f>
        <v>0</v>
      </c>
      <c r="AB2159" s="16">
        <f>IF(ISERROR(VLOOKUP($A2159,'13. Updated Demand'!A:Z,19,FALSE)),0,VLOOKUP($A2159,'13. Updated Demand'!A:Z,19,FALSE))</f>
        <v>0</v>
      </c>
      <c r="AC2159" s="16">
        <f>IF(ISERROR(VLOOKUP($A2159,'13. Updated Demand'!A:Z,20,FALSE)),0,VLOOKUP($A2159,'13. Updated Demand'!A:Z,20,FALSE))</f>
        <v>0</v>
      </c>
      <c r="AD2159" s="16">
        <f>IF(ISERROR(VLOOKUP($A2159,'13. Updated Demand'!A:Z,21,FALSE)),0,VLOOKUP($A2159,'13. Updated Demand'!A:Z,21,FALSE))</f>
        <v>0</v>
      </c>
      <c r="AE2159" s="16">
        <f>IF(ISERROR(VLOOKUP($A2159,'13. Updated Demand'!A:Z,22,FALSE)),0,VLOOKUP($A2159,'13. Updated Demand'!A:Z,22,FALSE))</f>
        <v>0</v>
      </c>
      <c r="AF2159" s="16">
        <f>IF(ISERROR(VLOOKUP($A2159,'13. Updated Demand'!A:Z,23,FALSE)),0,VLOOKUP($A2159,'13. Updated Demand'!A:Z,23,FALSE))</f>
        <v>0</v>
      </c>
      <c r="AG2159" s="16">
        <f>IF(ISERROR(VLOOKUP($A2159,'13. Updated Demand'!A:Z,24,FALSE)),0,VLOOKUP($A2159,'13. Updated Demand'!A:Z,24,FALSE))</f>
        <v>0</v>
      </c>
      <c r="AH2159" s="16">
        <f>IF(ISERROR(VLOOKUP($A2159,'13. Updated Demand'!A:Z,25,FALSE)),0,VLOOKUP($A2159,'13. Updated Demand'!A:Z,25,FALSE))</f>
        <v>0</v>
      </c>
      <c r="AI2159" s="16">
        <f>IF(ISERROR(VLOOKUP($A2159,'13. Updated Demand'!A:Z,26,FALSE)),0,VLOOKUP($A2159,'13. Updated Demand'!A:Z,26,FALSE))</f>
        <v>0</v>
      </c>
      <c r="AJ2159" s="16">
        <f t="shared" si="409"/>
        <v>12</v>
      </c>
      <c r="AK2159" s="19">
        <v>0</v>
      </c>
      <c r="AL2159" s="16">
        <f t="shared" si="407"/>
        <v>0</v>
      </c>
      <c r="AM2159" s="26">
        <v>5.0198283218713918E-4</v>
      </c>
      <c r="AN2159" s="19">
        <v>23905.200000000001</v>
      </c>
      <c r="AO2159" s="19" t="s">
        <v>1758</v>
      </c>
      <c r="AP2159" s="19">
        <v>0</v>
      </c>
      <c r="AQ2159" s="19" t="s">
        <v>307</v>
      </c>
      <c r="AR2159" s="9" t="s">
        <v>403</v>
      </c>
      <c r="AS2159" s="12">
        <v>0</v>
      </c>
      <c r="AT2159" s="19">
        <v>38.5045</v>
      </c>
      <c r="AU2159" s="19">
        <v>-123.0047</v>
      </c>
      <c r="AV2159" s="19" t="s">
        <v>385</v>
      </c>
    </row>
    <row r="2160" spans="1:48" x14ac:dyDescent="0.25">
      <c r="A2160" s="18" t="s">
        <v>2600</v>
      </c>
      <c r="B2160" s="10">
        <v>10000000</v>
      </c>
      <c r="C2160" s="9">
        <v>21</v>
      </c>
      <c r="D2160" s="8" t="str">
        <f t="shared" si="398"/>
        <v>N</v>
      </c>
      <c r="E2160" s="8" t="str">
        <f t="shared" si="399"/>
        <v>N</v>
      </c>
      <c r="F2160" s="8" t="str">
        <f t="shared" si="400"/>
        <v>N</v>
      </c>
      <c r="G2160" s="8" t="str">
        <f t="shared" si="401"/>
        <v>N</v>
      </c>
      <c r="H2160" s="8" t="str">
        <f t="shared" si="402"/>
        <v>Lower</v>
      </c>
      <c r="I2160" s="8" t="str">
        <f t="shared" si="403"/>
        <v>Outside</v>
      </c>
      <c r="J2160" s="8" t="str">
        <f t="shared" si="404"/>
        <v>Outside</v>
      </c>
      <c r="K2160" s="8" t="str">
        <f t="shared" si="405"/>
        <v>Riparian</v>
      </c>
      <c r="L2160" s="8">
        <f t="shared" si="406"/>
        <v>1000</v>
      </c>
      <c r="M2160" s="8" t="str">
        <f t="shared" si="408"/>
        <v>-</v>
      </c>
      <c r="N2160" s="10" t="s">
        <v>242</v>
      </c>
      <c r="O2160" s="10" t="s">
        <v>242</v>
      </c>
      <c r="P2160" s="10" t="s">
        <v>242</v>
      </c>
      <c r="Q2160" s="10" t="s">
        <v>242</v>
      </c>
      <c r="R2160" s="10" t="s">
        <v>242</v>
      </c>
      <c r="S2160" s="10" t="s">
        <v>241</v>
      </c>
      <c r="T2160" s="10" t="s">
        <v>242</v>
      </c>
      <c r="U2160" s="10" t="s">
        <v>242</v>
      </c>
      <c r="V2160" s="10" t="s">
        <v>241</v>
      </c>
      <c r="W2160" s="10" t="s">
        <v>242</v>
      </c>
      <c r="X2160" s="15">
        <f>IF(ISERROR(VLOOKUP($A2160,'13. Updated Demand'!A:Z,15,FALSE)),0,VLOOKUP($A2160,'13. Updated Demand'!A:Z,15,FALSE))</f>
        <v>7.6666666670000003</v>
      </c>
      <c r="Y2160" s="16">
        <f>IF(ISERROR(VLOOKUP($A2160,'13. Updated Demand'!A:Z,16,FALSE)),0,VLOOKUP($A2160,'13. Updated Demand'!A:Z,16,FALSE))</f>
        <v>1.3333333329999999</v>
      </c>
      <c r="Z2160" s="16">
        <f>IF(ISERROR(VLOOKUP($A2160,'13. Updated Demand'!A:Z,17,FALSE)),0,VLOOKUP($A2160,'13. Updated Demand'!A:Z,17,FALSE))</f>
        <v>1</v>
      </c>
      <c r="AA2160" s="16">
        <f>IF(ISERROR(VLOOKUP($A2160,'13. Updated Demand'!A:Z,18,FALSE)),0,VLOOKUP($A2160,'13. Updated Demand'!A:Z,18,FALSE))</f>
        <v>0</v>
      </c>
      <c r="AB2160" s="16">
        <f>IF(ISERROR(VLOOKUP($A2160,'13. Updated Demand'!A:Z,19,FALSE)),0,VLOOKUP($A2160,'13. Updated Demand'!A:Z,19,FALSE))</f>
        <v>0</v>
      </c>
      <c r="AC2160" s="16">
        <f>IF(ISERROR(VLOOKUP($A2160,'13. Updated Demand'!A:Z,20,FALSE)),0,VLOOKUP($A2160,'13. Updated Demand'!A:Z,20,FALSE))</f>
        <v>0</v>
      </c>
      <c r="AD2160" s="16">
        <f>IF(ISERROR(VLOOKUP($A2160,'13. Updated Demand'!A:Z,21,FALSE)),0,VLOOKUP($A2160,'13. Updated Demand'!A:Z,21,FALSE))</f>
        <v>0</v>
      </c>
      <c r="AE2160" s="16">
        <f>IF(ISERROR(VLOOKUP($A2160,'13. Updated Demand'!A:Z,22,FALSE)),0,VLOOKUP($A2160,'13. Updated Demand'!A:Z,22,FALSE))</f>
        <v>0</v>
      </c>
      <c r="AF2160" s="16">
        <f>IF(ISERROR(VLOOKUP($A2160,'13. Updated Demand'!A:Z,23,FALSE)),0,VLOOKUP($A2160,'13. Updated Demand'!A:Z,23,FALSE))</f>
        <v>0</v>
      </c>
      <c r="AG2160" s="16">
        <f>IF(ISERROR(VLOOKUP($A2160,'13. Updated Demand'!A:Z,24,FALSE)),0,VLOOKUP($A2160,'13. Updated Demand'!A:Z,24,FALSE))</f>
        <v>0</v>
      </c>
      <c r="AH2160" s="16">
        <f>IF(ISERROR(VLOOKUP($A2160,'13. Updated Demand'!A:Z,25,FALSE)),0,VLOOKUP($A2160,'13. Updated Demand'!A:Z,25,FALSE))</f>
        <v>0</v>
      </c>
      <c r="AI2160" s="16">
        <f>IF(ISERROR(VLOOKUP($A2160,'13. Updated Demand'!A:Z,26,FALSE)),0,VLOOKUP($A2160,'13. Updated Demand'!A:Z,26,FALSE))</f>
        <v>0</v>
      </c>
      <c r="AJ2160" s="16">
        <f t="shared" si="409"/>
        <v>10</v>
      </c>
      <c r="AK2160" s="19">
        <v>0</v>
      </c>
      <c r="AL2160" s="16">
        <f t="shared" si="407"/>
        <v>0</v>
      </c>
      <c r="AM2160" s="26">
        <v>2.7609055770292656E-2</v>
      </c>
      <c r="AN2160" s="19">
        <v>362.2</v>
      </c>
      <c r="AO2160" s="19" t="s">
        <v>1758</v>
      </c>
      <c r="AP2160" s="19">
        <v>0</v>
      </c>
      <c r="AQ2160" s="19" t="s">
        <v>307</v>
      </c>
      <c r="AR2160" s="9" t="s">
        <v>403</v>
      </c>
      <c r="AS2160" s="12">
        <v>0</v>
      </c>
      <c r="AT2160" s="19">
        <v>38.5122</v>
      </c>
      <c r="AU2160" s="19">
        <v>-123.0091</v>
      </c>
      <c r="AV2160" s="19" t="s">
        <v>385</v>
      </c>
    </row>
    <row r="2161" spans="1:48" x14ac:dyDescent="0.25">
      <c r="A2161" s="18" t="s">
        <v>2601</v>
      </c>
      <c r="B2161" s="10">
        <v>10000000</v>
      </c>
      <c r="C2161" s="9">
        <v>21</v>
      </c>
      <c r="D2161" s="8" t="str">
        <f t="shared" si="398"/>
        <v>N</v>
      </c>
      <c r="E2161" s="8" t="str">
        <f t="shared" si="399"/>
        <v>N</v>
      </c>
      <c r="F2161" s="8" t="str">
        <f t="shared" si="400"/>
        <v>N</v>
      </c>
      <c r="G2161" s="8" t="str">
        <f t="shared" si="401"/>
        <v>N</v>
      </c>
      <c r="H2161" s="8" t="str">
        <f t="shared" si="402"/>
        <v>Lower</v>
      </c>
      <c r="I2161" s="8" t="str">
        <f t="shared" si="403"/>
        <v>Outside</v>
      </c>
      <c r="J2161" s="8" t="str">
        <f t="shared" si="404"/>
        <v>Outside</v>
      </c>
      <c r="K2161" s="8" t="str">
        <f t="shared" si="405"/>
        <v>Riparian</v>
      </c>
      <c r="L2161" s="8">
        <f t="shared" si="406"/>
        <v>1000</v>
      </c>
      <c r="M2161" s="8" t="str">
        <f t="shared" si="408"/>
        <v>-</v>
      </c>
      <c r="N2161" s="10" t="s">
        <v>242</v>
      </c>
      <c r="O2161" s="10" t="s">
        <v>242</v>
      </c>
      <c r="P2161" s="10" t="s">
        <v>242</v>
      </c>
      <c r="Q2161" s="10" t="s">
        <v>242</v>
      </c>
      <c r="R2161" s="10" t="s">
        <v>242</v>
      </c>
      <c r="S2161" s="10" t="s">
        <v>241</v>
      </c>
      <c r="T2161" s="10" t="s">
        <v>242</v>
      </c>
      <c r="U2161" s="10" t="s">
        <v>241</v>
      </c>
      <c r="V2161" s="10" t="s">
        <v>241</v>
      </c>
      <c r="W2161" s="10" t="s">
        <v>242</v>
      </c>
      <c r="X2161" s="15">
        <f>IF(ISERROR(VLOOKUP($A2161,'13. Updated Demand'!A:Z,15,FALSE)),0,VLOOKUP($A2161,'13. Updated Demand'!A:Z,15,FALSE))</f>
        <v>0</v>
      </c>
      <c r="Y2161" s="16">
        <f>IF(ISERROR(VLOOKUP($A2161,'13. Updated Demand'!A:Z,16,FALSE)),0,VLOOKUP($A2161,'13. Updated Demand'!A:Z,16,FALSE))</f>
        <v>0</v>
      </c>
      <c r="Z2161" s="16">
        <f>IF(ISERROR(VLOOKUP($A2161,'13. Updated Demand'!A:Z,17,FALSE)),0,VLOOKUP($A2161,'13. Updated Demand'!A:Z,17,FALSE))</f>
        <v>0</v>
      </c>
      <c r="AA2161" s="16">
        <f>IF(ISERROR(VLOOKUP($A2161,'13. Updated Demand'!A:Z,18,FALSE)),0,VLOOKUP($A2161,'13. Updated Demand'!A:Z,18,FALSE))</f>
        <v>0</v>
      </c>
      <c r="AB2161" s="16">
        <f>IF(ISERROR(VLOOKUP($A2161,'13. Updated Demand'!A:Z,19,FALSE)),0,VLOOKUP($A2161,'13. Updated Demand'!A:Z,19,FALSE))</f>
        <v>0</v>
      </c>
      <c r="AC2161" s="16">
        <f>IF(ISERROR(VLOOKUP($A2161,'13. Updated Demand'!A:Z,20,FALSE)),0,VLOOKUP($A2161,'13. Updated Demand'!A:Z,20,FALSE))</f>
        <v>0</v>
      </c>
      <c r="AD2161" s="16">
        <f>IF(ISERROR(VLOOKUP($A2161,'13. Updated Demand'!A:Z,21,FALSE)),0,VLOOKUP($A2161,'13. Updated Demand'!A:Z,21,FALSE))</f>
        <v>0</v>
      </c>
      <c r="AE2161" s="16">
        <f>IF(ISERROR(VLOOKUP($A2161,'13. Updated Demand'!A:Z,22,FALSE)),0,VLOOKUP($A2161,'13. Updated Demand'!A:Z,22,FALSE))</f>
        <v>0</v>
      </c>
      <c r="AF2161" s="16">
        <f>IF(ISERROR(VLOOKUP($A2161,'13. Updated Demand'!A:Z,23,FALSE)),0,VLOOKUP($A2161,'13. Updated Demand'!A:Z,23,FALSE))</f>
        <v>0</v>
      </c>
      <c r="AG2161" s="16">
        <f>IF(ISERROR(VLOOKUP($A2161,'13. Updated Demand'!A:Z,24,FALSE)),0,VLOOKUP($A2161,'13. Updated Demand'!A:Z,24,FALSE))</f>
        <v>0</v>
      </c>
      <c r="AH2161" s="16">
        <f>IF(ISERROR(VLOOKUP($A2161,'13. Updated Demand'!A:Z,25,FALSE)),0,VLOOKUP($A2161,'13. Updated Demand'!A:Z,25,FALSE))</f>
        <v>0</v>
      </c>
      <c r="AI2161" s="16">
        <f>IF(ISERROR(VLOOKUP($A2161,'13. Updated Demand'!A:Z,26,FALSE)),0,VLOOKUP($A2161,'13. Updated Demand'!A:Z,26,FALSE))</f>
        <v>0</v>
      </c>
      <c r="AJ2161" s="16">
        <f t="shared" si="409"/>
        <v>0</v>
      </c>
      <c r="AK2161" s="19">
        <v>0</v>
      </c>
      <c r="AL2161" s="16">
        <f t="shared" si="407"/>
        <v>0</v>
      </c>
      <c r="AM2161" s="26">
        <v>0</v>
      </c>
      <c r="AN2161" s="19">
        <v>402.04199999999997</v>
      </c>
      <c r="AO2161" s="19" t="s">
        <v>1758</v>
      </c>
      <c r="AP2161" s="19">
        <v>0</v>
      </c>
      <c r="AQ2161" s="19" t="s">
        <v>307</v>
      </c>
      <c r="AR2161" s="9" t="s">
        <v>403</v>
      </c>
      <c r="AS2161" s="12">
        <v>0</v>
      </c>
      <c r="AT2161" s="19">
        <v>38.5045</v>
      </c>
      <c r="AU2161" s="19">
        <v>-123.00449999999999</v>
      </c>
      <c r="AV2161" s="19" t="s">
        <v>2602</v>
      </c>
    </row>
    <row r="2162" spans="1:48" x14ac:dyDescent="0.25">
      <c r="A2162" s="18" t="s">
        <v>2603</v>
      </c>
      <c r="B2162" s="10">
        <v>10000000</v>
      </c>
      <c r="C2162" s="9">
        <v>16</v>
      </c>
      <c r="D2162" s="8" t="str">
        <f t="shared" si="398"/>
        <v>N</v>
      </c>
      <c r="E2162" s="8" t="str">
        <f t="shared" si="399"/>
        <v>N</v>
      </c>
      <c r="F2162" s="8" t="str">
        <f t="shared" si="400"/>
        <v>N</v>
      </c>
      <c r="G2162" s="8" t="str">
        <f t="shared" si="401"/>
        <v>N</v>
      </c>
      <c r="H2162" s="8" t="str">
        <f t="shared" si="402"/>
        <v>Lower</v>
      </c>
      <c r="I2162" s="8" t="str">
        <f t="shared" si="403"/>
        <v>Outside</v>
      </c>
      <c r="J2162" s="8" t="str">
        <f t="shared" si="404"/>
        <v>Outside</v>
      </c>
      <c r="K2162" s="8" t="str">
        <f t="shared" si="405"/>
        <v>Riparian</v>
      </c>
      <c r="L2162" s="8">
        <f t="shared" si="406"/>
        <v>1000</v>
      </c>
      <c r="M2162" s="8" t="str">
        <f t="shared" si="408"/>
        <v>-</v>
      </c>
      <c r="N2162" s="10" t="s">
        <v>242</v>
      </c>
      <c r="O2162" s="10" t="s">
        <v>242</v>
      </c>
      <c r="P2162" s="10" t="s">
        <v>242</v>
      </c>
      <c r="Q2162" s="10" t="s">
        <v>242</v>
      </c>
      <c r="R2162" s="10" t="s">
        <v>242</v>
      </c>
      <c r="S2162" s="10" t="s">
        <v>241</v>
      </c>
      <c r="T2162" s="10" t="s">
        <v>242</v>
      </c>
      <c r="U2162" s="10" t="s">
        <v>242</v>
      </c>
      <c r="V2162" s="10" t="s">
        <v>241</v>
      </c>
      <c r="W2162" s="10" t="s">
        <v>242</v>
      </c>
      <c r="X2162" s="15">
        <f>IF(ISERROR(VLOOKUP($A2162,'13. Updated Demand'!A:Z,15,FALSE)),0,VLOOKUP($A2162,'13. Updated Demand'!A:Z,15,FALSE))</f>
        <v>0</v>
      </c>
      <c r="Y2162" s="16">
        <f>IF(ISERROR(VLOOKUP($A2162,'13. Updated Demand'!A:Z,16,FALSE)),0,VLOOKUP($A2162,'13. Updated Demand'!A:Z,16,FALSE))</f>
        <v>5.2166699999999996E-4</v>
      </c>
      <c r="Z2162" s="16">
        <f>IF(ISERROR(VLOOKUP($A2162,'13. Updated Demand'!A:Z,17,FALSE)),0,VLOOKUP($A2162,'13. Updated Demand'!A:Z,17,FALSE))</f>
        <v>0</v>
      </c>
      <c r="AA2162" s="16">
        <f>IF(ISERROR(VLOOKUP($A2162,'13. Updated Demand'!A:Z,18,FALSE)),0,VLOOKUP($A2162,'13. Updated Demand'!A:Z,18,FALSE))</f>
        <v>0</v>
      </c>
      <c r="AB2162" s="16">
        <f>IF(ISERROR(VLOOKUP($A2162,'13. Updated Demand'!A:Z,19,FALSE)),0,VLOOKUP($A2162,'13. Updated Demand'!A:Z,19,FALSE))</f>
        <v>0</v>
      </c>
      <c r="AC2162" s="16">
        <f>IF(ISERROR(VLOOKUP($A2162,'13. Updated Demand'!A:Z,20,FALSE)),0,VLOOKUP($A2162,'13. Updated Demand'!A:Z,20,FALSE))</f>
        <v>0</v>
      </c>
      <c r="AD2162" s="16">
        <f>IF(ISERROR(VLOOKUP($A2162,'13. Updated Demand'!A:Z,21,FALSE)),0,VLOOKUP($A2162,'13. Updated Demand'!A:Z,21,FALSE))</f>
        <v>0</v>
      </c>
      <c r="AE2162" s="16">
        <f>IF(ISERROR(VLOOKUP($A2162,'13. Updated Demand'!A:Z,22,FALSE)),0,VLOOKUP($A2162,'13. Updated Demand'!A:Z,22,FALSE))</f>
        <v>0</v>
      </c>
      <c r="AF2162" s="16">
        <f>IF(ISERROR(VLOOKUP($A2162,'13. Updated Demand'!A:Z,23,FALSE)),0,VLOOKUP($A2162,'13. Updated Demand'!A:Z,23,FALSE))</f>
        <v>0</v>
      </c>
      <c r="AG2162" s="16">
        <f>IF(ISERROR(VLOOKUP($A2162,'13. Updated Demand'!A:Z,24,FALSE)),0,VLOOKUP($A2162,'13. Updated Demand'!A:Z,24,FALSE))</f>
        <v>0</v>
      </c>
      <c r="AH2162" s="16">
        <f>IF(ISERROR(VLOOKUP($A2162,'13. Updated Demand'!A:Z,25,FALSE)),0,VLOOKUP($A2162,'13. Updated Demand'!A:Z,25,FALSE))</f>
        <v>0</v>
      </c>
      <c r="AI2162" s="16">
        <f>IF(ISERROR(VLOOKUP($A2162,'13. Updated Demand'!A:Z,26,FALSE)),0,VLOOKUP($A2162,'13. Updated Demand'!A:Z,26,FALSE))</f>
        <v>0</v>
      </c>
      <c r="AJ2162" s="16">
        <f t="shared" si="409"/>
        <v>5.2166699999999996E-4</v>
      </c>
      <c r="AK2162" s="19">
        <v>0</v>
      </c>
      <c r="AL2162" s="16">
        <f t="shared" si="407"/>
        <v>0</v>
      </c>
      <c r="AM2162" s="26">
        <v>8.8360326972523056E-7</v>
      </c>
      <c r="AN2162" s="19">
        <v>590.38599999999997</v>
      </c>
      <c r="AO2162" s="19" t="s">
        <v>1758</v>
      </c>
      <c r="AP2162" s="19">
        <v>0</v>
      </c>
      <c r="AQ2162" s="19" t="s">
        <v>307</v>
      </c>
      <c r="AR2162" s="9" t="s">
        <v>394</v>
      </c>
      <c r="AS2162" s="12">
        <v>0</v>
      </c>
      <c r="AT2162" s="19">
        <v>38.624400000000001</v>
      </c>
      <c r="AU2162" s="19">
        <v>-122.88930000000001</v>
      </c>
      <c r="AV2162" s="19" t="s">
        <v>2604</v>
      </c>
    </row>
    <row r="2163" spans="1:48" x14ac:dyDescent="0.25">
      <c r="A2163" s="18" t="s">
        <v>2605</v>
      </c>
      <c r="B2163" s="10">
        <v>10000000</v>
      </c>
      <c r="C2163" s="9">
        <v>23</v>
      </c>
      <c r="D2163" s="8" t="str">
        <f t="shared" si="398"/>
        <v>N</v>
      </c>
      <c r="E2163" s="8" t="str">
        <f t="shared" si="399"/>
        <v>N</v>
      </c>
      <c r="F2163" s="8" t="str">
        <f t="shared" si="400"/>
        <v>N</v>
      </c>
      <c r="G2163" s="8" t="str">
        <f t="shared" si="401"/>
        <v>N</v>
      </c>
      <c r="H2163" s="8" t="str">
        <f t="shared" si="402"/>
        <v>Lower</v>
      </c>
      <c r="I2163" s="8" t="str">
        <f t="shared" si="403"/>
        <v>Outside</v>
      </c>
      <c r="J2163" s="8" t="str">
        <f t="shared" si="404"/>
        <v>Outside</v>
      </c>
      <c r="K2163" s="8" t="str">
        <f t="shared" si="405"/>
        <v>Riparian</v>
      </c>
      <c r="L2163" s="8">
        <f t="shared" si="406"/>
        <v>1000</v>
      </c>
      <c r="M2163" s="8" t="str">
        <f t="shared" si="408"/>
        <v>-</v>
      </c>
      <c r="N2163" s="10" t="s">
        <v>242</v>
      </c>
      <c r="O2163" s="10" t="s">
        <v>242</v>
      </c>
      <c r="P2163" s="10" t="s">
        <v>242</v>
      </c>
      <c r="Q2163" s="10" t="s">
        <v>242</v>
      </c>
      <c r="R2163" s="10" t="s">
        <v>242</v>
      </c>
      <c r="S2163" s="10" t="s">
        <v>241</v>
      </c>
      <c r="T2163" s="10" t="s">
        <v>242</v>
      </c>
      <c r="U2163" s="10" t="s">
        <v>242</v>
      </c>
      <c r="V2163" s="10" t="s">
        <v>241</v>
      </c>
      <c r="W2163" s="10" t="s">
        <v>242</v>
      </c>
      <c r="X2163" s="15">
        <f>IF(ISERROR(VLOOKUP($A2163,'13. Updated Demand'!A:Z,15,FALSE)),0,VLOOKUP($A2163,'13. Updated Demand'!A:Z,15,FALSE))</f>
        <v>1.2</v>
      </c>
      <c r="Y2163" s="16">
        <f>IF(ISERROR(VLOOKUP($A2163,'13. Updated Demand'!A:Z,16,FALSE)),0,VLOOKUP($A2163,'13. Updated Demand'!A:Z,16,FALSE))</f>
        <v>2.5</v>
      </c>
      <c r="Z2163" s="16">
        <f>IF(ISERROR(VLOOKUP($A2163,'13. Updated Demand'!A:Z,17,FALSE)),0,VLOOKUP($A2163,'13. Updated Demand'!A:Z,17,FALSE))</f>
        <v>1.5</v>
      </c>
      <c r="AA2163" s="16">
        <f>IF(ISERROR(VLOOKUP($A2163,'13. Updated Demand'!A:Z,18,FALSE)),0,VLOOKUP($A2163,'13. Updated Demand'!A:Z,18,FALSE))</f>
        <v>2</v>
      </c>
      <c r="AB2163" s="16">
        <f>IF(ISERROR(VLOOKUP($A2163,'13. Updated Demand'!A:Z,19,FALSE)),0,VLOOKUP($A2163,'13. Updated Demand'!A:Z,19,FALSE))</f>
        <v>0</v>
      </c>
      <c r="AC2163" s="16">
        <f>IF(ISERROR(VLOOKUP($A2163,'13. Updated Demand'!A:Z,20,FALSE)),0,VLOOKUP($A2163,'13. Updated Demand'!A:Z,20,FALSE))</f>
        <v>0</v>
      </c>
      <c r="AD2163" s="16">
        <f>IF(ISERROR(VLOOKUP($A2163,'13. Updated Demand'!A:Z,21,FALSE)),0,VLOOKUP($A2163,'13. Updated Demand'!A:Z,21,FALSE))</f>
        <v>0</v>
      </c>
      <c r="AE2163" s="16">
        <f>IF(ISERROR(VLOOKUP($A2163,'13. Updated Demand'!A:Z,22,FALSE)),0,VLOOKUP($A2163,'13. Updated Demand'!A:Z,22,FALSE))</f>
        <v>0</v>
      </c>
      <c r="AF2163" s="16">
        <f>IF(ISERROR(VLOOKUP($A2163,'13. Updated Demand'!A:Z,23,FALSE)),0,VLOOKUP($A2163,'13. Updated Demand'!A:Z,23,FALSE))</f>
        <v>0</v>
      </c>
      <c r="AG2163" s="16">
        <f>IF(ISERROR(VLOOKUP($A2163,'13. Updated Demand'!A:Z,24,FALSE)),0,VLOOKUP($A2163,'13. Updated Demand'!A:Z,24,FALSE))</f>
        <v>0</v>
      </c>
      <c r="AH2163" s="16">
        <f>IF(ISERROR(VLOOKUP($A2163,'13. Updated Demand'!A:Z,25,FALSE)),0,VLOOKUP($A2163,'13. Updated Demand'!A:Z,25,FALSE))</f>
        <v>0</v>
      </c>
      <c r="AI2163" s="16">
        <f>IF(ISERROR(VLOOKUP($A2163,'13. Updated Demand'!A:Z,26,FALSE)),0,VLOOKUP($A2163,'13. Updated Demand'!A:Z,26,FALSE))</f>
        <v>0</v>
      </c>
      <c r="AJ2163" s="16">
        <f t="shared" si="409"/>
        <v>7.2</v>
      </c>
      <c r="AK2163" s="19">
        <v>0</v>
      </c>
      <c r="AL2163" s="16">
        <f t="shared" si="407"/>
        <v>0</v>
      </c>
      <c r="AM2163" s="26">
        <v>9.9392600773053559</v>
      </c>
      <c r="AN2163" s="19">
        <v>0.72440000000000004</v>
      </c>
      <c r="AO2163" s="19" t="s">
        <v>1758</v>
      </c>
      <c r="AP2163" s="19">
        <v>0</v>
      </c>
      <c r="AQ2163" s="19" t="s">
        <v>307</v>
      </c>
      <c r="AR2163" s="9" t="s">
        <v>323</v>
      </c>
      <c r="AS2163" s="12">
        <v>0</v>
      </c>
      <c r="AT2163" s="19">
        <v>38.498199999999997</v>
      </c>
      <c r="AU2163" s="19">
        <v>-122.85939999999999</v>
      </c>
      <c r="AV2163" s="19"/>
    </row>
    <row r="2164" spans="1:48" x14ac:dyDescent="0.25">
      <c r="A2164" s="18" t="s">
        <v>2606</v>
      </c>
      <c r="B2164" s="10">
        <v>10000000</v>
      </c>
      <c r="C2164" s="9">
        <v>16</v>
      </c>
      <c r="D2164" s="8" t="str">
        <f t="shared" si="398"/>
        <v>N</v>
      </c>
      <c r="E2164" s="8" t="str">
        <f t="shared" si="399"/>
        <v>N</v>
      </c>
      <c r="F2164" s="8" t="str">
        <f t="shared" si="400"/>
        <v>N</v>
      </c>
      <c r="G2164" s="8" t="str">
        <f t="shared" si="401"/>
        <v>N</v>
      </c>
      <c r="H2164" s="8" t="str">
        <f t="shared" si="402"/>
        <v>Lower</v>
      </c>
      <c r="I2164" s="8" t="str">
        <f t="shared" si="403"/>
        <v>Outside</v>
      </c>
      <c r="J2164" s="8" t="str">
        <f t="shared" si="404"/>
        <v>Outside</v>
      </c>
      <c r="K2164" s="8" t="str">
        <f t="shared" si="405"/>
        <v>Riparian</v>
      </c>
      <c r="L2164" s="8">
        <f t="shared" si="406"/>
        <v>1000</v>
      </c>
      <c r="M2164" s="8" t="str">
        <f t="shared" si="408"/>
        <v>-</v>
      </c>
      <c r="N2164" s="10" t="s">
        <v>242</v>
      </c>
      <c r="O2164" s="10" t="s">
        <v>242</v>
      </c>
      <c r="P2164" s="10" t="s">
        <v>242</v>
      </c>
      <c r="Q2164" s="10" t="s">
        <v>242</v>
      </c>
      <c r="R2164" s="10" t="s">
        <v>242</v>
      </c>
      <c r="S2164" s="10" t="s">
        <v>241</v>
      </c>
      <c r="T2164" s="10" t="s">
        <v>242</v>
      </c>
      <c r="U2164" s="10" t="s">
        <v>241</v>
      </c>
      <c r="V2164" s="10" t="s">
        <v>241</v>
      </c>
      <c r="W2164" s="10" t="s">
        <v>242</v>
      </c>
      <c r="X2164" s="15">
        <f>IF(ISERROR(VLOOKUP($A2164,'13. Updated Demand'!A:Z,15,FALSE)),0,VLOOKUP($A2164,'13. Updated Demand'!A:Z,15,FALSE))</f>
        <v>0</v>
      </c>
      <c r="Y2164" s="16">
        <f>IF(ISERROR(VLOOKUP($A2164,'13. Updated Demand'!A:Z,16,FALSE)),0,VLOOKUP($A2164,'13. Updated Demand'!A:Z,16,FALSE))</f>
        <v>0</v>
      </c>
      <c r="Z2164" s="16">
        <f>IF(ISERROR(VLOOKUP($A2164,'13. Updated Demand'!A:Z,17,FALSE)),0,VLOOKUP($A2164,'13. Updated Demand'!A:Z,17,FALSE))</f>
        <v>0</v>
      </c>
      <c r="AA2164" s="16">
        <f>IF(ISERROR(VLOOKUP($A2164,'13. Updated Demand'!A:Z,18,FALSE)),0,VLOOKUP($A2164,'13. Updated Demand'!A:Z,18,FALSE))</f>
        <v>0</v>
      </c>
      <c r="AB2164" s="16">
        <f>IF(ISERROR(VLOOKUP($A2164,'13. Updated Demand'!A:Z,19,FALSE)),0,VLOOKUP($A2164,'13. Updated Demand'!A:Z,19,FALSE))</f>
        <v>0</v>
      </c>
      <c r="AC2164" s="16">
        <f>IF(ISERROR(VLOOKUP($A2164,'13. Updated Demand'!A:Z,20,FALSE)),0,VLOOKUP($A2164,'13. Updated Demand'!A:Z,20,FALSE))</f>
        <v>0</v>
      </c>
      <c r="AD2164" s="16">
        <f>IF(ISERROR(VLOOKUP($A2164,'13. Updated Demand'!A:Z,21,FALSE)),0,VLOOKUP($A2164,'13. Updated Demand'!A:Z,21,FALSE))</f>
        <v>0</v>
      </c>
      <c r="AE2164" s="16">
        <f>IF(ISERROR(VLOOKUP($A2164,'13. Updated Demand'!A:Z,22,FALSE)),0,VLOOKUP($A2164,'13. Updated Demand'!A:Z,22,FALSE))</f>
        <v>0</v>
      </c>
      <c r="AF2164" s="16">
        <f>IF(ISERROR(VLOOKUP($A2164,'13. Updated Demand'!A:Z,23,FALSE)),0,VLOOKUP($A2164,'13. Updated Demand'!A:Z,23,FALSE))</f>
        <v>0</v>
      </c>
      <c r="AG2164" s="16">
        <f>IF(ISERROR(VLOOKUP($A2164,'13. Updated Demand'!A:Z,24,FALSE)),0,VLOOKUP($A2164,'13. Updated Demand'!A:Z,24,FALSE))</f>
        <v>0</v>
      </c>
      <c r="AH2164" s="16">
        <f>IF(ISERROR(VLOOKUP($A2164,'13. Updated Demand'!A:Z,25,FALSE)),0,VLOOKUP($A2164,'13. Updated Demand'!A:Z,25,FALSE))</f>
        <v>0</v>
      </c>
      <c r="AI2164" s="16">
        <f>IF(ISERROR(VLOOKUP($A2164,'13. Updated Demand'!A:Z,26,FALSE)),0,VLOOKUP($A2164,'13. Updated Demand'!A:Z,26,FALSE))</f>
        <v>0</v>
      </c>
      <c r="AJ2164" s="16">
        <f t="shared" si="409"/>
        <v>0</v>
      </c>
      <c r="AK2164" s="19">
        <v>0</v>
      </c>
      <c r="AL2164" s="16">
        <f t="shared" si="407"/>
        <v>0</v>
      </c>
      <c r="AM2164" s="26">
        <v>0</v>
      </c>
      <c r="AN2164" s="19">
        <v>1209.748</v>
      </c>
      <c r="AO2164" s="19" t="s">
        <v>1758</v>
      </c>
      <c r="AP2164" s="19">
        <v>0</v>
      </c>
      <c r="AQ2164" s="19" t="s">
        <v>307</v>
      </c>
      <c r="AR2164" s="9" t="s">
        <v>394</v>
      </c>
      <c r="AS2164" s="12">
        <v>0</v>
      </c>
      <c r="AT2164" s="19">
        <v>38.642800000000001</v>
      </c>
      <c r="AU2164" s="19">
        <v>-122.9105</v>
      </c>
      <c r="AV2164" s="19" t="s">
        <v>2607</v>
      </c>
    </row>
    <row r="2165" spans="1:48" x14ac:dyDescent="0.25">
      <c r="A2165" s="18" t="s">
        <v>2608</v>
      </c>
      <c r="B2165" s="10">
        <v>10000000</v>
      </c>
      <c r="C2165" s="9">
        <v>23</v>
      </c>
      <c r="D2165" s="8" t="str">
        <f t="shared" si="398"/>
        <v>N</v>
      </c>
      <c r="E2165" s="8" t="str">
        <f t="shared" si="399"/>
        <v>N</v>
      </c>
      <c r="F2165" s="8" t="str">
        <f t="shared" si="400"/>
        <v>N</v>
      </c>
      <c r="G2165" s="8" t="str">
        <f t="shared" si="401"/>
        <v>N</v>
      </c>
      <c r="H2165" s="8" t="str">
        <f t="shared" si="402"/>
        <v>Lower</v>
      </c>
      <c r="I2165" s="8" t="str">
        <f t="shared" si="403"/>
        <v>Outside</v>
      </c>
      <c r="J2165" s="8" t="str">
        <f t="shared" si="404"/>
        <v>Outside</v>
      </c>
      <c r="K2165" s="8" t="str">
        <f t="shared" si="405"/>
        <v>Riparian</v>
      </c>
      <c r="L2165" s="8">
        <f t="shared" si="406"/>
        <v>1000</v>
      </c>
      <c r="M2165" s="8" t="str">
        <f t="shared" si="408"/>
        <v>-</v>
      </c>
      <c r="N2165" s="10" t="s">
        <v>242</v>
      </c>
      <c r="O2165" s="10" t="s">
        <v>242</v>
      </c>
      <c r="P2165" s="10" t="s">
        <v>242</v>
      </c>
      <c r="Q2165" s="10" t="s">
        <v>242</v>
      </c>
      <c r="R2165" s="10" t="s">
        <v>242</v>
      </c>
      <c r="S2165" s="10" t="s">
        <v>241</v>
      </c>
      <c r="T2165" s="10" t="s">
        <v>242</v>
      </c>
      <c r="U2165" s="10" t="s">
        <v>241</v>
      </c>
      <c r="V2165" s="10" t="s">
        <v>241</v>
      </c>
      <c r="W2165" s="10" t="s">
        <v>242</v>
      </c>
      <c r="X2165" s="15">
        <f>IF(ISERROR(VLOOKUP($A2165,'13. Updated Demand'!A:Z,15,FALSE)),0,VLOOKUP($A2165,'13. Updated Demand'!A:Z,15,FALSE))</f>
        <v>0</v>
      </c>
      <c r="Y2165" s="16">
        <f>IF(ISERROR(VLOOKUP($A2165,'13. Updated Demand'!A:Z,16,FALSE)),0,VLOOKUP($A2165,'13. Updated Demand'!A:Z,16,FALSE))</f>
        <v>0</v>
      </c>
      <c r="Z2165" s="16">
        <f>IF(ISERROR(VLOOKUP($A2165,'13. Updated Demand'!A:Z,17,FALSE)),0,VLOOKUP($A2165,'13. Updated Demand'!A:Z,17,FALSE))</f>
        <v>0</v>
      </c>
      <c r="AA2165" s="16">
        <f>IF(ISERROR(VLOOKUP($A2165,'13. Updated Demand'!A:Z,18,FALSE)),0,VLOOKUP($A2165,'13. Updated Demand'!A:Z,18,FALSE))</f>
        <v>0</v>
      </c>
      <c r="AB2165" s="16">
        <f>IF(ISERROR(VLOOKUP($A2165,'13. Updated Demand'!A:Z,19,FALSE)),0,VLOOKUP($A2165,'13. Updated Demand'!A:Z,19,FALSE))</f>
        <v>0</v>
      </c>
      <c r="AC2165" s="16">
        <f>IF(ISERROR(VLOOKUP($A2165,'13. Updated Demand'!A:Z,20,FALSE)),0,VLOOKUP($A2165,'13. Updated Demand'!A:Z,20,FALSE))</f>
        <v>0</v>
      </c>
      <c r="AD2165" s="16">
        <f>IF(ISERROR(VLOOKUP($A2165,'13. Updated Demand'!A:Z,21,FALSE)),0,VLOOKUP($A2165,'13. Updated Demand'!A:Z,21,FALSE))</f>
        <v>0</v>
      </c>
      <c r="AE2165" s="16">
        <f>IF(ISERROR(VLOOKUP($A2165,'13. Updated Demand'!A:Z,22,FALSE)),0,VLOOKUP($A2165,'13. Updated Demand'!A:Z,22,FALSE))</f>
        <v>0</v>
      </c>
      <c r="AF2165" s="16">
        <f>IF(ISERROR(VLOOKUP($A2165,'13. Updated Demand'!A:Z,23,FALSE)),0,VLOOKUP($A2165,'13. Updated Demand'!A:Z,23,FALSE))</f>
        <v>0</v>
      </c>
      <c r="AG2165" s="16">
        <f>IF(ISERROR(VLOOKUP($A2165,'13. Updated Demand'!A:Z,24,FALSE)),0,VLOOKUP($A2165,'13. Updated Demand'!A:Z,24,FALSE))</f>
        <v>0</v>
      </c>
      <c r="AH2165" s="16">
        <f>IF(ISERROR(VLOOKUP($A2165,'13. Updated Demand'!A:Z,25,FALSE)),0,VLOOKUP($A2165,'13. Updated Demand'!A:Z,25,FALSE))</f>
        <v>0</v>
      </c>
      <c r="AI2165" s="16">
        <f>IF(ISERROR(VLOOKUP($A2165,'13. Updated Demand'!A:Z,26,FALSE)),0,VLOOKUP($A2165,'13. Updated Demand'!A:Z,26,FALSE))</f>
        <v>0</v>
      </c>
      <c r="AJ2165" s="16">
        <f t="shared" si="409"/>
        <v>0</v>
      </c>
      <c r="AK2165" s="19">
        <v>0</v>
      </c>
      <c r="AL2165" s="16">
        <f t="shared" si="407"/>
        <v>0</v>
      </c>
      <c r="AM2165" s="26">
        <v>0</v>
      </c>
      <c r="AN2165" s="19">
        <v>315.11399999999998</v>
      </c>
      <c r="AO2165" s="19" t="s">
        <v>1758</v>
      </c>
      <c r="AP2165" s="19">
        <v>0</v>
      </c>
      <c r="AQ2165" s="19" t="s">
        <v>307</v>
      </c>
      <c r="AR2165" s="9" t="s">
        <v>1118</v>
      </c>
      <c r="AS2165" s="12">
        <v>0</v>
      </c>
      <c r="AT2165" s="19">
        <v>38.439</v>
      </c>
      <c r="AU2165" s="19">
        <v>-122.8112</v>
      </c>
      <c r="AV2165" s="19" t="s">
        <v>2609</v>
      </c>
    </row>
    <row r="2166" spans="1:48" x14ac:dyDescent="0.25">
      <c r="A2166" s="18" t="s">
        <v>2610</v>
      </c>
      <c r="B2166" s="10">
        <v>10000000</v>
      </c>
      <c r="C2166" s="9">
        <v>5</v>
      </c>
      <c r="D2166" s="8" t="str">
        <f t="shared" si="398"/>
        <v>Y</v>
      </c>
      <c r="E2166" s="8" t="str">
        <f t="shared" si="399"/>
        <v>N</v>
      </c>
      <c r="F2166" s="8" t="str">
        <f t="shared" si="400"/>
        <v>Y</v>
      </c>
      <c r="G2166" s="8" t="str">
        <f t="shared" si="401"/>
        <v>Y</v>
      </c>
      <c r="H2166" s="8" t="str">
        <f t="shared" si="402"/>
        <v>Upper</v>
      </c>
      <c r="I2166" s="8" t="str">
        <f t="shared" si="403"/>
        <v>West Fork and Below Lake</v>
      </c>
      <c r="J2166" s="8" t="str">
        <f t="shared" si="404"/>
        <v>Mendocino (d/s of lake)</v>
      </c>
      <c r="K2166" s="8" t="str">
        <f t="shared" si="405"/>
        <v>Riparian</v>
      </c>
      <c r="L2166" s="8">
        <f t="shared" si="406"/>
        <v>1000</v>
      </c>
      <c r="M2166" s="8" t="str">
        <f t="shared" si="408"/>
        <v>-</v>
      </c>
      <c r="N2166" s="10" t="s">
        <v>242</v>
      </c>
      <c r="O2166" s="10" t="s">
        <v>241</v>
      </c>
      <c r="P2166" s="10" t="s">
        <v>242</v>
      </c>
      <c r="Q2166" s="10" t="s">
        <v>242</v>
      </c>
      <c r="R2166" s="10" t="s">
        <v>242</v>
      </c>
      <c r="S2166" s="10" t="s">
        <v>241</v>
      </c>
      <c r="T2166" s="10" t="s">
        <v>242</v>
      </c>
      <c r="U2166" s="10" t="s">
        <v>241</v>
      </c>
      <c r="V2166" s="10" t="s">
        <v>241</v>
      </c>
      <c r="W2166" s="10" t="s">
        <v>242</v>
      </c>
      <c r="X2166" s="15">
        <f>IF(ISERROR(VLOOKUP($A2166,'13. Updated Demand'!A:Z,15,FALSE)),0,VLOOKUP($A2166,'13. Updated Demand'!A:Z,15,FALSE))</f>
        <v>0</v>
      </c>
      <c r="Y2166" s="16">
        <f>IF(ISERROR(VLOOKUP($A2166,'13. Updated Demand'!A:Z,16,FALSE)),0,VLOOKUP($A2166,'13. Updated Demand'!A:Z,16,FALSE))</f>
        <v>0</v>
      </c>
      <c r="Z2166" s="16">
        <f>IF(ISERROR(VLOOKUP($A2166,'13. Updated Demand'!A:Z,17,FALSE)),0,VLOOKUP($A2166,'13. Updated Demand'!A:Z,17,FALSE))</f>
        <v>0</v>
      </c>
      <c r="AA2166" s="16">
        <f>IF(ISERROR(VLOOKUP($A2166,'13. Updated Demand'!A:Z,18,FALSE)),0,VLOOKUP($A2166,'13. Updated Demand'!A:Z,18,FALSE))</f>
        <v>0</v>
      </c>
      <c r="AB2166" s="16">
        <f>IF(ISERROR(VLOOKUP($A2166,'13. Updated Demand'!A:Z,19,FALSE)),0,VLOOKUP($A2166,'13. Updated Demand'!A:Z,19,FALSE))</f>
        <v>0</v>
      </c>
      <c r="AC2166" s="16">
        <f>IF(ISERROR(VLOOKUP($A2166,'13. Updated Demand'!A:Z,20,FALSE)),0,VLOOKUP($A2166,'13. Updated Demand'!A:Z,20,FALSE))</f>
        <v>0</v>
      </c>
      <c r="AD2166" s="16">
        <f>IF(ISERROR(VLOOKUP($A2166,'13. Updated Demand'!A:Z,21,FALSE)),0,VLOOKUP($A2166,'13. Updated Demand'!A:Z,21,FALSE))</f>
        <v>0</v>
      </c>
      <c r="AE2166" s="16">
        <f>IF(ISERROR(VLOOKUP($A2166,'13. Updated Demand'!A:Z,22,FALSE)),0,VLOOKUP($A2166,'13. Updated Demand'!A:Z,22,FALSE))</f>
        <v>0</v>
      </c>
      <c r="AF2166" s="16">
        <f>IF(ISERROR(VLOOKUP($A2166,'13. Updated Demand'!A:Z,23,FALSE)),0,VLOOKUP($A2166,'13. Updated Demand'!A:Z,23,FALSE))</f>
        <v>0</v>
      </c>
      <c r="AG2166" s="16">
        <f>IF(ISERROR(VLOOKUP($A2166,'13. Updated Demand'!A:Z,24,FALSE)),0,VLOOKUP($A2166,'13. Updated Demand'!A:Z,24,FALSE))</f>
        <v>0</v>
      </c>
      <c r="AH2166" s="16">
        <f>IF(ISERROR(VLOOKUP($A2166,'13. Updated Demand'!A:Z,25,FALSE)),0,VLOOKUP($A2166,'13. Updated Demand'!A:Z,25,FALSE))</f>
        <v>0</v>
      </c>
      <c r="AI2166" s="16">
        <f>IF(ISERROR(VLOOKUP($A2166,'13. Updated Demand'!A:Z,26,FALSE)),0,VLOOKUP($A2166,'13. Updated Demand'!A:Z,26,FALSE))</f>
        <v>0</v>
      </c>
      <c r="AJ2166" s="16">
        <f t="shared" si="409"/>
        <v>0</v>
      </c>
      <c r="AK2166" s="19">
        <v>0</v>
      </c>
      <c r="AL2166" s="16">
        <f t="shared" si="407"/>
        <v>0</v>
      </c>
      <c r="AM2166" s="26">
        <v>0</v>
      </c>
      <c r="AN2166" s="19">
        <v>724.4</v>
      </c>
      <c r="AO2166" s="19" t="s">
        <v>1758</v>
      </c>
      <c r="AP2166" s="19">
        <v>0</v>
      </c>
      <c r="AQ2166" s="19" t="s">
        <v>307</v>
      </c>
      <c r="AR2166" s="9" t="s">
        <v>333</v>
      </c>
      <c r="AS2166" s="12">
        <v>0</v>
      </c>
      <c r="AT2166" s="19">
        <v>39.104599999999998</v>
      </c>
      <c r="AU2166" s="19">
        <v>-123.15989999999999</v>
      </c>
      <c r="AV2166" s="19"/>
    </row>
    <row r="2167" spans="1:48" x14ac:dyDescent="0.25">
      <c r="A2167" s="18" t="s">
        <v>2611</v>
      </c>
      <c r="B2167" s="10">
        <v>10000000</v>
      </c>
      <c r="C2167" s="9">
        <v>5</v>
      </c>
      <c r="D2167" s="8" t="str">
        <f t="shared" si="398"/>
        <v>Y</v>
      </c>
      <c r="E2167" s="8" t="str">
        <f t="shared" si="399"/>
        <v>N</v>
      </c>
      <c r="F2167" s="8" t="str">
        <f t="shared" si="400"/>
        <v>Y</v>
      </c>
      <c r="G2167" s="8" t="str">
        <f t="shared" si="401"/>
        <v>Y</v>
      </c>
      <c r="H2167" s="8" t="str">
        <f t="shared" si="402"/>
        <v>Upper</v>
      </c>
      <c r="I2167" s="8" t="str">
        <f t="shared" si="403"/>
        <v>West Fork and Below Lake</v>
      </c>
      <c r="J2167" s="8" t="str">
        <f t="shared" si="404"/>
        <v>Mendocino (d/s of lake)</v>
      </c>
      <c r="K2167" s="8" t="str">
        <f t="shared" si="405"/>
        <v>Riparian</v>
      </c>
      <c r="L2167" s="8">
        <f t="shared" si="406"/>
        <v>1000</v>
      </c>
      <c r="M2167" s="8" t="str">
        <f t="shared" si="408"/>
        <v>-</v>
      </c>
      <c r="N2167" s="10" t="s">
        <v>241</v>
      </c>
      <c r="O2167" s="10" t="s">
        <v>241</v>
      </c>
      <c r="P2167" s="10" t="s">
        <v>242</v>
      </c>
      <c r="Q2167" s="10" t="s">
        <v>242</v>
      </c>
      <c r="R2167" s="10" t="s">
        <v>242</v>
      </c>
      <c r="S2167" s="10" t="s">
        <v>241</v>
      </c>
      <c r="T2167" s="10" t="s">
        <v>242</v>
      </c>
      <c r="U2167" s="10" t="s">
        <v>241</v>
      </c>
      <c r="V2167" s="10" t="s">
        <v>241</v>
      </c>
      <c r="W2167" s="10" t="s">
        <v>242</v>
      </c>
      <c r="X2167" s="15">
        <f>IF(ISERROR(VLOOKUP($A2167,'13. Updated Demand'!A:Z,15,FALSE)),0,VLOOKUP($A2167,'13. Updated Demand'!A:Z,15,FALSE))</f>
        <v>0</v>
      </c>
      <c r="Y2167" s="16">
        <f>IF(ISERROR(VLOOKUP($A2167,'13. Updated Demand'!A:Z,16,FALSE)),0,VLOOKUP($A2167,'13. Updated Demand'!A:Z,16,FALSE))</f>
        <v>0</v>
      </c>
      <c r="Z2167" s="16">
        <f>IF(ISERROR(VLOOKUP($A2167,'13. Updated Demand'!A:Z,17,FALSE)),0,VLOOKUP($A2167,'13. Updated Demand'!A:Z,17,FALSE))</f>
        <v>0</v>
      </c>
      <c r="AA2167" s="16">
        <f>IF(ISERROR(VLOOKUP($A2167,'13. Updated Demand'!A:Z,18,FALSE)),0,VLOOKUP($A2167,'13. Updated Demand'!A:Z,18,FALSE))</f>
        <v>0</v>
      </c>
      <c r="AB2167" s="16">
        <f>IF(ISERROR(VLOOKUP($A2167,'13. Updated Demand'!A:Z,19,FALSE)),0,VLOOKUP($A2167,'13. Updated Demand'!A:Z,19,FALSE))</f>
        <v>0</v>
      </c>
      <c r="AC2167" s="16">
        <f>IF(ISERROR(VLOOKUP($A2167,'13. Updated Demand'!A:Z,20,FALSE)),0,VLOOKUP($A2167,'13. Updated Demand'!A:Z,20,FALSE))</f>
        <v>0</v>
      </c>
      <c r="AD2167" s="16">
        <f>IF(ISERROR(VLOOKUP($A2167,'13. Updated Demand'!A:Z,21,FALSE)),0,VLOOKUP($A2167,'13. Updated Demand'!A:Z,21,FALSE))</f>
        <v>0</v>
      </c>
      <c r="AE2167" s="16">
        <f>IF(ISERROR(VLOOKUP($A2167,'13. Updated Demand'!A:Z,22,FALSE)),0,VLOOKUP($A2167,'13. Updated Demand'!A:Z,22,FALSE))</f>
        <v>0</v>
      </c>
      <c r="AF2167" s="16">
        <f>IF(ISERROR(VLOOKUP($A2167,'13. Updated Demand'!A:Z,23,FALSE)),0,VLOOKUP($A2167,'13. Updated Demand'!A:Z,23,FALSE))</f>
        <v>0</v>
      </c>
      <c r="AG2167" s="16">
        <f>IF(ISERROR(VLOOKUP($A2167,'13. Updated Demand'!A:Z,24,FALSE)),0,VLOOKUP($A2167,'13. Updated Demand'!A:Z,24,FALSE))</f>
        <v>0</v>
      </c>
      <c r="AH2167" s="16">
        <f>IF(ISERROR(VLOOKUP($A2167,'13. Updated Demand'!A:Z,25,FALSE)),0,VLOOKUP($A2167,'13. Updated Demand'!A:Z,25,FALSE))</f>
        <v>0</v>
      </c>
      <c r="AI2167" s="16">
        <f>IF(ISERROR(VLOOKUP($A2167,'13. Updated Demand'!A:Z,26,FALSE)),0,VLOOKUP($A2167,'13. Updated Demand'!A:Z,26,FALSE))</f>
        <v>0</v>
      </c>
      <c r="AJ2167" s="16">
        <f t="shared" si="409"/>
        <v>0</v>
      </c>
      <c r="AK2167" s="19">
        <v>0</v>
      </c>
      <c r="AL2167" s="16">
        <f t="shared" si="407"/>
        <v>0</v>
      </c>
      <c r="AM2167" s="26">
        <v>0</v>
      </c>
      <c r="AN2167" s="19">
        <v>807.70600000000002</v>
      </c>
      <c r="AO2167" s="19" t="s">
        <v>1758</v>
      </c>
      <c r="AP2167" s="19">
        <v>0</v>
      </c>
      <c r="AQ2167" s="19" t="s">
        <v>307</v>
      </c>
      <c r="AR2167" s="9" t="s">
        <v>333</v>
      </c>
      <c r="AS2167" s="12">
        <v>0</v>
      </c>
      <c r="AT2167" s="19">
        <v>39.107500000000002</v>
      </c>
      <c r="AU2167" s="19">
        <v>-123.16849999999999</v>
      </c>
      <c r="AV2167" s="19" t="s">
        <v>2612</v>
      </c>
    </row>
    <row r="2168" spans="1:48" x14ac:dyDescent="0.25">
      <c r="A2168" s="18" t="s">
        <v>2613</v>
      </c>
      <c r="B2168" s="10">
        <v>10000000</v>
      </c>
      <c r="C2168" s="9">
        <v>5</v>
      </c>
      <c r="D2168" s="8" t="str">
        <f t="shared" si="398"/>
        <v>Y</v>
      </c>
      <c r="E2168" s="8" t="str">
        <f t="shared" si="399"/>
        <v>N</v>
      </c>
      <c r="F2168" s="8" t="str">
        <f t="shared" si="400"/>
        <v>Y</v>
      </c>
      <c r="G2168" s="8" t="str">
        <f t="shared" si="401"/>
        <v>Y</v>
      </c>
      <c r="H2168" s="8" t="str">
        <f t="shared" si="402"/>
        <v>Upper</v>
      </c>
      <c r="I2168" s="8" t="str">
        <f t="shared" si="403"/>
        <v>West Fork and Below Lake</v>
      </c>
      <c r="J2168" s="8" t="str">
        <f t="shared" si="404"/>
        <v>Mendocino (d/s of lake)</v>
      </c>
      <c r="K2168" s="8" t="str">
        <f t="shared" si="405"/>
        <v>Riparian</v>
      </c>
      <c r="L2168" s="8">
        <f t="shared" si="406"/>
        <v>1000</v>
      </c>
      <c r="M2168" s="8" t="str">
        <f t="shared" si="408"/>
        <v>-</v>
      </c>
      <c r="N2168" s="10" t="s">
        <v>241</v>
      </c>
      <c r="O2168" s="10" t="s">
        <v>241</v>
      </c>
      <c r="P2168" s="10" t="s">
        <v>242</v>
      </c>
      <c r="Q2168" s="10" t="s">
        <v>242</v>
      </c>
      <c r="R2168" s="10" t="s">
        <v>242</v>
      </c>
      <c r="S2168" s="10" t="s">
        <v>241</v>
      </c>
      <c r="T2168" s="10" t="s">
        <v>242</v>
      </c>
      <c r="U2168" s="10" t="s">
        <v>241</v>
      </c>
      <c r="V2168" s="10" t="s">
        <v>241</v>
      </c>
      <c r="W2168" s="10" t="s">
        <v>242</v>
      </c>
      <c r="X2168" s="15">
        <f>IF(ISERROR(VLOOKUP($A2168,'13. Updated Demand'!A:Z,15,FALSE)),0,VLOOKUP($A2168,'13. Updated Demand'!A:Z,15,FALSE))</f>
        <v>0</v>
      </c>
      <c r="Y2168" s="16">
        <f>IF(ISERROR(VLOOKUP($A2168,'13. Updated Demand'!A:Z,16,FALSE)),0,VLOOKUP($A2168,'13. Updated Demand'!A:Z,16,FALSE))</f>
        <v>0</v>
      </c>
      <c r="Z2168" s="16">
        <f>IF(ISERROR(VLOOKUP($A2168,'13. Updated Demand'!A:Z,17,FALSE)),0,VLOOKUP($A2168,'13. Updated Demand'!A:Z,17,FALSE))</f>
        <v>0</v>
      </c>
      <c r="AA2168" s="16">
        <f>IF(ISERROR(VLOOKUP($A2168,'13. Updated Demand'!A:Z,18,FALSE)),0,VLOOKUP($A2168,'13. Updated Demand'!A:Z,18,FALSE))</f>
        <v>0</v>
      </c>
      <c r="AB2168" s="16">
        <f>IF(ISERROR(VLOOKUP($A2168,'13. Updated Demand'!A:Z,19,FALSE)),0,VLOOKUP($A2168,'13. Updated Demand'!A:Z,19,FALSE))</f>
        <v>0</v>
      </c>
      <c r="AC2168" s="16">
        <f>IF(ISERROR(VLOOKUP($A2168,'13. Updated Demand'!A:Z,20,FALSE)),0,VLOOKUP($A2168,'13. Updated Demand'!A:Z,20,FALSE))</f>
        <v>0</v>
      </c>
      <c r="AD2168" s="16">
        <f>IF(ISERROR(VLOOKUP($A2168,'13. Updated Demand'!A:Z,21,FALSE)),0,VLOOKUP($A2168,'13. Updated Demand'!A:Z,21,FALSE))</f>
        <v>0</v>
      </c>
      <c r="AE2168" s="16">
        <f>IF(ISERROR(VLOOKUP($A2168,'13. Updated Demand'!A:Z,22,FALSE)),0,VLOOKUP($A2168,'13. Updated Demand'!A:Z,22,FALSE))</f>
        <v>0</v>
      </c>
      <c r="AF2168" s="16">
        <f>IF(ISERROR(VLOOKUP($A2168,'13. Updated Demand'!A:Z,23,FALSE)),0,VLOOKUP($A2168,'13. Updated Demand'!A:Z,23,FALSE))</f>
        <v>0</v>
      </c>
      <c r="AG2168" s="16">
        <f>IF(ISERROR(VLOOKUP($A2168,'13. Updated Demand'!A:Z,24,FALSE)),0,VLOOKUP($A2168,'13. Updated Demand'!A:Z,24,FALSE))</f>
        <v>0</v>
      </c>
      <c r="AH2168" s="16">
        <f>IF(ISERROR(VLOOKUP($A2168,'13. Updated Demand'!A:Z,25,FALSE)),0,VLOOKUP($A2168,'13. Updated Demand'!A:Z,25,FALSE))</f>
        <v>0</v>
      </c>
      <c r="AI2168" s="16">
        <f>IF(ISERROR(VLOOKUP($A2168,'13. Updated Demand'!A:Z,26,FALSE)),0,VLOOKUP($A2168,'13. Updated Demand'!A:Z,26,FALSE))</f>
        <v>0</v>
      </c>
      <c r="AJ2168" s="16">
        <f t="shared" si="409"/>
        <v>0</v>
      </c>
      <c r="AK2168" s="19">
        <v>0</v>
      </c>
      <c r="AL2168" s="16">
        <f t="shared" si="407"/>
        <v>0</v>
      </c>
      <c r="AM2168" s="26">
        <v>0</v>
      </c>
      <c r="AN2168" s="19">
        <v>402.04199999999997</v>
      </c>
      <c r="AO2168" s="19" t="s">
        <v>1758</v>
      </c>
      <c r="AP2168" s="19">
        <v>0</v>
      </c>
      <c r="AQ2168" s="19" t="s">
        <v>307</v>
      </c>
      <c r="AR2168" s="9" t="s">
        <v>333</v>
      </c>
      <c r="AS2168" s="12">
        <v>0</v>
      </c>
      <c r="AT2168" s="19">
        <v>39.108899999999998</v>
      </c>
      <c r="AU2168" s="19">
        <v>-123.1649</v>
      </c>
      <c r="AV2168" s="19" t="s">
        <v>2612</v>
      </c>
    </row>
    <row r="2169" spans="1:48" x14ac:dyDescent="0.25">
      <c r="A2169" s="18" t="s">
        <v>2614</v>
      </c>
      <c r="B2169" s="10">
        <v>10000000</v>
      </c>
      <c r="C2169" s="9">
        <v>18</v>
      </c>
      <c r="D2169" s="8" t="str">
        <f t="shared" si="398"/>
        <v>N</v>
      </c>
      <c r="E2169" s="8" t="str">
        <f t="shared" si="399"/>
        <v>N</v>
      </c>
      <c r="F2169" s="8" t="str">
        <f t="shared" si="400"/>
        <v>N</v>
      </c>
      <c r="G2169" s="8" t="str">
        <f t="shared" si="401"/>
        <v>N</v>
      </c>
      <c r="H2169" s="8" t="str">
        <f t="shared" si="402"/>
        <v>Lower</v>
      </c>
      <c r="I2169" s="8" t="str">
        <f t="shared" si="403"/>
        <v>Outside</v>
      </c>
      <c r="J2169" s="8" t="str">
        <f t="shared" si="404"/>
        <v>Outside</v>
      </c>
      <c r="K2169" s="8" t="str">
        <f t="shared" si="405"/>
        <v>Riparian</v>
      </c>
      <c r="L2169" s="8">
        <f t="shared" si="406"/>
        <v>1000</v>
      </c>
      <c r="M2169" s="8" t="str">
        <f t="shared" si="408"/>
        <v>-</v>
      </c>
      <c r="N2169" s="10" t="s">
        <v>242</v>
      </c>
      <c r="O2169" s="10" t="s">
        <v>242</v>
      </c>
      <c r="P2169" s="10" t="s">
        <v>242</v>
      </c>
      <c r="Q2169" s="10" t="s">
        <v>242</v>
      </c>
      <c r="R2169" s="10" t="s">
        <v>242</v>
      </c>
      <c r="S2169" s="10" t="s">
        <v>241</v>
      </c>
      <c r="T2169" s="10" t="s">
        <v>242</v>
      </c>
      <c r="U2169" s="10" t="s">
        <v>242</v>
      </c>
      <c r="V2169" s="10" t="s">
        <v>241</v>
      </c>
      <c r="W2169" s="10" t="s">
        <v>242</v>
      </c>
      <c r="X2169" s="15">
        <f>IF(ISERROR(VLOOKUP($A2169,'13. Updated Demand'!A:Z,15,FALSE)),0,VLOOKUP($A2169,'13. Updated Demand'!A:Z,15,FALSE))</f>
        <v>2</v>
      </c>
      <c r="Y2169" s="16">
        <f>IF(ISERROR(VLOOKUP($A2169,'13. Updated Demand'!A:Z,16,FALSE)),0,VLOOKUP($A2169,'13. Updated Demand'!A:Z,16,FALSE))</f>
        <v>2</v>
      </c>
      <c r="Z2169" s="16">
        <f>IF(ISERROR(VLOOKUP($A2169,'13. Updated Demand'!A:Z,17,FALSE)),0,VLOOKUP($A2169,'13. Updated Demand'!A:Z,17,FALSE))</f>
        <v>2</v>
      </c>
      <c r="AA2169" s="16">
        <f>IF(ISERROR(VLOOKUP($A2169,'13. Updated Demand'!A:Z,18,FALSE)),0,VLOOKUP($A2169,'13. Updated Demand'!A:Z,18,FALSE))</f>
        <v>0</v>
      </c>
      <c r="AB2169" s="16">
        <f>IF(ISERROR(VLOOKUP($A2169,'13. Updated Demand'!A:Z,19,FALSE)),0,VLOOKUP($A2169,'13. Updated Demand'!A:Z,19,FALSE))</f>
        <v>0</v>
      </c>
      <c r="AC2169" s="16">
        <f>IF(ISERROR(VLOOKUP($A2169,'13. Updated Demand'!A:Z,20,FALSE)),0,VLOOKUP($A2169,'13. Updated Demand'!A:Z,20,FALSE))</f>
        <v>0</v>
      </c>
      <c r="AD2169" s="16">
        <f>IF(ISERROR(VLOOKUP($A2169,'13. Updated Demand'!A:Z,21,FALSE)),0,VLOOKUP($A2169,'13. Updated Demand'!A:Z,21,FALSE))</f>
        <v>0</v>
      </c>
      <c r="AE2169" s="16">
        <f>IF(ISERROR(VLOOKUP($A2169,'13. Updated Demand'!A:Z,22,FALSE)),0,VLOOKUP($A2169,'13. Updated Demand'!A:Z,22,FALSE))</f>
        <v>0</v>
      </c>
      <c r="AF2169" s="16">
        <f>IF(ISERROR(VLOOKUP($A2169,'13. Updated Demand'!A:Z,23,FALSE)),0,VLOOKUP($A2169,'13. Updated Demand'!A:Z,23,FALSE))</f>
        <v>0</v>
      </c>
      <c r="AG2169" s="16">
        <f>IF(ISERROR(VLOOKUP($A2169,'13. Updated Demand'!A:Z,24,FALSE)),0,VLOOKUP($A2169,'13. Updated Demand'!A:Z,24,FALSE))</f>
        <v>0</v>
      </c>
      <c r="AH2169" s="16">
        <f>IF(ISERROR(VLOOKUP($A2169,'13. Updated Demand'!A:Z,25,FALSE)),0,VLOOKUP($A2169,'13. Updated Demand'!A:Z,25,FALSE))</f>
        <v>0</v>
      </c>
      <c r="AI2169" s="16">
        <f>IF(ISERROR(VLOOKUP($A2169,'13. Updated Demand'!A:Z,26,FALSE)),0,VLOOKUP($A2169,'13. Updated Demand'!A:Z,26,FALSE))</f>
        <v>6</v>
      </c>
      <c r="AJ2169" s="16">
        <f t="shared" si="409"/>
        <v>12</v>
      </c>
      <c r="AK2169" s="19">
        <v>0</v>
      </c>
      <c r="AL2169" s="16">
        <f t="shared" si="407"/>
        <v>0</v>
      </c>
      <c r="AM2169" s="26">
        <v>0.66666666666666663</v>
      </c>
      <c r="AN2169" s="19">
        <v>18</v>
      </c>
      <c r="AO2169" s="19" t="s">
        <v>1758</v>
      </c>
      <c r="AP2169" s="19">
        <v>0</v>
      </c>
      <c r="AQ2169" s="19" t="s">
        <v>307</v>
      </c>
      <c r="AR2169" s="9" t="s">
        <v>352</v>
      </c>
      <c r="AS2169" s="12">
        <v>0</v>
      </c>
      <c r="AT2169" s="19">
        <v>38.442300000000003</v>
      </c>
      <c r="AU2169" s="19">
        <v>-122.87690000000001</v>
      </c>
      <c r="AV2169" s="19" t="s">
        <v>2615</v>
      </c>
    </row>
    <row r="2170" spans="1:48" x14ac:dyDescent="0.25">
      <c r="A2170" s="18" t="s">
        <v>2616</v>
      </c>
      <c r="B2170" s="10">
        <v>10000000</v>
      </c>
      <c r="C2170" s="9">
        <v>6</v>
      </c>
      <c r="D2170" s="8" t="str">
        <f t="shared" si="398"/>
        <v>Y</v>
      </c>
      <c r="E2170" s="8" t="str">
        <f t="shared" si="399"/>
        <v>N</v>
      </c>
      <c r="F2170" s="8" t="str">
        <f t="shared" si="400"/>
        <v>Y</v>
      </c>
      <c r="G2170" s="8" t="str">
        <f t="shared" si="401"/>
        <v>Y</v>
      </c>
      <c r="H2170" s="8" t="str">
        <f t="shared" si="402"/>
        <v>Upper</v>
      </c>
      <c r="I2170" s="8" t="str">
        <f t="shared" si="403"/>
        <v>West Fork and Below Lake</v>
      </c>
      <c r="J2170" s="8" t="str">
        <f t="shared" si="404"/>
        <v>Mendocino (d/s of lake)</v>
      </c>
      <c r="K2170" s="8" t="str">
        <f t="shared" si="405"/>
        <v>Riparian</v>
      </c>
      <c r="L2170" s="8">
        <f t="shared" si="406"/>
        <v>1000</v>
      </c>
      <c r="M2170" s="8" t="str">
        <f t="shared" si="408"/>
        <v>-</v>
      </c>
      <c r="N2170" s="10" t="s">
        <v>242</v>
      </c>
      <c r="O2170" s="10" t="s">
        <v>241</v>
      </c>
      <c r="P2170" s="10" t="s">
        <v>242</v>
      </c>
      <c r="Q2170" s="10" t="s">
        <v>242</v>
      </c>
      <c r="R2170" s="10" t="s">
        <v>242</v>
      </c>
      <c r="S2170" s="10" t="s">
        <v>241</v>
      </c>
      <c r="T2170" s="10" t="s">
        <v>241</v>
      </c>
      <c r="U2170" s="10" t="s">
        <v>241</v>
      </c>
      <c r="V2170" s="10" t="s">
        <v>241</v>
      </c>
      <c r="W2170" s="10" t="s">
        <v>242</v>
      </c>
      <c r="X2170" s="15">
        <f>IF(ISERROR(VLOOKUP($A2170,'13. Updated Demand'!A:Z,15,FALSE)),0,VLOOKUP($A2170,'13. Updated Demand'!A:Z,15,FALSE))</f>
        <v>0</v>
      </c>
      <c r="Y2170" s="16">
        <f>IF(ISERROR(VLOOKUP($A2170,'13. Updated Demand'!A:Z,16,FALSE)),0,VLOOKUP($A2170,'13. Updated Demand'!A:Z,16,FALSE))</f>
        <v>0</v>
      </c>
      <c r="Z2170" s="16">
        <f>IF(ISERROR(VLOOKUP($A2170,'13. Updated Demand'!A:Z,17,FALSE)),0,VLOOKUP($A2170,'13. Updated Demand'!A:Z,17,FALSE))</f>
        <v>0</v>
      </c>
      <c r="AA2170" s="16">
        <f>IF(ISERROR(VLOOKUP($A2170,'13. Updated Demand'!A:Z,18,FALSE)),0,VLOOKUP($A2170,'13. Updated Demand'!A:Z,18,FALSE))</f>
        <v>0</v>
      </c>
      <c r="AB2170" s="16">
        <f>IF(ISERROR(VLOOKUP($A2170,'13. Updated Demand'!A:Z,19,FALSE)),0,VLOOKUP($A2170,'13. Updated Demand'!A:Z,19,FALSE))</f>
        <v>0</v>
      </c>
      <c r="AC2170" s="16">
        <f>IF(ISERROR(VLOOKUP($A2170,'13. Updated Demand'!A:Z,20,FALSE)),0,VLOOKUP($A2170,'13. Updated Demand'!A:Z,20,FALSE))</f>
        <v>0</v>
      </c>
      <c r="AD2170" s="16">
        <f>IF(ISERROR(VLOOKUP($A2170,'13. Updated Demand'!A:Z,21,FALSE)),0,VLOOKUP($A2170,'13. Updated Demand'!A:Z,21,FALSE))</f>
        <v>0</v>
      </c>
      <c r="AE2170" s="16">
        <f>IF(ISERROR(VLOOKUP($A2170,'13. Updated Demand'!A:Z,22,FALSE)),0,VLOOKUP($A2170,'13. Updated Demand'!A:Z,22,FALSE))</f>
        <v>0</v>
      </c>
      <c r="AF2170" s="16">
        <f>IF(ISERROR(VLOOKUP($A2170,'13. Updated Demand'!A:Z,23,FALSE)),0,VLOOKUP($A2170,'13. Updated Demand'!A:Z,23,FALSE))</f>
        <v>0</v>
      </c>
      <c r="AG2170" s="16">
        <f>IF(ISERROR(VLOOKUP($A2170,'13. Updated Demand'!A:Z,24,FALSE)),0,VLOOKUP($A2170,'13. Updated Demand'!A:Z,24,FALSE))</f>
        <v>0</v>
      </c>
      <c r="AH2170" s="16">
        <f>IF(ISERROR(VLOOKUP($A2170,'13. Updated Demand'!A:Z,25,FALSE)),0,VLOOKUP($A2170,'13. Updated Demand'!A:Z,25,FALSE))</f>
        <v>0</v>
      </c>
      <c r="AI2170" s="16">
        <f>IF(ISERROR(VLOOKUP($A2170,'13. Updated Demand'!A:Z,26,FALSE)),0,VLOOKUP($A2170,'13. Updated Demand'!A:Z,26,FALSE))</f>
        <v>0</v>
      </c>
      <c r="AJ2170" s="16">
        <f t="shared" si="409"/>
        <v>0</v>
      </c>
      <c r="AK2170" s="19">
        <v>0</v>
      </c>
      <c r="AL2170" s="16">
        <f t="shared" si="407"/>
        <v>0</v>
      </c>
      <c r="AM2170" s="26">
        <v>0</v>
      </c>
      <c r="AN2170" s="19">
        <v>11.9526</v>
      </c>
      <c r="AO2170" s="19" t="s">
        <v>1758</v>
      </c>
      <c r="AP2170" s="19">
        <v>0</v>
      </c>
      <c r="AQ2170" s="19" t="s">
        <v>307</v>
      </c>
      <c r="AR2170" s="9" t="s">
        <v>319</v>
      </c>
      <c r="AS2170" s="12">
        <v>0</v>
      </c>
      <c r="AT2170" s="19">
        <v>38.978200000000001</v>
      </c>
      <c r="AU2170" s="19">
        <v>-123.2137</v>
      </c>
      <c r="AV2170" s="19" t="s">
        <v>414</v>
      </c>
    </row>
    <row r="2171" spans="1:48" x14ac:dyDescent="0.25">
      <c r="A2171" s="18" t="s">
        <v>2617</v>
      </c>
      <c r="B2171" s="10">
        <v>10000000</v>
      </c>
      <c r="C2171" s="9">
        <v>6</v>
      </c>
      <c r="D2171" s="8" t="str">
        <f t="shared" si="398"/>
        <v>Y</v>
      </c>
      <c r="E2171" s="8" t="str">
        <f t="shared" si="399"/>
        <v>N</v>
      </c>
      <c r="F2171" s="8" t="str">
        <f t="shared" si="400"/>
        <v>Y</v>
      </c>
      <c r="G2171" s="8" t="str">
        <f t="shared" si="401"/>
        <v>Y</v>
      </c>
      <c r="H2171" s="8" t="str">
        <f t="shared" si="402"/>
        <v>Upper</v>
      </c>
      <c r="I2171" s="8" t="str">
        <f t="shared" si="403"/>
        <v>West Fork and Below Lake</v>
      </c>
      <c r="J2171" s="8" t="str">
        <f t="shared" si="404"/>
        <v>Mendocino (d/s of lake)</v>
      </c>
      <c r="K2171" s="8" t="str">
        <f t="shared" si="405"/>
        <v>Riparian</v>
      </c>
      <c r="L2171" s="8">
        <f t="shared" si="406"/>
        <v>1000</v>
      </c>
      <c r="M2171" s="8" t="str">
        <f t="shared" si="408"/>
        <v>-</v>
      </c>
      <c r="N2171" s="10" t="s">
        <v>242</v>
      </c>
      <c r="O2171" s="10" t="s">
        <v>241</v>
      </c>
      <c r="P2171" s="10" t="s">
        <v>242</v>
      </c>
      <c r="Q2171" s="10" t="s">
        <v>242</v>
      </c>
      <c r="R2171" s="10" t="s">
        <v>242</v>
      </c>
      <c r="S2171" s="10" t="s">
        <v>241</v>
      </c>
      <c r="T2171" s="10" t="s">
        <v>241</v>
      </c>
      <c r="U2171" s="10" t="s">
        <v>241</v>
      </c>
      <c r="V2171" s="10" t="s">
        <v>241</v>
      </c>
      <c r="W2171" s="10" t="s">
        <v>242</v>
      </c>
      <c r="X2171" s="15">
        <f>IF(ISERROR(VLOOKUP($A2171,'13. Updated Demand'!A:Z,15,FALSE)),0,VLOOKUP($A2171,'13. Updated Demand'!A:Z,15,FALSE))</f>
        <v>0</v>
      </c>
      <c r="Y2171" s="16">
        <f>IF(ISERROR(VLOOKUP($A2171,'13. Updated Demand'!A:Z,16,FALSE)),0,VLOOKUP($A2171,'13. Updated Demand'!A:Z,16,FALSE))</f>
        <v>0</v>
      </c>
      <c r="Z2171" s="16">
        <f>IF(ISERROR(VLOOKUP($A2171,'13. Updated Demand'!A:Z,17,FALSE)),0,VLOOKUP($A2171,'13. Updated Demand'!A:Z,17,FALSE))</f>
        <v>0</v>
      </c>
      <c r="AA2171" s="16">
        <f>IF(ISERROR(VLOOKUP($A2171,'13. Updated Demand'!A:Z,18,FALSE)),0,VLOOKUP($A2171,'13. Updated Demand'!A:Z,18,FALSE))</f>
        <v>0</v>
      </c>
      <c r="AB2171" s="16">
        <f>IF(ISERROR(VLOOKUP($A2171,'13. Updated Demand'!A:Z,19,FALSE)),0,VLOOKUP($A2171,'13. Updated Demand'!A:Z,19,FALSE))</f>
        <v>0</v>
      </c>
      <c r="AC2171" s="16">
        <f>IF(ISERROR(VLOOKUP($A2171,'13. Updated Demand'!A:Z,20,FALSE)),0,VLOOKUP($A2171,'13. Updated Demand'!A:Z,20,FALSE))</f>
        <v>0</v>
      </c>
      <c r="AD2171" s="16">
        <f>IF(ISERROR(VLOOKUP($A2171,'13. Updated Demand'!A:Z,21,FALSE)),0,VLOOKUP($A2171,'13. Updated Demand'!A:Z,21,FALSE))</f>
        <v>0</v>
      </c>
      <c r="AE2171" s="16">
        <f>IF(ISERROR(VLOOKUP($A2171,'13. Updated Demand'!A:Z,22,FALSE)),0,VLOOKUP($A2171,'13. Updated Demand'!A:Z,22,FALSE))</f>
        <v>0</v>
      </c>
      <c r="AF2171" s="16">
        <f>IF(ISERROR(VLOOKUP($A2171,'13. Updated Demand'!A:Z,23,FALSE)),0,VLOOKUP($A2171,'13. Updated Demand'!A:Z,23,FALSE))</f>
        <v>0</v>
      </c>
      <c r="AG2171" s="16">
        <f>IF(ISERROR(VLOOKUP($A2171,'13. Updated Demand'!A:Z,24,FALSE)),0,VLOOKUP($A2171,'13. Updated Demand'!A:Z,24,FALSE))</f>
        <v>0</v>
      </c>
      <c r="AH2171" s="16">
        <f>IF(ISERROR(VLOOKUP($A2171,'13. Updated Demand'!A:Z,25,FALSE)),0,VLOOKUP($A2171,'13. Updated Demand'!A:Z,25,FALSE))</f>
        <v>0</v>
      </c>
      <c r="AI2171" s="16">
        <f>IF(ISERROR(VLOOKUP($A2171,'13. Updated Demand'!A:Z,26,FALSE)),0,VLOOKUP($A2171,'13. Updated Demand'!A:Z,26,FALSE))</f>
        <v>0</v>
      </c>
      <c r="AJ2171" s="16">
        <f t="shared" si="409"/>
        <v>0</v>
      </c>
      <c r="AK2171" s="19">
        <v>0</v>
      </c>
      <c r="AL2171" s="16">
        <f t="shared" si="407"/>
        <v>0</v>
      </c>
      <c r="AM2171" s="26">
        <v>0</v>
      </c>
      <c r="AN2171" s="19">
        <v>7.9683999999999999</v>
      </c>
      <c r="AO2171" s="19" t="s">
        <v>1758</v>
      </c>
      <c r="AP2171" s="19">
        <v>0</v>
      </c>
      <c r="AQ2171" s="19" t="s">
        <v>307</v>
      </c>
      <c r="AR2171" s="9" t="s">
        <v>319</v>
      </c>
      <c r="AS2171" s="12">
        <v>0</v>
      </c>
      <c r="AT2171" s="19">
        <v>38.974699999999999</v>
      </c>
      <c r="AU2171" s="19">
        <v>-123.2055</v>
      </c>
      <c r="AV2171" s="19" t="s">
        <v>414</v>
      </c>
    </row>
    <row r="2172" spans="1:48" x14ac:dyDescent="0.25">
      <c r="A2172" s="18" t="s">
        <v>2618</v>
      </c>
      <c r="B2172" s="10">
        <v>10000000</v>
      </c>
      <c r="C2172" s="9">
        <v>6</v>
      </c>
      <c r="D2172" s="8" t="str">
        <f t="shared" si="398"/>
        <v>Y</v>
      </c>
      <c r="E2172" s="8" t="str">
        <f t="shared" si="399"/>
        <v>N</v>
      </c>
      <c r="F2172" s="8" t="str">
        <f t="shared" si="400"/>
        <v>Y</v>
      </c>
      <c r="G2172" s="8" t="str">
        <f t="shared" si="401"/>
        <v>Y</v>
      </c>
      <c r="H2172" s="8" t="str">
        <f t="shared" si="402"/>
        <v>Upper</v>
      </c>
      <c r="I2172" s="8" t="str">
        <f t="shared" si="403"/>
        <v>West Fork and Below Lake</v>
      </c>
      <c r="J2172" s="8" t="str">
        <f t="shared" si="404"/>
        <v>Mendocino (d/s of lake)</v>
      </c>
      <c r="K2172" s="8" t="str">
        <f t="shared" si="405"/>
        <v>Riparian</v>
      </c>
      <c r="L2172" s="8">
        <f t="shared" si="406"/>
        <v>1000</v>
      </c>
      <c r="M2172" s="8" t="str">
        <f t="shared" si="408"/>
        <v>-</v>
      </c>
      <c r="N2172" s="10" t="s">
        <v>242</v>
      </c>
      <c r="O2172" s="10" t="s">
        <v>241</v>
      </c>
      <c r="P2172" s="10" t="s">
        <v>242</v>
      </c>
      <c r="Q2172" s="10" t="s">
        <v>242</v>
      </c>
      <c r="R2172" s="10" t="s">
        <v>242</v>
      </c>
      <c r="S2172" s="10" t="s">
        <v>241</v>
      </c>
      <c r="T2172" s="10" t="s">
        <v>241</v>
      </c>
      <c r="U2172" s="10" t="s">
        <v>241</v>
      </c>
      <c r="V2172" s="10" t="s">
        <v>241</v>
      </c>
      <c r="W2172" s="10" t="s">
        <v>242</v>
      </c>
      <c r="X2172" s="15">
        <f>IF(ISERROR(VLOOKUP($A2172,'13. Updated Demand'!A:Z,15,FALSE)),0,VLOOKUP($A2172,'13. Updated Demand'!A:Z,15,FALSE))</f>
        <v>0</v>
      </c>
      <c r="Y2172" s="16">
        <f>IF(ISERROR(VLOOKUP($A2172,'13. Updated Demand'!A:Z,16,FALSE)),0,VLOOKUP($A2172,'13. Updated Demand'!A:Z,16,FALSE))</f>
        <v>0</v>
      </c>
      <c r="Z2172" s="16">
        <f>IF(ISERROR(VLOOKUP($A2172,'13. Updated Demand'!A:Z,17,FALSE)),0,VLOOKUP($A2172,'13. Updated Demand'!A:Z,17,FALSE))</f>
        <v>0</v>
      </c>
      <c r="AA2172" s="16">
        <f>IF(ISERROR(VLOOKUP($A2172,'13. Updated Demand'!A:Z,18,FALSE)),0,VLOOKUP($A2172,'13. Updated Demand'!A:Z,18,FALSE))</f>
        <v>0</v>
      </c>
      <c r="AB2172" s="16">
        <f>IF(ISERROR(VLOOKUP($A2172,'13. Updated Demand'!A:Z,19,FALSE)),0,VLOOKUP($A2172,'13. Updated Demand'!A:Z,19,FALSE))</f>
        <v>0</v>
      </c>
      <c r="AC2172" s="16">
        <f>IF(ISERROR(VLOOKUP($A2172,'13. Updated Demand'!A:Z,20,FALSE)),0,VLOOKUP($A2172,'13. Updated Demand'!A:Z,20,FALSE))</f>
        <v>0</v>
      </c>
      <c r="AD2172" s="16">
        <f>IF(ISERROR(VLOOKUP($A2172,'13. Updated Demand'!A:Z,21,FALSE)),0,VLOOKUP($A2172,'13. Updated Demand'!A:Z,21,FALSE))</f>
        <v>0</v>
      </c>
      <c r="AE2172" s="16">
        <f>IF(ISERROR(VLOOKUP($A2172,'13. Updated Demand'!A:Z,22,FALSE)),0,VLOOKUP($A2172,'13. Updated Demand'!A:Z,22,FALSE))</f>
        <v>0</v>
      </c>
      <c r="AF2172" s="16">
        <f>IF(ISERROR(VLOOKUP($A2172,'13. Updated Demand'!A:Z,23,FALSE)),0,VLOOKUP($A2172,'13. Updated Demand'!A:Z,23,FALSE))</f>
        <v>0</v>
      </c>
      <c r="AG2172" s="16">
        <f>IF(ISERROR(VLOOKUP($A2172,'13. Updated Demand'!A:Z,24,FALSE)),0,VLOOKUP($A2172,'13. Updated Demand'!A:Z,24,FALSE))</f>
        <v>0</v>
      </c>
      <c r="AH2172" s="16">
        <f>IF(ISERROR(VLOOKUP($A2172,'13. Updated Demand'!A:Z,25,FALSE)),0,VLOOKUP($A2172,'13. Updated Demand'!A:Z,25,FALSE))</f>
        <v>0</v>
      </c>
      <c r="AI2172" s="16">
        <f>IF(ISERROR(VLOOKUP($A2172,'13. Updated Demand'!A:Z,26,FALSE)),0,VLOOKUP($A2172,'13. Updated Demand'!A:Z,26,FALSE))</f>
        <v>0</v>
      </c>
      <c r="AJ2172" s="16">
        <f t="shared" si="409"/>
        <v>0</v>
      </c>
      <c r="AK2172" s="19">
        <v>0</v>
      </c>
      <c r="AL2172" s="16">
        <f t="shared" si="407"/>
        <v>0</v>
      </c>
      <c r="AM2172" s="26">
        <v>0</v>
      </c>
      <c r="AN2172" s="19">
        <v>16.298999999999999</v>
      </c>
      <c r="AO2172" s="19" t="s">
        <v>1758</v>
      </c>
      <c r="AP2172" s="19">
        <v>0</v>
      </c>
      <c r="AQ2172" s="19" t="s">
        <v>307</v>
      </c>
      <c r="AR2172" s="9" t="s">
        <v>319</v>
      </c>
      <c r="AS2172" s="12">
        <v>0</v>
      </c>
      <c r="AT2172" s="19">
        <v>38.9726</v>
      </c>
      <c r="AU2172" s="19">
        <v>-123.2076</v>
      </c>
      <c r="AV2172" s="19" t="s">
        <v>414</v>
      </c>
    </row>
    <row r="2173" spans="1:48" x14ac:dyDescent="0.25">
      <c r="A2173" s="18" t="s">
        <v>2619</v>
      </c>
      <c r="B2173" s="10">
        <v>10000000</v>
      </c>
      <c r="C2173" s="9">
        <v>6</v>
      </c>
      <c r="D2173" s="8" t="str">
        <f t="shared" si="398"/>
        <v>Y</v>
      </c>
      <c r="E2173" s="8" t="str">
        <f t="shared" si="399"/>
        <v>N</v>
      </c>
      <c r="F2173" s="8" t="str">
        <f t="shared" si="400"/>
        <v>Y</v>
      </c>
      <c r="G2173" s="8" t="str">
        <f t="shared" si="401"/>
        <v>Y</v>
      </c>
      <c r="H2173" s="8" t="str">
        <f t="shared" si="402"/>
        <v>Upper</v>
      </c>
      <c r="I2173" s="8" t="str">
        <f t="shared" si="403"/>
        <v>West Fork and Below Lake</v>
      </c>
      <c r="J2173" s="8" t="str">
        <f t="shared" si="404"/>
        <v>Mendocino (d/s of lake)</v>
      </c>
      <c r="K2173" s="8" t="str">
        <f t="shared" si="405"/>
        <v>Riparian</v>
      </c>
      <c r="L2173" s="8">
        <f t="shared" si="406"/>
        <v>1000</v>
      </c>
      <c r="M2173" s="8" t="str">
        <f t="shared" si="408"/>
        <v>-</v>
      </c>
      <c r="N2173" s="10" t="s">
        <v>242</v>
      </c>
      <c r="O2173" s="10" t="s">
        <v>241</v>
      </c>
      <c r="P2173" s="10" t="s">
        <v>242</v>
      </c>
      <c r="Q2173" s="10" t="s">
        <v>242</v>
      </c>
      <c r="R2173" s="10" t="s">
        <v>242</v>
      </c>
      <c r="S2173" s="10" t="s">
        <v>241</v>
      </c>
      <c r="T2173" s="10" t="s">
        <v>242</v>
      </c>
      <c r="U2173" s="10" t="s">
        <v>242</v>
      </c>
      <c r="V2173" s="10" t="s">
        <v>242</v>
      </c>
      <c r="W2173" s="10" t="s">
        <v>242</v>
      </c>
      <c r="X2173" s="15">
        <f>IF(ISERROR(VLOOKUP($A2173,'13. Updated Demand'!A:Z,15,FALSE)),0,VLOOKUP($A2173,'13. Updated Demand'!A:Z,15,FALSE))</f>
        <v>0</v>
      </c>
      <c r="Y2173" s="16">
        <f>IF(ISERROR(VLOOKUP($A2173,'13. Updated Demand'!A:Z,16,FALSE)),0,VLOOKUP($A2173,'13. Updated Demand'!A:Z,16,FALSE))</f>
        <v>0</v>
      </c>
      <c r="Z2173" s="16">
        <f>IF(ISERROR(VLOOKUP($A2173,'13. Updated Demand'!A:Z,17,FALSE)),0,VLOOKUP($A2173,'13. Updated Demand'!A:Z,17,FALSE))</f>
        <v>0</v>
      </c>
      <c r="AA2173" s="16">
        <f>IF(ISERROR(VLOOKUP($A2173,'13. Updated Demand'!A:Z,18,FALSE)),0,VLOOKUP($A2173,'13. Updated Demand'!A:Z,18,FALSE))</f>
        <v>0</v>
      </c>
      <c r="AB2173" s="16">
        <f>IF(ISERROR(VLOOKUP($A2173,'13. Updated Demand'!A:Z,19,FALSE)),0,VLOOKUP($A2173,'13. Updated Demand'!A:Z,19,FALSE))</f>
        <v>0.1</v>
      </c>
      <c r="AC2173" s="16">
        <f>IF(ISERROR(VLOOKUP($A2173,'13. Updated Demand'!A:Z,20,FALSE)),0,VLOOKUP($A2173,'13. Updated Demand'!A:Z,20,FALSE))</f>
        <v>0.1</v>
      </c>
      <c r="AD2173" s="16">
        <f>IF(ISERROR(VLOOKUP($A2173,'13. Updated Demand'!A:Z,21,FALSE)),0,VLOOKUP($A2173,'13. Updated Demand'!A:Z,21,FALSE))</f>
        <v>0.3</v>
      </c>
      <c r="AE2173" s="16">
        <f>IF(ISERROR(VLOOKUP($A2173,'13. Updated Demand'!A:Z,22,FALSE)),0,VLOOKUP($A2173,'13. Updated Demand'!A:Z,22,FALSE))</f>
        <v>0.4</v>
      </c>
      <c r="AF2173" s="16">
        <f>IF(ISERROR(VLOOKUP($A2173,'13. Updated Demand'!A:Z,23,FALSE)),0,VLOOKUP($A2173,'13. Updated Demand'!A:Z,23,FALSE))</f>
        <v>0.4</v>
      </c>
      <c r="AG2173" s="16">
        <f>IF(ISERROR(VLOOKUP($A2173,'13. Updated Demand'!A:Z,24,FALSE)),0,VLOOKUP($A2173,'13. Updated Demand'!A:Z,24,FALSE))</f>
        <v>0.2</v>
      </c>
      <c r="AH2173" s="16">
        <f>IF(ISERROR(VLOOKUP($A2173,'13. Updated Demand'!A:Z,25,FALSE)),0,VLOOKUP($A2173,'13. Updated Demand'!A:Z,25,FALSE))</f>
        <v>0</v>
      </c>
      <c r="AI2173" s="16">
        <f>IF(ISERROR(VLOOKUP($A2173,'13. Updated Demand'!A:Z,26,FALSE)),0,VLOOKUP($A2173,'13. Updated Demand'!A:Z,26,FALSE))</f>
        <v>0</v>
      </c>
      <c r="AJ2173" s="16">
        <f t="shared" si="409"/>
        <v>1.5</v>
      </c>
      <c r="AK2173" s="19">
        <v>1.3</v>
      </c>
      <c r="AL2173" s="16">
        <f t="shared" si="407"/>
        <v>4.3119519160841622E-3</v>
      </c>
      <c r="AM2173" s="26">
        <v>5.1766979569298731E-3</v>
      </c>
      <c r="AN2173" s="19">
        <v>289.76</v>
      </c>
      <c r="AO2173" s="19" t="s">
        <v>1758</v>
      </c>
      <c r="AP2173" s="19">
        <v>0</v>
      </c>
      <c r="AQ2173" s="19" t="s">
        <v>307</v>
      </c>
      <c r="AR2173" s="9" t="s">
        <v>319</v>
      </c>
      <c r="AS2173" s="12">
        <v>0</v>
      </c>
      <c r="AT2173" s="19">
        <v>38.982199999999999</v>
      </c>
      <c r="AU2173" s="19">
        <v>-123.1901</v>
      </c>
      <c r="AV2173" s="19" t="s">
        <v>414</v>
      </c>
    </row>
    <row r="2174" spans="1:48" x14ac:dyDescent="0.25">
      <c r="A2174" s="18" t="s">
        <v>2620</v>
      </c>
      <c r="B2174" s="10">
        <v>10000000</v>
      </c>
      <c r="C2174" s="9">
        <v>6</v>
      </c>
      <c r="D2174" s="8" t="str">
        <f t="shared" si="398"/>
        <v>Y</v>
      </c>
      <c r="E2174" s="8" t="str">
        <f t="shared" si="399"/>
        <v>N</v>
      </c>
      <c r="F2174" s="8" t="str">
        <f t="shared" si="400"/>
        <v>Y</v>
      </c>
      <c r="G2174" s="8" t="str">
        <f t="shared" si="401"/>
        <v>Y</v>
      </c>
      <c r="H2174" s="8" t="str">
        <f t="shared" si="402"/>
        <v>Upper</v>
      </c>
      <c r="I2174" s="8" t="str">
        <f t="shared" si="403"/>
        <v>West Fork and Below Lake</v>
      </c>
      <c r="J2174" s="8" t="str">
        <f t="shared" si="404"/>
        <v>Mendocino (d/s of lake)</v>
      </c>
      <c r="K2174" s="8" t="str">
        <f t="shared" si="405"/>
        <v>Riparian</v>
      </c>
      <c r="L2174" s="8">
        <f t="shared" si="406"/>
        <v>1000</v>
      </c>
      <c r="M2174" s="8" t="str">
        <f t="shared" si="408"/>
        <v>-</v>
      </c>
      <c r="N2174" s="10" t="s">
        <v>242</v>
      </c>
      <c r="O2174" s="10" t="s">
        <v>241</v>
      </c>
      <c r="P2174" s="10" t="s">
        <v>242</v>
      </c>
      <c r="Q2174" s="10" t="s">
        <v>242</v>
      </c>
      <c r="R2174" s="10" t="s">
        <v>242</v>
      </c>
      <c r="S2174" s="10" t="s">
        <v>241</v>
      </c>
      <c r="T2174" s="10" t="s">
        <v>241</v>
      </c>
      <c r="U2174" s="10" t="s">
        <v>241</v>
      </c>
      <c r="V2174" s="10" t="s">
        <v>241</v>
      </c>
      <c r="W2174" s="10" t="s">
        <v>242</v>
      </c>
      <c r="X2174" s="15">
        <f>IF(ISERROR(VLOOKUP($A2174,'13. Updated Demand'!A:Z,15,FALSE)),0,VLOOKUP($A2174,'13. Updated Demand'!A:Z,15,FALSE))</f>
        <v>0</v>
      </c>
      <c r="Y2174" s="16">
        <f>IF(ISERROR(VLOOKUP($A2174,'13. Updated Demand'!A:Z,16,FALSE)),0,VLOOKUP($A2174,'13. Updated Demand'!A:Z,16,FALSE))</f>
        <v>0</v>
      </c>
      <c r="Z2174" s="16">
        <f>IF(ISERROR(VLOOKUP($A2174,'13. Updated Demand'!A:Z,17,FALSE)),0,VLOOKUP($A2174,'13. Updated Demand'!A:Z,17,FALSE))</f>
        <v>0</v>
      </c>
      <c r="AA2174" s="16">
        <f>IF(ISERROR(VLOOKUP($A2174,'13. Updated Demand'!A:Z,18,FALSE)),0,VLOOKUP($A2174,'13. Updated Demand'!A:Z,18,FALSE))</f>
        <v>0</v>
      </c>
      <c r="AB2174" s="16">
        <f>IF(ISERROR(VLOOKUP($A2174,'13. Updated Demand'!A:Z,19,FALSE)),0,VLOOKUP($A2174,'13. Updated Demand'!A:Z,19,FALSE))</f>
        <v>0</v>
      </c>
      <c r="AC2174" s="16">
        <f>IF(ISERROR(VLOOKUP($A2174,'13. Updated Demand'!A:Z,20,FALSE)),0,VLOOKUP($A2174,'13. Updated Demand'!A:Z,20,FALSE))</f>
        <v>0</v>
      </c>
      <c r="AD2174" s="16">
        <f>IF(ISERROR(VLOOKUP($A2174,'13. Updated Demand'!A:Z,21,FALSE)),0,VLOOKUP($A2174,'13. Updated Demand'!A:Z,21,FALSE))</f>
        <v>0</v>
      </c>
      <c r="AE2174" s="16">
        <f>IF(ISERROR(VLOOKUP($A2174,'13. Updated Demand'!A:Z,22,FALSE)),0,VLOOKUP($A2174,'13. Updated Demand'!A:Z,22,FALSE))</f>
        <v>0</v>
      </c>
      <c r="AF2174" s="16">
        <f>IF(ISERROR(VLOOKUP($A2174,'13. Updated Demand'!A:Z,23,FALSE)),0,VLOOKUP($A2174,'13. Updated Demand'!A:Z,23,FALSE))</f>
        <v>0</v>
      </c>
      <c r="AG2174" s="16">
        <f>IF(ISERROR(VLOOKUP($A2174,'13. Updated Demand'!A:Z,24,FALSE)),0,VLOOKUP($A2174,'13. Updated Demand'!A:Z,24,FALSE))</f>
        <v>0</v>
      </c>
      <c r="AH2174" s="16">
        <f>IF(ISERROR(VLOOKUP($A2174,'13. Updated Demand'!A:Z,25,FALSE)),0,VLOOKUP($A2174,'13. Updated Demand'!A:Z,25,FALSE))</f>
        <v>0</v>
      </c>
      <c r="AI2174" s="16">
        <f>IF(ISERROR(VLOOKUP($A2174,'13. Updated Demand'!A:Z,26,FALSE)),0,VLOOKUP($A2174,'13. Updated Demand'!A:Z,26,FALSE))</f>
        <v>0</v>
      </c>
      <c r="AJ2174" s="16">
        <f t="shared" si="409"/>
        <v>0</v>
      </c>
      <c r="AK2174" s="19">
        <v>0</v>
      </c>
      <c r="AL2174" s="16">
        <f t="shared" si="407"/>
        <v>0</v>
      </c>
      <c r="AM2174" s="26">
        <v>0</v>
      </c>
      <c r="AN2174" s="19">
        <v>11.9526</v>
      </c>
      <c r="AO2174" s="19" t="s">
        <v>1758</v>
      </c>
      <c r="AP2174" s="19">
        <v>0</v>
      </c>
      <c r="AQ2174" s="19" t="s">
        <v>307</v>
      </c>
      <c r="AR2174" s="9" t="s">
        <v>319</v>
      </c>
      <c r="AS2174" s="12">
        <v>0</v>
      </c>
      <c r="AT2174" s="19">
        <v>38.979900000000001</v>
      </c>
      <c r="AU2174" s="19">
        <v>-123.182</v>
      </c>
      <c r="AV2174" s="19" t="s">
        <v>414</v>
      </c>
    </row>
    <row r="2175" spans="1:48" x14ac:dyDescent="0.25">
      <c r="A2175" s="18" t="s">
        <v>2621</v>
      </c>
      <c r="B2175" s="10">
        <v>10000000</v>
      </c>
      <c r="C2175" s="9">
        <v>23</v>
      </c>
      <c r="D2175" s="8" t="str">
        <f t="shared" si="398"/>
        <v>N</v>
      </c>
      <c r="E2175" s="8" t="str">
        <f t="shared" si="399"/>
        <v>N</v>
      </c>
      <c r="F2175" s="8" t="str">
        <f t="shared" si="400"/>
        <v>N</v>
      </c>
      <c r="G2175" s="8" t="str">
        <f t="shared" si="401"/>
        <v>N</v>
      </c>
      <c r="H2175" s="8" t="str">
        <f t="shared" si="402"/>
        <v>Lower</v>
      </c>
      <c r="I2175" s="8" t="str">
        <f t="shared" si="403"/>
        <v>Outside</v>
      </c>
      <c r="J2175" s="8" t="str">
        <f t="shared" si="404"/>
        <v>Outside</v>
      </c>
      <c r="K2175" s="8" t="str">
        <f t="shared" si="405"/>
        <v>Riparian</v>
      </c>
      <c r="L2175" s="8">
        <f t="shared" si="406"/>
        <v>1000</v>
      </c>
      <c r="M2175" s="8" t="str">
        <f t="shared" si="408"/>
        <v>-</v>
      </c>
      <c r="N2175" s="10" t="s">
        <v>242</v>
      </c>
      <c r="O2175" s="10" t="s">
        <v>242</v>
      </c>
      <c r="P2175" s="10" t="s">
        <v>242</v>
      </c>
      <c r="Q2175" s="10" t="s">
        <v>242</v>
      </c>
      <c r="R2175" s="10" t="s">
        <v>242</v>
      </c>
      <c r="S2175" s="10" t="s">
        <v>241</v>
      </c>
      <c r="T2175" s="10" t="s">
        <v>242</v>
      </c>
      <c r="U2175" s="10" t="s">
        <v>241</v>
      </c>
      <c r="V2175" s="10" t="s">
        <v>241</v>
      </c>
      <c r="W2175" s="10" t="s">
        <v>242</v>
      </c>
      <c r="X2175" s="15">
        <f>IF(ISERROR(VLOOKUP($A2175,'13. Updated Demand'!A:Z,15,FALSE)),0,VLOOKUP($A2175,'13. Updated Demand'!A:Z,15,FALSE))</f>
        <v>0</v>
      </c>
      <c r="Y2175" s="16">
        <f>IF(ISERROR(VLOOKUP($A2175,'13. Updated Demand'!A:Z,16,FALSE)),0,VLOOKUP($A2175,'13. Updated Demand'!A:Z,16,FALSE))</f>
        <v>0</v>
      </c>
      <c r="Z2175" s="16">
        <f>IF(ISERROR(VLOOKUP($A2175,'13. Updated Demand'!A:Z,17,FALSE)),0,VLOOKUP($A2175,'13. Updated Demand'!A:Z,17,FALSE))</f>
        <v>0</v>
      </c>
      <c r="AA2175" s="16">
        <f>IF(ISERROR(VLOOKUP($A2175,'13. Updated Demand'!A:Z,18,FALSE)),0,VLOOKUP($A2175,'13. Updated Demand'!A:Z,18,FALSE))</f>
        <v>0</v>
      </c>
      <c r="AB2175" s="16">
        <f>IF(ISERROR(VLOOKUP($A2175,'13. Updated Demand'!A:Z,19,FALSE)),0,VLOOKUP($A2175,'13. Updated Demand'!A:Z,19,FALSE))</f>
        <v>0</v>
      </c>
      <c r="AC2175" s="16">
        <f>IF(ISERROR(VLOOKUP($A2175,'13. Updated Demand'!A:Z,20,FALSE)),0,VLOOKUP($A2175,'13. Updated Demand'!A:Z,20,FALSE))</f>
        <v>0</v>
      </c>
      <c r="AD2175" s="16">
        <f>IF(ISERROR(VLOOKUP($A2175,'13. Updated Demand'!A:Z,21,FALSE)),0,VLOOKUP($A2175,'13. Updated Demand'!A:Z,21,FALSE))</f>
        <v>0</v>
      </c>
      <c r="AE2175" s="16">
        <f>IF(ISERROR(VLOOKUP($A2175,'13. Updated Demand'!A:Z,22,FALSE)),0,VLOOKUP($A2175,'13. Updated Demand'!A:Z,22,FALSE))</f>
        <v>0</v>
      </c>
      <c r="AF2175" s="16">
        <f>IF(ISERROR(VLOOKUP($A2175,'13. Updated Demand'!A:Z,23,FALSE)),0,VLOOKUP($A2175,'13. Updated Demand'!A:Z,23,FALSE))</f>
        <v>0</v>
      </c>
      <c r="AG2175" s="16">
        <f>IF(ISERROR(VLOOKUP($A2175,'13. Updated Demand'!A:Z,24,FALSE)),0,VLOOKUP($A2175,'13. Updated Demand'!A:Z,24,FALSE))</f>
        <v>0</v>
      </c>
      <c r="AH2175" s="16">
        <f>IF(ISERROR(VLOOKUP($A2175,'13. Updated Demand'!A:Z,25,FALSE)),0,VLOOKUP($A2175,'13. Updated Demand'!A:Z,25,FALSE))</f>
        <v>0</v>
      </c>
      <c r="AI2175" s="16">
        <f>IF(ISERROR(VLOOKUP($A2175,'13. Updated Demand'!A:Z,26,FALSE)),0,VLOOKUP($A2175,'13. Updated Demand'!A:Z,26,FALSE))</f>
        <v>0</v>
      </c>
      <c r="AJ2175" s="16">
        <f t="shared" si="409"/>
        <v>0</v>
      </c>
      <c r="AK2175" s="19">
        <v>0</v>
      </c>
      <c r="AL2175" s="16">
        <f t="shared" si="407"/>
        <v>0</v>
      </c>
      <c r="AM2175" s="26">
        <v>0</v>
      </c>
      <c r="AN2175" s="19">
        <v>7.37</v>
      </c>
      <c r="AO2175" s="19" t="s">
        <v>1758</v>
      </c>
      <c r="AP2175" s="19">
        <v>0</v>
      </c>
      <c r="AQ2175" s="19" t="s">
        <v>307</v>
      </c>
      <c r="AR2175" s="9" t="s">
        <v>378</v>
      </c>
      <c r="AS2175" s="12">
        <v>3.4039024194010059E-4</v>
      </c>
      <c r="AT2175" s="19">
        <v>38.371099999999998</v>
      </c>
      <c r="AU2175" s="19">
        <v>-122.6083</v>
      </c>
      <c r="AV2175" s="19" t="s">
        <v>2622</v>
      </c>
    </row>
    <row r="2176" spans="1:48" x14ac:dyDescent="0.25">
      <c r="A2176" s="18" t="s">
        <v>2623</v>
      </c>
      <c r="B2176" s="10">
        <v>10000000</v>
      </c>
      <c r="C2176" s="9">
        <v>15</v>
      </c>
      <c r="D2176" s="8" t="str">
        <f t="shared" si="398"/>
        <v>N</v>
      </c>
      <c r="E2176" s="8" t="str">
        <f t="shared" si="399"/>
        <v>N</v>
      </c>
      <c r="F2176" s="8" t="str">
        <f t="shared" si="400"/>
        <v>N</v>
      </c>
      <c r="G2176" s="8" t="str">
        <f t="shared" si="401"/>
        <v>N</v>
      </c>
      <c r="H2176" s="8" t="str">
        <f t="shared" si="402"/>
        <v>Lower</v>
      </c>
      <c r="I2176" s="8" t="str">
        <f t="shared" si="403"/>
        <v>Outside</v>
      </c>
      <c r="J2176" s="8" t="str">
        <f t="shared" si="404"/>
        <v>Outside</v>
      </c>
      <c r="K2176" s="8" t="str">
        <f t="shared" si="405"/>
        <v>Riparian</v>
      </c>
      <c r="L2176" s="8">
        <f t="shared" si="406"/>
        <v>1000</v>
      </c>
      <c r="M2176" s="8" t="str">
        <f t="shared" si="408"/>
        <v>-</v>
      </c>
      <c r="N2176" s="10" t="s">
        <v>242</v>
      </c>
      <c r="O2176" s="10" t="s">
        <v>242</v>
      </c>
      <c r="P2176" s="10" t="s">
        <v>242</v>
      </c>
      <c r="Q2176" s="10" t="s">
        <v>242</v>
      </c>
      <c r="R2176" s="10" t="s">
        <v>242</v>
      </c>
      <c r="S2176" s="10" t="s">
        <v>241</v>
      </c>
      <c r="T2176" s="10" t="s">
        <v>242</v>
      </c>
      <c r="U2176" s="10" t="s">
        <v>241</v>
      </c>
      <c r="V2176" s="10" t="s">
        <v>241</v>
      </c>
      <c r="W2176" s="10" t="s">
        <v>242</v>
      </c>
      <c r="X2176" s="15">
        <f>IF(ISERROR(VLOOKUP($A2176,'13. Updated Demand'!A:Z,15,FALSE)),0,VLOOKUP($A2176,'13. Updated Demand'!A:Z,15,FALSE))</f>
        <v>0</v>
      </c>
      <c r="Y2176" s="16">
        <f>IF(ISERROR(VLOOKUP($A2176,'13. Updated Demand'!A:Z,16,FALSE)),0,VLOOKUP($A2176,'13. Updated Demand'!A:Z,16,FALSE))</f>
        <v>0</v>
      </c>
      <c r="Z2176" s="16">
        <f>IF(ISERROR(VLOOKUP($A2176,'13. Updated Demand'!A:Z,17,FALSE)),0,VLOOKUP($A2176,'13. Updated Demand'!A:Z,17,FALSE))</f>
        <v>0</v>
      </c>
      <c r="AA2176" s="16">
        <f>IF(ISERROR(VLOOKUP($A2176,'13. Updated Demand'!A:Z,18,FALSE)),0,VLOOKUP($A2176,'13. Updated Demand'!A:Z,18,FALSE))</f>
        <v>0</v>
      </c>
      <c r="AB2176" s="16">
        <f>IF(ISERROR(VLOOKUP($A2176,'13. Updated Demand'!A:Z,19,FALSE)),0,VLOOKUP($A2176,'13. Updated Demand'!A:Z,19,FALSE))</f>
        <v>0</v>
      </c>
      <c r="AC2176" s="16">
        <f>IF(ISERROR(VLOOKUP($A2176,'13. Updated Demand'!A:Z,20,FALSE)),0,VLOOKUP($A2176,'13. Updated Demand'!A:Z,20,FALSE))</f>
        <v>0</v>
      </c>
      <c r="AD2176" s="16">
        <f>IF(ISERROR(VLOOKUP($A2176,'13. Updated Demand'!A:Z,21,FALSE)),0,VLOOKUP($A2176,'13. Updated Demand'!A:Z,21,FALSE))</f>
        <v>0</v>
      </c>
      <c r="AE2176" s="16">
        <f>IF(ISERROR(VLOOKUP($A2176,'13. Updated Demand'!A:Z,22,FALSE)),0,VLOOKUP($A2176,'13. Updated Demand'!A:Z,22,FALSE))</f>
        <v>0</v>
      </c>
      <c r="AF2176" s="16">
        <f>IF(ISERROR(VLOOKUP($A2176,'13. Updated Demand'!A:Z,23,FALSE)),0,VLOOKUP($A2176,'13. Updated Demand'!A:Z,23,FALSE))</f>
        <v>0</v>
      </c>
      <c r="AG2176" s="16">
        <f>IF(ISERROR(VLOOKUP($A2176,'13. Updated Demand'!A:Z,24,FALSE)),0,VLOOKUP($A2176,'13. Updated Demand'!A:Z,24,FALSE))</f>
        <v>0</v>
      </c>
      <c r="AH2176" s="16">
        <f>IF(ISERROR(VLOOKUP($A2176,'13. Updated Demand'!A:Z,25,FALSE)),0,VLOOKUP($A2176,'13. Updated Demand'!A:Z,25,FALSE))</f>
        <v>0</v>
      </c>
      <c r="AI2176" s="16">
        <f>IF(ISERROR(VLOOKUP($A2176,'13. Updated Demand'!A:Z,26,FALSE)),0,VLOOKUP($A2176,'13. Updated Demand'!A:Z,26,FALSE))</f>
        <v>0</v>
      </c>
      <c r="AJ2176" s="16">
        <f t="shared" si="409"/>
        <v>0</v>
      </c>
      <c r="AK2176" s="19">
        <v>0</v>
      </c>
      <c r="AL2176" s="16">
        <f t="shared" si="407"/>
        <v>0</v>
      </c>
      <c r="AM2176" s="26">
        <v>0</v>
      </c>
      <c r="AN2176" s="19">
        <v>0</v>
      </c>
      <c r="AO2176" s="19" t="s">
        <v>1758</v>
      </c>
      <c r="AP2176" s="19">
        <v>0</v>
      </c>
      <c r="AQ2176" s="19" t="s">
        <v>307</v>
      </c>
      <c r="AR2176" s="9" t="s">
        <v>489</v>
      </c>
      <c r="AS2176" s="12">
        <v>0</v>
      </c>
      <c r="AT2176" s="19">
        <v>38.6935</v>
      </c>
      <c r="AU2176" s="19">
        <v>-122.9558</v>
      </c>
      <c r="AV2176" s="19" t="s">
        <v>932</v>
      </c>
    </row>
    <row r="2177" spans="1:48" x14ac:dyDescent="0.25">
      <c r="A2177" s="18" t="s">
        <v>2624</v>
      </c>
      <c r="B2177" s="10">
        <v>10000000</v>
      </c>
      <c r="C2177" s="9">
        <v>15</v>
      </c>
      <c r="D2177" s="8" t="str">
        <f t="shared" si="398"/>
        <v>N</v>
      </c>
      <c r="E2177" s="8" t="str">
        <f t="shared" si="399"/>
        <v>N</v>
      </c>
      <c r="F2177" s="8" t="str">
        <f t="shared" si="400"/>
        <v>N</v>
      </c>
      <c r="G2177" s="8" t="str">
        <f t="shared" si="401"/>
        <v>N</v>
      </c>
      <c r="H2177" s="8" t="str">
        <f t="shared" si="402"/>
        <v>Lower</v>
      </c>
      <c r="I2177" s="8" t="str">
        <f t="shared" si="403"/>
        <v>Outside</v>
      </c>
      <c r="J2177" s="8" t="str">
        <f t="shared" si="404"/>
        <v>Outside</v>
      </c>
      <c r="K2177" s="8" t="str">
        <f t="shared" si="405"/>
        <v>Riparian</v>
      </c>
      <c r="L2177" s="8">
        <f t="shared" si="406"/>
        <v>1000</v>
      </c>
      <c r="M2177" s="8" t="str">
        <f t="shared" si="408"/>
        <v>-</v>
      </c>
      <c r="N2177" s="10" t="s">
        <v>242</v>
      </c>
      <c r="O2177" s="10" t="s">
        <v>242</v>
      </c>
      <c r="P2177" s="10" t="s">
        <v>242</v>
      </c>
      <c r="Q2177" s="10" t="s">
        <v>242</v>
      </c>
      <c r="R2177" s="10" t="s">
        <v>242</v>
      </c>
      <c r="S2177" s="10" t="s">
        <v>241</v>
      </c>
      <c r="T2177" s="10" t="s">
        <v>242</v>
      </c>
      <c r="U2177" s="10" t="s">
        <v>241</v>
      </c>
      <c r="V2177" s="10" t="s">
        <v>241</v>
      </c>
      <c r="W2177" s="10" t="s">
        <v>242</v>
      </c>
      <c r="X2177" s="15">
        <f>IF(ISERROR(VLOOKUP($A2177,'13. Updated Demand'!A:Z,15,FALSE)),0,VLOOKUP($A2177,'13. Updated Demand'!A:Z,15,FALSE))</f>
        <v>0</v>
      </c>
      <c r="Y2177" s="16">
        <f>IF(ISERROR(VLOOKUP($A2177,'13. Updated Demand'!A:Z,16,FALSE)),0,VLOOKUP($A2177,'13. Updated Demand'!A:Z,16,FALSE))</f>
        <v>0</v>
      </c>
      <c r="Z2177" s="16">
        <f>IF(ISERROR(VLOOKUP($A2177,'13. Updated Demand'!A:Z,17,FALSE)),0,VLOOKUP($A2177,'13. Updated Demand'!A:Z,17,FALSE))</f>
        <v>0</v>
      </c>
      <c r="AA2177" s="16">
        <f>IF(ISERROR(VLOOKUP($A2177,'13. Updated Demand'!A:Z,18,FALSE)),0,VLOOKUP($A2177,'13. Updated Demand'!A:Z,18,FALSE))</f>
        <v>0</v>
      </c>
      <c r="AB2177" s="16">
        <f>IF(ISERROR(VLOOKUP($A2177,'13. Updated Demand'!A:Z,19,FALSE)),0,VLOOKUP($A2177,'13. Updated Demand'!A:Z,19,FALSE))</f>
        <v>0</v>
      </c>
      <c r="AC2177" s="16">
        <f>IF(ISERROR(VLOOKUP($A2177,'13. Updated Demand'!A:Z,20,FALSE)),0,VLOOKUP($A2177,'13. Updated Demand'!A:Z,20,FALSE))</f>
        <v>0</v>
      </c>
      <c r="AD2177" s="16">
        <f>IF(ISERROR(VLOOKUP($A2177,'13. Updated Demand'!A:Z,21,FALSE)),0,VLOOKUP($A2177,'13. Updated Demand'!A:Z,21,FALSE))</f>
        <v>0</v>
      </c>
      <c r="AE2177" s="16">
        <f>IF(ISERROR(VLOOKUP($A2177,'13. Updated Demand'!A:Z,22,FALSE)),0,VLOOKUP($A2177,'13. Updated Demand'!A:Z,22,FALSE))</f>
        <v>0</v>
      </c>
      <c r="AF2177" s="16">
        <f>IF(ISERROR(VLOOKUP($A2177,'13. Updated Demand'!A:Z,23,FALSE)),0,VLOOKUP($A2177,'13. Updated Demand'!A:Z,23,FALSE))</f>
        <v>0</v>
      </c>
      <c r="AG2177" s="16">
        <f>IF(ISERROR(VLOOKUP($A2177,'13. Updated Demand'!A:Z,24,FALSE)),0,VLOOKUP($A2177,'13. Updated Demand'!A:Z,24,FALSE))</f>
        <v>0</v>
      </c>
      <c r="AH2177" s="16">
        <f>IF(ISERROR(VLOOKUP($A2177,'13. Updated Demand'!A:Z,25,FALSE)),0,VLOOKUP($A2177,'13. Updated Demand'!A:Z,25,FALSE))</f>
        <v>0</v>
      </c>
      <c r="AI2177" s="16">
        <f>IF(ISERROR(VLOOKUP($A2177,'13. Updated Demand'!A:Z,26,FALSE)),0,VLOOKUP($A2177,'13. Updated Demand'!A:Z,26,FALSE))</f>
        <v>0</v>
      </c>
      <c r="AJ2177" s="16">
        <f t="shared" si="409"/>
        <v>0</v>
      </c>
      <c r="AK2177" s="19">
        <v>0</v>
      </c>
      <c r="AL2177" s="16">
        <f t="shared" si="407"/>
        <v>0</v>
      </c>
      <c r="AM2177" s="26">
        <v>0</v>
      </c>
      <c r="AN2177" s="19">
        <v>1010.538</v>
      </c>
      <c r="AO2177" s="19" t="s">
        <v>1758</v>
      </c>
      <c r="AP2177" s="19">
        <v>0</v>
      </c>
      <c r="AQ2177" s="19" t="s">
        <v>307</v>
      </c>
      <c r="AR2177" s="9" t="s">
        <v>489</v>
      </c>
      <c r="AS2177" s="12">
        <v>0</v>
      </c>
      <c r="AT2177" s="19">
        <v>38.6599</v>
      </c>
      <c r="AU2177" s="19">
        <v>-122.9337</v>
      </c>
      <c r="AV2177" s="19" t="s">
        <v>932</v>
      </c>
    </row>
    <row r="2178" spans="1:48" x14ac:dyDescent="0.25">
      <c r="A2178" s="18" t="s">
        <v>2625</v>
      </c>
      <c r="B2178" s="10">
        <v>10000000</v>
      </c>
      <c r="C2178" s="9">
        <v>9</v>
      </c>
      <c r="D2178" s="8" t="str">
        <f t="shared" ref="D2178:D2241" si="410">IF(OR(C2178=4,C2178=5,C2178=6),"Y","N")</f>
        <v>N</v>
      </c>
      <c r="E2178" s="8" t="str">
        <f t="shared" ref="E2178:E2241" si="411">IF(AND(C2178&gt;6,C2178&lt;14),"Y","N")</f>
        <v>Y</v>
      </c>
      <c r="F2178" s="8" t="str">
        <f t="shared" ref="F2178:F2241" si="412">IF(C2178&lt;14,"Y","N")</f>
        <v>Y</v>
      </c>
      <c r="G2178" s="8" t="str">
        <f t="shared" ref="G2178:G2241" si="413">IF(OR(C2178=1,AND(C2178&gt;3,C2178&lt;14)),"Y","N")</f>
        <v>Y</v>
      </c>
      <c r="H2178" s="8" t="str">
        <f t="shared" ref="H2178:H2241" si="414">IF(C2178&lt;14,"Upper","Lower")</f>
        <v>Upper</v>
      </c>
      <c r="I2178" s="8" t="str">
        <f t="shared" ref="I2178:I2241" si="415">IF(G2178="Y","West Fork and Below Lake","Outside")</f>
        <v>West Fork and Below Lake</v>
      </c>
      <c r="J2178" s="8" t="str">
        <f t="shared" ref="J2178:J2241" si="416">IF(D2178="Y", "Mendocino (d/s of lake)", IF(E2178="Y", "Sonoma (d/s of Clov. Gage)","Outside"))</f>
        <v>Sonoma (d/s of Clov. Gage)</v>
      </c>
      <c r="K2178" s="8" t="str">
        <f t="shared" ref="K2178:K2241" si="417">IF(P2178="Y","pre-1914",IF(Q2178="Y","Pre-1949",IF(R2178="Y","Post-1949",IF(S2178="Y","Riparian","Unknown"))))</f>
        <v>Riparian</v>
      </c>
      <c r="L2178" s="8">
        <f t="shared" ref="L2178:L2241" si="418">_xlfn.NUMBERVALUE(LEFT(B2178,4))</f>
        <v>1000</v>
      </c>
      <c r="M2178" s="8" t="str">
        <f t="shared" si="408"/>
        <v>-</v>
      </c>
      <c r="N2178" s="10" t="s">
        <v>241</v>
      </c>
      <c r="O2178" s="10" t="s">
        <v>241</v>
      </c>
      <c r="P2178" s="10" t="s">
        <v>242</v>
      </c>
      <c r="Q2178" s="10" t="s">
        <v>242</v>
      </c>
      <c r="R2178" s="10" t="s">
        <v>242</v>
      </c>
      <c r="S2178" s="10" t="s">
        <v>241</v>
      </c>
      <c r="T2178" s="10" t="s">
        <v>242</v>
      </c>
      <c r="U2178" s="10" t="s">
        <v>242</v>
      </c>
      <c r="V2178" s="10" t="s">
        <v>242</v>
      </c>
      <c r="W2178" s="10" t="s">
        <v>242</v>
      </c>
      <c r="X2178" s="15">
        <f>IF(ISERROR(VLOOKUP($A2178,'13. Updated Demand'!A:Z,15,FALSE)),0,VLOOKUP($A2178,'13. Updated Demand'!A:Z,15,FALSE))</f>
        <v>0</v>
      </c>
      <c r="Y2178" s="16">
        <f>IF(ISERROR(VLOOKUP($A2178,'13. Updated Demand'!A:Z,16,FALSE)),0,VLOOKUP($A2178,'13. Updated Demand'!A:Z,16,FALSE))</f>
        <v>0</v>
      </c>
      <c r="Z2178" s="16">
        <f>IF(ISERROR(VLOOKUP($A2178,'13. Updated Demand'!A:Z,17,FALSE)),0,VLOOKUP($A2178,'13. Updated Demand'!A:Z,17,FALSE))</f>
        <v>0</v>
      </c>
      <c r="AA2178" s="16">
        <f>IF(ISERROR(VLOOKUP($A2178,'13. Updated Demand'!A:Z,18,FALSE)),0,VLOOKUP($A2178,'13. Updated Demand'!A:Z,18,FALSE))</f>
        <v>0</v>
      </c>
      <c r="AB2178" s="16">
        <f>IF(ISERROR(VLOOKUP($A2178,'13. Updated Demand'!A:Z,19,FALSE)),0,VLOOKUP($A2178,'13. Updated Demand'!A:Z,19,FALSE))</f>
        <v>0.06</v>
      </c>
      <c r="AC2178" s="16">
        <f>IF(ISERROR(VLOOKUP($A2178,'13. Updated Demand'!A:Z,20,FALSE)),0,VLOOKUP($A2178,'13. Updated Demand'!A:Z,20,FALSE))</f>
        <v>0.66</v>
      </c>
      <c r="AD2178" s="16">
        <f>IF(ISERROR(VLOOKUP($A2178,'13. Updated Demand'!A:Z,21,FALSE)),0,VLOOKUP($A2178,'13. Updated Demand'!A:Z,21,FALSE))</f>
        <v>1.1599999999999999</v>
      </c>
      <c r="AE2178" s="16">
        <f>IF(ISERROR(VLOOKUP($A2178,'13. Updated Demand'!A:Z,22,FALSE)),0,VLOOKUP($A2178,'13. Updated Demand'!A:Z,22,FALSE))</f>
        <v>1.66</v>
      </c>
      <c r="AF2178" s="16">
        <f>IF(ISERROR(VLOOKUP($A2178,'13. Updated Demand'!A:Z,23,FALSE)),0,VLOOKUP($A2178,'13. Updated Demand'!A:Z,23,FALSE))</f>
        <v>2.36</v>
      </c>
      <c r="AG2178" s="16">
        <f>IF(ISERROR(VLOOKUP($A2178,'13. Updated Demand'!A:Z,24,FALSE)),0,VLOOKUP($A2178,'13. Updated Demand'!A:Z,24,FALSE))</f>
        <v>1.21</v>
      </c>
      <c r="AH2178" s="16">
        <f>IF(ISERROR(VLOOKUP($A2178,'13. Updated Demand'!A:Z,25,FALSE)),0,VLOOKUP($A2178,'13. Updated Demand'!A:Z,25,FALSE))</f>
        <v>0.63</v>
      </c>
      <c r="AI2178" s="16">
        <f>IF(ISERROR(VLOOKUP($A2178,'13. Updated Demand'!A:Z,26,FALSE)),0,VLOOKUP($A2178,'13. Updated Demand'!A:Z,26,FALSE))</f>
        <v>0</v>
      </c>
      <c r="AJ2178" s="16">
        <f t="shared" si="409"/>
        <v>7.74</v>
      </c>
      <c r="AK2178" s="19">
        <v>5.92</v>
      </c>
      <c r="AL2178" s="16">
        <f t="shared" ref="AL2178:AL2241" si="419">AK2178/152/1.983471</f>
        <v>1.9635965648629416E-2</v>
      </c>
      <c r="AM2178" s="26">
        <v>1.9318048031466025E-2</v>
      </c>
      <c r="AN2178" s="19">
        <v>402.04199999999997</v>
      </c>
      <c r="AO2178" s="19" t="s">
        <v>1758</v>
      </c>
      <c r="AP2178" s="19">
        <v>0</v>
      </c>
      <c r="AQ2178" s="19" t="s">
        <v>307</v>
      </c>
      <c r="AR2178" s="9" t="s">
        <v>354</v>
      </c>
      <c r="AS2178" s="12">
        <v>3.4039024194010059E-4</v>
      </c>
      <c r="AT2178" s="19">
        <v>38.807499999999997</v>
      </c>
      <c r="AU2178" s="19">
        <v>-123.00020000000001</v>
      </c>
      <c r="AV2178" s="19" t="s">
        <v>387</v>
      </c>
    </row>
    <row r="2179" spans="1:48" x14ac:dyDescent="0.25">
      <c r="A2179" s="18" t="s">
        <v>2626</v>
      </c>
      <c r="B2179" s="10">
        <v>10000000</v>
      </c>
      <c r="C2179" s="9">
        <v>9</v>
      </c>
      <c r="D2179" s="8" t="str">
        <f t="shared" si="410"/>
        <v>N</v>
      </c>
      <c r="E2179" s="8" t="str">
        <f t="shared" si="411"/>
        <v>Y</v>
      </c>
      <c r="F2179" s="8" t="str">
        <f t="shared" si="412"/>
        <v>Y</v>
      </c>
      <c r="G2179" s="8" t="str">
        <f t="shared" si="413"/>
        <v>Y</v>
      </c>
      <c r="H2179" s="8" t="str">
        <f t="shared" si="414"/>
        <v>Upper</v>
      </c>
      <c r="I2179" s="8" t="str">
        <f t="shared" si="415"/>
        <v>West Fork and Below Lake</v>
      </c>
      <c r="J2179" s="8" t="str">
        <f t="shared" si="416"/>
        <v>Sonoma (d/s of Clov. Gage)</v>
      </c>
      <c r="K2179" s="8" t="str">
        <f t="shared" si="417"/>
        <v>Riparian</v>
      </c>
      <c r="L2179" s="8">
        <f t="shared" si="418"/>
        <v>1000</v>
      </c>
      <c r="M2179" s="8" t="str">
        <f t="shared" ref="M2179:M2242" si="420">IF(L2179=1949,"1949",IF(AND(L2179&gt;1949,L2179&lt;1953),"1950-1952",IF(AND(L2179&gt;1952,L2179&lt;1955),"1953-1954",IF(AND(L2179&gt;1954,L2179&lt;1957),"1955-1956",IF(AND(L2179&gt;1956,L2179&lt;1960),"1957-1959",IF(AND(L2179&gt;1959,L2179&lt;1971),"1960-1970",IF(AND(L2179&gt;1970,L2179&lt;1991),"1971-1990",IF(L2179&gt;1990,"1991-present","-"))))))))</f>
        <v>-</v>
      </c>
      <c r="N2179" s="10" t="s">
        <v>241</v>
      </c>
      <c r="O2179" s="10" t="s">
        <v>241</v>
      </c>
      <c r="P2179" s="10" t="s">
        <v>242</v>
      </c>
      <c r="Q2179" s="10" t="s">
        <v>242</v>
      </c>
      <c r="R2179" s="10" t="s">
        <v>242</v>
      </c>
      <c r="S2179" s="10" t="s">
        <v>241</v>
      </c>
      <c r="T2179" s="10" t="s">
        <v>242</v>
      </c>
      <c r="U2179" s="10" t="s">
        <v>241</v>
      </c>
      <c r="V2179" s="10" t="s">
        <v>241</v>
      </c>
      <c r="W2179" s="10" t="s">
        <v>242</v>
      </c>
      <c r="X2179" s="15">
        <f>IF(ISERROR(VLOOKUP($A2179,'13. Updated Demand'!A:Z,15,FALSE)),0,VLOOKUP($A2179,'13. Updated Demand'!A:Z,15,FALSE))</f>
        <v>0</v>
      </c>
      <c r="Y2179" s="16">
        <f>IF(ISERROR(VLOOKUP($A2179,'13. Updated Demand'!A:Z,16,FALSE)),0,VLOOKUP($A2179,'13. Updated Demand'!A:Z,16,FALSE))</f>
        <v>0</v>
      </c>
      <c r="Z2179" s="16">
        <f>IF(ISERROR(VLOOKUP($A2179,'13. Updated Demand'!A:Z,17,FALSE)),0,VLOOKUP($A2179,'13. Updated Demand'!A:Z,17,FALSE))</f>
        <v>0</v>
      </c>
      <c r="AA2179" s="16">
        <f>IF(ISERROR(VLOOKUP($A2179,'13. Updated Demand'!A:Z,18,FALSE)),0,VLOOKUP($A2179,'13. Updated Demand'!A:Z,18,FALSE))</f>
        <v>0</v>
      </c>
      <c r="AB2179" s="16">
        <f>IF(ISERROR(VLOOKUP($A2179,'13. Updated Demand'!A:Z,19,FALSE)),0,VLOOKUP($A2179,'13. Updated Demand'!A:Z,19,FALSE))</f>
        <v>0</v>
      </c>
      <c r="AC2179" s="16">
        <f>IF(ISERROR(VLOOKUP($A2179,'13. Updated Demand'!A:Z,20,FALSE)),0,VLOOKUP($A2179,'13. Updated Demand'!A:Z,20,FALSE))</f>
        <v>0</v>
      </c>
      <c r="AD2179" s="16">
        <f>IF(ISERROR(VLOOKUP($A2179,'13. Updated Demand'!A:Z,21,FALSE)),0,VLOOKUP($A2179,'13. Updated Demand'!A:Z,21,FALSE))</f>
        <v>0</v>
      </c>
      <c r="AE2179" s="16">
        <f>IF(ISERROR(VLOOKUP($A2179,'13. Updated Demand'!A:Z,22,FALSE)),0,VLOOKUP($A2179,'13. Updated Demand'!A:Z,22,FALSE))</f>
        <v>0</v>
      </c>
      <c r="AF2179" s="16">
        <f>IF(ISERROR(VLOOKUP($A2179,'13. Updated Demand'!A:Z,23,FALSE)),0,VLOOKUP($A2179,'13. Updated Demand'!A:Z,23,FALSE))</f>
        <v>0</v>
      </c>
      <c r="AG2179" s="16">
        <f>IF(ISERROR(VLOOKUP($A2179,'13. Updated Demand'!A:Z,24,FALSE)),0,VLOOKUP($A2179,'13. Updated Demand'!A:Z,24,FALSE))</f>
        <v>0</v>
      </c>
      <c r="AH2179" s="16">
        <f>IF(ISERROR(VLOOKUP($A2179,'13. Updated Demand'!A:Z,25,FALSE)),0,VLOOKUP($A2179,'13. Updated Demand'!A:Z,25,FALSE))</f>
        <v>0</v>
      </c>
      <c r="AI2179" s="16">
        <f>IF(ISERROR(VLOOKUP($A2179,'13. Updated Demand'!A:Z,26,FALSE)),0,VLOOKUP($A2179,'13. Updated Demand'!A:Z,26,FALSE))</f>
        <v>0</v>
      </c>
      <c r="AJ2179" s="16">
        <f t="shared" si="409"/>
        <v>0</v>
      </c>
      <c r="AK2179" s="19">
        <v>0</v>
      </c>
      <c r="AL2179" s="16">
        <f t="shared" si="419"/>
        <v>0</v>
      </c>
      <c r="AM2179" s="26">
        <v>0</v>
      </c>
      <c r="AN2179" s="19">
        <v>322.358</v>
      </c>
      <c r="AO2179" s="19" t="s">
        <v>1758</v>
      </c>
      <c r="AP2179" s="19">
        <v>0</v>
      </c>
      <c r="AQ2179" s="19" t="s">
        <v>307</v>
      </c>
      <c r="AR2179" s="9" t="s">
        <v>354</v>
      </c>
      <c r="AS2179" s="12">
        <v>3.4039024194010059E-4</v>
      </c>
      <c r="AT2179" s="19">
        <v>38.807899999999997</v>
      </c>
      <c r="AU2179" s="19">
        <v>-122.99809999999999</v>
      </c>
      <c r="AV2179" s="19" t="s">
        <v>387</v>
      </c>
    </row>
    <row r="2180" spans="1:48" x14ac:dyDescent="0.25">
      <c r="A2180" s="18" t="s">
        <v>2627</v>
      </c>
      <c r="B2180" s="10">
        <v>10000000</v>
      </c>
      <c r="C2180" s="9">
        <v>9</v>
      </c>
      <c r="D2180" s="8" t="str">
        <f t="shared" si="410"/>
        <v>N</v>
      </c>
      <c r="E2180" s="8" t="str">
        <f t="shared" si="411"/>
        <v>Y</v>
      </c>
      <c r="F2180" s="8" t="str">
        <f t="shared" si="412"/>
        <v>Y</v>
      </c>
      <c r="G2180" s="8" t="str">
        <f t="shared" si="413"/>
        <v>Y</v>
      </c>
      <c r="H2180" s="8" t="str">
        <f t="shared" si="414"/>
        <v>Upper</v>
      </c>
      <c r="I2180" s="8" t="str">
        <f t="shared" si="415"/>
        <v>West Fork and Below Lake</v>
      </c>
      <c r="J2180" s="8" t="str">
        <f t="shared" si="416"/>
        <v>Sonoma (d/s of Clov. Gage)</v>
      </c>
      <c r="K2180" s="8" t="str">
        <f t="shared" si="417"/>
        <v>Riparian</v>
      </c>
      <c r="L2180" s="8">
        <f t="shared" si="418"/>
        <v>1000</v>
      </c>
      <c r="M2180" s="8" t="str">
        <f t="shared" si="420"/>
        <v>-</v>
      </c>
      <c r="N2180" s="10" t="s">
        <v>241</v>
      </c>
      <c r="O2180" s="10" t="s">
        <v>241</v>
      </c>
      <c r="P2180" s="10" t="s">
        <v>242</v>
      </c>
      <c r="Q2180" s="10" t="s">
        <v>242</v>
      </c>
      <c r="R2180" s="10" t="s">
        <v>242</v>
      </c>
      <c r="S2180" s="10" t="s">
        <v>241</v>
      </c>
      <c r="T2180" s="10" t="s">
        <v>242</v>
      </c>
      <c r="U2180" s="10" t="s">
        <v>241</v>
      </c>
      <c r="V2180" s="10" t="s">
        <v>241</v>
      </c>
      <c r="W2180" s="10" t="s">
        <v>242</v>
      </c>
      <c r="X2180" s="15">
        <f>IF(ISERROR(VLOOKUP($A2180,'13. Updated Demand'!A:Z,15,FALSE)),0,VLOOKUP($A2180,'13. Updated Demand'!A:Z,15,FALSE))</f>
        <v>0</v>
      </c>
      <c r="Y2180" s="16">
        <f>IF(ISERROR(VLOOKUP($A2180,'13. Updated Demand'!A:Z,16,FALSE)),0,VLOOKUP($A2180,'13. Updated Demand'!A:Z,16,FALSE))</f>
        <v>0</v>
      </c>
      <c r="Z2180" s="16">
        <f>IF(ISERROR(VLOOKUP($A2180,'13. Updated Demand'!A:Z,17,FALSE)),0,VLOOKUP($A2180,'13. Updated Demand'!A:Z,17,FALSE))</f>
        <v>0</v>
      </c>
      <c r="AA2180" s="16">
        <f>IF(ISERROR(VLOOKUP($A2180,'13. Updated Demand'!A:Z,18,FALSE)),0,VLOOKUP($A2180,'13. Updated Demand'!A:Z,18,FALSE))</f>
        <v>0</v>
      </c>
      <c r="AB2180" s="16">
        <f>IF(ISERROR(VLOOKUP($A2180,'13. Updated Demand'!A:Z,19,FALSE)),0,VLOOKUP($A2180,'13. Updated Demand'!A:Z,19,FALSE))</f>
        <v>0</v>
      </c>
      <c r="AC2180" s="16">
        <f>IF(ISERROR(VLOOKUP($A2180,'13. Updated Demand'!A:Z,20,FALSE)),0,VLOOKUP($A2180,'13. Updated Demand'!A:Z,20,FALSE))</f>
        <v>0</v>
      </c>
      <c r="AD2180" s="16">
        <f>IF(ISERROR(VLOOKUP($A2180,'13. Updated Demand'!A:Z,21,FALSE)),0,VLOOKUP($A2180,'13. Updated Demand'!A:Z,21,FALSE))</f>
        <v>0</v>
      </c>
      <c r="AE2180" s="16">
        <f>IF(ISERROR(VLOOKUP($A2180,'13. Updated Demand'!A:Z,22,FALSE)),0,VLOOKUP($A2180,'13. Updated Demand'!A:Z,22,FALSE))</f>
        <v>0</v>
      </c>
      <c r="AF2180" s="16">
        <f>IF(ISERROR(VLOOKUP($A2180,'13. Updated Demand'!A:Z,23,FALSE)),0,VLOOKUP($A2180,'13. Updated Demand'!A:Z,23,FALSE))</f>
        <v>0</v>
      </c>
      <c r="AG2180" s="16">
        <f>IF(ISERROR(VLOOKUP($A2180,'13. Updated Demand'!A:Z,24,FALSE)),0,VLOOKUP($A2180,'13. Updated Demand'!A:Z,24,FALSE))</f>
        <v>0</v>
      </c>
      <c r="AH2180" s="16">
        <f>IF(ISERROR(VLOOKUP($A2180,'13. Updated Demand'!A:Z,25,FALSE)),0,VLOOKUP($A2180,'13. Updated Demand'!A:Z,25,FALSE))</f>
        <v>0</v>
      </c>
      <c r="AI2180" s="16">
        <f>IF(ISERROR(VLOOKUP($A2180,'13. Updated Demand'!A:Z,26,FALSE)),0,VLOOKUP($A2180,'13. Updated Demand'!A:Z,26,FALSE))</f>
        <v>0</v>
      </c>
      <c r="AJ2180" s="16">
        <f t="shared" si="409"/>
        <v>0</v>
      </c>
      <c r="AK2180" s="19">
        <v>0</v>
      </c>
      <c r="AL2180" s="16">
        <f t="shared" si="419"/>
        <v>0</v>
      </c>
      <c r="AM2180" s="26">
        <v>0</v>
      </c>
      <c r="AN2180" s="19">
        <v>32.597999999999999</v>
      </c>
      <c r="AO2180" s="19" t="s">
        <v>1758</v>
      </c>
      <c r="AP2180" s="19">
        <v>0</v>
      </c>
      <c r="AQ2180" s="19" t="s">
        <v>307</v>
      </c>
      <c r="AR2180" s="9" t="s">
        <v>354</v>
      </c>
      <c r="AS2180" s="12">
        <v>3.4039024194010059E-4</v>
      </c>
      <c r="AT2180" s="19">
        <v>38.808799999999998</v>
      </c>
      <c r="AU2180" s="19">
        <v>-122.9974</v>
      </c>
      <c r="AV2180" s="19" t="s">
        <v>387</v>
      </c>
    </row>
    <row r="2181" spans="1:48" x14ac:dyDescent="0.25">
      <c r="A2181" s="18" t="s">
        <v>2628</v>
      </c>
      <c r="B2181" s="10">
        <v>10000000</v>
      </c>
      <c r="C2181" s="9">
        <v>5</v>
      </c>
      <c r="D2181" s="8" t="str">
        <f t="shared" si="410"/>
        <v>Y</v>
      </c>
      <c r="E2181" s="8" t="str">
        <f t="shared" si="411"/>
        <v>N</v>
      </c>
      <c r="F2181" s="8" t="str">
        <f t="shared" si="412"/>
        <v>Y</v>
      </c>
      <c r="G2181" s="8" t="str">
        <f t="shared" si="413"/>
        <v>Y</v>
      </c>
      <c r="H2181" s="8" t="str">
        <f t="shared" si="414"/>
        <v>Upper</v>
      </c>
      <c r="I2181" s="8" t="str">
        <f t="shared" si="415"/>
        <v>West Fork and Below Lake</v>
      </c>
      <c r="J2181" s="8" t="str">
        <f t="shared" si="416"/>
        <v>Mendocino (d/s of lake)</v>
      </c>
      <c r="K2181" s="8" t="str">
        <f t="shared" si="417"/>
        <v>Riparian</v>
      </c>
      <c r="L2181" s="8">
        <f t="shared" si="418"/>
        <v>1000</v>
      </c>
      <c r="M2181" s="8" t="str">
        <f t="shared" si="420"/>
        <v>-</v>
      </c>
      <c r="N2181" s="10" t="s">
        <v>242</v>
      </c>
      <c r="O2181" s="10" t="s">
        <v>241</v>
      </c>
      <c r="P2181" s="10" t="s">
        <v>242</v>
      </c>
      <c r="Q2181" s="10" t="s">
        <v>242</v>
      </c>
      <c r="R2181" s="10" t="s">
        <v>242</v>
      </c>
      <c r="S2181" s="10" t="s">
        <v>241</v>
      </c>
      <c r="T2181" s="10" t="s">
        <v>242</v>
      </c>
      <c r="U2181" s="10" t="s">
        <v>242</v>
      </c>
      <c r="V2181" s="10" t="s">
        <v>242</v>
      </c>
      <c r="W2181" s="10" t="s">
        <v>242</v>
      </c>
      <c r="X2181" s="15">
        <f>IF(ISERROR(VLOOKUP($A2181,'13. Updated Demand'!A:Z,15,FALSE)),0,VLOOKUP($A2181,'13. Updated Demand'!A:Z,15,FALSE))</f>
        <v>1.66</v>
      </c>
      <c r="Y2181" s="16">
        <f>IF(ISERROR(VLOOKUP($A2181,'13. Updated Demand'!A:Z,16,FALSE)),0,VLOOKUP($A2181,'13. Updated Demand'!A:Z,16,FALSE))</f>
        <v>2.66</v>
      </c>
      <c r="Z2181" s="16">
        <f>IF(ISERROR(VLOOKUP($A2181,'13. Updated Demand'!A:Z,17,FALSE)),0,VLOOKUP($A2181,'13. Updated Demand'!A:Z,17,FALSE))</f>
        <v>1.33</v>
      </c>
      <c r="AA2181" s="16">
        <f>IF(ISERROR(VLOOKUP($A2181,'13. Updated Demand'!A:Z,18,FALSE)),0,VLOOKUP($A2181,'13. Updated Demand'!A:Z,18,FALSE))</f>
        <v>0</v>
      </c>
      <c r="AB2181" s="16">
        <f>IF(ISERROR(VLOOKUP($A2181,'13. Updated Demand'!A:Z,19,FALSE)),0,VLOOKUP($A2181,'13. Updated Demand'!A:Z,19,FALSE))</f>
        <v>0</v>
      </c>
      <c r="AC2181" s="16">
        <f>IF(ISERROR(VLOOKUP($A2181,'13. Updated Demand'!A:Z,20,FALSE)),0,VLOOKUP($A2181,'13. Updated Demand'!A:Z,20,FALSE))</f>
        <v>0.66</v>
      </c>
      <c r="AD2181" s="16">
        <f>IF(ISERROR(VLOOKUP($A2181,'13. Updated Demand'!A:Z,21,FALSE)),0,VLOOKUP($A2181,'13. Updated Demand'!A:Z,21,FALSE))</f>
        <v>0.33</v>
      </c>
      <c r="AE2181" s="16">
        <f>IF(ISERROR(VLOOKUP($A2181,'13. Updated Demand'!A:Z,22,FALSE)),0,VLOOKUP($A2181,'13. Updated Demand'!A:Z,22,FALSE))</f>
        <v>0</v>
      </c>
      <c r="AF2181" s="16">
        <f>IF(ISERROR(VLOOKUP($A2181,'13. Updated Demand'!A:Z,23,FALSE)),0,VLOOKUP($A2181,'13. Updated Demand'!A:Z,23,FALSE))</f>
        <v>0</v>
      </c>
      <c r="AG2181" s="16">
        <f>IF(ISERROR(VLOOKUP($A2181,'13. Updated Demand'!A:Z,24,FALSE)),0,VLOOKUP($A2181,'13. Updated Demand'!A:Z,24,FALSE))</f>
        <v>0</v>
      </c>
      <c r="AH2181" s="16">
        <f>IF(ISERROR(VLOOKUP($A2181,'13. Updated Demand'!A:Z,25,FALSE)),0,VLOOKUP($A2181,'13. Updated Demand'!A:Z,25,FALSE))</f>
        <v>1.33</v>
      </c>
      <c r="AI2181" s="16">
        <f>IF(ISERROR(VLOOKUP($A2181,'13. Updated Demand'!A:Z,26,FALSE)),0,VLOOKUP($A2181,'13. Updated Demand'!A:Z,26,FALSE))</f>
        <v>0.66</v>
      </c>
      <c r="AJ2181" s="16">
        <f t="shared" si="409"/>
        <v>8.6300000000000008</v>
      </c>
      <c r="AK2181" s="19">
        <v>1</v>
      </c>
      <c r="AL2181" s="16">
        <f t="shared" si="419"/>
        <v>3.3168860892955087E-3</v>
      </c>
      <c r="AM2181" s="26">
        <v>0</v>
      </c>
      <c r="AN2181" s="19">
        <v>0</v>
      </c>
      <c r="AO2181" s="19" t="s">
        <v>1758</v>
      </c>
      <c r="AP2181" s="19">
        <v>0</v>
      </c>
      <c r="AQ2181" s="19" t="s">
        <v>307</v>
      </c>
      <c r="AR2181" s="9" t="s">
        <v>333</v>
      </c>
      <c r="AS2181" s="12">
        <v>0</v>
      </c>
      <c r="AT2181" s="19">
        <v>39.083300000000001</v>
      </c>
      <c r="AU2181" s="19">
        <v>-123.15</v>
      </c>
      <c r="AV2181" s="19" t="s">
        <v>2629</v>
      </c>
    </row>
    <row r="2182" spans="1:48" x14ac:dyDescent="0.25">
      <c r="A2182" s="18" t="s">
        <v>2630</v>
      </c>
      <c r="B2182" s="10">
        <v>10000000</v>
      </c>
      <c r="C2182" s="9">
        <v>5</v>
      </c>
      <c r="D2182" s="8" t="str">
        <f t="shared" si="410"/>
        <v>Y</v>
      </c>
      <c r="E2182" s="8" t="str">
        <f t="shared" si="411"/>
        <v>N</v>
      </c>
      <c r="F2182" s="8" t="str">
        <f t="shared" si="412"/>
        <v>Y</v>
      </c>
      <c r="G2182" s="8" t="str">
        <f t="shared" si="413"/>
        <v>Y</v>
      </c>
      <c r="H2182" s="8" t="str">
        <f t="shared" si="414"/>
        <v>Upper</v>
      </c>
      <c r="I2182" s="8" t="str">
        <f t="shared" si="415"/>
        <v>West Fork and Below Lake</v>
      </c>
      <c r="J2182" s="8" t="str">
        <f t="shared" si="416"/>
        <v>Mendocino (d/s of lake)</v>
      </c>
      <c r="K2182" s="8" t="str">
        <f t="shared" si="417"/>
        <v>Riparian</v>
      </c>
      <c r="L2182" s="8">
        <f t="shared" si="418"/>
        <v>1000</v>
      </c>
      <c r="M2182" s="8" t="str">
        <f t="shared" si="420"/>
        <v>-</v>
      </c>
      <c r="N2182" s="10" t="s">
        <v>242</v>
      </c>
      <c r="O2182" s="10" t="s">
        <v>241</v>
      </c>
      <c r="P2182" s="10" t="s">
        <v>242</v>
      </c>
      <c r="Q2182" s="10" t="s">
        <v>242</v>
      </c>
      <c r="R2182" s="10" t="s">
        <v>242</v>
      </c>
      <c r="S2182" s="10" t="s">
        <v>241</v>
      </c>
      <c r="T2182" s="10" t="s">
        <v>242</v>
      </c>
      <c r="U2182" s="10" t="s">
        <v>242</v>
      </c>
      <c r="V2182" s="10" t="s">
        <v>241</v>
      </c>
      <c r="W2182" s="10" t="s">
        <v>242</v>
      </c>
      <c r="X2182" s="15">
        <f>IF(ISERROR(VLOOKUP($A2182,'13. Updated Demand'!A:Z,15,FALSE)),0,VLOOKUP($A2182,'13. Updated Demand'!A:Z,15,FALSE))</f>
        <v>3.66</v>
      </c>
      <c r="Y2182" s="16">
        <f>IF(ISERROR(VLOOKUP($A2182,'13. Updated Demand'!A:Z,16,FALSE)),0,VLOOKUP($A2182,'13. Updated Demand'!A:Z,16,FALSE))</f>
        <v>3.66</v>
      </c>
      <c r="Z2182" s="16">
        <f>IF(ISERROR(VLOOKUP($A2182,'13. Updated Demand'!A:Z,17,FALSE)),0,VLOOKUP($A2182,'13. Updated Demand'!A:Z,17,FALSE))</f>
        <v>2</v>
      </c>
      <c r="AA2182" s="16">
        <f>IF(ISERROR(VLOOKUP($A2182,'13. Updated Demand'!A:Z,18,FALSE)),0,VLOOKUP($A2182,'13. Updated Demand'!A:Z,18,FALSE))</f>
        <v>0</v>
      </c>
      <c r="AB2182" s="16">
        <f>IF(ISERROR(VLOOKUP($A2182,'13. Updated Demand'!A:Z,19,FALSE)),0,VLOOKUP($A2182,'13. Updated Demand'!A:Z,19,FALSE))</f>
        <v>0</v>
      </c>
      <c r="AC2182" s="16">
        <f>IF(ISERROR(VLOOKUP($A2182,'13. Updated Demand'!A:Z,20,FALSE)),0,VLOOKUP($A2182,'13. Updated Demand'!A:Z,20,FALSE))</f>
        <v>0</v>
      </c>
      <c r="AD2182" s="16">
        <f>IF(ISERROR(VLOOKUP($A2182,'13. Updated Demand'!A:Z,21,FALSE)),0,VLOOKUP($A2182,'13. Updated Demand'!A:Z,21,FALSE))</f>
        <v>0</v>
      </c>
      <c r="AE2182" s="16">
        <f>IF(ISERROR(VLOOKUP($A2182,'13. Updated Demand'!A:Z,22,FALSE)),0,VLOOKUP($A2182,'13. Updated Demand'!A:Z,22,FALSE))</f>
        <v>0</v>
      </c>
      <c r="AF2182" s="16">
        <f>IF(ISERROR(VLOOKUP($A2182,'13. Updated Demand'!A:Z,23,FALSE)),0,VLOOKUP($A2182,'13. Updated Demand'!A:Z,23,FALSE))</f>
        <v>0</v>
      </c>
      <c r="AG2182" s="16">
        <f>IF(ISERROR(VLOOKUP($A2182,'13. Updated Demand'!A:Z,24,FALSE)),0,VLOOKUP($A2182,'13. Updated Demand'!A:Z,24,FALSE))</f>
        <v>0</v>
      </c>
      <c r="AH2182" s="16">
        <f>IF(ISERROR(VLOOKUP($A2182,'13. Updated Demand'!A:Z,25,FALSE)),0,VLOOKUP($A2182,'13. Updated Demand'!A:Z,25,FALSE))</f>
        <v>0</v>
      </c>
      <c r="AI2182" s="16">
        <f>IF(ISERROR(VLOOKUP($A2182,'13. Updated Demand'!A:Z,26,FALSE)),0,VLOOKUP($A2182,'13. Updated Demand'!A:Z,26,FALSE))</f>
        <v>2.33</v>
      </c>
      <c r="AJ2182" s="16">
        <f t="shared" si="409"/>
        <v>11.65</v>
      </c>
      <c r="AK2182" s="19">
        <v>0</v>
      </c>
      <c r="AL2182" s="16">
        <f t="shared" si="419"/>
        <v>0</v>
      </c>
      <c r="AM2182" s="26">
        <v>0.23333333333999998</v>
      </c>
      <c r="AN2182" s="19">
        <v>50</v>
      </c>
      <c r="AO2182" s="19" t="s">
        <v>1758</v>
      </c>
      <c r="AP2182" s="19">
        <v>0</v>
      </c>
      <c r="AQ2182" s="19" t="s">
        <v>307</v>
      </c>
      <c r="AR2182" s="9" t="s">
        <v>333</v>
      </c>
      <c r="AS2182" s="12">
        <v>0</v>
      </c>
      <c r="AT2182" s="19">
        <v>39.087200000000003</v>
      </c>
      <c r="AU2182" s="19">
        <v>-123.1431</v>
      </c>
      <c r="AV2182" s="19" t="s">
        <v>2631</v>
      </c>
    </row>
    <row r="2183" spans="1:48" x14ac:dyDescent="0.25">
      <c r="A2183" s="18" t="s">
        <v>2632</v>
      </c>
      <c r="B2183" s="10">
        <v>10000000</v>
      </c>
      <c r="C2183" s="9">
        <v>5</v>
      </c>
      <c r="D2183" s="8" t="str">
        <f t="shared" si="410"/>
        <v>Y</v>
      </c>
      <c r="E2183" s="8" t="str">
        <f t="shared" si="411"/>
        <v>N</v>
      </c>
      <c r="F2183" s="8" t="str">
        <f t="shared" si="412"/>
        <v>Y</v>
      </c>
      <c r="G2183" s="8" t="str">
        <f t="shared" si="413"/>
        <v>Y</v>
      </c>
      <c r="H2183" s="8" t="str">
        <f t="shared" si="414"/>
        <v>Upper</v>
      </c>
      <c r="I2183" s="8" t="str">
        <f t="shared" si="415"/>
        <v>West Fork and Below Lake</v>
      </c>
      <c r="J2183" s="8" t="str">
        <f t="shared" si="416"/>
        <v>Mendocino (d/s of lake)</v>
      </c>
      <c r="K2183" s="8" t="str">
        <f t="shared" si="417"/>
        <v>Riparian</v>
      </c>
      <c r="L2183" s="8">
        <f t="shared" si="418"/>
        <v>1000</v>
      </c>
      <c r="M2183" s="8" t="str">
        <f t="shared" si="420"/>
        <v>-</v>
      </c>
      <c r="N2183" s="10" t="s">
        <v>242</v>
      </c>
      <c r="O2183" s="10" t="s">
        <v>241</v>
      </c>
      <c r="P2183" s="10" t="s">
        <v>242</v>
      </c>
      <c r="Q2183" s="10" t="s">
        <v>242</v>
      </c>
      <c r="R2183" s="10" t="s">
        <v>242</v>
      </c>
      <c r="S2183" s="10" t="s">
        <v>241</v>
      </c>
      <c r="T2183" s="10" t="s">
        <v>242</v>
      </c>
      <c r="U2183" s="10" t="s">
        <v>242</v>
      </c>
      <c r="V2183" s="10" t="s">
        <v>241</v>
      </c>
      <c r="W2183" s="10" t="s">
        <v>242</v>
      </c>
      <c r="X2183" s="15">
        <f>IF(ISERROR(VLOOKUP($A2183,'13. Updated Demand'!A:Z,15,FALSE)),0,VLOOKUP($A2183,'13. Updated Demand'!A:Z,15,FALSE))</f>
        <v>3.33</v>
      </c>
      <c r="Y2183" s="16">
        <f>IF(ISERROR(VLOOKUP($A2183,'13. Updated Demand'!A:Z,16,FALSE)),0,VLOOKUP($A2183,'13. Updated Demand'!A:Z,16,FALSE))</f>
        <v>1.66</v>
      </c>
      <c r="Z2183" s="16">
        <f>IF(ISERROR(VLOOKUP($A2183,'13. Updated Demand'!A:Z,17,FALSE)),0,VLOOKUP($A2183,'13. Updated Demand'!A:Z,17,FALSE))</f>
        <v>1.66</v>
      </c>
      <c r="AA2183" s="16">
        <f>IF(ISERROR(VLOOKUP($A2183,'13. Updated Demand'!A:Z,18,FALSE)),0,VLOOKUP($A2183,'13. Updated Demand'!A:Z,18,FALSE))</f>
        <v>0</v>
      </c>
      <c r="AB2183" s="16">
        <f>IF(ISERROR(VLOOKUP($A2183,'13. Updated Demand'!A:Z,19,FALSE)),0,VLOOKUP($A2183,'13. Updated Demand'!A:Z,19,FALSE))</f>
        <v>0</v>
      </c>
      <c r="AC2183" s="16">
        <f>IF(ISERROR(VLOOKUP($A2183,'13. Updated Demand'!A:Z,20,FALSE)),0,VLOOKUP($A2183,'13. Updated Demand'!A:Z,20,FALSE))</f>
        <v>0</v>
      </c>
      <c r="AD2183" s="16">
        <f>IF(ISERROR(VLOOKUP($A2183,'13. Updated Demand'!A:Z,21,FALSE)),0,VLOOKUP($A2183,'13. Updated Demand'!A:Z,21,FALSE))</f>
        <v>0</v>
      </c>
      <c r="AE2183" s="16">
        <f>IF(ISERROR(VLOOKUP($A2183,'13. Updated Demand'!A:Z,22,FALSE)),0,VLOOKUP($A2183,'13. Updated Demand'!A:Z,22,FALSE))</f>
        <v>0</v>
      </c>
      <c r="AF2183" s="16">
        <f>IF(ISERROR(VLOOKUP($A2183,'13. Updated Demand'!A:Z,23,FALSE)),0,VLOOKUP($A2183,'13. Updated Demand'!A:Z,23,FALSE))</f>
        <v>0</v>
      </c>
      <c r="AG2183" s="16">
        <f>IF(ISERROR(VLOOKUP($A2183,'13. Updated Demand'!A:Z,24,FALSE)),0,VLOOKUP($A2183,'13. Updated Demand'!A:Z,24,FALSE))</f>
        <v>0</v>
      </c>
      <c r="AH2183" s="16">
        <f>IF(ISERROR(VLOOKUP($A2183,'13. Updated Demand'!A:Z,25,FALSE)),0,VLOOKUP($A2183,'13. Updated Demand'!A:Z,25,FALSE))</f>
        <v>3</v>
      </c>
      <c r="AI2183" s="16">
        <f>IF(ISERROR(VLOOKUP($A2183,'13. Updated Demand'!A:Z,26,FALSE)),0,VLOOKUP($A2183,'13. Updated Demand'!A:Z,26,FALSE))</f>
        <v>3</v>
      </c>
      <c r="AJ2183" s="16">
        <f t="shared" si="409"/>
        <v>12.65</v>
      </c>
      <c r="AK2183" s="19">
        <v>0</v>
      </c>
      <c r="AL2183" s="16">
        <f t="shared" si="419"/>
        <v>0</v>
      </c>
      <c r="AM2183" s="26">
        <v>0</v>
      </c>
      <c r="AN2183" s="19">
        <v>0</v>
      </c>
      <c r="AO2183" s="19" t="s">
        <v>1758</v>
      </c>
      <c r="AP2183" s="19">
        <v>0</v>
      </c>
      <c r="AQ2183" s="19" t="s">
        <v>307</v>
      </c>
      <c r="AR2183" s="9" t="s">
        <v>333</v>
      </c>
      <c r="AS2183" s="12">
        <v>0</v>
      </c>
      <c r="AT2183" s="19">
        <v>39.088000000000001</v>
      </c>
      <c r="AU2183" s="19">
        <v>-123.1378</v>
      </c>
      <c r="AV2183" s="19" t="s">
        <v>2633</v>
      </c>
    </row>
    <row r="2184" spans="1:48" x14ac:dyDescent="0.25">
      <c r="A2184" s="18" t="s">
        <v>2634</v>
      </c>
      <c r="B2184" s="10">
        <v>10000000</v>
      </c>
      <c r="C2184" s="9">
        <v>13</v>
      </c>
      <c r="D2184" s="8" t="str">
        <f t="shared" si="410"/>
        <v>N</v>
      </c>
      <c r="E2184" s="8" t="str">
        <f t="shared" si="411"/>
        <v>Y</v>
      </c>
      <c r="F2184" s="8" t="str">
        <f t="shared" si="412"/>
        <v>Y</v>
      </c>
      <c r="G2184" s="8" t="str">
        <f t="shared" si="413"/>
        <v>Y</v>
      </c>
      <c r="H2184" s="8" t="str">
        <f t="shared" si="414"/>
        <v>Upper</v>
      </c>
      <c r="I2184" s="8" t="str">
        <f t="shared" si="415"/>
        <v>West Fork and Below Lake</v>
      </c>
      <c r="J2184" s="8" t="str">
        <f t="shared" si="416"/>
        <v>Sonoma (d/s of Clov. Gage)</v>
      </c>
      <c r="K2184" s="8" t="str">
        <f t="shared" si="417"/>
        <v>Riparian</v>
      </c>
      <c r="L2184" s="8">
        <f t="shared" si="418"/>
        <v>1000</v>
      </c>
      <c r="M2184" s="8" t="str">
        <f t="shared" si="420"/>
        <v>-</v>
      </c>
      <c r="N2184" s="10" t="s">
        <v>241</v>
      </c>
      <c r="O2184" s="10" t="s">
        <v>241</v>
      </c>
      <c r="P2184" s="10" t="s">
        <v>242</v>
      </c>
      <c r="Q2184" s="10" t="s">
        <v>242</v>
      </c>
      <c r="R2184" s="10" t="s">
        <v>242</v>
      </c>
      <c r="S2184" s="10" t="s">
        <v>241</v>
      </c>
      <c r="T2184" s="10" t="s">
        <v>242</v>
      </c>
      <c r="U2184" s="10" t="s">
        <v>242</v>
      </c>
      <c r="V2184" s="10" t="s">
        <v>242</v>
      </c>
      <c r="W2184" s="10" t="s">
        <v>242</v>
      </c>
      <c r="X2184" s="15">
        <f>IF(ISERROR(VLOOKUP($A2184,'13. Updated Demand'!A:Z,15,FALSE)),0,VLOOKUP($A2184,'13. Updated Demand'!A:Z,15,FALSE))</f>
        <v>3.33333333333333E-4</v>
      </c>
      <c r="Y2184" s="16">
        <f>IF(ISERROR(VLOOKUP($A2184,'13. Updated Demand'!A:Z,16,FALSE)),0,VLOOKUP($A2184,'13. Updated Demand'!A:Z,16,FALSE))</f>
        <v>3.33333333333333E-4</v>
      </c>
      <c r="Z2184" s="16">
        <f>IF(ISERROR(VLOOKUP($A2184,'13. Updated Demand'!A:Z,17,FALSE)),0,VLOOKUP($A2184,'13. Updated Demand'!A:Z,17,FALSE))</f>
        <v>3.33333333333333E-4</v>
      </c>
      <c r="AA2184" s="16">
        <f>IF(ISERROR(VLOOKUP($A2184,'13. Updated Demand'!A:Z,18,FALSE)),0,VLOOKUP($A2184,'13. Updated Demand'!A:Z,18,FALSE))</f>
        <v>3.33333333333333E-4</v>
      </c>
      <c r="AB2184" s="16">
        <f>IF(ISERROR(VLOOKUP($A2184,'13. Updated Demand'!A:Z,19,FALSE)),0,VLOOKUP($A2184,'13. Updated Demand'!A:Z,19,FALSE))</f>
        <v>3.33333333333333E-4</v>
      </c>
      <c r="AC2184" s="16">
        <f>IF(ISERROR(VLOOKUP($A2184,'13. Updated Demand'!A:Z,20,FALSE)),0,VLOOKUP($A2184,'13. Updated Demand'!A:Z,20,FALSE))</f>
        <v>3.33333333333333E-4</v>
      </c>
      <c r="AD2184" s="16">
        <f>IF(ISERROR(VLOOKUP($A2184,'13. Updated Demand'!A:Z,21,FALSE)),0,VLOOKUP($A2184,'13. Updated Demand'!A:Z,21,FALSE))</f>
        <v>3.33333333333333E-4</v>
      </c>
      <c r="AE2184" s="16">
        <f>IF(ISERROR(VLOOKUP($A2184,'13. Updated Demand'!A:Z,22,FALSE)),0,VLOOKUP($A2184,'13. Updated Demand'!A:Z,22,FALSE))</f>
        <v>3.33333333333333E-4</v>
      </c>
      <c r="AF2184" s="16">
        <f>IF(ISERROR(VLOOKUP($A2184,'13. Updated Demand'!A:Z,23,FALSE)),0,VLOOKUP($A2184,'13. Updated Demand'!A:Z,23,FALSE))</f>
        <v>3.33333333333333E-4</v>
      </c>
      <c r="AG2184" s="16">
        <f>IF(ISERROR(VLOOKUP($A2184,'13. Updated Demand'!A:Z,24,FALSE)),0,VLOOKUP($A2184,'13. Updated Demand'!A:Z,24,FALSE))</f>
        <v>3.33333333333333E-4</v>
      </c>
      <c r="AH2184" s="16">
        <f>IF(ISERROR(VLOOKUP($A2184,'13. Updated Demand'!A:Z,25,FALSE)),0,VLOOKUP($A2184,'13. Updated Demand'!A:Z,25,FALSE))</f>
        <v>3.33333333333333E-4</v>
      </c>
      <c r="AI2184" s="16">
        <f>IF(ISERROR(VLOOKUP($A2184,'13. Updated Demand'!A:Z,26,FALSE)),0,VLOOKUP($A2184,'13. Updated Demand'!A:Z,26,FALSE))</f>
        <v>3.33333333333333E-4</v>
      </c>
      <c r="AJ2184" s="16">
        <f t="shared" si="409"/>
        <v>3.9999999999999957E-3</v>
      </c>
      <c r="AK2184" s="19">
        <v>1.666666666666665E-3</v>
      </c>
      <c r="AL2184" s="16">
        <f t="shared" si="419"/>
        <v>5.5281434821591766E-6</v>
      </c>
      <c r="AM2184" s="26">
        <v>0</v>
      </c>
      <c r="AN2184" s="19">
        <v>0</v>
      </c>
      <c r="AO2184" s="19" t="s">
        <v>1758</v>
      </c>
      <c r="AP2184" s="19">
        <v>0</v>
      </c>
      <c r="AQ2184" s="19" t="s">
        <v>307</v>
      </c>
      <c r="AR2184" s="9" t="s">
        <v>507</v>
      </c>
      <c r="AS2184" s="12">
        <v>3.4039024194010059E-4</v>
      </c>
      <c r="AT2184" s="19">
        <v>38.615600000000001</v>
      </c>
      <c r="AU2184" s="19">
        <v>-122.82980000000001</v>
      </c>
      <c r="AV2184" s="19" t="s">
        <v>387</v>
      </c>
    </row>
    <row r="2185" spans="1:48" x14ac:dyDescent="0.25">
      <c r="A2185" s="18" t="s">
        <v>2635</v>
      </c>
      <c r="B2185" s="10">
        <v>10000000</v>
      </c>
      <c r="C2185" s="9">
        <v>10</v>
      </c>
      <c r="D2185" s="8" t="str">
        <f t="shared" si="410"/>
        <v>N</v>
      </c>
      <c r="E2185" s="8" t="str">
        <f t="shared" si="411"/>
        <v>Y</v>
      </c>
      <c r="F2185" s="8" t="str">
        <f t="shared" si="412"/>
        <v>Y</v>
      </c>
      <c r="G2185" s="8" t="str">
        <f t="shared" si="413"/>
        <v>Y</v>
      </c>
      <c r="H2185" s="8" t="str">
        <f t="shared" si="414"/>
        <v>Upper</v>
      </c>
      <c r="I2185" s="8" t="str">
        <f t="shared" si="415"/>
        <v>West Fork and Below Lake</v>
      </c>
      <c r="J2185" s="8" t="str">
        <f t="shared" si="416"/>
        <v>Sonoma (d/s of Clov. Gage)</v>
      </c>
      <c r="K2185" s="8" t="str">
        <f t="shared" si="417"/>
        <v>Riparian</v>
      </c>
      <c r="L2185" s="8">
        <f t="shared" si="418"/>
        <v>1000</v>
      </c>
      <c r="M2185" s="8" t="str">
        <f t="shared" si="420"/>
        <v>-</v>
      </c>
      <c r="N2185" s="10" t="s">
        <v>241</v>
      </c>
      <c r="O2185" s="10" t="s">
        <v>241</v>
      </c>
      <c r="P2185" s="10" t="s">
        <v>242</v>
      </c>
      <c r="Q2185" s="10" t="s">
        <v>242</v>
      </c>
      <c r="R2185" s="10" t="s">
        <v>242</v>
      </c>
      <c r="S2185" s="10" t="s">
        <v>241</v>
      </c>
      <c r="T2185" s="10" t="s">
        <v>242</v>
      </c>
      <c r="U2185" s="10" t="s">
        <v>242</v>
      </c>
      <c r="V2185" s="10" t="s">
        <v>242</v>
      </c>
      <c r="W2185" s="10" t="s">
        <v>242</v>
      </c>
      <c r="X2185" s="15">
        <f>IF(ISERROR(VLOOKUP($A2185,'13. Updated Demand'!A:Z,15,FALSE)),0,VLOOKUP($A2185,'13. Updated Demand'!A:Z,15,FALSE))</f>
        <v>0</v>
      </c>
      <c r="Y2185" s="16">
        <f>IF(ISERROR(VLOOKUP($A2185,'13. Updated Demand'!A:Z,16,FALSE)),0,VLOOKUP($A2185,'13. Updated Demand'!A:Z,16,FALSE))</f>
        <v>0.5</v>
      </c>
      <c r="Z2185" s="16">
        <f>IF(ISERROR(VLOOKUP($A2185,'13. Updated Demand'!A:Z,17,FALSE)),0,VLOOKUP($A2185,'13. Updated Demand'!A:Z,17,FALSE))</f>
        <v>2.36</v>
      </c>
      <c r="AA2185" s="16">
        <f>IF(ISERROR(VLOOKUP($A2185,'13. Updated Demand'!A:Z,18,FALSE)),0,VLOOKUP($A2185,'13. Updated Demand'!A:Z,18,FALSE))</f>
        <v>0</v>
      </c>
      <c r="AB2185" s="16">
        <f>IF(ISERROR(VLOOKUP($A2185,'13. Updated Demand'!A:Z,19,FALSE)),0,VLOOKUP($A2185,'13. Updated Demand'!A:Z,19,FALSE))</f>
        <v>0</v>
      </c>
      <c r="AC2185" s="16">
        <f>IF(ISERROR(VLOOKUP($A2185,'13. Updated Demand'!A:Z,20,FALSE)),0,VLOOKUP($A2185,'13. Updated Demand'!A:Z,20,FALSE))</f>
        <v>0</v>
      </c>
      <c r="AD2185" s="16">
        <f>IF(ISERROR(VLOOKUP($A2185,'13. Updated Demand'!A:Z,21,FALSE)),0,VLOOKUP($A2185,'13. Updated Demand'!A:Z,21,FALSE))</f>
        <v>0</v>
      </c>
      <c r="AE2185" s="16">
        <f>IF(ISERROR(VLOOKUP($A2185,'13. Updated Demand'!A:Z,22,FALSE)),0,VLOOKUP($A2185,'13. Updated Demand'!A:Z,22,FALSE))</f>
        <v>4.63</v>
      </c>
      <c r="AF2185" s="16">
        <f>IF(ISERROR(VLOOKUP($A2185,'13. Updated Demand'!A:Z,23,FALSE)),0,VLOOKUP($A2185,'13. Updated Demand'!A:Z,23,FALSE))</f>
        <v>1.33</v>
      </c>
      <c r="AG2185" s="16">
        <f>IF(ISERROR(VLOOKUP($A2185,'13. Updated Demand'!A:Z,24,FALSE)),0,VLOOKUP($A2185,'13. Updated Demand'!A:Z,24,FALSE))</f>
        <v>0</v>
      </c>
      <c r="AH2185" s="16">
        <f>IF(ISERROR(VLOOKUP($A2185,'13. Updated Demand'!A:Z,25,FALSE)),0,VLOOKUP($A2185,'13. Updated Demand'!A:Z,25,FALSE))</f>
        <v>1.06</v>
      </c>
      <c r="AI2185" s="16">
        <f>IF(ISERROR(VLOOKUP($A2185,'13. Updated Demand'!A:Z,26,FALSE)),0,VLOOKUP($A2185,'13. Updated Demand'!A:Z,26,FALSE))</f>
        <v>0</v>
      </c>
      <c r="AJ2185" s="16">
        <f t="shared" si="409"/>
        <v>9.8800000000000008</v>
      </c>
      <c r="AK2185" s="19">
        <v>5.9666666666666597</v>
      </c>
      <c r="AL2185" s="16">
        <f t="shared" si="419"/>
        <v>1.9790753666129847E-2</v>
      </c>
      <c r="AM2185" s="26">
        <v>2.4535875415251105E-3</v>
      </c>
      <c r="AN2185" s="19">
        <v>4034.9079999999999</v>
      </c>
      <c r="AO2185" s="19" t="s">
        <v>1758</v>
      </c>
      <c r="AP2185" s="19">
        <v>0</v>
      </c>
      <c r="AQ2185" s="19" t="s">
        <v>307</v>
      </c>
      <c r="AR2185" s="9" t="s">
        <v>436</v>
      </c>
      <c r="AS2185" s="12">
        <v>0</v>
      </c>
      <c r="AT2185" s="19">
        <v>38.667900000000003</v>
      </c>
      <c r="AU2185" s="19">
        <v>-122.83199999999999</v>
      </c>
      <c r="AV2185" s="19" t="s">
        <v>387</v>
      </c>
    </row>
    <row r="2186" spans="1:48" x14ac:dyDescent="0.25">
      <c r="A2186" s="18" t="s">
        <v>2636</v>
      </c>
      <c r="B2186" s="10">
        <v>10000000</v>
      </c>
      <c r="C2186" s="9">
        <v>10</v>
      </c>
      <c r="D2186" s="8" t="str">
        <f t="shared" si="410"/>
        <v>N</v>
      </c>
      <c r="E2186" s="8" t="str">
        <f t="shared" si="411"/>
        <v>Y</v>
      </c>
      <c r="F2186" s="8" t="str">
        <f t="shared" si="412"/>
        <v>Y</v>
      </c>
      <c r="G2186" s="8" t="str">
        <f t="shared" si="413"/>
        <v>Y</v>
      </c>
      <c r="H2186" s="8" t="str">
        <f t="shared" si="414"/>
        <v>Upper</v>
      </c>
      <c r="I2186" s="8" t="str">
        <f t="shared" si="415"/>
        <v>West Fork and Below Lake</v>
      </c>
      <c r="J2186" s="8" t="str">
        <f t="shared" si="416"/>
        <v>Sonoma (d/s of Clov. Gage)</v>
      </c>
      <c r="K2186" s="8" t="str">
        <f t="shared" si="417"/>
        <v>Riparian</v>
      </c>
      <c r="L2186" s="8">
        <f t="shared" si="418"/>
        <v>1000</v>
      </c>
      <c r="M2186" s="8" t="str">
        <f t="shared" si="420"/>
        <v>-</v>
      </c>
      <c r="N2186" s="10" t="s">
        <v>241</v>
      </c>
      <c r="O2186" s="10" t="s">
        <v>241</v>
      </c>
      <c r="P2186" s="10" t="s">
        <v>242</v>
      </c>
      <c r="Q2186" s="10" t="s">
        <v>242</v>
      </c>
      <c r="R2186" s="10" t="s">
        <v>242</v>
      </c>
      <c r="S2186" s="10" t="s">
        <v>241</v>
      </c>
      <c r="T2186" s="10" t="s">
        <v>242</v>
      </c>
      <c r="U2186" s="10" t="s">
        <v>241</v>
      </c>
      <c r="V2186" s="10" t="s">
        <v>241</v>
      </c>
      <c r="W2186" s="10" t="s">
        <v>242</v>
      </c>
      <c r="X2186" s="15">
        <f>IF(ISERROR(VLOOKUP($A2186,'13. Updated Demand'!A:Z,15,FALSE)),0,VLOOKUP($A2186,'13. Updated Demand'!A:Z,15,FALSE))</f>
        <v>0</v>
      </c>
      <c r="Y2186" s="16">
        <f>IF(ISERROR(VLOOKUP($A2186,'13. Updated Demand'!A:Z,16,FALSE)),0,VLOOKUP($A2186,'13. Updated Demand'!A:Z,16,FALSE))</f>
        <v>0</v>
      </c>
      <c r="Z2186" s="16">
        <f>IF(ISERROR(VLOOKUP($A2186,'13. Updated Demand'!A:Z,17,FALSE)),0,VLOOKUP($A2186,'13. Updated Demand'!A:Z,17,FALSE))</f>
        <v>0</v>
      </c>
      <c r="AA2186" s="16">
        <f>IF(ISERROR(VLOOKUP($A2186,'13. Updated Demand'!A:Z,18,FALSE)),0,VLOOKUP($A2186,'13. Updated Demand'!A:Z,18,FALSE))</f>
        <v>0</v>
      </c>
      <c r="AB2186" s="16">
        <f>IF(ISERROR(VLOOKUP($A2186,'13. Updated Demand'!A:Z,19,FALSE)),0,VLOOKUP($A2186,'13. Updated Demand'!A:Z,19,FALSE))</f>
        <v>0</v>
      </c>
      <c r="AC2186" s="16">
        <f>IF(ISERROR(VLOOKUP($A2186,'13. Updated Demand'!A:Z,20,FALSE)),0,VLOOKUP($A2186,'13. Updated Demand'!A:Z,20,FALSE))</f>
        <v>0</v>
      </c>
      <c r="AD2186" s="16">
        <f>IF(ISERROR(VLOOKUP($A2186,'13. Updated Demand'!A:Z,21,FALSE)),0,VLOOKUP($A2186,'13. Updated Demand'!A:Z,21,FALSE))</f>
        <v>0</v>
      </c>
      <c r="AE2186" s="16">
        <f>IF(ISERROR(VLOOKUP($A2186,'13. Updated Demand'!A:Z,22,FALSE)),0,VLOOKUP($A2186,'13. Updated Demand'!A:Z,22,FALSE))</f>
        <v>0</v>
      </c>
      <c r="AF2186" s="16">
        <f>IF(ISERROR(VLOOKUP($A2186,'13. Updated Demand'!A:Z,23,FALSE)),0,VLOOKUP($A2186,'13. Updated Demand'!A:Z,23,FALSE))</f>
        <v>0</v>
      </c>
      <c r="AG2186" s="16">
        <f>IF(ISERROR(VLOOKUP($A2186,'13. Updated Demand'!A:Z,24,FALSE)),0,VLOOKUP($A2186,'13. Updated Demand'!A:Z,24,FALSE))</f>
        <v>0</v>
      </c>
      <c r="AH2186" s="16">
        <f>IF(ISERROR(VLOOKUP($A2186,'13. Updated Demand'!A:Z,25,FALSE)),0,VLOOKUP($A2186,'13. Updated Demand'!A:Z,25,FALSE))</f>
        <v>0</v>
      </c>
      <c r="AI2186" s="16">
        <f>IF(ISERROR(VLOOKUP($A2186,'13. Updated Demand'!A:Z,26,FALSE)),0,VLOOKUP($A2186,'13. Updated Demand'!A:Z,26,FALSE))</f>
        <v>0</v>
      </c>
      <c r="AJ2186" s="16">
        <f t="shared" si="409"/>
        <v>0</v>
      </c>
      <c r="AK2186" s="19">
        <v>0</v>
      </c>
      <c r="AL2186" s="16">
        <f t="shared" si="419"/>
        <v>0</v>
      </c>
      <c r="AM2186" s="26">
        <v>0</v>
      </c>
      <c r="AN2186" s="19">
        <v>144.88</v>
      </c>
      <c r="AO2186" s="19" t="s">
        <v>1758</v>
      </c>
      <c r="AP2186" s="19">
        <v>0</v>
      </c>
      <c r="AQ2186" s="19" t="s">
        <v>307</v>
      </c>
      <c r="AR2186" s="9" t="s">
        <v>436</v>
      </c>
      <c r="AS2186" s="12">
        <v>0</v>
      </c>
      <c r="AT2186" s="19">
        <v>38.667099999999998</v>
      </c>
      <c r="AU2186" s="19">
        <v>-122.82470000000001</v>
      </c>
      <c r="AV2186" s="19" t="s">
        <v>387</v>
      </c>
    </row>
    <row r="2187" spans="1:48" x14ac:dyDescent="0.25">
      <c r="A2187" s="18" t="s">
        <v>2637</v>
      </c>
      <c r="B2187" s="10">
        <v>10000000</v>
      </c>
      <c r="C2187" s="9">
        <v>6</v>
      </c>
      <c r="D2187" s="8" t="str">
        <f t="shared" si="410"/>
        <v>Y</v>
      </c>
      <c r="E2187" s="8" t="str">
        <f t="shared" si="411"/>
        <v>N</v>
      </c>
      <c r="F2187" s="8" t="str">
        <f t="shared" si="412"/>
        <v>Y</v>
      </c>
      <c r="G2187" s="8" t="str">
        <f t="shared" si="413"/>
        <v>Y</v>
      </c>
      <c r="H2187" s="8" t="str">
        <f t="shared" si="414"/>
        <v>Upper</v>
      </c>
      <c r="I2187" s="8" t="str">
        <f t="shared" si="415"/>
        <v>West Fork and Below Lake</v>
      </c>
      <c r="J2187" s="8" t="str">
        <f t="shared" si="416"/>
        <v>Mendocino (d/s of lake)</v>
      </c>
      <c r="K2187" s="8" t="str">
        <f t="shared" si="417"/>
        <v>Riparian</v>
      </c>
      <c r="L2187" s="8">
        <f t="shared" si="418"/>
        <v>1000</v>
      </c>
      <c r="M2187" s="8" t="str">
        <f t="shared" si="420"/>
        <v>-</v>
      </c>
      <c r="N2187" s="10" t="s">
        <v>242</v>
      </c>
      <c r="O2187" s="10" t="s">
        <v>241</v>
      </c>
      <c r="P2187" s="10" t="s">
        <v>242</v>
      </c>
      <c r="Q2187" s="10" t="s">
        <v>242</v>
      </c>
      <c r="R2187" s="10" t="s">
        <v>242</v>
      </c>
      <c r="S2187" s="10" t="s">
        <v>241</v>
      </c>
      <c r="T2187" s="10" t="s">
        <v>242</v>
      </c>
      <c r="U2187" s="10" t="s">
        <v>241</v>
      </c>
      <c r="V2187" s="10" t="s">
        <v>241</v>
      </c>
      <c r="W2187" s="10" t="s">
        <v>242</v>
      </c>
      <c r="X2187" s="15">
        <f>IF(ISERROR(VLOOKUP($A2187,'13. Updated Demand'!A:Z,15,FALSE)),0,VLOOKUP($A2187,'13. Updated Demand'!A:Z,15,FALSE))</f>
        <v>0</v>
      </c>
      <c r="Y2187" s="16">
        <f>IF(ISERROR(VLOOKUP($A2187,'13. Updated Demand'!A:Z,16,FALSE)),0,VLOOKUP($A2187,'13. Updated Demand'!A:Z,16,FALSE))</f>
        <v>0</v>
      </c>
      <c r="Z2187" s="16">
        <f>IF(ISERROR(VLOOKUP($A2187,'13. Updated Demand'!A:Z,17,FALSE)),0,VLOOKUP($A2187,'13. Updated Demand'!A:Z,17,FALSE))</f>
        <v>0</v>
      </c>
      <c r="AA2187" s="16">
        <f>IF(ISERROR(VLOOKUP($A2187,'13. Updated Demand'!A:Z,18,FALSE)),0,VLOOKUP($A2187,'13. Updated Demand'!A:Z,18,FALSE))</f>
        <v>0</v>
      </c>
      <c r="AB2187" s="16">
        <f>IF(ISERROR(VLOOKUP($A2187,'13. Updated Demand'!A:Z,19,FALSE)),0,VLOOKUP($A2187,'13. Updated Demand'!A:Z,19,FALSE))</f>
        <v>0</v>
      </c>
      <c r="AC2187" s="16">
        <f>IF(ISERROR(VLOOKUP($A2187,'13. Updated Demand'!A:Z,20,FALSE)),0,VLOOKUP($A2187,'13. Updated Demand'!A:Z,20,FALSE))</f>
        <v>0</v>
      </c>
      <c r="AD2187" s="16">
        <f>IF(ISERROR(VLOOKUP($A2187,'13. Updated Demand'!A:Z,21,FALSE)),0,VLOOKUP($A2187,'13. Updated Demand'!A:Z,21,FALSE))</f>
        <v>0</v>
      </c>
      <c r="AE2187" s="16">
        <f>IF(ISERROR(VLOOKUP($A2187,'13. Updated Demand'!A:Z,22,FALSE)),0,VLOOKUP($A2187,'13. Updated Demand'!A:Z,22,FALSE))</f>
        <v>0</v>
      </c>
      <c r="AF2187" s="16">
        <f>IF(ISERROR(VLOOKUP($A2187,'13. Updated Demand'!A:Z,23,FALSE)),0,VLOOKUP($A2187,'13. Updated Demand'!A:Z,23,FALSE))</f>
        <v>0</v>
      </c>
      <c r="AG2187" s="16">
        <f>IF(ISERROR(VLOOKUP($A2187,'13. Updated Demand'!A:Z,24,FALSE)),0,VLOOKUP($A2187,'13. Updated Demand'!A:Z,24,FALSE))</f>
        <v>0</v>
      </c>
      <c r="AH2187" s="16">
        <f>IF(ISERROR(VLOOKUP($A2187,'13. Updated Demand'!A:Z,25,FALSE)),0,VLOOKUP($A2187,'13. Updated Demand'!A:Z,25,FALSE))</f>
        <v>0</v>
      </c>
      <c r="AI2187" s="16">
        <f>IF(ISERROR(VLOOKUP($A2187,'13. Updated Demand'!A:Z,26,FALSE)),0,VLOOKUP($A2187,'13. Updated Demand'!A:Z,26,FALSE))</f>
        <v>0</v>
      </c>
      <c r="AJ2187" s="16">
        <f t="shared" si="409"/>
        <v>0</v>
      </c>
      <c r="AK2187" s="19">
        <v>0</v>
      </c>
      <c r="AL2187" s="16">
        <f t="shared" si="419"/>
        <v>0</v>
      </c>
      <c r="AM2187" s="26">
        <v>0</v>
      </c>
      <c r="AN2187" s="19">
        <v>2</v>
      </c>
      <c r="AO2187" s="19" t="s">
        <v>1758</v>
      </c>
      <c r="AP2187" s="19">
        <v>0</v>
      </c>
      <c r="AQ2187" s="19" t="s">
        <v>307</v>
      </c>
      <c r="AR2187" s="9" t="s">
        <v>319</v>
      </c>
      <c r="AS2187" s="12">
        <v>0</v>
      </c>
      <c r="AT2187" s="19">
        <v>38.984099999999998</v>
      </c>
      <c r="AU2187" s="19">
        <v>-123.1237</v>
      </c>
      <c r="AV2187" s="19" t="s">
        <v>385</v>
      </c>
    </row>
    <row r="2188" spans="1:48" x14ac:dyDescent="0.25">
      <c r="A2188" s="18" t="s">
        <v>2638</v>
      </c>
      <c r="B2188" s="10">
        <v>10000000</v>
      </c>
      <c r="C2188" s="9">
        <v>12</v>
      </c>
      <c r="D2188" s="8" t="str">
        <f t="shared" si="410"/>
        <v>N</v>
      </c>
      <c r="E2188" s="8" t="str">
        <f t="shared" si="411"/>
        <v>Y</v>
      </c>
      <c r="F2188" s="8" t="str">
        <f t="shared" si="412"/>
        <v>Y</v>
      </c>
      <c r="G2188" s="8" t="str">
        <f t="shared" si="413"/>
        <v>Y</v>
      </c>
      <c r="H2188" s="8" t="str">
        <f t="shared" si="414"/>
        <v>Upper</v>
      </c>
      <c r="I2188" s="8" t="str">
        <f t="shared" si="415"/>
        <v>West Fork and Below Lake</v>
      </c>
      <c r="J2188" s="8" t="str">
        <f t="shared" si="416"/>
        <v>Sonoma (d/s of Clov. Gage)</v>
      </c>
      <c r="K2188" s="8" t="str">
        <f t="shared" si="417"/>
        <v>Riparian</v>
      </c>
      <c r="L2188" s="8">
        <f t="shared" si="418"/>
        <v>1000</v>
      </c>
      <c r="M2188" s="8" t="str">
        <f t="shared" si="420"/>
        <v>-</v>
      </c>
      <c r="N2188" s="10" t="s">
        <v>242</v>
      </c>
      <c r="O2188" s="10" t="s">
        <v>241</v>
      </c>
      <c r="P2188" s="10" t="s">
        <v>242</v>
      </c>
      <c r="Q2188" s="10" t="s">
        <v>242</v>
      </c>
      <c r="R2188" s="10" t="s">
        <v>242</v>
      </c>
      <c r="S2188" s="10" t="s">
        <v>241</v>
      </c>
      <c r="T2188" s="10" t="s">
        <v>242</v>
      </c>
      <c r="U2188" s="10" t="s">
        <v>242</v>
      </c>
      <c r="V2188" s="10" t="s">
        <v>242</v>
      </c>
      <c r="W2188" s="10" t="s">
        <v>242</v>
      </c>
      <c r="X2188" s="15">
        <f>IF(ISERROR(VLOOKUP($A2188,'13. Updated Demand'!A:Z,15,FALSE)),0,VLOOKUP($A2188,'13. Updated Demand'!A:Z,15,FALSE))</f>
        <v>0</v>
      </c>
      <c r="Y2188" s="16">
        <f>IF(ISERROR(VLOOKUP($A2188,'13. Updated Demand'!A:Z,16,FALSE)),0,VLOOKUP($A2188,'13. Updated Demand'!A:Z,16,FALSE))</f>
        <v>0</v>
      </c>
      <c r="Z2188" s="16">
        <f>IF(ISERROR(VLOOKUP($A2188,'13. Updated Demand'!A:Z,17,FALSE)),0,VLOOKUP($A2188,'13. Updated Demand'!A:Z,17,FALSE))</f>
        <v>0</v>
      </c>
      <c r="AA2188" s="16">
        <f>IF(ISERROR(VLOOKUP($A2188,'13. Updated Demand'!A:Z,18,FALSE)),0,VLOOKUP($A2188,'13. Updated Demand'!A:Z,18,FALSE))</f>
        <v>5</v>
      </c>
      <c r="AB2188" s="16">
        <f>IF(ISERROR(VLOOKUP($A2188,'13. Updated Demand'!A:Z,19,FALSE)),0,VLOOKUP($A2188,'13. Updated Demand'!A:Z,19,FALSE))</f>
        <v>5</v>
      </c>
      <c r="AC2188" s="16">
        <f>IF(ISERROR(VLOOKUP($A2188,'13. Updated Demand'!A:Z,20,FALSE)),0,VLOOKUP($A2188,'13. Updated Demand'!A:Z,20,FALSE))</f>
        <v>0</v>
      </c>
      <c r="AD2188" s="16">
        <f>IF(ISERROR(VLOOKUP($A2188,'13. Updated Demand'!A:Z,21,FALSE)),0,VLOOKUP($A2188,'13. Updated Demand'!A:Z,21,FALSE))</f>
        <v>0</v>
      </c>
      <c r="AE2188" s="16">
        <f>IF(ISERROR(VLOOKUP($A2188,'13. Updated Demand'!A:Z,22,FALSE)),0,VLOOKUP($A2188,'13. Updated Demand'!A:Z,22,FALSE))</f>
        <v>0</v>
      </c>
      <c r="AF2188" s="16">
        <f>IF(ISERROR(VLOOKUP($A2188,'13. Updated Demand'!A:Z,23,FALSE)),0,VLOOKUP($A2188,'13. Updated Demand'!A:Z,23,FALSE))</f>
        <v>0</v>
      </c>
      <c r="AG2188" s="16">
        <f>IF(ISERROR(VLOOKUP($A2188,'13. Updated Demand'!A:Z,24,FALSE)),0,VLOOKUP($A2188,'13. Updated Demand'!A:Z,24,FALSE))</f>
        <v>0</v>
      </c>
      <c r="AH2188" s="16">
        <f>IF(ISERROR(VLOOKUP($A2188,'13. Updated Demand'!A:Z,25,FALSE)),0,VLOOKUP($A2188,'13. Updated Demand'!A:Z,25,FALSE))</f>
        <v>0</v>
      </c>
      <c r="AI2188" s="16">
        <f>IF(ISERROR(VLOOKUP($A2188,'13. Updated Demand'!A:Z,26,FALSE)),0,VLOOKUP($A2188,'13. Updated Demand'!A:Z,26,FALSE))</f>
        <v>0</v>
      </c>
      <c r="AJ2188" s="16">
        <f t="shared" si="409"/>
        <v>10</v>
      </c>
      <c r="AK2188" s="19">
        <v>5</v>
      </c>
      <c r="AL2188" s="16">
        <f t="shared" si="419"/>
        <v>1.6584430446477543E-2</v>
      </c>
      <c r="AM2188" s="26">
        <v>1.2380742497889083E-2</v>
      </c>
      <c r="AN2188" s="19">
        <v>807.70600000000002</v>
      </c>
      <c r="AO2188" s="19" t="s">
        <v>1758</v>
      </c>
      <c r="AP2188" s="19">
        <v>0</v>
      </c>
      <c r="AQ2188" s="19" t="s">
        <v>307</v>
      </c>
      <c r="AR2188" s="9" t="s">
        <v>311</v>
      </c>
      <c r="AS2188" s="12">
        <v>0</v>
      </c>
      <c r="AT2188" s="19">
        <v>38.616599999999998</v>
      </c>
      <c r="AU2188" s="19">
        <v>-122.7735</v>
      </c>
      <c r="AV2188" s="19" t="s">
        <v>609</v>
      </c>
    </row>
    <row r="2189" spans="1:48" x14ac:dyDescent="0.25">
      <c r="A2189" s="18" t="s">
        <v>2639</v>
      </c>
      <c r="B2189" s="10">
        <v>10000000</v>
      </c>
      <c r="C2189" s="9">
        <v>1</v>
      </c>
      <c r="D2189" s="8" t="str">
        <f t="shared" si="410"/>
        <v>N</v>
      </c>
      <c r="E2189" s="8" t="str">
        <f t="shared" si="411"/>
        <v>N</v>
      </c>
      <c r="F2189" s="8" t="str">
        <f t="shared" si="412"/>
        <v>Y</v>
      </c>
      <c r="G2189" s="8" t="str">
        <f t="shared" si="413"/>
        <v>Y</v>
      </c>
      <c r="H2189" s="8" t="str">
        <f t="shared" si="414"/>
        <v>Upper</v>
      </c>
      <c r="I2189" s="8" t="str">
        <f t="shared" si="415"/>
        <v>West Fork and Below Lake</v>
      </c>
      <c r="J2189" s="8" t="str">
        <f t="shared" si="416"/>
        <v>Outside</v>
      </c>
      <c r="K2189" s="8" t="str">
        <f t="shared" si="417"/>
        <v>Riparian</v>
      </c>
      <c r="L2189" s="8">
        <f t="shared" si="418"/>
        <v>1000</v>
      </c>
      <c r="M2189" s="8" t="str">
        <f t="shared" si="420"/>
        <v>-</v>
      </c>
      <c r="N2189" s="10" t="s">
        <v>242</v>
      </c>
      <c r="O2189" s="10" t="s">
        <v>241</v>
      </c>
      <c r="P2189" s="10" t="s">
        <v>242</v>
      </c>
      <c r="Q2189" s="10" t="s">
        <v>242</v>
      </c>
      <c r="R2189" s="10" t="s">
        <v>242</v>
      </c>
      <c r="S2189" s="10" t="s">
        <v>241</v>
      </c>
      <c r="T2189" s="10" t="s">
        <v>242</v>
      </c>
      <c r="U2189" s="10" t="s">
        <v>242</v>
      </c>
      <c r="V2189" s="10" t="s">
        <v>242</v>
      </c>
      <c r="W2189" s="10" t="s">
        <v>242</v>
      </c>
      <c r="X2189" s="15">
        <f>IF(ISERROR(VLOOKUP($A2189,'13. Updated Demand'!A:Z,15,FALSE)),0,VLOOKUP($A2189,'13. Updated Demand'!A:Z,15,FALSE))</f>
        <v>0</v>
      </c>
      <c r="Y2189" s="16">
        <f>IF(ISERROR(VLOOKUP($A2189,'13. Updated Demand'!A:Z,16,FALSE)),0,VLOOKUP($A2189,'13. Updated Demand'!A:Z,16,FALSE))</f>
        <v>0</v>
      </c>
      <c r="Z2189" s="16">
        <f>IF(ISERROR(VLOOKUP($A2189,'13. Updated Demand'!A:Z,17,FALSE)),0,VLOOKUP($A2189,'13. Updated Demand'!A:Z,17,FALSE))</f>
        <v>3.33333333333333E-4</v>
      </c>
      <c r="AA2189" s="16">
        <f>IF(ISERROR(VLOOKUP($A2189,'13. Updated Demand'!A:Z,18,FALSE)),0,VLOOKUP($A2189,'13. Updated Demand'!A:Z,18,FALSE))</f>
        <v>1.4338884950483501E-3</v>
      </c>
      <c r="AB2189" s="16">
        <f>IF(ISERROR(VLOOKUP($A2189,'13. Updated Demand'!A:Z,19,FALSE)),0,VLOOKUP($A2189,'13. Updated Demand'!A:Z,19,FALSE))</f>
        <v>1.33333333333333E-3</v>
      </c>
      <c r="AC2189" s="16">
        <f>IF(ISERROR(VLOOKUP($A2189,'13. Updated Demand'!A:Z,20,FALSE)),0,VLOOKUP($A2189,'13. Updated Demand'!A:Z,20,FALSE))</f>
        <v>0</v>
      </c>
      <c r="AD2189" s="16">
        <f>IF(ISERROR(VLOOKUP($A2189,'13. Updated Demand'!A:Z,21,FALSE)),0,VLOOKUP($A2189,'13. Updated Demand'!A:Z,21,FALSE))</f>
        <v>0</v>
      </c>
      <c r="AE2189" s="16">
        <f>IF(ISERROR(VLOOKUP($A2189,'13. Updated Demand'!A:Z,22,FALSE)),0,VLOOKUP($A2189,'13. Updated Demand'!A:Z,22,FALSE))</f>
        <v>0</v>
      </c>
      <c r="AF2189" s="16">
        <f>IF(ISERROR(VLOOKUP($A2189,'13. Updated Demand'!A:Z,23,FALSE)),0,VLOOKUP($A2189,'13. Updated Demand'!A:Z,23,FALSE))</f>
        <v>0</v>
      </c>
      <c r="AG2189" s="16">
        <f>IF(ISERROR(VLOOKUP($A2189,'13. Updated Demand'!A:Z,24,FALSE)),0,VLOOKUP($A2189,'13. Updated Demand'!A:Z,24,FALSE))</f>
        <v>0</v>
      </c>
      <c r="AH2189" s="16">
        <f>IF(ISERROR(VLOOKUP($A2189,'13. Updated Demand'!A:Z,25,FALSE)),0,VLOOKUP($A2189,'13. Updated Demand'!A:Z,25,FALSE))</f>
        <v>0</v>
      </c>
      <c r="AI2189" s="16">
        <f>IF(ISERROR(VLOOKUP($A2189,'13. Updated Demand'!A:Z,26,FALSE)),0,VLOOKUP($A2189,'13. Updated Demand'!A:Z,26,FALSE))</f>
        <v>0</v>
      </c>
      <c r="AJ2189" s="16">
        <f t="shared" si="409"/>
        <v>3.1005551617150134E-3</v>
      </c>
      <c r="AK2189" s="19">
        <v>1.33333333333333E-3</v>
      </c>
      <c r="AL2189" s="16">
        <f t="shared" si="419"/>
        <v>4.4225147857273347E-6</v>
      </c>
      <c r="AM2189" s="26">
        <v>2.0670367744766756</v>
      </c>
      <c r="AN2189" s="19">
        <v>1.5E-3</v>
      </c>
      <c r="AO2189" s="19" t="s">
        <v>1758</v>
      </c>
      <c r="AP2189" s="19">
        <v>0</v>
      </c>
      <c r="AQ2189" s="19" t="s">
        <v>307</v>
      </c>
      <c r="AR2189" s="9" t="s">
        <v>317</v>
      </c>
      <c r="AS2189" s="12">
        <v>3.4039024194010059E-4</v>
      </c>
      <c r="AT2189" s="19">
        <v>39.297499999999999</v>
      </c>
      <c r="AU2189" s="19">
        <v>-123.3502</v>
      </c>
      <c r="AV2189" s="19" t="s">
        <v>406</v>
      </c>
    </row>
    <row r="2190" spans="1:48" x14ac:dyDescent="0.25">
      <c r="A2190" s="18" t="s">
        <v>2640</v>
      </c>
      <c r="B2190" s="10">
        <v>10000000</v>
      </c>
      <c r="C2190" s="9">
        <v>17</v>
      </c>
      <c r="D2190" s="8" t="str">
        <f t="shared" si="410"/>
        <v>N</v>
      </c>
      <c r="E2190" s="8" t="str">
        <f t="shared" si="411"/>
        <v>N</v>
      </c>
      <c r="F2190" s="8" t="str">
        <f t="shared" si="412"/>
        <v>N</v>
      </c>
      <c r="G2190" s="8" t="str">
        <f t="shared" si="413"/>
        <v>N</v>
      </c>
      <c r="H2190" s="8" t="str">
        <f t="shared" si="414"/>
        <v>Lower</v>
      </c>
      <c r="I2190" s="8" t="str">
        <f t="shared" si="415"/>
        <v>Outside</v>
      </c>
      <c r="J2190" s="8" t="str">
        <f t="shared" si="416"/>
        <v>Outside</v>
      </c>
      <c r="K2190" s="8" t="str">
        <f t="shared" si="417"/>
        <v>Riparian</v>
      </c>
      <c r="L2190" s="8">
        <f t="shared" si="418"/>
        <v>1000</v>
      </c>
      <c r="M2190" s="8" t="str">
        <f t="shared" si="420"/>
        <v>-</v>
      </c>
      <c r="N2190" s="10" t="s">
        <v>242</v>
      </c>
      <c r="O2190" s="10" t="s">
        <v>242</v>
      </c>
      <c r="P2190" s="10" t="s">
        <v>242</v>
      </c>
      <c r="Q2190" s="10" t="s">
        <v>242</v>
      </c>
      <c r="R2190" s="10" t="s">
        <v>242</v>
      </c>
      <c r="S2190" s="10" t="s">
        <v>241</v>
      </c>
      <c r="T2190" s="10" t="s">
        <v>242</v>
      </c>
      <c r="U2190" s="10" t="s">
        <v>242</v>
      </c>
      <c r="V2190" s="10" t="s">
        <v>241</v>
      </c>
      <c r="W2190" s="10" t="s">
        <v>242</v>
      </c>
      <c r="X2190" s="15">
        <f>IF(ISERROR(VLOOKUP($A2190,'13. Updated Demand'!A:Z,15,FALSE)),0,VLOOKUP($A2190,'13. Updated Demand'!A:Z,15,FALSE))</f>
        <v>1</v>
      </c>
      <c r="Y2190" s="16">
        <f>IF(ISERROR(VLOOKUP($A2190,'13. Updated Demand'!A:Z,16,FALSE)),0,VLOOKUP($A2190,'13. Updated Demand'!A:Z,16,FALSE))</f>
        <v>0</v>
      </c>
      <c r="Z2190" s="16">
        <f>IF(ISERROR(VLOOKUP($A2190,'13. Updated Demand'!A:Z,17,FALSE)),0,VLOOKUP($A2190,'13. Updated Demand'!A:Z,17,FALSE))</f>
        <v>0</v>
      </c>
      <c r="AA2190" s="16">
        <f>IF(ISERROR(VLOOKUP($A2190,'13. Updated Demand'!A:Z,18,FALSE)),0,VLOOKUP($A2190,'13. Updated Demand'!A:Z,18,FALSE))</f>
        <v>0</v>
      </c>
      <c r="AB2190" s="16">
        <f>IF(ISERROR(VLOOKUP($A2190,'13. Updated Demand'!A:Z,19,FALSE)),0,VLOOKUP($A2190,'13. Updated Demand'!A:Z,19,FALSE))</f>
        <v>0</v>
      </c>
      <c r="AC2190" s="16">
        <f>IF(ISERROR(VLOOKUP($A2190,'13. Updated Demand'!A:Z,20,FALSE)),0,VLOOKUP($A2190,'13. Updated Demand'!A:Z,20,FALSE))</f>
        <v>0</v>
      </c>
      <c r="AD2190" s="16">
        <f>IF(ISERROR(VLOOKUP($A2190,'13. Updated Demand'!A:Z,21,FALSE)),0,VLOOKUP($A2190,'13. Updated Demand'!A:Z,21,FALSE))</f>
        <v>0</v>
      </c>
      <c r="AE2190" s="16">
        <f>IF(ISERROR(VLOOKUP($A2190,'13. Updated Demand'!A:Z,22,FALSE)),0,VLOOKUP($A2190,'13. Updated Demand'!A:Z,22,FALSE))</f>
        <v>0</v>
      </c>
      <c r="AF2190" s="16">
        <f>IF(ISERROR(VLOOKUP($A2190,'13. Updated Demand'!A:Z,23,FALSE)),0,VLOOKUP($A2190,'13. Updated Demand'!A:Z,23,FALSE))</f>
        <v>0</v>
      </c>
      <c r="AG2190" s="16">
        <f>IF(ISERROR(VLOOKUP($A2190,'13. Updated Demand'!A:Z,24,FALSE)),0,VLOOKUP($A2190,'13. Updated Demand'!A:Z,24,FALSE))</f>
        <v>0</v>
      </c>
      <c r="AH2190" s="16">
        <f>IF(ISERROR(VLOOKUP($A2190,'13. Updated Demand'!A:Z,25,FALSE)),0,VLOOKUP($A2190,'13. Updated Demand'!A:Z,25,FALSE))</f>
        <v>0</v>
      </c>
      <c r="AI2190" s="16">
        <f>IF(ISERROR(VLOOKUP($A2190,'13. Updated Demand'!A:Z,26,FALSE)),0,VLOOKUP($A2190,'13. Updated Demand'!A:Z,26,FALSE))</f>
        <v>0</v>
      </c>
      <c r="AJ2190" s="16">
        <f t="shared" si="409"/>
        <v>1</v>
      </c>
      <c r="AK2190" s="19">
        <v>0</v>
      </c>
      <c r="AL2190" s="16">
        <f t="shared" si="419"/>
        <v>0</v>
      </c>
      <c r="AM2190" s="26">
        <v>0</v>
      </c>
      <c r="AN2190" s="19">
        <v>0</v>
      </c>
      <c r="AO2190" s="19" t="s">
        <v>1758</v>
      </c>
      <c r="AP2190" s="19">
        <v>0</v>
      </c>
      <c r="AQ2190" s="19" t="s">
        <v>307</v>
      </c>
      <c r="AR2190" s="9" t="s">
        <v>486</v>
      </c>
      <c r="AS2190" s="12">
        <v>0</v>
      </c>
      <c r="AT2190" s="19">
        <v>38.590699999999998</v>
      </c>
      <c r="AU2190" s="19">
        <v>-122.80880000000001</v>
      </c>
      <c r="AV2190" s="19" t="s">
        <v>1886</v>
      </c>
    </row>
    <row r="2191" spans="1:48" x14ac:dyDescent="0.25">
      <c r="A2191" s="18" t="s">
        <v>2641</v>
      </c>
      <c r="B2191" s="10">
        <v>10000000</v>
      </c>
      <c r="C2191" s="9">
        <v>17</v>
      </c>
      <c r="D2191" s="8" t="str">
        <f t="shared" si="410"/>
        <v>N</v>
      </c>
      <c r="E2191" s="8" t="str">
        <f t="shared" si="411"/>
        <v>N</v>
      </c>
      <c r="F2191" s="8" t="str">
        <f t="shared" si="412"/>
        <v>N</v>
      </c>
      <c r="G2191" s="8" t="str">
        <f t="shared" si="413"/>
        <v>N</v>
      </c>
      <c r="H2191" s="8" t="str">
        <f t="shared" si="414"/>
        <v>Lower</v>
      </c>
      <c r="I2191" s="8" t="str">
        <f t="shared" si="415"/>
        <v>Outside</v>
      </c>
      <c r="J2191" s="8" t="str">
        <f t="shared" si="416"/>
        <v>Outside</v>
      </c>
      <c r="K2191" s="8" t="str">
        <f t="shared" si="417"/>
        <v>Riparian</v>
      </c>
      <c r="L2191" s="8">
        <f t="shared" si="418"/>
        <v>1000</v>
      </c>
      <c r="M2191" s="8" t="str">
        <f t="shared" si="420"/>
        <v>-</v>
      </c>
      <c r="N2191" s="10" t="s">
        <v>242</v>
      </c>
      <c r="O2191" s="10" t="s">
        <v>242</v>
      </c>
      <c r="P2191" s="10" t="s">
        <v>242</v>
      </c>
      <c r="Q2191" s="10" t="s">
        <v>242</v>
      </c>
      <c r="R2191" s="10" t="s">
        <v>242</v>
      </c>
      <c r="S2191" s="10" t="s">
        <v>241</v>
      </c>
      <c r="T2191" s="10" t="s">
        <v>242</v>
      </c>
      <c r="U2191" s="10" t="s">
        <v>242</v>
      </c>
      <c r="V2191" s="10" t="s">
        <v>242</v>
      </c>
      <c r="W2191" s="10" t="s">
        <v>242</v>
      </c>
      <c r="X2191" s="15">
        <f>IF(ISERROR(VLOOKUP($A2191,'13. Updated Demand'!A:Z,15,FALSE)),0,VLOOKUP($A2191,'13. Updated Demand'!A:Z,15,FALSE))</f>
        <v>24.716666669999999</v>
      </c>
      <c r="Y2191" s="16">
        <f>IF(ISERROR(VLOOKUP($A2191,'13. Updated Demand'!A:Z,16,FALSE)),0,VLOOKUP($A2191,'13. Updated Demand'!A:Z,16,FALSE))</f>
        <v>0.13</v>
      </c>
      <c r="Z2191" s="16">
        <f>IF(ISERROR(VLOOKUP($A2191,'13. Updated Demand'!A:Z,17,FALSE)),0,VLOOKUP($A2191,'13. Updated Demand'!A:Z,17,FALSE))</f>
        <v>17.00333333</v>
      </c>
      <c r="AA2191" s="16">
        <f>IF(ISERROR(VLOOKUP($A2191,'13. Updated Demand'!A:Z,18,FALSE)),0,VLOOKUP($A2191,'13. Updated Demand'!A:Z,18,FALSE))</f>
        <v>0.306666667</v>
      </c>
      <c r="AB2191" s="16">
        <f>IF(ISERROR(VLOOKUP($A2191,'13. Updated Demand'!A:Z,19,FALSE)),0,VLOOKUP($A2191,'13. Updated Demand'!A:Z,19,FALSE))</f>
        <v>2.153333333</v>
      </c>
      <c r="AC2191" s="16">
        <f>IF(ISERROR(VLOOKUP($A2191,'13. Updated Demand'!A:Z,20,FALSE)),0,VLOOKUP($A2191,'13. Updated Demand'!A:Z,20,FALSE))</f>
        <v>0</v>
      </c>
      <c r="AD2191" s="16">
        <f>IF(ISERROR(VLOOKUP($A2191,'13. Updated Demand'!A:Z,21,FALSE)),0,VLOOKUP($A2191,'13. Updated Demand'!A:Z,21,FALSE))</f>
        <v>0</v>
      </c>
      <c r="AE2191" s="16">
        <f>IF(ISERROR(VLOOKUP($A2191,'13. Updated Demand'!A:Z,22,FALSE)),0,VLOOKUP($A2191,'13. Updated Demand'!A:Z,22,FALSE))</f>
        <v>0</v>
      </c>
      <c r="AF2191" s="16">
        <f>IF(ISERROR(VLOOKUP($A2191,'13. Updated Demand'!A:Z,23,FALSE)),0,VLOOKUP($A2191,'13. Updated Demand'!A:Z,23,FALSE))</f>
        <v>0</v>
      </c>
      <c r="AG2191" s="16">
        <f>IF(ISERROR(VLOOKUP($A2191,'13. Updated Demand'!A:Z,24,FALSE)),0,VLOOKUP($A2191,'13. Updated Demand'!A:Z,24,FALSE))</f>
        <v>0</v>
      </c>
      <c r="AH2191" s="16">
        <f>IF(ISERROR(VLOOKUP($A2191,'13. Updated Demand'!A:Z,25,FALSE)),0,VLOOKUP($A2191,'13. Updated Demand'!A:Z,25,FALSE))</f>
        <v>0.9</v>
      </c>
      <c r="AI2191" s="16">
        <f>IF(ISERROR(VLOOKUP($A2191,'13. Updated Demand'!A:Z,26,FALSE)),0,VLOOKUP($A2191,'13. Updated Demand'!A:Z,26,FALSE))</f>
        <v>14.41385633</v>
      </c>
      <c r="AJ2191" s="16">
        <f t="shared" si="409"/>
        <v>59.623856329999995</v>
      </c>
      <c r="AK2191" s="19">
        <v>2.153333333</v>
      </c>
      <c r="AL2191" s="16">
        <f t="shared" si="419"/>
        <v>7.1423613778440337E-3</v>
      </c>
      <c r="AM2191" s="26">
        <v>0.44869573841872445</v>
      </c>
      <c r="AN2191" s="19">
        <v>132.8826</v>
      </c>
      <c r="AO2191" s="19" t="s">
        <v>1758</v>
      </c>
      <c r="AP2191" s="19">
        <v>0</v>
      </c>
      <c r="AQ2191" s="19" t="s">
        <v>307</v>
      </c>
      <c r="AR2191" s="9" t="s">
        <v>486</v>
      </c>
      <c r="AS2191" s="12">
        <v>0</v>
      </c>
      <c r="AT2191" s="19">
        <v>38.585900000000002</v>
      </c>
      <c r="AU2191" s="19">
        <v>-122.8133</v>
      </c>
      <c r="AV2191" s="19" t="s">
        <v>1886</v>
      </c>
    </row>
    <row r="2192" spans="1:48" x14ac:dyDescent="0.25">
      <c r="A2192" s="18" t="s">
        <v>2642</v>
      </c>
      <c r="B2192" s="10">
        <v>10000000</v>
      </c>
      <c r="C2192" s="9">
        <v>17</v>
      </c>
      <c r="D2192" s="8" t="str">
        <f t="shared" si="410"/>
        <v>N</v>
      </c>
      <c r="E2192" s="8" t="str">
        <f t="shared" si="411"/>
        <v>N</v>
      </c>
      <c r="F2192" s="8" t="str">
        <f t="shared" si="412"/>
        <v>N</v>
      </c>
      <c r="G2192" s="8" t="str">
        <f t="shared" si="413"/>
        <v>N</v>
      </c>
      <c r="H2192" s="8" t="str">
        <f t="shared" si="414"/>
        <v>Lower</v>
      </c>
      <c r="I2192" s="8" t="str">
        <f t="shared" si="415"/>
        <v>Outside</v>
      </c>
      <c r="J2192" s="8" t="str">
        <f t="shared" si="416"/>
        <v>Outside</v>
      </c>
      <c r="K2192" s="8" t="str">
        <f t="shared" si="417"/>
        <v>Riparian</v>
      </c>
      <c r="L2192" s="8">
        <f t="shared" si="418"/>
        <v>1000</v>
      </c>
      <c r="M2192" s="8" t="str">
        <f t="shared" si="420"/>
        <v>-</v>
      </c>
      <c r="N2192" s="10" t="s">
        <v>242</v>
      </c>
      <c r="O2192" s="10" t="s">
        <v>242</v>
      </c>
      <c r="P2192" s="10" t="s">
        <v>242</v>
      </c>
      <c r="Q2192" s="10" t="s">
        <v>242</v>
      </c>
      <c r="R2192" s="10" t="s">
        <v>242</v>
      </c>
      <c r="S2192" s="10" t="s">
        <v>241</v>
      </c>
      <c r="T2192" s="10" t="s">
        <v>242</v>
      </c>
      <c r="U2192" s="10" t="s">
        <v>242</v>
      </c>
      <c r="V2192" s="10" t="s">
        <v>241</v>
      </c>
      <c r="W2192" s="10" t="s">
        <v>242</v>
      </c>
      <c r="X2192" s="15">
        <f>IF(ISERROR(VLOOKUP($A2192,'13. Updated Demand'!A:Z,15,FALSE)),0,VLOOKUP($A2192,'13. Updated Demand'!A:Z,15,FALSE))</f>
        <v>0.7</v>
      </c>
      <c r="Y2192" s="16">
        <f>IF(ISERROR(VLOOKUP($A2192,'13. Updated Demand'!A:Z,16,FALSE)),0,VLOOKUP($A2192,'13. Updated Demand'!A:Z,16,FALSE))</f>
        <v>0</v>
      </c>
      <c r="Z2192" s="16">
        <f>IF(ISERROR(VLOOKUP($A2192,'13. Updated Demand'!A:Z,17,FALSE)),0,VLOOKUP($A2192,'13. Updated Demand'!A:Z,17,FALSE))</f>
        <v>0</v>
      </c>
      <c r="AA2192" s="16">
        <f>IF(ISERROR(VLOOKUP($A2192,'13. Updated Demand'!A:Z,18,FALSE)),0,VLOOKUP($A2192,'13. Updated Demand'!A:Z,18,FALSE))</f>
        <v>0</v>
      </c>
      <c r="AB2192" s="16">
        <f>IF(ISERROR(VLOOKUP($A2192,'13. Updated Demand'!A:Z,19,FALSE)),0,VLOOKUP($A2192,'13. Updated Demand'!A:Z,19,FALSE))</f>
        <v>0</v>
      </c>
      <c r="AC2192" s="16">
        <f>IF(ISERROR(VLOOKUP($A2192,'13. Updated Demand'!A:Z,20,FALSE)),0,VLOOKUP($A2192,'13. Updated Demand'!A:Z,20,FALSE))</f>
        <v>0</v>
      </c>
      <c r="AD2192" s="16">
        <f>IF(ISERROR(VLOOKUP($A2192,'13. Updated Demand'!A:Z,21,FALSE)),0,VLOOKUP($A2192,'13. Updated Demand'!A:Z,21,FALSE))</f>
        <v>0</v>
      </c>
      <c r="AE2192" s="16">
        <f>IF(ISERROR(VLOOKUP($A2192,'13. Updated Demand'!A:Z,22,FALSE)),0,VLOOKUP($A2192,'13. Updated Demand'!A:Z,22,FALSE))</f>
        <v>0</v>
      </c>
      <c r="AF2192" s="16">
        <f>IF(ISERROR(VLOOKUP($A2192,'13. Updated Demand'!A:Z,23,FALSE)),0,VLOOKUP($A2192,'13. Updated Demand'!A:Z,23,FALSE))</f>
        <v>0</v>
      </c>
      <c r="AG2192" s="16">
        <f>IF(ISERROR(VLOOKUP($A2192,'13. Updated Demand'!A:Z,24,FALSE)),0,VLOOKUP($A2192,'13. Updated Demand'!A:Z,24,FALSE))</f>
        <v>0</v>
      </c>
      <c r="AH2192" s="16">
        <f>IF(ISERROR(VLOOKUP($A2192,'13. Updated Demand'!A:Z,25,FALSE)),0,VLOOKUP($A2192,'13. Updated Demand'!A:Z,25,FALSE))</f>
        <v>0</v>
      </c>
      <c r="AI2192" s="16">
        <f>IF(ISERROR(VLOOKUP($A2192,'13. Updated Demand'!A:Z,26,FALSE)),0,VLOOKUP($A2192,'13. Updated Demand'!A:Z,26,FALSE))</f>
        <v>0</v>
      </c>
      <c r="AJ2192" s="16">
        <f t="shared" ref="AJ2192:AJ2255" si="421">SUM(X2192:AI2192)</f>
        <v>0.7</v>
      </c>
      <c r="AK2192" s="19">
        <v>0</v>
      </c>
      <c r="AL2192" s="16">
        <f t="shared" si="419"/>
        <v>0</v>
      </c>
      <c r="AM2192" s="26">
        <v>0</v>
      </c>
      <c r="AN2192" s="19">
        <v>0</v>
      </c>
      <c r="AO2192" s="19" t="s">
        <v>1758</v>
      </c>
      <c r="AP2192" s="19">
        <v>0</v>
      </c>
      <c r="AQ2192" s="19" t="s">
        <v>307</v>
      </c>
      <c r="AR2192" s="9" t="s">
        <v>486</v>
      </c>
      <c r="AS2192" s="12">
        <v>0</v>
      </c>
      <c r="AT2192" s="19">
        <v>38.590000000000003</v>
      </c>
      <c r="AU2192" s="19">
        <v>-122.8134</v>
      </c>
      <c r="AV2192" s="19" t="s">
        <v>1886</v>
      </c>
    </row>
    <row r="2193" spans="1:48" x14ac:dyDescent="0.25">
      <c r="A2193" s="18" t="s">
        <v>2643</v>
      </c>
      <c r="B2193" s="10">
        <v>10000000</v>
      </c>
      <c r="C2193" s="9">
        <v>17</v>
      </c>
      <c r="D2193" s="8" t="str">
        <f t="shared" si="410"/>
        <v>N</v>
      </c>
      <c r="E2193" s="8" t="str">
        <f t="shared" si="411"/>
        <v>N</v>
      </c>
      <c r="F2193" s="8" t="str">
        <f t="shared" si="412"/>
        <v>N</v>
      </c>
      <c r="G2193" s="8" t="str">
        <f t="shared" si="413"/>
        <v>N</v>
      </c>
      <c r="H2193" s="8" t="str">
        <f t="shared" si="414"/>
        <v>Lower</v>
      </c>
      <c r="I2193" s="8" t="str">
        <f t="shared" si="415"/>
        <v>Outside</v>
      </c>
      <c r="J2193" s="8" t="str">
        <f t="shared" si="416"/>
        <v>Outside</v>
      </c>
      <c r="K2193" s="8" t="str">
        <f t="shared" si="417"/>
        <v>Riparian</v>
      </c>
      <c r="L2193" s="8">
        <f t="shared" si="418"/>
        <v>1000</v>
      </c>
      <c r="M2193" s="8" t="str">
        <f t="shared" si="420"/>
        <v>-</v>
      </c>
      <c r="N2193" s="10" t="s">
        <v>242</v>
      </c>
      <c r="O2193" s="10" t="s">
        <v>242</v>
      </c>
      <c r="P2193" s="10" t="s">
        <v>242</v>
      </c>
      <c r="Q2193" s="10" t="s">
        <v>242</v>
      </c>
      <c r="R2193" s="10" t="s">
        <v>242</v>
      </c>
      <c r="S2193" s="10" t="s">
        <v>241</v>
      </c>
      <c r="T2193" s="10" t="s">
        <v>242</v>
      </c>
      <c r="U2193" s="10" t="s">
        <v>242</v>
      </c>
      <c r="V2193" s="10" t="s">
        <v>241</v>
      </c>
      <c r="W2193" s="10" t="s">
        <v>242</v>
      </c>
      <c r="X2193" s="15">
        <f>IF(ISERROR(VLOOKUP($A2193,'13. Updated Demand'!A:Z,15,FALSE)),0,VLOOKUP($A2193,'13. Updated Demand'!A:Z,15,FALSE))</f>
        <v>16.261333329999999</v>
      </c>
      <c r="Y2193" s="16">
        <f>IF(ISERROR(VLOOKUP($A2193,'13. Updated Demand'!A:Z,16,FALSE)),0,VLOOKUP($A2193,'13. Updated Demand'!A:Z,16,FALSE))</f>
        <v>5.2033333329999998</v>
      </c>
      <c r="Z2193" s="16">
        <f>IF(ISERROR(VLOOKUP($A2193,'13. Updated Demand'!A:Z,17,FALSE)),0,VLOOKUP($A2193,'13. Updated Demand'!A:Z,17,FALSE))</f>
        <v>4.3266666669999996</v>
      </c>
      <c r="AA2193" s="16">
        <f>IF(ISERROR(VLOOKUP($A2193,'13. Updated Demand'!A:Z,18,FALSE)),0,VLOOKUP($A2193,'13. Updated Demand'!A:Z,18,FALSE))</f>
        <v>0.21</v>
      </c>
      <c r="AB2193" s="16">
        <f>IF(ISERROR(VLOOKUP($A2193,'13. Updated Demand'!A:Z,19,FALSE)),0,VLOOKUP($A2193,'13. Updated Demand'!A:Z,19,FALSE))</f>
        <v>0</v>
      </c>
      <c r="AC2193" s="16">
        <f>IF(ISERROR(VLOOKUP($A2193,'13. Updated Demand'!A:Z,20,FALSE)),0,VLOOKUP($A2193,'13. Updated Demand'!A:Z,20,FALSE))</f>
        <v>0</v>
      </c>
      <c r="AD2193" s="16">
        <f>IF(ISERROR(VLOOKUP($A2193,'13. Updated Demand'!A:Z,21,FALSE)),0,VLOOKUP($A2193,'13. Updated Demand'!A:Z,21,FALSE))</f>
        <v>0</v>
      </c>
      <c r="AE2193" s="16">
        <f>IF(ISERROR(VLOOKUP($A2193,'13. Updated Demand'!A:Z,22,FALSE)),0,VLOOKUP($A2193,'13. Updated Demand'!A:Z,22,FALSE))</f>
        <v>0</v>
      </c>
      <c r="AF2193" s="16">
        <f>IF(ISERROR(VLOOKUP($A2193,'13. Updated Demand'!A:Z,23,FALSE)),0,VLOOKUP($A2193,'13. Updated Demand'!A:Z,23,FALSE))</f>
        <v>0</v>
      </c>
      <c r="AG2193" s="16">
        <f>IF(ISERROR(VLOOKUP($A2193,'13. Updated Demand'!A:Z,24,FALSE)),0,VLOOKUP($A2193,'13. Updated Demand'!A:Z,24,FALSE))</f>
        <v>0</v>
      </c>
      <c r="AH2193" s="16">
        <f>IF(ISERROR(VLOOKUP($A2193,'13. Updated Demand'!A:Z,25,FALSE)),0,VLOOKUP($A2193,'13. Updated Demand'!A:Z,25,FALSE))</f>
        <v>0.10705099999999999</v>
      </c>
      <c r="AI2193" s="16">
        <f>IF(ISERROR(VLOOKUP($A2193,'13. Updated Demand'!A:Z,26,FALSE)),0,VLOOKUP($A2193,'13. Updated Demand'!A:Z,26,FALSE))</f>
        <v>5.8537176669999997</v>
      </c>
      <c r="AJ2193" s="16">
        <f t="shared" si="421"/>
        <v>31.962101996999998</v>
      </c>
      <c r="AK2193" s="19">
        <v>0</v>
      </c>
      <c r="AL2193" s="16">
        <f t="shared" si="419"/>
        <v>0</v>
      </c>
      <c r="AM2193" s="26">
        <v>0.31704408564190262</v>
      </c>
      <c r="AN2193" s="19">
        <v>100.8128</v>
      </c>
      <c r="AO2193" s="19" t="s">
        <v>1758</v>
      </c>
      <c r="AP2193" s="19">
        <v>0</v>
      </c>
      <c r="AQ2193" s="19" t="s">
        <v>307</v>
      </c>
      <c r="AR2193" s="9" t="s">
        <v>486</v>
      </c>
      <c r="AS2193" s="12">
        <v>0</v>
      </c>
      <c r="AT2193" s="19">
        <v>38.576000000000001</v>
      </c>
      <c r="AU2193" s="19">
        <v>-122.8126</v>
      </c>
      <c r="AV2193" s="19" t="s">
        <v>1886</v>
      </c>
    </row>
    <row r="2194" spans="1:48" x14ac:dyDescent="0.25">
      <c r="A2194" s="18" t="s">
        <v>2644</v>
      </c>
      <c r="B2194" s="10">
        <v>10000000</v>
      </c>
      <c r="C2194" s="9">
        <v>16</v>
      </c>
      <c r="D2194" s="8" t="str">
        <f t="shared" si="410"/>
        <v>N</v>
      </c>
      <c r="E2194" s="8" t="str">
        <f t="shared" si="411"/>
        <v>N</v>
      </c>
      <c r="F2194" s="8" t="str">
        <f t="shared" si="412"/>
        <v>N</v>
      </c>
      <c r="G2194" s="8" t="str">
        <f t="shared" si="413"/>
        <v>N</v>
      </c>
      <c r="H2194" s="8" t="str">
        <f t="shared" si="414"/>
        <v>Lower</v>
      </c>
      <c r="I2194" s="8" t="str">
        <f t="shared" si="415"/>
        <v>Outside</v>
      </c>
      <c r="J2194" s="8" t="str">
        <f t="shared" si="416"/>
        <v>Outside</v>
      </c>
      <c r="K2194" s="8" t="str">
        <f t="shared" si="417"/>
        <v>Riparian</v>
      </c>
      <c r="L2194" s="8">
        <f t="shared" si="418"/>
        <v>1000</v>
      </c>
      <c r="M2194" s="8" t="str">
        <f t="shared" si="420"/>
        <v>-</v>
      </c>
      <c r="N2194" s="10" t="s">
        <v>242</v>
      </c>
      <c r="O2194" s="10" t="s">
        <v>242</v>
      </c>
      <c r="P2194" s="10" t="s">
        <v>242</v>
      </c>
      <c r="Q2194" s="10" t="s">
        <v>242</v>
      </c>
      <c r="R2194" s="10" t="s">
        <v>242</v>
      </c>
      <c r="S2194" s="10" t="s">
        <v>241</v>
      </c>
      <c r="T2194" s="10" t="s">
        <v>242</v>
      </c>
      <c r="U2194" s="10" t="s">
        <v>242</v>
      </c>
      <c r="V2194" s="10" t="s">
        <v>241</v>
      </c>
      <c r="W2194" s="10" t="s">
        <v>242</v>
      </c>
      <c r="X2194" s="15">
        <f>IF(ISERROR(VLOOKUP($A2194,'13. Updated Demand'!A:Z,15,FALSE)),0,VLOOKUP($A2194,'13. Updated Demand'!A:Z,15,FALSE))</f>
        <v>0</v>
      </c>
      <c r="Y2194" s="16">
        <f>IF(ISERROR(VLOOKUP($A2194,'13. Updated Demand'!A:Z,16,FALSE)),0,VLOOKUP($A2194,'13. Updated Demand'!A:Z,16,FALSE))</f>
        <v>3.7880333000000002E-2</v>
      </c>
      <c r="Z2194" s="16">
        <f>IF(ISERROR(VLOOKUP($A2194,'13. Updated Demand'!A:Z,17,FALSE)),0,VLOOKUP($A2194,'13. Updated Demand'!A:Z,17,FALSE))</f>
        <v>0.317994</v>
      </c>
      <c r="AA2194" s="16">
        <f>IF(ISERROR(VLOOKUP($A2194,'13. Updated Demand'!A:Z,18,FALSE)),0,VLOOKUP($A2194,'13. Updated Demand'!A:Z,18,FALSE))</f>
        <v>0</v>
      </c>
      <c r="AB2194" s="16">
        <f>IF(ISERROR(VLOOKUP($A2194,'13. Updated Demand'!A:Z,19,FALSE)),0,VLOOKUP($A2194,'13. Updated Demand'!A:Z,19,FALSE))</f>
        <v>0</v>
      </c>
      <c r="AC2194" s="16">
        <f>IF(ISERROR(VLOOKUP($A2194,'13. Updated Demand'!A:Z,20,FALSE)),0,VLOOKUP($A2194,'13. Updated Demand'!A:Z,20,FALSE))</f>
        <v>0</v>
      </c>
      <c r="AD2194" s="16">
        <f>IF(ISERROR(VLOOKUP($A2194,'13. Updated Demand'!A:Z,21,FALSE)),0,VLOOKUP($A2194,'13. Updated Demand'!A:Z,21,FALSE))</f>
        <v>0</v>
      </c>
      <c r="AE2194" s="16">
        <f>IF(ISERROR(VLOOKUP($A2194,'13. Updated Demand'!A:Z,22,FALSE)),0,VLOOKUP($A2194,'13. Updated Demand'!A:Z,22,FALSE))</f>
        <v>0</v>
      </c>
      <c r="AF2194" s="16">
        <f>IF(ISERROR(VLOOKUP($A2194,'13. Updated Demand'!A:Z,23,FALSE)),0,VLOOKUP($A2194,'13. Updated Demand'!A:Z,23,FALSE))</f>
        <v>0</v>
      </c>
      <c r="AG2194" s="16">
        <f>IF(ISERROR(VLOOKUP($A2194,'13. Updated Demand'!A:Z,24,FALSE)),0,VLOOKUP($A2194,'13. Updated Demand'!A:Z,24,FALSE))</f>
        <v>0</v>
      </c>
      <c r="AH2194" s="16">
        <f>IF(ISERROR(VLOOKUP($A2194,'13. Updated Demand'!A:Z,25,FALSE)),0,VLOOKUP($A2194,'13. Updated Demand'!A:Z,25,FALSE))</f>
        <v>0.32230466699999999</v>
      </c>
      <c r="AI2194" s="16">
        <f>IF(ISERROR(VLOOKUP($A2194,'13. Updated Demand'!A:Z,26,FALSE)),0,VLOOKUP($A2194,'13. Updated Demand'!A:Z,26,FALSE))</f>
        <v>0</v>
      </c>
      <c r="AJ2194" s="16">
        <f t="shared" si="421"/>
        <v>0.67817899999999998</v>
      </c>
      <c r="AK2194" s="19">
        <v>0</v>
      </c>
      <c r="AL2194" s="16">
        <f t="shared" si="419"/>
        <v>0</v>
      </c>
      <c r="AM2194" s="26">
        <v>8.4341810059645507E-4</v>
      </c>
      <c r="AN2194" s="19">
        <v>804.08399999999995</v>
      </c>
      <c r="AO2194" s="19" t="s">
        <v>1758</v>
      </c>
      <c r="AP2194" s="19">
        <v>0</v>
      </c>
      <c r="AQ2194" s="19" t="s">
        <v>307</v>
      </c>
      <c r="AR2194" s="9" t="s">
        <v>394</v>
      </c>
      <c r="AS2194" s="12">
        <v>0</v>
      </c>
      <c r="AT2194" s="19">
        <v>38.627000000000002</v>
      </c>
      <c r="AU2194" s="19">
        <v>-122.8959</v>
      </c>
      <c r="AV2194" s="19" t="s">
        <v>701</v>
      </c>
    </row>
    <row r="2195" spans="1:48" x14ac:dyDescent="0.25">
      <c r="A2195" s="18" t="s">
        <v>2645</v>
      </c>
      <c r="B2195" s="10">
        <v>10000000</v>
      </c>
      <c r="C2195" s="9">
        <v>16</v>
      </c>
      <c r="D2195" s="8" t="str">
        <f t="shared" si="410"/>
        <v>N</v>
      </c>
      <c r="E2195" s="8" t="str">
        <f t="shared" si="411"/>
        <v>N</v>
      </c>
      <c r="F2195" s="8" t="str">
        <f t="shared" si="412"/>
        <v>N</v>
      </c>
      <c r="G2195" s="8" t="str">
        <f t="shared" si="413"/>
        <v>N</v>
      </c>
      <c r="H2195" s="8" t="str">
        <f t="shared" si="414"/>
        <v>Lower</v>
      </c>
      <c r="I2195" s="8" t="str">
        <f t="shared" si="415"/>
        <v>Outside</v>
      </c>
      <c r="J2195" s="8" t="str">
        <f t="shared" si="416"/>
        <v>Outside</v>
      </c>
      <c r="K2195" s="8" t="str">
        <f t="shared" si="417"/>
        <v>Riparian</v>
      </c>
      <c r="L2195" s="8">
        <f t="shared" si="418"/>
        <v>1000</v>
      </c>
      <c r="M2195" s="8" t="str">
        <f t="shared" si="420"/>
        <v>-</v>
      </c>
      <c r="N2195" s="10" t="s">
        <v>242</v>
      </c>
      <c r="O2195" s="10" t="s">
        <v>242</v>
      </c>
      <c r="P2195" s="10" t="s">
        <v>242</v>
      </c>
      <c r="Q2195" s="10" t="s">
        <v>242</v>
      </c>
      <c r="R2195" s="10" t="s">
        <v>242</v>
      </c>
      <c r="S2195" s="10" t="s">
        <v>241</v>
      </c>
      <c r="T2195" s="10" t="s">
        <v>242</v>
      </c>
      <c r="U2195" s="10" t="s">
        <v>241</v>
      </c>
      <c r="V2195" s="10" t="s">
        <v>241</v>
      </c>
      <c r="W2195" s="10" t="s">
        <v>242</v>
      </c>
      <c r="X2195" s="15">
        <f>IF(ISERROR(VLOOKUP($A2195,'13. Updated Demand'!A:Z,15,FALSE)),0,VLOOKUP($A2195,'13. Updated Demand'!A:Z,15,FALSE))</f>
        <v>0</v>
      </c>
      <c r="Y2195" s="16">
        <f>IF(ISERROR(VLOOKUP($A2195,'13. Updated Demand'!A:Z,16,FALSE)),0,VLOOKUP($A2195,'13. Updated Demand'!A:Z,16,FALSE))</f>
        <v>0</v>
      </c>
      <c r="Z2195" s="16">
        <f>IF(ISERROR(VLOOKUP($A2195,'13. Updated Demand'!A:Z,17,FALSE)),0,VLOOKUP($A2195,'13. Updated Demand'!A:Z,17,FALSE))</f>
        <v>0</v>
      </c>
      <c r="AA2195" s="16">
        <f>IF(ISERROR(VLOOKUP($A2195,'13. Updated Demand'!A:Z,18,FALSE)),0,VLOOKUP($A2195,'13. Updated Demand'!A:Z,18,FALSE))</f>
        <v>0</v>
      </c>
      <c r="AB2195" s="16">
        <f>IF(ISERROR(VLOOKUP($A2195,'13. Updated Demand'!A:Z,19,FALSE)),0,VLOOKUP($A2195,'13. Updated Demand'!A:Z,19,FALSE))</f>
        <v>0</v>
      </c>
      <c r="AC2195" s="16">
        <f>IF(ISERROR(VLOOKUP($A2195,'13. Updated Demand'!A:Z,20,FALSE)),0,VLOOKUP($A2195,'13. Updated Demand'!A:Z,20,FALSE))</f>
        <v>0</v>
      </c>
      <c r="AD2195" s="16">
        <f>IF(ISERROR(VLOOKUP($A2195,'13. Updated Demand'!A:Z,21,FALSE)),0,VLOOKUP($A2195,'13. Updated Demand'!A:Z,21,FALSE))</f>
        <v>0</v>
      </c>
      <c r="AE2195" s="16">
        <f>IF(ISERROR(VLOOKUP($A2195,'13. Updated Demand'!A:Z,22,FALSE)),0,VLOOKUP($A2195,'13. Updated Demand'!A:Z,22,FALSE))</f>
        <v>0</v>
      </c>
      <c r="AF2195" s="16">
        <f>IF(ISERROR(VLOOKUP($A2195,'13. Updated Demand'!A:Z,23,FALSE)),0,VLOOKUP($A2195,'13. Updated Demand'!A:Z,23,FALSE))</f>
        <v>0</v>
      </c>
      <c r="AG2195" s="16">
        <f>IF(ISERROR(VLOOKUP($A2195,'13. Updated Demand'!A:Z,24,FALSE)),0,VLOOKUP($A2195,'13. Updated Demand'!A:Z,24,FALSE))</f>
        <v>0</v>
      </c>
      <c r="AH2195" s="16">
        <f>IF(ISERROR(VLOOKUP($A2195,'13. Updated Demand'!A:Z,25,FALSE)),0,VLOOKUP($A2195,'13. Updated Demand'!A:Z,25,FALSE))</f>
        <v>0</v>
      </c>
      <c r="AI2195" s="16">
        <f>IF(ISERROR(VLOOKUP($A2195,'13. Updated Demand'!A:Z,26,FALSE)),0,VLOOKUP($A2195,'13. Updated Demand'!A:Z,26,FALSE))</f>
        <v>0</v>
      </c>
      <c r="AJ2195" s="16">
        <f t="shared" si="421"/>
        <v>0</v>
      </c>
      <c r="AK2195" s="19">
        <v>0</v>
      </c>
      <c r="AL2195" s="16">
        <f t="shared" si="419"/>
        <v>0</v>
      </c>
      <c r="AM2195" s="26">
        <v>0</v>
      </c>
      <c r="AN2195" s="19">
        <v>1412.58</v>
      </c>
      <c r="AO2195" s="19" t="s">
        <v>1758</v>
      </c>
      <c r="AP2195" s="19">
        <v>0</v>
      </c>
      <c r="AQ2195" s="19" t="s">
        <v>307</v>
      </c>
      <c r="AR2195" s="9" t="s">
        <v>394</v>
      </c>
      <c r="AS2195" s="12">
        <v>0</v>
      </c>
      <c r="AT2195" s="19">
        <v>38.611699999999999</v>
      </c>
      <c r="AU2195" s="19">
        <v>-122.8862</v>
      </c>
      <c r="AV2195" s="19" t="s">
        <v>932</v>
      </c>
    </row>
    <row r="2196" spans="1:48" x14ac:dyDescent="0.25">
      <c r="A2196" s="18" t="s">
        <v>2646</v>
      </c>
      <c r="B2196" s="10">
        <v>10000000</v>
      </c>
      <c r="C2196" s="9">
        <v>1</v>
      </c>
      <c r="D2196" s="8" t="str">
        <f t="shared" si="410"/>
        <v>N</v>
      </c>
      <c r="E2196" s="8" t="str">
        <f t="shared" si="411"/>
        <v>N</v>
      </c>
      <c r="F2196" s="8" t="str">
        <f t="shared" si="412"/>
        <v>Y</v>
      </c>
      <c r="G2196" s="8" t="str">
        <f t="shared" si="413"/>
        <v>Y</v>
      </c>
      <c r="H2196" s="8" t="str">
        <f t="shared" si="414"/>
        <v>Upper</v>
      </c>
      <c r="I2196" s="8" t="str">
        <f t="shared" si="415"/>
        <v>West Fork and Below Lake</v>
      </c>
      <c r="J2196" s="8" t="str">
        <f t="shared" si="416"/>
        <v>Outside</v>
      </c>
      <c r="K2196" s="8" t="str">
        <f t="shared" si="417"/>
        <v>Riparian</v>
      </c>
      <c r="L2196" s="8">
        <f t="shared" si="418"/>
        <v>1000</v>
      </c>
      <c r="M2196" s="8" t="str">
        <f t="shared" si="420"/>
        <v>-</v>
      </c>
      <c r="N2196" s="10" t="s">
        <v>242</v>
      </c>
      <c r="O2196" s="10" t="s">
        <v>241</v>
      </c>
      <c r="P2196" s="10" t="s">
        <v>242</v>
      </c>
      <c r="Q2196" s="10" t="s">
        <v>242</v>
      </c>
      <c r="R2196" s="10" t="s">
        <v>242</v>
      </c>
      <c r="S2196" s="10" t="s">
        <v>241</v>
      </c>
      <c r="T2196" s="10" t="s">
        <v>242</v>
      </c>
      <c r="U2196" s="10" t="s">
        <v>241</v>
      </c>
      <c r="V2196" s="10" t="s">
        <v>241</v>
      </c>
      <c r="W2196" s="10" t="s">
        <v>242</v>
      </c>
      <c r="X2196" s="15">
        <f>IF(ISERROR(VLOOKUP($A2196,'13. Updated Demand'!A:Z,15,FALSE)),0,VLOOKUP($A2196,'13. Updated Demand'!A:Z,15,FALSE))</f>
        <v>0</v>
      </c>
      <c r="Y2196" s="16">
        <f>IF(ISERROR(VLOOKUP($A2196,'13. Updated Demand'!A:Z,16,FALSE)),0,VLOOKUP($A2196,'13. Updated Demand'!A:Z,16,FALSE))</f>
        <v>0</v>
      </c>
      <c r="Z2196" s="16">
        <f>IF(ISERROR(VLOOKUP($A2196,'13. Updated Demand'!A:Z,17,FALSE)),0,VLOOKUP($A2196,'13. Updated Demand'!A:Z,17,FALSE))</f>
        <v>0</v>
      </c>
      <c r="AA2196" s="16">
        <f>IF(ISERROR(VLOOKUP($A2196,'13. Updated Demand'!A:Z,18,FALSE)),0,VLOOKUP($A2196,'13. Updated Demand'!A:Z,18,FALSE))</f>
        <v>0</v>
      </c>
      <c r="AB2196" s="16">
        <f>IF(ISERROR(VLOOKUP($A2196,'13. Updated Demand'!A:Z,19,FALSE)),0,VLOOKUP($A2196,'13. Updated Demand'!A:Z,19,FALSE))</f>
        <v>0</v>
      </c>
      <c r="AC2196" s="16">
        <f>IF(ISERROR(VLOOKUP($A2196,'13. Updated Demand'!A:Z,20,FALSE)),0,VLOOKUP($A2196,'13. Updated Demand'!A:Z,20,FALSE))</f>
        <v>0</v>
      </c>
      <c r="AD2196" s="16">
        <f>IF(ISERROR(VLOOKUP($A2196,'13. Updated Demand'!A:Z,21,FALSE)),0,VLOOKUP($A2196,'13. Updated Demand'!A:Z,21,FALSE))</f>
        <v>0</v>
      </c>
      <c r="AE2196" s="16">
        <f>IF(ISERROR(VLOOKUP($A2196,'13. Updated Demand'!A:Z,22,FALSE)),0,VLOOKUP($A2196,'13. Updated Demand'!A:Z,22,FALSE))</f>
        <v>0</v>
      </c>
      <c r="AF2196" s="16">
        <f>IF(ISERROR(VLOOKUP($A2196,'13. Updated Demand'!A:Z,23,FALSE)),0,VLOOKUP($A2196,'13. Updated Demand'!A:Z,23,FALSE))</f>
        <v>0</v>
      </c>
      <c r="AG2196" s="16">
        <f>IF(ISERROR(VLOOKUP($A2196,'13. Updated Demand'!A:Z,24,FALSE)),0,VLOOKUP($A2196,'13. Updated Demand'!A:Z,24,FALSE))</f>
        <v>0</v>
      </c>
      <c r="AH2196" s="16">
        <f>IF(ISERROR(VLOOKUP($A2196,'13. Updated Demand'!A:Z,25,FALSE)),0,VLOOKUP($A2196,'13. Updated Demand'!A:Z,25,FALSE))</f>
        <v>0</v>
      </c>
      <c r="AI2196" s="16">
        <f>IF(ISERROR(VLOOKUP($A2196,'13. Updated Demand'!A:Z,26,FALSE)),0,VLOOKUP($A2196,'13. Updated Demand'!A:Z,26,FALSE))</f>
        <v>0</v>
      </c>
      <c r="AJ2196" s="16">
        <f t="shared" si="421"/>
        <v>0</v>
      </c>
      <c r="AK2196" s="19">
        <v>0</v>
      </c>
      <c r="AL2196" s="16">
        <f t="shared" si="419"/>
        <v>0</v>
      </c>
      <c r="AM2196" s="26">
        <v>0</v>
      </c>
      <c r="AN2196" s="19">
        <v>0</v>
      </c>
      <c r="AO2196" s="19" t="s">
        <v>1758</v>
      </c>
      <c r="AP2196" s="19">
        <v>0</v>
      </c>
      <c r="AQ2196" s="19" t="s">
        <v>307</v>
      </c>
      <c r="AR2196" s="9" t="s">
        <v>317</v>
      </c>
      <c r="AS2196" s="12">
        <v>0</v>
      </c>
      <c r="AT2196" s="19">
        <v>39.271599999999999</v>
      </c>
      <c r="AU2196" s="19">
        <v>-123.21080000000001</v>
      </c>
      <c r="AV2196" s="19" t="s">
        <v>1813</v>
      </c>
    </row>
    <row r="2197" spans="1:48" x14ac:dyDescent="0.25">
      <c r="A2197" s="18" t="s">
        <v>2647</v>
      </c>
      <c r="B2197" s="10">
        <v>10000000</v>
      </c>
      <c r="C2197" s="9">
        <v>16</v>
      </c>
      <c r="D2197" s="8" t="str">
        <f t="shared" si="410"/>
        <v>N</v>
      </c>
      <c r="E2197" s="8" t="str">
        <f t="shared" si="411"/>
        <v>N</v>
      </c>
      <c r="F2197" s="8" t="str">
        <f t="shared" si="412"/>
        <v>N</v>
      </c>
      <c r="G2197" s="8" t="str">
        <f t="shared" si="413"/>
        <v>N</v>
      </c>
      <c r="H2197" s="8" t="str">
        <f t="shared" si="414"/>
        <v>Lower</v>
      </c>
      <c r="I2197" s="8" t="str">
        <f t="shared" si="415"/>
        <v>Outside</v>
      </c>
      <c r="J2197" s="8" t="str">
        <f t="shared" si="416"/>
        <v>Outside</v>
      </c>
      <c r="K2197" s="8" t="str">
        <f t="shared" si="417"/>
        <v>Riparian</v>
      </c>
      <c r="L2197" s="8">
        <f t="shared" si="418"/>
        <v>1000</v>
      </c>
      <c r="M2197" s="8" t="str">
        <f t="shared" si="420"/>
        <v>-</v>
      </c>
      <c r="N2197" s="10" t="s">
        <v>242</v>
      </c>
      <c r="O2197" s="10" t="s">
        <v>242</v>
      </c>
      <c r="P2197" s="10" t="s">
        <v>242</v>
      </c>
      <c r="Q2197" s="10" t="s">
        <v>242</v>
      </c>
      <c r="R2197" s="10" t="s">
        <v>242</v>
      </c>
      <c r="S2197" s="10" t="s">
        <v>241</v>
      </c>
      <c r="T2197" s="10" t="s">
        <v>242</v>
      </c>
      <c r="U2197" s="10" t="s">
        <v>242</v>
      </c>
      <c r="V2197" s="10" t="s">
        <v>241</v>
      </c>
      <c r="W2197" s="10" t="s">
        <v>242</v>
      </c>
      <c r="X2197" s="15">
        <f>IF(ISERROR(VLOOKUP($A2197,'13. Updated Demand'!A:Z,15,FALSE)),0,VLOOKUP($A2197,'13. Updated Demand'!A:Z,15,FALSE))</f>
        <v>0</v>
      </c>
      <c r="Y2197" s="16">
        <f>IF(ISERROR(VLOOKUP($A2197,'13. Updated Demand'!A:Z,16,FALSE)),0,VLOOKUP($A2197,'13. Updated Demand'!A:Z,16,FALSE))</f>
        <v>0</v>
      </c>
      <c r="Z2197" s="16">
        <f>IF(ISERROR(VLOOKUP($A2197,'13. Updated Demand'!A:Z,17,FALSE)),0,VLOOKUP($A2197,'13. Updated Demand'!A:Z,17,FALSE))</f>
        <v>0</v>
      </c>
      <c r="AA2197" s="16">
        <f>IF(ISERROR(VLOOKUP($A2197,'13. Updated Demand'!A:Z,18,FALSE)),0,VLOOKUP($A2197,'13. Updated Demand'!A:Z,18,FALSE))</f>
        <v>0</v>
      </c>
      <c r="AB2197" s="16">
        <f>IF(ISERROR(VLOOKUP($A2197,'13. Updated Demand'!A:Z,19,FALSE)),0,VLOOKUP($A2197,'13. Updated Demand'!A:Z,19,FALSE))</f>
        <v>0</v>
      </c>
      <c r="AC2197" s="16">
        <f>IF(ISERROR(VLOOKUP($A2197,'13. Updated Demand'!A:Z,20,FALSE)),0,VLOOKUP($A2197,'13. Updated Demand'!A:Z,20,FALSE))</f>
        <v>0</v>
      </c>
      <c r="AD2197" s="16">
        <f>IF(ISERROR(VLOOKUP($A2197,'13. Updated Demand'!A:Z,21,FALSE)),0,VLOOKUP($A2197,'13. Updated Demand'!A:Z,21,FALSE))</f>
        <v>0</v>
      </c>
      <c r="AE2197" s="16">
        <f>IF(ISERROR(VLOOKUP($A2197,'13. Updated Demand'!A:Z,22,FALSE)),0,VLOOKUP($A2197,'13. Updated Demand'!A:Z,22,FALSE))</f>
        <v>0</v>
      </c>
      <c r="AF2197" s="16">
        <f>IF(ISERROR(VLOOKUP($A2197,'13. Updated Demand'!A:Z,23,FALSE)),0,VLOOKUP($A2197,'13. Updated Demand'!A:Z,23,FALSE))</f>
        <v>0</v>
      </c>
      <c r="AG2197" s="16">
        <f>IF(ISERROR(VLOOKUP($A2197,'13. Updated Demand'!A:Z,24,FALSE)),0,VLOOKUP($A2197,'13. Updated Demand'!A:Z,24,FALSE))</f>
        <v>3.33333E-4</v>
      </c>
      <c r="AH2197" s="16">
        <f>IF(ISERROR(VLOOKUP($A2197,'13. Updated Demand'!A:Z,25,FALSE)),0,VLOOKUP($A2197,'13. Updated Demand'!A:Z,25,FALSE))</f>
        <v>0</v>
      </c>
      <c r="AI2197" s="16">
        <f>IF(ISERROR(VLOOKUP($A2197,'13. Updated Demand'!A:Z,26,FALSE)),0,VLOOKUP($A2197,'13. Updated Demand'!A:Z,26,FALSE))</f>
        <v>0</v>
      </c>
      <c r="AJ2197" s="16">
        <f t="shared" si="421"/>
        <v>3.33333E-4</v>
      </c>
      <c r="AK2197" s="19">
        <v>0</v>
      </c>
      <c r="AL2197" s="16">
        <f t="shared" si="419"/>
        <v>0</v>
      </c>
      <c r="AM2197" s="26">
        <v>1.5338348978464939E-5</v>
      </c>
      <c r="AN2197" s="19">
        <v>21.731999999999999</v>
      </c>
      <c r="AO2197" s="19" t="s">
        <v>1758</v>
      </c>
      <c r="AP2197" s="19">
        <v>0</v>
      </c>
      <c r="AQ2197" s="19" t="s">
        <v>307</v>
      </c>
      <c r="AR2197" s="9" t="s">
        <v>394</v>
      </c>
      <c r="AS2197" s="12">
        <v>0</v>
      </c>
      <c r="AT2197" s="19">
        <v>38.629399999999997</v>
      </c>
      <c r="AU2197" s="19">
        <v>-122.8874</v>
      </c>
      <c r="AV2197" s="19" t="s">
        <v>701</v>
      </c>
    </row>
    <row r="2198" spans="1:48" x14ac:dyDescent="0.25">
      <c r="A2198" s="18" t="s">
        <v>2648</v>
      </c>
      <c r="B2198" s="10">
        <v>10000000</v>
      </c>
      <c r="C2198" s="9">
        <v>1</v>
      </c>
      <c r="D2198" s="8" t="str">
        <f t="shared" si="410"/>
        <v>N</v>
      </c>
      <c r="E2198" s="8" t="str">
        <f t="shared" si="411"/>
        <v>N</v>
      </c>
      <c r="F2198" s="8" t="str">
        <f t="shared" si="412"/>
        <v>Y</v>
      </c>
      <c r="G2198" s="8" t="str">
        <f t="shared" si="413"/>
        <v>Y</v>
      </c>
      <c r="H2198" s="8" t="str">
        <f t="shared" si="414"/>
        <v>Upper</v>
      </c>
      <c r="I2198" s="8" t="str">
        <f t="shared" si="415"/>
        <v>West Fork and Below Lake</v>
      </c>
      <c r="J2198" s="8" t="str">
        <f t="shared" si="416"/>
        <v>Outside</v>
      </c>
      <c r="K2198" s="8" t="str">
        <f t="shared" si="417"/>
        <v>Riparian</v>
      </c>
      <c r="L2198" s="8">
        <f t="shared" si="418"/>
        <v>1000</v>
      </c>
      <c r="M2198" s="8" t="str">
        <f t="shared" si="420"/>
        <v>-</v>
      </c>
      <c r="N2198" s="10" t="s">
        <v>242</v>
      </c>
      <c r="O2198" s="10" t="s">
        <v>241</v>
      </c>
      <c r="P2198" s="10" t="s">
        <v>242</v>
      </c>
      <c r="Q2198" s="10" t="s">
        <v>242</v>
      </c>
      <c r="R2198" s="10" t="s">
        <v>242</v>
      </c>
      <c r="S2198" s="10" t="s">
        <v>241</v>
      </c>
      <c r="T2198" s="10" t="s">
        <v>242</v>
      </c>
      <c r="U2198" s="10" t="s">
        <v>241</v>
      </c>
      <c r="V2198" s="10" t="s">
        <v>241</v>
      </c>
      <c r="W2198" s="10" t="s">
        <v>242</v>
      </c>
      <c r="X2198" s="15">
        <f>IF(ISERROR(VLOOKUP($A2198,'13. Updated Demand'!A:Z,15,FALSE)),0,VLOOKUP($A2198,'13. Updated Demand'!A:Z,15,FALSE))</f>
        <v>0</v>
      </c>
      <c r="Y2198" s="16">
        <f>IF(ISERROR(VLOOKUP($A2198,'13. Updated Demand'!A:Z,16,FALSE)),0,VLOOKUP($A2198,'13. Updated Demand'!A:Z,16,FALSE))</f>
        <v>0</v>
      </c>
      <c r="Z2198" s="16">
        <f>IF(ISERROR(VLOOKUP($A2198,'13. Updated Demand'!A:Z,17,FALSE)),0,VLOOKUP($A2198,'13. Updated Demand'!A:Z,17,FALSE))</f>
        <v>0</v>
      </c>
      <c r="AA2198" s="16">
        <f>IF(ISERROR(VLOOKUP($A2198,'13. Updated Demand'!A:Z,18,FALSE)),0,VLOOKUP($A2198,'13. Updated Demand'!A:Z,18,FALSE))</f>
        <v>0</v>
      </c>
      <c r="AB2198" s="16">
        <f>IF(ISERROR(VLOOKUP($A2198,'13. Updated Demand'!A:Z,19,FALSE)),0,VLOOKUP($A2198,'13. Updated Demand'!A:Z,19,FALSE))</f>
        <v>0</v>
      </c>
      <c r="AC2198" s="16">
        <f>IF(ISERROR(VLOOKUP($A2198,'13. Updated Demand'!A:Z,20,FALSE)),0,VLOOKUP($A2198,'13. Updated Demand'!A:Z,20,FALSE))</f>
        <v>0</v>
      </c>
      <c r="AD2198" s="16">
        <f>IF(ISERROR(VLOOKUP($A2198,'13. Updated Demand'!A:Z,21,FALSE)),0,VLOOKUP($A2198,'13. Updated Demand'!A:Z,21,FALSE))</f>
        <v>0</v>
      </c>
      <c r="AE2198" s="16">
        <f>IF(ISERROR(VLOOKUP($A2198,'13. Updated Demand'!A:Z,22,FALSE)),0,VLOOKUP($A2198,'13. Updated Demand'!A:Z,22,FALSE))</f>
        <v>0</v>
      </c>
      <c r="AF2198" s="16">
        <f>IF(ISERROR(VLOOKUP($A2198,'13. Updated Demand'!A:Z,23,FALSE)),0,VLOOKUP($A2198,'13. Updated Demand'!A:Z,23,FALSE))</f>
        <v>0</v>
      </c>
      <c r="AG2198" s="16">
        <f>IF(ISERROR(VLOOKUP($A2198,'13. Updated Demand'!A:Z,24,FALSE)),0,VLOOKUP($A2198,'13. Updated Demand'!A:Z,24,FALSE))</f>
        <v>0</v>
      </c>
      <c r="AH2198" s="16">
        <f>IF(ISERROR(VLOOKUP($A2198,'13. Updated Demand'!A:Z,25,FALSE)),0,VLOOKUP($A2198,'13. Updated Demand'!A:Z,25,FALSE))</f>
        <v>0</v>
      </c>
      <c r="AI2198" s="16">
        <f>IF(ISERROR(VLOOKUP($A2198,'13. Updated Demand'!A:Z,26,FALSE)),0,VLOOKUP($A2198,'13. Updated Demand'!A:Z,26,FALSE))</f>
        <v>0</v>
      </c>
      <c r="AJ2198" s="16">
        <f t="shared" si="421"/>
        <v>0</v>
      </c>
      <c r="AK2198" s="19">
        <v>0</v>
      </c>
      <c r="AL2198" s="16">
        <f t="shared" si="419"/>
        <v>0</v>
      </c>
      <c r="AM2198" s="26">
        <v>0</v>
      </c>
      <c r="AN2198" s="19">
        <v>470.86</v>
      </c>
      <c r="AO2198" s="19" t="s">
        <v>1758</v>
      </c>
      <c r="AP2198" s="19">
        <v>0</v>
      </c>
      <c r="AQ2198" s="19" t="s">
        <v>307</v>
      </c>
      <c r="AR2198" s="9" t="s">
        <v>317</v>
      </c>
      <c r="AS2198" s="12">
        <v>0</v>
      </c>
      <c r="AT2198" s="19">
        <v>39.269500000000001</v>
      </c>
      <c r="AU2198" s="19">
        <v>-123.2092</v>
      </c>
      <c r="AV2198" s="19" t="s">
        <v>1813</v>
      </c>
    </row>
    <row r="2199" spans="1:48" x14ac:dyDescent="0.25">
      <c r="A2199" s="18" t="s">
        <v>2649</v>
      </c>
      <c r="B2199" s="10">
        <v>10000000</v>
      </c>
      <c r="C2199" s="9">
        <v>9</v>
      </c>
      <c r="D2199" s="8" t="str">
        <f t="shared" si="410"/>
        <v>N</v>
      </c>
      <c r="E2199" s="8" t="str">
        <f t="shared" si="411"/>
        <v>Y</v>
      </c>
      <c r="F2199" s="8" t="str">
        <f t="shared" si="412"/>
        <v>Y</v>
      </c>
      <c r="G2199" s="8" t="str">
        <f t="shared" si="413"/>
        <v>Y</v>
      </c>
      <c r="H2199" s="8" t="str">
        <f t="shared" si="414"/>
        <v>Upper</v>
      </c>
      <c r="I2199" s="8" t="str">
        <f t="shared" si="415"/>
        <v>West Fork and Below Lake</v>
      </c>
      <c r="J2199" s="8" t="str">
        <f t="shared" si="416"/>
        <v>Sonoma (d/s of Clov. Gage)</v>
      </c>
      <c r="K2199" s="8" t="str">
        <f t="shared" si="417"/>
        <v>Riparian</v>
      </c>
      <c r="L2199" s="8">
        <f t="shared" si="418"/>
        <v>1000</v>
      </c>
      <c r="M2199" s="8" t="str">
        <f t="shared" si="420"/>
        <v>-</v>
      </c>
      <c r="N2199" s="10" t="s">
        <v>241</v>
      </c>
      <c r="O2199" s="10" t="s">
        <v>241</v>
      </c>
      <c r="P2199" s="10" t="s">
        <v>242</v>
      </c>
      <c r="Q2199" s="10" t="s">
        <v>242</v>
      </c>
      <c r="R2199" s="10" t="s">
        <v>242</v>
      </c>
      <c r="S2199" s="10" t="s">
        <v>241</v>
      </c>
      <c r="T2199" s="10" t="s">
        <v>242</v>
      </c>
      <c r="U2199" s="10" t="s">
        <v>242</v>
      </c>
      <c r="V2199" s="10" t="s">
        <v>242</v>
      </c>
      <c r="W2199" s="10" t="s">
        <v>242</v>
      </c>
      <c r="X2199" s="15">
        <f>IF(ISERROR(VLOOKUP($A2199,'13. Updated Demand'!A:Z,15,FALSE)),0,VLOOKUP($A2199,'13. Updated Demand'!A:Z,15,FALSE))</f>
        <v>0</v>
      </c>
      <c r="Y2199" s="16">
        <f>IF(ISERROR(VLOOKUP($A2199,'13. Updated Demand'!A:Z,16,FALSE)),0,VLOOKUP($A2199,'13. Updated Demand'!A:Z,16,FALSE))</f>
        <v>0.2</v>
      </c>
      <c r="Z2199" s="16">
        <f>IF(ISERROR(VLOOKUP($A2199,'13. Updated Demand'!A:Z,17,FALSE)),0,VLOOKUP($A2199,'13. Updated Demand'!A:Z,17,FALSE))</f>
        <v>0.03</v>
      </c>
      <c r="AA2199" s="16">
        <f>IF(ISERROR(VLOOKUP($A2199,'13. Updated Demand'!A:Z,18,FALSE)),0,VLOOKUP($A2199,'13. Updated Demand'!A:Z,18,FALSE))</f>
        <v>0.23</v>
      </c>
      <c r="AB2199" s="16">
        <f>IF(ISERROR(VLOOKUP($A2199,'13. Updated Demand'!A:Z,19,FALSE)),0,VLOOKUP($A2199,'13. Updated Demand'!A:Z,19,FALSE))</f>
        <v>0.96</v>
      </c>
      <c r="AC2199" s="16">
        <f>IF(ISERROR(VLOOKUP($A2199,'13. Updated Demand'!A:Z,20,FALSE)),0,VLOOKUP($A2199,'13. Updated Demand'!A:Z,20,FALSE))</f>
        <v>0.96</v>
      </c>
      <c r="AD2199" s="16">
        <f>IF(ISERROR(VLOOKUP($A2199,'13. Updated Demand'!A:Z,21,FALSE)),0,VLOOKUP($A2199,'13. Updated Demand'!A:Z,21,FALSE))</f>
        <v>3.63</v>
      </c>
      <c r="AE2199" s="16">
        <f>IF(ISERROR(VLOOKUP($A2199,'13. Updated Demand'!A:Z,22,FALSE)),0,VLOOKUP($A2199,'13. Updated Demand'!A:Z,22,FALSE))</f>
        <v>5.36</v>
      </c>
      <c r="AF2199" s="16">
        <f>IF(ISERROR(VLOOKUP($A2199,'13. Updated Demand'!A:Z,23,FALSE)),0,VLOOKUP($A2199,'13. Updated Demand'!A:Z,23,FALSE))</f>
        <v>3.2</v>
      </c>
      <c r="AG2199" s="16">
        <f>IF(ISERROR(VLOOKUP($A2199,'13. Updated Demand'!A:Z,24,FALSE)),0,VLOOKUP($A2199,'13. Updated Demand'!A:Z,24,FALSE))</f>
        <v>0.3</v>
      </c>
      <c r="AH2199" s="16">
        <f>IF(ISERROR(VLOOKUP($A2199,'13. Updated Demand'!A:Z,25,FALSE)),0,VLOOKUP($A2199,'13. Updated Demand'!A:Z,25,FALSE))</f>
        <v>0.73</v>
      </c>
      <c r="AI2199" s="16">
        <f>IF(ISERROR(VLOOKUP($A2199,'13. Updated Demand'!A:Z,26,FALSE)),0,VLOOKUP($A2199,'13. Updated Demand'!A:Z,26,FALSE))</f>
        <v>0</v>
      </c>
      <c r="AJ2199" s="16">
        <f t="shared" si="421"/>
        <v>15.600000000000001</v>
      </c>
      <c r="AK2199" s="19">
        <v>14.133333333333333</v>
      </c>
      <c r="AL2199" s="16">
        <f t="shared" si="419"/>
        <v>4.6878656728709861E-2</v>
      </c>
      <c r="AM2199" s="26">
        <v>2.3978976215309734E-2</v>
      </c>
      <c r="AN2199" s="19">
        <v>651.96</v>
      </c>
      <c r="AO2199" s="19" t="s">
        <v>1758</v>
      </c>
      <c r="AP2199" s="19">
        <v>0</v>
      </c>
      <c r="AQ2199" s="19" t="s">
        <v>307</v>
      </c>
      <c r="AR2199" s="9" t="s">
        <v>354</v>
      </c>
      <c r="AS2199" s="12">
        <v>0</v>
      </c>
      <c r="AT2199" s="19">
        <v>38.804600000000001</v>
      </c>
      <c r="AU2199" s="19">
        <v>-123.0046</v>
      </c>
      <c r="AV2199" s="19" t="s">
        <v>387</v>
      </c>
    </row>
    <row r="2200" spans="1:48" x14ac:dyDescent="0.25">
      <c r="A2200" s="18" t="s">
        <v>2650</v>
      </c>
      <c r="B2200" s="10">
        <v>10000000</v>
      </c>
      <c r="C2200" s="9">
        <v>9</v>
      </c>
      <c r="D2200" s="8" t="str">
        <f t="shared" si="410"/>
        <v>N</v>
      </c>
      <c r="E2200" s="8" t="str">
        <f t="shared" si="411"/>
        <v>Y</v>
      </c>
      <c r="F2200" s="8" t="str">
        <f t="shared" si="412"/>
        <v>Y</v>
      </c>
      <c r="G2200" s="8" t="str">
        <f t="shared" si="413"/>
        <v>Y</v>
      </c>
      <c r="H2200" s="8" t="str">
        <f t="shared" si="414"/>
        <v>Upper</v>
      </c>
      <c r="I2200" s="8" t="str">
        <f t="shared" si="415"/>
        <v>West Fork and Below Lake</v>
      </c>
      <c r="J2200" s="8" t="str">
        <f t="shared" si="416"/>
        <v>Sonoma (d/s of Clov. Gage)</v>
      </c>
      <c r="K2200" s="8" t="str">
        <f t="shared" si="417"/>
        <v>Riparian</v>
      </c>
      <c r="L2200" s="8">
        <f t="shared" si="418"/>
        <v>1000</v>
      </c>
      <c r="M2200" s="8" t="str">
        <f t="shared" si="420"/>
        <v>-</v>
      </c>
      <c r="N2200" s="10" t="s">
        <v>241</v>
      </c>
      <c r="O2200" s="10" t="s">
        <v>241</v>
      </c>
      <c r="P2200" s="10" t="s">
        <v>242</v>
      </c>
      <c r="Q2200" s="10" t="s">
        <v>242</v>
      </c>
      <c r="R2200" s="10" t="s">
        <v>242</v>
      </c>
      <c r="S2200" s="10" t="s">
        <v>241</v>
      </c>
      <c r="T2200" s="10" t="s">
        <v>242</v>
      </c>
      <c r="U2200" s="10" t="s">
        <v>242</v>
      </c>
      <c r="V2200" s="10" t="s">
        <v>242</v>
      </c>
      <c r="W2200" s="10" t="s">
        <v>242</v>
      </c>
      <c r="X2200" s="15">
        <f>IF(ISERROR(VLOOKUP($A2200,'13. Updated Demand'!A:Z,15,FALSE)),0,VLOOKUP($A2200,'13. Updated Demand'!A:Z,15,FALSE))</f>
        <v>0</v>
      </c>
      <c r="Y2200" s="16">
        <f>IF(ISERROR(VLOOKUP($A2200,'13. Updated Demand'!A:Z,16,FALSE)),0,VLOOKUP($A2200,'13. Updated Demand'!A:Z,16,FALSE))</f>
        <v>0.3</v>
      </c>
      <c r="Z2200" s="16">
        <f>IF(ISERROR(VLOOKUP($A2200,'13. Updated Demand'!A:Z,17,FALSE)),0,VLOOKUP($A2200,'13. Updated Demand'!A:Z,17,FALSE))</f>
        <v>0</v>
      </c>
      <c r="AA2200" s="16">
        <f>IF(ISERROR(VLOOKUP($A2200,'13. Updated Demand'!A:Z,18,FALSE)),0,VLOOKUP($A2200,'13. Updated Demand'!A:Z,18,FALSE))</f>
        <v>0.26</v>
      </c>
      <c r="AB2200" s="16">
        <f>IF(ISERROR(VLOOKUP($A2200,'13. Updated Demand'!A:Z,19,FALSE)),0,VLOOKUP($A2200,'13. Updated Demand'!A:Z,19,FALSE))</f>
        <v>0.5</v>
      </c>
      <c r="AC2200" s="16">
        <f>IF(ISERROR(VLOOKUP($A2200,'13. Updated Demand'!A:Z,20,FALSE)),0,VLOOKUP($A2200,'13. Updated Demand'!A:Z,20,FALSE))</f>
        <v>1.43</v>
      </c>
      <c r="AD2200" s="16">
        <f>IF(ISERROR(VLOOKUP($A2200,'13. Updated Demand'!A:Z,21,FALSE)),0,VLOOKUP($A2200,'13. Updated Demand'!A:Z,21,FALSE))</f>
        <v>1.9</v>
      </c>
      <c r="AE2200" s="16">
        <f>IF(ISERROR(VLOOKUP($A2200,'13. Updated Demand'!A:Z,22,FALSE)),0,VLOOKUP($A2200,'13. Updated Demand'!A:Z,22,FALSE))</f>
        <v>3.3</v>
      </c>
      <c r="AF2200" s="16">
        <f>IF(ISERROR(VLOOKUP($A2200,'13. Updated Demand'!A:Z,23,FALSE)),0,VLOOKUP($A2200,'13. Updated Demand'!A:Z,23,FALSE))</f>
        <v>3.13</v>
      </c>
      <c r="AG2200" s="16">
        <f>IF(ISERROR(VLOOKUP($A2200,'13. Updated Demand'!A:Z,24,FALSE)),0,VLOOKUP($A2200,'13. Updated Demand'!A:Z,24,FALSE))</f>
        <v>0.73</v>
      </c>
      <c r="AH2200" s="16">
        <f>IF(ISERROR(VLOOKUP($A2200,'13. Updated Demand'!A:Z,25,FALSE)),0,VLOOKUP($A2200,'13. Updated Demand'!A:Z,25,FALSE))</f>
        <v>0.46</v>
      </c>
      <c r="AI2200" s="16">
        <f>IF(ISERROR(VLOOKUP($A2200,'13. Updated Demand'!A:Z,26,FALSE)),0,VLOOKUP($A2200,'13. Updated Demand'!A:Z,26,FALSE))</f>
        <v>0</v>
      </c>
      <c r="AJ2200" s="16">
        <f t="shared" si="421"/>
        <v>12.010000000000002</v>
      </c>
      <c r="AK2200" s="19">
        <v>10.266666666666659</v>
      </c>
      <c r="AL2200" s="16">
        <f t="shared" si="419"/>
        <v>3.4053363850100535E-2</v>
      </c>
      <c r="AM2200" s="26">
        <v>2.0764310693907589E-2</v>
      </c>
      <c r="AN2200" s="19">
        <v>579.52</v>
      </c>
      <c r="AO2200" s="19" t="s">
        <v>1758</v>
      </c>
      <c r="AP2200" s="19">
        <v>0</v>
      </c>
      <c r="AQ2200" s="19" t="s">
        <v>307</v>
      </c>
      <c r="AR2200" s="9" t="s">
        <v>354</v>
      </c>
      <c r="AS2200" s="12">
        <v>0</v>
      </c>
      <c r="AT2200" s="19">
        <v>38.805100000000003</v>
      </c>
      <c r="AU2200" s="19">
        <v>-123.0052</v>
      </c>
      <c r="AV2200" s="19" t="s">
        <v>387</v>
      </c>
    </row>
    <row r="2201" spans="1:48" x14ac:dyDescent="0.25">
      <c r="A2201" s="18" t="s">
        <v>2651</v>
      </c>
      <c r="B2201" s="10">
        <v>10000000</v>
      </c>
      <c r="C2201" s="9">
        <v>9</v>
      </c>
      <c r="D2201" s="8" t="str">
        <f t="shared" si="410"/>
        <v>N</v>
      </c>
      <c r="E2201" s="8" t="str">
        <f t="shared" si="411"/>
        <v>Y</v>
      </c>
      <c r="F2201" s="8" t="str">
        <f t="shared" si="412"/>
        <v>Y</v>
      </c>
      <c r="G2201" s="8" t="str">
        <f t="shared" si="413"/>
        <v>Y</v>
      </c>
      <c r="H2201" s="8" t="str">
        <f t="shared" si="414"/>
        <v>Upper</v>
      </c>
      <c r="I2201" s="8" t="str">
        <f t="shared" si="415"/>
        <v>West Fork and Below Lake</v>
      </c>
      <c r="J2201" s="8" t="str">
        <f t="shared" si="416"/>
        <v>Sonoma (d/s of Clov. Gage)</v>
      </c>
      <c r="K2201" s="8" t="str">
        <f t="shared" si="417"/>
        <v>Riparian</v>
      </c>
      <c r="L2201" s="8">
        <f t="shared" si="418"/>
        <v>1000</v>
      </c>
      <c r="M2201" s="8" t="str">
        <f t="shared" si="420"/>
        <v>-</v>
      </c>
      <c r="N2201" s="10" t="s">
        <v>241</v>
      </c>
      <c r="O2201" s="10" t="s">
        <v>241</v>
      </c>
      <c r="P2201" s="10" t="s">
        <v>242</v>
      </c>
      <c r="Q2201" s="10" t="s">
        <v>242</v>
      </c>
      <c r="R2201" s="10" t="s">
        <v>242</v>
      </c>
      <c r="S2201" s="10" t="s">
        <v>241</v>
      </c>
      <c r="T2201" s="10" t="s">
        <v>242</v>
      </c>
      <c r="U2201" s="10" t="s">
        <v>242</v>
      </c>
      <c r="V2201" s="10" t="s">
        <v>242</v>
      </c>
      <c r="W2201" s="10" t="s">
        <v>242</v>
      </c>
      <c r="X2201" s="15">
        <f>IF(ISERROR(VLOOKUP($A2201,'13. Updated Demand'!A:Z,15,FALSE)),0,VLOOKUP($A2201,'13. Updated Demand'!A:Z,15,FALSE))</f>
        <v>0</v>
      </c>
      <c r="Y2201" s="16">
        <f>IF(ISERROR(VLOOKUP($A2201,'13. Updated Demand'!A:Z,16,FALSE)),0,VLOOKUP($A2201,'13. Updated Demand'!A:Z,16,FALSE))</f>
        <v>0.03</v>
      </c>
      <c r="Z2201" s="16">
        <f>IF(ISERROR(VLOOKUP($A2201,'13. Updated Demand'!A:Z,17,FALSE)),0,VLOOKUP($A2201,'13. Updated Demand'!A:Z,17,FALSE))</f>
        <v>0</v>
      </c>
      <c r="AA2201" s="16">
        <f>IF(ISERROR(VLOOKUP($A2201,'13. Updated Demand'!A:Z,18,FALSE)),0,VLOOKUP($A2201,'13. Updated Demand'!A:Z,18,FALSE))</f>
        <v>0.1</v>
      </c>
      <c r="AB2201" s="16">
        <f>IF(ISERROR(VLOOKUP($A2201,'13. Updated Demand'!A:Z,19,FALSE)),0,VLOOKUP($A2201,'13. Updated Demand'!A:Z,19,FALSE))</f>
        <v>0</v>
      </c>
      <c r="AC2201" s="16">
        <f>IF(ISERROR(VLOOKUP($A2201,'13. Updated Demand'!A:Z,20,FALSE)),0,VLOOKUP($A2201,'13. Updated Demand'!A:Z,20,FALSE))</f>
        <v>1.93</v>
      </c>
      <c r="AD2201" s="16">
        <f>IF(ISERROR(VLOOKUP($A2201,'13. Updated Demand'!A:Z,21,FALSE)),0,VLOOKUP($A2201,'13. Updated Demand'!A:Z,21,FALSE))</f>
        <v>2.93</v>
      </c>
      <c r="AE2201" s="16">
        <f>IF(ISERROR(VLOOKUP($A2201,'13. Updated Demand'!A:Z,22,FALSE)),0,VLOOKUP($A2201,'13. Updated Demand'!A:Z,22,FALSE))</f>
        <v>4.5999999999999996</v>
      </c>
      <c r="AF2201" s="16">
        <f>IF(ISERROR(VLOOKUP($A2201,'13. Updated Demand'!A:Z,23,FALSE)),0,VLOOKUP($A2201,'13. Updated Demand'!A:Z,23,FALSE))</f>
        <v>2.8</v>
      </c>
      <c r="AG2201" s="16">
        <f>IF(ISERROR(VLOOKUP($A2201,'13. Updated Demand'!A:Z,24,FALSE)),0,VLOOKUP($A2201,'13. Updated Demand'!A:Z,24,FALSE))</f>
        <v>0.63</v>
      </c>
      <c r="AH2201" s="16">
        <f>IF(ISERROR(VLOOKUP($A2201,'13. Updated Demand'!A:Z,25,FALSE)),0,VLOOKUP($A2201,'13. Updated Demand'!A:Z,25,FALSE))</f>
        <v>0.3</v>
      </c>
      <c r="AI2201" s="16">
        <f>IF(ISERROR(VLOOKUP($A2201,'13. Updated Demand'!A:Z,26,FALSE)),0,VLOOKUP($A2201,'13. Updated Demand'!A:Z,26,FALSE))</f>
        <v>0</v>
      </c>
      <c r="AJ2201" s="16">
        <f t="shared" si="421"/>
        <v>13.320000000000002</v>
      </c>
      <c r="AK2201" s="19">
        <v>12.266666666666659</v>
      </c>
      <c r="AL2201" s="16">
        <f t="shared" si="419"/>
        <v>4.0687136028691548E-2</v>
      </c>
      <c r="AM2201" s="26">
        <v>1.6732761072904629E-2</v>
      </c>
      <c r="AN2201" s="19">
        <v>796.84</v>
      </c>
      <c r="AO2201" s="19" t="s">
        <v>1758</v>
      </c>
      <c r="AP2201" s="19">
        <v>0</v>
      </c>
      <c r="AQ2201" s="19" t="s">
        <v>307</v>
      </c>
      <c r="AR2201" s="9" t="s">
        <v>354</v>
      </c>
      <c r="AS2201" s="12">
        <v>0</v>
      </c>
      <c r="AT2201" s="19">
        <v>38.805999999999997</v>
      </c>
      <c r="AU2201" s="19">
        <v>-122.9974</v>
      </c>
      <c r="AV2201" s="19" t="s">
        <v>387</v>
      </c>
    </row>
    <row r="2202" spans="1:48" x14ac:dyDescent="0.25">
      <c r="A2202" s="18" t="s">
        <v>2652</v>
      </c>
      <c r="B2202" s="10">
        <v>10000000</v>
      </c>
      <c r="C2202" s="9">
        <v>23</v>
      </c>
      <c r="D2202" s="8" t="str">
        <f t="shared" si="410"/>
        <v>N</v>
      </c>
      <c r="E2202" s="8" t="str">
        <f t="shared" si="411"/>
        <v>N</v>
      </c>
      <c r="F2202" s="8" t="str">
        <f t="shared" si="412"/>
        <v>N</v>
      </c>
      <c r="G2202" s="8" t="str">
        <f t="shared" si="413"/>
        <v>N</v>
      </c>
      <c r="H2202" s="8" t="str">
        <f t="shared" si="414"/>
        <v>Lower</v>
      </c>
      <c r="I2202" s="8" t="str">
        <f t="shared" si="415"/>
        <v>Outside</v>
      </c>
      <c r="J2202" s="8" t="str">
        <f t="shared" si="416"/>
        <v>Outside</v>
      </c>
      <c r="K2202" s="8" t="str">
        <f t="shared" si="417"/>
        <v>Riparian</v>
      </c>
      <c r="L2202" s="8">
        <f t="shared" si="418"/>
        <v>1000</v>
      </c>
      <c r="M2202" s="8" t="str">
        <f t="shared" si="420"/>
        <v>-</v>
      </c>
      <c r="N2202" s="10" t="s">
        <v>242</v>
      </c>
      <c r="O2202" s="10" t="s">
        <v>242</v>
      </c>
      <c r="P2202" s="10" t="s">
        <v>242</v>
      </c>
      <c r="Q2202" s="10" t="s">
        <v>242</v>
      </c>
      <c r="R2202" s="10" t="s">
        <v>242</v>
      </c>
      <c r="S2202" s="10" t="s">
        <v>241</v>
      </c>
      <c r="T2202" s="10" t="s">
        <v>242</v>
      </c>
      <c r="U2202" s="10" t="s">
        <v>241</v>
      </c>
      <c r="V2202" s="10" t="s">
        <v>241</v>
      </c>
      <c r="W2202" s="10" t="s">
        <v>242</v>
      </c>
      <c r="X2202" s="15">
        <f>IF(ISERROR(VLOOKUP($A2202,'13. Updated Demand'!A:Z,15,FALSE)),0,VLOOKUP($A2202,'13. Updated Demand'!A:Z,15,FALSE))</f>
        <v>0</v>
      </c>
      <c r="Y2202" s="16">
        <f>IF(ISERROR(VLOOKUP($A2202,'13. Updated Demand'!A:Z,16,FALSE)),0,VLOOKUP($A2202,'13. Updated Demand'!A:Z,16,FALSE))</f>
        <v>0</v>
      </c>
      <c r="Z2202" s="16">
        <f>IF(ISERROR(VLOOKUP($A2202,'13. Updated Demand'!A:Z,17,FALSE)),0,VLOOKUP($A2202,'13. Updated Demand'!A:Z,17,FALSE))</f>
        <v>0</v>
      </c>
      <c r="AA2202" s="16">
        <f>IF(ISERROR(VLOOKUP($A2202,'13. Updated Demand'!A:Z,18,FALSE)),0,VLOOKUP($A2202,'13. Updated Demand'!A:Z,18,FALSE))</f>
        <v>0</v>
      </c>
      <c r="AB2202" s="16">
        <f>IF(ISERROR(VLOOKUP($A2202,'13. Updated Demand'!A:Z,19,FALSE)),0,VLOOKUP($A2202,'13. Updated Demand'!A:Z,19,FALSE))</f>
        <v>0</v>
      </c>
      <c r="AC2202" s="16">
        <f>IF(ISERROR(VLOOKUP($A2202,'13. Updated Demand'!A:Z,20,FALSE)),0,VLOOKUP($A2202,'13. Updated Demand'!A:Z,20,FALSE))</f>
        <v>0</v>
      </c>
      <c r="AD2202" s="16">
        <f>IF(ISERROR(VLOOKUP($A2202,'13. Updated Demand'!A:Z,21,FALSE)),0,VLOOKUP($A2202,'13. Updated Demand'!A:Z,21,FALSE))</f>
        <v>0</v>
      </c>
      <c r="AE2202" s="16">
        <f>IF(ISERROR(VLOOKUP($A2202,'13. Updated Demand'!A:Z,22,FALSE)),0,VLOOKUP($A2202,'13. Updated Demand'!A:Z,22,FALSE))</f>
        <v>0</v>
      </c>
      <c r="AF2202" s="16">
        <f>IF(ISERROR(VLOOKUP($A2202,'13. Updated Demand'!A:Z,23,FALSE)),0,VLOOKUP($A2202,'13. Updated Demand'!A:Z,23,FALSE))</f>
        <v>0</v>
      </c>
      <c r="AG2202" s="16">
        <f>IF(ISERROR(VLOOKUP($A2202,'13. Updated Demand'!A:Z,24,FALSE)),0,VLOOKUP($A2202,'13. Updated Demand'!A:Z,24,FALSE))</f>
        <v>0</v>
      </c>
      <c r="AH2202" s="16">
        <f>IF(ISERROR(VLOOKUP($A2202,'13. Updated Demand'!A:Z,25,FALSE)),0,VLOOKUP($A2202,'13. Updated Demand'!A:Z,25,FALSE))</f>
        <v>0</v>
      </c>
      <c r="AI2202" s="16">
        <f>IF(ISERROR(VLOOKUP($A2202,'13. Updated Demand'!A:Z,26,FALSE)),0,VLOOKUP($A2202,'13. Updated Demand'!A:Z,26,FALSE))</f>
        <v>0</v>
      </c>
      <c r="AJ2202" s="16">
        <f t="shared" si="421"/>
        <v>0</v>
      </c>
      <c r="AK2202" s="19">
        <v>0</v>
      </c>
      <c r="AL2202" s="16">
        <f t="shared" si="419"/>
        <v>0</v>
      </c>
      <c r="AM2202" s="26">
        <v>0</v>
      </c>
      <c r="AN2202" s="19">
        <v>0.1166</v>
      </c>
      <c r="AO2202" s="19" t="s">
        <v>1758</v>
      </c>
      <c r="AP2202" s="19">
        <v>0</v>
      </c>
      <c r="AQ2202" s="19" t="s">
        <v>307</v>
      </c>
      <c r="AR2202" s="9" t="s">
        <v>323</v>
      </c>
      <c r="AS2202" s="12">
        <v>0</v>
      </c>
      <c r="AT2202" s="19">
        <v>38.508200000000002</v>
      </c>
      <c r="AU2202" s="19">
        <v>-122.7169</v>
      </c>
      <c r="AV2202" s="19" t="s">
        <v>1886</v>
      </c>
    </row>
    <row r="2203" spans="1:48" x14ac:dyDescent="0.25">
      <c r="A2203" s="18" t="s">
        <v>2653</v>
      </c>
      <c r="B2203" s="10">
        <v>10000000</v>
      </c>
      <c r="C2203" s="9">
        <v>6</v>
      </c>
      <c r="D2203" s="8" t="str">
        <f t="shared" si="410"/>
        <v>Y</v>
      </c>
      <c r="E2203" s="8" t="str">
        <f t="shared" si="411"/>
        <v>N</v>
      </c>
      <c r="F2203" s="8" t="str">
        <f t="shared" si="412"/>
        <v>Y</v>
      </c>
      <c r="G2203" s="8" t="str">
        <f t="shared" si="413"/>
        <v>Y</v>
      </c>
      <c r="H2203" s="8" t="str">
        <f t="shared" si="414"/>
        <v>Upper</v>
      </c>
      <c r="I2203" s="8" t="str">
        <f t="shared" si="415"/>
        <v>West Fork and Below Lake</v>
      </c>
      <c r="J2203" s="8" t="str">
        <f t="shared" si="416"/>
        <v>Mendocino (d/s of lake)</v>
      </c>
      <c r="K2203" s="8" t="str">
        <f t="shared" si="417"/>
        <v>Riparian</v>
      </c>
      <c r="L2203" s="8">
        <f t="shared" si="418"/>
        <v>1000</v>
      </c>
      <c r="M2203" s="8" t="str">
        <f t="shared" si="420"/>
        <v>-</v>
      </c>
      <c r="N2203" s="10" t="s">
        <v>242</v>
      </c>
      <c r="O2203" s="10" t="s">
        <v>241</v>
      </c>
      <c r="P2203" s="10" t="s">
        <v>242</v>
      </c>
      <c r="Q2203" s="10" t="s">
        <v>242</v>
      </c>
      <c r="R2203" s="10" t="s">
        <v>242</v>
      </c>
      <c r="S2203" s="10" t="s">
        <v>241</v>
      </c>
      <c r="T2203" s="10" t="s">
        <v>242</v>
      </c>
      <c r="U2203" s="10" t="s">
        <v>242</v>
      </c>
      <c r="V2203" s="10" t="s">
        <v>242</v>
      </c>
      <c r="W2203" s="10" t="s">
        <v>242</v>
      </c>
      <c r="X2203" s="15">
        <f>IF(ISERROR(VLOOKUP($A2203,'13. Updated Demand'!A:Z,15,FALSE)),0,VLOOKUP($A2203,'13. Updated Demand'!A:Z,15,FALSE))</f>
        <v>0.35</v>
      </c>
      <c r="Y2203" s="16">
        <f>IF(ISERROR(VLOOKUP($A2203,'13. Updated Demand'!A:Z,16,FALSE)),0,VLOOKUP($A2203,'13. Updated Demand'!A:Z,16,FALSE))</f>
        <v>0.35</v>
      </c>
      <c r="Z2203" s="16">
        <f>IF(ISERROR(VLOOKUP($A2203,'13. Updated Demand'!A:Z,17,FALSE)),0,VLOOKUP($A2203,'13. Updated Demand'!A:Z,17,FALSE))</f>
        <v>0.35</v>
      </c>
      <c r="AA2203" s="16">
        <f>IF(ISERROR(VLOOKUP($A2203,'13. Updated Demand'!A:Z,18,FALSE)),0,VLOOKUP($A2203,'13. Updated Demand'!A:Z,18,FALSE))</f>
        <v>0.35</v>
      </c>
      <c r="AB2203" s="16">
        <f>IF(ISERROR(VLOOKUP($A2203,'13. Updated Demand'!A:Z,19,FALSE)),0,VLOOKUP($A2203,'13. Updated Demand'!A:Z,19,FALSE))</f>
        <v>0.35</v>
      </c>
      <c r="AC2203" s="16">
        <f>IF(ISERROR(VLOOKUP($A2203,'13. Updated Demand'!A:Z,20,FALSE)),0,VLOOKUP($A2203,'13. Updated Demand'!A:Z,20,FALSE))</f>
        <v>0.35</v>
      </c>
      <c r="AD2203" s="16">
        <f>IF(ISERROR(VLOOKUP($A2203,'13. Updated Demand'!A:Z,21,FALSE)),0,VLOOKUP($A2203,'13. Updated Demand'!A:Z,21,FALSE))</f>
        <v>0.35</v>
      </c>
      <c r="AE2203" s="16">
        <f>IF(ISERROR(VLOOKUP($A2203,'13. Updated Demand'!A:Z,22,FALSE)),0,VLOOKUP($A2203,'13. Updated Demand'!A:Z,22,FALSE))</f>
        <v>0.35</v>
      </c>
      <c r="AF2203" s="16">
        <f>IF(ISERROR(VLOOKUP($A2203,'13. Updated Demand'!A:Z,23,FALSE)),0,VLOOKUP($A2203,'13. Updated Demand'!A:Z,23,FALSE))</f>
        <v>0.35</v>
      </c>
      <c r="AG2203" s="16">
        <f>IF(ISERROR(VLOOKUP($A2203,'13. Updated Demand'!A:Z,24,FALSE)),0,VLOOKUP($A2203,'13. Updated Demand'!A:Z,24,FALSE))</f>
        <v>0.35</v>
      </c>
      <c r="AH2203" s="16">
        <f>IF(ISERROR(VLOOKUP($A2203,'13. Updated Demand'!A:Z,25,FALSE)),0,VLOOKUP($A2203,'13. Updated Demand'!A:Z,25,FALSE))</f>
        <v>0.35</v>
      </c>
      <c r="AI2203" s="16">
        <f>IF(ISERROR(VLOOKUP($A2203,'13. Updated Demand'!A:Z,26,FALSE)),0,VLOOKUP($A2203,'13. Updated Demand'!A:Z,26,FALSE))</f>
        <v>0.35</v>
      </c>
      <c r="AJ2203" s="16">
        <f t="shared" si="421"/>
        <v>4.2</v>
      </c>
      <c r="AK2203" s="19">
        <v>1.775573335</v>
      </c>
      <c r="AL2203" s="16">
        <f t="shared" si="419"/>
        <v>5.8893744953855348E-3</v>
      </c>
      <c r="AM2203" s="26">
        <v>0.926386087826087</v>
      </c>
      <c r="AN2203" s="19">
        <v>4.5999999999999996</v>
      </c>
      <c r="AO2203" s="19" t="s">
        <v>1758</v>
      </c>
      <c r="AP2203" s="19">
        <v>0</v>
      </c>
      <c r="AQ2203" s="19" t="s">
        <v>307</v>
      </c>
      <c r="AR2203" s="9" t="s">
        <v>319</v>
      </c>
      <c r="AS2203" s="12">
        <v>0</v>
      </c>
      <c r="AT2203" s="19">
        <v>39.014299999999999</v>
      </c>
      <c r="AU2203" s="19">
        <v>-123.1495</v>
      </c>
      <c r="AV2203" s="19" t="s">
        <v>2654</v>
      </c>
    </row>
    <row r="2204" spans="1:48" x14ac:dyDescent="0.25">
      <c r="A2204" s="18" t="s">
        <v>2655</v>
      </c>
      <c r="B2204" s="10">
        <v>10000000</v>
      </c>
      <c r="C2204" s="9">
        <v>6</v>
      </c>
      <c r="D2204" s="8" t="str">
        <f t="shared" si="410"/>
        <v>Y</v>
      </c>
      <c r="E2204" s="8" t="str">
        <f t="shared" si="411"/>
        <v>N</v>
      </c>
      <c r="F2204" s="8" t="str">
        <f t="shared" si="412"/>
        <v>Y</v>
      </c>
      <c r="G2204" s="8" t="str">
        <f t="shared" si="413"/>
        <v>Y</v>
      </c>
      <c r="H2204" s="8" t="str">
        <f t="shared" si="414"/>
        <v>Upper</v>
      </c>
      <c r="I2204" s="8" t="str">
        <f t="shared" si="415"/>
        <v>West Fork and Below Lake</v>
      </c>
      <c r="J2204" s="8" t="str">
        <f t="shared" si="416"/>
        <v>Mendocino (d/s of lake)</v>
      </c>
      <c r="K2204" s="8" t="str">
        <f t="shared" si="417"/>
        <v>Riparian</v>
      </c>
      <c r="L2204" s="8">
        <f t="shared" si="418"/>
        <v>1000</v>
      </c>
      <c r="M2204" s="8" t="str">
        <f t="shared" si="420"/>
        <v>-</v>
      </c>
      <c r="N2204" s="10" t="s">
        <v>242</v>
      </c>
      <c r="O2204" s="10" t="s">
        <v>241</v>
      </c>
      <c r="P2204" s="10" t="s">
        <v>242</v>
      </c>
      <c r="Q2204" s="10" t="s">
        <v>242</v>
      </c>
      <c r="R2204" s="10" t="s">
        <v>242</v>
      </c>
      <c r="S2204" s="10" t="s">
        <v>241</v>
      </c>
      <c r="T2204" s="10" t="s">
        <v>242</v>
      </c>
      <c r="U2204" s="10" t="s">
        <v>242</v>
      </c>
      <c r="V2204" s="10" t="s">
        <v>242</v>
      </c>
      <c r="W2204" s="10" t="s">
        <v>242</v>
      </c>
      <c r="X2204" s="15">
        <f>IF(ISERROR(VLOOKUP($A2204,'13. Updated Demand'!A:Z,15,FALSE)),0,VLOOKUP($A2204,'13. Updated Demand'!A:Z,15,FALSE))</f>
        <v>1</v>
      </c>
      <c r="Y2204" s="16">
        <f>IF(ISERROR(VLOOKUP($A2204,'13. Updated Demand'!A:Z,16,FALSE)),0,VLOOKUP($A2204,'13. Updated Demand'!A:Z,16,FALSE))</f>
        <v>1</v>
      </c>
      <c r="Z2204" s="16">
        <f>IF(ISERROR(VLOOKUP($A2204,'13. Updated Demand'!A:Z,17,FALSE)),0,VLOOKUP($A2204,'13. Updated Demand'!A:Z,17,FALSE))</f>
        <v>0</v>
      </c>
      <c r="AA2204" s="16">
        <f>IF(ISERROR(VLOOKUP($A2204,'13. Updated Demand'!A:Z,18,FALSE)),0,VLOOKUP($A2204,'13. Updated Demand'!A:Z,18,FALSE))</f>
        <v>0</v>
      </c>
      <c r="AB2204" s="16">
        <f>IF(ISERROR(VLOOKUP($A2204,'13. Updated Demand'!A:Z,19,FALSE)),0,VLOOKUP($A2204,'13. Updated Demand'!A:Z,19,FALSE))</f>
        <v>0</v>
      </c>
      <c r="AC2204" s="16">
        <f>IF(ISERROR(VLOOKUP($A2204,'13. Updated Demand'!A:Z,20,FALSE)),0,VLOOKUP($A2204,'13. Updated Demand'!A:Z,20,FALSE))</f>
        <v>0</v>
      </c>
      <c r="AD2204" s="16">
        <f>IF(ISERROR(VLOOKUP($A2204,'13. Updated Demand'!A:Z,21,FALSE)),0,VLOOKUP($A2204,'13. Updated Demand'!A:Z,21,FALSE))</f>
        <v>3.0690000000000001E-3</v>
      </c>
      <c r="AE2204" s="16">
        <f>IF(ISERROR(VLOOKUP($A2204,'13. Updated Demand'!A:Z,22,FALSE)),0,VLOOKUP($A2204,'13. Updated Demand'!A:Z,22,FALSE))</f>
        <v>3.0690000000000001E-3</v>
      </c>
      <c r="AF2204" s="16">
        <f>IF(ISERROR(VLOOKUP($A2204,'13. Updated Demand'!A:Z,23,FALSE)),0,VLOOKUP($A2204,'13. Updated Demand'!A:Z,23,FALSE))</f>
        <v>3.0690000000000001E-3</v>
      </c>
      <c r="AG2204" s="16">
        <f>IF(ISERROR(VLOOKUP($A2204,'13. Updated Demand'!A:Z,24,FALSE)),0,VLOOKUP($A2204,'13. Updated Demand'!A:Z,24,FALSE))</f>
        <v>0</v>
      </c>
      <c r="AH2204" s="16">
        <f>IF(ISERROR(VLOOKUP($A2204,'13. Updated Demand'!A:Z,25,FALSE)),0,VLOOKUP($A2204,'13. Updated Demand'!A:Z,25,FALSE))</f>
        <v>0</v>
      </c>
      <c r="AI2204" s="16">
        <f>IF(ISERROR(VLOOKUP($A2204,'13. Updated Demand'!A:Z,26,FALSE)),0,VLOOKUP($A2204,'13. Updated Demand'!A:Z,26,FALSE))</f>
        <v>1</v>
      </c>
      <c r="AJ2204" s="16">
        <f t="shared" si="421"/>
        <v>3.009207</v>
      </c>
      <c r="AK2204" s="19">
        <v>9.2069999999999999E-3</v>
      </c>
      <c r="AL2204" s="16">
        <f t="shared" si="419"/>
        <v>3.0538570224143753E-5</v>
      </c>
      <c r="AM2204" s="26">
        <v>0.65370647144439853</v>
      </c>
      <c r="AN2204" s="19">
        <v>4.6032999999999999</v>
      </c>
      <c r="AO2204" s="19" t="s">
        <v>1758</v>
      </c>
      <c r="AP2204" s="19">
        <v>0</v>
      </c>
      <c r="AQ2204" s="19" t="s">
        <v>307</v>
      </c>
      <c r="AR2204" s="9" t="s">
        <v>319</v>
      </c>
      <c r="AS2204" s="12">
        <v>0</v>
      </c>
      <c r="AT2204" s="19">
        <v>39.013500000000001</v>
      </c>
      <c r="AU2204" s="19">
        <v>-123.1482</v>
      </c>
      <c r="AV2204" s="19" t="s">
        <v>2654</v>
      </c>
    </row>
    <row r="2205" spans="1:48" x14ac:dyDescent="0.25">
      <c r="A2205" s="18" t="s">
        <v>2656</v>
      </c>
      <c r="B2205" s="10">
        <v>10000000</v>
      </c>
      <c r="C2205" s="9">
        <v>9</v>
      </c>
      <c r="D2205" s="8" t="str">
        <f t="shared" si="410"/>
        <v>N</v>
      </c>
      <c r="E2205" s="8" t="str">
        <f t="shared" si="411"/>
        <v>Y</v>
      </c>
      <c r="F2205" s="8" t="str">
        <f t="shared" si="412"/>
        <v>Y</v>
      </c>
      <c r="G2205" s="8" t="str">
        <f t="shared" si="413"/>
        <v>Y</v>
      </c>
      <c r="H2205" s="8" t="str">
        <f t="shared" si="414"/>
        <v>Upper</v>
      </c>
      <c r="I2205" s="8" t="str">
        <f t="shared" si="415"/>
        <v>West Fork and Below Lake</v>
      </c>
      <c r="J2205" s="8" t="str">
        <f t="shared" si="416"/>
        <v>Sonoma (d/s of Clov. Gage)</v>
      </c>
      <c r="K2205" s="8" t="str">
        <f t="shared" si="417"/>
        <v>Riparian</v>
      </c>
      <c r="L2205" s="8">
        <f t="shared" si="418"/>
        <v>1000</v>
      </c>
      <c r="M2205" s="8" t="str">
        <f t="shared" si="420"/>
        <v>-</v>
      </c>
      <c r="N2205" s="10" t="s">
        <v>242</v>
      </c>
      <c r="O2205" s="10" t="s">
        <v>241</v>
      </c>
      <c r="P2205" s="10" t="s">
        <v>242</v>
      </c>
      <c r="Q2205" s="10" t="s">
        <v>242</v>
      </c>
      <c r="R2205" s="10" t="s">
        <v>242</v>
      </c>
      <c r="S2205" s="10" t="s">
        <v>241</v>
      </c>
      <c r="T2205" s="10" t="s">
        <v>242</v>
      </c>
      <c r="U2205" s="10" t="s">
        <v>242</v>
      </c>
      <c r="V2205" s="10" t="s">
        <v>241</v>
      </c>
      <c r="W2205" s="10" t="s">
        <v>242</v>
      </c>
      <c r="X2205" s="15">
        <f>IF(ISERROR(VLOOKUP($A2205,'13. Updated Demand'!A:Z,15,FALSE)),0,VLOOKUP($A2205,'13. Updated Demand'!A:Z,15,FALSE))</f>
        <v>5.09</v>
      </c>
      <c r="Y2205" s="16">
        <f>IF(ISERROR(VLOOKUP($A2205,'13. Updated Demand'!A:Z,16,FALSE)),0,VLOOKUP($A2205,'13. Updated Demand'!A:Z,16,FALSE))</f>
        <v>1.2</v>
      </c>
      <c r="Z2205" s="16">
        <f>IF(ISERROR(VLOOKUP($A2205,'13. Updated Demand'!A:Z,17,FALSE)),0,VLOOKUP($A2205,'13. Updated Demand'!A:Z,17,FALSE))</f>
        <v>2.54</v>
      </c>
      <c r="AA2205" s="16">
        <f>IF(ISERROR(VLOOKUP($A2205,'13. Updated Demand'!A:Z,18,FALSE)),0,VLOOKUP($A2205,'13. Updated Demand'!A:Z,18,FALSE))</f>
        <v>0.3</v>
      </c>
      <c r="AB2205" s="16">
        <f>IF(ISERROR(VLOOKUP($A2205,'13. Updated Demand'!A:Z,19,FALSE)),0,VLOOKUP($A2205,'13. Updated Demand'!A:Z,19,FALSE))</f>
        <v>0</v>
      </c>
      <c r="AC2205" s="16">
        <f>IF(ISERROR(VLOOKUP($A2205,'13. Updated Demand'!A:Z,20,FALSE)),0,VLOOKUP($A2205,'13. Updated Demand'!A:Z,20,FALSE))</f>
        <v>0</v>
      </c>
      <c r="AD2205" s="16">
        <f>IF(ISERROR(VLOOKUP($A2205,'13. Updated Demand'!A:Z,21,FALSE)),0,VLOOKUP($A2205,'13. Updated Demand'!A:Z,21,FALSE))</f>
        <v>0</v>
      </c>
      <c r="AE2205" s="16">
        <f>IF(ISERROR(VLOOKUP($A2205,'13. Updated Demand'!A:Z,22,FALSE)),0,VLOOKUP($A2205,'13. Updated Demand'!A:Z,22,FALSE))</f>
        <v>0</v>
      </c>
      <c r="AF2205" s="16">
        <f>IF(ISERROR(VLOOKUP($A2205,'13. Updated Demand'!A:Z,23,FALSE)),0,VLOOKUP($A2205,'13. Updated Demand'!A:Z,23,FALSE))</f>
        <v>0</v>
      </c>
      <c r="AG2205" s="16">
        <f>IF(ISERROR(VLOOKUP($A2205,'13. Updated Demand'!A:Z,24,FALSE)),0,VLOOKUP($A2205,'13. Updated Demand'!A:Z,24,FALSE))</f>
        <v>0</v>
      </c>
      <c r="AH2205" s="16">
        <f>IF(ISERROR(VLOOKUP($A2205,'13. Updated Demand'!A:Z,25,FALSE)),0,VLOOKUP($A2205,'13. Updated Demand'!A:Z,25,FALSE))</f>
        <v>0.19</v>
      </c>
      <c r="AI2205" s="16">
        <f>IF(ISERROR(VLOOKUP($A2205,'13. Updated Demand'!A:Z,26,FALSE)),0,VLOOKUP($A2205,'13. Updated Demand'!A:Z,26,FALSE))</f>
        <v>2.3199999999999998</v>
      </c>
      <c r="AJ2205" s="16">
        <f t="shared" si="421"/>
        <v>11.64</v>
      </c>
      <c r="AK2205" s="19">
        <v>0</v>
      </c>
      <c r="AL2205" s="16">
        <f t="shared" si="419"/>
        <v>0</v>
      </c>
      <c r="AM2205" s="26">
        <v>8.1890473309138533E-3</v>
      </c>
      <c r="AN2205" s="19">
        <v>1423.4459999999999</v>
      </c>
      <c r="AO2205" s="19" t="s">
        <v>1758</v>
      </c>
      <c r="AP2205" s="19">
        <v>0</v>
      </c>
      <c r="AQ2205" s="19" t="s">
        <v>307</v>
      </c>
      <c r="AR2205" s="9" t="s">
        <v>354</v>
      </c>
      <c r="AS2205" s="12">
        <v>3.4039024194010059E-4</v>
      </c>
      <c r="AT2205" s="19">
        <v>38.8504</v>
      </c>
      <c r="AU2205" s="19">
        <v>-122.9877</v>
      </c>
      <c r="AV2205" s="19" t="s">
        <v>2657</v>
      </c>
    </row>
    <row r="2206" spans="1:48" x14ac:dyDescent="0.25">
      <c r="A2206" s="18" t="s">
        <v>2658</v>
      </c>
      <c r="B2206" s="10">
        <v>10000000</v>
      </c>
      <c r="C2206" s="9">
        <v>9</v>
      </c>
      <c r="D2206" s="8" t="str">
        <f t="shared" si="410"/>
        <v>N</v>
      </c>
      <c r="E2206" s="8" t="str">
        <f t="shared" si="411"/>
        <v>Y</v>
      </c>
      <c r="F2206" s="8" t="str">
        <f t="shared" si="412"/>
        <v>Y</v>
      </c>
      <c r="G2206" s="8" t="str">
        <f t="shared" si="413"/>
        <v>Y</v>
      </c>
      <c r="H2206" s="8" t="str">
        <f t="shared" si="414"/>
        <v>Upper</v>
      </c>
      <c r="I2206" s="8" t="str">
        <f t="shared" si="415"/>
        <v>West Fork and Below Lake</v>
      </c>
      <c r="J2206" s="8" t="str">
        <f t="shared" si="416"/>
        <v>Sonoma (d/s of Clov. Gage)</v>
      </c>
      <c r="K2206" s="8" t="str">
        <f t="shared" si="417"/>
        <v>Riparian</v>
      </c>
      <c r="L2206" s="8">
        <f t="shared" si="418"/>
        <v>1000</v>
      </c>
      <c r="M2206" s="8" t="str">
        <f t="shared" si="420"/>
        <v>-</v>
      </c>
      <c r="N2206" s="10" t="s">
        <v>242</v>
      </c>
      <c r="O2206" s="10" t="s">
        <v>241</v>
      </c>
      <c r="P2206" s="10" t="s">
        <v>242</v>
      </c>
      <c r="Q2206" s="10" t="s">
        <v>242</v>
      </c>
      <c r="R2206" s="10" t="s">
        <v>242</v>
      </c>
      <c r="S2206" s="10" t="s">
        <v>241</v>
      </c>
      <c r="T2206" s="10" t="s">
        <v>242</v>
      </c>
      <c r="U2206" s="10" t="s">
        <v>242</v>
      </c>
      <c r="V2206" s="10" t="s">
        <v>241</v>
      </c>
      <c r="W2206" s="10" t="s">
        <v>242</v>
      </c>
      <c r="X2206" s="15">
        <f>IF(ISERROR(VLOOKUP($A2206,'13. Updated Demand'!A:Z,15,FALSE)),0,VLOOKUP($A2206,'13. Updated Demand'!A:Z,15,FALSE))</f>
        <v>2.71</v>
      </c>
      <c r="Y2206" s="16">
        <f>IF(ISERROR(VLOOKUP($A2206,'13. Updated Demand'!A:Z,16,FALSE)),0,VLOOKUP($A2206,'13. Updated Demand'!A:Z,16,FALSE))</f>
        <v>0</v>
      </c>
      <c r="Z2206" s="16">
        <f>IF(ISERROR(VLOOKUP($A2206,'13. Updated Demand'!A:Z,17,FALSE)),0,VLOOKUP($A2206,'13. Updated Demand'!A:Z,17,FALSE))</f>
        <v>0</v>
      </c>
      <c r="AA2206" s="16">
        <f>IF(ISERROR(VLOOKUP($A2206,'13. Updated Demand'!A:Z,18,FALSE)),0,VLOOKUP($A2206,'13. Updated Demand'!A:Z,18,FALSE))</f>
        <v>0</v>
      </c>
      <c r="AB2206" s="16">
        <f>IF(ISERROR(VLOOKUP($A2206,'13. Updated Demand'!A:Z,19,FALSE)),0,VLOOKUP($A2206,'13. Updated Demand'!A:Z,19,FALSE))</f>
        <v>0</v>
      </c>
      <c r="AC2206" s="16">
        <f>IF(ISERROR(VLOOKUP($A2206,'13. Updated Demand'!A:Z,20,FALSE)),0,VLOOKUP($A2206,'13. Updated Demand'!A:Z,20,FALSE))</f>
        <v>0</v>
      </c>
      <c r="AD2206" s="16">
        <f>IF(ISERROR(VLOOKUP($A2206,'13. Updated Demand'!A:Z,21,FALSE)),0,VLOOKUP($A2206,'13. Updated Demand'!A:Z,21,FALSE))</f>
        <v>0</v>
      </c>
      <c r="AE2206" s="16">
        <f>IF(ISERROR(VLOOKUP($A2206,'13. Updated Demand'!A:Z,22,FALSE)),0,VLOOKUP($A2206,'13. Updated Demand'!A:Z,22,FALSE))</f>
        <v>0</v>
      </c>
      <c r="AF2206" s="16">
        <f>IF(ISERROR(VLOOKUP($A2206,'13. Updated Demand'!A:Z,23,FALSE)),0,VLOOKUP($A2206,'13. Updated Demand'!A:Z,23,FALSE))</f>
        <v>0</v>
      </c>
      <c r="AG2206" s="16">
        <f>IF(ISERROR(VLOOKUP($A2206,'13. Updated Demand'!A:Z,24,FALSE)),0,VLOOKUP($A2206,'13. Updated Demand'!A:Z,24,FALSE))</f>
        <v>0.12</v>
      </c>
      <c r="AH2206" s="16">
        <f>IF(ISERROR(VLOOKUP($A2206,'13. Updated Demand'!A:Z,25,FALSE)),0,VLOOKUP($A2206,'13. Updated Demand'!A:Z,25,FALSE))</f>
        <v>2.2400000000000002</v>
      </c>
      <c r="AI2206" s="16">
        <f>IF(ISERROR(VLOOKUP($A2206,'13. Updated Demand'!A:Z,26,FALSE)),0,VLOOKUP($A2206,'13. Updated Demand'!A:Z,26,FALSE))</f>
        <v>6.85</v>
      </c>
      <c r="AJ2206" s="16">
        <f t="shared" si="421"/>
        <v>11.92</v>
      </c>
      <c r="AK2206" s="19">
        <v>0</v>
      </c>
      <c r="AL2206" s="16">
        <f t="shared" si="419"/>
        <v>0</v>
      </c>
      <c r="AM2206" s="26">
        <v>0.88345679007407396</v>
      </c>
      <c r="AN2206" s="19">
        <v>13.5</v>
      </c>
      <c r="AO2206" s="19" t="s">
        <v>1758</v>
      </c>
      <c r="AP2206" s="19">
        <v>0</v>
      </c>
      <c r="AQ2206" s="19" t="s">
        <v>307</v>
      </c>
      <c r="AR2206" s="9" t="s">
        <v>354</v>
      </c>
      <c r="AS2206" s="12">
        <v>3.4039024194010059E-4</v>
      </c>
      <c r="AT2206" s="19">
        <v>38.849299999999999</v>
      </c>
      <c r="AU2206" s="19">
        <v>-122.9901</v>
      </c>
      <c r="AV2206" s="19" t="s">
        <v>2659</v>
      </c>
    </row>
    <row r="2207" spans="1:48" x14ac:dyDescent="0.25">
      <c r="A2207" s="18" t="s">
        <v>2660</v>
      </c>
      <c r="B2207" s="10">
        <v>10000000</v>
      </c>
      <c r="C2207" s="9">
        <v>23</v>
      </c>
      <c r="D2207" s="8" t="str">
        <f t="shared" si="410"/>
        <v>N</v>
      </c>
      <c r="E2207" s="8" t="str">
        <f t="shared" si="411"/>
        <v>N</v>
      </c>
      <c r="F2207" s="8" t="str">
        <f t="shared" si="412"/>
        <v>N</v>
      </c>
      <c r="G2207" s="8" t="str">
        <f t="shared" si="413"/>
        <v>N</v>
      </c>
      <c r="H2207" s="8" t="str">
        <f t="shared" si="414"/>
        <v>Lower</v>
      </c>
      <c r="I2207" s="8" t="str">
        <f t="shared" si="415"/>
        <v>Outside</v>
      </c>
      <c r="J2207" s="8" t="str">
        <f t="shared" si="416"/>
        <v>Outside</v>
      </c>
      <c r="K2207" s="8" t="str">
        <f t="shared" si="417"/>
        <v>Riparian</v>
      </c>
      <c r="L2207" s="8">
        <f t="shared" si="418"/>
        <v>1000</v>
      </c>
      <c r="M2207" s="8" t="str">
        <f t="shared" si="420"/>
        <v>-</v>
      </c>
      <c r="N2207" s="10" t="s">
        <v>242</v>
      </c>
      <c r="O2207" s="10" t="s">
        <v>242</v>
      </c>
      <c r="P2207" s="10" t="s">
        <v>242</v>
      </c>
      <c r="Q2207" s="10" t="s">
        <v>242</v>
      </c>
      <c r="R2207" s="10" t="s">
        <v>242</v>
      </c>
      <c r="S2207" s="10" t="s">
        <v>241</v>
      </c>
      <c r="T2207" s="10" t="s">
        <v>242</v>
      </c>
      <c r="U2207" s="10" t="s">
        <v>242</v>
      </c>
      <c r="V2207" s="10" t="s">
        <v>242</v>
      </c>
      <c r="W2207" s="10" t="s">
        <v>242</v>
      </c>
      <c r="X2207" s="15">
        <f>IF(ISERROR(VLOOKUP($A2207,'13. Updated Demand'!A:Z,15,FALSE)),0,VLOOKUP($A2207,'13. Updated Demand'!A:Z,15,FALSE))</f>
        <v>0</v>
      </c>
      <c r="Y2207" s="16">
        <f>IF(ISERROR(VLOOKUP($A2207,'13. Updated Demand'!A:Z,16,FALSE)),0,VLOOKUP($A2207,'13. Updated Demand'!A:Z,16,FALSE))</f>
        <v>0</v>
      </c>
      <c r="Z2207" s="16">
        <f>IF(ISERROR(VLOOKUP($A2207,'13. Updated Demand'!A:Z,17,FALSE)),0,VLOOKUP($A2207,'13. Updated Demand'!A:Z,17,FALSE))</f>
        <v>0</v>
      </c>
      <c r="AA2207" s="16">
        <f>IF(ISERROR(VLOOKUP($A2207,'13. Updated Demand'!A:Z,18,FALSE)),0,VLOOKUP($A2207,'13. Updated Demand'!A:Z,18,FALSE))</f>
        <v>0</v>
      </c>
      <c r="AB2207" s="16">
        <f>IF(ISERROR(VLOOKUP($A2207,'13. Updated Demand'!A:Z,19,FALSE)),0,VLOOKUP($A2207,'13. Updated Demand'!A:Z,19,FALSE))</f>
        <v>1.3</v>
      </c>
      <c r="AC2207" s="16">
        <f>IF(ISERROR(VLOOKUP($A2207,'13. Updated Demand'!A:Z,20,FALSE)),0,VLOOKUP($A2207,'13. Updated Demand'!A:Z,20,FALSE))</f>
        <v>1.4</v>
      </c>
      <c r="AD2207" s="16">
        <f>IF(ISERROR(VLOOKUP($A2207,'13. Updated Demand'!A:Z,21,FALSE)),0,VLOOKUP($A2207,'13. Updated Demand'!A:Z,21,FALSE))</f>
        <v>1.266666667</v>
      </c>
      <c r="AE2207" s="16">
        <f>IF(ISERROR(VLOOKUP($A2207,'13. Updated Demand'!A:Z,22,FALSE)),0,VLOOKUP($A2207,'13. Updated Demand'!A:Z,22,FALSE))</f>
        <v>1.8333333329999999</v>
      </c>
      <c r="AF2207" s="16">
        <f>IF(ISERROR(VLOOKUP($A2207,'13. Updated Demand'!A:Z,23,FALSE)),0,VLOOKUP($A2207,'13. Updated Demand'!A:Z,23,FALSE))</f>
        <v>0.33333333300000001</v>
      </c>
      <c r="AG2207" s="16">
        <f>IF(ISERROR(VLOOKUP($A2207,'13. Updated Demand'!A:Z,24,FALSE)),0,VLOOKUP($A2207,'13. Updated Demand'!A:Z,24,FALSE))</f>
        <v>0.66666666699999999</v>
      </c>
      <c r="AH2207" s="16">
        <f>IF(ISERROR(VLOOKUP($A2207,'13. Updated Demand'!A:Z,25,FALSE)),0,VLOOKUP($A2207,'13. Updated Demand'!A:Z,25,FALSE))</f>
        <v>0.6</v>
      </c>
      <c r="AI2207" s="16">
        <f>IF(ISERROR(VLOOKUP($A2207,'13. Updated Demand'!A:Z,26,FALSE)),0,VLOOKUP($A2207,'13. Updated Demand'!A:Z,26,FALSE))</f>
        <v>0</v>
      </c>
      <c r="AJ2207" s="16">
        <f t="shared" si="421"/>
        <v>7.3999999999999995</v>
      </c>
      <c r="AK2207" s="19">
        <v>6.1333333329999995</v>
      </c>
      <c r="AL2207" s="16">
        <f t="shared" si="419"/>
        <v>2.0343568013240158E-2</v>
      </c>
      <c r="AM2207" s="26">
        <v>0.37185929648241206</v>
      </c>
      <c r="AN2207" s="19">
        <v>19.899999999999999</v>
      </c>
      <c r="AO2207" s="19" t="s">
        <v>1758</v>
      </c>
      <c r="AP2207" s="19">
        <v>0</v>
      </c>
      <c r="AQ2207" s="19" t="s">
        <v>307</v>
      </c>
      <c r="AR2207" s="9" t="s">
        <v>1118</v>
      </c>
      <c r="AS2207" s="12">
        <v>0</v>
      </c>
      <c r="AT2207" s="19">
        <v>38.464399999999998</v>
      </c>
      <c r="AU2207" s="19">
        <v>-122.8575</v>
      </c>
      <c r="AV2207" s="19" t="s">
        <v>385</v>
      </c>
    </row>
    <row r="2208" spans="1:48" x14ac:dyDescent="0.25">
      <c r="A2208" s="18" t="s">
        <v>2661</v>
      </c>
      <c r="B2208" s="10">
        <v>10000000</v>
      </c>
      <c r="C2208" s="9">
        <v>9</v>
      </c>
      <c r="D2208" s="8" t="str">
        <f t="shared" si="410"/>
        <v>N</v>
      </c>
      <c r="E2208" s="8" t="str">
        <f t="shared" si="411"/>
        <v>Y</v>
      </c>
      <c r="F2208" s="8" t="str">
        <f t="shared" si="412"/>
        <v>Y</v>
      </c>
      <c r="G2208" s="8" t="str">
        <f t="shared" si="413"/>
        <v>Y</v>
      </c>
      <c r="H2208" s="8" t="str">
        <f t="shared" si="414"/>
        <v>Upper</v>
      </c>
      <c r="I2208" s="8" t="str">
        <f t="shared" si="415"/>
        <v>West Fork and Below Lake</v>
      </c>
      <c r="J2208" s="8" t="str">
        <f t="shared" si="416"/>
        <v>Sonoma (d/s of Clov. Gage)</v>
      </c>
      <c r="K2208" s="8" t="str">
        <f t="shared" si="417"/>
        <v>Riparian</v>
      </c>
      <c r="L2208" s="8">
        <f t="shared" si="418"/>
        <v>1000</v>
      </c>
      <c r="M2208" s="8" t="str">
        <f t="shared" si="420"/>
        <v>-</v>
      </c>
      <c r="N2208" s="10" t="s">
        <v>242</v>
      </c>
      <c r="O2208" s="10" t="s">
        <v>241</v>
      </c>
      <c r="P2208" s="10" t="s">
        <v>242</v>
      </c>
      <c r="Q2208" s="10" t="s">
        <v>242</v>
      </c>
      <c r="R2208" s="10" t="s">
        <v>242</v>
      </c>
      <c r="S2208" s="10" t="s">
        <v>241</v>
      </c>
      <c r="T2208" s="10" t="s">
        <v>242</v>
      </c>
      <c r="U2208" s="10" t="s">
        <v>242</v>
      </c>
      <c r="V2208" s="10" t="s">
        <v>242</v>
      </c>
      <c r="W2208" s="10" t="s">
        <v>242</v>
      </c>
      <c r="X2208" s="15">
        <f>IF(ISERROR(VLOOKUP($A2208,'13. Updated Demand'!A:Z,15,FALSE)),0,VLOOKUP($A2208,'13. Updated Demand'!A:Z,15,FALSE))</f>
        <v>0</v>
      </c>
      <c r="Y2208" s="16">
        <f>IF(ISERROR(VLOOKUP($A2208,'13. Updated Demand'!A:Z,16,FALSE)),0,VLOOKUP($A2208,'13. Updated Demand'!A:Z,16,FALSE))</f>
        <v>0</v>
      </c>
      <c r="Z2208" s="16">
        <f>IF(ISERROR(VLOOKUP($A2208,'13. Updated Demand'!A:Z,17,FALSE)),0,VLOOKUP($A2208,'13. Updated Demand'!A:Z,17,FALSE))</f>
        <v>0</v>
      </c>
      <c r="AA2208" s="16">
        <f>IF(ISERROR(VLOOKUP($A2208,'13. Updated Demand'!A:Z,18,FALSE)),0,VLOOKUP($A2208,'13. Updated Demand'!A:Z,18,FALSE))</f>
        <v>0</v>
      </c>
      <c r="AB2208" s="16">
        <f>IF(ISERROR(VLOOKUP($A2208,'13. Updated Demand'!A:Z,19,FALSE)),0,VLOOKUP($A2208,'13. Updated Demand'!A:Z,19,FALSE))</f>
        <v>0</v>
      </c>
      <c r="AC2208" s="16">
        <f>IF(ISERROR(VLOOKUP($A2208,'13. Updated Demand'!A:Z,20,FALSE)),0,VLOOKUP($A2208,'13. Updated Demand'!A:Z,20,FALSE))</f>
        <v>1.99</v>
      </c>
      <c r="AD2208" s="16">
        <f>IF(ISERROR(VLOOKUP($A2208,'13. Updated Demand'!A:Z,21,FALSE)),0,VLOOKUP($A2208,'13. Updated Demand'!A:Z,21,FALSE))</f>
        <v>1.99</v>
      </c>
      <c r="AE2208" s="16">
        <f>IF(ISERROR(VLOOKUP($A2208,'13. Updated Demand'!A:Z,22,FALSE)),0,VLOOKUP($A2208,'13. Updated Demand'!A:Z,22,FALSE))</f>
        <v>1.99</v>
      </c>
      <c r="AF2208" s="16">
        <f>IF(ISERROR(VLOOKUP($A2208,'13. Updated Demand'!A:Z,23,FALSE)),0,VLOOKUP($A2208,'13. Updated Demand'!A:Z,23,FALSE))</f>
        <v>1.99</v>
      </c>
      <c r="AG2208" s="16">
        <f>IF(ISERROR(VLOOKUP($A2208,'13. Updated Demand'!A:Z,24,FALSE)),0,VLOOKUP($A2208,'13. Updated Demand'!A:Z,24,FALSE))</f>
        <v>0</v>
      </c>
      <c r="AH2208" s="16">
        <f>IF(ISERROR(VLOOKUP($A2208,'13. Updated Demand'!A:Z,25,FALSE)),0,VLOOKUP($A2208,'13. Updated Demand'!A:Z,25,FALSE))</f>
        <v>0</v>
      </c>
      <c r="AI2208" s="16">
        <f>IF(ISERROR(VLOOKUP($A2208,'13. Updated Demand'!A:Z,26,FALSE)),0,VLOOKUP($A2208,'13. Updated Demand'!A:Z,26,FALSE))</f>
        <v>0</v>
      </c>
      <c r="AJ2208" s="16">
        <f t="shared" si="421"/>
        <v>7.96</v>
      </c>
      <c r="AK2208" s="19">
        <v>7.96</v>
      </c>
      <c r="AL2208" s="16">
        <f t="shared" si="419"/>
        <v>2.6402413270792253E-2</v>
      </c>
      <c r="AM2208" s="26">
        <v>0.21976808393152955</v>
      </c>
      <c r="AN2208" s="19">
        <v>36.22</v>
      </c>
      <c r="AO2208" s="19" t="s">
        <v>1758</v>
      </c>
      <c r="AP2208" s="19">
        <v>0</v>
      </c>
      <c r="AQ2208" s="19" t="s">
        <v>307</v>
      </c>
      <c r="AR2208" s="9" t="s">
        <v>354</v>
      </c>
      <c r="AS2208" s="12">
        <v>0</v>
      </c>
      <c r="AT2208" s="19">
        <v>38.825699999999998</v>
      </c>
      <c r="AU2208" s="19">
        <v>-123.0171</v>
      </c>
      <c r="AV2208" s="19" t="s">
        <v>2662</v>
      </c>
    </row>
    <row r="2209" spans="1:48" x14ac:dyDescent="0.25">
      <c r="A2209" s="18" t="s">
        <v>2663</v>
      </c>
      <c r="B2209" s="10">
        <v>10000000</v>
      </c>
      <c r="C2209" s="9">
        <v>6</v>
      </c>
      <c r="D2209" s="8" t="str">
        <f t="shared" si="410"/>
        <v>Y</v>
      </c>
      <c r="E2209" s="8" t="str">
        <f t="shared" si="411"/>
        <v>N</v>
      </c>
      <c r="F2209" s="8" t="str">
        <f t="shared" si="412"/>
        <v>Y</v>
      </c>
      <c r="G2209" s="8" t="str">
        <f t="shared" si="413"/>
        <v>Y</v>
      </c>
      <c r="H2209" s="8" t="str">
        <f t="shared" si="414"/>
        <v>Upper</v>
      </c>
      <c r="I2209" s="8" t="str">
        <f t="shared" si="415"/>
        <v>West Fork and Below Lake</v>
      </c>
      <c r="J2209" s="8" t="str">
        <f t="shared" si="416"/>
        <v>Mendocino (d/s of lake)</v>
      </c>
      <c r="K2209" s="8" t="str">
        <f t="shared" si="417"/>
        <v>Riparian</v>
      </c>
      <c r="L2209" s="8">
        <f t="shared" si="418"/>
        <v>1000</v>
      </c>
      <c r="M2209" s="8" t="str">
        <f t="shared" si="420"/>
        <v>-</v>
      </c>
      <c r="N2209" s="10" t="s">
        <v>242</v>
      </c>
      <c r="O2209" s="10" t="s">
        <v>241</v>
      </c>
      <c r="P2209" s="10" t="s">
        <v>242</v>
      </c>
      <c r="Q2209" s="10" t="s">
        <v>242</v>
      </c>
      <c r="R2209" s="10" t="s">
        <v>242</v>
      </c>
      <c r="S2209" s="10" t="s">
        <v>241</v>
      </c>
      <c r="T2209" s="10" t="s">
        <v>242</v>
      </c>
      <c r="U2209" s="10" t="s">
        <v>242</v>
      </c>
      <c r="V2209" s="10" t="s">
        <v>241</v>
      </c>
      <c r="W2209" s="10" t="s">
        <v>242</v>
      </c>
      <c r="X2209" s="15">
        <f>IF(ISERROR(VLOOKUP($A2209,'13. Updated Demand'!A:Z,15,FALSE)),0,VLOOKUP($A2209,'13. Updated Demand'!A:Z,15,FALSE))</f>
        <v>2</v>
      </c>
      <c r="Y2209" s="16">
        <f>IF(ISERROR(VLOOKUP($A2209,'13. Updated Demand'!A:Z,16,FALSE)),0,VLOOKUP($A2209,'13. Updated Demand'!A:Z,16,FALSE))</f>
        <v>2</v>
      </c>
      <c r="Z2209" s="16">
        <f>IF(ISERROR(VLOOKUP($A2209,'13. Updated Demand'!A:Z,17,FALSE)),0,VLOOKUP($A2209,'13. Updated Demand'!A:Z,17,FALSE))</f>
        <v>2</v>
      </c>
      <c r="AA2209" s="16">
        <f>IF(ISERROR(VLOOKUP($A2209,'13. Updated Demand'!A:Z,18,FALSE)),0,VLOOKUP($A2209,'13. Updated Demand'!A:Z,18,FALSE))</f>
        <v>0</v>
      </c>
      <c r="AB2209" s="16">
        <f>IF(ISERROR(VLOOKUP($A2209,'13. Updated Demand'!A:Z,19,FALSE)),0,VLOOKUP($A2209,'13. Updated Demand'!A:Z,19,FALSE))</f>
        <v>0</v>
      </c>
      <c r="AC2209" s="16">
        <f>IF(ISERROR(VLOOKUP($A2209,'13. Updated Demand'!A:Z,20,FALSE)),0,VLOOKUP($A2209,'13. Updated Demand'!A:Z,20,FALSE))</f>
        <v>0</v>
      </c>
      <c r="AD2209" s="16">
        <f>IF(ISERROR(VLOOKUP($A2209,'13. Updated Demand'!A:Z,21,FALSE)),0,VLOOKUP($A2209,'13. Updated Demand'!A:Z,21,FALSE))</f>
        <v>0</v>
      </c>
      <c r="AE2209" s="16">
        <f>IF(ISERROR(VLOOKUP($A2209,'13. Updated Demand'!A:Z,22,FALSE)),0,VLOOKUP($A2209,'13. Updated Demand'!A:Z,22,FALSE))</f>
        <v>0</v>
      </c>
      <c r="AF2209" s="16">
        <f>IF(ISERROR(VLOOKUP($A2209,'13. Updated Demand'!A:Z,23,FALSE)),0,VLOOKUP($A2209,'13. Updated Demand'!A:Z,23,FALSE))</f>
        <v>0</v>
      </c>
      <c r="AG2209" s="16">
        <f>IF(ISERROR(VLOOKUP($A2209,'13. Updated Demand'!A:Z,24,FALSE)),0,VLOOKUP($A2209,'13. Updated Demand'!A:Z,24,FALSE))</f>
        <v>0</v>
      </c>
      <c r="AH2209" s="16">
        <f>IF(ISERROR(VLOOKUP($A2209,'13. Updated Demand'!A:Z,25,FALSE)),0,VLOOKUP($A2209,'13. Updated Demand'!A:Z,25,FALSE))</f>
        <v>0</v>
      </c>
      <c r="AI2209" s="16">
        <f>IF(ISERROR(VLOOKUP($A2209,'13. Updated Demand'!A:Z,26,FALSE)),0,VLOOKUP($A2209,'13. Updated Demand'!A:Z,26,FALSE))</f>
        <v>2</v>
      </c>
      <c r="AJ2209" s="16">
        <f t="shared" si="421"/>
        <v>8</v>
      </c>
      <c r="AK2209" s="19">
        <v>0</v>
      </c>
      <c r="AL2209" s="16">
        <f t="shared" si="419"/>
        <v>0</v>
      </c>
      <c r="AM2209" s="26">
        <v>0.25806451612903225</v>
      </c>
      <c r="AN2209" s="19">
        <v>31</v>
      </c>
      <c r="AO2209" s="19" t="s">
        <v>1758</v>
      </c>
      <c r="AP2209" s="19">
        <v>0</v>
      </c>
      <c r="AQ2209" s="19" t="s">
        <v>307</v>
      </c>
      <c r="AR2209" s="9" t="s">
        <v>319</v>
      </c>
      <c r="AS2209" s="12">
        <v>0</v>
      </c>
      <c r="AT2209" s="19">
        <v>38.9405</v>
      </c>
      <c r="AU2209" s="19">
        <v>-123.1653</v>
      </c>
      <c r="AV2209" s="19" t="s">
        <v>2664</v>
      </c>
    </row>
    <row r="2210" spans="1:48" x14ac:dyDescent="0.25">
      <c r="A2210" s="18" t="s">
        <v>2665</v>
      </c>
      <c r="B2210" s="10">
        <v>10000000</v>
      </c>
      <c r="C2210" s="9">
        <v>6</v>
      </c>
      <c r="D2210" s="8" t="str">
        <f t="shared" si="410"/>
        <v>Y</v>
      </c>
      <c r="E2210" s="8" t="str">
        <f t="shared" si="411"/>
        <v>N</v>
      </c>
      <c r="F2210" s="8" t="str">
        <f t="shared" si="412"/>
        <v>Y</v>
      </c>
      <c r="G2210" s="8" t="str">
        <f t="shared" si="413"/>
        <v>Y</v>
      </c>
      <c r="H2210" s="8" t="str">
        <f t="shared" si="414"/>
        <v>Upper</v>
      </c>
      <c r="I2210" s="8" t="str">
        <f t="shared" si="415"/>
        <v>West Fork and Below Lake</v>
      </c>
      <c r="J2210" s="8" t="str">
        <f t="shared" si="416"/>
        <v>Mendocino (d/s of lake)</v>
      </c>
      <c r="K2210" s="8" t="str">
        <f t="shared" si="417"/>
        <v>Riparian</v>
      </c>
      <c r="L2210" s="8">
        <f t="shared" si="418"/>
        <v>1000</v>
      </c>
      <c r="M2210" s="8" t="str">
        <f t="shared" si="420"/>
        <v>-</v>
      </c>
      <c r="N2210" s="10" t="s">
        <v>242</v>
      </c>
      <c r="O2210" s="10" t="s">
        <v>241</v>
      </c>
      <c r="P2210" s="10" t="s">
        <v>242</v>
      </c>
      <c r="Q2210" s="10" t="s">
        <v>242</v>
      </c>
      <c r="R2210" s="10" t="s">
        <v>242</v>
      </c>
      <c r="S2210" s="10" t="s">
        <v>241</v>
      </c>
      <c r="T2210" s="10" t="s">
        <v>242</v>
      </c>
      <c r="U2210" s="10" t="s">
        <v>242</v>
      </c>
      <c r="V2210" s="10" t="s">
        <v>242</v>
      </c>
      <c r="W2210" s="10" t="s">
        <v>242</v>
      </c>
      <c r="X2210" s="15">
        <f>IF(ISERROR(VLOOKUP($A2210,'13. Updated Demand'!A:Z,15,FALSE)),0,VLOOKUP($A2210,'13. Updated Demand'!A:Z,15,FALSE))</f>
        <v>1</v>
      </c>
      <c r="Y2210" s="16">
        <f>IF(ISERROR(VLOOKUP($A2210,'13. Updated Demand'!A:Z,16,FALSE)),0,VLOOKUP($A2210,'13. Updated Demand'!A:Z,16,FALSE))</f>
        <v>1</v>
      </c>
      <c r="Z2210" s="16">
        <f>IF(ISERROR(VLOOKUP($A2210,'13. Updated Demand'!A:Z,17,FALSE)),0,VLOOKUP($A2210,'13. Updated Demand'!A:Z,17,FALSE))</f>
        <v>1</v>
      </c>
      <c r="AA2210" s="16">
        <f>IF(ISERROR(VLOOKUP($A2210,'13. Updated Demand'!A:Z,18,FALSE)),0,VLOOKUP($A2210,'13. Updated Demand'!A:Z,18,FALSE))</f>
        <v>0.66</v>
      </c>
      <c r="AB2210" s="16">
        <f>IF(ISERROR(VLOOKUP($A2210,'13. Updated Demand'!A:Z,19,FALSE)),0,VLOOKUP($A2210,'13. Updated Demand'!A:Z,19,FALSE))</f>
        <v>0.66</v>
      </c>
      <c r="AC2210" s="16">
        <f>IF(ISERROR(VLOOKUP($A2210,'13. Updated Demand'!A:Z,20,FALSE)),0,VLOOKUP($A2210,'13. Updated Demand'!A:Z,20,FALSE))</f>
        <v>0</v>
      </c>
      <c r="AD2210" s="16">
        <f>IF(ISERROR(VLOOKUP($A2210,'13. Updated Demand'!A:Z,21,FALSE)),0,VLOOKUP($A2210,'13. Updated Demand'!A:Z,21,FALSE))</f>
        <v>0</v>
      </c>
      <c r="AE2210" s="16">
        <f>IF(ISERROR(VLOOKUP($A2210,'13. Updated Demand'!A:Z,22,FALSE)),0,VLOOKUP($A2210,'13. Updated Demand'!A:Z,22,FALSE))</f>
        <v>0</v>
      </c>
      <c r="AF2210" s="16">
        <f>IF(ISERROR(VLOOKUP($A2210,'13. Updated Demand'!A:Z,23,FALSE)),0,VLOOKUP($A2210,'13. Updated Demand'!A:Z,23,FALSE))</f>
        <v>0</v>
      </c>
      <c r="AG2210" s="16">
        <f>IF(ISERROR(VLOOKUP($A2210,'13. Updated Demand'!A:Z,24,FALSE)),0,VLOOKUP($A2210,'13. Updated Demand'!A:Z,24,FALSE))</f>
        <v>0</v>
      </c>
      <c r="AH2210" s="16">
        <f>IF(ISERROR(VLOOKUP($A2210,'13. Updated Demand'!A:Z,25,FALSE)),0,VLOOKUP($A2210,'13. Updated Demand'!A:Z,25,FALSE))</f>
        <v>0.33</v>
      </c>
      <c r="AI2210" s="16">
        <f>IF(ISERROR(VLOOKUP($A2210,'13. Updated Demand'!A:Z,26,FALSE)),0,VLOOKUP($A2210,'13. Updated Demand'!A:Z,26,FALSE))</f>
        <v>0.33</v>
      </c>
      <c r="AJ2210" s="16">
        <f t="shared" si="421"/>
        <v>4.9800000000000004</v>
      </c>
      <c r="AK2210" s="19">
        <v>0.66666666699999999</v>
      </c>
      <c r="AL2210" s="16">
        <f t="shared" si="419"/>
        <v>2.2112573939693015E-3</v>
      </c>
      <c r="AM2210" s="26">
        <v>1.2499999999999998</v>
      </c>
      <c r="AN2210" s="19">
        <v>4</v>
      </c>
      <c r="AO2210" s="19" t="s">
        <v>1758</v>
      </c>
      <c r="AP2210" s="19">
        <v>0</v>
      </c>
      <c r="AQ2210" s="19" t="s">
        <v>307</v>
      </c>
      <c r="AR2210" s="9" t="s">
        <v>319</v>
      </c>
      <c r="AS2210" s="12">
        <v>0</v>
      </c>
      <c r="AT2210" s="19">
        <v>38.947099999999999</v>
      </c>
      <c r="AU2210" s="19">
        <v>-123.1605</v>
      </c>
      <c r="AV2210" s="19" t="s">
        <v>2666</v>
      </c>
    </row>
    <row r="2211" spans="1:48" x14ac:dyDescent="0.25">
      <c r="A2211" s="18" t="s">
        <v>2667</v>
      </c>
      <c r="B2211" s="10">
        <v>10000000</v>
      </c>
      <c r="C2211" s="9">
        <v>6</v>
      </c>
      <c r="D2211" s="8" t="str">
        <f t="shared" si="410"/>
        <v>Y</v>
      </c>
      <c r="E2211" s="8" t="str">
        <f t="shared" si="411"/>
        <v>N</v>
      </c>
      <c r="F2211" s="8" t="str">
        <f t="shared" si="412"/>
        <v>Y</v>
      </c>
      <c r="G2211" s="8" t="str">
        <f t="shared" si="413"/>
        <v>Y</v>
      </c>
      <c r="H2211" s="8" t="str">
        <f t="shared" si="414"/>
        <v>Upper</v>
      </c>
      <c r="I2211" s="8" t="str">
        <f t="shared" si="415"/>
        <v>West Fork and Below Lake</v>
      </c>
      <c r="J2211" s="8" t="str">
        <f t="shared" si="416"/>
        <v>Mendocino (d/s of lake)</v>
      </c>
      <c r="K2211" s="8" t="str">
        <f t="shared" si="417"/>
        <v>Riparian</v>
      </c>
      <c r="L2211" s="8">
        <f t="shared" si="418"/>
        <v>1000</v>
      </c>
      <c r="M2211" s="8" t="str">
        <f t="shared" si="420"/>
        <v>-</v>
      </c>
      <c r="N2211" s="10" t="s">
        <v>242</v>
      </c>
      <c r="O2211" s="10" t="s">
        <v>241</v>
      </c>
      <c r="P2211" s="10" t="s">
        <v>242</v>
      </c>
      <c r="Q2211" s="10" t="s">
        <v>242</v>
      </c>
      <c r="R2211" s="10" t="s">
        <v>242</v>
      </c>
      <c r="S2211" s="10" t="s">
        <v>241</v>
      </c>
      <c r="T2211" s="10" t="s">
        <v>242</v>
      </c>
      <c r="U2211" s="10" t="s">
        <v>242</v>
      </c>
      <c r="V2211" s="10" t="s">
        <v>242</v>
      </c>
      <c r="W2211" s="10" t="s">
        <v>242</v>
      </c>
      <c r="X2211" s="15">
        <f>IF(ISERROR(VLOOKUP($A2211,'13. Updated Demand'!A:Z,15,FALSE)),0,VLOOKUP($A2211,'13. Updated Demand'!A:Z,15,FALSE))</f>
        <v>0.93</v>
      </c>
      <c r="Y2211" s="16">
        <f>IF(ISERROR(VLOOKUP($A2211,'13. Updated Demand'!A:Z,16,FALSE)),0,VLOOKUP($A2211,'13. Updated Demand'!A:Z,16,FALSE))</f>
        <v>0.93</v>
      </c>
      <c r="Z2211" s="16">
        <f>IF(ISERROR(VLOOKUP($A2211,'13. Updated Demand'!A:Z,17,FALSE)),0,VLOOKUP($A2211,'13. Updated Demand'!A:Z,17,FALSE))</f>
        <v>0</v>
      </c>
      <c r="AA2211" s="16">
        <f>IF(ISERROR(VLOOKUP($A2211,'13. Updated Demand'!A:Z,18,FALSE)),0,VLOOKUP($A2211,'13. Updated Demand'!A:Z,18,FALSE))</f>
        <v>0</v>
      </c>
      <c r="AB2211" s="16">
        <f>IF(ISERROR(VLOOKUP($A2211,'13. Updated Demand'!A:Z,19,FALSE)),0,VLOOKUP($A2211,'13. Updated Demand'!A:Z,19,FALSE))</f>
        <v>0</v>
      </c>
      <c r="AC2211" s="16">
        <f>IF(ISERROR(VLOOKUP($A2211,'13. Updated Demand'!A:Z,20,FALSE)),0,VLOOKUP($A2211,'13. Updated Demand'!A:Z,20,FALSE))</f>
        <v>0</v>
      </c>
      <c r="AD2211" s="16">
        <f>IF(ISERROR(VLOOKUP($A2211,'13. Updated Demand'!A:Z,21,FALSE)),0,VLOOKUP($A2211,'13. Updated Demand'!A:Z,21,FALSE))</f>
        <v>0.01</v>
      </c>
      <c r="AE2211" s="16">
        <f>IF(ISERROR(VLOOKUP($A2211,'13. Updated Demand'!A:Z,22,FALSE)),0,VLOOKUP($A2211,'13. Updated Demand'!A:Z,22,FALSE))</f>
        <v>0.01</v>
      </c>
      <c r="AF2211" s="16">
        <f>IF(ISERROR(VLOOKUP($A2211,'13. Updated Demand'!A:Z,23,FALSE)),0,VLOOKUP($A2211,'13. Updated Demand'!A:Z,23,FALSE))</f>
        <v>0.01</v>
      </c>
      <c r="AG2211" s="16">
        <f>IF(ISERROR(VLOOKUP($A2211,'13. Updated Demand'!A:Z,24,FALSE)),0,VLOOKUP($A2211,'13. Updated Demand'!A:Z,24,FALSE))</f>
        <v>0</v>
      </c>
      <c r="AH2211" s="16">
        <f>IF(ISERROR(VLOOKUP($A2211,'13. Updated Demand'!A:Z,25,FALSE)),0,VLOOKUP($A2211,'13. Updated Demand'!A:Z,25,FALSE))</f>
        <v>0</v>
      </c>
      <c r="AI2211" s="16">
        <f>IF(ISERROR(VLOOKUP($A2211,'13. Updated Demand'!A:Z,26,FALSE)),0,VLOOKUP($A2211,'13. Updated Demand'!A:Z,26,FALSE))</f>
        <v>0.93</v>
      </c>
      <c r="AJ2211" s="16">
        <f t="shared" si="421"/>
        <v>2.8200000000000003</v>
      </c>
      <c r="AK2211" s="19">
        <v>3.0689001E-2</v>
      </c>
      <c r="AL2211" s="16">
        <f t="shared" si="419"/>
        <v>1.0179192051127597E-4</v>
      </c>
      <c r="AM2211" s="26">
        <v>0.31452099999999994</v>
      </c>
      <c r="AN2211" s="19">
        <v>9</v>
      </c>
      <c r="AO2211" s="19" t="s">
        <v>1758</v>
      </c>
      <c r="AP2211" s="19">
        <v>0</v>
      </c>
      <c r="AQ2211" s="19" t="s">
        <v>307</v>
      </c>
      <c r="AR2211" s="9" t="s">
        <v>319</v>
      </c>
      <c r="AS2211" s="12">
        <v>0</v>
      </c>
      <c r="AT2211" s="19">
        <v>39.0137</v>
      </c>
      <c r="AU2211" s="19">
        <v>-123.1503</v>
      </c>
      <c r="AV2211" s="19" t="s">
        <v>414</v>
      </c>
    </row>
    <row r="2212" spans="1:48" x14ac:dyDescent="0.25">
      <c r="A2212" s="18" t="s">
        <v>2668</v>
      </c>
      <c r="B2212" s="10">
        <v>10000000</v>
      </c>
      <c r="C2212" s="9">
        <v>6</v>
      </c>
      <c r="D2212" s="8" t="str">
        <f t="shared" si="410"/>
        <v>Y</v>
      </c>
      <c r="E2212" s="8" t="str">
        <f t="shared" si="411"/>
        <v>N</v>
      </c>
      <c r="F2212" s="8" t="str">
        <f t="shared" si="412"/>
        <v>Y</v>
      </c>
      <c r="G2212" s="8" t="str">
        <f t="shared" si="413"/>
        <v>Y</v>
      </c>
      <c r="H2212" s="8" t="str">
        <f t="shared" si="414"/>
        <v>Upper</v>
      </c>
      <c r="I2212" s="8" t="str">
        <f t="shared" si="415"/>
        <v>West Fork and Below Lake</v>
      </c>
      <c r="J2212" s="8" t="str">
        <f t="shared" si="416"/>
        <v>Mendocino (d/s of lake)</v>
      </c>
      <c r="K2212" s="8" t="str">
        <f t="shared" si="417"/>
        <v>Riparian</v>
      </c>
      <c r="L2212" s="8">
        <f t="shared" si="418"/>
        <v>1000</v>
      </c>
      <c r="M2212" s="8" t="str">
        <f t="shared" si="420"/>
        <v>-</v>
      </c>
      <c r="N2212" s="10" t="s">
        <v>242</v>
      </c>
      <c r="O2212" s="10" t="s">
        <v>241</v>
      </c>
      <c r="P2212" s="10" t="s">
        <v>242</v>
      </c>
      <c r="Q2212" s="10" t="s">
        <v>242</v>
      </c>
      <c r="R2212" s="10" t="s">
        <v>242</v>
      </c>
      <c r="S2212" s="10" t="s">
        <v>241</v>
      </c>
      <c r="T2212" s="10" t="s">
        <v>242</v>
      </c>
      <c r="U2212" s="10" t="s">
        <v>242</v>
      </c>
      <c r="V2212" s="10" t="s">
        <v>242</v>
      </c>
      <c r="W2212" s="10" t="s">
        <v>242</v>
      </c>
      <c r="X2212" s="15">
        <f>IF(ISERROR(VLOOKUP($A2212,'13. Updated Demand'!A:Z,15,FALSE)),0,VLOOKUP($A2212,'13. Updated Demand'!A:Z,15,FALSE))</f>
        <v>0</v>
      </c>
      <c r="Y2212" s="16">
        <f>IF(ISERROR(VLOOKUP($A2212,'13. Updated Demand'!A:Z,16,FALSE)),0,VLOOKUP($A2212,'13. Updated Demand'!A:Z,16,FALSE))</f>
        <v>0</v>
      </c>
      <c r="Z2212" s="16">
        <f>IF(ISERROR(VLOOKUP($A2212,'13. Updated Demand'!A:Z,17,FALSE)),0,VLOOKUP($A2212,'13. Updated Demand'!A:Z,17,FALSE))</f>
        <v>0</v>
      </c>
      <c r="AA2212" s="16">
        <f>IF(ISERROR(VLOOKUP($A2212,'13. Updated Demand'!A:Z,18,FALSE)),0,VLOOKUP($A2212,'13. Updated Demand'!A:Z,18,FALSE))</f>
        <v>0</v>
      </c>
      <c r="AB2212" s="16">
        <f>IF(ISERROR(VLOOKUP($A2212,'13. Updated Demand'!A:Z,19,FALSE)),0,VLOOKUP($A2212,'13. Updated Demand'!A:Z,19,FALSE))</f>
        <v>0.34</v>
      </c>
      <c r="AC2212" s="16">
        <f>IF(ISERROR(VLOOKUP($A2212,'13. Updated Demand'!A:Z,20,FALSE)),0,VLOOKUP($A2212,'13. Updated Demand'!A:Z,20,FALSE))</f>
        <v>0.34</v>
      </c>
      <c r="AD2212" s="16">
        <f>IF(ISERROR(VLOOKUP($A2212,'13. Updated Demand'!A:Z,21,FALSE)),0,VLOOKUP($A2212,'13. Updated Demand'!A:Z,21,FALSE))</f>
        <v>0.4</v>
      </c>
      <c r="AE2212" s="16">
        <f>IF(ISERROR(VLOOKUP($A2212,'13. Updated Demand'!A:Z,22,FALSE)),0,VLOOKUP($A2212,'13. Updated Demand'!A:Z,22,FALSE))</f>
        <v>0.4</v>
      </c>
      <c r="AF2212" s="16">
        <f>IF(ISERROR(VLOOKUP($A2212,'13. Updated Demand'!A:Z,23,FALSE)),0,VLOOKUP($A2212,'13. Updated Demand'!A:Z,23,FALSE))</f>
        <v>0.06</v>
      </c>
      <c r="AG2212" s="16">
        <f>IF(ISERROR(VLOOKUP($A2212,'13. Updated Demand'!A:Z,24,FALSE)),0,VLOOKUP($A2212,'13. Updated Demand'!A:Z,24,FALSE))</f>
        <v>0</v>
      </c>
      <c r="AH2212" s="16">
        <f>IF(ISERROR(VLOOKUP($A2212,'13. Updated Demand'!A:Z,25,FALSE)),0,VLOOKUP($A2212,'13. Updated Demand'!A:Z,25,FALSE))</f>
        <v>0</v>
      </c>
      <c r="AI2212" s="16">
        <f>IF(ISERROR(VLOOKUP($A2212,'13. Updated Demand'!A:Z,26,FALSE)),0,VLOOKUP($A2212,'13. Updated Demand'!A:Z,26,FALSE))</f>
        <v>0</v>
      </c>
      <c r="AJ2212" s="16">
        <f t="shared" si="421"/>
        <v>1.54</v>
      </c>
      <c r="AK2212" s="19">
        <v>1.5707996669999997</v>
      </c>
      <c r="AL2212" s="16">
        <f t="shared" si="419"/>
        <v>5.2101635645423168E-3</v>
      </c>
      <c r="AM2212" s="26">
        <v>0.17453329633333331</v>
      </c>
      <c r="AN2212" s="19">
        <v>9</v>
      </c>
      <c r="AO2212" s="19" t="s">
        <v>1758</v>
      </c>
      <c r="AP2212" s="19">
        <v>0</v>
      </c>
      <c r="AQ2212" s="19" t="s">
        <v>307</v>
      </c>
      <c r="AR2212" s="9" t="s">
        <v>319</v>
      </c>
      <c r="AS2212" s="12">
        <v>0</v>
      </c>
      <c r="AT2212" s="19">
        <v>39.0137</v>
      </c>
      <c r="AU2212" s="19">
        <v>-123.1503</v>
      </c>
      <c r="AV2212" s="19" t="s">
        <v>414</v>
      </c>
    </row>
    <row r="2213" spans="1:48" x14ac:dyDescent="0.25">
      <c r="A2213" s="18" t="s">
        <v>2669</v>
      </c>
      <c r="B2213" s="10">
        <v>10000000</v>
      </c>
      <c r="C2213" s="9">
        <v>9</v>
      </c>
      <c r="D2213" s="8" t="str">
        <f t="shared" si="410"/>
        <v>N</v>
      </c>
      <c r="E2213" s="8" t="str">
        <f t="shared" si="411"/>
        <v>Y</v>
      </c>
      <c r="F2213" s="8" t="str">
        <f t="shared" si="412"/>
        <v>Y</v>
      </c>
      <c r="G2213" s="8" t="str">
        <f t="shared" si="413"/>
        <v>Y</v>
      </c>
      <c r="H2213" s="8" t="str">
        <f t="shared" si="414"/>
        <v>Upper</v>
      </c>
      <c r="I2213" s="8" t="str">
        <f t="shared" si="415"/>
        <v>West Fork and Below Lake</v>
      </c>
      <c r="J2213" s="8" t="str">
        <f t="shared" si="416"/>
        <v>Sonoma (d/s of Clov. Gage)</v>
      </c>
      <c r="K2213" s="8" t="str">
        <f t="shared" si="417"/>
        <v>Riparian</v>
      </c>
      <c r="L2213" s="8">
        <f t="shared" si="418"/>
        <v>1000</v>
      </c>
      <c r="M2213" s="8" t="str">
        <f t="shared" si="420"/>
        <v>-</v>
      </c>
      <c r="N2213" s="10" t="s">
        <v>242</v>
      </c>
      <c r="O2213" s="10" t="s">
        <v>241</v>
      </c>
      <c r="P2213" s="10" t="s">
        <v>242</v>
      </c>
      <c r="Q2213" s="10" t="s">
        <v>242</v>
      </c>
      <c r="R2213" s="10" t="s">
        <v>242</v>
      </c>
      <c r="S2213" s="10" t="s">
        <v>241</v>
      </c>
      <c r="T2213" s="10" t="s">
        <v>242</v>
      </c>
      <c r="U2213" s="10" t="s">
        <v>242</v>
      </c>
      <c r="V2213" s="10" t="s">
        <v>242</v>
      </c>
      <c r="W2213" s="10" t="s">
        <v>242</v>
      </c>
      <c r="X2213" s="15">
        <f>IF(ISERROR(VLOOKUP($A2213,'13. Updated Demand'!A:Z,15,FALSE)),0,VLOOKUP($A2213,'13. Updated Demand'!A:Z,15,FALSE))</f>
        <v>0</v>
      </c>
      <c r="Y2213" s="16">
        <f>IF(ISERROR(VLOOKUP($A2213,'13. Updated Demand'!A:Z,16,FALSE)),0,VLOOKUP($A2213,'13. Updated Demand'!A:Z,16,FALSE))</f>
        <v>0</v>
      </c>
      <c r="Z2213" s="16">
        <f>IF(ISERROR(VLOOKUP($A2213,'13. Updated Demand'!A:Z,17,FALSE)),0,VLOOKUP($A2213,'13. Updated Demand'!A:Z,17,FALSE))</f>
        <v>0</v>
      </c>
      <c r="AA2213" s="16">
        <f>IF(ISERROR(VLOOKUP($A2213,'13. Updated Demand'!A:Z,18,FALSE)),0,VLOOKUP($A2213,'13. Updated Demand'!A:Z,18,FALSE))</f>
        <v>0</v>
      </c>
      <c r="AB2213" s="16">
        <f>IF(ISERROR(VLOOKUP($A2213,'13. Updated Demand'!A:Z,19,FALSE)),0,VLOOKUP($A2213,'13. Updated Demand'!A:Z,19,FALSE))</f>
        <v>0</v>
      </c>
      <c r="AC2213" s="16">
        <f>IF(ISERROR(VLOOKUP($A2213,'13. Updated Demand'!A:Z,20,FALSE)),0,VLOOKUP($A2213,'13. Updated Demand'!A:Z,20,FALSE))</f>
        <v>0</v>
      </c>
      <c r="AD2213" s="16">
        <f>IF(ISERROR(VLOOKUP($A2213,'13. Updated Demand'!A:Z,21,FALSE)),0,VLOOKUP($A2213,'13. Updated Demand'!A:Z,21,FALSE))</f>
        <v>0</v>
      </c>
      <c r="AE2213" s="16">
        <f>IF(ISERROR(VLOOKUP($A2213,'13. Updated Demand'!A:Z,22,FALSE)),0,VLOOKUP($A2213,'13. Updated Demand'!A:Z,22,FALSE))</f>
        <v>0</v>
      </c>
      <c r="AF2213" s="16">
        <f>IF(ISERROR(VLOOKUP($A2213,'13. Updated Demand'!A:Z,23,FALSE)),0,VLOOKUP($A2213,'13. Updated Demand'!A:Z,23,FALSE))</f>
        <v>0</v>
      </c>
      <c r="AG2213" s="16">
        <f>IF(ISERROR(VLOOKUP($A2213,'13. Updated Demand'!A:Z,24,FALSE)),0,VLOOKUP($A2213,'13. Updated Demand'!A:Z,24,FALSE))</f>
        <v>0</v>
      </c>
      <c r="AH2213" s="16">
        <f>IF(ISERROR(VLOOKUP($A2213,'13. Updated Demand'!A:Z,25,FALSE)),0,VLOOKUP($A2213,'13. Updated Demand'!A:Z,25,FALSE))</f>
        <v>0</v>
      </c>
      <c r="AI2213" s="16">
        <f>IF(ISERROR(VLOOKUP($A2213,'13. Updated Demand'!A:Z,26,FALSE)),0,VLOOKUP($A2213,'13. Updated Demand'!A:Z,26,FALSE))</f>
        <v>0</v>
      </c>
      <c r="AJ2213" s="16">
        <f t="shared" si="421"/>
        <v>0</v>
      </c>
      <c r="AK2213" s="19">
        <v>0.15</v>
      </c>
      <c r="AL2213" s="16">
        <f t="shared" si="419"/>
        <v>4.9753291339432639E-4</v>
      </c>
      <c r="AM2213" s="26">
        <v>0.38055555549999992</v>
      </c>
      <c r="AN2213" s="19">
        <v>6</v>
      </c>
      <c r="AO2213" s="19" t="s">
        <v>1758</v>
      </c>
      <c r="AP2213" s="19">
        <v>0</v>
      </c>
      <c r="AQ2213" s="19" t="s">
        <v>307</v>
      </c>
      <c r="AR2213" s="9" t="s">
        <v>354</v>
      </c>
      <c r="AS2213" s="12">
        <v>0</v>
      </c>
      <c r="AT2213" s="19">
        <v>38.8551</v>
      </c>
      <c r="AU2213" s="19">
        <v>-122.97539999999999</v>
      </c>
      <c r="AV2213" s="19" t="s">
        <v>385</v>
      </c>
    </row>
    <row r="2214" spans="1:48" x14ac:dyDescent="0.25">
      <c r="A2214" s="18" t="s">
        <v>2670</v>
      </c>
      <c r="B2214" s="10">
        <v>10000000</v>
      </c>
      <c r="C2214" s="9">
        <v>9</v>
      </c>
      <c r="D2214" s="8" t="str">
        <f t="shared" si="410"/>
        <v>N</v>
      </c>
      <c r="E2214" s="8" t="str">
        <f t="shared" si="411"/>
        <v>Y</v>
      </c>
      <c r="F2214" s="8" t="str">
        <f t="shared" si="412"/>
        <v>Y</v>
      </c>
      <c r="G2214" s="8" t="str">
        <f t="shared" si="413"/>
        <v>Y</v>
      </c>
      <c r="H2214" s="8" t="str">
        <f t="shared" si="414"/>
        <v>Upper</v>
      </c>
      <c r="I2214" s="8" t="str">
        <f t="shared" si="415"/>
        <v>West Fork and Below Lake</v>
      </c>
      <c r="J2214" s="8" t="str">
        <f t="shared" si="416"/>
        <v>Sonoma (d/s of Clov. Gage)</v>
      </c>
      <c r="K2214" s="8" t="str">
        <f t="shared" si="417"/>
        <v>Riparian</v>
      </c>
      <c r="L2214" s="8">
        <f t="shared" si="418"/>
        <v>1000</v>
      </c>
      <c r="M2214" s="8" t="str">
        <f t="shared" si="420"/>
        <v>-</v>
      </c>
      <c r="N2214" s="10" t="s">
        <v>242</v>
      </c>
      <c r="O2214" s="10" t="s">
        <v>241</v>
      </c>
      <c r="P2214" s="10" t="s">
        <v>242</v>
      </c>
      <c r="Q2214" s="10" t="s">
        <v>242</v>
      </c>
      <c r="R2214" s="10" t="s">
        <v>242</v>
      </c>
      <c r="S2214" s="10" t="s">
        <v>241</v>
      </c>
      <c r="T2214" s="10" t="s">
        <v>242</v>
      </c>
      <c r="U2214" s="10" t="s">
        <v>242</v>
      </c>
      <c r="V2214" s="10" t="s">
        <v>241</v>
      </c>
      <c r="W2214" s="10" t="s">
        <v>242</v>
      </c>
      <c r="X2214" s="15">
        <f>IF(ISERROR(VLOOKUP($A2214,'13. Updated Demand'!A:Z,15,FALSE)),0,VLOOKUP($A2214,'13. Updated Demand'!A:Z,15,FALSE))</f>
        <v>0</v>
      </c>
      <c r="Y2214" s="16">
        <f>IF(ISERROR(VLOOKUP($A2214,'13. Updated Demand'!A:Z,16,FALSE)),0,VLOOKUP($A2214,'13. Updated Demand'!A:Z,16,FALSE))</f>
        <v>0</v>
      </c>
      <c r="Z2214" s="16">
        <f>IF(ISERROR(VLOOKUP($A2214,'13. Updated Demand'!A:Z,17,FALSE)),0,VLOOKUP($A2214,'13. Updated Demand'!A:Z,17,FALSE))</f>
        <v>0</v>
      </c>
      <c r="AA2214" s="16">
        <f>IF(ISERROR(VLOOKUP($A2214,'13. Updated Demand'!A:Z,18,FALSE)),0,VLOOKUP($A2214,'13. Updated Demand'!A:Z,18,FALSE))</f>
        <v>0</v>
      </c>
      <c r="AB2214" s="16">
        <f>IF(ISERROR(VLOOKUP($A2214,'13. Updated Demand'!A:Z,19,FALSE)),0,VLOOKUP($A2214,'13. Updated Demand'!A:Z,19,FALSE))</f>
        <v>0</v>
      </c>
      <c r="AC2214" s="16">
        <f>IF(ISERROR(VLOOKUP($A2214,'13. Updated Demand'!A:Z,20,FALSE)),0,VLOOKUP($A2214,'13. Updated Demand'!A:Z,20,FALSE))</f>
        <v>0</v>
      </c>
      <c r="AD2214" s="16">
        <f>IF(ISERROR(VLOOKUP($A2214,'13. Updated Demand'!A:Z,21,FALSE)),0,VLOOKUP($A2214,'13. Updated Demand'!A:Z,21,FALSE))</f>
        <v>0</v>
      </c>
      <c r="AE2214" s="16">
        <f>IF(ISERROR(VLOOKUP($A2214,'13. Updated Demand'!A:Z,22,FALSE)),0,VLOOKUP($A2214,'13. Updated Demand'!A:Z,22,FALSE))</f>
        <v>0</v>
      </c>
      <c r="AF2214" s="16">
        <f>IF(ISERROR(VLOOKUP($A2214,'13. Updated Demand'!A:Z,23,FALSE)),0,VLOOKUP($A2214,'13. Updated Demand'!A:Z,23,FALSE))</f>
        <v>0</v>
      </c>
      <c r="AG2214" s="16">
        <f>IF(ISERROR(VLOOKUP($A2214,'13. Updated Demand'!A:Z,24,FALSE)),0,VLOOKUP($A2214,'13. Updated Demand'!A:Z,24,FALSE))</f>
        <v>0</v>
      </c>
      <c r="AH2214" s="16">
        <f>IF(ISERROR(VLOOKUP($A2214,'13. Updated Demand'!A:Z,25,FALSE)),0,VLOOKUP($A2214,'13. Updated Demand'!A:Z,25,FALSE))</f>
        <v>0</v>
      </c>
      <c r="AI2214" s="16">
        <f>IF(ISERROR(VLOOKUP($A2214,'13. Updated Demand'!A:Z,26,FALSE)),0,VLOOKUP($A2214,'13. Updated Demand'!A:Z,26,FALSE))</f>
        <v>0</v>
      </c>
      <c r="AJ2214" s="16">
        <f t="shared" si="421"/>
        <v>0</v>
      </c>
      <c r="AK2214" s="19">
        <v>0</v>
      </c>
      <c r="AL2214" s="16">
        <f t="shared" si="419"/>
        <v>0</v>
      </c>
      <c r="AM2214" s="26">
        <v>0.39166666649999993</v>
      </c>
      <c r="AN2214" s="19">
        <v>6</v>
      </c>
      <c r="AO2214" s="19" t="s">
        <v>1758</v>
      </c>
      <c r="AP2214" s="19">
        <v>0</v>
      </c>
      <c r="AQ2214" s="19" t="s">
        <v>307</v>
      </c>
      <c r="AR2214" s="9" t="s">
        <v>354</v>
      </c>
      <c r="AS2214" s="12">
        <v>0</v>
      </c>
      <c r="AT2214" s="19">
        <v>38.8568</v>
      </c>
      <c r="AU2214" s="19">
        <v>-122.9739</v>
      </c>
      <c r="AV2214" s="19" t="s">
        <v>385</v>
      </c>
    </row>
    <row r="2215" spans="1:48" x14ac:dyDescent="0.25">
      <c r="A2215" s="18" t="s">
        <v>2671</v>
      </c>
      <c r="B2215" s="10">
        <v>10000000</v>
      </c>
      <c r="C2215" s="9">
        <v>8</v>
      </c>
      <c r="D2215" s="8" t="str">
        <f t="shared" si="410"/>
        <v>N</v>
      </c>
      <c r="E2215" s="8" t="str">
        <f t="shared" si="411"/>
        <v>Y</v>
      </c>
      <c r="F2215" s="8" t="str">
        <f t="shared" si="412"/>
        <v>Y</v>
      </c>
      <c r="G2215" s="8" t="str">
        <f t="shared" si="413"/>
        <v>Y</v>
      </c>
      <c r="H2215" s="8" t="str">
        <f t="shared" si="414"/>
        <v>Upper</v>
      </c>
      <c r="I2215" s="8" t="str">
        <f t="shared" si="415"/>
        <v>West Fork and Below Lake</v>
      </c>
      <c r="J2215" s="8" t="str">
        <f t="shared" si="416"/>
        <v>Sonoma (d/s of Clov. Gage)</v>
      </c>
      <c r="K2215" s="8" t="str">
        <f t="shared" si="417"/>
        <v>Riparian</v>
      </c>
      <c r="L2215" s="8">
        <f t="shared" si="418"/>
        <v>1000</v>
      </c>
      <c r="M2215" s="8" t="str">
        <f t="shared" si="420"/>
        <v>-</v>
      </c>
      <c r="N2215" s="10" t="s">
        <v>242</v>
      </c>
      <c r="O2215" s="10" t="s">
        <v>241</v>
      </c>
      <c r="P2215" s="10" t="s">
        <v>242</v>
      </c>
      <c r="Q2215" s="10" t="s">
        <v>242</v>
      </c>
      <c r="R2215" s="10" t="s">
        <v>242</v>
      </c>
      <c r="S2215" s="10" t="s">
        <v>241</v>
      </c>
      <c r="T2215" s="10" t="s">
        <v>242</v>
      </c>
      <c r="U2215" s="10" t="s">
        <v>242</v>
      </c>
      <c r="V2215" s="10" t="s">
        <v>241</v>
      </c>
      <c r="W2215" s="10" t="s">
        <v>242</v>
      </c>
      <c r="X2215" s="15">
        <f>IF(ISERROR(VLOOKUP($A2215,'13. Updated Demand'!A:Z,15,FALSE)),0,VLOOKUP($A2215,'13. Updated Demand'!A:Z,15,FALSE))</f>
        <v>0</v>
      </c>
      <c r="Y2215" s="16">
        <f>IF(ISERROR(VLOOKUP($A2215,'13. Updated Demand'!A:Z,16,FALSE)),0,VLOOKUP($A2215,'13. Updated Demand'!A:Z,16,FALSE))</f>
        <v>0</v>
      </c>
      <c r="Z2215" s="16">
        <f>IF(ISERROR(VLOOKUP($A2215,'13. Updated Demand'!A:Z,17,FALSE)),0,VLOOKUP($A2215,'13. Updated Demand'!A:Z,17,FALSE))</f>
        <v>0</v>
      </c>
      <c r="AA2215" s="16">
        <f>IF(ISERROR(VLOOKUP($A2215,'13. Updated Demand'!A:Z,18,FALSE)),0,VLOOKUP($A2215,'13. Updated Demand'!A:Z,18,FALSE))</f>
        <v>0</v>
      </c>
      <c r="AB2215" s="16">
        <f>IF(ISERROR(VLOOKUP($A2215,'13. Updated Demand'!A:Z,19,FALSE)),0,VLOOKUP($A2215,'13. Updated Demand'!A:Z,19,FALSE))</f>
        <v>0</v>
      </c>
      <c r="AC2215" s="16">
        <f>IF(ISERROR(VLOOKUP($A2215,'13. Updated Demand'!A:Z,20,FALSE)),0,VLOOKUP($A2215,'13. Updated Demand'!A:Z,20,FALSE))</f>
        <v>0</v>
      </c>
      <c r="AD2215" s="16">
        <f>IF(ISERROR(VLOOKUP($A2215,'13. Updated Demand'!A:Z,21,FALSE)),0,VLOOKUP($A2215,'13. Updated Demand'!A:Z,21,FALSE))</f>
        <v>0</v>
      </c>
      <c r="AE2215" s="16">
        <f>IF(ISERROR(VLOOKUP($A2215,'13. Updated Demand'!A:Z,22,FALSE)),0,VLOOKUP($A2215,'13. Updated Demand'!A:Z,22,FALSE))</f>
        <v>0</v>
      </c>
      <c r="AF2215" s="16">
        <f>IF(ISERROR(VLOOKUP($A2215,'13. Updated Demand'!A:Z,23,FALSE)),0,VLOOKUP($A2215,'13. Updated Demand'!A:Z,23,FALSE))</f>
        <v>0</v>
      </c>
      <c r="AG2215" s="16">
        <f>IF(ISERROR(VLOOKUP($A2215,'13. Updated Demand'!A:Z,24,FALSE)),0,VLOOKUP($A2215,'13. Updated Demand'!A:Z,24,FALSE))</f>
        <v>0</v>
      </c>
      <c r="AH2215" s="16">
        <f>IF(ISERROR(VLOOKUP($A2215,'13. Updated Demand'!A:Z,25,FALSE)),0,VLOOKUP($A2215,'13. Updated Demand'!A:Z,25,FALSE))</f>
        <v>0</v>
      </c>
      <c r="AI2215" s="16">
        <f>IF(ISERROR(VLOOKUP($A2215,'13. Updated Demand'!A:Z,26,FALSE)),0,VLOOKUP($A2215,'13. Updated Demand'!A:Z,26,FALSE))</f>
        <v>0</v>
      </c>
      <c r="AJ2215" s="16">
        <f t="shared" si="421"/>
        <v>0</v>
      </c>
      <c r="AK2215" s="19">
        <v>0</v>
      </c>
      <c r="AL2215" s="16">
        <f t="shared" si="419"/>
        <v>0</v>
      </c>
      <c r="AM2215" s="26">
        <v>0.65134099655172417</v>
      </c>
      <c r="AN2215" s="19">
        <v>1.74</v>
      </c>
      <c r="AO2215" s="19" t="s">
        <v>1758</v>
      </c>
      <c r="AP2215" s="19">
        <v>0</v>
      </c>
      <c r="AQ2215" s="19" t="s">
        <v>307</v>
      </c>
      <c r="AR2215" s="9" t="s">
        <v>409</v>
      </c>
      <c r="AS2215" s="12">
        <v>0</v>
      </c>
      <c r="AT2215" s="19">
        <v>38.852400000000003</v>
      </c>
      <c r="AU2215" s="19">
        <v>-122.9717</v>
      </c>
      <c r="AV2215" s="19" t="s">
        <v>444</v>
      </c>
    </row>
    <row r="2216" spans="1:48" x14ac:dyDescent="0.25">
      <c r="A2216" s="18" t="s">
        <v>2672</v>
      </c>
      <c r="B2216" s="10">
        <v>10000000</v>
      </c>
      <c r="C2216" s="9">
        <v>8</v>
      </c>
      <c r="D2216" s="8" t="str">
        <f t="shared" si="410"/>
        <v>N</v>
      </c>
      <c r="E2216" s="8" t="str">
        <f t="shared" si="411"/>
        <v>Y</v>
      </c>
      <c r="F2216" s="8" t="str">
        <f t="shared" si="412"/>
        <v>Y</v>
      </c>
      <c r="G2216" s="8" t="str">
        <f t="shared" si="413"/>
        <v>Y</v>
      </c>
      <c r="H2216" s="8" t="str">
        <f t="shared" si="414"/>
        <v>Upper</v>
      </c>
      <c r="I2216" s="8" t="str">
        <f t="shared" si="415"/>
        <v>West Fork and Below Lake</v>
      </c>
      <c r="J2216" s="8" t="str">
        <f t="shared" si="416"/>
        <v>Sonoma (d/s of Clov. Gage)</v>
      </c>
      <c r="K2216" s="8" t="str">
        <f t="shared" si="417"/>
        <v>Riparian</v>
      </c>
      <c r="L2216" s="8">
        <f t="shared" si="418"/>
        <v>1000</v>
      </c>
      <c r="M2216" s="8" t="str">
        <f t="shared" si="420"/>
        <v>-</v>
      </c>
      <c r="N2216" s="10" t="s">
        <v>242</v>
      </c>
      <c r="O2216" s="10" t="s">
        <v>241</v>
      </c>
      <c r="P2216" s="10" t="s">
        <v>242</v>
      </c>
      <c r="Q2216" s="10" t="s">
        <v>242</v>
      </c>
      <c r="R2216" s="10" t="s">
        <v>242</v>
      </c>
      <c r="S2216" s="10" t="s">
        <v>241</v>
      </c>
      <c r="T2216" s="10" t="s">
        <v>242</v>
      </c>
      <c r="U2216" s="10" t="s">
        <v>242</v>
      </c>
      <c r="V2216" s="10" t="s">
        <v>241</v>
      </c>
      <c r="W2216" s="10" t="s">
        <v>242</v>
      </c>
      <c r="X2216" s="15">
        <f>IF(ISERROR(VLOOKUP($A2216,'13. Updated Demand'!A:Z,15,FALSE)),0,VLOOKUP($A2216,'13. Updated Demand'!A:Z,15,FALSE))</f>
        <v>0</v>
      </c>
      <c r="Y2216" s="16">
        <f>IF(ISERROR(VLOOKUP($A2216,'13. Updated Demand'!A:Z,16,FALSE)),0,VLOOKUP($A2216,'13. Updated Demand'!A:Z,16,FALSE))</f>
        <v>0</v>
      </c>
      <c r="Z2216" s="16">
        <f>IF(ISERROR(VLOOKUP($A2216,'13. Updated Demand'!A:Z,17,FALSE)),0,VLOOKUP($A2216,'13. Updated Demand'!A:Z,17,FALSE))</f>
        <v>0</v>
      </c>
      <c r="AA2216" s="16">
        <f>IF(ISERROR(VLOOKUP($A2216,'13. Updated Demand'!A:Z,18,FALSE)),0,VLOOKUP($A2216,'13. Updated Demand'!A:Z,18,FALSE))</f>
        <v>0</v>
      </c>
      <c r="AB2216" s="16">
        <f>IF(ISERROR(VLOOKUP($A2216,'13. Updated Demand'!A:Z,19,FALSE)),0,VLOOKUP($A2216,'13. Updated Demand'!A:Z,19,FALSE))</f>
        <v>0</v>
      </c>
      <c r="AC2216" s="16">
        <f>IF(ISERROR(VLOOKUP($A2216,'13. Updated Demand'!A:Z,20,FALSE)),0,VLOOKUP($A2216,'13. Updated Demand'!A:Z,20,FALSE))</f>
        <v>0</v>
      </c>
      <c r="AD2216" s="16">
        <f>IF(ISERROR(VLOOKUP($A2216,'13. Updated Demand'!A:Z,21,FALSE)),0,VLOOKUP($A2216,'13. Updated Demand'!A:Z,21,FALSE))</f>
        <v>0</v>
      </c>
      <c r="AE2216" s="16">
        <f>IF(ISERROR(VLOOKUP($A2216,'13. Updated Demand'!A:Z,22,FALSE)),0,VLOOKUP($A2216,'13. Updated Demand'!A:Z,22,FALSE))</f>
        <v>0</v>
      </c>
      <c r="AF2216" s="16">
        <f>IF(ISERROR(VLOOKUP($A2216,'13. Updated Demand'!A:Z,23,FALSE)),0,VLOOKUP($A2216,'13. Updated Demand'!A:Z,23,FALSE))</f>
        <v>0</v>
      </c>
      <c r="AG2216" s="16">
        <f>IF(ISERROR(VLOOKUP($A2216,'13. Updated Demand'!A:Z,24,FALSE)),0,VLOOKUP($A2216,'13. Updated Demand'!A:Z,24,FALSE))</f>
        <v>0</v>
      </c>
      <c r="AH2216" s="16">
        <f>IF(ISERROR(VLOOKUP($A2216,'13. Updated Demand'!A:Z,25,FALSE)),0,VLOOKUP($A2216,'13. Updated Demand'!A:Z,25,FALSE))</f>
        <v>0</v>
      </c>
      <c r="AI2216" s="16">
        <f>IF(ISERROR(VLOOKUP($A2216,'13. Updated Demand'!A:Z,26,FALSE)),0,VLOOKUP($A2216,'13. Updated Demand'!A:Z,26,FALSE))</f>
        <v>0</v>
      </c>
      <c r="AJ2216" s="16">
        <f t="shared" si="421"/>
        <v>0</v>
      </c>
      <c r="AK2216" s="19">
        <v>0</v>
      </c>
      <c r="AL2216" s="16">
        <f t="shared" si="419"/>
        <v>0</v>
      </c>
      <c r="AM2216" s="26">
        <v>1.3333333333333333</v>
      </c>
      <c r="AN2216" s="19">
        <v>1.5</v>
      </c>
      <c r="AO2216" s="19" t="s">
        <v>1758</v>
      </c>
      <c r="AP2216" s="19">
        <v>0</v>
      </c>
      <c r="AQ2216" s="19" t="s">
        <v>307</v>
      </c>
      <c r="AR2216" s="9" t="s">
        <v>409</v>
      </c>
      <c r="AS2216" s="12">
        <v>0</v>
      </c>
      <c r="AT2216" s="19">
        <v>38.852800000000002</v>
      </c>
      <c r="AU2216" s="19">
        <v>-122.9671</v>
      </c>
      <c r="AV2216" s="19" t="s">
        <v>395</v>
      </c>
    </row>
    <row r="2217" spans="1:48" x14ac:dyDescent="0.25">
      <c r="A2217" s="18" t="s">
        <v>2673</v>
      </c>
      <c r="B2217" s="10">
        <v>10000000</v>
      </c>
      <c r="C2217" s="9">
        <v>6</v>
      </c>
      <c r="D2217" s="8" t="str">
        <f t="shared" si="410"/>
        <v>Y</v>
      </c>
      <c r="E2217" s="8" t="str">
        <f t="shared" si="411"/>
        <v>N</v>
      </c>
      <c r="F2217" s="8" t="str">
        <f t="shared" si="412"/>
        <v>Y</v>
      </c>
      <c r="G2217" s="8" t="str">
        <f t="shared" si="413"/>
        <v>Y</v>
      </c>
      <c r="H2217" s="8" t="str">
        <f t="shared" si="414"/>
        <v>Upper</v>
      </c>
      <c r="I2217" s="8" t="str">
        <f t="shared" si="415"/>
        <v>West Fork and Below Lake</v>
      </c>
      <c r="J2217" s="8" t="str">
        <f t="shared" si="416"/>
        <v>Mendocino (d/s of lake)</v>
      </c>
      <c r="K2217" s="8" t="str">
        <f t="shared" si="417"/>
        <v>Riparian</v>
      </c>
      <c r="L2217" s="8">
        <f t="shared" si="418"/>
        <v>1000</v>
      </c>
      <c r="M2217" s="8" t="str">
        <f t="shared" si="420"/>
        <v>-</v>
      </c>
      <c r="N2217" s="10" t="s">
        <v>242</v>
      </c>
      <c r="O2217" s="10" t="s">
        <v>241</v>
      </c>
      <c r="P2217" s="10" t="s">
        <v>242</v>
      </c>
      <c r="Q2217" s="10" t="s">
        <v>242</v>
      </c>
      <c r="R2217" s="10" t="s">
        <v>242</v>
      </c>
      <c r="S2217" s="10" t="s">
        <v>241</v>
      </c>
      <c r="T2217" s="10" t="s">
        <v>242</v>
      </c>
      <c r="U2217" s="10" t="s">
        <v>242</v>
      </c>
      <c r="V2217" s="10" t="s">
        <v>241</v>
      </c>
      <c r="W2217" s="10" t="s">
        <v>242</v>
      </c>
      <c r="X2217" s="15">
        <f>IF(ISERROR(VLOOKUP($A2217,'13. Updated Demand'!A:Z,15,FALSE)),0,VLOOKUP($A2217,'13. Updated Demand'!A:Z,15,FALSE))</f>
        <v>0.41</v>
      </c>
      <c r="Y2217" s="16">
        <f>IF(ISERROR(VLOOKUP($A2217,'13. Updated Demand'!A:Z,16,FALSE)),0,VLOOKUP($A2217,'13. Updated Demand'!A:Z,16,FALSE))</f>
        <v>0.53</v>
      </c>
      <c r="Z2217" s="16">
        <f>IF(ISERROR(VLOOKUP($A2217,'13. Updated Demand'!A:Z,17,FALSE)),0,VLOOKUP($A2217,'13. Updated Demand'!A:Z,17,FALSE))</f>
        <v>0.16</v>
      </c>
      <c r="AA2217" s="16">
        <f>IF(ISERROR(VLOOKUP($A2217,'13. Updated Demand'!A:Z,18,FALSE)),0,VLOOKUP($A2217,'13. Updated Demand'!A:Z,18,FALSE))</f>
        <v>0.8</v>
      </c>
      <c r="AB2217" s="16">
        <f>IF(ISERROR(VLOOKUP($A2217,'13. Updated Demand'!A:Z,19,FALSE)),0,VLOOKUP($A2217,'13. Updated Demand'!A:Z,19,FALSE))</f>
        <v>0</v>
      </c>
      <c r="AC2217" s="16">
        <f>IF(ISERROR(VLOOKUP($A2217,'13. Updated Demand'!A:Z,20,FALSE)),0,VLOOKUP($A2217,'13. Updated Demand'!A:Z,20,FALSE))</f>
        <v>0</v>
      </c>
      <c r="AD2217" s="16">
        <f>IF(ISERROR(VLOOKUP($A2217,'13. Updated Demand'!A:Z,21,FALSE)),0,VLOOKUP($A2217,'13. Updated Demand'!A:Z,21,FALSE))</f>
        <v>0</v>
      </c>
      <c r="AE2217" s="16">
        <f>IF(ISERROR(VLOOKUP($A2217,'13. Updated Demand'!A:Z,22,FALSE)),0,VLOOKUP($A2217,'13. Updated Demand'!A:Z,22,FALSE))</f>
        <v>0</v>
      </c>
      <c r="AF2217" s="16">
        <f>IF(ISERROR(VLOOKUP($A2217,'13. Updated Demand'!A:Z,23,FALSE)),0,VLOOKUP($A2217,'13. Updated Demand'!A:Z,23,FALSE))</f>
        <v>0</v>
      </c>
      <c r="AG2217" s="16">
        <f>IF(ISERROR(VLOOKUP($A2217,'13. Updated Demand'!A:Z,24,FALSE)),0,VLOOKUP($A2217,'13. Updated Demand'!A:Z,24,FALSE))</f>
        <v>0</v>
      </c>
      <c r="AH2217" s="16">
        <f>IF(ISERROR(VLOOKUP($A2217,'13. Updated Demand'!A:Z,25,FALSE)),0,VLOOKUP($A2217,'13. Updated Demand'!A:Z,25,FALSE))</f>
        <v>1.33</v>
      </c>
      <c r="AI2217" s="16">
        <f>IF(ISERROR(VLOOKUP($A2217,'13. Updated Demand'!A:Z,26,FALSE)),0,VLOOKUP($A2217,'13. Updated Demand'!A:Z,26,FALSE))</f>
        <v>0.81</v>
      </c>
      <c r="AJ2217" s="16">
        <f t="shared" si="421"/>
        <v>4.04</v>
      </c>
      <c r="AK2217" s="19">
        <v>0</v>
      </c>
      <c r="AL2217" s="16">
        <f t="shared" si="419"/>
        <v>0</v>
      </c>
      <c r="AM2217" s="26">
        <v>0.31282051284615381</v>
      </c>
      <c r="AN2217" s="19">
        <v>13</v>
      </c>
      <c r="AO2217" s="19" t="s">
        <v>1758</v>
      </c>
      <c r="AP2217" s="19">
        <v>0</v>
      </c>
      <c r="AQ2217" s="19" t="s">
        <v>307</v>
      </c>
      <c r="AR2217" s="9" t="s">
        <v>319</v>
      </c>
      <c r="AS2217" s="12">
        <v>0</v>
      </c>
      <c r="AT2217" s="19">
        <v>38.955599999999997</v>
      </c>
      <c r="AU2217" s="19">
        <v>-123.11620000000001</v>
      </c>
      <c r="AV2217" s="19" t="s">
        <v>385</v>
      </c>
    </row>
    <row r="2218" spans="1:48" x14ac:dyDescent="0.25">
      <c r="A2218" s="18" t="s">
        <v>169</v>
      </c>
      <c r="B2218" s="10">
        <v>10000000</v>
      </c>
      <c r="C2218" s="9">
        <v>12</v>
      </c>
      <c r="D2218" s="8" t="str">
        <f t="shared" si="410"/>
        <v>N</v>
      </c>
      <c r="E2218" s="8" t="str">
        <f t="shared" si="411"/>
        <v>Y</v>
      </c>
      <c r="F2218" s="8" t="str">
        <f t="shared" si="412"/>
        <v>Y</v>
      </c>
      <c r="G2218" s="8" t="str">
        <f t="shared" si="413"/>
        <v>Y</v>
      </c>
      <c r="H2218" s="8" t="str">
        <f t="shared" si="414"/>
        <v>Upper</v>
      </c>
      <c r="I2218" s="8" t="str">
        <f t="shared" si="415"/>
        <v>West Fork and Below Lake</v>
      </c>
      <c r="J2218" s="8" t="str">
        <f t="shared" si="416"/>
        <v>Sonoma (d/s of Clov. Gage)</v>
      </c>
      <c r="K2218" s="8" t="str">
        <f t="shared" si="417"/>
        <v>Riparian</v>
      </c>
      <c r="L2218" s="8">
        <f t="shared" si="418"/>
        <v>1000</v>
      </c>
      <c r="M2218" s="8" t="str">
        <f t="shared" si="420"/>
        <v>-</v>
      </c>
      <c r="N2218" s="10" t="s">
        <v>241</v>
      </c>
      <c r="O2218" s="10" t="s">
        <v>241</v>
      </c>
      <c r="P2218" s="10" t="s">
        <v>242</v>
      </c>
      <c r="Q2218" s="10" t="s">
        <v>242</v>
      </c>
      <c r="R2218" s="10" t="s">
        <v>242</v>
      </c>
      <c r="S2218" s="10" t="s">
        <v>241</v>
      </c>
      <c r="T2218" s="10" t="s">
        <v>242</v>
      </c>
      <c r="U2218" s="10" t="s">
        <v>242</v>
      </c>
      <c r="V2218" s="10" t="s">
        <v>242</v>
      </c>
      <c r="W2218" s="10" t="s">
        <v>242</v>
      </c>
      <c r="X2218" s="15">
        <f>IF(ISERROR(VLOOKUP($A2218,'13. Updated Demand'!A:Z,15,FALSE)),0,VLOOKUP($A2218,'13. Updated Demand'!A:Z,15,FALSE))</f>
        <v>5.86</v>
      </c>
      <c r="Y2218" s="16">
        <f>IF(ISERROR(VLOOKUP($A2218,'13. Updated Demand'!A:Z,16,FALSE)),0,VLOOKUP($A2218,'13. Updated Demand'!A:Z,16,FALSE))</f>
        <v>4.2</v>
      </c>
      <c r="Z2218" s="16">
        <f>IF(ISERROR(VLOOKUP($A2218,'13. Updated Demand'!A:Z,17,FALSE)),0,VLOOKUP($A2218,'13. Updated Demand'!A:Z,17,FALSE))</f>
        <v>4.33</v>
      </c>
      <c r="AA2218" s="16">
        <f>IF(ISERROR(VLOOKUP($A2218,'13. Updated Demand'!A:Z,18,FALSE)),0,VLOOKUP($A2218,'13. Updated Demand'!A:Z,18,FALSE))</f>
        <v>0</v>
      </c>
      <c r="AB2218" s="16">
        <f>IF(ISERROR(VLOOKUP($A2218,'13. Updated Demand'!A:Z,19,FALSE)),0,VLOOKUP($A2218,'13. Updated Demand'!A:Z,19,FALSE))</f>
        <v>0</v>
      </c>
      <c r="AC2218" s="16">
        <f>IF(ISERROR(VLOOKUP($A2218,'13. Updated Demand'!A:Z,20,FALSE)),0,VLOOKUP($A2218,'13. Updated Demand'!A:Z,20,FALSE))</f>
        <v>0</v>
      </c>
      <c r="AD2218" s="16">
        <f>IF(ISERROR(VLOOKUP($A2218,'13. Updated Demand'!A:Z,21,FALSE)),0,VLOOKUP($A2218,'13. Updated Demand'!A:Z,21,FALSE))</f>
        <v>0</v>
      </c>
      <c r="AE2218" s="16">
        <f>IF(ISERROR(VLOOKUP($A2218,'13. Updated Demand'!A:Z,22,FALSE)),0,VLOOKUP($A2218,'13. Updated Demand'!A:Z,22,FALSE))</f>
        <v>0</v>
      </c>
      <c r="AF2218" s="16">
        <f>IF(ISERROR(VLOOKUP($A2218,'13. Updated Demand'!A:Z,23,FALSE)),0,VLOOKUP($A2218,'13. Updated Demand'!A:Z,23,FALSE))</f>
        <v>2.9</v>
      </c>
      <c r="AG2218" s="16">
        <f>IF(ISERROR(VLOOKUP($A2218,'13. Updated Demand'!A:Z,24,FALSE)),0,VLOOKUP($A2218,'13. Updated Demand'!A:Z,24,FALSE))</f>
        <v>10.16</v>
      </c>
      <c r="AH2218" s="16">
        <f>IF(ISERROR(VLOOKUP($A2218,'13. Updated Demand'!A:Z,25,FALSE)),0,VLOOKUP($A2218,'13. Updated Demand'!A:Z,25,FALSE))</f>
        <v>10.199999999999999</v>
      </c>
      <c r="AI2218" s="16">
        <f>IF(ISERROR(VLOOKUP($A2218,'13. Updated Demand'!A:Z,26,FALSE)),0,VLOOKUP($A2218,'13. Updated Demand'!A:Z,26,FALSE))</f>
        <v>4.3600000000000003</v>
      </c>
      <c r="AJ2218" s="16">
        <f t="shared" si="421"/>
        <v>42.01</v>
      </c>
      <c r="AK2218" s="19">
        <v>2.9</v>
      </c>
      <c r="AL2218" s="16">
        <f t="shared" si="419"/>
        <v>9.6189696589569773E-3</v>
      </c>
      <c r="AM2218" s="26">
        <v>0.23208172280507988</v>
      </c>
      <c r="AN2218" s="19">
        <v>181.1</v>
      </c>
      <c r="AO2218" s="19" t="s">
        <v>1758</v>
      </c>
      <c r="AP2218" s="19">
        <v>0</v>
      </c>
      <c r="AQ2218" s="19" t="s">
        <v>307</v>
      </c>
      <c r="AR2218" s="9" t="s">
        <v>311</v>
      </c>
      <c r="AS2218" s="12">
        <v>3.4039024194010059E-4</v>
      </c>
      <c r="AT2218" s="19">
        <v>38.649900000000002</v>
      </c>
      <c r="AU2218" s="19">
        <v>-122.79810000000001</v>
      </c>
      <c r="AV2218" s="19" t="s">
        <v>2271</v>
      </c>
    </row>
    <row r="2219" spans="1:48" x14ac:dyDescent="0.25">
      <c r="A2219" s="18" t="s">
        <v>115</v>
      </c>
      <c r="B2219" s="10">
        <v>10000000</v>
      </c>
      <c r="C2219" s="9">
        <v>12</v>
      </c>
      <c r="D2219" s="8" t="str">
        <f t="shared" si="410"/>
        <v>N</v>
      </c>
      <c r="E2219" s="8" t="str">
        <f t="shared" si="411"/>
        <v>Y</v>
      </c>
      <c r="F2219" s="8" t="str">
        <f t="shared" si="412"/>
        <v>Y</v>
      </c>
      <c r="G2219" s="8" t="str">
        <f t="shared" si="413"/>
        <v>Y</v>
      </c>
      <c r="H2219" s="8" t="str">
        <f t="shared" si="414"/>
        <v>Upper</v>
      </c>
      <c r="I2219" s="8" t="str">
        <f t="shared" si="415"/>
        <v>West Fork and Below Lake</v>
      </c>
      <c r="J2219" s="8" t="str">
        <f t="shared" si="416"/>
        <v>Sonoma (d/s of Clov. Gage)</v>
      </c>
      <c r="K2219" s="8" t="str">
        <f t="shared" si="417"/>
        <v>Riparian</v>
      </c>
      <c r="L2219" s="8">
        <f t="shared" si="418"/>
        <v>1000</v>
      </c>
      <c r="M2219" s="8" t="str">
        <f t="shared" si="420"/>
        <v>-</v>
      </c>
      <c r="N2219" s="10" t="s">
        <v>241</v>
      </c>
      <c r="O2219" s="10" t="s">
        <v>241</v>
      </c>
      <c r="P2219" s="10" t="s">
        <v>242</v>
      </c>
      <c r="Q2219" s="10" t="s">
        <v>242</v>
      </c>
      <c r="R2219" s="10" t="s">
        <v>242</v>
      </c>
      <c r="S2219" s="10" t="s">
        <v>241</v>
      </c>
      <c r="T2219" s="10" t="s">
        <v>242</v>
      </c>
      <c r="U2219" s="10" t="s">
        <v>242</v>
      </c>
      <c r="V2219" s="10" t="s">
        <v>242</v>
      </c>
      <c r="W2219" s="10" t="s">
        <v>242</v>
      </c>
      <c r="X2219" s="15">
        <f>IF(ISERROR(VLOOKUP($A2219,'13. Updated Demand'!A:Z,15,FALSE)),0,VLOOKUP($A2219,'13. Updated Demand'!A:Z,15,FALSE))</f>
        <v>3.07</v>
      </c>
      <c r="Y2219" s="16">
        <f>IF(ISERROR(VLOOKUP($A2219,'13. Updated Demand'!A:Z,16,FALSE)),0,VLOOKUP($A2219,'13. Updated Demand'!A:Z,16,FALSE))</f>
        <v>3.23</v>
      </c>
      <c r="Z2219" s="16">
        <f>IF(ISERROR(VLOOKUP($A2219,'13. Updated Demand'!A:Z,17,FALSE)),0,VLOOKUP($A2219,'13. Updated Demand'!A:Z,17,FALSE))</f>
        <v>1.87</v>
      </c>
      <c r="AA2219" s="16">
        <f>IF(ISERROR(VLOOKUP($A2219,'13. Updated Demand'!A:Z,18,FALSE)),0,VLOOKUP($A2219,'13. Updated Demand'!A:Z,18,FALSE))</f>
        <v>0</v>
      </c>
      <c r="AB2219" s="16">
        <f>IF(ISERROR(VLOOKUP($A2219,'13. Updated Demand'!A:Z,19,FALSE)),0,VLOOKUP($A2219,'13. Updated Demand'!A:Z,19,FALSE))</f>
        <v>0</v>
      </c>
      <c r="AC2219" s="16">
        <f>IF(ISERROR(VLOOKUP($A2219,'13. Updated Demand'!A:Z,20,FALSE)),0,VLOOKUP($A2219,'13. Updated Demand'!A:Z,20,FALSE))</f>
        <v>0</v>
      </c>
      <c r="AD2219" s="16">
        <f>IF(ISERROR(VLOOKUP($A2219,'13. Updated Demand'!A:Z,21,FALSE)),0,VLOOKUP($A2219,'13. Updated Demand'!A:Z,21,FALSE))</f>
        <v>9.26</v>
      </c>
      <c r="AE2219" s="16">
        <f>IF(ISERROR(VLOOKUP($A2219,'13. Updated Demand'!A:Z,22,FALSE)),0,VLOOKUP($A2219,'13. Updated Demand'!A:Z,22,FALSE))</f>
        <v>16.43</v>
      </c>
      <c r="AF2219" s="16">
        <f>IF(ISERROR(VLOOKUP($A2219,'13. Updated Demand'!A:Z,23,FALSE)),0,VLOOKUP($A2219,'13. Updated Demand'!A:Z,23,FALSE))</f>
        <v>16.73</v>
      </c>
      <c r="AG2219" s="16">
        <f>IF(ISERROR(VLOOKUP($A2219,'13. Updated Demand'!A:Z,24,FALSE)),0,VLOOKUP($A2219,'13. Updated Demand'!A:Z,24,FALSE))</f>
        <v>17.559999999999999</v>
      </c>
      <c r="AH2219" s="16">
        <f>IF(ISERROR(VLOOKUP($A2219,'13. Updated Demand'!A:Z,25,FALSE)),0,VLOOKUP($A2219,'13. Updated Demand'!A:Z,25,FALSE))</f>
        <v>12.56</v>
      </c>
      <c r="AI2219" s="16">
        <f>IF(ISERROR(VLOOKUP($A2219,'13. Updated Demand'!A:Z,26,FALSE)),0,VLOOKUP($A2219,'13. Updated Demand'!A:Z,26,FALSE))</f>
        <v>2.8</v>
      </c>
      <c r="AJ2219" s="16">
        <f t="shared" si="421"/>
        <v>83.51</v>
      </c>
      <c r="AK2219" s="19">
        <v>42.433333333333266</v>
      </c>
      <c r="AL2219" s="16">
        <f t="shared" si="419"/>
        <v>0.14074653305577256</v>
      </c>
      <c r="AM2219" s="26">
        <v>0.25628361658179433</v>
      </c>
      <c r="AN2219" s="19">
        <v>325.98</v>
      </c>
      <c r="AO2219" s="19" t="s">
        <v>1758</v>
      </c>
      <c r="AP2219" s="19">
        <v>0</v>
      </c>
      <c r="AQ2219" s="19" t="s">
        <v>307</v>
      </c>
      <c r="AR2219" s="9" t="s">
        <v>311</v>
      </c>
      <c r="AS2219" s="12">
        <v>3.4039024194010059E-4</v>
      </c>
      <c r="AT2219" s="19">
        <v>38.650300000000001</v>
      </c>
      <c r="AU2219" s="19">
        <v>-122.8008</v>
      </c>
      <c r="AV2219" s="19" t="s">
        <v>2271</v>
      </c>
    </row>
    <row r="2220" spans="1:48" x14ac:dyDescent="0.25">
      <c r="A2220" s="18" t="s">
        <v>2674</v>
      </c>
      <c r="B2220" s="10">
        <v>10000000</v>
      </c>
      <c r="C2220" s="9">
        <v>10</v>
      </c>
      <c r="D2220" s="8" t="str">
        <f t="shared" si="410"/>
        <v>N</v>
      </c>
      <c r="E2220" s="8" t="str">
        <f t="shared" si="411"/>
        <v>Y</v>
      </c>
      <c r="F2220" s="8" t="str">
        <f t="shared" si="412"/>
        <v>Y</v>
      </c>
      <c r="G2220" s="8" t="str">
        <f t="shared" si="413"/>
        <v>Y</v>
      </c>
      <c r="H2220" s="8" t="str">
        <f t="shared" si="414"/>
        <v>Upper</v>
      </c>
      <c r="I2220" s="8" t="str">
        <f t="shared" si="415"/>
        <v>West Fork and Below Lake</v>
      </c>
      <c r="J2220" s="8" t="str">
        <f t="shared" si="416"/>
        <v>Sonoma (d/s of Clov. Gage)</v>
      </c>
      <c r="K2220" s="8" t="str">
        <f t="shared" si="417"/>
        <v>Riparian</v>
      </c>
      <c r="L2220" s="8">
        <f t="shared" si="418"/>
        <v>1000</v>
      </c>
      <c r="M2220" s="8" t="str">
        <f t="shared" si="420"/>
        <v>-</v>
      </c>
      <c r="N2220" s="10" t="s">
        <v>241</v>
      </c>
      <c r="O2220" s="10" t="s">
        <v>241</v>
      </c>
      <c r="P2220" s="10" t="s">
        <v>242</v>
      </c>
      <c r="Q2220" s="10" t="s">
        <v>242</v>
      </c>
      <c r="R2220" s="10" t="s">
        <v>242</v>
      </c>
      <c r="S2220" s="10" t="s">
        <v>241</v>
      </c>
      <c r="T2220" s="10" t="s">
        <v>242</v>
      </c>
      <c r="U2220" s="10" t="s">
        <v>242</v>
      </c>
      <c r="V2220" s="10" t="s">
        <v>242</v>
      </c>
      <c r="W2220" s="10" t="s">
        <v>242</v>
      </c>
      <c r="X2220" s="15">
        <f>IF(ISERROR(VLOOKUP($A2220,'13. Updated Demand'!A:Z,15,FALSE)),0,VLOOKUP($A2220,'13. Updated Demand'!A:Z,15,FALSE))</f>
        <v>0</v>
      </c>
      <c r="Y2220" s="16">
        <f>IF(ISERROR(VLOOKUP($A2220,'13. Updated Demand'!A:Z,16,FALSE)),0,VLOOKUP($A2220,'13. Updated Demand'!A:Z,16,FALSE))</f>
        <v>0</v>
      </c>
      <c r="Z2220" s="16">
        <f>IF(ISERROR(VLOOKUP($A2220,'13. Updated Demand'!A:Z,17,FALSE)),0,VLOOKUP($A2220,'13. Updated Demand'!A:Z,17,FALSE))</f>
        <v>0</v>
      </c>
      <c r="AA2220" s="16">
        <f>IF(ISERROR(VLOOKUP($A2220,'13. Updated Demand'!A:Z,18,FALSE)),0,VLOOKUP($A2220,'13. Updated Demand'!A:Z,18,FALSE))</f>
        <v>0</v>
      </c>
      <c r="AB2220" s="16">
        <f>IF(ISERROR(VLOOKUP($A2220,'13. Updated Demand'!A:Z,19,FALSE)),0,VLOOKUP($A2220,'13. Updated Demand'!A:Z,19,FALSE))</f>
        <v>0.33</v>
      </c>
      <c r="AC2220" s="16">
        <f>IF(ISERROR(VLOOKUP($A2220,'13. Updated Demand'!A:Z,20,FALSE)),0,VLOOKUP($A2220,'13. Updated Demand'!A:Z,20,FALSE))</f>
        <v>0.93</v>
      </c>
      <c r="AD2220" s="16">
        <f>IF(ISERROR(VLOOKUP($A2220,'13. Updated Demand'!A:Z,21,FALSE)),0,VLOOKUP($A2220,'13. Updated Demand'!A:Z,21,FALSE))</f>
        <v>1.23</v>
      </c>
      <c r="AE2220" s="16">
        <f>IF(ISERROR(VLOOKUP($A2220,'13. Updated Demand'!A:Z,22,FALSE)),0,VLOOKUP($A2220,'13. Updated Demand'!A:Z,22,FALSE))</f>
        <v>1</v>
      </c>
      <c r="AF2220" s="16">
        <f>IF(ISERROR(VLOOKUP($A2220,'13. Updated Demand'!A:Z,23,FALSE)),0,VLOOKUP($A2220,'13. Updated Demand'!A:Z,23,FALSE))</f>
        <v>0.6</v>
      </c>
      <c r="AG2220" s="16">
        <f>IF(ISERROR(VLOOKUP($A2220,'13. Updated Demand'!A:Z,24,FALSE)),0,VLOOKUP($A2220,'13. Updated Demand'!A:Z,24,FALSE))</f>
        <v>0.16</v>
      </c>
      <c r="AH2220" s="16">
        <f>IF(ISERROR(VLOOKUP($A2220,'13. Updated Demand'!A:Z,25,FALSE)),0,VLOOKUP($A2220,'13. Updated Demand'!A:Z,25,FALSE))</f>
        <v>0</v>
      </c>
      <c r="AI2220" s="16">
        <f>IF(ISERROR(VLOOKUP($A2220,'13. Updated Demand'!A:Z,26,FALSE)),0,VLOOKUP($A2220,'13. Updated Demand'!A:Z,26,FALSE))</f>
        <v>0</v>
      </c>
      <c r="AJ2220" s="16">
        <f t="shared" si="421"/>
        <v>4.25</v>
      </c>
      <c r="AK2220" s="19">
        <v>4.0999999999999961</v>
      </c>
      <c r="AL2220" s="16">
        <f t="shared" si="419"/>
        <v>1.3599232966111574E-2</v>
      </c>
      <c r="AM2220" s="26">
        <v>6.9293316443087387E-3</v>
      </c>
      <c r="AN2220" s="19">
        <v>615.74</v>
      </c>
      <c r="AO2220" s="19" t="s">
        <v>1758</v>
      </c>
      <c r="AP2220" s="19">
        <v>0</v>
      </c>
      <c r="AQ2220" s="19" t="s">
        <v>307</v>
      </c>
      <c r="AR2220" s="9" t="s">
        <v>436</v>
      </c>
      <c r="AS2220" s="12">
        <v>0</v>
      </c>
      <c r="AT2220" s="19">
        <v>38.694299999999998</v>
      </c>
      <c r="AU2220" s="19">
        <v>-122.8582</v>
      </c>
      <c r="AV2220" s="19" t="s">
        <v>548</v>
      </c>
    </row>
    <row r="2221" spans="1:48" x14ac:dyDescent="0.25">
      <c r="A2221" s="18" t="s">
        <v>2675</v>
      </c>
      <c r="B2221" s="10">
        <v>10000000</v>
      </c>
      <c r="C2221" s="9">
        <v>1</v>
      </c>
      <c r="D2221" s="8" t="str">
        <f t="shared" si="410"/>
        <v>N</v>
      </c>
      <c r="E2221" s="8" t="str">
        <f t="shared" si="411"/>
        <v>N</v>
      </c>
      <c r="F2221" s="8" t="str">
        <f t="shared" si="412"/>
        <v>Y</v>
      </c>
      <c r="G2221" s="8" t="str">
        <f t="shared" si="413"/>
        <v>Y</v>
      </c>
      <c r="H2221" s="8" t="str">
        <f t="shared" si="414"/>
        <v>Upper</v>
      </c>
      <c r="I2221" s="8" t="str">
        <f t="shared" si="415"/>
        <v>West Fork and Below Lake</v>
      </c>
      <c r="J2221" s="8" t="str">
        <f t="shared" si="416"/>
        <v>Outside</v>
      </c>
      <c r="K2221" s="8" t="str">
        <f t="shared" si="417"/>
        <v>Riparian</v>
      </c>
      <c r="L2221" s="8">
        <f t="shared" si="418"/>
        <v>1000</v>
      </c>
      <c r="M2221" s="8" t="str">
        <f t="shared" si="420"/>
        <v>-</v>
      </c>
      <c r="N2221" s="10" t="s">
        <v>242</v>
      </c>
      <c r="O2221" s="10" t="s">
        <v>241</v>
      </c>
      <c r="P2221" s="10" t="s">
        <v>242</v>
      </c>
      <c r="Q2221" s="10" t="s">
        <v>242</v>
      </c>
      <c r="R2221" s="10" t="s">
        <v>242</v>
      </c>
      <c r="S2221" s="10" t="s">
        <v>241</v>
      </c>
      <c r="T2221" s="10" t="s">
        <v>242</v>
      </c>
      <c r="U2221" s="10" t="s">
        <v>242</v>
      </c>
      <c r="V2221" s="10" t="s">
        <v>241</v>
      </c>
      <c r="W2221" s="10" t="s">
        <v>242</v>
      </c>
      <c r="X2221" s="15">
        <f>IF(ISERROR(VLOOKUP($A2221,'13. Updated Demand'!A:Z,15,FALSE)),0,VLOOKUP($A2221,'13. Updated Demand'!A:Z,15,FALSE))</f>
        <v>2.81</v>
      </c>
      <c r="Y2221" s="16">
        <f>IF(ISERROR(VLOOKUP($A2221,'13. Updated Demand'!A:Z,16,FALSE)),0,VLOOKUP($A2221,'13. Updated Demand'!A:Z,16,FALSE))</f>
        <v>0</v>
      </c>
      <c r="Z2221" s="16">
        <f>IF(ISERROR(VLOOKUP($A2221,'13. Updated Demand'!A:Z,17,FALSE)),0,VLOOKUP($A2221,'13. Updated Demand'!A:Z,17,FALSE))</f>
        <v>0</v>
      </c>
      <c r="AA2221" s="16">
        <f>IF(ISERROR(VLOOKUP($A2221,'13. Updated Demand'!A:Z,18,FALSE)),0,VLOOKUP($A2221,'13. Updated Demand'!A:Z,18,FALSE))</f>
        <v>0</v>
      </c>
      <c r="AB2221" s="16">
        <f>IF(ISERROR(VLOOKUP($A2221,'13. Updated Demand'!A:Z,19,FALSE)),0,VLOOKUP($A2221,'13. Updated Demand'!A:Z,19,FALSE))</f>
        <v>0</v>
      </c>
      <c r="AC2221" s="16">
        <f>IF(ISERROR(VLOOKUP($A2221,'13. Updated Demand'!A:Z,20,FALSE)),0,VLOOKUP($A2221,'13. Updated Demand'!A:Z,20,FALSE))</f>
        <v>0</v>
      </c>
      <c r="AD2221" s="16">
        <f>IF(ISERROR(VLOOKUP($A2221,'13. Updated Demand'!A:Z,21,FALSE)),0,VLOOKUP($A2221,'13. Updated Demand'!A:Z,21,FALSE))</f>
        <v>0</v>
      </c>
      <c r="AE2221" s="16">
        <f>IF(ISERROR(VLOOKUP($A2221,'13. Updated Demand'!A:Z,22,FALSE)),0,VLOOKUP($A2221,'13. Updated Demand'!A:Z,22,FALSE))</f>
        <v>0</v>
      </c>
      <c r="AF2221" s="16">
        <f>IF(ISERROR(VLOOKUP($A2221,'13. Updated Demand'!A:Z,23,FALSE)),0,VLOOKUP($A2221,'13. Updated Demand'!A:Z,23,FALSE))</f>
        <v>0</v>
      </c>
      <c r="AG2221" s="16">
        <f>IF(ISERROR(VLOOKUP($A2221,'13. Updated Demand'!A:Z,24,FALSE)),0,VLOOKUP($A2221,'13. Updated Demand'!A:Z,24,FALSE))</f>
        <v>0</v>
      </c>
      <c r="AH2221" s="16">
        <f>IF(ISERROR(VLOOKUP($A2221,'13. Updated Demand'!A:Z,25,FALSE)),0,VLOOKUP($A2221,'13. Updated Demand'!A:Z,25,FALSE))</f>
        <v>0</v>
      </c>
      <c r="AI2221" s="16">
        <f>IF(ISERROR(VLOOKUP($A2221,'13. Updated Demand'!A:Z,26,FALSE)),0,VLOOKUP($A2221,'13. Updated Demand'!A:Z,26,FALSE))</f>
        <v>0</v>
      </c>
      <c r="AJ2221" s="16">
        <f t="shared" si="421"/>
        <v>2.81</v>
      </c>
      <c r="AK2221" s="19">
        <v>0</v>
      </c>
      <c r="AL2221" s="16">
        <f t="shared" si="419"/>
        <v>0</v>
      </c>
      <c r="AM2221" s="26">
        <v>0.63863636363636356</v>
      </c>
      <c r="AN2221" s="19">
        <v>4.4000000000000004</v>
      </c>
      <c r="AO2221" s="19" t="s">
        <v>1758</v>
      </c>
      <c r="AP2221" s="19">
        <v>0</v>
      </c>
      <c r="AQ2221" s="19" t="s">
        <v>307</v>
      </c>
      <c r="AR2221" s="9" t="s">
        <v>317</v>
      </c>
      <c r="AS2221" s="12">
        <v>0</v>
      </c>
      <c r="AT2221" s="19">
        <v>39.207700000000003</v>
      </c>
      <c r="AU2221" s="19">
        <v>-123.1915</v>
      </c>
      <c r="AV2221" s="19"/>
    </row>
    <row r="2222" spans="1:48" x14ac:dyDescent="0.25">
      <c r="A2222" s="18" t="s">
        <v>2676</v>
      </c>
      <c r="B2222" s="10">
        <v>10000000</v>
      </c>
      <c r="C2222" s="9">
        <v>1</v>
      </c>
      <c r="D2222" s="8" t="str">
        <f t="shared" si="410"/>
        <v>N</v>
      </c>
      <c r="E2222" s="8" t="str">
        <f t="shared" si="411"/>
        <v>N</v>
      </c>
      <c r="F2222" s="8" t="str">
        <f t="shared" si="412"/>
        <v>Y</v>
      </c>
      <c r="G2222" s="8" t="str">
        <f t="shared" si="413"/>
        <v>Y</v>
      </c>
      <c r="H2222" s="8" t="str">
        <f t="shared" si="414"/>
        <v>Upper</v>
      </c>
      <c r="I2222" s="8" t="str">
        <f t="shared" si="415"/>
        <v>West Fork and Below Lake</v>
      </c>
      <c r="J2222" s="8" t="str">
        <f t="shared" si="416"/>
        <v>Outside</v>
      </c>
      <c r="K2222" s="8" t="str">
        <f t="shared" si="417"/>
        <v>Riparian</v>
      </c>
      <c r="L2222" s="8">
        <f t="shared" si="418"/>
        <v>1000</v>
      </c>
      <c r="M2222" s="8" t="str">
        <f t="shared" si="420"/>
        <v>-</v>
      </c>
      <c r="N2222" s="10" t="s">
        <v>242</v>
      </c>
      <c r="O2222" s="10" t="s">
        <v>241</v>
      </c>
      <c r="P2222" s="10" t="s">
        <v>242</v>
      </c>
      <c r="Q2222" s="10" t="s">
        <v>242</v>
      </c>
      <c r="R2222" s="10" t="s">
        <v>242</v>
      </c>
      <c r="S2222" s="10" t="s">
        <v>241</v>
      </c>
      <c r="T2222" s="10" t="s">
        <v>242</v>
      </c>
      <c r="U2222" s="10" t="s">
        <v>242</v>
      </c>
      <c r="V2222" s="10" t="s">
        <v>242</v>
      </c>
      <c r="W2222" s="10" t="s">
        <v>242</v>
      </c>
      <c r="X2222" s="15">
        <f>IF(ISERROR(VLOOKUP($A2222,'13. Updated Demand'!A:Z,15,FALSE)),0,VLOOKUP($A2222,'13. Updated Demand'!A:Z,15,FALSE))</f>
        <v>0.5</v>
      </c>
      <c r="Y2222" s="16">
        <f>IF(ISERROR(VLOOKUP($A2222,'13. Updated Demand'!A:Z,16,FALSE)),0,VLOOKUP($A2222,'13. Updated Demand'!A:Z,16,FALSE))</f>
        <v>0</v>
      </c>
      <c r="Z2222" s="16">
        <f>IF(ISERROR(VLOOKUP($A2222,'13. Updated Demand'!A:Z,17,FALSE)),0,VLOOKUP($A2222,'13. Updated Demand'!A:Z,17,FALSE))</f>
        <v>0</v>
      </c>
      <c r="AA2222" s="16">
        <f>IF(ISERROR(VLOOKUP($A2222,'13. Updated Demand'!A:Z,18,FALSE)),0,VLOOKUP($A2222,'13. Updated Demand'!A:Z,18,FALSE))</f>
        <v>0.05</v>
      </c>
      <c r="AB2222" s="16">
        <f>IF(ISERROR(VLOOKUP($A2222,'13. Updated Demand'!A:Z,19,FALSE)),0,VLOOKUP($A2222,'13. Updated Demand'!A:Z,19,FALSE))</f>
        <v>0.05</v>
      </c>
      <c r="AC2222" s="16">
        <f>IF(ISERROR(VLOOKUP($A2222,'13. Updated Demand'!A:Z,20,FALSE)),0,VLOOKUP($A2222,'13. Updated Demand'!A:Z,20,FALSE))</f>
        <v>0.05</v>
      </c>
      <c r="AD2222" s="16">
        <f>IF(ISERROR(VLOOKUP($A2222,'13. Updated Demand'!A:Z,21,FALSE)),0,VLOOKUP($A2222,'13. Updated Demand'!A:Z,21,FALSE))</f>
        <v>0.05</v>
      </c>
      <c r="AE2222" s="16">
        <f>IF(ISERROR(VLOOKUP($A2222,'13. Updated Demand'!A:Z,22,FALSE)),0,VLOOKUP($A2222,'13. Updated Demand'!A:Z,22,FALSE))</f>
        <v>0</v>
      </c>
      <c r="AF2222" s="16">
        <f>IF(ISERROR(VLOOKUP($A2222,'13. Updated Demand'!A:Z,23,FALSE)),0,VLOOKUP($A2222,'13. Updated Demand'!A:Z,23,FALSE))</f>
        <v>0</v>
      </c>
      <c r="AG2222" s="16">
        <f>IF(ISERROR(VLOOKUP($A2222,'13. Updated Demand'!A:Z,24,FALSE)),0,VLOOKUP($A2222,'13. Updated Demand'!A:Z,24,FALSE))</f>
        <v>0</v>
      </c>
      <c r="AH2222" s="16">
        <f>IF(ISERROR(VLOOKUP($A2222,'13. Updated Demand'!A:Z,25,FALSE)),0,VLOOKUP($A2222,'13. Updated Demand'!A:Z,25,FALSE))</f>
        <v>0</v>
      </c>
      <c r="AI2222" s="16">
        <f>IF(ISERROR(VLOOKUP($A2222,'13. Updated Demand'!A:Z,26,FALSE)),0,VLOOKUP($A2222,'13. Updated Demand'!A:Z,26,FALSE))</f>
        <v>0.8</v>
      </c>
      <c r="AJ2222" s="16">
        <f t="shared" si="421"/>
        <v>1.5000000000000002</v>
      </c>
      <c r="AK2222" s="19">
        <v>0.15000000000000002</v>
      </c>
      <c r="AL2222" s="16">
        <f t="shared" si="419"/>
        <v>4.975329133943265E-4</v>
      </c>
      <c r="AM2222" s="26">
        <v>5.0000000000000009</v>
      </c>
      <c r="AN2222" s="19">
        <v>0.3</v>
      </c>
      <c r="AO2222" s="19" t="s">
        <v>1758</v>
      </c>
      <c r="AP2222" s="19">
        <v>0</v>
      </c>
      <c r="AQ2222" s="19" t="s">
        <v>307</v>
      </c>
      <c r="AR2222" s="9" t="s">
        <v>317</v>
      </c>
      <c r="AS2222" s="12">
        <v>3.4039024194010059E-4</v>
      </c>
      <c r="AT2222" s="19">
        <v>39.205399999999997</v>
      </c>
      <c r="AU2222" s="19">
        <v>-123.1888</v>
      </c>
      <c r="AV2222" s="19"/>
    </row>
    <row r="2223" spans="1:48" x14ac:dyDescent="0.25">
      <c r="A2223" s="18" t="s">
        <v>2677</v>
      </c>
      <c r="B2223" s="10">
        <v>10000000</v>
      </c>
      <c r="C2223" s="9">
        <v>6</v>
      </c>
      <c r="D2223" s="8" t="str">
        <f t="shared" si="410"/>
        <v>Y</v>
      </c>
      <c r="E2223" s="8" t="str">
        <f t="shared" si="411"/>
        <v>N</v>
      </c>
      <c r="F2223" s="8" t="str">
        <f t="shared" si="412"/>
        <v>Y</v>
      </c>
      <c r="G2223" s="8" t="str">
        <f t="shared" si="413"/>
        <v>Y</v>
      </c>
      <c r="H2223" s="8" t="str">
        <f t="shared" si="414"/>
        <v>Upper</v>
      </c>
      <c r="I2223" s="8" t="str">
        <f t="shared" si="415"/>
        <v>West Fork and Below Lake</v>
      </c>
      <c r="J2223" s="8" t="str">
        <f t="shared" si="416"/>
        <v>Mendocino (d/s of lake)</v>
      </c>
      <c r="K2223" s="8" t="str">
        <f t="shared" si="417"/>
        <v>Riparian</v>
      </c>
      <c r="L2223" s="8">
        <f t="shared" si="418"/>
        <v>1000</v>
      </c>
      <c r="M2223" s="8" t="str">
        <f t="shared" si="420"/>
        <v>-</v>
      </c>
      <c r="N2223" s="10" t="s">
        <v>242</v>
      </c>
      <c r="O2223" s="10" t="s">
        <v>241</v>
      </c>
      <c r="P2223" s="10" t="s">
        <v>242</v>
      </c>
      <c r="Q2223" s="10" t="s">
        <v>242</v>
      </c>
      <c r="R2223" s="10" t="s">
        <v>242</v>
      </c>
      <c r="S2223" s="10" t="s">
        <v>241</v>
      </c>
      <c r="T2223" s="10" t="s">
        <v>242</v>
      </c>
      <c r="U2223" s="10" t="s">
        <v>241</v>
      </c>
      <c r="V2223" s="10" t="s">
        <v>241</v>
      </c>
      <c r="W2223" s="10" t="s">
        <v>242</v>
      </c>
      <c r="X2223" s="15">
        <f>IF(ISERROR(VLOOKUP($A2223,'13. Updated Demand'!A:Z,15,FALSE)),0,VLOOKUP($A2223,'13. Updated Demand'!A:Z,15,FALSE))</f>
        <v>0</v>
      </c>
      <c r="Y2223" s="16">
        <f>IF(ISERROR(VLOOKUP($A2223,'13. Updated Demand'!A:Z,16,FALSE)),0,VLOOKUP($A2223,'13. Updated Demand'!A:Z,16,FALSE))</f>
        <v>0</v>
      </c>
      <c r="Z2223" s="16">
        <f>IF(ISERROR(VLOOKUP($A2223,'13. Updated Demand'!A:Z,17,FALSE)),0,VLOOKUP($A2223,'13. Updated Demand'!A:Z,17,FALSE))</f>
        <v>0</v>
      </c>
      <c r="AA2223" s="16">
        <f>IF(ISERROR(VLOOKUP($A2223,'13. Updated Demand'!A:Z,18,FALSE)),0,VLOOKUP($A2223,'13. Updated Demand'!A:Z,18,FALSE))</f>
        <v>0</v>
      </c>
      <c r="AB2223" s="16">
        <f>IF(ISERROR(VLOOKUP($A2223,'13. Updated Demand'!A:Z,19,FALSE)),0,VLOOKUP($A2223,'13. Updated Demand'!A:Z,19,FALSE))</f>
        <v>0</v>
      </c>
      <c r="AC2223" s="16">
        <f>IF(ISERROR(VLOOKUP($A2223,'13. Updated Demand'!A:Z,20,FALSE)),0,VLOOKUP($A2223,'13. Updated Demand'!A:Z,20,FALSE))</f>
        <v>0</v>
      </c>
      <c r="AD2223" s="16">
        <f>IF(ISERROR(VLOOKUP($A2223,'13. Updated Demand'!A:Z,21,FALSE)),0,VLOOKUP($A2223,'13. Updated Demand'!A:Z,21,FALSE))</f>
        <v>0</v>
      </c>
      <c r="AE2223" s="16">
        <f>IF(ISERROR(VLOOKUP($A2223,'13. Updated Demand'!A:Z,22,FALSE)),0,VLOOKUP($A2223,'13. Updated Demand'!A:Z,22,FALSE))</f>
        <v>0</v>
      </c>
      <c r="AF2223" s="16">
        <f>IF(ISERROR(VLOOKUP($A2223,'13. Updated Demand'!A:Z,23,FALSE)),0,VLOOKUP($A2223,'13. Updated Demand'!A:Z,23,FALSE))</f>
        <v>0</v>
      </c>
      <c r="AG2223" s="16">
        <f>IF(ISERROR(VLOOKUP($A2223,'13. Updated Demand'!A:Z,24,FALSE)),0,VLOOKUP($A2223,'13. Updated Demand'!A:Z,24,FALSE))</f>
        <v>0</v>
      </c>
      <c r="AH2223" s="16">
        <f>IF(ISERROR(VLOOKUP($A2223,'13. Updated Demand'!A:Z,25,FALSE)),0,VLOOKUP($A2223,'13. Updated Demand'!A:Z,25,FALSE))</f>
        <v>0</v>
      </c>
      <c r="AI2223" s="16">
        <f>IF(ISERROR(VLOOKUP($A2223,'13. Updated Demand'!A:Z,26,FALSE)),0,VLOOKUP($A2223,'13. Updated Demand'!A:Z,26,FALSE))</f>
        <v>0</v>
      </c>
      <c r="AJ2223" s="16">
        <f t="shared" si="421"/>
        <v>0</v>
      </c>
      <c r="AK2223" s="19">
        <v>0</v>
      </c>
      <c r="AL2223" s="16">
        <f t="shared" si="419"/>
        <v>0</v>
      </c>
      <c r="AM2223" s="26">
        <v>0</v>
      </c>
      <c r="AN2223" s="19">
        <v>3.28</v>
      </c>
      <c r="AO2223" s="19" t="s">
        <v>1758</v>
      </c>
      <c r="AP2223" s="19">
        <v>0</v>
      </c>
      <c r="AQ2223" s="19" t="s">
        <v>307</v>
      </c>
      <c r="AR2223" s="9" t="s">
        <v>319</v>
      </c>
      <c r="AS2223" s="12">
        <v>3.4039024194010059E-4</v>
      </c>
      <c r="AT2223" s="19">
        <v>38.996000000000002</v>
      </c>
      <c r="AU2223" s="19">
        <v>-123.2024</v>
      </c>
      <c r="AV2223" s="19" t="s">
        <v>414</v>
      </c>
    </row>
    <row r="2224" spans="1:48" x14ac:dyDescent="0.25">
      <c r="A2224" s="18" t="s">
        <v>2678</v>
      </c>
      <c r="B2224" s="10">
        <v>10000000</v>
      </c>
      <c r="C2224" s="9">
        <v>6</v>
      </c>
      <c r="D2224" s="8" t="str">
        <f t="shared" si="410"/>
        <v>Y</v>
      </c>
      <c r="E2224" s="8" t="str">
        <f t="shared" si="411"/>
        <v>N</v>
      </c>
      <c r="F2224" s="8" t="str">
        <f t="shared" si="412"/>
        <v>Y</v>
      </c>
      <c r="G2224" s="8" t="str">
        <f t="shared" si="413"/>
        <v>Y</v>
      </c>
      <c r="H2224" s="8" t="str">
        <f t="shared" si="414"/>
        <v>Upper</v>
      </c>
      <c r="I2224" s="8" t="str">
        <f t="shared" si="415"/>
        <v>West Fork and Below Lake</v>
      </c>
      <c r="J2224" s="8" t="str">
        <f t="shared" si="416"/>
        <v>Mendocino (d/s of lake)</v>
      </c>
      <c r="K2224" s="8" t="str">
        <f t="shared" si="417"/>
        <v>Riparian</v>
      </c>
      <c r="L2224" s="8">
        <f t="shared" si="418"/>
        <v>1000</v>
      </c>
      <c r="M2224" s="8" t="str">
        <f t="shared" si="420"/>
        <v>-</v>
      </c>
      <c r="N2224" s="10" t="s">
        <v>242</v>
      </c>
      <c r="O2224" s="10" t="s">
        <v>241</v>
      </c>
      <c r="P2224" s="10" t="s">
        <v>242</v>
      </c>
      <c r="Q2224" s="10" t="s">
        <v>242</v>
      </c>
      <c r="R2224" s="10" t="s">
        <v>242</v>
      </c>
      <c r="S2224" s="10" t="s">
        <v>241</v>
      </c>
      <c r="T2224" s="10" t="s">
        <v>241</v>
      </c>
      <c r="U2224" s="10" t="s">
        <v>241</v>
      </c>
      <c r="V2224" s="10" t="s">
        <v>241</v>
      </c>
      <c r="W2224" s="10" t="s">
        <v>242</v>
      </c>
      <c r="X2224" s="15">
        <f>IF(ISERROR(VLOOKUP($A2224,'13. Updated Demand'!A:Z,15,FALSE)),0,VLOOKUP($A2224,'13. Updated Demand'!A:Z,15,FALSE))</f>
        <v>0</v>
      </c>
      <c r="Y2224" s="16">
        <f>IF(ISERROR(VLOOKUP($A2224,'13. Updated Demand'!A:Z,16,FALSE)),0,VLOOKUP($A2224,'13. Updated Demand'!A:Z,16,FALSE))</f>
        <v>0</v>
      </c>
      <c r="Z2224" s="16">
        <f>IF(ISERROR(VLOOKUP($A2224,'13. Updated Demand'!A:Z,17,FALSE)),0,VLOOKUP($A2224,'13. Updated Demand'!A:Z,17,FALSE))</f>
        <v>0</v>
      </c>
      <c r="AA2224" s="16">
        <f>IF(ISERROR(VLOOKUP($A2224,'13. Updated Demand'!A:Z,18,FALSE)),0,VLOOKUP($A2224,'13. Updated Demand'!A:Z,18,FALSE))</f>
        <v>0</v>
      </c>
      <c r="AB2224" s="16">
        <f>IF(ISERROR(VLOOKUP($A2224,'13. Updated Demand'!A:Z,19,FALSE)),0,VLOOKUP($A2224,'13. Updated Demand'!A:Z,19,FALSE))</f>
        <v>0</v>
      </c>
      <c r="AC2224" s="16">
        <f>IF(ISERROR(VLOOKUP($A2224,'13. Updated Demand'!A:Z,20,FALSE)),0,VLOOKUP($A2224,'13. Updated Demand'!A:Z,20,FALSE))</f>
        <v>0</v>
      </c>
      <c r="AD2224" s="16">
        <f>IF(ISERROR(VLOOKUP($A2224,'13. Updated Demand'!A:Z,21,FALSE)),0,VLOOKUP($A2224,'13. Updated Demand'!A:Z,21,FALSE))</f>
        <v>0</v>
      </c>
      <c r="AE2224" s="16">
        <f>IF(ISERROR(VLOOKUP($A2224,'13. Updated Demand'!A:Z,22,FALSE)),0,VLOOKUP($A2224,'13. Updated Demand'!A:Z,22,FALSE))</f>
        <v>0</v>
      </c>
      <c r="AF2224" s="16">
        <f>IF(ISERROR(VLOOKUP($A2224,'13. Updated Demand'!A:Z,23,FALSE)),0,VLOOKUP($A2224,'13. Updated Demand'!A:Z,23,FALSE))</f>
        <v>0</v>
      </c>
      <c r="AG2224" s="16">
        <f>IF(ISERROR(VLOOKUP($A2224,'13. Updated Demand'!A:Z,24,FALSE)),0,VLOOKUP($A2224,'13. Updated Demand'!A:Z,24,FALSE))</f>
        <v>0</v>
      </c>
      <c r="AH2224" s="16">
        <f>IF(ISERROR(VLOOKUP($A2224,'13. Updated Demand'!A:Z,25,FALSE)),0,VLOOKUP($A2224,'13. Updated Demand'!A:Z,25,FALSE))</f>
        <v>0</v>
      </c>
      <c r="AI2224" s="16">
        <f>IF(ISERROR(VLOOKUP($A2224,'13. Updated Demand'!A:Z,26,FALSE)),0,VLOOKUP($A2224,'13. Updated Demand'!A:Z,26,FALSE))</f>
        <v>0</v>
      </c>
      <c r="AJ2224" s="16">
        <f t="shared" si="421"/>
        <v>0</v>
      </c>
      <c r="AK2224" s="19">
        <v>0</v>
      </c>
      <c r="AL2224" s="16">
        <f t="shared" si="419"/>
        <v>0</v>
      </c>
      <c r="AM2224" s="26">
        <v>0</v>
      </c>
      <c r="AN2224" s="19">
        <v>0</v>
      </c>
      <c r="AO2224" s="19" t="s">
        <v>1758</v>
      </c>
      <c r="AP2224" s="19">
        <v>0</v>
      </c>
      <c r="AQ2224" s="19" t="s">
        <v>307</v>
      </c>
      <c r="AR2224" s="9" t="s">
        <v>319</v>
      </c>
      <c r="AS2224" s="12">
        <v>3.4039024194010059E-4</v>
      </c>
      <c r="AT2224" s="19">
        <v>38.996400000000001</v>
      </c>
      <c r="AU2224" s="19">
        <v>-123.2026</v>
      </c>
      <c r="AV2224" s="19" t="s">
        <v>414</v>
      </c>
    </row>
    <row r="2225" spans="1:48" x14ac:dyDescent="0.25">
      <c r="A2225" s="18" t="s">
        <v>2679</v>
      </c>
      <c r="B2225" s="10">
        <v>10000000</v>
      </c>
      <c r="C2225" s="9">
        <v>6</v>
      </c>
      <c r="D2225" s="8" t="str">
        <f t="shared" si="410"/>
        <v>Y</v>
      </c>
      <c r="E2225" s="8" t="str">
        <f t="shared" si="411"/>
        <v>N</v>
      </c>
      <c r="F2225" s="8" t="str">
        <f t="shared" si="412"/>
        <v>Y</v>
      </c>
      <c r="G2225" s="8" t="str">
        <f t="shared" si="413"/>
        <v>Y</v>
      </c>
      <c r="H2225" s="8" t="str">
        <f t="shared" si="414"/>
        <v>Upper</v>
      </c>
      <c r="I2225" s="8" t="str">
        <f t="shared" si="415"/>
        <v>West Fork and Below Lake</v>
      </c>
      <c r="J2225" s="8" t="str">
        <f t="shared" si="416"/>
        <v>Mendocino (d/s of lake)</v>
      </c>
      <c r="K2225" s="8" t="str">
        <f t="shared" si="417"/>
        <v>Riparian</v>
      </c>
      <c r="L2225" s="8">
        <f t="shared" si="418"/>
        <v>1000</v>
      </c>
      <c r="M2225" s="8" t="str">
        <f t="shared" si="420"/>
        <v>-</v>
      </c>
      <c r="N2225" s="10" t="s">
        <v>242</v>
      </c>
      <c r="O2225" s="10" t="s">
        <v>241</v>
      </c>
      <c r="P2225" s="10" t="s">
        <v>242</v>
      </c>
      <c r="Q2225" s="10" t="s">
        <v>242</v>
      </c>
      <c r="R2225" s="10" t="s">
        <v>242</v>
      </c>
      <c r="S2225" s="10" t="s">
        <v>241</v>
      </c>
      <c r="T2225" s="10" t="s">
        <v>241</v>
      </c>
      <c r="U2225" s="10" t="s">
        <v>241</v>
      </c>
      <c r="V2225" s="10" t="s">
        <v>241</v>
      </c>
      <c r="W2225" s="10" t="s">
        <v>242</v>
      </c>
      <c r="X2225" s="15">
        <f>IF(ISERROR(VLOOKUP($A2225,'13. Updated Demand'!A:Z,15,FALSE)),0,VLOOKUP($A2225,'13. Updated Demand'!A:Z,15,FALSE))</f>
        <v>0</v>
      </c>
      <c r="Y2225" s="16">
        <f>IF(ISERROR(VLOOKUP($A2225,'13. Updated Demand'!A:Z,16,FALSE)),0,VLOOKUP($A2225,'13. Updated Demand'!A:Z,16,FALSE))</f>
        <v>0</v>
      </c>
      <c r="Z2225" s="16">
        <f>IF(ISERROR(VLOOKUP($A2225,'13. Updated Demand'!A:Z,17,FALSE)),0,VLOOKUP($A2225,'13. Updated Demand'!A:Z,17,FALSE))</f>
        <v>0</v>
      </c>
      <c r="AA2225" s="16">
        <f>IF(ISERROR(VLOOKUP($A2225,'13. Updated Demand'!A:Z,18,FALSE)),0,VLOOKUP($A2225,'13. Updated Demand'!A:Z,18,FALSE))</f>
        <v>0</v>
      </c>
      <c r="AB2225" s="16">
        <f>IF(ISERROR(VLOOKUP($A2225,'13. Updated Demand'!A:Z,19,FALSE)),0,VLOOKUP($A2225,'13. Updated Demand'!A:Z,19,FALSE))</f>
        <v>0</v>
      </c>
      <c r="AC2225" s="16">
        <f>IF(ISERROR(VLOOKUP($A2225,'13. Updated Demand'!A:Z,20,FALSE)),0,VLOOKUP($A2225,'13. Updated Demand'!A:Z,20,FALSE))</f>
        <v>0</v>
      </c>
      <c r="AD2225" s="16">
        <f>IF(ISERROR(VLOOKUP($A2225,'13. Updated Demand'!A:Z,21,FALSE)),0,VLOOKUP($A2225,'13. Updated Demand'!A:Z,21,FALSE))</f>
        <v>0</v>
      </c>
      <c r="AE2225" s="16">
        <f>IF(ISERROR(VLOOKUP($A2225,'13. Updated Demand'!A:Z,22,FALSE)),0,VLOOKUP($A2225,'13. Updated Demand'!A:Z,22,FALSE))</f>
        <v>0</v>
      </c>
      <c r="AF2225" s="16">
        <f>IF(ISERROR(VLOOKUP($A2225,'13. Updated Demand'!A:Z,23,FALSE)),0,VLOOKUP($A2225,'13. Updated Demand'!A:Z,23,FALSE))</f>
        <v>0</v>
      </c>
      <c r="AG2225" s="16">
        <f>IF(ISERROR(VLOOKUP($A2225,'13. Updated Demand'!A:Z,24,FALSE)),0,VLOOKUP($A2225,'13. Updated Demand'!A:Z,24,FALSE))</f>
        <v>0</v>
      </c>
      <c r="AH2225" s="16">
        <f>IF(ISERROR(VLOOKUP($A2225,'13. Updated Demand'!A:Z,25,FALSE)),0,VLOOKUP($A2225,'13. Updated Demand'!A:Z,25,FALSE))</f>
        <v>0</v>
      </c>
      <c r="AI2225" s="16">
        <f>IF(ISERROR(VLOOKUP($A2225,'13. Updated Demand'!A:Z,26,FALSE)),0,VLOOKUP($A2225,'13. Updated Demand'!A:Z,26,FALSE))</f>
        <v>0</v>
      </c>
      <c r="AJ2225" s="16">
        <f t="shared" si="421"/>
        <v>0</v>
      </c>
      <c r="AK2225" s="19">
        <v>0</v>
      </c>
      <c r="AL2225" s="16">
        <f t="shared" si="419"/>
        <v>0</v>
      </c>
      <c r="AM2225" s="26">
        <v>0</v>
      </c>
      <c r="AN2225" s="19">
        <v>1.5</v>
      </c>
      <c r="AO2225" s="19" t="s">
        <v>1758</v>
      </c>
      <c r="AP2225" s="19">
        <v>0</v>
      </c>
      <c r="AQ2225" s="19" t="s">
        <v>307</v>
      </c>
      <c r="AR2225" s="9" t="s">
        <v>319</v>
      </c>
      <c r="AS2225" s="12">
        <v>3.4039024194010059E-4</v>
      </c>
      <c r="AT2225" s="19">
        <v>38.9953</v>
      </c>
      <c r="AU2225" s="19">
        <v>-123.2015</v>
      </c>
      <c r="AV2225" s="19" t="s">
        <v>414</v>
      </c>
    </row>
    <row r="2226" spans="1:48" x14ac:dyDescent="0.25">
      <c r="A2226" s="18" t="s">
        <v>2680</v>
      </c>
      <c r="B2226" s="10">
        <v>10000000</v>
      </c>
      <c r="C2226" s="9">
        <v>5</v>
      </c>
      <c r="D2226" s="8" t="str">
        <f t="shared" si="410"/>
        <v>Y</v>
      </c>
      <c r="E2226" s="8" t="str">
        <f t="shared" si="411"/>
        <v>N</v>
      </c>
      <c r="F2226" s="8" t="str">
        <f t="shared" si="412"/>
        <v>Y</v>
      </c>
      <c r="G2226" s="8" t="str">
        <f t="shared" si="413"/>
        <v>Y</v>
      </c>
      <c r="H2226" s="8" t="str">
        <f t="shared" si="414"/>
        <v>Upper</v>
      </c>
      <c r="I2226" s="8" t="str">
        <f t="shared" si="415"/>
        <v>West Fork and Below Lake</v>
      </c>
      <c r="J2226" s="8" t="str">
        <f t="shared" si="416"/>
        <v>Mendocino (d/s of lake)</v>
      </c>
      <c r="K2226" s="8" t="str">
        <f t="shared" si="417"/>
        <v>Riparian</v>
      </c>
      <c r="L2226" s="8">
        <f t="shared" si="418"/>
        <v>1000</v>
      </c>
      <c r="M2226" s="8" t="str">
        <f t="shared" si="420"/>
        <v>-</v>
      </c>
      <c r="N2226" s="10" t="s">
        <v>242</v>
      </c>
      <c r="O2226" s="10" t="s">
        <v>241</v>
      </c>
      <c r="P2226" s="10" t="s">
        <v>242</v>
      </c>
      <c r="Q2226" s="10" t="s">
        <v>242</v>
      </c>
      <c r="R2226" s="10" t="s">
        <v>242</v>
      </c>
      <c r="S2226" s="10" t="s">
        <v>241</v>
      </c>
      <c r="T2226" s="10" t="s">
        <v>242</v>
      </c>
      <c r="U2226" s="10" t="s">
        <v>242</v>
      </c>
      <c r="V2226" s="10" t="s">
        <v>241</v>
      </c>
      <c r="W2226" s="10" t="s">
        <v>242</v>
      </c>
      <c r="X2226" s="15">
        <f>IF(ISERROR(VLOOKUP($A2226,'13. Updated Demand'!A:Z,15,FALSE)),0,VLOOKUP($A2226,'13. Updated Demand'!A:Z,15,FALSE))</f>
        <v>0.66</v>
      </c>
      <c r="Y2226" s="16">
        <f>IF(ISERROR(VLOOKUP($A2226,'13. Updated Demand'!A:Z,16,FALSE)),0,VLOOKUP($A2226,'13. Updated Demand'!A:Z,16,FALSE))</f>
        <v>0</v>
      </c>
      <c r="Z2226" s="16">
        <f>IF(ISERROR(VLOOKUP($A2226,'13. Updated Demand'!A:Z,17,FALSE)),0,VLOOKUP($A2226,'13. Updated Demand'!A:Z,17,FALSE))</f>
        <v>0</v>
      </c>
      <c r="AA2226" s="16">
        <f>IF(ISERROR(VLOOKUP($A2226,'13. Updated Demand'!A:Z,18,FALSE)),0,VLOOKUP($A2226,'13. Updated Demand'!A:Z,18,FALSE))</f>
        <v>0</v>
      </c>
      <c r="AB2226" s="16">
        <f>IF(ISERROR(VLOOKUP($A2226,'13. Updated Demand'!A:Z,19,FALSE)),0,VLOOKUP($A2226,'13. Updated Demand'!A:Z,19,FALSE))</f>
        <v>0</v>
      </c>
      <c r="AC2226" s="16">
        <f>IF(ISERROR(VLOOKUP($A2226,'13. Updated Demand'!A:Z,20,FALSE)),0,VLOOKUP($A2226,'13. Updated Demand'!A:Z,20,FALSE))</f>
        <v>0</v>
      </c>
      <c r="AD2226" s="16">
        <f>IF(ISERROR(VLOOKUP($A2226,'13. Updated Demand'!A:Z,21,FALSE)),0,VLOOKUP($A2226,'13. Updated Demand'!A:Z,21,FALSE))</f>
        <v>0</v>
      </c>
      <c r="AE2226" s="16">
        <f>IF(ISERROR(VLOOKUP($A2226,'13. Updated Demand'!A:Z,22,FALSE)),0,VLOOKUP($A2226,'13. Updated Demand'!A:Z,22,FALSE))</f>
        <v>0</v>
      </c>
      <c r="AF2226" s="16">
        <f>IF(ISERROR(VLOOKUP($A2226,'13. Updated Demand'!A:Z,23,FALSE)),0,VLOOKUP($A2226,'13. Updated Demand'!A:Z,23,FALSE))</f>
        <v>0</v>
      </c>
      <c r="AG2226" s="16">
        <f>IF(ISERROR(VLOOKUP($A2226,'13. Updated Demand'!A:Z,24,FALSE)),0,VLOOKUP($A2226,'13. Updated Demand'!A:Z,24,FALSE))</f>
        <v>0</v>
      </c>
      <c r="AH2226" s="16">
        <f>IF(ISERROR(VLOOKUP($A2226,'13. Updated Demand'!A:Z,25,FALSE)),0,VLOOKUP($A2226,'13. Updated Demand'!A:Z,25,FALSE))</f>
        <v>0</v>
      </c>
      <c r="AI2226" s="16">
        <f>IF(ISERROR(VLOOKUP($A2226,'13. Updated Demand'!A:Z,26,FALSE)),0,VLOOKUP($A2226,'13. Updated Demand'!A:Z,26,FALSE))</f>
        <v>1.33</v>
      </c>
      <c r="AJ2226" s="16">
        <f t="shared" si="421"/>
        <v>1.9900000000000002</v>
      </c>
      <c r="AK2226" s="19">
        <v>0</v>
      </c>
      <c r="AL2226" s="16">
        <f t="shared" si="419"/>
        <v>0</v>
      </c>
      <c r="AM2226" s="26">
        <v>0.4081632653061224</v>
      </c>
      <c r="AN2226" s="19">
        <v>4.9000000000000004</v>
      </c>
      <c r="AO2226" s="19" t="s">
        <v>1758</v>
      </c>
      <c r="AP2226" s="19">
        <v>0</v>
      </c>
      <c r="AQ2226" s="19" t="s">
        <v>307</v>
      </c>
      <c r="AR2226" s="9" t="s">
        <v>333</v>
      </c>
      <c r="AS2226" s="12">
        <v>0</v>
      </c>
      <c r="AT2226" s="19">
        <v>39.11</v>
      </c>
      <c r="AU2226" s="19">
        <v>-123.20440000000001</v>
      </c>
      <c r="AV2226" s="19" t="s">
        <v>414</v>
      </c>
    </row>
    <row r="2227" spans="1:48" x14ac:dyDescent="0.25">
      <c r="A2227" s="18" t="s">
        <v>2681</v>
      </c>
      <c r="B2227" s="10">
        <v>10000000</v>
      </c>
      <c r="C2227" s="9">
        <v>6</v>
      </c>
      <c r="D2227" s="8" t="str">
        <f t="shared" si="410"/>
        <v>Y</v>
      </c>
      <c r="E2227" s="8" t="str">
        <f t="shared" si="411"/>
        <v>N</v>
      </c>
      <c r="F2227" s="8" t="str">
        <f t="shared" si="412"/>
        <v>Y</v>
      </c>
      <c r="G2227" s="8" t="str">
        <f t="shared" si="413"/>
        <v>Y</v>
      </c>
      <c r="H2227" s="8" t="str">
        <f t="shared" si="414"/>
        <v>Upper</v>
      </c>
      <c r="I2227" s="8" t="str">
        <f t="shared" si="415"/>
        <v>West Fork and Below Lake</v>
      </c>
      <c r="J2227" s="8" t="str">
        <f t="shared" si="416"/>
        <v>Mendocino (d/s of lake)</v>
      </c>
      <c r="K2227" s="8" t="str">
        <f t="shared" si="417"/>
        <v>Riparian</v>
      </c>
      <c r="L2227" s="8">
        <f t="shared" si="418"/>
        <v>1000</v>
      </c>
      <c r="M2227" s="8" t="str">
        <f t="shared" si="420"/>
        <v>-</v>
      </c>
      <c r="N2227" s="10" t="s">
        <v>242</v>
      </c>
      <c r="O2227" s="10" t="s">
        <v>241</v>
      </c>
      <c r="P2227" s="10" t="s">
        <v>242</v>
      </c>
      <c r="Q2227" s="10" t="s">
        <v>242</v>
      </c>
      <c r="R2227" s="10" t="s">
        <v>242</v>
      </c>
      <c r="S2227" s="10" t="s">
        <v>241</v>
      </c>
      <c r="T2227" s="10" t="s">
        <v>242</v>
      </c>
      <c r="U2227" s="10" t="s">
        <v>242</v>
      </c>
      <c r="V2227" s="10" t="s">
        <v>241</v>
      </c>
      <c r="W2227" s="10" t="s">
        <v>242</v>
      </c>
      <c r="X2227" s="15">
        <f>IF(ISERROR(VLOOKUP($A2227,'13. Updated Demand'!A:Z,15,FALSE)),0,VLOOKUP($A2227,'13. Updated Demand'!A:Z,15,FALSE))</f>
        <v>0</v>
      </c>
      <c r="Y2227" s="16">
        <f>IF(ISERROR(VLOOKUP($A2227,'13. Updated Demand'!A:Z,16,FALSE)),0,VLOOKUP($A2227,'13. Updated Demand'!A:Z,16,FALSE))</f>
        <v>0</v>
      </c>
      <c r="Z2227" s="16">
        <f>IF(ISERROR(VLOOKUP($A2227,'13. Updated Demand'!A:Z,17,FALSE)),0,VLOOKUP($A2227,'13. Updated Demand'!A:Z,17,FALSE))</f>
        <v>0</v>
      </c>
      <c r="AA2227" s="16">
        <f>IF(ISERROR(VLOOKUP($A2227,'13. Updated Demand'!A:Z,18,FALSE)),0,VLOOKUP($A2227,'13. Updated Demand'!A:Z,18,FALSE))</f>
        <v>0</v>
      </c>
      <c r="AB2227" s="16">
        <f>IF(ISERROR(VLOOKUP($A2227,'13. Updated Demand'!A:Z,19,FALSE)),0,VLOOKUP($A2227,'13. Updated Demand'!A:Z,19,FALSE))</f>
        <v>0</v>
      </c>
      <c r="AC2227" s="16">
        <f>IF(ISERROR(VLOOKUP($A2227,'13. Updated Demand'!A:Z,20,FALSE)),0,VLOOKUP($A2227,'13. Updated Demand'!A:Z,20,FALSE))</f>
        <v>0</v>
      </c>
      <c r="AD2227" s="16">
        <f>IF(ISERROR(VLOOKUP($A2227,'13. Updated Demand'!A:Z,21,FALSE)),0,VLOOKUP($A2227,'13. Updated Demand'!A:Z,21,FALSE))</f>
        <v>0</v>
      </c>
      <c r="AE2227" s="16">
        <f>IF(ISERROR(VLOOKUP($A2227,'13. Updated Demand'!A:Z,22,FALSE)),0,VLOOKUP($A2227,'13. Updated Demand'!A:Z,22,FALSE))</f>
        <v>0</v>
      </c>
      <c r="AF2227" s="16">
        <f>IF(ISERROR(VLOOKUP($A2227,'13. Updated Demand'!A:Z,23,FALSE)),0,VLOOKUP($A2227,'13. Updated Demand'!A:Z,23,FALSE))</f>
        <v>0</v>
      </c>
      <c r="AG2227" s="16">
        <f>IF(ISERROR(VLOOKUP($A2227,'13. Updated Demand'!A:Z,24,FALSE)),0,VLOOKUP($A2227,'13. Updated Demand'!A:Z,24,FALSE))</f>
        <v>0.06</v>
      </c>
      <c r="AH2227" s="16">
        <f>IF(ISERROR(VLOOKUP($A2227,'13. Updated Demand'!A:Z,25,FALSE)),0,VLOOKUP($A2227,'13. Updated Demand'!A:Z,25,FALSE))</f>
        <v>5.73</v>
      </c>
      <c r="AI2227" s="16">
        <f>IF(ISERROR(VLOOKUP($A2227,'13. Updated Demand'!A:Z,26,FALSE)),0,VLOOKUP($A2227,'13. Updated Demand'!A:Z,26,FALSE))</f>
        <v>7</v>
      </c>
      <c r="AJ2227" s="16">
        <f t="shared" si="421"/>
        <v>12.79</v>
      </c>
      <c r="AK2227" s="19">
        <v>0</v>
      </c>
      <c r="AL2227" s="16">
        <f t="shared" si="419"/>
        <v>0</v>
      </c>
      <c r="AM2227" s="26">
        <v>0</v>
      </c>
      <c r="AN2227" s="19">
        <v>0</v>
      </c>
      <c r="AO2227" s="19" t="s">
        <v>1758</v>
      </c>
      <c r="AP2227" s="19">
        <v>0</v>
      </c>
      <c r="AQ2227" s="19" t="s">
        <v>307</v>
      </c>
      <c r="AR2227" s="9" t="s">
        <v>319</v>
      </c>
      <c r="AS2227" s="12">
        <v>0</v>
      </c>
      <c r="AT2227" s="19">
        <v>38.92</v>
      </c>
      <c r="AU2227" s="19">
        <v>-122.9742</v>
      </c>
      <c r="AV2227" s="19" t="s">
        <v>350</v>
      </c>
    </row>
    <row r="2228" spans="1:48" x14ac:dyDescent="0.25">
      <c r="A2228" s="18" t="s">
        <v>2682</v>
      </c>
      <c r="B2228" s="10">
        <v>10000000</v>
      </c>
      <c r="C2228" s="9">
        <v>21</v>
      </c>
      <c r="D2228" s="8" t="str">
        <f t="shared" si="410"/>
        <v>N</v>
      </c>
      <c r="E2228" s="8" t="str">
        <f t="shared" si="411"/>
        <v>N</v>
      </c>
      <c r="F2228" s="8" t="str">
        <f t="shared" si="412"/>
        <v>N</v>
      </c>
      <c r="G2228" s="8" t="str">
        <f t="shared" si="413"/>
        <v>N</v>
      </c>
      <c r="H2228" s="8" t="str">
        <f t="shared" si="414"/>
        <v>Lower</v>
      </c>
      <c r="I2228" s="8" t="str">
        <f t="shared" si="415"/>
        <v>Outside</v>
      </c>
      <c r="J2228" s="8" t="str">
        <f t="shared" si="416"/>
        <v>Outside</v>
      </c>
      <c r="K2228" s="8" t="str">
        <f t="shared" si="417"/>
        <v>Riparian</v>
      </c>
      <c r="L2228" s="8">
        <f t="shared" si="418"/>
        <v>1000</v>
      </c>
      <c r="M2228" s="8" t="str">
        <f t="shared" si="420"/>
        <v>-</v>
      </c>
      <c r="N2228" s="10" t="s">
        <v>241</v>
      </c>
      <c r="O2228" s="10" t="s">
        <v>242</v>
      </c>
      <c r="P2228" s="10" t="s">
        <v>242</v>
      </c>
      <c r="Q2228" s="10" t="s">
        <v>242</v>
      </c>
      <c r="R2228" s="10" t="s">
        <v>242</v>
      </c>
      <c r="S2228" s="10" t="s">
        <v>241</v>
      </c>
      <c r="T2228" s="10" t="s">
        <v>242</v>
      </c>
      <c r="U2228" s="10" t="s">
        <v>242</v>
      </c>
      <c r="V2228" s="10" t="s">
        <v>242</v>
      </c>
      <c r="W2228" s="10" t="s">
        <v>242</v>
      </c>
      <c r="X2228" s="15">
        <f>IF(ISERROR(VLOOKUP($A2228,'13. Updated Demand'!A:Z,15,FALSE)),0,VLOOKUP($A2228,'13. Updated Demand'!A:Z,15,FALSE))</f>
        <v>0</v>
      </c>
      <c r="Y2228" s="16">
        <f>IF(ISERROR(VLOOKUP($A2228,'13. Updated Demand'!A:Z,16,FALSE)),0,VLOOKUP($A2228,'13. Updated Demand'!A:Z,16,FALSE))</f>
        <v>0</v>
      </c>
      <c r="Z2228" s="16">
        <f>IF(ISERROR(VLOOKUP($A2228,'13. Updated Demand'!A:Z,17,FALSE)),0,VLOOKUP($A2228,'13. Updated Demand'!A:Z,17,FALSE))</f>
        <v>0</v>
      </c>
      <c r="AA2228" s="16">
        <f>IF(ISERROR(VLOOKUP($A2228,'13. Updated Demand'!A:Z,18,FALSE)),0,VLOOKUP($A2228,'13. Updated Demand'!A:Z,18,FALSE))</f>
        <v>0</v>
      </c>
      <c r="AB2228" s="16">
        <f>IF(ISERROR(VLOOKUP($A2228,'13. Updated Demand'!A:Z,19,FALSE)),0,VLOOKUP($A2228,'13. Updated Demand'!A:Z,19,FALSE))</f>
        <v>0</v>
      </c>
      <c r="AC2228" s="16">
        <f>IF(ISERROR(VLOOKUP($A2228,'13. Updated Demand'!A:Z,20,FALSE)),0,VLOOKUP($A2228,'13. Updated Demand'!A:Z,20,FALSE))</f>
        <v>6.1377700000000003E-4</v>
      </c>
      <c r="AD2228" s="16">
        <f>IF(ISERROR(VLOOKUP($A2228,'13. Updated Demand'!A:Z,21,FALSE)),0,VLOOKUP($A2228,'13. Updated Demand'!A:Z,21,FALSE))</f>
        <v>6.1786929999999999E-3</v>
      </c>
      <c r="AE2228" s="16">
        <f>IF(ISERROR(VLOOKUP($A2228,'13. Updated Demand'!A:Z,22,FALSE)),0,VLOOKUP($A2228,'13. Updated Demand'!A:Z,22,FALSE))</f>
        <v>6.1786929999999999E-3</v>
      </c>
      <c r="AF2228" s="16">
        <f>IF(ISERROR(VLOOKUP($A2228,'13. Updated Demand'!A:Z,23,FALSE)),0,VLOOKUP($A2228,'13. Updated Demand'!A:Z,23,FALSE))</f>
        <v>6.1377749999999998E-3</v>
      </c>
      <c r="AG2228" s="16">
        <f>IF(ISERROR(VLOOKUP($A2228,'13. Updated Demand'!A:Z,24,FALSE)),0,VLOOKUP($A2228,'13. Updated Demand'!A:Z,24,FALSE))</f>
        <v>3.7235829999999999E-3</v>
      </c>
      <c r="AH2228" s="16">
        <f>IF(ISERROR(VLOOKUP($A2228,'13. Updated Demand'!A:Z,25,FALSE)),0,VLOOKUP($A2228,'13. Updated Demand'!A:Z,25,FALSE))</f>
        <v>0</v>
      </c>
      <c r="AI2228" s="16">
        <f>IF(ISERROR(VLOOKUP($A2228,'13. Updated Demand'!A:Z,26,FALSE)),0,VLOOKUP($A2228,'13. Updated Demand'!A:Z,26,FALSE))</f>
        <v>0</v>
      </c>
      <c r="AJ2228" s="16">
        <f t="shared" si="421"/>
        <v>2.2832520999999998E-2</v>
      </c>
      <c r="AK2228" s="19">
        <v>1.9108938338893138E-2</v>
      </c>
      <c r="AL2228" s="16">
        <f t="shared" si="419"/>
        <v>6.3382171757480279E-5</v>
      </c>
      <c r="AM2228" s="26">
        <v>3.0854758935998521</v>
      </c>
      <c r="AN2228" s="19">
        <v>7.4000000000000003E-3</v>
      </c>
      <c r="AO2228" s="19" t="s">
        <v>1758</v>
      </c>
      <c r="AP2228" s="19">
        <v>0</v>
      </c>
      <c r="AQ2228" s="19" t="s">
        <v>307</v>
      </c>
      <c r="AR2228" s="9" t="s">
        <v>403</v>
      </c>
      <c r="AS2228" s="12">
        <v>3.4039024194010059E-4</v>
      </c>
      <c r="AT2228" s="19">
        <v>38.447000000000003</v>
      </c>
      <c r="AU2228" s="19">
        <v>-123.05500000000001</v>
      </c>
      <c r="AV2228" s="19" t="s">
        <v>387</v>
      </c>
    </row>
    <row r="2229" spans="1:48" x14ac:dyDescent="0.25">
      <c r="A2229" s="18" t="s">
        <v>2683</v>
      </c>
      <c r="B2229" s="10">
        <v>10000000</v>
      </c>
      <c r="C2229" s="9">
        <v>20</v>
      </c>
      <c r="D2229" s="8" t="str">
        <f t="shared" si="410"/>
        <v>N</v>
      </c>
      <c r="E2229" s="8" t="str">
        <f t="shared" si="411"/>
        <v>N</v>
      </c>
      <c r="F2229" s="8" t="str">
        <f t="shared" si="412"/>
        <v>N</v>
      </c>
      <c r="G2229" s="8" t="str">
        <f t="shared" si="413"/>
        <v>N</v>
      </c>
      <c r="H2229" s="8" t="str">
        <f t="shared" si="414"/>
        <v>Lower</v>
      </c>
      <c r="I2229" s="8" t="str">
        <f t="shared" si="415"/>
        <v>Outside</v>
      </c>
      <c r="J2229" s="8" t="str">
        <f t="shared" si="416"/>
        <v>Outside</v>
      </c>
      <c r="K2229" s="8" t="str">
        <f t="shared" si="417"/>
        <v>Riparian</v>
      </c>
      <c r="L2229" s="8">
        <f t="shared" si="418"/>
        <v>1000</v>
      </c>
      <c r="M2229" s="8" t="str">
        <f t="shared" si="420"/>
        <v>-</v>
      </c>
      <c r="N2229" s="10" t="s">
        <v>242</v>
      </c>
      <c r="O2229" s="10" t="s">
        <v>242</v>
      </c>
      <c r="P2229" s="10" t="s">
        <v>242</v>
      </c>
      <c r="Q2229" s="10" t="s">
        <v>242</v>
      </c>
      <c r="R2229" s="10" t="s">
        <v>242</v>
      </c>
      <c r="S2229" s="10" t="s">
        <v>241</v>
      </c>
      <c r="T2229" s="10" t="s">
        <v>242</v>
      </c>
      <c r="U2229" s="10" t="s">
        <v>241</v>
      </c>
      <c r="V2229" s="10" t="s">
        <v>241</v>
      </c>
      <c r="W2229" s="10" t="s">
        <v>242</v>
      </c>
      <c r="X2229" s="15">
        <f>IF(ISERROR(VLOOKUP($A2229,'13. Updated Demand'!A:Z,15,FALSE)),0,VLOOKUP($A2229,'13. Updated Demand'!A:Z,15,FALSE))</f>
        <v>0</v>
      </c>
      <c r="Y2229" s="16">
        <f>IF(ISERROR(VLOOKUP($A2229,'13. Updated Demand'!A:Z,16,FALSE)),0,VLOOKUP($A2229,'13. Updated Demand'!A:Z,16,FALSE))</f>
        <v>0</v>
      </c>
      <c r="Z2229" s="16">
        <f>IF(ISERROR(VLOOKUP($A2229,'13. Updated Demand'!A:Z,17,FALSE)),0,VLOOKUP($A2229,'13. Updated Demand'!A:Z,17,FALSE))</f>
        <v>0</v>
      </c>
      <c r="AA2229" s="16">
        <f>IF(ISERROR(VLOOKUP($A2229,'13. Updated Demand'!A:Z,18,FALSE)),0,VLOOKUP($A2229,'13. Updated Demand'!A:Z,18,FALSE))</f>
        <v>0</v>
      </c>
      <c r="AB2229" s="16">
        <f>IF(ISERROR(VLOOKUP($A2229,'13. Updated Demand'!A:Z,19,FALSE)),0,VLOOKUP($A2229,'13. Updated Demand'!A:Z,19,FALSE))</f>
        <v>0</v>
      </c>
      <c r="AC2229" s="16">
        <f>IF(ISERROR(VLOOKUP($A2229,'13. Updated Demand'!A:Z,20,FALSE)),0,VLOOKUP($A2229,'13. Updated Demand'!A:Z,20,FALSE))</f>
        <v>0</v>
      </c>
      <c r="AD2229" s="16">
        <f>IF(ISERROR(VLOOKUP($A2229,'13. Updated Demand'!A:Z,21,FALSE)),0,VLOOKUP($A2229,'13. Updated Demand'!A:Z,21,FALSE))</f>
        <v>0</v>
      </c>
      <c r="AE2229" s="16">
        <f>IF(ISERROR(VLOOKUP($A2229,'13. Updated Demand'!A:Z,22,FALSE)),0,VLOOKUP($A2229,'13. Updated Demand'!A:Z,22,FALSE))</f>
        <v>0</v>
      </c>
      <c r="AF2229" s="16">
        <f>IF(ISERROR(VLOOKUP($A2229,'13. Updated Demand'!A:Z,23,FALSE)),0,VLOOKUP($A2229,'13. Updated Demand'!A:Z,23,FALSE))</f>
        <v>0</v>
      </c>
      <c r="AG2229" s="16">
        <f>IF(ISERROR(VLOOKUP($A2229,'13. Updated Demand'!A:Z,24,FALSE)),0,VLOOKUP($A2229,'13. Updated Demand'!A:Z,24,FALSE))</f>
        <v>0</v>
      </c>
      <c r="AH2229" s="16">
        <f>IF(ISERROR(VLOOKUP($A2229,'13. Updated Demand'!A:Z,25,FALSE)),0,VLOOKUP($A2229,'13. Updated Demand'!A:Z,25,FALSE))</f>
        <v>0</v>
      </c>
      <c r="AI2229" s="16">
        <f>IF(ISERROR(VLOOKUP($A2229,'13. Updated Demand'!A:Z,26,FALSE)),0,VLOOKUP($A2229,'13. Updated Demand'!A:Z,26,FALSE))</f>
        <v>0</v>
      </c>
      <c r="AJ2229" s="16">
        <f t="shared" si="421"/>
        <v>0</v>
      </c>
      <c r="AK2229" s="19">
        <v>0</v>
      </c>
      <c r="AL2229" s="16">
        <f t="shared" si="419"/>
        <v>0</v>
      </c>
      <c r="AM2229" s="26">
        <v>0</v>
      </c>
      <c r="AN2229" s="19">
        <v>14.488</v>
      </c>
      <c r="AO2229" s="19" t="s">
        <v>1758</v>
      </c>
      <c r="AP2229" s="19">
        <v>0</v>
      </c>
      <c r="AQ2229" s="19" t="s">
        <v>307</v>
      </c>
      <c r="AR2229" s="9" t="s">
        <v>329</v>
      </c>
      <c r="AS2229" s="12">
        <v>3.4039024194010059E-4</v>
      </c>
      <c r="AT2229" s="19">
        <v>38.5092</v>
      </c>
      <c r="AU2229" s="19">
        <v>-123.08839999999999</v>
      </c>
      <c r="AV2229" s="19" t="s">
        <v>2684</v>
      </c>
    </row>
    <row r="2230" spans="1:48" x14ac:dyDescent="0.25">
      <c r="A2230" s="18" t="s">
        <v>2685</v>
      </c>
      <c r="B2230" s="10">
        <v>10000000</v>
      </c>
      <c r="C2230" s="9">
        <v>21</v>
      </c>
      <c r="D2230" s="8" t="str">
        <f t="shared" si="410"/>
        <v>N</v>
      </c>
      <c r="E2230" s="8" t="str">
        <f t="shared" si="411"/>
        <v>N</v>
      </c>
      <c r="F2230" s="8" t="str">
        <f t="shared" si="412"/>
        <v>N</v>
      </c>
      <c r="G2230" s="8" t="str">
        <f t="shared" si="413"/>
        <v>N</v>
      </c>
      <c r="H2230" s="8" t="str">
        <f t="shared" si="414"/>
        <v>Lower</v>
      </c>
      <c r="I2230" s="8" t="str">
        <f t="shared" si="415"/>
        <v>Outside</v>
      </c>
      <c r="J2230" s="8" t="str">
        <f t="shared" si="416"/>
        <v>Outside</v>
      </c>
      <c r="K2230" s="8" t="str">
        <f t="shared" si="417"/>
        <v>Riparian</v>
      </c>
      <c r="L2230" s="8">
        <f t="shared" si="418"/>
        <v>1000</v>
      </c>
      <c r="M2230" s="8" t="str">
        <f t="shared" si="420"/>
        <v>-</v>
      </c>
      <c r="N2230" s="10" t="s">
        <v>242</v>
      </c>
      <c r="O2230" s="10" t="s">
        <v>242</v>
      </c>
      <c r="P2230" s="10" t="s">
        <v>242</v>
      </c>
      <c r="Q2230" s="10" t="s">
        <v>242</v>
      </c>
      <c r="R2230" s="10" t="s">
        <v>242</v>
      </c>
      <c r="S2230" s="10" t="s">
        <v>241</v>
      </c>
      <c r="T2230" s="10" t="s">
        <v>242</v>
      </c>
      <c r="U2230" s="10" t="s">
        <v>241</v>
      </c>
      <c r="V2230" s="10" t="s">
        <v>241</v>
      </c>
      <c r="W2230" s="10" t="s">
        <v>242</v>
      </c>
      <c r="X2230" s="15">
        <f>IF(ISERROR(VLOOKUP($A2230,'13. Updated Demand'!A:Z,15,FALSE)),0,VLOOKUP($A2230,'13. Updated Demand'!A:Z,15,FALSE))</f>
        <v>0</v>
      </c>
      <c r="Y2230" s="16">
        <f>IF(ISERROR(VLOOKUP($A2230,'13. Updated Demand'!A:Z,16,FALSE)),0,VLOOKUP($A2230,'13. Updated Demand'!A:Z,16,FALSE))</f>
        <v>0</v>
      </c>
      <c r="Z2230" s="16">
        <f>IF(ISERROR(VLOOKUP($A2230,'13. Updated Demand'!A:Z,17,FALSE)),0,VLOOKUP($A2230,'13. Updated Demand'!A:Z,17,FALSE))</f>
        <v>0</v>
      </c>
      <c r="AA2230" s="16">
        <f>IF(ISERROR(VLOOKUP($A2230,'13. Updated Demand'!A:Z,18,FALSE)),0,VLOOKUP($A2230,'13. Updated Demand'!A:Z,18,FALSE))</f>
        <v>0</v>
      </c>
      <c r="AB2230" s="16">
        <f>IF(ISERROR(VLOOKUP($A2230,'13. Updated Demand'!A:Z,19,FALSE)),0,VLOOKUP($A2230,'13. Updated Demand'!A:Z,19,FALSE))</f>
        <v>0</v>
      </c>
      <c r="AC2230" s="16">
        <f>IF(ISERROR(VLOOKUP($A2230,'13. Updated Demand'!A:Z,20,FALSE)),0,VLOOKUP($A2230,'13. Updated Demand'!A:Z,20,FALSE))</f>
        <v>0</v>
      </c>
      <c r="AD2230" s="16">
        <f>IF(ISERROR(VLOOKUP($A2230,'13. Updated Demand'!A:Z,21,FALSE)),0,VLOOKUP($A2230,'13. Updated Demand'!A:Z,21,FALSE))</f>
        <v>0</v>
      </c>
      <c r="AE2230" s="16">
        <f>IF(ISERROR(VLOOKUP($A2230,'13. Updated Demand'!A:Z,22,FALSE)),0,VLOOKUP($A2230,'13. Updated Demand'!A:Z,22,FALSE))</f>
        <v>0</v>
      </c>
      <c r="AF2230" s="16">
        <f>IF(ISERROR(VLOOKUP($A2230,'13. Updated Demand'!A:Z,23,FALSE)),0,VLOOKUP($A2230,'13. Updated Demand'!A:Z,23,FALSE))</f>
        <v>0</v>
      </c>
      <c r="AG2230" s="16">
        <f>IF(ISERROR(VLOOKUP($A2230,'13. Updated Demand'!A:Z,24,FALSE)),0,VLOOKUP($A2230,'13. Updated Demand'!A:Z,24,FALSE))</f>
        <v>0</v>
      </c>
      <c r="AH2230" s="16">
        <f>IF(ISERROR(VLOOKUP($A2230,'13. Updated Demand'!A:Z,25,FALSE)),0,VLOOKUP($A2230,'13. Updated Demand'!A:Z,25,FALSE))</f>
        <v>0</v>
      </c>
      <c r="AI2230" s="16">
        <f>IF(ISERROR(VLOOKUP($A2230,'13. Updated Demand'!A:Z,26,FALSE)),0,VLOOKUP($A2230,'13. Updated Demand'!A:Z,26,FALSE))</f>
        <v>0</v>
      </c>
      <c r="AJ2230" s="16">
        <f t="shared" si="421"/>
        <v>0</v>
      </c>
      <c r="AK2230" s="19">
        <v>0</v>
      </c>
      <c r="AL2230" s="16">
        <f t="shared" si="419"/>
        <v>0</v>
      </c>
      <c r="AM2230" s="26">
        <v>0</v>
      </c>
      <c r="AN2230" s="19">
        <v>72.44</v>
      </c>
      <c r="AO2230" s="19" t="s">
        <v>1758</v>
      </c>
      <c r="AP2230" s="19">
        <v>0</v>
      </c>
      <c r="AQ2230" s="19" t="s">
        <v>307</v>
      </c>
      <c r="AR2230" s="9" t="s">
        <v>403</v>
      </c>
      <c r="AS2230" s="12">
        <v>0</v>
      </c>
      <c r="AT2230" s="19">
        <v>38.439100000000003</v>
      </c>
      <c r="AU2230" s="19">
        <v>-122.9757</v>
      </c>
      <c r="AV2230" s="19" t="s">
        <v>1784</v>
      </c>
    </row>
    <row r="2231" spans="1:48" x14ac:dyDescent="0.25">
      <c r="A2231" s="18" t="s">
        <v>2686</v>
      </c>
      <c r="B2231" s="10">
        <v>10000000</v>
      </c>
      <c r="C2231" s="9">
        <v>19</v>
      </c>
      <c r="D2231" s="8" t="str">
        <f t="shared" si="410"/>
        <v>N</v>
      </c>
      <c r="E2231" s="8" t="str">
        <f t="shared" si="411"/>
        <v>N</v>
      </c>
      <c r="F2231" s="8" t="str">
        <f t="shared" si="412"/>
        <v>N</v>
      </c>
      <c r="G2231" s="8" t="str">
        <f t="shared" si="413"/>
        <v>N</v>
      </c>
      <c r="H2231" s="8" t="str">
        <f t="shared" si="414"/>
        <v>Lower</v>
      </c>
      <c r="I2231" s="8" t="str">
        <f t="shared" si="415"/>
        <v>Outside</v>
      </c>
      <c r="J2231" s="8" t="str">
        <f t="shared" si="416"/>
        <v>Outside</v>
      </c>
      <c r="K2231" s="8" t="str">
        <f t="shared" si="417"/>
        <v>Riparian</v>
      </c>
      <c r="L2231" s="8">
        <f t="shared" si="418"/>
        <v>1000</v>
      </c>
      <c r="M2231" s="8" t="str">
        <f t="shared" si="420"/>
        <v>-</v>
      </c>
      <c r="N2231" s="10" t="s">
        <v>242</v>
      </c>
      <c r="O2231" s="10" t="s">
        <v>242</v>
      </c>
      <c r="P2231" s="10" t="s">
        <v>242</v>
      </c>
      <c r="Q2231" s="10" t="s">
        <v>242</v>
      </c>
      <c r="R2231" s="10" t="s">
        <v>242</v>
      </c>
      <c r="S2231" s="10" t="s">
        <v>241</v>
      </c>
      <c r="T2231" s="10" t="s">
        <v>242</v>
      </c>
      <c r="U2231" s="10" t="s">
        <v>241</v>
      </c>
      <c r="V2231" s="10" t="s">
        <v>241</v>
      </c>
      <c r="W2231" s="10" t="s">
        <v>242</v>
      </c>
      <c r="X2231" s="15">
        <f>IF(ISERROR(VLOOKUP($A2231,'13. Updated Demand'!A:Z,15,FALSE)),0,VLOOKUP($A2231,'13. Updated Demand'!A:Z,15,FALSE))</f>
        <v>0</v>
      </c>
      <c r="Y2231" s="16">
        <f>IF(ISERROR(VLOOKUP($A2231,'13. Updated Demand'!A:Z,16,FALSE)),0,VLOOKUP($A2231,'13. Updated Demand'!A:Z,16,FALSE))</f>
        <v>0</v>
      </c>
      <c r="Z2231" s="16">
        <f>IF(ISERROR(VLOOKUP($A2231,'13. Updated Demand'!A:Z,17,FALSE)),0,VLOOKUP($A2231,'13. Updated Demand'!A:Z,17,FALSE))</f>
        <v>0</v>
      </c>
      <c r="AA2231" s="16">
        <f>IF(ISERROR(VLOOKUP($A2231,'13. Updated Demand'!A:Z,18,FALSE)),0,VLOOKUP($A2231,'13. Updated Demand'!A:Z,18,FALSE))</f>
        <v>0</v>
      </c>
      <c r="AB2231" s="16">
        <f>IF(ISERROR(VLOOKUP($A2231,'13. Updated Demand'!A:Z,19,FALSE)),0,VLOOKUP($A2231,'13. Updated Demand'!A:Z,19,FALSE))</f>
        <v>0</v>
      </c>
      <c r="AC2231" s="16">
        <f>IF(ISERROR(VLOOKUP($A2231,'13. Updated Demand'!A:Z,20,FALSE)),0,VLOOKUP($A2231,'13. Updated Demand'!A:Z,20,FALSE))</f>
        <v>0</v>
      </c>
      <c r="AD2231" s="16">
        <f>IF(ISERROR(VLOOKUP($A2231,'13. Updated Demand'!A:Z,21,FALSE)),0,VLOOKUP($A2231,'13. Updated Demand'!A:Z,21,FALSE))</f>
        <v>0</v>
      </c>
      <c r="AE2231" s="16">
        <f>IF(ISERROR(VLOOKUP($A2231,'13. Updated Demand'!A:Z,22,FALSE)),0,VLOOKUP($A2231,'13. Updated Demand'!A:Z,22,FALSE))</f>
        <v>0</v>
      </c>
      <c r="AF2231" s="16">
        <f>IF(ISERROR(VLOOKUP($A2231,'13. Updated Demand'!A:Z,23,FALSE)),0,VLOOKUP($A2231,'13. Updated Demand'!A:Z,23,FALSE))</f>
        <v>0</v>
      </c>
      <c r="AG2231" s="16">
        <f>IF(ISERROR(VLOOKUP($A2231,'13. Updated Demand'!A:Z,24,FALSE)),0,VLOOKUP($A2231,'13. Updated Demand'!A:Z,24,FALSE))</f>
        <v>0</v>
      </c>
      <c r="AH2231" s="16">
        <f>IF(ISERROR(VLOOKUP($A2231,'13. Updated Demand'!A:Z,25,FALSE)),0,VLOOKUP($A2231,'13. Updated Demand'!A:Z,25,FALSE))</f>
        <v>0</v>
      </c>
      <c r="AI2231" s="16">
        <f>IF(ISERROR(VLOOKUP($A2231,'13. Updated Demand'!A:Z,26,FALSE)),0,VLOOKUP($A2231,'13. Updated Demand'!A:Z,26,FALSE))</f>
        <v>0</v>
      </c>
      <c r="AJ2231" s="16">
        <f t="shared" si="421"/>
        <v>0</v>
      </c>
      <c r="AK2231" s="19">
        <v>0</v>
      </c>
      <c r="AL2231" s="16">
        <f t="shared" si="419"/>
        <v>0</v>
      </c>
      <c r="AM2231" s="26">
        <v>0</v>
      </c>
      <c r="AN2231" s="19">
        <v>0.1028</v>
      </c>
      <c r="AO2231" s="19" t="s">
        <v>1758</v>
      </c>
      <c r="AP2231" s="19">
        <v>0</v>
      </c>
      <c r="AQ2231" s="19" t="s">
        <v>307</v>
      </c>
      <c r="AR2231" s="9" t="s">
        <v>684</v>
      </c>
      <c r="AS2231" s="12">
        <v>3.4039024194010059E-4</v>
      </c>
      <c r="AT2231" s="19">
        <v>38.516199999999998</v>
      </c>
      <c r="AU2231" s="19">
        <v>-122.93389999999999</v>
      </c>
      <c r="AV2231" s="19" t="s">
        <v>385</v>
      </c>
    </row>
    <row r="2232" spans="1:48" x14ac:dyDescent="0.25">
      <c r="A2232" s="18" t="s">
        <v>55</v>
      </c>
      <c r="B2232" s="10">
        <v>10000000</v>
      </c>
      <c r="C2232" s="9">
        <v>5</v>
      </c>
      <c r="D2232" s="8" t="str">
        <f t="shared" si="410"/>
        <v>Y</v>
      </c>
      <c r="E2232" s="8" t="str">
        <f t="shared" si="411"/>
        <v>N</v>
      </c>
      <c r="F2232" s="8" t="str">
        <f t="shared" si="412"/>
        <v>Y</v>
      </c>
      <c r="G2232" s="8" t="str">
        <f t="shared" si="413"/>
        <v>Y</v>
      </c>
      <c r="H2232" s="8" t="str">
        <f t="shared" si="414"/>
        <v>Upper</v>
      </c>
      <c r="I2232" s="8" t="str">
        <f t="shared" si="415"/>
        <v>West Fork and Below Lake</v>
      </c>
      <c r="J2232" s="8" t="str">
        <f t="shared" si="416"/>
        <v>Mendocino (d/s of lake)</v>
      </c>
      <c r="K2232" s="8" t="str">
        <f t="shared" si="417"/>
        <v>Riparian</v>
      </c>
      <c r="L2232" s="8">
        <f t="shared" si="418"/>
        <v>1000</v>
      </c>
      <c r="M2232" s="8" t="str">
        <f t="shared" si="420"/>
        <v>-</v>
      </c>
      <c r="N2232" s="10" t="s">
        <v>241</v>
      </c>
      <c r="O2232" s="10" t="s">
        <v>241</v>
      </c>
      <c r="P2232" s="10" t="s">
        <v>242</v>
      </c>
      <c r="Q2232" s="10" t="s">
        <v>242</v>
      </c>
      <c r="R2232" s="10" t="s">
        <v>242</v>
      </c>
      <c r="S2232" s="10" t="s">
        <v>241</v>
      </c>
      <c r="T2232" s="10" t="s">
        <v>242</v>
      </c>
      <c r="U2232" s="10" t="s">
        <v>241</v>
      </c>
      <c r="V2232" s="10" t="s">
        <v>241</v>
      </c>
      <c r="W2232" s="10" t="s">
        <v>242</v>
      </c>
      <c r="X2232" s="15">
        <f>IF(ISERROR(VLOOKUP($A2232,'13. Updated Demand'!A:Z,15,FALSE)),0,VLOOKUP($A2232,'13. Updated Demand'!A:Z,15,FALSE))</f>
        <v>0</v>
      </c>
      <c r="Y2232" s="16">
        <f>IF(ISERROR(VLOOKUP($A2232,'13. Updated Demand'!A:Z,16,FALSE)),0,VLOOKUP($A2232,'13. Updated Demand'!A:Z,16,FALSE))</f>
        <v>0</v>
      </c>
      <c r="Z2232" s="16">
        <f>IF(ISERROR(VLOOKUP($A2232,'13. Updated Demand'!A:Z,17,FALSE)),0,VLOOKUP($A2232,'13. Updated Demand'!A:Z,17,FALSE))</f>
        <v>0</v>
      </c>
      <c r="AA2232" s="16">
        <f>IF(ISERROR(VLOOKUP($A2232,'13. Updated Demand'!A:Z,18,FALSE)),0,VLOOKUP($A2232,'13. Updated Demand'!A:Z,18,FALSE))</f>
        <v>0</v>
      </c>
      <c r="AB2232" s="16">
        <f>IF(ISERROR(VLOOKUP($A2232,'13. Updated Demand'!A:Z,19,FALSE)),0,VLOOKUP($A2232,'13. Updated Demand'!A:Z,19,FALSE))</f>
        <v>0</v>
      </c>
      <c r="AC2232" s="16">
        <f>IF(ISERROR(VLOOKUP($A2232,'13. Updated Demand'!A:Z,20,FALSE)),0,VLOOKUP($A2232,'13. Updated Demand'!A:Z,20,FALSE))</f>
        <v>0</v>
      </c>
      <c r="AD2232" s="16">
        <f>IF(ISERROR(VLOOKUP($A2232,'13. Updated Demand'!A:Z,21,FALSE)),0,VLOOKUP($A2232,'13. Updated Demand'!A:Z,21,FALSE))</f>
        <v>0</v>
      </c>
      <c r="AE2232" s="16">
        <f>IF(ISERROR(VLOOKUP($A2232,'13. Updated Demand'!A:Z,22,FALSE)),0,VLOOKUP($A2232,'13. Updated Demand'!A:Z,22,FALSE))</f>
        <v>0</v>
      </c>
      <c r="AF2232" s="16">
        <f>IF(ISERROR(VLOOKUP($A2232,'13. Updated Demand'!A:Z,23,FALSE)),0,VLOOKUP($A2232,'13. Updated Demand'!A:Z,23,FALSE))</f>
        <v>0</v>
      </c>
      <c r="AG2232" s="16">
        <f>IF(ISERROR(VLOOKUP($A2232,'13. Updated Demand'!A:Z,24,FALSE)),0,VLOOKUP($A2232,'13. Updated Demand'!A:Z,24,FALSE))</f>
        <v>0</v>
      </c>
      <c r="AH2232" s="16">
        <f>IF(ISERROR(VLOOKUP($A2232,'13. Updated Demand'!A:Z,25,FALSE)),0,VLOOKUP($A2232,'13. Updated Demand'!A:Z,25,FALSE))</f>
        <v>0</v>
      </c>
      <c r="AI2232" s="16">
        <f>IF(ISERROR(VLOOKUP($A2232,'13. Updated Demand'!A:Z,26,FALSE)),0,VLOOKUP($A2232,'13. Updated Demand'!A:Z,26,FALSE))</f>
        <v>0</v>
      </c>
      <c r="AJ2232" s="16">
        <f t="shared" si="421"/>
        <v>0</v>
      </c>
      <c r="AK2232" s="19">
        <v>0</v>
      </c>
      <c r="AL2232" s="16">
        <f t="shared" si="419"/>
        <v>0</v>
      </c>
      <c r="AM2232" s="26">
        <v>0</v>
      </c>
      <c r="AN2232" s="19">
        <v>2426.7399999999998</v>
      </c>
      <c r="AO2232" s="19" t="s">
        <v>1758</v>
      </c>
      <c r="AP2232" s="19">
        <v>0</v>
      </c>
      <c r="AQ2232" s="19" t="s">
        <v>307</v>
      </c>
      <c r="AR2232" s="9" t="s">
        <v>333</v>
      </c>
      <c r="AS2232" s="12">
        <v>0</v>
      </c>
      <c r="AT2232" s="19">
        <v>39.104599999999998</v>
      </c>
      <c r="AU2232" s="19">
        <v>-123.1837</v>
      </c>
      <c r="AV2232" s="19" t="s">
        <v>387</v>
      </c>
    </row>
    <row r="2233" spans="1:48" x14ac:dyDescent="0.25">
      <c r="A2233" s="18" t="s">
        <v>2687</v>
      </c>
      <c r="B2233" s="10">
        <v>10000000</v>
      </c>
      <c r="C2233" s="9">
        <v>8</v>
      </c>
      <c r="D2233" s="8" t="str">
        <f t="shared" si="410"/>
        <v>N</v>
      </c>
      <c r="E2233" s="8" t="str">
        <f t="shared" si="411"/>
        <v>Y</v>
      </c>
      <c r="F2233" s="8" t="str">
        <f t="shared" si="412"/>
        <v>Y</v>
      </c>
      <c r="G2233" s="8" t="str">
        <f t="shared" si="413"/>
        <v>Y</v>
      </c>
      <c r="H2233" s="8" t="str">
        <f t="shared" si="414"/>
        <v>Upper</v>
      </c>
      <c r="I2233" s="8" t="str">
        <f t="shared" si="415"/>
        <v>West Fork and Below Lake</v>
      </c>
      <c r="J2233" s="8" t="str">
        <f t="shared" si="416"/>
        <v>Sonoma (d/s of Clov. Gage)</v>
      </c>
      <c r="K2233" s="8" t="str">
        <f t="shared" si="417"/>
        <v>Riparian</v>
      </c>
      <c r="L2233" s="8">
        <f t="shared" si="418"/>
        <v>1000</v>
      </c>
      <c r="M2233" s="8" t="str">
        <f t="shared" si="420"/>
        <v>-</v>
      </c>
      <c r="N2233" s="10" t="s">
        <v>242</v>
      </c>
      <c r="O2233" s="10" t="s">
        <v>241</v>
      </c>
      <c r="P2233" s="10" t="s">
        <v>242</v>
      </c>
      <c r="Q2233" s="10" t="s">
        <v>242</v>
      </c>
      <c r="R2233" s="10" t="s">
        <v>242</v>
      </c>
      <c r="S2233" s="10" t="s">
        <v>241</v>
      </c>
      <c r="T2233" s="10" t="s">
        <v>242</v>
      </c>
      <c r="U2233" s="10" t="s">
        <v>242</v>
      </c>
      <c r="V2233" s="10" t="s">
        <v>241</v>
      </c>
      <c r="W2233" s="10" t="s">
        <v>242</v>
      </c>
      <c r="X2233" s="15">
        <f>IF(ISERROR(VLOOKUP($A2233,'13. Updated Demand'!A:Z,15,FALSE)),0,VLOOKUP($A2233,'13. Updated Demand'!A:Z,15,FALSE))</f>
        <v>1.08</v>
      </c>
      <c r="Y2233" s="16">
        <f>IF(ISERROR(VLOOKUP($A2233,'13. Updated Demand'!A:Z,16,FALSE)),0,VLOOKUP($A2233,'13. Updated Demand'!A:Z,16,FALSE))</f>
        <v>0.66</v>
      </c>
      <c r="Z2233" s="16">
        <f>IF(ISERROR(VLOOKUP($A2233,'13. Updated Demand'!A:Z,17,FALSE)),0,VLOOKUP($A2233,'13. Updated Demand'!A:Z,17,FALSE))</f>
        <v>0.6</v>
      </c>
      <c r="AA2233" s="16">
        <f>IF(ISERROR(VLOOKUP($A2233,'13. Updated Demand'!A:Z,18,FALSE)),0,VLOOKUP($A2233,'13. Updated Demand'!A:Z,18,FALSE))</f>
        <v>0</v>
      </c>
      <c r="AB2233" s="16">
        <f>IF(ISERROR(VLOOKUP($A2233,'13. Updated Demand'!A:Z,19,FALSE)),0,VLOOKUP($A2233,'13. Updated Demand'!A:Z,19,FALSE))</f>
        <v>0</v>
      </c>
      <c r="AC2233" s="16">
        <f>IF(ISERROR(VLOOKUP($A2233,'13. Updated Demand'!A:Z,20,FALSE)),0,VLOOKUP($A2233,'13. Updated Demand'!A:Z,20,FALSE))</f>
        <v>0</v>
      </c>
      <c r="AD2233" s="16">
        <f>IF(ISERROR(VLOOKUP($A2233,'13. Updated Demand'!A:Z,21,FALSE)),0,VLOOKUP($A2233,'13. Updated Demand'!A:Z,21,FALSE))</f>
        <v>0</v>
      </c>
      <c r="AE2233" s="16">
        <f>IF(ISERROR(VLOOKUP($A2233,'13. Updated Demand'!A:Z,22,FALSE)),0,VLOOKUP($A2233,'13. Updated Demand'!A:Z,22,FALSE))</f>
        <v>0</v>
      </c>
      <c r="AF2233" s="16">
        <f>IF(ISERROR(VLOOKUP($A2233,'13. Updated Demand'!A:Z,23,FALSE)),0,VLOOKUP($A2233,'13. Updated Demand'!A:Z,23,FALSE))</f>
        <v>0</v>
      </c>
      <c r="AG2233" s="16">
        <f>IF(ISERROR(VLOOKUP($A2233,'13. Updated Demand'!A:Z,24,FALSE)),0,VLOOKUP($A2233,'13. Updated Demand'!A:Z,24,FALSE))</f>
        <v>0</v>
      </c>
      <c r="AH2233" s="16">
        <f>IF(ISERROR(VLOOKUP($A2233,'13. Updated Demand'!A:Z,25,FALSE)),0,VLOOKUP($A2233,'13. Updated Demand'!A:Z,25,FALSE))</f>
        <v>0</v>
      </c>
      <c r="AI2233" s="16">
        <f>IF(ISERROR(VLOOKUP($A2233,'13. Updated Demand'!A:Z,26,FALSE)),0,VLOOKUP($A2233,'13. Updated Demand'!A:Z,26,FALSE))</f>
        <v>0</v>
      </c>
      <c r="AJ2233" s="16">
        <f t="shared" si="421"/>
        <v>2.3400000000000003</v>
      </c>
      <c r="AK2233" s="19">
        <v>0</v>
      </c>
      <c r="AL2233" s="16">
        <f t="shared" si="419"/>
        <v>0</v>
      </c>
      <c r="AM2233" s="26">
        <v>0</v>
      </c>
      <c r="AN2233" s="19"/>
      <c r="AO2233" s="19"/>
      <c r="AP2233" s="19">
        <v>0</v>
      </c>
      <c r="AQ2233" s="19" t="s">
        <v>307</v>
      </c>
      <c r="AR2233" s="9" t="s">
        <v>409</v>
      </c>
      <c r="AS2233" s="12">
        <v>3.4039024194010059E-4</v>
      </c>
      <c r="AT2233" s="19">
        <v>38.8521</v>
      </c>
      <c r="AU2233" s="19">
        <v>-122.95269999999999</v>
      </c>
      <c r="AV2233" s="19" t="s">
        <v>414</v>
      </c>
    </row>
    <row r="2234" spans="1:48" x14ac:dyDescent="0.25">
      <c r="A2234" s="18" t="s">
        <v>2688</v>
      </c>
      <c r="B2234" s="10">
        <v>10000000</v>
      </c>
      <c r="C2234" s="9">
        <v>11</v>
      </c>
      <c r="D2234" s="8" t="str">
        <f t="shared" si="410"/>
        <v>N</v>
      </c>
      <c r="E2234" s="8" t="str">
        <f t="shared" si="411"/>
        <v>Y</v>
      </c>
      <c r="F2234" s="8" t="str">
        <f t="shared" si="412"/>
        <v>Y</v>
      </c>
      <c r="G2234" s="8" t="str">
        <f t="shared" si="413"/>
        <v>Y</v>
      </c>
      <c r="H2234" s="8" t="str">
        <f t="shared" si="414"/>
        <v>Upper</v>
      </c>
      <c r="I2234" s="8" t="str">
        <f t="shared" si="415"/>
        <v>West Fork and Below Lake</v>
      </c>
      <c r="J2234" s="8" t="str">
        <f t="shared" si="416"/>
        <v>Sonoma (d/s of Clov. Gage)</v>
      </c>
      <c r="K2234" s="8" t="str">
        <f t="shared" si="417"/>
        <v>Riparian</v>
      </c>
      <c r="L2234" s="8">
        <f t="shared" si="418"/>
        <v>1000</v>
      </c>
      <c r="M2234" s="8" t="str">
        <f t="shared" si="420"/>
        <v>-</v>
      </c>
      <c r="N2234" s="10" t="s">
        <v>242</v>
      </c>
      <c r="O2234" s="10" t="s">
        <v>241</v>
      </c>
      <c r="P2234" s="10" t="s">
        <v>242</v>
      </c>
      <c r="Q2234" s="10" t="s">
        <v>242</v>
      </c>
      <c r="R2234" s="10" t="s">
        <v>242</v>
      </c>
      <c r="S2234" s="10" t="s">
        <v>241</v>
      </c>
      <c r="T2234" s="10" t="s">
        <v>242</v>
      </c>
      <c r="U2234" s="10" t="s">
        <v>242</v>
      </c>
      <c r="V2234" s="10" t="s">
        <v>242</v>
      </c>
      <c r="W2234" s="10" t="s">
        <v>242</v>
      </c>
      <c r="X2234" s="15">
        <f>IF(ISERROR(VLOOKUP($A2234,'13. Updated Demand'!A:Z,15,FALSE)),0,VLOOKUP($A2234,'13. Updated Demand'!A:Z,15,FALSE))</f>
        <v>0.37</v>
      </c>
      <c r="Y2234" s="16">
        <f>IF(ISERROR(VLOOKUP($A2234,'13. Updated Demand'!A:Z,16,FALSE)),0,VLOOKUP($A2234,'13. Updated Demand'!A:Z,16,FALSE))</f>
        <v>0.32</v>
      </c>
      <c r="Z2234" s="16">
        <f>IF(ISERROR(VLOOKUP($A2234,'13. Updated Demand'!A:Z,17,FALSE)),0,VLOOKUP($A2234,'13. Updated Demand'!A:Z,17,FALSE))</f>
        <v>0.35</v>
      </c>
      <c r="AA2234" s="16">
        <f>IF(ISERROR(VLOOKUP($A2234,'13. Updated Demand'!A:Z,18,FALSE)),0,VLOOKUP($A2234,'13. Updated Demand'!A:Z,18,FALSE))</f>
        <v>0.34</v>
      </c>
      <c r="AB2234" s="16">
        <f>IF(ISERROR(VLOOKUP($A2234,'13. Updated Demand'!A:Z,19,FALSE)),0,VLOOKUP($A2234,'13. Updated Demand'!A:Z,19,FALSE))</f>
        <v>0.32</v>
      </c>
      <c r="AC2234" s="16">
        <f>IF(ISERROR(VLOOKUP($A2234,'13. Updated Demand'!A:Z,20,FALSE)),0,VLOOKUP($A2234,'13. Updated Demand'!A:Z,20,FALSE))</f>
        <v>0.32</v>
      </c>
      <c r="AD2234" s="16">
        <f>IF(ISERROR(VLOOKUP($A2234,'13. Updated Demand'!A:Z,21,FALSE)),0,VLOOKUP($A2234,'13. Updated Demand'!A:Z,21,FALSE))</f>
        <v>0.27</v>
      </c>
      <c r="AE2234" s="16">
        <f>IF(ISERROR(VLOOKUP($A2234,'13. Updated Demand'!A:Z,22,FALSE)),0,VLOOKUP($A2234,'13. Updated Demand'!A:Z,22,FALSE))</f>
        <v>0.25</v>
      </c>
      <c r="AF2234" s="16">
        <f>IF(ISERROR(VLOOKUP($A2234,'13. Updated Demand'!A:Z,23,FALSE)),0,VLOOKUP($A2234,'13. Updated Demand'!A:Z,23,FALSE))</f>
        <v>0.25</v>
      </c>
      <c r="AG2234" s="16">
        <f>IF(ISERROR(VLOOKUP($A2234,'13. Updated Demand'!A:Z,24,FALSE)),0,VLOOKUP($A2234,'13. Updated Demand'!A:Z,24,FALSE))</f>
        <v>0.27</v>
      </c>
      <c r="AH2234" s="16">
        <f>IF(ISERROR(VLOOKUP($A2234,'13. Updated Demand'!A:Z,25,FALSE)),0,VLOOKUP($A2234,'13. Updated Demand'!A:Z,25,FALSE))</f>
        <v>0.32</v>
      </c>
      <c r="AI2234" s="16">
        <f>IF(ISERROR(VLOOKUP($A2234,'13. Updated Demand'!A:Z,26,FALSE)),0,VLOOKUP($A2234,'13. Updated Demand'!A:Z,26,FALSE))</f>
        <v>0.37</v>
      </c>
      <c r="AJ2234" s="16">
        <f t="shared" si="421"/>
        <v>3.75</v>
      </c>
      <c r="AK2234" s="19">
        <v>1.425189166</v>
      </c>
      <c r="AL2234" s="16">
        <f t="shared" si="419"/>
        <v>4.7271901193200686E-3</v>
      </c>
      <c r="AM2234" s="26">
        <v>1.504224034043566</v>
      </c>
      <c r="AN2234" s="19">
        <v>2.5203000000000002</v>
      </c>
      <c r="AO2234" s="19" t="s">
        <v>1758</v>
      </c>
      <c r="AP2234" s="19">
        <v>0</v>
      </c>
      <c r="AQ2234" s="19" t="s">
        <v>307</v>
      </c>
      <c r="AR2234" s="9" t="s">
        <v>308</v>
      </c>
      <c r="AS2234" s="12">
        <v>3.4039024194010059E-4</v>
      </c>
      <c r="AT2234" s="19">
        <v>38.682499999999997</v>
      </c>
      <c r="AU2234" s="19">
        <v>-122.6546</v>
      </c>
      <c r="AV2234" s="19" t="s">
        <v>385</v>
      </c>
    </row>
    <row r="2235" spans="1:48" x14ac:dyDescent="0.25">
      <c r="A2235" s="18" t="s">
        <v>2689</v>
      </c>
      <c r="B2235" s="10">
        <v>10000000</v>
      </c>
      <c r="C2235" s="9">
        <v>11</v>
      </c>
      <c r="D2235" s="8" t="str">
        <f t="shared" si="410"/>
        <v>N</v>
      </c>
      <c r="E2235" s="8" t="str">
        <f t="shared" si="411"/>
        <v>Y</v>
      </c>
      <c r="F2235" s="8" t="str">
        <f t="shared" si="412"/>
        <v>Y</v>
      </c>
      <c r="G2235" s="8" t="str">
        <f t="shared" si="413"/>
        <v>Y</v>
      </c>
      <c r="H2235" s="8" t="str">
        <f t="shared" si="414"/>
        <v>Upper</v>
      </c>
      <c r="I2235" s="8" t="str">
        <f t="shared" si="415"/>
        <v>West Fork and Below Lake</v>
      </c>
      <c r="J2235" s="8" t="str">
        <f t="shared" si="416"/>
        <v>Sonoma (d/s of Clov. Gage)</v>
      </c>
      <c r="K2235" s="8" t="str">
        <f t="shared" si="417"/>
        <v>Riparian</v>
      </c>
      <c r="L2235" s="8">
        <f t="shared" si="418"/>
        <v>1000</v>
      </c>
      <c r="M2235" s="8" t="str">
        <f t="shared" si="420"/>
        <v>-</v>
      </c>
      <c r="N2235" s="10" t="s">
        <v>242</v>
      </c>
      <c r="O2235" s="10" t="s">
        <v>241</v>
      </c>
      <c r="P2235" s="10" t="s">
        <v>242</v>
      </c>
      <c r="Q2235" s="10" t="s">
        <v>242</v>
      </c>
      <c r="R2235" s="10" t="s">
        <v>242</v>
      </c>
      <c r="S2235" s="10" t="s">
        <v>241</v>
      </c>
      <c r="T2235" s="10" t="s">
        <v>242</v>
      </c>
      <c r="U2235" s="10" t="s">
        <v>242</v>
      </c>
      <c r="V2235" s="10" t="s">
        <v>242</v>
      </c>
      <c r="W2235" s="10" t="s">
        <v>242</v>
      </c>
      <c r="X2235" s="15">
        <f>IF(ISERROR(VLOOKUP($A2235,'13. Updated Demand'!A:Z,15,FALSE)),0,VLOOKUP($A2235,'13. Updated Demand'!A:Z,15,FALSE))</f>
        <v>0.38</v>
      </c>
      <c r="Y2235" s="16">
        <f>IF(ISERROR(VLOOKUP($A2235,'13. Updated Demand'!A:Z,16,FALSE)),0,VLOOKUP($A2235,'13. Updated Demand'!A:Z,16,FALSE))</f>
        <v>0.36</v>
      </c>
      <c r="Z2235" s="16">
        <f>IF(ISERROR(VLOOKUP($A2235,'13. Updated Demand'!A:Z,17,FALSE)),0,VLOOKUP($A2235,'13. Updated Demand'!A:Z,17,FALSE))</f>
        <v>0.36</v>
      </c>
      <c r="AA2235" s="16">
        <f>IF(ISERROR(VLOOKUP($A2235,'13. Updated Demand'!A:Z,18,FALSE)),0,VLOOKUP($A2235,'13. Updated Demand'!A:Z,18,FALSE))</f>
        <v>0.37</v>
      </c>
      <c r="AB2235" s="16">
        <f>IF(ISERROR(VLOOKUP($A2235,'13. Updated Demand'!A:Z,19,FALSE)),0,VLOOKUP($A2235,'13. Updated Demand'!A:Z,19,FALSE))</f>
        <v>0.35</v>
      </c>
      <c r="AC2235" s="16">
        <f>IF(ISERROR(VLOOKUP($A2235,'13. Updated Demand'!A:Z,20,FALSE)),0,VLOOKUP($A2235,'13. Updated Demand'!A:Z,20,FALSE))</f>
        <v>0.34</v>
      </c>
      <c r="AD2235" s="16">
        <f>IF(ISERROR(VLOOKUP($A2235,'13. Updated Demand'!A:Z,21,FALSE)),0,VLOOKUP($A2235,'13. Updated Demand'!A:Z,21,FALSE))</f>
        <v>0.28000000000000003</v>
      </c>
      <c r="AE2235" s="16">
        <f>IF(ISERROR(VLOOKUP($A2235,'13. Updated Demand'!A:Z,22,FALSE)),0,VLOOKUP($A2235,'13. Updated Demand'!A:Z,22,FALSE))</f>
        <v>0.25</v>
      </c>
      <c r="AF2235" s="16">
        <f>IF(ISERROR(VLOOKUP($A2235,'13. Updated Demand'!A:Z,23,FALSE)),0,VLOOKUP($A2235,'13. Updated Demand'!A:Z,23,FALSE))</f>
        <v>0.24</v>
      </c>
      <c r="AG2235" s="16">
        <f>IF(ISERROR(VLOOKUP($A2235,'13. Updated Demand'!A:Z,24,FALSE)),0,VLOOKUP($A2235,'13. Updated Demand'!A:Z,24,FALSE))</f>
        <v>0.27</v>
      </c>
      <c r="AH2235" s="16">
        <f>IF(ISERROR(VLOOKUP($A2235,'13. Updated Demand'!A:Z,25,FALSE)),0,VLOOKUP($A2235,'13. Updated Demand'!A:Z,25,FALSE))</f>
        <v>0.35</v>
      </c>
      <c r="AI2235" s="16">
        <f>IF(ISERROR(VLOOKUP($A2235,'13. Updated Demand'!A:Z,26,FALSE)),0,VLOOKUP($A2235,'13. Updated Demand'!A:Z,26,FALSE))</f>
        <v>0.4</v>
      </c>
      <c r="AJ2235" s="16">
        <f t="shared" si="421"/>
        <v>3.9500000000000006</v>
      </c>
      <c r="AK2235" s="19">
        <v>1.4820655</v>
      </c>
      <c r="AL2235" s="16">
        <f t="shared" si="419"/>
        <v>4.9158424403747941E-3</v>
      </c>
      <c r="AM2235" s="26">
        <v>1.5925443395627503</v>
      </c>
      <c r="AN2235" s="19">
        <v>2.5203000000000002</v>
      </c>
      <c r="AO2235" s="19" t="s">
        <v>1758</v>
      </c>
      <c r="AP2235" s="19">
        <v>0</v>
      </c>
      <c r="AQ2235" s="19" t="s">
        <v>307</v>
      </c>
      <c r="AR2235" s="9" t="s">
        <v>308</v>
      </c>
      <c r="AS2235" s="12">
        <v>3.4039024194010059E-4</v>
      </c>
      <c r="AT2235" s="19">
        <v>38.6858</v>
      </c>
      <c r="AU2235" s="19">
        <v>-122.6525</v>
      </c>
      <c r="AV2235" s="19" t="s">
        <v>385</v>
      </c>
    </row>
    <row r="2236" spans="1:48" x14ac:dyDescent="0.25">
      <c r="A2236" s="18" t="s">
        <v>2690</v>
      </c>
      <c r="B2236" s="10">
        <v>10000000</v>
      </c>
      <c r="C2236" s="9">
        <v>4</v>
      </c>
      <c r="D2236" s="8" t="str">
        <f t="shared" si="410"/>
        <v>Y</v>
      </c>
      <c r="E2236" s="8" t="str">
        <f t="shared" si="411"/>
        <v>N</v>
      </c>
      <c r="F2236" s="8" t="str">
        <f t="shared" si="412"/>
        <v>Y</v>
      </c>
      <c r="G2236" s="8" t="str">
        <f t="shared" si="413"/>
        <v>Y</v>
      </c>
      <c r="H2236" s="8" t="str">
        <f t="shared" si="414"/>
        <v>Upper</v>
      </c>
      <c r="I2236" s="8" t="str">
        <f t="shared" si="415"/>
        <v>West Fork and Below Lake</v>
      </c>
      <c r="J2236" s="8" t="str">
        <f t="shared" si="416"/>
        <v>Mendocino (d/s of lake)</v>
      </c>
      <c r="K2236" s="8" t="str">
        <f t="shared" si="417"/>
        <v>Riparian</v>
      </c>
      <c r="L2236" s="8">
        <f t="shared" si="418"/>
        <v>1000</v>
      </c>
      <c r="M2236" s="8" t="str">
        <f t="shared" si="420"/>
        <v>-</v>
      </c>
      <c r="N2236" s="10" t="s">
        <v>242</v>
      </c>
      <c r="O2236" s="10" t="s">
        <v>241</v>
      </c>
      <c r="P2236" s="10" t="s">
        <v>242</v>
      </c>
      <c r="Q2236" s="10" t="s">
        <v>242</v>
      </c>
      <c r="R2236" s="10" t="s">
        <v>242</v>
      </c>
      <c r="S2236" s="10" t="s">
        <v>241</v>
      </c>
      <c r="T2236" s="10" t="s">
        <v>242</v>
      </c>
      <c r="U2236" s="10" t="s">
        <v>242</v>
      </c>
      <c r="V2236" s="10" t="s">
        <v>242</v>
      </c>
      <c r="W2236" s="10" t="s">
        <v>242</v>
      </c>
      <c r="X2236" s="15">
        <f>IF(ISERROR(VLOOKUP($A2236,'13. Updated Demand'!A:Z,15,FALSE)),0,VLOOKUP($A2236,'13. Updated Demand'!A:Z,15,FALSE))</f>
        <v>0</v>
      </c>
      <c r="Y2236" s="16">
        <f>IF(ISERROR(VLOOKUP($A2236,'13. Updated Demand'!A:Z,16,FALSE)),0,VLOOKUP($A2236,'13. Updated Demand'!A:Z,16,FALSE))</f>
        <v>0</v>
      </c>
      <c r="Z2236" s="16">
        <f>IF(ISERROR(VLOOKUP($A2236,'13. Updated Demand'!A:Z,17,FALSE)),0,VLOOKUP($A2236,'13. Updated Demand'!A:Z,17,FALSE))</f>
        <v>0</v>
      </c>
      <c r="AA2236" s="16">
        <f>IF(ISERROR(VLOOKUP($A2236,'13. Updated Demand'!A:Z,18,FALSE)),0,VLOOKUP($A2236,'13. Updated Demand'!A:Z,18,FALSE))</f>
        <v>7.0000000000000007E-2</v>
      </c>
      <c r="AB2236" s="16">
        <f>IF(ISERROR(VLOOKUP($A2236,'13. Updated Demand'!A:Z,19,FALSE)),0,VLOOKUP($A2236,'13. Updated Demand'!A:Z,19,FALSE))</f>
        <v>0.1</v>
      </c>
      <c r="AC2236" s="16">
        <f>IF(ISERROR(VLOOKUP($A2236,'13. Updated Demand'!A:Z,20,FALSE)),0,VLOOKUP($A2236,'13. Updated Demand'!A:Z,20,FALSE))</f>
        <v>0.1</v>
      </c>
      <c r="AD2236" s="16">
        <f>IF(ISERROR(VLOOKUP($A2236,'13. Updated Demand'!A:Z,21,FALSE)),0,VLOOKUP($A2236,'13. Updated Demand'!A:Z,21,FALSE))</f>
        <v>0.1</v>
      </c>
      <c r="AE2236" s="16">
        <f>IF(ISERROR(VLOOKUP($A2236,'13. Updated Demand'!A:Z,22,FALSE)),0,VLOOKUP($A2236,'13. Updated Demand'!A:Z,22,FALSE))</f>
        <v>0.14000000000000001</v>
      </c>
      <c r="AF2236" s="16">
        <f>IF(ISERROR(VLOOKUP($A2236,'13. Updated Demand'!A:Z,23,FALSE)),0,VLOOKUP($A2236,'13. Updated Demand'!A:Z,23,FALSE))</f>
        <v>0.1</v>
      </c>
      <c r="AG2236" s="16">
        <f>IF(ISERROR(VLOOKUP($A2236,'13. Updated Demand'!A:Z,24,FALSE)),0,VLOOKUP($A2236,'13. Updated Demand'!A:Z,24,FALSE))</f>
        <v>7.0000000000000007E-2</v>
      </c>
      <c r="AH2236" s="16">
        <f>IF(ISERROR(VLOOKUP($A2236,'13. Updated Demand'!A:Z,25,FALSE)),0,VLOOKUP($A2236,'13. Updated Demand'!A:Z,25,FALSE))</f>
        <v>0</v>
      </c>
      <c r="AI2236" s="16">
        <f>IF(ISERROR(VLOOKUP($A2236,'13. Updated Demand'!A:Z,26,FALSE)),0,VLOOKUP($A2236,'13. Updated Demand'!A:Z,26,FALSE))</f>
        <v>0</v>
      </c>
      <c r="AJ2236" s="16">
        <f t="shared" si="421"/>
        <v>0.67999999999999994</v>
      </c>
      <c r="AK2236" s="19">
        <v>0.55333333333333201</v>
      </c>
      <c r="AL2236" s="16">
        <f t="shared" si="419"/>
        <v>1.8353436360768439E-3</v>
      </c>
      <c r="AM2236" s="26">
        <v>5.8006905052735973E-2</v>
      </c>
      <c r="AN2236" s="19">
        <v>11.9526</v>
      </c>
      <c r="AO2236" s="19" t="s">
        <v>1758</v>
      </c>
      <c r="AP2236" s="19">
        <v>0</v>
      </c>
      <c r="AQ2236" s="19" t="s">
        <v>307</v>
      </c>
      <c r="AR2236" s="9" t="s">
        <v>331</v>
      </c>
      <c r="AS2236" s="12">
        <v>0</v>
      </c>
      <c r="AT2236" s="19">
        <v>39.11736338</v>
      </c>
      <c r="AU2236" s="19">
        <v>-123.11754121</v>
      </c>
      <c r="AV2236" s="19" t="s">
        <v>406</v>
      </c>
    </row>
    <row r="2237" spans="1:48" x14ac:dyDescent="0.25">
      <c r="A2237" s="18" t="s">
        <v>2691</v>
      </c>
      <c r="B2237" s="10">
        <v>10000000</v>
      </c>
      <c r="C2237" s="9">
        <v>6</v>
      </c>
      <c r="D2237" s="8" t="str">
        <f t="shared" si="410"/>
        <v>Y</v>
      </c>
      <c r="E2237" s="8" t="str">
        <f t="shared" si="411"/>
        <v>N</v>
      </c>
      <c r="F2237" s="8" t="str">
        <f t="shared" si="412"/>
        <v>Y</v>
      </c>
      <c r="G2237" s="8" t="str">
        <f t="shared" si="413"/>
        <v>Y</v>
      </c>
      <c r="H2237" s="8" t="str">
        <f t="shared" si="414"/>
        <v>Upper</v>
      </c>
      <c r="I2237" s="8" t="str">
        <f t="shared" si="415"/>
        <v>West Fork and Below Lake</v>
      </c>
      <c r="J2237" s="8" t="str">
        <f t="shared" si="416"/>
        <v>Mendocino (d/s of lake)</v>
      </c>
      <c r="K2237" s="8" t="str">
        <f t="shared" si="417"/>
        <v>Riparian</v>
      </c>
      <c r="L2237" s="8">
        <f t="shared" si="418"/>
        <v>1000</v>
      </c>
      <c r="M2237" s="8" t="str">
        <f t="shared" si="420"/>
        <v>-</v>
      </c>
      <c r="N2237" s="10" t="s">
        <v>241</v>
      </c>
      <c r="O2237" s="10" t="s">
        <v>241</v>
      </c>
      <c r="P2237" s="10" t="s">
        <v>242</v>
      </c>
      <c r="Q2237" s="10" t="s">
        <v>242</v>
      </c>
      <c r="R2237" s="10" t="s">
        <v>242</v>
      </c>
      <c r="S2237" s="10" t="s">
        <v>241</v>
      </c>
      <c r="T2237" s="10" t="s">
        <v>242</v>
      </c>
      <c r="U2237" s="10" t="s">
        <v>241</v>
      </c>
      <c r="V2237" s="10" t="s">
        <v>241</v>
      </c>
      <c r="W2237" s="10" t="s">
        <v>242</v>
      </c>
      <c r="X2237" s="15">
        <f>IF(ISERROR(VLOOKUP($A2237,'13. Updated Demand'!A:Z,15,FALSE)),0,VLOOKUP($A2237,'13. Updated Demand'!A:Z,15,FALSE))</f>
        <v>0</v>
      </c>
      <c r="Y2237" s="16">
        <f>IF(ISERROR(VLOOKUP($A2237,'13. Updated Demand'!A:Z,16,FALSE)),0,VLOOKUP($A2237,'13. Updated Demand'!A:Z,16,FALSE))</f>
        <v>0</v>
      </c>
      <c r="Z2237" s="16">
        <f>IF(ISERROR(VLOOKUP($A2237,'13. Updated Demand'!A:Z,17,FALSE)),0,VLOOKUP($A2237,'13. Updated Demand'!A:Z,17,FALSE))</f>
        <v>0</v>
      </c>
      <c r="AA2237" s="16">
        <f>IF(ISERROR(VLOOKUP($A2237,'13. Updated Demand'!A:Z,18,FALSE)),0,VLOOKUP($A2237,'13. Updated Demand'!A:Z,18,FALSE))</f>
        <v>0</v>
      </c>
      <c r="AB2237" s="16">
        <f>IF(ISERROR(VLOOKUP($A2237,'13. Updated Demand'!A:Z,19,FALSE)),0,VLOOKUP($A2237,'13. Updated Demand'!A:Z,19,FALSE))</f>
        <v>0</v>
      </c>
      <c r="AC2237" s="16">
        <f>IF(ISERROR(VLOOKUP($A2237,'13. Updated Demand'!A:Z,20,FALSE)),0,VLOOKUP($A2237,'13. Updated Demand'!A:Z,20,FALSE))</f>
        <v>0</v>
      </c>
      <c r="AD2237" s="16">
        <f>IF(ISERROR(VLOOKUP($A2237,'13. Updated Demand'!A:Z,21,FALSE)),0,VLOOKUP($A2237,'13. Updated Demand'!A:Z,21,FALSE))</f>
        <v>0</v>
      </c>
      <c r="AE2237" s="16">
        <f>IF(ISERROR(VLOOKUP($A2237,'13. Updated Demand'!A:Z,22,FALSE)),0,VLOOKUP($A2237,'13. Updated Demand'!A:Z,22,FALSE))</f>
        <v>0</v>
      </c>
      <c r="AF2237" s="16">
        <f>IF(ISERROR(VLOOKUP($A2237,'13. Updated Demand'!A:Z,23,FALSE)),0,VLOOKUP($A2237,'13. Updated Demand'!A:Z,23,FALSE))</f>
        <v>0</v>
      </c>
      <c r="AG2237" s="16">
        <f>IF(ISERROR(VLOOKUP($A2237,'13. Updated Demand'!A:Z,24,FALSE)),0,VLOOKUP($A2237,'13. Updated Demand'!A:Z,24,FALSE))</f>
        <v>0</v>
      </c>
      <c r="AH2237" s="16">
        <f>IF(ISERROR(VLOOKUP($A2237,'13. Updated Demand'!A:Z,25,FALSE)),0,VLOOKUP($A2237,'13. Updated Demand'!A:Z,25,FALSE))</f>
        <v>0</v>
      </c>
      <c r="AI2237" s="16">
        <f>IF(ISERROR(VLOOKUP($A2237,'13. Updated Demand'!A:Z,26,FALSE)),0,VLOOKUP($A2237,'13. Updated Demand'!A:Z,26,FALSE))</f>
        <v>0</v>
      </c>
      <c r="AJ2237" s="16">
        <f t="shared" si="421"/>
        <v>0</v>
      </c>
      <c r="AK2237" s="19">
        <v>0</v>
      </c>
      <c r="AL2237" s="16">
        <f t="shared" si="419"/>
        <v>0</v>
      </c>
      <c r="AM2237" s="26">
        <v>0</v>
      </c>
      <c r="AN2237" s="19"/>
      <c r="AO2237" s="19"/>
      <c r="AP2237" s="19">
        <v>0</v>
      </c>
      <c r="AQ2237" s="19" t="s">
        <v>307</v>
      </c>
      <c r="AR2237" s="9" t="s">
        <v>319</v>
      </c>
      <c r="AS2237" s="12">
        <v>0</v>
      </c>
      <c r="AT2237" s="19">
        <v>38.999400000000001</v>
      </c>
      <c r="AU2237" s="19">
        <v>-123.10980000000001</v>
      </c>
      <c r="AV2237" s="19" t="s">
        <v>2692</v>
      </c>
    </row>
    <row r="2238" spans="1:48" x14ac:dyDescent="0.25">
      <c r="A2238" s="18" t="s">
        <v>2693</v>
      </c>
      <c r="B2238" s="10">
        <v>10000000</v>
      </c>
      <c r="C2238" s="9">
        <v>6</v>
      </c>
      <c r="D2238" s="8" t="str">
        <f t="shared" si="410"/>
        <v>Y</v>
      </c>
      <c r="E2238" s="8" t="str">
        <f t="shared" si="411"/>
        <v>N</v>
      </c>
      <c r="F2238" s="8" t="str">
        <f t="shared" si="412"/>
        <v>Y</v>
      </c>
      <c r="G2238" s="8" t="str">
        <f t="shared" si="413"/>
        <v>Y</v>
      </c>
      <c r="H2238" s="8" t="str">
        <f t="shared" si="414"/>
        <v>Upper</v>
      </c>
      <c r="I2238" s="8" t="str">
        <f t="shared" si="415"/>
        <v>West Fork and Below Lake</v>
      </c>
      <c r="J2238" s="8" t="str">
        <f t="shared" si="416"/>
        <v>Mendocino (d/s of lake)</v>
      </c>
      <c r="K2238" s="8" t="str">
        <f t="shared" si="417"/>
        <v>Riparian</v>
      </c>
      <c r="L2238" s="8">
        <f t="shared" si="418"/>
        <v>1000</v>
      </c>
      <c r="M2238" s="8" t="str">
        <f t="shared" si="420"/>
        <v>-</v>
      </c>
      <c r="N2238" s="10" t="s">
        <v>242</v>
      </c>
      <c r="O2238" s="10" t="s">
        <v>241</v>
      </c>
      <c r="P2238" s="10" t="s">
        <v>242</v>
      </c>
      <c r="Q2238" s="10" t="s">
        <v>242</v>
      </c>
      <c r="R2238" s="10" t="s">
        <v>242</v>
      </c>
      <c r="S2238" s="10" t="s">
        <v>241</v>
      </c>
      <c r="T2238" s="10" t="s">
        <v>242</v>
      </c>
      <c r="U2238" s="10" t="s">
        <v>241</v>
      </c>
      <c r="V2238" s="10" t="s">
        <v>241</v>
      </c>
      <c r="W2238" s="10" t="s">
        <v>242</v>
      </c>
      <c r="X2238" s="15">
        <f>IF(ISERROR(VLOOKUP($A2238,'13. Updated Demand'!A:Z,15,FALSE)),0,VLOOKUP($A2238,'13. Updated Demand'!A:Z,15,FALSE))</f>
        <v>0</v>
      </c>
      <c r="Y2238" s="16">
        <f>IF(ISERROR(VLOOKUP($A2238,'13. Updated Demand'!A:Z,16,FALSE)),0,VLOOKUP($A2238,'13. Updated Demand'!A:Z,16,FALSE))</f>
        <v>0</v>
      </c>
      <c r="Z2238" s="16">
        <f>IF(ISERROR(VLOOKUP($A2238,'13. Updated Demand'!A:Z,17,FALSE)),0,VLOOKUP($A2238,'13. Updated Demand'!A:Z,17,FALSE))</f>
        <v>0</v>
      </c>
      <c r="AA2238" s="16">
        <f>IF(ISERROR(VLOOKUP($A2238,'13. Updated Demand'!A:Z,18,FALSE)),0,VLOOKUP($A2238,'13. Updated Demand'!A:Z,18,FALSE))</f>
        <v>0</v>
      </c>
      <c r="AB2238" s="16">
        <f>IF(ISERROR(VLOOKUP($A2238,'13. Updated Demand'!A:Z,19,FALSE)),0,VLOOKUP($A2238,'13. Updated Demand'!A:Z,19,FALSE))</f>
        <v>0</v>
      </c>
      <c r="AC2238" s="16">
        <f>IF(ISERROR(VLOOKUP($A2238,'13. Updated Demand'!A:Z,20,FALSE)),0,VLOOKUP($A2238,'13. Updated Demand'!A:Z,20,FALSE))</f>
        <v>0</v>
      </c>
      <c r="AD2238" s="16">
        <f>IF(ISERROR(VLOOKUP($A2238,'13. Updated Demand'!A:Z,21,FALSE)),0,VLOOKUP($A2238,'13. Updated Demand'!A:Z,21,FALSE))</f>
        <v>0</v>
      </c>
      <c r="AE2238" s="16">
        <f>IF(ISERROR(VLOOKUP($A2238,'13. Updated Demand'!A:Z,22,FALSE)),0,VLOOKUP($A2238,'13. Updated Demand'!A:Z,22,FALSE))</f>
        <v>0</v>
      </c>
      <c r="AF2238" s="16">
        <f>IF(ISERROR(VLOOKUP($A2238,'13. Updated Demand'!A:Z,23,FALSE)),0,VLOOKUP($A2238,'13. Updated Demand'!A:Z,23,FALSE))</f>
        <v>0</v>
      </c>
      <c r="AG2238" s="16">
        <f>IF(ISERROR(VLOOKUP($A2238,'13. Updated Demand'!A:Z,24,FALSE)),0,VLOOKUP($A2238,'13. Updated Demand'!A:Z,24,FALSE))</f>
        <v>0</v>
      </c>
      <c r="AH2238" s="16">
        <f>IF(ISERROR(VLOOKUP($A2238,'13. Updated Demand'!A:Z,25,FALSE)),0,VLOOKUP($A2238,'13. Updated Demand'!A:Z,25,FALSE))</f>
        <v>0</v>
      </c>
      <c r="AI2238" s="16">
        <f>IF(ISERROR(VLOOKUP($A2238,'13. Updated Demand'!A:Z,26,FALSE)),0,VLOOKUP($A2238,'13. Updated Demand'!A:Z,26,FALSE))</f>
        <v>0</v>
      </c>
      <c r="AJ2238" s="16">
        <f t="shared" si="421"/>
        <v>0</v>
      </c>
      <c r="AK2238" s="19">
        <v>0</v>
      </c>
      <c r="AL2238" s="16">
        <f t="shared" si="419"/>
        <v>0</v>
      </c>
      <c r="AM2238" s="26">
        <v>0</v>
      </c>
      <c r="AN2238" s="19"/>
      <c r="AO2238" s="19"/>
      <c r="AP2238" s="19">
        <v>0</v>
      </c>
      <c r="AQ2238" s="19" t="s">
        <v>307</v>
      </c>
      <c r="AR2238" s="9" t="s">
        <v>319</v>
      </c>
      <c r="AS2238" s="12">
        <v>0</v>
      </c>
      <c r="AT2238" s="19">
        <v>38.995699999999999</v>
      </c>
      <c r="AU2238" s="19">
        <v>-123.1236</v>
      </c>
      <c r="AV2238" s="19" t="s">
        <v>1788</v>
      </c>
    </row>
    <row r="2239" spans="1:48" x14ac:dyDescent="0.25">
      <c r="A2239" s="18" t="s">
        <v>2694</v>
      </c>
      <c r="B2239" s="10">
        <v>10000000</v>
      </c>
      <c r="C2239" s="9">
        <v>6</v>
      </c>
      <c r="D2239" s="8" t="str">
        <f t="shared" si="410"/>
        <v>Y</v>
      </c>
      <c r="E2239" s="8" t="str">
        <f t="shared" si="411"/>
        <v>N</v>
      </c>
      <c r="F2239" s="8" t="str">
        <f t="shared" si="412"/>
        <v>Y</v>
      </c>
      <c r="G2239" s="8" t="str">
        <f t="shared" si="413"/>
        <v>Y</v>
      </c>
      <c r="H2239" s="8" t="str">
        <f t="shared" si="414"/>
        <v>Upper</v>
      </c>
      <c r="I2239" s="8" t="str">
        <f t="shared" si="415"/>
        <v>West Fork and Below Lake</v>
      </c>
      <c r="J2239" s="8" t="str">
        <f t="shared" si="416"/>
        <v>Mendocino (d/s of lake)</v>
      </c>
      <c r="K2239" s="8" t="str">
        <f t="shared" si="417"/>
        <v>Riparian</v>
      </c>
      <c r="L2239" s="8">
        <f t="shared" si="418"/>
        <v>1000</v>
      </c>
      <c r="M2239" s="8" t="str">
        <f t="shared" si="420"/>
        <v>-</v>
      </c>
      <c r="N2239" s="10" t="s">
        <v>242</v>
      </c>
      <c r="O2239" s="10" t="s">
        <v>241</v>
      </c>
      <c r="P2239" s="10" t="s">
        <v>242</v>
      </c>
      <c r="Q2239" s="10" t="s">
        <v>242</v>
      </c>
      <c r="R2239" s="10" t="s">
        <v>242</v>
      </c>
      <c r="S2239" s="10" t="s">
        <v>241</v>
      </c>
      <c r="T2239" s="10" t="s">
        <v>242</v>
      </c>
      <c r="U2239" s="10" t="s">
        <v>241</v>
      </c>
      <c r="V2239" s="10" t="s">
        <v>241</v>
      </c>
      <c r="W2239" s="10" t="s">
        <v>242</v>
      </c>
      <c r="X2239" s="15">
        <f>IF(ISERROR(VLOOKUP($A2239,'13. Updated Demand'!A:Z,15,FALSE)),0,VLOOKUP($A2239,'13. Updated Demand'!A:Z,15,FALSE))</f>
        <v>0</v>
      </c>
      <c r="Y2239" s="16">
        <f>IF(ISERROR(VLOOKUP($A2239,'13. Updated Demand'!A:Z,16,FALSE)),0,VLOOKUP($A2239,'13. Updated Demand'!A:Z,16,FALSE))</f>
        <v>0</v>
      </c>
      <c r="Z2239" s="16">
        <f>IF(ISERROR(VLOOKUP($A2239,'13. Updated Demand'!A:Z,17,FALSE)),0,VLOOKUP($A2239,'13. Updated Demand'!A:Z,17,FALSE))</f>
        <v>0</v>
      </c>
      <c r="AA2239" s="16">
        <f>IF(ISERROR(VLOOKUP($A2239,'13. Updated Demand'!A:Z,18,FALSE)),0,VLOOKUP($A2239,'13. Updated Demand'!A:Z,18,FALSE))</f>
        <v>0</v>
      </c>
      <c r="AB2239" s="16">
        <f>IF(ISERROR(VLOOKUP($A2239,'13. Updated Demand'!A:Z,19,FALSE)),0,VLOOKUP($A2239,'13. Updated Demand'!A:Z,19,FALSE))</f>
        <v>0</v>
      </c>
      <c r="AC2239" s="16">
        <f>IF(ISERROR(VLOOKUP($A2239,'13. Updated Demand'!A:Z,20,FALSE)),0,VLOOKUP($A2239,'13. Updated Demand'!A:Z,20,FALSE))</f>
        <v>0</v>
      </c>
      <c r="AD2239" s="16">
        <f>IF(ISERROR(VLOOKUP($A2239,'13. Updated Demand'!A:Z,21,FALSE)),0,VLOOKUP($A2239,'13. Updated Demand'!A:Z,21,FALSE))</f>
        <v>0</v>
      </c>
      <c r="AE2239" s="16">
        <f>IF(ISERROR(VLOOKUP($A2239,'13. Updated Demand'!A:Z,22,FALSE)),0,VLOOKUP($A2239,'13. Updated Demand'!A:Z,22,FALSE))</f>
        <v>0</v>
      </c>
      <c r="AF2239" s="16">
        <f>IF(ISERROR(VLOOKUP($A2239,'13. Updated Demand'!A:Z,23,FALSE)),0,VLOOKUP($A2239,'13. Updated Demand'!A:Z,23,FALSE))</f>
        <v>0</v>
      </c>
      <c r="AG2239" s="16">
        <f>IF(ISERROR(VLOOKUP($A2239,'13. Updated Demand'!A:Z,24,FALSE)),0,VLOOKUP($A2239,'13. Updated Demand'!A:Z,24,FALSE))</f>
        <v>0</v>
      </c>
      <c r="AH2239" s="16">
        <f>IF(ISERROR(VLOOKUP($A2239,'13. Updated Demand'!A:Z,25,FALSE)),0,VLOOKUP($A2239,'13. Updated Demand'!A:Z,25,FALSE))</f>
        <v>0</v>
      </c>
      <c r="AI2239" s="16">
        <f>IF(ISERROR(VLOOKUP($A2239,'13. Updated Demand'!A:Z,26,FALSE)),0,VLOOKUP($A2239,'13. Updated Demand'!A:Z,26,FALSE))</f>
        <v>0</v>
      </c>
      <c r="AJ2239" s="16">
        <f t="shared" si="421"/>
        <v>0</v>
      </c>
      <c r="AK2239" s="19">
        <v>0</v>
      </c>
      <c r="AL2239" s="16">
        <f t="shared" si="419"/>
        <v>0</v>
      </c>
      <c r="AM2239" s="26">
        <v>0</v>
      </c>
      <c r="AN2239" s="19">
        <v>3.6293000000000002</v>
      </c>
      <c r="AO2239" s="19" t="s">
        <v>1758</v>
      </c>
      <c r="AP2239" s="19">
        <v>0</v>
      </c>
      <c r="AQ2239" s="19" t="s">
        <v>307</v>
      </c>
      <c r="AR2239" s="9" t="s">
        <v>319</v>
      </c>
      <c r="AS2239" s="12">
        <v>0</v>
      </c>
      <c r="AT2239" s="19">
        <v>38.994</v>
      </c>
      <c r="AU2239" s="19">
        <v>-123.1315</v>
      </c>
      <c r="AV2239" s="19" t="s">
        <v>1788</v>
      </c>
    </row>
    <row r="2240" spans="1:48" x14ac:dyDescent="0.25">
      <c r="A2240" s="18" t="s">
        <v>2695</v>
      </c>
      <c r="B2240" s="10">
        <v>10000000</v>
      </c>
      <c r="C2240" s="9">
        <v>6</v>
      </c>
      <c r="D2240" s="8" t="str">
        <f t="shared" si="410"/>
        <v>Y</v>
      </c>
      <c r="E2240" s="8" t="str">
        <f t="shared" si="411"/>
        <v>N</v>
      </c>
      <c r="F2240" s="8" t="str">
        <f t="shared" si="412"/>
        <v>Y</v>
      </c>
      <c r="G2240" s="8" t="str">
        <f t="shared" si="413"/>
        <v>Y</v>
      </c>
      <c r="H2240" s="8" t="str">
        <f t="shared" si="414"/>
        <v>Upper</v>
      </c>
      <c r="I2240" s="8" t="str">
        <f t="shared" si="415"/>
        <v>West Fork and Below Lake</v>
      </c>
      <c r="J2240" s="8" t="str">
        <f t="shared" si="416"/>
        <v>Mendocino (d/s of lake)</v>
      </c>
      <c r="K2240" s="8" t="str">
        <f t="shared" si="417"/>
        <v>Riparian</v>
      </c>
      <c r="L2240" s="8">
        <f t="shared" si="418"/>
        <v>1000</v>
      </c>
      <c r="M2240" s="8" t="str">
        <f t="shared" si="420"/>
        <v>-</v>
      </c>
      <c r="N2240" s="10" t="s">
        <v>241</v>
      </c>
      <c r="O2240" s="10" t="s">
        <v>241</v>
      </c>
      <c r="P2240" s="10" t="s">
        <v>242</v>
      </c>
      <c r="Q2240" s="10" t="s">
        <v>242</v>
      </c>
      <c r="R2240" s="10" t="s">
        <v>242</v>
      </c>
      <c r="S2240" s="10" t="s">
        <v>241</v>
      </c>
      <c r="T2240" s="10" t="s">
        <v>242</v>
      </c>
      <c r="U2240" s="10" t="s">
        <v>241</v>
      </c>
      <c r="V2240" s="10" t="s">
        <v>241</v>
      </c>
      <c r="W2240" s="10" t="s">
        <v>242</v>
      </c>
      <c r="X2240" s="15">
        <f>IF(ISERROR(VLOOKUP($A2240,'13. Updated Demand'!A:Z,15,FALSE)),0,VLOOKUP($A2240,'13. Updated Demand'!A:Z,15,FALSE))</f>
        <v>0</v>
      </c>
      <c r="Y2240" s="16">
        <f>IF(ISERROR(VLOOKUP($A2240,'13. Updated Demand'!A:Z,16,FALSE)),0,VLOOKUP($A2240,'13. Updated Demand'!A:Z,16,FALSE))</f>
        <v>0</v>
      </c>
      <c r="Z2240" s="16">
        <f>IF(ISERROR(VLOOKUP($A2240,'13. Updated Demand'!A:Z,17,FALSE)),0,VLOOKUP($A2240,'13. Updated Demand'!A:Z,17,FALSE))</f>
        <v>0</v>
      </c>
      <c r="AA2240" s="16">
        <f>IF(ISERROR(VLOOKUP($A2240,'13. Updated Demand'!A:Z,18,FALSE)),0,VLOOKUP($A2240,'13. Updated Demand'!A:Z,18,FALSE))</f>
        <v>0</v>
      </c>
      <c r="AB2240" s="16">
        <f>IF(ISERROR(VLOOKUP($A2240,'13. Updated Demand'!A:Z,19,FALSE)),0,VLOOKUP($A2240,'13. Updated Demand'!A:Z,19,FALSE))</f>
        <v>0</v>
      </c>
      <c r="AC2240" s="16">
        <f>IF(ISERROR(VLOOKUP($A2240,'13. Updated Demand'!A:Z,20,FALSE)),0,VLOOKUP($A2240,'13. Updated Demand'!A:Z,20,FALSE))</f>
        <v>0</v>
      </c>
      <c r="AD2240" s="16">
        <f>IF(ISERROR(VLOOKUP($A2240,'13. Updated Demand'!A:Z,21,FALSE)),0,VLOOKUP($A2240,'13. Updated Demand'!A:Z,21,FALSE))</f>
        <v>0</v>
      </c>
      <c r="AE2240" s="16">
        <f>IF(ISERROR(VLOOKUP($A2240,'13. Updated Demand'!A:Z,22,FALSE)),0,VLOOKUP($A2240,'13. Updated Demand'!A:Z,22,FALSE))</f>
        <v>0</v>
      </c>
      <c r="AF2240" s="16">
        <f>IF(ISERROR(VLOOKUP($A2240,'13. Updated Demand'!A:Z,23,FALSE)),0,VLOOKUP($A2240,'13. Updated Demand'!A:Z,23,FALSE))</f>
        <v>0</v>
      </c>
      <c r="AG2240" s="16">
        <f>IF(ISERROR(VLOOKUP($A2240,'13. Updated Demand'!A:Z,24,FALSE)),0,VLOOKUP($A2240,'13. Updated Demand'!A:Z,24,FALSE))</f>
        <v>0</v>
      </c>
      <c r="AH2240" s="16">
        <f>IF(ISERROR(VLOOKUP($A2240,'13. Updated Demand'!A:Z,25,FALSE)),0,VLOOKUP($A2240,'13. Updated Demand'!A:Z,25,FALSE))</f>
        <v>0</v>
      </c>
      <c r="AI2240" s="16">
        <f>IF(ISERROR(VLOOKUP($A2240,'13. Updated Demand'!A:Z,26,FALSE)),0,VLOOKUP($A2240,'13. Updated Demand'!A:Z,26,FALSE))</f>
        <v>0</v>
      </c>
      <c r="AJ2240" s="16">
        <f t="shared" si="421"/>
        <v>0</v>
      </c>
      <c r="AK2240" s="19">
        <v>0</v>
      </c>
      <c r="AL2240" s="16">
        <f t="shared" si="419"/>
        <v>0</v>
      </c>
      <c r="AM2240" s="26">
        <v>0</v>
      </c>
      <c r="AN2240" s="19">
        <v>688.18</v>
      </c>
      <c r="AO2240" s="19" t="s">
        <v>1758</v>
      </c>
      <c r="AP2240" s="19">
        <v>0</v>
      </c>
      <c r="AQ2240" s="19" t="s">
        <v>307</v>
      </c>
      <c r="AR2240" s="9" t="s">
        <v>319</v>
      </c>
      <c r="AS2240" s="12">
        <v>0</v>
      </c>
      <c r="AT2240" s="19">
        <v>39.003799999999998</v>
      </c>
      <c r="AU2240" s="19">
        <v>-123.113</v>
      </c>
      <c r="AV2240" s="19" t="s">
        <v>2696</v>
      </c>
    </row>
    <row r="2241" spans="1:48" x14ac:dyDescent="0.25">
      <c r="A2241" s="18" t="s">
        <v>2697</v>
      </c>
      <c r="B2241" s="10">
        <v>10000000</v>
      </c>
      <c r="C2241" s="9">
        <v>6</v>
      </c>
      <c r="D2241" s="8" t="str">
        <f t="shared" si="410"/>
        <v>Y</v>
      </c>
      <c r="E2241" s="8" t="str">
        <f t="shared" si="411"/>
        <v>N</v>
      </c>
      <c r="F2241" s="8" t="str">
        <f t="shared" si="412"/>
        <v>Y</v>
      </c>
      <c r="G2241" s="8" t="str">
        <f t="shared" si="413"/>
        <v>Y</v>
      </c>
      <c r="H2241" s="8" t="str">
        <f t="shared" si="414"/>
        <v>Upper</v>
      </c>
      <c r="I2241" s="8" t="str">
        <f t="shared" si="415"/>
        <v>West Fork and Below Lake</v>
      </c>
      <c r="J2241" s="8" t="str">
        <f t="shared" si="416"/>
        <v>Mendocino (d/s of lake)</v>
      </c>
      <c r="K2241" s="8" t="str">
        <f t="shared" si="417"/>
        <v>Riparian</v>
      </c>
      <c r="L2241" s="8">
        <f t="shared" si="418"/>
        <v>1000</v>
      </c>
      <c r="M2241" s="8" t="str">
        <f t="shared" si="420"/>
        <v>-</v>
      </c>
      <c r="N2241" s="10" t="s">
        <v>241</v>
      </c>
      <c r="O2241" s="10" t="s">
        <v>241</v>
      </c>
      <c r="P2241" s="10" t="s">
        <v>242</v>
      </c>
      <c r="Q2241" s="10" t="s">
        <v>242</v>
      </c>
      <c r="R2241" s="10" t="s">
        <v>242</v>
      </c>
      <c r="S2241" s="10" t="s">
        <v>241</v>
      </c>
      <c r="T2241" s="10" t="s">
        <v>242</v>
      </c>
      <c r="U2241" s="10" t="s">
        <v>241</v>
      </c>
      <c r="V2241" s="10" t="s">
        <v>241</v>
      </c>
      <c r="W2241" s="10" t="s">
        <v>242</v>
      </c>
      <c r="X2241" s="15">
        <f>IF(ISERROR(VLOOKUP($A2241,'13. Updated Demand'!A:Z,15,FALSE)),0,VLOOKUP($A2241,'13. Updated Demand'!A:Z,15,FALSE))</f>
        <v>0</v>
      </c>
      <c r="Y2241" s="16">
        <f>IF(ISERROR(VLOOKUP($A2241,'13. Updated Demand'!A:Z,16,FALSE)),0,VLOOKUP($A2241,'13. Updated Demand'!A:Z,16,FALSE))</f>
        <v>0</v>
      </c>
      <c r="Z2241" s="16">
        <f>IF(ISERROR(VLOOKUP($A2241,'13. Updated Demand'!A:Z,17,FALSE)),0,VLOOKUP($A2241,'13. Updated Demand'!A:Z,17,FALSE))</f>
        <v>0</v>
      </c>
      <c r="AA2241" s="16">
        <f>IF(ISERROR(VLOOKUP($A2241,'13. Updated Demand'!A:Z,18,FALSE)),0,VLOOKUP($A2241,'13. Updated Demand'!A:Z,18,FALSE))</f>
        <v>0</v>
      </c>
      <c r="AB2241" s="16">
        <f>IF(ISERROR(VLOOKUP($A2241,'13. Updated Demand'!A:Z,19,FALSE)),0,VLOOKUP($A2241,'13. Updated Demand'!A:Z,19,FALSE))</f>
        <v>0</v>
      </c>
      <c r="AC2241" s="16">
        <f>IF(ISERROR(VLOOKUP($A2241,'13. Updated Demand'!A:Z,20,FALSE)),0,VLOOKUP($A2241,'13. Updated Demand'!A:Z,20,FALSE))</f>
        <v>0</v>
      </c>
      <c r="AD2241" s="16">
        <f>IF(ISERROR(VLOOKUP($A2241,'13. Updated Demand'!A:Z,21,FALSE)),0,VLOOKUP($A2241,'13. Updated Demand'!A:Z,21,FALSE))</f>
        <v>0</v>
      </c>
      <c r="AE2241" s="16">
        <f>IF(ISERROR(VLOOKUP($A2241,'13. Updated Demand'!A:Z,22,FALSE)),0,VLOOKUP($A2241,'13. Updated Demand'!A:Z,22,FALSE))</f>
        <v>0</v>
      </c>
      <c r="AF2241" s="16">
        <f>IF(ISERROR(VLOOKUP($A2241,'13. Updated Demand'!A:Z,23,FALSE)),0,VLOOKUP($A2241,'13. Updated Demand'!A:Z,23,FALSE))</f>
        <v>0</v>
      </c>
      <c r="AG2241" s="16">
        <f>IF(ISERROR(VLOOKUP($A2241,'13. Updated Demand'!A:Z,24,FALSE)),0,VLOOKUP($A2241,'13. Updated Demand'!A:Z,24,FALSE))</f>
        <v>0</v>
      </c>
      <c r="AH2241" s="16">
        <f>IF(ISERROR(VLOOKUP($A2241,'13. Updated Demand'!A:Z,25,FALSE)),0,VLOOKUP($A2241,'13. Updated Demand'!A:Z,25,FALSE))</f>
        <v>0</v>
      </c>
      <c r="AI2241" s="16">
        <f>IF(ISERROR(VLOOKUP($A2241,'13. Updated Demand'!A:Z,26,FALSE)),0,VLOOKUP($A2241,'13. Updated Demand'!A:Z,26,FALSE))</f>
        <v>0</v>
      </c>
      <c r="AJ2241" s="16">
        <f t="shared" si="421"/>
        <v>0</v>
      </c>
      <c r="AK2241" s="19">
        <v>0</v>
      </c>
      <c r="AL2241" s="16">
        <f t="shared" si="419"/>
        <v>0</v>
      </c>
      <c r="AM2241" s="26">
        <v>0</v>
      </c>
      <c r="AN2241" s="19">
        <v>1629.9</v>
      </c>
      <c r="AO2241" s="19" t="s">
        <v>1758</v>
      </c>
      <c r="AP2241" s="19">
        <v>0</v>
      </c>
      <c r="AQ2241" s="19" t="s">
        <v>307</v>
      </c>
      <c r="AR2241" s="9" t="s">
        <v>319</v>
      </c>
      <c r="AS2241" s="12">
        <v>0</v>
      </c>
      <c r="AT2241" s="19">
        <v>38.995100000000001</v>
      </c>
      <c r="AU2241" s="19">
        <v>-123.11579999999999</v>
      </c>
      <c r="AV2241" s="19" t="s">
        <v>2698</v>
      </c>
    </row>
    <row r="2242" spans="1:48" x14ac:dyDescent="0.25">
      <c r="A2242" s="18" t="s">
        <v>2699</v>
      </c>
      <c r="B2242" s="10">
        <v>10000000</v>
      </c>
      <c r="C2242" s="9">
        <v>13</v>
      </c>
      <c r="D2242" s="8" t="str">
        <f t="shared" ref="D2242:D2305" si="422">IF(OR(C2242=4,C2242=5,C2242=6),"Y","N")</f>
        <v>N</v>
      </c>
      <c r="E2242" s="8" t="str">
        <f t="shared" ref="E2242:E2305" si="423">IF(AND(C2242&gt;6,C2242&lt;14),"Y","N")</f>
        <v>Y</v>
      </c>
      <c r="F2242" s="8" t="str">
        <f t="shared" ref="F2242:F2305" si="424">IF(C2242&lt;14,"Y","N")</f>
        <v>Y</v>
      </c>
      <c r="G2242" s="8" t="str">
        <f t="shared" ref="G2242:G2305" si="425">IF(OR(C2242=1,AND(C2242&gt;3,C2242&lt;14)),"Y","N")</f>
        <v>Y</v>
      </c>
      <c r="H2242" s="8" t="str">
        <f t="shared" ref="H2242:H2305" si="426">IF(C2242&lt;14,"Upper","Lower")</f>
        <v>Upper</v>
      </c>
      <c r="I2242" s="8" t="str">
        <f t="shared" ref="I2242:I2305" si="427">IF(G2242="Y","West Fork and Below Lake","Outside")</f>
        <v>West Fork and Below Lake</v>
      </c>
      <c r="J2242" s="8" t="str">
        <f t="shared" ref="J2242:J2305" si="428">IF(D2242="Y", "Mendocino (d/s of lake)", IF(E2242="Y", "Sonoma (d/s of Clov. Gage)","Outside"))</f>
        <v>Sonoma (d/s of Clov. Gage)</v>
      </c>
      <c r="K2242" s="8" t="str">
        <f t="shared" ref="K2242:K2305" si="429">IF(P2242="Y","pre-1914",IF(Q2242="Y","Pre-1949",IF(R2242="Y","Post-1949",IF(S2242="Y","Riparian","Unknown"))))</f>
        <v>Riparian</v>
      </c>
      <c r="L2242" s="8">
        <f t="shared" ref="L2242:L2305" si="430">_xlfn.NUMBERVALUE(LEFT(B2242,4))</f>
        <v>1000</v>
      </c>
      <c r="M2242" s="8" t="str">
        <f t="shared" si="420"/>
        <v>-</v>
      </c>
      <c r="N2242" s="10" t="s">
        <v>242</v>
      </c>
      <c r="O2242" s="10" t="s">
        <v>241</v>
      </c>
      <c r="P2242" s="10" t="s">
        <v>242</v>
      </c>
      <c r="Q2242" s="10" t="s">
        <v>242</v>
      </c>
      <c r="R2242" s="10" t="s">
        <v>242</v>
      </c>
      <c r="S2242" s="10" t="s">
        <v>241</v>
      </c>
      <c r="T2242" s="10" t="s">
        <v>242</v>
      </c>
      <c r="U2242" s="10" t="s">
        <v>242</v>
      </c>
      <c r="V2242" s="10" t="s">
        <v>242</v>
      </c>
      <c r="W2242" s="10" t="s">
        <v>242</v>
      </c>
      <c r="X2242" s="15">
        <f>IF(ISERROR(VLOOKUP($A2242,'13. Updated Demand'!A:Z,15,FALSE)),0,VLOOKUP($A2242,'13. Updated Demand'!A:Z,15,FALSE))</f>
        <v>0</v>
      </c>
      <c r="Y2242" s="16">
        <f>IF(ISERROR(VLOOKUP($A2242,'13. Updated Demand'!A:Z,16,FALSE)),0,VLOOKUP($A2242,'13. Updated Demand'!A:Z,16,FALSE))</f>
        <v>2.9999999999999997E-4</v>
      </c>
      <c r="Z2242" s="16">
        <f>IF(ISERROR(VLOOKUP($A2242,'13. Updated Demand'!A:Z,17,FALSE)),0,VLOOKUP($A2242,'13. Updated Demand'!A:Z,17,FALSE))</f>
        <v>0.03</v>
      </c>
      <c r="AA2242" s="16">
        <f>IF(ISERROR(VLOOKUP($A2242,'13. Updated Demand'!A:Z,18,FALSE)),0,VLOOKUP($A2242,'13. Updated Demand'!A:Z,18,FALSE))</f>
        <v>0.03</v>
      </c>
      <c r="AB2242" s="16">
        <f>IF(ISERROR(VLOOKUP($A2242,'13. Updated Demand'!A:Z,19,FALSE)),0,VLOOKUP($A2242,'13. Updated Demand'!A:Z,19,FALSE))</f>
        <v>0.16</v>
      </c>
      <c r="AC2242" s="16">
        <f>IF(ISERROR(VLOOKUP($A2242,'13. Updated Demand'!A:Z,20,FALSE)),0,VLOOKUP($A2242,'13. Updated Demand'!A:Z,20,FALSE))</f>
        <v>0.27</v>
      </c>
      <c r="AD2242" s="16">
        <f>IF(ISERROR(VLOOKUP($A2242,'13. Updated Demand'!A:Z,21,FALSE)),0,VLOOKUP($A2242,'13. Updated Demand'!A:Z,21,FALSE))</f>
        <v>0.43</v>
      </c>
      <c r="AE2242" s="16">
        <f>IF(ISERROR(VLOOKUP($A2242,'13. Updated Demand'!A:Z,22,FALSE)),0,VLOOKUP($A2242,'13. Updated Demand'!A:Z,22,FALSE))</f>
        <v>0.61</v>
      </c>
      <c r="AF2242" s="16">
        <f>IF(ISERROR(VLOOKUP($A2242,'13. Updated Demand'!A:Z,23,FALSE)),0,VLOOKUP($A2242,'13. Updated Demand'!A:Z,23,FALSE))</f>
        <v>0.16</v>
      </c>
      <c r="AG2242" s="16">
        <f>IF(ISERROR(VLOOKUP($A2242,'13. Updated Demand'!A:Z,24,FALSE)),0,VLOOKUP($A2242,'13. Updated Demand'!A:Z,24,FALSE))</f>
        <v>0.2</v>
      </c>
      <c r="AH2242" s="16">
        <f>IF(ISERROR(VLOOKUP($A2242,'13. Updated Demand'!A:Z,25,FALSE)),0,VLOOKUP($A2242,'13. Updated Demand'!A:Z,25,FALSE))</f>
        <v>0.13</v>
      </c>
      <c r="AI2242" s="16">
        <f>IF(ISERROR(VLOOKUP($A2242,'13. Updated Demand'!A:Z,26,FALSE)),0,VLOOKUP($A2242,'13. Updated Demand'!A:Z,26,FALSE))</f>
        <v>0</v>
      </c>
      <c r="AJ2242" s="16">
        <f t="shared" si="421"/>
        <v>2.0202999999999998</v>
      </c>
      <c r="AK2242" s="19">
        <v>1.644910667</v>
      </c>
      <c r="AL2242" s="16">
        <f t="shared" ref="AL2242:AL2305" si="431">AK2242/152/1.983471</f>
        <v>5.4559813095060973E-3</v>
      </c>
      <c r="AM2242" s="26">
        <v>1.4338452063292904</v>
      </c>
      <c r="AN2242" s="19">
        <v>1.4346000000000001</v>
      </c>
      <c r="AO2242" s="19" t="s">
        <v>1758</v>
      </c>
      <c r="AP2242" s="19">
        <v>0</v>
      </c>
      <c r="AQ2242" s="19" t="s">
        <v>307</v>
      </c>
      <c r="AR2242" s="9" t="s">
        <v>507</v>
      </c>
      <c r="AS2242" s="12">
        <v>0</v>
      </c>
      <c r="AT2242" s="19">
        <v>38.599800000000002</v>
      </c>
      <c r="AU2242" s="19">
        <v>-122.85</v>
      </c>
      <c r="AV2242" s="19" t="s">
        <v>548</v>
      </c>
    </row>
    <row r="2243" spans="1:48" x14ac:dyDescent="0.25">
      <c r="A2243" s="18" t="s">
        <v>2700</v>
      </c>
      <c r="B2243" s="10">
        <v>10000000</v>
      </c>
      <c r="C2243" s="9">
        <v>16</v>
      </c>
      <c r="D2243" s="8" t="str">
        <f t="shared" si="422"/>
        <v>N</v>
      </c>
      <c r="E2243" s="8" t="str">
        <f t="shared" si="423"/>
        <v>N</v>
      </c>
      <c r="F2243" s="8" t="str">
        <f t="shared" si="424"/>
        <v>N</v>
      </c>
      <c r="G2243" s="8" t="str">
        <f t="shared" si="425"/>
        <v>N</v>
      </c>
      <c r="H2243" s="8" t="str">
        <f t="shared" si="426"/>
        <v>Lower</v>
      </c>
      <c r="I2243" s="8" t="str">
        <f t="shared" si="427"/>
        <v>Outside</v>
      </c>
      <c r="J2243" s="8" t="str">
        <f t="shared" si="428"/>
        <v>Outside</v>
      </c>
      <c r="K2243" s="8" t="str">
        <f t="shared" si="429"/>
        <v>Riparian</v>
      </c>
      <c r="L2243" s="8">
        <f t="shared" si="430"/>
        <v>1000</v>
      </c>
      <c r="M2243" s="8" t="str">
        <f t="shared" ref="M2243:M2306" si="432">IF(L2243=1949,"1949",IF(AND(L2243&gt;1949,L2243&lt;1953),"1950-1952",IF(AND(L2243&gt;1952,L2243&lt;1955),"1953-1954",IF(AND(L2243&gt;1954,L2243&lt;1957),"1955-1956",IF(AND(L2243&gt;1956,L2243&lt;1960),"1957-1959",IF(AND(L2243&gt;1959,L2243&lt;1971),"1960-1970",IF(AND(L2243&gt;1970,L2243&lt;1991),"1971-1990",IF(L2243&gt;1990,"1991-present","-"))))))))</f>
        <v>-</v>
      </c>
      <c r="N2243" s="10" t="s">
        <v>242</v>
      </c>
      <c r="O2243" s="10" t="s">
        <v>242</v>
      </c>
      <c r="P2243" s="10" t="s">
        <v>242</v>
      </c>
      <c r="Q2243" s="10" t="s">
        <v>242</v>
      </c>
      <c r="R2243" s="10" t="s">
        <v>242</v>
      </c>
      <c r="S2243" s="10" t="s">
        <v>241</v>
      </c>
      <c r="T2243" s="10" t="s">
        <v>242</v>
      </c>
      <c r="U2243" s="10" t="s">
        <v>241</v>
      </c>
      <c r="V2243" s="10" t="s">
        <v>241</v>
      </c>
      <c r="W2243" s="10" t="s">
        <v>242</v>
      </c>
      <c r="X2243" s="15">
        <f>IF(ISERROR(VLOOKUP($A2243,'13. Updated Demand'!A:Z,15,FALSE)),0,VLOOKUP($A2243,'13. Updated Demand'!A:Z,15,FALSE))</f>
        <v>0</v>
      </c>
      <c r="Y2243" s="16">
        <f>IF(ISERROR(VLOOKUP($A2243,'13. Updated Demand'!A:Z,16,FALSE)),0,VLOOKUP($A2243,'13. Updated Demand'!A:Z,16,FALSE))</f>
        <v>0</v>
      </c>
      <c r="Z2243" s="16">
        <f>IF(ISERROR(VLOOKUP($A2243,'13. Updated Demand'!A:Z,17,FALSE)),0,VLOOKUP($A2243,'13. Updated Demand'!A:Z,17,FALSE))</f>
        <v>0</v>
      </c>
      <c r="AA2243" s="16">
        <f>IF(ISERROR(VLOOKUP($A2243,'13. Updated Demand'!A:Z,18,FALSE)),0,VLOOKUP($A2243,'13. Updated Demand'!A:Z,18,FALSE))</f>
        <v>0</v>
      </c>
      <c r="AB2243" s="16">
        <f>IF(ISERROR(VLOOKUP($A2243,'13. Updated Demand'!A:Z,19,FALSE)),0,VLOOKUP($A2243,'13. Updated Demand'!A:Z,19,FALSE))</f>
        <v>0</v>
      </c>
      <c r="AC2243" s="16">
        <f>IF(ISERROR(VLOOKUP($A2243,'13. Updated Demand'!A:Z,20,FALSE)),0,VLOOKUP($A2243,'13. Updated Demand'!A:Z,20,FALSE))</f>
        <v>0</v>
      </c>
      <c r="AD2243" s="16">
        <f>IF(ISERROR(VLOOKUP($A2243,'13. Updated Demand'!A:Z,21,FALSE)),0,VLOOKUP($A2243,'13. Updated Demand'!A:Z,21,FALSE))</f>
        <v>0</v>
      </c>
      <c r="AE2243" s="16">
        <f>IF(ISERROR(VLOOKUP($A2243,'13. Updated Demand'!A:Z,22,FALSE)),0,VLOOKUP($A2243,'13. Updated Demand'!A:Z,22,FALSE))</f>
        <v>0</v>
      </c>
      <c r="AF2243" s="16">
        <f>IF(ISERROR(VLOOKUP($A2243,'13. Updated Demand'!A:Z,23,FALSE)),0,VLOOKUP($A2243,'13. Updated Demand'!A:Z,23,FALSE))</f>
        <v>0</v>
      </c>
      <c r="AG2243" s="16">
        <f>IF(ISERROR(VLOOKUP($A2243,'13. Updated Demand'!A:Z,24,FALSE)),0,VLOOKUP($A2243,'13. Updated Demand'!A:Z,24,FALSE))</f>
        <v>0</v>
      </c>
      <c r="AH2243" s="16">
        <f>IF(ISERROR(VLOOKUP($A2243,'13. Updated Demand'!A:Z,25,FALSE)),0,VLOOKUP($A2243,'13. Updated Demand'!A:Z,25,FALSE))</f>
        <v>0</v>
      </c>
      <c r="AI2243" s="16">
        <f>IF(ISERROR(VLOOKUP($A2243,'13. Updated Demand'!A:Z,26,FALSE)),0,VLOOKUP($A2243,'13. Updated Demand'!A:Z,26,FALSE))</f>
        <v>0</v>
      </c>
      <c r="AJ2243" s="16">
        <f t="shared" si="421"/>
        <v>0</v>
      </c>
      <c r="AK2243" s="19">
        <v>0</v>
      </c>
      <c r="AL2243" s="16">
        <f t="shared" si="431"/>
        <v>0</v>
      </c>
      <c r="AM2243" s="26">
        <v>0</v>
      </c>
      <c r="AN2243" s="19">
        <v>39.841999999999999</v>
      </c>
      <c r="AO2243" s="19" t="s">
        <v>1758</v>
      </c>
      <c r="AP2243" s="19">
        <v>0</v>
      </c>
      <c r="AQ2243" s="19" t="s">
        <v>307</v>
      </c>
      <c r="AR2243" s="9" t="s">
        <v>394</v>
      </c>
      <c r="AS2243" s="12">
        <v>0</v>
      </c>
      <c r="AT2243" s="19">
        <v>38.651200000000003</v>
      </c>
      <c r="AU2243" s="19">
        <v>-122.9271</v>
      </c>
      <c r="AV2243" s="19" t="s">
        <v>701</v>
      </c>
    </row>
    <row r="2244" spans="1:48" x14ac:dyDescent="0.25">
      <c r="A2244" s="18" t="s">
        <v>2701</v>
      </c>
      <c r="B2244" s="10">
        <v>10000000</v>
      </c>
      <c r="C2244" s="9">
        <v>9</v>
      </c>
      <c r="D2244" s="8" t="str">
        <f t="shared" si="422"/>
        <v>N</v>
      </c>
      <c r="E2244" s="8" t="str">
        <f t="shared" si="423"/>
        <v>Y</v>
      </c>
      <c r="F2244" s="8" t="str">
        <f t="shared" si="424"/>
        <v>Y</v>
      </c>
      <c r="G2244" s="8" t="str">
        <f t="shared" si="425"/>
        <v>Y</v>
      </c>
      <c r="H2244" s="8" t="str">
        <f t="shared" si="426"/>
        <v>Upper</v>
      </c>
      <c r="I2244" s="8" t="str">
        <f t="shared" si="427"/>
        <v>West Fork and Below Lake</v>
      </c>
      <c r="J2244" s="8" t="str">
        <f t="shared" si="428"/>
        <v>Sonoma (d/s of Clov. Gage)</v>
      </c>
      <c r="K2244" s="8" t="str">
        <f t="shared" si="429"/>
        <v>Riparian</v>
      </c>
      <c r="L2244" s="8">
        <f t="shared" si="430"/>
        <v>1000</v>
      </c>
      <c r="M2244" s="8" t="str">
        <f t="shared" si="432"/>
        <v>-</v>
      </c>
      <c r="N2244" s="10" t="s">
        <v>241</v>
      </c>
      <c r="O2244" s="10" t="s">
        <v>241</v>
      </c>
      <c r="P2244" s="10" t="s">
        <v>242</v>
      </c>
      <c r="Q2244" s="10" t="s">
        <v>242</v>
      </c>
      <c r="R2244" s="10" t="s">
        <v>242</v>
      </c>
      <c r="S2244" s="10" t="s">
        <v>241</v>
      </c>
      <c r="T2244" s="10" t="s">
        <v>242</v>
      </c>
      <c r="U2244" s="10" t="s">
        <v>242</v>
      </c>
      <c r="V2244" s="10" t="s">
        <v>242</v>
      </c>
      <c r="W2244" s="10" t="s">
        <v>242</v>
      </c>
      <c r="X2244" s="15">
        <f>IF(ISERROR(VLOOKUP($A2244,'13. Updated Demand'!A:Z,15,FALSE)),0,VLOOKUP($A2244,'13. Updated Demand'!A:Z,15,FALSE))</f>
        <v>0</v>
      </c>
      <c r="Y2244" s="16">
        <f>IF(ISERROR(VLOOKUP($A2244,'13. Updated Demand'!A:Z,16,FALSE)),0,VLOOKUP($A2244,'13. Updated Demand'!A:Z,16,FALSE))</f>
        <v>0</v>
      </c>
      <c r="Z2244" s="16">
        <f>IF(ISERROR(VLOOKUP($A2244,'13. Updated Demand'!A:Z,17,FALSE)),0,VLOOKUP($A2244,'13. Updated Demand'!A:Z,17,FALSE))</f>
        <v>0</v>
      </c>
      <c r="AA2244" s="16">
        <f>IF(ISERROR(VLOOKUP($A2244,'13. Updated Demand'!A:Z,18,FALSE)),0,VLOOKUP($A2244,'13. Updated Demand'!A:Z,18,FALSE))</f>
        <v>0.03</v>
      </c>
      <c r="AB2244" s="16">
        <f>IF(ISERROR(VLOOKUP($A2244,'13. Updated Demand'!A:Z,19,FALSE)),0,VLOOKUP($A2244,'13. Updated Demand'!A:Z,19,FALSE))</f>
        <v>0.33</v>
      </c>
      <c r="AC2244" s="16">
        <f>IF(ISERROR(VLOOKUP($A2244,'13. Updated Demand'!A:Z,20,FALSE)),0,VLOOKUP($A2244,'13. Updated Demand'!A:Z,20,FALSE))</f>
        <v>1.2</v>
      </c>
      <c r="AD2244" s="16">
        <f>IF(ISERROR(VLOOKUP($A2244,'13. Updated Demand'!A:Z,21,FALSE)),0,VLOOKUP($A2244,'13. Updated Demand'!A:Z,21,FALSE))</f>
        <v>1.3</v>
      </c>
      <c r="AE2244" s="16">
        <f>IF(ISERROR(VLOOKUP($A2244,'13. Updated Demand'!A:Z,22,FALSE)),0,VLOOKUP($A2244,'13. Updated Demand'!A:Z,22,FALSE))</f>
        <v>1.4</v>
      </c>
      <c r="AF2244" s="16">
        <f>IF(ISERROR(VLOOKUP($A2244,'13. Updated Demand'!A:Z,23,FALSE)),0,VLOOKUP($A2244,'13. Updated Demand'!A:Z,23,FALSE))</f>
        <v>1.23</v>
      </c>
      <c r="AG2244" s="16">
        <f>IF(ISERROR(VLOOKUP($A2244,'13. Updated Demand'!A:Z,24,FALSE)),0,VLOOKUP($A2244,'13. Updated Demand'!A:Z,24,FALSE))</f>
        <v>0.63</v>
      </c>
      <c r="AH2244" s="16">
        <f>IF(ISERROR(VLOOKUP($A2244,'13. Updated Demand'!A:Z,25,FALSE)),0,VLOOKUP($A2244,'13. Updated Demand'!A:Z,25,FALSE))</f>
        <v>0.53</v>
      </c>
      <c r="AI2244" s="16">
        <f>IF(ISERROR(VLOOKUP($A2244,'13. Updated Demand'!A:Z,26,FALSE)),0,VLOOKUP($A2244,'13. Updated Demand'!A:Z,26,FALSE))</f>
        <v>0</v>
      </c>
      <c r="AJ2244" s="16">
        <f t="shared" si="421"/>
        <v>6.65</v>
      </c>
      <c r="AK2244" s="19">
        <v>5.4666666666666623</v>
      </c>
      <c r="AL2244" s="16">
        <f t="shared" si="431"/>
        <v>1.8132310621482104E-2</v>
      </c>
      <c r="AM2244" s="26">
        <v>4.1330853482124369E-2</v>
      </c>
      <c r="AN2244" s="19">
        <v>161.30000000000001</v>
      </c>
      <c r="AO2244" s="19" t="s">
        <v>1758</v>
      </c>
      <c r="AP2244" s="19">
        <v>0</v>
      </c>
      <c r="AQ2244" s="19" t="s">
        <v>307</v>
      </c>
      <c r="AR2244" s="9" t="s">
        <v>354</v>
      </c>
      <c r="AS2244" s="12">
        <v>0</v>
      </c>
      <c r="AT2244" s="19">
        <v>38.768599999999999</v>
      </c>
      <c r="AU2244" s="19">
        <v>-122.9759</v>
      </c>
      <c r="AV2244" s="19" t="s">
        <v>387</v>
      </c>
    </row>
    <row r="2245" spans="1:48" x14ac:dyDescent="0.25">
      <c r="A2245" s="18" t="s">
        <v>2702</v>
      </c>
      <c r="B2245" s="10">
        <v>10000000</v>
      </c>
      <c r="C2245" s="9">
        <v>16</v>
      </c>
      <c r="D2245" s="8" t="str">
        <f t="shared" si="422"/>
        <v>N</v>
      </c>
      <c r="E2245" s="8" t="str">
        <f t="shared" si="423"/>
        <v>N</v>
      </c>
      <c r="F2245" s="8" t="str">
        <f t="shared" si="424"/>
        <v>N</v>
      </c>
      <c r="G2245" s="8" t="str">
        <f t="shared" si="425"/>
        <v>N</v>
      </c>
      <c r="H2245" s="8" t="str">
        <f t="shared" si="426"/>
        <v>Lower</v>
      </c>
      <c r="I2245" s="8" t="str">
        <f t="shared" si="427"/>
        <v>Outside</v>
      </c>
      <c r="J2245" s="8" t="str">
        <f t="shared" si="428"/>
        <v>Outside</v>
      </c>
      <c r="K2245" s="8" t="str">
        <f t="shared" si="429"/>
        <v>Riparian</v>
      </c>
      <c r="L2245" s="8">
        <f t="shared" si="430"/>
        <v>1000</v>
      </c>
      <c r="M2245" s="8" t="str">
        <f t="shared" si="432"/>
        <v>-</v>
      </c>
      <c r="N2245" s="10" t="s">
        <v>242</v>
      </c>
      <c r="O2245" s="10" t="s">
        <v>242</v>
      </c>
      <c r="P2245" s="10" t="s">
        <v>242</v>
      </c>
      <c r="Q2245" s="10" t="s">
        <v>242</v>
      </c>
      <c r="R2245" s="10" t="s">
        <v>242</v>
      </c>
      <c r="S2245" s="10" t="s">
        <v>241</v>
      </c>
      <c r="T2245" s="10" t="s">
        <v>242</v>
      </c>
      <c r="U2245" s="10" t="s">
        <v>242</v>
      </c>
      <c r="V2245" s="10" t="s">
        <v>241</v>
      </c>
      <c r="W2245" s="10" t="s">
        <v>242</v>
      </c>
      <c r="X2245" s="15">
        <f>IF(ISERROR(VLOOKUP($A2245,'13. Updated Demand'!A:Z,15,FALSE)),0,VLOOKUP($A2245,'13. Updated Demand'!A:Z,15,FALSE))</f>
        <v>0</v>
      </c>
      <c r="Y2245" s="16">
        <f>IF(ISERROR(VLOOKUP($A2245,'13. Updated Demand'!A:Z,16,FALSE)),0,VLOOKUP($A2245,'13. Updated Demand'!A:Z,16,FALSE))</f>
        <v>0</v>
      </c>
      <c r="Z2245" s="16">
        <f>IF(ISERROR(VLOOKUP($A2245,'13. Updated Demand'!A:Z,17,FALSE)),0,VLOOKUP($A2245,'13. Updated Demand'!A:Z,17,FALSE))</f>
        <v>0</v>
      </c>
      <c r="AA2245" s="16">
        <f>IF(ISERROR(VLOOKUP($A2245,'13. Updated Demand'!A:Z,18,FALSE)),0,VLOOKUP($A2245,'13. Updated Demand'!A:Z,18,FALSE))</f>
        <v>0</v>
      </c>
      <c r="AB2245" s="16">
        <f>IF(ISERROR(VLOOKUP($A2245,'13. Updated Demand'!A:Z,19,FALSE)),0,VLOOKUP($A2245,'13. Updated Demand'!A:Z,19,FALSE))</f>
        <v>0</v>
      </c>
      <c r="AC2245" s="16">
        <f>IF(ISERROR(VLOOKUP($A2245,'13. Updated Demand'!A:Z,20,FALSE)),0,VLOOKUP($A2245,'13. Updated Demand'!A:Z,20,FALSE))</f>
        <v>0</v>
      </c>
      <c r="AD2245" s="16">
        <f>IF(ISERROR(VLOOKUP($A2245,'13. Updated Demand'!A:Z,21,FALSE)),0,VLOOKUP($A2245,'13. Updated Demand'!A:Z,21,FALSE))</f>
        <v>0</v>
      </c>
      <c r="AE2245" s="16">
        <f>IF(ISERROR(VLOOKUP($A2245,'13. Updated Demand'!A:Z,22,FALSE)),0,VLOOKUP($A2245,'13. Updated Demand'!A:Z,22,FALSE))</f>
        <v>0</v>
      </c>
      <c r="AF2245" s="16">
        <f>IF(ISERROR(VLOOKUP($A2245,'13. Updated Demand'!A:Z,23,FALSE)),0,VLOOKUP($A2245,'13. Updated Demand'!A:Z,23,FALSE))</f>
        <v>0</v>
      </c>
      <c r="AG2245" s="16">
        <f>IF(ISERROR(VLOOKUP($A2245,'13. Updated Demand'!A:Z,24,FALSE)),0,VLOOKUP($A2245,'13. Updated Demand'!A:Z,24,FALSE))</f>
        <v>0</v>
      </c>
      <c r="AH2245" s="16">
        <f>IF(ISERROR(VLOOKUP($A2245,'13. Updated Demand'!A:Z,25,FALSE)),0,VLOOKUP($A2245,'13. Updated Demand'!A:Z,25,FALSE))</f>
        <v>0.35666666699999999</v>
      </c>
      <c r="AI2245" s="16">
        <f>IF(ISERROR(VLOOKUP($A2245,'13. Updated Demand'!A:Z,26,FALSE)),0,VLOOKUP($A2245,'13. Updated Demand'!A:Z,26,FALSE))</f>
        <v>0.12</v>
      </c>
      <c r="AJ2245" s="16">
        <f t="shared" si="421"/>
        <v>0.47666666699999999</v>
      </c>
      <c r="AK2245" s="19">
        <v>0</v>
      </c>
      <c r="AL2245" s="16">
        <f t="shared" si="431"/>
        <v>0</v>
      </c>
      <c r="AM2245" s="26">
        <v>6.3555555599999994E-2</v>
      </c>
      <c r="AN2245" s="19">
        <v>7.5</v>
      </c>
      <c r="AO2245" s="19" t="s">
        <v>1758</v>
      </c>
      <c r="AP2245" s="19">
        <v>0</v>
      </c>
      <c r="AQ2245" s="19" t="s">
        <v>307</v>
      </c>
      <c r="AR2245" s="9" t="s">
        <v>394</v>
      </c>
      <c r="AS2245" s="12">
        <v>0</v>
      </c>
      <c r="AT2245" s="19">
        <v>38.627299999999998</v>
      </c>
      <c r="AU2245" s="19">
        <v>-122.92019999999999</v>
      </c>
      <c r="AV2245" s="19" t="s">
        <v>385</v>
      </c>
    </row>
    <row r="2246" spans="1:48" x14ac:dyDescent="0.25">
      <c r="A2246" s="18" t="s">
        <v>2703</v>
      </c>
      <c r="B2246" s="10">
        <v>10000000</v>
      </c>
      <c r="C2246" s="9">
        <v>16</v>
      </c>
      <c r="D2246" s="8" t="str">
        <f t="shared" si="422"/>
        <v>N</v>
      </c>
      <c r="E2246" s="8" t="str">
        <f t="shared" si="423"/>
        <v>N</v>
      </c>
      <c r="F2246" s="8" t="str">
        <f t="shared" si="424"/>
        <v>N</v>
      </c>
      <c r="G2246" s="8" t="str">
        <f t="shared" si="425"/>
        <v>N</v>
      </c>
      <c r="H2246" s="8" t="str">
        <f t="shared" si="426"/>
        <v>Lower</v>
      </c>
      <c r="I2246" s="8" t="str">
        <f t="shared" si="427"/>
        <v>Outside</v>
      </c>
      <c r="J2246" s="8" t="str">
        <f t="shared" si="428"/>
        <v>Outside</v>
      </c>
      <c r="K2246" s="8" t="str">
        <f t="shared" si="429"/>
        <v>Riparian</v>
      </c>
      <c r="L2246" s="8">
        <f t="shared" si="430"/>
        <v>1000</v>
      </c>
      <c r="M2246" s="8" t="str">
        <f t="shared" si="432"/>
        <v>-</v>
      </c>
      <c r="N2246" s="10" t="s">
        <v>242</v>
      </c>
      <c r="O2246" s="10" t="s">
        <v>242</v>
      </c>
      <c r="P2246" s="10" t="s">
        <v>242</v>
      </c>
      <c r="Q2246" s="10" t="s">
        <v>242</v>
      </c>
      <c r="R2246" s="10" t="s">
        <v>242</v>
      </c>
      <c r="S2246" s="10" t="s">
        <v>241</v>
      </c>
      <c r="T2246" s="10" t="s">
        <v>242</v>
      </c>
      <c r="U2246" s="10" t="s">
        <v>242</v>
      </c>
      <c r="V2246" s="10" t="s">
        <v>241</v>
      </c>
      <c r="W2246" s="10" t="s">
        <v>242</v>
      </c>
      <c r="X2246" s="15">
        <f>IF(ISERROR(VLOOKUP($A2246,'13. Updated Demand'!A:Z,15,FALSE)),0,VLOOKUP($A2246,'13. Updated Demand'!A:Z,15,FALSE))</f>
        <v>0</v>
      </c>
      <c r="Y2246" s="16">
        <f>IF(ISERROR(VLOOKUP($A2246,'13. Updated Demand'!A:Z,16,FALSE)),0,VLOOKUP($A2246,'13. Updated Demand'!A:Z,16,FALSE))</f>
        <v>0</v>
      </c>
      <c r="Z2246" s="16">
        <f>IF(ISERROR(VLOOKUP($A2246,'13. Updated Demand'!A:Z,17,FALSE)),0,VLOOKUP($A2246,'13. Updated Demand'!A:Z,17,FALSE))</f>
        <v>0</v>
      </c>
      <c r="AA2246" s="16">
        <f>IF(ISERROR(VLOOKUP($A2246,'13. Updated Demand'!A:Z,18,FALSE)),0,VLOOKUP($A2246,'13. Updated Demand'!A:Z,18,FALSE))</f>
        <v>0</v>
      </c>
      <c r="AB2246" s="16">
        <f>IF(ISERROR(VLOOKUP($A2246,'13. Updated Demand'!A:Z,19,FALSE)),0,VLOOKUP($A2246,'13. Updated Demand'!A:Z,19,FALSE))</f>
        <v>0</v>
      </c>
      <c r="AC2246" s="16">
        <f>IF(ISERROR(VLOOKUP($A2246,'13. Updated Demand'!A:Z,20,FALSE)),0,VLOOKUP($A2246,'13. Updated Demand'!A:Z,20,FALSE))</f>
        <v>0</v>
      </c>
      <c r="AD2246" s="16">
        <f>IF(ISERROR(VLOOKUP($A2246,'13. Updated Demand'!A:Z,21,FALSE)),0,VLOOKUP($A2246,'13. Updated Demand'!A:Z,21,FALSE))</f>
        <v>0</v>
      </c>
      <c r="AE2246" s="16">
        <f>IF(ISERROR(VLOOKUP($A2246,'13. Updated Demand'!A:Z,22,FALSE)),0,VLOOKUP($A2246,'13. Updated Demand'!A:Z,22,FALSE))</f>
        <v>0</v>
      </c>
      <c r="AF2246" s="16">
        <f>IF(ISERROR(VLOOKUP($A2246,'13. Updated Demand'!A:Z,23,FALSE)),0,VLOOKUP($A2246,'13. Updated Demand'!A:Z,23,FALSE))</f>
        <v>0</v>
      </c>
      <c r="AG2246" s="16">
        <f>IF(ISERROR(VLOOKUP($A2246,'13. Updated Demand'!A:Z,24,FALSE)),0,VLOOKUP($A2246,'13. Updated Demand'!A:Z,24,FALSE))</f>
        <v>0</v>
      </c>
      <c r="AH2246" s="16">
        <f>IF(ISERROR(VLOOKUP($A2246,'13. Updated Demand'!A:Z,25,FALSE)),0,VLOOKUP($A2246,'13. Updated Demand'!A:Z,25,FALSE))</f>
        <v>0.35666666699999999</v>
      </c>
      <c r="AI2246" s="16">
        <f>IF(ISERROR(VLOOKUP($A2246,'13. Updated Demand'!A:Z,26,FALSE)),0,VLOOKUP($A2246,'13. Updated Demand'!A:Z,26,FALSE))</f>
        <v>0.12</v>
      </c>
      <c r="AJ2246" s="16">
        <f t="shared" si="421"/>
        <v>0.47666666699999999</v>
      </c>
      <c r="AK2246" s="19">
        <v>0</v>
      </c>
      <c r="AL2246" s="16">
        <f t="shared" si="431"/>
        <v>0</v>
      </c>
      <c r="AM2246" s="26">
        <v>5.4166666704545452E-2</v>
      </c>
      <c r="AN2246" s="19">
        <v>8.8000000000000007</v>
      </c>
      <c r="AO2246" s="19" t="s">
        <v>1758</v>
      </c>
      <c r="AP2246" s="19">
        <v>0</v>
      </c>
      <c r="AQ2246" s="19" t="s">
        <v>307</v>
      </c>
      <c r="AR2246" s="9" t="s">
        <v>394</v>
      </c>
      <c r="AS2246" s="12">
        <v>0</v>
      </c>
      <c r="AT2246" s="19">
        <v>38.627200000000002</v>
      </c>
      <c r="AU2246" s="19">
        <v>-122.9192</v>
      </c>
      <c r="AV2246" s="19" t="s">
        <v>385</v>
      </c>
    </row>
    <row r="2247" spans="1:48" x14ac:dyDescent="0.25">
      <c r="A2247" s="18" t="s">
        <v>2704</v>
      </c>
      <c r="B2247" s="10">
        <v>10000000</v>
      </c>
      <c r="C2247" s="9">
        <v>16</v>
      </c>
      <c r="D2247" s="8" t="str">
        <f t="shared" si="422"/>
        <v>N</v>
      </c>
      <c r="E2247" s="8" t="str">
        <f t="shared" si="423"/>
        <v>N</v>
      </c>
      <c r="F2247" s="8" t="str">
        <f t="shared" si="424"/>
        <v>N</v>
      </c>
      <c r="G2247" s="8" t="str">
        <f t="shared" si="425"/>
        <v>N</v>
      </c>
      <c r="H2247" s="8" t="str">
        <f t="shared" si="426"/>
        <v>Lower</v>
      </c>
      <c r="I2247" s="8" t="str">
        <f t="shared" si="427"/>
        <v>Outside</v>
      </c>
      <c r="J2247" s="8" t="str">
        <f t="shared" si="428"/>
        <v>Outside</v>
      </c>
      <c r="K2247" s="8" t="str">
        <f t="shared" si="429"/>
        <v>Riparian</v>
      </c>
      <c r="L2247" s="8">
        <f t="shared" si="430"/>
        <v>1000</v>
      </c>
      <c r="M2247" s="8" t="str">
        <f t="shared" si="432"/>
        <v>-</v>
      </c>
      <c r="N2247" s="10" t="s">
        <v>242</v>
      </c>
      <c r="O2247" s="10" t="s">
        <v>242</v>
      </c>
      <c r="P2247" s="10" t="s">
        <v>242</v>
      </c>
      <c r="Q2247" s="10" t="s">
        <v>242</v>
      </c>
      <c r="R2247" s="10" t="s">
        <v>242</v>
      </c>
      <c r="S2247" s="10" t="s">
        <v>241</v>
      </c>
      <c r="T2247" s="10" t="s">
        <v>242</v>
      </c>
      <c r="U2247" s="10" t="s">
        <v>241</v>
      </c>
      <c r="V2247" s="10" t="s">
        <v>241</v>
      </c>
      <c r="W2247" s="10" t="s">
        <v>242</v>
      </c>
      <c r="X2247" s="15">
        <f>IF(ISERROR(VLOOKUP($A2247,'13. Updated Demand'!A:Z,15,FALSE)),0,VLOOKUP($A2247,'13. Updated Demand'!A:Z,15,FALSE))</f>
        <v>0</v>
      </c>
      <c r="Y2247" s="16">
        <f>IF(ISERROR(VLOOKUP($A2247,'13. Updated Demand'!A:Z,16,FALSE)),0,VLOOKUP($A2247,'13. Updated Demand'!A:Z,16,FALSE))</f>
        <v>0</v>
      </c>
      <c r="Z2247" s="16">
        <f>IF(ISERROR(VLOOKUP($A2247,'13. Updated Demand'!A:Z,17,FALSE)),0,VLOOKUP($A2247,'13. Updated Demand'!A:Z,17,FALSE))</f>
        <v>0</v>
      </c>
      <c r="AA2247" s="16">
        <f>IF(ISERROR(VLOOKUP($A2247,'13. Updated Demand'!A:Z,18,FALSE)),0,VLOOKUP($A2247,'13. Updated Demand'!A:Z,18,FALSE))</f>
        <v>0</v>
      </c>
      <c r="AB2247" s="16">
        <f>IF(ISERROR(VLOOKUP($A2247,'13. Updated Demand'!A:Z,19,FALSE)),0,VLOOKUP($A2247,'13. Updated Demand'!A:Z,19,FALSE))</f>
        <v>0</v>
      </c>
      <c r="AC2247" s="16">
        <f>IF(ISERROR(VLOOKUP($A2247,'13. Updated Demand'!A:Z,20,FALSE)),0,VLOOKUP($A2247,'13. Updated Demand'!A:Z,20,FALSE))</f>
        <v>0</v>
      </c>
      <c r="AD2247" s="16">
        <f>IF(ISERROR(VLOOKUP($A2247,'13. Updated Demand'!A:Z,21,FALSE)),0,VLOOKUP($A2247,'13. Updated Demand'!A:Z,21,FALSE))</f>
        <v>0</v>
      </c>
      <c r="AE2247" s="16">
        <f>IF(ISERROR(VLOOKUP($A2247,'13. Updated Demand'!A:Z,22,FALSE)),0,VLOOKUP($A2247,'13. Updated Demand'!A:Z,22,FALSE))</f>
        <v>0</v>
      </c>
      <c r="AF2247" s="16">
        <f>IF(ISERROR(VLOOKUP($A2247,'13. Updated Demand'!A:Z,23,FALSE)),0,VLOOKUP($A2247,'13. Updated Demand'!A:Z,23,FALSE))</f>
        <v>0</v>
      </c>
      <c r="AG2247" s="16">
        <f>IF(ISERROR(VLOOKUP($A2247,'13. Updated Demand'!A:Z,24,FALSE)),0,VLOOKUP($A2247,'13. Updated Demand'!A:Z,24,FALSE))</f>
        <v>0</v>
      </c>
      <c r="AH2247" s="16">
        <f>IF(ISERROR(VLOOKUP($A2247,'13. Updated Demand'!A:Z,25,FALSE)),0,VLOOKUP($A2247,'13. Updated Demand'!A:Z,25,FALSE))</f>
        <v>0</v>
      </c>
      <c r="AI2247" s="16">
        <f>IF(ISERROR(VLOOKUP($A2247,'13. Updated Demand'!A:Z,26,FALSE)),0,VLOOKUP($A2247,'13. Updated Demand'!A:Z,26,FALSE))</f>
        <v>0</v>
      </c>
      <c r="AJ2247" s="16">
        <f t="shared" si="421"/>
        <v>0</v>
      </c>
      <c r="AK2247" s="19">
        <v>0</v>
      </c>
      <c r="AL2247" s="16">
        <f t="shared" si="431"/>
        <v>0</v>
      </c>
      <c r="AM2247" s="26">
        <v>0</v>
      </c>
      <c r="AN2247" s="19">
        <v>322.358</v>
      </c>
      <c r="AO2247" s="19" t="s">
        <v>1758</v>
      </c>
      <c r="AP2247" s="19">
        <v>0</v>
      </c>
      <c r="AQ2247" s="19" t="s">
        <v>307</v>
      </c>
      <c r="AR2247" s="9" t="s">
        <v>394</v>
      </c>
      <c r="AS2247" s="12">
        <v>0</v>
      </c>
      <c r="AT2247" s="19">
        <v>38.6111</v>
      </c>
      <c r="AU2247" s="19">
        <v>-122.87779999999999</v>
      </c>
      <c r="AV2247" s="19" t="s">
        <v>2251</v>
      </c>
    </row>
    <row r="2248" spans="1:48" x14ac:dyDescent="0.25">
      <c r="A2248" s="18" t="s">
        <v>2705</v>
      </c>
      <c r="B2248" s="10">
        <v>10000000</v>
      </c>
      <c r="C2248" s="9">
        <v>8</v>
      </c>
      <c r="D2248" s="8" t="str">
        <f t="shared" si="422"/>
        <v>N</v>
      </c>
      <c r="E2248" s="8" t="str">
        <f t="shared" si="423"/>
        <v>Y</v>
      </c>
      <c r="F2248" s="8" t="str">
        <f t="shared" si="424"/>
        <v>Y</v>
      </c>
      <c r="G2248" s="8" t="str">
        <f t="shared" si="425"/>
        <v>Y</v>
      </c>
      <c r="H2248" s="8" t="str">
        <f t="shared" si="426"/>
        <v>Upper</v>
      </c>
      <c r="I2248" s="8" t="str">
        <f t="shared" si="427"/>
        <v>West Fork and Below Lake</v>
      </c>
      <c r="J2248" s="8" t="str">
        <f t="shared" si="428"/>
        <v>Sonoma (d/s of Clov. Gage)</v>
      </c>
      <c r="K2248" s="8" t="str">
        <f t="shared" si="429"/>
        <v>Riparian</v>
      </c>
      <c r="L2248" s="8">
        <f t="shared" si="430"/>
        <v>1000</v>
      </c>
      <c r="M2248" s="8" t="str">
        <f t="shared" si="432"/>
        <v>-</v>
      </c>
      <c r="N2248" s="10" t="s">
        <v>242</v>
      </c>
      <c r="O2248" s="10" t="s">
        <v>241</v>
      </c>
      <c r="P2248" s="10" t="s">
        <v>242</v>
      </c>
      <c r="Q2248" s="10" t="s">
        <v>242</v>
      </c>
      <c r="R2248" s="10" t="s">
        <v>242</v>
      </c>
      <c r="S2248" s="10" t="s">
        <v>241</v>
      </c>
      <c r="T2248" s="10" t="s">
        <v>242</v>
      </c>
      <c r="U2248" s="10" t="s">
        <v>242</v>
      </c>
      <c r="V2248" s="10" t="s">
        <v>242</v>
      </c>
      <c r="W2248" s="10" t="s">
        <v>242</v>
      </c>
      <c r="X2248" s="15">
        <f>IF(ISERROR(VLOOKUP($A2248,'13. Updated Demand'!A:Z,15,FALSE)),0,VLOOKUP($A2248,'13. Updated Demand'!A:Z,15,FALSE))</f>
        <v>0</v>
      </c>
      <c r="Y2248" s="16">
        <f>IF(ISERROR(VLOOKUP($A2248,'13. Updated Demand'!A:Z,16,FALSE)),0,VLOOKUP($A2248,'13. Updated Demand'!A:Z,16,FALSE))</f>
        <v>0</v>
      </c>
      <c r="Z2248" s="16">
        <f>IF(ISERROR(VLOOKUP($A2248,'13. Updated Demand'!A:Z,17,FALSE)),0,VLOOKUP($A2248,'13. Updated Demand'!A:Z,17,FALSE))</f>
        <v>0</v>
      </c>
      <c r="AA2248" s="16">
        <f>IF(ISERROR(VLOOKUP($A2248,'13. Updated Demand'!A:Z,18,FALSE)),0,VLOOKUP($A2248,'13. Updated Demand'!A:Z,18,FALSE))</f>
        <v>0</v>
      </c>
      <c r="AB2248" s="16">
        <f>IF(ISERROR(VLOOKUP($A2248,'13. Updated Demand'!A:Z,19,FALSE)),0,VLOOKUP($A2248,'13. Updated Demand'!A:Z,19,FALSE))</f>
        <v>0</v>
      </c>
      <c r="AC2248" s="16">
        <f>IF(ISERROR(VLOOKUP($A2248,'13. Updated Demand'!A:Z,20,FALSE)),0,VLOOKUP($A2248,'13. Updated Demand'!A:Z,20,FALSE))</f>
        <v>0</v>
      </c>
      <c r="AD2248" s="16">
        <f>IF(ISERROR(VLOOKUP($A2248,'13. Updated Demand'!A:Z,21,FALSE)),0,VLOOKUP($A2248,'13. Updated Demand'!A:Z,21,FALSE))</f>
        <v>2.4300000000000002</v>
      </c>
      <c r="AE2248" s="16">
        <f>IF(ISERROR(VLOOKUP($A2248,'13. Updated Demand'!A:Z,22,FALSE)),0,VLOOKUP($A2248,'13. Updated Demand'!A:Z,22,FALSE))</f>
        <v>7.5</v>
      </c>
      <c r="AF2248" s="16">
        <f>IF(ISERROR(VLOOKUP($A2248,'13. Updated Demand'!A:Z,23,FALSE)),0,VLOOKUP($A2248,'13. Updated Demand'!A:Z,23,FALSE))</f>
        <v>6.2</v>
      </c>
      <c r="AG2248" s="16">
        <f>IF(ISERROR(VLOOKUP($A2248,'13. Updated Demand'!A:Z,24,FALSE)),0,VLOOKUP($A2248,'13. Updated Demand'!A:Z,24,FALSE))</f>
        <v>0.83</v>
      </c>
      <c r="AH2248" s="16">
        <f>IF(ISERROR(VLOOKUP($A2248,'13. Updated Demand'!A:Z,25,FALSE)),0,VLOOKUP($A2248,'13. Updated Demand'!A:Z,25,FALSE))</f>
        <v>0</v>
      </c>
      <c r="AI2248" s="16">
        <f>IF(ISERROR(VLOOKUP($A2248,'13. Updated Demand'!A:Z,26,FALSE)),0,VLOOKUP($A2248,'13. Updated Demand'!A:Z,26,FALSE))</f>
        <v>0</v>
      </c>
      <c r="AJ2248" s="16">
        <f t="shared" si="421"/>
        <v>16.959999999999997</v>
      </c>
      <c r="AK2248" s="19">
        <v>16.133333332999999</v>
      </c>
      <c r="AL2248" s="16">
        <f t="shared" si="431"/>
        <v>5.3512428906195252E-2</v>
      </c>
      <c r="AM2248" s="26">
        <v>0.94785847296089387</v>
      </c>
      <c r="AN2248" s="19">
        <v>17.899999999999999</v>
      </c>
      <c r="AO2248" s="19" t="s">
        <v>1758</v>
      </c>
      <c r="AP2248" s="19">
        <v>0</v>
      </c>
      <c r="AQ2248" s="19" t="s">
        <v>307</v>
      </c>
      <c r="AR2248" s="9" t="s">
        <v>409</v>
      </c>
      <c r="AS2248" s="12">
        <v>0</v>
      </c>
      <c r="AT2248" s="19">
        <v>38.775146479999997</v>
      </c>
      <c r="AU2248" s="19">
        <v>-122.90329154</v>
      </c>
      <c r="AV2248" s="19" t="s">
        <v>2706</v>
      </c>
    </row>
    <row r="2249" spans="1:48" x14ac:dyDescent="0.25">
      <c r="A2249" s="18" t="s">
        <v>2707</v>
      </c>
      <c r="B2249" s="10">
        <v>10000000</v>
      </c>
      <c r="C2249" s="9">
        <v>4</v>
      </c>
      <c r="D2249" s="8" t="str">
        <f t="shared" si="422"/>
        <v>Y</v>
      </c>
      <c r="E2249" s="8" t="str">
        <f t="shared" si="423"/>
        <v>N</v>
      </c>
      <c r="F2249" s="8" t="str">
        <f t="shared" si="424"/>
        <v>Y</v>
      </c>
      <c r="G2249" s="8" t="str">
        <f t="shared" si="425"/>
        <v>Y</v>
      </c>
      <c r="H2249" s="8" t="str">
        <f t="shared" si="426"/>
        <v>Upper</v>
      </c>
      <c r="I2249" s="8" t="str">
        <f t="shared" si="427"/>
        <v>West Fork and Below Lake</v>
      </c>
      <c r="J2249" s="8" t="str">
        <f t="shared" si="428"/>
        <v>Mendocino (d/s of lake)</v>
      </c>
      <c r="K2249" s="8" t="str">
        <f t="shared" si="429"/>
        <v>Riparian</v>
      </c>
      <c r="L2249" s="8">
        <f t="shared" si="430"/>
        <v>1000</v>
      </c>
      <c r="M2249" s="8" t="str">
        <f t="shared" si="432"/>
        <v>-</v>
      </c>
      <c r="N2249" s="10" t="s">
        <v>242</v>
      </c>
      <c r="O2249" s="10" t="s">
        <v>241</v>
      </c>
      <c r="P2249" s="10" t="s">
        <v>242</v>
      </c>
      <c r="Q2249" s="10" t="s">
        <v>242</v>
      </c>
      <c r="R2249" s="10" t="s">
        <v>242</v>
      </c>
      <c r="S2249" s="10" t="s">
        <v>241</v>
      </c>
      <c r="T2249" s="10" t="s">
        <v>242</v>
      </c>
      <c r="U2249" s="10" t="s">
        <v>242</v>
      </c>
      <c r="V2249" s="10" t="s">
        <v>242</v>
      </c>
      <c r="W2249" s="10" t="s">
        <v>242</v>
      </c>
      <c r="X2249" s="15">
        <f>IF(ISERROR(VLOOKUP($A2249,'13. Updated Demand'!A:Z,15,FALSE)),0,VLOOKUP($A2249,'13. Updated Demand'!A:Z,15,FALSE))</f>
        <v>0</v>
      </c>
      <c r="Y2249" s="16">
        <f>IF(ISERROR(VLOOKUP($A2249,'13. Updated Demand'!A:Z,16,FALSE)),0,VLOOKUP($A2249,'13. Updated Demand'!A:Z,16,FALSE))</f>
        <v>0</v>
      </c>
      <c r="Z2249" s="16">
        <f>IF(ISERROR(VLOOKUP($A2249,'13. Updated Demand'!A:Z,17,FALSE)),0,VLOOKUP($A2249,'13. Updated Demand'!A:Z,17,FALSE))</f>
        <v>0</v>
      </c>
      <c r="AA2249" s="16">
        <f>IF(ISERROR(VLOOKUP($A2249,'13. Updated Demand'!A:Z,18,FALSE)),0,VLOOKUP($A2249,'13. Updated Demand'!A:Z,18,FALSE))</f>
        <v>0</v>
      </c>
      <c r="AB2249" s="16">
        <f>IF(ISERROR(VLOOKUP($A2249,'13. Updated Demand'!A:Z,19,FALSE)),0,VLOOKUP($A2249,'13. Updated Demand'!A:Z,19,FALSE))</f>
        <v>0.01</v>
      </c>
      <c r="AC2249" s="16">
        <f>IF(ISERROR(VLOOKUP($A2249,'13. Updated Demand'!A:Z,20,FALSE)),0,VLOOKUP($A2249,'13. Updated Demand'!A:Z,20,FALSE))</f>
        <v>0.02</v>
      </c>
      <c r="AD2249" s="16">
        <f>IF(ISERROR(VLOOKUP($A2249,'13. Updated Demand'!A:Z,21,FALSE)),0,VLOOKUP($A2249,'13. Updated Demand'!A:Z,21,FALSE))</f>
        <v>0.02</v>
      </c>
      <c r="AE2249" s="16">
        <f>IF(ISERROR(VLOOKUP($A2249,'13. Updated Demand'!A:Z,22,FALSE)),0,VLOOKUP($A2249,'13. Updated Demand'!A:Z,22,FALSE))</f>
        <v>0.02</v>
      </c>
      <c r="AF2249" s="16">
        <f>IF(ISERROR(VLOOKUP($A2249,'13. Updated Demand'!A:Z,23,FALSE)),0,VLOOKUP($A2249,'13. Updated Demand'!A:Z,23,FALSE))</f>
        <v>0.02</v>
      </c>
      <c r="AG2249" s="16">
        <f>IF(ISERROR(VLOOKUP($A2249,'13. Updated Demand'!A:Z,24,FALSE)),0,VLOOKUP($A2249,'13. Updated Demand'!A:Z,24,FALSE))</f>
        <v>0.01</v>
      </c>
      <c r="AH2249" s="16">
        <f>IF(ISERROR(VLOOKUP($A2249,'13. Updated Demand'!A:Z,25,FALSE)),0,VLOOKUP($A2249,'13. Updated Demand'!A:Z,25,FALSE))</f>
        <v>0.01</v>
      </c>
      <c r="AI2249" s="16">
        <f>IF(ISERROR(VLOOKUP($A2249,'13. Updated Demand'!A:Z,26,FALSE)),0,VLOOKUP($A2249,'13. Updated Demand'!A:Z,26,FALSE))</f>
        <v>0.01</v>
      </c>
      <c r="AJ2249" s="16">
        <f t="shared" si="421"/>
        <v>0.12</v>
      </c>
      <c r="AK2249" s="19">
        <v>0.11866431293720128</v>
      </c>
      <c r="AL2249" s="16">
        <f t="shared" si="431"/>
        <v>3.9359600887721203E-4</v>
      </c>
      <c r="AM2249" s="26">
        <v>1.4912392849210563E-2</v>
      </c>
      <c r="AN2249" s="19">
        <v>10.866</v>
      </c>
      <c r="AO2249" s="19" t="s">
        <v>1758</v>
      </c>
      <c r="AP2249" s="19">
        <v>0</v>
      </c>
      <c r="AQ2249" s="19" t="s">
        <v>307</v>
      </c>
      <c r="AR2249" s="9" t="s">
        <v>331</v>
      </c>
      <c r="AS2249" s="12">
        <v>3.4039024194010059E-4</v>
      </c>
      <c r="AT2249" s="19">
        <v>39.1205</v>
      </c>
      <c r="AU2249" s="19">
        <v>-123.1212</v>
      </c>
      <c r="AV2249" s="19" t="s">
        <v>406</v>
      </c>
    </row>
    <row r="2250" spans="1:48" x14ac:dyDescent="0.25">
      <c r="A2250" s="18" t="s">
        <v>39</v>
      </c>
      <c r="B2250" s="10">
        <v>10000000</v>
      </c>
      <c r="C2250" s="9">
        <v>5</v>
      </c>
      <c r="D2250" s="8" t="str">
        <f t="shared" si="422"/>
        <v>Y</v>
      </c>
      <c r="E2250" s="8" t="str">
        <f t="shared" si="423"/>
        <v>N</v>
      </c>
      <c r="F2250" s="8" t="str">
        <f t="shared" si="424"/>
        <v>Y</v>
      </c>
      <c r="G2250" s="8" t="str">
        <f t="shared" si="425"/>
        <v>Y</v>
      </c>
      <c r="H2250" s="8" t="str">
        <f t="shared" si="426"/>
        <v>Upper</v>
      </c>
      <c r="I2250" s="8" t="str">
        <f t="shared" si="427"/>
        <v>West Fork and Below Lake</v>
      </c>
      <c r="J2250" s="8" t="str">
        <f t="shared" si="428"/>
        <v>Mendocino (d/s of lake)</v>
      </c>
      <c r="K2250" s="8" t="str">
        <f t="shared" si="429"/>
        <v>Riparian</v>
      </c>
      <c r="L2250" s="8">
        <f t="shared" si="430"/>
        <v>1000</v>
      </c>
      <c r="M2250" s="8" t="str">
        <f t="shared" si="432"/>
        <v>-</v>
      </c>
      <c r="N2250" s="10" t="s">
        <v>241</v>
      </c>
      <c r="O2250" s="10" t="s">
        <v>241</v>
      </c>
      <c r="P2250" s="10" t="s">
        <v>242</v>
      </c>
      <c r="Q2250" s="10" t="s">
        <v>242</v>
      </c>
      <c r="R2250" s="10" t="s">
        <v>242</v>
      </c>
      <c r="S2250" s="10" t="s">
        <v>241</v>
      </c>
      <c r="T2250" s="10" t="s">
        <v>242</v>
      </c>
      <c r="U2250" s="10" t="s">
        <v>242</v>
      </c>
      <c r="V2250" s="10" t="s">
        <v>242</v>
      </c>
      <c r="W2250" s="10" t="s">
        <v>242</v>
      </c>
      <c r="X2250" s="15">
        <f>IF(ISERROR(VLOOKUP($A2250,'13. Updated Demand'!A:Z,15,FALSE)),0,VLOOKUP($A2250,'13. Updated Demand'!A:Z,15,FALSE))</f>
        <v>0</v>
      </c>
      <c r="Y2250" s="16">
        <f>IF(ISERROR(VLOOKUP($A2250,'13. Updated Demand'!A:Z,16,FALSE)),0,VLOOKUP($A2250,'13. Updated Demand'!A:Z,16,FALSE))</f>
        <v>0</v>
      </c>
      <c r="Z2250" s="16">
        <f>IF(ISERROR(VLOOKUP($A2250,'13. Updated Demand'!A:Z,17,FALSE)),0,VLOOKUP($A2250,'13. Updated Demand'!A:Z,17,FALSE))</f>
        <v>0</v>
      </c>
      <c r="AA2250" s="16">
        <f>IF(ISERROR(VLOOKUP($A2250,'13. Updated Demand'!A:Z,18,FALSE)),0,VLOOKUP($A2250,'13. Updated Demand'!A:Z,18,FALSE))</f>
        <v>0.03</v>
      </c>
      <c r="AB2250" s="16">
        <f>IF(ISERROR(VLOOKUP($A2250,'13. Updated Demand'!A:Z,19,FALSE)),0,VLOOKUP($A2250,'13. Updated Demand'!A:Z,19,FALSE))</f>
        <v>0.46</v>
      </c>
      <c r="AC2250" s="16">
        <f>IF(ISERROR(VLOOKUP($A2250,'13. Updated Demand'!A:Z,20,FALSE)),0,VLOOKUP($A2250,'13. Updated Demand'!A:Z,20,FALSE))</f>
        <v>0.3</v>
      </c>
      <c r="AD2250" s="16">
        <f>IF(ISERROR(VLOOKUP($A2250,'13. Updated Demand'!A:Z,21,FALSE)),0,VLOOKUP($A2250,'13. Updated Demand'!A:Z,21,FALSE))</f>
        <v>0</v>
      </c>
      <c r="AE2250" s="16">
        <f>IF(ISERROR(VLOOKUP($A2250,'13. Updated Demand'!A:Z,22,FALSE)),0,VLOOKUP($A2250,'13. Updated Demand'!A:Z,22,FALSE))</f>
        <v>0</v>
      </c>
      <c r="AF2250" s="16">
        <f>IF(ISERROR(VLOOKUP($A2250,'13. Updated Demand'!A:Z,23,FALSE)),0,VLOOKUP($A2250,'13. Updated Demand'!A:Z,23,FALSE))</f>
        <v>0</v>
      </c>
      <c r="AG2250" s="16">
        <f>IF(ISERROR(VLOOKUP($A2250,'13. Updated Demand'!A:Z,24,FALSE)),0,VLOOKUP($A2250,'13. Updated Demand'!A:Z,24,FALSE))</f>
        <v>0</v>
      </c>
      <c r="AH2250" s="16">
        <f>IF(ISERROR(VLOOKUP($A2250,'13. Updated Demand'!A:Z,25,FALSE)),0,VLOOKUP($A2250,'13. Updated Demand'!A:Z,25,FALSE))</f>
        <v>0</v>
      </c>
      <c r="AI2250" s="16">
        <f>IF(ISERROR(VLOOKUP($A2250,'13. Updated Demand'!A:Z,26,FALSE)),0,VLOOKUP($A2250,'13. Updated Demand'!A:Z,26,FALSE))</f>
        <v>0</v>
      </c>
      <c r="AJ2250" s="16">
        <f t="shared" si="421"/>
        <v>0.79</v>
      </c>
      <c r="AK2250" s="19">
        <v>0.76666666666666705</v>
      </c>
      <c r="AL2250" s="16">
        <f t="shared" si="431"/>
        <v>2.5429460017932248E-3</v>
      </c>
      <c r="AM2250" s="26">
        <v>7.9355238685678894E-3</v>
      </c>
      <c r="AN2250" s="19">
        <v>100.8125</v>
      </c>
      <c r="AO2250" s="19" t="s">
        <v>1758</v>
      </c>
      <c r="AP2250" s="19">
        <v>0</v>
      </c>
      <c r="AQ2250" s="19" t="s">
        <v>307</v>
      </c>
      <c r="AR2250" s="9" t="s">
        <v>333</v>
      </c>
      <c r="AS2250" s="12">
        <v>3.4039024194010059E-4</v>
      </c>
      <c r="AT2250" s="19">
        <v>39.059800000000003</v>
      </c>
      <c r="AU2250" s="19">
        <v>-123.14449999999999</v>
      </c>
      <c r="AV2250" s="19" t="s">
        <v>387</v>
      </c>
    </row>
    <row r="2251" spans="1:48" x14ac:dyDescent="0.25">
      <c r="A2251" s="18" t="s">
        <v>2708</v>
      </c>
      <c r="B2251" s="10">
        <v>10000000</v>
      </c>
      <c r="C2251" s="9">
        <v>12</v>
      </c>
      <c r="D2251" s="8" t="str">
        <f t="shared" si="422"/>
        <v>N</v>
      </c>
      <c r="E2251" s="8" t="str">
        <f t="shared" si="423"/>
        <v>Y</v>
      </c>
      <c r="F2251" s="8" t="str">
        <f t="shared" si="424"/>
        <v>Y</v>
      </c>
      <c r="G2251" s="8" t="str">
        <f t="shared" si="425"/>
        <v>Y</v>
      </c>
      <c r="H2251" s="8" t="str">
        <f t="shared" si="426"/>
        <v>Upper</v>
      </c>
      <c r="I2251" s="8" t="str">
        <f t="shared" si="427"/>
        <v>West Fork and Below Lake</v>
      </c>
      <c r="J2251" s="8" t="str">
        <f t="shared" si="428"/>
        <v>Sonoma (d/s of Clov. Gage)</v>
      </c>
      <c r="K2251" s="8" t="str">
        <f t="shared" si="429"/>
        <v>Riparian</v>
      </c>
      <c r="L2251" s="8">
        <f t="shared" si="430"/>
        <v>1000</v>
      </c>
      <c r="M2251" s="8" t="str">
        <f t="shared" si="432"/>
        <v>-</v>
      </c>
      <c r="N2251" s="10" t="s">
        <v>242</v>
      </c>
      <c r="O2251" s="10" t="s">
        <v>241</v>
      </c>
      <c r="P2251" s="10" t="s">
        <v>242</v>
      </c>
      <c r="Q2251" s="10" t="s">
        <v>242</v>
      </c>
      <c r="R2251" s="10" t="s">
        <v>242</v>
      </c>
      <c r="S2251" s="10" t="s">
        <v>241</v>
      </c>
      <c r="T2251" s="10" t="s">
        <v>242</v>
      </c>
      <c r="U2251" s="10" t="s">
        <v>242</v>
      </c>
      <c r="V2251" s="10" t="s">
        <v>242</v>
      </c>
      <c r="W2251" s="10" t="s">
        <v>242</v>
      </c>
      <c r="X2251" s="15">
        <f>IF(ISERROR(VLOOKUP($A2251,'13. Updated Demand'!A:Z,15,FALSE)),0,VLOOKUP($A2251,'13. Updated Demand'!A:Z,15,FALSE))</f>
        <v>0</v>
      </c>
      <c r="Y2251" s="16">
        <f>IF(ISERROR(VLOOKUP($A2251,'13. Updated Demand'!A:Z,16,FALSE)),0,VLOOKUP($A2251,'13. Updated Demand'!A:Z,16,FALSE))</f>
        <v>0</v>
      </c>
      <c r="Z2251" s="16">
        <f>IF(ISERROR(VLOOKUP($A2251,'13. Updated Demand'!A:Z,17,FALSE)),0,VLOOKUP($A2251,'13. Updated Demand'!A:Z,17,FALSE))</f>
        <v>0</v>
      </c>
      <c r="AA2251" s="16">
        <f>IF(ISERROR(VLOOKUP($A2251,'13. Updated Demand'!A:Z,18,FALSE)),0,VLOOKUP($A2251,'13. Updated Demand'!A:Z,18,FALSE))</f>
        <v>0</v>
      </c>
      <c r="AB2251" s="16">
        <f>IF(ISERROR(VLOOKUP($A2251,'13. Updated Demand'!A:Z,19,FALSE)),0,VLOOKUP($A2251,'13. Updated Demand'!A:Z,19,FALSE))</f>
        <v>0</v>
      </c>
      <c r="AC2251" s="16">
        <f>IF(ISERROR(VLOOKUP($A2251,'13. Updated Demand'!A:Z,20,FALSE)),0,VLOOKUP($A2251,'13. Updated Demand'!A:Z,20,FALSE))</f>
        <v>4.333333E-3</v>
      </c>
      <c r="AD2251" s="16">
        <f>IF(ISERROR(VLOOKUP($A2251,'13. Updated Demand'!A:Z,21,FALSE)),0,VLOOKUP($A2251,'13. Updated Demand'!A:Z,21,FALSE))</f>
        <v>0.08</v>
      </c>
      <c r="AE2251" s="16">
        <f>IF(ISERROR(VLOOKUP($A2251,'13. Updated Demand'!A:Z,22,FALSE)),0,VLOOKUP($A2251,'13. Updated Demand'!A:Z,22,FALSE))</f>
        <v>0.1</v>
      </c>
      <c r="AF2251" s="16">
        <f>IF(ISERROR(VLOOKUP($A2251,'13. Updated Demand'!A:Z,23,FALSE)),0,VLOOKUP($A2251,'13. Updated Demand'!A:Z,23,FALSE))</f>
        <v>0.09</v>
      </c>
      <c r="AG2251" s="16">
        <f>IF(ISERROR(VLOOKUP($A2251,'13. Updated Demand'!A:Z,24,FALSE)),0,VLOOKUP($A2251,'13. Updated Demand'!A:Z,24,FALSE))</f>
        <v>4.333333E-3</v>
      </c>
      <c r="AH2251" s="16">
        <f>IF(ISERROR(VLOOKUP($A2251,'13. Updated Demand'!A:Z,25,FALSE)),0,VLOOKUP($A2251,'13. Updated Demand'!A:Z,25,FALSE))</f>
        <v>0</v>
      </c>
      <c r="AI2251" s="16">
        <f>IF(ISERROR(VLOOKUP($A2251,'13. Updated Demand'!A:Z,26,FALSE)),0,VLOOKUP($A2251,'13. Updated Demand'!A:Z,26,FALSE))</f>
        <v>0</v>
      </c>
      <c r="AJ2251" s="16">
        <f t="shared" si="421"/>
        <v>0.27866666599999995</v>
      </c>
      <c r="AK2251" s="19">
        <v>0.28033333299999996</v>
      </c>
      <c r="AL2251" s="16">
        <f t="shared" si="431"/>
        <v>9.2983373259354564E-4</v>
      </c>
      <c r="AM2251" s="26">
        <v>1.1227682653624673E-2</v>
      </c>
      <c r="AN2251" s="19">
        <v>25.353999999999999</v>
      </c>
      <c r="AO2251" s="19" t="s">
        <v>1758</v>
      </c>
      <c r="AP2251" s="19">
        <v>0</v>
      </c>
      <c r="AQ2251" s="19" t="s">
        <v>307</v>
      </c>
      <c r="AR2251" s="9" t="s">
        <v>311</v>
      </c>
      <c r="AS2251" s="12">
        <v>0</v>
      </c>
      <c r="AT2251" s="19">
        <v>38.584800000000001</v>
      </c>
      <c r="AU2251" s="19">
        <v>-122.7482</v>
      </c>
      <c r="AV2251" s="19" t="s">
        <v>1229</v>
      </c>
    </row>
    <row r="2252" spans="1:48" x14ac:dyDescent="0.25">
      <c r="A2252" s="18" t="s">
        <v>2709</v>
      </c>
      <c r="B2252" s="10">
        <v>10000000</v>
      </c>
      <c r="C2252" s="9">
        <v>9</v>
      </c>
      <c r="D2252" s="8" t="str">
        <f t="shared" si="422"/>
        <v>N</v>
      </c>
      <c r="E2252" s="8" t="str">
        <f t="shared" si="423"/>
        <v>Y</v>
      </c>
      <c r="F2252" s="8" t="str">
        <f t="shared" si="424"/>
        <v>Y</v>
      </c>
      <c r="G2252" s="8" t="str">
        <f t="shared" si="425"/>
        <v>Y</v>
      </c>
      <c r="H2252" s="8" t="str">
        <f t="shared" si="426"/>
        <v>Upper</v>
      </c>
      <c r="I2252" s="8" t="str">
        <f t="shared" si="427"/>
        <v>West Fork and Below Lake</v>
      </c>
      <c r="J2252" s="8" t="str">
        <f t="shared" si="428"/>
        <v>Sonoma (d/s of Clov. Gage)</v>
      </c>
      <c r="K2252" s="8" t="str">
        <f t="shared" si="429"/>
        <v>Riparian</v>
      </c>
      <c r="L2252" s="8">
        <f t="shared" si="430"/>
        <v>1000</v>
      </c>
      <c r="M2252" s="8" t="str">
        <f t="shared" si="432"/>
        <v>-</v>
      </c>
      <c r="N2252" s="10" t="s">
        <v>241</v>
      </c>
      <c r="O2252" s="10" t="s">
        <v>241</v>
      </c>
      <c r="P2252" s="10" t="s">
        <v>242</v>
      </c>
      <c r="Q2252" s="10" t="s">
        <v>242</v>
      </c>
      <c r="R2252" s="10" t="s">
        <v>242</v>
      </c>
      <c r="S2252" s="10" t="s">
        <v>241</v>
      </c>
      <c r="T2252" s="10" t="s">
        <v>242</v>
      </c>
      <c r="U2252" s="10" t="s">
        <v>242</v>
      </c>
      <c r="V2252" s="10" t="s">
        <v>242</v>
      </c>
      <c r="W2252" s="10" t="s">
        <v>242</v>
      </c>
      <c r="X2252" s="15">
        <f>IF(ISERROR(VLOOKUP($A2252,'13. Updated Demand'!A:Z,15,FALSE)),0,VLOOKUP($A2252,'13. Updated Demand'!A:Z,15,FALSE))</f>
        <v>0</v>
      </c>
      <c r="Y2252" s="16">
        <f>IF(ISERROR(VLOOKUP($A2252,'13. Updated Demand'!A:Z,16,FALSE)),0,VLOOKUP($A2252,'13. Updated Demand'!A:Z,16,FALSE))</f>
        <v>0</v>
      </c>
      <c r="Z2252" s="16">
        <f>IF(ISERROR(VLOOKUP($A2252,'13. Updated Demand'!A:Z,17,FALSE)),0,VLOOKUP($A2252,'13. Updated Demand'!A:Z,17,FALSE))</f>
        <v>0</v>
      </c>
      <c r="AA2252" s="16">
        <f>IF(ISERROR(VLOOKUP($A2252,'13. Updated Demand'!A:Z,18,FALSE)),0,VLOOKUP($A2252,'13. Updated Demand'!A:Z,18,FALSE))</f>
        <v>0</v>
      </c>
      <c r="AB2252" s="16">
        <f>IF(ISERROR(VLOOKUP($A2252,'13. Updated Demand'!A:Z,19,FALSE)),0,VLOOKUP($A2252,'13. Updated Demand'!A:Z,19,FALSE))</f>
        <v>0.13</v>
      </c>
      <c r="AC2252" s="16">
        <f>IF(ISERROR(VLOOKUP($A2252,'13. Updated Demand'!A:Z,20,FALSE)),0,VLOOKUP($A2252,'13. Updated Demand'!A:Z,20,FALSE))</f>
        <v>1.26</v>
      </c>
      <c r="AD2252" s="16">
        <f>IF(ISERROR(VLOOKUP($A2252,'13. Updated Demand'!A:Z,21,FALSE)),0,VLOOKUP($A2252,'13. Updated Demand'!A:Z,21,FALSE))</f>
        <v>2.96</v>
      </c>
      <c r="AE2252" s="16">
        <f>IF(ISERROR(VLOOKUP($A2252,'13. Updated Demand'!A:Z,22,FALSE)),0,VLOOKUP($A2252,'13. Updated Demand'!A:Z,22,FALSE))</f>
        <v>3.53</v>
      </c>
      <c r="AF2252" s="16">
        <f>IF(ISERROR(VLOOKUP($A2252,'13. Updated Demand'!A:Z,23,FALSE)),0,VLOOKUP($A2252,'13. Updated Demand'!A:Z,23,FALSE))</f>
        <v>2.2599999999999998</v>
      </c>
      <c r="AG2252" s="16">
        <f>IF(ISERROR(VLOOKUP($A2252,'13. Updated Demand'!A:Z,24,FALSE)),0,VLOOKUP($A2252,'13. Updated Demand'!A:Z,24,FALSE))</f>
        <v>0.96</v>
      </c>
      <c r="AH2252" s="16">
        <f>IF(ISERROR(VLOOKUP($A2252,'13. Updated Demand'!A:Z,25,FALSE)),0,VLOOKUP($A2252,'13. Updated Demand'!A:Z,25,FALSE))</f>
        <v>0.26</v>
      </c>
      <c r="AI2252" s="16">
        <f>IF(ISERROR(VLOOKUP($A2252,'13. Updated Demand'!A:Z,26,FALSE)),0,VLOOKUP($A2252,'13. Updated Demand'!A:Z,26,FALSE))</f>
        <v>0</v>
      </c>
      <c r="AJ2252" s="16">
        <f t="shared" si="421"/>
        <v>11.359999999999998</v>
      </c>
      <c r="AK2252" s="19">
        <v>10.166666666666671</v>
      </c>
      <c r="AL2252" s="16">
        <f t="shared" si="431"/>
        <v>3.372167524117102E-2</v>
      </c>
      <c r="AM2252" s="26">
        <v>0.14135151890886552</v>
      </c>
      <c r="AN2252" s="19">
        <v>80.650000000000006</v>
      </c>
      <c r="AO2252" s="19" t="s">
        <v>1758</v>
      </c>
      <c r="AP2252" s="19">
        <v>0</v>
      </c>
      <c r="AQ2252" s="19" t="s">
        <v>307</v>
      </c>
      <c r="AR2252" s="9" t="s">
        <v>354</v>
      </c>
      <c r="AS2252" s="12">
        <v>0</v>
      </c>
      <c r="AT2252" s="19">
        <v>38.749699999999997</v>
      </c>
      <c r="AU2252" s="19">
        <v>-122.95059999999999</v>
      </c>
      <c r="AV2252" s="19" t="s">
        <v>548</v>
      </c>
    </row>
    <row r="2253" spans="1:48" x14ac:dyDescent="0.25">
      <c r="A2253" s="18" t="s">
        <v>2710</v>
      </c>
      <c r="B2253" s="10">
        <v>10000000</v>
      </c>
      <c r="C2253" s="9">
        <v>9</v>
      </c>
      <c r="D2253" s="8" t="str">
        <f t="shared" si="422"/>
        <v>N</v>
      </c>
      <c r="E2253" s="8" t="str">
        <f t="shared" si="423"/>
        <v>Y</v>
      </c>
      <c r="F2253" s="8" t="str">
        <f t="shared" si="424"/>
        <v>Y</v>
      </c>
      <c r="G2253" s="8" t="str">
        <f t="shared" si="425"/>
        <v>Y</v>
      </c>
      <c r="H2253" s="8" t="str">
        <f t="shared" si="426"/>
        <v>Upper</v>
      </c>
      <c r="I2253" s="8" t="str">
        <f t="shared" si="427"/>
        <v>West Fork and Below Lake</v>
      </c>
      <c r="J2253" s="8" t="str">
        <f t="shared" si="428"/>
        <v>Sonoma (d/s of Clov. Gage)</v>
      </c>
      <c r="K2253" s="8" t="str">
        <f t="shared" si="429"/>
        <v>Riparian</v>
      </c>
      <c r="L2253" s="8">
        <f t="shared" si="430"/>
        <v>1000</v>
      </c>
      <c r="M2253" s="8" t="str">
        <f t="shared" si="432"/>
        <v>-</v>
      </c>
      <c r="N2253" s="10" t="s">
        <v>241</v>
      </c>
      <c r="O2253" s="10" t="s">
        <v>241</v>
      </c>
      <c r="P2253" s="10" t="s">
        <v>242</v>
      </c>
      <c r="Q2253" s="10" t="s">
        <v>242</v>
      </c>
      <c r="R2253" s="10" t="s">
        <v>242</v>
      </c>
      <c r="S2253" s="10" t="s">
        <v>241</v>
      </c>
      <c r="T2253" s="10" t="s">
        <v>242</v>
      </c>
      <c r="U2253" s="10" t="s">
        <v>242</v>
      </c>
      <c r="V2253" s="10" t="s">
        <v>242</v>
      </c>
      <c r="W2253" s="10" t="s">
        <v>242</v>
      </c>
      <c r="X2253" s="15">
        <f>IF(ISERROR(VLOOKUP($A2253,'13. Updated Demand'!A:Z,15,FALSE)),0,VLOOKUP($A2253,'13. Updated Demand'!A:Z,15,FALSE))</f>
        <v>0</v>
      </c>
      <c r="Y2253" s="16">
        <f>IF(ISERROR(VLOOKUP($A2253,'13. Updated Demand'!A:Z,16,FALSE)),0,VLOOKUP($A2253,'13. Updated Demand'!A:Z,16,FALSE))</f>
        <v>0</v>
      </c>
      <c r="Z2253" s="16">
        <f>IF(ISERROR(VLOOKUP($A2253,'13. Updated Demand'!A:Z,17,FALSE)),0,VLOOKUP($A2253,'13. Updated Demand'!A:Z,17,FALSE))</f>
        <v>0</v>
      </c>
      <c r="AA2253" s="16">
        <f>IF(ISERROR(VLOOKUP($A2253,'13. Updated Demand'!A:Z,18,FALSE)),0,VLOOKUP($A2253,'13. Updated Demand'!A:Z,18,FALSE))</f>
        <v>0</v>
      </c>
      <c r="AB2253" s="16">
        <f>IF(ISERROR(VLOOKUP($A2253,'13. Updated Demand'!A:Z,19,FALSE)),0,VLOOKUP($A2253,'13. Updated Demand'!A:Z,19,FALSE))</f>
        <v>0</v>
      </c>
      <c r="AC2253" s="16">
        <f>IF(ISERROR(VLOOKUP($A2253,'13. Updated Demand'!A:Z,20,FALSE)),0,VLOOKUP($A2253,'13. Updated Demand'!A:Z,20,FALSE))</f>
        <v>0.16</v>
      </c>
      <c r="AD2253" s="16">
        <f>IF(ISERROR(VLOOKUP($A2253,'13. Updated Demand'!A:Z,21,FALSE)),0,VLOOKUP($A2253,'13. Updated Demand'!A:Z,21,FALSE))</f>
        <v>0.6</v>
      </c>
      <c r="AE2253" s="16">
        <f>IF(ISERROR(VLOOKUP($A2253,'13. Updated Demand'!A:Z,22,FALSE)),0,VLOOKUP($A2253,'13. Updated Demand'!A:Z,22,FALSE))</f>
        <v>0.56000000000000005</v>
      </c>
      <c r="AF2253" s="16">
        <f>IF(ISERROR(VLOOKUP($A2253,'13. Updated Demand'!A:Z,23,FALSE)),0,VLOOKUP($A2253,'13. Updated Demand'!A:Z,23,FALSE))</f>
        <v>0.4</v>
      </c>
      <c r="AG2253" s="16">
        <f>IF(ISERROR(VLOOKUP($A2253,'13. Updated Demand'!A:Z,24,FALSE)),0,VLOOKUP($A2253,'13. Updated Demand'!A:Z,24,FALSE))</f>
        <v>0.4</v>
      </c>
      <c r="AH2253" s="16">
        <f>IF(ISERROR(VLOOKUP($A2253,'13. Updated Demand'!A:Z,25,FALSE)),0,VLOOKUP($A2253,'13. Updated Demand'!A:Z,25,FALSE))</f>
        <v>0.26</v>
      </c>
      <c r="AI2253" s="16">
        <f>IF(ISERROR(VLOOKUP($A2253,'13. Updated Demand'!A:Z,26,FALSE)),0,VLOOKUP($A2253,'13. Updated Demand'!A:Z,26,FALSE))</f>
        <v>0</v>
      </c>
      <c r="AJ2253" s="16">
        <f t="shared" si="421"/>
        <v>2.38</v>
      </c>
      <c r="AK2253" s="19">
        <v>1.7333333333333338</v>
      </c>
      <c r="AL2253" s="16">
        <f t="shared" si="431"/>
        <v>5.7492692214455507E-3</v>
      </c>
      <c r="AM2253" s="26">
        <v>2.9758214507129579E-2</v>
      </c>
      <c r="AN2253" s="19">
        <v>80.650000000000006</v>
      </c>
      <c r="AO2253" s="19" t="s">
        <v>1758</v>
      </c>
      <c r="AP2253" s="19">
        <v>0</v>
      </c>
      <c r="AQ2253" s="19" t="s">
        <v>307</v>
      </c>
      <c r="AR2253" s="9" t="s">
        <v>354</v>
      </c>
      <c r="AS2253" s="12">
        <v>0</v>
      </c>
      <c r="AT2253" s="19">
        <v>38.749699999999997</v>
      </c>
      <c r="AU2253" s="19">
        <v>-122.95059999999999</v>
      </c>
      <c r="AV2253" s="19" t="s">
        <v>548</v>
      </c>
    </row>
    <row r="2254" spans="1:48" x14ac:dyDescent="0.25">
      <c r="A2254" s="18" t="s">
        <v>164</v>
      </c>
      <c r="B2254" s="10">
        <v>10000000</v>
      </c>
      <c r="C2254" s="9">
        <v>12</v>
      </c>
      <c r="D2254" s="8" t="str">
        <f t="shared" si="422"/>
        <v>N</v>
      </c>
      <c r="E2254" s="8" t="str">
        <f t="shared" si="423"/>
        <v>Y</v>
      </c>
      <c r="F2254" s="8" t="str">
        <f t="shared" si="424"/>
        <v>Y</v>
      </c>
      <c r="G2254" s="8" t="str">
        <f t="shared" si="425"/>
        <v>Y</v>
      </c>
      <c r="H2254" s="8" t="str">
        <f t="shared" si="426"/>
        <v>Upper</v>
      </c>
      <c r="I2254" s="8" t="str">
        <f t="shared" si="427"/>
        <v>West Fork and Below Lake</v>
      </c>
      <c r="J2254" s="8" t="str">
        <f t="shared" si="428"/>
        <v>Sonoma (d/s of Clov. Gage)</v>
      </c>
      <c r="K2254" s="8" t="str">
        <f t="shared" si="429"/>
        <v>Riparian</v>
      </c>
      <c r="L2254" s="8">
        <f t="shared" si="430"/>
        <v>1000</v>
      </c>
      <c r="M2254" s="8" t="str">
        <f t="shared" si="432"/>
        <v>-</v>
      </c>
      <c r="N2254" s="10" t="s">
        <v>241</v>
      </c>
      <c r="O2254" s="10" t="s">
        <v>241</v>
      </c>
      <c r="P2254" s="10" t="s">
        <v>242</v>
      </c>
      <c r="Q2254" s="10" t="s">
        <v>242</v>
      </c>
      <c r="R2254" s="10" t="s">
        <v>242</v>
      </c>
      <c r="S2254" s="10" t="s">
        <v>241</v>
      </c>
      <c r="T2254" s="10" t="s">
        <v>242</v>
      </c>
      <c r="U2254" s="10" t="s">
        <v>242</v>
      </c>
      <c r="V2254" s="10" t="s">
        <v>242</v>
      </c>
      <c r="W2254" s="10" t="s">
        <v>242</v>
      </c>
      <c r="X2254" s="15">
        <f>IF(ISERROR(VLOOKUP($A2254,'13. Updated Demand'!A:Z,15,FALSE)),0,VLOOKUP($A2254,'13. Updated Demand'!A:Z,15,FALSE))</f>
        <v>0</v>
      </c>
      <c r="Y2254" s="16">
        <f>IF(ISERROR(VLOOKUP($A2254,'13. Updated Demand'!A:Z,16,FALSE)),0,VLOOKUP($A2254,'13. Updated Demand'!A:Z,16,FALSE))</f>
        <v>0</v>
      </c>
      <c r="Z2254" s="16">
        <f>IF(ISERROR(VLOOKUP($A2254,'13. Updated Demand'!A:Z,17,FALSE)),0,VLOOKUP($A2254,'13. Updated Demand'!A:Z,17,FALSE))</f>
        <v>0.03</v>
      </c>
      <c r="AA2254" s="16">
        <f>IF(ISERROR(VLOOKUP($A2254,'13. Updated Demand'!A:Z,18,FALSE)),0,VLOOKUP($A2254,'13. Updated Demand'!A:Z,18,FALSE))</f>
        <v>1.03</v>
      </c>
      <c r="AB2254" s="16">
        <f>IF(ISERROR(VLOOKUP($A2254,'13. Updated Demand'!A:Z,19,FALSE)),0,VLOOKUP($A2254,'13. Updated Demand'!A:Z,19,FALSE))</f>
        <v>0.66</v>
      </c>
      <c r="AC2254" s="16">
        <f>IF(ISERROR(VLOOKUP($A2254,'13. Updated Demand'!A:Z,20,FALSE)),0,VLOOKUP($A2254,'13. Updated Demand'!A:Z,20,FALSE))</f>
        <v>0</v>
      </c>
      <c r="AD2254" s="16">
        <f>IF(ISERROR(VLOOKUP($A2254,'13. Updated Demand'!A:Z,21,FALSE)),0,VLOOKUP($A2254,'13. Updated Demand'!A:Z,21,FALSE))</f>
        <v>0</v>
      </c>
      <c r="AE2254" s="16">
        <f>IF(ISERROR(VLOOKUP($A2254,'13. Updated Demand'!A:Z,22,FALSE)),0,VLOOKUP($A2254,'13. Updated Demand'!A:Z,22,FALSE))</f>
        <v>0</v>
      </c>
      <c r="AF2254" s="16">
        <f>IF(ISERROR(VLOOKUP($A2254,'13. Updated Demand'!A:Z,23,FALSE)),0,VLOOKUP($A2254,'13. Updated Demand'!A:Z,23,FALSE))</f>
        <v>0</v>
      </c>
      <c r="AG2254" s="16">
        <f>IF(ISERROR(VLOOKUP($A2254,'13. Updated Demand'!A:Z,24,FALSE)),0,VLOOKUP($A2254,'13. Updated Demand'!A:Z,24,FALSE))</f>
        <v>4.33</v>
      </c>
      <c r="AH2254" s="16">
        <f>IF(ISERROR(VLOOKUP($A2254,'13. Updated Demand'!A:Z,25,FALSE)),0,VLOOKUP($A2254,'13. Updated Demand'!A:Z,25,FALSE))</f>
        <v>0</v>
      </c>
      <c r="AI2254" s="16">
        <f>IF(ISERROR(VLOOKUP($A2254,'13. Updated Demand'!A:Z,26,FALSE)),0,VLOOKUP($A2254,'13. Updated Demand'!A:Z,26,FALSE))</f>
        <v>0</v>
      </c>
      <c r="AJ2254" s="16">
        <f t="shared" si="421"/>
        <v>6.0500000000000007</v>
      </c>
      <c r="AK2254" s="19">
        <v>0.66666666666666696</v>
      </c>
      <c r="AL2254" s="16">
        <f t="shared" si="431"/>
        <v>2.2112573928636738E-3</v>
      </c>
      <c r="AM2254" s="26">
        <v>2.5074051112488785E-3</v>
      </c>
      <c r="AN2254" s="19">
        <v>2419.5</v>
      </c>
      <c r="AO2254" s="19" t="s">
        <v>1758</v>
      </c>
      <c r="AP2254" s="19">
        <v>0</v>
      </c>
      <c r="AQ2254" s="19" t="s">
        <v>307</v>
      </c>
      <c r="AR2254" s="9" t="s">
        <v>311</v>
      </c>
      <c r="AS2254" s="12">
        <v>0</v>
      </c>
      <c r="AT2254" s="19">
        <v>38.6494</v>
      </c>
      <c r="AU2254" s="19">
        <v>-122.8022</v>
      </c>
      <c r="AV2254" s="19" t="s">
        <v>2271</v>
      </c>
    </row>
    <row r="2255" spans="1:48" x14ac:dyDescent="0.25">
      <c r="A2255" s="18" t="s">
        <v>2711</v>
      </c>
      <c r="B2255" s="10">
        <v>10000000</v>
      </c>
      <c r="C2255" s="9">
        <v>20</v>
      </c>
      <c r="D2255" s="8" t="str">
        <f t="shared" si="422"/>
        <v>N</v>
      </c>
      <c r="E2255" s="8" t="str">
        <f t="shared" si="423"/>
        <v>N</v>
      </c>
      <c r="F2255" s="8" t="str">
        <f t="shared" si="424"/>
        <v>N</v>
      </c>
      <c r="G2255" s="8" t="str">
        <f t="shared" si="425"/>
        <v>N</v>
      </c>
      <c r="H2255" s="8" t="str">
        <f t="shared" si="426"/>
        <v>Lower</v>
      </c>
      <c r="I2255" s="8" t="str">
        <f t="shared" si="427"/>
        <v>Outside</v>
      </c>
      <c r="J2255" s="8" t="str">
        <f t="shared" si="428"/>
        <v>Outside</v>
      </c>
      <c r="K2255" s="8" t="str">
        <f t="shared" si="429"/>
        <v>Riparian</v>
      </c>
      <c r="L2255" s="8">
        <f t="shared" si="430"/>
        <v>1000</v>
      </c>
      <c r="M2255" s="8" t="str">
        <f t="shared" si="432"/>
        <v>-</v>
      </c>
      <c r="N2255" s="10" t="s">
        <v>242</v>
      </c>
      <c r="O2255" s="10" t="s">
        <v>242</v>
      </c>
      <c r="P2255" s="10" t="s">
        <v>242</v>
      </c>
      <c r="Q2255" s="10" t="s">
        <v>242</v>
      </c>
      <c r="R2255" s="10" t="s">
        <v>242</v>
      </c>
      <c r="S2255" s="10" t="s">
        <v>241</v>
      </c>
      <c r="T2255" s="10" t="s">
        <v>242</v>
      </c>
      <c r="U2255" s="10" t="s">
        <v>242</v>
      </c>
      <c r="V2255" s="10" t="s">
        <v>242</v>
      </c>
      <c r="W2255" s="10" t="s">
        <v>242</v>
      </c>
      <c r="X2255" s="15">
        <f>IF(ISERROR(VLOOKUP($A2255,'13. Updated Demand'!A:Z,15,FALSE)),0,VLOOKUP($A2255,'13. Updated Demand'!A:Z,15,FALSE))</f>
        <v>4.3E-3</v>
      </c>
      <c r="Y2255" s="16">
        <f>IF(ISERROR(VLOOKUP($A2255,'13. Updated Demand'!A:Z,16,FALSE)),0,VLOOKUP($A2255,'13. Updated Demand'!A:Z,16,FALSE))</f>
        <v>4.3E-3</v>
      </c>
      <c r="Z2255" s="16">
        <f>IF(ISERROR(VLOOKUP($A2255,'13. Updated Demand'!A:Z,17,FALSE)),0,VLOOKUP($A2255,'13. Updated Demand'!A:Z,17,FALSE))</f>
        <v>4.3E-3</v>
      </c>
      <c r="AA2255" s="16">
        <f>IF(ISERROR(VLOOKUP($A2255,'13. Updated Demand'!A:Z,18,FALSE)),0,VLOOKUP($A2255,'13. Updated Demand'!A:Z,18,FALSE))</f>
        <v>4.3E-3</v>
      </c>
      <c r="AB2255" s="16">
        <f>IF(ISERROR(VLOOKUP($A2255,'13. Updated Demand'!A:Z,19,FALSE)),0,VLOOKUP($A2255,'13. Updated Demand'!A:Z,19,FALSE))</f>
        <v>5.1000000000000004E-3</v>
      </c>
      <c r="AC2255" s="16">
        <f>IF(ISERROR(VLOOKUP($A2255,'13. Updated Demand'!A:Z,20,FALSE)),0,VLOOKUP($A2255,'13. Updated Demand'!A:Z,20,FALSE))</f>
        <v>5.1000000000000004E-3</v>
      </c>
      <c r="AD2255" s="16">
        <f>IF(ISERROR(VLOOKUP($A2255,'13. Updated Demand'!A:Z,21,FALSE)),0,VLOOKUP($A2255,'13. Updated Demand'!A:Z,21,FALSE))</f>
        <v>5.1000000000000004E-3</v>
      </c>
      <c r="AE2255" s="16">
        <f>IF(ISERROR(VLOOKUP($A2255,'13. Updated Demand'!A:Z,22,FALSE)),0,VLOOKUP($A2255,'13. Updated Demand'!A:Z,22,FALSE))</f>
        <v>5.1000000000000004E-3</v>
      </c>
      <c r="AF2255" s="16">
        <f>IF(ISERROR(VLOOKUP($A2255,'13. Updated Demand'!A:Z,23,FALSE)),0,VLOOKUP($A2255,'13. Updated Demand'!A:Z,23,FALSE))</f>
        <v>5.1000000000000004E-3</v>
      </c>
      <c r="AG2255" s="16">
        <f>IF(ISERROR(VLOOKUP($A2255,'13. Updated Demand'!A:Z,24,FALSE)),0,VLOOKUP($A2255,'13. Updated Demand'!A:Z,24,FALSE))</f>
        <v>4.7000000000000002E-3</v>
      </c>
      <c r="AH2255" s="16">
        <f>IF(ISERROR(VLOOKUP($A2255,'13. Updated Demand'!A:Z,25,FALSE)),0,VLOOKUP($A2255,'13. Updated Demand'!A:Z,25,FALSE))</f>
        <v>4.4999999999999997E-3</v>
      </c>
      <c r="AI2255" s="16">
        <f>IF(ISERROR(VLOOKUP($A2255,'13. Updated Demand'!A:Z,26,FALSE)),0,VLOOKUP($A2255,'13. Updated Demand'!A:Z,26,FALSE))</f>
        <v>4.3E-3</v>
      </c>
      <c r="AJ2255" s="16">
        <f t="shared" si="421"/>
        <v>5.62E-2</v>
      </c>
      <c r="AK2255" s="19">
        <v>2.5500000000000002E-2</v>
      </c>
      <c r="AL2255" s="16">
        <f t="shared" si="431"/>
        <v>8.4580595277035489E-5</v>
      </c>
      <c r="AM2255" s="26">
        <v>3.8790723357261182E-3</v>
      </c>
      <c r="AN2255" s="19">
        <v>14.488</v>
      </c>
      <c r="AO2255" s="19" t="s">
        <v>1758</v>
      </c>
      <c r="AP2255" s="19">
        <v>0</v>
      </c>
      <c r="AQ2255" s="19" t="s">
        <v>307</v>
      </c>
      <c r="AR2255" s="9" t="s">
        <v>329</v>
      </c>
      <c r="AS2255" s="12">
        <v>3.4039024194010059E-4</v>
      </c>
      <c r="AT2255" s="19">
        <v>38.507199999999997</v>
      </c>
      <c r="AU2255" s="19">
        <v>-123.0784</v>
      </c>
      <c r="AV2255" s="19" t="s">
        <v>395</v>
      </c>
    </row>
    <row r="2256" spans="1:48" x14ac:dyDescent="0.25">
      <c r="A2256" s="18" t="s">
        <v>2712</v>
      </c>
      <c r="B2256" s="10">
        <v>10000000</v>
      </c>
      <c r="C2256" s="9">
        <v>20</v>
      </c>
      <c r="D2256" s="8" t="str">
        <f t="shared" si="422"/>
        <v>N</v>
      </c>
      <c r="E2256" s="8" t="str">
        <f t="shared" si="423"/>
        <v>N</v>
      </c>
      <c r="F2256" s="8" t="str">
        <f t="shared" si="424"/>
        <v>N</v>
      </c>
      <c r="G2256" s="8" t="str">
        <f t="shared" si="425"/>
        <v>N</v>
      </c>
      <c r="H2256" s="8" t="str">
        <f t="shared" si="426"/>
        <v>Lower</v>
      </c>
      <c r="I2256" s="8" t="str">
        <f t="shared" si="427"/>
        <v>Outside</v>
      </c>
      <c r="J2256" s="8" t="str">
        <f t="shared" si="428"/>
        <v>Outside</v>
      </c>
      <c r="K2256" s="8" t="str">
        <f t="shared" si="429"/>
        <v>Riparian</v>
      </c>
      <c r="L2256" s="8">
        <f t="shared" si="430"/>
        <v>1000</v>
      </c>
      <c r="M2256" s="8" t="str">
        <f t="shared" si="432"/>
        <v>-</v>
      </c>
      <c r="N2256" s="10" t="s">
        <v>242</v>
      </c>
      <c r="O2256" s="10" t="s">
        <v>242</v>
      </c>
      <c r="P2256" s="10" t="s">
        <v>242</v>
      </c>
      <c r="Q2256" s="10" t="s">
        <v>242</v>
      </c>
      <c r="R2256" s="10" t="s">
        <v>242</v>
      </c>
      <c r="S2256" s="10" t="s">
        <v>241</v>
      </c>
      <c r="T2256" s="10" t="s">
        <v>242</v>
      </c>
      <c r="U2256" s="10" t="s">
        <v>241</v>
      </c>
      <c r="V2256" s="10" t="s">
        <v>241</v>
      </c>
      <c r="W2256" s="10" t="s">
        <v>242</v>
      </c>
      <c r="X2256" s="15">
        <f>IF(ISERROR(VLOOKUP($A2256,'13. Updated Demand'!A:Z,15,FALSE)),0,VLOOKUP($A2256,'13. Updated Demand'!A:Z,15,FALSE))</f>
        <v>0</v>
      </c>
      <c r="Y2256" s="16">
        <f>IF(ISERROR(VLOOKUP($A2256,'13. Updated Demand'!A:Z,16,FALSE)),0,VLOOKUP($A2256,'13. Updated Demand'!A:Z,16,FALSE))</f>
        <v>0</v>
      </c>
      <c r="Z2256" s="16">
        <f>IF(ISERROR(VLOOKUP($A2256,'13. Updated Demand'!A:Z,17,FALSE)),0,VLOOKUP($A2256,'13. Updated Demand'!A:Z,17,FALSE))</f>
        <v>0</v>
      </c>
      <c r="AA2256" s="16">
        <f>IF(ISERROR(VLOOKUP($A2256,'13. Updated Demand'!A:Z,18,FALSE)),0,VLOOKUP($A2256,'13. Updated Demand'!A:Z,18,FALSE))</f>
        <v>0</v>
      </c>
      <c r="AB2256" s="16">
        <f>IF(ISERROR(VLOOKUP($A2256,'13. Updated Demand'!A:Z,19,FALSE)),0,VLOOKUP($A2256,'13. Updated Demand'!A:Z,19,FALSE))</f>
        <v>0</v>
      </c>
      <c r="AC2256" s="16">
        <f>IF(ISERROR(VLOOKUP($A2256,'13. Updated Demand'!A:Z,20,FALSE)),0,VLOOKUP($A2256,'13. Updated Demand'!A:Z,20,FALSE))</f>
        <v>0</v>
      </c>
      <c r="AD2256" s="16">
        <f>IF(ISERROR(VLOOKUP($A2256,'13. Updated Demand'!A:Z,21,FALSE)),0,VLOOKUP($A2256,'13. Updated Demand'!A:Z,21,FALSE))</f>
        <v>0</v>
      </c>
      <c r="AE2256" s="16">
        <f>IF(ISERROR(VLOOKUP($A2256,'13. Updated Demand'!A:Z,22,FALSE)),0,VLOOKUP($A2256,'13. Updated Demand'!A:Z,22,FALSE))</f>
        <v>0</v>
      </c>
      <c r="AF2256" s="16">
        <f>IF(ISERROR(VLOOKUP($A2256,'13. Updated Demand'!A:Z,23,FALSE)),0,VLOOKUP($A2256,'13. Updated Demand'!A:Z,23,FALSE))</f>
        <v>0</v>
      </c>
      <c r="AG2256" s="16">
        <f>IF(ISERROR(VLOOKUP($A2256,'13. Updated Demand'!A:Z,24,FALSE)),0,VLOOKUP($A2256,'13. Updated Demand'!A:Z,24,FALSE))</f>
        <v>0</v>
      </c>
      <c r="AH2256" s="16">
        <f>IF(ISERROR(VLOOKUP($A2256,'13. Updated Demand'!A:Z,25,FALSE)),0,VLOOKUP($A2256,'13. Updated Demand'!A:Z,25,FALSE))</f>
        <v>0</v>
      </c>
      <c r="AI2256" s="16">
        <f>IF(ISERROR(VLOOKUP($A2256,'13. Updated Demand'!A:Z,26,FALSE)),0,VLOOKUP($A2256,'13. Updated Demand'!A:Z,26,FALSE))</f>
        <v>0</v>
      </c>
      <c r="AJ2256" s="16">
        <f t="shared" ref="AJ2256:AJ2319" si="433">SUM(X2256:AI2256)</f>
        <v>0</v>
      </c>
      <c r="AK2256" s="19">
        <v>0</v>
      </c>
      <c r="AL2256" s="16">
        <f t="shared" si="431"/>
        <v>0</v>
      </c>
      <c r="AM2256" s="26">
        <v>0</v>
      </c>
      <c r="AN2256" s="19">
        <v>14.488</v>
      </c>
      <c r="AO2256" s="19" t="s">
        <v>1758</v>
      </c>
      <c r="AP2256" s="19">
        <v>0</v>
      </c>
      <c r="AQ2256" s="19" t="s">
        <v>307</v>
      </c>
      <c r="AR2256" s="9" t="s">
        <v>329</v>
      </c>
      <c r="AS2256" s="12">
        <v>3.4039024194010059E-4</v>
      </c>
      <c r="AT2256" s="19">
        <v>38.508600000000001</v>
      </c>
      <c r="AU2256" s="19">
        <v>-123.0855</v>
      </c>
      <c r="AV2256" s="19" t="s">
        <v>2684</v>
      </c>
    </row>
    <row r="2257" spans="1:48" x14ac:dyDescent="0.25">
      <c r="A2257" s="18" t="s">
        <v>2713</v>
      </c>
      <c r="B2257" s="10">
        <v>10000000</v>
      </c>
      <c r="C2257" s="9">
        <v>23</v>
      </c>
      <c r="D2257" s="8" t="str">
        <f t="shared" si="422"/>
        <v>N</v>
      </c>
      <c r="E2257" s="8" t="str">
        <f t="shared" si="423"/>
        <v>N</v>
      </c>
      <c r="F2257" s="8" t="str">
        <f t="shared" si="424"/>
        <v>N</v>
      </c>
      <c r="G2257" s="8" t="str">
        <f t="shared" si="425"/>
        <v>N</v>
      </c>
      <c r="H2257" s="8" t="str">
        <f t="shared" si="426"/>
        <v>Lower</v>
      </c>
      <c r="I2257" s="8" t="str">
        <f t="shared" si="427"/>
        <v>Outside</v>
      </c>
      <c r="J2257" s="8" t="str">
        <f t="shared" si="428"/>
        <v>Outside</v>
      </c>
      <c r="K2257" s="8" t="str">
        <f t="shared" si="429"/>
        <v>Riparian</v>
      </c>
      <c r="L2257" s="8">
        <f t="shared" si="430"/>
        <v>1000</v>
      </c>
      <c r="M2257" s="8" t="str">
        <f t="shared" si="432"/>
        <v>-</v>
      </c>
      <c r="N2257" s="10" t="s">
        <v>242</v>
      </c>
      <c r="O2257" s="10" t="s">
        <v>242</v>
      </c>
      <c r="P2257" s="10" t="s">
        <v>242</v>
      </c>
      <c r="Q2257" s="10" t="s">
        <v>242</v>
      </c>
      <c r="R2257" s="10" t="s">
        <v>242</v>
      </c>
      <c r="S2257" s="10" t="s">
        <v>241</v>
      </c>
      <c r="T2257" s="10" t="s">
        <v>242</v>
      </c>
      <c r="U2257" s="10" t="s">
        <v>242</v>
      </c>
      <c r="V2257" s="10" t="s">
        <v>242</v>
      </c>
      <c r="W2257" s="10" t="s">
        <v>242</v>
      </c>
      <c r="X2257" s="15">
        <f>IF(ISERROR(VLOOKUP($A2257,'13. Updated Demand'!A:Z,15,FALSE)),0,VLOOKUP($A2257,'13. Updated Demand'!A:Z,15,FALSE))</f>
        <v>0.5</v>
      </c>
      <c r="Y2257" s="16">
        <f>IF(ISERROR(VLOOKUP($A2257,'13. Updated Demand'!A:Z,16,FALSE)),0,VLOOKUP($A2257,'13. Updated Demand'!A:Z,16,FALSE))</f>
        <v>0.133333333</v>
      </c>
      <c r="Z2257" s="16">
        <f>IF(ISERROR(VLOOKUP($A2257,'13. Updated Demand'!A:Z,17,FALSE)),0,VLOOKUP($A2257,'13. Updated Demand'!A:Z,17,FALSE))</f>
        <v>2.1666666669999999</v>
      </c>
      <c r="AA2257" s="16">
        <f>IF(ISERROR(VLOOKUP($A2257,'13. Updated Demand'!A:Z,18,FALSE)),0,VLOOKUP($A2257,'13. Updated Demand'!A:Z,18,FALSE))</f>
        <v>0.5</v>
      </c>
      <c r="AB2257" s="16">
        <f>IF(ISERROR(VLOOKUP($A2257,'13. Updated Demand'!A:Z,19,FALSE)),0,VLOOKUP($A2257,'13. Updated Demand'!A:Z,19,FALSE))</f>
        <v>0.46666666699999998</v>
      </c>
      <c r="AC2257" s="16">
        <f>IF(ISERROR(VLOOKUP($A2257,'13. Updated Demand'!A:Z,20,FALSE)),0,VLOOKUP($A2257,'13. Updated Demand'!A:Z,20,FALSE))</f>
        <v>0.233333333</v>
      </c>
      <c r="AD2257" s="16">
        <f>IF(ISERROR(VLOOKUP($A2257,'13. Updated Demand'!A:Z,21,FALSE)),0,VLOOKUP($A2257,'13. Updated Demand'!A:Z,21,FALSE))</f>
        <v>0</v>
      </c>
      <c r="AE2257" s="16">
        <f>IF(ISERROR(VLOOKUP($A2257,'13. Updated Demand'!A:Z,22,FALSE)),0,VLOOKUP($A2257,'13. Updated Demand'!A:Z,22,FALSE))</f>
        <v>0</v>
      </c>
      <c r="AF2257" s="16">
        <f>IF(ISERROR(VLOOKUP($A2257,'13. Updated Demand'!A:Z,23,FALSE)),0,VLOOKUP($A2257,'13. Updated Demand'!A:Z,23,FALSE))</f>
        <v>0</v>
      </c>
      <c r="AG2257" s="16">
        <f>IF(ISERROR(VLOOKUP($A2257,'13. Updated Demand'!A:Z,24,FALSE)),0,VLOOKUP($A2257,'13. Updated Demand'!A:Z,24,FALSE))</f>
        <v>0</v>
      </c>
      <c r="AH2257" s="16">
        <f>IF(ISERROR(VLOOKUP($A2257,'13. Updated Demand'!A:Z,25,FALSE)),0,VLOOKUP($A2257,'13. Updated Demand'!A:Z,25,FALSE))</f>
        <v>0</v>
      </c>
      <c r="AI2257" s="16">
        <f>IF(ISERROR(VLOOKUP($A2257,'13. Updated Demand'!A:Z,26,FALSE)),0,VLOOKUP($A2257,'13. Updated Demand'!A:Z,26,FALSE))</f>
        <v>0</v>
      </c>
      <c r="AJ2257" s="16">
        <f t="shared" si="433"/>
        <v>4</v>
      </c>
      <c r="AK2257" s="19">
        <v>0.7</v>
      </c>
      <c r="AL2257" s="16">
        <f t="shared" si="431"/>
        <v>2.3218202625068561E-3</v>
      </c>
      <c r="AM2257" s="26">
        <v>2</v>
      </c>
      <c r="AN2257" s="19">
        <v>2</v>
      </c>
      <c r="AO2257" s="19" t="s">
        <v>1758</v>
      </c>
      <c r="AP2257" s="19">
        <v>0</v>
      </c>
      <c r="AQ2257" s="19" t="s">
        <v>307</v>
      </c>
      <c r="AR2257" s="9" t="s">
        <v>378</v>
      </c>
      <c r="AS2257" s="12">
        <v>0</v>
      </c>
      <c r="AT2257" s="19">
        <v>38.397599999999997</v>
      </c>
      <c r="AU2257" s="19">
        <v>-122.6409</v>
      </c>
      <c r="AV2257" s="19" t="s">
        <v>385</v>
      </c>
    </row>
    <row r="2258" spans="1:48" x14ac:dyDescent="0.25">
      <c r="A2258" s="18" t="s">
        <v>2714</v>
      </c>
      <c r="B2258" s="10">
        <v>10000000</v>
      </c>
      <c r="C2258" s="9">
        <v>12</v>
      </c>
      <c r="D2258" s="8" t="str">
        <f t="shared" si="422"/>
        <v>N</v>
      </c>
      <c r="E2258" s="8" t="str">
        <f t="shared" si="423"/>
        <v>Y</v>
      </c>
      <c r="F2258" s="8" t="str">
        <f t="shared" si="424"/>
        <v>Y</v>
      </c>
      <c r="G2258" s="8" t="str">
        <f t="shared" si="425"/>
        <v>Y</v>
      </c>
      <c r="H2258" s="8" t="str">
        <f t="shared" si="426"/>
        <v>Upper</v>
      </c>
      <c r="I2258" s="8" t="str">
        <f t="shared" si="427"/>
        <v>West Fork and Below Lake</v>
      </c>
      <c r="J2258" s="8" t="str">
        <f t="shared" si="428"/>
        <v>Sonoma (d/s of Clov. Gage)</v>
      </c>
      <c r="K2258" s="8" t="str">
        <f t="shared" si="429"/>
        <v>Riparian</v>
      </c>
      <c r="L2258" s="8">
        <f t="shared" si="430"/>
        <v>1000</v>
      </c>
      <c r="M2258" s="8" t="str">
        <f t="shared" si="432"/>
        <v>-</v>
      </c>
      <c r="N2258" s="10" t="s">
        <v>242</v>
      </c>
      <c r="O2258" s="10" t="s">
        <v>241</v>
      </c>
      <c r="P2258" s="10" t="s">
        <v>242</v>
      </c>
      <c r="Q2258" s="10" t="s">
        <v>242</v>
      </c>
      <c r="R2258" s="10" t="s">
        <v>242</v>
      </c>
      <c r="S2258" s="10" t="s">
        <v>241</v>
      </c>
      <c r="T2258" s="10" t="s">
        <v>242</v>
      </c>
      <c r="U2258" s="10" t="s">
        <v>242</v>
      </c>
      <c r="V2258" s="10" t="s">
        <v>242</v>
      </c>
      <c r="W2258" s="10" t="s">
        <v>242</v>
      </c>
      <c r="X2258" s="15">
        <f>IF(ISERROR(VLOOKUP($A2258,'13. Updated Demand'!A:Z,15,FALSE)),0,VLOOKUP($A2258,'13. Updated Demand'!A:Z,15,FALSE))</f>
        <v>0</v>
      </c>
      <c r="Y2258" s="16">
        <f>IF(ISERROR(VLOOKUP($A2258,'13. Updated Demand'!A:Z,16,FALSE)),0,VLOOKUP($A2258,'13. Updated Demand'!A:Z,16,FALSE))</f>
        <v>0.05</v>
      </c>
      <c r="Z2258" s="16">
        <f>IF(ISERROR(VLOOKUP($A2258,'13. Updated Demand'!A:Z,17,FALSE)),0,VLOOKUP($A2258,'13. Updated Demand'!A:Z,17,FALSE))</f>
        <v>0.43</v>
      </c>
      <c r="AA2258" s="16">
        <f>IF(ISERROR(VLOOKUP($A2258,'13. Updated Demand'!A:Z,18,FALSE)),0,VLOOKUP($A2258,'13. Updated Demand'!A:Z,18,FALSE))</f>
        <v>0</v>
      </c>
      <c r="AB2258" s="16">
        <f>IF(ISERROR(VLOOKUP($A2258,'13. Updated Demand'!A:Z,19,FALSE)),0,VLOOKUP($A2258,'13. Updated Demand'!A:Z,19,FALSE))</f>
        <v>0.17</v>
      </c>
      <c r="AC2258" s="16">
        <f>IF(ISERROR(VLOOKUP($A2258,'13. Updated Demand'!A:Z,20,FALSE)),0,VLOOKUP($A2258,'13. Updated Demand'!A:Z,20,FALSE))</f>
        <v>0.61</v>
      </c>
      <c r="AD2258" s="16">
        <f>IF(ISERROR(VLOOKUP($A2258,'13. Updated Demand'!A:Z,21,FALSE)),0,VLOOKUP($A2258,'13. Updated Demand'!A:Z,21,FALSE))</f>
        <v>2.86</v>
      </c>
      <c r="AE2258" s="16">
        <f>IF(ISERROR(VLOOKUP($A2258,'13. Updated Demand'!A:Z,22,FALSE)),0,VLOOKUP($A2258,'13. Updated Demand'!A:Z,22,FALSE))</f>
        <v>2.88</v>
      </c>
      <c r="AF2258" s="16">
        <f>IF(ISERROR(VLOOKUP($A2258,'13. Updated Demand'!A:Z,23,FALSE)),0,VLOOKUP($A2258,'13. Updated Demand'!A:Z,23,FALSE))</f>
        <v>1.95</v>
      </c>
      <c r="AG2258" s="16">
        <f>IF(ISERROR(VLOOKUP($A2258,'13. Updated Demand'!A:Z,24,FALSE)),0,VLOOKUP($A2258,'13. Updated Demand'!A:Z,24,FALSE))</f>
        <v>0.97</v>
      </c>
      <c r="AH2258" s="16">
        <f>IF(ISERROR(VLOOKUP($A2258,'13. Updated Demand'!A:Z,25,FALSE)),0,VLOOKUP($A2258,'13. Updated Demand'!A:Z,25,FALSE))</f>
        <v>0</v>
      </c>
      <c r="AI2258" s="16">
        <f>IF(ISERROR(VLOOKUP($A2258,'13. Updated Demand'!A:Z,26,FALSE)),0,VLOOKUP($A2258,'13. Updated Demand'!A:Z,26,FALSE))</f>
        <v>0</v>
      </c>
      <c r="AJ2258" s="16">
        <f t="shared" si="433"/>
        <v>9.92</v>
      </c>
      <c r="AK2258" s="19">
        <v>8.4833333329999991</v>
      </c>
      <c r="AL2258" s="16">
        <f t="shared" si="431"/>
        <v>2.8138250323084604E-2</v>
      </c>
      <c r="AM2258" s="26">
        <v>4.4847733379924482E-2</v>
      </c>
      <c r="AN2258" s="19">
        <v>221.78749999999999</v>
      </c>
      <c r="AO2258" s="19" t="s">
        <v>1758</v>
      </c>
      <c r="AP2258" s="19">
        <v>0</v>
      </c>
      <c r="AQ2258" s="19" t="s">
        <v>307</v>
      </c>
      <c r="AR2258" s="9" t="s">
        <v>311</v>
      </c>
      <c r="AS2258" s="12">
        <v>0</v>
      </c>
      <c r="AT2258" s="19">
        <v>38.659199999999998</v>
      </c>
      <c r="AU2258" s="19">
        <v>-122.8125</v>
      </c>
      <c r="AV2258" s="19" t="s">
        <v>2715</v>
      </c>
    </row>
    <row r="2259" spans="1:48" x14ac:dyDescent="0.25">
      <c r="A2259" s="18" t="s">
        <v>2716</v>
      </c>
      <c r="B2259" s="10">
        <v>10000000</v>
      </c>
      <c r="C2259" s="9">
        <v>16</v>
      </c>
      <c r="D2259" s="8" t="str">
        <f t="shared" si="422"/>
        <v>N</v>
      </c>
      <c r="E2259" s="8" t="str">
        <f t="shared" si="423"/>
        <v>N</v>
      </c>
      <c r="F2259" s="8" t="str">
        <f t="shared" si="424"/>
        <v>N</v>
      </c>
      <c r="G2259" s="8" t="str">
        <f t="shared" si="425"/>
        <v>N</v>
      </c>
      <c r="H2259" s="8" t="str">
        <f t="shared" si="426"/>
        <v>Lower</v>
      </c>
      <c r="I2259" s="8" t="str">
        <f t="shared" si="427"/>
        <v>Outside</v>
      </c>
      <c r="J2259" s="8" t="str">
        <f t="shared" si="428"/>
        <v>Outside</v>
      </c>
      <c r="K2259" s="8" t="str">
        <f t="shared" si="429"/>
        <v>Riparian</v>
      </c>
      <c r="L2259" s="8">
        <f t="shared" si="430"/>
        <v>1000</v>
      </c>
      <c r="M2259" s="8" t="str">
        <f t="shared" si="432"/>
        <v>-</v>
      </c>
      <c r="N2259" s="10" t="s">
        <v>242</v>
      </c>
      <c r="O2259" s="10" t="s">
        <v>242</v>
      </c>
      <c r="P2259" s="10" t="s">
        <v>242</v>
      </c>
      <c r="Q2259" s="10" t="s">
        <v>242</v>
      </c>
      <c r="R2259" s="10" t="s">
        <v>242</v>
      </c>
      <c r="S2259" s="10" t="s">
        <v>241</v>
      </c>
      <c r="T2259" s="10" t="s">
        <v>242</v>
      </c>
      <c r="U2259" s="10" t="s">
        <v>242</v>
      </c>
      <c r="V2259" s="10" t="s">
        <v>241</v>
      </c>
      <c r="W2259" s="10" t="s">
        <v>242</v>
      </c>
      <c r="X2259" s="15">
        <f>IF(ISERROR(VLOOKUP($A2259,'13. Updated Demand'!A:Z,15,FALSE)),0,VLOOKUP($A2259,'13. Updated Demand'!A:Z,15,FALSE))</f>
        <v>4.6666666670000003</v>
      </c>
      <c r="Y2259" s="16">
        <f>IF(ISERROR(VLOOKUP($A2259,'13. Updated Demand'!A:Z,16,FALSE)),0,VLOOKUP($A2259,'13. Updated Demand'!A:Z,16,FALSE))</f>
        <v>5</v>
      </c>
      <c r="Z2259" s="16">
        <f>IF(ISERROR(VLOOKUP($A2259,'13. Updated Demand'!A:Z,17,FALSE)),0,VLOOKUP($A2259,'13. Updated Demand'!A:Z,17,FALSE))</f>
        <v>3.4166666669999999</v>
      </c>
      <c r="AA2259" s="16">
        <f>IF(ISERROR(VLOOKUP($A2259,'13. Updated Demand'!A:Z,18,FALSE)),0,VLOOKUP($A2259,'13. Updated Demand'!A:Z,18,FALSE))</f>
        <v>0.75</v>
      </c>
      <c r="AB2259" s="16">
        <f>IF(ISERROR(VLOOKUP($A2259,'13. Updated Demand'!A:Z,19,FALSE)),0,VLOOKUP($A2259,'13. Updated Demand'!A:Z,19,FALSE))</f>
        <v>0</v>
      </c>
      <c r="AC2259" s="16">
        <f>IF(ISERROR(VLOOKUP($A2259,'13. Updated Demand'!A:Z,20,FALSE)),0,VLOOKUP($A2259,'13. Updated Demand'!A:Z,20,FALSE))</f>
        <v>0</v>
      </c>
      <c r="AD2259" s="16">
        <f>IF(ISERROR(VLOOKUP($A2259,'13. Updated Demand'!A:Z,21,FALSE)),0,VLOOKUP($A2259,'13. Updated Demand'!A:Z,21,FALSE))</f>
        <v>0</v>
      </c>
      <c r="AE2259" s="16">
        <f>IF(ISERROR(VLOOKUP($A2259,'13. Updated Demand'!A:Z,22,FALSE)),0,VLOOKUP($A2259,'13. Updated Demand'!A:Z,22,FALSE))</f>
        <v>0</v>
      </c>
      <c r="AF2259" s="16">
        <f>IF(ISERROR(VLOOKUP($A2259,'13. Updated Demand'!A:Z,23,FALSE)),0,VLOOKUP($A2259,'13. Updated Demand'!A:Z,23,FALSE))</f>
        <v>0</v>
      </c>
      <c r="AG2259" s="16">
        <f>IF(ISERROR(VLOOKUP($A2259,'13. Updated Demand'!A:Z,24,FALSE)),0,VLOOKUP($A2259,'13. Updated Demand'!A:Z,24,FALSE))</f>
        <v>6.6666666999999999E-2</v>
      </c>
      <c r="AH2259" s="16">
        <f>IF(ISERROR(VLOOKUP($A2259,'13. Updated Demand'!A:Z,25,FALSE)),0,VLOOKUP($A2259,'13. Updated Demand'!A:Z,25,FALSE))</f>
        <v>3.233333333</v>
      </c>
      <c r="AI2259" s="16">
        <f>IF(ISERROR(VLOOKUP($A2259,'13. Updated Demand'!A:Z,26,FALSE)),0,VLOOKUP($A2259,'13. Updated Demand'!A:Z,26,FALSE))</f>
        <v>3.766666667</v>
      </c>
      <c r="AJ2259" s="16">
        <f t="shared" si="433"/>
        <v>20.900000000999999</v>
      </c>
      <c r="AK2259" s="19">
        <v>0</v>
      </c>
      <c r="AL2259" s="16">
        <f t="shared" si="431"/>
        <v>0</v>
      </c>
      <c r="AM2259" s="26">
        <v>0.44468085108510635</v>
      </c>
      <c r="AN2259" s="19">
        <v>47</v>
      </c>
      <c r="AO2259" s="19" t="s">
        <v>1758</v>
      </c>
      <c r="AP2259" s="19">
        <v>0</v>
      </c>
      <c r="AQ2259" s="19" t="s">
        <v>307</v>
      </c>
      <c r="AR2259" s="9" t="s">
        <v>394</v>
      </c>
      <c r="AS2259" s="12">
        <v>0</v>
      </c>
      <c r="AT2259" s="19">
        <v>38.595300000000002</v>
      </c>
      <c r="AU2259" s="19">
        <v>-122.89239999999999</v>
      </c>
      <c r="AV2259" s="19" t="s">
        <v>385</v>
      </c>
    </row>
    <row r="2260" spans="1:48" x14ac:dyDescent="0.25">
      <c r="A2260" s="18" t="s">
        <v>2717</v>
      </c>
      <c r="B2260" s="10">
        <v>10000000</v>
      </c>
      <c r="C2260" s="9">
        <v>18</v>
      </c>
      <c r="D2260" s="8" t="str">
        <f t="shared" si="422"/>
        <v>N</v>
      </c>
      <c r="E2260" s="8" t="str">
        <f t="shared" si="423"/>
        <v>N</v>
      </c>
      <c r="F2260" s="8" t="str">
        <f t="shared" si="424"/>
        <v>N</v>
      </c>
      <c r="G2260" s="8" t="str">
        <f t="shared" si="425"/>
        <v>N</v>
      </c>
      <c r="H2260" s="8" t="str">
        <f t="shared" si="426"/>
        <v>Lower</v>
      </c>
      <c r="I2260" s="8" t="str">
        <f t="shared" si="427"/>
        <v>Outside</v>
      </c>
      <c r="J2260" s="8" t="str">
        <f t="shared" si="428"/>
        <v>Outside</v>
      </c>
      <c r="K2260" s="8" t="str">
        <f t="shared" si="429"/>
        <v>Riparian</v>
      </c>
      <c r="L2260" s="8">
        <f t="shared" si="430"/>
        <v>1000</v>
      </c>
      <c r="M2260" s="8" t="str">
        <f t="shared" si="432"/>
        <v>-</v>
      </c>
      <c r="N2260" s="10" t="s">
        <v>241</v>
      </c>
      <c r="O2260" s="10" t="s">
        <v>242</v>
      </c>
      <c r="P2260" s="10" t="s">
        <v>242</v>
      </c>
      <c r="Q2260" s="10" t="s">
        <v>242</v>
      </c>
      <c r="R2260" s="10" t="s">
        <v>242</v>
      </c>
      <c r="S2260" s="10" t="s">
        <v>241</v>
      </c>
      <c r="T2260" s="10" t="s">
        <v>242</v>
      </c>
      <c r="U2260" s="10" t="s">
        <v>242</v>
      </c>
      <c r="V2260" s="10" t="s">
        <v>242</v>
      </c>
      <c r="W2260" s="10" t="s">
        <v>242</v>
      </c>
      <c r="X2260" s="15">
        <f>IF(ISERROR(VLOOKUP($A2260,'13. Updated Demand'!A:Z,15,FALSE)),0,VLOOKUP($A2260,'13. Updated Demand'!A:Z,15,FALSE))</f>
        <v>0</v>
      </c>
      <c r="Y2260" s="16">
        <f>IF(ISERROR(VLOOKUP($A2260,'13. Updated Demand'!A:Z,16,FALSE)),0,VLOOKUP($A2260,'13. Updated Demand'!A:Z,16,FALSE))</f>
        <v>0</v>
      </c>
      <c r="Z2260" s="16">
        <f>IF(ISERROR(VLOOKUP($A2260,'13. Updated Demand'!A:Z,17,FALSE)),0,VLOOKUP($A2260,'13. Updated Demand'!A:Z,17,FALSE))</f>
        <v>0</v>
      </c>
      <c r="AA2260" s="16">
        <f>IF(ISERROR(VLOOKUP($A2260,'13. Updated Demand'!A:Z,18,FALSE)),0,VLOOKUP($A2260,'13. Updated Demand'!A:Z,18,FALSE))</f>
        <v>0</v>
      </c>
      <c r="AB2260" s="16">
        <f>IF(ISERROR(VLOOKUP($A2260,'13. Updated Demand'!A:Z,19,FALSE)),0,VLOOKUP($A2260,'13. Updated Demand'!A:Z,19,FALSE))</f>
        <v>0</v>
      </c>
      <c r="AC2260" s="16">
        <f>IF(ISERROR(VLOOKUP($A2260,'13. Updated Demand'!A:Z,20,FALSE)),0,VLOOKUP($A2260,'13. Updated Demand'!A:Z,20,FALSE))</f>
        <v>7.3684399999999995E-4</v>
      </c>
      <c r="AD2260" s="16">
        <f>IF(ISERROR(VLOOKUP($A2260,'13. Updated Demand'!A:Z,21,FALSE)),0,VLOOKUP($A2260,'13. Updated Demand'!A:Z,21,FALSE))</f>
        <v>9.82178E-4</v>
      </c>
      <c r="AE2260" s="16">
        <f>IF(ISERROR(VLOOKUP($A2260,'13. Updated Demand'!A:Z,22,FALSE)),0,VLOOKUP($A2260,'13. Updated Demand'!A:Z,22,FALSE))</f>
        <v>9.82178E-4</v>
      </c>
      <c r="AF2260" s="16">
        <f>IF(ISERROR(VLOOKUP($A2260,'13. Updated Demand'!A:Z,23,FALSE)),0,VLOOKUP($A2260,'13. Updated Demand'!A:Z,23,FALSE))</f>
        <v>8.5951099999999998E-4</v>
      </c>
      <c r="AG2260" s="16">
        <f>IF(ISERROR(VLOOKUP($A2260,'13. Updated Demand'!A:Z,24,FALSE)),0,VLOOKUP($A2260,'13. Updated Demand'!A:Z,24,FALSE))</f>
        <v>2.4566699999999998E-4</v>
      </c>
      <c r="AH2260" s="16">
        <f>IF(ISERROR(VLOOKUP($A2260,'13. Updated Demand'!A:Z,25,FALSE)),0,VLOOKUP($A2260,'13. Updated Demand'!A:Z,25,FALSE))</f>
        <v>0</v>
      </c>
      <c r="AI2260" s="16">
        <f>IF(ISERROR(VLOOKUP($A2260,'13. Updated Demand'!A:Z,26,FALSE)),0,VLOOKUP($A2260,'13. Updated Demand'!A:Z,26,FALSE))</f>
        <v>0</v>
      </c>
      <c r="AJ2260" s="16">
        <f t="shared" si="433"/>
        <v>3.806378E-3</v>
      </c>
      <c r="AK2260" s="19">
        <v>3.5607106069952231E-3</v>
      </c>
      <c r="AL2260" s="16">
        <f t="shared" si="431"/>
        <v>1.1810471480349424E-5</v>
      </c>
      <c r="AM2260" s="26">
        <v>1.8878498567448927E-4</v>
      </c>
      <c r="AN2260" s="19">
        <v>20.162500000000001</v>
      </c>
      <c r="AO2260" s="19" t="s">
        <v>1758</v>
      </c>
      <c r="AP2260" s="19">
        <v>0</v>
      </c>
      <c r="AQ2260" s="19" t="s">
        <v>307</v>
      </c>
      <c r="AR2260" s="9" t="s">
        <v>352</v>
      </c>
      <c r="AS2260" s="12">
        <v>0</v>
      </c>
      <c r="AT2260" s="19">
        <v>38.5045</v>
      </c>
      <c r="AU2260" s="19">
        <v>-122.91079999999999</v>
      </c>
      <c r="AV2260" s="19" t="s">
        <v>387</v>
      </c>
    </row>
    <row r="2261" spans="1:48" x14ac:dyDescent="0.25">
      <c r="A2261" s="18" t="s">
        <v>2718</v>
      </c>
      <c r="B2261" s="10">
        <v>10000000</v>
      </c>
      <c r="C2261" s="9">
        <v>21</v>
      </c>
      <c r="D2261" s="8" t="str">
        <f t="shared" si="422"/>
        <v>N</v>
      </c>
      <c r="E2261" s="8" t="str">
        <f t="shared" si="423"/>
        <v>N</v>
      </c>
      <c r="F2261" s="8" t="str">
        <f t="shared" si="424"/>
        <v>N</v>
      </c>
      <c r="G2261" s="8" t="str">
        <f t="shared" si="425"/>
        <v>N</v>
      </c>
      <c r="H2261" s="8" t="str">
        <f t="shared" si="426"/>
        <v>Lower</v>
      </c>
      <c r="I2261" s="8" t="str">
        <f t="shared" si="427"/>
        <v>Outside</v>
      </c>
      <c r="J2261" s="8" t="str">
        <f t="shared" si="428"/>
        <v>Outside</v>
      </c>
      <c r="K2261" s="8" t="str">
        <f t="shared" si="429"/>
        <v>Riparian</v>
      </c>
      <c r="L2261" s="8">
        <f t="shared" si="430"/>
        <v>1000</v>
      </c>
      <c r="M2261" s="8" t="str">
        <f t="shared" si="432"/>
        <v>-</v>
      </c>
      <c r="N2261" s="10" t="s">
        <v>242</v>
      </c>
      <c r="O2261" s="10" t="s">
        <v>242</v>
      </c>
      <c r="P2261" s="10" t="s">
        <v>242</v>
      </c>
      <c r="Q2261" s="10" t="s">
        <v>242</v>
      </c>
      <c r="R2261" s="10" t="s">
        <v>242</v>
      </c>
      <c r="S2261" s="10" t="s">
        <v>241</v>
      </c>
      <c r="T2261" s="10" t="s">
        <v>242</v>
      </c>
      <c r="U2261" s="10" t="s">
        <v>242</v>
      </c>
      <c r="V2261" s="10" t="s">
        <v>242</v>
      </c>
      <c r="W2261" s="10" t="s">
        <v>242</v>
      </c>
      <c r="X2261" s="15">
        <f>IF(ISERROR(VLOOKUP($A2261,'13. Updated Demand'!A:Z,15,FALSE)),0,VLOOKUP($A2261,'13. Updated Demand'!A:Z,15,FALSE))</f>
        <v>0.54141333300000005</v>
      </c>
      <c r="Y2261" s="16">
        <f>IF(ISERROR(VLOOKUP($A2261,'13. Updated Demand'!A:Z,16,FALSE)),0,VLOOKUP($A2261,'13. Updated Demand'!A:Z,16,FALSE))</f>
        <v>0.59844333299999997</v>
      </c>
      <c r="Z2261" s="16">
        <f>IF(ISERROR(VLOOKUP($A2261,'13. Updated Demand'!A:Z,17,FALSE)),0,VLOOKUP($A2261,'13. Updated Demand'!A:Z,17,FALSE))</f>
        <v>0.66503800000000002</v>
      </c>
      <c r="AA2261" s="16">
        <f>IF(ISERROR(VLOOKUP($A2261,'13. Updated Demand'!A:Z,18,FALSE)),0,VLOOKUP($A2261,'13. Updated Demand'!A:Z,18,FALSE))</f>
        <v>0.64792400000000006</v>
      </c>
      <c r="AB2261" s="16">
        <f>IF(ISERROR(VLOOKUP($A2261,'13. Updated Demand'!A:Z,19,FALSE)),0,VLOOKUP($A2261,'13. Updated Demand'!A:Z,19,FALSE))</f>
        <v>0.63651766700000001</v>
      </c>
      <c r="AC2261" s="16">
        <f>IF(ISERROR(VLOOKUP($A2261,'13. Updated Demand'!A:Z,20,FALSE)),0,VLOOKUP($A2261,'13. Updated Demand'!A:Z,20,FALSE))</f>
        <v>0.65475733300000005</v>
      </c>
      <c r="AD2261" s="16">
        <f>IF(ISERROR(VLOOKUP($A2261,'13. Updated Demand'!A:Z,21,FALSE)),0,VLOOKUP($A2261,'13. Updated Demand'!A:Z,21,FALSE))</f>
        <v>0.78726366699999994</v>
      </c>
      <c r="AE2261" s="16">
        <f>IF(ISERROR(VLOOKUP($A2261,'13. Updated Demand'!A:Z,22,FALSE)),0,VLOOKUP($A2261,'13. Updated Demand'!A:Z,22,FALSE))</f>
        <v>0.74008233300000004</v>
      </c>
      <c r="AF2261" s="16">
        <f>IF(ISERROR(VLOOKUP($A2261,'13. Updated Demand'!A:Z,23,FALSE)),0,VLOOKUP($A2261,'13. Updated Demand'!A:Z,23,FALSE))</f>
        <v>0.58999333300000001</v>
      </c>
      <c r="AG2261" s="16">
        <f>IF(ISERROR(VLOOKUP($A2261,'13. Updated Demand'!A:Z,24,FALSE)),0,VLOOKUP($A2261,'13. Updated Demand'!A:Z,24,FALSE))</f>
        <v>0.58189133299999996</v>
      </c>
      <c r="AH2261" s="16">
        <f>IF(ISERROR(VLOOKUP($A2261,'13. Updated Demand'!A:Z,25,FALSE)),0,VLOOKUP($A2261,'13. Updated Demand'!A:Z,25,FALSE))</f>
        <v>0.61394333300000004</v>
      </c>
      <c r="AI2261" s="16">
        <f>IF(ISERROR(VLOOKUP($A2261,'13. Updated Demand'!A:Z,26,FALSE)),0,VLOOKUP($A2261,'13. Updated Demand'!A:Z,26,FALSE))</f>
        <v>0.65482866699999998</v>
      </c>
      <c r="AJ2261" s="16">
        <f t="shared" si="433"/>
        <v>7.7120963320000007</v>
      </c>
      <c r="AK2261" s="19">
        <v>3.4086143330000001</v>
      </c>
      <c r="AL2261" s="16">
        <f t="shared" si="431"/>
        <v>1.130598546490099E-2</v>
      </c>
      <c r="AM2261" s="26">
        <v>0</v>
      </c>
      <c r="AN2261" s="19"/>
      <c r="AO2261" s="19"/>
      <c r="AP2261" s="19">
        <v>0</v>
      </c>
      <c r="AQ2261" s="19" t="s">
        <v>307</v>
      </c>
      <c r="AR2261" s="9" t="s">
        <v>403</v>
      </c>
      <c r="AS2261" s="12">
        <v>3.4039024194010059E-4</v>
      </c>
      <c r="AT2261" s="19">
        <v>38.437899999999999</v>
      </c>
      <c r="AU2261" s="19">
        <v>-122.9804</v>
      </c>
      <c r="AV2261" s="19" t="s">
        <v>1870</v>
      </c>
    </row>
    <row r="2262" spans="1:48" x14ac:dyDescent="0.25">
      <c r="A2262" s="18" t="s">
        <v>2719</v>
      </c>
      <c r="B2262" s="10">
        <v>10000000</v>
      </c>
      <c r="C2262" s="9">
        <v>18</v>
      </c>
      <c r="D2262" s="8" t="str">
        <f t="shared" si="422"/>
        <v>N</v>
      </c>
      <c r="E2262" s="8" t="str">
        <f t="shared" si="423"/>
        <v>N</v>
      </c>
      <c r="F2262" s="8" t="str">
        <f t="shared" si="424"/>
        <v>N</v>
      </c>
      <c r="G2262" s="8" t="str">
        <f t="shared" si="425"/>
        <v>N</v>
      </c>
      <c r="H2262" s="8" t="str">
        <f t="shared" si="426"/>
        <v>Lower</v>
      </c>
      <c r="I2262" s="8" t="str">
        <f t="shared" si="427"/>
        <v>Outside</v>
      </c>
      <c r="J2262" s="8" t="str">
        <f t="shared" si="428"/>
        <v>Outside</v>
      </c>
      <c r="K2262" s="8" t="str">
        <f t="shared" si="429"/>
        <v>Riparian</v>
      </c>
      <c r="L2262" s="8">
        <f t="shared" si="430"/>
        <v>1000</v>
      </c>
      <c r="M2262" s="8" t="str">
        <f t="shared" si="432"/>
        <v>-</v>
      </c>
      <c r="N2262" s="10" t="s">
        <v>242</v>
      </c>
      <c r="O2262" s="10" t="s">
        <v>242</v>
      </c>
      <c r="P2262" s="10" t="s">
        <v>242</v>
      </c>
      <c r="Q2262" s="10" t="s">
        <v>242</v>
      </c>
      <c r="R2262" s="10" t="s">
        <v>242</v>
      </c>
      <c r="S2262" s="10" t="s">
        <v>241</v>
      </c>
      <c r="T2262" s="10" t="s">
        <v>242</v>
      </c>
      <c r="U2262" s="10" t="s">
        <v>242</v>
      </c>
      <c r="V2262" s="10" t="s">
        <v>242</v>
      </c>
      <c r="W2262" s="10" t="s">
        <v>242</v>
      </c>
      <c r="X2262" s="15">
        <f>IF(ISERROR(VLOOKUP($A2262,'13. Updated Demand'!A:Z,15,FALSE)),0,VLOOKUP($A2262,'13. Updated Demand'!A:Z,15,FALSE))</f>
        <v>0</v>
      </c>
      <c r="Y2262" s="16">
        <f>IF(ISERROR(VLOOKUP($A2262,'13. Updated Demand'!A:Z,16,FALSE)),0,VLOOKUP($A2262,'13. Updated Demand'!A:Z,16,FALSE))</f>
        <v>0</v>
      </c>
      <c r="Z2262" s="16">
        <f>IF(ISERROR(VLOOKUP($A2262,'13. Updated Demand'!A:Z,17,FALSE)),0,VLOOKUP($A2262,'13. Updated Demand'!A:Z,17,FALSE))</f>
        <v>6.1376670000000003E-3</v>
      </c>
      <c r="AA2262" s="16">
        <f>IF(ISERROR(VLOOKUP($A2262,'13. Updated Demand'!A:Z,18,FALSE)),0,VLOOKUP($A2262,'13. Updated Demand'!A:Z,18,FALSE))</f>
        <v>8.7757000000000002E-2</v>
      </c>
      <c r="AB2262" s="16">
        <f>IF(ISERROR(VLOOKUP($A2262,'13. Updated Demand'!A:Z,19,FALSE)),0,VLOOKUP($A2262,'13. Updated Demand'!A:Z,19,FALSE))</f>
        <v>9.1439667000000002E-2</v>
      </c>
      <c r="AC2262" s="16">
        <f>IF(ISERROR(VLOOKUP($A2262,'13. Updated Demand'!A:Z,20,FALSE)),0,VLOOKUP($A2262,'13. Updated Demand'!A:Z,20,FALSE))</f>
        <v>9.1439667000000002E-2</v>
      </c>
      <c r="AD2262" s="16">
        <f>IF(ISERROR(VLOOKUP($A2262,'13. Updated Demand'!A:Z,21,FALSE)),0,VLOOKUP($A2262,'13. Updated Demand'!A:Z,21,FALSE))</f>
        <v>9.1439667000000002E-2</v>
      </c>
      <c r="AE2262" s="16">
        <f>IF(ISERROR(VLOOKUP($A2262,'13. Updated Demand'!A:Z,22,FALSE)),0,VLOOKUP($A2262,'13. Updated Demand'!A:Z,22,FALSE))</f>
        <v>9.1439667000000002E-2</v>
      </c>
      <c r="AF2262" s="16">
        <f>IF(ISERROR(VLOOKUP($A2262,'13. Updated Demand'!A:Z,23,FALSE)),0,VLOOKUP($A2262,'13. Updated Demand'!A:Z,23,FALSE))</f>
        <v>8.3153667000000001E-2</v>
      </c>
      <c r="AG2262" s="16">
        <f>IF(ISERROR(VLOOKUP($A2262,'13. Updated Demand'!A:Z,24,FALSE)),0,VLOOKUP($A2262,'13. Updated Demand'!A:Z,24,FALSE))</f>
        <v>0</v>
      </c>
      <c r="AH2262" s="16">
        <f>IF(ISERROR(VLOOKUP($A2262,'13. Updated Demand'!A:Z,25,FALSE)),0,VLOOKUP($A2262,'13. Updated Demand'!A:Z,25,FALSE))</f>
        <v>0</v>
      </c>
      <c r="AI2262" s="16">
        <f>IF(ISERROR(VLOOKUP($A2262,'13. Updated Demand'!A:Z,26,FALSE)),0,VLOOKUP($A2262,'13. Updated Demand'!A:Z,26,FALSE))</f>
        <v>7.3333333000000001E-2</v>
      </c>
      <c r="AJ2262" s="16">
        <f t="shared" si="433"/>
        <v>0.61614033499999998</v>
      </c>
      <c r="AK2262" s="19">
        <v>0.448912335</v>
      </c>
      <c r="AL2262" s="16">
        <f t="shared" si="431"/>
        <v>1.4889910792746654E-3</v>
      </c>
      <c r="AM2262" s="26">
        <v>7.6396817730936151E-2</v>
      </c>
      <c r="AN2262" s="19">
        <v>8.0649999999999995</v>
      </c>
      <c r="AO2262" s="19" t="s">
        <v>1758</v>
      </c>
      <c r="AP2262" s="19">
        <v>0</v>
      </c>
      <c r="AQ2262" s="19" t="s">
        <v>307</v>
      </c>
      <c r="AR2262" s="9" t="s">
        <v>352</v>
      </c>
      <c r="AS2262" s="12">
        <v>0</v>
      </c>
      <c r="AT2262" s="19">
        <v>38.378300000000003</v>
      </c>
      <c r="AU2262" s="19">
        <v>-122.8929</v>
      </c>
      <c r="AV2262" s="19" t="s">
        <v>2720</v>
      </c>
    </row>
    <row r="2263" spans="1:48" x14ac:dyDescent="0.25">
      <c r="A2263" s="18" t="s">
        <v>2721</v>
      </c>
      <c r="B2263" s="10">
        <v>10000000</v>
      </c>
      <c r="C2263" s="9">
        <v>16</v>
      </c>
      <c r="D2263" s="8" t="str">
        <f t="shared" si="422"/>
        <v>N</v>
      </c>
      <c r="E2263" s="8" t="str">
        <f t="shared" si="423"/>
        <v>N</v>
      </c>
      <c r="F2263" s="8" t="str">
        <f t="shared" si="424"/>
        <v>N</v>
      </c>
      <c r="G2263" s="8" t="str">
        <f t="shared" si="425"/>
        <v>N</v>
      </c>
      <c r="H2263" s="8" t="str">
        <f t="shared" si="426"/>
        <v>Lower</v>
      </c>
      <c r="I2263" s="8" t="str">
        <f t="shared" si="427"/>
        <v>Outside</v>
      </c>
      <c r="J2263" s="8" t="str">
        <f t="shared" si="428"/>
        <v>Outside</v>
      </c>
      <c r="K2263" s="8" t="str">
        <f t="shared" si="429"/>
        <v>Riparian</v>
      </c>
      <c r="L2263" s="8">
        <f t="shared" si="430"/>
        <v>1000</v>
      </c>
      <c r="M2263" s="8" t="str">
        <f t="shared" si="432"/>
        <v>-</v>
      </c>
      <c r="N2263" s="10" t="s">
        <v>242</v>
      </c>
      <c r="O2263" s="10" t="s">
        <v>242</v>
      </c>
      <c r="P2263" s="10" t="s">
        <v>242</v>
      </c>
      <c r="Q2263" s="10" t="s">
        <v>242</v>
      </c>
      <c r="R2263" s="10" t="s">
        <v>242</v>
      </c>
      <c r="S2263" s="10" t="s">
        <v>241</v>
      </c>
      <c r="T2263" s="10" t="s">
        <v>242</v>
      </c>
      <c r="U2263" s="10" t="s">
        <v>242</v>
      </c>
      <c r="V2263" s="10" t="s">
        <v>241</v>
      </c>
      <c r="W2263" s="10" t="s">
        <v>242</v>
      </c>
      <c r="X2263" s="15">
        <f>IF(ISERROR(VLOOKUP($A2263,'13. Updated Demand'!A:Z,15,FALSE)),0,VLOOKUP($A2263,'13. Updated Demand'!A:Z,15,FALSE))</f>
        <v>3.95</v>
      </c>
      <c r="Y2263" s="16">
        <f>IF(ISERROR(VLOOKUP($A2263,'13. Updated Demand'!A:Z,16,FALSE)),0,VLOOKUP($A2263,'13. Updated Demand'!A:Z,16,FALSE))</f>
        <v>5.0999999999999996</v>
      </c>
      <c r="Z2263" s="16">
        <f>IF(ISERROR(VLOOKUP($A2263,'13. Updated Demand'!A:Z,17,FALSE)),0,VLOOKUP($A2263,'13. Updated Demand'!A:Z,17,FALSE))</f>
        <v>1.8333333329999999</v>
      </c>
      <c r="AA2263" s="16">
        <f>IF(ISERROR(VLOOKUP($A2263,'13. Updated Demand'!A:Z,18,FALSE)),0,VLOOKUP($A2263,'13. Updated Demand'!A:Z,18,FALSE))</f>
        <v>0.8</v>
      </c>
      <c r="AB2263" s="16">
        <f>IF(ISERROR(VLOOKUP($A2263,'13. Updated Demand'!A:Z,19,FALSE)),0,VLOOKUP($A2263,'13. Updated Demand'!A:Z,19,FALSE))</f>
        <v>0</v>
      </c>
      <c r="AC2263" s="16">
        <f>IF(ISERROR(VLOOKUP($A2263,'13. Updated Demand'!A:Z,20,FALSE)),0,VLOOKUP($A2263,'13. Updated Demand'!A:Z,20,FALSE))</f>
        <v>0</v>
      </c>
      <c r="AD2263" s="16">
        <f>IF(ISERROR(VLOOKUP($A2263,'13. Updated Demand'!A:Z,21,FALSE)),0,VLOOKUP($A2263,'13. Updated Demand'!A:Z,21,FALSE))</f>
        <v>0</v>
      </c>
      <c r="AE2263" s="16">
        <f>IF(ISERROR(VLOOKUP($A2263,'13. Updated Demand'!A:Z,22,FALSE)),0,VLOOKUP($A2263,'13. Updated Demand'!A:Z,22,FALSE))</f>
        <v>0</v>
      </c>
      <c r="AF2263" s="16">
        <f>IF(ISERROR(VLOOKUP($A2263,'13. Updated Demand'!A:Z,23,FALSE)),0,VLOOKUP($A2263,'13. Updated Demand'!A:Z,23,FALSE))</f>
        <v>0</v>
      </c>
      <c r="AG2263" s="16">
        <f>IF(ISERROR(VLOOKUP($A2263,'13. Updated Demand'!A:Z,24,FALSE)),0,VLOOKUP($A2263,'13. Updated Demand'!A:Z,24,FALSE))</f>
        <v>0.1</v>
      </c>
      <c r="AH2263" s="16">
        <f>IF(ISERROR(VLOOKUP($A2263,'13. Updated Demand'!A:Z,25,FALSE)),0,VLOOKUP($A2263,'13. Updated Demand'!A:Z,25,FALSE))</f>
        <v>3.5833333330000001</v>
      </c>
      <c r="AI2263" s="16">
        <f>IF(ISERROR(VLOOKUP($A2263,'13. Updated Demand'!A:Z,26,FALSE)),0,VLOOKUP($A2263,'13. Updated Demand'!A:Z,26,FALSE))</f>
        <v>5.3</v>
      </c>
      <c r="AJ2263" s="16">
        <f t="shared" si="433"/>
        <v>20.666666666000001</v>
      </c>
      <c r="AK2263" s="19">
        <v>0</v>
      </c>
      <c r="AL2263" s="16">
        <f t="shared" si="431"/>
        <v>0</v>
      </c>
      <c r="AM2263" s="26">
        <v>0.43055555554166669</v>
      </c>
      <c r="AN2263" s="19">
        <v>48</v>
      </c>
      <c r="AO2263" s="19" t="s">
        <v>1758</v>
      </c>
      <c r="AP2263" s="19">
        <v>0</v>
      </c>
      <c r="AQ2263" s="19" t="s">
        <v>307</v>
      </c>
      <c r="AR2263" s="9" t="s">
        <v>394</v>
      </c>
      <c r="AS2263" s="12">
        <v>0</v>
      </c>
      <c r="AT2263" s="19">
        <v>38.592399999999998</v>
      </c>
      <c r="AU2263" s="19">
        <v>-122.89579999999999</v>
      </c>
      <c r="AV2263" s="19" t="s">
        <v>385</v>
      </c>
    </row>
    <row r="2264" spans="1:48" x14ac:dyDescent="0.25">
      <c r="A2264" s="18" t="s">
        <v>2722</v>
      </c>
      <c r="B2264" s="10">
        <v>10000000</v>
      </c>
      <c r="C2264" s="9">
        <v>16</v>
      </c>
      <c r="D2264" s="8" t="str">
        <f t="shared" si="422"/>
        <v>N</v>
      </c>
      <c r="E2264" s="8" t="str">
        <f t="shared" si="423"/>
        <v>N</v>
      </c>
      <c r="F2264" s="8" t="str">
        <f t="shared" si="424"/>
        <v>N</v>
      </c>
      <c r="G2264" s="8" t="str">
        <f t="shared" si="425"/>
        <v>N</v>
      </c>
      <c r="H2264" s="8" t="str">
        <f t="shared" si="426"/>
        <v>Lower</v>
      </c>
      <c r="I2264" s="8" t="str">
        <f t="shared" si="427"/>
        <v>Outside</v>
      </c>
      <c r="J2264" s="8" t="str">
        <f t="shared" si="428"/>
        <v>Outside</v>
      </c>
      <c r="K2264" s="8" t="str">
        <f t="shared" si="429"/>
        <v>Riparian</v>
      </c>
      <c r="L2264" s="8">
        <f t="shared" si="430"/>
        <v>1000</v>
      </c>
      <c r="M2264" s="8" t="str">
        <f t="shared" si="432"/>
        <v>-</v>
      </c>
      <c r="N2264" s="10" t="s">
        <v>242</v>
      </c>
      <c r="O2264" s="10" t="s">
        <v>242</v>
      </c>
      <c r="P2264" s="10" t="s">
        <v>242</v>
      </c>
      <c r="Q2264" s="10" t="s">
        <v>242</v>
      </c>
      <c r="R2264" s="10" t="s">
        <v>242</v>
      </c>
      <c r="S2264" s="10" t="s">
        <v>241</v>
      </c>
      <c r="T2264" s="10" t="s">
        <v>242</v>
      </c>
      <c r="U2264" s="10" t="s">
        <v>242</v>
      </c>
      <c r="V2264" s="10" t="s">
        <v>241</v>
      </c>
      <c r="W2264" s="10" t="s">
        <v>242</v>
      </c>
      <c r="X2264" s="15">
        <f>IF(ISERROR(VLOOKUP($A2264,'13. Updated Demand'!A:Z,15,FALSE)),0,VLOOKUP($A2264,'13. Updated Demand'!A:Z,15,FALSE))</f>
        <v>3.0666666669999998</v>
      </c>
      <c r="Y2264" s="16">
        <f>IF(ISERROR(VLOOKUP($A2264,'13. Updated Demand'!A:Z,16,FALSE)),0,VLOOKUP($A2264,'13. Updated Demand'!A:Z,16,FALSE))</f>
        <v>0.4</v>
      </c>
      <c r="Z2264" s="16">
        <f>IF(ISERROR(VLOOKUP($A2264,'13. Updated Demand'!A:Z,17,FALSE)),0,VLOOKUP($A2264,'13. Updated Demand'!A:Z,17,FALSE))</f>
        <v>0.63333333300000005</v>
      </c>
      <c r="AA2264" s="16">
        <f>IF(ISERROR(VLOOKUP($A2264,'13. Updated Demand'!A:Z,18,FALSE)),0,VLOOKUP($A2264,'13. Updated Demand'!A:Z,18,FALSE))</f>
        <v>0</v>
      </c>
      <c r="AB2264" s="16">
        <f>IF(ISERROR(VLOOKUP($A2264,'13. Updated Demand'!A:Z,19,FALSE)),0,VLOOKUP($A2264,'13. Updated Demand'!A:Z,19,FALSE))</f>
        <v>0</v>
      </c>
      <c r="AC2264" s="16">
        <f>IF(ISERROR(VLOOKUP($A2264,'13. Updated Demand'!A:Z,20,FALSE)),0,VLOOKUP($A2264,'13. Updated Demand'!A:Z,20,FALSE))</f>
        <v>0</v>
      </c>
      <c r="AD2264" s="16">
        <f>IF(ISERROR(VLOOKUP($A2264,'13. Updated Demand'!A:Z,21,FALSE)),0,VLOOKUP($A2264,'13. Updated Demand'!A:Z,21,FALSE))</f>
        <v>0</v>
      </c>
      <c r="AE2264" s="16">
        <f>IF(ISERROR(VLOOKUP($A2264,'13. Updated Demand'!A:Z,22,FALSE)),0,VLOOKUP($A2264,'13. Updated Demand'!A:Z,22,FALSE))</f>
        <v>0</v>
      </c>
      <c r="AF2264" s="16">
        <f>IF(ISERROR(VLOOKUP($A2264,'13. Updated Demand'!A:Z,23,FALSE)),0,VLOOKUP($A2264,'13. Updated Demand'!A:Z,23,FALSE))</f>
        <v>0</v>
      </c>
      <c r="AG2264" s="16">
        <f>IF(ISERROR(VLOOKUP($A2264,'13. Updated Demand'!A:Z,24,FALSE)),0,VLOOKUP($A2264,'13. Updated Demand'!A:Z,24,FALSE))</f>
        <v>6.6666666999999999E-2</v>
      </c>
      <c r="AH2264" s="16">
        <f>IF(ISERROR(VLOOKUP($A2264,'13. Updated Demand'!A:Z,25,FALSE)),0,VLOOKUP($A2264,'13. Updated Demand'!A:Z,25,FALSE))</f>
        <v>2.2000000000000002</v>
      </c>
      <c r="AI2264" s="16">
        <f>IF(ISERROR(VLOOKUP($A2264,'13. Updated Demand'!A:Z,26,FALSE)),0,VLOOKUP($A2264,'13. Updated Demand'!A:Z,26,FALSE))</f>
        <v>3.0333333329999999</v>
      </c>
      <c r="AJ2264" s="16">
        <f t="shared" si="433"/>
        <v>9.3999999999999986</v>
      </c>
      <c r="AK2264" s="19">
        <v>0</v>
      </c>
      <c r="AL2264" s="16">
        <f t="shared" si="431"/>
        <v>0</v>
      </c>
      <c r="AM2264" s="26">
        <v>0</v>
      </c>
      <c r="AN2264" s="19">
        <v>0</v>
      </c>
      <c r="AO2264" s="19" t="s">
        <v>1758</v>
      </c>
      <c r="AP2264" s="19">
        <v>0</v>
      </c>
      <c r="AQ2264" s="19" t="s">
        <v>307</v>
      </c>
      <c r="AR2264" s="9" t="s">
        <v>394</v>
      </c>
      <c r="AS2264" s="12">
        <v>0</v>
      </c>
      <c r="AT2264" s="19">
        <v>38.590800000000002</v>
      </c>
      <c r="AU2264" s="19">
        <v>-122.9006</v>
      </c>
      <c r="AV2264" s="19" t="s">
        <v>385</v>
      </c>
    </row>
    <row r="2265" spans="1:48" x14ac:dyDescent="0.25">
      <c r="A2265" s="18" t="s">
        <v>2723</v>
      </c>
      <c r="B2265" s="10">
        <v>10000000</v>
      </c>
      <c r="C2265" s="9">
        <v>18</v>
      </c>
      <c r="D2265" s="8" t="str">
        <f t="shared" si="422"/>
        <v>N</v>
      </c>
      <c r="E2265" s="8" t="str">
        <f t="shared" si="423"/>
        <v>N</v>
      </c>
      <c r="F2265" s="8" t="str">
        <f t="shared" si="424"/>
        <v>N</v>
      </c>
      <c r="G2265" s="8" t="str">
        <f t="shared" si="425"/>
        <v>N</v>
      </c>
      <c r="H2265" s="8" t="str">
        <f t="shared" si="426"/>
        <v>Lower</v>
      </c>
      <c r="I2265" s="8" t="str">
        <f t="shared" si="427"/>
        <v>Outside</v>
      </c>
      <c r="J2265" s="8" t="str">
        <f t="shared" si="428"/>
        <v>Outside</v>
      </c>
      <c r="K2265" s="8" t="str">
        <f t="shared" si="429"/>
        <v>Riparian</v>
      </c>
      <c r="L2265" s="8">
        <f t="shared" si="430"/>
        <v>1000</v>
      </c>
      <c r="M2265" s="8" t="str">
        <f t="shared" si="432"/>
        <v>-</v>
      </c>
      <c r="N2265" s="10" t="s">
        <v>242</v>
      </c>
      <c r="O2265" s="10" t="s">
        <v>242</v>
      </c>
      <c r="P2265" s="10" t="s">
        <v>242</v>
      </c>
      <c r="Q2265" s="10" t="s">
        <v>242</v>
      </c>
      <c r="R2265" s="10" t="s">
        <v>242</v>
      </c>
      <c r="S2265" s="10" t="s">
        <v>241</v>
      </c>
      <c r="T2265" s="10" t="s">
        <v>242</v>
      </c>
      <c r="U2265" s="10" t="s">
        <v>242</v>
      </c>
      <c r="V2265" s="10" t="s">
        <v>242</v>
      </c>
      <c r="W2265" s="10" t="s">
        <v>242</v>
      </c>
      <c r="X2265" s="15">
        <f>IF(ISERROR(VLOOKUP($A2265,'13. Updated Demand'!A:Z,15,FALSE)),0,VLOOKUP($A2265,'13. Updated Demand'!A:Z,15,FALSE))</f>
        <v>1.5610333000000001E-2</v>
      </c>
      <c r="Y2265" s="16">
        <f>IF(ISERROR(VLOOKUP($A2265,'13. Updated Demand'!A:Z,16,FALSE)),0,VLOOKUP($A2265,'13. Updated Demand'!A:Z,16,FALSE))</f>
        <v>3.2192667000000001E-2</v>
      </c>
      <c r="Z2265" s="16">
        <f>IF(ISERROR(VLOOKUP($A2265,'13. Updated Demand'!A:Z,17,FALSE)),0,VLOOKUP($A2265,'13. Updated Demand'!A:Z,17,FALSE))</f>
        <v>2.7803999999999999E-2</v>
      </c>
      <c r="AA2265" s="16">
        <f>IF(ISERROR(VLOOKUP($A2265,'13. Updated Demand'!A:Z,18,FALSE)),0,VLOOKUP($A2265,'13. Updated Demand'!A:Z,18,FALSE))</f>
        <v>1.0229667E-2</v>
      </c>
      <c r="AB2265" s="16">
        <f>IF(ISERROR(VLOOKUP($A2265,'13. Updated Demand'!A:Z,19,FALSE)),0,VLOOKUP($A2265,'13. Updated Demand'!A:Z,19,FALSE))</f>
        <v>2.2867333E-2</v>
      </c>
      <c r="AC2265" s="16">
        <f>IF(ISERROR(VLOOKUP($A2265,'13. Updated Demand'!A:Z,20,FALSE)),0,VLOOKUP($A2265,'13. Updated Demand'!A:Z,20,FALSE))</f>
        <v>2.3703999999999999E-2</v>
      </c>
      <c r="AD2265" s="16">
        <f>IF(ISERROR(VLOOKUP($A2265,'13. Updated Demand'!A:Z,21,FALSE)),0,VLOOKUP($A2265,'13. Updated Demand'!A:Z,21,FALSE))</f>
        <v>3.5506999999999997E-2</v>
      </c>
      <c r="AE2265" s="16">
        <f>IF(ISERROR(VLOOKUP($A2265,'13. Updated Demand'!A:Z,22,FALSE)),0,VLOOKUP($A2265,'13. Updated Demand'!A:Z,22,FALSE))</f>
        <v>2.4664667000000001E-2</v>
      </c>
      <c r="AF2265" s="16">
        <f>IF(ISERROR(VLOOKUP($A2265,'13. Updated Demand'!A:Z,23,FALSE)),0,VLOOKUP($A2265,'13. Updated Demand'!A:Z,23,FALSE))</f>
        <v>2.7703999999999999E-2</v>
      </c>
      <c r="AG2265" s="16">
        <f>IF(ISERROR(VLOOKUP($A2265,'13. Updated Demand'!A:Z,24,FALSE)),0,VLOOKUP($A2265,'13. Updated Demand'!A:Z,24,FALSE))</f>
        <v>3.6011333E-2</v>
      </c>
      <c r="AH2265" s="16">
        <f>IF(ISERROR(VLOOKUP($A2265,'13. Updated Demand'!A:Z,25,FALSE)),0,VLOOKUP($A2265,'13. Updated Demand'!A:Z,25,FALSE))</f>
        <v>3.1164667E-2</v>
      </c>
      <c r="AI2265" s="16">
        <f>IF(ISERROR(VLOOKUP($A2265,'13. Updated Demand'!A:Z,26,FALSE)),0,VLOOKUP($A2265,'13. Updated Demand'!A:Z,26,FALSE))</f>
        <v>2.5175333000000001E-2</v>
      </c>
      <c r="AJ2265" s="16">
        <f t="shared" si="433"/>
        <v>0.312635</v>
      </c>
      <c r="AK2265" s="19">
        <v>0.13444700000000001</v>
      </c>
      <c r="AL2265" s="16">
        <f t="shared" si="431"/>
        <v>4.459453840475133E-4</v>
      </c>
      <c r="AM2265" s="26">
        <v>1.1574787115883005</v>
      </c>
      <c r="AN2265" s="19">
        <v>0.27010000000000001</v>
      </c>
      <c r="AO2265" s="19" t="s">
        <v>1758</v>
      </c>
      <c r="AP2265" s="19">
        <v>0</v>
      </c>
      <c r="AQ2265" s="19" t="s">
        <v>307</v>
      </c>
      <c r="AR2265" s="9" t="s">
        <v>352</v>
      </c>
      <c r="AS2265" s="12">
        <v>3.4039024194010059E-4</v>
      </c>
      <c r="AT2265" s="19">
        <v>38.363599999999998</v>
      </c>
      <c r="AU2265" s="19">
        <v>-122.8725</v>
      </c>
      <c r="AV2265" s="19" t="s">
        <v>1886</v>
      </c>
    </row>
    <row r="2266" spans="1:48" x14ac:dyDescent="0.25">
      <c r="A2266" s="18" t="s">
        <v>2724</v>
      </c>
      <c r="B2266" s="10">
        <v>10000000</v>
      </c>
      <c r="C2266" s="9">
        <v>18</v>
      </c>
      <c r="D2266" s="8" t="str">
        <f t="shared" si="422"/>
        <v>N</v>
      </c>
      <c r="E2266" s="8" t="str">
        <f t="shared" si="423"/>
        <v>N</v>
      </c>
      <c r="F2266" s="8" t="str">
        <f t="shared" si="424"/>
        <v>N</v>
      </c>
      <c r="G2266" s="8" t="str">
        <f t="shared" si="425"/>
        <v>N</v>
      </c>
      <c r="H2266" s="8" t="str">
        <f t="shared" si="426"/>
        <v>Lower</v>
      </c>
      <c r="I2266" s="8" t="str">
        <f t="shared" si="427"/>
        <v>Outside</v>
      </c>
      <c r="J2266" s="8" t="str">
        <f t="shared" si="428"/>
        <v>Outside</v>
      </c>
      <c r="K2266" s="8" t="str">
        <f t="shared" si="429"/>
        <v>Riparian</v>
      </c>
      <c r="L2266" s="8">
        <f t="shared" si="430"/>
        <v>1000</v>
      </c>
      <c r="M2266" s="8" t="str">
        <f t="shared" si="432"/>
        <v>-</v>
      </c>
      <c r="N2266" s="10" t="s">
        <v>242</v>
      </c>
      <c r="O2266" s="10" t="s">
        <v>242</v>
      </c>
      <c r="P2266" s="10" t="s">
        <v>242</v>
      </c>
      <c r="Q2266" s="10" t="s">
        <v>242</v>
      </c>
      <c r="R2266" s="10" t="s">
        <v>242</v>
      </c>
      <c r="S2266" s="10" t="s">
        <v>241</v>
      </c>
      <c r="T2266" s="10" t="s">
        <v>242</v>
      </c>
      <c r="U2266" s="10" t="s">
        <v>242</v>
      </c>
      <c r="V2266" s="10" t="s">
        <v>242</v>
      </c>
      <c r="W2266" s="10" t="s">
        <v>242</v>
      </c>
      <c r="X2266" s="15">
        <f>IF(ISERROR(VLOOKUP($A2266,'13. Updated Demand'!A:Z,15,FALSE)),0,VLOOKUP($A2266,'13. Updated Demand'!A:Z,15,FALSE))</f>
        <v>0</v>
      </c>
      <c r="Y2266" s="16">
        <f>IF(ISERROR(VLOOKUP($A2266,'13. Updated Demand'!A:Z,16,FALSE)),0,VLOOKUP($A2266,'13. Updated Demand'!A:Z,16,FALSE))</f>
        <v>0</v>
      </c>
      <c r="Z2266" s="16">
        <f>IF(ISERROR(VLOOKUP($A2266,'13. Updated Demand'!A:Z,17,FALSE)),0,VLOOKUP($A2266,'13. Updated Demand'!A:Z,17,FALSE))</f>
        <v>0</v>
      </c>
      <c r="AA2266" s="16">
        <f>IF(ISERROR(VLOOKUP($A2266,'13. Updated Demand'!A:Z,18,FALSE)),0,VLOOKUP($A2266,'13. Updated Demand'!A:Z,18,FALSE))</f>
        <v>0</v>
      </c>
      <c r="AB2266" s="16">
        <f>IF(ISERROR(VLOOKUP($A2266,'13. Updated Demand'!A:Z,19,FALSE)),0,VLOOKUP($A2266,'13. Updated Demand'!A:Z,19,FALSE))</f>
        <v>1.4270306999999999E-2</v>
      </c>
      <c r="AC2266" s="16">
        <f>IF(ISERROR(VLOOKUP($A2266,'13. Updated Demand'!A:Z,20,FALSE)),0,VLOOKUP($A2266,'13. Updated Demand'!A:Z,20,FALSE))</f>
        <v>3.4064603999999998E-2</v>
      </c>
      <c r="AD2266" s="16">
        <f>IF(ISERROR(VLOOKUP($A2266,'13. Updated Demand'!A:Z,21,FALSE)),0,VLOOKUP($A2266,'13. Updated Demand'!A:Z,21,FALSE))</f>
        <v>3.5200091000000003E-2</v>
      </c>
      <c r="AE2266" s="16">
        <f>IF(ISERROR(VLOOKUP($A2266,'13. Updated Demand'!A:Z,22,FALSE)),0,VLOOKUP($A2266,'13. Updated Demand'!A:Z,22,FALSE))</f>
        <v>3.5200091000000003E-2</v>
      </c>
      <c r="AF2266" s="16">
        <f>IF(ISERROR(VLOOKUP($A2266,'13. Updated Demand'!A:Z,23,FALSE)),0,VLOOKUP($A2266,'13. Updated Demand'!A:Z,23,FALSE))</f>
        <v>3.4064603999999998E-2</v>
      </c>
      <c r="AG2266" s="16">
        <f>IF(ISERROR(VLOOKUP($A2266,'13. Updated Demand'!A:Z,24,FALSE)),0,VLOOKUP($A2266,'13. Updated Demand'!A:Z,24,FALSE))</f>
        <v>2.3783845000000001E-2</v>
      </c>
      <c r="AH2266" s="16">
        <f>IF(ISERROR(VLOOKUP($A2266,'13. Updated Demand'!A:Z,25,FALSE)),0,VLOOKUP($A2266,'13. Updated Demand'!A:Z,25,FALSE))</f>
        <v>1.2275533E-2</v>
      </c>
      <c r="AI2266" s="16">
        <f>IF(ISERROR(VLOOKUP($A2266,'13. Updated Demand'!A:Z,26,FALSE)),0,VLOOKUP($A2266,'13. Updated Demand'!A:Z,26,FALSE))</f>
        <v>0</v>
      </c>
      <c r="AJ2266" s="16">
        <f t="shared" si="433"/>
        <v>0.18885907500000002</v>
      </c>
      <c r="AK2266" s="19">
        <v>0.15279969700000001</v>
      </c>
      <c r="AL2266" s="16">
        <f t="shared" si="431"/>
        <v>5.0681918942786883E-4</v>
      </c>
      <c r="AM2266" s="26">
        <v>0.89932892857142865</v>
      </c>
      <c r="AN2266" s="19">
        <v>0.21</v>
      </c>
      <c r="AO2266" s="19" t="s">
        <v>1758</v>
      </c>
      <c r="AP2266" s="19">
        <v>0</v>
      </c>
      <c r="AQ2266" s="19" t="s">
        <v>307</v>
      </c>
      <c r="AR2266" s="9" t="s">
        <v>352</v>
      </c>
      <c r="AS2266" s="12">
        <v>3.4039024194010059E-4</v>
      </c>
      <c r="AT2266" s="19">
        <v>38.443600000000004</v>
      </c>
      <c r="AU2266" s="19">
        <v>-122.8934</v>
      </c>
      <c r="AV2266" s="19" t="s">
        <v>414</v>
      </c>
    </row>
    <row r="2267" spans="1:48" x14ac:dyDescent="0.25">
      <c r="A2267" s="18" t="s">
        <v>2725</v>
      </c>
      <c r="B2267" s="10">
        <v>10000000</v>
      </c>
      <c r="C2267" s="9">
        <v>16</v>
      </c>
      <c r="D2267" s="8" t="str">
        <f t="shared" si="422"/>
        <v>N</v>
      </c>
      <c r="E2267" s="8" t="str">
        <f t="shared" si="423"/>
        <v>N</v>
      </c>
      <c r="F2267" s="8" t="str">
        <f t="shared" si="424"/>
        <v>N</v>
      </c>
      <c r="G2267" s="8" t="str">
        <f t="shared" si="425"/>
        <v>N</v>
      </c>
      <c r="H2267" s="8" t="str">
        <f t="shared" si="426"/>
        <v>Lower</v>
      </c>
      <c r="I2267" s="8" t="str">
        <f t="shared" si="427"/>
        <v>Outside</v>
      </c>
      <c r="J2267" s="8" t="str">
        <f t="shared" si="428"/>
        <v>Outside</v>
      </c>
      <c r="K2267" s="8" t="str">
        <f t="shared" si="429"/>
        <v>Riparian</v>
      </c>
      <c r="L2267" s="8">
        <f t="shared" si="430"/>
        <v>1000</v>
      </c>
      <c r="M2267" s="8" t="str">
        <f t="shared" si="432"/>
        <v>-</v>
      </c>
      <c r="N2267" s="10" t="s">
        <v>242</v>
      </c>
      <c r="O2267" s="10" t="s">
        <v>242</v>
      </c>
      <c r="P2267" s="10" t="s">
        <v>242</v>
      </c>
      <c r="Q2267" s="10" t="s">
        <v>242</v>
      </c>
      <c r="R2267" s="10" t="s">
        <v>242</v>
      </c>
      <c r="S2267" s="10" t="s">
        <v>241</v>
      </c>
      <c r="T2267" s="10" t="s">
        <v>242</v>
      </c>
      <c r="U2267" s="10" t="s">
        <v>241</v>
      </c>
      <c r="V2267" s="10" t="s">
        <v>241</v>
      </c>
      <c r="W2267" s="10" t="s">
        <v>242</v>
      </c>
      <c r="X2267" s="15">
        <f>IF(ISERROR(VLOOKUP($A2267,'13. Updated Demand'!A:Z,15,FALSE)),0,VLOOKUP($A2267,'13. Updated Demand'!A:Z,15,FALSE))</f>
        <v>0</v>
      </c>
      <c r="Y2267" s="16">
        <f>IF(ISERROR(VLOOKUP($A2267,'13. Updated Demand'!A:Z,16,FALSE)),0,VLOOKUP($A2267,'13. Updated Demand'!A:Z,16,FALSE))</f>
        <v>0</v>
      </c>
      <c r="Z2267" s="16">
        <f>IF(ISERROR(VLOOKUP($A2267,'13. Updated Demand'!A:Z,17,FALSE)),0,VLOOKUP($A2267,'13. Updated Demand'!A:Z,17,FALSE))</f>
        <v>0</v>
      </c>
      <c r="AA2267" s="16">
        <f>IF(ISERROR(VLOOKUP($A2267,'13. Updated Demand'!A:Z,18,FALSE)),0,VLOOKUP($A2267,'13. Updated Demand'!A:Z,18,FALSE))</f>
        <v>0</v>
      </c>
      <c r="AB2267" s="16">
        <f>IF(ISERROR(VLOOKUP($A2267,'13. Updated Demand'!A:Z,19,FALSE)),0,VLOOKUP($A2267,'13. Updated Demand'!A:Z,19,FALSE))</f>
        <v>0</v>
      </c>
      <c r="AC2267" s="16">
        <f>IF(ISERROR(VLOOKUP($A2267,'13. Updated Demand'!A:Z,20,FALSE)),0,VLOOKUP($A2267,'13. Updated Demand'!A:Z,20,FALSE))</f>
        <v>0</v>
      </c>
      <c r="AD2267" s="16">
        <f>IF(ISERROR(VLOOKUP($A2267,'13. Updated Demand'!A:Z,21,FALSE)),0,VLOOKUP($A2267,'13. Updated Demand'!A:Z,21,FALSE))</f>
        <v>0</v>
      </c>
      <c r="AE2267" s="16">
        <f>IF(ISERROR(VLOOKUP($A2267,'13. Updated Demand'!A:Z,22,FALSE)),0,VLOOKUP($A2267,'13. Updated Demand'!A:Z,22,FALSE))</f>
        <v>0</v>
      </c>
      <c r="AF2267" s="16">
        <f>IF(ISERROR(VLOOKUP($A2267,'13. Updated Demand'!A:Z,23,FALSE)),0,VLOOKUP($A2267,'13. Updated Demand'!A:Z,23,FALSE))</f>
        <v>0</v>
      </c>
      <c r="AG2267" s="16">
        <f>IF(ISERROR(VLOOKUP($A2267,'13. Updated Demand'!A:Z,24,FALSE)),0,VLOOKUP($A2267,'13. Updated Demand'!A:Z,24,FALSE))</f>
        <v>0</v>
      </c>
      <c r="AH2267" s="16">
        <f>IF(ISERROR(VLOOKUP($A2267,'13. Updated Demand'!A:Z,25,FALSE)),0,VLOOKUP($A2267,'13. Updated Demand'!A:Z,25,FALSE))</f>
        <v>0</v>
      </c>
      <c r="AI2267" s="16">
        <f>IF(ISERROR(VLOOKUP($A2267,'13. Updated Demand'!A:Z,26,FALSE)),0,VLOOKUP($A2267,'13. Updated Demand'!A:Z,26,FALSE))</f>
        <v>0</v>
      </c>
      <c r="AJ2267" s="16">
        <f t="shared" si="433"/>
        <v>0</v>
      </c>
      <c r="AK2267" s="19">
        <v>0</v>
      </c>
      <c r="AL2267" s="16">
        <f t="shared" si="431"/>
        <v>0</v>
      </c>
      <c r="AM2267" s="26">
        <v>0</v>
      </c>
      <c r="AN2267" s="19">
        <v>24.267399999999999</v>
      </c>
      <c r="AO2267" s="19" t="s">
        <v>1758</v>
      </c>
      <c r="AP2267" s="19">
        <v>0</v>
      </c>
      <c r="AQ2267" s="19" t="s">
        <v>307</v>
      </c>
      <c r="AR2267" s="9" t="s">
        <v>394</v>
      </c>
      <c r="AS2267" s="12">
        <v>0</v>
      </c>
      <c r="AT2267" s="19">
        <v>38.636800000000001</v>
      </c>
      <c r="AU2267" s="19">
        <v>-122.9062</v>
      </c>
      <c r="AV2267" s="19" t="s">
        <v>932</v>
      </c>
    </row>
    <row r="2268" spans="1:48" x14ac:dyDescent="0.25">
      <c r="A2268" s="18" t="s">
        <v>2726</v>
      </c>
      <c r="B2268" s="10">
        <v>10000000</v>
      </c>
      <c r="C2268" s="9">
        <v>18</v>
      </c>
      <c r="D2268" s="8" t="str">
        <f t="shared" si="422"/>
        <v>N</v>
      </c>
      <c r="E2268" s="8" t="str">
        <f t="shared" si="423"/>
        <v>N</v>
      </c>
      <c r="F2268" s="8" t="str">
        <f t="shared" si="424"/>
        <v>N</v>
      </c>
      <c r="G2268" s="8" t="str">
        <f t="shared" si="425"/>
        <v>N</v>
      </c>
      <c r="H2268" s="8" t="str">
        <f t="shared" si="426"/>
        <v>Lower</v>
      </c>
      <c r="I2268" s="8" t="str">
        <f t="shared" si="427"/>
        <v>Outside</v>
      </c>
      <c r="J2268" s="8" t="str">
        <f t="shared" si="428"/>
        <v>Outside</v>
      </c>
      <c r="K2268" s="8" t="str">
        <f t="shared" si="429"/>
        <v>Riparian</v>
      </c>
      <c r="L2268" s="8">
        <f t="shared" si="430"/>
        <v>1000</v>
      </c>
      <c r="M2268" s="8" t="str">
        <f t="shared" si="432"/>
        <v>-</v>
      </c>
      <c r="N2268" s="10" t="s">
        <v>242</v>
      </c>
      <c r="O2268" s="10" t="s">
        <v>242</v>
      </c>
      <c r="P2268" s="10" t="s">
        <v>242</v>
      </c>
      <c r="Q2268" s="10" t="s">
        <v>242</v>
      </c>
      <c r="R2268" s="10" t="s">
        <v>242</v>
      </c>
      <c r="S2268" s="10" t="s">
        <v>241</v>
      </c>
      <c r="T2268" s="10" t="s">
        <v>242</v>
      </c>
      <c r="U2268" s="10" t="s">
        <v>242</v>
      </c>
      <c r="V2268" s="10" t="s">
        <v>242</v>
      </c>
      <c r="W2268" s="10" t="s">
        <v>242</v>
      </c>
      <c r="X2268" s="15">
        <f>IF(ISERROR(VLOOKUP($A2268,'13. Updated Demand'!A:Z,15,FALSE)),0,VLOOKUP($A2268,'13. Updated Demand'!A:Z,15,FALSE))</f>
        <v>0</v>
      </c>
      <c r="Y2268" s="16">
        <f>IF(ISERROR(VLOOKUP($A2268,'13. Updated Demand'!A:Z,16,FALSE)),0,VLOOKUP($A2268,'13. Updated Demand'!A:Z,16,FALSE))</f>
        <v>0</v>
      </c>
      <c r="Z2268" s="16">
        <f>IF(ISERROR(VLOOKUP($A2268,'13. Updated Demand'!A:Z,17,FALSE)),0,VLOOKUP($A2268,'13. Updated Demand'!A:Z,17,FALSE))</f>
        <v>0</v>
      </c>
      <c r="AA2268" s="16">
        <f>IF(ISERROR(VLOOKUP($A2268,'13. Updated Demand'!A:Z,18,FALSE)),0,VLOOKUP($A2268,'13. Updated Demand'!A:Z,18,FALSE))</f>
        <v>1.1256669999999999E-3</v>
      </c>
      <c r="AB2268" s="16">
        <f>IF(ISERROR(VLOOKUP($A2268,'13. Updated Demand'!A:Z,19,FALSE)),0,VLOOKUP($A2268,'13. Updated Demand'!A:Z,19,FALSE))</f>
        <v>3.1723329999999998E-3</v>
      </c>
      <c r="AC2268" s="16">
        <f>IF(ISERROR(VLOOKUP($A2268,'13. Updated Demand'!A:Z,20,FALSE)),0,VLOOKUP($A2268,'13. Updated Demand'!A:Z,20,FALSE))</f>
        <v>3.0699999999999998E-3</v>
      </c>
      <c r="AD2268" s="16">
        <f>IF(ISERROR(VLOOKUP($A2268,'13. Updated Demand'!A:Z,21,FALSE)),0,VLOOKUP($A2268,'13. Updated Demand'!A:Z,21,FALSE))</f>
        <v>7.2639999999999996E-3</v>
      </c>
      <c r="AE2268" s="16">
        <f>IF(ISERROR(VLOOKUP($A2268,'13. Updated Demand'!A:Z,22,FALSE)),0,VLOOKUP($A2268,'13. Updated Demand'!A:Z,22,FALSE))</f>
        <v>7.5706669999999997E-3</v>
      </c>
      <c r="AF2268" s="16">
        <f>IF(ISERROR(VLOOKUP($A2268,'13. Updated Demand'!A:Z,23,FALSE)),0,VLOOKUP($A2268,'13. Updated Demand'!A:Z,23,FALSE))</f>
        <v>5.1146669999999998E-3</v>
      </c>
      <c r="AG2268" s="16">
        <f>IF(ISERROR(VLOOKUP($A2268,'13. Updated Demand'!A:Z,24,FALSE)),0,VLOOKUP($A2268,'13. Updated Demand'!A:Z,24,FALSE))</f>
        <v>4.3986670000000002E-3</v>
      </c>
      <c r="AH2268" s="16">
        <f>IF(ISERROR(VLOOKUP($A2268,'13. Updated Demand'!A:Z,25,FALSE)),0,VLOOKUP($A2268,'13. Updated Demand'!A:Z,25,FALSE))</f>
        <v>1.227667E-3</v>
      </c>
      <c r="AI2268" s="16">
        <f>IF(ISERROR(VLOOKUP($A2268,'13. Updated Demand'!A:Z,26,FALSE)),0,VLOOKUP($A2268,'13. Updated Demand'!A:Z,26,FALSE))</f>
        <v>0</v>
      </c>
      <c r="AJ2268" s="16">
        <f t="shared" si="433"/>
        <v>3.2943668000000002E-2</v>
      </c>
      <c r="AK2268" s="19">
        <v>2.6191666999999998E-2</v>
      </c>
      <c r="AL2268" s="16">
        <f t="shared" si="431"/>
        <v>8.6874775927760244E-5</v>
      </c>
      <c r="AM2268" s="26">
        <v>1.0730836482084691</v>
      </c>
      <c r="AN2268" s="19">
        <v>3.0700000000000002E-2</v>
      </c>
      <c r="AO2268" s="19" t="s">
        <v>1758</v>
      </c>
      <c r="AP2268" s="19">
        <v>0</v>
      </c>
      <c r="AQ2268" s="19" t="s">
        <v>307</v>
      </c>
      <c r="AR2268" s="9" t="s">
        <v>352</v>
      </c>
      <c r="AS2268" s="12">
        <v>0</v>
      </c>
      <c r="AT2268" s="19">
        <v>38.437199999999997</v>
      </c>
      <c r="AU2268" s="19">
        <v>-122.9019</v>
      </c>
      <c r="AV2268" s="19" t="s">
        <v>2622</v>
      </c>
    </row>
    <row r="2269" spans="1:48" x14ac:dyDescent="0.25">
      <c r="A2269" s="18" t="s">
        <v>2727</v>
      </c>
      <c r="B2269" s="10">
        <v>10000000</v>
      </c>
      <c r="C2269" s="9">
        <v>16</v>
      </c>
      <c r="D2269" s="8" t="str">
        <f t="shared" si="422"/>
        <v>N</v>
      </c>
      <c r="E2269" s="8" t="str">
        <f t="shared" si="423"/>
        <v>N</v>
      </c>
      <c r="F2269" s="8" t="str">
        <f t="shared" si="424"/>
        <v>N</v>
      </c>
      <c r="G2269" s="8" t="str">
        <f t="shared" si="425"/>
        <v>N</v>
      </c>
      <c r="H2269" s="8" t="str">
        <f t="shared" si="426"/>
        <v>Lower</v>
      </c>
      <c r="I2269" s="8" t="str">
        <f t="shared" si="427"/>
        <v>Outside</v>
      </c>
      <c r="J2269" s="8" t="str">
        <f t="shared" si="428"/>
        <v>Outside</v>
      </c>
      <c r="K2269" s="8" t="str">
        <f t="shared" si="429"/>
        <v>Riparian</v>
      </c>
      <c r="L2269" s="8">
        <f t="shared" si="430"/>
        <v>1000</v>
      </c>
      <c r="M2269" s="8" t="str">
        <f t="shared" si="432"/>
        <v>-</v>
      </c>
      <c r="N2269" s="10" t="s">
        <v>242</v>
      </c>
      <c r="O2269" s="10" t="s">
        <v>242</v>
      </c>
      <c r="P2269" s="10" t="s">
        <v>242</v>
      </c>
      <c r="Q2269" s="10" t="s">
        <v>242</v>
      </c>
      <c r="R2269" s="10" t="s">
        <v>242</v>
      </c>
      <c r="S2269" s="10" t="s">
        <v>241</v>
      </c>
      <c r="T2269" s="10" t="s">
        <v>242</v>
      </c>
      <c r="U2269" s="10" t="s">
        <v>242</v>
      </c>
      <c r="V2269" s="10" t="s">
        <v>242</v>
      </c>
      <c r="W2269" s="10" t="s">
        <v>242</v>
      </c>
      <c r="X2269" s="15">
        <f>IF(ISERROR(VLOOKUP($A2269,'13. Updated Demand'!A:Z,15,FALSE)),0,VLOOKUP($A2269,'13. Updated Demand'!A:Z,15,FALSE))</f>
        <v>0</v>
      </c>
      <c r="Y2269" s="16">
        <f>IF(ISERROR(VLOOKUP($A2269,'13. Updated Demand'!A:Z,16,FALSE)),0,VLOOKUP($A2269,'13. Updated Demand'!A:Z,16,FALSE))</f>
        <v>0.3</v>
      </c>
      <c r="Z2269" s="16">
        <f>IF(ISERROR(VLOOKUP($A2269,'13. Updated Demand'!A:Z,17,FALSE)),0,VLOOKUP($A2269,'13. Updated Demand'!A:Z,17,FALSE))</f>
        <v>0.2</v>
      </c>
      <c r="AA2269" s="16">
        <f>IF(ISERROR(VLOOKUP($A2269,'13. Updated Demand'!A:Z,18,FALSE)),0,VLOOKUP($A2269,'13. Updated Demand'!A:Z,18,FALSE))</f>
        <v>0</v>
      </c>
      <c r="AB2269" s="16">
        <f>IF(ISERROR(VLOOKUP($A2269,'13. Updated Demand'!A:Z,19,FALSE)),0,VLOOKUP($A2269,'13. Updated Demand'!A:Z,19,FALSE))</f>
        <v>0.26666666700000002</v>
      </c>
      <c r="AC2269" s="16">
        <f>IF(ISERROR(VLOOKUP($A2269,'13. Updated Demand'!A:Z,20,FALSE)),0,VLOOKUP($A2269,'13. Updated Demand'!A:Z,20,FALSE))</f>
        <v>0</v>
      </c>
      <c r="AD2269" s="16">
        <f>IF(ISERROR(VLOOKUP($A2269,'13. Updated Demand'!A:Z,21,FALSE)),0,VLOOKUP($A2269,'13. Updated Demand'!A:Z,21,FALSE))</f>
        <v>0</v>
      </c>
      <c r="AE2269" s="16">
        <f>IF(ISERROR(VLOOKUP($A2269,'13. Updated Demand'!A:Z,22,FALSE)),0,VLOOKUP($A2269,'13. Updated Demand'!A:Z,22,FALSE))</f>
        <v>0</v>
      </c>
      <c r="AF2269" s="16">
        <f>IF(ISERROR(VLOOKUP($A2269,'13. Updated Demand'!A:Z,23,FALSE)),0,VLOOKUP($A2269,'13. Updated Demand'!A:Z,23,FALSE))</f>
        <v>0</v>
      </c>
      <c r="AG2269" s="16">
        <f>IF(ISERROR(VLOOKUP($A2269,'13. Updated Demand'!A:Z,24,FALSE)),0,VLOOKUP($A2269,'13. Updated Demand'!A:Z,24,FALSE))</f>
        <v>0.1</v>
      </c>
      <c r="AH2269" s="16">
        <f>IF(ISERROR(VLOOKUP($A2269,'13. Updated Demand'!A:Z,25,FALSE)),0,VLOOKUP($A2269,'13. Updated Demand'!A:Z,25,FALSE))</f>
        <v>3.0333333329999999</v>
      </c>
      <c r="AI2269" s="16">
        <f>IF(ISERROR(VLOOKUP($A2269,'13. Updated Demand'!A:Z,26,FALSE)),0,VLOOKUP($A2269,'13. Updated Demand'!A:Z,26,FALSE))</f>
        <v>0.6</v>
      </c>
      <c r="AJ2269" s="16">
        <f t="shared" si="433"/>
        <v>4.5</v>
      </c>
      <c r="AK2269" s="19">
        <v>0.26666666700000002</v>
      </c>
      <c r="AL2269" s="16">
        <f t="shared" si="431"/>
        <v>8.8450295825109784E-4</v>
      </c>
      <c r="AM2269" s="26">
        <v>3.1060187741579237</v>
      </c>
      <c r="AN2269" s="19">
        <v>1.4488000000000001</v>
      </c>
      <c r="AO2269" s="19" t="s">
        <v>1758</v>
      </c>
      <c r="AP2269" s="19">
        <v>0</v>
      </c>
      <c r="AQ2269" s="19" t="s">
        <v>307</v>
      </c>
      <c r="AR2269" s="9" t="s">
        <v>394</v>
      </c>
      <c r="AS2269" s="12">
        <v>3.4039024194010059E-4</v>
      </c>
      <c r="AT2269" s="19">
        <v>38.623699999999999</v>
      </c>
      <c r="AU2269" s="19">
        <v>-122.9576</v>
      </c>
      <c r="AV2269" s="19" t="s">
        <v>419</v>
      </c>
    </row>
    <row r="2270" spans="1:48" x14ac:dyDescent="0.25">
      <c r="A2270" s="18" t="s">
        <v>2728</v>
      </c>
      <c r="B2270" s="10">
        <v>10000000</v>
      </c>
      <c r="C2270" s="9">
        <v>18</v>
      </c>
      <c r="D2270" s="8" t="str">
        <f t="shared" si="422"/>
        <v>N</v>
      </c>
      <c r="E2270" s="8" t="str">
        <f t="shared" si="423"/>
        <v>N</v>
      </c>
      <c r="F2270" s="8" t="str">
        <f t="shared" si="424"/>
        <v>N</v>
      </c>
      <c r="G2270" s="8" t="str">
        <f t="shared" si="425"/>
        <v>N</v>
      </c>
      <c r="H2270" s="8" t="str">
        <f t="shared" si="426"/>
        <v>Lower</v>
      </c>
      <c r="I2270" s="8" t="str">
        <f t="shared" si="427"/>
        <v>Outside</v>
      </c>
      <c r="J2270" s="8" t="str">
        <f t="shared" si="428"/>
        <v>Outside</v>
      </c>
      <c r="K2270" s="8" t="str">
        <f t="shared" si="429"/>
        <v>Riparian</v>
      </c>
      <c r="L2270" s="8">
        <f t="shared" si="430"/>
        <v>1000</v>
      </c>
      <c r="M2270" s="8" t="str">
        <f t="shared" si="432"/>
        <v>-</v>
      </c>
      <c r="N2270" s="10" t="s">
        <v>242</v>
      </c>
      <c r="O2270" s="10" t="s">
        <v>242</v>
      </c>
      <c r="P2270" s="10" t="s">
        <v>242</v>
      </c>
      <c r="Q2270" s="10" t="s">
        <v>242</v>
      </c>
      <c r="R2270" s="10" t="s">
        <v>242</v>
      </c>
      <c r="S2270" s="10" t="s">
        <v>241</v>
      </c>
      <c r="T2270" s="10" t="s">
        <v>242</v>
      </c>
      <c r="U2270" s="10" t="s">
        <v>242</v>
      </c>
      <c r="V2270" s="10" t="s">
        <v>242</v>
      </c>
      <c r="W2270" s="10" t="s">
        <v>242</v>
      </c>
      <c r="X2270" s="15">
        <f>IF(ISERROR(VLOOKUP($A2270,'13. Updated Demand'!A:Z,15,FALSE)),0,VLOOKUP($A2270,'13. Updated Demand'!A:Z,15,FALSE))</f>
        <v>1.4270326E-2</v>
      </c>
      <c r="Y2270" s="16">
        <f>IF(ISERROR(VLOOKUP($A2270,'13. Updated Demand'!A:Z,16,FALSE)),0,VLOOKUP($A2270,'13. Updated Demand'!A:Z,16,FALSE))</f>
        <v>1.2889327000000001E-2</v>
      </c>
      <c r="Z2270" s="16">
        <f>IF(ISERROR(VLOOKUP($A2270,'13. Updated Demand'!A:Z,17,FALSE)),0,VLOOKUP($A2270,'13. Updated Demand'!A:Z,17,FALSE))</f>
        <v>1.4270326E-2</v>
      </c>
      <c r="AA2270" s="16">
        <f>IF(ISERROR(VLOOKUP($A2270,'13. Updated Demand'!A:Z,18,FALSE)),0,VLOOKUP($A2270,'13. Updated Demand'!A:Z,18,FALSE))</f>
        <v>1.3809993E-2</v>
      </c>
      <c r="AB2270" s="16">
        <f>IF(ISERROR(VLOOKUP($A2270,'13. Updated Demand'!A:Z,19,FALSE)),0,VLOOKUP($A2270,'13. Updated Demand'!A:Z,19,FALSE))</f>
        <v>1.4270326E-2</v>
      </c>
      <c r="AC2270" s="16">
        <f>IF(ISERROR(VLOOKUP($A2270,'13. Updated Demand'!A:Z,20,FALSE)),0,VLOOKUP($A2270,'13. Updated Demand'!A:Z,20,FALSE))</f>
        <v>1.3809993E-2</v>
      </c>
      <c r="AD2270" s="16">
        <f>IF(ISERROR(VLOOKUP($A2270,'13. Updated Demand'!A:Z,21,FALSE)),0,VLOOKUP($A2270,'13. Updated Demand'!A:Z,21,FALSE))</f>
        <v>1.4270326E-2</v>
      </c>
      <c r="AE2270" s="16">
        <f>IF(ISERROR(VLOOKUP($A2270,'13. Updated Demand'!A:Z,22,FALSE)),0,VLOOKUP($A2270,'13. Updated Demand'!A:Z,22,FALSE))</f>
        <v>1.4270326E-2</v>
      </c>
      <c r="AF2270" s="16">
        <f>IF(ISERROR(VLOOKUP($A2270,'13. Updated Demand'!A:Z,23,FALSE)),0,VLOOKUP($A2270,'13. Updated Demand'!A:Z,23,FALSE))</f>
        <v>1.3809972E-2</v>
      </c>
      <c r="AG2270" s="16">
        <f>IF(ISERROR(VLOOKUP($A2270,'13. Updated Demand'!A:Z,24,FALSE)),0,VLOOKUP($A2270,'13. Updated Demand'!A:Z,24,FALSE))</f>
        <v>1.4270326E-2</v>
      </c>
      <c r="AH2270" s="16">
        <f>IF(ISERROR(VLOOKUP($A2270,'13. Updated Demand'!A:Z,25,FALSE)),0,VLOOKUP($A2270,'13. Updated Demand'!A:Z,25,FALSE))</f>
        <v>1.3809993E-2</v>
      </c>
      <c r="AI2270" s="16">
        <f>IF(ISERROR(VLOOKUP($A2270,'13. Updated Demand'!A:Z,26,FALSE)),0,VLOOKUP($A2270,'13. Updated Demand'!A:Z,26,FALSE))</f>
        <v>1.4270326E-2</v>
      </c>
      <c r="AJ2270" s="16">
        <f t="shared" si="433"/>
        <v>0.16802155999999999</v>
      </c>
      <c r="AK2270" s="19">
        <v>7.0430942999999996E-2</v>
      </c>
      <c r="AL2270" s="16">
        <f t="shared" si="431"/>
        <v>2.3361141509266491E-4</v>
      </c>
      <c r="AM2270" s="26">
        <v>1.0001283333333333</v>
      </c>
      <c r="AN2270" s="19">
        <v>0.16800000000000001</v>
      </c>
      <c r="AO2270" s="19" t="s">
        <v>1758</v>
      </c>
      <c r="AP2270" s="19">
        <v>0</v>
      </c>
      <c r="AQ2270" s="19" t="s">
        <v>307</v>
      </c>
      <c r="AR2270" s="9" t="s">
        <v>352</v>
      </c>
      <c r="AS2270" s="12">
        <v>3.4039024194010059E-4</v>
      </c>
      <c r="AT2270" s="19">
        <v>38.415100000000002</v>
      </c>
      <c r="AU2270" s="19">
        <v>-122.9162</v>
      </c>
      <c r="AV2270" s="19" t="s">
        <v>411</v>
      </c>
    </row>
    <row r="2271" spans="1:48" x14ac:dyDescent="0.25">
      <c r="A2271" s="18" t="s">
        <v>2729</v>
      </c>
      <c r="B2271" s="10">
        <v>10000000</v>
      </c>
      <c r="C2271" s="9">
        <v>16</v>
      </c>
      <c r="D2271" s="8" t="str">
        <f t="shared" si="422"/>
        <v>N</v>
      </c>
      <c r="E2271" s="8" t="str">
        <f t="shared" si="423"/>
        <v>N</v>
      </c>
      <c r="F2271" s="8" t="str">
        <f t="shared" si="424"/>
        <v>N</v>
      </c>
      <c r="G2271" s="8" t="str">
        <f t="shared" si="425"/>
        <v>N</v>
      </c>
      <c r="H2271" s="8" t="str">
        <f t="shared" si="426"/>
        <v>Lower</v>
      </c>
      <c r="I2271" s="8" t="str">
        <f t="shared" si="427"/>
        <v>Outside</v>
      </c>
      <c r="J2271" s="8" t="str">
        <f t="shared" si="428"/>
        <v>Outside</v>
      </c>
      <c r="K2271" s="8" t="str">
        <f t="shared" si="429"/>
        <v>Riparian</v>
      </c>
      <c r="L2271" s="8">
        <f t="shared" si="430"/>
        <v>1000</v>
      </c>
      <c r="M2271" s="8" t="str">
        <f t="shared" si="432"/>
        <v>-</v>
      </c>
      <c r="N2271" s="10" t="s">
        <v>242</v>
      </c>
      <c r="O2271" s="10" t="s">
        <v>242</v>
      </c>
      <c r="P2271" s="10" t="s">
        <v>242</v>
      </c>
      <c r="Q2271" s="10" t="s">
        <v>242</v>
      </c>
      <c r="R2271" s="10" t="s">
        <v>242</v>
      </c>
      <c r="S2271" s="10" t="s">
        <v>241</v>
      </c>
      <c r="T2271" s="10" t="s">
        <v>242</v>
      </c>
      <c r="U2271" s="10" t="s">
        <v>241</v>
      </c>
      <c r="V2271" s="10" t="s">
        <v>241</v>
      </c>
      <c r="W2271" s="10" t="s">
        <v>242</v>
      </c>
      <c r="X2271" s="15">
        <f>IF(ISERROR(VLOOKUP($A2271,'13. Updated Demand'!A:Z,15,FALSE)),0,VLOOKUP($A2271,'13. Updated Demand'!A:Z,15,FALSE))</f>
        <v>0</v>
      </c>
      <c r="Y2271" s="16">
        <f>IF(ISERROR(VLOOKUP($A2271,'13. Updated Demand'!A:Z,16,FALSE)),0,VLOOKUP($A2271,'13. Updated Demand'!A:Z,16,FALSE))</f>
        <v>0</v>
      </c>
      <c r="Z2271" s="16">
        <f>IF(ISERROR(VLOOKUP($A2271,'13. Updated Demand'!A:Z,17,FALSE)),0,VLOOKUP($A2271,'13. Updated Demand'!A:Z,17,FALSE))</f>
        <v>0</v>
      </c>
      <c r="AA2271" s="16">
        <f>IF(ISERROR(VLOOKUP($A2271,'13. Updated Demand'!A:Z,18,FALSE)),0,VLOOKUP($A2271,'13. Updated Demand'!A:Z,18,FALSE))</f>
        <v>0</v>
      </c>
      <c r="AB2271" s="16">
        <f>IF(ISERROR(VLOOKUP($A2271,'13. Updated Demand'!A:Z,19,FALSE)),0,VLOOKUP($A2271,'13. Updated Demand'!A:Z,19,FALSE))</f>
        <v>0</v>
      </c>
      <c r="AC2271" s="16">
        <f>IF(ISERROR(VLOOKUP($A2271,'13. Updated Demand'!A:Z,20,FALSE)),0,VLOOKUP($A2271,'13. Updated Demand'!A:Z,20,FALSE))</f>
        <v>0</v>
      </c>
      <c r="AD2271" s="16">
        <f>IF(ISERROR(VLOOKUP($A2271,'13. Updated Demand'!A:Z,21,FALSE)),0,VLOOKUP($A2271,'13. Updated Demand'!A:Z,21,FALSE))</f>
        <v>0</v>
      </c>
      <c r="AE2271" s="16">
        <f>IF(ISERROR(VLOOKUP($A2271,'13. Updated Demand'!A:Z,22,FALSE)),0,VLOOKUP($A2271,'13. Updated Demand'!A:Z,22,FALSE))</f>
        <v>0</v>
      </c>
      <c r="AF2271" s="16">
        <f>IF(ISERROR(VLOOKUP($A2271,'13. Updated Demand'!A:Z,23,FALSE)),0,VLOOKUP($A2271,'13. Updated Demand'!A:Z,23,FALSE))</f>
        <v>0</v>
      </c>
      <c r="AG2271" s="16">
        <f>IF(ISERROR(VLOOKUP($A2271,'13. Updated Demand'!A:Z,24,FALSE)),0,VLOOKUP($A2271,'13. Updated Demand'!A:Z,24,FALSE))</f>
        <v>0</v>
      </c>
      <c r="AH2271" s="16">
        <f>IF(ISERROR(VLOOKUP($A2271,'13. Updated Demand'!A:Z,25,FALSE)),0,VLOOKUP($A2271,'13. Updated Demand'!A:Z,25,FALSE))</f>
        <v>0</v>
      </c>
      <c r="AI2271" s="16">
        <f>IF(ISERROR(VLOOKUP($A2271,'13. Updated Demand'!A:Z,26,FALSE)),0,VLOOKUP($A2271,'13. Updated Demand'!A:Z,26,FALSE))</f>
        <v>0</v>
      </c>
      <c r="AJ2271" s="16">
        <f t="shared" si="433"/>
        <v>0</v>
      </c>
      <c r="AK2271" s="19">
        <v>0</v>
      </c>
      <c r="AL2271" s="16">
        <f t="shared" si="431"/>
        <v>0</v>
      </c>
      <c r="AM2271" s="26">
        <v>0</v>
      </c>
      <c r="AN2271" s="19">
        <v>0</v>
      </c>
      <c r="AO2271" s="19" t="s">
        <v>1758</v>
      </c>
      <c r="AP2271" s="19">
        <v>0</v>
      </c>
      <c r="AQ2271" s="19" t="s">
        <v>307</v>
      </c>
      <c r="AR2271" s="9" t="s">
        <v>394</v>
      </c>
      <c r="AS2271" s="12">
        <v>3.4039024194010059E-4</v>
      </c>
      <c r="AT2271" s="19">
        <v>38.583599999999997</v>
      </c>
      <c r="AU2271" s="19">
        <v>-122.8736</v>
      </c>
      <c r="AV2271" s="19" t="s">
        <v>406</v>
      </c>
    </row>
    <row r="2272" spans="1:48" x14ac:dyDescent="0.25">
      <c r="A2272" s="18" t="s">
        <v>2730</v>
      </c>
      <c r="B2272" s="10">
        <v>10000000</v>
      </c>
      <c r="C2272" s="9">
        <v>15</v>
      </c>
      <c r="D2272" s="8" t="str">
        <f t="shared" si="422"/>
        <v>N</v>
      </c>
      <c r="E2272" s="8" t="str">
        <f t="shared" si="423"/>
        <v>N</v>
      </c>
      <c r="F2272" s="8" t="str">
        <f t="shared" si="424"/>
        <v>N</v>
      </c>
      <c r="G2272" s="8" t="str">
        <f t="shared" si="425"/>
        <v>N</v>
      </c>
      <c r="H2272" s="8" t="str">
        <f t="shared" si="426"/>
        <v>Lower</v>
      </c>
      <c r="I2272" s="8" t="str">
        <f t="shared" si="427"/>
        <v>Outside</v>
      </c>
      <c r="J2272" s="8" t="str">
        <f t="shared" si="428"/>
        <v>Outside</v>
      </c>
      <c r="K2272" s="8" t="str">
        <f t="shared" si="429"/>
        <v>Riparian</v>
      </c>
      <c r="L2272" s="8">
        <f t="shared" si="430"/>
        <v>1000</v>
      </c>
      <c r="M2272" s="8" t="str">
        <f t="shared" si="432"/>
        <v>-</v>
      </c>
      <c r="N2272" s="10" t="s">
        <v>242</v>
      </c>
      <c r="O2272" s="10" t="s">
        <v>242</v>
      </c>
      <c r="P2272" s="10" t="s">
        <v>242</v>
      </c>
      <c r="Q2272" s="10" t="s">
        <v>242</v>
      </c>
      <c r="R2272" s="10" t="s">
        <v>242</v>
      </c>
      <c r="S2272" s="10" t="s">
        <v>241</v>
      </c>
      <c r="T2272" s="10" t="s">
        <v>241</v>
      </c>
      <c r="U2272" s="10" t="s">
        <v>241</v>
      </c>
      <c r="V2272" s="10" t="s">
        <v>241</v>
      </c>
      <c r="W2272" s="10" t="s">
        <v>242</v>
      </c>
      <c r="X2272" s="15">
        <f>IF(ISERROR(VLOOKUP($A2272,'13. Updated Demand'!A:Z,15,FALSE)),0,VLOOKUP($A2272,'13. Updated Demand'!A:Z,15,FALSE))</f>
        <v>0</v>
      </c>
      <c r="Y2272" s="16">
        <f>IF(ISERROR(VLOOKUP($A2272,'13. Updated Demand'!A:Z,16,FALSE)),0,VLOOKUP($A2272,'13. Updated Demand'!A:Z,16,FALSE))</f>
        <v>0</v>
      </c>
      <c r="Z2272" s="16">
        <f>IF(ISERROR(VLOOKUP($A2272,'13. Updated Demand'!A:Z,17,FALSE)),0,VLOOKUP($A2272,'13. Updated Demand'!A:Z,17,FALSE))</f>
        <v>0</v>
      </c>
      <c r="AA2272" s="16">
        <f>IF(ISERROR(VLOOKUP($A2272,'13. Updated Demand'!A:Z,18,FALSE)),0,VLOOKUP($A2272,'13. Updated Demand'!A:Z,18,FALSE))</f>
        <v>0</v>
      </c>
      <c r="AB2272" s="16">
        <f>IF(ISERROR(VLOOKUP($A2272,'13. Updated Demand'!A:Z,19,FALSE)),0,VLOOKUP($A2272,'13. Updated Demand'!A:Z,19,FALSE))</f>
        <v>0</v>
      </c>
      <c r="AC2272" s="16">
        <f>IF(ISERROR(VLOOKUP($A2272,'13. Updated Demand'!A:Z,20,FALSE)),0,VLOOKUP($A2272,'13. Updated Demand'!A:Z,20,FALSE))</f>
        <v>0</v>
      </c>
      <c r="AD2272" s="16">
        <f>IF(ISERROR(VLOOKUP($A2272,'13. Updated Demand'!A:Z,21,FALSE)),0,VLOOKUP($A2272,'13. Updated Demand'!A:Z,21,FALSE))</f>
        <v>0</v>
      </c>
      <c r="AE2272" s="16">
        <f>IF(ISERROR(VLOOKUP($A2272,'13. Updated Demand'!A:Z,22,FALSE)),0,VLOOKUP($A2272,'13. Updated Demand'!A:Z,22,FALSE))</f>
        <v>0</v>
      </c>
      <c r="AF2272" s="16">
        <f>IF(ISERROR(VLOOKUP($A2272,'13. Updated Demand'!A:Z,23,FALSE)),0,VLOOKUP($A2272,'13. Updated Demand'!A:Z,23,FALSE))</f>
        <v>0</v>
      </c>
      <c r="AG2272" s="16">
        <f>IF(ISERROR(VLOOKUP($A2272,'13. Updated Demand'!A:Z,24,FALSE)),0,VLOOKUP($A2272,'13. Updated Demand'!A:Z,24,FALSE))</f>
        <v>0</v>
      </c>
      <c r="AH2272" s="16">
        <f>IF(ISERROR(VLOOKUP($A2272,'13. Updated Demand'!A:Z,25,FALSE)),0,VLOOKUP($A2272,'13. Updated Demand'!A:Z,25,FALSE))</f>
        <v>0</v>
      </c>
      <c r="AI2272" s="16">
        <f>IF(ISERROR(VLOOKUP($A2272,'13. Updated Demand'!A:Z,26,FALSE)),0,VLOOKUP($A2272,'13. Updated Demand'!A:Z,26,FALSE))</f>
        <v>0</v>
      </c>
      <c r="AJ2272" s="16">
        <f t="shared" si="433"/>
        <v>0</v>
      </c>
      <c r="AK2272" s="19">
        <v>0</v>
      </c>
      <c r="AL2272" s="16">
        <f t="shared" si="431"/>
        <v>0</v>
      </c>
      <c r="AM2272" s="26">
        <v>0</v>
      </c>
      <c r="AN2272" s="19">
        <v>113.0064</v>
      </c>
      <c r="AO2272" s="19" t="s">
        <v>1758</v>
      </c>
      <c r="AP2272" s="19">
        <v>0</v>
      </c>
      <c r="AQ2272" s="19" t="s">
        <v>307</v>
      </c>
      <c r="AR2272" s="9" t="s">
        <v>489</v>
      </c>
      <c r="AS2272" s="12">
        <v>0</v>
      </c>
      <c r="AT2272" s="19">
        <v>38.679299999999998</v>
      </c>
      <c r="AU2272" s="19">
        <v>-122.9425</v>
      </c>
      <c r="AV2272" s="19" t="s">
        <v>932</v>
      </c>
    </row>
    <row r="2273" spans="1:48" x14ac:dyDescent="0.25">
      <c r="A2273" s="18" t="s">
        <v>2731</v>
      </c>
      <c r="B2273" s="10">
        <v>10000000</v>
      </c>
      <c r="C2273" s="9">
        <v>16</v>
      </c>
      <c r="D2273" s="8" t="str">
        <f t="shared" si="422"/>
        <v>N</v>
      </c>
      <c r="E2273" s="8" t="str">
        <f t="shared" si="423"/>
        <v>N</v>
      </c>
      <c r="F2273" s="8" t="str">
        <f t="shared" si="424"/>
        <v>N</v>
      </c>
      <c r="G2273" s="8" t="str">
        <f t="shared" si="425"/>
        <v>N</v>
      </c>
      <c r="H2273" s="8" t="str">
        <f t="shared" si="426"/>
        <v>Lower</v>
      </c>
      <c r="I2273" s="8" t="str">
        <f t="shared" si="427"/>
        <v>Outside</v>
      </c>
      <c r="J2273" s="8" t="str">
        <f t="shared" si="428"/>
        <v>Outside</v>
      </c>
      <c r="K2273" s="8" t="str">
        <f t="shared" si="429"/>
        <v>Riparian</v>
      </c>
      <c r="L2273" s="8">
        <f t="shared" si="430"/>
        <v>1000</v>
      </c>
      <c r="M2273" s="8" t="str">
        <f t="shared" si="432"/>
        <v>-</v>
      </c>
      <c r="N2273" s="10" t="s">
        <v>242</v>
      </c>
      <c r="O2273" s="10" t="s">
        <v>242</v>
      </c>
      <c r="P2273" s="10" t="s">
        <v>242</v>
      </c>
      <c r="Q2273" s="10" t="s">
        <v>242</v>
      </c>
      <c r="R2273" s="10" t="s">
        <v>242</v>
      </c>
      <c r="S2273" s="10" t="s">
        <v>241</v>
      </c>
      <c r="T2273" s="10" t="s">
        <v>242</v>
      </c>
      <c r="U2273" s="10" t="s">
        <v>241</v>
      </c>
      <c r="V2273" s="10" t="s">
        <v>241</v>
      </c>
      <c r="W2273" s="10" t="s">
        <v>242</v>
      </c>
      <c r="X2273" s="15">
        <f>IF(ISERROR(VLOOKUP($A2273,'13. Updated Demand'!A:Z,15,FALSE)),0,VLOOKUP($A2273,'13. Updated Demand'!A:Z,15,FALSE))</f>
        <v>0</v>
      </c>
      <c r="Y2273" s="16">
        <f>IF(ISERROR(VLOOKUP($A2273,'13. Updated Demand'!A:Z,16,FALSE)),0,VLOOKUP($A2273,'13. Updated Demand'!A:Z,16,FALSE))</f>
        <v>0</v>
      </c>
      <c r="Z2273" s="16">
        <f>IF(ISERROR(VLOOKUP($A2273,'13. Updated Demand'!A:Z,17,FALSE)),0,VLOOKUP($A2273,'13. Updated Demand'!A:Z,17,FALSE))</f>
        <v>0</v>
      </c>
      <c r="AA2273" s="16">
        <f>IF(ISERROR(VLOOKUP($A2273,'13. Updated Demand'!A:Z,18,FALSE)),0,VLOOKUP($A2273,'13. Updated Demand'!A:Z,18,FALSE))</f>
        <v>0</v>
      </c>
      <c r="AB2273" s="16">
        <f>IF(ISERROR(VLOOKUP($A2273,'13. Updated Demand'!A:Z,19,FALSE)),0,VLOOKUP($A2273,'13. Updated Demand'!A:Z,19,FALSE))</f>
        <v>0</v>
      </c>
      <c r="AC2273" s="16">
        <f>IF(ISERROR(VLOOKUP($A2273,'13. Updated Demand'!A:Z,20,FALSE)),0,VLOOKUP($A2273,'13. Updated Demand'!A:Z,20,FALSE))</f>
        <v>0</v>
      </c>
      <c r="AD2273" s="16">
        <f>IF(ISERROR(VLOOKUP($A2273,'13. Updated Demand'!A:Z,21,FALSE)),0,VLOOKUP($A2273,'13. Updated Demand'!A:Z,21,FALSE))</f>
        <v>0</v>
      </c>
      <c r="AE2273" s="16">
        <f>IF(ISERROR(VLOOKUP($A2273,'13. Updated Demand'!A:Z,22,FALSE)),0,VLOOKUP($A2273,'13. Updated Demand'!A:Z,22,FALSE))</f>
        <v>0</v>
      </c>
      <c r="AF2273" s="16">
        <f>IF(ISERROR(VLOOKUP($A2273,'13. Updated Demand'!A:Z,23,FALSE)),0,VLOOKUP($A2273,'13. Updated Demand'!A:Z,23,FALSE))</f>
        <v>0</v>
      </c>
      <c r="AG2273" s="16">
        <f>IF(ISERROR(VLOOKUP($A2273,'13. Updated Demand'!A:Z,24,FALSE)),0,VLOOKUP($A2273,'13. Updated Demand'!A:Z,24,FALSE))</f>
        <v>0</v>
      </c>
      <c r="AH2273" s="16">
        <f>IF(ISERROR(VLOOKUP($A2273,'13. Updated Demand'!A:Z,25,FALSE)),0,VLOOKUP($A2273,'13. Updated Demand'!A:Z,25,FALSE))</f>
        <v>0</v>
      </c>
      <c r="AI2273" s="16">
        <f>IF(ISERROR(VLOOKUP($A2273,'13. Updated Demand'!A:Z,26,FALSE)),0,VLOOKUP($A2273,'13. Updated Demand'!A:Z,26,FALSE))</f>
        <v>0</v>
      </c>
      <c r="AJ2273" s="16">
        <f t="shared" si="433"/>
        <v>0</v>
      </c>
      <c r="AK2273" s="19">
        <v>0</v>
      </c>
      <c r="AL2273" s="16">
        <f t="shared" si="431"/>
        <v>0</v>
      </c>
      <c r="AM2273" s="26">
        <v>0</v>
      </c>
      <c r="AN2273" s="19">
        <v>0</v>
      </c>
      <c r="AO2273" s="19" t="s">
        <v>1758</v>
      </c>
      <c r="AP2273" s="19">
        <v>0</v>
      </c>
      <c r="AQ2273" s="19" t="s">
        <v>307</v>
      </c>
      <c r="AR2273" s="9" t="s">
        <v>394</v>
      </c>
      <c r="AS2273" s="12">
        <v>0</v>
      </c>
      <c r="AT2273" s="19">
        <v>38.582700000000003</v>
      </c>
      <c r="AU2273" s="19">
        <v>-122.87949999999999</v>
      </c>
      <c r="AV2273" s="19" t="s">
        <v>406</v>
      </c>
    </row>
    <row r="2274" spans="1:48" x14ac:dyDescent="0.25">
      <c r="A2274" s="18" t="s">
        <v>2732</v>
      </c>
      <c r="B2274" s="10">
        <v>10000000</v>
      </c>
      <c r="C2274" s="9">
        <v>17</v>
      </c>
      <c r="D2274" s="8" t="str">
        <f t="shared" si="422"/>
        <v>N</v>
      </c>
      <c r="E2274" s="8" t="str">
        <f t="shared" si="423"/>
        <v>N</v>
      </c>
      <c r="F2274" s="8" t="str">
        <f t="shared" si="424"/>
        <v>N</v>
      </c>
      <c r="G2274" s="8" t="str">
        <f t="shared" si="425"/>
        <v>N</v>
      </c>
      <c r="H2274" s="8" t="str">
        <f t="shared" si="426"/>
        <v>Lower</v>
      </c>
      <c r="I2274" s="8" t="str">
        <f t="shared" si="427"/>
        <v>Outside</v>
      </c>
      <c r="J2274" s="8" t="str">
        <f t="shared" si="428"/>
        <v>Outside</v>
      </c>
      <c r="K2274" s="8" t="str">
        <f t="shared" si="429"/>
        <v>Riparian</v>
      </c>
      <c r="L2274" s="8">
        <f t="shared" si="430"/>
        <v>1000</v>
      </c>
      <c r="M2274" s="8" t="str">
        <f t="shared" si="432"/>
        <v>-</v>
      </c>
      <c r="N2274" s="10" t="s">
        <v>241</v>
      </c>
      <c r="O2274" s="10" t="s">
        <v>242</v>
      </c>
      <c r="P2274" s="10" t="s">
        <v>242</v>
      </c>
      <c r="Q2274" s="10" t="s">
        <v>242</v>
      </c>
      <c r="R2274" s="10" t="s">
        <v>242</v>
      </c>
      <c r="S2274" s="10" t="s">
        <v>241</v>
      </c>
      <c r="T2274" s="10" t="s">
        <v>242</v>
      </c>
      <c r="U2274" s="10" t="s">
        <v>242</v>
      </c>
      <c r="V2274" s="10" t="s">
        <v>242</v>
      </c>
      <c r="W2274" s="10" t="s">
        <v>242</v>
      </c>
      <c r="X2274" s="15">
        <f>IF(ISERROR(VLOOKUP($A2274,'13. Updated Demand'!A:Z,15,FALSE)),0,VLOOKUP($A2274,'13. Updated Demand'!A:Z,15,FALSE))</f>
        <v>6.6666670000000003E-3</v>
      </c>
      <c r="Y2274" s="16">
        <f>IF(ISERROR(VLOOKUP($A2274,'13. Updated Demand'!A:Z,16,FALSE)),0,VLOOKUP($A2274,'13. Updated Demand'!A:Z,16,FALSE))</f>
        <v>0.24333333300000001</v>
      </c>
      <c r="Z2274" s="16">
        <f>IF(ISERROR(VLOOKUP($A2274,'13. Updated Demand'!A:Z,17,FALSE)),0,VLOOKUP($A2274,'13. Updated Demand'!A:Z,17,FALSE))</f>
        <v>0.31</v>
      </c>
      <c r="AA2274" s="16">
        <f>IF(ISERROR(VLOOKUP($A2274,'13. Updated Demand'!A:Z,18,FALSE)),0,VLOOKUP($A2274,'13. Updated Demand'!A:Z,18,FALSE))</f>
        <v>7.0000000000000007E-2</v>
      </c>
      <c r="AB2274" s="16">
        <f>IF(ISERROR(VLOOKUP($A2274,'13. Updated Demand'!A:Z,19,FALSE)),0,VLOOKUP($A2274,'13. Updated Demand'!A:Z,19,FALSE))</f>
        <v>0.31666666700000001</v>
      </c>
      <c r="AC2274" s="16">
        <f>IF(ISERROR(VLOOKUP($A2274,'13. Updated Demand'!A:Z,20,FALSE)),0,VLOOKUP($A2274,'13. Updated Demand'!A:Z,20,FALSE))</f>
        <v>0.28999999999999998</v>
      </c>
      <c r="AD2274" s="16">
        <f>IF(ISERROR(VLOOKUP($A2274,'13. Updated Demand'!A:Z,21,FALSE)),0,VLOOKUP($A2274,'13. Updated Demand'!A:Z,21,FALSE))</f>
        <v>0.86666666699999995</v>
      </c>
      <c r="AE2274" s="16">
        <f>IF(ISERROR(VLOOKUP($A2274,'13. Updated Demand'!A:Z,22,FALSE)),0,VLOOKUP($A2274,'13. Updated Demand'!A:Z,22,FALSE))</f>
        <v>0.76</v>
      </c>
      <c r="AF2274" s="16">
        <f>IF(ISERROR(VLOOKUP($A2274,'13. Updated Demand'!A:Z,23,FALSE)),0,VLOOKUP($A2274,'13. Updated Demand'!A:Z,23,FALSE))</f>
        <v>1.93</v>
      </c>
      <c r="AG2274" s="16">
        <f>IF(ISERROR(VLOOKUP($A2274,'13. Updated Demand'!A:Z,24,FALSE)),0,VLOOKUP($A2274,'13. Updated Demand'!A:Z,24,FALSE))</f>
        <v>0.33333333300000001</v>
      </c>
      <c r="AH2274" s="16">
        <f>IF(ISERROR(VLOOKUP($A2274,'13. Updated Demand'!A:Z,25,FALSE)),0,VLOOKUP($A2274,'13. Updated Demand'!A:Z,25,FALSE))</f>
        <v>0.21333333300000001</v>
      </c>
      <c r="AI2274" s="16">
        <f>IF(ISERROR(VLOOKUP($A2274,'13. Updated Demand'!A:Z,26,FALSE)),0,VLOOKUP($A2274,'13. Updated Demand'!A:Z,26,FALSE))</f>
        <v>1.3333332999999999E-2</v>
      </c>
      <c r="AJ2274" s="16">
        <f t="shared" si="433"/>
        <v>5.3533333330000001</v>
      </c>
      <c r="AK2274" s="19">
        <v>4.1633333339999998</v>
      </c>
      <c r="AL2274" s="16">
        <f t="shared" si="431"/>
        <v>1.3809302420644893E-2</v>
      </c>
      <c r="AM2274" s="26">
        <v>0</v>
      </c>
      <c r="AN2274" s="19"/>
      <c r="AO2274" s="19"/>
      <c r="AP2274" s="19">
        <v>0</v>
      </c>
      <c r="AQ2274" s="19" t="s">
        <v>307</v>
      </c>
      <c r="AR2274" s="9" t="s">
        <v>486</v>
      </c>
      <c r="AS2274" s="12">
        <v>0</v>
      </c>
      <c r="AT2274" s="19">
        <v>38.538499999999999</v>
      </c>
      <c r="AU2274" s="19">
        <v>-122.8635</v>
      </c>
      <c r="AV2274" s="19" t="s">
        <v>548</v>
      </c>
    </row>
    <row r="2275" spans="1:48" x14ac:dyDescent="0.25">
      <c r="A2275" s="18" t="s">
        <v>2733</v>
      </c>
      <c r="B2275" s="10">
        <v>10000000</v>
      </c>
      <c r="C2275" s="9">
        <v>17</v>
      </c>
      <c r="D2275" s="8" t="str">
        <f t="shared" si="422"/>
        <v>N</v>
      </c>
      <c r="E2275" s="8" t="str">
        <f t="shared" si="423"/>
        <v>N</v>
      </c>
      <c r="F2275" s="8" t="str">
        <f t="shared" si="424"/>
        <v>N</v>
      </c>
      <c r="G2275" s="8" t="str">
        <f t="shared" si="425"/>
        <v>N</v>
      </c>
      <c r="H2275" s="8" t="str">
        <f t="shared" si="426"/>
        <v>Lower</v>
      </c>
      <c r="I2275" s="8" t="str">
        <f t="shared" si="427"/>
        <v>Outside</v>
      </c>
      <c r="J2275" s="8" t="str">
        <f t="shared" si="428"/>
        <v>Outside</v>
      </c>
      <c r="K2275" s="8" t="str">
        <f t="shared" si="429"/>
        <v>Riparian</v>
      </c>
      <c r="L2275" s="8">
        <f t="shared" si="430"/>
        <v>1000</v>
      </c>
      <c r="M2275" s="8" t="str">
        <f t="shared" si="432"/>
        <v>-</v>
      </c>
      <c r="N2275" s="10" t="s">
        <v>241</v>
      </c>
      <c r="O2275" s="10" t="s">
        <v>242</v>
      </c>
      <c r="P2275" s="10" t="s">
        <v>242</v>
      </c>
      <c r="Q2275" s="10" t="s">
        <v>242</v>
      </c>
      <c r="R2275" s="10" t="s">
        <v>242</v>
      </c>
      <c r="S2275" s="10" t="s">
        <v>241</v>
      </c>
      <c r="T2275" s="10" t="s">
        <v>242</v>
      </c>
      <c r="U2275" s="10" t="s">
        <v>242</v>
      </c>
      <c r="V2275" s="10" t="s">
        <v>242</v>
      </c>
      <c r="W2275" s="10" t="s">
        <v>242</v>
      </c>
      <c r="X2275" s="15">
        <f>IF(ISERROR(VLOOKUP($A2275,'13. Updated Demand'!A:Z,15,FALSE)),0,VLOOKUP($A2275,'13. Updated Demand'!A:Z,15,FALSE))</f>
        <v>0.04</v>
      </c>
      <c r="Y2275" s="16">
        <f>IF(ISERROR(VLOOKUP($A2275,'13. Updated Demand'!A:Z,16,FALSE)),0,VLOOKUP($A2275,'13. Updated Demand'!A:Z,16,FALSE))</f>
        <v>0</v>
      </c>
      <c r="Z2275" s="16">
        <f>IF(ISERROR(VLOOKUP($A2275,'13. Updated Demand'!A:Z,17,FALSE)),0,VLOOKUP($A2275,'13. Updated Demand'!A:Z,17,FALSE))</f>
        <v>0</v>
      </c>
      <c r="AA2275" s="16">
        <f>IF(ISERROR(VLOOKUP($A2275,'13. Updated Demand'!A:Z,18,FALSE)),0,VLOOKUP($A2275,'13. Updated Demand'!A:Z,18,FALSE))</f>
        <v>0</v>
      </c>
      <c r="AB2275" s="16">
        <f>IF(ISERROR(VLOOKUP($A2275,'13. Updated Demand'!A:Z,19,FALSE)),0,VLOOKUP($A2275,'13. Updated Demand'!A:Z,19,FALSE))</f>
        <v>0.06</v>
      </c>
      <c r="AC2275" s="16">
        <f>IF(ISERROR(VLOOKUP($A2275,'13. Updated Demand'!A:Z,20,FALSE)),0,VLOOKUP($A2275,'13. Updated Demand'!A:Z,20,FALSE))</f>
        <v>0.12</v>
      </c>
      <c r="AD2275" s="16">
        <f>IF(ISERROR(VLOOKUP($A2275,'13. Updated Demand'!A:Z,21,FALSE)),0,VLOOKUP($A2275,'13. Updated Demand'!A:Z,21,FALSE))</f>
        <v>0.86</v>
      </c>
      <c r="AE2275" s="16">
        <f>IF(ISERROR(VLOOKUP($A2275,'13. Updated Demand'!A:Z,22,FALSE)),0,VLOOKUP($A2275,'13. Updated Demand'!A:Z,22,FALSE))</f>
        <v>0.28666666699999999</v>
      </c>
      <c r="AF2275" s="16">
        <f>IF(ISERROR(VLOOKUP($A2275,'13. Updated Demand'!A:Z,23,FALSE)),0,VLOOKUP($A2275,'13. Updated Demand'!A:Z,23,FALSE))</f>
        <v>0.50333333300000005</v>
      </c>
      <c r="AG2275" s="16">
        <f>IF(ISERROR(VLOOKUP($A2275,'13. Updated Demand'!A:Z,24,FALSE)),0,VLOOKUP($A2275,'13. Updated Demand'!A:Z,24,FALSE))</f>
        <v>0</v>
      </c>
      <c r="AH2275" s="16">
        <f>IF(ISERROR(VLOOKUP($A2275,'13. Updated Demand'!A:Z,25,FALSE)),0,VLOOKUP($A2275,'13. Updated Demand'!A:Z,25,FALSE))</f>
        <v>0</v>
      </c>
      <c r="AI2275" s="16">
        <f>IF(ISERROR(VLOOKUP($A2275,'13. Updated Demand'!A:Z,26,FALSE)),0,VLOOKUP($A2275,'13. Updated Demand'!A:Z,26,FALSE))</f>
        <v>0</v>
      </c>
      <c r="AJ2275" s="16">
        <f t="shared" si="433"/>
        <v>1.87</v>
      </c>
      <c r="AK2275" s="19">
        <v>1.83</v>
      </c>
      <c r="AL2275" s="16">
        <f t="shared" si="431"/>
        <v>6.0699015434107816E-3</v>
      </c>
      <c r="AM2275" s="26">
        <v>0</v>
      </c>
      <c r="AN2275" s="19"/>
      <c r="AO2275" s="19"/>
      <c r="AP2275" s="19">
        <v>0</v>
      </c>
      <c r="AQ2275" s="19" t="s">
        <v>307</v>
      </c>
      <c r="AR2275" s="9" t="s">
        <v>486</v>
      </c>
      <c r="AS2275" s="12">
        <v>0</v>
      </c>
      <c r="AT2275" s="19">
        <v>38.537700000000001</v>
      </c>
      <c r="AU2275" s="19">
        <v>-122.8633</v>
      </c>
      <c r="AV2275" s="19" t="s">
        <v>548</v>
      </c>
    </row>
    <row r="2276" spans="1:48" x14ac:dyDescent="0.25">
      <c r="A2276" s="18" t="s">
        <v>2734</v>
      </c>
      <c r="B2276" s="10">
        <v>10000000</v>
      </c>
      <c r="C2276" s="9">
        <v>17</v>
      </c>
      <c r="D2276" s="8" t="str">
        <f t="shared" si="422"/>
        <v>N</v>
      </c>
      <c r="E2276" s="8" t="str">
        <f t="shared" si="423"/>
        <v>N</v>
      </c>
      <c r="F2276" s="8" t="str">
        <f t="shared" si="424"/>
        <v>N</v>
      </c>
      <c r="G2276" s="8" t="str">
        <f t="shared" si="425"/>
        <v>N</v>
      </c>
      <c r="H2276" s="8" t="str">
        <f t="shared" si="426"/>
        <v>Lower</v>
      </c>
      <c r="I2276" s="8" t="str">
        <f t="shared" si="427"/>
        <v>Outside</v>
      </c>
      <c r="J2276" s="8" t="str">
        <f t="shared" si="428"/>
        <v>Outside</v>
      </c>
      <c r="K2276" s="8" t="str">
        <f t="shared" si="429"/>
        <v>Riparian</v>
      </c>
      <c r="L2276" s="8">
        <f t="shared" si="430"/>
        <v>1000</v>
      </c>
      <c r="M2276" s="8" t="str">
        <f t="shared" si="432"/>
        <v>-</v>
      </c>
      <c r="N2276" s="10" t="s">
        <v>241</v>
      </c>
      <c r="O2276" s="10" t="s">
        <v>242</v>
      </c>
      <c r="P2276" s="10" t="s">
        <v>242</v>
      </c>
      <c r="Q2276" s="10" t="s">
        <v>242</v>
      </c>
      <c r="R2276" s="10" t="s">
        <v>242</v>
      </c>
      <c r="S2276" s="10" t="s">
        <v>241</v>
      </c>
      <c r="T2276" s="10" t="s">
        <v>242</v>
      </c>
      <c r="U2276" s="10" t="s">
        <v>242</v>
      </c>
      <c r="V2276" s="10" t="s">
        <v>242</v>
      </c>
      <c r="W2276" s="10" t="s">
        <v>242</v>
      </c>
      <c r="X2276" s="15">
        <f>IF(ISERROR(VLOOKUP($A2276,'13. Updated Demand'!A:Z,15,FALSE)),0,VLOOKUP($A2276,'13. Updated Demand'!A:Z,15,FALSE))</f>
        <v>0.04</v>
      </c>
      <c r="Y2276" s="16">
        <f>IF(ISERROR(VLOOKUP($A2276,'13. Updated Demand'!A:Z,16,FALSE)),0,VLOOKUP($A2276,'13. Updated Demand'!A:Z,16,FALSE))</f>
        <v>0</v>
      </c>
      <c r="Z2276" s="16">
        <f>IF(ISERROR(VLOOKUP($A2276,'13. Updated Demand'!A:Z,17,FALSE)),0,VLOOKUP($A2276,'13. Updated Demand'!A:Z,17,FALSE))</f>
        <v>0.33</v>
      </c>
      <c r="AA2276" s="16">
        <f>IF(ISERROR(VLOOKUP($A2276,'13. Updated Demand'!A:Z,18,FALSE)),0,VLOOKUP($A2276,'13. Updated Demand'!A:Z,18,FALSE))</f>
        <v>0.11333333299999999</v>
      </c>
      <c r="AB2276" s="16">
        <f>IF(ISERROR(VLOOKUP($A2276,'13. Updated Demand'!A:Z,19,FALSE)),0,VLOOKUP($A2276,'13. Updated Demand'!A:Z,19,FALSE))</f>
        <v>0.443333333</v>
      </c>
      <c r="AC2276" s="16">
        <f>IF(ISERROR(VLOOKUP($A2276,'13. Updated Demand'!A:Z,20,FALSE)),0,VLOOKUP($A2276,'13. Updated Demand'!A:Z,20,FALSE))</f>
        <v>1.393333333</v>
      </c>
      <c r="AD2276" s="16">
        <f>IF(ISERROR(VLOOKUP($A2276,'13. Updated Demand'!A:Z,21,FALSE)),0,VLOOKUP($A2276,'13. Updated Demand'!A:Z,21,FALSE))</f>
        <v>2.903333333</v>
      </c>
      <c r="AE2276" s="16">
        <f>IF(ISERROR(VLOOKUP($A2276,'13. Updated Demand'!A:Z,22,FALSE)),0,VLOOKUP($A2276,'13. Updated Demand'!A:Z,22,FALSE))</f>
        <v>1.846666667</v>
      </c>
      <c r="AF2276" s="16">
        <f>IF(ISERROR(VLOOKUP($A2276,'13. Updated Demand'!A:Z,23,FALSE)),0,VLOOKUP($A2276,'13. Updated Demand'!A:Z,23,FALSE))</f>
        <v>2.5633333330000001</v>
      </c>
      <c r="AG2276" s="16">
        <f>IF(ISERROR(VLOOKUP($A2276,'13. Updated Demand'!A:Z,24,FALSE)),0,VLOOKUP($A2276,'13. Updated Demand'!A:Z,24,FALSE))</f>
        <v>1.04</v>
      </c>
      <c r="AH2276" s="16">
        <f>IF(ISERROR(VLOOKUP($A2276,'13. Updated Demand'!A:Z,25,FALSE)),0,VLOOKUP($A2276,'13. Updated Demand'!A:Z,25,FALSE))</f>
        <v>1.1466666670000001</v>
      </c>
      <c r="AI2276" s="16">
        <f>IF(ISERROR(VLOOKUP($A2276,'13. Updated Demand'!A:Z,26,FALSE)),0,VLOOKUP($A2276,'13. Updated Demand'!A:Z,26,FALSE))</f>
        <v>3.333333E-3</v>
      </c>
      <c r="AJ2276" s="16">
        <f t="shared" si="433"/>
        <v>11.823333331999999</v>
      </c>
      <c r="AK2276" s="19">
        <v>9.1499999990000003</v>
      </c>
      <c r="AL2276" s="16">
        <f t="shared" si="431"/>
        <v>3.0349507713737022E-2</v>
      </c>
      <c r="AM2276" s="26">
        <v>0</v>
      </c>
      <c r="AN2276" s="19"/>
      <c r="AO2276" s="19"/>
      <c r="AP2276" s="19">
        <v>0</v>
      </c>
      <c r="AQ2276" s="19" t="s">
        <v>307</v>
      </c>
      <c r="AR2276" s="9" t="s">
        <v>486</v>
      </c>
      <c r="AS2276" s="12">
        <v>0</v>
      </c>
      <c r="AT2276" s="19">
        <v>38.537300000000002</v>
      </c>
      <c r="AU2276" s="19">
        <v>-122.86360000000001</v>
      </c>
      <c r="AV2276" s="19" t="s">
        <v>548</v>
      </c>
    </row>
    <row r="2277" spans="1:48" x14ac:dyDescent="0.25">
      <c r="A2277" s="18" t="s">
        <v>2735</v>
      </c>
      <c r="B2277" s="10">
        <v>10000000</v>
      </c>
      <c r="C2277" s="9">
        <v>17</v>
      </c>
      <c r="D2277" s="8" t="str">
        <f t="shared" si="422"/>
        <v>N</v>
      </c>
      <c r="E2277" s="8" t="str">
        <f t="shared" si="423"/>
        <v>N</v>
      </c>
      <c r="F2277" s="8" t="str">
        <f t="shared" si="424"/>
        <v>N</v>
      </c>
      <c r="G2277" s="8" t="str">
        <f t="shared" si="425"/>
        <v>N</v>
      </c>
      <c r="H2277" s="8" t="str">
        <f t="shared" si="426"/>
        <v>Lower</v>
      </c>
      <c r="I2277" s="8" t="str">
        <f t="shared" si="427"/>
        <v>Outside</v>
      </c>
      <c r="J2277" s="8" t="str">
        <f t="shared" si="428"/>
        <v>Outside</v>
      </c>
      <c r="K2277" s="8" t="str">
        <f t="shared" si="429"/>
        <v>Riparian</v>
      </c>
      <c r="L2277" s="8">
        <f t="shared" si="430"/>
        <v>1000</v>
      </c>
      <c r="M2277" s="8" t="str">
        <f t="shared" si="432"/>
        <v>-</v>
      </c>
      <c r="N2277" s="10" t="s">
        <v>241</v>
      </c>
      <c r="O2277" s="10" t="s">
        <v>242</v>
      </c>
      <c r="P2277" s="10" t="s">
        <v>242</v>
      </c>
      <c r="Q2277" s="10" t="s">
        <v>242</v>
      </c>
      <c r="R2277" s="10" t="s">
        <v>242</v>
      </c>
      <c r="S2277" s="10" t="s">
        <v>241</v>
      </c>
      <c r="T2277" s="10" t="s">
        <v>242</v>
      </c>
      <c r="U2277" s="10" t="s">
        <v>242</v>
      </c>
      <c r="V2277" s="10" t="s">
        <v>242</v>
      </c>
      <c r="W2277" s="10" t="s">
        <v>242</v>
      </c>
      <c r="X2277" s="15">
        <f>IF(ISERROR(VLOOKUP($A2277,'13. Updated Demand'!A:Z,15,FALSE)),0,VLOOKUP($A2277,'13. Updated Demand'!A:Z,15,FALSE))</f>
        <v>6.6666670000000003E-3</v>
      </c>
      <c r="Y2277" s="16">
        <f>IF(ISERROR(VLOOKUP($A2277,'13. Updated Demand'!A:Z,16,FALSE)),0,VLOOKUP($A2277,'13. Updated Demand'!A:Z,16,FALSE))</f>
        <v>6.3333333000000006E-2</v>
      </c>
      <c r="Z2277" s="16">
        <f>IF(ISERROR(VLOOKUP($A2277,'13. Updated Demand'!A:Z,17,FALSE)),0,VLOOKUP($A2277,'13. Updated Demand'!A:Z,17,FALSE))</f>
        <v>6.6666670000000003E-3</v>
      </c>
      <c r="AA2277" s="16">
        <f>IF(ISERROR(VLOOKUP($A2277,'13. Updated Demand'!A:Z,18,FALSE)),0,VLOOKUP($A2277,'13. Updated Demand'!A:Z,18,FALSE))</f>
        <v>0.50333333300000005</v>
      </c>
      <c r="AB2277" s="16">
        <f>IF(ISERROR(VLOOKUP($A2277,'13. Updated Demand'!A:Z,19,FALSE)),0,VLOOKUP($A2277,'13. Updated Demand'!A:Z,19,FALSE))</f>
        <v>0.13666666699999999</v>
      </c>
      <c r="AC2277" s="16">
        <f>IF(ISERROR(VLOOKUP($A2277,'13. Updated Demand'!A:Z,20,FALSE)),0,VLOOKUP($A2277,'13. Updated Demand'!A:Z,20,FALSE))</f>
        <v>9.3333333000000004E-2</v>
      </c>
      <c r="AD2277" s="16">
        <f>IF(ISERROR(VLOOKUP($A2277,'13. Updated Demand'!A:Z,21,FALSE)),0,VLOOKUP($A2277,'13. Updated Demand'!A:Z,21,FALSE))</f>
        <v>1.2733333330000001</v>
      </c>
      <c r="AE2277" s="16">
        <f>IF(ISERROR(VLOOKUP($A2277,'13. Updated Demand'!A:Z,22,FALSE)),0,VLOOKUP($A2277,'13. Updated Demand'!A:Z,22,FALSE))</f>
        <v>0.943333333</v>
      </c>
      <c r="AF2277" s="16">
        <f>IF(ISERROR(VLOOKUP($A2277,'13. Updated Demand'!A:Z,23,FALSE)),0,VLOOKUP($A2277,'13. Updated Demand'!A:Z,23,FALSE))</f>
        <v>2.2633333329999998</v>
      </c>
      <c r="AG2277" s="16">
        <f>IF(ISERROR(VLOOKUP($A2277,'13. Updated Demand'!A:Z,24,FALSE)),0,VLOOKUP($A2277,'13. Updated Demand'!A:Z,24,FALSE))</f>
        <v>1.06</v>
      </c>
      <c r="AH2277" s="16">
        <f>IF(ISERROR(VLOOKUP($A2277,'13. Updated Demand'!A:Z,25,FALSE)),0,VLOOKUP($A2277,'13. Updated Demand'!A:Z,25,FALSE))</f>
        <v>0.263333333</v>
      </c>
      <c r="AI2277" s="16">
        <f>IF(ISERROR(VLOOKUP($A2277,'13. Updated Demand'!A:Z,26,FALSE)),0,VLOOKUP($A2277,'13. Updated Demand'!A:Z,26,FALSE))</f>
        <v>0</v>
      </c>
      <c r="AJ2277" s="16">
        <f t="shared" si="433"/>
        <v>6.6133333319999998</v>
      </c>
      <c r="AK2277" s="19">
        <v>4.7099999989999999</v>
      </c>
      <c r="AL2277" s="16">
        <f t="shared" si="431"/>
        <v>1.5622533477264961E-2</v>
      </c>
      <c r="AM2277" s="26">
        <v>0</v>
      </c>
      <c r="AN2277" s="19"/>
      <c r="AO2277" s="19"/>
      <c r="AP2277" s="19">
        <v>0</v>
      </c>
      <c r="AQ2277" s="19" t="s">
        <v>307</v>
      </c>
      <c r="AR2277" s="9" t="s">
        <v>486</v>
      </c>
      <c r="AS2277" s="12">
        <v>0</v>
      </c>
      <c r="AT2277" s="19">
        <v>38.536200000000001</v>
      </c>
      <c r="AU2277" s="19">
        <v>-122.8627</v>
      </c>
      <c r="AV2277" s="19" t="s">
        <v>548</v>
      </c>
    </row>
    <row r="2278" spans="1:48" x14ac:dyDescent="0.25">
      <c r="A2278" s="18" t="s">
        <v>2736</v>
      </c>
      <c r="B2278" s="10">
        <v>10000000</v>
      </c>
      <c r="C2278" s="9">
        <v>18</v>
      </c>
      <c r="D2278" s="8" t="str">
        <f t="shared" si="422"/>
        <v>N</v>
      </c>
      <c r="E2278" s="8" t="str">
        <f t="shared" si="423"/>
        <v>N</v>
      </c>
      <c r="F2278" s="8" t="str">
        <f t="shared" si="424"/>
        <v>N</v>
      </c>
      <c r="G2278" s="8" t="str">
        <f t="shared" si="425"/>
        <v>N</v>
      </c>
      <c r="H2278" s="8" t="str">
        <f t="shared" si="426"/>
        <v>Lower</v>
      </c>
      <c r="I2278" s="8" t="str">
        <f t="shared" si="427"/>
        <v>Outside</v>
      </c>
      <c r="J2278" s="8" t="str">
        <f t="shared" si="428"/>
        <v>Outside</v>
      </c>
      <c r="K2278" s="8" t="str">
        <f t="shared" si="429"/>
        <v>Riparian</v>
      </c>
      <c r="L2278" s="8">
        <f t="shared" si="430"/>
        <v>1000</v>
      </c>
      <c r="M2278" s="8" t="str">
        <f t="shared" si="432"/>
        <v>-</v>
      </c>
      <c r="N2278" s="10" t="s">
        <v>242</v>
      </c>
      <c r="O2278" s="10" t="s">
        <v>242</v>
      </c>
      <c r="P2278" s="10" t="s">
        <v>242</v>
      </c>
      <c r="Q2278" s="10" t="s">
        <v>242</v>
      </c>
      <c r="R2278" s="10" t="s">
        <v>242</v>
      </c>
      <c r="S2278" s="10" t="s">
        <v>241</v>
      </c>
      <c r="T2278" s="10" t="s">
        <v>242</v>
      </c>
      <c r="U2278" s="10" t="s">
        <v>242</v>
      </c>
      <c r="V2278" s="10" t="s">
        <v>242</v>
      </c>
      <c r="W2278" s="10" t="s">
        <v>242</v>
      </c>
      <c r="X2278" s="15">
        <f>IF(ISERROR(VLOOKUP($A2278,'13. Updated Demand'!A:Z,15,FALSE)),0,VLOOKUP($A2278,'13. Updated Demand'!A:Z,15,FALSE))</f>
        <v>0</v>
      </c>
      <c r="Y2278" s="16">
        <f>IF(ISERROR(VLOOKUP($A2278,'13. Updated Demand'!A:Z,16,FALSE)),0,VLOOKUP($A2278,'13. Updated Demand'!A:Z,16,FALSE))</f>
        <v>0</v>
      </c>
      <c r="Z2278" s="16">
        <f>IF(ISERROR(VLOOKUP($A2278,'13. Updated Demand'!A:Z,17,FALSE)),0,VLOOKUP($A2278,'13. Updated Demand'!A:Z,17,FALSE))</f>
        <v>0</v>
      </c>
      <c r="AA2278" s="16">
        <f>IF(ISERROR(VLOOKUP($A2278,'13. Updated Demand'!A:Z,18,FALSE)),0,VLOOKUP($A2278,'13. Updated Demand'!A:Z,18,FALSE))</f>
        <v>0</v>
      </c>
      <c r="AB2278" s="16">
        <f>IF(ISERROR(VLOOKUP($A2278,'13. Updated Demand'!A:Z,19,FALSE)),0,VLOOKUP($A2278,'13. Updated Demand'!A:Z,19,FALSE))</f>
        <v>0</v>
      </c>
      <c r="AC2278" s="16">
        <f>IF(ISERROR(VLOOKUP($A2278,'13. Updated Demand'!A:Z,20,FALSE)),0,VLOOKUP($A2278,'13. Updated Demand'!A:Z,20,FALSE))</f>
        <v>0.29249999999999998</v>
      </c>
      <c r="AD2278" s="16">
        <f>IF(ISERROR(VLOOKUP($A2278,'13. Updated Demand'!A:Z,21,FALSE)),0,VLOOKUP($A2278,'13. Updated Demand'!A:Z,21,FALSE))</f>
        <v>0.29249999999999998</v>
      </c>
      <c r="AE2278" s="16">
        <f>IF(ISERROR(VLOOKUP($A2278,'13. Updated Demand'!A:Z,22,FALSE)),0,VLOOKUP($A2278,'13. Updated Demand'!A:Z,22,FALSE))</f>
        <v>0.29249999999999998</v>
      </c>
      <c r="AF2278" s="16">
        <f>IF(ISERROR(VLOOKUP($A2278,'13. Updated Demand'!A:Z,23,FALSE)),0,VLOOKUP($A2278,'13. Updated Demand'!A:Z,23,FALSE))</f>
        <v>0.29249999999999998</v>
      </c>
      <c r="AG2278" s="16">
        <f>IF(ISERROR(VLOOKUP($A2278,'13. Updated Demand'!A:Z,24,FALSE)),0,VLOOKUP($A2278,'13. Updated Demand'!A:Z,24,FALSE))</f>
        <v>0</v>
      </c>
      <c r="AH2278" s="16">
        <f>IF(ISERROR(VLOOKUP($A2278,'13. Updated Demand'!A:Z,25,FALSE)),0,VLOOKUP($A2278,'13. Updated Demand'!A:Z,25,FALSE))</f>
        <v>0</v>
      </c>
      <c r="AI2278" s="16">
        <f>IF(ISERROR(VLOOKUP($A2278,'13. Updated Demand'!A:Z,26,FALSE)),0,VLOOKUP($A2278,'13. Updated Demand'!A:Z,26,FALSE))</f>
        <v>0</v>
      </c>
      <c r="AJ2278" s="16">
        <f t="shared" si="433"/>
        <v>1.17</v>
      </c>
      <c r="AK2278" s="19">
        <v>1.17</v>
      </c>
      <c r="AL2278" s="16">
        <f t="shared" si="431"/>
        <v>3.880756724475745E-3</v>
      </c>
      <c r="AM2278" s="26">
        <v>0</v>
      </c>
      <c r="AN2278" s="19"/>
      <c r="AO2278" s="19"/>
      <c r="AP2278" s="19">
        <v>0</v>
      </c>
      <c r="AQ2278" s="19" t="s">
        <v>307</v>
      </c>
      <c r="AR2278" s="9" t="s">
        <v>352</v>
      </c>
      <c r="AS2278" s="12">
        <v>0</v>
      </c>
      <c r="AT2278" s="19">
        <v>38.400599999999997</v>
      </c>
      <c r="AU2278" s="19">
        <v>-122.8648</v>
      </c>
      <c r="AV2278" s="19" t="s">
        <v>2720</v>
      </c>
    </row>
    <row r="2279" spans="1:48" x14ac:dyDescent="0.25">
      <c r="A2279" s="18" t="s">
        <v>2737</v>
      </c>
      <c r="B2279" s="10">
        <v>10000000</v>
      </c>
      <c r="C2279" s="9">
        <v>16</v>
      </c>
      <c r="D2279" s="8" t="str">
        <f t="shared" si="422"/>
        <v>N</v>
      </c>
      <c r="E2279" s="8" t="str">
        <f t="shared" si="423"/>
        <v>N</v>
      </c>
      <c r="F2279" s="8" t="str">
        <f t="shared" si="424"/>
        <v>N</v>
      </c>
      <c r="G2279" s="8" t="str">
        <f t="shared" si="425"/>
        <v>N</v>
      </c>
      <c r="H2279" s="8" t="str">
        <f t="shared" si="426"/>
        <v>Lower</v>
      </c>
      <c r="I2279" s="8" t="str">
        <f t="shared" si="427"/>
        <v>Outside</v>
      </c>
      <c r="J2279" s="8" t="str">
        <f t="shared" si="428"/>
        <v>Outside</v>
      </c>
      <c r="K2279" s="8" t="str">
        <f t="shared" si="429"/>
        <v>Riparian</v>
      </c>
      <c r="L2279" s="8">
        <f t="shared" si="430"/>
        <v>1000</v>
      </c>
      <c r="M2279" s="8" t="str">
        <f t="shared" si="432"/>
        <v>-</v>
      </c>
      <c r="N2279" s="10" t="s">
        <v>242</v>
      </c>
      <c r="O2279" s="10" t="s">
        <v>242</v>
      </c>
      <c r="P2279" s="10" t="s">
        <v>242</v>
      </c>
      <c r="Q2279" s="10" t="s">
        <v>242</v>
      </c>
      <c r="R2279" s="10" t="s">
        <v>242</v>
      </c>
      <c r="S2279" s="10" t="s">
        <v>241</v>
      </c>
      <c r="T2279" s="10" t="s">
        <v>242</v>
      </c>
      <c r="U2279" s="10" t="s">
        <v>242</v>
      </c>
      <c r="V2279" s="10" t="s">
        <v>241</v>
      </c>
      <c r="W2279" s="10" t="s">
        <v>242</v>
      </c>
      <c r="X2279" s="15">
        <f>IF(ISERROR(VLOOKUP($A2279,'13. Updated Demand'!A:Z,15,FALSE)),0,VLOOKUP($A2279,'13. Updated Demand'!A:Z,15,FALSE))</f>
        <v>0</v>
      </c>
      <c r="Y2279" s="16">
        <f>IF(ISERROR(VLOOKUP($A2279,'13. Updated Demand'!A:Z,16,FALSE)),0,VLOOKUP($A2279,'13. Updated Demand'!A:Z,16,FALSE))</f>
        <v>0</v>
      </c>
      <c r="Z2279" s="16">
        <f>IF(ISERROR(VLOOKUP($A2279,'13. Updated Demand'!A:Z,17,FALSE)),0,VLOOKUP($A2279,'13. Updated Demand'!A:Z,17,FALSE))</f>
        <v>1.6E-2</v>
      </c>
      <c r="AA2279" s="16">
        <f>IF(ISERROR(VLOOKUP($A2279,'13. Updated Demand'!A:Z,18,FALSE)),0,VLOOKUP($A2279,'13. Updated Demand'!A:Z,18,FALSE))</f>
        <v>0</v>
      </c>
      <c r="AB2279" s="16">
        <f>IF(ISERROR(VLOOKUP($A2279,'13. Updated Demand'!A:Z,19,FALSE)),0,VLOOKUP($A2279,'13. Updated Demand'!A:Z,19,FALSE))</f>
        <v>0</v>
      </c>
      <c r="AC2279" s="16">
        <f>IF(ISERROR(VLOOKUP($A2279,'13. Updated Demand'!A:Z,20,FALSE)),0,VLOOKUP($A2279,'13. Updated Demand'!A:Z,20,FALSE))</f>
        <v>0</v>
      </c>
      <c r="AD2279" s="16">
        <f>IF(ISERROR(VLOOKUP($A2279,'13. Updated Demand'!A:Z,21,FALSE)),0,VLOOKUP($A2279,'13. Updated Demand'!A:Z,21,FALSE))</f>
        <v>0</v>
      </c>
      <c r="AE2279" s="16">
        <f>IF(ISERROR(VLOOKUP($A2279,'13. Updated Demand'!A:Z,22,FALSE)),0,VLOOKUP($A2279,'13. Updated Demand'!A:Z,22,FALSE))</f>
        <v>0</v>
      </c>
      <c r="AF2279" s="16">
        <f>IF(ISERROR(VLOOKUP($A2279,'13. Updated Demand'!A:Z,23,FALSE)),0,VLOOKUP($A2279,'13. Updated Demand'!A:Z,23,FALSE))</f>
        <v>0</v>
      </c>
      <c r="AG2279" s="16">
        <f>IF(ISERROR(VLOOKUP($A2279,'13. Updated Demand'!A:Z,24,FALSE)),0,VLOOKUP($A2279,'13. Updated Demand'!A:Z,24,FALSE))</f>
        <v>0</v>
      </c>
      <c r="AH2279" s="16">
        <f>IF(ISERROR(VLOOKUP($A2279,'13. Updated Demand'!A:Z,25,FALSE)),0,VLOOKUP($A2279,'13. Updated Demand'!A:Z,25,FALSE))</f>
        <v>0</v>
      </c>
      <c r="AI2279" s="16">
        <f>IF(ISERROR(VLOOKUP($A2279,'13. Updated Demand'!A:Z,26,FALSE)),0,VLOOKUP($A2279,'13. Updated Demand'!A:Z,26,FALSE))</f>
        <v>0</v>
      </c>
      <c r="AJ2279" s="16">
        <f t="shared" si="433"/>
        <v>1.6E-2</v>
      </c>
      <c r="AK2279" s="19">
        <v>0</v>
      </c>
      <c r="AL2279" s="16">
        <f t="shared" si="431"/>
        <v>0</v>
      </c>
      <c r="AM2279" s="26">
        <v>3.4204844261068479E-5</v>
      </c>
      <c r="AN2279" s="19">
        <v>467.77</v>
      </c>
      <c r="AO2279" s="19" t="s">
        <v>1758</v>
      </c>
      <c r="AP2279" s="19">
        <v>0</v>
      </c>
      <c r="AQ2279" s="19" t="s">
        <v>307</v>
      </c>
      <c r="AR2279" s="9" t="s">
        <v>394</v>
      </c>
      <c r="AS2279" s="12">
        <v>0</v>
      </c>
      <c r="AT2279" s="19">
        <v>38.600200000000001</v>
      </c>
      <c r="AU2279" s="19">
        <v>-122.8775</v>
      </c>
      <c r="AV2279" s="19" t="s">
        <v>701</v>
      </c>
    </row>
    <row r="2280" spans="1:48" x14ac:dyDescent="0.25">
      <c r="A2280" s="18" t="s">
        <v>2738</v>
      </c>
      <c r="B2280" s="10">
        <v>10000000</v>
      </c>
      <c r="C2280" s="9">
        <v>23</v>
      </c>
      <c r="D2280" s="8" t="str">
        <f t="shared" si="422"/>
        <v>N</v>
      </c>
      <c r="E2280" s="8" t="str">
        <f t="shared" si="423"/>
        <v>N</v>
      </c>
      <c r="F2280" s="8" t="str">
        <f t="shared" si="424"/>
        <v>N</v>
      </c>
      <c r="G2280" s="8" t="str">
        <f t="shared" si="425"/>
        <v>N</v>
      </c>
      <c r="H2280" s="8" t="str">
        <f t="shared" si="426"/>
        <v>Lower</v>
      </c>
      <c r="I2280" s="8" t="str">
        <f t="shared" si="427"/>
        <v>Outside</v>
      </c>
      <c r="J2280" s="8" t="str">
        <f t="shared" si="428"/>
        <v>Outside</v>
      </c>
      <c r="K2280" s="8" t="str">
        <f t="shared" si="429"/>
        <v>Riparian</v>
      </c>
      <c r="L2280" s="8">
        <f t="shared" si="430"/>
        <v>1000</v>
      </c>
      <c r="M2280" s="8" t="str">
        <f t="shared" si="432"/>
        <v>-</v>
      </c>
      <c r="N2280" s="10" t="s">
        <v>242</v>
      </c>
      <c r="O2280" s="10" t="s">
        <v>242</v>
      </c>
      <c r="P2280" s="10" t="s">
        <v>242</v>
      </c>
      <c r="Q2280" s="10" t="s">
        <v>242</v>
      </c>
      <c r="R2280" s="10" t="s">
        <v>242</v>
      </c>
      <c r="S2280" s="10" t="s">
        <v>241</v>
      </c>
      <c r="T2280" s="10" t="s">
        <v>242</v>
      </c>
      <c r="U2280" s="10" t="s">
        <v>242</v>
      </c>
      <c r="V2280" s="10" t="s">
        <v>242</v>
      </c>
      <c r="W2280" s="10" t="s">
        <v>242</v>
      </c>
      <c r="X2280" s="15">
        <f>IF(ISERROR(VLOOKUP($A2280,'13. Updated Demand'!A:Z,15,FALSE)),0,VLOOKUP($A2280,'13. Updated Demand'!A:Z,15,FALSE))</f>
        <v>0</v>
      </c>
      <c r="Y2280" s="16">
        <f>IF(ISERROR(VLOOKUP($A2280,'13. Updated Demand'!A:Z,16,FALSE)),0,VLOOKUP($A2280,'13. Updated Demand'!A:Z,16,FALSE))</f>
        <v>0</v>
      </c>
      <c r="Z2280" s="16">
        <f>IF(ISERROR(VLOOKUP($A2280,'13. Updated Demand'!A:Z,17,FALSE)),0,VLOOKUP($A2280,'13. Updated Demand'!A:Z,17,FALSE))</f>
        <v>0</v>
      </c>
      <c r="AA2280" s="16">
        <f>IF(ISERROR(VLOOKUP($A2280,'13. Updated Demand'!A:Z,18,FALSE)),0,VLOOKUP($A2280,'13. Updated Demand'!A:Z,18,FALSE))</f>
        <v>0</v>
      </c>
      <c r="AB2280" s="16">
        <f>IF(ISERROR(VLOOKUP($A2280,'13. Updated Demand'!A:Z,19,FALSE)),0,VLOOKUP($A2280,'13. Updated Demand'!A:Z,19,FALSE))</f>
        <v>1.534E-3</v>
      </c>
      <c r="AC2280" s="16">
        <f>IF(ISERROR(VLOOKUP($A2280,'13. Updated Demand'!A:Z,20,FALSE)),0,VLOOKUP($A2280,'13. Updated Demand'!A:Z,20,FALSE))</f>
        <v>1.534E-3</v>
      </c>
      <c r="AD2280" s="16">
        <f>IF(ISERROR(VLOOKUP($A2280,'13. Updated Demand'!A:Z,21,FALSE)),0,VLOOKUP($A2280,'13. Updated Demand'!A:Z,21,FALSE))</f>
        <v>3.068E-3</v>
      </c>
      <c r="AE2280" s="16">
        <f>IF(ISERROR(VLOOKUP($A2280,'13. Updated Demand'!A:Z,22,FALSE)),0,VLOOKUP($A2280,'13. Updated Demand'!A:Z,22,FALSE))</f>
        <v>1.534E-3</v>
      </c>
      <c r="AF2280" s="16">
        <f>IF(ISERROR(VLOOKUP($A2280,'13. Updated Demand'!A:Z,23,FALSE)),0,VLOOKUP($A2280,'13. Updated Demand'!A:Z,23,FALSE))</f>
        <v>1.534E-3</v>
      </c>
      <c r="AG2280" s="16">
        <f>IF(ISERROR(VLOOKUP($A2280,'13. Updated Demand'!A:Z,24,FALSE)),0,VLOOKUP($A2280,'13. Updated Demand'!A:Z,24,FALSE))</f>
        <v>0</v>
      </c>
      <c r="AH2280" s="16">
        <f>IF(ISERROR(VLOOKUP($A2280,'13. Updated Demand'!A:Z,25,FALSE)),0,VLOOKUP($A2280,'13. Updated Demand'!A:Z,25,FALSE))</f>
        <v>0</v>
      </c>
      <c r="AI2280" s="16">
        <f>IF(ISERROR(VLOOKUP($A2280,'13. Updated Demand'!A:Z,26,FALSE)),0,VLOOKUP($A2280,'13. Updated Demand'!A:Z,26,FALSE))</f>
        <v>0</v>
      </c>
      <c r="AJ2280" s="16">
        <f t="shared" si="433"/>
        <v>9.2040000000000004E-3</v>
      </c>
      <c r="AK2280" s="19">
        <v>9.2040000000000004E-3</v>
      </c>
      <c r="AL2280" s="16">
        <f t="shared" si="431"/>
        <v>3.0528619565875868E-5</v>
      </c>
      <c r="AM2280" s="26">
        <v>4.6020000000000003E-5</v>
      </c>
      <c r="AN2280" s="19">
        <v>200</v>
      </c>
      <c r="AO2280" s="19" t="s">
        <v>2739</v>
      </c>
      <c r="AP2280" s="19">
        <v>0</v>
      </c>
      <c r="AQ2280" s="19" t="s">
        <v>307</v>
      </c>
      <c r="AR2280" s="9" t="s">
        <v>323</v>
      </c>
      <c r="AS2280" s="12">
        <v>0</v>
      </c>
      <c r="AT2280" s="19">
        <v>38.548200000000001</v>
      </c>
      <c r="AU2280" s="19">
        <v>-122.7204</v>
      </c>
      <c r="AV2280" s="19" t="s">
        <v>2740</v>
      </c>
    </row>
    <row r="2281" spans="1:48" x14ac:dyDescent="0.25">
      <c r="A2281" s="18" t="s">
        <v>2741</v>
      </c>
      <c r="B2281" s="10">
        <v>10000000</v>
      </c>
      <c r="C2281" s="9">
        <v>17</v>
      </c>
      <c r="D2281" s="8" t="str">
        <f t="shared" si="422"/>
        <v>N</v>
      </c>
      <c r="E2281" s="8" t="str">
        <f t="shared" si="423"/>
        <v>N</v>
      </c>
      <c r="F2281" s="8" t="str">
        <f t="shared" si="424"/>
        <v>N</v>
      </c>
      <c r="G2281" s="8" t="str">
        <f t="shared" si="425"/>
        <v>N</v>
      </c>
      <c r="H2281" s="8" t="str">
        <f t="shared" si="426"/>
        <v>Lower</v>
      </c>
      <c r="I2281" s="8" t="str">
        <f t="shared" si="427"/>
        <v>Outside</v>
      </c>
      <c r="J2281" s="8" t="str">
        <f t="shared" si="428"/>
        <v>Outside</v>
      </c>
      <c r="K2281" s="8" t="str">
        <f t="shared" si="429"/>
        <v>Riparian</v>
      </c>
      <c r="L2281" s="8">
        <f t="shared" si="430"/>
        <v>1000</v>
      </c>
      <c r="M2281" s="8" t="str">
        <f t="shared" si="432"/>
        <v>-</v>
      </c>
      <c r="N2281" s="10" t="s">
        <v>241</v>
      </c>
      <c r="O2281" s="10" t="s">
        <v>242</v>
      </c>
      <c r="P2281" s="10" t="s">
        <v>242</v>
      </c>
      <c r="Q2281" s="10" t="s">
        <v>242</v>
      </c>
      <c r="R2281" s="10" t="s">
        <v>242</v>
      </c>
      <c r="S2281" s="10" t="s">
        <v>241</v>
      </c>
      <c r="T2281" s="10" t="s">
        <v>242</v>
      </c>
      <c r="U2281" s="10" t="s">
        <v>241</v>
      </c>
      <c r="V2281" s="10" t="s">
        <v>241</v>
      </c>
      <c r="W2281" s="10" t="s">
        <v>242</v>
      </c>
      <c r="X2281" s="15">
        <f>IF(ISERROR(VLOOKUP($A2281,'13. Updated Demand'!A:Z,15,FALSE)),0,VLOOKUP($A2281,'13. Updated Demand'!A:Z,15,FALSE))</f>
        <v>0</v>
      </c>
      <c r="Y2281" s="16">
        <f>IF(ISERROR(VLOOKUP($A2281,'13. Updated Demand'!A:Z,16,FALSE)),0,VLOOKUP($A2281,'13. Updated Demand'!A:Z,16,FALSE))</f>
        <v>0</v>
      </c>
      <c r="Z2281" s="16">
        <f>IF(ISERROR(VLOOKUP($A2281,'13. Updated Demand'!A:Z,17,FALSE)),0,VLOOKUP($A2281,'13. Updated Demand'!A:Z,17,FALSE))</f>
        <v>0</v>
      </c>
      <c r="AA2281" s="16">
        <f>IF(ISERROR(VLOOKUP($A2281,'13. Updated Demand'!A:Z,18,FALSE)),0,VLOOKUP($A2281,'13. Updated Demand'!A:Z,18,FALSE))</f>
        <v>0</v>
      </c>
      <c r="AB2281" s="16">
        <f>IF(ISERROR(VLOOKUP($A2281,'13. Updated Demand'!A:Z,19,FALSE)),0,VLOOKUP($A2281,'13. Updated Demand'!A:Z,19,FALSE))</f>
        <v>0</v>
      </c>
      <c r="AC2281" s="16">
        <f>IF(ISERROR(VLOOKUP($A2281,'13. Updated Demand'!A:Z,20,FALSE)),0,VLOOKUP($A2281,'13. Updated Demand'!A:Z,20,FALSE))</f>
        <v>0</v>
      </c>
      <c r="AD2281" s="16">
        <f>IF(ISERROR(VLOOKUP($A2281,'13. Updated Demand'!A:Z,21,FALSE)),0,VLOOKUP($A2281,'13. Updated Demand'!A:Z,21,FALSE))</f>
        <v>0</v>
      </c>
      <c r="AE2281" s="16">
        <f>IF(ISERROR(VLOOKUP($A2281,'13. Updated Demand'!A:Z,22,FALSE)),0,VLOOKUP($A2281,'13. Updated Demand'!A:Z,22,FALSE))</f>
        <v>0</v>
      </c>
      <c r="AF2281" s="16">
        <f>IF(ISERROR(VLOOKUP($A2281,'13. Updated Demand'!A:Z,23,FALSE)),0,VLOOKUP($A2281,'13. Updated Demand'!A:Z,23,FALSE))</f>
        <v>0</v>
      </c>
      <c r="AG2281" s="16">
        <f>IF(ISERROR(VLOOKUP($A2281,'13. Updated Demand'!A:Z,24,FALSE)),0,VLOOKUP($A2281,'13. Updated Demand'!A:Z,24,FALSE))</f>
        <v>0</v>
      </c>
      <c r="AH2281" s="16">
        <f>IF(ISERROR(VLOOKUP($A2281,'13. Updated Demand'!A:Z,25,FALSE)),0,VLOOKUP($A2281,'13. Updated Demand'!A:Z,25,FALSE))</f>
        <v>0</v>
      </c>
      <c r="AI2281" s="16">
        <f>IF(ISERROR(VLOOKUP($A2281,'13. Updated Demand'!A:Z,26,FALSE)),0,VLOOKUP($A2281,'13. Updated Demand'!A:Z,26,FALSE))</f>
        <v>0</v>
      </c>
      <c r="AJ2281" s="16">
        <f t="shared" si="433"/>
        <v>0</v>
      </c>
      <c r="AK2281" s="19">
        <v>0</v>
      </c>
      <c r="AL2281" s="16">
        <f t="shared" si="431"/>
        <v>0</v>
      </c>
      <c r="AM2281" s="26">
        <v>0</v>
      </c>
      <c r="AN2281" s="19">
        <v>0.1</v>
      </c>
      <c r="AO2281" s="19" t="s">
        <v>1758</v>
      </c>
      <c r="AP2281" s="19">
        <v>0</v>
      </c>
      <c r="AQ2281" s="19" t="s">
        <v>307</v>
      </c>
      <c r="AR2281" s="9" t="s">
        <v>486</v>
      </c>
      <c r="AS2281" s="12">
        <v>0</v>
      </c>
      <c r="AT2281" s="19">
        <v>38.569299999999998</v>
      </c>
      <c r="AU2281" s="19">
        <v>-122.8505</v>
      </c>
      <c r="AV2281" s="19" t="s">
        <v>548</v>
      </c>
    </row>
    <row r="2282" spans="1:48" x14ac:dyDescent="0.25">
      <c r="A2282" s="18" t="s">
        <v>2742</v>
      </c>
      <c r="B2282" s="10">
        <v>10000000</v>
      </c>
      <c r="C2282" s="9">
        <v>9</v>
      </c>
      <c r="D2282" s="8" t="str">
        <f t="shared" si="422"/>
        <v>N</v>
      </c>
      <c r="E2282" s="8" t="str">
        <f t="shared" si="423"/>
        <v>Y</v>
      </c>
      <c r="F2282" s="8" t="str">
        <f t="shared" si="424"/>
        <v>Y</v>
      </c>
      <c r="G2282" s="8" t="str">
        <f t="shared" si="425"/>
        <v>Y</v>
      </c>
      <c r="H2282" s="8" t="str">
        <f t="shared" si="426"/>
        <v>Upper</v>
      </c>
      <c r="I2282" s="8" t="str">
        <f t="shared" si="427"/>
        <v>West Fork and Below Lake</v>
      </c>
      <c r="J2282" s="8" t="str">
        <f t="shared" si="428"/>
        <v>Sonoma (d/s of Clov. Gage)</v>
      </c>
      <c r="K2282" s="8" t="str">
        <f t="shared" si="429"/>
        <v>Riparian</v>
      </c>
      <c r="L2282" s="8">
        <f t="shared" si="430"/>
        <v>1000</v>
      </c>
      <c r="M2282" s="8" t="str">
        <f t="shared" si="432"/>
        <v>-</v>
      </c>
      <c r="N2282" s="10" t="s">
        <v>241</v>
      </c>
      <c r="O2282" s="10" t="s">
        <v>241</v>
      </c>
      <c r="P2282" s="10" t="s">
        <v>242</v>
      </c>
      <c r="Q2282" s="10" t="s">
        <v>242</v>
      </c>
      <c r="R2282" s="10" t="s">
        <v>242</v>
      </c>
      <c r="S2282" s="10" t="s">
        <v>241</v>
      </c>
      <c r="T2282" s="10" t="s">
        <v>242</v>
      </c>
      <c r="U2282" s="10" t="s">
        <v>242</v>
      </c>
      <c r="V2282" s="10" t="s">
        <v>241</v>
      </c>
      <c r="W2282" s="10" t="s">
        <v>242</v>
      </c>
      <c r="X2282" s="15">
        <f>IF(ISERROR(VLOOKUP($A2282,'13. Updated Demand'!A:Z,15,FALSE)),0,VLOOKUP($A2282,'13. Updated Demand'!A:Z,15,FALSE))</f>
        <v>3.3333333333333301E-5</v>
      </c>
      <c r="Y2282" s="16">
        <f>IF(ISERROR(VLOOKUP($A2282,'13. Updated Demand'!A:Z,16,FALSE)),0,VLOOKUP($A2282,'13. Updated Demand'!A:Z,16,FALSE))</f>
        <v>0.06</v>
      </c>
      <c r="Z2282" s="16">
        <f>IF(ISERROR(VLOOKUP($A2282,'13. Updated Demand'!A:Z,17,FALSE)),0,VLOOKUP($A2282,'13. Updated Demand'!A:Z,17,FALSE))</f>
        <v>3.3333333333333301E-5</v>
      </c>
      <c r="AA2282" s="16">
        <f>IF(ISERROR(VLOOKUP($A2282,'13. Updated Demand'!A:Z,18,FALSE)),0,VLOOKUP($A2282,'13. Updated Demand'!A:Z,18,FALSE))</f>
        <v>3.3333333333333301E-5</v>
      </c>
      <c r="AB2282" s="16">
        <f>IF(ISERROR(VLOOKUP($A2282,'13. Updated Demand'!A:Z,19,FALSE)),0,VLOOKUP($A2282,'13. Updated Demand'!A:Z,19,FALSE))</f>
        <v>0</v>
      </c>
      <c r="AC2282" s="16">
        <f>IF(ISERROR(VLOOKUP($A2282,'13. Updated Demand'!A:Z,20,FALSE)),0,VLOOKUP($A2282,'13. Updated Demand'!A:Z,20,FALSE))</f>
        <v>0</v>
      </c>
      <c r="AD2282" s="16">
        <f>IF(ISERROR(VLOOKUP($A2282,'13. Updated Demand'!A:Z,21,FALSE)),0,VLOOKUP($A2282,'13. Updated Demand'!A:Z,21,FALSE))</f>
        <v>0</v>
      </c>
      <c r="AE2282" s="16">
        <f>IF(ISERROR(VLOOKUP($A2282,'13. Updated Demand'!A:Z,22,FALSE)),0,VLOOKUP($A2282,'13. Updated Demand'!A:Z,22,FALSE))</f>
        <v>0</v>
      </c>
      <c r="AF2282" s="16">
        <f>IF(ISERROR(VLOOKUP($A2282,'13. Updated Demand'!A:Z,23,FALSE)),0,VLOOKUP($A2282,'13. Updated Demand'!A:Z,23,FALSE))</f>
        <v>0</v>
      </c>
      <c r="AG2282" s="16">
        <f>IF(ISERROR(VLOOKUP($A2282,'13. Updated Demand'!A:Z,24,FALSE)),0,VLOOKUP($A2282,'13. Updated Demand'!A:Z,24,FALSE))</f>
        <v>0</v>
      </c>
      <c r="AH2282" s="16">
        <f>IF(ISERROR(VLOOKUP($A2282,'13. Updated Demand'!A:Z,25,FALSE)),0,VLOOKUP($A2282,'13. Updated Demand'!A:Z,25,FALSE))</f>
        <v>1E-4</v>
      </c>
      <c r="AI2282" s="16">
        <f>IF(ISERROR(VLOOKUP($A2282,'13. Updated Demand'!A:Z,26,FALSE)),0,VLOOKUP($A2282,'13. Updated Demand'!A:Z,26,FALSE))</f>
        <v>0</v>
      </c>
      <c r="AJ2282" s="16">
        <f t="shared" si="433"/>
        <v>6.020000000000001E-2</v>
      </c>
      <c r="AK2282" s="19">
        <v>0</v>
      </c>
      <c r="AL2282" s="16">
        <f t="shared" si="431"/>
        <v>0</v>
      </c>
      <c r="AM2282" s="26">
        <v>0.66866666666666685</v>
      </c>
      <c r="AN2282" s="19">
        <v>0.1</v>
      </c>
      <c r="AO2282" s="19" t="s">
        <v>1758</v>
      </c>
      <c r="AP2282" s="19">
        <v>0</v>
      </c>
      <c r="AQ2282" s="19" t="s">
        <v>307</v>
      </c>
      <c r="AR2282" s="9" t="s">
        <v>354</v>
      </c>
      <c r="AS2282" s="12">
        <v>0</v>
      </c>
      <c r="AT2282" s="19">
        <v>38.807000000000002</v>
      </c>
      <c r="AU2282" s="19">
        <v>-123.00539999999999</v>
      </c>
      <c r="AV2282" s="19" t="s">
        <v>548</v>
      </c>
    </row>
    <row r="2283" spans="1:48" x14ac:dyDescent="0.25">
      <c r="A2283" s="18" t="s">
        <v>2743</v>
      </c>
      <c r="B2283" s="10">
        <v>10000000</v>
      </c>
      <c r="C2283" s="9">
        <v>9</v>
      </c>
      <c r="D2283" s="8" t="str">
        <f t="shared" si="422"/>
        <v>N</v>
      </c>
      <c r="E2283" s="8" t="str">
        <f t="shared" si="423"/>
        <v>Y</v>
      </c>
      <c r="F2283" s="8" t="str">
        <f t="shared" si="424"/>
        <v>Y</v>
      </c>
      <c r="G2283" s="8" t="str">
        <f t="shared" si="425"/>
        <v>Y</v>
      </c>
      <c r="H2283" s="8" t="str">
        <f t="shared" si="426"/>
        <v>Upper</v>
      </c>
      <c r="I2283" s="8" t="str">
        <f t="shared" si="427"/>
        <v>West Fork and Below Lake</v>
      </c>
      <c r="J2283" s="8" t="str">
        <f t="shared" si="428"/>
        <v>Sonoma (d/s of Clov. Gage)</v>
      </c>
      <c r="K2283" s="8" t="str">
        <f t="shared" si="429"/>
        <v>Riparian</v>
      </c>
      <c r="L2283" s="8">
        <f t="shared" si="430"/>
        <v>1000</v>
      </c>
      <c r="M2283" s="8" t="str">
        <f t="shared" si="432"/>
        <v>-</v>
      </c>
      <c r="N2283" s="10" t="s">
        <v>241</v>
      </c>
      <c r="O2283" s="10" t="s">
        <v>241</v>
      </c>
      <c r="P2283" s="10" t="s">
        <v>242</v>
      </c>
      <c r="Q2283" s="10" t="s">
        <v>242</v>
      </c>
      <c r="R2283" s="10" t="s">
        <v>242</v>
      </c>
      <c r="S2283" s="10" t="s">
        <v>241</v>
      </c>
      <c r="T2283" s="10" t="s">
        <v>242</v>
      </c>
      <c r="U2283" s="10" t="s">
        <v>242</v>
      </c>
      <c r="V2283" s="10" t="s">
        <v>241</v>
      </c>
      <c r="W2283" s="10" t="s">
        <v>242</v>
      </c>
      <c r="X2283" s="15">
        <f>IF(ISERROR(VLOOKUP($A2283,'13. Updated Demand'!A:Z,15,FALSE)),0,VLOOKUP($A2283,'13. Updated Demand'!A:Z,15,FALSE))</f>
        <v>0.01</v>
      </c>
      <c r="Y2283" s="16">
        <f>IF(ISERROR(VLOOKUP($A2283,'13. Updated Demand'!A:Z,16,FALSE)),0,VLOOKUP($A2283,'13. Updated Demand'!A:Z,16,FALSE))</f>
        <v>0.5</v>
      </c>
      <c r="Z2283" s="16">
        <f>IF(ISERROR(VLOOKUP($A2283,'13. Updated Demand'!A:Z,17,FALSE)),0,VLOOKUP($A2283,'13. Updated Demand'!A:Z,17,FALSE))</f>
        <v>0.13</v>
      </c>
      <c r="AA2283" s="16">
        <f>IF(ISERROR(VLOOKUP($A2283,'13. Updated Demand'!A:Z,18,FALSE)),0,VLOOKUP($A2283,'13. Updated Demand'!A:Z,18,FALSE))</f>
        <v>0</v>
      </c>
      <c r="AB2283" s="16">
        <f>IF(ISERROR(VLOOKUP($A2283,'13. Updated Demand'!A:Z,19,FALSE)),0,VLOOKUP($A2283,'13. Updated Demand'!A:Z,19,FALSE))</f>
        <v>0</v>
      </c>
      <c r="AC2283" s="16">
        <f>IF(ISERROR(VLOOKUP($A2283,'13. Updated Demand'!A:Z,20,FALSE)),0,VLOOKUP($A2283,'13. Updated Demand'!A:Z,20,FALSE))</f>
        <v>0</v>
      </c>
      <c r="AD2283" s="16">
        <f>IF(ISERROR(VLOOKUP($A2283,'13. Updated Demand'!A:Z,21,FALSE)),0,VLOOKUP($A2283,'13. Updated Demand'!A:Z,21,FALSE))</f>
        <v>0</v>
      </c>
      <c r="AE2283" s="16">
        <f>IF(ISERROR(VLOOKUP($A2283,'13. Updated Demand'!A:Z,22,FALSE)),0,VLOOKUP($A2283,'13. Updated Demand'!A:Z,22,FALSE))</f>
        <v>0</v>
      </c>
      <c r="AF2283" s="16">
        <f>IF(ISERROR(VLOOKUP($A2283,'13. Updated Demand'!A:Z,23,FALSE)),0,VLOOKUP($A2283,'13. Updated Demand'!A:Z,23,FALSE))</f>
        <v>0</v>
      </c>
      <c r="AG2283" s="16">
        <f>IF(ISERROR(VLOOKUP($A2283,'13. Updated Demand'!A:Z,24,FALSE)),0,VLOOKUP($A2283,'13. Updated Demand'!A:Z,24,FALSE))</f>
        <v>0</v>
      </c>
      <c r="AH2283" s="16">
        <f>IF(ISERROR(VLOOKUP($A2283,'13. Updated Demand'!A:Z,25,FALSE)),0,VLOOKUP($A2283,'13. Updated Demand'!A:Z,25,FALSE))</f>
        <v>0.7</v>
      </c>
      <c r="AI2283" s="16">
        <f>IF(ISERROR(VLOOKUP($A2283,'13. Updated Demand'!A:Z,26,FALSE)),0,VLOOKUP($A2283,'13. Updated Demand'!A:Z,26,FALSE))</f>
        <v>0</v>
      </c>
      <c r="AJ2283" s="16">
        <f t="shared" si="433"/>
        <v>1.3399999999999999</v>
      </c>
      <c r="AK2283" s="19">
        <v>0</v>
      </c>
      <c r="AL2283" s="16">
        <f t="shared" si="431"/>
        <v>0</v>
      </c>
      <c r="AM2283" s="26">
        <v>2.6933333333333325</v>
      </c>
      <c r="AN2283" s="19">
        <v>0.5</v>
      </c>
      <c r="AO2283" s="19" t="s">
        <v>1758</v>
      </c>
      <c r="AP2283" s="19">
        <v>0</v>
      </c>
      <c r="AQ2283" s="19" t="s">
        <v>307</v>
      </c>
      <c r="AR2283" s="9" t="s">
        <v>354</v>
      </c>
      <c r="AS2283" s="12">
        <v>0</v>
      </c>
      <c r="AT2283" s="19">
        <v>38.808300000000003</v>
      </c>
      <c r="AU2283" s="19">
        <v>-123</v>
      </c>
      <c r="AV2283" s="19" t="s">
        <v>548</v>
      </c>
    </row>
    <row r="2284" spans="1:48" x14ac:dyDescent="0.25">
      <c r="A2284" s="18" t="s">
        <v>2744</v>
      </c>
      <c r="B2284" s="10">
        <v>10000000</v>
      </c>
      <c r="C2284" s="9">
        <v>17</v>
      </c>
      <c r="D2284" s="8" t="str">
        <f t="shared" si="422"/>
        <v>N</v>
      </c>
      <c r="E2284" s="8" t="str">
        <f t="shared" si="423"/>
        <v>N</v>
      </c>
      <c r="F2284" s="8" t="str">
        <f t="shared" si="424"/>
        <v>N</v>
      </c>
      <c r="G2284" s="8" t="str">
        <f t="shared" si="425"/>
        <v>N</v>
      </c>
      <c r="H2284" s="8" t="str">
        <f t="shared" si="426"/>
        <v>Lower</v>
      </c>
      <c r="I2284" s="8" t="str">
        <f t="shared" si="427"/>
        <v>Outside</v>
      </c>
      <c r="J2284" s="8" t="str">
        <f t="shared" si="428"/>
        <v>Outside</v>
      </c>
      <c r="K2284" s="8" t="str">
        <f t="shared" si="429"/>
        <v>Riparian</v>
      </c>
      <c r="L2284" s="8">
        <f t="shared" si="430"/>
        <v>1000</v>
      </c>
      <c r="M2284" s="8" t="str">
        <f t="shared" si="432"/>
        <v>-</v>
      </c>
      <c r="N2284" s="10" t="s">
        <v>241</v>
      </c>
      <c r="O2284" s="10" t="s">
        <v>242</v>
      </c>
      <c r="P2284" s="10" t="s">
        <v>242</v>
      </c>
      <c r="Q2284" s="10" t="s">
        <v>242</v>
      </c>
      <c r="R2284" s="10" t="s">
        <v>242</v>
      </c>
      <c r="S2284" s="10" t="s">
        <v>241</v>
      </c>
      <c r="T2284" s="10" t="s">
        <v>242</v>
      </c>
      <c r="U2284" s="10" t="s">
        <v>242</v>
      </c>
      <c r="V2284" s="10" t="s">
        <v>241</v>
      </c>
      <c r="W2284" s="10" t="s">
        <v>242</v>
      </c>
      <c r="X2284" s="15">
        <f>IF(ISERROR(VLOOKUP($A2284,'13. Updated Demand'!A:Z,15,FALSE)),0,VLOOKUP($A2284,'13. Updated Demand'!A:Z,15,FALSE))</f>
        <v>0</v>
      </c>
      <c r="Y2284" s="16">
        <f>IF(ISERROR(VLOOKUP($A2284,'13. Updated Demand'!A:Z,16,FALSE)),0,VLOOKUP($A2284,'13. Updated Demand'!A:Z,16,FALSE))</f>
        <v>0.133333333</v>
      </c>
      <c r="Z2284" s="16">
        <f>IF(ISERROR(VLOOKUP($A2284,'13. Updated Demand'!A:Z,17,FALSE)),0,VLOOKUP($A2284,'13. Updated Demand'!A:Z,17,FALSE))</f>
        <v>0</v>
      </c>
      <c r="AA2284" s="16">
        <f>IF(ISERROR(VLOOKUP($A2284,'13. Updated Demand'!A:Z,18,FALSE)),0,VLOOKUP($A2284,'13. Updated Demand'!A:Z,18,FALSE))</f>
        <v>0</v>
      </c>
      <c r="AB2284" s="16">
        <f>IF(ISERROR(VLOOKUP($A2284,'13. Updated Demand'!A:Z,19,FALSE)),0,VLOOKUP($A2284,'13. Updated Demand'!A:Z,19,FALSE))</f>
        <v>0</v>
      </c>
      <c r="AC2284" s="16">
        <f>IF(ISERROR(VLOOKUP($A2284,'13. Updated Demand'!A:Z,20,FALSE)),0,VLOOKUP($A2284,'13. Updated Demand'!A:Z,20,FALSE))</f>
        <v>0</v>
      </c>
      <c r="AD2284" s="16">
        <f>IF(ISERROR(VLOOKUP($A2284,'13. Updated Demand'!A:Z,21,FALSE)),0,VLOOKUP($A2284,'13. Updated Demand'!A:Z,21,FALSE))</f>
        <v>0</v>
      </c>
      <c r="AE2284" s="16">
        <f>IF(ISERROR(VLOOKUP($A2284,'13. Updated Demand'!A:Z,22,FALSE)),0,VLOOKUP($A2284,'13. Updated Demand'!A:Z,22,FALSE))</f>
        <v>0</v>
      </c>
      <c r="AF2284" s="16">
        <f>IF(ISERROR(VLOOKUP($A2284,'13. Updated Demand'!A:Z,23,FALSE)),0,VLOOKUP($A2284,'13. Updated Demand'!A:Z,23,FALSE))</f>
        <v>0</v>
      </c>
      <c r="AG2284" s="16">
        <f>IF(ISERROR(VLOOKUP($A2284,'13. Updated Demand'!A:Z,24,FALSE)),0,VLOOKUP($A2284,'13. Updated Demand'!A:Z,24,FALSE))</f>
        <v>0</v>
      </c>
      <c r="AH2284" s="16">
        <f>IF(ISERROR(VLOOKUP($A2284,'13. Updated Demand'!A:Z,25,FALSE)),0,VLOOKUP($A2284,'13. Updated Demand'!A:Z,25,FALSE))</f>
        <v>3.3333333E-2</v>
      </c>
      <c r="AI2284" s="16">
        <f>IF(ISERROR(VLOOKUP($A2284,'13. Updated Demand'!A:Z,26,FALSE)),0,VLOOKUP($A2284,'13. Updated Demand'!A:Z,26,FALSE))</f>
        <v>0</v>
      </c>
      <c r="AJ2284" s="16">
        <f t="shared" si="433"/>
        <v>0.16666666599999999</v>
      </c>
      <c r="AK2284" s="19">
        <v>0</v>
      </c>
      <c r="AL2284" s="16">
        <f t="shared" si="431"/>
        <v>0</v>
      </c>
      <c r="AM2284" s="26">
        <v>2.192982447368421E-2</v>
      </c>
      <c r="AN2284" s="19">
        <v>7.6</v>
      </c>
      <c r="AO2284" s="19" t="s">
        <v>1758</v>
      </c>
      <c r="AP2284" s="19">
        <v>0</v>
      </c>
      <c r="AQ2284" s="19" t="s">
        <v>307</v>
      </c>
      <c r="AR2284" s="9" t="s">
        <v>486</v>
      </c>
      <c r="AS2284" s="12">
        <v>0</v>
      </c>
      <c r="AT2284" s="19">
        <v>38.5792</v>
      </c>
      <c r="AU2284" s="19">
        <v>-122.85599999999999</v>
      </c>
      <c r="AV2284" s="19" t="s">
        <v>548</v>
      </c>
    </row>
    <row r="2285" spans="1:48" x14ac:dyDescent="0.25">
      <c r="A2285" s="18" t="s">
        <v>2745</v>
      </c>
      <c r="B2285" s="10">
        <v>10000000</v>
      </c>
      <c r="C2285" s="9">
        <v>17</v>
      </c>
      <c r="D2285" s="8" t="str">
        <f t="shared" si="422"/>
        <v>N</v>
      </c>
      <c r="E2285" s="8" t="str">
        <f t="shared" si="423"/>
        <v>N</v>
      </c>
      <c r="F2285" s="8" t="str">
        <f t="shared" si="424"/>
        <v>N</v>
      </c>
      <c r="G2285" s="8" t="str">
        <f t="shared" si="425"/>
        <v>N</v>
      </c>
      <c r="H2285" s="8" t="str">
        <f t="shared" si="426"/>
        <v>Lower</v>
      </c>
      <c r="I2285" s="8" t="str">
        <f t="shared" si="427"/>
        <v>Outside</v>
      </c>
      <c r="J2285" s="8" t="str">
        <f t="shared" si="428"/>
        <v>Outside</v>
      </c>
      <c r="K2285" s="8" t="str">
        <f t="shared" si="429"/>
        <v>Riparian</v>
      </c>
      <c r="L2285" s="8">
        <f t="shared" si="430"/>
        <v>1000</v>
      </c>
      <c r="M2285" s="8" t="str">
        <f t="shared" si="432"/>
        <v>-</v>
      </c>
      <c r="N2285" s="10" t="s">
        <v>241</v>
      </c>
      <c r="O2285" s="10" t="s">
        <v>242</v>
      </c>
      <c r="P2285" s="10" t="s">
        <v>242</v>
      </c>
      <c r="Q2285" s="10" t="s">
        <v>242</v>
      </c>
      <c r="R2285" s="10" t="s">
        <v>242</v>
      </c>
      <c r="S2285" s="10" t="s">
        <v>241</v>
      </c>
      <c r="T2285" s="10" t="s">
        <v>242</v>
      </c>
      <c r="U2285" s="10" t="s">
        <v>242</v>
      </c>
      <c r="V2285" s="10" t="s">
        <v>241</v>
      </c>
      <c r="W2285" s="10" t="s">
        <v>242</v>
      </c>
      <c r="X2285" s="15">
        <f>IF(ISERROR(VLOOKUP($A2285,'13. Updated Demand'!A:Z,15,FALSE)),0,VLOOKUP($A2285,'13. Updated Demand'!A:Z,15,FALSE))</f>
        <v>0</v>
      </c>
      <c r="Y2285" s="16">
        <f>IF(ISERROR(VLOOKUP($A2285,'13. Updated Demand'!A:Z,16,FALSE)),0,VLOOKUP($A2285,'13. Updated Demand'!A:Z,16,FALSE))</f>
        <v>0.133333333</v>
      </c>
      <c r="Z2285" s="16">
        <f>IF(ISERROR(VLOOKUP($A2285,'13. Updated Demand'!A:Z,17,FALSE)),0,VLOOKUP($A2285,'13. Updated Demand'!A:Z,17,FALSE))</f>
        <v>0</v>
      </c>
      <c r="AA2285" s="16">
        <f>IF(ISERROR(VLOOKUP($A2285,'13. Updated Demand'!A:Z,18,FALSE)),0,VLOOKUP($A2285,'13. Updated Demand'!A:Z,18,FALSE))</f>
        <v>0</v>
      </c>
      <c r="AB2285" s="16">
        <f>IF(ISERROR(VLOOKUP($A2285,'13. Updated Demand'!A:Z,19,FALSE)),0,VLOOKUP($A2285,'13. Updated Demand'!A:Z,19,FALSE))</f>
        <v>0</v>
      </c>
      <c r="AC2285" s="16">
        <f>IF(ISERROR(VLOOKUP($A2285,'13. Updated Demand'!A:Z,20,FALSE)),0,VLOOKUP($A2285,'13. Updated Demand'!A:Z,20,FALSE))</f>
        <v>0</v>
      </c>
      <c r="AD2285" s="16">
        <f>IF(ISERROR(VLOOKUP($A2285,'13. Updated Demand'!A:Z,21,FALSE)),0,VLOOKUP($A2285,'13. Updated Demand'!A:Z,21,FALSE))</f>
        <v>0</v>
      </c>
      <c r="AE2285" s="16">
        <f>IF(ISERROR(VLOOKUP($A2285,'13. Updated Demand'!A:Z,22,FALSE)),0,VLOOKUP($A2285,'13. Updated Demand'!A:Z,22,FALSE))</f>
        <v>0</v>
      </c>
      <c r="AF2285" s="16">
        <f>IF(ISERROR(VLOOKUP($A2285,'13. Updated Demand'!A:Z,23,FALSE)),0,VLOOKUP($A2285,'13. Updated Demand'!A:Z,23,FALSE))</f>
        <v>0</v>
      </c>
      <c r="AG2285" s="16">
        <f>IF(ISERROR(VLOOKUP($A2285,'13. Updated Demand'!A:Z,24,FALSE)),0,VLOOKUP($A2285,'13. Updated Demand'!A:Z,24,FALSE))</f>
        <v>0.6</v>
      </c>
      <c r="AH2285" s="16">
        <f>IF(ISERROR(VLOOKUP($A2285,'13. Updated Demand'!A:Z,25,FALSE)),0,VLOOKUP($A2285,'13. Updated Demand'!A:Z,25,FALSE))</f>
        <v>0</v>
      </c>
      <c r="AI2285" s="16">
        <f>IF(ISERROR(VLOOKUP($A2285,'13. Updated Demand'!A:Z,26,FALSE)),0,VLOOKUP($A2285,'13. Updated Demand'!A:Z,26,FALSE))</f>
        <v>0</v>
      </c>
      <c r="AJ2285" s="16">
        <f t="shared" si="433"/>
        <v>0.73333333300000003</v>
      </c>
      <c r="AK2285" s="19">
        <v>0</v>
      </c>
      <c r="AL2285" s="16">
        <f t="shared" si="431"/>
        <v>0</v>
      </c>
      <c r="AM2285" s="26">
        <v>0.29333333319999999</v>
      </c>
      <c r="AN2285" s="19">
        <v>2.5</v>
      </c>
      <c r="AO2285" s="19" t="s">
        <v>1758</v>
      </c>
      <c r="AP2285" s="19">
        <v>0</v>
      </c>
      <c r="AQ2285" s="19" t="s">
        <v>307</v>
      </c>
      <c r="AR2285" s="9" t="s">
        <v>486</v>
      </c>
      <c r="AS2285" s="12">
        <v>0</v>
      </c>
      <c r="AT2285" s="19">
        <v>38.578099999999999</v>
      </c>
      <c r="AU2285" s="19">
        <v>-122.8558</v>
      </c>
      <c r="AV2285" s="19" t="s">
        <v>548</v>
      </c>
    </row>
    <row r="2286" spans="1:48" x14ac:dyDescent="0.25">
      <c r="A2286" s="18" t="s">
        <v>2746</v>
      </c>
      <c r="B2286" s="10">
        <v>10000000</v>
      </c>
      <c r="C2286" s="9">
        <v>17</v>
      </c>
      <c r="D2286" s="8" t="str">
        <f t="shared" si="422"/>
        <v>N</v>
      </c>
      <c r="E2286" s="8" t="str">
        <f t="shared" si="423"/>
        <v>N</v>
      </c>
      <c r="F2286" s="8" t="str">
        <f t="shared" si="424"/>
        <v>N</v>
      </c>
      <c r="G2286" s="8" t="str">
        <f t="shared" si="425"/>
        <v>N</v>
      </c>
      <c r="H2286" s="8" t="str">
        <f t="shared" si="426"/>
        <v>Lower</v>
      </c>
      <c r="I2286" s="8" t="str">
        <f t="shared" si="427"/>
        <v>Outside</v>
      </c>
      <c r="J2286" s="8" t="str">
        <f t="shared" si="428"/>
        <v>Outside</v>
      </c>
      <c r="K2286" s="8" t="str">
        <f t="shared" si="429"/>
        <v>Riparian</v>
      </c>
      <c r="L2286" s="8">
        <f t="shared" si="430"/>
        <v>1000</v>
      </c>
      <c r="M2286" s="8" t="str">
        <f t="shared" si="432"/>
        <v>-</v>
      </c>
      <c r="N2286" s="10" t="s">
        <v>241</v>
      </c>
      <c r="O2286" s="10" t="s">
        <v>242</v>
      </c>
      <c r="P2286" s="10" t="s">
        <v>242</v>
      </c>
      <c r="Q2286" s="10" t="s">
        <v>242</v>
      </c>
      <c r="R2286" s="10" t="s">
        <v>242</v>
      </c>
      <c r="S2286" s="10" t="s">
        <v>241</v>
      </c>
      <c r="T2286" s="10" t="s">
        <v>242</v>
      </c>
      <c r="U2286" s="10" t="s">
        <v>242</v>
      </c>
      <c r="V2286" s="10" t="s">
        <v>242</v>
      </c>
      <c r="W2286" s="10" t="s">
        <v>242</v>
      </c>
      <c r="X2286" s="15">
        <f>IF(ISERROR(VLOOKUP($A2286,'13. Updated Demand'!A:Z,15,FALSE)),0,VLOOKUP($A2286,'13. Updated Demand'!A:Z,15,FALSE))</f>
        <v>0.01</v>
      </c>
      <c r="Y2286" s="16">
        <f>IF(ISERROR(VLOOKUP($A2286,'13. Updated Demand'!A:Z,16,FALSE)),0,VLOOKUP($A2286,'13. Updated Demand'!A:Z,16,FALSE))</f>
        <v>0.26666666700000002</v>
      </c>
      <c r="Z2286" s="16">
        <f>IF(ISERROR(VLOOKUP($A2286,'13. Updated Demand'!A:Z,17,FALSE)),0,VLOOKUP($A2286,'13. Updated Demand'!A:Z,17,FALSE))</f>
        <v>0</v>
      </c>
      <c r="AA2286" s="16">
        <f>IF(ISERROR(VLOOKUP($A2286,'13. Updated Demand'!A:Z,18,FALSE)),0,VLOOKUP($A2286,'13. Updated Demand'!A:Z,18,FALSE))</f>
        <v>3.3333333E-2</v>
      </c>
      <c r="AB2286" s="16">
        <f>IF(ISERROR(VLOOKUP($A2286,'13. Updated Demand'!A:Z,19,FALSE)),0,VLOOKUP($A2286,'13. Updated Demand'!A:Z,19,FALSE))</f>
        <v>3.3333333E-2</v>
      </c>
      <c r="AC2286" s="16">
        <f>IF(ISERROR(VLOOKUP($A2286,'13. Updated Demand'!A:Z,20,FALSE)),0,VLOOKUP($A2286,'13. Updated Demand'!A:Z,20,FALSE))</f>
        <v>0</v>
      </c>
      <c r="AD2286" s="16">
        <f>IF(ISERROR(VLOOKUP($A2286,'13. Updated Demand'!A:Z,21,FALSE)),0,VLOOKUP($A2286,'13. Updated Demand'!A:Z,21,FALSE))</f>
        <v>0</v>
      </c>
      <c r="AE2286" s="16">
        <f>IF(ISERROR(VLOOKUP($A2286,'13. Updated Demand'!A:Z,22,FALSE)),0,VLOOKUP($A2286,'13. Updated Demand'!A:Z,22,FALSE))</f>
        <v>0</v>
      </c>
      <c r="AF2286" s="16">
        <f>IF(ISERROR(VLOOKUP($A2286,'13. Updated Demand'!A:Z,23,FALSE)),0,VLOOKUP($A2286,'13. Updated Demand'!A:Z,23,FALSE))</f>
        <v>6.6666666999999999E-2</v>
      </c>
      <c r="AG2286" s="16">
        <f>IF(ISERROR(VLOOKUP($A2286,'13. Updated Demand'!A:Z,24,FALSE)),0,VLOOKUP($A2286,'13. Updated Demand'!A:Z,24,FALSE))</f>
        <v>0.16666666699999999</v>
      </c>
      <c r="AH2286" s="16">
        <f>IF(ISERROR(VLOOKUP($A2286,'13. Updated Demand'!A:Z,25,FALSE)),0,VLOOKUP($A2286,'13. Updated Demand'!A:Z,25,FALSE))</f>
        <v>0.366666667</v>
      </c>
      <c r="AI2286" s="16">
        <f>IF(ISERROR(VLOOKUP($A2286,'13. Updated Demand'!A:Z,26,FALSE)),0,VLOOKUP($A2286,'13. Updated Demand'!A:Z,26,FALSE))</f>
        <v>7.0000000000000007E-2</v>
      </c>
      <c r="AJ2286" s="16">
        <f t="shared" si="433"/>
        <v>1.0133333340000001</v>
      </c>
      <c r="AK2286" s="19">
        <v>0.1</v>
      </c>
      <c r="AL2286" s="16">
        <f t="shared" si="431"/>
        <v>3.3168860892955089E-4</v>
      </c>
      <c r="AM2286" s="26">
        <v>0.37530864222222227</v>
      </c>
      <c r="AN2286" s="19">
        <v>2.7</v>
      </c>
      <c r="AO2286" s="19" t="s">
        <v>1758</v>
      </c>
      <c r="AP2286" s="19">
        <v>0</v>
      </c>
      <c r="AQ2286" s="19" t="s">
        <v>307</v>
      </c>
      <c r="AR2286" s="9" t="s">
        <v>486</v>
      </c>
      <c r="AS2286" s="12">
        <v>0</v>
      </c>
      <c r="AT2286" s="19">
        <v>38.576799999999999</v>
      </c>
      <c r="AU2286" s="19">
        <v>-122.8557</v>
      </c>
      <c r="AV2286" s="19" t="s">
        <v>548</v>
      </c>
    </row>
    <row r="2287" spans="1:48" x14ac:dyDescent="0.25">
      <c r="A2287" s="18" t="s">
        <v>2747</v>
      </c>
      <c r="B2287" s="10">
        <v>10000000</v>
      </c>
      <c r="C2287" s="9">
        <v>17</v>
      </c>
      <c r="D2287" s="8" t="str">
        <f t="shared" si="422"/>
        <v>N</v>
      </c>
      <c r="E2287" s="8" t="str">
        <f t="shared" si="423"/>
        <v>N</v>
      </c>
      <c r="F2287" s="8" t="str">
        <f t="shared" si="424"/>
        <v>N</v>
      </c>
      <c r="G2287" s="8" t="str">
        <f t="shared" si="425"/>
        <v>N</v>
      </c>
      <c r="H2287" s="8" t="str">
        <f t="shared" si="426"/>
        <v>Lower</v>
      </c>
      <c r="I2287" s="8" t="str">
        <f t="shared" si="427"/>
        <v>Outside</v>
      </c>
      <c r="J2287" s="8" t="str">
        <f t="shared" si="428"/>
        <v>Outside</v>
      </c>
      <c r="K2287" s="8" t="str">
        <f t="shared" si="429"/>
        <v>Riparian</v>
      </c>
      <c r="L2287" s="8">
        <f t="shared" si="430"/>
        <v>1000</v>
      </c>
      <c r="M2287" s="8" t="str">
        <f t="shared" si="432"/>
        <v>-</v>
      </c>
      <c r="N2287" s="10" t="s">
        <v>241</v>
      </c>
      <c r="O2287" s="10" t="s">
        <v>242</v>
      </c>
      <c r="P2287" s="10" t="s">
        <v>242</v>
      </c>
      <c r="Q2287" s="10" t="s">
        <v>242</v>
      </c>
      <c r="R2287" s="10" t="s">
        <v>242</v>
      </c>
      <c r="S2287" s="10" t="s">
        <v>241</v>
      </c>
      <c r="T2287" s="10" t="s">
        <v>242</v>
      </c>
      <c r="U2287" s="10" t="s">
        <v>242</v>
      </c>
      <c r="V2287" s="10" t="s">
        <v>242</v>
      </c>
      <c r="W2287" s="10" t="s">
        <v>242</v>
      </c>
      <c r="X2287" s="15">
        <f>IF(ISERROR(VLOOKUP($A2287,'13. Updated Demand'!A:Z,15,FALSE)),0,VLOOKUP($A2287,'13. Updated Demand'!A:Z,15,FALSE))</f>
        <v>0</v>
      </c>
      <c r="Y2287" s="16">
        <f>IF(ISERROR(VLOOKUP($A2287,'13. Updated Demand'!A:Z,16,FALSE)),0,VLOOKUP($A2287,'13. Updated Demand'!A:Z,16,FALSE))</f>
        <v>0.46666666699999998</v>
      </c>
      <c r="Z2287" s="16">
        <f>IF(ISERROR(VLOOKUP($A2287,'13. Updated Demand'!A:Z,17,FALSE)),0,VLOOKUP($A2287,'13. Updated Demand'!A:Z,17,FALSE))</f>
        <v>0</v>
      </c>
      <c r="AA2287" s="16">
        <f>IF(ISERROR(VLOOKUP($A2287,'13. Updated Demand'!A:Z,18,FALSE)),0,VLOOKUP($A2287,'13. Updated Demand'!A:Z,18,FALSE))</f>
        <v>0</v>
      </c>
      <c r="AB2287" s="16">
        <f>IF(ISERROR(VLOOKUP($A2287,'13. Updated Demand'!A:Z,19,FALSE)),0,VLOOKUP($A2287,'13. Updated Demand'!A:Z,19,FALSE))</f>
        <v>0.66666666699999999</v>
      </c>
      <c r="AC2287" s="16">
        <f>IF(ISERROR(VLOOKUP($A2287,'13. Updated Demand'!A:Z,20,FALSE)),0,VLOOKUP($A2287,'13. Updated Demand'!A:Z,20,FALSE))</f>
        <v>0</v>
      </c>
      <c r="AD2287" s="16">
        <f>IF(ISERROR(VLOOKUP($A2287,'13. Updated Demand'!A:Z,21,FALSE)),0,VLOOKUP($A2287,'13. Updated Demand'!A:Z,21,FALSE))</f>
        <v>0</v>
      </c>
      <c r="AE2287" s="16">
        <f>IF(ISERROR(VLOOKUP($A2287,'13. Updated Demand'!A:Z,22,FALSE)),0,VLOOKUP($A2287,'13. Updated Demand'!A:Z,22,FALSE))</f>
        <v>0</v>
      </c>
      <c r="AF2287" s="16">
        <f>IF(ISERROR(VLOOKUP($A2287,'13. Updated Demand'!A:Z,23,FALSE)),0,VLOOKUP($A2287,'13. Updated Demand'!A:Z,23,FALSE))</f>
        <v>1.3666666670000001</v>
      </c>
      <c r="AG2287" s="16">
        <f>IF(ISERROR(VLOOKUP($A2287,'13. Updated Demand'!A:Z,24,FALSE)),0,VLOOKUP($A2287,'13. Updated Demand'!A:Z,24,FALSE))</f>
        <v>3</v>
      </c>
      <c r="AH2287" s="16">
        <f>IF(ISERROR(VLOOKUP($A2287,'13. Updated Demand'!A:Z,25,FALSE)),0,VLOOKUP($A2287,'13. Updated Demand'!A:Z,25,FALSE))</f>
        <v>1.3</v>
      </c>
      <c r="AI2287" s="16">
        <f>IF(ISERROR(VLOOKUP($A2287,'13. Updated Demand'!A:Z,26,FALSE)),0,VLOOKUP($A2287,'13. Updated Demand'!A:Z,26,FALSE))</f>
        <v>0</v>
      </c>
      <c r="AJ2287" s="16">
        <f t="shared" si="433"/>
        <v>6.8000000009999999</v>
      </c>
      <c r="AK2287" s="19">
        <v>2.0333333339999999</v>
      </c>
      <c r="AL2287" s="16">
        <f t="shared" si="431"/>
        <v>6.7443350504454583E-3</v>
      </c>
      <c r="AM2287" s="26">
        <v>0.73118279580645151</v>
      </c>
      <c r="AN2287" s="19">
        <v>9.3000000000000007</v>
      </c>
      <c r="AO2287" s="19" t="s">
        <v>1758</v>
      </c>
      <c r="AP2287" s="19">
        <v>0</v>
      </c>
      <c r="AQ2287" s="19" t="s">
        <v>307</v>
      </c>
      <c r="AR2287" s="9" t="s">
        <v>486</v>
      </c>
      <c r="AS2287" s="12">
        <v>0</v>
      </c>
      <c r="AT2287" s="19">
        <v>38.575099999999999</v>
      </c>
      <c r="AU2287" s="19">
        <v>-122.8549</v>
      </c>
      <c r="AV2287" s="19" t="s">
        <v>548</v>
      </c>
    </row>
    <row r="2288" spans="1:48" x14ac:dyDescent="0.25">
      <c r="A2288" s="18" t="s">
        <v>2748</v>
      </c>
      <c r="B2288" s="10">
        <v>10000000</v>
      </c>
      <c r="C2288" s="9">
        <v>17</v>
      </c>
      <c r="D2288" s="8" t="str">
        <f t="shared" si="422"/>
        <v>N</v>
      </c>
      <c r="E2288" s="8" t="str">
        <f t="shared" si="423"/>
        <v>N</v>
      </c>
      <c r="F2288" s="8" t="str">
        <f t="shared" si="424"/>
        <v>N</v>
      </c>
      <c r="G2288" s="8" t="str">
        <f t="shared" si="425"/>
        <v>N</v>
      </c>
      <c r="H2288" s="8" t="str">
        <f t="shared" si="426"/>
        <v>Lower</v>
      </c>
      <c r="I2288" s="8" t="str">
        <f t="shared" si="427"/>
        <v>Outside</v>
      </c>
      <c r="J2288" s="8" t="str">
        <f t="shared" si="428"/>
        <v>Outside</v>
      </c>
      <c r="K2288" s="8" t="str">
        <f t="shared" si="429"/>
        <v>Riparian</v>
      </c>
      <c r="L2288" s="8">
        <f t="shared" si="430"/>
        <v>1000</v>
      </c>
      <c r="M2288" s="8" t="str">
        <f t="shared" si="432"/>
        <v>-</v>
      </c>
      <c r="N2288" s="10" t="s">
        <v>241</v>
      </c>
      <c r="O2288" s="10" t="s">
        <v>242</v>
      </c>
      <c r="P2288" s="10" t="s">
        <v>242</v>
      </c>
      <c r="Q2288" s="10" t="s">
        <v>242</v>
      </c>
      <c r="R2288" s="10" t="s">
        <v>242</v>
      </c>
      <c r="S2288" s="10" t="s">
        <v>241</v>
      </c>
      <c r="T2288" s="10" t="s">
        <v>242</v>
      </c>
      <c r="U2288" s="10" t="s">
        <v>242</v>
      </c>
      <c r="V2288" s="10" t="s">
        <v>242</v>
      </c>
      <c r="W2288" s="10" t="s">
        <v>242</v>
      </c>
      <c r="X2288" s="15">
        <f>IF(ISERROR(VLOOKUP($A2288,'13. Updated Demand'!A:Z,15,FALSE)),0,VLOOKUP($A2288,'13. Updated Demand'!A:Z,15,FALSE))</f>
        <v>0</v>
      </c>
      <c r="Y2288" s="16">
        <f>IF(ISERROR(VLOOKUP($A2288,'13. Updated Demand'!A:Z,16,FALSE)),0,VLOOKUP($A2288,'13. Updated Demand'!A:Z,16,FALSE))</f>
        <v>0.2</v>
      </c>
      <c r="Z2288" s="16">
        <f>IF(ISERROR(VLOOKUP($A2288,'13. Updated Demand'!A:Z,17,FALSE)),0,VLOOKUP($A2288,'13. Updated Demand'!A:Z,17,FALSE))</f>
        <v>0</v>
      </c>
      <c r="AA2288" s="16">
        <f>IF(ISERROR(VLOOKUP($A2288,'13. Updated Demand'!A:Z,18,FALSE)),0,VLOOKUP($A2288,'13. Updated Demand'!A:Z,18,FALSE))</f>
        <v>0</v>
      </c>
      <c r="AB2288" s="16">
        <f>IF(ISERROR(VLOOKUP($A2288,'13. Updated Demand'!A:Z,19,FALSE)),0,VLOOKUP($A2288,'13. Updated Demand'!A:Z,19,FALSE))</f>
        <v>0</v>
      </c>
      <c r="AC2288" s="16">
        <f>IF(ISERROR(VLOOKUP($A2288,'13. Updated Demand'!A:Z,20,FALSE)),0,VLOOKUP($A2288,'13. Updated Demand'!A:Z,20,FALSE))</f>
        <v>0</v>
      </c>
      <c r="AD2288" s="16">
        <f>IF(ISERROR(VLOOKUP($A2288,'13. Updated Demand'!A:Z,21,FALSE)),0,VLOOKUP($A2288,'13. Updated Demand'!A:Z,21,FALSE))</f>
        <v>3.333333E-3</v>
      </c>
      <c r="AE2288" s="16">
        <f>IF(ISERROR(VLOOKUP($A2288,'13. Updated Demand'!A:Z,22,FALSE)),0,VLOOKUP($A2288,'13. Updated Demand'!A:Z,22,FALSE))</f>
        <v>0</v>
      </c>
      <c r="AF2288" s="16">
        <f>IF(ISERROR(VLOOKUP($A2288,'13. Updated Demand'!A:Z,23,FALSE)),0,VLOOKUP($A2288,'13. Updated Demand'!A:Z,23,FALSE))</f>
        <v>3.333333E-3</v>
      </c>
      <c r="AG2288" s="16">
        <f>IF(ISERROR(VLOOKUP($A2288,'13. Updated Demand'!A:Z,24,FALSE)),0,VLOOKUP($A2288,'13. Updated Demand'!A:Z,24,FALSE))</f>
        <v>0.133333333</v>
      </c>
      <c r="AH2288" s="16">
        <f>IF(ISERROR(VLOOKUP($A2288,'13. Updated Demand'!A:Z,25,FALSE)),0,VLOOKUP($A2288,'13. Updated Demand'!A:Z,25,FALSE))</f>
        <v>0</v>
      </c>
      <c r="AI2288" s="16">
        <f>IF(ISERROR(VLOOKUP($A2288,'13. Updated Demand'!A:Z,26,FALSE)),0,VLOOKUP($A2288,'13. Updated Demand'!A:Z,26,FALSE))</f>
        <v>0</v>
      </c>
      <c r="AJ2288" s="16">
        <f t="shared" si="433"/>
        <v>0.339999999</v>
      </c>
      <c r="AK2288" s="19">
        <v>6.6666659999999999E-3</v>
      </c>
      <c r="AL2288" s="16">
        <f t="shared" si="431"/>
        <v>2.2112571717379331E-5</v>
      </c>
      <c r="AM2288" s="26">
        <v>0.17894736789473684</v>
      </c>
      <c r="AN2288" s="19">
        <v>1.9</v>
      </c>
      <c r="AO2288" s="19" t="s">
        <v>1758</v>
      </c>
      <c r="AP2288" s="19">
        <v>0</v>
      </c>
      <c r="AQ2288" s="19" t="s">
        <v>307</v>
      </c>
      <c r="AR2288" s="9" t="s">
        <v>486</v>
      </c>
      <c r="AS2288" s="12">
        <v>0</v>
      </c>
      <c r="AT2288" s="19">
        <v>38.582299999999996</v>
      </c>
      <c r="AU2288" s="19">
        <v>-122.8562</v>
      </c>
      <c r="AV2288" s="19" t="s">
        <v>548</v>
      </c>
    </row>
    <row r="2289" spans="1:48" x14ac:dyDescent="0.25">
      <c r="A2289" s="18" t="s">
        <v>2749</v>
      </c>
      <c r="B2289" s="10">
        <v>10000000</v>
      </c>
      <c r="C2289" s="9">
        <v>9</v>
      </c>
      <c r="D2289" s="8" t="str">
        <f t="shared" si="422"/>
        <v>N</v>
      </c>
      <c r="E2289" s="8" t="str">
        <f t="shared" si="423"/>
        <v>Y</v>
      </c>
      <c r="F2289" s="8" t="str">
        <f t="shared" si="424"/>
        <v>Y</v>
      </c>
      <c r="G2289" s="8" t="str">
        <f t="shared" si="425"/>
        <v>Y</v>
      </c>
      <c r="H2289" s="8" t="str">
        <f t="shared" si="426"/>
        <v>Upper</v>
      </c>
      <c r="I2289" s="8" t="str">
        <f t="shared" si="427"/>
        <v>West Fork and Below Lake</v>
      </c>
      <c r="J2289" s="8" t="str">
        <f t="shared" si="428"/>
        <v>Sonoma (d/s of Clov. Gage)</v>
      </c>
      <c r="K2289" s="8" t="str">
        <f t="shared" si="429"/>
        <v>Riparian</v>
      </c>
      <c r="L2289" s="8">
        <f t="shared" si="430"/>
        <v>1000</v>
      </c>
      <c r="M2289" s="8" t="str">
        <f t="shared" si="432"/>
        <v>-</v>
      </c>
      <c r="N2289" s="10" t="s">
        <v>241</v>
      </c>
      <c r="O2289" s="10" t="s">
        <v>241</v>
      </c>
      <c r="P2289" s="10" t="s">
        <v>242</v>
      </c>
      <c r="Q2289" s="10" t="s">
        <v>242</v>
      </c>
      <c r="R2289" s="10" t="s">
        <v>242</v>
      </c>
      <c r="S2289" s="10" t="s">
        <v>241</v>
      </c>
      <c r="T2289" s="10" t="s">
        <v>242</v>
      </c>
      <c r="U2289" s="10" t="s">
        <v>242</v>
      </c>
      <c r="V2289" s="10" t="s">
        <v>242</v>
      </c>
      <c r="W2289" s="10" t="s">
        <v>242</v>
      </c>
      <c r="X2289" s="15">
        <f>IF(ISERROR(VLOOKUP($A2289,'13. Updated Demand'!A:Z,15,FALSE)),0,VLOOKUP($A2289,'13. Updated Demand'!A:Z,15,FALSE))</f>
        <v>3.3333333333333301E-3</v>
      </c>
      <c r="Y2289" s="16">
        <f>IF(ISERROR(VLOOKUP($A2289,'13. Updated Demand'!A:Z,16,FALSE)),0,VLOOKUP($A2289,'13. Updated Demand'!A:Z,16,FALSE))</f>
        <v>0</v>
      </c>
      <c r="Z2289" s="16">
        <f>IF(ISERROR(VLOOKUP($A2289,'13. Updated Demand'!A:Z,17,FALSE)),0,VLOOKUP($A2289,'13. Updated Demand'!A:Z,17,FALSE))</f>
        <v>0.03</v>
      </c>
      <c r="AA2289" s="16">
        <f>IF(ISERROR(VLOOKUP($A2289,'13. Updated Demand'!A:Z,18,FALSE)),0,VLOOKUP($A2289,'13. Updated Demand'!A:Z,18,FALSE))</f>
        <v>0.2</v>
      </c>
      <c r="AB2289" s="16">
        <f>IF(ISERROR(VLOOKUP($A2289,'13. Updated Demand'!A:Z,19,FALSE)),0,VLOOKUP($A2289,'13. Updated Demand'!A:Z,19,FALSE))</f>
        <v>1.5</v>
      </c>
      <c r="AC2289" s="16">
        <f>IF(ISERROR(VLOOKUP($A2289,'13. Updated Demand'!A:Z,20,FALSE)),0,VLOOKUP($A2289,'13. Updated Demand'!A:Z,20,FALSE))</f>
        <v>3.23</v>
      </c>
      <c r="AD2289" s="16">
        <f>IF(ISERROR(VLOOKUP($A2289,'13. Updated Demand'!A:Z,21,FALSE)),0,VLOOKUP($A2289,'13. Updated Demand'!A:Z,21,FALSE))</f>
        <v>7.46</v>
      </c>
      <c r="AE2289" s="16">
        <f>IF(ISERROR(VLOOKUP($A2289,'13. Updated Demand'!A:Z,22,FALSE)),0,VLOOKUP($A2289,'13. Updated Demand'!A:Z,22,FALSE))</f>
        <v>10.130000000000001</v>
      </c>
      <c r="AF2289" s="16">
        <f>IF(ISERROR(VLOOKUP($A2289,'13. Updated Demand'!A:Z,23,FALSE)),0,VLOOKUP($A2289,'13. Updated Demand'!A:Z,23,FALSE))</f>
        <v>7.46</v>
      </c>
      <c r="AG2289" s="16">
        <f>IF(ISERROR(VLOOKUP($A2289,'13. Updated Demand'!A:Z,24,FALSE)),0,VLOOKUP($A2289,'13. Updated Demand'!A:Z,24,FALSE))</f>
        <v>1.1599999999999999</v>
      </c>
      <c r="AH2289" s="16">
        <f>IF(ISERROR(VLOOKUP($A2289,'13. Updated Demand'!A:Z,25,FALSE)),0,VLOOKUP($A2289,'13. Updated Demand'!A:Z,25,FALSE))</f>
        <v>0.46</v>
      </c>
      <c r="AI2289" s="16">
        <f>IF(ISERROR(VLOOKUP($A2289,'13. Updated Demand'!A:Z,26,FALSE)),0,VLOOKUP($A2289,'13. Updated Demand'!A:Z,26,FALSE))</f>
        <v>3.3333333333333301E-3</v>
      </c>
      <c r="AJ2289" s="16">
        <f t="shared" si="433"/>
        <v>31.63666666666667</v>
      </c>
      <c r="AK2289" s="19">
        <v>29.799999999999969</v>
      </c>
      <c r="AL2289" s="16">
        <f t="shared" si="431"/>
        <v>9.884320546100607E-2</v>
      </c>
      <c r="AM2289" s="26">
        <v>1.5838333333333323</v>
      </c>
      <c r="AN2289" s="19">
        <v>20</v>
      </c>
      <c r="AO2289" s="19" t="s">
        <v>1758</v>
      </c>
      <c r="AP2289" s="19">
        <v>0</v>
      </c>
      <c r="AQ2289" s="19" t="s">
        <v>307</v>
      </c>
      <c r="AR2289" s="9" t="s">
        <v>354</v>
      </c>
      <c r="AS2289" s="12">
        <v>0</v>
      </c>
      <c r="AT2289" s="19">
        <v>38.807000000000002</v>
      </c>
      <c r="AU2289" s="19">
        <v>-123.0056</v>
      </c>
      <c r="AV2289" s="19" t="s">
        <v>548</v>
      </c>
    </row>
    <row r="2290" spans="1:48" x14ac:dyDescent="0.25">
      <c r="A2290" s="18" t="s">
        <v>2750</v>
      </c>
      <c r="B2290" s="10">
        <v>10000000</v>
      </c>
      <c r="C2290" s="9">
        <v>17</v>
      </c>
      <c r="D2290" s="8" t="str">
        <f t="shared" si="422"/>
        <v>N</v>
      </c>
      <c r="E2290" s="8" t="str">
        <f t="shared" si="423"/>
        <v>N</v>
      </c>
      <c r="F2290" s="8" t="str">
        <f t="shared" si="424"/>
        <v>N</v>
      </c>
      <c r="G2290" s="8" t="str">
        <f t="shared" si="425"/>
        <v>N</v>
      </c>
      <c r="H2290" s="8" t="str">
        <f t="shared" si="426"/>
        <v>Lower</v>
      </c>
      <c r="I2290" s="8" t="str">
        <f t="shared" si="427"/>
        <v>Outside</v>
      </c>
      <c r="J2290" s="8" t="str">
        <f t="shared" si="428"/>
        <v>Outside</v>
      </c>
      <c r="K2290" s="8" t="str">
        <f t="shared" si="429"/>
        <v>Riparian</v>
      </c>
      <c r="L2290" s="8">
        <f t="shared" si="430"/>
        <v>1000</v>
      </c>
      <c r="M2290" s="8" t="str">
        <f t="shared" si="432"/>
        <v>-</v>
      </c>
      <c r="N2290" s="10" t="s">
        <v>242</v>
      </c>
      <c r="O2290" s="10" t="s">
        <v>242</v>
      </c>
      <c r="P2290" s="10" t="s">
        <v>242</v>
      </c>
      <c r="Q2290" s="10" t="s">
        <v>242</v>
      </c>
      <c r="R2290" s="10" t="s">
        <v>242</v>
      </c>
      <c r="S2290" s="10" t="s">
        <v>241</v>
      </c>
      <c r="T2290" s="10" t="s">
        <v>242</v>
      </c>
      <c r="U2290" s="10" t="s">
        <v>242</v>
      </c>
      <c r="V2290" s="10" t="s">
        <v>242</v>
      </c>
      <c r="W2290" s="10" t="s">
        <v>242</v>
      </c>
      <c r="X2290" s="15">
        <f>IF(ISERROR(VLOOKUP($A2290,'13. Updated Demand'!A:Z,15,FALSE)),0,VLOOKUP($A2290,'13. Updated Demand'!A:Z,15,FALSE))</f>
        <v>0</v>
      </c>
      <c r="Y2290" s="16">
        <f>IF(ISERROR(VLOOKUP($A2290,'13. Updated Demand'!A:Z,16,FALSE)),0,VLOOKUP($A2290,'13. Updated Demand'!A:Z,16,FALSE))</f>
        <v>0</v>
      </c>
      <c r="Z2290" s="16">
        <f>IF(ISERROR(VLOOKUP($A2290,'13. Updated Demand'!A:Z,17,FALSE)),0,VLOOKUP($A2290,'13. Updated Demand'!A:Z,17,FALSE))</f>
        <v>0</v>
      </c>
      <c r="AA2290" s="16">
        <f>IF(ISERROR(VLOOKUP($A2290,'13. Updated Demand'!A:Z,18,FALSE)),0,VLOOKUP($A2290,'13. Updated Demand'!A:Z,18,FALSE))</f>
        <v>2.8642999999999998E-2</v>
      </c>
      <c r="AB2290" s="16">
        <f>IF(ISERROR(VLOOKUP($A2290,'13. Updated Demand'!A:Z,19,FALSE)),0,VLOOKUP($A2290,'13. Updated Demand'!A:Z,19,FALSE))</f>
        <v>0.20671500000000001</v>
      </c>
      <c r="AC2290" s="16">
        <f>IF(ISERROR(VLOOKUP($A2290,'13. Updated Demand'!A:Z,20,FALSE)),0,VLOOKUP($A2290,'13. Updated Demand'!A:Z,20,FALSE))</f>
        <v>0.16886533300000001</v>
      </c>
      <c r="AD2290" s="16">
        <f>IF(ISERROR(VLOOKUP($A2290,'13. Updated Demand'!A:Z,21,FALSE)),0,VLOOKUP($A2290,'13. Updated Demand'!A:Z,21,FALSE))</f>
        <v>0.15757399999999999</v>
      </c>
      <c r="AE2290" s="16">
        <f>IF(ISERROR(VLOOKUP($A2290,'13. Updated Demand'!A:Z,22,FALSE)),0,VLOOKUP($A2290,'13. Updated Demand'!A:Z,22,FALSE))</f>
        <v>0.19599366700000001</v>
      </c>
      <c r="AF2290" s="16">
        <f>IF(ISERROR(VLOOKUP($A2290,'13. Updated Demand'!A:Z,23,FALSE)),0,VLOOKUP($A2290,'13. Updated Demand'!A:Z,23,FALSE))</f>
        <v>0.245199</v>
      </c>
      <c r="AG2290" s="16">
        <f>IF(ISERROR(VLOOKUP($A2290,'13. Updated Demand'!A:Z,24,FALSE)),0,VLOOKUP($A2290,'13. Updated Demand'!A:Z,24,FALSE))</f>
        <v>6.8207000000000004E-2</v>
      </c>
      <c r="AH2290" s="16">
        <f>IF(ISERROR(VLOOKUP($A2290,'13. Updated Demand'!A:Z,25,FALSE)),0,VLOOKUP($A2290,'13. Updated Demand'!A:Z,25,FALSE))</f>
        <v>0</v>
      </c>
      <c r="AI2290" s="16">
        <f>IF(ISERROR(VLOOKUP($A2290,'13. Updated Demand'!A:Z,26,FALSE)),0,VLOOKUP($A2290,'13. Updated Demand'!A:Z,26,FALSE))</f>
        <v>0</v>
      </c>
      <c r="AJ2290" s="16">
        <f t="shared" si="433"/>
        <v>1.071197</v>
      </c>
      <c r="AK2290" s="19">
        <v>0.97434700000000007</v>
      </c>
      <c r="AL2290" s="16">
        <f t="shared" si="431"/>
        <v>3.2317980104468115E-3</v>
      </c>
      <c r="AM2290" s="26">
        <v>5.2101021400778205</v>
      </c>
      <c r="AN2290" s="19">
        <v>0.2056</v>
      </c>
      <c r="AO2290" s="19" t="s">
        <v>1758</v>
      </c>
      <c r="AP2290" s="19">
        <v>0</v>
      </c>
      <c r="AQ2290" s="19" t="s">
        <v>307</v>
      </c>
      <c r="AR2290" s="9" t="s">
        <v>486</v>
      </c>
      <c r="AS2290" s="12">
        <v>0</v>
      </c>
      <c r="AT2290" s="19">
        <v>38.5745</v>
      </c>
      <c r="AU2290" s="19">
        <v>-122.8781</v>
      </c>
      <c r="AV2290" s="19" t="s">
        <v>548</v>
      </c>
    </row>
    <row r="2291" spans="1:48" x14ac:dyDescent="0.25">
      <c r="A2291" s="18" t="s">
        <v>2751</v>
      </c>
      <c r="B2291" s="10">
        <v>10000000</v>
      </c>
      <c r="C2291" s="9">
        <v>1</v>
      </c>
      <c r="D2291" s="8" t="str">
        <f t="shared" si="422"/>
        <v>N</v>
      </c>
      <c r="E2291" s="8" t="str">
        <f t="shared" si="423"/>
        <v>N</v>
      </c>
      <c r="F2291" s="8" t="str">
        <f t="shared" si="424"/>
        <v>Y</v>
      </c>
      <c r="G2291" s="8" t="str">
        <f t="shared" si="425"/>
        <v>Y</v>
      </c>
      <c r="H2291" s="8" t="str">
        <f t="shared" si="426"/>
        <v>Upper</v>
      </c>
      <c r="I2291" s="8" t="str">
        <f t="shared" si="427"/>
        <v>West Fork and Below Lake</v>
      </c>
      <c r="J2291" s="8" t="str">
        <f t="shared" si="428"/>
        <v>Outside</v>
      </c>
      <c r="K2291" s="8" t="str">
        <f t="shared" si="429"/>
        <v>Riparian</v>
      </c>
      <c r="L2291" s="8">
        <f t="shared" si="430"/>
        <v>1000</v>
      </c>
      <c r="M2291" s="8" t="str">
        <f t="shared" si="432"/>
        <v>-</v>
      </c>
      <c r="N2291" s="10" t="s">
        <v>242</v>
      </c>
      <c r="O2291" s="10" t="s">
        <v>241</v>
      </c>
      <c r="P2291" s="10" t="s">
        <v>242</v>
      </c>
      <c r="Q2291" s="10" t="s">
        <v>242</v>
      </c>
      <c r="R2291" s="10" t="s">
        <v>242</v>
      </c>
      <c r="S2291" s="10" t="s">
        <v>241</v>
      </c>
      <c r="T2291" s="10" t="s">
        <v>242</v>
      </c>
      <c r="U2291" s="10" t="s">
        <v>242</v>
      </c>
      <c r="V2291" s="10" t="s">
        <v>242</v>
      </c>
      <c r="W2291" s="10" t="s">
        <v>242</v>
      </c>
      <c r="X2291" s="15">
        <f>IF(ISERROR(VLOOKUP($A2291,'13. Updated Demand'!A:Z,15,FALSE)),0,VLOOKUP($A2291,'13. Updated Demand'!A:Z,15,FALSE))</f>
        <v>0</v>
      </c>
      <c r="Y2291" s="16">
        <f>IF(ISERROR(VLOOKUP($A2291,'13. Updated Demand'!A:Z,16,FALSE)),0,VLOOKUP($A2291,'13. Updated Demand'!A:Z,16,FALSE))</f>
        <v>0</v>
      </c>
      <c r="Z2291" s="16">
        <f>IF(ISERROR(VLOOKUP($A2291,'13. Updated Demand'!A:Z,17,FALSE)),0,VLOOKUP($A2291,'13. Updated Demand'!A:Z,17,FALSE))</f>
        <v>0</v>
      </c>
      <c r="AA2291" s="16">
        <f>IF(ISERROR(VLOOKUP($A2291,'13. Updated Demand'!A:Z,18,FALSE)),0,VLOOKUP($A2291,'13. Updated Demand'!A:Z,18,FALSE))</f>
        <v>2.94</v>
      </c>
      <c r="AB2291" s="16">
        <f>IF(ISERROR(VLOOKUP($A2291,'13. Updated Demand'!A:Z,19,FALSE)),0,VLOOKUP($A2291,'13. Updated Demand'!A:Z,19,FALSE))</f>
        <v>2.23</v>
      </c>
      <c r="AC2291" s="16">
        <f>IF(ISERROR(VLOOKUP($A2291,'13. Updated Demand'!A:Z,20,FALSE)),0,VLOOKUP($A2291,'13. Updated Demand'!A:Z,20,FALSE))</f>
        <v>0.79</v>
      </c>
      <c r="AD2291" s="16">
        <f>IF(ISERROR(VLOOKUP($A2291,'13. Updated Demand'!A:Z,21,FALSE)),0,VLOOKUP($A2291,'13. Updated Demand'!A:Z,21,FALSE))</f>
        <v>0</v>
      </c>
      <c r="AE2291" s="16">
        <f>IF(ISERROR(VLOOKUP($A2291,'13. Updated Demand'!A:Z,22,FALSE)),0,VLOOKUP($A2291,'13. Updated Demand'!A:Z,22,FALSE))</f>
        <v>0</v>
      </c>
      <c r="AF2291" s="16">
        <f>IF(ISERROR(VLOOKUP($A2291,'13. Updated Demand'!A:Z,23,FALSE)),0,VLOOKUP($A2291,'13. Updated Demand'!A:Z,23,FALSE))</f>
        <v>0</v>
      </c>
      <c r="AG2291" s="16">
        <f>IF(ISERROR(VLOOKUP($A2291,'13. Updated Demand'!A:Z,24,FALSE)),0,VLOOKUP($A2291,'13. Updated Demand'!A:Z,24,FALSE))</f>
        <v>0</v>
      </c>
      <c r="AH2291" s="16">
        <f>IF(ISERROR(VLOOKUP($A2291,'13. Updated Demand'!A:Z,25,FALSE)),0,VLOOKUP($A2291,'13. Updated Demand'!A:Z,25,FALSE))</f>
        <v>0</v>
      </c>
      <c r="AI2291" s="16">
        <f>IF(ISERROR(VLOOKUP($A2291,'13. Updated Demand'!A:Z,26,FALSE)),0,VLOOKUP($A2291,'13. Updated Demand'!A:Z,26,FALSE))</f>
        <v>0</v>
      </c>
      <c r="AJ2291" s="16">
        <f t="shared" si="433"/>
        <v>5.96</v>
      </c>
      <c r="AK2291" s="19">
        <v>3.0233333330000001</v>
      </c>
      <c r="AL2291" s="16">
        <f t="shared" si="431"/>
        <v>1.0028052275531127E-2</v>
      </c>
      <c r="AM2291" s="26">
        <v>0.59666666660000001</v>
      </c>
      <c r="AN2291" s="19">
        <v>10</v>
      </c>
      <c r="AO2291" s="19" t="s">
        <v>1758</v>
      </c>
      <c r="AP2291" s="19">
        <v>0</v>
      </c>
      <c r="AQ2291" s="19" t="s">
        <v>307</v>
      </c>
      <c r="AR2291" s="9" t="s">
        <v>317</v>
      </c>
      <c r="AS2291" s="12">
        <v>0</v>
      </c>
      <c r="AT2291" s="19">
        <v>39.267699999999998</v>
      </c>
      <c r="AU2291" s="19">
        <v>-123.24120000000001</v>
      </c>
      <c r="AV2291" s="19" t="s">
        <v>713</v>
      </c>
    </row>
    <row r="2292" spans="1:48" x14ac:dyDescent="0.25">
      <c r="A2292" s="18" t="s">
        <v>2752</v>
      </c>
      <c r="B2292" s="10">
        <v>10000000</v>
      </c>
      <c r="C2292" s="9">
        <v>18</v>
      </c>
      <c r="D2292" s="8" t="str">
        <f t="shared" si="422"/>
        <v>N</v>
      </c>
      <c r="E2292" s="8" t="str">
        <f t="shared" si="423"/>
        <v>N</v>
      </c>
      <c r="F2292" s="8" t="str">
        <f t="shared" si="424"/>
        <v>N</v>
      </c>
      <c r="G2292" s="8" t="str">
        <f t="shared" si="425"/>
        <v>N</v>
      </c>
      <c r="H2292" s="8" t="str">
        <f t="shared" si="426"/>
        <v>Lower</v>
      </c>
      <c r="I2292" s="8" t="str">
        <f t="shared" si="427"/>
        <v>Outside</v>
      </c>
      <c r="J2292" s="8" t="str">
        <f t="shared" si="428"/>
        <v>Outside</v>
      </c>
      <c r="K2292" s="8" t="str">
        <f t="shared" si="429"/>
        <v>Riparian</v>
      </c>
      <c r="L2292" s="8">
        <f t="shared" si="430"/>
        <v>1000</v>
      </c>
      <c r="M2292" s="8" t="str">
        <f t="shared" si="432"/>
        <v>-</v>
      </c>
      <c r="N2292" s="10" t="s">
        <v>242</v>
      </c>
      <c r="O2292" s="10" t="s">
        <v>242</v>
      </c>
      <c r="P2292" s="10" t="s">
        <v>242</v>
      </c>
      <c r="Q2292" s="10" t="s">
        <v>242</v>
      </c>
      <c r="R2292" s="10" t="s">
        <v>242</v>
      </c>
      <c r="S2292" s="10" t="s">
        <v>241</v>
      </c>
      <c r="T2292" s="10" t="s">
        <v>242</v>
      </c>
      <c r="U2292" s="10" t="s">
        <v>242</v>
      </c>
      <c r="V2292" s="10" t="s">
        <v>242</v>
      </c>
      <c r="W2292" s="10" t="s">
        <v>242</v>
      </c>
      <c r="X2292" s="15">
        <f>IF(ISERROR(VLOOKUP($A2292,'13. Updated Demand'!A:Z,15,FALSE)),0,VLOOKUP($A2292,'13. Updated Demand'!A:Z,15,FALSE))</f>
        <v>2.6595417E-2</v>
      </c>
      <c r="Y2292" s="16">
        <f>IF(ISERROR(VLOOKUP($A2292,'13. Updated Demand'!A:Z,16,FALSE)),0,VLOOKUP($A2292,'13. Updated Demand'!A:Z,16,FALSE))</f>
        <v>2.6595417E-2</v>
      </c>
      <c r="Z2292" s="16">
        <f>IF(ISERROR(VLOOKUP($A2292,'13. Updated Demand'!A:Z,17,FALSE)),0,VLOOKUP($A2292,'13. Updated Demand'!A:Z,17,FALSE))</f>
        <v>2.6595417E-2</v>
      </c>
      <c r="AA2292" s="16">
        <f>IF(ISERROR(VLOOKUP($A2292,'13. Updated Demand'!A:Z,18,FALSE)),0,VLOOKUP($A2292,'13. Updated Demand'!A:Z,18,FALSE))</f>
        <v>2.6288417000000001E-2</v>
      </c>
      <c r="AB2292" s="16">
        <f>IF(ISERROR(VLOOKUP($A2292,'13. Updated Demand'!A:Z,19,FALSE)),0,VLOOKUP($A2292,'13. Updated Demand'!A:Z,19,FALSE))</f>
        <v>2.9766417E-2</v>
      </c>
      <c r="AC2292" s="16">
        <f>IF(ISERROR(VLOOKUP($A2292,'13. Updated Demand'!A:Z,20,FALSE)),0,VLOOKUP($A2292,'13. Updated Demand'!A:Z,20,FALSE))</f>
        <v>2.9357417E-2</v>
      </c>
      <c r="AD2292" s="16">
        <f>IF(ISERROR(VLOOKUP($A2292,'13. Updated Demand'!A:Z,21,FALSE)),0,VLOOKUP($A2292,'13. Updated Demand'!A:Z,21,FALSE))</f>
        <v>2.9766417E-2</v>
      </c>
      <c r="AE2292" s="16">
        <f>IF(ISERROR(VLOOKUP($A2292,'13. Updated Demand'!A:Z,22,FALSE)),0,VLOOKUP($A2292,'13. Updated Demand'!A:Z,22,FALSE))</f>
        <v>2.9766417E-2</v>
      </c>
      <c r="AF2292" s="16">
        <f>IF(ISERROR(VLOOKUP($A2292,'13. Updated Demand'!A:Z,23,FALSE)),0,VLOOKUP($A2292,'13. Updated Demand'!A:Z,23,FALSE))</f>
        <v>2.9357417E-2</v>
      </c>
      <c r="AG2292" s="16">
        <f>IF(ISERROR(VLOOKUP($A2292,'13. Updated Demand'!A:Z,24,FALSE)),0,VLOOKUP($A2292,'13. Updated Demand'!A:Z,24,FALSE))</f>
        <v>2.6595417E-2</v>
      </c>
      <c r="AH2292" s="16">
        <f>IF(ISERROR(VLOOKUP($A2292,'13. Updated Demand'!A:Z,25,FALSE)),0,VLOOKUP($A2292,'13. Updated Demand'!A:Z,25,FALSE))</f>
        <v>2.6288417000000001E-2</v>
      </c>
      <c r="AI2292" s="16">
        <f>IF(ISERROR(VLOOKUP($A2292,'13. Updated Demand'!A:Z,26,FALSE)),0,VLOOKUP($A2292,'13. Updated Demand'!A:Z,26,FALSE))</f>
        <v>2.6595417E-2</v>
      </c>
      <c r="AJ2292" s="16">
        <f t="shared" si="433"/>
        <v>0.33356800400000003</v>
      </c>
      <c r="AK2292" s="19">
        <v>0.14801408500000002</v>
      </c>
      <c r="AL2292" s="16">
        <f t="shared" si="431"/>
        <v>4.909458595563031E-4</v>
      </c>
      <c r="AM2292" s="26">
        <v>0.99781036195034412</v>
      </c>
      <c r="AN2292" s="19">
        <v>0.33429999999999999</v>
      </c>
      <c r="AO2292" s="19" t="s">
        <v>1758</v>
      </c>
      <c r="AP2292" s="19">
        <v>0</v>
      </c>
      <c r="AQ2292" s="19" t="s">
        <v>307</v>
      </c>
      <c r="AR2292" s="9" t="s">
        <v>352</v>
      </c>
      <c r="AS2292" s="12">
        <v>3.4039024194010059E-4</v>
      </c>
      <c r="AT2292" s="19">
        <v>38.396900000000002</v>
      </c>
      <c r="AU2292" s="19">
        <v>-122.89870000000001</v>
      </c>
      <c r="AV2292" s="19" t="s">
        <v>1834</v>
      </c>
    </row>
    <row r="2293" spans="1:48" x14ac:dyDescent="0.25">
      <c r="A2293" s="18" t="s">
        <v>65</v>
      </c>
      <c r="B2293" s="10">
        <v>10000000</v>
      </c>
      <c r="C2293" s="9">
        <v>9</v>
      </c>
      <c r="D2293" s="8" t="str">
        <f t="shared" si="422"/>
        <v>N</v>
      </c>
      <c r="E2293" s="8" t="str">
        <f t="shared" si="423"/>
        <v>Y</v>
      </c>
      <c r="F2293" s="8" t="str">
        <f t="shared" si="424"/>
        <v>Y</v>
      </c>
      <c r="G2293" s="8" t="str">
        <f t="shared" si="425"/>
        <v>Y</v>
      </c>
      <c r="H2293" s="8" t="str">
        <f t="shared" si="426"/>
        <v>Upper</v>
      </c>
      <c r="I2293" s="8" t="str">
        <f t="shared" si="427"/>
        <v>West Fork and Below Lake</v>
      </c>
      <c r="J2293" s="8" t="str">
        <f t="shared" si="428"/>
        <v>Sonoma (d/s of Clov. Gage)</v>
      </c>
      <c r="K2293" s="8" t="str">
        <f t="shared" si="429"/>
        <v>Riparian</v>
      </c>
      <c r="L2293" s="8">
        <f t="shared" si="430"/>
        <v>1000</v>
      </c>
      <c r="M2293" s="8" t="str">
        <f t="shared" si="432"/>
        <v>-</v>
      </c>
      <c r="N2293" s="10" t="s">
        <v>241</v>
      </c>
      <c r="O2293" s="10" t="s">
        <v>241</v>
      </c>
      <c r="P2293" s="10" t="s">
        <v>242</v>
      </c>
      <c r="Q2293" s="10" t="s">
        <v>242</v>
      </c>
      <c r="R2293" s="10" t="s">
        <v>242</v>
      </c>
      <c r="S2293" s="10" t="s">
        <v>241</v>
      </c>
      <c r="T2293" s="10" t="s">
        <v>242</v>
      </c>
      <c r="U2293" s="10" t="s">
        <v>242</v>
      </c>
      <c r="V2293" s="10" t="s">
        <v>242</v>
      </c>
      <c r="W2293" s="10" t="s">
        <v>242</v>
      </c>
      <c r="X2293" s="15">
        <f>IF(ISERROR(VLOOKUP($A2293,'13. Updated Demand'!A:Z,15,FALSE)),0,VLOOKUP($A2293,'13. Updated Demand'!A:Z,15,FALSE))</f>
        <v>0</v>
      </c>
      <c r="Y2293" s="16">
        <f>IF(ISERROR(VLOOKUP($A2293,'13. Updated Demand'!A:Z,16,FALSE)),0,VLOOKUP($A2293,'13. Updated Demand'!A:Z,16,FALSE))</f>
        <v>0</v>
      </c>
      <c r="Z2293" s="16">
        <f>IF(ISERROR(VLOOKUP($A2293,'13. Updated Demand'!A:Z,17,FALSE)),0,VLOOKUP($A2293,'13. Updated Demand'!A:Z,17,FALSE))</f>
        <v>0</v>
      </c>
      <c r="AA2293" s="16">
        <f>IF(ISERROR(VLOOKUP($A2293,'13. Updated Demand'!A:Z,18,FALSE)),0,VLOOKUP($A2293,'13. Updated Demand'!A:Z,18,FALSE))</f>
        <v>0</v>
      </c>
      <c r="AB2293" s="16">
        <f>IF(ISERROR(VLOOKUP($A2293,'13. Updated Demand'!A:Z,19,FALSE)),0,VLOOKUP($A2293,'13. Updated Demand'!A:Z,19,FALSE))</f>
        <v>0</v>
      </c>
      <c r="AC2293" s="16">
        <f>IF(ISERROR(VLOOKUP($A2293,'13. Updated Demand'!A:Z,20,FALSE)),0,VLOOKUP($A2293,'13. Updated Demand'!A:Z,20,FALSE))</f>
        <v>0</v>
      </c>
      <c r="AD2293" s="16">
        <f>IF(ISERROR(VLOOKUP($A2293,'13. Updated Demand'!A:Z,21,FALSE)),0,VLOOKUP($A2293,'13. Updated Demand'!A:Z,21,FALSE))</f>
        <v>13.96</v>
      </c>
      <c r="AE2293" s="16">
        <f>IF(ISERROR(VLOOKUP($A2293,'13. Updated Demand'!A:Z,22,FALSE)),0,VLOOKUP($A2293,'13. Updated Demand'!A:Z,22,FALSE))</f>
        <v>37.229999999999997</v>
      </c>
      <c r="AF2293" s="16">
        <f>IF(ISERROR(VLOOKUP($A2293,'13. Updated Demand'!A:Z,23,FALSE)),0,VLOOKUP($A2293,'13. Updated Demand'!A:Z,23,FALSE))</f>
        <v>37</v>
      </c>
      <c r="AG2293" s="16">
        <f>IF(ISERROR(VLOOKUP($A2293,'13. Updated Demand'!A:Z,24,FALSE)),0,VLOOKUP($A2293,'13. Updated Demand'!A:Z,24,FALSE))</f>
        <v>13.43</v>
      </c>
      <c r="AH2293" s="16">
        <f>IF(ISERROR(VLOOKUP($A2293,'13. Updated Demand'!A:Z,25,FALSE)),0,VLOOKUP($A2293,'13. Updated Demand'!A:Z,25,FALSE))</f>
        <v>0</v>
      </c>
      <c r="AI2293" s="16">
        <f>IF(ISERROR(VLOOKUP($A2293,'13. Updated Demand'!A:Z,26,FALSE)),0,VLOOKUP($A2293,'13. Updated Demand'!A:Z,26,FALSE))</f>
        <v>0</v>
      </c>
      <c r="AJ2293" s="16">
        <f t="shared" si="433"/>
        <v>101.62</v>
      </c>
      <c r="AK2293" s="19">
        <v>88.2</v>
      </c>
      <c r="AL2293" s="16">
        <f t="shared" si="431"/>
        <v>0.29254935307586388</v>
      </c>
      <c r="AM2293" s="26">
        <v>2.1042097998619731</v>
      </c>
      <c r="AN2293" s="19">
        <v>48.3</v>
      </c>
      <c r="AO2293" s="19" t="s">
        <v>1758</v>
      </c>
      <c r="AP2293" s="19">
        <v>0</v>
      </c>
      <c r="AQ2293" s="19" t="s">
        <v>307</v>
      </c>
      <c r="AR2293" s="9" t="s">
        <v>354</v>
      </c>
      <c r="AS2293" s="12">
        <v>0</v>
      </c>
      <c r="AT2293" s="19">
        <v>38.770000000000003</v>
      </c>
      <c r="AU2293" s="19">
        <v>-122.9846</v>
      </c>
      <c r="AV2293" s="19" t="s">
        <v>2273</v>
      </c>
    </row>
    <row r="2294" spans="1:48" x14ac:dyDescent="0.25">
      <c r="A2294" s="18" t="s">
        <v>2753</v>
      </c>
      <c r="B2294" s="10">
        <v>10000000</v>
      </c>
      <c r="C2294" s="9">
        <v>23</v>
      </c>
      <c r="D2294" s="8" t="str">
        <f t="shared" si="422"/>
        <v>N</v>
      </c>
      <c r="E2294" s="8" t="str">
        <f t="shared" si="423"/>
        <v>N</v>
      </c>
      <c r="F2294" s="8" t="str">
        <f t="shared" si="424"/>
        <v>N</v>
      </c>
      <c r="G2294" s="8" t="str">
        <f t="shared" si="425"/>
        <v>N</v>
      </c>
      <c r="H2294" s="8" t="str">
        <f t="shared" si="426"/>
        <v>Lower</v>
      </c>
      <c r="I2294" s="8" t="str">
        <f t="shared" si="427"/>
        <v>Outside</v>
      </c>
      <c r="J2294" s="8" t="str">
        <f t="shared" si="428"/>
        <v>Outside</v>
      </c>
      <c r="K2294" s="8" t="str">
        <f t="shared" si="429"/>
        <v>Riparian</v>
      </c>
      <c r="L2294" s="8">
        <f t="shared" si="430"/>
        <v>1000</v>
      </c>
      <c r="M2294" s="8" t="str">
        <f t="shared" si="432"/>
        <v>-</v>
      </c>
      <c r="N2294" s="10" t="s">
        <v>242</v>
      </c>
      <c r="O2294" s="10" t="s">
        <v>242</v>
      </c>
      <c r="P2294" s="10" t="s">
        <v>242</v>
      </c>
      <c r="Q2294" s="10" t="s">
        <v>242</v>
      </c>
      <c r="R2294" s="10" t="s">
        <v>242</v>
      </c>
      <c r="S2294" s="10" t="s">
        <v>241</v>
      </c>
      <c r="T2294" s="10" t="s">
        <v>242</v>
      </c>
      <c r="U2294" s="10" t="s">
        <v>242</v>
      </c>
      <c r="V2294" s="10" t="s">
        <v>242</v>
      </c>
      <c r="W2294" s="10" t="s">
        <v>242</v>
      </c>
      <c r="X2294" s="15">
        <f>IF(ISERROR(VLOOKUP($A2294,'13. Updated Demand'!A:Z,15,FALSE)),0,VLOOKUP($A2294,'13. Updated Demand'!A:Z,15,FALSE))</f>
        <v>4.6050000000000003E-4</v>
      </c>
      <c r="Y2294" s="16">
        <f>IF(ISERROR(VLOOKUP($A2294,'13. Updated Demand'!A:Z,16,FALSE)),0,VLOOKUP($A2294,'13. Updated Demand'!A:Z,16,FALSE))</f>
        <v>6.1399999999999996E-4</v>
      </c>
      <c r="Z2294" s="16">
        <f>IF(ISERROR(VLOOKUP($A2294,'13. Updated Demand'!A:Z,17,FALSE)),0,VLOOKUP($A2294,'13. Updated Demand'!A:Z,17,FALSE))</f>
        <v>6.1399999999999996E-4</v>
      </c>
      <c r="AA2294" s="16">
        <f>IF(ISERROR(VLOOKUP($A2294,'13. Updated Demand'!A:Z,18,FALSE)),0,VLOOKUP($A2294,'13. Updated Demand'!A:Z,18,FALSE))</f>
        <v>6.1399999999999996E-4</v>
      </c>
      <c r="AB2294" s="16">
        <f>IF(ISERROR(VLOOKUP($A2294,'13. Updated Demand'!A:Z,19,FALSE)),0,VLOOKUP($A2294,'13. Updated Demand'!A:Z,19,FALSE))</f>
        <v>7.6749999999999995E-4</v>
      </c>
      <c r="AC2294" s="16">
        <f>IF(ISERROR(VLOOKUP($A2294,'13. Updated Demand'!A:Z,20,FALSE)),0,VLOOKUP($A2294,'13. Updated Demand'!A:Z,20,FALSE))</f>
        <v>9.2100000000000005E-4</v>
      </c>
      <c r="AD2294" s="16">
        <f>IF(ISERROR(VLOOKUP($A2294,'13. Updated Demand'!A:Z,21,FALSE)),0,VLOOKUP($A2294,'13. Updated Demand'!A:Z,21,FALSE))</f>
        <v>3.0690000000000001E-3</v>
      </c>
      <c r="AE2294" s="16">
        <f>IF(ISERROR(VLOOKUP($A2294,'13. Updated Demand'!A:Z,22,FALSE)),0,VLOOKUP($A2294,'13. Updated Demand'!A:Z,22,FALSE))</f>
        <v>1.688E-3</v>
      </c>
      <c r="AF2294" s="16">
        <f>IF(ISERROR(VLOOKUP($A2294,'13. Updated Demand'!A:Z,23,FALSE)),0,VLOOKUP($A2294,'13. Updated Demand'!A:Z,23,FALSE))</f>
        <v>0</v>
      </c>
      <c r="AG2294" s="16">
        <f>IF(ISERROR(VLOOKUP($A2294,'13. Updated Demand'!A:Z,24,FALSE)),0,VLOOKUP($A2294,'13. Updated Demand'!A:Z,24,FALSE))</f>
        <v>0</v>
      </c>
      <c r="AH2294" s="16">
        <f>IF(ISERROR(VLOOKUP($A2294,'13. Updated Demand'!A:Z,25,FALSE)),0,VLOOKUP($A2294,'13. Updated Demand'!A:Z,25,FALSE))</f>
        <v>0</v>
      </c>
      <c r="AI2294" s="16">
        <f>IF(ISERROR(VLOOKUP($A2294,'13. Updated Demand'!A:Z,26,FALSE)),0,VLOOKUP($A2294,'13. Updated Demand'!A:Z,26,FALSE))</f>
        <v>0</v>
      </c>
      <c r="AJ2294" s="16">
        <f t="shared" si="433"/>
        <v>8.7480000000000006E-3</v>
      </c>
      <c r="AK2294" s="19">
        <v>6.4454999999999998E-3</v>
      </c>
      <c r="AL2294" s="16">
        <f t="shared" si="431"/>
        <v>2.1378989288554204E-5</v>
      </c>
      <c r="AM2294" s="26">
        <v>0.76069565217391311</v>
      </c>
      <c r="AN2294" s="19">
        <v>1.15E-2</v>
      </c>
      <c r="AO2294" s="19" t="s">
        <v>1758</v>
      </c>
      <c r="AP2294" s="19">
        <v>0</v>
      </c>
      <c r="AQ2294" s="19" t="s">
        <v>307</v>
      </c>
      <c r="AR2294" s="9" t="s">
        <v>323</v>
      </c>
      <c r="AS2294" s="12">
        <v>3.4039024194010059E-4</v>
      </c>
      <c r="AT2294" s="19">
        <v>38.540399999999998</v>
      </c>
      <c r="AU2294" s="19">
        <v>-122.63760000000001</v>
      </c>
      <c r="AV2294" s="19" t="s">
        <v>2754</v>
      </c>
    </row>
    <row r="2295" spans="1:48" x14ac:dyDescent="0.25">
      <c r="A2295" s="18" t="s">
        <v>2755</v>
      </c>
      <c r="B2295" s="10">
        <v>10000000</v>
      </c>
      <c r="C2295" s="9">
        <v>23</v>
      </c>
      <c r="D2295" s="8" t="str">
        <f t="shared" si="422"/>
        <v>N</v>
      </c>
      <c r="E2295" s="8" t="str">
        <f t="shared" si="423"/>
        <v>N</v>
      </c>
      <c r="F2295" s="8" t="str">
        <f t="shared" si="424"/>
        <v>N</v>
      </c>
      <c r="G2295" s="8" t="str">
        <f t="shared" si="425"/>
        <v>N</v>
      </c>
      <c r="H2295" s="8" t="str">
        <f t="shared" si="426"/>
        <v>Lower</v>
      </c>
      <c r="I2295" s="8" t="str">
        <f t="shared" si="427"/>
        <v>Outside</v>
      </c>
      <c r="J2295" s="8" t="str">
        <f t="shared" si="428"/>
        <v>Outside</v>
      </c>
      <c r="K2295" s="8" t="str">
        <f t="shared" si="429"/>
        <v>Riparian</v>
      </c>
      <c r="L2295" s="8">
        <f t="shared" si="430"/>
        <v>1000</v>
      </c>
      <c r="M2295" s="8" t="str">
        <f t="shared" si="432"/>
        <v>-</v>
      </c>
      <c r="N2295" s="10" t="s">
        <v>242</v>
      </c>
      <c r="O2295" s="10" t="s">
        <v>242</v>
      </c>
      <c r="P2295" s="10" t="s">
        <v>242</v>
      </c>
      <c r="Q2295" s="10" t="s">
        <v>242</v>
      </c>
      <c r="R2295" s="10" t="s">
        <v>242</v>
      </c>
      <c r="S2295" s="10" t="s">
        <v>241</v>
      </c>
      <c r="T2295" s="10" t="s">
        <v>242</v>
      </c>
      <c r="U2295" s="10" t="s">
        <v>242</v>
      </c>
      <c r="V2295" s="10" t="s">
        <v>241</v>
      </c>
      <c r="W2295" s="10" t="s">
        <v>242</v>
      </c>
      <c r="X2295" s="15">
        <f>IF(ISERROR(VLOOKUP($A2295,'13. Updated Demand'!A:Z,15,FALSE)),0,VLOOKUP($A2295,'13. Updated Demand'!A:Z,15,FALSE))</f>
        <v>3.0689322000000002E-2</v>
      </c>
      <c r="Y2295" s="16">
        <f>IF(ISERROR(VLOOKUP($A2295,'13. Updated Demand'!A:Z,16,FALSE)),0,VLOOKUP($A2295,'13. Updated Demand'!A:Z,16,FALSE))</f>
        <v>3.9895885999999998E-2</v>
      </c>
      <c r="Z2295" s="16">
        <f>IF(ISERROR(VLOOKUP($A2295,'13. Updated Demand'!A:Z,17,FALSE)),0,VLOOKUP($A2295,'13. Updated Demand'!A:Z,17,FALSE))</f>
        <v>3.6826587000000001E-2</v>
      </c>
      <c r="AA2295" s="16">
        <f>IF(ISERROR(VLOOKUP($A2295,'13. Updated Demand'!A:Z,18,FALSE)),0,VLOOKUP($A2295,'13. Updated Demand'!A:Z,18,FALSE))</f>
        <v>0</v>
      </c>
      <c r="AB2295" s="16">
        <f>IF(ISERROR(VLOOKUP($A2295,'13. Updated Demand'!A:Z,19,FALSE)),0,VLOOKUP($A2295,'13. Updated Demand'!A:Z,19,FALSE))</f>
        <v>0</v>
      </c>
      <c r="AC2295" s="16">
        <f>IF(ISERROR(VLOOKUP($A2295,'13. Updated Demand'!A:Z,20,FALSE)),0,VLOOKUP($A2295,'13. Updated Demand'!A:Z,20,FALSE))</f>
        <v>0</v>
      </c>
      <c r="AD2295" s="16">
        <f>IF(ISERROR(VLOOKUP($A2295,'13. Updated Demand'!A:Z,21,FALSE)),0,VLOOKUP($A2295,'13. Updated Demand'!A:Z,21,FALSE))</f>
        <v>0</v>
      </c>
      <c r="AE2295" s="16">
        <f>IF(ISERROR(VLOOKUP($A2295,'13. Updated Demand'!A:Z,22,FALSE)),0,VLOOKUP($A2295,'13. Updated Demand'!A:Z,22,FALSE))</f>
        <v>0</v>
      </c>
      <c r="AF2295" s="16">
        <f>IF(ISERROR(VLOOKUP($A2295,'13. Updated Demand'!A:Z,23,FALSE)),0,VLOOKUP($A2295,'13. Updated Demand'!A:Z,23,FALSE))</f>
        <v>0</v>
      </c>
      <c r="AG2295" s="16">
        <f>IF(ISERROR(VLOOKUP($A2295,'13. Updated Demand'!A:Z,24,FALSE)),0,VLOOKUP($A2295,'13. Updated Demand'!A:Z,24,FALSE))</f>
        <v>0</v>
      </c>
      <c r="AH2295" s="16">
        <f>IF(ISERROR(VLOOKUP($A2295,'13. Updated Demand'!A:Z,25,FALSE)),0,VLOOKUP($A2295,'13. Updated Demand'!A:Z,25,FALSE))</f>
        <v>0</v>
      </c>
      <c r="AI2295" s="16">
        <f>IF(ISERROR(VLOOKUP($A2295,'13. Updated Demand'!A:Z,26,FALSE)),0,VLOOKUP($A2295,'13. Updated Demand'!A:Z,26,FALSE))</f>
        <v>0</v>
      </c>
      <c r="AJ2295" s="16">
        <f t="shared" si="433"/>
        <v>0.107411795</v>
      </c>
      <c r="AK2295" s="19">
        <v>0</v>
      </c>
      <c r="AL2295" s="16">
        <f t="shared" si="431"/>
        <v>0</v>
      </c>
      <c r="AM2295" s="26">
        <v>0.27683452371886574</v>
      </c>
      <c r="AN2295" s="19">
        <v>0.38800000000000001</v>
      </c>
      <c r="AO2295" s="19" t="s">
        <v>1758</v>
      </c>
      <c r="AP2295" s="19">
        <v>0</v>
      </c>
      <c r="AQ2295" s="19" t="s">
        <v>307</v>
      </c>
      <c r="AR2295" s="9" t="s">
        <v>323</v>
      </c>
      <c r="AS2295" s="12">
        <v>3.4039024194010059E-4</v>
      </c>
      <c r="AT2295" s="19">
        <v>38.547800000000002</v>
      </c>
      <c r="AU2295" s="19">
        <v>-122.6559</v>
      </c>
      <c r="AV2295" s="19" t="s">
        <v>1788</v>
      </c>
    </row>
    <row r="2296" spans="1:48" x14ac:dyDescent="0.25">
      <c r="A2296" s="18" t="s">
        <v>2756</v>
      </c>
      <c r="B2296" s="10">
        <v>10000000</v>
      </c>
      <c r="C2296" s="9">
        <v>23</v>
      </c>
      <c r="D2296" s="8" t="str">
        <f t="shared" si="422"/>
        <v>N</v>
      </c>
      <c r="E2296" s="8" t="str">
        <f t="shared" si="423"/>
        <v>N</v>
      </c>
      <c r="F2296" s="8" t="str">
        <f t="shared" si="424"/>
        <v>N</v>
      </c>
      <c r="G2296" s="8" t="str">
        <f t="shared" si="425"/>
        <v>N</v>
      </c>
      <c r="H2296" s="8" t="str">
        <f t="shared" si="426"/>
        <v>Lower</v>
      </c>
      <c r="I2296" s="8" t="str">
        <f t="shared" si="427"/>
        <v>Outside</v>
      </c>
      <c r="J2296" s="8" t="str">
        <f t="shared" si="428"/>
        <v>Outside</v>
      </c>
      <c r="K2296" s="8" t="str">
        <f t="shared" si="429"/>
        <v>Riparian</v>
      </c>
      <c r="L2296" s="8">
        <f t="shared" si="430"/>
        <v>1000</v>
      </c>
      <c r="M2296" s="8" t="str">
        <f t="shared" si="432"/>
        <v>-</v>
      </c>
      <c r="N2296" s="10" t="s">
        <v>242</v>
      </c>
      <c r="O2296" s="10" t="s">
        <v>242</v>
      </c>
      <c r="P2296" s="10" t="s">
        <v>242</v>
      </c>
      <c r="Q2296" s="10" t="s">
        <v>242</v>
      </c>
      <c r="R2296" s="10" t="s">
        <v>242</v>
      </c>
      <c r="S2296" s="10" t="s">
        <v>241</v>
      </c>
      <c r="T2296" s="10" t="s">
        <v>242</v>
      </c>
      <c r="U2296" s="10" t="s">
        <v>242</v>
      </c>
      <c r="V2296" s="10" t="s">
        <v>242</v>
      </c>
      <c r="W2296" s="10" t="s">
        <v>242</v>
      </c>
      <c r="X2296" s="15">
        <f>IF(ISERROR(VLOOKUP($A2296,'13. Updated Demand'!A:Z,15,FALSE)),0,VLOOKUP($A2296,'13. Updated Demand'!A:Z,15,FALSE))</f>
        <v>0</v>
      </c>
      <c r="Y2296" s="16">
        <f>IF(ISERROR(VLOOKUP($A2296,'13. Updated Demand'!A:Z,16,FALSE)),0,VLOOKUP($A2296,'13. Updated Demand'!A:Z,16,FALSE))</f>
        <v>0</v>
      </c>
      <c r="Z2296" s="16">
        <f>IF(ISERROR(VLOOKUP($A2296,'13. Updated Demand'!A:Z,17,FALSE)),0,VLOOKUP($A2296,'13. Updated Demand'!A:Z,17,FALSE))</f>
        <v>0</v>
      </c>
      <c r="AA2296" s="16">
        <f>IF(ISERROR(VLOOKUP($A2296,'13. Updated Demand'!A:Z,18,FALSE)),0,VLOOKUP($A2296,'13. Updated Demand'!A:Z,18,FALSE))</f>
        <v>0</v>
      </c>
      <c r="AB2296" s="16">
        <f>IF(ISERROR(VLOOKUP($A2296,'13. Updated Demand'!A:Z,19,FALSE)),0,VLOOKUP($A2296,'13. Updated Demand'!A:Z,19,FALSE))</f>
        <v>3.5803700000000001E-4</v>
      </c>
      <c r="AC2296" s="16">
        <f>IF(ISERROR(VLOOKUP($A2296,'13. Updated Demand'!A:Z,20,FALSE)),0,VLOOKUP($A2296,'13. Updated Demand'!A:Z,20,FALSE))</f>
        <v>0</v>
      </c>
      <c r="AD2296" s="16">
        <f>IF(ISERROR(VLOOKUP($A2296,'13. Updated Demand'!A:Z,21,FALSE)),0,VLOOKUP($A2296,'13. Updated Demand'!A:Z,21,FALSE))</f>
        <v>7.1607400000000003E-4</v>
      </c>
      <c r="AE2296" s="16">
        <f>IF(ISERROR(VLOOKUP($A2296,'13. Updated Demand'!A:Z,22,FALSE)),0,VLOOKUP($A2296,'13. Updated Demand'!A:Z,22,FALSE))</f>
        <v>7.1607400000000003E-4</v>
      </c>
      <c r="AF2296" s="16">
        <f>IF(ISERROR(VLOOKUP($A2296,'13. Updated Demand'!A:Z,23,FALSE)),0,VLOOKUP($A2296,'13. Updated Demand'!A:Z,23,FALSE))</f>
        <v>7.1607400000000003E-4</v>
      </c>
      <c r="AG2296" s="16">
        <f>IF(ISERROR(VLOOKUP($A2296,'13. Updated Demand'!A:Z,24,FALSE)),0,VLOOKUP($A2296,'13. Updated Demand'!A:Z,24,FALSE))</f>
        <v>3.5803700000000001E-4</v>
      </c>
      <c r="AH2296" s="16">
        <f>IF(ISERROR(VLOOKUP($A2296,'13. Updated Demand'!A:Z,25,FALSE)),0,VLOOKUP($A2296,'13. Updated Demand'!A:Z,25,FALSE))</f>
        <v>0</v>
      </c>
      <c r="AI2296" s="16">
        <f>IF(ISERROR(VLOOKUP($A2296,'13. Updated Demand'!A:Z,26,FALSE)),0,VLOOKUP($A2296,'13. Updated Demand'!A:Z,26,FALSE))</f>
        <v>0</v>
      </c>
      <c r="AJ2296" s="16">
        <f t="shared" si="433"/>
        <v>2.8642960000000001E-3</v>
      </c>
      <c r="AK2296" s="19">
        <v>2.5062579727134992E-3</v>
      </c>
      <c r="AL2296" s="16">
        <f t="shared" si="431"/>
        <v>8.312972205879369E-6</v>
      </c>
      <c r="AM2296" s="26">
        <v>7.9563745165507919E-4</v>
      </c>
      <c r="AN2296" s="19">
        <v>3.6</v>
      </c>
      <c r="AO2296" s="19" t="s">
        <v>1758</v>
      </c>
      <c r="AP2296" s="19">
        <v>0</v>
      </c>
      <c r="AQ2296" s="19" t="s">
        <v>307</v>
      </c>
      <c r="AR2296" s="9" t="s">
        <v>323</v>
      </c>
      <c r="AS2296" s="12">
        <v>0</v>
      </c>
      <c r="AT2296" s="19">
        <v>38.516399999999997</v>
      </c>
      <c r="AU2296" s="19">
        <v>-122.60380000000001</v>
      </c>
      <c r="AV2296" s="19" t="s">
        <v>1882</v>
      </c>
    </row>
    <row r="2297" spans="1:48" x14ac:dyDescent="0.25">
      <c r="A2297" s="18" t="s">
        <v>2757</v>
      </c>
      <c r="B2297" s="10">
        <v>10000000</v>
      </c>
      <c r="C2297" s="9">
        <v>18</v>
      </c>
      <c r="D2297" s="8" t="str">
        <f t="shared" si="422"/>
        <v>N</v>
      </c>
      <c r="E2297" s="8" t="str">
        <f t="shared" si="423"/>
        <v>N</v>
      </c>
      <c r="F2297" s="8" t="str">
        <f t="shared" si="424"/>
        <v>N</v>
      </c>
      <c r="G2297" s="8" t="str">
        <f t="shared" si="425"/>
        <v>N</v>
      </c>
      <c r="H2297" s="8" t="str">
        <f t="shared" si="426"/>
        <v>Lower</v>
      </c>
      <c r="I2297" s="8" t="str">
        <f t="shared" si="427"/>
        <v>Outside</v>
      </c>
      <c r="J2297" s="8" t="str">
        <f t="shared" si="428"/>
        <v>Outside</v>
      </c>
      <c r="K2297" s="8" t="str">
        <f t="shared" si="429"/>
        <v>Riparian</v>
      </c>
      <c r="L2297" s="8">
        <f t="shared" si="430"/>
        <v>1000</v>
      </c>
      <c r="M2297" s="8" t="str">
        <f t="shared" si="432"/>
        <v>-</v>
      </c>
      <c r="N2297" s="10" t="s">
        <v>242</v>
      </c>
      <c r="O2297" s="10" t="s">
        <v>242</v>
      </c>
      <c r="P2297" s="10" t="s">
        <v>242</v>
      </c>
      <c r="Q2297" s="10" t="s">
        <v>242</v>
      </c>
      <c r="R2297" s="10" t="s">
        <v>242</v>
      </c>
      <c r="S2297" s="10" t="s">
        <v>241</v>
      </c>
      <c r="T2297" s="10" t="s">
        <v>241</v>
      </c>
      <c r="U2297" s="10" t="s">
        <v>241</v>
      </c>
      <c r="V2297" s="10" t="s">
        <v>241</v>
      </c>
      <c r="W2297" s="10" t="s">
        <v>242</v>
      </c>
      <c r="X2297" s="15">
        <f>IF(ISERROR(VLOOKUP($A2297,'13. Updated Demand'!A:Z,15,FALSE)),0,VLOOKUP($A2297,'13. Updated Demand'!A:Z,15,FALSE))</f>
        <v>0</v>
      </c>
      <c r="Y2297" s="16">
        <f>IF(ISERROR(VLOOKUP($A2297,'13. Updated Demand'!A:Z,16,FALSE)),0,VLOOKUP($A2297,'13. Updated Demand'!A:Z,16,FALSE))</f>
        <v>0</v>
      </c>
      <c r="Z2297" s="16">
        <f>IF(ISERROR(VLOOKUP($A2297,'13. Updated Demand'!A:Z,17,FALSE)),0,VLOOKUP($A2297,'13. Updated Demand'!A:Z,17,FALSE))</f>
        <v>0</v>
      </c>
      <c r="AA2297" s="16">
        <f>IF(ISERROR(VLOOKUP($A2297,'13. Updated Demand'!A:Z,18,FALSE)),0,VLOOKUP($A2297,'13. Updated Demand'!A:Z,18,FALSE))</f>
        <v>0</v>
      </c>
      <c r="AB2297" s="16">
        <f>IF(ISERROR(VLOOKUP($A2297,'13. Updated Demand'!A:Z,19,FALSE)),0,VLOOKUP($A2297,'13. Updated Demand'!A:Z,19,FALSE))</f>
        <v>0</v>
      </c>
      <c r="AC2297" s="16">
        <f>IF(ISERROR(VLOOKUP($A2297,'13. Updated Demand'!A:Z,20,FALSE)),0,VLOOKUP($A2297,'13. Updated Demand'!A:Z,20,FALSE))</f>
        <v>0</v>
      </c>
      <c r="AD2297" s="16">
        <f>IF(ISERROR(VLOOKUP($A2297,'13. Updated Demand'!A:Z,21,FALSE)),0,VLOOKUP($A2297,'13. Updated Demand'!A:Z,21,FALSE))</f>
        <v>0</v>
      </c>
      <c r="AE2297" s="16">
        <f>IF(ISERROR(VLOOKUP($A2297,'13. Updated Demand'!A:Z,22,FALSE)),0,VLOOKUP($A2297,'13. Updated Demand'!A:Z,22,FALSE))</f>
        <v>0</v>
      </c>
      <c r="AF2297" s="16">
        <f>IF(ISERROR(VLOOKUP($A2297,'13. Updated Demand'!A:Z,23,FALSE)),0,VLOOKUP($A2297,'13. Updated Demand'!A:Z,23,FALSE))</f>
        <v>0</v>
      </c>
      <c r="AG2297" s="16">
        <f>IF(ISERROR(VLOOKUP($A2297,'13. Updated Demand'!A:Z,24,FALSE)),0,VLOOKUP($A2297,'13. Updated Demand'!A:Z,24,FALSE))</f>
        <v>0</v>
      </c>
      <c r="AH2297" s="16">
        <f>IF(ISERROR(VLOOKUP($A2297,'13. Updated Demand'!A:Z,25,FALSE)),0,VLOOKUP($A2297,'13. Updated Demand'!A:Z,25,FALSE))</f>
        <v>0</v>
      </c>
      <c r="AI2297" s="16">
        <f>IF(ISERROR(VLOOKUP($A2297,'13. Updated Demand'!A:Z,26,FALSE)),0,VLOOKUP($A2297,'13. Updated Demand'!A:Z,26,FALSE))</f>
        <v>0</v>
      </c>
      <c r="AJ2297" s="16">
        <f t="shared" si="433"/>
        <v>0</v>
      </c>
      <c r="AK2297" s="19">
        <v>0</v>
      </c>
      <c r="AL2297" s="16">
        <f t="shared" si="431"/>
        <v>0</v>
      </c>
      <c r="AM2297" s="26">
        <v>0</v>
      </c>
      <c r="AN2297" s="19">
        <v>8.4000000000000005E-2</v>
      </c>
      <c r="AO2297" s="19" t="s">
        <v>1758</v>
      </c>
      <c r="AP2297" s="19">
        <v>0</v>
      </c>
      <c r="AQ2297" s="19" t="s">
        <v>307</v>
      </c>
      <c r="AR2297" s="9" t="s">
        <v>352</v>
      </c>
      <c r="AS2297" s="12">
        <v>3.4039024194010059E-4</v>
      </c>
      <c r="AT2297" s="19">
        <v>38.395000000000003</v>
      </c>
      <c r="AU2297" s="19">
        <v>-122.8918</v>
      </c>
      <c r="AV2297" s="19" t="s">
        <v>1834</v>
      </c>
    </row>
    <row r="2298" spans="1:48" x14ac:dyDescent="0.25">
      <c r="A2298" s="18" t="s">
        <v>2758</v>
      </c>
      <c r="B2298" s="10">
        <v>10000000</v>
      </c>
      <c r="C2298" s="9">
        <v>18</v>
      </c>
      <c r="D2298" s="8" t="str">
        <f t="shared" si="422"/>
        <v>N</v>
      </c>
      <c r="E2298" s="8" t="str">
        <f t="shared" si="423"/>
        <v>N</v>
      </c>
      <c r="F2298" s="8" t="str">
        <f t="shared" si="424"/>
        <v>N</v>
      </c>
      <c r="G2298" s="8" t="str">
        <f t="shared" si="425"/>
        <v>N</v>
      </c>
      <c r="H2298" s="8" t="str">
        <f t="shared" si="426"/>
        <v>Lower</v>
      </c>
      <c r="I2298" s="8" t="str">
        <f t="shared" si="427"/>
        <v>Outside</v>
      </c>
      <c r="J2298" s="8" t="str">
        <f t="shared" si="428"/>
        <v>Outside</v>
      </c>
      <c r="K2298" s="8" t="str">
        <f t="shared" si="429"/>
        <v>Riparian</v>
      </c>
      <c r="L2298" s="8">
        <f t="shared" si="430"/>
        <v>1000</v>
      </c>
      <c r="M2298" s="8" t="str">
        <f t="shared" si="432"/>
        <v>-</v>
      </c>
      <c r="N2298" s="10" t="s">
        <v>242</v>
      </c>
      <c r="O2298" s="10" t="s">
        <v>242</v>
      </c>
      <c r="P2298" s="10" t="s">
        <v>242</v>
      </c>
      <c r="Q2298" s="10" t="s">
        <v>242</v>
      </c>
      <c r="R2298" s="10" t="s">
        <v>242</v>
      </c>
      <c r="S2298" s="10" t="s">
        <v>241</v>
      </c>
      <c r="T2298" s="10" t="s">
        <v>242</v>
      </c>
      <c r="U2298" s="10" t="s">
        <v>242</v>
      </c>
      <c r="V2298" s="10" t="s">
        <v>242</v>
      </c>
      <c r="W2298" s="10" t="s">
        <v>242</v>
      </c>
      <c r="X2298" s="15">
        <f>IF(ISERROR(VLOOKUP($A2298,'13. Updated Demand'!A:Z,15,FALSE)),0,VLOOKUP($A2298,'13. Updated Demand'!A:Z,15,FALSE))</f>
        <v>5.6649999999999999E-3</v>
      </c>
      <c r="Y2298" s="16">
        <f>IF(ISERROR(VLOOKUP($A2298,'13. Updated Demand'!A:Z,16,FALSE)),0,VLOOKUP($A2298,'13. Updated Demand'!A:Z,16,FALSE))</f>
        <v>5.4749999999999998E-3</v>
      </c>
      <c r="Z2298" s="16">
        <f>IF(ISERROR(VLOOKUP($A2298,'13. Updated Demand'!A:Z,17,FALSE)),0,VLOOKUP($A2298,'13. Updated Demand'!A:Z,17,FALSE))</f>
        <v>7.5529999999999998E-3</v>
      </c>
      <c r="AA2298" s="16">
        <f>IF(ISERROR(VLOOKUP($A2298,'13. Updated Demand'!A:Z,18,FALSE)),0,VLOOKUP($A2298,'13. Updated Demand'!A:Z,18,FALSE))</f>
        <v>7.6880000000000004E-3</v>
      </c>
      <c r="AB2298" s="16">
        <f>IF(ISERROR(VLOOKUP($A2298,'13. Updated Demand'!A:Z,19,FALSE)),0,VLOOKUP($A2298,'13. Updated Demand'!A:Z,19,FALSE))</f>
        <v>8.8970000000000004E-3</v>
      </c>
      <c r="AC2298" s="16">
        <f>IF(ISERROR(VLOOKUP($A2298,'13. Updated Demand'!A:Z,20,FALSE)),0,VLOOKUP($A2298,'13. Updated Demand'!A:Z,20,FALSE))</f>
        <v>1.2616E-2</v>
      </c>
      <c r="AD2298" s="16">
        <f>IF(ISERROR(VLOOKUP($A2298,'13. Updated Demand'!A:Z,21,FALSE)),0,VLOOKUP($A2298,'13. Updated Demand'!A:Z,21,FALSE))</f>
        <v>1.319E-2</v>
      </c>
      <c r="AE2298" s="16">
        <f>IF(ISERROR(VLOOKUP($A2298,'13. Updated Demand'!A:Z,22,FALSE)),0,VLOOKUP($A2298,'13. Updated Demand'!A:Z,22,FALSE))</f>
        <v>1.3172E-2</v>
      </c>
      <c r="AF2298" s="16">
        <f>IF(ISERROR(VLOOKUP($A2298,'13. Updated Demand'!A:Z,23,FALSE)),0,VLOOKUP($A2298,'13. Updated Demand'!A:Z,23,FALSE))</f>
        <v>1.0879E-2</v>
      </c>
      <c r="AG2298" s="16">
        <f>IF(ISERROR(VLOOKUP($A2298,'13. Updated Demand'!A:Z,24,FALSE)),0,VLOOKUP($A2298,'13. Updated Demand'!A:Z,24,FALSE))</f>
        <v>9.6299999999999997E-3</v>
      </c>
      <c r="AH2298" s="16">
        <f>IF(ISERROR(VLOOKUP($A2298,'13. Updated Demand'!A:Z,25,FALSE)),0,VLOOKUP($A2298,'13. Updated Demand'!A:Z,25,FALSE))</f>
        <v>6.7980000000000002E-3</v>
      </c>
      <c r="AI2298" s="16">
        <f>IF(ISERROR(VLOOKUP($A2298,'13. Updated Demand'!A:Z,26,FALSE)),0,VLOOKUP($A2298,'13. Updated Demand'!A:Z,26,FALSE))</f>
        <v>5.6649999999999999E-3</v>
      </c>
      <c r="AJ2298" s="16">
        <f t="shared" si="433"/>
        <v>0.107228</v>
      </c>
      <c r="AK2298" s="19">
        <v>5.8754000000000001E-2</v>
      </c>
      <c r="AL2298" s="16">
        <f t="shared" si="431"/>
        <v>1.9488032529046834E-4</v>
      </c>
      <c r="AM2298" s="26">
        <v>1.0002611940298507</v>
      </c>
      <c r="AN2298" s="19">
        <v>0.1072</v>
      </c>
      <c r="AO2298" s="19" t="s">
        <v>1758</v>
      </c>
      <c r="AP2298" s="19">
        <v>0</v>
      </c>
      <c r="AQ2298" s="19" t="s">
        <v>307</v>
      </c>
      <c r="AR2298" s="9" t="s">
        <v>352</v>
      </c>
      <c r="AS2298" s="12">
        <v>3.4039024194010059E-4</v>
      </c>
      <c r="AT2298" s="19">
        <v>38.386000000000003</v>
      </c>
      <c r="AU2298" s="19">
        <v>-122.88939999999999</v>
      </c>
      <c r="AV2298" s="19" t="s">
        <v>1886</v>
      </c>
    </row>
    <row r="2299" spans="1:48" x14ac:dyDescent="0.25">
      <c r="A2299" s="18" t="s">
        <v>2759</v>
      </c>
      <c r="B2299" s="10">
        <v>10000000</v>
      </c>
      <c r="C2299" s="9">
        <v>18</v>
      </c>
      <c r="D2299" s="8" t="str">
        <f t="shared" si="422"/>
        <v>N</v>
      </c>
      <c r="E2299" s="8" t="str">
        <f t="shared" si="423"/>
        <v>N</v>
      </c>
      <c r="F2299" s="8" t="str">
        <f t="shared" si="424"/>
        <v>N</v>
      </c>
      <c r="G2299" s="8" t="str">
        <f t="shared" si="425"/>
        <v>N</v>
      </c>
      <c r="H2299" s="8" t="str">
        <f t="shared" si="426"/>
        <v>Lower</v>
      </c>
      <c r="I2299" s="8" t="str">
        <f t="shared" si="427"/>
        <v>Outside</v>
      </c>
      <c r="J2299" s="8" t="str">
        <f t="shared" si="428"/>
        <v>Outside</v>
      </c>
      <c r="K2299" s="8" t="str">
        <f t="shared" si="429"/>
        <v>Riparian</v>
      </c>
      <c r="L2299" s="8">
        <f t="shared" si="430"/>
        <v>1000</v>
      </c>
      <c r="M2299" s="8" t="str">
        <f t="shared" si="432"/>
        <v>-</v>
      </c>
      <c r="N2299" s="10" t="s">
        <v>242</v>
      </c>
      <c r="O2299" s="10" t="s">
        <v>242</v>
      </c>
      <c r="P2299" s="10" t="s">
        <v>242</v>
      </c>
      <c r="Q2299" s="10" t="s">
        <v>242</v>
      </c>
      <c r="R2299" s="10" t="s">
        <v>242</v>
      </c>
      <c r="S2299" s="10" t="s">
        <v>241</v>
      </c>
      <c r="T2299" s="10" t="s">
        <v>242</v>
      </c>
      <c r="U2299" s="10" t="s">
        <v>242</v>
      </c>
      <c r="V2299" s="10" t="s">
        <v>242</v>
      </c>
      <c r="W2299" s="10" t="s">
        <v>242</v>
      </c>
      <c r="X2299" s="15">
        <f>IF(ISERROR(VLOOKUP($A2299,'13. Updated Demand'!A:Z,15,FALSE)),0,VLOOKUP($A2299,'13. Updated Demand'!A:Z,15,FALSE))</f>
        <v>1.5344E-2</v>
      </c>
      <c r="Y2299" s="16">
        <f>IF(ISERROR(VLOOKUP($A2299,'13. Updated Demand'!A:Z,16,FALSE)),0,VLOOKUP($A2299,'13. Updated Demand'!A:Z,16,FALSE))</f>
        <v>1.5344E-2</v>
      </c>
      <c r="Z2299" s="16">
        <f>IF(ISERROR(VLOOKUP($A2299,'13. Updated Demand'!A:Z,17,FALSE)),0,VLOOKUP($A2299,'13. Updated Demand'!A:Z,17,FALSE))</f>
        <v>1.5344E-2</v>
      </c>
      <c r="AA2299" s="16">
        <f>IF(ISERROR(VLOOKUP($A2299,'13. Updated Demand'!A:Z,18,FALSE)),0,VLOOKUP($A2299,'13. Updated Demand'!A:Z,18,FALSE))</f>
        <v>1.5344E-2</v>
      </c>
      <c r="AB2299" s="16">
        <f>IF(ISERROR(VLOOKUP($A2299,'13. Updated Demand'!A:Z,19,FALSE)),0,VLOOKUP($A2299,'13. Updated Demand'!A:Z,19,FALSE))</f>
        <v>1.5344E-2</v>
      </c>
      <c r="AC2299" s="16">
        <f>IF(ISERROR(VLOOKUP($A2299,'13. Updated Demand'!A:Z,20,FALSE)),0,VLOOKUP($A2299,'13. Updated Demand'!A:Z,20,FALSE))</f>
        <v>5.1146669999999998E-3</v>
      </c>
      <c r="AD2299" s="16">
        <f>IF(ISERROR(VLOOKUP($A2299,'13. Updated Demand'!A:Z,21,FALSE)),0,VLOOKUP($A2299,'13. Updated Demand'!A:Z,21,FALSE))</f>
        <v>0</v>
      </c>
      <c r="AE2299" s="16">
        <f>IF(ISERROR(VLOOKUP($A2299,'13. Updated Demand'!A:Z,22,FALSE)),0,VLOOKUP($A2299,'13. Updated Demand'!A:Z,22,FALSE))</f>
        <v>0</v>
      </c>
      <c r="AF2299" s="16">
        <f>IF(ISERROR(VLOOKUP($A2299,'13. Updated Demand'!A:Z,23,FALSE)),0,VLOOKUP($A2299,'13. Updated Demand'!A:Z,23,FALSE))</f>
        <v>0</v>
      </c>
      <c r="AG2299" s="16">
        <f>IF(ISERROR(VLOOKUP($A2299,'13. Updated Demand'!A:Z,24,FALSE)),0,VLOOKUP($A2299,'13. Updated Demand'!A:Z,24,FALSE))</f>
        <v>0</v>
      </c>
      <c r="AH2299" s="16">
        <f>IF(ISERROR(VLOOKUP($A2299,'13. Updated Demand'!A:Z,25,FALSE)),0,VLOOKUP($A2299,'13. Updated Demand'!A:Z,25,FALSE))</f>
        <v>0</v>
      </c>
      <c r="AI2299" s="16">
        <f>IF(ISERROR(VLOOKUP($A2299,'13. Updated Demand'!A:Z,26,FALSE)),0,VLOOKUP($A2299,'13. Updated Demand'!A:Z,26,FALSE))</f>
        <v>1.5344E-2</v>
      </c>
      <c r="AJ2299" s="16">
        <f t="shared" si="433"/>
        <v>9.7178666999999996E-2</v>
      </c>
      <c r="AK2299" s="19">
        <v>2.0458667E-2</v>
      </c>
      <c r="AL2299" s="16">
        <f t="shared" si="431"/>
        <v>6.7859067977829097E-5</v>
      </c>
      <c r="AM2299" s="26">
        <v>3.1654288925081429</v>
      </c>
      <c r="AN2299" s="19">
        <v>3.0700000000000002E-2</v>
      </c>
      <c r="AO2299" s="19" t="s">
        <v>1758</v>
      </c>
      <c r="AP2299" s="19">
        <v>0</v>
      </c>
      <c r="AQ2299" s="19" t="s">
        <v>307</v>
      </c>
      <c r="AR2299" s="9" t="s">
        <v>352</v>
      </c>
      <c r="AS2299" s="12">
        <v>3.4039024194010059E-4</v>
      </c>
      <c r="AT2299" s="19">
        <v>38.409300000000002</v>
      </c>
      <c r="AU2299" s="19">
        <v>-122.93300000000001</v>
      </c>
      <c r="AV2299" s="19" t="s">
        <v>1788</v>
      </c>
    </row>
    <row r="2300" spans="1:48" x14ac:dyDescent="0.25">
      <c r="A2300" s="18" t="s">
        <v>2760</v>
      </c>
      <c r="B2300" s="10">
        <v>10000000</v>
      </c>
      <c r="C2300" s="9">
        <v>23</v>
      </c>
      <c r="D2300" s="8" t="str">
        <f t="shared" si="422"/>
        <v>N</v>
      </c>
      <c r="E2300" s="8" t="str">
        <f t="shared" si="423"/>
        <v>N</v>
      </c>
      <c r="F2300" s="8" t="str">
        <f t="shared" si="424"/>
        <v>N</v>
      </c>
      <c r="G2300" s="8" t="str">
        <f t="shared" si="425"/>
        <v>N</v>
      </c>
      <c r="H2300" s="8" t="str">
        <f t="shared" si="426"/>
        <v>Lower</v>
      </c>
      <c r="I2300" s="8" t="str">
        <f t="shared" si="427"/>
        <v>Outside</v>
      </c>
      <c r="J2300" s="8" t="str">
        <f t="shared" si="428"/>
        <v>Outside</v>
      </c>
      <c r="K2300" s="8" t="str">
        <f t="shared" si="429"/>
        <v>Riparian</v>
      </c>
      <c r="L2300" s="8">
        <f t="shared" si="430"/>
        <v>1000</v>
      </c>
      <c r="M2300" s="8" t="str">
        <f t="shared" si="432"/>
        <v>-</v>
      </c>
      <c r="N2300" s="10" t="s">
        <v>242</v>
      </c>
      <c r="O2300" s="10" t="s">
        <v>242</v>
      </c>
      <c r="P2300" s="10" t="s">
        <v>242</v>
      </c>
      <c r="Q2300" s="10" t="s">
        <v>242</v>
      </c>
      <c r="R2300" s="10" t="s">
        <v>242</v>
      </c>
      <c r="S2300" s="10" t="s">
        <v>241</v>
      </c>
      <c r="T2300" s="10" t="s">
        <v>242</v>
      </c>
      <c r="U2300" s="10" t="s">
        <v>242</v>
      </c>
      <c r="V2300" s="10" t="s">
        <v>242</v>
      </c>
      <c r="W2300" s="10" t="s">
        <v>242</v>
      </c>
      <c r="X2300" s="15">
        <f>IF(ISERROR(VLOOKUP($A2300,'13. Updated Demand'!A:Z,15,FALSE)),0,VLOOKUP($A2300,'13. Updated Demand'!A:Z,15,FALSE))</f>
        <v>6.1399999999999996E-4</v>
      </c>
      <c r="Y2300" s="16">
        <f>IF(ISERROR(VLOOKUP($A2300,'13. Updated Demand'!A:Z,16,FALSE)),0,VLOOKUP($A2300,'13. Updated Demand'!A:Z,16,FALSE))</f>
        <v>6.1399999999999996E-4</v>
      </c>
      <c r="Z2300" s="16">
        <f>IF(ISERROR(VLOOKUP($A2300,'13. Updated Demand'!A:Z,17,FALSE)),0,VLOOKUP($A2300,'13. Updated Demand'!A:Z,17,FALSE))</f>
        <v>6.1399999999999996E-4</v>
      </c>
      <c r="AA2300" s="16">
        <f>IF(ISERROR(VLOOKUP($A2300,'13. Updated Demand'!A:Z,18,FALSE)),0,VLOOKUP($A2300,'13. Updated Demand'!A:Z,18,FALSE))</f>
        <v>1.2279999999999999E-3</v>
      </c>
      <c r="AB2300" s="16">
        <f>IF(ISERROR(VLOOKUP($A2300,'13. Updated Demand'!A:Z,19,FALSE)),0,VLOOKUP($A2300,'13. Updated Demand'!A:Z,19,FALSE))</f>
        <v>1.534E-3</v>
      </c>
      <c r="AC2300" s="16">
        <f>IF(ISERROR(VLOOKUP($A2300,'13. Updated Demand'!A:Z,20,FALSE)),0,VLOOKUP($A2300,'13. Updated Demand'!A:Z,20,FALSE))</f>
        <v>1.534E-3</v>
      </c>
      <c r="AD2300" s="16">
        <f>IF(ISERROR(VLOOKUP($A2300,'13. Updated Demand'!A:Z,21,FALSE)),0,VLOOKUP($A2300,'13. Updated Demand'!A:Z,21,FALSE))</f>
        <v>1.5345000000000001E-3</v>
      </c>
      <c r="AE2300" s="16">
        <f>IF(ISERROR(VLOOKUP($A2300,'13. Updated Demand'!A:Z,22,FALSE)),0,VLOOKUP($A2300,'13. Updated Demand'!A:Z,22,FALSE))</f>
        <v>1.5345000000000001E-3</v>
      </c>
      <c r="AF2300" s="16">
        <f>IF(ISERROR(VLOOKUP($A2300,'13. Updated Demand'!A:Z,23,FALSE)),0,VLOOKUP($A2300,'13. Updated Demand'!A:Z,23,FALSE))</f>
        <v>1.5345000000000001E-3</v>
      </c>
      <c r="AG2300" s="16">
        <f>IF(ISERROR(VLOOKUP($A2300,'13. Updated Demand'!A:Z,24,FALSE)),0,VLOOKUP($A2300,'13. Updated Demand'!A:Z,24,FALSE))</f>
        <v>6.1399999999999996E-4</v>
      </c>
      <c r="AH2300" s="16">
        <f>IF(ISERROR(VLOOKUP($A2300,'13. Updated Demand'!A:Z,25,FALSE)),0,VLOOKUP($A2300,'13. Updated Demand'!A:Z,25,FALSE))</f>
        <v>6.1399999999999996E-4</v>
      </c>
      <c r="AI2300" s="16">
        <f>IF(ISERROR(VLOOKUP($A2300,'13. Updated Demand'!A:Z,26,FALSE)),0,VLOOKUP($A2300,'13. Updated Demand'!A:Z,26,FALSE))</f>
        <v>6.1399999999999996E-4</v>
      </c>
      <c r="AJ2300" s="16">
        <f t="shared" si="433"/>
        <v>1.2583499999999999E-2</v>
      </c>
      <c r="AK2300" s="19">
        <v>7.6715000000000004E-3</v>
      </c>
      <c r="AL2300" s="16">
        <f t="shared" si="431"/>
        <v>2.5445491634030498E-5</v>
      </c>
      <c r="AM2300" s="26">
        <v>2.2402528039878938E-2</v>
      </c>
      <c r="AN2300" s="19">
        <v>0.56169999999999998</v>
      </c>
      <c r="AO2300" s="19" t="s">
        <v>1758</v>
      </c>
      <c r="AP2300" s="19">
        <v>0</v>
      </c>
      <c r="AQ2300" s="19" t="s">
        <v>307</v>
      </c>
      <c r="AR2300" s="9" t="s">
        <v>323</v>
      </c>
      <c r="AS2300" s="12">
        <v>3.4039024194010059E-4</v>
      </c>
      <c r="AT2300" s="19">
        <v>38.540799999999997</v>
      </c>
      <c r="AU2300" s="19">
        <v>-122.6447</v>
      </c>
      <c r="AV2300" s="19" t="s">
        <v>2754</v>
      </c>
    </row>
    <row r="2301" spans="1:48" x14ac:dyDescent="0.25">
      <c r="A2301" s="18" t="s">
        <v>2761</v>
      </c>
      <c r="B2301" s="10">
        <v>10000000</v>
      </c>
      <c r="C2301" s="9">
        <v>18</v>
      </c>
      <c r="D2301" s="8" t="str">
        <f t="shared" si="422"/>
        <v>N</v>
      </c>
      <c r="E2301" s="8" t="str">
        <f t="shared" si="423"/>
        <v>N</v>
      </c>
      <c r="F2301" s="8" t="str">
        <f t="shared" si="424"/>
        <v>N</v>
      </c>
      <c r="G2301" s="8" t="str">
        <f t="shared" si="425"/>
        <v>N</v>
      </c>
      <c r="H2301" s="8" t="str">
        <f t="shared" si="426"/>
        <v>Lower</v>
      </c>
      <c r="I2301" s="8" t="str">
        <f t="shared" si="427"/>
        <v>Outside</v>
      </c>
      <c r="J2301" s="8" t="str">
        <f t="shared" si="428"/>
        <v>Outside</v>
      </c>
      <c r="K2301" s="8" t="str">
        <f t="shared" si="429"/>
        <v>Riparian</v>
      </c>
      <c r="L2301" s="8">
        <f t="shared" si="430"/>
        <v>1000</v>
      </c>
      <c r="M2301" s="8" t="str">
        <f t="shared" si="432"/>
        <v>-</v>
      </c>
      <c r="N2301" s="10" t="s">
        <v>242</v>
      </c>
      <c r="O2301" s="10" t="s">
        <v>242</v>
      </c>
      <c r="P2301" s="10" t="s">
        <v>242</v>
      </c>
      <c r="Q2301" s="10" t="s">
        <v>242</v>
      </c>
      <c r="R2301" s="10" t="s">
        <v>242</v>
      </c>
      <c r="S2301" s="10" t="s">
        <v>241</v>
      </c>
      <c r="T2301" s="10" t="s">
        <v>242</v>
      </c>
      <c r="U2301" s="10" t="s">
        <v>242</v>
      </c>
      <c r="V2301" s="10" t="s">
        <v>242</v>
      </c>
      <c r="W2301" s="10" t="s">
        <v>242</v>
      </c>
      <c r="X2301" s="15">
        <f>IF(ISERROR(VLOOKUP($A2301,'13. Updated Demand'!A:Z,15,FALSE)),0,VLOOKUP($A2301,'13. Updated Demand'!A:Z,15,FALSE))</f>
        <v>4.3333333000000002E-2</v>
      </c>
      <c r="Y2301" s="16">
        <f>IF(ISERROR(VLOOKUP($A2301,'13. Updated Demand'!A:Z,16,FALSE)),0,VLOOKUP($A2301,'13. Updated Demand'!A:Z,16,FALSE))</f>
        <v>4.2999999999999997E-2</v>
      </c>
      <c r="Z2301" s="16">
        <f>IF(ISERROR(VLOOKUP($A2301,'13. Updated Demand'!A:Z,17,FALSE)),0,VLOOKUP($A2301,'13. Updated Demand'!A:Z,17,FALSE))</f>
        <v>4.3666666999999999E-2</v>
      </c>
      <c r="AA2301" s="16">
        <f>IF(ISERROR(VLOOKUP($A2301,'13. Updated Demand'!A:Z,18,FALSE)),0,VLOOKUP($A2301,'13. Updated Demand'!A:Z,18,FALSE))</f>
        <v>4.7666667000000003E-2</v>
      </c>
      <c r="AB2301" s="16">
        <f>IF(ISERROR(VLOOKUP($A2301,'13. Updated Demand'!A:Z,19,FALSE)),0,VLOOKUP($A2301,'13. Updated Demand'!A:Z,19,FALSE))</f>
        <v>5.3999999999999999E-2</v>
      </c>
      <c r="AC2301" s="16">
        <f>IF(ISERROR(VLOOKUP($A2301,'13. Updated Demand'!A:Z,20,FALSE)),0,VLOOKUP($A2301,'13. Updated Demand'!A:Z,20,FALSE))</f>
        <v>6.5000000000000002E-2</v>
      </c>
      <c r="AD2301" s="16">
        <f>IF(ISERROR(VLOOKUP($A2301,'13. Updated Demand'!A:Z,21,FALSE)),0,VLOOKUP($A2301,'13. Updated Demand'!A:Z,21,FALSE))</f>
        <v>6.5000000000000002E-2</v>
      </c>
      <c r="AE2301" s="16">
        <f>IF(ISERROR(VLOOKUP($A2301,'13. Updated Demand'!A:Z,22,FALSE)),0,VLOOKUP($A2301,'13. Updated Demand'!A:Z,22,FALSE))</f>
        <v>7.2999999999999995E-2</v>
      </c>
      <c r="AF2301" s="16">
        <f>IF(ISERROR(VLOOKUP($A2301,'13. Updated Demand'!A:Z,23,FALSE)),0,VLOOKUP($A2301,'13. Updated Demand'!A:Z,23,FALSE))</f>
        <v>6.9666667000000002E-2</v>
      </c>
      <c r="AG2301" s="16">
        <f>IF(ISERROR(VLOOKUP($A2301,'13. Updated Demand'!A:Z,24,FALSE)),0,VLOOKUP($A2301,'13. Updated Demand'!A:Z,24,FALSE))</f>
        <v>5.7666666999999998E-2</v>
      </c>
      <c r="AH2301" s="16">
        <f>IF(ISERROR(VLOOKUP($A2301,'13. Updated Demand'!A:Z,25,FALSE)),0,VLOOKUP($A2301,'13. Updated Demand'!A:Z,25,FALSE))</f>
        <v>5.2999999999999999E-2</v>
      </c>
      <c r="AI2301" s="16">
        <f>IF(ISERROR(VLOOKUP($A2301,'13. Updated Demand'!A:Z,26,FALSE)),0,VLOOKUP($A2301,'13. Updated Demand'!A:Z,26,FALSE))</f>
        <v>4.4666667E-2</v>
      </c>
      <c r="AJ2301" s="16">
        <f t="shared" si="433"/>
        <v>0.65966666800000007</v>
      </c>
      <c r="AK2301" s="19">
        <v>0.32666666700000002</v>
      </c>
      <c r="AL2301" s="16">
        <f t="shared" si="431"/>
        <v>1.0835161236088285E-3</v>
      </c>
      <c r="AM2301" s="26">
        <v>0.94643711334289826</v>
      </c>
      <c r="AN2301" s="19">
        <v>0.69699999999999995</v>
      </c>
      <c r="AO2301" s="19" t="s">
        <v>1758</v>
      </c>
      <c r="AP2301" s="19">
        <v>0</v>
      </c>
      <c r="AQ2301" s="19" t="s">
        <v>307</v>
      </c>
      <c r="AR2301" s="9" t="s">
        <v>352</v>
      </c>
      <c r="AS2301" s="12">
        <v>0</v>
      </c>
      <c r="AT2301" s="19">
        <v>38.399299999999997</v>
      </c>
      <c r="AU2301" s="19">
        <v>-122.8995</v>
      </c>
      <c r="AV2301" s="19" t="s">
        <v>1834</v>
      </c>
    </row>
    <row r="2302" spans="1:48" x14ac:dyDescent="0.25">
      <c r="A2302" s="18" t="s">
        <v>2762</v>
      </c>
      <c r="B2302" s="10">
        <v>10000000</v>
      </c>
      <c r="C2302" s="9">
        <v>21</v>
      </c>
      <c r="D2302" s="8" t="str">
        <f t="shared" si="422"/>
        <v>N</v>
      </c>
      <c r="E2302" s="8" t="str">
        <f t="shared" si="423"/>
        <v>N</v>
      </c>
      <c r="F2302" s="8" t="str">
        <f t="shared" si="424"/>
        <v>N</v>
      </c>
      <c r="G2302" s="8" t="str">
        <f t="shared" si="425"/>
        <v>N</v>
      </c>
      <c r="H2302" s="8" t="str">
        <f t="shared" si="426"/>
        <v>Lower</v>
      </c>
      <c r="I2302" s="8" t="str">
        <f t="shared" si="427"/>
        <v>Outside</v>
      </c>
      <c r="J2302" s="8" t="str">
        <f t="shared" si="428"/>
        <v>Outside</v>
      </c>
      <c r="K2302" s="8" t="str">
        <f t="shared" si="429"/>
        <v>Riparian</v>
      </c>
      <c r="L2302" s="8">
        <f t="shared" si="430"/>
        <v>1000</v>
      </c>
      <c r="M2302" s="8" t="str">
        <f t="shared" si="432"/>
        <v>-</v>
      </c>
      <c r="N2302" s="10" t="s">
        <v>242</v>
      </c>
      <c r="O2302" s="10" t="s">
        <v>242</v>
      </c>
      <c r="P2302" s="10" t="s">
        <v>242</v>
      </c>
      <c r="Q2302" s="10" t="s">
        <v>242</v>
      </c>
      <c r="R2302" s="10" t="s">
        <v>242</v>
      </c>
      <c r="S2302" s="10" t="s">
        <v>241</v>
      </c>
      <c r="T2302" s="10" t="s">
        <v>242</v>
      </c>
      <c r="U2302" s="10" t="s">
        <v>242</v>
      </c>
      <c r="V2302" s="10" t="s">
        <v>242</v>
      </c>
      <c r="W2302" s="10" t="s">
        <v>242</v>
      </c>
      <c r="X2302" s="15">
        <f>IF(ISERROR(VLOOKUP($A2302,'13. Updated Demand'!A:Z,15,FALSE)),0,VLOOKUP($A2302,'13. Updated Demand'!A:Z,15,FALSE))</f>
        <v>3.3758000000000003E-2</v>
      </c>
      <c r="Y2302" s="16">
        <f>IF(ISERROR(VLOOKUP($A2302,'13. Updated Demand'!A:Z,16,FALSE)),0,VLOOKUP($A2302,'13. Updated Demand'!A:Z,16,FALSE))</f>
        <v>3.3758000000000003E-2</v>
      </c>
      <c r="Z2302" s="16">
        <f>IF(ISERROR(VLOOKUP($A2302,'13. Updated Demand'!A:Z,17,FALSE)),0,VLOOKUP($A2302,'13. Updated Demand'!A:Z,17,FALSE))</f>
        <v>3.3758000000000003E-2</v>
      </c>
      <c r="AA2302" s="16">
        <f>IF(ISERROR(VLOOKUP($A2302,'13. Updated Demand'!A:Z,18,FALSE)),0,VLOOKUP($A2302,'13. Updated Demand'!A:Z,18,FALSE))</f>
        <v>3.3758000000000003E-2</v>
      </c>
      <c r="AB2302" s="16">
        <f>IF(ISERROR(VLOOKUP($A2302,'13. Updated Demand'!A:Z,19,FALSE)),0,VLOOKUP($A2302,'13. Updated Demand'!A:Z,19,FALSE))</f>
        <v>3.3758000000000003E-2</v>
      </c>
      <c r="AC2302" s="16">
        <f>IF(ISERROR(VLOOKUP($A2302,'13. Updated Demand'!A:Z,20,FALSE)),0,VLOOKUP($A2302,'13. Updated Demand'!A:Z,20,FALSE))</f>
        <v>3.3758000000000003E-2</v>
      </c>
      <c r="AD2302" s="16">
        <f>IF(ISERROR(VLOOKUP($A2302,'13. Updated Demand'!A:Z,21,FALSE)),0,VLOOKUP($A2302,'13. Updated Demand'!A:Z,21,FALSE))</f>
        <v>3.3758000000000003E-2</v>
      </c>
      <c r="AE2302" s="16">
        <f>IF(ISERROR(VLOOKUP($A2302,'13. Updated Demand'!A:Z,22,FALSE)),0,VLOOKUP($A2302,'13. Updated Demand'!A:Z,22,FALSE))</f>
        <v>3.3758000000000003E-2</v>
      </c>
      <c r="AF2302" s="16">
        <f>IF(ISERROR(VLOOKUP($A2302,'13. Updated Demand'!A:Z,23,FALSE)),0,VLOOKUP($A2302,'13. Updated Demand'!A:Z,23,FALSE))</f>
        <v>3.3758000000000003E-2</v>
      </c>
      <c r="AG2302" s="16">
        <f>IF(ISERROR(VLOOKUP($A2302,'13. Updated Demand'!A:Z,24,FALSE)),0,VLOOKUP($A2302,'13. Updated Demand'!A:Z,24,FALSE))</f>
        <v>3.3758000000000003E-2</v>
      </c>
      <c r="AH2302" s="16">
        <f>IF(ISERROR(VLOOKUP($A2302,'13. Updated Demand'!A:Z,25,FALSE)),0,VLOOKUP($A2302,'13. Updated Demand'!A:Z,25,FALSE))</f>
        <v>3.3758000000000003E-2</v>
      </c>
      <c r="AI2302" s="16">
        <f>IF(ISERROR(VLOOKUP($A2302,'13. Updated Demand'!A:Z,26,FALSE)),0,VLOOKUP($A2302,'13. Updated Demand'!A:Z,26,FALSE))</f>
        <v>3.3758000000000003E-2</v>
      </c>
      <c r="AJ2302" s="16">
        <f t="shared" si="433"/>
        <v>0.40509600000000007</v>
      </c>
      <c r="AK2302" s="19">
        <v>0.16879000000000002</v>
      </c>
      <c r="AL2302" s="16">
        <f t="shared" si="431"/>
        <v>5.5985720301218896E-4</v>
      </c>
      <c r="AM2302" s="26">
        <v>0.42144818976279658</v>
      </c>
      <c r="AN2302" s="19">
        <v>0.96120000000000005</v>
      </c>
      <c r="AO2302" s="19" t="s">
        <v>1758</v>
      </c>
      <c r="AP2302" s="19">
        <v>0</v>
      </c>
      <c r="AQ2302" s="19" t="s">
        <v>307</v>
      </c>
      <c r="AR2302" s="9" t="s">
        <v>403</v>
      </c>
      <c r="AS2302" s="12">
        <v>0</v>
      </c>
      <c r="AT2302" s="19">
        <v>38.449399999999997</v>
      </c>
      <c r="AU2302" s="19">
        <v>-122.9816</v>
      </c>
      <c r="AV2302" s="19" t="s">
        <v>2622</v>
      </c>
    </row>
    <row r="2303" spans="1:48" x14ac:dyDescent="0.25">
      <c r="A2303" s="18" t="s">
        <v>2763</v>
      </c>
      <c r="B2303" s="10">
        <v>10000000</v>
      </c>
      <c r="C2303" s="9">
        <v>16</v>
      </c>
      <c r="D2303" s="8" t="str">
        <f t="shared" si="422"/>
        <v>N</v>
      </c>
      <c r="E2303" s="8" t="str">
        <f t="shared" si="423"/>
        <v>N</v>
      </c>
      <c r="F2303" s="8" t="str">
        <f t="shared" si="424"/>
        <v>N</v>
      </c>
      <c r="G2303" s="8" t="str">
        <f t="shared" si="425"/>
        <v>N</v>
      </c>
      <c r="H2303" s="8" t="str">
        <f t="shared" si="426"/>
        <v>Lower</v>
      </c>
      <c r="I2303" s="8" t="str">
        <f t="shared" si="427"/>
        <v>Outside</v>
      </c>
      <c r="J2303" s="8" t="str">
        <f t="shared" si="428"/>
        <v>Outside</v>
      </c>
      <c r="K2303" s="8" t="str">
        <f t="shared" si="429"/>
        <v>Riparian</v>
      </c>
      <c r="L2303" s="8">
        <f t="shared" si="430"/>
        <v>1000</v>
      </c>
      <c r="M2303" s="8" t="str">
        <f t="shared" si="432"/>
        <v>-</v>
      </c>
      <c r="N2303" s="10" t="s">
        <v>242</v>
      </c>
      <c r="O2303" s="10" t="s">
        <v>242</v>
      </c>
      <c r="P2303" s="10" t="s">
        <v>242</v>
      </c>
      <c r="Q2303" s="10" t="s">
        <v>242</v>
      </c>
      <c r="R2303" s="10" t="s">
        <v>242</v>
      </c>
      <c r="S2303" s="10" t="s">
        <v>241</v>
      </c>
      <c r="T2303" s="10" t="s">
        <v>242</v>
      </c>
      <c r="U2303" s="10" t="s">
        <v>242</v>
      </c>
      <c r="V2303" s="10" t="s">
        <v>241</v>
      </c>
      <c r="W2303" s="10" t="s">
        <v>242</v>
      </c>
      <c r="X2303" s="15">
        <f>IF(ISERROR(VLOOKUP($A2303,'13. Updated Demand'!A:Z,15,FALSE)),0,VLOOKUP($A2303,'13. Updated Demand'!A:Z,15,FALSE))</f>
        <v>0</v>
      </c>
      <c r="Y2303" s="16">
        <f>IF(ISERROR(VLOOKUP($A2303,'13. Updated Demand'!A:Z,16,FALSE)),0,VLOOKUP($A2303,'13. Updated Demand'!A:Z,16,FALSE))</f>
        <v>0.03</v>
      </c>
      <c r="Z2303" s="16">
        <f>IF(ISERROR(VLOOKUP($A2303,'13. Updated Demand'!A:Z,17,FALSE)),0,VLOOKUP($A2303,'13. Updated Demand'!A:Z,17,FALSE))</f>
        <v>0.77333333299999996</v>
      </c>
      <c r="AA2303" s="16">
        <f>IF(ISERROR(VLOOKUP($A2303,'13. Updated Demand'!A:Z,18,FALSE)),0,VLOOKUP($A2303,'13. Updated Demand'!A:Z,18,FALSE))</f>
        <v>0</v>
      </c>
      <c r="AB2303" s="16">
        <f>IF(ISERROR(VLOOKUP($A2303,'13. Updated Demand'!A:Z,19,FALSE)),0,VLOOKUP($A2303,'13. Updated Demand'!A:Z,19,FALSE))</f>
        <v>0</v>
      </c>
      <c r="AC2303" s="16">
        <f>IF(ISERROR(VLOOKUP($A2303,'13. Updated Demand'!A:Z,20,FALSE)),0,VLOOKUP($A2303,'13. Updated Demand'!A:Z,20,FALSE))</f>
        <v>0</v>
      </c>
      <c r="AD2303" s="16">
        <f>IF(ISERROR(VLOOKUP($A2303,'13. Updated Demand'!A:Z,21,FALSE)),0,VLOOKUP($A2303,'13. Updated Demand'!A:Z,21,FALSE))</f>
        <v>0</v>
      </c>
      <c r="AE2303" s="16">
        <f>IF(ISERROR(VLOOKUP($A2303,'13. Updated Demand'!A:Z,22,FALSE)),0,VLOOKUP($A2303,'13. Updated Demand'!A:Z,22,FALSE))</f>
        <v>0</v>
      </c>
      <c r="AF2303" s="16">
        <f>IF(ISERROR(VLOOKUP($A2303,'13. Updated Demand'!A:Z,23,FALSE)),0,VLOOKUP($A2303,'13. Updated Demand'!A:Z,23,FALSE))</f>
        <v>0</v>
      </c>
      <c r="AG2303" s="16">
        <f>IF(ISERROR(VLOOKUP($A2303,'13. Updated Demand'!A:Z,24,FALSE)),0,VLOOKUP($A2303,'13. Updated Demand'!A:Z,24,FALSE))</f>
        <v>0</v>
      </c>
      <c r="AH2303" s="16">
        <f>IF(ISERROR(VLOOKUP($A2303,'13. Updated Demand'!A:Z,25,FALSE)),0,VLOOKUP($A2303,'13. Updated Demand'!A:Z,25,FALSE))</f>
        <v>0</v>
      </c>
      <c r="AI2303" s="16">
        <f>IF(ISERROR(VLOOKUP($A2303,'13. Updated Demand'!A:Z,26,FALSE)),0,VLOOKUP($A2303,'13. Updated Demand'!A:Z,26,FALSE))</f>
        <v>0</v>
      </c>
      <c r="AJ2303" s="16">
        <f t="shared" si="433"/>
        <v>0.80333333299999998</v>
      </c>
      <c r="AK2303" s="19">
        <v>0</v>
      </c>
      <c r="AL2303" s="16">
        <f t="shared" si="431"/>
        <v>0</v>
      </c>
      <c r="AM2303" s="26">
        <v>0.83006130708824133</v>
      </c>
      <c r="AN2303" s="19">
        <v>0.96779999999999999</v>
      </c>
      <c r="AO2303" s="19" t="s">
        <v>1758</v>
      </c>
      <c r="AP2303" s="19">
        <v>0</v>
      </c>
      <c r="AQ2303" s="19" t="s">
        <v>307</v>
      </c>
      <c r="AR2303" s="9" t="s">
        <v>394</v>
      </c>
      <c r="AS2303" s="12">
        <v>0</v>
      </c>
      <c r="AT2303" s="19">
        <v>38.64</v>
      </c>
      <c r="AU2303" s="19">
        <v>-122.907</v>
      </c>
      <c r="AV2303" s="19" t="s">
        <v>701</v>
      </c>
    </row>
    <row r="2304" spans="1:48" x14ac:dyDescent="0.25">
      <c r="A2304" s="18" t="s">
        <v>2764</v>
      </c>
      <c r="B2304" s="10">
        <v>10000000</v>
      </c>
      <c r="C2304" s="9">
        <v>23</v>
      </c>
      <c r="D2304" s="8" t="str">
        <f t="shared" si="422"/>
        <v>N</v>
      </c>
      <c r="E2304" s="8" t="str">
        <f t="shared" si="423"/>
        <v>N</v>
      </c>
      <c r="F2304" s="8" t="str">
        <f t="shared" si="424"/>
        <v>N</v>
      </c>
      <c r="G2304" s="8" t="str">
        <f t="shared" si="425"/>
        <v>N</v>
      </c>
      <c r="H2304" s="8" t="str">
        <f t="shared" si="426"/>
        <v>Lower</v>
      </c>
      <c r="I2304" s="8" t="str">
        <f t="shared" si="427"/>
        <v>Outside</v>
      </c>
      <c r="J2304" s="8" t="str">
        <f t="shared" si="428"/>
        <v>Outside</v>
      </c>
      <c r="K2304" s="8" t="str">
        <f t="shared" si="429"/>
        <v>Riparian</v>
      </c>
      <c r="L2304" s="8">
        <f t="shared" si="430"/>
        <v>1000</v>
      </c>
      <c r="M2304" s="8" t="str">
        <f t="shared" si="432"/>
        <v>-</v>
      </c>
      <c r="N2304" s="10" t="s">
        <v>242</v>
      </c>
      <c r="O2304" s="10" t="s">
        <v>242</v>
      </c>
      <c r="P2304" s="10" t="s">
        <v>242</v>
      </c>
      <c r="Q2304" s="10" t="s">
        <v>242</v>
      </c>
      <c r="R2304" s="10" t="s">
        <v>242</v>
      </c>
      <c r="S2304" s="10" t="s">
        <v>241</v>
      </c>
      <c r="T2304" s="10" t="s">
        <v>242</v>
      </c>
      <c r="U2304" s="10" t="s">
        <v>242</v>
      </c>
      <c r="V2304" s="10" t="s">
        <v>242</v>
      </c>
      <c r="W2304" s="10" t="s">
        <v>242</v>
      </c>
      <c r="X2304" s="15">
        <f>IF(ISERROR(VLOOKUP($A2304,'13. Updated Demand'!A:Z,15,FALSE)),0,VLOOKUP($A2304,'13. Updated Demand'!A:Z,15,FALSE))</f>
        <v>0</v>
      </c>
      <c r="Y2304" s="16">
        <f>IF(ISERROR(VLOOKUP($A2304,'13. Updated Demand'!A:Z,16,FALSE)),0,VLOOKUP($A2304,'13. Updated Demand'!A:Z,16,FALSE))</f>
        <v>0</v>
      </c>
      <c r="Z2304" s="16">
        <f>IF(ISERROR(VLOOKUP($A2304,'13. Updated Demand'!A:Z,17,FALSE)),0,VLOOKUP($A2304,'13. Updated Demand'!A:Z,17,FALSE))</f>
        <v>0</v>
      </c>
      <c r="AA2304" s="16">
        <f>IF(ISERROR(VLOOKUP($A2304,'13. Updated Demand'!A:Z,18,FALSE)),0,VLOOKUP($A2304,'13. Updated Demand'!A:Z,18,FALSE))</f>
        <v>0</v>
      </c>
      <c r="AB2304" s="16">
        <f>IF(ISERROR(VLOOKUP($A2304,'13. Updated Demand'!A:Z,19,FALSE)),0,VLOOKUP($A2304,'13. Updated Demand'!A:Z,19,FALSE))</f>
        <v>0.01</v>
      </c>
      <c r="AC2304" s="16">
        <f>IF(ISERROR(VLOOKUP($A2304,'13. Updated Demand'!A:Z,20,FALSE)),0,VLOOKUP($A2304,'13. Updated Demand'!A:Z,20,FALSE))</f>
        <v>1.6666667E-2</v>
      </c>
      <c r="AD2304" s="16">
        <f>IF(ISERROR(VLOOKUP($A2304,'13. Updated Demand'!A:Z,21,FALSE)),0,VLOOKUP($A2304,'13. Updated Demand'!A:Z,21,FALSE))</f>
        <v>1.6666667E-2</v>
      </c>
      <c r="AE2304" s="16">
        <f>IF(ISERROR(VLOOKUP($A2304,'13. Updated Demand'!A:Z,22,FALSE)),0,VLOOKUP($A2304,'13. Updated Demand'!A:Z,22,FALSE))</f>
        <v>2.3333333000000001E-2</v>
      </c>
      <c r="AF2304" s="16">
        <f>IF(ISERROR(VLOOKUP($A2304,'13. Updated Demand'!A:Z,23,FALSE)),0,VLOOKUP($A2304,'13. Updated Demand'!A:Z,23,FALSE))</f>
        <v>2.3333333000000001E-2</v>
      </c>
      <c r="AG2304" s="16">
        <f>IF(ISERROR(VLOOKUP($A2304,'13. Updated Demand'!A:Z,24,FALSE)),0,VLOOKUP($A2304,'13. Updated Demand'!A:Z,24,FALSE))</f>
        <v>6.6666670000000003E-3</v>
      </c>
      <c r="AH2304" s="16">
        <f>IF(ISERROR(VLOOKUP($A2304,'13. Updated Demand'!A:Z,25,FALSE)),0,VLOOKUP($A2304,'13. Updated Demand'!A:Z,25,FALSE))</f>
        <v>0</v>
      </c>
      <c r="AI2304" s="16">
        <f>IF(ISERROR(VLOOKUP($A2304,'13. Updated Demand'!A:Z,26,FALSE)),0,VLOOKUP($A2304,'13. Updated Demand'!A:Z,26,FALSE))</f>
        <v>0</v>
      </c>
      <c r="AJ2304" s="16">
        <f t="shared" si="433"/>
        <v>9.6666666999999998E-2</v>
      </c>
      <c r="AK2304" s="19">
        <v>0.09</v>
      </c>
      <c r="AL2304" s="16">
        <f t="shared" si="431"/>
        <v>2.9851974803659579E-4</v>
      </c>
      <c r="AM2304" s="26">
        <v>1.9687712219959268</v>
      </c>
      <c r="AN2304" s="19">
        <v>4.9099999999999998E-2</v>
      </c>
      <c r="AO2304" s="19" t="s">
        <v>1758</v>
      </c>
      <c r="AP2304" s="19">
        <v>0</v>
      </c>
      <c r="AQ2304" s="19" t="s">
        <v>307</v>
      </c>
      <c r="AR2304" s="9" t="s">
        <v>323</v>
      </c>
      <c r="AS2304" s="12">
        <v>0</v>
      </c>
      <c r="AT2304" s="19">
        <v>38.507800000000003</v>
      </c>
      <c r="AU2304" s="19">
        <v>-122.73090000000001</v>
      </c>
      <c r="AV2304" s="19" t="s">
        <v>735</v>
      </c>
    </row>
    <row r="2305" spans="1:48" x14ac:dyDescent="0.25">
      <c r="A2305" s="18" t="s">
        <v>2765</v>
      </c>
      <c r="B2305" s="10">
        <v>10000000</v>
      </c>
      <c r="C2305" s="9">
        <v>18</v>
      </c>
      <c r="D2305" s="8" t="str">
        <f t="shared" si="422"/>
        <v>N</v>
      </c>
      <c r="E2305" s="8" t="str">
        <f t="shared" si="423"/>
        <v>N</v>
      </c>
      <c r="F2305" s="8" t="str">
        <f t="shared" si="424"/>
        <v>N</v>
      </c>
      <c r="G2305" s="8" t="str">
        <f t="shared" si="425"/>
        <v>N</v>
      </c>
      <c r="H2305" s="8" t="str">
        <f t="shared" si="426"/>
        <v>Lower</v>
      </c>
      <c r="I2305" s="8" t="str">
        <f t="shared" si="427"/>
        <v>Outside</v>
      </c>
      <c r="J2305" s="8" t="str">
        <f t="shared" si="428"/>
        <v>Outside</v>
      </c>
      <c r="K2305" s="8" t="str">
        <f t="shared" si="429"/>
        <v>Riparian</v>
      </c>
      <c r="L2305" s="8">
        <f t="shared" si="430"/>
        <v>1000</v>
      </c>
      <c r="M2305" s="8" t="str">
        <f t="shared" si="432"/>
        <v>-</v>
      </c>
      <c r="N2305" s="10" t="s">
        <v>242</v>
      </c>
      <c r="O2305" s="10" t="s">
        <v>242</v>
      </c>
      <c r="P2305" s="10" t="s">
        <v>242</v>
      </c>
      <c r="Q2305" s="10" t="s">
        <v>242</v>
      </c>
      <c r="R2305" s="10" t="s">
        <v>242</v>
      </c>
      <c r="S2305" s="10" t="s">
        <v>241</v>
      </c>
      <c r="T2305" s="10" t="s">
        <v>242</v>
      </c>
      <c r="U2305" s="10" t="s">
        <v>242</v>
      </c>
      <c r="V2305" s="10" t="s">
        <v>242</v>
      </c>
      <c r="W2305" s="10" t="s">
        <v>242</v>
      </c>
      <c r="X2305" s="15">
        <f>IF(ISERROR(VLOOKUP($A2305,'13. Updated Demand'!A:Z,15,FALSE)),0,VLOOKUP($A2305,'13. Updated Demand'!A:Z,15,FALSE))</f>
        <v>5.2170539999999996E-3</v>
      </c>
      <c r="Y2305" s="16">
        <f>IF(ISERROR(VLOOKUP($A2305,'13. Updated Demand'!A:Z,16,FALSE)),0,VLOOKUP($A2305,'13. Updated Demand'!A:Z,16,FALSE))</f>
        <v>5.600776E-3</v>
      </c>
      <c r="Z2305" s="16">
        <f>IF(ISERROR(VLOOKUP($A2305,'13. Updated Demand'!A:Z,17,FALSE)),0,VLOOKUP($A2305,'13. Updated Demand'!A:Z,17,FALSE))</f>
        <v>5.8510819999999996E-3</v>
      </c>
      <c r="AA2305" s="16">
        <f>IF(ISERROR(VLOOKUP($A2305,'13. Updated Demand'!A:Z,18,FALSE)),0,VLOOKUP($A2305,'13. Updated Demand'!A:Z,18,FALSE))</f>
        <v>5.8001980000000003E-3</v>
      </c>
      <c r="AB2305" s="16">
        <f>IF(ISERROR(VLOOKUP($A2305,'13. Updated Demand'!A:Z,19,FALSE)),0,VLOOKUP($A2305,'13. Updated Demand'!A:Z,19,FALSE))</f>
        <v>5.8309429999999999E-3</v>
      </c>
      <c r="AC2305" s="16">
        <f>IF(ISERROR(VLOOKUP($A2305,'13. Updated Demand'!A:Z,20,FALSE)),0,VLOOKUP($A2305,'13. Updated Demand'!A:Z,20,FALSE))</f>
        <v>5.6004990000000001E-3</v>
      </c>
      <c r="AD2305" s="16">
        <f>IF(ISERROR(VLOOKUP($A2305,'13. Updated Demand'!A:Z,21,FALSE)),0,VLOOKUP($A2305,'13. Updated Demand'!A:Z,21,FALSE))</f>
        <v>5.9841649999999996E-3</v>
      </c>
      <c r="AE2305" s="16">
        <f>IF(ISERROR(VLOOKUP($A2305,'13. Updated Demand'!A:Z,22,FALSE)),0,VLOOKUP($A2305,'13. Updated Demand'!A:Z,22,FALSE))</f>
        <v>6.1378869999999999E-3</v>
      </c>
      <c r="AF2305" s="16">
        <f>IF(ISERROR(VLOOKUP($A2305,'13. Updated Demand'!A:Z,23,FALSE)),0,VLOOKUP($A2305,'13. Updated Demand'!A:Z,23,FALSE))</f>
        <v>5.8923209999999998E-3</v>
      </c>
      <c r="AG2305" s="16">
        <f>IF(ISERROR(VLOOKUP($A2305,'13. Updated Demand'!A:Z,24,FALSE)),0,VLOOKUP($A2305,'13. Updated Demand'!A:Z,24,FALSE))</f>
        <v>5.7232539999999997E-3</v>
      </c>
      <c r="AH2305" s="16">
        <f>IF(ISERROR(VLOOKUP($A2305,'13. Updated Demand'!A:Z,25,FALSE)),0,VLOOKUP($A2305,'13. Updated Demand'!A:Z,25,FALSE))</f>
        <v>5.8309429999999999E-3</v>
      </c>
      <c r="AI2305" s="16">
        <f>IF(ISERROR(VLOOKUP($A2305,'13. Updated Demand'!A:Z,26,FALSE)),0,VLOOKUP($A2305,'13. Updated Demand'!A:Z,26,FALSE))</f>
        <v>5.5239989999999999E-3</v>
      </c>
      <c r="AJ2305" s="16">
        <f t="shared" si="433"/>
        <v>6.8993121000000004E-2</v>
      </c>
      <c r="AK2305" s="19">
        <v>2.944581466836069E-2</v>
      </c>
      <c r="AL2305" s="16">
        <f t="shared" si="431"/>
        <v>9.7668413061459224E-5</v>
      </c>
      <c r="AM2305" s="26">
        <v>0.9569087543100786</v>
      </c>
      <c r="AN2305" s="19">
        <v>7.2099999999999997E-2</v>
      </c>
      <c r="AO2305" s="19" t="s">
        <v>1758</v>
      </c>
      <c r="AP2305" s="19">
        <v>0</v>
      </c>
      <c r="AQ2305" s="19" t="s">
        <v>307</v>
      </c>
      <c r="AR2305" s="9" t="s">
        <v>352</v>
      </c>
      <c r="AS2305" s="12">
        <v>3.4039024194010059E-4</v>
      </c>
      <c r="AT2305" s="19">
        <v>38.384</v>
      </c>
      <c r="AU2305" s="19">
        <v>-122.8903</v>
      </c>
      <c r="AV2305" s="19" t="s">
        <v>2766</v>
      </c>
    </row>
    <row r="2306" spans="1:48" x14ac:dyDescent="0.25">
      <c r="A2306" s="18" t="s">
        <v>2767</v>
      </c>
      <c r="B2306" s="10">
        <v>10000000</v>
      </c>
      <c r="C2306" s="9">
        <v>18</v>
      </c>
      <c r="D2306" s="8" t="str">
        <f t="shared" ref="D2306:D2369" si="434">IF(OR(C2306=4,C2306=5,C2306=6),"Y","N")</f>
        <v>N</v>
      </c>
      <c r="E2306" s="8" t="str">
        <f t="shared" ref="E2306:E2369" si="435">IF(AND(C2306&gt;6,C2306&lt;14),"Y","N")</f>
        <v>N</v>
      </c>
      <c r="F2306" s="8" t="str">
        <f t="shared" ref="F2306:F2369" si="436">IF(C2306&lt;14,"Y","N")</f>
        <v>N</v>
      </c>
      <c r="G2306" s="8" t="str">
        <f t="shared" ref="G2306:G2369" si="437">IF(OR(C2306=1,AND(C2306&gt;3,C2306&lt;14)),"Y","N")</f>
        <v>N</v>
      </c>
      <c r="H2306" s="8" t="str">
        <f t="shared" ref="H2306:H2369" si="438">IF(C2306&lt;14,"Upper","Lower")</f>
        <v>Lower</v>
      </c>
      <c r="I2306" s="8" t="str">
        <f t="shared" ref="I2306:I2369" si="439">IF(G2306="Y","West Fork and Below Lake","Outside")</f>
        <v>Outside</v>
      </c>
      <c r="J2306" s="8" t="str">
        <f t="shared" ref="J2306:J2369" si="440">IF(D2306="Y", "Mendocino (d/s of lake)", IF(E2306="Y", "Sonoma (d/s of Clov. Gage)","Outside"))</f>
        <v>Outside</v>
      </c>
      <c r="K2306" s="8" t="str">
        <f t="shared" ref="K2306:K2369" si="441">IF(P2306="Y","pre-1914",IF(Q2306="Y","Pre-1949",IF(R2306="Y","Post-1949",IF(S2306="Y","Riparian","Unknown"))))</f>
        <v>Riparian</v>
      </c>
      <c r="L2306" s="8">
        <f t="shared" ref="L2306:L2369" si="442">_xlfn.NUMBERVALUE(LEFT(B2306,4))</f>
        <v>1000</v>
      </c>
      <c r="M2306" s="8" t="str">
        <f t="shared" si="432"/>
        <v>-</v>
      </c>
      <c r="N2306" s="10" t="s">
        <v>242</v>
      </c>
      <c r="O2306" s="10" t="s">
        <v>242</v>
      </c>
      <c r="P2306" s="10" t="s">
        <v>242</v>
      </c>
      <c r="Q2306" s="10" t="s">
        <v>242</v>
      </c>
      <c r="R2306" s="10" t="s">
        <v>242</v>
      </c>
      <c r="S2306" s="10" t="s">
        <v>241</v>
      </c>
      <c r="T2306" s="10" t="s">
        <v>242</v>
      </c>
      <c r="U2306" s="10" t="s">
        <v>242</v>
      </c>
      <c r="V2306" s="10" t="s">
        <v>242</v>
      </c>
      <c r="W2306" s="10" t="s">
        <v>242</v>
      </c>
      <c r="X2306" s="15">
        <f>IF(ISERROR(VLOOKUP($A2306,'13. Updated Demand'!A:Z,15,FALSE)),0,VLOOKUP($A2306,'13. Updated Demand'!A:Z,15,FALSE))</f>
        <v>4.1938510000000002E-3</v>
      </c>
      <c r="Y2306" s="16">
        <f>IF(ISERROR(VLOOKUP($A2306,'13. Updated Demand'!A:Z,16,FALSE)),0,VLOOKUP($A2306,'13. Updated Demand'!A:Z,16,FALSE))</f>
        <v>4.6444440000000002E-3</v>
      </c>
      <c r="Z2306" s="16">
        <f>IF(ISERROR(VLOOKUP($A2306,'13. Updated Demand'!A:Z,17,FALSE)),0,VLOOKUP($A2306,'13. Updated Demand'!A:Z,17,FALSE))</f>
        <v>4.6239840000000003E-3</v>
      </c>
      <c r="AA2306" s="16">
        <f>IF(ISERROR(VLOOKUP($A2306,'13. Updated Demand'!A:Z,18,FALSE)),0,VLOOKUP($A2306,'13. Updated Demand'!A:Z,18,FALSE))</f>
        <v>1.874174E-2</v>
      </c>
      <c r="AB2306" s="16">
        <f>IF(ISERROR(VLOOKUP($A2306,'13. Updated Demand'!A:Z,19,FALSE)),0,VLOOKUP($A2306,'13. Updated Demand'!A:Z,19,FALSE))</f>
        <v>4.6649029999999998E-3</v>
      </c>
      <c r="AC2306" s="16">
        <f>IF(ISERROR(VLOOKUP($A2306,'13. Updated Demand'!A:Z,20,FALSE)),0,VLOOKUP($A2306,'13. Updated Demand'!A:Z,20,FALSE))</f>
        <v>4.7978880000000002E-3</v>
      </c>
      <c r="AD2306" s="16">
        <f>IF(ISERROR(VLOOKUP($A2306,'13. Updated Demand'!A:Z,21,FALSE)),0,VLOOKUP($A2306,'13. Updated Demand'!A:Z,21,FALSE))</f>
        <v>4.6751329999999997E-3</v>
      </c>
      <c r="AE2306" s="16">
        <f>IF(ISERROR(VLOOKUP($A2306,'13. Updated Demand'!A:Z,22,FALSE)),0,VLOOKUP($A2306,'13. Updated Demand'!A:Z,22,FALSE))</f>
        <v>4.6649029999999998E-3</v>
      </c>
      <c r="AF2306" s="16">
        <f>IF(ISERROR(VLOOKUP($A2306,'13. Updated Demand'!A:Z,23,FALSE)),0,VLOOKUP($A2306,'13. Updated Demand'!A:Z,23,FALSE))</f>
        <v>3.1149620000000002E-3</v>
      </c>
      <c r="AG2306" s="16">
        <f>IF(ISERROR(VLOOKUP($A2306,'13. Updated Demand'!A:Z,24,FALSE)),0,VLOOKUP($A2306,'13. Updated Demand'!A:Z,24,FALSE))</f>
        <v>3.1661100000000002E-3</v>
      </c>
      <c r="AH2306" s="16">
        <f>IF(ISERROR(VLOOKUP($A2306,'13. Updated Demand'!A:Z,25,FALSE)),0,VLOOKUP($A2306,'13. Updated Demand'!A:Z,25,FALSE))</f>
        <v>3.2479470000000002E-3</v>
      </c>
      <c r="AI2306" s="16">
        <f>IF(ISERROR(VLOOKUP($A2306,'13. Updated Demand'!A:Z,26,FALSE)),0,VLOOKUP($A2306,'13. Updated Demand'!A:Z,26,FALSE))</f>
        <v>3.1558810000000001E-3</v>
      </c>
      <c r="AJ2306" s="16">
        <f t="shared" si="433"/>
        <v>6.3691745999999994E-2</v>
      </c>
      <c r="AK2306" s="19">
        <v>2.1917788564916673E-2</v>
      </c>
      <c r="AL2306" s="16">
        <f t="shared" ref="AL2306:AL2369" si="443">AK2306/152/1.983471</f>
        <v>7.269880799909229E-5</v>
      </c>
      <c r="AM2306" s="26">
        <v>1.1393872279135624</v>
      </c>
      <c r="AN2306" s="19">
        <v>5.5899999999999998E-2</v>
      </c>
      <c r="AO2306" s="19" t="s">
        <v>1758</v>
      </c>
      <c r="AP2306" s="19">
        <v>0</v>
      </c>
      <c r="AQ2306" s="19" t="s">
        <v>307</v>
      </c>
      <c r="AR2306" s="9" t="s">
        <v>352</v>
      </c>
      <c r="AS2306" s="12">
        <v>3.4039024194010059E-4</v>
      </c>
      <c r="AT2306" s="19">
        <v>38.383400000000002</v>
      </c>
      <c r="AU2306" s="19">
        <v>-122.8901</v>
      </c>
      <c r="AV2306" s="19" t="s">
        <v>2766</v>
      </c>
    </row>
    <row r="2307" spans="1:48" x14ac:dyDescent="0.25">
      <c r="A2307" s="18" t="s">
        <v>2768</v>
      </c>
      <c r="B2307" s="10">
        <v>10000000</v>
      </c>
      <c r="C2307" s="9">
        <v>18</v>
      </c>
      <c r="D2307" s="8" t="str">
        <f t="shared" si="434"/>
        <v>N</v>
      </c>
      <c r="E2307" s="8" t="str">
        <f t="shared" si="435"/>
        <v>N</v>
      </c>
      <c r="F2307" s="8" t="str">
        <f t="shared" si="436"/>
        <v>N</v>
      </c>
      <c r="G2307" s="8" t="str">
        <f t="shared" si="437"/>
        <v>N</v>
      </c>
      <c r="H2307" s="8" t="str">
        <f t="shared" si="438"/>
        <v>Lower</v>
      </c>
      <c r="I2307" s="8" t="str">
        <f t="shared" si="439"/>
        <v>Outside</v>
      </c>
      <c r="J2307" s="8" t="str">
        <f t="shared" si="440"/>
        <v>Outside</v>
      </c>
      <c r="K2307" s="8" t="str">
        <f t="shared" si="441"/>
        <v>Riparian</v>
      </c>
      <c r="L2307" s="8">
        <f t="shared" si="442"/>
        <v>1000</v>
      </c>
      <c r="M2307" s="8" t="str">
        <f t="shared" ref="M2307:M2370" si="444">IF(L2307=1949,"1949",IF(AND(L2307&gt;1949,L2307&lt;1953),"1950-1952",IF(AND(L2307&gt;1952,L2307&lt;1955),"1953-1954",IF(AND(L2307&gt;1954,L2307&lt;1957),"1955-1956",IF(AND(L2307&gt;1956,L2307&lt;1960),"1957-1959",IF(AND(L2307&gt;1959,L2307&lt;1971),"1960-1970",IF(AND(L2307&gt;1970,L2307&lt;1991),"1971-1990",IF(L2307&gt;1990,"1991-present","-"))))))))</f>
        <v>-</v>
      </c>
      <c r="N2307" s="10" t="s">
        <v>242</v>
      </c>
      <c r="O2307" s="10" t="s">
        <v>242</v>
      </c>
      <c r="P2307" s="10" t="s">
        <v>242</v>
      </c>
      <c r="Q2307" s="10" t="s">
        <v>242</v>
      </c>
      <c r="R2307" s="10" t="s">
        <v>242</v>
      </c>
      <c r="S2307" s="10" t="s">
        <v>241</v>
      </c>
      <c r="T2307" s="10" t="s">
        <v>242</v>
      </c>
      <c r="U2307" s="10" t="s">
        <v>242</v>
      </c>
      <c r="V2307" s="10" t="s">
        <v>242</v>
      </c>
      <c r="W2307" s="10" t="s">
        <v>242</v>
      </c>
      <c r="X2307" s="15">
        <f>IF(ISERROR(VLOOKUP($A2307,'13. Updated Demand'!A:Z,15,FALSE)),0,VLOOKUP($A2307,'13. Updated Demand'!A:Z,15,FALSE))</f>
        <v>3.0699999999999998E-4</v>
      </c>
      <c r="Y2307" s="16">
        <f>IF(ISERROR(VLOOKUP($A2307,'13. Updated Demand'!A:Z,16,FALSE)),0,VLOOKUP($A2307,'13. Updated Demand'!A:Z,16,FALSE))</f>
        <v>0</v>
      </c>
      <c r="Z2307" s="16">
        <f>IF(ISERROR(VLOOKUP($A2307,'13. Updated Demand'!A:Z,17,FALSE)),0,VLOOKUP($A2307,'13. Updated Demand'!A:Z,17,FALSE))</f>
        <v>1.1303667E-2</v>
      </c>
      <c r="AA2307" s="16">
        <f>IF(ISERROR(VLOOKUP($A2307,'13. Updated Demand'!A:Z,18,FALSE)),0,VLOOKUP($A2307,'13. Updated Demand'!A:Z,18,FALSE))</f>
        <v>4.6954000000000003E-2</v>
      </c>
      <c r="AB2307" s="16">
        <f>IF(ISERROR(VLOOKUP($A2307,'13. Updated Demand'!A:Z,19,FALSE)),0,VLOOKUP($A2307,'13. Updated Demand'!A:Z,19,FALSE))</f>
        <v>0.14154766699999999</v>
      </c>
      <c r="AC2307" s="16">
        <f>IF(ISERROR(VLOOKUP($A2307,'13. Updated Demand'!A:Z,20,FALSE)),0,VLOOKUP($A2307,'13. Updated Demand'!A:Z,20,FALSE))</f>
        <v>0.48278799999999999</v>
      </c>
      <c r="AD2307" s="16">
        <f>IF(ISERROR(VLOOKUP($A2307,'13. Updated Demand'!A:Z,21,FALSE)),0,VLOOKUP($A2307,'13. Updated Demand'!A:Z,21,FALSE))</f>
        <v>0.54037866700000003</v>
      </c>
      <c r="AE2307" s="16">
        <f>IF(ISERROR(VLOOKUP($A2307,'13. Updated Demand'!A:Z,22,FALSE)),0,VLOOKUP($A2307,'13. Updated Demand'!A:Z,22,FALSE))</f>
        <v>0.52073899999999995</v>
      </c>
      <c r="AF2307" s="16">
        <f>IF(ISERROR(VLOOKUP($A2307,'13. Updated Demand'!A:Z,23,FALSE)),0,VLOOKUP($A2307,'13. Updated Demand'!A:Z,23,FALSE))</f>
        <v>0.45993400000000001</v>
      </c>
      <c r="AG2307" s="16">
        <f>IF(ISERROR(VLOOKUP($A2307,'13. Updated Demand'!A:Z,24,FALSE)),0,VLOOKUP($A2307,'13. Updated Demand'!A:Z,24,FALSE))</f>
        <v>0.43539299999999997</v>
      </c>
      <c r="AH2307" s="16">
        <f>IF(ISERROR(VLOOKUP($A2307,'13. Updated Demand'!A:Z,25,FALSE)),0,VLOOKUP($A2307,'13. Updated Demand'!A:Z,25,FALSE))</f>
        <v>0.152503</v>
      </c>
      <c r="AI2307" s="16">
        <f>IF(ISERROR(VLOOKUP($A2307,'13. Updated Demand'!A:Z,26,FALSE)),0,VLOOKUP($A2307,'13. Updated Demand'!A:Z,26,FALSE))</f>
        <v>5.2304000000000003E-2</v>
      </c>
      <c r="AJ2307" s="16">
        <f t="shared" si="433"/>
        <v>2.8441520009999994</v>
      </c>
      <c r="AK2307" s="19">
        <v>2.145387334</v>
      </c>
      <c r="AL2307" s="16">
        <f t="shared" si="443"/>
        <v>7.1160054042953783E-3</v>
      </c>
      <c r="AM2307" s="26">
        <v>0.33858952392857133</v>
      </c>
      <c r="AN2307" s="19">
        <v>8.4</v>
      </c>
      <c r="AO2307" s="19" t="s">
        <v>1758</v>
      </c>
      <c r="AP2307" s="19">
        <v>0</v>
      </c>
      <c r="AQ2307" s="19" t="s">
        <v>307</v>
      </c>
      <c r="AR2307" s="9" t="s">
        <v>352</v>
      </c>
      <c r="AS2307" s="12">
        <v>0</v>
      </c>
      <c r="AT2307" s="19">
        <v>38.378399999999999</v>
      </c>
      <c r="AU2307" s="19">
        <v>-122.893</v>
      </c>
      <c r="AV2307" s="19" t="s">
        <v>2766</v>
      </c>
    </row>
    <row r="2308" spans="1:48" x14ac:dyDescent="0.25">
      <c r="A2308" s="18" t="s">
        <v>2769</v>
      </c>
      <c r="B2308" s="10">
        <v>10000000</v>
      </c>
      <c r="C2308" s="9">
        <v>23</v>
      </c>
      <c r="D2308" s="8" t="str">
        <f t="shared" si="434"/>
        <v>N</v>
      </c>
      <c r="E2308" s="8" t="str">
        <f t="shared" si="435"/>
        <v>N</v>
      </c>
      <c r="F2308" s="8" t="str">
        <f t="shared" si="436"/>
        <v>N</v>
      </c>
      <c r="G2308" s="8" t="str">
        <f t="shared" si="437"/>
        <v>N</v>
      </c>
      <c r="H2308" s="8" t="str">
        <f t="shared" si="438"/>
        <v>Lower</v>
      </c>
      <c r="I2308" s="8" t="str">
        <f t="shared" si="439"/>
        <v>Outside</v>
      </c>
      <c r="J2308" s="8" t="str">
        <f t="shared" si="440"/>
        <v>Outside</v>
      </c>
      <c r="K2308" s="8" t="str">
        <f t="shared" si="441"/>
        <v>Riparian</v>
      </c>
      <c r="L2308" s="8">
        <f t="shared" si="442"/>
        <v>1000</v>
      </c>
      <c r="M2308" s="8" t="str">
        <f t="shared" si="444"/>
        <v>-</v>
      </c>
      <c r="N2308" s="10" t="s">
        <v>242</v>
      </c>
      <c r="O2308" s="10" t="s">
        <v>242</v>
      </c>
      <c r="P2308" s="10" t="s">
        <v>242</v>
      </c>
      <c r="Q2308" s="10" t="s">
        <v>242</v>
      </c>
      <c r="R2308" s="10" t="s">
        <v>242</v>
      </c>
      <c r="S2308" s="10" t="s">
        <v>241</v>
      </c>
      <c r="T2308" s="10" t="s">
        <v>242</v>
      </c>
      <c r="U2308" s="10" t="s">
        <v>242</v>
      </c>
      <c r="V2308" s="10" t="s">
        <v>242</v>
      </c>
      <c r="W2308" s="10" t="s">
        <v>242</v>
      </c>
      <c r="X2308" s="15">
        <f>IF(ISERROR(VLOOKUP($A2308,'13. Updated Demand'!A:Z,15,FALSE)),0,VLOOKUP($A2308,'13. Updated Demand'!A:Z,15,FALSE))</f>
        <v>0</v>
      </c>
      <c r="Y2308" s="16">
        <f>IF(ISERROR(VLOOKUP($A2308,'13. Updated Demand'!A:Z,16,FALSE)),0,VLOOKUP($A2308,'13. Updated Demand'!A:Z,16,FALSE))</f>
        <v>0</v>
      </c>
      <c r="Z2308" s="16">
        <f>IF(ISERROR(VLOOKUP($A2308,'13. Updated Demand'!A:Z,17,FALSE)),0,VLOOKUP($A2308,'13. Updated Demand'!A:Z,17,FALSE))</f>
        <v>0</v>
      </c>
      <c r="AA2308" s="16">
        <f>IF(ISERROR(VLOOKUP($A2308,'13. Updated Demand'!A:Z,18,FALSE)),0,VLOOKUP($A2308,'13. Updated Demand'!A:Z,18,FALSE))</f>
        <v>7.8933300000000003E-4</v>
      </c>
      <c r="AB2308" s="16">
        <f>IF(ISERROR(VLOOKUP($A2308,'13. Updated Demand'!A:Z,19,FALSE)),0,VLOOKUP($A2308,'13. Updated Demand'!A:Z,19,FALSE))</f>
        <v>1.5790000000000001E-3</v>
      </c>
      <c r="AC2308" s="16">
        <f>IF(ISERROR(VLOOKUP($A2308,'13. Updated Demand'!A:Z,20,FALSE)),0,VLOOKUP($A2308,'13. Updated Demand'!A:Z,20,FALSE))</f>
        <v>1.5790000000000001E-3</v>
      </c>
      <c r="AD2308" s="16">
        <f>IF(ISERROR(VLOOKUP($A2308,'13. Updated Demand'!A:Z,21,FALSE)),0,VLOOKUP($A2308,'13. Updated Demand'!A:Z,21,FALSE))</f>
        <v>1.5790000000000001E-3</v>
      </c>
      <c r="AE2308" s="16">
        <f>IF(ISERROR(VLOOKUP($A2308,'13. Updated Demand'!A:Z,22,FALSE)),0,VLOOKUP($A2308,'13. Updated Demand'!A:Z,22,FALSE))</f>
        <v>1.5790000000000001E-3</v>
      </c>
      <c r="AF2308" s="16">
        <f>IF(ISERROR(VLOOKUP($A2308,'13. Updated Demand'!A:Z,23,FALSE)),0,VLOOKUP($A2308,'13. Updated Demand'!A:Z,23,FALSE))</f>
        <v>1.5790000000000001E-3</v>
      </c>
      <c r="AG2308" s="16">
        <f>IF(ISERROR(VLOOKUP($A2308,'13. Updated Demand'!A:Z,24,FALSE)),0,VLOOKUP($A2308,'13. Updated Demand'!A:Z,24,FALSE))</f>
        <v>7.8933300000000003E-4</v>
      </c>
      <c r="AH2308" s="16">
        <f>IF(ISERROR(VLOOKUP($A2308,'13. Updated Demand'!A:Z,25,FALSE)),0,VLOOKUP($A2308,'13. Updated Demand'!A:Z,25,FALSE))</f>
        <v>0</v>
      </c>
      <c r="AI2308" s="16">
        <f>IF(ISERROR(VLOOKUP($A2308,'13. Updated Demand'!A:Z,26,FALSE)),0,VLOOKUP($A2308,'13. Updated Demand'!A:Z,26,FALSE))</f>
        <v>0</v>
      </c>
      <c r="AJ2308" s="16">
        <f t="shared" si="433"/>
        <v>9.4736660000000021E-3</v>
      </c>
      <c r="AK2308" s="19">
        <v>7.895000000000001E-3</v>
      </c>
      <c r="AL2308" s="16">
        <f t="shared" si="443"/>
        <v>2.6186815674988046E-5</v>
      </c>
      <c r="AM2308" s="26">
        <v>0.39473608333333343</v>
      </c>
      <c r="AN2308" s="19">
        <v>2.4E-2</v>
      </c>
      <c r="AO2308" s="19" t="s">
        <v>1758</v>
      </c>
      <c r="AP2308" s="19">
        <v>0</v>
      </c>
      <c r="AQ2308" s="19" t="s">
        <v>307</v>
      </c>
      <c r="AR2308" s="9" t="s">
        <v>323</v>
      </c>
      <c r="AS2308" s="12">
        <v>0</v>
      </c>
      <c r="AT2308" s="19">
        <v>38.520000000000003</v>
      </c>
      <c r="AU2308" s="19">
        <v>-122.6109</v>
      </c>
      <c r="AV2308" s="19" t="s">
        <v>2770</v>
      </c>
    </row>
    <row r="2309" spans="1:48" x14ac:dyDescent="0.25">
      <c r="A2309" s="18" t="s">
        <v>2771</v>
      </c>
      <c r="B2309" s="10">
        <v>10000000</v>
      </c>
      <c r="C2309" s="9">
        <v>18</v>
      </c>
      <c r="D2309" s="8" t="str">
        <f t="shared" si="434"/>
        <v>N</v>
      </c>
      <c r="E2309" s="8" t="str">
        <f t="shared" si="435"/>
        <v>N</v>
      </c>
      <c r="F2309" s="8" t="str">
        <f t="shared" si="436"/>
        <v>N</v>
      </c>
      <c r="G2309" s="8" t="str">
        <f t="shared" si="437"/>
        <v>N</v>
      </c>
      <c r="H2309" s="8" t="str">
        <f t="shared" si="438"/>
        <v>Lower</v>
      </c>
      <c r="I2309" s="8" t="str">
        <f t="shared" si="439"/>
        <v>Outside</v>
      </c>
      <c r="J2309" s="8" t="str">
        <f t="shared" si="440"/>
        <v>Outside</v>
      </c>
      <c r="K2309" s="8" t="str">
        <f t="shared" si="441"/>
        <v>Riparian</v>
      </c>
      <c r="L2309" s="8">
        <f t="shared" si="442"/>
        <v>1000</v>
      </c>
      <c r="M2309" s="8" t="str">
        <f t="shared" si="444"/>
        <v>-</v>
      </c>
      <c r="N2309" s="10" t="s">
        <v>242</v>
      </c>
      <c r="O2309" s="10" t="s">
        <v>242</v>
      </c>
      <c r="P2309" s="10" t="s">
        <v>242</v>
      </c>
      <c r="Q2309" s="10" t="s">
        <v>242</v>
      </c>
      <c r="R2309" s="10" t="s">
        <v>242</v>
      </c>
      <c r="S2309" s="10" t="s">
        <v>241</v>
      </c>
      <c r="T2309" s="10" t="s">
        <v>242</v>
      </c>
      <c r="U2309" s="10" t="s">
        <v>242</v>
      </c>
      <c r="V2309" s="10" t="s">
        <v>242</v>
      </c>
      <c r="W2309" s="10" t="s">
        <v>242</v>
      </c>
      <c r="X2309" s="15">
        <f>IF(ISERROR(VLOOKUP($A2309,'13. Updated Demand'!A:Z,15,FALSE)),0,VLOOKUP($A2309,'13. Updated Demand'!A:Z,15,FALSE))</f>
        <v>1.3333332999999999E-2</v>
      </c>
      <c r="Y2309" s="16">
        <f>IF(ISERROR(VLOOKUP($A2309,'13. Updated Demand'!A:Z,16,FALSE)),0,VLOOKUP($A2309,'13. Updated Demand'!A:Z,16,FALSE))</f>
        <v>1.3333332999999999E-2</v>
      </c>
      <c r="Z2309" s="16">
        <f>IF(ISERROR(VLOOKUP($A2309,'13. Updated Demand'!A:Z,17,FALSE)),0,VLOOKUP($A2309,'13. Updated Demand'!A:Z,17,FALSE))</f>
        <v>1.3333332999999999E-2</v>
      </c>
      <c r="AA2309" s="16">
        <f>IF(ISERROR(VLOOKUP($A2309,'13. Updated Demand'!A:Z,18,FALSE)),0,VLOOKUP($A2309,'13. Updated Demand'!A:Z,18,FALSE))</f>
        <v>2.6666667000000002E-2</v>
      </c>
      <c r="AB2309" s="16">
        <f>IF(ISERROR(VLOOKUP($A2309,'13. Updated Demand'!A:Z,19,FALSE)),0,VLOOKUP($A2309,'13. Updated Demand'!A:Z,19,FALSE))</f>
        <v>0.04</v>
      </c>
      <c r="AC2309" s="16">
        <f>IF(ISERROR(VLOOKUP($A2309,'13. Updated Demand'!A:Z,20,FALSE)),0,VLOOKUP($A2309,'13. Updated Demand'!A:Z,20,FALSE))</f>
        <v>5.3333332999999997E-2</v>
      </c>
      <c r="AD2309" s="16">
        <f>IF(ISERROR(VLOOKUP($A2309,'13. Updated Demand'!A:Z,21,FALSE)),0,VLOOKUP($A2309,'13. Updated Demand'!A:Z,21,FALSE))</f>
        <v>5.3333332999999997E-2</v>
      </c>
      <c r="AE2309" s="16">
        <f>IF(ISERROR(VLOOKUP($A2309,'13. Updated Demand'!A:Z,22,FALSE)),0,VLOOKUP($A2309,'13. Updated Demand'!A:Z,22,FALSE))</f>
        <v>5.3333332999999997E-2</v>
      </c>
      <c r="AF2309" s="16">
        <f>IF(ISERROR(VLOOKUP($A2309,'13. Updated Demand'!A:Z,23,FALSE)),0,VLOOKUP($A2309,'13. Updated Demand'!A:Z,23,FALSE))</f>
        <v>0.04</v>
      </c>
      <c r="AG2309" s="16">
        <f>IF(ISERROR(VLOOKUP($A2309,'13. Updated Demand'!A:Z,24,FALSE)),0,VLOOKUP($A2309,'13. Updated Demand'!A:Z,24,FALSE))</f>
        <v>2.6666667000000002E-2</v>
      </c>
      <c r="AH2309" s="16">
        <f>IF(ISERROR(VLOOKUP($A2309,'13. Updated Demand'!A:Z,25,FALSE)),0,VLOOKUP($A2309,'13. Updated Demand'!A:Z,25,FALSE))</f>
        <v>2.6666667000000002E-2</v>
      </c>
      <c r="AI2309" s="16">
        <f>IF(ISERROR(VLOOKUP($A2309,'13. Updated Demand'!A:Z,26,FALSE)),0,VLOOKUP($A2309,'13. Updated Demand'!A:Z,26,FALSE))</f>
        <v>2.6666667000000002E-2</v>
      </c>
      <c r="AJ2309" s="16">
        <f t="shared" si="433"/>
        <v>0.38666666599999988</v>
      </c>
      <c r="AK2309" s="19">
        <v>0.23999999899999999</v>
      </c>
      <c r="AL2309" s="16">
        <f t="shared" si="443"/>
        <v>7.9605265811403603E-4</v>
      </c>
      <c r="AM2309" s="26">
        <v>1.2888888866666663</v>
      </c>
      <c r="AN2309" s="19">
        <v>0.3</v>
      </c>
      <c r="AO2309" s="19" t="s">
        <v>1758</v>
      </c>
      <c r="AP2309" s="19">
        <v>0</v>
      </c>
      <c r="AQ2309" s="19" t="s">
        <v>307</v>
      </c>
      <c r="AR2309" s="9" t="s">
        <v>352</v>
      </c>
      <c r="AS2309" s="12">
        <v>3.4039024194010059E-4</v>
      </c>
      <c r="AT2309" s="19">
        <v>38.393799999999999</v>
      </c>
      <c r="AU2309" s="19">
        <v>-122.88809999999999</v>
      </c>
      <c r="AV2309" s="19" t="s">
        <v>395</v>
      </c>
    </row>
    <row r="2310" spans="1:48" x14ac:dyDescent="0.25">
      <c r="A2310" s="18" t="s">
        <v>2772</v>
      </c>
      <c r="B2310" s="10">
        <v>10000000</v>
      </c>
      <c r="C2310" s="9">
        <v>18</v>
      </c>
      <c r="D2310" s="8" t="str">
        <f t="shared" si="434"/>
        <v>N</v>
      </c>
      <c r="E2310" s="8" t="str">
        <f t="shared" si="435"/>
        <v>N</v>
      </c>
      <c r="F2310" s="8" t="str">
        <f t="shared" si="436"/>
        <v>N</v>
      </c>
      <c r="G2310" s="8" t="str">
        <f t="shared" si="437"/>
        <v>N</v>
      </c>
      <c r="H2310" s="8" t="str">
        <f t="shared" si="438"/>
        <v>Lower</v>
      </c>
      <c r="I2310" s="8" t="str">
        <f t="shared" si="439"/>
        <v>Outside</v>
      </c>
      <c r="J2310" s="8" t="str">
        <f t="shared" si="440"/>
        <v>Outside</v>
      </c>
      <c r="K2310" s="8" t="str">
        <f t="shared" si="441"/>
        <v>Riparian</v>
      </c>
      <c r="L2310" s="8">
        <f t="shared" si="442"/>
        <v>1000</v>
      </c>
      <c r="M2310" s="8" t="str">
        <f t="shared" si="444"/>
        <v>-</v>
      </c>
      <c r="N2310" s="10" t="s">
        <v>242</v>
      </c>
      <c r="O2310" s="10" t="s">
        <v>242</v>
      </c>
      <c r="P2310" s="10" t="s">
        <v>242</v>
      </c>
      <c r="Q2310" s="10" t="s">
        <v>242</v>
      </c>
      <c r="R2310" s="10" t="s">
        <v>242</v>
      </c>
      <c r="S2310" s="10" t="s">
        <v>241</v>
      </c>
      <c r="T2310" s="10" t="s">
        <v>242</v>
      </c>
      <c r="U2310" s="10" t="s">
        <v>242</v>
      </c>
      <c r="V2310" s="10" t="s">
        <v>242</v>
      </c>
      <c r="W2310" s="10" t="s">
        <v>242</v>
      </c>
      <c r="X2310" s="15">
        <f>IF(ISERROR(VLOOKUP($A2310,'13. Updated Demand'!A:Z,15,FALSE)),0,VLOOKUP($A2310,'13. Updated Demand'!A:Z,15,FALSE))</f>
        <v>0</v>
      </c>
      <c r="Y2310" s="16">
        <f>IF(ISERROR(VLOOKUP($A2310,'13. Updated Demand'!A:Z,16,FALSE)),0,VLOOKUP($A2310,'13. Updated Demand'!A:Z,16,FALSE))</f>
        <v>0</v>
      </c>
      <c r="Z2310" s="16">
        <f>IF(ISERROR(VLOOKUP($A2310,'13. Updated Demand'!A:Z,17,FALSE)),0,VLOOKUP($A2310,'13. Updated Demand'!A:Z,17,FALSE))</f>
        <v>4.0899999999999998E-5</v>
      </c>
      <c r="AA2310" s="16">
        <f>IF(ISERROR(VLOOKUP($A2310,'13. Updated Demand'!A:Z,18,FALSE)),0,VLOOKUP($A2310,'13. Updated Demand'!A:Z,18,FALSE))</f>
        <v>4.0899999999999998E-5</v>
      </c>
      <c r="AB2310" s="16">
        <f>IF(ISERROR(VLOOKUP($A2310,'13. Updated Demand'!A:Z,19,FALSE)),0,VLOOKUP($A2310,'13. Updated Demand'!A:Z,19,FALSE))</f>
        <v>6.1299999999999999E-5</v>
      </c>
      <c r="AC2310" s="16">
        <f>IF(ISERROR(VLOOKUP($A2310,'13. Updated Demand'!A:Z,20,FALSE)),0,VLOOKUP($A2310,'13. Updated Demand'!A:Z,20,FALSE))</f>
        <v>1.0217000000000001E-4</v>
      </c>
      <c r="AD2310" s="16">
        <f>IF(ISERROR(VLOOKUP($A2310,'13. Updated Demand'!A:Z,21,FALSE)),0,VLOOKUP($A2310,'13. Updated Demand'!A:Z,21,FALSE))</f>
        <v>1.2283699999999999E-4</v>
      </c>
      <c r="AE2310" s="16">
        <f>IF(ISERROR(VLOOKUP($A2310,'13. Updated Demand'!A:Z,22,FALSE)),0,VLOOKUP($A2310,'13. Updated Demand'!A:Z,22,FALSE))</f>
        <v>1.2283699999999999E-4</v>
      </c>
      <c r="AF2310" s="16">
        <f>IF(ISERROR(VLOOKUP($A2310,'13. Updated Demand'!A:Z,23,FALSE)),0,VLOOKUP($A2310,'13. Updated Demand'!A:Z,23,FALSE))</f>
        <v>6.1299999999999999E-5</v>
      </c>
      <c r="AG2310" s="16">
        <f>IF(ISERROR(VLOOKUP($A2310,'13. Updated Demand'!A:Z,24,FALSE)),0,VLOOKUP($A2310,'13. Updated Demand'!A:Z,24,FALSE))</f>
        <v>6.1299999999999999E-5</v>
      </c>
      <c r="AH2310" s="16">
        <f>IF(ISERROR(VLOOKUP($A2310,'13. Updated Demand'!A:Z,25,FALSE)),0,VLOOKUP($A2310,'13. Updated Demand'!A:Z,25,FALSE))</f>
        <v>4.0899999999999998E-5</v>
      </c>
      <c r="AI2310" s="16">
        <f>IF(ISERROR(VLOOKUP($A2310,'13. Updated Demand'!A:Z,26,FALSE)),0,VLOOKUP($A2310,'13. Updated Demand'!A:Z,26,FALSE))</f>
        <v>0</v>
      </c>
      <c r="AJ2310" s="16">
        <f t="shared" si="433"/>
        <v>6.5444400000000001E-4</v>
      </c>
      <c r="AK2310" s="19">
        <v>4.7034837088116919E-4</v>
      </c>
      <c r="AL2310" s="16">
        <f t="shared" si="443"/>
        <v>1.5600919684985549E-6</v>
      </c>
      <c r="AM2310" s="26">
        <v>1.6358896550877539E-2</v>
      </c>
      <c r="AN2310" s="19">
        <v>0.04</v>
      </c>
      <c r="AO2310" s="19" t="s">
        <v>1758</v>
      </c>
      <c r="AP2310" s="19">
        <v>0</v>
      </c>
      <c r="AQ2310" s="19" t="s">
        <v>307</v>
      </c>
      <c r="AR2310" s="9" t="s">
        <v>352</v>
      </c>
      <c r="AS2310" s="12">
        <v>3.4039024194010059E-4</v>
      </c>
      <c r="AT2310" s="19">
        <v>38.393500000000003</v>
      </c>
      <c r="AU2310" s="19">
        <v>-122.8891</v>
      </c>
      <c r="AV2310" s="19" t="s">
        <v>2773</v>
      </c>
    </row>
    <row r="2311" spans="1:48" x14ac:dyDescent="0.25">
      <c r="A2311" s="18" t="s">
        <v>2774</v>
      </c>
      <c r="B2311" s="10">
        <v>10000000</v>
      </c>
      <c r="C2311" s="9">
        <v>23</v>
      </c>
      <c r="D2311" s="8" t="str">
        <f t="shared" si="434"/>
        <v>N</v>
      </c>
      <c r="E2311" s="8" t="str">
        <f t="shared" si="435"/>
        <v>N</v>
      </c>
      <c r="F2311" s="8" t="str">
        <f t="shared" si="436"/>
        <v>N</v>
      </c>
      <c r="G2311" s="8" t="str">
        <f t="shared" si="437"/>
        <v>N</v>
      </c>
      <c r="H2311" s="8" t="str">
        <f t="shared" si="438"/>
        <v>Lower</v>
      </c>
      <c r="I2311" s="8" t="str">
        <f t="shared" si="439"/>
        <v>Outside</v>
      </c>
      <c r="J2311" s="8" t="str">
        <f t="shared" si="440"/>
        <v>Outside</v>
      </c>
      <c r="K2311" s="8" t="str">
        <f t="shared" si="441"/>
        <v>Riparian</v>
      </c>
      <c r="L2311" s="8">
        <f t="shared" si="442"/>
        <v>1000</v>
      </c>
      <c r="M2311" s="8" t="str">
        <f t="shared" si="444"/>
        <v>-</v>
      </c>
      <c r="N2311" s="10" t="s">
        <v>242</v>
      </c>
      <c r="O2311" s="10" t="s">
        <v>242</v>
      </c>
      <c r="P2311" s="10" t="s">
        <v>242</v>
      </c>
      <c r="Q2311" s="10" t="s">
        <v>242</v>
      </c>
      <c r="R2311" s="10" t="s">
        <v>242</v>
      </c>
      <c r="S2311" s="10" t="s">
        <v>241</v>
      </c>
      <c r="T2311" s="10" t="s">
        <v>242</v>
      </c>
      <c r="U2311" s="10" t="s">
        <v>242</v>
      </c>
      <c r="V2311" s="10" t="s">
        <v>242</v>
      </c>
      <c r="W2311" s="10" t="s">
        <v>242</v>
      </c>
      <c r="X2311" s="15">
        <f>IF(ISERROR(VLOOKUP($A2311,'13. Updated Demand'!A:Z,15,FALSE)),0,VLOOKUP($A2311,'13. Updated Demand'!A:Z,15,FALSE))</f>
        <v>3.4525E-2</v>
      </c>
      <c r="Y2311" s="16">
        <f>IF(ISERROR(VLOOKUP($A2311,'13. Updated Demand'!A:Z,16,FALSE)),0,VLOOKUP($A2311,'13. Updated Demand'!A:Z,16,FALSE))</f>
        <v>3.4525E-2</v>
      </c>
      <c r="Z2311" s="16">
        <f>IF(ISERROR(VLOOKUP($A2311,'13. Updated Demand'!A:Z,17,FALSE)),0,VLOOKUP($A2311,'13. Updated Demand'!A:Z,17,FALSE))</f>
        <v>3.4525E-2</v>
      </c>
      <c r="AA2311" s="16">
        <f>IF(ISERROR(VLOOKUP($A2311,'13. Updated Demand'!A:Z,18,FALSE)),0,VLOOKUP($A2311,'13. Updated Demand'!A:Z,18,FALSE))</f>
        <v>3.4525E-2</v>
      </c>
      <c r="AB2311" s="16">
        <f>IF(ISERROR(VLOOKUP($A2311,'13. Updated Demand'!A:Z,19,FALSE)),0,VLOOKUP($A2311,'13. Updated Demand'!A:Z,19,FALSE))</f>
        <v>3.4525E-2</v>
      </c>
      <c r="AC2311" s="16">
        <f>IF(ISERROR(VLOOKUP($A2311,'13. Updated Demand'!A:Z,20,FALSE)),0,VLOOKUP($A2311,'13. Updated Demand'!A:Z,20,FALSE))</f>
        <v>3.4525E-2</v>
      </c>
      <c r="AD2311" s="16">
        <f>IF(ISERROR(VLOOKUP($A2311,'13. Updated Demand'!A:Z,21,FALSE)),0,VLOOKUP($A2311,'13. Updated Demand'!A:Z,21,FALSE))</f>
        <v>3.4525E-2</v>
      </c>
      <c r="AE2311" s="16">
        <f>IF(ISERROR(VLOOKUP($A2311,'13. Updated Demand'!A:Z,22,FALSE)),0,VLOOKUP($A2311,'13. Updated Demand'!A:Z,22,FALSE))</f>
        <v>3.4525E-2</v>
      </c>
      <c r="AF2311" s="16">
        <f>IF(ISERROR(VLOOKUP($A2311,'13. Updated Demand'!A:Z,23,FALSE)),0,VLOOKUP($A2311,'13. Updated Demand'!A:Z,23,FALSE))</f>
        <v>3.4525E-2</v>
      </c>
      <c r="AG2311" s="16">
        <f>IF(ISERROR(VLOOKUP($A2311,'13. Updated Demand'!A:Z,24,FALSE)),0,VLOOKUP($A2311,'13. Updated Demand'!A:Z,24,FALSE))</f>
        <v>3.4525E-2</v>
      </c>
      <c r="AH2311" s="16">
        <f>IF(ISERROR(VLOOKUP($A2311,'13. Updated Demand'!A:Z,25,FALSE)),0,VLOOKUP($A2311,'13. Updated Demand'!A:Z,25,FALSE))</f>
        <v>3.4525E-2</v>
      </c>
      <c r="AI2311" s="16">
        <f>IF(ISERROR(VLOOKUP($A2311,'13. Updated Demand'!A:Z,26,FALSE)),0,VLOOKUP($A2311,'13. Updated Demand'!A:Z,26,FALSE))</f>
        <v>3.4525E-2</v>
      </c>
      <c r="AJ2311" s="16">
        <f t="shared" si="433"/>
        <v>0.41430000000000011</v>
      </c>
      <c r="AK2311" s="19">
        <v>0.172625</v>
      </c>
      <c r="AL2311" s="16">
        <f t="shared" si="443"/>
        <v>5.725774611646373E-4</v>
      </c>
      <c r="AM2311" s="26">
        <v>1.0000000000000002</v>
      </c>
      <c r="AN2311" s="19">
        <v>0.4143</v>
      </c>
      <c r="AO2311" s="19" t="s">
        <v>1758</v>
      </c>
      <c r="AP2311" s="19">
        <v>0</v>
      </c>
      <c r="AQ2311" s="19" t="s">
        <v>307</v>
      </c>
      <c r="AR2311" s="9" t="s">
        <v>323</v>
      </c>
      <c r="AS2311" s="12">
        <v>3.4039024194010059E-4</v>
      </c>
      <c r="AT2311" s="19">
        <v>38.518799999999999</v>
      </c>
      <c r="AU2311" s="19">
        <v>-122.6096</v>
      </c>
      <c r="AV2311" s="19" t="s">
        <v>395</v>
      </c>
    </row>
    <row r="2312" spans="1:48" x14ac:dyDescent="0.25">
      <c r="A2312" s="18" t="s">
        <v>2775</v>
      </c>
      <c r="B2312" s="10">
        <v>10000000</v>
      </c>
      <c r="C2312" s="9">
        <v>18</v>
      </c>
      <c r="D2312" s="8" t="str">
        <f t="shared" si="434"/>
        <v>N</v>
      </c>
      <c r="E2312" s="8" t="str">
        <f t="shared" si="435"/>
        <v>N</v>
      </c>
      <c r="F2312" s="8" t="str">
        <f t="shared" si="436"/>
        <v>N</v>
      </c>
      <c r="G2312" s="8" t="str">
        <f t="shared" si="437"/>
        <v>N</v>
      </c>
      <c r="H2312" s="8" t="str">
        <f t="shared" si="438"/>
        <v>Lower</v>
      </c>
      <c r="I2312" s="8" t="str">
        <f t="shared" si="439"/>
        <v>Outside</v>
      </c>
      <c r="J2312" s="8" t="str">
        <f t="shared" si="440"/>
        <v>Outside</v>
      </c>
      <c r="K2312" s="8" t="str">
        <f t="shared" si="441"/>
        <v>Riparian</v>
      </c>
      <c r="L2312" s="8">
        <f t="shared" si="442"/>
        <v>1000</v>
      </c>
      <c r="M2312" s="8" t="str">
        <f t="shared" si="444"/>
        <v>-</v>
      </c>
      <c r="N2312" s="10" t="s">
        <v>242</v>
      </c>
      <c r="O2312" s="10" t="s">
        <v>242</v>
      </c>
      <c r="P2312" s="10" t="s">
        <v>242</v>
      </c>
      <c r="Q2312" s="10" t="s">
        <v>242</v>
      </c>
      <c r="R2312" s="10" t="s">
        <v>242</v>
      </c>
      <c r="S2312" s="10" t="s">
        <v>241</v>
      </c>
      <c r="T2312" s="10" t="s">
        <v>242</v>
      </c>
      <c r="U2312" s="10" t="s">
        <v>241</v>
      </c>
      <c r="V2312" s="10" t="s">
        <v>241</v>
      </c>
      <c r="W2312" s="10" t="s">
        <v>242</v>
      </c>
      <c r="X2312" s="15">
        <f>IF(ISERROR(VLOOKUP($A2312,'13. Updated Demand'!A:Z,15,FALSE)),0,VLOOKUP($A2312,'13. Updated Demand'!A:Z,15,FALSE))</f>
        <v>0</v>
      </c>
      <c r="Y2312" s="16">
        <f>IF(ISERROR(VLOOKUP($A2312,'13. Updated Demand'!A:Z,16,FALSE)),0,VLOOKUP($A2312,'13. Updated Demand'!A:Z,16,FALSE))</f>
        <v>0</v>
      </c>
      <c r="Z2312" s="16">
        <f>IF(ISERROR(VLOOKUP($A2312,'13. Updated Demand'!A:Z,17,FALSE)),0,VLOOKUP($A2312,'13. Updated Demand'!A:Z,17,FALSE))</f>
        <v>0</v>
      </c>
      <c r="AA2312" s="16">
        <f>IF(ISERROR(VLOOKUP($A2312,'13. Updated Demand'!A:Z,18,FALSE)),0,VLOOKUP($A2312,'13. Updated Demand'!A:Z,18,FALSE))</f>
        <v>0</v>
      </c>
      <c r="AB2312" s="16">
        <f>IF(ISERROR(VLOOKUP($A2312,'13. Updated Demand'!A:Z,19,FALSE)),0,VLOOKUP($A2312,'13. Updated Demand'!A:Z,19,FALSE))</f>
        <v>0</v>
      </c>
      <c r="AC2312" s="16">
        <f>IF(ISERROR(VLOOKUP($A2312,'13. Updated Demand'!A:Z,20,FALSE)),0,VLOOKUP($A2312,'13. Updated Demand'!A:Z,20,FALSE))</f>
        <v>0</v>
      </c>
      <c r="AD2312" s="16">
        <f>IF(ISERROR(VLOOKUP($A2312,'13. Updated Demand'!A:Z,21,FALSE)),0,VLOOKUP($A2312,'13. Updated Demand'!A:Z,21,FALSE))</f>
        <v>0</v>
      </c>
      <c r="AE2312" s="16">
        <f>IF(ISERROR(VLOOKUP($A2312,'13. Updated Demand'!A:Z,22,FALSE)),0,VLOOKUP($A2312,'13. Updated Demand'!A:Z,22,FALSE))</f>
        <v>0</v>
      </c>
      <c r="AF2312" s="16">
        <f>IF(ISERROR(VLOOKUP($A2312,'13. Updated Demand'!A:Z,23,FALSE)),0,VLOOKUP($A2312,'13. Updated Demand'!A:Z,23,FALSE))</f>
        <v>0</v>
      </c>
      <c r="AG2312" s="16">
        <f>IF(ISERROR(VLOOKUP($A2312,'13. Updated Demand'!A:Z,24,FALSE)),0,VLOOKUP($A2312,'13. Updated Demand'!A:Z,24,FALSE))</f>
        <v>0</v>
      </c>
      <c r="AH2312" s="16">
        <f>IF(ISERROR(VLOOKUP($A2312,'13. Updated Demand'!A:Z,25,FALSE)),0,VLOOKUP($A2312,'13. Updated Demand'!A:Z,25,FALSE))</f>
        <v>0</v>
      </c>
      <c r="AI2312" s="16">
        <f>IF(ISERROR(VLOOKUP($A2312,'13. Updated Demand'!A:Z,26,FALSE)),0,VLOOKUP($A2312,'13. Updated Demand'!A:Z,26,FALSE))</f>
        <v>0</v>
      </c>
      <c r="AJ2312" s="16">
        <f t="shared" si="433"/>
        <v>0</v>
      </c>
      <c r="AK2312" s="19">
        <v>0</v>
      </c>
      <c r="AL2312" s="16">
        <f t="shared" si="443"/>
        <v>0</v>
      </c>
      <c r="AM2312" s="26">
        <v>0</v>
      </c>
      <c r="AN2312" s="19">
        <v>0</v>
      </c>
      <c r="AO2312" s="19" t="s">
        <v>1758</v>
      </c>
      <c r="AP2312" s="19">
        <v>0</v>
      </c>
      <c r="AQ2312" s="19" t="s">
        <v>307</v>
      </c>
      <c r="AR2312" s="9" t="s">
        <v>352</v>
      </c>
      <c r="AS2312" s="12">
        <v>0</v>
      </c>
      <c r="AT2312" s="19">
        <v>38.3767</v>
      </c>
      <c r="AU2312" s="19">
        <v>-122.89279999999999</v>
      </c>
      <c r="AV2312" s="19" t="s">
        <v>414</v>
      </c>
    </row>
    <row r="2313" spans="1:48" x14ac:dyDescent="0.25">
      <c r="A2313" s="18" t="s">
        <v>2776</v>
      </c>
      <c r="B2313" s="10">
        <v>10000000</v>
      </c>
      <c r="C2313" s="9">
        <v>18</v>
      </c>
      <c r="D2313" s="8" t="str">
        <f t="shared" si="434"/>
        <v>N</v>
      </c>
      <c r="E2313" s="8" t="str">
        <f t="shared" si="435"/>
        <v>N</v>
      </c>
      <c r="F2313" s="8" t="str">
        <f t="shared" si="436"/>
        <v>N</v>
      </c>
      <c r="G2313" s="8" t="str">
        <f t="shared" si="437"/>
        <v>N</v>
      </c>
      <c r="H2313" s="8" t="str">
        <f t="shared" si="438"/>
        <v>Lower</v>
      </c>
      <c r="I2313" s="8" t="str">
        <f t="shared" si="439"/>
        <v>Outside</v>
      </c>
      <c r="J2313" s="8" t="str">
        <f t="shared" si="440"/>
        <v>Outside</v>
      </c>
      <c r="K2313" s="8" t="str">
        <f t="shared" si="441"/>
        <v>Riparian</v>
      </c>
      <c r="L2313" s="8">
        <f t="shared" si="442"/>
        <v>1000</v>
      </c>
      <c r="M2313" s="8" t="str">
        <f t="shared" si="444"/>
        <v>-</v>
      </c>
      <c r="N2313" s="10" t="s">
        <v>242</v>
      </c>
      <c r="O2313" s="10" t="s">
        <v>242</v>
      </c>
      <c r="P2313" s="10" t="s">
        <v>242</v>
      </c>
      <c r="Q2313" s="10" t="s">
        <v>242</v>
      </c>
      <c r="R2313" s="10" t="s">
        <v>242</v>
      </c>
      <c r="S2313" s="10" t="s">
        <v>241</v>
      </c>
      <c r="T2313" s="10" t="s">
        <v>242</v>
      </c>
      <c r="U2313" s="10" t="s">
        <v>242</v>
      </c>
      <c r="V2313" s="10" t="s">
        <v>242</v>
      </c>
      <c r="W2313" s="10" t="s">
        <v>242</v>
      </c>
      <c r="X2313" s="15">
        <f>IF(ISERROR(VLOOKUP($A2313,'13. Updated Demand'!A:Z,15,FALSE)),0,VLOOKUP($A2313,'13. Updated Demand'!A:Z,15,FALSE))</f>
        <v>0</v>
      </c>
      <c r="Y2313" s="16">
        <f>IF(ISERROR(VLOOKUP($A2313,'13. Updated Demand'!A:Z,16,FALSE)),0,VLOOKUP($A2313,'13. Updated Demand'!A:Z,16,FALSE))</f>
        <v>0</v>
      </c>
      <c r="Z2313" s="16">
        <f>IF(ISERROR(VLOOKUP($A2313,'13. Updated Demand'!A:Z,17,FALSE)),0,VLOOKUP($A2313,'13. Updated Demand'!A:Z,17,FALSE))</f>
        <v>0</v>
      </c>
      <c r="AA2313" s="16">
        <f>IF(ISERROR(VLOOKUP($A2313,'13. Updated Demand'!A:Z,18,FALSE)),0,VLOOKUP($A2313,'13. Updated Demand'!A:Z,18,FALSE))</f>
        <v>0</v>
      </c>
      <c r="AB2313" s="16">
        <f>IF(ISERROR(VLOOKUP($A2313,'13. Updated Demand'!A:Z,19,FALSE)),0,VLOOKUP($A2313,'13. Updated Demand'!A:Z,19,FALSE))</f>
        <v>0</v>
      </c>
      <c r="AC2313" s="16">
        <f>IF(ISERROR(VLOOKUP($A2313,'13. Updated Demand'!A:Z,20,FALSE)),0,VLOOKUP($A2313,'13. Updated Demand'!A:Z,20,FALSE))</f>
        <v>5.1366670000000001E-3</v>
      </c>
      <c r="AD2313" s="16">
        <f>IF(ISERROR(VLOOKUP($A2313,'13. Updated Demand'!A:Z,21,FALSE)),0,VLOOKUP($A2313,'13. Updated Demand'!A:Z,21,FALSE))</f>
        <v>5.396667E-3</v>
      </c>
      <c r="AE2313" s="16">
        <f>IF(ISERROR(VLOOKUP($A2313,'13. Updated Demand'!A:Z,22,FALSE)),0,VLOOKUP($A2313,'13. Updated Demand'!A:Z,22,FALSE))</f>
        <v>5.396667E-3</v>
      </c>
      <c r="AF2313" s="16">
        <f>IF(ISERROR(VLOOKUP($A2313,'13. Updated Demand'!A:Z,23,FALSE)),0,VLOOKUP($A2313,'13. Updated Demand'!A:Z,23,FALSE))</f>
        <v>6.0033329999999996E-3</v>
      </c>
      <c r="AG2313" s="16">
        <f>IF(ISERROR(VLOOKUP($A2313,'13. Updated Demand'!A:Z,24,FALSE)),0,VLOOKUP($A2313,'13. Updated Demand'!A:Z,24,FALSE))</f>
        <v>1.0200000000000001E-3</v>
      </c>
      <c r="AH2313" s="16">
        <f>IF(ISERROR(VLOOKUP($A2313,'13. Updated Demand'!A:Z,25,FALSE)),0,VLOOKUP($A2313,'13. Updated Demand'!A:Z,25,FALSE))</f>
        <v>0</v>
      </c>
      <c r="AI2313" s="16">
        <f>IF(ISERROR(VLOOKUP($A2313,'13. Updated Demand'!A:Z,26,FALSE)),0,VLOOKUP($A2313,'13. Updated Demand'!A:Z,26,FALSE))</f>
        <v>0</v>
      </c>
      <c r="AJ2313" s="16">
        <f t="shared" si="433"/>
        <v>2.2953333999999999E-2</v>
      </c>
      <c r="AK2313" s="19">
        <v>2.1933333999999999E-2</v>
      </c>
      <c r="AL2313" s="16">
        <f t="shared" si="443"/>
        <v>7.2750370436472221E-5</v>
      </c>
      <c r="AM2313" s="26">
        <v>1.0247024107142857</v>
      </c>
      <c r="AN2313" s="19">
        <v>2.24E-2</v>
      </c>
      <c r="AO2313" s="19" t="s">
        <v>1758</v>
      </c>
      <c r="AP2313" s="19">
        <v>0</v>
      </c>
      <c r="AQ2313" s="19" t="s">
        <v>307</v>
      </c>
      <c r="AR2313" s="9" t="s">
        <v>352</v>
      </c>
      <c r="AS2313" s="12">
        <v>0</v>
      </c>
      <c r="AT2313" s="19">
        <v>38.434538000000003</v>
      </c>
      <c r="AU2313" s="19">
        <v>-122.900131</v>
      </c>
      <c r="AV2313" s="19" t="s">
        <v>2777</v>
      </c>
    </row>
    <row r="2314" spans="1:48" x14ac:dyDescent="0.25">
      <c r="A2314" s="18" t="s">
        <v>2778</v>
      </c>
      <c r="B2314" s="10">
        <v>10000000</v>
      </c>
      <c r="C2314" s="9">
        <v>1</v>
      </c>
      <c r="D2314" s="8" t="str">
        <f t="shared" si="434"/>
        <v>N</v>
      </c>
      <c r="E2314" s="8" t="str">
        <f t="shared" si="435"/>
        <v>N</v>
      </c>
      <c r="F2314" s="8" t="str">
        <f t="shared" si="436"/>
        <v>Y</v>
      </c>
      <c r="G2314" s="8" t="str">
        <f t="shared" si="437"/>
        <v>Y</v>
      </c>
      <c r="H2314" s="8" t="str">
        <f t="shared" si="438"/>
        <v>Upper</v>
      </c>
      <c r="I2314" s="8" t="str">
        <f t="shared" si="439"/>
        <v>West Fork and Below Lake</v>
      </c>
      <c r="J2314" s="8" t="str">
        <f t="shared" si="440"/>
        <v>Outside</v>
      </c>
      <c r="K2314" s="8" t="str">
        <f t="shared" si="441"/>
        <v>Riparian</v>
      </c>
      <c r="L2314" s="8">
        <f t="shared" si="442"/>
        <v>1000</v>
      </c>
      <c r="M2314" s="8" t="str">
        <f t="shared" si="444"/>
        <v>-</v>
      </c>
      <c r="N2314" s="10" t="s">
        <v>242</v>
      </c>
      <c r="O2314" s="10" t="s">
        <v>241</v>
      </c>
      <c r="P2314" s="10" t="s">
        <v>242</v>
      </c>
      <c r="Q2314" s="10" t="s">
        <v>242</v>
      </c>
      <c r="R2314" s="10" t="s">
        <v>242</v>
      </c>
      <c r="S2314" s="10" t="s">
        <v>241</v>
      </c>
      <c r="T2314" s="10" t="s">
        <v>242</v>
      </c>
      <c r="U2314" s="10" t="s">
        <v>241</v>
      </c>
      <c r="V2314" s="10" t="s">
        <v>241</v>
      </c>
      <c r="W2314" s="10" t="s">
        <v>242</v>
      </c>
      <c r="X2314" s="15">
        <f>IF(ISERROR(VLOOKUP($A2314,'13. Updated Demand'!A:Z,15,FALSE)),0,VLOOKUP($A2314,'13. Updated Demand'!A:Z,15,FALSE))</f>
        <v>0</v>
      </c>
      <c r="Y2314" s="16">
        <f>IF(ISERROR(VLOOKUP($A2314,'13. Updated Demand'!A:Z,16,FALSE)),0,VLOOKUP($A2314,'13. Updated Demand'!A:Z,16,FALSE))</f>
        <v>0</v>
      </c>
      <c r="Z2314" s="16">
        <f>IF(ISERROR(VLOOKUP($A2314,'13. Updated Demand'!A:Z,17,FALSE)),0,VLOOKUP($A2314,'13. Updated Demand'!A:Z,17,FALSE))</f>
        <v>0</v>
      </c>
      <c r="AA2314" s="16">
        <f>IF(ISERROR(VLOOKUP($A2314,'13. Updated Demand'!A:Z,18,FALSE)),0,VLOOKUP($A2314,'13. Updated Demand'!A:Z,18,FALSE))</f>
        <v>0</v>
      </c>
      <c r="AB2314" s="16">
        <f>IF(ISERROR(VLOOKUP($A2314,'13. Updated Demand'!A:Z,19,FALSE)),0,VLOOKUP($A2314,'13. Updated Demand'!A:Z,19,FALSE))</f>
        <v>0</v>
      </c>
      <c r="AC2314" s="16">
        <f>IF(ISERROR(VLOOKUP($A2314,'13. Updated Demand'!A:Z,20,FALSE)),0,VLOOKUP($A2314,'13. Updated Demand'!A:Z,20,FALSE))</f>
        <v>0</v>
      </c>
      <c r="AD2314" s="16">
        <f>IF(ISERROR(VLOOKUP($A2314,'13. Updated Demand'!A:Z,21,FALSE)),0,VLOOKUP($A2314,'13. Updated Demand'!A:Z,21,FALSE))</f>
        <v>0</v>
      </c>
      <c r="AE2314" s="16">
        <f>IF(ISERROR(VLOOKUP($A2314,'13. Updated Demand'!A:Z,22,FALSE)),0,VLOOKUP($A2314,'13. Updated Demand'!A:Z,22,FALSE))</f>
        <v>0</v>
      </c>
      <c r="AF2314" s="16">
        <f>IF(ISERROR(VLOOKUP($A2314,'13. Updated Demand'!A:Z,23,FALSE)),0,VLOOKUP($A2314,'13. Updated Demand'!A:Z,23,FALSE))</f>
        <v>0</v>
      </c>
      <c r="AG2314" s="16">
        <f>IF(ISERROR(VLOOKUP($A2314,'13. Updated Demand'!A:Z,24,FALSE)),0,VLOOKUP($A2314,'13. Updated Demand'!A:Z,24,FALSE))</f>
        <v>0</v>
      </c>
      <c r="AH2314" s="16">
        <f>IF(ISERROR(VLOOKUP($A2314,'13. Updated Demand'!A:Z,25,FALSE)),0,VLOOKUP($A2314,'13. Updated Demand'!A:Z,25,FALSE))</f>
        <v>0</v>
      </c>
      <c r="AI2314" s="16">
        <f>IF(ISERROR(VLOOKUP($A2314,'13. Updated Demand'!A:Z,26,FALSE)),0,VLOOKUP($A2314,'13. Updated Demand'!A:Z,26,FALSE))</f>
        <v>0</v>
      </c>
      <c r="AJ2314" s="16">
        <f t="shared" si="433"/>
        <v>0</v>
      </c>
      <c r="AK2314" s="19">
        <v>0</v>
      </c>
      <c r="AL2314" s="16">
        <f t="shared" si="443"/>
        <v>0</v>
      </c>
      <c r="AM2314" s="26">
        <v>0</v>
      </c>
      <c r="AN2314" s="19">
        <v>0.94769999999999999</v>
      </c>
      <c r="AO2314" s="19" t="s">
        <v>1758</v>
      </c>
      <c r="AP2314" s="19">
        <v>0</v>
      </c>
      <c r="AQ2314" s="19" t="s">
        <v>307</v>
      </c>
      <c r="AR2314" s="9" t="s">
        <v>317</v>
      </c>
      <c r="AS2314" s="12">
        <v>3.4039024194010059E-4</v>
      </c>
      <c r="AT2314" s="19">
        <v>39.340262000000003</v>
      </c>
      <c r="AU2314" s="19">
        <v>-123.22880600000001</v>
      </c>
      <c r="AV2314" s="19" t="s">
        <v>1788</v>
      </c>
    </row>
    <row r="2315" spans="1:48" x14ac:dyDescent="0.25">
      <c r="A2315" s="18" t="s">
        <v>2779</v>
      </c>
      <c r="B2315" s="10">
        <v>10000000</v>
      </c>
      <c r="C2315" s="9">
        <v>1</v>
      </c>
      <c r="D2315" s="8" t="str">
        <f t="shared" si="434"/>
        <v>N</v>
      </c>
      <c r="E2315" s="8" t="str">
        <f t="shared" si="435"/>
        <v>N</v>
      </c>
      <c r="F2315" s="8" t="str">
        <f t="shared" si="436"/>
        <v>Y</v>
      </c>
      <c r="G2315" s="8" t="str">
        <f t="shared" si="437"/>
        <v>Y</v>
      </c>
      <c r="H2315" s="8" t="str">
        <f t="shared" si="438"/>
        <v>Upper</v>
      </c>
      <c r="I2315" s="8" t="str">
        <f t="shared" si="439"/>
        <v>West Fork and Below Lake</v>
      </c>
      <c r="J2315" s="8" t="str">
        <f t="shared" si="440"/>
        <v>Outside</v>
      </c>
      <c r="K2315" s="8" t="str">
        <f t="shared" si="441"/>
        <v>Riparian</v>
      </c>
      <c r="L2315" s="8">
        <f t="shared" si="442"/>
        <v>1000</v>
      </c>
      <c r="M2315" s="8" t="str">
        <f t="shared" si="444"/>
        <v>-</v>
      </c>
      <c r="N2315" s="10" t="s">
        <v>242</v>
      </c>
      <c r="O2315" s="10" t="s">
        <v>241</v>
      </c>
      <c r="P2315" s="10" t="s">
        <v>242</v>
      </c>
      <c r="Q2315" s="10" t="s">
        <v>242</v>
      </c>
      <c r="R2315" s="10" t="s">
        <v>242</v>
      </c>
      <c r="S2315" s="10" t="s">
        <v>241</v>
      </c>
      <c r="T2315" s="10" t="s">
        <v>241</v>
      </c>
      <c r="U2315" s="10" t="s">
        <v>241</v>
      </c>
      <c r="V2315" s="10" t="s">
        <v>241</v>
      </c>
      <c r="W2315" s="10" t="s">
        <v>242</v>
      </c>
      <c r="X2315" s="15">
        <f>IF(ISERROR(VLOOKUP($A2315,'13. Updated Demand'!A:Z,15,FALSE)),0,VLOOKUP($A2315,'13. Updated Demand'!A:Z,15,FALSE))</f>
        <v>0</v>
      </c>
      <c r="Y2315" s="16">
        <f>IF(ISERROR(VLOOKUP($A2315,'13. Updated Demand'!A:Z,16,FALSE)),0,VLOOKUP($A2315,'13. Updated Demand'!A:Z,16,FALSE))</f>
        <v>0</v>
      </c>
      <c r="Z2315" s="16">
        <f>IF(ISERROR(VLOOKUP($A2315,'13. Updated Demand'!A:Z,17,FALSE)),0,VLOOKUP($A2315,'13. Updated Demand'!A:Z,17,FALSE))</f>
        <v>0</v>
      </c>
      <c r="AA2315" s="16">
        <f>IF(ISERROR(VLOOKUP($A2315,'13. Updated Demand'!A:Z,18,FALSE)),0,VLOOKUP($A2315,'13. Updated Demand'!A:Z,18,FALSE))</f>
        <v>0</v>
      </c>
      <c r="AB2315" s="16">
        <f>IF(ISERROR(VLOOKUP($A2315,'13. Updated Demand'!A:Z,19,FALSE)),0,VLOOKUP($A2315,'13. Updated Demand'!A:Z,19,FALSE))</f>
        <v>0</v>
      </c>
      <c r="AC2315" s="16">
        <f>IF(ISERROR(VLOOKUP($A2315,'13. Updated Demand'!A:Z,20,FALSE)),0,VLOOKUP($A2315,'13. Updated Demand'!A:Z,20,FALSE))</f>
        <v>0</v>
      </c>
      <c r="AD2315" s="16">
        <f>IF(ISERROR(VLOOKUP($A2315,'13. Updated Demand'!A:Z,21,FALSE)),0,VLOOKUP($A2315,'13. Updated Demand'!A:Z,21,FALSE))</f>
        <v>0</v>
      </c>
      <c r="AE2315" s="16">
        <f>IF(ISERROR(VLOOKUP($A2315,'13. Updated Demand'!A:Z,22,FALSE)),0,VLOOKUP($A2315,'13. Updated Demand'!A:Z,22,FALSE))</f>
        <v>0</v>
      </c>
      <c r="AF2315" s="16">
        <f>IF(ISERROR(VLOOKUP($A2315,'13. Updated Demand'!A:Z,23,FALSE)),0,VLOOKUP($A2315,'13. Updated Demand'!A:Z,23,FALSE))</f>
        <v>0</v>
      </c>
      <c r="AG2315" s="16">
        <f>IF(ISERROR(VLOOKUP($A2315,'13. Updated Demand'!A:Z,24,FALSE)),0,VLOOKUP($A2315,'13. Updated Demand'!A:Z,24,FALSE))</f>
        <v>0</v>
      </c>
      <c r="AH2315" s="16">
        <f>IF(ISERROR(VLOOKUP($A2315,'13. Updated Demand'!A:Z,25,FALSE)),0,VLOOKUP($A2315,'13. Updated Demand'!A:Z,25,FALSE))</f>
        <v>0</v>
      </c>
      <c r="AI2315" s="16">
        <f>IF(ISERROR(VLOOKUP($A2315,'13. Updated Demand'!A:Z,26,FALSE)),0,VLOOKUP($A2315,'13. Updated Demand'!A:Z,26,FALSE))</f>
        <v>0</v>
      </c>
      <c r="AJ2315" s="16">
        <f t="shared" si="433"/>
        <v>0</v>
      </c>
      <c r="AK2315" s="19">
        <v>0</v>
      </c>
      <c r="AL2315" s="16">
        <f t="shared" si="443"/>
        <v>0</v>
      </c>
      <c r="AM2315" s="26">
        <v>0</v>
      </c>
      <c r="AN2315" s="19">
        <v>1.5</v>
      </c>
      <c r="AO2315" s="19" t="s">
        <v>1758</v>
      </c>
      <c r="AP2315" s="19">
        <v>0</v>
      </c>
      <c r="AQ2315" s="19" t="s">
        <v>307</v>
      </c>
      <c r="AR2315" s="9" t="s">
        <v>317</v>
      </c>
      <c r="AS2315" s="12">
        <v>3.4039024194010059E-4</v>
      </c>
      <c r="AT2315" s="19">
        <v>39.340164000000001</v>
      </c>
      <c r="AU2315" s="19">
        <v>-123.22929600000001</v>
      </c>
      <c r="AV2315" s="19" t="s">
        <v>1788</v>
      </c>
    </row>
    <row r="2316" spans="1:48" x14ac:dyDescent="0.25">
      <c r="A2316" s="18" t="s">
        <v>2780</v>
      </c>
      <c r="B2316" s="10">
        <v>10000000</v>
      </c>
      <c r="C2316" s="9">
        <v>13</v>
      </c>
      <c r="D2316" s="8" t="str">
        <f t="shared" si="434"/>
        <v>N</v>
      </c>
      <c r="E2316" s="8" t="str">
        <f t="shared" si="435"/>
        <v>Y</v>
      </c>
      <c r="F2316" s="8" t="str">
        <f t="shared" si="436"/>
        <v>Y</v>
      </c>
      <c r="G2316" s="8" t="str">
        <f t="shared" si="437"/>
        <v>Y</v>
      </c>
      <c r="H2316" s="8" t="str">
        <f t="shared" si="438"/>
        <v>Upper</v>
      </c>
      <c r="I2316" s="8" t="str">
        <f t="shared" si="439"/>
        <v>West Fork and Below Lake</v>
      </c>
      <c r="J2316" s="8" t="str">
        <f t="shared" si="440"/>
        <v>Sonoma (d/s of Clov. Gage)</v>
      </c>
      <c r="K2316" s="8" t="str">
        <f t="shared" si="441"/>
        <v>Riparian</v>
      </c>
      <c r="L2316" s="8">
        <f t="shared" si="442"/>
        <v>1000</v>
      </c>
      <c r="M2316" s="8" t="str">
        <f t="shared" si="444"/>
        <v>-</v>
      </c>
      <c r="N2316" s="10" t="s">
        <v>242</v>
      </c>
      <c r="O2316" s="10" t="s">
        <v>241</v>
      </c>
      <c r="P2316" s="10" t="s">
        <v>242</v>
      </c>
      <c r="Q2316" s="10" t="s">
        <v>242</v>
      </c>
      <c r="R2316" s="10" t="s">
        <v>242</v>
      </c>
      <c r="S2316" s="10" t="s">
        <v>241</v>
      </c>
      <c r="T2316" s="10" t="s">
        <v>242</v>
      </c>
      <c r="U2316" s="10" t="s">
        <v>242</v>
      </c>
      <c r="V2316" s="10" t="s">
        <v>242</v>
      </c>
      <c r="W2316" s="10" t="s">
        <v>242</v>
      </c>
      <c r="X2316" s="15">
        <f>IF(ISERROR(VLOOKUP($A2316,'13. Updated Demand'!A:Z,15,FALSE)),0,VLOOKUP($A2316,'13. Updated Demand'!A:Z,15,FALSE))</f>
        <v>0</v>
      </c>
      <c r="Y2316" s="16">
        <f>IF(ISERROR(VLOOKUP($A2316,'13. Updated Demand'!A:Z,16,FALSE)),0,VLOOKUP($A2316,'13. Updated Demand'!A:Z,16,FALSE))</f>
        <v>2.1186669999999999E-3</v>
      </c>
      <c r="Z2316" s="16">
        <f>IF(ISERROR(VLOOKUP($A2316,'13. Updated Demand'!A:Z,17,FALSE)),0,VLOOKUP($A2316,'13. Updated Demand'!A:Z,17,FALSE))</f>
        <v>0.03</v>
      </c>
      <c r="AA2316" s="16">
        <f>IF(ISERROR(VLOOKUP($A2316,'13. Updated Demand'!A:Z,18,FALSE)),0,VLOOKUP($A2316,'13. Updated Demand'!A:Z,18,FALSE))</f>
        <v>0.01</v>
      </c>
      <c r="AB2316" s="16">
        <f>IF(ISERROR(VLOOKUP($A2316,'13. Updated Demand'!A:Z,19,FALSE)),0,VLOOKUP($A2316,'13. Updated Demand'!A:Z,19,FALSE))</f>
        <v>0.08</v>
      </c>
      <c r="AC2316" s="16">
        <f>IF(ISERROR(VLOOKUP($A2316,'13. Updated Demand'!A:Z,20,FALSE)),0,VLOOKUP($A2316,'13. Updated Demand'!A:Z,20,FALSE))</f>
        <v>0.5</v>
      </c>
      <c r="AD2316" s="16">
        <f>IF(ISERROR(VLOOKUP($A2316,'13. Updated Demand'!A:Z,21,FALSE)),0,VLOOKUP($A2316,'13. Updated Demand'!A:Z,21,FALSE))</f>
        <v>0.4</v>
      </c>
      <c r="AE2316" s="16">
        <f>IF(ISERROR(VLOOKUP($A2316,'13. Updated Demand'!A:Z,22,FALSE)),0,VLOOKUP($A2316,'13. Updated Demand'!A:Z,22,FALSE))</f>
        <v>0.28999999999999998</v>
      </c>
      <c r="AF2316" s="16">
        <f>IF(ISERROR(VLOOKUP($A2316,'13. Updated Demand'!A:Z,23,FALSE)),0,VLOOKUP($A2316,'13. Updated Demand'!A:Z,23,FALSE))</f>
        <v>0.17</v>
      </c>
      <c r="AG2316" s="16">
        <f>IF(ISERROR(VLOOKUP($A2316,'13. Updated Demand'!A:Z,24,FALSE)),0,VLOOKUP($A2316,'13. Updated Demand'!A:Z,24,FALSE))</f>
        <v>1.621333E-3</v>
      </c>
      <c r="AH2316" s="16">
        <f>IF(ISERROR(VLOOKUP($A2316,'13. Updated Demand'!A:Z,25,FALSE)),0,VLOOKUP($A2316,'13. Updated Demand'!A:Z,25,FALSE))</f>
        <v>3.5399999999999999E-4</v>
      </c>
      <c r="AI2316" s="16">
        <f>IF(ISERROR(VLOOKUP($A2316,'13. Updated Demand'!A:Z,26,FALSE)),0,VLOOKUP($A2316,'13. Updated Demand'!A:Z,26,FALSE))</f>
        <v>0</v>
      </c>
      <c r="AJ2316" s="16">
        <f t="shared" si="433"/>
        <v>1.4840939999999998</v>
      </c>
      <c r="AK2316" s="19">
        <v>1.465142666</v>
      </c>
      <c r="AL2316" s="16">
        <f t="shared" si="443"/>
        <v>4.8597113276887356E-3</v>
      </c>
      <c r="AM2316" s="26">
        <v>1.1978934377952755</v>
      </c>
      <c r="AN2316" s="19">
        <v>1.27</v>
      </c>
      <c r="AO2316" s="19" t="s">
        <v>1758</v>
      </c>
      <c r="AP2316" s="19">
        <v>0</v>
      </c>
      <c r="AQ2316" s="19" t="s">
        <v>307</v>
      </c>
      <c r="AR2316" s="9" t="s">
        <v>507</v>
      </c>
      <c r="AS2316" s="12">
        <v>0</v>
      </c>
      <c r="AT2316" s="19">
        <v>38.600614</v>
      </c>
      <c r="AU2316" s="19">
        <v>-122.843324</v>
      </c>
      <c r="AV2316" s="19" t="s">
        <v>548</v>
      </c>
    </row>
    <row r="2317" spans="1:48" x14ac:dyDescent="0.25">
      <c r="A2317" s="18" t="s">
        <v>2781</v>
      </c>
      <c r="B2317" s="10">
        <v>10000000</v>
      </c>
      <c r="C2317" s="9">
        <v>4</v>
      </c>
      <c r="D2317" s="8" t="str">
        <f t="shared" si="434"/>
        <v>Y</v>
      </c>
      <c r="E2317" s="8" t="str">
        <f t="shared" si="435"/>
        <v>N</v>
      </c>
      <c r="F2317" s="8" t="str">
        <f t="shared" si="436"/>
        <v>Y</v>
      </c>
      <c r="G2317" s="8" t="str">
        <f t="shared" si="437"/>
        <v>Y</v>
      </c>
      <c r="H2317" s="8" t="str">
        <f t="shared" si="438"/>
        <v>Upper</v>
      </c>
      <c r="I2317" s="8" t="str">
        <f t="shared" si="439"/>
        <v>West Fork and Below Lake</v>
      </c>
      <c r="J2317" s="8" t="str">
        <f t="shared" si="440"/>
        <v>Mendocino (d/s of lake)</v>
      </c>
      <c r="K2317" s="8" t="str">
        <f t="shared" si="441"/>
        <v>Riparian</v>
      </c>
      <c r="L2317" s="8">
        <f t="shared" si="442"/>
        <v>1000</v>
      </c>
      <c r="M2317" s="8" t="str">
        <f t="shared" si="444"/>
        <v>-</v>
      </c>
      <c r="N2317" s="10" t="s">
        <v>241</v>
      </c>
      <c r="O2317" s="10" t="s">
        <v>241</v>
      </c>
      <c r="P2317" s="10" t="s">
        <v>242</v>
      </c>
      <c r="Q2317" s="10" t="s">
        <v>242</v>
      </c>
      <c r="R2317" s="10" t="s">
        <v>242</v>
      </c>
      <c r="S2317" s="10" t="s">
        <v>241</v>
      </c>
      <c r="T2317" s="10" t="s">
        <v>242</v>
      </c>
      <c r="U2317" s="10" t="s">
        <v>242</v>
      </c>
      <c r="V2317" s="10" t="s">
        <v>242</v>
      </c>
      <c r="W2317" s="10" t="s">
        <v>242</v>
      </c>
      <c r="X2317" s="15">
        <f>IF(ISERROR(VLOOKUP($A2317,'13. Updated Demand'!A:Z,15,FALSE)),0,VLOOKUP($A2317,'13. Updated Demand'!A:Z,15,FALSE))</f>
        <v>0</v>
      </c>
      <c r="Y2317" s="16">
        <f>IF(ISERROR(VLOOKUP($A2317,'13. Updated Demand'!A:Z,16,FALSE)),0,VLOOKUP($A2317,'13. Updated Demand'!A:Z,16,FALSE))</f>
        <v>0</v>
      </c>
      <c r="Z2317" s="16">
        <f>IF(ISERROR(VLOOKUP($A2317,'13. Updated Demand'!A:Z,17,FALSE)),0,VLOOKUP($A2317,'13. Updated Demand'!A:Z,17,FALSE))</f>
        <v>0</v>
      </c>
      <c r="AA2317" s="16">
        <f>IF(ISERROR(VLOOKUP($A2317,'13. Updated Demand'!A:Z,18,FALSE)),0,VLOOKUP($A2317,'13. Updated Demand'!A:Z,18,FALSE))</f>
        <v>0</v>
      </c>
      <c r="AB2317" s="16">
        <f>IF(ISERROR(VLOOKUP($A2317,'13. Updated Demand'!A:Z,19,FALSE)),0,VLOOKUP($A2317,'13. Updated Demand'!A:Z,19,FALSE))</f>
        <v>3.97</v>
      </c>
      <c r="AC2317" s="16">
        <f>IF(ISERROR(VLOOKUP($A2317,'13. Updated Demand'!A:Z,20,FALSE)),0,VLOOKUP($A2317,'13. Updated Demand'!A:Z,20,FALSE))</f>
        <v>3.97</v>
      </c>
      <c r="AD2317" s="16">
        <f>IF(ISERROR(VLOOKUP($A2317,'13. Updated Demand'!A:Z,21,FALSE)),0,VLOOKUP($A2317,'13. Updated Demand'!A:Z,21,FALSE))</f>
        <v>3.97</v>
      </c>
      <c r="AE2317" s="16">
        <f>IF(ISERROR(VLOOKUP($A2317,'13. Updated Demand'!A:Z,22,FALSE)),0,VLOOKUP($A2317,'13. Updated Demand'!A:Z,22,FALSE))</f>
        <v>3.97</v>
      </c>
      <c r="AF2317" s="16">
        <f>IF(ISERROR(VLOOKUP($A2317,'13. Updated Demand'!A:Z,23,FALSE)),0,VLOOKUP($A2317,'13. Updated Demand'!A:Z,23,FALSE))</f>
        <v>3.97</v>
      </c>
      <c r="AG2317" s="16">
        <f>IF(ISERROR(VLOOKUP($A2317,'13. Updated Demand'!A:Z,24,FALSE)),0,VLOOKUP($A2317,'13. Updated Demand'!A:Z,24,FALSE))</f>
        <v>3.97</v>
      </c>
      <c r="AH2317" s="16">
        <f>IF(ISERROR(VLOOKUP($A2317,'13. Updated Demand'!A:Z,25,FALSE)),0,VLOOKUP($A2317,'13. Updated Demand'!A:Z,25,FALSE))</f>
        <v>0</v>
      </c>
      <c r="AI2317" s="16">
        <f>IF(ISERROR(VLOOKUP($A2317,'13. Updated Demand'!A:Z,26,FALSE)),0,VLOOKUP($A2317,'13. Updated Demand'!A:Z,26,FALSE))</f>
        <v>0</v>
      </c>
      <c r="AJ2317" s="16">
        <f t="shared" si="433"/>
        <v>23.82</v>
      </c>
      <c r="AK2317" s="19">
        <v>19.885999999999999</v>
      </c>
      <c r="AL2317" s="16">
        <f t="shared" si="443"/>
        <v>6.5959596771730494E-2</v>
      </c>
      <c r="AM2317" s="26">
        <v>3.5510714285714284</v>
      </c>
      <c r="AN2317" s="19">
        <v>6.72</v>
      </c>
      <c r="AO2317" s="19" t="s">
        <v>1758</v>
      </c>
      <c r="AP2317" s="19">
        <v>0</v>
      </c>
      <c r="AQ2317" s="19" t="s">
        <v>307</v>
      </c>
      <c r="AR2317" s="9" t="s">
        <v>331</v>
      </c>
      <c r="AS2317" s="12">
        <v>3.4039024194010059E-4</v>
      </c>
      <c r="AT2317" s="19">
        <v>39.189822220000003</v>
      </c>
      <c r="AU2317" s="19">
        <v>-123.1991</v>
      </c>
      <c r="AV2317" s="19" t="s">
        <v>2782</v>
      </c>
    </row>
    <row r="2318" spans="1:48" x14ac:dyDescent="0.25">
      <c r="A2318" s="18" t="s">
        <v>2783</v>
      </c>
      <c r="B2318" s="10">
        <v>10000000</v>
      </c>
      <c r="C2318" s="9">
        <v>1</v>
      </c>
      <c r="D2318" s="8" t="str">
        <f t="shared" si="434"/>
        <v>N</v>
      </c>
      <c r="E2318" s="8" t="str">
        <f t="shared" si="435"/>
        <v>N</v>
      </c>
      <c r="F2318" s="8" t="str">
        <f t="shared" si="436"/>
        <v>Y</v>
      </c>
      <c r="G2318" s="8" t="str">
        <f t="shared" si="437"/>
        <v>Y</v>
      </c>
      <c r="H2318" s="8" t="str">
        <f t="shared" si="438"/>
        <v>Upper</v>
      </c>
      <c r="I2318" s="8" t="str">
        <f t="shared" si="439"/>
        <v>West Fork and Below Lake</v>
      </c>
      <c r="J2318" s="8" t="str">
        <f t="shared" si="440"/>
        <v>Outside</v>
      </c>
      <c r="K2318" s="8" t="str">
        <f t="shared" si="441"/>
        <v>Riparian</v>
      </c>
      <c r="L2318" s="8">
        <f t="shared" si="442"/>
        <v>1000</v>
      </c>
      <c r="M2318" s="8" t="str">
        <f t="shared" si="444"/>
        <v>-</v>
      </c>
      <c r="N2318" s="10" t="s">
        <v>242</v>
      </c>
      <c r="O2318" s="10" t="s">
        <v>241</v>
      </c>
      <c r="P2318" s="10" t="s">
        <v>242</v>
      </c>
      <c r="Q2318" s="10" t="s">
        <v>242</v>
      </c>
      <c r="R2318" s="10" t="s">
        <v>242</v>
      </c>
      <c r="S2318" s="10" t="s">
        <v>241</v>
      </c>
      <c r="T2318" s="10" t="s">
        <v>242</v>
      </c>
      <c r="U2318" s="10" t="s">
        <v>242</v>
      </c>
      <c r="V2318" s="10" t="s">
        <v>242</v>
      </c>
      <c r="W2318" s="10" t="s">
        <v>242</v>
      </c>
      <c r="X2318" s="15">
        <f>IF(ISERROR(VLOOKUP($A2318,'13. Updated Demand'!A:Z,15,FALSE)),0,VLOOKUP($A2318,'13. Updated Demand'!A:Z,15,FALSE))</f>
        <v>0</v>
      </c>
      <c r="Y2318" s="16">
        <f>IF(ISERROR(VLOOKUP($A2318,'13. Updated Demand'!A:Z,16,FALSE)),0,VLOOKUP($A2318,'13. Updated Demand'!A:Z,16,FALSE))</f>
        <v>0</v>
      </c>
      <c r="Z2318" s="16">
        <f>IF(ISERROR(VLOOKUP($A2318,'13. Updated Demand'!A:Z,17,FALSE)),0,VLOOKUP($A2318,'13. Updated Demand'!A:Z,17,FALSE))</f>
        <v>0</v>
      </c>
      <c r="AA2318" s="16">
        <f>IF(ISERROR(VLOOKUP($A2318,'13. Updated Demand'!A:Z,18,FALSE)),0,VLOOKUP($A2318,'13. Updated Demand'!A:Z,18,FALSE))</f>
        <v>6.1399999999999996E-4</v>
      </c>
      <c r="AB2318" s="16">
        <f>IF(ISERROR(VLOOKUP($A2318,'13. Updated Demand'!A:Z,19,FALSE)),0,VLOOKUP($A2318,'13. Updated Demand'!A:Z,19,FALSE))</f>
        <v>9.2100000000000005E-4</v>
      </c>
      <c r="AC2318" s="16">
        <f>IF(ISERROR(VLOOKUP($A2318,'13. Updated Demand'!A:Z,20,FALSE)),0,VLOOKUP($A2318,'13. Updated Demand'!A:Z,20,FALSE))</f>
        <v>3.6830000000000001E-3</v>
      </c>
      <c r="AD2318" s="16">
        <f>IF(ISERROR(VLOOKUP($A2318,'13. Updated Demand'!A:Z,21,FALSE)),0,VLOOKUP($A2318,'13. Updated Demand'!A:Z,21,FALSE))</f>
        <v>0.01</v>
      </c>
      <c r="AE2318" s="16">
        <f>IF(ISERROR(VLOOKUP($A2318,'13. Updated Demand'!A:Z,22,FALSE)),0,VLOOKUP($A2318,'13. Updated Demand'!A:Z,22,FALSE))</f>
        <v>0.01</v>
      </c>
      <c r="AF2318" s="16">
        <f>IF(ISERROR(VLOOKUP($A2318,'13. Updated Demand'!A:Z,23,FALSE)),0,VLOOKUP($A2318,'13. Updated Demand'!A:Z,23,FALSE))</f>
        <v>0.01</v>
      </c>
      <c r="AG2318" s="16">
        <f>IF(ISERROR(VLOOKUP($A2318,'13. Updated Demand'!A:Z,24,FALSE)),0,VLOOKUP($A2318,'13. Updated Demand'!A:Z,24,FALSE))</f>
        <v>3.0690000000000001E-3</v>
      </c>
      <c r="AH2318" s="16">
        <f>IF(ISERROR(VLOOKUP($A2318,'13. Updated Demand'!A:Z,25,FALSE)),0,VLOOKUP($A2318,'13. Updated Demand'!A:Z,25,FALSE))</f>
        <v>0</v>
      </c>
      <c r="AI2318" s="16">
        <f>IF(ISERROR(VLOOKUP($A2318,'13. Updated Demand'!A:Z,26,FALSE)),0,VLOOKUP($A2318,'13. Updated Demand'!A:Z,26,FALSE))</f>
        <v>0</v>
      </c>
      <c r="AJ2318" s="16">
        <f t="shared" si="433"/>
        <v>3.8287000000000002E-2</v>
      </c>
      <c r="AK2318" s="19">
        <v>4.1432000000000004E-2</v>
      </c>
      <c r="AL2318" s="16">
        <f t="shared" si="443"/>
        <v>1.3742522445169155E-4</v>
      </c>
      <c r="AM2318" s="26">
        <v>4.5373629689228617E-2</v>
      </c>
      <c r="AN2318" s="19">
        <v>0.99429999999999996</v>
      </c>
      <c r="AO2318" s="19" t="s">
        <v>1758</v>
      </c>
      <c r="AP2318" s="19">
        <v>0</v>
      </c>
      <c r="AQ2318" s="19" t="s">
        <v>307</v>
      </c>
      <c r="AR2318" s="9" t="s">
        <v>317</v>
      </c>
      <c r="AS2318" s="12">
        <v>3.4039024194010059E-4</v>
      </c>
      <c r="AT2318" s="19">
        <v>39.328916999999997</v>
      </c>
      <c r="AU2318" s="19">
        <v>-123.37200900000001</v>
      </c>
      <c r="AV2318" s="19" t="s">
        <v>713</v>
      </c>
    </row>
    <row r="2319" spans="1:48" x14ac:dyDescent="0.25">
      <c r="A2319" s="18" t="s">
        <v>2784</v>
      </c>
      <c r="B2319" s="10">
        <v>10000000</v>
      </c>
      <c r="C2319" s="9">
        <v>1</v>
      </c>
      <c r="D2319" s="8" t="str">
        <f t="shared" si="434"/>
        <v>N</v>
      </c>
      <c r="E2319" s="8" t="str">
        <f t="shared" si="435"/>
        <v>N</v>
      </c>
      <c r="F2319" s="8" t="str">
        <f t="shared" si="436"/>
        <v>Y</v>
      </c>
      <c r="G2319" s="8" t="str">
        <f t="shared" si="437"/>
        <v>Y</v>
      </c>
      <c r="H2319" s="8" t="str">
        <f t="shared" si="438"/>
        <v>Upper</v>
      </c>
      <c r="I2319" s="8" t="str">
        <f t="shared" si="439"/>
        <v>West Fork and Below Lake</v>
      </c>
      <c r="J2319" s="8" t="str">
        <f t="shared" si="440"/>
        <v>Outside</v>
      </c>
      <c r="K2319" s="8" t="str">
        <f t="shared" si="441"/>
        <v>Riparian</v>
      </c>
      <c r="L2319" s="8">
        <f t="shared" si="442"/>
        <v>1000</v>
      </c>
      <c r="M2319" s="8" t="str">
        <f t="shared" si="444"/>
        <v>-</v>
      </c>
      <c r="N2319" s="10" t="s">
        <v>242</v>
      </c>
      <c r="O2319" s="10" t="s">
        <v>241</v>
      </c>
      <c r="P2319" s="10" t="s">
        <v>242</v>
      </c>
      <c r="Q2319" s="10" t="s">
        <v>242</v>
      </c>
      <c r="R2319" s="10" t="s">
        <v>242</v>
      </c>
      <c r="S2319" s="10" t="s">
        <v>241</v>
      </c>
      <c r="T2319" s="10" t="s">
        <v>242</v>
      </c>
      <c r="U2319" s="10" t="s">
        <v>241</v>
      </c>
      <c r="V2319" s="10" t="s">
        <v>241</v>
      </c>
      <c r="W2319" s="10" t="s">
        <v>242</v>
      </c>
      <c r="X2319" s="15">
        <f>IF(ISERROR(VLOOKUP($A2319,'13. Updated Demand'!A:Z,15,FALSE)),0,VLOOKUP($A2319,'13. Updated Demand'!A:Z,15,FALSE))</f>
        <v>0</v>
      </c>
      <c r="Y2319" s="16">
        <f>IF(ISERROR(VLOOKUP($A2319,'13. Updated Demand'!A:Z,16,FALSE)),0,VLOOKUP($A2319,'13. Updated Demand'!A:Z,16,FALSE))</f>
        <v>0</v>
      </c>
      <c r="Z2319" s="16">
        <f>IF(ISERROR(VLOOKUP($A2319,'13. Updated Demand'!A:Z,17,FALSE)),0,VLOOKUP($A2319,'13. Updated Demand'!A:Z,17,FALSE))</f>
        <v>0</v>
      </c>
      <c r="AA2319" s="16">
        <f>IF(ISERROR(VLOOKUP($A2319,'13. Updated Demand'!A:Z,18,FALSE)),0,VLOOKUP($A2319,'13. Updated Demand'!A:Z,18,FALSE))</f>
        <v>0</v>
      </c>
      <c r="AB2319" s="16">
        <f>IF(ISERROR(VLOOKUP($A2319,'13. Updated Demand'!A:Z,19,FALSE)),0,VLOOKUP($A2319,'13. Updated Demand'!A:Z,19,FALSE))</f>
        <v>0</v>
      </c>
      <c r="AC2319" s="16">
        <f>IF(ISERROR(VLOOKUP($A2319,'13. Updated Demand'!A:Z,20,FALSE)),0,VLOOKUP($A2319,'13. Updated Demand'!A:Z,20,FALSE))</f>
        <v>0</v>
      </c>
      <c r="AD2319" s="16">
        <f>IF(ISERROR(VLOOKUP($A2319,'13. Updated Demand'!A:Z,21,FALSE)),0,VLOOKUP($A2319,'13. Updated Demand'!A:Z,21,FALSE))</f>
        <v>0</v>
      </c>
      <c r="AE2319" s="16">
        <f>IF(ISERROR(VLOOKUP($A2319,'13. Updated Demand'!A:Z,22,FALSE)),0,VLOOKUP($A2319,'13. Updated Demand'!A:Z,22,FALSE))</f>
        <v>0</v>
      </c>
      <c r="AF2319" s="16">
        <f>IF(ISERROR(VLOOKUP($A2319,'13. Updated Demand'!A:Z,23,FALSE)),0,VLOOKUP($A2319,'13. Updated Demand'!A:Z,23,FALSE))</f>
        <v>0</v>
      </c>
      <c r="AG2319" s="16">
        <f>IF(ISERROR(VLOOKUP($A2319,'13. Updated Demand'!A:Z,24,FALSE)),0,VLOOKUP($A2319,'13. Updated Demand'!A:Z,24,FALSE))</f>
        <v>0</v>
      </c>
      <c r="AH2319" s="16">
        <f>IF(ISERROR(VLOOKUP($A2319,'13. Updated Demand'!A:Z,25,FALSE)),0,VLOOKUP($A2319,'13. Updated Demand'!A:Z,25,FALSE))</f>
        <v>0</v>
      </c>
      <c r="AI2319" s="16">
        <f>IF(ISERROR(VLOOKUP($A2319,'13. Updated Demand'!A:Z,26,FALSE)),0,VLOOKUP($A2319,'13. Updated Demand'!A:Z,26,FALSE))</f>
        <v>0</v>
      </c>
      <c r="AJ2319" s="16">
        <f t="shared" si="433"/>
        <v>0</v>
      </c>
      <c r="AK2319" s="19">
        <v>0</v>
      </c>
      <c r="AL2319" s="16">
        <f t="shared" si="443"/>
        <v>0</v>
      </c>
      <c r="AM2319" s="26">
        <v>0</v>
      </c>
      <c r="AN2319" s="19">
        <v>0.40360000000000001</v>
      </c>
      <c r="AO2319" s="19" t="s">
        <v>1758</v>
      </c>
      <c r="AP2319" s="19">
        <v>0</v>
      </c>
      <c r="AQ2319" s="19" t="s">
        <v>307</v>
      </c>
      <c r="AR2319" s="9" t="s">
        <v>317</v>
      </c>
      <c r="AS2319" s="12">
        <v>3.4039024194010059E-4</v>
      </c>
      <c r="AT2319" s="19">
        <v>39.344560000000001</v>
      </c>
      <c r="AU2319" s="19">
        <v>-123.22754</v>
      </c>
      <c r="AV2319" s="19" t="s">
        <v>387</v>
      </c>
    </row>
    <row r="2320" spans="1:48" x14ac:dyDescent="0.25">
      <c r="A2320" s="18" t="s">
        <v>2785</v>
      </c>
      <c r="B2320" s="10">
        <v>10000000</v>
      </c>
      <c r="C2320" s="9">
        <v>6</v>
      </c>
      <c r="D2320" s="8" t="str">
        <f t="shared" si="434"/>
        <v>Y</v>
      </c>
      <c r="E2320" s="8" t="str">
        <f t="shared" si="435"/>
        <v>N</v>
      </c>
      <c r="F2320" s="8" t="str">
        <f t="shared" si="436"/>
        <v>Y</v>
      </c>
      <c r="G2320" s="8" t="str">
        <f t="shared" si="437"/>
        <v>Y</v>
      </c>
      <c r="H2320" s="8" t="str">
        <f t="shared" si="438"/>
        <v>Upper</v>
      </c>
      <c r="I2320" s="8" t="str">
        <f t="shared" si="439"/>
        <v>West Fork and Below Lake</v>
      </c>
      <c r="J2320" s="8" t="str">
        <f t="shared" si="440"/>
        <v>Mendocino (d/s of lake)</v>
      </c>
      <c r="K2320" s="8" t="str">
        <f t="shared" si="441"/>
        <v>Riparian</v>
      </c>
      <c r="L2320" s="8">
        <f t="shared" si="442"/>
        <v>1000</v>
      </c>
      <c r="M2320" s="8" t="str">
        <f t="shared" si="444"/>
        <v>-</v>
      </c>
      <c r="N2320" s="10" t="s">
        <v>242</v>
      </c>
      <c r="O2320" s="10" t="s">
        <v>241</v>
      </c>
      <c r="P2320" s="10" t="s">
        <v>242</v>
      </c>
      <c r="Q2320" s="10" t="s">
        <v>242</v>
      </c>
      <c r="R2320" s="10" t="s">
        <v>242</v>
      </c>
      <c r="S2320" s="10" t="s">
        <v>241</v>
      </c>
      <c r="T2320" s="10" t="s">
        <v>241</v>
      </c>
      <c r="U2320" s="10" t="s">
        <v>241</v>
      </c>
      <c r="V2320" s="10" t="s">
        <v>241</v>
      </c>
      <c r="W2320" s="10" t="s">
        <v>242</v>
      </c>
      <c r="X2320" s="15">
        <f>IF(ISERROR(VLOOKUP($A2320,'13. Updated Demand'!A:Z,15,FALSE)),0,VLOOKUP($A2320,'13. Updated Demand'!A:Z,15,FALSE))</f>
        <v>0</v>
      </c>
      <c r="Y2320" s="16">
        <f>IF(ISERROR(VLOOKUP($A2320,'13. Updated Demand'!A:Z,16,FALSE)),0,VLOOKUP($A2320,'13. Updated Demand'!A:Z,16,FALSE))</f>
        <v>0</v>
      </c>
      <c r="Z2320" s="16">
        <f>IF(ISERROR(VLOOKUP($A2320,'13. Updated Demand'!A:Z,17,FALSE)),0,VLOOKUP($A2320,'13. Updated Demand'!A:Z,17,FALSE))</f>
        <v>0</v>
      </c>
      <c r="AA2320" s="16">
        <f>IF(ISERROR(VLOOKUP($A2320,'13. Updated Demand'!A:Z,18,FALSE)),0,VLOOKUP($A2320,'13. Updated Demand'!A:Z,18,FALSE))</f>
        <v>0</v>
      </c>
      <c r="AB2320" s="16">
        <f>IF(ISERROR(VLOOKUP($A2320,'13. Updated Demand'!A:Z,19,FALSE)),0,VLOOKUP($A2320,'13. Updated Demand'!A:Z,19,FALSE))</f>
        <v>0</v>
      </c>
      <c r="AC2320" s="16">
        <f>IF(ISERROR(VLOOKUP($A2320,'13. Updated Demand'!A:Z,20,FALSE)),0,VLOOKUP($A2320,'13. Updated Demand'!A:Z,20,FALSE))</f>
        <v>0</v>
      </c>
      <c r="AD2320" s="16">
        <f>IF(ISERROR(VLOOKUP($A2320,'13. Updated Demand'!A:Z,21,FALSE)),0,VLOOKUP($A2320,'13. Updated Demand'!A:Z,21,FALSE))</f>
        <v>0</v>
      </c>
      <c r="AE2320" s="16">
        <f>IF(ISERROR(VLOOKUP($A2320,'13. Updated Demand'!A:Z,22,FALSE)),0,VLOOKUP($A2320,'13. Updated Demand'!A:Z,22,FALSE))</f>
        <v>0</v>
      </c>
      <c r="AF2320" s="16">
        <f>IF(ISERROR(VLOOKUP($A2320,'13. Updated Demand'!A:Z,23,FALSE)),0,VLOOKUP($A2320,'13. Updated Demand'!A:Z,23,FALSE))</f>
        <v>0</v>
      </c>
      <c r="AG2320" s="16">
        <f>IF(ISERROR(VLOOKUP($A2320,'13. Updated Demand'!A:Z,24,FALSE)),0,VLOOKUP($A2320,'13. Updated Demand'!A:Z,24,FALSE))</f>
        <v>0</v>
      </c>
      <c r="AH2320" s="16">
        <f>IF(ISERROR(VLOOKUP($A2320,'13. Updated Demand'!A:Z,25,FALSE)),0,VLOOKUP($A2320,'13. Updated Demand'!A:Z,25,FALSE))</f>
        <v>0</v>
      </c>
      <c r="AI2320" s="16">
        <f>IF(ISERROR(VLOOKUP($A2320,'13. Updated Demand'!A:Z,26,FALSE)),0,VLOOKUP($A2320,'13. Updated Demand'!A:Z,26,FALSE))</f>
        <v>0</v>
      </c>
      <c r="AJ2320" s="16">
        <f t="shared" ref="AJ2320:AJ2383" si="445">SUM(X2320:AI2320)</f>
        <v>0</v>
      </c>
      <c r="AK2320" s="19">
        <v>0</v>
      </c>
      <c r="AL2320" s="16">
        <f t="shared" si="443"/>
        <v>0</v>
      </c>
      <c r="AM2320" s="26">
        <v>0</v>
      </c>
      <c r="AN2320" s="19">
        <v>8.2900000000000001E-2</v>
      </c>
      <c r="AO2320" s="19" t="s">
        <v>1758</v>
      </c>
      <c r="AP2320" s="19">
        <v>0</v>
      </c>
      <c r="AQ2320" s="19" t="s">
        <v>307</v>
      </c>
      <c r="AR2320" s="9" t="s">
        <v>319</v>
      </c>
      <c r="AS2320" s="12">
        <v>0</v>
      </c>
      <c r="AT2320" s="19">
        <v>38.987520000000004</v>
      </c>
      <c r="AU2320" s="19">
        <v>-123.19167400000001</v>
      </c>
      <c r="AV2320" s="19" t="s">
        <v>395</v>
      </c>
    </row>
    <row r="2321" spans="1:48" x14ac:dyDescent="0.25">
      <c r="A2321" s="18" t="s">
        <v>2786</v>
      </c>
      <c r="B2321" s="10">
        <v>10000000</v>
      </c>
      <c r="C2321" s="9">
        <v>20</v>
      </c>
      <c r="D2321" s="8" t="str">
        <f t="shared" si="434"/>
        <v>N</v>
      </c>
      <c r="E2321" s="8" t="str">
        <f t="shared" si="435"/>
        <v>N</v>
      </c>
      <c r="F2321" s="8" t="str">
        <f t="shared" si="436"/>
        <v>N</v>
      </c>
      <c r="G2321" s="8" t="str">
        <f t="shared" si="437"/>
        <v>N</v>
      </c>
      <c r="H2321" s="8" t="str">
        <f t="shared" si="438"/>
        <v>Lower</v>
      </c>
      <c r="I2321" s="8" t="str">
        <f t="shared" si="439"/>
        <v>Outside</v>
      </c>
      <c r="J2321" s="8" t="str">
        <f t="shared" si="440"/>
        <v>Outside</v>
      </c>
      <c r="K2321" s="8" t="str">
        <f t="shared" si="441"/>
        <v>Riparian</v>
      </c>
      <c r="L2321" s="8">
        <f t="shared" si="442"/>
        <v>1000</v>
      </c>
      <c r="M2321" s="8" t="str">
        <f t="shared" si="444"/>
        <v>-</v>
      </c>
      <c r="N2321" s="10" t="s">
        <v>242</v>
      </c>
      <c r="O2321" s="10" t="s">
        <v>242</v>
      </c>
      <c r="P2321" s="10" t="s">
        <v>242</v>
      </c>
      <c r="Q2321" s="10" t="s">
        <v>242</v>
      </c>
      <c r="R2321" s="10" t="s">
        <v>242</v>
      </c>
      <c r="S2321" s="10" t="s">
        <v>241</v>
      </c>
      <c r="T2321" s="10" t="s">
        <v>242</v>
      </c>
      <c r="U2321" s="10" t="s">
        <v>242</v>
      </c>
      <c r="V2321" s="10" t="s">
        <v>242</v>
      </c>
      <c r="W2321" s="10" t="s">
        <v>242</v>
      </c>
      <c r="X2321" s="15">
        <f>IF(ISERROR(VLOOKUP($A2321,'13. Updated Demand'!A:Z,15,FALSE)),0,VLOOKUP($A2321,'13. Updated Demand'!A:Z,15,FALSE))</f>
        <v>7.4675899999999996E-3</v>
      </c>
      <c r="Y2321" s="16">
        <f>IF(ISERROR(VLOOKUP($A2321,'13. Updated Demand'!A:Z,16,FALSE)),0,VLOOKUP($A2321,'13. Updated Demand'!A:Z,16,FALSE))</f>
        <v>7.4676270000000001E-3</v>
      </c>
      <c r="Z2321" s="16">
        <f>IF(ISERROR(VLOOKUP($A2321,'13. Updated Demand'!A:Z,17,FALSE)),0,VLOOKUP($A2321,'13. Updated Demand'!A:Z,17,FALSE))</f>
        <v>1.1354884000000001E-2</v>
      </c>
      <c r="AA2321" s="16">
        <f>IF(ISERROR(VLOOKUP($A2321,'13. Updated Demand'!A:Z,18,FALSE)),0,VLOOKUP($A2321,'13. Updated Demand'!A:Z,18,FALSE))</f>
        <v>1.0894441E-2</v>
      </c>
      <c r="AB2321" s="16">
        <f>IF(ISERROR(VLOOKUP($A2321,'13. Updated Demand'!A:Z,19,FALSE)),0,VLOOKUP($A2321,'13. Updated Demand'!A:Z,19,FALSE))</f>
        <v>1.4833069000000001E-2</v>
      </c>
      <c r="AC2321" s="16">
        <f>IF(ISERROR(VLOOKUP($A2321,'13. Updated Demand'!A:Z,20,FALSE)),0,VLOOKUP($A2321,'13. Updated Demand'!A:Z,20,FALSE))</f>
        <v>1.0587775000000001E-2</v>
      </c>
      <c r="AD2321" s="16">
        <f>IF(ISERROR(VLOOKUP($A2321,'13. Updated Demand'!A:Z,21,FALSE)),0,VLOOKUP($A2321,'13. Updated Demand'!A:Z,21,FALSE))</f>
        <v>4.3987389999999996E-3</v>
      </c>
      <c r="AE2321" s="16">
        <f>IF(ISERROR(VLOOKUP($A2321,'13. Updated Demand'!A:Z,22,FALSE)),0,VLOOKUP($A2321,'13. Updated Demand'!A:Z,22,FALSE))</f>
        <v>0</v>
      </c>
      <c r="AF2321" s="16">
        <f>IF(ISERROR(VLOOKUP($A2321,'13. Updated Demand'!A:Z,23,FALSE)),0,VLOOKUP($A2321,'13. Updated Demand'!A:Z,23,FALSE))</f>
        <v>0</v>
      </c>
      <c r="AG2321" s="16">
        <f>IF(ISERROR(VLOOKUP($A2321,'13. Updated Demand'!A:Z,24,FALSE)),0,VLOOKUP($A2321,'13. Updated Demand'!A:Z,24,FALSE))</f>
        <v>7.3397940000000002E-3</v>
      </c>
      <c r="AH2321" s="16">
        <f>IF(ISERROR(VLOOKUP($A2321,'13. Updated Demand'!A:Z,25,FALSE)),0,VLOOKUP($A2321,'13. Updated Demand'!A:Z,25,FALSE))</f>
        <v>9.8204039999999996E-3</v>
      </c>
      <c r="AI2321" s="16">
        <f>IF(ISERROR(VLOOKUP($A2321,'13. Updated Demand'!A:Z,26,FALSE)),0,VLOOKUP($A2321,'13. Updated Demand'!A:Z,26,FALSE))</f>
        <v>9.2886119999999999E-3</v>
      </c>
      <c r="AJ2321" s="16">
        <f t="shared" si="445"/>
        <v>9.3452935000000015E-2</v>
      </c>
      <c r="AK2321" s="19">
        <v>2.981958327169985E-2</v>
      </c>
      <c r="AL2321" s="16">
        <f t="shared" si="443"/>
        <v>9.8908160942490301E-5</v>
      </c>
      <c r="AM2321" s="26">
        <v>0.11587468753642471</v>
      </c>
      <c r="AN2321" s="19">
        <v>0.80649999999999999</v>
      </c>
      <c r="AO2321" s="19" t="s">
        <v>1758</v>
      </c>
      <c r="AP2321" s="19">
        <v>0</v>
      </c>
      <c r="AQ2321" s="19" t="s">
        <v>307</v>
      </c>
      <c r="AR2321" s="9" t="s">
        <v>329</v>
      </c>
      <c r="AS2321" s="12">
        <v>3.4039024194010059E-4</v>
      </c>
      <c r="AT2321" s="19">
        <v>38.526299999999999</v>
      </c>
      <c r="AU2321" s="19">
        <v>-123.1433</v>
      </c>
      <c r="AV2321" s="19" t="s">
        <v>1788</v>
      </c>
    </row>
    <row r="2322" spans="1:48" x14ac:dyDescent="0.25">
      <c r="A2322" s="18" t="s">
        <v>2787</v>
      </c>
      <c r="B2322" s="10">
        <v>10000000</v>
      </c>
      <c r="C2322" s="9">
        <v>2</v>
      </c>
      <c r="D2322" s="8" t="str">
        <f t="shared" si="434"/>
        <v>N</v>
      </c>
      <c r="E2322" s="8" t="str">
        <f t="shared" si="435"/>
        <v>N</v>
      </c>
      <c r="F2322" s="8" t="str">
        <f t="shared" si="436"/>
        <v>Y</v>
      </c>
      <c r="G2322" s="8" t="str">
        <f t="shared" si="437"/>
        <v>N</v>
      </c>
      <c r="H2322" s="8" t="str">
        <f t="shared" si="438"/>
        <v>Upper</v>
      </c>
      <c r="I2322" s="8" t="str">
        <f t="shared" si="439"/>
        <v>Outside</v>
      </c>
      <c r="J2322" s="8" t="str">
        <f t="shared" si="440"/>
        <v>Outside</v>
      </c>
      <c r="K2322" s="8" t="str">
        <f t="shared" si="441"/>
        <v>Riparian</v>
      </c>
      <c r="L2322" s="8">
        <f t="shared" si="442"/>
        <v>1000</v>
      </c>
      <c r="M2322" s="8" t="str">
        <f t="shared" si="444"/>
        <v>-</v>
      </c>
      <c r="N2322" s="10" t="s">
        <v>242</v>
      </c>
      <c r="O2322" s="10" t="s">
        <v>241</v>
      </c>
      <c r="P2322" s="10" t="s">
        <v>242</v>
      </c>
      <c r="Q2322" s="10" t="s">
        <v>242</v>
      </c>
      <c r="R2322" s="10" t="s">
        <v>242</v>
      </c>
      <c r="S2322" s="10" t="s">
        <v>241</v>
      </c>
      <c r="T2322" s="10" t="s">
        <v>242</v>
      </c>
      <c r="U2322" s="10" t="s">
        <v>241</v>
      </c>
      <c r="V2322" s="10" t="s">
        <v>241</v>
      </c>
      <c r="W2322" s="10" t="s">
        <v>242</v>
      </c>
      <c r="X2322" s="15">
        <f>IF(ISERROR(VLOOKUP($A2322,'13. Updated Demand'!A:Z,15,FALSE)),0,VLOOKUP($A2322,'13. Updated Demand'!A:Z,15,FALSE))</f>
        <v>0</v>
      </c>
      <c r="Y2322" s="16">
        <f>IF(ISERROR(VLOOKUP($A2322,'13. Updated Demand'!A:Z,16,FALSE)),0,VLOOKUP($A2322,'13. Updated Demand'!A:Z,16,FALSE))</f>
        <v>0</v>
      </c>
      <c r="Z2322" s="16">
        <f>IF(ISERROR(VLOOKUP($A2322,'13. Updated Demand'!A:Z,17,FALSE)),0,VLOOKUP($A2322,'13. Updated Demand'!A:Z,17,FALSE))</f>
        <v>0</v>
      </c>
      <c r="AA2322" s="16">
        <f>IF(ISERROR(VLOOKUP($A2322,'13. Updated Demand'!A:Z,18,FALSE)),0,VLOOKUP($A2322,'13. Updated Demand'!A:Z,18,FALSE))</f>
        <v>0</v>
      </c>
      <c r="AB2322" s="16">
        <f>IF(ISERROR(VLOOKUP($A2322,'13. Updated Demand'!A:Z,19,FALSE)),0,VLOOKUP($A2322,'13. Updated Demand'!A:Z,19,FALSE))</f>
        <v>0</v>
      </c>
      <c r="AC2322" s="16">
        <f>IF(ISERROR(VLOOKUP($A2322,'13. Updated Demand'!A:Z,20,FALSE)),0,VLOOKUP($A2322,'13. Updated Demand'!A:Z,20,FALSE))</f>
        <v>0</v>
      </c>
      <c r="AD2322" s="16">
        <f>IF(ISERROR(VLOOKUP($A2322,'13. Updated Demand'!A:Z,21,FALSE)),0,VLOOKUP($A2322,'13. Updated Demand'!A:Z,21,FALSE))</f>
        <v>0</v>
      </c>
      <c r="AE2322" s="16">
        <f>IF(ISERROR(VLOOKUP($A2322,'13. Updated Demand'!A:Z,22,FALSE)),0,VLOOKUP($A2322,'13. Updated Demand'!A:Z,22,FALSE))</f>
        <v>0</v>
      </c>
      <c r="AF2322" s="16">
        <f>IF(ISERROR(VLOOKUP($A2322,'13. Updated Demand'!A:Z,23,FALSE)),0,VLOOKUP($A2322,'13. Updated Demand'!A:Z,23,FALSE))</f>
        <v>0</v>
      </c>
      <c r="AG2322" s="16">
        <f>IF(ISERROR(VLOOKUP($A2322,'13. Updated Demand'!A:Z,24,FALSE)),0,VLOOKUP($A2322,'13. Updated Demand'!A:Z,24,FALSE))</f>
        <v>0</v>
      </c>
      <c r="AH2322" s="16">
        <f>IF(ISERROR(VLOOKUP($A2322,'13. Updated Demand'!A:Z,25,FALSE)),0,VLOOKUP($A2322,'13. Updated Demand'!A:Z,25,FALSE))</f>
        <v>0</v>
      </c>
      <c r="AI2322" s="16">
        <f>IF(ISERROR(VLOOKUP($A2322,'13. Updated Demand'!A:Z,26,FALSE)),0,VLOOKUP($A2322,'13. Updated Demand'!A:Z,26,FALSE))</f>
        <v>0</v>
      </c>
      <c r="AJ2322" s="16">
        <f t="shared" si="445"/>
        <v>0</v>
      </c>
      <c r="AK2322" s="19">
        <v>0</v>
      </c>
      <c r="AL2322" s="16">
        <f t="shared" si="443"/>
        <v>0</v>
      </c>
      <c r="AM2322" s="26">
        <v>0</v>
      </c>
      <c r="AN2322" s="19">
        <v>2535.4</v>
      </c>
      <c r="AO2322" s="19" t="s">
        <v>1758</v>
      </c>
      <c r="AP2322" s="19">
        <v>0</v>
      </c>
      <c r="AQ2322" s="19" t="s">
        <v>307</v>
      </c>
      <c r="AR2322" s="9" t="s">
        <v>348</v>
      </c>
      <c r="AS2322" s="12">
        <v>0</v>
      </c>
      <c r="AT2322" s="19">
        <v>39.280299999999997</v>
      </c>
      <c r="AU2322" s="19">
        <v>-123.06950000000001</v>
      </c>
      <c r="AV2322" s="19" t="s">
        <v>1886</v>
      </c>
    </row>
    <row r="2323" spans="1:48" x14ac:dyDescent="0.25">
      <c r="A2323" s="18" t="s">
        <v>2788</v>
      </c>
      <c r="B2323" s="10">
        <v>10000000</v>
      </c>
      <c r="C2323" s="9">
        <v>23</v>
      </c>
      <c r="D2323" s="8" t="str">
        <f t="shared" si="434"/>
        <v>N</v>
      </c>
      <c r="E2323" s="8" t="str">
        <f t="shared" si="435"/>
        <v>N</v>
      </c>
      <c r="F2323" s="8" t="str">
        <f t="shared" si="436"/>
        <v>N</v>
      </c>
      <c r="G2323" s="8" t="str">
        <f t="shared" si="437"/>
        <v>N</v>
      </c>
      <c r="H2323" s="8" t="str">
        <f t="shared" si="438"/>
        <v>Lower</v>
      </c>
      <c r="I2323" s="8" t="str">
        <f t="shared" si="439"/>
        <v>Outside</v>
      </c>
      <c r="J2323" s="8" t="str">
        <f t="shared" si="440"/>
        <v>Outside</v>
      </c>
      <c r="K2323" s="8" t="str">
        <f t="shared" si="441"/>
        <v>Riparian</v>
      </c>
      <c r="L2323" s="8">
        <f t="shared" si="442"/>
        <v>1000</v>
      </c>
      <c r="M2323" s="8" t="str">
        <f t="shared" si="444"/>
        <v>-</v>
      </c>
      <c r="N2323" s="10" t="s">
        <v>242</v>
      </c>
      <c r="O2323" s="10" t="s">
        <v>242</v>
      </c>
      <c r="P2323" s="10" t="s">
        <v>242</v>
      </c>
      <c r="Q2323" s="10" t="s">
        <v>242</v>
      </c>
      <c r="R2323" s="10" t="s">
        <v>242</v>
      </c>
      <c r="S2323" s="10" t="s">
        <v>241</v>
      </c>
      <c r="T2323" s="10" t="s">
        <v>242</v>
      </c>
      <c r="U2323" s="10" t="s">
        <v>241</v>
      </c>
      <c r="V2323" s="10" t="s">
        <v>241</v>
      </c>
      <c r="W2323" s="10" t="s">
        <v>242</v>
      </c>
      <c r="X2323" s="15">
        <f>IF(ISERROR(VLOOKUP($A2323,'13. Updated Demand'!A:Z,15,FALSE)),0,VLOOKUP($A2323,'13. Updated Demand'!A:Z,15,FALSE))</f>
        <v>0</v>
      </c>
      <c r="Y2323" s="16">
        <f>IF(ISERROR(VLOOKUP($A2323,'13. Updated Demand'!A:Z,16,FALSE)),0,VLOOKUP($A2323,'13. Updated Demand'!A:Z,16,FALSE))</f>
        <v>0</v>
      </c>
      <c r="Z2323" s="16">
        <f>IF(ISERROR(VLOOKUP($A2323,'13. Updated Demand'!A:Z,17,FALSE)),0,VLOOKUP($A2323,'13. Updated Demand'!A:Z,17,FALSE))</f>
        <v>0</v>
      </c>
      <c r="AA2323" s="16">
        <f>IF(ISERROR(VLOOKUP($A2323,'13. Updated Demand'!A:Z,18,FALSE)),0,VLOOKUP($A2323,'13. Updated Demand'!A:Z,18,FALSE))</f>
        <v>0</v>
      </c>
      <c r="AB2323" s="16">
        <f>IF(ISERROR(VLOOKUP($A2323,'13. Updated Demand'!A:Z,19,FALSE)),0,VLOOKUP($A2323,'13. Updated Demand'!A:Z,19,FALSE))</f>
        <v>0</v>
      </c>
      <c r="AC2323" s="16">
        <f>IF(ISERROR(VLOOKUP($A2323,'13. Updated Demand'!A:Z,20,FALSE)),0,VLOOKUP($A2323,'13. Updated Demand'!A:Z,20,FALSE))</f>
        <v>0</v>
      </c>
      <c r="AD2323" s="16">
        <f>IF(ISERROR(VLOOKUP($A2323,'13. Updated Demand'!A:Z,21,FALSE)),0,VLOOKUP($A2323,'13. Updated Demand'!A:Z,21,FALSE))</f>
        <v>0</v>
      </c>
      <c r="AE2323" s="16">
        <f>IF(ISERROR(VLOOKUP($A2323,'13. Updated Demand'!A:Z,22,FALSE)),0,VLOOKUP($A2323,'13. Updated Demand'!A:Z,22,FALSE))</f>
        <v>0</v>
      </c>
      <c r="AF2323" s="16">
        <f>IF(ISERROR(VLOOKUP($A2323,'13. Updated Demand'!A:Z,23,FALSE)),0,VLOOKUP($A2323,'13. Updated Demand'!A:Z,23,FALSE))</f>
        <v>0</v>
      </c>
      <c r="AG2323" s="16">
        <f>IF(ISERROR(VLOOKUP($A2323,'13. Updated Demand'!A:Z,24,FALSE)),0,VLOOKUP($A2323,'13. Updated Demand'!A:Z,24,FALSE))</f>
        <v>0</v>
      </c>
      <c r="AH2323" s="16">
        <f>IF(ISERROR(VLOOKUP($A2323,'13. Updated Demand'!A:Z,25,FALSE)),0,VLOOKUP($A2323,'13. Updated Demand'!A:Z,25,FALSE))</f>
        <v>0</v>
      </c>
      <c r="AI2323" s="16">
        <f>IF(ISERROR(VLOOKUP($A2323,'13. Updated Demand'!A:Z,26,FALSE)),0,VLOOKUP($A2323,'13. Updated Demand'!A:Z,26,FALSE))</f>
        <v>0</v>
      </c>
      <c r="AJ2323" s="16">
        <f t="shared" si="445"/>
        <v>0</v>
      </c>
      <c r="AK2323" s="19">
        <v>0</v>
      </c>
      <c r="AL2323" s="16">
        <f t="shared" si="443"/>
        <v>0</v>
      </c>
      <c r="AM2323" s="26">
        <v>0</v>
      </c>
      <c r="AN2323" s="19">
        <v>0.1048</v>
      </c>
      <c r="AO2323" s="19" t="s">
        <v>1758</v>
      </c>
      <c r="AP2323" s="19">
        <v>0</v>
      </c>
      <c r="AQ2323" s="19" t="s">
        <v>307</v>
      </c>
      <c r="AR2323" s="9" t="s">
        <v>725</v>
      </c>
      <c r="AS2323" s="12">
        <v>0</v>
      </c>
      <c r="AT2323" s="19">
        <v>38.476622999999996</v>
      </c>
      <c r="AU2323" s="19">
        <v>-122.777047</v>
      </c>
      <c r="AV2323" s="19" t="s">
        <v>2789</v>
      </c>
    </row>
    <row r="2324" spans="1:48" x14ac:dyDescent="0.25">
      <c r="A2324" s="18" t="s">
        <v>2790</v>
      </c>
      <c r="B2324" s="10">
        <v>10000000</v>
      </c>
      <c r="C2324" s="9">
        <v>6</v>
      </c>
      <c r="D2324" s="8" t="str">
        <f t="shared" si="434"/>
        <v>Y</v>
      </c>
      <c r="E2324" s="8" t="str">
        <f t="shared" si="435"/>
        <v>N</v>
      </c>
      <c r="F2324" s="8" t="str">
        <f t="shared" si="436"/>
        <v>Y</v>
      </c>
      <c r="G2324" s="8" t="str">
        <f t="shared" si="437"/>
        <v>Y</v>
      </c>
      <c r="H2324" s="8" t="str">
        <f t="shared" si="438"/>
        <v>Upper</v>
      </c>
      <c r="I2324" s="8" t="str">
        <f t="shared" si="439"/>
        <v>West Fork and Below Lake</v>
      </c>
      <c r="J2324" s="8" t="str">
        <f t="shared" si="440"/>
        <v>Mendocino (d/s of lake)</v>
      </c>
      <c r="K2324" s="8" t="str">
        <f t="shared" si="441"/>
        <v>Riparian</v>
      </c>
      <c r="L2324" s="8">
        <f t="shared" si="442"/>
        <v>1000</v>
      </c>
      <c r="M2324" s="8" t="str">
        <f t="shared" si="444"/>
        <v>-</v>
      </c>
      <c r="N2324" s="10" t="s">
        <v>242</v>
      </c>
      <c r="O2324" s="10" t="s">
        <v>241</v>
      </c>
      <c r="P2324" s="10" t="s">
        <v>242</v>
      </c>
      <c r="Q2324" s="10" t="s">
        <v>242</v>
      </c>
      <c r="R2324" s="10" t="s">
        <v>242</v>
      </c>
      <c r="S2324" s="10" t="s">
        <v>241</v>
      </c>
      <c r="T2324" s="10" t="s">
        <v>242</v>
      </c>
      <c r="U2324" s="10" t="s">
        <v>242</v>
      </c>
      <c r="V2324" s="10" t="s">
        <v>242</v>
      </c>
      <c r="W2324" s="10" t="s">
        <v>242</v>
      </c>
      <c r="X2324" s="15">
        <f>IF(ISERROR(VLOOKUP($A2324,'13. Updated Demand'!A:Z,15,FALSE)),0,VLOOKUP($A2324,'13. Updated Demand'!A:Z,15,FALSE))</f>
        <v>0.09</v>
      </c>
      <c r="Y2324" s="16">
        <f>IF(ISERROR(VLOOKUP($A2324,'13. Updated Demand'!A:Z,16,FALSE)),0,VLOOKUP($A2324,'13. Updated Demand'!A:Z,16,FALSE))</f>
        <v>0.09</v>
      </c>
      <c r="Z2324" s="16">
        <f>IF(ISERROR(VLOOKUP($A2324,'13. Updated Demand'!A:Z,17,FALSE)),0,VLOOKUP($A2324,'13. Updated Demand'!A:Z,17,FALSE))</f>
        <v>0.09</v>
      </c>
      <c r="AA2324" s="16">
        <f>IF(ISERROR(VLOOKUP($A2324,'13. Updated Demand'!A:Z,18,FALSE)),0,VLOOKUP($A2324,'13. Updated Demand'!A:Z,18,FALSE))</f>
        <v>0.09</v>
      </c>
      <c r="AB2324" s="16">
        <f>IF(ISERROR(VLOOKUP($A2324,'13. Updated Demand'!A:Z,19,FALSE)),0,VLOOKUP($A2324,'13. Updated Demand'!A:Z,19,FALSE))</f>
        <v>0.09</v>
      </c>
      <c r="AC2324" s="16">
        <f>IF(ISERROR(VLOOKUP($A2324,'13. Updated Demand'!A:Z,20,FALSE)),0,VLOOKUP($A2324,'13. Updated Demand'!A:Z,20,FALSE))</f>
        <v>0.09</v>
      </c>
      <c r="AD2324" s="16">
        <f>IF(ISERROR(VLOOKUP($A2324,'13. Updated Demand'!A:Z,21,FALSE)),0,VLOOKUP($A2324,'13. Updated Demand'!A:Z,21,FALSE))</f>
        <v>0.09</v>
      </c>
      <c r="AE2324" s="16">
        <f>IF(ISERROR(VLOOKUP($A2324,'13. Updated Demand'!A:Z,22,FALSE)),0,VLOOKUP($A2324,'13. Updated Demand'!A:Z,22,FALSE))</f>
        <v>0.09</v>
      </c>
      <c r="AF2324" s="16">
        <f>IF(ISERROR(VLOOKUP($A2324,'13. Updated Demand'!A:Z,23,FALSE)),0,VLOOKUP($A2324,'13. Updated Demand'!A:Z,23,FALSE))</f>
        <v>0.09</v>
      </c>
      <c r="AG2324" s="16">
        <f>IF(ISERROR(VLOOKUP($A2324,'13. Updated Demand'!A:Z,24,FALSE)),0,VLOOKUP($A2324,'13. Updated Demand'!A:Z,24,FALSE))</f>
        <v>0.09</v>
      </c>
      <c r="AH2324" s="16">
        <f>IF(ISERROR(VLOOKUP($A2324,'13. Updated Demand'!A:Z,25,FALSE)),0,VLOOKUP($A2324,'13. Updated Demand'!A:Z,25,FALSE))</f>
        <v>0.09</v>
      </c>
      <c r="AI2324" s="16">
        <f>IF(ISERROR(VLOOKUP($A2324,'13. Updated Demand'!A:Z,26,FALSE)),0,VLOOKUP($A2324,'13. Updated Demand'!A:Z,26,FALSE))</f>
        <v>0.09</v>
      </c>
      <c r="AJ2324" s="16">
        <f t="shared" si="445"/>
        <v>1.0799999999999998</v>
      </c>
      <c r="AK2324" s="19">
        <v>0.45999999999999996</v>
      </c>
      <c r="AL2324" s="16">
        <f t="shared" si="443"/>
        <v>1.525767601075934E-3</v>
      </c>
      <c r="AM2324" s="26">
        <v>6.2022471910112351</v>
      </c>
      <c r="AN2324" s="19">
        <v>0.17799999999999999</v>
      </c>
      <c r="AO2324" s="19" t="s">
        <v>1758</v>
      </c>
      <c r="AP2324" s="19">
        <v>0</v>
      </c>
      <c r="AQ2324" s="19" t="s">
        <v>307</v>
      </c>
      <c r="AR2324" s="9" t="s">
        <v>319</v>
      </c>
      <c r="AS2324" s="12">
        <v>0</v>
      </c>
      <c r="AT2324" s="19">
        <v>39.001208329999997</v>
      </c>
      <c r="AU2324" s="19">
        <v>-123.15877222</v>
      </c>
      <c r="AV2324" s="19" t="s">
        <v>2791</v>
      </c>
    </row>
    <row r="2325" spans="1:48" x14ac:dyDescent="0.25">
      <c r="A2325" s="18" t="s">
        <v>2792</v>
      </c>
      <c r="B2325" s="10">
        <v>10000000</v>
      </c>
      <c r="C2325" s="9">
        <v>5</v>
      </c>
      <c r="D2325" s="8" t="str">
        <f t="shared" si="434"/>
        <v>Y</v>
      </c>
      <c r="E2325" s="8" t="str">
        <f t="shared" si="435"/>
        <v>N</v>
      </c>
      <c r="F2325" s="8" t="str">
        <f t="shared" si="436"/>
        <v>Y</v>
      </c>
      <c r="G2325" s="8" t="str">
        <f t="shared" si="437"/>
        <v>Y</v>
      </c>
      <c r="H2325" s="8" t="str">
        <f t="shared" si="438"/>
        <v>Upper</v>
      </c>
      <c r="I2325" s="8" t="str">
        <f t="shared" si="439"/>
        <v>West Fork and Below Lake</v>
      </c>
      <c r="J2325" s="8" t="str">
        <f t="shared" si="440"/>
        <v>Mendocino (d/s of lake)</v>
      </c>
      <c r="K2325" s="8" t="str">
        <f t="shared" si="441"/>
        <v>Riparian</v>
      </c>
      <c r="L2325" s="8">
        <f t="shared" si="442"/>
        <v>1000</v>
      </c>
      <c r="M2325" s="8" t="str">
        <f t="shared" si="444"/>
        <v>-</v>
      </c>
      <c r="N2325" s="10" t="s">
        <v>242</v>
      </c>
      <c r="O2325" s="10" t="s">
        <v>241</v>
      </c>
      <c r="P2325" s="10" t="s">
        <v>242</v>
      </c>
      <c r="Q2325" s="10" t="s">
        <v>242</v>
      </c>
      <c r="R2325" s="10" t="s">
        <v>242</v>
      </c>
      <c r="S2325" s="10" t="s">
        <v>241</v>
      </c>
      <c r="T2325" s="10" t="s">
        <v>242</v>
      </c>
      <c r="U2325" s="10" t="s">
        <v>241</v>
      </c>
      <c r="V2325" s="10" t="s">
        <v>241</v>
      </c>
      <c r="W2325" s="10" t="s">
        <v>242</v>
      </c>
      <c r="X2325" s="15">
        <f>IF(ISERROR(VLOOKUP($A2325,'13. Updated Demand'!A:Z,15,FALSE)),0,VLOOKUP($A2325,'13. Updated Demand'!A:Z,15,FALSE))</f>
        <v>0</v>
      </c>
      <c r="Y2325" s="16">
        <f>IF(ISERROR(VLOOKUP($A2325,'13. Updated Demand'!A:Z,16,FALSE)),0,VLOOKUP($A2325,'13. Updated Demand'!A:Z,16,FALSE))</f>
        <v>0</v>
      </c>
      <c r="Z2325" s="16">
        <f>IF(ISERROR(VLOOKUP($A2325,'13. Updated Demand'!A:Z,17,FALSE)),0,VLOOKUP($A2325,'13. Updated Demand'!A:Z,17,FALSE))</f>
        <v>0</v>
      </c>
      <c r="AA2325" s="16">
        <f>IF(ISERROR(VLOOKUP($A2325,'13. Updated Demand'!A:Z,18,FALSE)),0,VLOOKUP($A2325,'13. Updated Demand'!A:Z,18,FALSE))</f>
        <v>0</v>
      </c>
      <c r="AB2325" s="16">
        <f>IF(ISERROR(VLOOKUP($A2325,'13. Updated Demand'!A:Z,19,FALSE)),0,VLOOKUP($A2325,'13. Updated Demand'!A:Z,19,FALSE))</f>
        <v>0</v>
      </c>
      <c r="AC2325" s="16">
        <f>IF(ISERROR(VLOOKUP($A2325,'13. Updated Demand'!A:Z,20,FALSE)),0,VLOOKUP($A2325,'13. Updated Demand'!A:Z,20,FALSE))</f>
        <v>0</v>
      </c>
      <c r="AD2325" s="16">
        <f>IF(ISERROR(VLOOKUP($A2325,'13. Updated Demand'!A:Z,21,FALSE)),0,VLOOKUP($A2325,'13. Updated Demand'!A:Z,21,FALSE))</f>
        <v>0</v>
      </c>
      <c r="AE2325" s="16">
        <f>IF(ISERROR(VLOOKUP($A2325,'13. Updated Demand'!A:Z,22,FALSE)),0,VLOOKUP($A2325,'13. Updated Demand'!A:Z,22,FALSE))</f>
        <v>0</v>
      </c>
      <c r="AF2325" s="16">
        <f>IF(ISERROR(VLOOKUP($A2325,'13. Updated Demand'!A:Z,23,FALSE)),0,VLOOKUP($A2325,'13. Updated Demand'!A:Z,23,FALSE))</f>
        <v>0</v>
      </c>
      <c r="AG2325" s="16">
        <f>IF(ISERROR(VLOOKUP($A2325,'13. Updated Demand'!A:Z,24,FALSE)),0,VLOOKUP($A2325,'13. Updated Demand'!A:Z,24,FALSE))</f>
        <v>0</v>
      </c>
      <c r="AH2325" s="16">
        <f>IF(ISERROR(VLOOKUP($A2325,'13. Updated Demand'!A:Z,25,FALSE)),0,VLOOKUP($A2325,'13. Updated Demand'!A:Z,25,FALSE))</f>
        <v>0</v>
      </c>
      <c r="AI2325" s="16">
        <f>IF(ISERROR(VLOOKUP($A2325,'13. Updated Demand'!A:Z,26,FALSE)),0,VLOOKUP($A2325,'13. Updated Demand'!A:Z,26,FALSE))</f>
        <v>0</v>
      </c>
      <c r="AJ2325" s="16">
        <f t="shared" si="445"/>
        <v>0</v>
      </c>
      <c r="AK2325" s="19">
        <v>0</v>
      </c>
      <c r="AL2325" s="16">
        <f t="shared" si="443"/>
        <v>0</v>
      </c>
      <c r="AM2325" s="26">
        <v>0</v>
      </c>
      <c r="AN2325" s="19">
        <v>0</v>
      </c>
      <c r="AO2325" s="19" t="s">
        <v>1758</v>
      </c>
      <c r="AP2325" s="19">
        <v>0</v>
      </c>
      <c r="AQ2325" s="19" t="s">
        <v>307</v>
      </c>
      <c r="AR2325" s="9" t="s">
        <v>333</v>
      </c>
      <c r="AS2325" s="12">
        <v>0</v>
      </c>
      <c r="AT2325" s="19">
        <v>39.10119444</v>
      </c>
      <c r="AU2325" s="19">
        <v>-123.11294444000001</v>
      </c>
      <c r="AV2325" s="19" t="s">
        <v>385</v>
      </c>
    </row>
    <row r="2326" spans="1:48" x14ac:dyDescent="0.25">
      <c r="A2326" s="18" t="s">
        <v>2793</v>
      </c>
      <c r="B2326" s="10">
        <v>10000000</v>
      </c>
      <c r="C2326" s="9">
        <v>6</v>
      </c>
      <c r="D2326" s="8" t="str">
        <f t="shared" si="434"/>
        <v>Y</v>
      </c>
      <c r="E2326" s="8" t="str">
        <f t="shared" si="435"/>
        <v>N</v>
      </c>
      <c r="F2326" s="8" t="str">
        <f t="shared" si="436"/>
        <v>Y</v>
      </c>
      <c r="G2326" s="8" t="str">
        <f t="shared" si="437"/>
        <v>Y</v>
      </c>
      <c r="H2326" s="8" t="str">
        <f t="shared" si="438"/>
        <v>Upper</v>
      </c>
      <c r="I2326" s="8" t="str">
        <f t="shared" si="439"/>
        <v>West Fork and Below Lake</v>
      </c>
      <c r="J2326" s="8" t="str">
        <f t="shared" si="440"/>
        <v>Mendocino (d/s of lake)</v>
      </c>
      <c r="K2326" s="8" t="str">
        <f t="shared" si="441"/>
        <v>Riparian</v>
      </c>
      <c r="L2326" s="8">
        <f t="shared" si="442"/>
        <v>1000</v>
      </c>
      <c r="M2326" s="8" t="str">
        <f t="shared" si="444"/>
        <v>-</v>
      </c>
      <c r="N2326" s="10" t="s">
        <v>242</v>
      </c>
      <c r="O2326" s="10" t="s">
        <v>241</v>
      </c>
      <c r="P2326" s="10" t="s">
        <v>242</v>
      </c>
      <c r="Q2326" s="10" t="s">
        <v>242</v>
      </c>
      <c r="R2326" s="10" t="s">
        <v>242</v>
      </c>
      <c r="S2326" s="10" t="s">
        <v>241</v>
      </c>
      <c r="T2326" s="10" t="s">
        <v>242</v>
      </c>
      <c r="U2326" s="10" t="s">
        <v>242</v>
      </c>
      <c r="V2326" s="10" t="s">
        <v>242</v>
      </c>
      <c r="W2326" s="10" t="s">
        <v>242</v>
      </c>
      <c r="X2326" s="15">
        <f>IF(ISERROR(VLOOKUP($A2326,'13. Updated Demand'!A:Z,15,FALSE)),0,VLOOKUP($A2326,'13. Updated Demand'!A:Z,15,FALSE))</f>
        <v>0.02</v>
      </c>
      <c r="Y2326" s="16">
        <f>IF(ISERROR(VLOOKUP($A2326,'13. Updated Demand'!A:Z,16,FALSE)),0,VLOOKUP($A2326,'13. Updated Demand'!A:Z,16,FALSE))</f>
        <v>0.02</v>
      </c>
      <c r="Z2326" s="16">
        <f>IF(ISERROR(VLOOKUP($A2326,'13. Updated Demand'!A:Z,17,FALSE)),0,VLOOKUP($A2326,'13. Updated Demand'!A:Z,17,FALSE))</f>
        <v>0.02</v>
      </c>
      <c r="AA2326" s="16">
        <f>IF(ISERROR(VLOOKUP($A2326,'13. Updated Demand'!A:Z,18,FALSE)),0,VLOOKUP($A2326,'13. Updated Demand'!A:Z,18,FALSE))</f>
        <v>0.02</v>
      </c>
      <c r="AB2326" s="16">
        <f>IF(ISERROR(VLOOKUP($A2326,'13. Updated Demand'!A:Z,19,FALSE)),0,VLOOKUP($A2326,'13. Updated Demand'!A:Z,19,FALSE))</f>
        <v>0.02</v>
      </c>
      <c r="AC2326" s="16">
        <f>IF(ISERROR(VLOOKUP($A2326,'13. Updated Demand'!A:Z,20,FALSE)),0,VLOOKUP($A2326,'13. Updated Demand'!A:Z,20,FALSE))</f>
        <v>0.02</v>
      </c>
      <c r="AD2326" s="16">
        <f>IF(ISERROR(VLOOKUP($A2326,'13. Updated Demand'!A:Z,21,FALSE)),0,VLOOKUP($A2326,'13. Updated Demand'!A:Z,21,FALSE))</f>
        <v>0.02</v>
      </c>
      <c r="AE2326" s="16">
        <f>IF(ISERROR(VLOOKUP($A2326,'13. Updated Demand'!A:Z,22,FALSE)),0,VLOOKUP($A2326,'13. Updated Demand'!A:Z,22,FALSE))</f>
        <v>0.02</v>
      </c>
      <c r="AF2326" s="16">
        <f>IF(ISERROR(VLOOKUP($A2326,'13. Updated Demand'!A:Z,23,FALSE)),0,VLOOKUP($A2326,'13. Updated Demand'!A:Z,23,FALSE))</f>
        <v>0.02</v>
      </c>
      <c r="AG2326" s="16">
        <f>IF(ISERROR(VLOOKUP($A2326,'13. Updated Demand'!A:Z,24,FALSE)),0,VLOOKUP($A2326,'13. Updated Demand'!A:Z,24,FALSE))</f>
        <v>0.02</v>
      </c>
      <c r="AH2326" s="16">
        <f>IF(ISERROR(VLOOKUP($A2326,'13. Updated Demand'!A:Z,25,FALSE)),0,VLOOKUP($A2326,'13. Updated Demand'!A:Z,25,FALSE))</f>
        <v>0.02</v>
      </c>
      <c r="AI2326" s="16">
        <f>IF(ISERROR(VLOOKUP($A2326,'13. Updated Demand'!A:Z,26,FALSE)),0,VLOOKUP($A2326,'13. Updated Demand'!A:Z,26,FALSE))</f>
        <v>0.02</v>
      </c>
      <c r="AJ2326" s="16">
        <f t="shared" si="445"/>
        <v>0.23999999999999996</v>
      </c>
      <c r="AK2326" s="19">
        <v>0.13500000000000001</v>
      </c>
      <c r="AL2326" s="16">
        <f t="shared" si="443"/>
        <v>4.4777962205489374E-4</v>
      </c>
      <c r="AM2326" s="26">
        <v>0.81612090680100768</v>
      </c>
      <c r="AN2326" s="19">
        <v>0.39700000000000002</v>
      </c>
      <c r="AO2326" s="19" t="s">
        <v>1758</v>
      </c>
      <c r="AP2326" s="19">
        <v>0</v>
      </c>
      <c r="AQ2326" s="19" t="s">
        <v>307</v>
      </c>
      <c r="AR2326" s="9" t="s">
        <v>319</v>
      </c>
      <c r="AS2326" s="12">
        <v>3.4039024194010059E-4</v>
      </c>
      <c r="AT2326" s="19">
        <v>39.00199722</v>
      </c>
      <c r="AU2326" s="19">
        <v>-123.16924167000001</v>
      </c>
      <c r="AV2326" s="19" t="s">
        <v>395</v>
      </c>
    </row>
    <row r="2327" spans="1:48" x14ac:dyDescent="0.25">
      <c r="A2327" s="18" t="s">
        <v>2794</v>
      </c>
      <c r="B2327" s="10">
        <v>10000000</v>
      </c>
      <c r="C2327" s="9">
        <v>6</v>
      </c>
      <c r="D2327" s="8" t="str">
        <f t="shared" si="434"/>
        <v>Y</v>
      </c>
      <c r="E2327" s="8" t="str">
        <f t="shared" si="435"/>
        <v>N</v>
      </c>
      <c r="F2327" s="8" t="str">
        <f t="shared" si="436"/>
        <v>Y</v>
      </c>
      <c r="G2327" s="8" t="str">
        <f t="shared" si="437"/>
        <v>Y</v>
      </c>
      <c r="H2327" s="8" t="str">
        <f t="shared" si="438"/>
        <v>Upper</v>
      </c>
      <c r="I2327" s="8" t="str">
        <f t="shared" si="439"/>
        <v>West Fork and Below Lake</v>
      </c>
      <c r="J2327" s="8" t="str">
        <f t="shared" si="440"/>
        <v>Mendocino (d/s of lake)</v>
      </c>
      <c r="K2327" s="8" t="str">
        <f t="shared" si="441"/>
        <v>Riparian</v>
      </c>
      <c r="L2327" s="8">
        <f t="shared" si="442"/>
        <v>1000</v>
      </c>
      <c r="M2327" s="8" t="str">
        <f t="shared" si="444"/>
        <v>-</v>
      </c>
      <c r="N2327" s="10" t="s">
        <v>242</v>
      </c>
      <c r="O2327" s="10" t="s">
        <v>241</v>
      </c>
      <c r="P2327" s="10" t="s">
        <v>242</v>
      </c>
      <c r="Q2327" s="10" t="s">
        <v>242</v>
      </c>
      <c r="R2327" s="10" t="s">
        <v>242</v>
      </c>
      <c r="S2327" s="10" t="s">
        <v>241</v>
      </c>
      <c r="T2327" s="10" t="s">
        <v>242</v>
      </c>
      <c r="U2327" s="10" t="s">
        <v>242</v>
      </c>
      <c r="V2327" s="10" t="s">
        <v>242</v>
      </c>
      <c r="W2327" s="10" t="s">
        <v>242</v>
      </c>
      <c r="X2327" s="15">
        <f>IF(ISERROR(VLOOKUP($A2327,'13. Updated Demand'!A:Z,15,FALSE)),0,VLOOKUP($A2327,'13. Updated Demand'!A:Z,15,FALSE))</f>
        <v>0</v>
      </c>
      <c r="Y2327" s="16">
        <f>IF(ISERROR(VLOOKUP($A2327,'13. Updated Demand'!A:Z,16,FALSE)),0,VLOOKUP($A2327,'13. Updated Demand'!A:Z,16,FALSE))</f>
        <v>0</v>
      </c>
      <c r="Z2327" s="16">
        <f>IF(ISERROR(VLOOKUP($A2327,'13. Updated Demand'!A:Z,17,FALSE)),0,VLOOKUP($A2327,'13. Updated Demand'!A:Z,17,FALSE))</f>
        <v>0.08</v>
      </c>
      <c r="AA2327" s="16">
        <f>IF(ISERROR(VLOOKUP($A2327,'13. Updated Demand'!A:Z,18,FALSE)),0,VLOOKUP($A2327,'13. Updated Demand'!A:Z,18,FALSE))</f>
        <v>0.08</v>
      </c>
      <c r="AB2327" s="16">
        <f>IF(ISERROR(VLOOKUP($A2327,'13. Updated Demand'!A:Z,19,FALSE)),0,VLOOKUP($A2327,'13. Updated Demand'!A:Z,19,FALSE))</f>
        <v>0.08</v>
      </c>
      <c r="AC2327" s="16">
        <f>IF(ISERROR(VLOOKUP($A2327,'13. Updated Demand'!A:Z,20,FALSE)),0,VLOOKUP($A2327,'13. Updated Demand'!A:Z,20,FALSE))</f>
        <v>0.08</v>
      </c>
      <c r="AD2327" s="16">
        <f>IF(ISERROR(VLOOKUP($A2327,'13. Updated Demand'!A:Z,21,FALSE)),0,VLOOKUP($A2327,'13. Updated Demand'!A:Z,21,FALSE))</f>
        <v>0.08</v>
      </c>
      <c r="AE2327" s="16">
        <f>IF(ISERROR(VLOOKUP($A2327,'13. Updated Demand'!A:Z,22,FALSE)),0,VLOOKUP($A2327,'13. Updated Demand'!A:Z,22,FALSE))</f>
        <v>0.08</v>
      </c>
      <c r="AF2327" s="16">
        <f>IF(ISERROR(VLOOKUP($A2327,'13. Updated Demand'!A:Z,23,FALSE)),0,VLOOKUP($A2327,'13. Updated Demand'!A:Z,23,FALSE))</f>
        <v>0.08</v>
      </c>
      <c r="AG2327" s="16">
        <f>IF(ISERROR(VLOOKUP($A2327,'13. Updated Demand'!A:Z,24,FALSE)),0,VLOOKUP($A2327,'13. Updated Demand'!A:Z,24,FALSE))</f>
        <v>0.08</v>
      </c>
      <c r="AH2327" s="16">
        <f>IF(ISERROR(VLOOKUP($A2327,'13. Updated Demand'!A:Z,25,FALSE)),0,VLOOKUP($A2327,'13. Updated Demand'!A:Z,25,FALSE))</f>
        <v>0.08</v>
      </c>
      <c r="AI2327" s="16">
        <f>IF(ISERROR(VLOOKUP($A2327,'13. Updated Demand'!A:Z,26,FALSE)),0,VLOOKUP($A2327,'13. Updated Demand'!A:Z,26,FALSE))</f>
        <v>0</v>
      </c>
      <c r="AJ2327" s="16">
        <f t="shared" si="445"/>
        <v>0.72</v>
      </c>
      <c r="AK2327" s="19">
        <v>0.42833333500000004</v>
      </c>
      <c r="AL2327" s="16">
        <f t="shared" si="443"/>
        <v>1.4207328804430534E-3</v>
      </c>
      <c r="AM2327" s="26">
        <v>3.994818668393783</v>
      </c>
      <c r="AN2327" s="19">
        <v>0.193</v>
      </c>
      <c r="AO2327" s="19" t="s">
        <v>1758</v>
      </c>
      <c r="AP2327" s="19">
        <v>0</v>
      </c>
      <c r="AQ2327" s="19" t="s">
        <v>307</v>
      </c>
      <c r="AR2327" s="9" t="s">
        <v>319</v>
      </c>
      <c r="AS2327" s="12">
        <v>0</v>
      </c>
      <c r="AT2327" s="19">
        <v>39.003916670000002</v>
      </c>
      <c r="AU2327" s="19">
        <v>-123.17158611000001</v>
      </c>
      <c r="AV2327" s="19" t="s">
        <v>1788</v>
      </c>
    </row>
    <row r="2328" spans="1:48" x14ac:dyDescent="0.25">
      <c r="A2328" s="18" t="s">
        <v>2795</v>
      </c>
      <c r="B2328" s="10">
        <v>10000000</v>
      </c>
      <c r="C2328" s="9">
        <v>6</v>
      </c>
      <c r="D2328" s="8" t="str">
        <f t="shared" si="434"/>
        <v>Y</v>
      </c>
      <c r="E2328" s="8" t="str">
        <f t="shared" si="435"/>
        <v>N</v>
      </c>
      <c r="F2328" s="8" t="str">
        <f t="shared" si="436"/>
        <v>Y</v>
      </c>
      <c r="G2328" s="8" t="str">
        <f t="shared" si="437"/>
        <v>Y</v>
      </c>
      <c r="H2328" s="8" t="str">
        <f t="shared" si="438"/>
        <v>Upper</v>
      </c>
      <c r="I2328" s="8" t="str">
        <f t="shared" si="439"/>
        <v>West Fork and Below Lake</v>
      </c>
      <c r="J2328" s="8" t="str">
        <f t="shared" si="440"/>
        <v>Mendocino (d/s of lake)</v>
      </c>
      <c r="K2328" s="8" t="str">
        <f t="shared" si="441"/>
        <v>Riparian</v>
      </c>
      <c r="L2328" s="8">
        <f t="shared" si="442"/>
        <v>1000</v>
      </c>
      <c r="M2328" s="8" t="str">
        <f t="shared" si="444"/>
        <v>-</v>
      </c>
      <c r="N2328" s="10" t="s">
        <v>242</v>
      </c>
      <c r="O2328" s="10" t="s">
        <v>241</v>
      </c>
      <c r="P2328" s="10" t="s">
        <v>242</v>
      </c>
      <c r="Q2328" s="10" t="s">
        <v>242</v>
      </c>
      <c r="R2328" s="10" t="s">
        <v>242</v>
      </c>
      <c r="S2328" s="10" t="s">
        <v>241</v>
      </c>
      <c r="T2328" s="10" t="s">
        <v>242</v>
      </c>
      <c r="U2328" s="10" t="s">
        <v>241</v>
      </c>
      <c r="V2328" s="10" t="s">
        <v>241</v>
      </c>
      <c r="W2328" s="10" t="s">
        <v>242</v>
      </c>
      <c r="X2328" s="15">
        <f>IF(ISERROR(VLOOKUP($A2328,'13. Updated Demand'!A:Z,15,FALSE)),0,VLOOKUP($A2328,'13. Updated Demand'!A:Z,15,FALSE))</f>
        <v>0</v>
      </c>
      <c r="Y2328" s="16">
        <f>IF(ISERROR(VLOOKUP($A2328,'13. Updated Demand'!A:Z,16,FALSE)),0,VLOOKUP($A2328,'13. Updated Demand'!A:Z,16,FALSE))</f>
        <v>0</v>
      </c>
      <c r="Z2328" s="16">
        <f>IF(ISERROR(VLOOKUP($A2328,'13. Updated Demand'!A:Z,17,FALSE)),0,VLOOKUP($A2328,'13. Updated Demand'!A:Z,17,FALSE))</f>
        <v>0</v>
      </c>
      <c r="AA2328" s="16">
        <f>IF(ISERROR(VLOOKUP($A2328,'13. Updated Demand'!A:Z,18,FALSE)),0,VLOOKUP($A2328,'13. Updated Demand'!A:Z,18,FALSE))</f>
        <v>0</v>
      </c>
      <c r="AB2328" s="16">
        <f>IF(ISERROR(VLOOKUP($A2328,'13. Updated Demand'!A:Z,19,FALSE)),0,VLOOKUP($A2328,'13. Updated Demand'!A:Z,19,FALSE))</f>
        <v>0</v>
      </c>
      <c r="AC2328" s="16">
        <f>IF(ISERROR(VLOOKUP($A2328,'13. Updated Demand'!A:Z,20,FALSE)),0,VLOOKUP($A2328,'13. Updated Demand'!A:Z,20,FALSE))</f>
        <v>0</v>
      </c>
      <c r="AD2328" s="16">
        <f>IF(ISERROR(VLOOKUP($A2328,'13. Updated Demand'!A:Z,21,FALSE)),0,VLOOKUP($A2328,'13. Updated Demand'!A:Z,21,FALSE))</f>
        <v>0</v>
      </c>
      <c r="AE2328" s="16">
        <f>IF(ISERROR(VLOOKUP($A2328,'13. Updated Demand'!A:Z,22,FALSE)),0,VLOOKUP($A2328,'13. Updated Demand'!A:Z,22,FALSE))</f>
        <v>0</v>
      </c>
      <c r="AF2328" s="16">
        <f>IF(ISERROR(VLOOKUP($A2328,'13. Updated Demand'!A:Z,23,FALSE)),0,VLOOKUP($A2328,'13. Updated Demand'!A:Z,23,FALSE))</f>
        <v>0</v>
      </c>
      <c r="AG2328" s="16">
        <f>IF(ISERROR(VLOOKUP($A2328,'13. Updated Demand'!A:Z,24,FALSE)),0,VLOOKUP($A2328,'13. Updated Demand'!A:Z,24,FALSE))</f>
        <v>0</v>
      </c>
      <c r="AH2328" s="16">
        <f>IF(ISERROR(VLOOKUP($A2328,'13. Updated Demand'!A:Z,25,FALSE)),0,VLOOKUP($A2328,'13. Updated Demand'!A:Z,25,FALSE))</f>
        <v>0</v>
      </c>
      <c r="AI2328" s="16">
        <f>IF(ISERROR(VLOOKUP($A2328,'13. Updated Demand'!A:Z,26,FALSE)),0,VLOOKUP($A2328,'13. Updated Demand'!A:Z,26,FALSE))</f>
        <v>0</v>
      </c>
      <c r="AJ2328" s="16">
        <f t="shared" si="445"/>
        <v>0</v>
      </c>
      <c r="AK2328" s="19">
        <v>0</v>
      </c>
      <c r="AL2328" s="16">
        <f t="shared" si="443"/>
        <v>0</v>
      </c>
      <c r="AM2328" s="26">
        <v>0</v>
      </c>
      <c r="AN2328" s="19">
        <v>0</v>
      </c>
      <c r="AO2328" s="19" t="s">
        <v>1758</v>
      </c>
      <c r="AP2328" s="19">
        <v>0</v>
      </c>
      <c r="AQ2328" s="19" t="s">
        <v>307</v>
      </c>
      <c r="AR2328" s="9" t="s">
        <v>319</v>
      </c>
      <c r="AS2328" s="12">
        <v>0</v>
      </c>
      <c r="AT2328" s="19">
        <v>39.001961999999999</v>
      </c>
      <c r="AU2328" s="19">
        <v>-123.169123</v>
      </c>
      <c r="AV2328" s="19" t="s">
        <v>1788</v>
      </c>
    </row>
    <row r="2329" spans="1:48" x14ac:dyDescent="0.25">
      <c r="A2329" s="18" t="s">
        <v>2796</v>
      </c>
      <c r="B2329" s="10">
        <v>10000000</v>
      </c>
      <c r="C2329" s="9">
        <v>4</v>
      </c>
      <c r="D2329" s="8" t="str">
        <f t="shared" si="434"/>
        <v>Y</v>
      </c>
      <c r="E2329" s="8" t="str">
        <f t="shared" si="435"/>
        <v>N</v>
      </c>
      <c r="F2329" s="8" t="str">
        <f t="shared" si="436"/>
        <v>Y</v>
      </c>
      <c r="G2329" s="8" t="str">
        <f t="shared" si="437"/>
        <v>Y</v>
      </c>
      <c r="H2329" s="8" t="str">
        <f t="shared" si="438"/>
        <v>Upper</v>
      </c>
      <c r="I2329" s="8" t="str">
        <f t="shared" si="439"/>
        <v>West Fork and Below Lake</v>
      </c>
      <c r="J2329" s="8" t="str">
        <f t="shared" si="440"/>
        <v>Mendocino (d/s of lake)</v>
      </c>
      <c r="K2329" s="8" t="str">
        <f t="shared" si="441"/>
        <v>Riparian</v>
      </c>
      <c r="L2329" s="8">
        <f t="shared" si="442"/>
        <v>1000</v>
      </c>
      <c r="M2329" s="8" t="str">
        <f t="shared" si="444"/>
        <v>-</v>
      </c>
      <c r="N2329" s="10" t="s">
        <v>242</v>
      </c>
      <c r="O2329" s="10" t="s">
        <v>241</v>
      </c>
      <c r="P2329" s="10" t="s">
        <v>242</v>
      </c>
      <c r="Q2329" s="10" t="s">
        <v>242</v>
      </c>
      <c r="R2329" s="10" t="s">
        <v>242</v>
      </c>
      <c r="S2329" s="10" t="s">
        <v>241</v>
      </c>
      <c r="T2329" s="10" t="s">
        <v>242</v>
      </c>
      <c r="U2329" s="10" t="s">
        <v>242</v>
      </c>
      <c r="V2329" s="10" t="s">
        <v>242</v>
      </c>
      <c r="W2329" s="10" t="s">
        <v>242</v>
      </c>
      <c r="X2329" s="15">
        <f>IF(ISERROR(VLOOKUP($A2329,'13. Updated Demand'!A:Z,15,FALSE)),0,VLOOKUP($A2329,'13. Updated Demand'!A:Z,15,FALSE))</f>
        <v>2.8540000000000002E-3</v>
      </c>
      <c r="Y2329" s="16">
        <f>IF(ISERROR(VLOOKUP($A2329,'13. Updated Demand'!A:Z,16,FALSE)),0,VLOOKUP($A2329,'13. Updated Demand'!A:Z,16,FALSE))</f>
        <v>2.578E-3</v>
      </c>
      <c r="Z2329" s="16">
        <f>IF(ISERROR(VLOOKUP($A2329,'13. Updated Demand'!A:Z,17,FALSE)),0,VLOOKUP($A2329,'13. Updated Demand'!A:Z,17,FALSE))</f>
        <v>0.03</v>
      </c>
      <c r="AA2329" s="16">
        <f>IF(ISERROR(VLOOKUP($A2329,'13. Updated Demand'!A:Z,18,FALSE)),0,VLOOKUP($A2329,'13. Updated Demand'!A:Z,18,FALSE))</f>
        <v>2.915333E-3</v>
      </c>
      <c r="AB2329" s="16">
        <f>IF(ISERROR(VLOOKUP($A2329,'13. Updated Demand'!A:Z,19,FALSE)),0,VLOOKUP($A2329,'13. Updated Demand'!A:Z,19,FALSE))</f>
        <v>4.0920000000000002E-3</v>
      </c>
      <c r="AC2329" s="16">
        <f>IF(ISERROR(VLOOKUP($A2329,'13. Updated Demand'!A:Z,20,FALSE)),0,VLOOKUP($A2329,'13. Updated Demand'!A:Z,20,FALSE))</f>
        <v>5.1146669999999998E-3</v>
      </c>
      <c r="AD2329" s="16">
        <f>IF(ISERROR(VLOOKUP($A2329,'13. Updated Demand'!A:Z,21,FALSE)),0,VLOOKUP($A2329,'13. Updated Demand'!A:Z,21,FALSE))</f>
        <v>5.6263329999999999E-3</v>
      </c>
      <c r="AE2329" s="16">
        <f>IF(ISERROR(VLOOKUP($A2329,'13. Updated Demand'!A:Z,22,FALSE)),0,VLOOKUP($A2329,'13. Updated Demand'!A:Z,22,FALSE))</f>
        <v>6.1376670000000003E-3</v>
      </c>
      <c r="AF2329" s="16">
        <f>IF(ISERROR(VLOOKUP($A2329,'13. Updated Demand'!A:Z,23,FALSE)),0,VLOOKUP($A2329,'13. Updated Demand'!A:Z,23,FALSE))</f>
        <v>6.1376670000000003E-3</v>
      </c>
      <c r="AG2329" s="16">
        <f>IF(ISERROR(VLOOKUP($A2329,'13. Updated Demand'!A:Z,24,FALSE)),0,VLOOKUP($A2329,'13. Updated Demand'!A:Z,24,FALSE))</f>
        <v>3.621333E-3</v>
      </c>
      <c r="AH2329" s="16">
        <f>IF(ISERROR(VLOOKUP($A2329,'13. Updated Demand'!A:Z,25,FALSE)),0,VLOOKUP($A2329,'13. Updated Demand'!A:Z,25,FALSE))</f>
        <v>2.8540000000000002E-3</v>
      </c>
      <c r="AI2329" s="16">
        <f>IF(ISERROR(VLOOKUP($A2329,'13. Updated Demand'!A:Z,26,FALSE)),0,VLOOKUP($A2329,'13. Updated Demand'!A:Z,26,FALSE))</f>
        <v>2.8540000000000002E-3</v>
      </c>
      <c r="AJ2329" s="16">
        <f t="shared" si="445"/>
        <v>7.478499999999999E-2</v>
      </c>
      <c r="AK2329" s="19">
        <v>2.7108333999999998E-2</v>
      </c>
      <c r="AL2329" s="16">
        <f t="shared" si="443"/>
        <v>8.9915255948576483E-5</v>
      </c>
      <c r="AM2329" s="26">
        <v>0.59482864084507048</v>
      </c>
      <c r="AN2329" s="19">
        <v>0.14199999999999999</v>
      </c>
      <c r="AO2329" s="19" t="s">
        <v>1758</v>
      </c>
      <c r="AP2329" s="19">
        <v>0</v>
      </c>
      <c r="AQ2329" s="19" t="s">
        <v>307</v>
      </c>
      <c r="AR2329" s="9" t="s">
        <v>331</v>
      </c>
      <c r="AS2329" s="12">
        <v>3.4039024194010059E-4</v>
      </c>
      <c r="AT2329" s="19">
        <v>39.215789999999998</v>
      </c>
      <c r="AU2329" s="19">
        <v>-123.3404</v>
      </c>
      <c r="AV2329" s="19" t="s">
        <v>1097</v>
      </c>
    </row>
    <row r="2330" spans="1:48" x14ac:dyDescent="0.25">
      <c r="A2330" s="18" t="s">
        <v>2797</v>
      </c>
      <c r="B2330" s="10">
        <v>10000000</v>
      </c>
      <c r="C2330" s="9">
        <v>1</v>
      </c>
      <c r="D2330" s="8" t="str">
        <f t="shared" si="434"/>
        <v>N</v>
      </c>
      <c r="E2330" s="8" t="str">
        <f t="shared" si="435"/>
        <v>N</v>
      </c>
      <c r="F2330" s="8" t="str">
        <f t="shared" si="436"/>
        <v>Y</v>
      </c>
      <c r="G2330" s="8" t="str">
        <f t="shared" si="437"/>
        <v>Y</v>
      </c>
      <c r="H2330" s="8" t="str">
        <f t="shared" si="438"/>
        <v>Upper</v>
      </c>
      <c r="I2330" s="8" t="str">
        <f t="shared" si="439"/>
        <v>West Fork and Below Lake</v>
      </c>
      <c r="J2330" s="8" t="str">
        <f t="shared" si="440"/>
        <v>Outside</v>
      </c>
      <c r="K2330" s="8" t="str">
        <f t="shared" si="441"/>
        <v>Riparian</v>
      </c>
      <c r="L2330" s="8">
        <f t="shared" si="442"/>
        <v>1000</v>
      </c>
      <c r="M2330" s="8" t="str">
        <f t="shared" si="444"/>
        <v>-</v>
      </c>
      <c r="N2330" s="10" t="s">
        <v>242</v>
      </c>
      <c r="O2330" s="10" t="s">
        <v>241</v>
      </c>
      <c r="P2330" s="10" t="s">
        <v>242</v>
      </c>
      <c r="Q2330" s="10" t="s">
        <v>242</v>
      </c>
      <c r="R2330" s="10" t="s">
        <v>242</v>
      </c>
      <c r="S2330" s="10" t="s">
        <v>241</v>
      </c>
      <c r="T2330" s="10" t="s">
        <v>242</v>
      </c>
      <c r="U2330" s="10" t="s">
        <v>242</v>
      </c>
      <c r="V2330" s="10" t="s">
        <v>242</v>
      </c>
      <c r="W2330" s="10" t="s">
        <v>242</v>
      </c>
      <c r="X2330" s="15">
        <f>IF(ISERROR(VLOOKUP($A2330,'13. Updated Demand'!A:Z,15,FALSE)),0,VLOOKUP($A2330,'13. Updated Demand'!A:Z,15,FALSE))</f>
        <v>0.02</v>
      </c>
      <c r="Y2330" s="16">
        <f>IF(ISERROR(VLOOKUP($A2330,'13. Updated Demand'!A:Z,16,FALSE)),0,VLOOKUP($A2330,'13. Updated Demand'!A:Z,16,FALSE))</f>
        <v>0.03</v>
      </c>
      <c r="Z2330" s="16">
        <f>IF(ISERROR(VLOOKUP($A2330,'13. Updated Demand'!A:Z,17,FALSE)),0,VLOOKUP($A2330,'13. Updated Demand'!A:Z,17,FALSE))</f>
        <v>0.03</v>
      </c>
      <c r="AA2330" s="16">
        <f>IF(ISERROR(VLOOKUP($A2330,'13. Updated Demand'!A:Z,18,FALSE)),0,VLOOKUP($A2330,'13. Updated Demand'!A:Z,18,FALSE))</f>
        <v>0.03</v>
      </c>
      <c r="AB2330" s="16">
        <f>IF(ISERROR(VLOOKUP($A2330,'13. Updated Demand'!A:Z,19,FALSE)),0,VLOOKUP($A2330,'13. Updated Demand'!A:Z,19,FALSE))</f>
        <v>0.03</v>
      </c>
      <c r="AC2330" s="16">
        <f>IF(ISERROR(VLOOKUP($A2330,'13. Updated Demand'!A:Z,20,FALSE)),0,VLOOKUP($A2330,'13. Updated Demand'!A:Z,20,FALSE))</f>
        <v>0.01</v>
      </c>
      <c r="AD2330" s="16">
        <f>IF(ISERROR(VLOOKUP($A2330,'13. Updated Demand'!A:Z,21,FALSE)),0,VLOOKUP($A2330,'13. Updated Demand'!A:Z,21,FALSE))</f>
        <v>0.01</v>
      </c>
      <c r="AE2330" s="16">
        <f>IF(ISERROR(VLOOKUP($A2330,'13. Updated Demand'!A:Z,22,FALSE)),0,VLOOKUP($A2330,'13. Updated Demand'!A:Z,22,FALSE))</f>
        <v>0.01</v>
      </c>
      <c r="AF2330" s="16">
        <f>IF(ISERROR(VLOOKUP($A2330,'13. Updated Demand'!A:Z,23,FALSE)),0,VLOOKUP($A2330,'13. Updated Demand'!A:Z,23,FALSE))</f>
        <v>0.01</v>
      </c>
      <c r="AG2330" s="16">
        <f>IF(ISERROR(VLOOKUP($A2330,'13. Updated Demand'!A:Z,24,FALSE)),0,VLOOKUP($A2330,'13. Updated Demand'!A:Z,24,FALSE))</f>
        <v>0.01</v>
      </c>
      <c r="AH2330" s="16">
        <f>IF(ISERROR(VLOOKUP($A2330,'13. Updated Demand'!A:Z,25,FALSE)),0,VLOOKUP($A2330,'13. Updated Demand'!A:Z,25,FALSE))</f>
        <v>0.01</v>
      </c>
      <c r="AI2330" s="16">
        <f>IF(ISERROR(VLOOKUP($A2330,'13. Updated Demand'!A:Z,26,FALSE)),0,VLOOKUP($A2330,'13. Updated Demand'!A:Z,26,FALSE))</f>
        <v>0.01</v>
      </c>
      <c r="AJ2330" s="16">
        <f t="shared" si="445"/>
        <v>0.21000000000000008</v>
      </c>
      <c r="AK2330" s="19">
        <v>0.103333333</v>
      </c>
      <c r="AL2330" s="16">
        <f t="shared" si="443"/>
        <v>3.4274489478824054E-4</v>
      </c>
      <c r="AM2330" s="26">
        <v>6.2898550869565204</v>
      </c>
      <c r="AN2330" s="19">
        <v>4.5999999999999999E-2</v>
      </c>
      <c r="AO2330" s="19" t="s">
        <v>1758</v>
      </c>
      <c r="AP2330" s="19">
        <v>0</v>
      </c>
      <c r="AQ2330" s="19" t="s">
        <v>307</v>
      </c>
      <c r="AR2330" s="9" t="s">
        <v>317</v>
      </c>
      <c r="AS2330" s="12">
        <v>0</v>
      </c>
      <c r="AT2330" s="19">
        <v>39.276649999999997</v>
      </c>
      <c r="AU2330" s="19">
        <v>-123.17252000000001</v>
      </c>
      <c r="AV2330" s="19" t="s">
        <v>385</v>
      </c>
    </row>
    <row r="2331" spans="1:48" x14ac:dyDescent="0.25">
      <c r="A2331" s="18" t="s">
        <v>2798</v>
      </c>
      <c r="B2331" s="10">
        <v>10000000</v>
      </c>
      <c r="C2331" s="9">
        <v>1</v>
      </c>
      <c r="D2331" s="8" t="str">
        <f t="shared" si="434"/>
        <v>N</v>
      </c>
      <c r="E2331" s="8" t="str">
        <f t="shared" si="435"/>
        <v>N</v>
      </c>
      <c r="F2331" s="8" t="str">
        <f t="shared" si="436"/>
        <v>Y</v>
      </c>
      <c r="G2331" s="8" t="str">
        <f t="shared" si="437"/>
        <v>Y</v>
      </c>
      <c r="H2331" s="8" t="str">
        <f t="shared" si="438"/>
        <v>Upper</v>
      </c>
      <c r="I2331" s="8" t="str">
        <f t="shared" si="439"/>
        <v>West Fork and Below Lake</v>
      </c>
      <c r="J2331" s="8" t="str">
        <f t="shared" si="440"/>
        <v>Outside</v>
      </c>
      <c r="K2331" s="8" t="str">
        <f t="shared" si="441"/>
        <v>Riparian</v>
      </c>
      <c r="L2331" s="8">
        <f t="shared" si="442"/>
        <v>1000</v>
      </c>
      <c r="M2331" s="8" t="str">
        <f t="shared" si="444"/>
        <v>-</v>
      </c>
      <c r="N2331" s="10" t="s">
        <v>242</v>
      </c>
      <c r="O2331" s="10" t="s">
        <v>241</v>
      </c>
      <c r="P2331" s="10" t="s">
        <v>242</v>
      </c>
      <c r="Q2331" s="10" t="s">
        <v>242</v>
      </c>
      <c r="R2331" s="10" t="s">
        <v>242</v>
      </c>
      <c r="S2331" s="10" t="s">
        <v>241</v>
      </c>
      <c r="T2331" s="10" t="s">
        <v>242</v>
      </c>
      <c r="U2331" s="10" t="s">
        <v>242</v>
      </c>
      <c r="V2331" s="10" t="s">
        <v>242</v>
      </c>
      <c r="W2331" s="10" t="s">
        <v>242</v>
      </c>
      <c r="X2331" s="15">
        <f>IF(ISERROR(VLOOKUP($A2331,'13. Updated Demand'!A:Z,15,FALSE)),0,VLOOKUP($A2331,'13. Updated Demand'!A:Z,15,FALSE))</f>
        <v>7.0666669999999996E-3</v>
      </c>
      <c r="Y2331" s="16">
        <f>IF(ISERROR(VLOOKUP($A2331,'13. Updated Demand'!A:Z,16,FALSE)),0,VLOOKUP($A2331,'13. Updated Demand'!A:Z,16,FALSE))</f>
        <v>7.0666669999999996E-3</v>
      </c>
      <c r="Z2331" s="16">
        <f>IF(ISERROR(VLOOKUP($A2331,'13. Updated Demand'!A:Z,17,FALSE)),0,VLOOKUP($A2331,'13. Updated Demand'!A:Z,17,FALSE))</f>
        <v>7.0666669999999996E-3</v>
      </c>
      <c r="AA2331" s="16">
        <f>IF(ISERROR(VLOOKUP($A2331,'13. Updated Demand'!A:Z,18,FALSE)),0,VLOOKUP($A2331,'13. Updated Demand'!A:Z,18,FALSE))</f>
        <v>7.0666669999999996E-3</v>
      </c>
      <c r="AB2331" s="16">
        <f>IF(ISERROR(VLOOKUP($A2331,'13. Updated Demand'!A:Z,19,FALSE)),0,VLOOKUP($A2331,'13. Updated Demand'!A:Z,19,FALSE))</f>
        <v>0.02</v>
      </c>
      <c r="AC2331" s="16">
        <f>IF(ISERROR(VLOOKUP($A2331,'13. Updated Demand'!A:Z,20,FALSE)),0,VLOOKUP($A2331,'13. Updated Demand'!A:Z,20,FALSE))</f>
        <v>0.02</v>
      </c>
      <c r="AD2331" s="16">
        <f>IF(ISERROR(VLOOKUP($A2331,'13. Updated Demand'!A:Z,21,FALSE)),0,VLOOKUP($A2331,'13. Updated Demand'!A:Z,21,FALSE))</f>
        <v>0.02</v>
      </c>
      <c r="AE2331" s="16">
        <f>IF(ISERROR(VLOOKUP($A2331,'13. Updated Demand'!A:Z,22,FALSE)),0,VLOOKUP($A2331,'13. Updated Demand'!A:Z,22,FALSE))</f>
        <v>0.02</v>
      </c>
      <c r="AF2331" s="16">
        <f>IF(ISERROR(VLOOKUP($A2331,'13. Updated Demand'!A:Z,23,FALSE)),0,VLOOKUP($A2331,'13. Updated Demand'!A:Z,23,FALSE))</f>
        <v>0.02</v>
      </c>
      <c r="AG2331" s="16">
        <f>IF(ISERROR(VLOOKUP($A2331,'13. Updated Demand'!A:Z,24,FALSE)),0,VLOOKUP($A2331,'13. Updated Demand'!A:Z,24,FALSE))</f>
        <v>0.02</v>
      </c>
      <c r="AH2331" s="16">
        <f>IF(ISERROR(VLOOKUP($A2331,'13. Updated Demand'!A:Z,25,FALSE)),0,VLOOKUP($A2331,'13. Updated Demand'!A:Z,25,FALSE))</f>
        <v>7.0666669999999996E-3</v>
      </c>
      <c r="AI2331" s="16">
        <f>IF(ISERROR(VLOOKUP($A2331,'13. Updated Demand'!A:Z,26,FALSE)),0,VLOOKUP($A2331,'13. Updated Demand'!A:Z,26,FALSE))</f>
        <v>7.0666669999999996E-3</v>
      </c>
      <c r="AJ2331" s="16">
        <f t="shared" si="445"/>
        <v>0.16240000199999999</v>
      </c>
      <c r="AK2331" s="19">
        <v>0.11199999899999999</v>
      </c>
      <c r="AL2331" s="16">
        <f t="shared" si="443"/>
        <v>3.714912386842109E-4</v>
      </c>
      <c r="AM2331" s="26">
        <v>29.522222333333328</v>
      </c>
      <c r="AN2331" s="19">
        <v>6.0000000000000001E-3</v>
      </c>
      <c r="AO2331" s="19" t="s">
        <v>1758</v>
      </c>
      <c r="AP2331" s="19">
        <v>0</v>
      </c>
      <c r="AQ2331" s="19" t="s">
        <v>307</v>
      </c>
      <c r="AR2331" s="9" t="s">
        <v>317</v>
      </c>
      <c r="AS2331" s="12">
        <v>3.4039024194010059E-4</v>
      </c>
      <c r="AT2331" s="19">
        <v>39.25994</v>
      </c>
      <c r="AU2331" s="19">
        <v>-123.30073</v>
      </c>
      <c r="AV2331" s="19" t="s">
        <v>2799</v>
      </c>
    </row>
    <row r="2332" spans="1:48" x14ac:dyDescent="0.25">
      <c r="A2332" s="18" t="s">
        <v>2800</v>
      </c>
      <c r="B2332" s="10">
        <v>10000000</v>
      </c>
      <c r="C2332" s="9">
        <v>1</v>
      </c>
      <c r="D2332" s="8" t="str">
        <f t="shared" si="434"/>
        <v>N</v>
      </c>
      <c r="E2332" s="8" t="str">
        <f t="shared" si="435"/>
        <v>N</v>
      </c>
      <c r="F2332" s="8" t="str">
        <f t="shared" si="436"/>
        <v>Y</v>
      </c>
      <c r="G2332" s="8" t="str">
        <f t="shared" si="437"/>
        <v>Y</v>
      </c>
      <c r="H2332" s="8" t="str">
        <f t="shared" si="438"/>
        <v>Upper</v>
      </c>
      <c r="I2332" s="8" t="str">
        <f t="shared" si="439"/>
        <v>West Fork and Below Lake</v>
      </c>
      <c r="J2332" s="8" t="str">
        <f t="shared" si="440"/>
        <v>Outside</v>
      </c>
      <c r="K2332" s="8" t="str">
        <f t="shared" si="441"/>
        <v>Riparian</v>
      </c>
      <c r="L2332" s="8">
        <f t="shared" si="442"/>
        <v>1000</v>
      </c>
      <c r="M2332" s="8" t="str">
        <f t="shared" si="444"/>
        <v>-</v>
      </c>
      <c r="N2332" s="10" t="s">
        <v>242</v>
      </c>
      <c r="O2332" s="10" t="s">
        <v>241</v>
      </c>
      <c r="P2332" s="10" t="s">
        <v>242</v>
      </c>
      <c r="Q2332" s="10" t="s">
        <v>242</v>
      </c>
      <c r="R2332" s="10" t="s">
        <v>242</v>
      </c>
      <c r="S2332" s="10" t="s">
        <v>241</v>
      </c>
      <c r="T2332" s="10" t="s">
        <v>242</v>
      </c>
      <c r="U2332" s="10" t="s">
        <v>242</v>
      </c>
      <c r="V2332" s="10" t="s">
        <v>242</v>
      </c>
      <c r="W2332" s="10" t="s">
        <v>242</v>
      </c>
      <c r="X2332" s="15">
        <f>IF(ISERROR(VLOOKUP($A2332,'13. Updated Demand'!A:Z,15,FALSE)),0,VLOOKUP($A2332,'13. Updated Demand'!A:Z,15,FALSE))</f>
        <v>7.0233329999999997E-3</v>
      </c>
      <c r="Y2332" s="16">
        <f>IF(ISERROR(VLOOKUP($A2332,'13. Updated Demand'!A:Z,16,FALSE)),0,VLOOKUP($A2332,'13. Updated Demand'!A:Z,16,FALSE))</f>
        <v>7.0233329999999997E-3</v>
      </c>
      <c r="Z2332" s="16">
        <f>IF(ISERROR(VLOOKUP($A2332,'13. Updated Demand'!A:Z,17,FALSE)),0,VLOOKUP($A2332,'13. Updated Demand'!A:Z,17,FALSE))</f>
        <v>7.0233329999999997E-3</v>
      </c>
      <c r="AA2332" s="16">
        <f>IF(ISERROR(VLOOKUP($A2332,'13. Updated Demand'!A:Z,18,FALSE)),0,VLOOKUP($A2332,'13. Updated Demand'!A:Z,18,FALSE))</f>
        <v>7.0233329999999997E-3</v>
      </c>
      <c r="AB2332" s="16">
        <f>IF(ISERROR(VLOOKUP($A2332,'13. Updated Demand'!A:Z,19,FALSE)),0,VLOOKUP($A2332,'13. Updated Demand'!A:Z,19,FALSE))</f>
        <v>7.6366669999999998E-3</v>
      </c>
      <c r="AC2332" s="16">
        <f>IF(ISERROR(VLOOKUP($A2332,'13. Updated Demand'!A:Z,20,FALSE)),0,VLOOKUP($A2332,'13. Updated Demand'!A:Z,20,FALSE))</f>
        <v>6.0000000000000001E-3</v>
      </c>
      <c r="AD2332" s="16">
        <f>IF(ISERROR(VLOOKUP($A2332,'13. Updated Demand'!A:Z,21,FALSE)),0,VLOOKUP($A2332,'13. Updated Demand'!A:Z,21,FALSE))</f>
        <v>6.0000000000000001E-3</v>
      </c>
      <c r="AE2332" s="16">
        <f>IF(ISERROR(VLOOKUP($A2332,'13. Updated Demand'!A:Z,22,FALSE)),0,VLOOKUP($A2332,'13. Updated Demand'!A:Z,22,FALSE))</f>
        <v>6.0000000000000001E-3</v>
      </c>
      <c r="AF2332" s="16">
        <f>IF(ISERROR(VLOOKUP($A2332,'13. Updated Demand'!A:Z,23,FALSE)),0,VLOOKUP($A2332,'13. Updated Demand'!A:Z,23,FALSE))</f>
        <v>6.0000000000000001E-3</v>
      </c>
      <c r="AG2332" s="16">
        <f>IF(ISERROR(VLOOKUP($A2332,'13. Updated Demand'!A:Z,24,FALSE)),0,VLOOKUP($A2332,'13. Updated Demand'!A:Z,24,FALSE))</f>
        <v>6.0000000000000001E-3</v>
      </c>
      <c r="AH2332" s="16">
        <f>IF(ISERROR(VLOOKUP($A2332,'13. Updated Demand'!A:Z,25,FALSE)),0,VLOOKUP($A2332,'13. Updated Demand'!A:Z,25,FALSE))</f>
        <v>7.0233329999999997E-3</v>
      </c>
      <c r="AI2332" s="16">
        <f>IF(ISERROR(VLOOKUP($A2332,'13. Updated Demand'!A:Z,26,FALSE)),0,VLOOKUP($A2332,'13. Updated Demand'!A:Z,26,FALSE))</f>
        <v>7.0233329999999997E-3</v>
      </c>
      <c r="AJ2332" s="16">
        <f t="shared" si="445"/>
        <v>7.9776664999999997E-2</v>
      </c>
      <c r="AK2332" s="19">
        <v>3.1636667E-2</v>
      </c>
      <c r="AL2332" s="16">
        <f t="shared" si="443"/>
        <v>1.0493522068397429E-4</v>
      </c>
      <c r="AM2332" s="26">
        <v>0.26070805555555554</v>
      </c>
      <c r="AN2332" s="19">
        <v>0.30599999999999999</v>
      </c>
      <c r="AO2332" s="19" t="s">
        <v>1758</v>
      </c>
      <c r="AP2332" s="19">
        <v>0</v>
      </c>
      <c r="AQ2332" s="19" t="s">
        <v>307</v>
      </c>
      <c r="AR2332" s="9" t="s">
        <v>317</v>
      </c>
      <c r="AS2332" s="12">
        <v>3.4039024194010059E-4</v>
      </c>
      <c r="AT2332" s="19">
        <v>39.258000000000003</v>
      </c>
      <c r="AU2332" s="19">
        <v>-123.30253</v>
      </c>
      <c r="AV2332" s="19" t="s">
        <v>2801</v>
      </c>
    </row>
    <row r="2333" spans="1:48" x14ac:dyDescent="0.25">
      <c r="A2333" s="18" t="s">
        <v>2802</v>
      </c>
      <c r="B2333" s="10">
        <v>10000000</v>
      </c>
      <c r="C2333" s="9">
        <v>22</v>
      </c>
      <c r="D2333" s="8" t="str">
        <f t="shared" si="434"/>
        <v>N</v>
      </c>
      <c r="E2333" s="8" t="str">
        <f t="shared" si="435"/>
        <v>N</v>
      </c>
      <c r="F2333" s="8" t="str">
        <f t="shared" si="436"/>
        <v>N</v>
      </c>
      <c r="G2333" s="8" t="str">
        <f t="shared" si="437"/>
        <v>N</v>
      </c>
      <c r="H2333" s="8" t="str">
        <f t="shared" si="438"/>
        <v>Lower</v>
      </c>
      <c r="I2333" s="8" t="str">
        <f t="shared" si="439"/>
        <v>Outside</v>
      </c>
      <c r="J2333" s="8" t="str">
        <f t="shared" si="440"/>
        <v>Outside</v>
      </c>
      <c r="K2333" s="8" t="str">
        <f t="shared" si="441"/>
        <v>Riparian</v>
      </c>
      <c r="L2333" s="8">
        <f t="shared" si="442"/>
        <v>1000</v>
      </c>
      <c r="M2333" s="8" t="str">
        <f t="shared" si="444"/>
        <v>-</v>
      </c>
      <c r="N2333" s="10" t="s">
        <v>242</v>
      </c>
      <c r="O2333" s="10" t="s">
        <v>242</v>
      </c>
      <c r="P2333" s="10" t="s">
        <v>242</v>
      </c>
      <c r="Q2333" s="10" t="s">
        <v>242</v>
      </c>
      <c r="R2333" s="10" t="s">
        <v>242</v>
      </c>
      <c r="S2333" s="10" t="s">
        <v>241</v>
      </c>
      <c r="T2333" s="10" t="s">
        <v>242</v>
      </c>
      <c r="U2333" s="10" t="s">
        <v>241</v>
      </c>
      <c r="V2333" s="10" t="s">
        <v>241</v>
      </c>
      <c r="W2333" s="10" t="s">
        <v>242</v>
      </c>
      <c r="X2333" s="15">
        <f>IF(ISERROR(VLOOKUP($A2333,'13. Updated Demand'!A:Z,15,FALSE)),0,VLOOKUP($A2333,'13. Updated Demand'!A:Z,15,FALSE))</f>
        <v>0</v>
      </c>
      <c r="Y2333" s="16">
        <f>IF(ISERROR(VLOOKUP($A2333,'13. Updated Demand'!A:Z,16,FALSE)),0,VLOOKUP($A2333,'13. Updated Demand'!A:Z,16,FALSE))</f>
        <v>0</v>
      </c>
      <c r="Z2333" s="16">
        <f>IF(ISERROR(VLOOKUP($A2333,'13. Updated Demand'!A:Z,17,FALSE)),0,VLOOKUP($A2333,'13. Updated Demand'!A:Z,17,FALSE))</f>
        <v>0</v>
      </c>
      <c r="AA2333" s="16">
        <f>IF(ISERROR(VLOOKUP($A2333,'13. Updated Demand'!A:Z,18,FALSE)),0,VLOOKUP($A2333,'13. Updated Demand'!A:Z,18,FALSE))</f>
        <v>0</v>
      </c>
      <c r="AB2333" s="16">
        <f>IF(ISERROR(VLOOKUP($A2333,'13. Updated Demand'!A:Z,19,FALSE)),0,VLOOKUP($A2333,'13. Updated Demand'!A:Z,19,FALSE))</f>
        <v>0</v>
      </c>
      <c r="AC2333" s="16">
        <f>IF(ISERROR(VLOOKUP($A2333,'13. Updated Demand'!A:Z,20,FALSE)),0,VLOOKUP($A2333,'13. Updated Demand'!A:Z,20,FALSE))</f>
        <v>0</v>
      </c>
      <c r="AD2333" s="16">
        <f>IF(ISERROR(VLOOKUP($A2333,'13. Updated Demand'!A:Z,21,FALSE)),0,VLOOKUP($A2333,'13. Updated Demand'!A:Z,21,FALSE))</f>
        <v>0</v>
      </c>
      <c r="AE2333" s="16">
        <f>IF(ISERROR(VLOOKUP($A2333,'13. Updated Demand'!A:Z,22,FALSE)),0,VLOOKUP($A2333,'13. Updated Demand'!A:Z,22,FALSE))</f>
        <v>0</v>
      </c>
      <c r="AF2333" s="16">
        <f>IF(ISERROR(VLOOKUP($A2333,'13. Updated Demand'!A:Z,23,FALSE)),0,VLOOKUP($A2333,'13. Updated Demand'!A:Z,23,FALSE))</f>
        <v>0</v>
      </c>
      <c r="AG2333" s="16">
        <f>IF(ISERROR(VLOOKUP($A2333,'13. Updated Demand'!A:Z,24,FALSE)),0,VLOOKUP($A2333,'13. Updated Demand'!A:Z,24,FALSE))</f>
        <v>0</v>
      </c>
      <c r="AH2333" s="16">
        <f>IF(ISERROR(VLOOKUP($A2333,'13. Updated Demand'!A:Z,25,FALSE)),0,VLOOKUP($A2333,'13. Updated Demand'!A:Z,25,FALSE))</f>
        <v>0</v>
      </c>
      <c r="AI2333" s="16">
        <f>IF(ISERROR(VLOOKUP($A2333,'13. Updated Demand'!A:Z,26,FALSE)),0,VLOOKUP($A2333,'13. Updated Demand'!A:Z,26,FALSE))</f>
        <v>0</v>
      </c>
      <c r="AJ2333" s="16">
        <f t="shared" si="445"/>
        <v>0</v>
      </c>
      <c r="AK2333" s="19">
        <v>0</v>
      </c>
      <c r="AL2333" s="16">
        <f t="shared" si="443"/>
        <v>0</v>
      </c>
      <c r="AM2333" s="26">
        <v>0</v>
      </c>
      <c r="AN2333" s="19">
        <v>2.5779000000000001</v>
      </c>
      <c r="AO2333" s="19" t="s">
        <v>1758</v>
      </c>
      <c r="AP2333" s="19">
        <v>0</v>
      </c>
      <c r="AQ2333" s="19" t="s">
        <v>307</v>
      </c>
      <c r="AR2333" s="9" t="s">
        <v>314</v>
      </c>
      <c r="AS2333" s="12">
        <v>0</v>
      </c>
      <c r="AT2333" s="19">
        <v>38.798935</v>
      </c>
      <c r="AU2333" s="19">
        <v>-123.04805711</v>
      </c>
      <c r="AV2333" s="19" t="s">
        <v>2803</v>
      </c>
    </row>
    <row r="2334" spans="1:48" x14ac:dyDescent="0.25">
      <c r="A2334" s="18" t="s">
        <v>2804</v>
      </c>
      <c r="B2334" s="10">
        <v>10000000</v>
      </c>
      <c r="C2334" s="9">
        <v>20</v>
      </c>
      <c r="D2334" s="8" t="str">
        <f t="shared" si="434"/>
        <v>N</v>
      </c>
      <c r="E2334" s="8" t="str">
        <f t="shared" si="435"/>
        <v>N</v>
      </c>
      <c r="F2334" s="8" t="str">
        <f t="shared" si="436"/>
        <v>N</v>
      </c>
      <c r="G2334" s="8" t="str">
        <f t="shared" si="437"/>
        <v>N</v>
      </c>
      <c r="H2334" s="8" t="str">
        <f t="shared" si="438"/>
        <v>Lower</v>
      </c>
      <c r="I2334" s="8" t="str">
        <f t="shared" si="439"/>
        <v>Outside</v>
      </c>
      <c r="J2334" s="8" t="str">
        <f t="shared" si="440"/>
        <v>Outside</v>
      </c>
      <c r="K2334" s="8" t="str">
        <f t="shared" si="441"/>
        <v>Riparian</v>
      </c>
      <c r="L2334" s="8">
        <f t="shared" si="442"/>
        <v>1000</v>
      </c>
      <c r="M2334" s="8" t="str">
        <f t="shared" si="444"/>
        <v>-</v>
      </c>
      <c r="N2334" s="10" t="s">
        <v>242</v>
      </c>
      <c r="O2334" s="10" t="s">
        <v>242</v>
      </c>
      <c r="P2334" s="10" t="s">
        <v>242</v>
      </c>
      <c r="Q2334" s="10" t="s">
        <v>242</v>
      </c>
      <c r="R2334" s="10" t="s">
        <v>242</v>
      </c>
      <c r="S2334" s="10" t="s">
        <v>241</v>
      </c>
      <c r="T2334" s="10" t="s">
        <v>242</v>
      </c>
      <c r="U2334" s="10" t="s">
        <v>242</v>
      </c>
      <c r="V2334" s="10" t="s">
        <v>242</v>
      </c>
      <c r="W2334" s="10" t="s">
        <v>242</v>
      </c>
      <c r="X2334" s="15">
        <f>IF(ISERROR(VLOOKUP($A2334,'13. Updated Demand'!A:Z,15,FALSE)),0,VLOOKUP($A2334,'13. Updated Demand'!A:Z,15,FALSE))</f>
        <v>0</v>
      </c>
      <c r="Y2334" s="16">
        <f>IF(ISERROR(VLOOKUP($A2334,'13. Updated Demand'!A:Z,16,FALSE)),0,VLOOKUP($A2334,'13. Updated Demand'!A:Z,16,FALSE))</f>
        <v>0</v>
      </c>
      <c r="Z2334" s="16">
        <f>IF(ISERROR(VLOOKUP($A2334,'13. Updated Demand'!A:Z,17,FALSE)),0,VLOOKUP($A2334,'13. Updated Demand'!A:Z,17,FALSE))</f>
        <v>0</v>
      </c>
      <c r="AA2334" s="16">
        <f>IF(ISERROR(VLOOKUP($A2334,'13. Updated Demand'!A:Z,18,FALSE)),0,VLOOKUP($A2334,'13. Updated Demand'!A:Z,18,FALSE))</f>
        <v>0</v>
      </c>
      <c r="AB2334" s="16">
        <f>IF(ISERROR(VLOOKUP($A2334,'13. Updated Demand'!A:Z,19,FALSE)),0,VLOOKUP($A2334,'13. Updated Demand'!A:Z,19,FALSE))</f>
        <v>0</v>
      </c>
      <c r="AC2334" s="16">
        <f>IF(ISERROR(VLOOKUP($A2334,'13. Updated Demand'!A:Z,20,FALSE)),0,VLOOKUP($A2334,'13. Updated Demand'!A:Z,20,FALSE))</f>
        <v>4.5009239999999999E-3</v>
      </c>
      <c r="AD2334" s="16">
        <f>IF(ISERROR(VLOOKUP($A2334,'13. Updated Demand'!A:Z,21,FALSE)),0,VLOOKUP($A2334,'13. Updated Demand'!A:Z,21,FALSE))</f>
        <v>3.8055319999999999E-3</v>
      </c>
      <c r="AE2334" s="16">
        <f>IF(ISERROR(VLOOKUP($A2334,'13. Updated Demand'!A:Z,22,FALSE)),0,VLOOKUP($A2334,'13. Updated Demand'!A:Z,22,FALSE))</f>
        <v>3.631591E-3</v>
      </c>
      <c r="AF2334" s="16">
        <f>IF(ISERROR(VLOOKUP($A2334,'13. Updated Demand'!A:Z,23,FALSE)),0,VLOOKUP($A2334,'13. Updated Demand'!A:Z,23,FALSE))</f>
        <v>3.7902249999999999E-3</v>
      </c>
      <c r="AG2334" s="16">
        <f>IF(ISERROR(VLOOKUP($A2334,'13. Updated Demand'!A:Z,24,FALSE)),0,VLOOKUP($A2334,'13. Updated Demand'!A:Z,24,FALSE))</f>
        <v>6.8027010000000004E-3</v>
      </c>
      <c r="AH2334" s="16">
        <f>IF(ISERROR(VLOOKUP($A2334,'13. Updated Demand'!A:Z,25,FALSE)),0,VLOOKUP($A2334,'13. Updated Demand'!A:Z,25,FALSE))</f>
        <v>7.0583310000000002E-3</v>
      </c>
      <c r="AI2334" s="16">
        <f>IF(ISERROR(VLOOKUP($A2334,'13. Updated Demand'!A:Z,26,FALSE)),0,VLOOKUP($A2334,'13. Updated Demand'!A:Z,26,FALSE))</f>
        <v>0</v>
      </c>
      <c r="AJ2334" s="16">
        <f t="shared" si="445"/>
        <v>2.9589304000000004E-2</v>
      </c>
      <c r="AK2334" s="19">
        <v>1.572827238216239E-2</v>
      </c>
      <c r="AL2334" s="16">
        <f t="shared" si="443"/>
        <v>5.2168887873045165E-5</v>
      </c>
      <c r="AM2334" s="26">
        <v>3.6688536279380922E-2</v>
      </c>
      <c r="AN2334" s="19">
        <v>0.80649999999999999</v>
      </c>
      <c r="AO2334" s="19" t="s">
        <v>1758</v>
      </c>
      <c r="AP2334" s="19">
        <v>0</v>
      </c>
      <c r="AQ2334" s="19" t="s">
        <v>307</v>
      </c>
      <c r="AR2334" s="9" t="s">
        <v>329</v>
      </c>
      <c r="AS2334" s="12">
        <v>3.4039024194010059E-4</v>
      </c>
      <c r="AT2334" s="19">
        <v>38.5276</v>
      </c>
      <c r="AU2334" s="19">
        <v>-123.1379</v>
      </c>
      <c r="AV2334" s="19" t="s">
        <v>428</v>
      </c>
    </row>
    <row r="2335" spans="1:48" x14ac:dyDescent="0.25">
      <c r="A2335" s="18" t="s">
        <v>2805</v>
      </c>
      <c r="B2335" s="10">
        <v>10000000</v>
      </c>
      <c r="C2335" s="9">
        <v>6</v>
      </c>
      <c r="D2335" s="8" t="str">
        <f t="shared" si="434"/>
        <v>Y</v>
      </c>
      <c r="E2335" s="8" t="str">
        <f t="shared" si="435"/>
        <v>N</v>
      </c>
      <c r="F2335" s="8" t="str">
        <f t="shared" si="436"/>
        <v>Y</v>
      </c>
      <c r="G2335" s="8" t="str">
        <f t="shared" si="437"/>
        <v>Y</v>
      </c>
      <c r="H2335" s="8" t="str">
        <f t="shared" si="438"/>
        <v>Upper</v>
      </c>
      <c r="I2335" s="8" t="str">
        <f t="shared" si="439"/>
        <v>West Fork and Below Lake</v>
      </c>
      <c r="J2335" s="8" t="str">
        <f t="shared" si="440"/>
        <v>Mendocino (d/s of lake)</v>
      </c>
      <c r="K2335" s="8" t="str">
        <f t="shared" si="441"/>
        <v>Riparian</v>
      </c>
      <c r="L2335" s="8">
        <f t="shared" si="442"/>
        <v>1000</v>
      </c>
      <c r="M2335" s="8" t="str">
        <f t="shared" si="444"/>
        <v>-</v>
      </c>
      <c r="N2335" s="10" t="s">
        <v>242</v>
      </c>
      <c r="O2335" s="10" t="s">
        <v>241</v>
      </c>
      <c r="P2335" s="10" t="s">
        <v>242</v>
      </c>
      <c r="Q2335" s="10" t="s">
        <v>242</v>
      </c>
      <c r="R2335" s="10" t="s">
        <v>242</v>
      </c>
      <c r="S2335" s="10" t="s">
        <v>241</v>
      </c>
      <c r="T2335" s="10" t="s">
        <v>242</v>
      </c>
      <c r="U2335" s="10" t="s">
        <v>241</v>
      </c>
      <c r="V2335" s="10" t="s">
        <v>241</v>
      </c>
      <c r="W2335" s="10" t="s">
        <v>242</v>
      </c>
      <c r="X2335" s="15">
        <f>IF(ISERROR(VLOOKUP($A2335,'13. Updated Demand'!A:Z,15,FALSE)),0,VLOOKUP($A2335,'13. Updated Demand'!A:Z,15,FALSE))</f>
        <v>0</v>
      </c>
      <c r="Y2335" s="16">
        <f>IF(ISERROR(VLOOKUP($A2335,'13. Updated Demand'!A:Z,16,FALSE)),0,VLOOKUP($A2335,'13. Updated Demand'!A:Z,16,FALSE))</f>
        <v>0</v>
      </c>
      <c r="Z2335" s="16">
        <f>IF(ISERROR(VLOOKUP($A2335,'13. Updated Demand'!A:Z,17,FALSE)),0,VLOOKUP($A2335,'13. Updated Demand'!A:Z,17,FALSE))</f>
        <v>0</v>
      </c>
      <c r="AA2335" s="16">
        <f>IF(ISERROR(VLOOKUP($A2335,'13. Updated Demand'!A:Z,18,FALSE)),0,VLOOKUP($A2335,'13. Updated Demand'!A:Z,18,FALSE))</f>
        <v>0</v>
      </c>
      <c r="AB2335" s="16">
        <f>IF(ISERROR(VLOOKUP($A2335,'13. Updated Demand'!A:Z,19,FALSE)),0,VLOOKUP($A2335,'13. Updated Demand'!A:Z,19,FALSE))</f>
        <v>0</v>
      </c>
      <c r="AC2335" s="16">
        <f>IF(ISERROR(VLOOKUP($A2335,'13. Updated Demand'!A:Z,20,FALSE)),0,VLOOKUP($A2335,'13. Updated Demand'!A:Z,20,FALSE))</f>
        <v>0</v>
      </c>
      <c r="AD2335" s="16">
        <f>IF(ISERROR(VLOOKUP($A2335,'13. Updated Demand'!A:Z,21,FALSE)),0,VLOOKUP($A2335,'13. Updated Demand'!A:Z,21,FALSE))</f>
        <v>0</v>
      </c>
      <c r="AE2335" s="16">
        <f>IF(ISERROR(VLOOKUP($A2335,'13. Updated Demand'!A:Z,22,FALSE)),0,VLOOKUP($A2335,'13. Updated Demand'!A:Z,22,FALSE))</f>
        <v>0</v>
      </c>
      <c r="AF2335" s="16">
        <f>IF(ISERROR(VLOOKUP($A2335,'13. Updated Demand'!A:Z,23,FALSE)),0,VLOOKUP($A2335,'13. Updated Demand'!A:Z,23,FALSE))</f>
        <v>0</v>
      </c>
      <c r="AG2335" s="16">
        <f>IF(ISERROR(VLOOKUP($A2335,'13. Updated Demand'!A:Z,24,FALSE)),0,VLOOKUP($A2335,'13. Updated Demand'!A:Z,24,FALSE))</f>
        <v>0</v>
      </c>
      <c r="AH2335" s="16">
        <f>IF(ISERROR(VLOOKUP($A2335,'13. Updated Demand'!A:Z,25,FALSE)),0,VLOOKUP($A2335,'13. Updated Demand'!A:Z,25,FALSE))</f>
        <v>0</v>
      </c>
      <c r="AI2335" s="16">
        <f>IF(ISERROR(VLOOKUP($A2335,'13. Updated Demand'!A:Z,26,FALSE)),0,VLOOKUP($A2335,'13. Updated Demand'!A:Z,26,FALSE))</f>
        <v>0</v>
      </c>
      <c r="AJ2335" s="16">
        <f t="shared" si="445"/>
        <v>0</v>
      </c>
      <c r="AK2335" s="19">
        <v>0</v>
      </c>
      <c r="AL2335" s="16">
        <f t="shared" si="443"/>
        <v>0</v>
      </c>
      <c r="AM2335" s="26">
        <v>0</v>
      </c>
      <c r="AN2335" s="19">
        <v>0.34599999999999997</v>
      </c>
      <c r="AO2335" s="19" t="s">
        <v>1758</v>
      </c>
      <c r="AP2335" s="19">
        <v>0</v>
      </c>
      <c r="AQ2335" s="19" t="s">
        <v>307</v>
      </c>
      <c r="AR2335" s="9" t="s">
        <v>319</v>
      </c>
      <c r="AS2335" s="12">
        <v>0</v>
      </c>
      <c r="AT2335" s="19">
        <v>38.925087040000001</v>
      </c>
      <c r="AU2335" s="19">
        <v>-123.12927664</v>
      </c>
      <c r="AV2335" s="19" t="s">
        <v>2806</v>
      </c>
    </row>
    <row r="2336" spans="1:48" x14ac:dyDescent="0.25">
      <c r="A2336" s="18" t="s">
        <v>2807</v>
      </c>
      <c r="B2336" s="10">
        <v>10000000</v>
      </c>
      <c r="C2336" s="9">
        <v>6</v>
      </c>
      <c r="D2336" s="8" t="str">
        <f t="shared" si="434"/>
        <v>Y</v>
      </c>
      <c r="E2336" s="8" t="str">
        <f t="shared" si="435"/>
        <v>N</v>
      </c>
      <c r="F2336" s="8" t="str">
        <f t="shared" si="436"/>
        <v>Y</v>
      </c>
      <c r="G2336" s="8" t="str">
        <f t="shared" si="437"/>
        <v>Y</v>
      </c>
      <c r="H2336" s="8" t="str">
        <f t="shared" si="438"/>
        <v>Upper</v>
      </c>
      <c r="I2336" s="8" t="str">
        <f t="shared" si="439"/>
        <v>West Fork and Below Lake</v>
      </c>
      <c r="J2336" s="8" t="str">
        <f t="shared" si="440"/>
        <v>Mendocino (d/s of lake)</v>
      </c>
      <c r="K2336" s="8" t="str">
        <f t="shared" si="441"/>
        <v>Riparian</v>
      </c>
      <c r="L2336" s="8">
        <f t="shared" si="442"/>
        <v>1000</v>
      </c>
      <c r="M2336" s="8" t="str">
        <f t="shared" si="444"/>
        <v>-</v>
      </c>
      <c r="N2336" s="10" t="s">
        <v>242</v>
      </c>
      <c r="O2336" s="10" t="s">
        <v>241</v>
      </c>
      <c r="P2336" s="10" t="s">
        <v>242</v>
      </c>
      <c r="Q2336" s="10" t="s">
        <v>242</v>
      </c>
      <c r="R2336" s="10" t="s">
        <v>242</v>
      </c>
      <c r="S2336" s="10" t="s">
        <v>241</v>
      </c>
      <c r="T2336" s="10" t="s">
        <v>242</v>
      </c>
      <c r="U2336" s="10" t="s">
        <v>241</v>
      </c>
      <c r="V2336" s="10" t="s">
        <v>241</v>
      </c>
      <c r="W2336" s="10" t="s">
        <v>242</v>
      </c>
      <c r="X2336" s="15">
        <f>IF(ISERROR(VLOOKUP($A2336,'13. Updated Demand'!A:Z,15,FALSE)),0,VLOOKUP($A2336,'13. Updated Demand'!A:Z,15,FALSE))</f>
        <v>0</v>
      </c>
      <c r="Y2336" s="16">
        <f>IF(ISERROR(VLOOKUP($A2336,'13. Updated Demand'!A:Z,16,FALSE)),0,VLOOKUP($A2336,'13. Updated Demand'!A:Z,16,FALSE))</f>
        <v>0</v>
      </c>
      <c r="Z2336" s="16">
        <f>IF(ISERROR(VLOOKUP($A2336,'13. Updated Demand'!A:Z,17,FALSE)),0,VLOOKUP($A2336,'13. Updated Demand'!A:Z,17,FALSE))</f>
        <v>0</v>
      </c>
      <c r="AA2336" s="16">
        <f>IF(ISERROR(VLOOKUP($A2336,'13. Updated Demand'!A:Z,18,FALSE)),0,VLOOKUP($A2336,'13. Updated Demand'!A:Z,18,FALSE))</f>
        <v>0</v>
      </c>
      <c r="AB2336" s="16">
        <f>IF(ISERROR(VLOOKUP($A2336,'13. Updated Demand'!A:Z,19,FALSE)),0,VLOOKUP($A2336,'13. Updated Demand'!A:Z,19,FALSE))</f>
        <v>0</v>
      </c>
      <c r="AC2336" s="16">
        <f>IF(ISERROR(VLOOKUP($A2336,'13. Updated Demand'!A:Z,20,FALSE)),0,VLOOKUP($A2336,'13. Updated Demand'!A:Z,20,FALSE))</f>
        <v>0</v>
      </c>
      <c r="AD2336" s="16">
        <f>IF(ISERROR(VLOOKUP($A2336,'13. Updated Demand'!A:Z,21,FALSE)),0,VLOOKUP($A2336,'13. Updated Demand'!A:Z,21,FALSE))</f>
        <v>0</v>
      </c>
      <c r="AE2336" s="16">
        <f>IF(ISERROR(VLOOKUP($A2336,'13. Updated Demand'!A:Z,22,FALSE)),0,VLOOKUP($A2336,'13. Updated Demand'!A:Z,22,FALSE))</f>
        <v>0</v>
      </c>
      <c r="AF2336" s="16">
        <f>IF(ISERROR(VLOOKUP($A2336,'13. Updated Demand'!A:Z,23,FALSE)),0,VLOOKUP($A2336,'13. Updated Demand'!A:Z,23,FALSE))</f>
        <v>0</v>
      </c>
      <c r="AG2336" s="16">
        <f>IF(ISERROR(VLOOKUP($A2336,'13. Updated Demand'!A:Z,24,FALSE)),0,VLOOKUP($A2336,'13. Updated Demand'!A:Z,24,FALSE))</f>
        <v>0</v>
      </c>
      <c r="AH2336" s="16">
        <f>IF(ISERROR(VLOOKUP($A2336,'13. Updated Demand'!A:Z,25,FALSE)),0,VLOOKUP($A2336,'13. Updated Demand'!A:Z,25,FALSE))</f>
        <v>0</v>
      </c>
      <c r="AI2336" s="16">
        <f>IF(ISERROR(VLOOKUP($A2336,'13. Updated Demand'!A:Z,26,FALSE)),0,VLOOKUP($A2336,'13. Updated Demand'!A:Z,26,FALSE))</f>
        <v>0</v>
      </c>
      <c r="AJ2336" s="16">
        <f t="shared" si="445"/>
        <v>0</v>
      </c>
      <c r="AK2336" s="19">
        <v>0</v>
      </c>
      <c r="AL2336" s="16">
        <f t="shared" si="443"/>
        <v>0</v>
      </c>
      <c r="AM2336" s="26">
        <v>0</v>
      </c>
      <c r="AN2336" s="19">
        <v>0.23599999999999999</v>
      </c>
      <c r="AO2336" s="19" t="s">
        <v>1758</v>
      </c>
      <c r="AP2336" s="19">
        <v>0</v>
      </c>
      <c r="AQ2336" s="19" t="s">
        <v>307</v>
      </c>
      <c r="AR2336" s="9" t="s">
        <v>319</v>
      </c>
      <c r="AS2336" s="12">
        <v>0</v>
      </c>
      <c r="AT2336" s="19">
        <v>38.928058120000003</v>
      </c>
      <c r="AU2336" s="19">
        <v>-123.11370361</v>
      </c>
      <c r="AV2336" s="19" t="s">
        <v>2806</v>
      </c>
    </row>
    <row r="2337" spans="1:48" x14ac:dyDescent="0.25">
      <c r="A2337" s="18" t="s">
        <v>2808</v>
      </c>
      <c r="B2337" s="10">
        <v>10000000</v>
      </c>
      <c r="C2337" s="9">
        <v>20</v>
      </c>
      <c r="D2337" s="8" t="str">
        <f t="shared" si="434"/>
        <v>N</v>
      </c>
      <c r="E2337" s="8" t="str">
        <f t="shared" si="435"/>
        <v>N</v>
      </c>
      <c r="F2337" s="8" t="str">
        <f t="shared" si="436"/>
        <v>N</v>
      </c>
      <c r="G2337" s="8" t="str">
        <f t="shared" si="437"/>
        <v>N</v>
      </c>
      <c r="H2337" s="8" t="str">
        <f t="shared" si="438"/>
        <v>Lower</v>
      </c>
      <c r="I2337" s="8" t="str">
        <f t="shared" si="439"/>
        <v>Outside</v>
      </c>
      <c r="J2337" s="8" t="str">
        <f t="shared" si="440"/>
        <v>Outside</v>
      </c>
      <c r="K2337" s="8" t="str">
        <f t="shared" si="441"/>
        <v>Riparian</v>
      </c>
      <c r="L2337" s="8">
        <f t="shared" si="442"/>
        <v>1000</v>
      </c>
      <c r="M2337" s="8" t="str">
        <f t="shared" si="444"/>
        <v>-</v>
      </c>
      <c r="N2337" s="10" t="s">
        <v>242</v>
      </c>
      <c r="O2337" s="10" t="s">
        <v>242</v>
      </c>
      <c r="P2337" s="10" t="s">
        <v>242</v>
      </c>
      <c r="Q2337" s="10" t="s">
        <v>242</v>
      </c>
      <c r="R2337" s="10" t="s">
        <v>242</v>
      </c>
      <c r="S2337" s="10" t="s">
        <v>241</v>
      </c>
      <c r="T2337" s="10" t="s">
        <v>242</v>
      </c>
      <c r="U2337" s="10" t="s">
        <v>241</v>
      </c>
      <c r="V2337" s="10" t="s">
        <v>241</v>
      </c>
      <c r="W2337" s="10" t="s">
        <v>242</v>
      </c>
      <c r="X2337" s="15">
        <f>IF(ISERROR(VLOOKUP($A2337,'13. Updated Demand'!A:Z,15,FALSE)),0,VLOOKUP($A2337,'13. Updated Demand'!A:Z,15,FALSE))</f>
        <v>0</v>
      </c>
      <c r="Y2337" s="16">
        <f>IF(ISERROR(VLOOKUP($A2337,'13. Updated Demand'!A:Z,16,FALSE)),0,VLOOKUP($A2337,'13. Updated Demand'!A:Z,16,FALSE))</f>
        <v>0</v>
      </c>
      <c r="Z2337" s="16">
        <f>IF(ISERROR(VLOOKUP($A2337,'13. Updated Demand'!A:Z,17,FALSE)),0,VLOOKUP($A2337,'13. Updated Demand'!A:Z,17,FALSE))</f>
        <v>0</v>
      </c>
      <c r="AA2337" s="16">
        <f>IF(ISERROR(VLOOKUP($A2337,'13. Updated Demand'!A:Z,18,FALSE)),0,VLOOKUP($A2337,'13. Updated Demand'!A:Z,18,FALSE))</f>
        <v>0</v>
      </c>
      <c r="AB2337" s="16">
        <f>IF(ISERROR(VLOOKUP($A2337,'13. Updated Demand'!A:Z,19,FALSE)),0,VLOOKUP($A2337,'13. Updated Demand'!A:Z,19,FALSE))</f>
        <v>0</v>
      </c>
      <c r="AC2337" s="16">
        <f>IF(ISERROR(VLOOKUP($A2337,'13. Updated Demand'!A:Z,20,FALSE)),0,VLOOKUP($A2337,'13. Updated Demand'!A:Z,20,FALSE))</f>
        <v>0</v>
      </c>
      <c r="AD2337" s="16">
        <f>IF(ISERROR(VLOOKUP($A2337,'13. Updated Demand'!A:Z,21,FALSE)),0,VLOOKUP($A2337,'13. Updated Demand'!A:Z,21,FALSE))</f>
        <v>0</v>
      </c>
      <c r="AE2337" s="16">
        <f>IF(ISERROR(VLOOKUP($A2337,'13. Updated Demand'!A:Z,22,FALSE)),0,VLOOKUP($A2337,'13. Updated Demand'!A:Z,22,FALSE))</f>
        <v>0</v>
      </c>
      <c r="AF2337" s="16">
        <f>IF(ISERROR(VLOOKUP($A2337,'13. Updated Demand'!A:Z,23,FALSE)),0,VLOOKUP($A2337,'13. Updated Demand'!A:Z,23,FALSE))</f>
        <v>0</v>
      </c>
      <c r="AG2337" s="16">
        <f>IF(ISERROR(VLOOKUP($A2337,'13. Updated Demand'!A:Z,24,FALSE)),0,VLOOKUP($A2337,'13. Updated Demand'!A:Z,24,FALSE))</f>
        <v>0</v>
      </c>
      <c r="AH2337" s="16">
        <f>IF(ISERROR(VLOOKUP($A2337,'13. Updated Demand'!A:Z,25,FALSE)),0,VLOOKUP($A2337,'13. Updated Demand'!A:Z,25,FALSE))</f>
        <v>0</v>
      </c>
      <c r="AI2337" s="16">
        <f>IF(ISERROR(VLOOKUP($A2337,'13. Updated Demand'!A:Z,26,FALSE)),0,VLOOKUP($A2337,'13. Updated Demand'!A:Z,26,FALSE))</f>
        <v>0</v>
      </c>
      <c r="AJ2337" s="16">
        <f t="shared" si="445"/>
        <v>0</v>
      </c>
      <c r="AK2337" s="19">
        <v>0</v>
      </c>
      <c r="AL2337" s="16">
        <f t="shared" si="443"/>
        <v>0</v>
      </c>
      <c r="AM2337" s="26">
        <v>0</v>
      </c>
      <c r="AN2337" s="19">
        <v>0.38300000000000001</v>
      </c>
      <c r="AO2337" s="19" t="s">
        <v>1758</v>
      </c>
      <c r="AP2337" s="19">
        <v>0</v>
      </c>
      <c r="AQ2337" s="19" t="s">
        <v>307</v>
      </c>
      <c r="AR2337" s="9" t="s">
        <v>329</v>
      </c>
      <c r="AS2337" s="12">
        <v>0</v>
      </c>
      <c r="AT2337" s="19">
        <v>38.56</v>
      </c>
      <c r="AU2337" s="19">
        <v>-123.16</v>
      </c>
      <c r="AV2337" s="19"/>
    </row>
    <row r="2338" spans="1:48" x14ac:dyDescent="0.25">
      <c r="A2338" s="18" t="s">
        <v>2809</v>
      </c>
      <c r="B2338" s="10">
        <v>10000000</v>
      </c>
      <c r="C2338" s="9">
        <v>1</v>
      </c>
      <c r="D2338" s="8" t="str">
        <f t="shared" si="434"/>
        <v>N</v>
      </c>
      <c r="E2338" s="8" t="str">
        <f t="shared" si="435"/>
        <v>N</v>
      </c>
      <c r="F2338" s="8" t="str">
        <f t="shared" si="436"/>
        <v>Y</v>
      </c>
      <c r="G2338" s="8" t="str">
        <f t="shared" si="437"/>
        <v>Y</v>
      </c>
      <c r="H2338" s="8" t="str">
        <f t="shared" si="438"/>
        <v>Upper</v>
      </c>
      <c r="I2338" s="8" t="str">
        <f t="shared" si="439"/>
        <v>West Fork and Below Lake</v>
      </c>
      <c r="J2338" s="8" t="str">
        <f t="shared" si="440"/>
        <v>Outside</v>
      </c>
      <c r="K2338" s="8" t="str">
        <f t="shared" si="441"/>
        <v>Riparian</v>
      </c>
      <c r="L2338" s="8">
        <f t="shared" si="442"/>
        <v>1000</v>
      </c>
      <c r="M2338" s="8" t="str">
        <f t="shared" si="444"/>
        <v>-</v>
      </c>
      <c r="N2338" s="10" t="s">
        <v>242</v>
      </c>
      <c r="O2338" s="10" t="s">
        <v>241</v>
      </c>
      <c r="P2338" s="10" t="s">
        <v>242</v>
      </c>
      <c r="Q2338" s="10" t="s">
        <v>242</v>
      </c>
      <c r="R2338" s="10" t="s">
        <v>242</v>
      </c>
      <c r="S2338" s="10" t="s">
        <v>241</v>
      </c>
      <c r="T2338" s="10" t="s">
        <v>242</v>
      </c>
      <c r="U2338" s="10" t="s">
        <v>242</v>
      </c>
      <c r="V2338" s="10" t="s">
        <v>241</v>
      </c>
      <c r="W2338" s="10" t="s">
        <v>242</v>
      </c>
      <c r="X2338" s="15">
        <f>IF(ISERROR(VLOOKUP($A2338,'13. Updated Demand'!A:Z,15,FALSE)),0,VLOOKUP($A2338,'13. Updated Demand'!A:Z,15,FALSE))</f>
        <v>6.6666670000000003E-3</v>
      </c>
      <c r="Y2338" s="16">
        <f>IF(ISERROR(VLOOKUP($A2338,'13. Updated Demand'!A:Z,16,FALSE)),0,VLOOKUP($A2338,'13. Updated Demand'!A:Z,16,FALSE))</f>
        <v>3.333333E-3</v>
      </c>
      <c r="Z2338" s="16">
        <f>IF(ISERROR(VLOOKUP($A2338,'13. Updated Demand'!A:Z,17,FALSE)),0,VLOOKUP($A2338,'13. Updated Demand'!A:Z,17,FALSE))</f>
        <v>3.333333E-3</v>
      </c>
      <c r="AA2338" s="16">
        <f>IF(ISERROR(VLOOKUP($A2338,'13. Updated Demand'!A:Z,18,FALSE)),0,VLOOKUP($A2338,'13. Updated Demand'!A:Z,18,FALSE))</f>
        <v>0</v>
      </c>
      <c r="AB2338" s="16">
        <f>IF(ISERROR(VLOOKUP($A2338,'13. Updated Demand'!A:Z,19,FALSE)),0,VLOOKUP($A2338,'13. Updated Demand'!A:Z,19,FALSE))</f>
        <v>0</v>
      </c>
      <c r="AC2338" s="16">
        <f>IF(ISERROR(VLOOKUP($A2338,'13. Updated Demand'!A:Z,20,FALSE)),0,VLOOKUP($A2338,'13. Updated Demand'!A:Z,20,FALSE))</f>
        <v>0</v>
      </c>
      <c r="AD2338" s="16">
        <f>IF(ISERROR(VLOOKUP($A2338,'13. Updated Demand'!A:Z,21,FALSE)),0,VLOOKUP($A2338,'13. Updated Demand'!A:Z,21,FALSE))</f>
        <v>0</v>
      </c>
      <c r="AE2338" s="16">
        <f>IF(ISERROR(VLOOKUP($A2338,'13. Updated Demand'!A:Z,22,FALSE)),0,VLOOKUP($A2338,'13. Updated Demand'!A:Z,22,FALSE))</f>
        <v>0</v>
      </c>
      <c r="AF2338" s="16">
        <f>IF(ISERROR(VLOOKUP($A2338,'13. Updated Demand'!A:Z,23,FALSE)),0,VLOOKUP($A2338,'13. Updated Demand'!A:Z,23,FALSE))</f>
        <v>0</v>
      </c>
      <c r="AG2338" s="16">
        <f>IF(ISERROR(VLOOKUP($A2338,'13. Updated Demand'!A:Z,24,FALSE)),0,VLOOKUP($A2338,'13. Updated Demand'!A:Z,24,FALSE))</f>
        <v>0</v>
      </c>
      <c r="AH2338" s="16">
        <f>IF(ISERROR(VLOOKUP($A2338,'13. Updated Demand'!A:Z,25,FALSE)),0,VLOOKUP($A2338,'13. Updated Demand'!A:Z,25,FALSE))</f>
        <v>3.333333E-3</v>
      </c>
      <c r="AI2338" s="16">
        <f>IF(ISERROR(VLOOKUP($A2338,'13. Updated Demand'!A:Z,26,FALSE)),0,VLOOKUP($A2338,'13. Updated Demand'!A:Z,26,FALSE))</f>
        <v>0.01</v>
      </c>
      <c r="AJ2338" s="16">
        <f t="shared" si="445"/>
        <v>2.6666665999999999E-2</v>
      </c>
      <c r="AK2338" s="19">
        <v>0</v>
      </c>
      <c r="AL2338" s="16">
        <f t="shared" si="443"/>
        <v>0</v>
      </c>
      <c r="AM2338" s="26">
        <v>1.1594202608695652</v>
      </c>
      <c r="AN2338" s="19">
        <v>2.3E-2</v>
      </c>
      <c r="AO2338" s="19" t="s">
        <v>1758</v>
      </c>
      <c r="AP2338" s="19">
        <v>0</v>
      </c>
      <c r="AQ2338" s="19" t="s">
        <v>307</v>
      </c>
      <c r="AR2338" s="9" t="s">
        <v>317</v>
      </c>
      <c r="AS2338" s="12">
        <v>0</v>
      </c>
      <c r="AT2338" s="19">
        <v>39.332250000000002</v>
      </c>
      <c r="AU2338" s="19">
        <v>-123.38305556</v>
      </c>
      <c r="AV2338" s="19" t="s">
        <v>2810</v>
      </c>
    </row>
    <row r="2339" spans="1:48" x14ac:dyDescent="0.25">
      <c r="A2339" s="18" t="s">
        <v>2811</v>
      </c>
      <c r="B2339" s="10">
        <v>10000000</v>
      </c>
      <c r="C2339" s="9">
        <v>1</v>
      </c>
      <c r="D2339" s="8" t="str">
        <f t="shared" si="434"/>
        <v>N</v>
      </c>
      <c r="E2339" s="8" t="str">
        <f t="shared" si="435"/>
        <v>N</v>
      </c>
      <c r="F2339" s="8" t="str">
        <f t="shared" si="436"/>
        <v>Y</v>
      </c>
      <c r="G2339" s="8" t="str">
        <f t="shared" si="437"/>
        <v>Y</v>
      </c>
      <c r="H2339" s="8" t="str">
        <f t="shared" si="438"/>
        <v>Upper</v>
      </c>
      <c r="I2339" s="8" t="str">
        <f t="shared" si="439"/>
        <v>West Fork and Below Lake</v>
      </c>
      <c r="J2339" s="8" t="str">
        <f t="shared" si="440"/>
        <v>Outside</v>
      </c>
      <c r="K2339" s="8" t="str">
        <f t="shared" si="441"/>
        <v>Riparian</v>
      </c>
      <c r="L2339" s="8">
        <f t="shared" si="442"/>
        <v>1000</v>
      </c>
      <c r="M2339" s="8" t="str">
        <f t="shared" si="444"/>
        <v>-</v>
      </c>
      <c r="N2339" s="10" t="s">
        <v>242</v>
      </c>
      <c r="O2339" s="10" t="s">
        <v>241</v>
      </c>
      <c r="P2339" s="10" t="s">
        <v>242</v>
      </c>
      <c r="Q2339" s="10" t="s">
        <v>242</v>
      </c>
      <c r="R2339" s="10" t="s">
        <v>242</v>
      </c>
      <c r="S2339" s="10" t="s">
        <v>241</v>
      </c>
      <c r="T2339" s="10" t="s">
        <v>242</v>
      </c>
      <c r="U2339" s="10" t="s">
        <v>241</v>
      </c>
      <c r="V2339" s="10" t="s">
        <v>241</v>
      </c>
      <c r="W2339" s="10" t="s">
        <v>242</v>
      </c>
      <c r="X2339" s="15">
        <f>IF(ISERROR(VLOOKUP($A2339,'13. Updated Demand'!A:Z,15,FALSE)),0,VLOOKUP($A2339,'13. Updated Demand'!A:Z,15,FALSE))</f>
        <v>0</v>
      </c>
      <c r="Y2339" s="16">
        <f>IF(ISERROR(VLOOKUP($A2339,'13. Updated Demand'!A:Z,16,FALSE)),0,VLOOKUP($A2339,'13. Updated Demand'!A:Z,16,FALSE))</f>
        <v>0</v>
      </c>
      <c r="Z2339" s="16">
        <f>IF(ISERROR(VLOOKUP($A2339,'13. Updated Demand'!A:Z,17,FALSE)),0,VLOOKUP($A2339,'13. Updated Demand'!A:Z,17,FALSE))</f>
        <v>0</v>
      </c>
      <c r="AA2339" s="16">
        <f>IF(ISERROR(VLOOKUP($A2339,'13. Updated Demand'!A:Z,18,FALSE)),0,VLOOKUP($A2339,'13. Updated Demand'!A:Z,18,FALSE))</f>
        <v>0</v>
      </c>
      <c r="AB2339" s="16">
        <f>IF(ISERROR(VLOOKUP($A2339,'13. Updated Demand'!A:Z,19,FALSE)),0,VLOOKUP($A2339,'13. Updated Demand'!A:Z,19,FALSE))</f>
        <v>0</v>
      </c>
      <c r="AC2339" s="16">
        <f>IF(ISERROR(VLOOKUP($A2339,'13. Updated Demand'!A:Z,20,FALSE)),0,VLOOKUP($A2339,'13. Updated Demand'!A:Z,20,FALSE))</f>
        <v>0</v>
      </c>
      <c r="AD2339" s="16">
        <f>IF(ISERROR(VLOOKUP($A2339,'13. Updated Demand'!A:Z,21,FALSE)),0,VLOOKUP($A2339,'13. Updated Demand'!A:Z,21,FALSE))</f>
        <v>0</v>
      </c>
      <c r="AE2339" s="16">
        <f>IF(ISERROR(VLOOKUP($A2339,'13. Updated Demand'!A:Z,22,FALSE)),0,VLOOKUP($A2339,'13. Updated Demand'!A:Z,22,FALSE))</f>
        <v>0</v>
      </c>
      <c r="AF2339" s="16">
        <f>IF(ISERROR(VLOOKUP($A2339,'13. Updated Demand'!A:Z,23,FALSE)),0,VLOOKUP($A2339,'13. Updated Demand'!A:Z,23,FALSE))</f>
        <v>0</v>
      </c>
      <c r="AG2339" s="16">
        <f>IF(ISERROR(VLOOKUP($A2339,'13. Updated Demand'!A:Z,24,FALSE)),0,VLOOKUP($A2339,'13. Updated Demand'!A:Z,24,FALSE))</f>
        <v>0</v>
      </c>
      <c r="AH2339" s="16">
        <f>IF(ISERROR(VLOOKUP($A2339,'13. Updated Demand'!A:Z,25,FALSE)),0,VLOOKUP($A2339,'13. Updated Demand'!A:Z,25,FALSE))</f>
        <v>0</v>
      </c>
      <c r="AI2339" s="16">
        <f>IF(ISERROR(VLOOKUP($A2339,'13. Updated Demand'!A:Z,26,FALSE)),0,VLOOKUP($A2339,'13. Updated Demand'!A:Z,26,FALSE))</f>
        <v>0</v>
      </c>
      <c r="AJ2339" s="16">
        <f t="shared" si="445"/>
        <v>0</v>
      </c>
      <c r="AK2339" s="19">
        <v>0</v>
      </c>
      <c r="AL2339" s="16">
        <f t="shared" si="443"/>
        <v>0</v>
      </c>
      <c r="AM2339" s="26">
        <v>0</v>
      </c>
      <c r="AN2339" s="19">
        <v>0.19600000000000001</v>
      </c>
      <c r="AO2339" s="19" t="s">
        <v>1758</v>
      </c>
      <c r="AP2339" s="19">
        <v>0</v>
      </c>
      <c r="AQ2339" s="19" t="s">
        <v>307</v>
      </c>
      <c r="AR2339" s="9" t="s">
        <v>317</v>
      </c>
      <c r="AS2339" s="12">
        <v>0</v>
      </c>
      <c r="AT2339" s="19">
        <v>39.332222219999998</v>
      </c>
      <c r="AU2339" s="19">
        <v>-123.38325</v>
      </c>
      <c r="AV2339" s="19" t="s">
        <v>385</v>
      </c>
    </row>
    <row r="2340" spans="1:48" x14ac:dyDescent="0.25">
      <c r="A2340" s="18" t="s">
        <v>2812</v>
      </c>
      <c r="B2340" s="10">
        <v>10000000</v>
      </c>
      <c r="C2340" s="9">
        <v>6</v>
      </c>
      <c r="D2340" s="8" t="str">
        <f t="shared" si="434"/>
        <v>Y</v>
      </c>
      <c r="E2340" s="8" t="str">
        <f t="shared" si="435"/>
        <v>N</v>
      </c>
      <c r="F2340" s="8" t="str">
        <f t="shared" si="436"/>
        <v>Y</v>
      </c>
      <c r="G2340" s="8" t="str">
        <f t="shared" si="437"/>
        <v>Y</v>
      </c>
      <c r="H2340" s="8" t="str">
        <f t="shared" si="438"/>
        <v>Upper</v>
      </c>
      <c r="I2340" s="8" t="str">
        <f t="shared" si="439"/>
        <v>West Fork and Below Lake</v>
      </c>
      <c r="J2340" s="8" t="str">
        <f t="shared" si="440"/>
        <v>Mendocino (d/s of lake)</v>
      </c>
      <c r="K2340" s="8" t="str">
        <f t="shared" si="441"/>
        <v>Riparian</v>
      </c>
      <c r="L2340" s="8">
        <f t="shared" si="442"/>
        <v>1000</v>
      </c>
      <c r="M2340" s="8" t="str">
        <f t="shared" si="444"/>
        <v>-</v>
      </c>
      <c r="N2340" s="10" t="s">
        <v>242</v>
      </c>
      <c r="O2340" s="10" t="s">
        <v>241</v>
      </c>
      <c r="P2340" s="10" t="s">
        <v>242</v>
      </c>
      <c r="Q2340" s="10" t="s">
        <v>242</v>
      </c>
      <c r="R2340" s="10" t="s">
        <v>242</v>
      </c>
      <c r="S2340" s="10" t="s">
        <v>241</v>
      </c>
      <c r="T2340" s="10" t="s">
        <v>242</v>
      </c>
      <c r="U2340" s="10" t="s">
        <v>242</v>
      </c>
      <c r="V2340" s="10" t="s">
        <v>242</v>
      </c>
      <c r="W2340" s="10" t="s">
        <v>242</v>
      </c>
      <c r="X2340" s="15">
        <f>IF(ISERROR(VLOOKUP($A2340,'13. Updated Demand'!A:Z,15,FALSE)),0,VLOOKUP($A2340,'13. Updated Demand'!A:Z,15,FALSE))</f>
        <v>0</v>
      </c>
      <c r="Y2340" s="16">
        <f>IF(ISERROR(VLOOKUP($A2340,'13. Updated Demand'!A:Z,16,FALSE)),0,VLOOKUP($A2340,'13. Updated Demand'!A:Z,16,FALSE))</f>
        <v>0</v>
      </c>
      <c r="Z2340" s="16">
        <f>IF(ISERROR(VLOOKUP($A2340,'13. Updated Demand'!A:Z,17,FALSE)),0,VLOOKUP($A2340,'13. Updated Demand'!A:Z,17,FALSE))</f>
        <v>3.333333E-3</v>
      </c>
      <c r="AA2340" s="16">
        <f>IF(ISERROR(VLOOKUP($A2340,'13. Updated Demand'!A:Z,18,FALSE)),0,VLOOKUP($A2340,'13. Updated Demand'!A:Z,18,FALSE))</f>
        <v>3.333333E-3</v>
      </c>
      <c r="AB2340" s="16">
        <f>IF(ISERROR(VLOOKUP($A2340,'13. Updated Demand'!A:Z,19,FALSE)),0,VLOOKUP($A2340,'13. Updated Demand'!A:Z,19,FALSE))</f>
        <v>0.04</v>
      </c>
      <c r="AC2340" s="16">
        <f>IF(ISERROR(VLOOKUP($A2340,'13. Updated Demand'!A:Z,20,FALSE)),0,VLOOKUP($A2340,'13. Updated Demand'!A:Z,20,FALSE))</f>
        <v>0.08</v>
      </c>
      <c r="AD2340" s="16">
        <f>IF(ISERROR(VLOOKUP($A2340,'13. Updated Demand'!A:Z,21,FALSE)),0,VLOOKUP($A2340,'13. Updated Demand'!A:Z,21,FALSE))</f>
        <v>0.14000000000000001</v>
      </c>
      <c r="AE2340" s="16">
        <f>IF(ISERROR(VLOOKUP($A2340,'13. Updated Demand'!A:Z,22,FALSE)),0,VLOOKUP($A2340,'13. Updated Demand'!A:Z,22,FALSE))</f>
        <v>0.14000000000000001</v>
      </c>
      <c r="AF2340" s="16">
        <f>IF(ISERROR(VLOOKUP($A2340,'13. Updated Demand'!A:Z,23,FALSE)),0,VLOOKUP($A2340,'13. Updated Demand'!A:Z,23,FALSE))</f>
        <v>0.09</v>
      </c>
      <c r="AG2340" s="16">
        <f>IF(ISERROR(VLOOKUP($A2340,'13. Updated Demand'!A:Z,24,FALSE)),0,VLOOKUP($A2340,'13. Updated Demand'!A:Z,24,FALSE))</f>
        <v>0.02</v>
      </c>
      <c r="AH2340" s="16">
        <f>IF(ISERROR(VLOOKUP($A2340,'13. Updated Demand'!A:Z,25,FALSE)),0,VLOOKUP($A2340,'13. Updated Demand'!A:Z,25,FALSE))</f>
        <v>0</v>
      </c>
      <c r="AI2340" s="16">
        <f>IF(ISERROR(VLOOKUP($A2340,'13. Updated Demand'!A:Z,26,FALSE)),0,VLOOKUP($A2340,'13. Updated Demand'!A:Z,26,FALSE))</f>
        <v>0</v>
      </c>
      <c r="AJ2340" s="16">
        <f t="shared" si="445"/>
        <v>0.516666666</v>
      </c>
      <c r="AK2340" s="19">
        <v>0.50333333199999997</v>
      </c>
      <c r="AL2340" s="16">
        <f t="shared" si="443"/>
        <v>1.6694993271895581E-3</v>
      </c>
      <c r="AM2340" s="26">
        <v>0.42666666480000004</v>
      </c>
      <c r="AN2340" s="19">
        <v>1.25</v>
      </c>
      <c r="AO2340" s="19" t="s">
        <v>1758</v>
      </c>
      <c r="AP2340" s="19">
        <v>0</v>
      </c>
      <c r="AQ2340" s="19" t="s">
        <v>307</v>
      </c>
      <c r="AR2340" s="9" t="s">
        <v>319</v>
      </c>
      <c r="AS2340" s="12">
        <v>3.4039024194010059E-4</v>
      </c>
      <c r="AT2340" s="19">
        <v>38.924983330000003</v>
      </c>
      <c r="AU2340" s="19">
        <v>-123.14491944</v>
      </c>
      <c r="AV2340" s="19" t="s">
        <v>395</v>
      </c>
    </row>
    <row r="2341" spans="1:48" x14ac:dyDescent="0.25">
      <c r="A2341" s="18" t="s">
        <v>2813</v>
      </c>
      <c r="B2341" s="10">
        <v>10000000</v>
      </c>
      <c r="C2341" s="9">
        <v>18</v>
      </c>
      <c r="D2341" s="8" t="str">
        <f t="shared" si="434"/>
        <v>N</v>
      </c>
      <c r="E2341" s="8" t="str">
        <f t="shared" si="435"/>
        <v>N</v>
      </c>
      <c r="F2341" s="8" t="str">
        <f t="shared" si="436"/>
        <v>N</v>
      </c>
      <c r="G2341" s="8" t="str">
        <f t="shared" si="437"/>
        <v>N</v>
      </c>
      <c r="H2341" s="8" t="str">
        <f t="shared" si="438"/>
        <v>Lower</v>
      </c>
      <c r="I2341" s="8" t="str">
        <f t="shared" si="439"/>
        <v>Outside</v>
      </c>
      <c r="J2341" s="8" t="str">
        <f t="shared" si="440"/>
        <v>Outside</v>
      </c>
      <c r="K2341" s="8" t="str">
        <f t="shared" si="441"/>
        <v>Riparian</v>
      </c>
      <c r="L2341" s="8">
        <f t="shared" si="442"/>
        <v>1000</v>
      </c>
      <c r="M2341" s="8" t="str">
        <f t="shared" si="444"/>
        <v>-</v>
      </c>
      <c r="N2341" s="10" t="s">
        <v>242</v>
      </c>
      <c r="O2341" s="10" t="s">
        <v>242</v>
      </c>
      <c r="P2341" s="10" t="s">
        <v>242</v>
      </c>
      <c r="Q2341" s="10" t="s">
        <v>242</v>
      </c>
      <c r="R2341" s="10" t="s">
        <v>242</v>
      </c>
      <c r="S2341" s="10" t="s">
        <v>241</v>
      </c>
      <c r="T2341" s="10" t="s">
        <v>242</v>
      </c>
      <c r="U2341" s="10" t="s">
        <v>242</v>
      </c>
      <c r="V2341" s="10" t="s">
        <v>242</v>
      </c>
      <c r="W2341" s="10" t="s">
        <v>242</v>
      </c>
      <c r="X2341" s="15">
        <f>IF(ISERROR(VLOOKUP($A2341,'13. Updated Demand'!A:Z,15,FALSE)),0,VLOOKUP($A2341,'13. Updated Demand'!A:Z,15,FALSE))</f>
        <v>0.06</v>
      </c>
      <c r="Y2341" s="16">
        <f>IF(ISERROR(VLOOKUP($A2341,'13. Updated Demand'!A:Z,16,FALSE)),0,VLOOKUP($A2341,'13. Updated Demand'!A:Z,16,FALSE))</f>
        <v>0.15</v>
      </c>
      <c r="Z2341" s="16">
        <f>IF(ISERROR(VLOOKUP($A2341,'13. Updated Demand'!A:Z,17,FALSE)),0,VLOOKUP($A2341,'13. Updated Demand'!A:Z,17,FALSE))</f>
        <v>0.15</v>
      </c>
      <c r="AA2341" s="16">
        <f>IF(ISERROR(VLOOKUP($A2341,'13. Updated Demand'!A:Z,18,FALSE)),0,VLOOKUP($A2341,'13. Updated Demand'!A:Z,18,FALSE))</f>
        <v>0.15</v>
      </c>
      <c r="AB2341" s="16">
        <f>IF(ISERROR(VLOOKUP($A2341,'13. Updated Demand'!A:Z,19,FALSE)),0,VLOOKUP($A2341,'13. Updated Demand'!A:Z,19,FALSE))</f>
        <v>0.15</v>
      </c>
      <c r="AC2341" s="16">
        <f>IF(ISERROR(VLOOKUP($A2341,'13. Updated Demand'!A:Z,20,FALSE)),0,VLOOKUP($A2341,'13. Updated Demand'!A:Z,20,FALSE))</f>
        <v>0.18</v>
      </c>
      <c r="AD2341" s="16">
        <f>IF(ISERROR(VLOOKUP($A2341,'13. Updated Demand'!A:Z,21,FALSE)),0,VLOOKUP($A2341,'13. Updated Demand'!A:Z,21,FALSE))</f>
        <v>0.21</v>
      </c>
      <c r="AE2341" s="16">
        <f>IF(ISERROR(VLOOKUP($A2341,'13. Updated Demand'!A:Z,22,FALSE)),0,VLOOKUP($A2341,'13. Updated Demand'!A:Z,22,FALSE))</f>
        <v>0.28000000000000003</v>
      </c>
      <c r="AF2341" s="16">
        <f>IF(ISERROR(VLOOKUP($A2341,'13. Updated Demand'!A:Z,23,FALSE)),0,VLOOKUP($A2341,'13. Updated Demand'!A:Z,23,FALSE))</f>
        <v>0.28000000000000003</v>
      </c>
      <c r="AG2341" s="16">
        <f>IF(ISERROR(VLOOKUP($A2341,'13. Updated Demand'!A:Z,24,FALSE)),0,VLOOKUP($A2341,'13. Updated Demand'!A:Z,24,FALSE))</f>
        <v>0.18</v>
      </c>
      <c r="AH2341" s="16">
        <f>IF(ISERROR(VLOOKUP($A2341,'13. Updated Demand'!A:Z,25,FALSE)),0,VLOOKUP($A2341,'13. Updated Demand'!A:Z,25,FALSE))</f>
        <v>0.15</v>
      </c>
      <c r="AI2341" s="16">
        <f>IF(ISERROR(VLOOKUP($A2341,'13. Updated Demand'!A:Z,26,FALSE)),0,VLOOKUP($A2341,'13. Updated Demand'!A:Z,26,FALSE))</f>
        <v>0.15</v>
      </c>
      <c r="AJ2341" s="16">
        <f t="shared" si="445"/>
        <v>2.09</v>
      </c>
      <c r="AK2341" s="19">
        <v>1.1000000000000001</v>
      </c>
      <c r="AL2341" s="16">
        <f t="shared" si="443"/>
        <v>3.6485746982250606E-3</v>
      </c>
      <c r="AM2341" s="26">
        <v>1.0318439891384843</v>
      </c>
      <c r="AN2341" s="19">
        <v>2.0255000000000001</v>
      </c>
      <c r="AO2341" s="19" t="s">
        <v>1758</v>
      </c>
      <c r="AP2341" s="19">
        <v>0</v>
      </c>
      <c r="AQ2341" s="19" t="s">
        <v>307</v>
      </c>
      <c r="AR2341" s="9" t="s">
        <v>352</v>
      </c>
      <c r="AS2341" s="12">
        <v>3.4039024194010059E-4</v>
      </c>
      <c r="AT2341" s="19">
        <v>38.399650700000002</v>
      </c>
      <c r="AU2341" s="19">
        <v>-122.8713609</v>
      </c>
      <c r="AV2341" s="19" t="s">
        <v>469</v>
      </c>
    </row>
    <row r="2342" spans="1:48" x14ac:dyDescent="0.25">
      <c r="A2342" s="18" t="s">
        <v>2814</v>
      </c>
      <c r="B2342" s="10">
        <v>10000000</v>
      </c>
      <c r="C2342" s="9">
        <v>6</v>
      </c>
      <c r="D2342" s="8" t="str">
        <f t="shared" si="434"/>
        <v>Y</v>
      </c>
      <c r="E2342" s="8" t="str">
        <f t="shared" si="435"/>
        <v>N</v>
      </c>
      <c r="F2342" s="8" t="str">
        <f t="shared" si="436"/>
        <v>Y</v>
      </c>
      <c r="G2342" s="8" t="str">
        <f t="shared" si="437"/>
        <v>Y</v>
      </c>
      <c r="H2342" s="8" t="str">
        <f t="shared" si="438"/>
        <v>Upper</v>
      </c>
      <c r="I2342" s="8" t="str">
        <f t="shared" si="439"/>
        <v>West Fork and Below Lake</v>
      </c>
      <c r="J2342" s="8" t="str">
        <f t="shared" si="440"/>
        <v>Mendocino (d/s of lake)</v>
      </c>
      <c r="K2342" s="8" t="str">
        <f t="shared" si="441"/>
        <v>Riparian</v>
      </c>
      <c r="L2342" s="8">
        <f t="shared" si="442"/>
        <v>1000</v>
      </c>
      <c r="M2342" s="8" t="str">
        <f t="shared" si="444"/>
        <v>-</v>
      </c>
      <c r="N2342" s="10" t="s">
        <v>242</v>
      </c>
      <c r="O2342" s="10" t="s">
        <v>241</v>
      </c>
      <c r="P2342" s="10" t="s">
        <v>242</v>
      </c>
      <c r="Q2342" s="10" t="s">
        <v>242</v>
      </c>
      <c r="R2342" s="10" t="s">
        <v>242</v>
      </c>
      <c r="S2342" s="10" t="s">
        <v>241</v>
      </c>
      <c r="T2342" s="10" t="s">
        <v>241</v>
      </c>
      <c r="U2342" s="10" t="s">
        <v>241</v>
      </c>
      <c r="V2342" s="10" t="s">
        <v>241</v>
      </c>
      <c r="W2342" s="10" t="s">
        <v>242</v>
      </c>
      <c r="X2342" s="15">
        <f>IF(ISERROR(VLOOKUP($A2342,'13. Updated Demand'!A:Z,15,FALSE)),0,VLOOKUP($A2342,'13. Updated Demand'!A:Z,15,FALSE))</f>
        <v>0</v>
      </c>
      <c r="Y2342" s="16">
        <f>IF(ISERROR(VLOOKUP($A2342,'13. Updated Demand'!A:Z,16,FALSE)),0,VLOOKUP($A2342,'13. Updated Demand'!A:Z,16,FALSE))</f>
        <v>0</v>
      </c>
      <c r="Z2342" s="16">
        <f>IF(ISERROR(VLOOKUP($A2342,'13. Updated Demand'!A:Z,17,FALSE)),0,VLOOKUP($A2342,'13. Updated Demand'!A:Z,17,FALSE))</f>
        <v>0</v>
      </c>
      <c r="AA2342" s="16">
        <f>IF(ISERROR(VLOOKUP($A2342,'13. Updated Demand'!A:Z,18,FALSE)),0,VLOOKUP($A2342,'13. Updated Demand'!A:Z,18,FALSE))</f>
        <v>0</v>
      </c>
      <c r="AB2342" s="16">
        <f>IF(ISERROR(VLOOKUP($A2342,'13. Updated Demand'!A:Z,19,FALSE)),0,VLOOKUP($A2342,'13. Updated Demand'!A:Z,19,FALSE))</f>
        <v>0</v>
      </c>
      <c r="AC2342" s="16">
        <f>IF(ISERROR(VLOOKUP($A2342,'13. Updated Demand'!A:Z,20,FALSE)),0,VLOOKUP($A2342,'13. Updated Demand'!A:Z,20,FALSE))</f>
        <v>0</v>
      </c>
      <c r="AD2342" s="16">
        <f>IF(ISERROR(VLOOKUP($A2342,'13. Updated Demand'!A:Z,21,FALSE)),0,VLOOKUP($A2342,'13. Updated Demand'!A:Z,21,FALSE))</f>
        <v>0</v>
      </c>
      <c r="AE2342" s="16">
        <f>IF(ISERROR(VLOOKUP($A2342,'13. Updated Demand'!A:Z,22,FALSE)),0,VLOOKUP($A2342,'13. Updated Demand'!A:Z,22,FALSE))</f>
        <v>0</v>
      </c>
      <c r="AF2342" s="16">
        <f>IF(ISERROR(VLOOKUP($A2342,'13. Updated Demand'!A:Z,23,FALSE)),0,VLOOKUP($A2342,'13. Updated Demand'!A:Z,23,FALSE))</f>
        <v>0</v>
      </c>
      <c r="AG2342" s="16">
        <f>IF(ISERROR(VLOOKUP($A2342,'13. Updated Demand'!A:Z,24,FALSE)),0,VLOOKUP($A2342,'13. Updated Demand'!A:Z,24,FALSE))</f>
        <v>0</v>
      </c>
      <c r="AH2342" s="16">
        <f>IF(ISERROR(VLOOKUP($A2342,'13. Updated Demand'!A:Z,25,FALSE)),0,VLOOKUP($A2342,'13. Updated Demand'!A:Z,25,FALSE))</f>
        <v>0</v>
      </c>
      <c r="AI2342" s="16">
        <f>IF(ISERROR(VLOOKUP($A2342,'13. Updated Demand'!A:Z,26,FALSE)),0,VLOOKUP($A2342,'13. Updated Demand'!A:Z,26,FALSE))</f>
        <v>0</v>
      </c>
      <c r="AJ2342" s="16">
        <f t="shared" si="445"/>
        <v>0</v>
      </c>
      <c r="AK2342" s="19">
        <v>0</v>
      </c>
      <c r="AL2342" s="16">
        <f t="shared" si="443"/>
        <v>0</v>
      </c>
      <c r="AM2342" s="26">
        <v>0</v>
      </c>
      <c r="AN2342" s="19">
        <v>2.8899999999999999E-2</v>
      </c>
      <c r="AO2342" s="19" t="s">
        <v>1758</v>
      </c>
      <c r="AP2342" s="19">
        <v>0</v>
      </c>
      <c r="AQ2342" s="19" t="s">
        <v>307</v>
      </c>
      <c r="AR2342" s="9" t="s">
        <v>319</v>
      </c>
      <c r="AS2342" s="12">
        <v>0</v>
      </c>
      <c r="AT2342" s="19">
        <v>38.987520000000004</v>
      </c>
      <c r="AU2342" s="19">
        <v>-123.19167400000001</v>
      </c>
      <c r="AV2342" s="19" t="s">
        <v>395</v>
      </c>
    </row>
    <row r="2343" spans="1:48" x14ac:dyDescent="0.25">
      <c r="A2343" s="18" t="s">
        <v>2815</v>
      </c>
      <c r="B2343" s="10">
        <v>10000000</v>
      </c>
      <c r="C2343" s="9">
        <v>20</v>
      </c>
      <c r="D2343" s="8" t="str">
        <f t="shared" si="434"/>
        <v>N</v>
      </c>
      <c r="E2343" s="8" t="str">
        <f t="shared" si="435"/>
        <v>N</v>
      </c>
      <c r="F2343" s="8" t="str">
        <f t="shared" si="436"/>
        <v>N</v>
      </c>
      <c r="G2343" s="8" t="str">
        <f t="shared" si="437"/>
        <v>N</v>
      </c>
      <c r="H2343" s="8" t="str">
        <f t="shared" si="438"/>
        <v>Lower</v>
      </c>
      <c r="I2343" s="8" t="str">
        <f t="shared" si="439"/>
        <v>Outside</v>
      </c>
      <c r="J2343" s="8" t="str">
        <f t="shared" si="440"/>
        <v>Outside</v>
      </c>
      <c r="K2343" s="8" t="str">
        <f t="shared" si="441"/>
        <v>Riparian</v>
      </c>
      <c r="L2343" s="8">
        <f t="shared" si="442"/>
        <v>1000</v>
      </c>
      <c r="M2343" s="8" t="str">
        <f t="shared" si="444"/>
        <v>-</v>
      </c>
      <c r="N2343" s="10" t="s">
        <v>242</v>
      </c>
      <c r="O2343" s="10" t="s">
        <v>242</v>
      </c>
      <c r="P2343" s="10" t="s">
        <v>242</v>
      </c>
      <c r="Q2343" s="10" t="s">
        <v>242</v>
      </c>
      <c r="R2343" s="10" t="s">
        <v>242</v>
      </c>
      <c r="S2343" s="10" t="s">
        <v>241</v>
      </c>
      <c r="T2343" s="10" t="s">
        <v>242</v>
      </c>
      <c r="U2343" s="10" t="s">
        <v>242</v>
      </c>
      <c r="V2343" s="10" t="s">
        <v>242</v>
      </c>
      <c r="W2343" s="10" t="s">
        <v>242</v>
      </c>
      <c r="X2343" s="15">
        <f>IF(ISERROR(VLOOKUP($A2343,'13. Updated Demand'!A:Z,15,FALSE)),0,VLOOKUP($A2343,'13. Updated Demand'!A:Z,15,FALSE))</f>
        <v>0</v>
      </c>
      <c r="Y2343" s="16">
        <f>IF(ISERROR(VLOOKUP($A2343,'13. Updated Demand'!A:Z,16,FALSE)),0,VLOOKUP($A2343,'13. Updated Demand'!A:Z,16,FALSE))</f>
        <v>3.3333333E-2</v>
      </c>
      <c r="Z2343" s="16">
        <f>IF(ISERROR(VLOOKUP($A2343,'13. Updated Demand'!A:Z,17,FALSE)),0,VLOOKUP($A2343,'13. Updated Demand'!A:Z,17,FALSE))</f>
        <v>5.2201333000000003E-2</v>
      </c>
      <c r="AA2343" s="16">
        <f>IF(ISERROR(VLOOKUP($A2343,'13. Updated Demand'!A:Z,18,FALSE)),0,VLOOKUP($A2343,'13. Updated Demand'!A:Z,18,FALSE))</f>
        <v>5.2201333000000003E-2</v>
      </c>
      <c r="AB2343" s="16">
        <f>IF(ISERROR(VLOOKUP($A2343,'13. Updated Demand'!A:Z,19,FALSE)),0,VLOOKUP($A2343,'13. Updated Demand'!A:Z,19,FALSE))</f>
        <v>5.2201333000000003E-2</v>
      </c>
      <c r="AC2343" s="16">
        <f>IF(ISERROR(VLOOKUP($A2343,'13. Updated Demand'!A:Z,20,FALSE)),0,VLOOKUP($A2343,'13. Updated Demand'!A:Z,20,FALSE))</f>
        <v>5.2201333000000003E-2</v>
      </c>
      <c r="AD2343" s="16">
        <f>IF(ISERROR(VLOOKUP($A2343,'13. Updated Demand'!A:Z,21,FALSE)),0,VLOOKUP($A2343,'13. Updated Demand'!A:Z,21,FALSE))</f>
        <v>5.2201333000000003E-2</v>
      </c>
      <c r="AE2343" s="16">
        <f>IF(ISERROR(VLOOKUP($A2343,'13. Updated Demand'!A:Z,22,FALSE)),0,VLOOKUP($A2343,'13. Updated Demand'!A:Z,22,FALSE))</f>
        <v>5.2201333000000003E-2</v>
      </c>
      <c r="AF2343" s="16">
        <f>IF(ISERROR(VLOOKUP($A2343,'13. Updated Demand'!A:Z,23,FALSE)),0,VLOOKUP($A2343,'13. Updated Demand'!A:Z,23,FALSE))</f>
        <v>5.2201333000000003E-2</v>
      </c>
      <c r="AG2343" s="16">
        <f>IF(ISERROR(VLOOKUP($A2343,'13. Updated Demand'!A:Z,24,FALSE)),0,VLOOKUP($A2343,'13. Updated Demand'!A:Z,24,FALSE))</f>
        <v>5.2201333000000003E-2</v>
      </c>
      <c r="AH2343" s="16">
        <f>IF(ISERROR(VLOOKUP($A2343,'13. Updated Demand'!A:Z,25,FALSE)),0,VLOOKUP($A2343,'13. Updated Demand'!A:Z,25,FALSE))</f>
        <v>5.2201333000000003E-2</v>
      </c>
      <c r="AI2343" s="16">
        <f>IF(ISERROR(VLOOKUP($A2343,'13. Updated Demand'!A:Z,26,FALSE)),0,VLOOKUP($A2343,'13. Updated Demand'!A:Z,26,FALSE))</f>
        <v>0</v>
      </c>
      <c r="AJ2343" s="16">
        <f t="shared" si="445"/>
        <v>0.50314533000000006</v>
      </c>
      <c r="AK2343" s="19">
        <v>0.26100666500000003</v>
      </c>
      <c r="AL2343" s="16">
        <f t="shared" si="443"/>
        <v>8.6572937635191315E-4</v>
      </c>
      <c r="AM2343" s="26">
        <v>0.9904435629921261</v>
      </c>
      <c r="AN2343" s="19">
        <v>0.50800000000000001</v>
      </c>
      <c r="AO2343" s="19" t="s">
        <v>1758</v>
      </c>
      <c r="AP2343" s="19">
        <v>0</v>
      </c>
      <c r="AQ2343" s="19" t="s">
        <v>307</v>
      </c>
      <c r="AR2343" s="9" t="s">
        <v>329</v>
      </c>
      <c r="AS2343" s="12">
        <v>3.4039024194010059E-4</v>
      </c>
      <c r="AT2343" s="19">
        <v>38.535122999999999</v>
      </c>
      <c r="AU2343" s="19">
        <v>-123.14657</v>
      </c>
      <c r="AV2343" s="19" t="s">
        <v>2303</v>
      </c>
    </row>
    <row r="2344" spans="1:48" x14ac:dyDescent="0.25">
      <c r="A2344" s="18" t="s">
        <v>2816</v>
      </c>
      <c r="B2344" s="10">
        <v>10000000</v>
      </c>
      <c r="C2344" s="9">
        <v>5</v>
      </c>
      <c r="D2344" s="8" t="str">
        <f t="shared" si="434"/>
        <v>Y</v>
      </c>
      <c r="E2344" s="8" t="str">
        <f t="shared" si="435"/>
        <v>N</v>
      </c>
      <c r="F2344" s="8" t="str">
        <f t="shared" si="436"/>
        <v>Y</v>
      </c>
      <c r="G2344" s="8" t="str">
        <f t="shared" si="437"/>
        <v>Y</v>
      </c>
      <c r="H2344" s="8" t="str">
        <f t="shared" si="438"/>
        <v>Upper</v>
      </c>
      <c r="I2344" s="8" t="str">
        <f t="shared" si="439"/>
        <v>West Fork and Below Lake</v>
      </c>
      <c r="J2344" s="8" t="str">
        <f t="shared" si="440"/>
        <v>Mendocino (d/s of lake)</v>
      </c>
      <c r="K2344" s="8" t="str">
        <f t="shared" si="441"/>
        <v>Riparian</v>
      </c>
      <c r="L2344" s="8">
        <f t="shared" si="442"/>
        <v>1000</v>
      </c>
      <c r="M2344" s="8" t="str">
        <f t="shared" si="444"/>
        <v>-</v>
      </c>
      <c r="N2344" s="10" t="s">
        <v>242</v>
      </c>
      <c r="O2344" s="10" t="s">
        <v>241</v>
      </c>
      <c r="P2344" s="10" t="s">
        <v>242</v>
      </c>
      <c r="Q2344" s="10" t="s">
        <v>242</v>
      </c>
      <c r="R2344" s="10" t="s">
        <v>242</v>
      </c>
      <c r="S2344" s="10" t="s">
        <v>241</v>
      </c>
      <c r="T2344" s="10" t="s">
        <v>242</v>
      </c>
      <c r="U2344" s="10" t="s">
        <v>242</v>
      </c>
      <c r="V2344" s="10" t="s">
        <v>242</v>
      </c>
      <c r="W2344" s="10" t="s">
        <v>242</v>
      </c>
      <c r="X2344" s="15">
        <f>IF(ISERROR(VLOOKUP($A2344,'13. Updated Demand'!A:Z,15,FALSE)),0,VLOOKUP($A2344,'13. Updated Demand'!A:Z,15,FALSE))</f>
        <v>0</v>
      </c>
      <c r="Y2344" s="16">
        <f>IF(ISERROR(VLOOKUP($A2344,'13. Updated Demand'!A:Z,16,FALSE)),0,VLOOKUP($A2344,'13. Updated Demand'!A:Z,16,FALSE))</f>
        <v>0</v>
      </c>
      <c r="Z2344" s="16">
        <f>IF(ISERROR(VLOOKUP($A2344,'13. Updated Demand'!A:Z,17,FALSE)),0,VLOOKUP($A2344,'13. Updated Demand'!A:Z,17,FALSE))</f>
        <v>0</v>
      </c>
      <c r="AA2344" s="16">
        <f>IF(ISERROR(VLOOKUP($A2344,'13. Updated Demand'!A:Z,18,FALSE)),0,VLOOKUP($A2344,'13. Updated Demand'!A:Z,18,FALSE))</f>
        <v>0</v>
      </c>
      <c r="AB2344" s="16">
        <f>IF(ISERROR(VLOOKUP($A2344,'13. Updated Demand'!A:Z,19,FALSE)),0,VLOOKUP($A2344,'13. Updated Demand'!A:Z,19,FALSE))</f>
        <v>0</v>
      </c>
      <c r="AC2344" s="16">
        <f>IF(ISERROR(VLOOKUP($A2344,'13. Updated Demand'!A:Z,20,FALSE)),0,VLOOKUP($A2344,'13. Updated Demand'!A:Z,20,FALSE))</f>
        <v>0</v>
      </c>
      <c r="AD2344" s="16">
        <f>IF(ISERROR(VLOOKUP($A2344,'13. Updated Demand'!A:Z,21,FALSE)),0,VLOOKUP($A2344,'13. Updated Demand'!A:Z,21,FALSE))</f>
        <v>8.9999999999999998E-4</v>
      </c>
      <c r="AE2344" s="16">
        <f>IF(ISERROR(VLOOKUP($A2344,'13. Updated Demand'!A:Z,22,FALSE)),0,VLOOKUP($A2344,'13. Updated Demand'!A:Z,22,FALSE))</f>
        <v>0</v>
      </c>
      <c r="AF2344" s="16">
        <f>IF(ISERROR(VLOOKUP($A2344,'13. Updated Demand'!A:Z,23,FALSE)),0,VLOOKUP($A2344,'13. Updated Demand'!A:Z,23,FALSE))</f>
        <v>0</v>
      </c>
      <c r="AG2344" s="16">
        <f>IF(ISERROR(VLOOKUP($A2344,'13. Updated Demand'!A:Z,24,FALSE)),0,VLOOKUP($A2344,'13. Updated Demand'!A:Z,24,FALSE))</f>
        <v>0</v>
      </c>
      <c r="AH2344" s="16">
        <f>IF(ISERROR(VLOOKUP($A2344,'13. Updated Demand'!A:Z,25,FALSE)),0,VLOOKUP($A2344,'13. Updated Demand'!A:Z,25,FALSE))</f>
        <v>0</v>
      </c>
      <c r="AI2344" s="16">
        <f>IF(ISERROR(VLOOKUP($A2344,'13. Updated Demand'!A:Z,26,FALSE)),0,VLOOKUP($A2344,'13. Updated Demand'!A:Z,26,FALSE))</f>
        <v>0</v>
      </c>
      <c r="AJ2344" s="16">
        <f t="shared" si="445"/>
        <v>8.9999999999999998E-4</v>
      </c>
      <c r="AK2344" s="19">
        <v>8.9999999999999998E-4</v>
      </c>
      <c r="AL2344" s="16">
        <f t="shared" si="443"/>
        <v>2.9851974803659585E-6</v>
      </c>
      <c r="AM2344" s="26">
        <v>2.4456521739130436E-2</v>
      </c>
      <c r="AN2344" s="19">
        <v>3.6799999999999999E-2</v>
      </c>
      <c r="AO2344" s="19" t="s">
        <v>1758</v>
      </c>
      <c r="AP2344" s="19">
        <v>0</v>
      </c>
      <c r="AQ2344" s="19" t="s">
        <v>307</v>
      </c>
      <c r="AR2344" s="9" t="s">
        <v>333</v>
      </c>
      <c r="AS2344" s="12">
        <v>3.4039024194010059E-4</v>
      </c>
      <c r="AT2344" s="19">
        <v>39.095182000000001</v>
      </c>
      <c r="AU2344" s="19">
        <v>-123.245464</v>
      </c>
      <c r="AV2344" s="19" t="s">
        <v>1438</v>
      </c>
    </row>
    <row r="2345" spans="1:48" x14ac:dyDescent="0.25">
      <c r="A2345" s="18" t="s">
        <v>2817</v>
      </c>
      <c r="B2345" s="10">
        <v>10000000</v>
      </c>
      <c r="C2345" s="9">
        <v>23</v>
      </c>
      <c r="D2345" s="8" t="str">
        <f t="shared" si="434"/>
        <v>N</v>
      </c>
      <c r="E2345" s="8" t="str">
        <f t="shared" si="435"/>
        <v>N</v>
      </c>
      <c r="F2345" s="8" t="str">
        <f t="shared" si="436"/>
        <v>N</v>
      </c>
      <c r="G2345" s="8" t="str">
        <f t="shared" si="437"/>
        <v>N</v>
      </c>
      <c r="H2345" s="8" t="str">
        <f t="shared" si="438"/>
        <v>Lower</v>
      </c>
      <c r="I2345" s="8" t="str">
        <f t="shared" si="439"/>
        <v>Outside</v>
      </c>
      <c r="J2345" s="8" t="str">
        <f t="shared" si="440"/>
        <v>Outside</v>
      </c>
      <c r="K2345" s="8" t="str">
        <f t="shared" si="441"/>
        <v>Riparian</v>
      </c>
      <c r="L2345" s="8">
        <f t="shared" si="442"/>
        <v>1000</v>
      </c>
      <c r="M2345" s="8" t="str">
        <f t="shared" si="444"/>
        <v>-</v>
      </c>
      <c r="N2345" s="10" t="s">
        <v>242</v>
      </c>
      <c r="O2345" s="10" t="s">
        <v>242</v>
      </c>
      <c r="P2345" s="10" t="s">
        <v>242</v>
      </c>
      <c r="Q2345" s="10" t="s">
        <v>242</v>
      </c>
      <c r="R2345" s="10" t="s">
        <v>242</v>
      </c>
      <c r="S2345" s="10" t="s">
        <v>241</v>
      </c>
      <c r="T2345" s="10" t="s">
        <v>242</v>
      </c>
      <c r="U2345" s="10" t="s">
        <v>242</v>
      </c>
      <c r="V2345" s="10" t="s">
        <v>242</v>
      </c>
      <c r="W2345" s="10" t="s">
        <v>242</v>
      </c>
      <c r="X2345" s="15">
        <f>IF(ISERROR(VLOOKUP($A2345,'13. Updated Demand'!A:Z,15,FALSE)),0,VLOOKUP($A2345,'13. Updated Demand'!A:Z,15,FALSE))</f>
        <v>0</v>
      </c>
      <c r="Y2345" s="16">
        <f>IF(ISERROR(VLOOKUP($A2345,'13. Updated Demand'!A:Z,16,FALSE)),0,VLOOKUP($A2345,'13. Updated Demand'!A:Z,16,FALSE))</f>
        <v>0</v>
      </c>
      <c r="Z2345" s="16">
        <f>IF(ISERROR(VLOOKUP($A2345,'13. Updated Demand'!A:Z,17,FALSE)),0,VLOOKUP($A2345,'13. Updated Demand'!A:Z,17,FALSE))</f>
        <v>0</v>
      </c>
      <c r="AA2345" s="16">
        <f>IF(ISERROR(VLOOKUP($A2345,'13. Updated Demand'!A:Z,18,FALSE)),0,VLOOKUP($A2345,'13. Updated Demand'!A:Z,18,FALSE))</f>
        <v>0</v>
      </c>
      <c r="AB2345" s="16">
        <f>IF(ISERROR(VLOOKUP($A2345,'13. Updated Demand'!A:Z,19,FALSE)),0,VLOOKUP($A2345,'13. Updated Demand'!A:Z,19,FALSE))</f>
        <v>0.02</v>
      </c>
      <c r="AC2345" s="16">
        <f>IF(ISERROR(VLOOKUP($A2345,'13. Updated Demand'!A:Z,20,FALSE)),0,VLOOKUP($A2345,'13. Updated Demand'!A:Z,20,FALSE))</f>
        <v>0.35666666699999999</v>
      </c>
      <c r="AD2345" s="16">
        <f>IF(ISERROR(VLOOKUP($A2345,'13. Updated Demand'!A:Z,21,FALSE)),0,VLOOKUP($A2345,'13. Updated Demand'!A:Z,21,FALSE))</f>
        <v>1.2266666669999999</v>
      </c>
      <c r="AE2345" s="16">
        <f>IF(ISERROR(VLOOKUP($A2345,'13. Updated Demand'!A:Z,22,FALSE)),0,VLOOKUP($A2345,'13. Updated Demand'!A:Z,22,FALSE))</f>
        <v>0.28333333300000002</v>
      </c>
      <c r="AF2345" s="16">
        <f>IF(ISERROR(VLOOKUP($A2345,'13. Updated Demand'!A:Z,23,FALSE)),0,VLOOKUP($A2345,'13. Updated Demand'!A:Z,23,FALSE))</f>
        <v>0.53333333299999997</v>
      </c>
      <c r="AG2345" s="16">
        <f>IF(ISERROR(VLOOKUP($A2345,'13. Updated Demand'!A:Z,24,FALSE)),0,VLOOKUP($A2345,'13. Updated Demand'!A:Z,24,FALSE))</f>
        <v>0.22666666699999999</v>
      </c>
      <c r="AH2345" s="16">
        <f>IF(ISERROR(VLOOKUP($A2345,'13. Updated Demand'!A:Z,25,FALSE)),0,VLOOKUP($A2345,'13. Updated Demand'!A:Z,25,FALSE))</f>
        <v>0</v>
      </c>
      <c r="AI2345" s="16">
        <f>IF(ISERROR(VLOOKUP($A2345,'13. Updated Demand'!A:Z,26,FALSE)),0,VLOOKUP($A2345,'13. Updated Demand'!A:Z,26,FALSE))</f>
        <v>0</v>
      </c>
      <c r="AJ2345" s="16">
        <f t="shared" si="445"/>
        <v>2.6466666669999999</v>
      </c>
      <c r="AK2345" s="19">
        <v>2.42</v>
      </c>
      <c r="AL2345" s="16">
        <f t="shared" si="443"/>
        <v>8.0268643360951325E-3</v>
      </c>
      <c r="AM2345" s="26">
        <v>1.5495706481264637</v>
      </c>
      <c r="AN2345" s="19">
        <v>1.708</v>
      </c>
      <c r="AO2345" s="19" t="s">
        <v>1758</v>
      </c>
      <c r="AP2345" s="19">
        <v>0</v>
      </c>
      <c r="AQ2345" s="19" t="s">
        <v>307</v>
      </c>
      <c r="AR2345" s="9" t="s">
        <v>323</v>
      </c>
      <c r="AS2345" s="12">
        <v>0</v>
      </c>
      <c r="AT2345" s="19">
        <v>38.491641780000002</v>
      </c>
      <c r="AU2345" s="19">
        <v>-122.86225048999999</v>
      </c>
      <c r="AV2345" s="19" t="s">
        <v>735</v>
      </c>
    </row>
    <row r="2346" spans="1:48" x14ac:dyDescent="0.25">
      <c r="A2346" s="18" t="s">
        <v>2818</v>
      </c>
      <c r="B2346" s="10">
        <v>10000000</v>
      </c>
      <c r="C2346" s="9">
        <v>6</v>
      </c>
      <c r="D2346" s="8" t="str">
        <f t="shared" si="434"/>
        <v>Y</v>
      </c>
      <c r="E2346" s="8" t="str">
        <f t="shared" si="435"/>
        <v>N</v>
      </c>
      <c r="F2346" s="8" t="str">
        <f t="shared" si="436"/>
        <v>Y</v>
      </c>
      <c r="G2346" s="8" t="str">
        <f t="shared" si="437"/>
        <v>Y</v>
      </c>
      <c r="H2346" s="8" t="str">
        <f t="shared" si="438"/>
        <v>Upper</v>
      </c>
      <c r="I2346" s="8" t="str">
        <f t="shared" si="439"/>
        <v>West Fork and Below Lake</v>
      </c>
      <c r="J2346" s="8" t="str">
        <f t="shared" si="440"/>
        <v>Mendocino (d/s of lake)</v>
      </c>
      <c r="K2346" s="8" t="str">
        <f t="shared" si="441"/>
        <v>Riparian</v>
      </c>
      <c r="L2346" s="8">
        <f t="shared" si="442"/>
        <v>1000</v>
      </c>
      <c r="M2346" s="8" t="str">
        <f t="shared" si="444"/>
        <v>-</v>
      </c>
      <c r="N2346" s="10" t="s">
        <v>242</v>
      </c>
      <c r="O2346" s="10" t="s">
        <v>241</v>
      </c>
      <c r="P2346" s="10" t="s">
        <v>242</v>
      </c>
      <c r="Q2346" s="10" t="s">
        <v>242</v>
      </c>
      <c r="R2346" s="10" t="s">
        <v>242</v>
      </c>
      <c r="S2346" s="10" t="s">
        <v>241</v>
      </c>
      <c r="T2346" s="10" t="s">
        <v>242</v>
      </c>
      <c r="U2346" s="10" t="s">
        <v>242</v>
      </c>
      <c r="V2346" s="10" t="s">
        <v>242</v>
      </c>
      <c r="W2346" s="10" t="s">
        <v>242</v>
      </c>
      <c r="X2346" s="15">
        <f>IF(ISERROR(VLOOKUP($A2346,'13. Updated Demand'!A:Z,15,FALSE)),0,VLOOKUP($A2346,'13. Updated Demand'!A:Z,15,FALSE))</f>
        <v>0</v>
      </c>
      <c r="Y2346" s="16">
        <f>IF(ISERROR(VLOOKUP($A2346,'13. Updated Demand'!A:Z,16,FALSE)),0,VLOOKUP($A2346,'13. Updated Demand'!A:Z,16,FALSE))</f>
        <v>0</v>
      </c>
      <c r="Z2346" s="16">
        <f>IF(ISERROR(VLOOKUP($A2346,'13. Updated Demand'!A:Z,17,FALSE)),0,VLOOKUP($A2346,'13. Updated Demand'!A:Z,17,FALSE))</f>
        <v>0</v>
      </c>
      <c r="AA2346" s="16">
        <f>IF(ISERROR(VLOOKUP($A2346,'13. Updated Demand'!A:Z,18,FALSE)),0,VLOOKUP($A2346,'13. Updated Demand'!A:Z,18,FALSE))</f>
        <v>0</v>
      </c>
      <c r="AB2346" s="16">
        <f>IF(ISERROR(VLOOKUP($A2346,'13. Updated Demand'!A:Z,19,FALSE)),0,VLOOKUP($A2346,'13. Updated Demand'!A:Z,19,FALSE))</f>
        <v>0.48</v>
      </c>
      <c r="AC2346" s="16">
        <f>IF(ISERROR(VLOOKUP($A2346,'13. Updated Demand'!A:Z,20,FALSE)),0,VLOOKUP($A2346,'13. Updated Demand'!A:Z,20,FALSE))</f>
        <v>0.48</v>
      </c>
      <c r="AD2346" s="16">
        <f>IF(ISERROR(VLOOKUP($A2346,'13. Updated Demand'!A:Z,21,FALSE)),0,VLOOKUP($A2346,'13. Updated Demand'!A:Z,21,FALSE))</f>
        <v>0.48</v>
      </c>
      <c r="AE2346" s="16">
        <f>IF(ISERROR(VLOOKUP($A2346,'13. Updated Demand'!A:Z,22,FALSE)),0,VLOOKUP($A2346,'13. Updated Demand'!A:Z,22,FALSE))</f>
        <v>0.48</v>
      </c>
      <c r="AF2346" s="16">
        <f>IF(ISERROR(VLOOKUP($A2346,'13. Updated Demand'!A:Z,23,FALSE)),0,VLOOKUP($A2346,'13. Updated Demand'!A:Z,23,FALSE))</f>
        <v>0.48</v>
      </c>
      <c r="AG2346" s="16">
        <f>IF(ISERROR(VLOOKUP($A2346,'13. Updated Demand'!A:Z,24,FALSE)),0,VLOOKUP($A2346,'13. Updated Demand'!A:Z,24,FALSE))</f>
        <v>0.48</v>
      </c>
      <c r="AH2346" s="16">
        <f>IF(ISERROR(VLOOKUP($A2346,'13. Updated Demand'!A:Z,25,FALSE)),0,VLOOKUP($A2346,'13. Updated Demand'!A:Z,25,FALSE))</f>
        <v>0</v>
      </c>
      <c r="AI2346" s="16">
        <f>IF(ISERROR(VLOOKUP($A2346,'13. Updated Demand'!A:Z,26,FALSE)),0,VLOOKUP($A2346,'13. Updated Demand'!A:Z,26,FALSE))</f>
        <v>0</v>
      </c>
      <c r="AJ2346" s="16">
        <f t="shared" si="445"/>
        <v>2.88</v>
      </c>
      <c r="AK2346" s="19">
        <v>2.4</v>
      </c>
      <c r="AL2346" s="16">
        <f t="shared" si="443"/>
        <v>7.9605266143092223E-3</v>
      </c>
      <c r="AM2346" s="26">
        <v>1.0200467521428065</v>
      </c>
      <c r="AN2346" s="19">
        <v>2.8233999999999999</v>
      </c>
      <c r="AO2346" s="19" t="s">
        <v>1758</v>
      </c>
      <c r="AP2346" s="19">
        <v>0</v>
      </c>
      <c r="AQ2346" s="19" t="s">
        <v>307</v>
      </c>
      <c r="AR2346" s="9" t="s">
        <v>319</v>
      </c>
      <c r="AS2346" s="12">
        <v>0</v>
      </c>
      <c r="AT2346" s="19">
        <v>39.012217999999997</v>
      </c>
      <c r="AU2346" s="19">
        <v>-123.184516</v>
      </c>
      <c r="AV2346" s="19" t="s">
        <v>2819</v>
      </c>
    </row>
    <row r="2347" spans="1:48" x14ac:dyDescent="0.25">
      <c r="A2347" s="18" t="s">
        <v>2820</v>
      </c>
      <c r="B2347" s="10">
        <v>10000000</v>
      </c>
      <c r="C2347" s="9">
        <v>2</v>
      </c>
      <c r="D2347" s="8" t="str">
        <f t="shared" si="434"/>
        <v>N</v>
      </c>
      <c r="E2347" s="8" t="str">
        <f t="shared" si="435"/>
        <v>N</v>
      </c>
      <c r="F2347" s="8" t="str">
        <f t="shared" si="436"/>
        <v>Y</v>
      </c>
      <c r="G2347" s="8" t="str">
        <f t="shared" si="437"/>
        <v>N</v>
      </c>
      <c r="H2347" s="8" t="str">
        <f t="shared" si="438"/>
        <v>Upper</v>
      </c>
      <c r="I2347" s="8" t="str">
        <f t="shared" si="439"/>
        <v>Outside</v>
      </c>
      <c r="J2347" s="8" t="str">
        <f t="shared" si="440"/>
        <v>Outside</v>
      </c>
      <c r="K2347" s="8" t="str">
        <f t="shared" si="441"/>
        <v>Riparian</v>
      </c>
      <c r="L2347" s="8">
        <f t="shared" si="442"/>
        <v>1000</v>
      </c>
      <c r="M2347" s="8" t="str">
        <f t="shared" si="444"/>
        <v>-</v>
      </c>
      <c r="N2347" s="10" t="s">
        <v>242</v>
      </c>
      <c r="O2347" s="10" t="s">
        <v>241</v>
      </c>
      <c r="P2347" s="10" t="s">
        <v>242</v>
      </c>
      <c r="Q2347" s="10" t="s">
        <v>242</v>
      </c>
      <c r="R2347" s="10" t="s">
        <v>242</v>
      </c>
      <c r="S2347" s="10" t="s">
        <v>241</v>
      </c>
      <c r="T2347" s="10" t="s">
        <v>241</v>
      </c>
      <c r="U2347" s="10" t="s">
        <v>241</v>
      </c>
      <c r="V2347" s="10" t="s">
        <v>241</v>
      </c>
      <c r="W2347" s="10" t="s">
        <v>242</v>
      </c>
      <c r="X2347" s="15">
        <f>IF(ISERROR(VLOOKUP($A2347,'13. Updated Demand'!A:Z,15,FALSE)),0,VLOOKUP($A2347,'13. Updated Demand'!A:Z,15,FALSE))</f>
        <v>0</v>
      </c>
      <c r="Y2347" s="16">
        <f>IF(ISERROR(VLOOKUP($A2347,'13. Updated Demand'!A:Z,16,FALSE)),0,VLOOKUP($A2347,'13. Updated Demand'!A:Z,16,FALSE))</f>
        <v>0</v>
      </c>
      <c r="Z2347" s="16">
        <f>IF(ISERROR(VLOOKUP($A2347,'13. Updated Demand'!A:Z,17,FALSE)),0,VLOOKUP($A2347,'13. Updated Demand'!A:Z,17,FALSE))</f>
        <v>0</v>
      </c>
      <c r="AA2347" s="16">
        <f>IF(ISERROR(VLOOKUP($A2347,'13. Updated Demand'!A:Z,18,FALSE)),0,VLOOKUP($A2347,'13. Updated Demand'!A:Z,18,FALSE))</f>
        <v>0</v>
      </c>
      <c r="AB2347" s="16">
        <f>IF(ISERROR(VLOOKUP($A2347,'13. Updated Demand'!A:Z,19,FALSE)),0,VLOOKUP($A2347,'13. Updated Demand'!A:Z,19,FALSE))</f>
        <v>0</v>
      </c>
      <c r="AC2347" s="16">
        <f>IF(ISERROR(VLOOKUP($A2347,'13. Updated Demand'!A:Z,20,FALSE)),0,VLOOKUP($A2347,'13. Updated Demand'!A:Z,20,FALSE))</f>
        <v>0</v>
      </c>
      <c r="AD2347" s="16">
        <f>IF(ISERROR(VLOOKUP($A2347,'13. Updated Demand'!A:Z,21,FALSE)),0,VLOOKUP($A2347,'13. Updated Demand'!A:Z,21,FALSE))</f>
        <v>0</v>
      </c>
      <c r="AE2347" s="16">
        <f>IF(ISERROR(VLOOKUP($A2347,'13. Updated Demand'!A:Z,22,FALSE)),0,VLOOKUP($A2347,'13. Updated Demand'!A:Z,22,FALSE))</f>
        <v>0</v>
      </c>
      <c r="AF2347" s="16">
        <f>IF(ISERROR(VLOOKUP($A2347,'13. Updated Demand'!A:Z,23,FALSE)),0,VLOOKUP($A2347,'13. Updated Demand'!A:Z,23,FALSE))</f>
        <v>0</v>
      </c>
      <c r="AG2347" s="16">
        <f>IF(ISERROR(VLOOKUP($A2347,'13. Updated Demand'!A:Z,24,FALSE)),0,VLOOKUP($A2347,'13. Updated Demand'!A:Z,24,FALSE))</f>
        <v>0</v>
      </c>
      <c r="AH2347" s="16">
        <f>IF(ISERROR(VLOOKUP($A2347,'13. Updated Demand'!A:Z,25,FALSE)),0,VLOOKUP($A2347,'13. Updated Demand'!A:Z,25,FALSE))</f>
        <v>0</v>
      </c>
      <c r="AI2347" s="16">
        <f>IF(ISERROR(VLOOKUP($A2347,'13. Updated Demand'!A:Z,26,FALSE)),0,VLOOKUP($A2347,'13. Updated Demand'!A:Z,26,FALSE))</f>
        <v>0</v>
      </c>
      <c r="AJ2347" s="16">
        <f t="shared" si="445"/>
        <v>0</v>
      </c>
      <c r="AK2347" s="19">
        <v>0</v>
      </c>
      <c r="AL2347" s="16">
        <f t="shared" si="443"/>
        <v>0</v>
      </c>
      <c r="AM2347" s="26">
        <v>0</v>
      </c>
      <c r="AN2347" s="19">
        <v>0.17460000000000001</v>
      </c>
      <c r="AO2347" s="19" t="s">
        <v>1758</v>
      </c>
      <c r="AP2347" s="19">
        <v>0</v>
      </c>
      <c r="AQ2347" s="19" t="s">
        <v>307</v>
      </c>
      <c r="AR2347" s="9" t="s">
        <v>348</v>
      </c>
      <c r="AS2347" s="12">
        <v>3.4039024194010059E-4</v>
      </c>
      <c r="AT2347" s="19">
        <v>39.25</v>
      </c>
      <c r="AU2347" s="19">
        <v>-123.128</v>
      </c>
      <c r="AV2347" s="19" t="s">
        <v>2782</v>
      </c>
    </row>
    <row r="2348" spans="1:48" x14ac:dyDescent="0.25">
      <c r="A2348" s="18" t="s">
        <v>2821</v>
      </c>
      <c r="B2348" s="10">
        <v>10000000</v>
      </c>
      <c r="C2348" s="9">
        <v>2</v>
      </c>
      <c r="D2348" s="8" t="str">
        <f t="shared" si="434"/>
        <v>N</v>
      </c>
      <c r="E2348" s="8" t="str">
        <f t="shared" si="435"/>
        <v>N</v>
      </c>
      <c r="F2348" s="8" t="str">
        <f t="shared" si="436"/>
        <v>Y</v>
      </c>
      <c r="G2348" s="8" t="str">
        <f t="shared" si="437"/>
        <v>N</v>
      </c>
      <c r="H2348" s="8" t="str">
        <f t="shared" si="438"/>
        <v>Upper</v>
      </c>
      <c r="I2348" s="8" t="str">
        <f t="shared" si="439"/>
        <v>Outside</v>
      </c>
      <c r="J2348" s="8" t="str">
        <f t="shared" si="440"/>
        <v>Outside</v>
      </c>
      <c r="K2348" s="8" t="str">
        <f t="shared" si="441"/>
        <v>Riparian</v>
      </c>
      <c r="L2348" s="8">
        <f t="shared" si="442"/>
        <v>1000</v>
      </c>
      <c r="M2348" s="8" t="str">
        <f t="shared" si="444"/>
        <v>-</v>
      </c>
      <c r="N2348" s="10" t="s">
        <v>242</v>
      </c>
      <c r="O2348" s="10" t="s">
        <v>241</v>
      </c>
      <c r="P2348" s="10" t="s">
        <v>242</v>
      </c>
      <c r="Q2348" s="10" t="s">
        <v>242</v>
      </c>
      <c r="R2348" s="10" t="s">
        <v>242</v>
      </c>
      <c r="S2348" s="10" t="s">
        <v>241</v>
      </c>
      <c r="T2348" s="10" t="s">
        <v>241</v>
      </c>
      <c r="U2348" s="10" t="s">
        <v>241</v>
      </c>
      <c r="V2348" s="10" t="s">
        <v>241</v>
      </c>
      <c r="W2348" s="10" t="s">
        <v>242</v>
      </c>
      <c r="X2348" s="15">
        <f>IF(ISERROR(VLOOKUP($A2348,'13. Updated Demand'!A:Z,15,FALSE)),0,VLOOKUP($A2348,'13. Updated Demand'!A:Z,15,FALSE))</f>
        <v>0</v>
      </c>
      <c r="Y2348" s="16">
        <f>IF(ISERROR(VLOOKUP($A2348,'13. Updated Demand'!A:Z,16,FALSE)),0,VLOOKUP($A2348,'13. Updated Demand'!A:Z,16,FALSE))</f>
        <v>0</v>
      </c>
      <c r="Z2348" s="16">
        <f>IF(ISERROR(VLOOKUP($A2348,'13. Updated Demand'!A:Z,17,FALSE)),0,VLOOKUP($A2348,'13. Updated Demand'!A:Z,17,FALSE))</f>
        <v>0</v>
      </c>
      <c r="AA2348" s="16">
        <f>IF(ISERROR(VLOOKUP($A2348,'13. Updated Demand'!A:Z,18,FALSE)),0,VLOOKUP($A2348,'13. Updated Demand'!A:Z,18,FALSE))</f>
        <v>0</v>
      </c>
      <c r="AB2348" s="16">
        <f>IF(ISERROR(VLOOKUP($A2348,'13. Updated Demand'!A:Z,19,FALSE)),0,VLOOKUP($A2348,'13. Updated Demand'!A:Z,19,FALSE))</f>
        <v>0</v>
      </c>
      <c r="AC2348" s="16">
        <f>IF(ISERROR(VLOOKUP($A2348,'13. Updated Demand'!A:Z,20,FALSE)),0,VLOOKUP($A2348,'13. Updated Demand'!A:Z,20,FALSE))</f>
        <v>0</v>
      </c>
      <c r="AD2348" s="16">
        <f>IF(ISERROR(VLOOKUP($A2348,'13. Updated Demand'!A:Z,21,FALSE)),0,VLOOKUP($A2348,'13. Updated Demand'!A:Z,21,FALSE))</f>
        <v>0</v>
      </c>
      <c r="AE2348" s="16">
        <f>IF(ISERROR(VLOOKUP($A2348,'13. Updated Demand'!A:Z,22,FALSE)),0,VLOOKUP($A2348,'13. Updated Demand'!A:Z,22,FALSE))</f>
        <v>0</v>
      </c>
      <c r="AF2348" s="16">
        <f>IF(ISERROR(VLOOKUP($A2348,'13. Updated Demand'!A:Z,23,FALSE)),0,VLOOKUP($A2348,'13. Updated Demand'!A:Z,23,FALSE))</f>
        <v>0</v>
      </c>
      <c r="AG2348" s="16">
        <f>IF(ISERROR(VLOOKUP($A2348,'13. Updated Demand'!A:Z,24,FALSE)),0,VLOOKUP($A2348,'13. Updated Demand'!A:Z,24,FALSE))</f>
        <v>0</v>
      </c>
      <c r="AH2348" s="16">
        <f>IF(ISERROR(VLOOKUP($A2348,'13. Updated Demand'!A:Z,25,FALSE)),0,VLOOKUP($A2348,'13. Updated Demand'!A:Z,25,FALSE))</f>
        <v>0</v>
      </c>
      <c r="AI2348" s="16">
        <f>IF(ISERROR(VLOOKUP($A2348,'13. Updated Demand'!A:Z,26,FALSE)),0,VLOOKUP($A2348,'13. Updated Demand'!A:Z,26,FALSE))</f>
        <v>0</v>
      </c>
      <c r="AJ2348" s="16">
        <f t="shared" si="445"/>
        <v>0</v>
      </c>
      <c r="AK2348" s="19">
        <v>0</v>
      </c>
      <c r="AL2348" s="16">
        <f t="shared" si="443"/>
        <v>0</v>
      </c>
      <c r="AM2348" s="26">
        <v>0</v>
      </c>
      <c r="AN2348" s="19">
        <v>0.23530000000000001</v>
      </c>
      <c r="AO2348" s="19" t="s">
        <v>1758</v>
      </c>
      <c r="AP2348" s="19">
        <v>0</v>
      </c>
      <c r="AQ2348" s="19" t="s">
        <v>307</v>
      </c>
      <c r="AR2348" s="9" t="s">
        <v>348</v>
      </c>
      <c r="AS2348" s="12">
        <v>3.4039024194010059E-4</v>
      </c>
      <c r="AT2348" s="19">
        <v>39.260489999999997</v>
      </c>
      <c r="AU2348" s="19">
        <v>-123.116347</v>
      </c>
      <c r="AV2348" s="19" t="s">
        <v>2822</v>
      </c>
    </row>
    <row r="2349" spans="1:48" x14ac:dyDescent="0.25">
      <c r="A2349" s="18" t="s">
        <v>2823</v>
      </c>
      <c r="B2349" s="10">
        <v>10000000</v>
      </c>
      <c r="C2349" s="9">
        <v>2</v>
      </c>
      <c r="D2349" s="8" t="str">
        <f t="shared" si="434"/>
        <v>N</v>
      </c>
      <c r="E2349" s="8" t="str">
        <f t="shared" si="435"/>
        <v>N</v>
      </c>
      <c r="F2349" s="8" t="str">
        <f t="shared" si="436"/>
        <v>Y</v>
      </c>
      <c r="G2349" s="8" t="str">
        <f t="shared" si="437"/>
        <v>N</v>
      </c>
      <c r="H2349" s="8" t="str">
        <f t="shared" si="438"/>
        <v>Upper</v>
      </c>
      <c r="I2349" s="8" t="str">
        <f t="shared" si="439"/>
        <v>Outside</v>
      </c>
      <c r="J2349" s="8" t="str">
        <f t="shared" si="440"/>
        <v>Outside</v>
      </c>
      <c r="K2349" s="8" t="str">
        <f t="shared" si="441"/>
        <v>Riparian</v>
      </c>
      <c r="L2349" s="8">
        <f t="shared" si="442"/>
        <v>1000</v>
      </c>
      <c r="M2349" s="8" t="str">
        <f t="shared" si="444"/>
        <v>-</v>
      </c>
      <c r="N2349" s="10" t="s">
        <v>242</v>
      </c>
      <c r="O2349" s="10" t="s">
        <v>241</v>
      </c>
      <c r="P2349" s="10" t="s">
        <v>242</v>
      </c>
      <c r="Q2349" s="10" t="s">
        <v>242</v>
      </c>
      <c r="R2349" s="10" t="s">
        <v>242</v>
      </c>
      <c r="S2349" s="10" t="s">
        <v>241</v>
      </c>
      <c r="T2349" s="10" t="s">
        <v>242</v>
      </c>
      <c r="U2349" s="10" t="s">
        <v>241</v>
      </c>
      <c r="V2349" s="10" t="s">
        <v>241</v>
      </c>
      <c r="W2349" s="10" t="s">
        <v>242</v>
      </c>
      <c r="X2349" s="15">
        <f>IF(ISERROR(VLOOKUP($A2349,'13. Updated Demand'!A:Z,15,FALSE)),0,VLOOKUP($A2349,'13. Updated Demand'!A:Z,15,FALSE))</f>
        <v>0</v>
      </c>
      <c r="Y2349" s="16">
        <f>IF(ISERROR(VLOOKUP($A2349,'13. Updated Demand'!A:Z,16,FALSE)),0,VLOOKUP($A2349,'13. Updated Demand'!A:Z,16,FALSE))</f>
        <v>0</v>
      </c>
      <c r="Z2349" s="16">
        <f>IF(ISERROR(VLOOKUP($A2349,'13. Updated Demand'!A:Z,17,FALSE)),0,VLOOKUP($A2349,'13. Updated Demand'!A:Z,17,FALSE))</f>
        <v>0</v>
      </c>
      <c r="AA2349" s="16">
        <f>IF(ISERROR(VLOOKUP($A2349,'13. Updated Demand'!A:Z,18,FALSE)),0,VLOOKUP($A2349,'13. Updated Demand'!A:Z,18,FALSE))</f>
        <v>0</v>
      </c>
      <c r="AB2349" s="16">
        <f>IF(ISERROR(VLOOKUP($A2349,'13. Updated Demand'!A:Z,19,FALSE)),0,VLOOKUP($A2349,'13. Updated Demand'!A:Z,19,FALSE))</f>
        <v>0</v>
      </c>
      <c r="AC2349" s="16">
        <f>IF(ISERROR(VLOOKUP($A2349,'13. Updated Demand'!A:Z,20,FALSE)),0,VLOOKUP($A2349,'13. Updated Demand'!A:Z,20,FALSE))</f>
        <v>0</v>
      </c>
      <c r="AD2349" s="16">
        <f>IF(ISERROR(VLOOKUP($A2349,'13. Updated Demand'!A:Z,21,FALSE)),0,VLOOKUP($A2349,'13. Updated Demand'!A:Z,21,FALSE))</f>
        <v>0</v>
      </c>
      <c r="AE2349" s="16">
        <f>IF(ISERROR(VLOOKUP($A2349,'13. Updated Demand'!A:Z,22,FALSE)),0,VLOOKUP($A2349,'13. Updated Demand'!A:Z,22,FALSE))</f>
        <v>0</v>
      </c>
      <c r="AF2349" s="16">
        <f>IF(ISERROR(VLOOKUP($A2349,'13. Updated Demand'!A:Z,23,FALSE)),0,VLOOKUP($A2349,'13. Updated Demand'!A:Z,23,FALSE))</f>
        <v>0</v>
      </c>
      <c r="AG2349" s="16">
        <f>IF(ISERROR(VLOOKUP($A2349,'13. Updated Demand'!A:Z,24,FALSE)),0,VLOOKUP($A2349,'13. Updated Demand'!A:Z,24,FALSE))</f>
        <v>0</v>
      </c>
      <c r="AH2349" s="16">
        <f>IF(ISERROR(VLOOKUP($A2349,'13. Updated Demand'!A:Z,25,FALSE)),0,VLOOKUP($A2349,'13. Updated Demand'!A:Z,25,FALSE))</f>
        <v>0</v>
      </c>
      <c r="AI2349" s="16">
        <f>IF(ISERROR(VLOOKUP($A2349,'13. Updated Demand'!A:Z,26,FALSE)),0,VLOOKUP($A2349,'13. Updated Demand'!A:Z,26,FALSE))</f>
        <v>0</v>
      </c>
      <c r="AJ2349" s="16">
        <f t="shared" si="445"/>
        <v>0</v>
      </c>
      <c r="AK2349" s="19">
        <v>0</v>
      </c>
      <c r="AL2349" s="16">
        <f t="shared" si="443"/>
        <v>0</v>
      </c>
      <c r="AM2349" s="26">
        <v>0</v>
      </c>
      <c r="AN2349" s="19">
        <v>8.9999999999999993E-3</v>
      </c>
      <c r="AO2349" s="19" t="s">
        <v>1758</v>
      </c>
      <c r="AP2349" s="19">
        <v>0</v>
      </c>
      <c r="AQ2349" s="19" t="s">
        <v>307</v>
      </c>
      <c r="AR2349" s="9" t="s">
        <v>348</v>
      </c>
      <c r="AS2349" s="12">
        <v>3.4039024194010059E-4</v>
      </c>
      <c r="AT2349" s="19">
        <v>39.292580000000001</v>
      </c>
      <c r="AU2349" s="19">
        <v>-123.03681</v>
      </c>
      <c r="AV2349" s="19" t="s">
        <v>1878</v>
      </c>
    </row>
    <row r="2350" spans="1:48" x14ac:dyDescent="0.25">
      <c r="A2350" s="18" t="s">
        <v>2824</v>
      </c>
      <c r="B2350" s="10">
        <v>10000000</v>
      </c>
      <c r="C2350" s="9">
        <v>6</v>
      </c>
      <c r="D2350" s="8" t="str">
        <f t="shared" si="434"/>
        <v>Y</v>
      </c>
      <c r="E2350" s="8" t="str">
        <f t="shared" si="435"/>
        <v>N</v>
      </c>
      <c r="F2350" s="8" t="str">
        <f t="shared" si="436"/>
        <v>Y</v>
      </c>
      <c r="G2350" s="8" t="str">
        <f t="shared" si="437"/>
        <v>Y</v>
      </c>
      <c r="H2350" s="8" t="str">
        <f t="shared" si="438"/>
        <v>Upper</v>
      </c>
      <c r="I2350" s="8" t="str">
        <f t="shared" si="439"/>
        <v>West Fork and Below Lake</v>
      </c>
      <c r="J2350" s="8" t="str">
        <f t="shared" si="440"/>
        <v>Mendocino (d/s of lake)</v>
      </c>
      <c r="K2350" s="8" t="str">
        <f t="shared" si="441"/>
        <v>Riparian</v>
      </c>
      <c r="L2350" s="8">
        <f t="shared" si="442"/>
        <v>1000</v>
      </c>
      <c r="M2350" s="8" t="str">
        <f t="shared" si="444"/>
        <v>-</v>
      </c>
      <c r="N2350" s="10" t="s">
        <v>242</v>
      </c>
      <c r="O2350" s="10" t="s">
        <v>241</v>
      </c>
      <c r="P2350" s="10" t="s">
        <v>242</v>
      </c>
      <c r="Q2350" s="10" t="s">
        <v>242</v>
      </c>
      <c r="R2350" s="10" t="s">
        <v>242</v>
      </c>
      <c r="S2350" s="10" t="s">
        <v>241</v>
      </c>
      <c r="T2350" s="10" t="s">
        <v>242</v>
      </c>
      <c r="U2350" s="10" t="s">
        <v>241</v>
      </c>
      <c r="V2350" s="10" t="s">
        <v>241</v>
      </c>
      <c r="W2350" s="10" t="s">
        <v>242</v>
      </c>
      <c r="X2350" s="15">
        <f>IF(ISERROR(VLOOKUP($A2350,'13. Updated Demand'!A:Z,15,FALSE)),0,VLOOKUP($A2350,'13. Updated Demand'!A:Z,15,FALSE))</f>
        <v>0</v>
      </c>
      <c r="Y2350" s="16">
        <f>IF(ISERROR(VLOOKUP($A2350,'13. Updated Demand'!A:Z,16,FALSE)),0,VLOOKUP($A2350,'13. Updated Demand'!A:Z,16,FALSE))</f>
        <v>0</v>
      </c>
      <c r="Z2350" s="16">
        <f>IF(ISERROR(VLOOKUP($A2350,'13. Updated Demand'!A:Z,17,FALSE)),0,VLOOKUP($A2350,'13. Updated Demand'!A:Z,17,FALSE))</f>
        <v>0</v>
      </c>
      <c r="AA2350" s="16">
        <f>IF(ISERROR(VLOOKUP($A2350,'13. Updated Demand'!A:Z,18,FALSE)),0,VLOOKUP($A2350,'13. Updated Demand'!A:Z,18,FALSE))</f>
        <v>0</v>
      </c>
      <c r="AB2350" s="16">
        <f>IF(ISERROR(VLOOKUP($A2350,'13. Updated Demand'!A:Z,19,FALSE)),0,VLOOKUP($A2350,'13. Updated Demand'!A:Z,19,FALSE))</f>
        <v>0</v>
      </c>
      <c r="AC2350" s="16">
        <f>IF(ISERROR(VLOOKUP($A2350,'13. Updated Demand'!A:Z,20,FALSE)),0,VLOOKUP($A2350,'13. Updated Demand'!A:Z,20,FALSE))</f>
        <v>0</v>
      </c>
      <c r="AD2350" s="16">
        <f>IF(ISERROR(VLOOKUP($A2350,'13. Updated Demand'!A:Z,21,FALSE)),0,VLOOKUP($A2350,'13. Updated Demand'!A:Z,21,FALSE))</f>
        <v>0</v>
      </c>
      <c r="AE2350" s="16">
        <f>IF(ISERROR(VLOOKUP($A2350,'13. Updated Demand'!A:Z,22,FALSE)),0,VLOOKUP($A2350,'13. Updated Demand'!A:Z,22,FALSE))</f>
        <v>0</v>
      </c>
      <c r="AF2350" s="16">
        <f>IF(ISERROR(VLOOKUP($A2350,'13. Updated Demand'!A:Z,23,FALSE)),0,VLOOKUP($A2350,'13. Updated Demand'!A:Z,23,FALSE))</f>
        <v>0</v>
      </c>
      <c r="AG2350" s="16">
        <f>IF(ISERROR(VLOOKUP($A2350,'13. Updated Demand'!A:Z,24,FALSE)),0,VLOOKUP($A2350,'13. Updated Demand'!A:Z,24,FALSE))</f>
        <v>0</v>
      </c>
      <c r="AH2350" s="16">
        <f>IF(ISERROR(VLOOKUP($A2350,'13. Updated Demand'!A:Z,25,FALSE)),0,VLOOKUP($A2350,'13. Updated Demand'!A:Z,25,FALSE))</f>
        <v>0</v>
      </c>
      <c r="AI2350" s="16">
        <f>IF(ISERROR(VLOOKUP($A2350,'13. Updated Demand'!A:Z,26,FALSE)),0,VLOOKUP($A2350,'13. Updated Demand'!A:Z,26,FALSE))</f>
        <v>0</v>
      </c>
      <c r="AJ2350" s="16">
        <f t="shared" si="445"/>
        <v>0</v>
      </c>
      <c r="AK2350" s="19">
        <v>0</v>
      </c>
      <c r="AL2350" s="16">
        <f t="shared" si="443"/>
        <v>0</v>
      </c>
      <c r="AM2350" s="26">
        <v>0</v>
      </c>
      <c r="AN2350" s="19">
        <v>0</v>
      </c>
      <c r="AO2350" s="19" t="s">
        <v>1758</v>
      </c>
      <c r="AP2350" s="19">
        <v>0</v>
      </c>
      <c r="AQ2350" s="19" t="s">
        <v>307</v>
      </c>
      <c r="AR2350" s="9" t="s">
        <v>319</v>
      </c>
      <c r="AS2350" s="12">
        <v>0</v>
      </c>
      <c r="AT2350" s="19">
        <v>39.002789999999997</v>
      </c>
      <c r="AU2350" s="19">
        <v>-123.158371</v>
      </c>
      <c r="AV2350" s="19" t="s">
        <v>1788</v>
      </c>
    </row>
    <row r="2351" spans="1:48" x14ac:dyDescent="0.25">
      <c r="A2351" s="18" t="s">
        <v>2825</v>
      </c>
      <c r="B2351" s="10">
        <v>10000000</v>
      </c>
      <c r="C2351" s="9">
        <v>6</v>
      </c>
      <c r="D2351" s="8" t="str">
        <f t="shared" si="434"/>
        <v>Y</v>
      </c>
      <c r="E2351" s="8" t="str">
        <f t="shared" si="435"/>
        <v>N</v>
      </c>
      <c r="F2351" s="8" t="str">
        <f t="shared" si="436"/>
        <v>Y</v>
      </c>
      <c r="G2351" s="8" t="str">
        <f t="shared" si="437"/>
        <v>Y</v>
      </c>
      <c r="H2351" s="8" t="str">
        <f t="shared" si="438"/>
        <v>Upper</v>
      </c>
      <c r="I2351" s="8" t="str">
        <f t="shared" si="439"/>
        <v>West Fork and Below Lake</v>
      </c>
      <c r="J2351" s="8" t="str">
        <f t="shared" si="440"/>
        <v>Mendocino (d/s of lake)</v>
      </c>
      <c r="K2351" s="8" t="str">
        <f t="shared" si="441"/>
        <v>Riparian</v>
      </c>
      <c r="L2351" s="8">
        <f t="shared" si="442"/>
        <v>1000</v>
      </c>
      <c r="M2351" s="8" t="str">
        <f t="shared" si="444"/>
        <v>-</v>
      </c>
      <c r="N2351" s="10" t="s">
        <v>242</v>
      </c>
      <c r="O2351" s="10" t="s">
        <v>241</v>
      </c>
      <c r="P2351" s="10" t="s">
        <v>242</v>
      </c>
      <c r="Q2351" s="10" t="s">
        <v>242</v>
      </c>
      <c r="R2351" s="10" t="s">
        <v>242</v>
      </c>
      <c r="S2351" s="10" t="s">
        <v>241</v>
      </c>
      <c r="T2351" s="10" t="s">
        <v>242</v>
      </c>
      <c r="U2351" s="10" t="s">
        <v>242</v>
      </c>
      <c r="V2351" s="10" t="s">
        <v>242</v>
      </c>
      <c r="W2351" s="10" t="s">
        <v>242</v>
      </c>
      <c r="X2351" s="15">
        <f>IF(ISERROR(VLOOKUP($A2351,'13. Updated Demand'!A:Z,15,FALSE)),0,VLOOKUP($A2351,'13. Updated Demand'!A:Z,15,FALSE))</f>
        <v>0.75</v>
      </c>
      <c r="Y2351" s="16">
        <f>IF(ISERROR(VLOOKUP($A2351,'13. Updated Demand'!A:Z,16,FALSE)),0,VLOOKUP($A2351,'13. Updated Demand'!A:Z,16,FALSE))</f>
        <v>0.75</v>
      </c>
      <c r="Z2351" s="16">
        <f>IF(ISERROR(VLOOKUP($A2351,'13. Updated Demand'!A:Z,17,FALSE)),0,VLOOKUP($A2351,'13. Updated Demand'!A:Z,17,FALSE))</f>
        <v>0.75</v>
      </c>
      <c r="AA2351" s="16">
        <f>IF(ISERROR(VLOOKUP($A2351,'13. Updated Demand'!A:Z,18,FALSE)),0,VLOOKUP($A2351,'13. Updated Demand'!A:Z,18,FALSE))</f>
        <v>0.06</v>
      </c>
      <c r="AB2351" s="16">
        <f>IF(ISERROR(VLOOKUP($A2351,'13. Updated Demand'!A:Z,19,FALSE)),0,VLOOKUP($A2351,'13. Updated Demand'!A:Z,19,FALSE))</f>
        <v>0.06</v>
      </c>
      <c r="AC2351" s="16">
        <f>IF(ISERROR(VLOOKUP($A2351,'13. Updated Demand'!A:Z,20,FALSE)),0,VLOOKUP($A2351,'13. Updated Demand'!A:Z,20,FALSE))</f>
        <v>0.06</v>
      </c>
      <c r="AD2351" s="16">
        <f>IF(ISERROR(VLOOKUP($A2351,'13. Updated Demand'!A:Z,21,FALSE)),0,VLOOKUP($A2351,'13. Updated Demand'!A:Z,21,FALSE))</f>
        <v>0.06</v>
      </c>
      <c r="AE2351" s="16">
        <f>IF(ISERROR(VLOOKUP($A2351,'13. Updated Demand'!A:Z,22,FALSE)),0,VLOOKUP($A2351,'13. Updated Demand'!A:Z,22,FALSE))</f>
        <v>0.06</v>
      </c>
      <c r="AF2351" s="16">
        <f>IF(ISERROR(VLOOKUP($A2351,'13. Updated Demand'!A:Z,23,FALSE)),0,VLOOKUP($A2351,'13. Updated Demand'!A:Z,23,FALSE))</f>
        <v>0.06</v>
      </c>
      <c r="AG2351" s="16">
        <f>IF(ISERROR(VLOOKUP($A2351,'13. Updated Demand'!A:Z,24,FALSE)),0,VLOOKUP($A2351,'13. Updated Demand'!A:Z,24,FALSE))</f>
        <v>0.06</v>
      </c>
      <c r="AH2351" s="16">
        <f>IF(ISERROR(VLOOKUP($A2351,'13. Updated Demand'!A:Z,25,FALSE)),0,VLOOKUP($A2351,'13. Updated Demand'!A:Z,25,FALSE))</f>
        <v>0</v>
      </c>
      <c r="AI2351" s="16">
        <f>IF(ISERROR(VLOOKUP($A2351,'13. Updated Demand'!A:Z,26,FALSE)),0,VLOOKUP($A2351,'13. Updated Demand'!A:Z,26,FALSE))</f>
        <v>0.75</v>
      </c>
      <c r="AJ2351" s="16">
        <f t="shared" si="445"/>
        <v>3.4200000000000004</v>
      </c>
      <c r="AK2351" s="19">
        <v>0.306666665</v>
      </c>
      <c r="AL2351" s="16">
        <f t="shared" si="443"/>
        <v>1.017178395189146E-3</v>
      </c>
      <c r="AM2351" s="26">
        <v>20.571885608878222</v>
      </c>
      <c r="AN2351" s="19">
        <v>0.16669999999999999</v>
      </c>
      <c r="AO2351" s="19" t="s">
        <v>1758</v>
      </c>
      <c r="AP2351" s="19">
        <v>0</v>
      </c>
      <c r="AQ2351" s="19" t="s">
        <v>307</v>
      </c>
      <c r="AR2351" s="9" t="s">
        <v>319</v>
      </c>
      <c r="AS2351" s="12">
        <v>0</v>
      </c>
      <c r="AT2351" s="19">
        <v>39.003796999999999</v>
      </c>
      <c r="AU2351" s="19">
        <v>-123.15563899999999</v>
      </c>
      <c r="AV2351" s="19" t="s">
        <v>1788</v>
      </c>
    </row>
    <row r="2352" spans="1:48" x14ac:dyDescent="0.25">
      <c r="A2352" s="18" t="s">
        <v>2826</v>
      </c>
      <c r="B2352" s="10">
        <v>10000000</v>
      </c>
      <c r="C2352" s="9">
        <v>6</v>
      </c>
      <c r="D2352" s="8" t="str">
        <f t="shared" si="434"/>
        <v>Y</v>
      </c>
      <c r="E2352" s="8" t="str">
        <f t="shared" si="435"/>
        <v>N</v>
      </c>
      <c r="F2352" s="8" t="str">
        <f t="shared" si="436"/>
        <v>Y</v>
      </c>
      <c r="G2352" s="8" t="str">
        <f t="shared" si="437"/>
        <v>Y</v>
      </c>
      <c r="H2352" s="8" t="str">
        <f t="shared" si="438"/>
        <v>Upper</v>
      </c>
      <c r="I2352" s="8" t="str">
        <f t="shared" si="439"/>
        <v>West Fork and Below Lake</v>
      </c>
      <c r="J2352" s="8" t="str">
        <f t="shared" si="440"/>
        <v>Mendocino (d/s of lake)</v>
      </c>
      <c r="K2352" s="8" t="str">
        <f t="shared" si="441"/>
        <v>Riparian</v>
      </c>
      <c r="L2352" s="8">
        <f t="shared" si="442"/>
        <v>1000</v>
      </c>
      <c r="M2352" s="8" t="str">
        <f t="shared" si="444"/>
        <v>-</v>
      </c>
      <c r="N2352" s="10" t="s">
        <v>242</v>
      </c>
      <c r="O2352" s="10" t="s">
        <v>241</v>
      </c>
      <c r="P2352" s="10" t="s">
        <v>242</v>
      </c>
      <c r="Q2352" s="10" t="s">
        <v>242</v>
      </c>
      <c r="R2352" s="10" t="s">
        <v>242</v>
      </c>
      <c r="S2352" s="10" t="s">
        <v>241</v>
      </c>
      <c r="T2352" s="10" t="s">
        <v>242</v>
      </c>
      <c r="U2352" s="10" t="s">
        <v>242</v>
      </c>
      <c r="V2352" s="10" t="s">
        <v>242</v>
      </c>
      <c r="W2352" s="10" t="s">
        <v>242</v>
      </c>
      <c r="X2352" s="15">
        <f>IF(ISERROR(VLOOKUP($A2352,'13. Updated Demand'!A:Z,15,FALSE)),0,VLOOKUP($A2352,'13. Updated Demand'!A:Z,15,FALSE))</f>
        <v>0.03</v>
      </c>
      <c r="Y2352" s="16">
        <f>IF(ISERROR(VLOOKUP($A2352,'13. Updated Demand'!A:Z,16,FALSE)),0,VLOOKUP($A2352,'13. Updated Demand'!A:Z,16,FALSE))</f>
        <v>0.03</v>
      </c>
      <c r="Z2352" s="16">
        <f>IF(ISERROR(VLOOKUP($A2352,'13. Updated Demand'!A:Z,17,FALSE)),0,VLOOKUP($A2352,'13. Updated Demand'!A:Z,17,FALSE))</f>
        <v>0.03</v>
      </c>
      <c r="AA2352" s="16">
        <f>IF(ISERROR(VLOOKUP($A2352,'13. Updated Demand'!A:Z,18,FALSE)),0,VLOOKUP($A2352,'13. Updated Demand'!A:Z,18,FALSE))</f>
        <v>0.03</v>
      </c>
      <c r="AB2352" s="16">
        <f>IF(ISERROR(VLOOKUP($A2352,'13. Updated Demand'!A:Z,19,FALSE)),0,VLOOKUP($A2352,'13. Updated Demand'!A:Z,19,FALSE))</f>
        <v>0.03</v>
      </c>
      <c r="AC2352" s="16">
        <f>IF(ISERROR(VLOOKUP($A2352,'13. Updated Demand'!A:Z,20,FALSE)),0,VLOOKUP($A2352,'13. Updated Demand'!A:Z,20,FALSE))</f>
        <v>0.03</v>
      </c>
      <c r="AD2352" s="16">
        <f>IF(ISERROR(VLOOKUP($A2352,'13. Updated Demand'!A:Z,21,FALSE)),0,VLOOKUP($A2352,'13. Updated Demand'!A:Z,21,FALSE))</f>
        <v>0.03</v>
      </c>
      <c r="AE2352" s="16">
        <f>IF(ISERROR(VLOOKUP($A2352,'13. Updated Demand'!A:Z,22,FALSE)),0,VLOOKUP($A2352,'13. Updated Demand'!A:Z,22,FALSE))</f>
        <v>0.03</v>
      </c>
      <c r="AF2352" s="16">
        <f>IF(ISERROR(VLOOKUP($A2352,'13. Updated Demand'!A:Z,23,FALSE)),0,VLOOKUP($A2352,'13. Updated Demand'!A:Z,23,FALSE))</f>
        <v>0.03</v>
      </c>
      <c r="AG2352" s="16">
        <f>IF(ISERROR(VLOOKUP($A2352,'13. Updated Demand'!A:Z,24,FALSE)),0,VLOOKUP($A2352,'13. Updated Demand'!A:Z,24,FALSE))</f>
        <v>0.03</v>
      </c>
      <c r="AH2352" s="16">
        <f>IF(ISERROR(VLOOKUP($A2352,'13. Updated Demand'!A:Z,25,FALSE)),0,VLOOKUP($A2352,'13. Updated Demand'!A:Z,25,FALSE))</f>
        <v>0.03</v>
      </c>
      <c r="AI2352" s="16">
        <f>IF(ISERROR(VLOOKUP($A2352,'13. Updated Demand'!A:Z,26,FALSE)),0,VLOOKUP($A2352,'13. Updated Demand'!A:Z,26,FALSE))</f>
        <v>0.03</v>
      </c>
      <c r="AJ2352" s="16">
        <f t="shared" si="445"/>
        <v>0.3600000000000001</v>
      </c>
      <c r="AK2352" s="19">
        <v>0.16866666499999999</v>
      </c>
      <c r="AL2352" s="16">
        <f t="shared" si="443"/>
        <v>5.5944811486636559E-4</v>
      </c>
      <c r="AM2352" s="26">
        <v>5.1111110606060592E-2</v>
      </c>
      <c r="AN2352" s="19">
        <v>7.92</v>
      </c>
      <c r="AO2352" s="19" t="s">
        <v>1758</v>
      </c>
      <c r="AP2352" s="19">
        <v>0</v>
      </c>
      <c r="AQ2352" s="19" t="s">
        <v>307</v>
      </c>
      <c r="AR2352" s="9" t="s">
        <v>319</v>
      </c>
      <c r="AS2352" s="12">
        <v>3.4039024194010059E-4</v>
      </c>
      <c r="AT2352" s="19">
        <v>39.004519000000002</v>
      </c>
      <c r="AU2352" s="19">
        <v>-123.155573</v>
      </c>
      <c r="AV2352" s="19" t="s">
        <v>2827</v>
      </c>
    </row>
    <row r="2353" spans="1:48" x14ac:dyDescent="0.25">
      <c r="A2353" s="18" t="s">
        <v>2828</v>
      </c>
      <c r="B2353" s="10">
        <v>10000000</v>
      </c>
      <c r="C2353" s="9">
        <v>6</v>
      </c>
      <c r="D2353" s="8" t="str">
        <f t="shared" si="434"/>
        <v>Y</v>
      </c>
      <c r="E2353" s="8" t="str">
        <f t="shared" si="435"/>
        <v>N</v>
      </c>
      <c r="F2353" s="8" t="str">
        <f t="shared" si="436"/>
        <v>Y</v>
      </c>
      <c r="G2353" s="8" t="str">
        <f t="shared" si="437"/>
        <v>Y</v>
      </c>
      <c r="H2353" s="8" t="str">
        <f t="shared" si="438"/>
        <v>Upper</v>
      </c>
      <c r="I2353" s="8" t="str">
        <f t="shared" si="439"/>
        <v>West Fork and Below Lake</v>
      </c>
      <c r="J2353" s="8" t="str">
        <f t="shared" si="440"/>
        <v>Mendocino (d/s of lake)</v>
      </c>
      <c r="K2353" s="8" t="str">
        <f t="shared" si="441"/>
        <v>Riparian</v>
      </c>
      <c r="L2353" s="8">
        <f t="shared" si="442"/>
        <v>1000</v>
      </c>
      <c r="M2353" s="8" t="str">
        <f t="shared" si="444"/>
        <v>-</v>
      </c>
      <c r="N2353" s="10" t="s">
        <v>242</v>
      </c>
      <c r="O2353" s="10" t="s">
        <v>241</v>
      </c>
      <c r="P2353" s="10" t="s">
        <v>242</v>
      </c>
      <c r="Q2353" s="10" t="s">
        <v>242</v>
      </c>
      <c r="R2353" s="10" t="s">
        <v>242</v>
      </c>
      <c r="S2353" s="10" t="s">
        <v>241</v>
      </c>
      <c r="T2353" s="10" t="s">
        <v>242</v>
      </c>
      <c r="U2353" s="10" t="s">
        <v>242</v>
      </c>
      <c r="V2353" s="10" t="s">
        <v>242</v>
      </c>
      <c r="W2353" s="10" t="s">
        <v>242</v>
      </c>
      <c r="X2353" s="15">
        <f>IF(ISERROR(VLOOKUP($A2353,'13. Updated Demand'!A:Z,15,FALSE)),0,VLOOKUP($A2353,'13. Updated Demand'!A:Z,15,FALSE))</f>
        <v>0.02</v>
      </c>
      <c r="Y2353" s="16">
        <f>IF(ISERROR(VLOOKUP($A2353,'13. Updated Demand'!A:Z,16,FALSE)),0,VLOOKUP($A2353,'13. Updated Demand'!A:Z,16,FALSE))</f>
        <v>0.02</v>
      </c>
      <c r="Z2353" s="16">
        <f>IF(ISERROR(VLOOKUP($A2353,'13. Updated Demand'!A:Z,17,FALSE)),0,VLOOKUP($A2353,'13. Updated Demand'!A:Z,17,FALSE))</f>
        <v>0.02</v>
      </c>
      <c r="AA2353" s="16">
        <f>IF(ISERROR(VLOOKUP($A2353,'13. Updated Demand'!A:Z,18,FALSE)),0,VLOOKUP($A2353,'13. Updated Demand'!A:Z,18,FALSE))</f>
        <v>0.02</v>
      </c>
      <c r="AB2353" s="16">
        <f>IF(ISERROR(VLOOKUP($A2353,'13. Updated Demand'!A:Z,19,FALSE)),0,VLOOKUP($A2353,'13. Updated Demand'!A:Z,19,FALSE))</f>
        <v>0.02</v>
      </c>
      <c r="AC2353" s="16">
        <f>IF(ISERROR(VLOOKUP($A2353,'13. Updated Demand'!A:Z,20,FALSE)),0,VLOOKUP($A2353,'13. Updated Demand'!A:Z,20,FALSE))</f>
        <v>0.02</v>
      </c>
      <c r="AD2353" s="16">
        <f>IF(ISERROR(VLOOKUP($A2353,'13. Updated Demand'!A:Z,21,FALSE)),0,VLOOKUP($A2353,'13. Updated Demand'!A:Z,21,FALSE))</f>
        <v>0.02</v>
      </c>
      <c r="AE2353" s="16">
        <f>IF(ISERROR(VLOOKUP($A2353,'13. Updated Demand'!A:Z,22,FALSE)),0,VLOOKUP($A2353,'13. Updated Demand'!A:Z,22,FALSE))</f>
        <v>0.02</v>
      </c>
      <c r="AF2353" s="16">
        <f>IF(ISERROR(VLOOKUP($A2353,'13. Updated Demand'!A:Z,23,FALSE)),0,VLOOKUP($A2353,'13. Updated Demand'!A:Z,23,FALSE))</f>
        <v>0.02</v>
      </c>
      <c r="AG2353" s="16">
        <f>IF(ISERROR(VLOOKUP($A2353,'13. Updated Demand'!A:Z,24,FALSE)),0,VLOOKUP($A2353,'13. Updated Demand'!A:Z,24,FALSE))</f>
        <v>0.02</v>
      </c>
      <c r="AH2353" s="16">
        <f>IF(ISERROR(VLOOKUP($A2353,'13. Updated Demand'!A:Z,25,FALSE)),0,VLOOKUP($A2353,'13. Updated Demand'!A:Z,25,FALSE))</f>
        <v>0.02</v>
      </c>
      <c r="AI2353" s="16">
        <f>IF(ISERROR(VLOOKUP($A2353,'13. Updated Demand'!A:Z,26,FALSE)),0,VLOOKUP($A2353,'13. Updated Demand'!A:Z,26,FALSE))</f>
        <v>0.02</v>
      </c>
      <c r="AJ2353" s="16">
        <f t="shared" si="445"/>
        <v>0.23999999999999996</v>
      </c>
      <c r="AK2353" s="19">
        <v>0.12266666500000001</v>
      </c>
      <c r="AL2353" s="16">
        <f t="shared" si="443"/>
        <v>4.0687135475877227E-4</v>
      </c>
      <c r="AM2353" s="26">
        <v>0.88835243210621595</v>
      </c>
      <c r="AN2353" s="19">
        <v>0.33139999999999997</v>
      </c>
      <c r="AO2353" s="19" t="s">
        <v>1758</v>
      </c>
      <c r="AP2353" s="19">
        <v>0</v>
      </c>
      <c r="AQ2353" s="19" t="s">
        <v>307</v>
      </c>
      <c r="AR2353" s="9" t="s">
        <v>319</v>
      </c>
      <c r="AS2353" s="12">
        <v>3.4039024194010059E-4</v>
      </c>
      <c r="AT2353" s="19">
        <v>39.001387999999999</v>
      </c>
      <c r="AU2353" s="19">
        <v>-123.158976</v>
      </c>
      <c r="AV2353" s="19" t="s">
        <v>2791</v>
      </c>
    </row>
    <row r="2354" spans="1:48" x14ac:dyDescent="0.25">
      <c r="A2354" s="18" t="s">
        <v>2829</v>
      </c>
      <c r="B2354" s="10">
        <v>10000000</v>
      </c>
      <c r="C2354" s="9">
        <v>6</v>
      </c>
      <c r="D2354" s="8" t="str">
        <f t="shared" si="434"/>
        <v>Y</v>
      </c>
      <c r="E2354" s="8" t="str">
        <f t="shared" si="435"/>
        <v>N</v>
      </c>
      <c r="F2354" s="8" t="str">
        <f t="shared" si="436"/>
        <v>Y</v>
      </c>
      <c r="G2354" s="8" t="str">
        <f t="shared" si="437"/>
        <v>Y</v>
      </c>
      <c r="H2354" s="8" t="str">
        <f t="shared" si="438"/>
        <v>Upper</v>
      </c>
      <c r="I2354" s="8" t="str">
        <f t="shared" si="439"/>
        <v>West Fork and Below Lake</v>
      </c>
      <c r="J2354" s="8" t="str">
        <f t="shared" si="440"/>
        <v>Mendocino (d/s of lake)</v>
      </c>
      <c r="K2354" s="8" t="str">
        <f t="shared" si="441"/>
        <v>Riparian</v>
      </c>
      <c r="L2354" s="8">
        <f t="shared" si="442"/>
        <v>1000</v>
      </c>
      <c r="M2354" s="8" t="str">
        <f t="shared" si="444"/>
        <v>-</v>
      </c>
      <c r="N2354" s="10" t="s">
        <v>242</v>
      </c>
      <c r="O2354" s="10" t="s">
        <v>241</v>
      </c>
      <c r="P2354" s="10" t="s">
        <v>242</v>
      </c>
      <c r="Q2354" s="10" t="s">
        <v>242</v>
      </c>
      <c r="R2354" s="10" t="s">
        <v>242</v>
      </c>
      <c r="S2354" s="10" t="s">
        <v>241</v>
      </c>
      <c r="T2354" s="10" t="s">
        <v>242</v>
      </c>
      <c r="U2354" s="10" t="s">
        <v>242</v>
      </c>
      <c r="V2354" s="10" t="s">
        <v>242</v>
      </c>
      <c r="W2354" s="10" t="s">
        <v>242</v>
      </c>
      <c r="X2354" s="15">
        <f>IF(ISERROR(VLOOKUP($A2354,'13. Updated Demand'!A:Z,15,FALSE)),0,VLOOKUP($A2354,'13. Updated Demand'!A:Z,15,FALSE))</f>
        <v>0.01</v>
      </c>
      <c r="Y2354" s="16">
        <f>IF(ISERROR(VLOOKUP($A2354,'13. Updated Demand'!A:Z,16,FALSE)),0,VLOOKUP($A2354,'13. Updated Demand'!A:Z,16,FALSE))</f>
        <v>0.01</v>
      </c>
      <c r="Z2354" s="16">
        <f>IF(ISERROR(VLOOKUP($A2354,'13. Updated Demand'!A:Z,17,FALSE)),0,VLOOKUP($A2354,'13. Updated Demand'!A:Z,17,FALSE))</f>
        <v>0</v>
      </c>
      <c r="AA2354" s="16">
        <f>IF(ISERROR(VLOOKUP($A2354,'13. Updated Demand'!A:Z,18,FALSE)),0,VLOOKUP($A2354,'13. Updated Demand'!A:Z,18,FALSE))</f>
        <v>0</v>
      </c>
      <c r="AB2354" s="16">
        <f>IF(ISERROR(VLOOKUP($A2354,'13. Updated Demand'!A:Z,19,FALSE)),0,VLOOKUP($A2354,'13. Updated Demand'!A:Z,19,FALSE))</f>
        <v>0.05</v>
      </c>
      <c r="AC2354" s="16">
        <f>IF(ISERROR(VLOOKUP($A2354,'13. Updated Demand'!A:Z,20,FALSE)),0,VLOOKUP($A2354,'13. Updated Demand'!A:Z,20,FALSE))</f>
        <v>0.05</v>
      </c>
      <c r="AD2354" s="16">
        <f>IF(ISERROR(VLOOKUP($A2354,'13. Updated Demand'!A:Z,21,FALSE)),0,VLOOKUP($A2354,'13. Updated Demand'!A:Z,21,FALSE))</f>
        <v>0.05</v>
      </c>
      <c r="AE2354" s="16">
        <f>IF(ISERROR(VLOOKUP($A2354,'13. Updated Demand'!A:Z,22,FALSE)),0,VLOOKUP($A2354,'13. Updated Demand'!A:Z,22,FALSE))</f>
        <v>0.05</v>
      </c>
      <c r="AF2354" s="16">
        <f>IF(ISERROR(VLOOKUP($A2354,'13. Updated Demand'!A:Z,23,FALSE)),0,VLOOKUP($A2354,'13. Updated Demand'!A:Z,23,FALSE))</f>
        <v>0.05</v>
      </c>
      <c r="AG2354" s="16">
        <f>IF(ISERROR(VLOOKUP($A2354,'13. Updated Demand'!A:Z,24,FALSE)),0,VLOOKUP($A2354,'13. Updated Demand'!A:Z,24,FALSE))</f>
        <v>7.0000000000000007E-2</v>
      </c>
      <c r="AH2354" s="16">
        <f>IF(ISERROR(VLOOKUP($A2354,'13. Updated Demand'!A:Z,25,FALSE)),0,VLOOKUP($A2354,'13. Updated Demand'!A:Z,25,FALSE))</f>
        <v>0.01</v>
      </c>
      <c r="AI2354" s="16">
        <f>IF(ISERROR(VLOOKUP($A2354,'13. Updated Demand'!A:Z,26,FALSE)),0,VLOOKUP($A2354,'13. Updated Demand'!A:Z,26,FALSE))</f>
        <v>0.01</v>
      </c>
      <c r="AJ2354" s="16">
        <f t="shared" si="445"/>
        <v>0.36000000000000004</v>
      </c>
      <c r="AK2354" s="19">
        <v>0.29166666499999999</v>
      </c>
      <c r="AL2354" s="16">
        <f t="shared" si="443"/>
        <v>9.6742510384971339E-4</v>
      </c>
      <c r="AM2354" s="26">
        <v>0.7183908</v>
      </c>
      <c r="AN2354" s="19">
        <v>0.57999999999999996</v>
      </c>
      <c r="AO2354" s="19" t="s">
        <v>1758</v>
      </c>
      <c r="AP2354" s="19">
        <v>0</v>
      </c>
      <c r="AQ2354" s="19" t="s">
        <v>307</v>
      </c>
      <c r="AR2354" s="9" t="s">
        <v>319</v>
      </c>
      <c r="AS2354" s="12">
        <v>0</v>
      </c>
      <c r="AT2354" s="19">
        <v>39.001207999999998</v>
      </c>
      <c r="AU2354" s="19">
        <v>-123.158771</v>
      </c>
      <c r="AV2354" s="19" t="s">
        <v>1788</v>
      </c>
    </row>
    <row r="2355" spans="1:48" x14ac:dyDescent="0.25">
      <c r="A2355" s="18" t="s">
        <v>2830</v>
      </c>
      <c r="B2355" s="10">
        <v>10000000</v>
      </c>
      <c r="C2355" s="9">
        <v>2</v>
      </c>
      <c r="D2355" s="8" t="str">
        <f t="shared" si="434"/>
        <v>N</v>
      </c>
      <c r="E2355" s="8" t="str">
        <f t="shared" si="435"/>
        <v>N</v>
      </c>
      <c r="F2355" s="8" t="str">
        <f t="shared" si="436"/>
        <v>Y</v>
      </c>
      <c r="G2355" s="8" t="str">
        <f t="shared" si="437"/>
        <v>N</v>
      </c>
      <c r="H2355" s="8" t="str">
        <f t="shared" si="438"/>
        <v>Upper</v>
      </c>
      <c r="I2355" s="8" t="str">
        <f t="shared" si="439"/>
        <v>Outside</v>
      </c>
      <c r="J2355" s="8" t="str">
        <f t="shared" si="440"/>
        <v>Outside</v>
      </c>
      <c r="K2355" s="8" t="str">
        <f t="shared" si="441"/>
        <v>Riparian</v>
      </c>
      <c r="L2355" s="8">
        <f t="shared" si="442"/>
        <v>1000</v>
      </c>
      <c r="M2355" s="8" t="str">
        <f t="shared" si="444"/>
        <v>-</v>
      </c>
      <c r="N2355" s="10" t="s">
        <v>242</v>
      </c>
      <c r="O2355" s="10" t="s">
        <v>241</v>
      </c>
      <c r="P2355" s="10" t="s">
        <v>242</v>
      </c>
      <c r="Q2355" s="10" t="s">
        <v>242</v>
      </c>
      <c r="R2355" s="10" t="s">
        <v>242</v>
      </c>
      <c r="S2355" s="10" t="s">
        <v>241</v>
      </c>
      <c r="T2355" s="10" t="s">
        <v>241</v>
      </c>
      <c r="U2355" s="10" t="s">
        <v>241</v>
      </c>
      <c r="V2355" s="10" t="s">
        <v>241</v>
      </c>
      <c r="W2355" s="10" t="s">
        <v>242</v>
      </c>
      <c r="X2355" s="15">
        <f>IF(ISERROR(VLOOKUP($A2355,'13. Updated Demand'!A:Z,15,FALSE)),0,VLOOKUP($A2355,'13. Updated Demand'!A:Z,15,FALSE))</f>
        <v>0</v>
      </c>
      <c r="Y2355" s="16">
        <f>IF(ISERROR(VLOOKUP($A2355,'13. Updated Demand'!A:Z,16,FALSE)),0,VLOOKUP($A2355,'13. Updated Demand'!A:Z,16,FALSE))</f>
        <v>0</v>
      </c>
      <c r="Z2355" s="16">
        <f>IF(ISERROR(VLOOKUP($A2355,'13. Updated Demand'!A:Z,17,FALSE)),0,VLOOKUP($A2355,'13. Updated Demand'!A:Z,17,FALSE))</f>
        <v>0</v>
      </c>
      <c r="AA2355" s="16">
        <f>IF(ISERROR(VLOOKUP($A2355,'13. Updated Demand'!A:Z,18,FALSE)),0,VLOOKUP($A2355,'13. Updated Demand'!A:Z,18,FALSE))</f>
        <v>0</v>
      </c>
      <c r="AB2355" s="16">
        <f>IF(ISERROR(VLOOKUP($A2355,'13. Updated Demand'!A:Z,19,FALSE)),0,VLOOKUP($A2355,'13. Updated Demand'!A:Z,19,FALSE))</f>
        <v>0</v>
      </c>
      <c r="AC2355" s="16">
        <f>IF(ISERROR(VLOOKUP($A2355,'13. Updated Demand'!A:Z,20,FALSE)),0,VLOOKUP($A2355,'13. Updated Demand'!A:Z,20,FALSE))</f>
        <v>0</v>
      </c>
      <c r="AD2355" s="16">
        <f>IF(ISERROR(VLOOKUP($A2355,'13. Updated Demand'!A:Z,21,FALSE)),0,VLOOKUP($A2355,'13. Updated Demand'!A:Z,21,FALSE))</f>
        <v>0</v>
      </c>
      <c r="AE2355" s="16">
        <f>IF(ISERROR(VLOOKUP($A2355,'13. Updated Demand'!A:Z,22,FALSE)),0,VLOOKUP($A2355,'13. Updated Demand'!A:Z,22,FALSE))</f>
        <v>0</v>
      </c>
      <c r="AF2355" s="16">
        <f>IF(ISERROR(VLOOKUP($A2355,'13. Updated Demand'!A:Z,23,FALSE)),0,VLOOKUP($A2355,'13. Updated Demand'!A:Z,23,FALSE))</f>
        <v>0</v>
      </c>
      <c r="AG2355" s="16">
        <f>IF(ISERROR(VLOOKUP($A2355,'13. Updated Demand'!A:Z,24,FALSE)),0,VLOOKUP($A2355,'13. Updated Demand'!A:Z,24,FALSE))</f>
        <v>0</v>
      </c>
      <c r="AH2355" s="16">
        <f>IF(ISERROR(VLOOKUP($A2355,'13. Updated Demand'!A:Z,25,FALSE)),0,VLOOKUP($A2355,'13. Updated Demand'!A:Z,25,FALSE))</f>
        <v>0</v>
      </c>
      <c r="AI2355" s="16">
        <f>IF(ISERROR(VLOOKUP($A2355,'13. Updated Demand'!A:Z,26,FALSE)),0,VLOOKUP($A2355,'13. Updated Demand'!A:Z,26,FALSE))</f>
        <v>0</v>
      </c>
      <c r="AJ2355" s="16">
        <f t="shared" si="445"/>
        <v>0</v>
      </c>
      <c r="AK2355" s="19">
        <v>0</v>
      </c>
      <c r="AL2355" s="16">
        <f t="shared" si="443"/>
        <v>0</v>
      </c>
      <c r="AM2355" s="26">
        <v>0</v>
      </c>
      <c r="AN2355" s="19"/>
      <c r="AO2355" s="19"/>
      <c r="AP2355" s="19">
        <v>0</v>
      </c>
      <c r="AQ2355" s="19" t="s">
        <v>307</v>
      </c>
      <c r="AR2355" s="9" t="s">
        <v>348</v>
      </c>
      <c r="AS2355" s="12">
        <v>0</v>
      </c>
      <c r="AT2355" s="19">
        <v>39.32755556</v>
      </c>
      <c r="AU2355" s="19">
        <v>-123.11661389</v>
      </c>
      <c r="AV2355" s="19" t="s">
        <v>2831</v>
      </c>
    </row>
    <row r="2356" spans="1:48" x14ac:dyDescent="0.25">
      <c r="A2356" s="18" t="s">
        <v>2832</v>
      </c>
      <c r="B2356" s="10">
        <v>10000000</v>
      </c>
      <c r="C2356" s="9">
        <v>6</v>
      </c>
      <c r="D2356" s="8" t="str">
        <f t="shared" si="434"/>
        <v>Y</v>
      </c>
      <c r="E2356" s="8" t="str">
        <f t="shared" si="435"/>
        <v>N</v>
      </c>
      <c r="F2356" s="8" t="str">
        <f t="shared" si="436"/>
        <v>Y</v>
      </c>
      <c r="G2356" s="8" t="str">
        <f t="shared" si="437"/>
        <v>Y</v>
      </c>
      <c r="H2356" s="8" t="str">
        <f t="shared" si="438"/>
        <v>Upper</v>
      </c>
      <c r="I2356" s="8" t="str">
        <f t="shared" si="439"/>
        <v>West Fork and Below Lake</v>
      </c>
      <c r="J2356" s="8" t="str">
        <f t="shared" si="440"/>
        <v>Mendocino (d/s of lake)</v>
      </c>
      <c r="K2356" s="8" t="str">
        <f t="shared" si="441"/>
        <v>Riparian</v>
      </c>
      <c r="L2356" s="8">
        <f t="shared" si="442"/>
        <v>1000</v>
      </c>
      <c r="M2356" s="8" t="str">
        <f t="shared" si="444"/>
        <v>-</v>
      </c>
      <c r="N2356" s="10" t="s">
        <v>242</v>
      </c>
      <c r="O2356" s="10" t="s">
        <v>241</v>
      </c>
      <c r="P2356" s="10" t="s">
        <v>242</v>
      </c>
      <c r="Q2356" s="10" t="s">
        <v>242</v>
      </c>
      <c r="R2356" s="10" t="s">
        <v>242</v>
      </c>
      <c r="S2356" s="10" t="s">
        <v>241</v>
      </c>
      <c r="T2356" s="10" t="s">
        <v>242</v>
      </c>
      <c r="U2356" s="10" t="s">
        <v>242</v>
      </c>
      <c r="V2356" s="10" t="s">
        <v>242</v>
      </c>
      <c r="W2356" s="10" t="s">
        <v>242</v>
      </c>
      <c r="X2356" s="15">
        <f>IF(ISERROR(VLOOKUP($A2356,'13. Updated Demand'!A:Z,15,FALSE)),0,VLOOKUP($A2356,'13. Updated Demand'!A:Z,15,FALSE))</f>
        <v>0.02</v>
      </c>
      <c r="Y2356" s="16">
        <f>IF(ISERROR(VLOOKUP($A2356,'13. Updated Demand'!A:Z,16,FALSE)),0,VLOOKUP($A2356,'13. Updated Demand'!A:Z,16,FALSE))</f>
        <v>0.02</v>
      </c>
      <c r="Z2356" s="16">
        <f>IF(ISERROR(VLOOKUP($A2356,'13. Updated Demand'!A:Z,17,FALSE)),0,VLOOKUP($A2356,'13. Updated Demand'!A:Z,17,FALSE))</f>
        <v>0.03</v>
      </c>
      <c r="AA2356" s="16">
        <f>IF(ISERROR(VLOOKUP($A2356,'13. Updated Demand'!A:Z,18,FALSE)),0,VLOOKUP($A2356,'13. Updated Demand'!A:Z,18,FALSE))</f>
        <v>0.03</v>
      </c>
      <c r="AB2356" s="16">
        <f>IF(ISERROR(VLOOKUP($A2356,'13. Updated Demand'!A:Z,19,FALSE)),0,VLOOKUP($A2356,'13. Updated Demand'!A:Z,19,FALSE))</f>
        <v>0.03</v>
      </c>
      <c r="AC2356" s="16">
        <f>IF(ISERROR(VLOOKUP($A2356,'13. Updated Demand'!A:Z,20,FALSE)),0,VLOOKUP($A2356,'13. Updated Demand'!A:Z,20,FALSE))</f>
        <v>0.04</v>
      </c>
      <c r="AD2356" s="16">
        <f>IF(ISERROR(VLOOKUP($A2356,'13. Updated Demand'!A:Z,21,FALSE)),0,VLOOKUP($A2356,'13. Updated Demand'!A:Z,21,FALSE))</f>
        <v>0.03</v>
      </c>
      <c r="AE2356" s="16">
        <f>IF(ISERROR(VLOOKUP($A2356,'13. Updated Demand'!A:Z,22,FALSE)),0,VLOOKUP($A2356,'13. Updated Demand'!A:Z,22,FALSE))</f>
        <v>0.02</v>
      </c>
      <c r="AF2356" s="16">
        <f>IF(ISERROR(VLOOKUP($A2356,'13. Updated Demand'!A:Z,23,FALSE)),0,VLOOKUP($A2356,'13. Updated Demand'!A:Z,23,FALSE))</f>
        <v>0.02</v>
      </c>
      <c r="AG2356" s="16">
        <f>IF(ISERROR(VLOOKUP($A2356,'13. Updated Demand'!A:Z,24,FALSE)),0,VLOOKUP($A2356,'13. Updated Demand'!A:Z,24,FALSE))</f>
        <v>0.03</v>
      </c>
      <c r="AH2356" s="16">
        <f>IF(ISERROR(VLOOKUP($A2356,'13. Updated Demand'!A:Z,25,FALSE)),0,VLOOKUP($A2356,'13. Updated Demand'!A:Z,25,FALSE))</f>
        <v>0.02</v>
      </c>
      <c r="AI2356" s="16">
        <f>IF(ISERROR(VLOOKUP($A2356,'13. Updated Demand'!A:Z,26,FALSE)),0,VLOOKUP($A2356,'13. Updated Demand'!A:Z,26,FALSE))</f>
        <v>0.02</v>
      </c>
      <c r="AJ2356" s="16">
        <f t="shared" si="445"/>
        <v>0.31000000000000005</v>
      </c>
      <c r="AK2356" s="19">
        <v>0.1532</v>
      </c>
      <c r="AL2356" s="16">
        <f t="shared" si="443"/>
        <v>5.0814694888007197E-4</v>
      </c>
      <c r="AM2356" s="26">
        <v>0.9148791745859356</v>
      </c>
      <c r="AN2356" s="19">
        <v>0.36830000000000002</v>
      </c>
      <c r="AO2356" s="19" t="s">
        <v>1758</v>
      </c>
      <c r="AP2356" s="19">
        <v>0</v>
      </c>
      <c r="AQ2356" s="19" t="s">
        <v>307</v>
      </c>
      <c r="AR2356" s="9" t="s">
        <v>319</v>
      </c>
      <c r="AS2356" s="12">
        <v>3.4039024194010059E-4</v>
      </c>
      <c r="AT2356" s="19">
        <v>38.992673430000004</v>
      </c>
      <c r="AU2356" s="19">
        <v>-123.21487148</v>
      </c>
      <c r="AV2356" s="19" t="s">
        <v>362</v>
      </c>
    </row>
    <row r="2357" spans="1:48" x14ac:dyDescent="0.25">
      <c r="A2357" s="18" t="s">
        <v>2833</v>
      </c>
      <c r="B2357" s="10">
        <v>10000000</v>
      </c>
      <c r="C2357" s="9">
        <v>1</v>
      </c>
      <c r="D2357" s="8" t="str">
        <f t="shared" si="434"/>
        <v>N</v>
      </c>
      <c r="E2357" s="8" t="str">
        <f t="shared" si="435"/>
        <v>N</v>
      </c>
      <c r="F2357" s="8" t="str">
        <f t="shared" si="436"/>
        <v>Y</v>
      </c>
      <c r="G2357" s="8" t="str">
        <f t="shared" si="437"/>
        <v>Y</v>
      </c>
      <c r="H2357" s="8" t="str">
        <f t="shared" si="438"/>
        <v>Upper</v>
      </c>
      <c r="I2357" s="8" t="str">
        <f t="shared" si="439"/>
        <v>West Fork and Below Lake</v>
      </c>
      <c r="J2357" s="8" t="str">
        <f t="shared" si="440"/>
        <v>Outside</v>
      </c>
      <c r="K2357" s="8" t="str">
        <f t="shared" si="441"/>
        <v>Riparian</v>
      </c>
      <c r="L2357" s="8">
        <f t="shared" si="442"/>
        <v>1000</v>
      </c>
      <c r="M2357" s="8" t="str">
        <f t="shared" si="444"/>
        <v>-</v>
      </c>
      <c r="N2357" s="10" t="s">
        <v>242</v>
      </c>
      <c r="O2357" s="10" t="s">
        <v>241</v>
      </c>
      <c r="P2357" s="10" t="s">
        <v>242</v>
      </c>
      <c r="Q2357" s="10" t="s">
        <v>242</v>
      </c>
      <c r="R2357" s="10" t="s">
        <v>242</v>
      </c>
      <c r="S2357" s="10" t="s">
        <v>241</v>
      </c>
      <c r="T2357" s="10" t="s">
        <v>241</v>
      </c>
      <c r="U2357" s="10" t="s">
        <v>241</v>
      </c>
      <c r="V2357" s="10" t="s">
        <v>241</v>
      </c>
      <c r="W2357" s="10" t="s">
        <v>242</v>
      </c>
      <c r="X2357" s="15">
        <f>IF(ISERROR(VLOOKUP($A2357,'13. Updated Demand'!A:Z,15,FALSE)),0,VLOOKUP($A2357,'13. Updated Demand'!A:Z,15,FALSE))</f>
        <v>0</v>
      </c>
      <c r="Y2357" s="16">
        <f>IF(ISERROR(VLOOKUP($A2357,'13. Updated Demand'!A:Z,16,FALSE)),0,VLOOKUP($A2357,'13. Updated Demand'!A:Z,16,FALSE))</f>
        <v>0</v>
      </c>
      <c r="Z2357" s="16">
        <f>IF(ISERROR(VLOOKUP($A2357,'13. Updated Demand'!A:Z,17,FALSE)),0,VLOOKUP($A2357,'13. Updated Demand'!A:Z,17,FALSE))</f>
        <v>0</v>
      </c>
      <c r="AA2357" s="16">
        <f>IF(ISERROR(VLOOKUP($A2357,'13. Updated Demand'!A:Z,18,FALSE)),0,VLOOKUP($A2357,'13. Updated Demand'!A:Z,18,FALSE))</f>
        <v>0</v>
      </c>
      <c r="AB2357" s="16">
        <f>IF(ISERROR(VLOOKUP($A2357,'13. Updated Demand'!A:Z,19,FALSE)),0,VLOOKUP($A2357,'13. Updated Demand'!A:Z,19,FALSE))</f>
        <v>0</v>
      </c>
      <c r="AC2357" s="16">
        <f>IF(ISERROR(VLOOKUP($A2357,'13. Updated Demand'!A:Z,20,FALSE)),0,VLOOKUP($A2357,'13. Updated Demand'!A:Z,20,FALSE))</f>
        <v>0</v>
      </c>
      <c r="AD2357" s="16">
        <f>IF(ISERROR(VLOOKUP($A2357,'13. Updated Demand'!A:Z,21,FALSE)),0,VLOOKUP($A2357,'13. Updated Demand'!A:Z,21,FALSE))</f>
        <v>0</v>
      </c>
      <c r="AE2357" s="16">
        <f>IF(ISERROR(VLOOKUP($A2357,'13. Updated Demand'!A:Z,22,FALSE)),0,VLOOKUP($A2357,'13. Updated Demand'!A:Z,22,FALSE))</f>
        <v>0</v>
      </c>
      <c r="AF2357" s="16">
        <f>IF(ISERROR(VLOOKUP($A2357,'13. Updated Demand'!A:Z,23,FALSE)),0,VLOOKUP($A2357,'13. Updated Demand'!A:Z,23,FALSE))</f>
        <v>0</v>
      </c>
      <c r="AG2357" s="16">
        <f>IF(ISERROR(VLOOKUP($A2357,'13. Updated Demand'!A:Z,24,FALSE)),0,VLOOKUP($A2357,'13. Updated Demand'!A:Z,24,FALSE))</f>
        <v>0</v>
      </c>
      <c r="AH2357" s="16">
        <f>IF(ISERROR(VLOOKUP($A2357,'13. Updated Demand'!A:Z,25,FALSE)),0,VLOOKUP($A2357,'13. Updated Demand'!A:Z,25,FALSE))</f>
        <v>0</v>
      </c>
      <c r="AI2357" s="16">
        <f>IF(ISERROR(VLOOKUP($A2357,'13. Updated Demand'!A:Z,26,FALSE)),0,VLOOKUP($A2357,'13. Updated Demand'!A:Z,26,FALSE))</f>
        <v>0</v>
      </c>
      <c r="AJ2357" s="16">
        <f t="shared" si="445"/>
        <v>0</v>
      </c>
      <c r="AK2357" s="19">
        <v>0</v>
      </c>
      <c r="AL2357" s="16">
        <f t="shared" si="443"/>
        <v>0</v>
      </c>
      <c r="AM2357" s="26">
        <v>0</v>
      </c>
      <c r="AN2357" s="19">
        <v>0.58230000000000004</v>
      </c>
      <c r="AO2357" s="19" t="s">
        <v>1758</v>
      </c>
      <c r="AP2357" s="19">
        <v>0</v>
      </c>
      <c r="AQ2357" s="19" t="s">
        <v>307</v>
      </c>
      <c r="AR2357" s="9" t="s">
        <v>317</v>
      </c>
      <c r="AS2357" s="12">
        <v>3.4039024194010059E-4</v>
      </c>
      <c r="AT2357" s="19">
        <v>39.270389999999999</v>
      </c>
      <c r="AU2357" s="19">
        <v>-123.1983</v>
      </c>
      <c r="AV2357" s="19" t="s">
        <v>2782</v>
      </c>
    </row>
    <row r="2358" spans="1:48" x14ac:dyDescent="0.25">
      <c r="A2358" s="18" t="s">
        <v>2834</v>
      </c>
      <c r="B2358" s="10">
        <v>10000000</v>
      </c>
      <c r="C2358" s="9">
        <v>16</v>
      </c>
      <c r="D2358" s="8" t="str">
        <f t="shared" si="434"/>
        <v>N</v>
      </c>
      <c r="E2358" s="8" t="str">
        <f t="shared" si="435"/>
        <v>N</v>
      </c>
      <c r="F2358" s="8" t="str">
        <f t="shared" si="436"/>
        <v>N</v>
      </c>
      <c r="G2358" s="8" t="str">
        <f t="shared" si="437"/>
        <v>N</v>
      </c>
      <c r="H2358" s="8" t="str">
        <f t="shared" si="438"/>
        <v>Lower</v>
      </c>
      <c r="I2358" s="8" t="str">
        <f t="shared" si="439"/>
        <v>Outside</v>
      </c>
      <c r="J2358" s="8" t="str">
        <f t="shared" si="440"/>
        <v>Outside</v>
      </c>
      <c r="K2358" s="8" t="str">
        <f t="shared" si="441"/>
        <v>Riparian</v>
      </c>
      <c r="L2358" s="8">
        <f t="shared" si="442"/>
        <v>1000</v>
      </c>
      <c r="M2358" s="8" t="str">
        <f t="shared" si="444"/>
        <v>-</v>
      </c>
      <c r="N2358" s="10" t="s">
        <v>242</v>
      </c>
      <c r="O2358" s="10" t="s">
        <v>242</v>
      </c>
      <c r="P2358" s="10" t="s">
        <v>242</v>
      </c>
      <c r="Q2358" s="10" t="s">
        <v>242</v>
      </c>
      <c r="R2358" s="10" t="s">
        <v>242</v>
      </c>
      <c r="S2358" s="10" t="s">
        <v>241</v>
      </c>
      <c r="T2358" s="10" t="s">
        <v>242</v>
      </c>
      <c r="U2358" s="10" t="s">
        <v>242</v>
      </c>
      <c r="V2358" s="10" t="s">
        <v>242</v>
      </c>
      <c r="W2358" s="10" t="s">
        <v>242</v>
      </c>
      <c r="X2358" s="15">
        <f>IF(ISERROR(VLOOKUP($A2358,'13. Updated Demand'!A:Z,15,FALSE)),0,VLOOKUP($A2358,'13. Updated Demand'!A:Z,15,FALSE))</f>
        <v>0</v>
      </c>
      <c r="Y2358" s="16">
        <f>IF(ISERROR(VLOOKUP($A2358,'13. Updated Demand'!A:Z,16,FALSE)),0,VLOOKUP($A2358,'13. Updated Demand'!A:Z,16,FALSE))</f>
        <v>0</v>
      </c>
      <c r="Z2358" s="16">
        <f>IF(ISERROR(VLOOKUP($A2358,'13. Updated Demand'!A:Z,17,FALSE)),0,VLOOKUP($A2358,'13. Updated Demand'!A:Z,17,FALSE))</f>
        <v>3.1E-2</v>
      </c>
      <c r="AA2358" s="16">
        <f>IF(ISERROR(VLOOKUP($A2358,'13. Updated Demand'!A:Z,18,FALSE)),0,VLOOKUP($A2358,'13. Updated Demand'!A:Z,18,FALSE))</f>
        <v>3.1E-2</v>
      </c>
      <c r="AB2358" s="16">
        <f>IF(ISERROR(VLOOKUP($A2358,'13. Updated Demand'!A:Z,19,FALSE)),0,VLOOKUP($A2358,'13. Updated Demand'!A:Z,19,FALSE))</f>
        <v>3.1E-2</v>
      </c>
      <c r="AC2358" s="16">
        <f>IF(ISERROR(VLOOKUP($A2358,'13. Updated Demand'!A:Z,20,FALSE)),0,VLOOKUP($A2358,'13. Updated Demand'!A:Z,20,FALSE))</f>
        <v>3.1E-2</v>
      </c>
      <c r="AD2358" s="16">
        <f>IF(ISERROR(VLOOKUP($A2358,'13. Updated Demand'!A:Z,21,FALSE)),0,VLOOKUP($A2358,'13. Updated Demand'!A:Z,21,FALSE))</f>
        <v>3.1E-2</v>
      </c>
      <c r="AE2358" s="16">
        <f>IF(ISERROR(VLOOKUP($A2358,'13. Updated Demand'!A:Z,22,FALSE)),0,VLOOKUP($A2358,'13. Updated Demand'!A:Z,22,FALSE))</f>
        <v>0</v>
      </c>
      <c r="AF2358" s="16">
        <f>IF(ISERROR(VLOOKUP($A2358,'13. Updated Demand'!A:Z,23,FALSE)),0,VLOOKUP($A2358,'13. Updated Demand'!A:Z,23,FALSE))</f>
        <v>0</v>
      </c>
      <c r="AG2358" s="16">
        <f>IF(ISERROR(VLOOKUP($A2358,'13. Updated Demand'!A:Z,24,FALSE)),0,VLOOKUP($A2358,'13. Updated Demand'!A:Z,24,FALSE))</f>
        <v>0</v>
      </c>
      <c r="AH2358" s="16">
        <f>IF(ISERROR(VLOOKUP($A2358,'13. Updated Demand'!A:Z,25,FALSE)),0,VLOOKUP($A2358,'13. Updated Demand'!A:Z,25,FALSE))</f>
        <v>0</v>
      </c>
      <c r="AI2358" s="16">
        <f>IF(ISERROR(VLOOKUP($A2358,'13. Updated Demand'!A:Z,26,FALSE)),0,VLOOKUP($A2358,'13. Updated Demand'!A:Z,26,FALSE))</f>
        <v>0</v>
      </c>
      <c r="AJ2358" s="16">
        <f t="shared" si="445"/>
        <v>0.155</v>
      </c>
      <c r="AK2358" s="19">
        <v>9.2999999999999999E-2</v>
      </c>
      <c r="AL2358" s="16">
        <f t="shared" si="443"/>
        <v>3.0847040630448233E-4</v>
      </c>
      <c r="AM2358" s="26">
        <v>1.9218846869187851E-2</v>
      </c>
      <c r="AN2358" s="19">
        <v>8.0649999999999995</v>
      </c>
      <c r="AO2358" s="19" t="s">
        <v>1758</v>
      </c>
      <c r="AP2358" s="19">
        <v>0</v>
      </c>
      <c r="AQ2358" s="19" t="s">
        <v>307</v>
      </c>
      <c r="AR2358" s="9" t="s">
        <v>394</v>
      </c>
      <c r="AS2358" s="12">
        <v>3.4039024194010059E-4</v>
      </c>
      <c r="AT2358" s="19">
        <v>38.5901</v>
      </c>
      <c r="AU2358" s="19">
        <v>-122.90260000000001</v>
      </c>
      <c r="AV2358" s="19" t="s">
        <v>406</v>
      </c>
    </row>
    <row r="2359" spans="1:48" x14ac:dyDescent="0.25">
      <c r="A2359" s="18" t="s">
        <v>2835</v>
      </c>
      <c r="B2359" s="10">
        <v>10000000</v>
      </c>
      <c r="C2359" s="9">
        <v>18</v>
      </c>
      <c r="D2359" s="8" t="str">
        <f t="shared" si="434"/>
        <v>N</v>
      </c>
      <c r="E2359" s="8" t="str">
        <f t="shared" si="435"/>
        <v>N</v>
      </c>
      <c r="F2359" s="8" t="str">
        <f t="shared" si="436"/>
        <v>N</v>
      </c>
      <c r="G2359" s="8" t="str">
        <f t="shared" si="437"/>
        <v>N</v>
      </c>
      <c r="H2359" s="8" t="str">
        <f t="shared" si="438"/>
        <v>Lower</v>
      </c>
      <c r="I2359" s="8" t="str">
        <f t="shared" si="439"/>
        <v>Outside</v>
      </c>
      <c r="J2359" s="8" t="str">
        <f t="shared" si="440"/>
        <v>Outside</v>
      </c>
      <c r="K2359" s="8" t="str">
        <f t="shared" si="441"/>
        <v>Riparian</v>
      </c>
      <c r="L2359" s="8">
        <f t="shared" si="442"/>
        <v>1000</v>
      </c>
      <c r="M2359" s="8" t="str">
        <f t="shared" si="444"/>
        <v>-</v>
      </c>
      <c r="N2359" s="10" t="s">
        <v>242</v>
      </c>
      <c r="O2359" s="10" t="s">
        <v>242</v>
      </c>
      <c r="P2359" s="10" t="s">
        <v>242</v>
      </c>
      <c r="Q2359" s="10" t="s">
        <v>242</v>
      </c>
      <c r="R2359" s="10" t="s">
        <v>242</v>
      </c>
      <c r="S2359" s="10" t="s">
        <v>241</v>
      </c>
      <c r="T2359" s="10" t="s">
        <v>242</v>
      </c>
      <c r="U2359" s="10" t="s">
        <v>242</v>
      </c>
      <c r="V2359" s="10" t="s">
        <v>242</v>
      </c>
      <c r="W2359" s="10" t="s">
        <v>242</v>
      </c>
      <c r="X2359" s="15">
        <f>IF(ISERROR(VLOOKUP($A2359,'13. Updated Demand'!A:Z,15,FALSE)),0,VLOOKUP($A2359,'13. Updated Demand'!A:Z,15,FALSE))</f>
        <v>5.5239999999999997E-2</v>
      </c>
      <c r="Y2359" s="16">
        <f>IF(ISERROR(VLOOKUP($A2359,'13. Updated Demand'!A:Z,16,FALSE)),0,VLOOKUP($A2359,'13. Updated Demand'!A:Z,16,FALSE))</f>
        <v>5.5239999999999997E-2</v>
      </c>
      <c r="Z2359" s="16">
        <f>IF(ISERROR(VLOOKUP($A2359,'13. Updated Demand'!A:Z,17,FALSE)),0,VLOOKUP($A2359,'13. Updated Demand'!A:Z,17,FALSE))</f>
        <v>5.5239999999999997E-2</v>
      </c>
      <c r="AA2359" s="16">
        <f>IF(ISERROR(VLOOKUP($A2359,'13. Updated Demand'!A:Z,18,FALSE)),0,VLOOKUP($A2359,'13. Updated Demand'!A:Z,18,FALSE))</f>
        <v>5.5239999999999997E-2</v>
      </c>
      <c r="AB2359" s="16">
        <f>IF(ISERROR(VLOOKUP($A2359,'13. Updated Demand'!A:Z,19,FALSE)),0,VLOOKUP($A2359,'13. Updated Demand'!A:Z,19,FALSE))</f>
        <v>5.5239999999999997E-2</v>
      </c>
      <c r="AC2359" s="16">
        <f>IF(ISERROR(VLOOKUP($A2359,'13. Updated Demand'!A:Z,20,FALSE)),0,VLOOKUP($A2359,'13. Updated Demand'!A:Z,20,FALSE))</f>
        <v>5.5239999999999997E-2</v>
      </c>
      <c r="AD2359" s="16">
        <f>IF(ISERROR(VLOOKUP($A2359,'13. Updated Demand'!A:Z,21,FALSE)),0,VLOOKUP($A2359,'13. Updated Demand'!A:Z,21,FALSE))</f>
        <v>5.5239999999999997E-2</v>
      </c>
      <c r="AE2359" s="16">
        <f>IF(ISERROR(VLOOKUP($A2359,'13. Updated Demand'!A:Z,22,FALSE)),0,VLOOKUP($A2359,'13. Updated Demand'!A:Z,22,FALSE))</f>
        <v>5.5239999999999997E-2</v>
      </c>
      <c r="AF2359" s="16">
        <f>IF(ISERROR(VLOOKUP($A2359,'13. Updated Demand'!A:Z,23,FALSE)),0,VLOOKUP($A2359,'13. Updated Demand'!A:Z,23,FALSE))</f>
        <v>5.5239999999999997E-2</v>
      </c>
      <c r="AG2359" s="16">
        <f>IF(ISERROR(VLOOKUP($A2359,'13. Updated Demand'!A:Z,24,FALSE)),0,VLOOKUP($A2359,'13. Updated Demand'!A:Z,24,FALSE))</f>
        <v>5.5239999999999997E-2</v>
      </c>
      <c r="AH2359" s="16">
        <f>IF(ISERROR(VLOOKUP($A2359,'13. Updated Demand'!A:Z,25,FALSE)),0,VLOOKUP($A2359,'13. Updated Demand'!A:Z,25,FALSE))</f>
        <v>5.5239999999999997E-2</v>
      </c>
      <c r="AI2359" s="16">
        <f>IF(ISERROR(VLOOKUP($A2359,'13. Updated Demand'!A:Z,26,FALSE)),0,VLOOKUP($A2359,'13. Updated Demand'!A:Z,26,FALSE))</f>
        <v>5.5239999999999997E-2</v>
      </c>
      <c r="AJ2359" s="16">
        <f t="shared" si="445"/>
        <v>0.66287999999999991</v>
      </c>
      <c r="AK2359" s="19">
        <v>0.2762</v>
      </c>
      <c r="AL2359" s="16">
        <f t="shared" si="443"/>
        <v>9.1612393786341965E-4</v>
      </c>
      <c r="AM2359" s="26">
        <v>1.1999999999999997</v>
      </c>
      <c r="AN2359" s="19">
        <v>0.5524</v>
      </c>
      <c r="AO2359" s="19" t="s">
        <v>1758</v>
      </c>
      <c r="AP2359" s="19">
        <v>0</v>
      </c>
      <c r="AQ2359" s="19" t="s">
        <v>307</v>
      </c>
      <c r="AR2359" s="9" t="s">
        <v>352</v>
      </c>
      <c r="AS2359" s="12">
        <v>3.4039024194010059E-4</v>
      </c>
      <c r="AT2359" s="19">
        <v>38.41667004</v>
      </c>
      <c r="AU2359" s="19">
        <v>-122.91852823000001</v>
      </c>
      <c r="AV2359" s="19" t="s">
        <v>2836</v>
      </c>
    </row>
    <row r="2360" spans="1:48" x14ac:dyDescent="0.25">
      <c r="A2360" s="18" t="s">
        <v>2837</v>
      </c>
      <c r="B2360" s="10">
        <v>10000000</v>
      </c>
      <c r="C2360" s="9">
        <v>4</v>
      </c>
      <c r="D2360" s="8" t="str">
        <f t="shared" si="434"/>
        <v>Y</v>
      </c>
      <c r="E2360" s="8" t="str">
        <f t="shared" si="435"/>
        <v>N</v>
      </c>
      <c r="F2360" s="8" t="str">
        <f t="shared" si="436"/>
        <v>Y</v>
      </c>
      <c r="G2360" s="8" t="str">
        <f t="shared" si="437"/>
        <v>Y</v>
      </c>
      <c r="H2360" s="8" t="str">
        <f t="shared" si="438"/>
        <v>Upper</v>
      </c>
      <c r="I2360" s="8" t="str">
        <f t="shared" si="439"/>
        <v>West Fork and Below Lake</v>
      </c>
      <c r="J2360" s="8" t="str">
        <f t="shared" si="440"/>
        <v>Mendocino (d/s of lake)</v>
      </c>
      <c r="K2360" s="8" t="str">
        <f t="shared" si="441"/>
        <v>Riparian</v>
      </c>
      <c r="L2360" s="8">
        <f t="shared" si="442"/>
        <v>1000</v>
      </c>
      <c r="M2360" s="8" t="str">
        <f t="shared" si="444"/>
        <v>-</v>
      </c>
      <c r="N2360" s="10" t="s">
        <v>242</v>
      </c>
      <c r="O2360" s="10" t="s">
        <v>241</v>
      </c>
      <c r="P2360" s="10" t="s">
        <v>242</v>
      </c>
      <c r="Q2360" s="10" t="s">
        <v>242</v>
      </c>
      <c r="R2360" s="10" t="s">
        <v>242</v>
      </c>
      <c r="S2360" s="10" t="s">
        <v>241</v>
      </c>
      <c r="T2360" s="10" t="s">
        <v>242</v>
      </c>
      <c r="U2360" s="10" t="s">
        <v>242</v>
      </c>
      <c r="V2360" s="10" t="s">
        <v>242</v>
      </c>
      <c r="W2360" s="10" t="s">
        <v>242</v>
      </c>
      <c r="X2360" s="15">
        <f>IF(ISERROR(VLOOKUP($A2360,'13. Updated Demand'!A:Z,15,FALSE)),0,VLOOKUP($A2360,'13. Updated Demand'!A:Z,15,FALSE))</f>
        <v>0.13</v>
      </c>
      <c r="Y2360" s="16">
        <f>IF(ISERROR(VLOOKUP($A2360,'13. Updated Demand'!A:Z,16,FALSE)),0,VLOOKUP($A2360,'13. Updated Demand'!A:Z,16,FALSE))</f>
        <v>0.13</v>
      </c>
      <c r="Z2360" s="16">
        <f>IF(ISERROR(VLOOKUP($A2360,'13. Updated Demand'!A:Z,17,FALSE)),0,VLOOKUP($A2360,'13. Updated Demand'!A:Z,17,FALSE))</f>
        <v>0.13</v>
      </c>
      <c r="AA2360" s="16">
        <f>IF(ISERROR(VLOOKUP($A2360,'13. Updated Demand'!A:Z,18,FALSE)),0,VLOOKUP($A2360,'13. Updated Demand'!A:Z,18,FALSE))</f>
        <v>0.13</v>
      </c>
      <c r="AB2360" s="16">
        <f>IF(ISERROR(VLOOKUP($A2360,'13. Updated Demand'!A:Z,19,FALSE)),0,VLOOKUP($A2360,'13. Updated Demand'!A:Z,19,FALSE))</f>
        <v>0.13</v>
      </c>
      <c r="AC2360" s="16">
        <f>IF(ISERROR(VLOOKUP($A2360,'13. Updated Demand'!A:Z,20,FALSE)),0,VLOOKUP($A2360,'13. Updated Demand'!A:Z,20,FALSE))</f>
        <v>0.13</v>
      </c>
      <c r="AD2360" s="16">
        <f>IF(ISERROR(VLOOKUP($A2360,'13. Updated Demand'!A:Z,21,FALSE)),0,VLOOKUP($A2360,'13. Updated Demand'!A:Z,21,FALSE))</f>
        <v>0.14000000000000001</v>
      </c>
      <c r="AE2360" s="16">
        <f>IF(ISERROR(VLOOKUP($A2360,'13. Updated Demand'!A:Z,22,FALSE)),0,VLOOKUP($A2360,'13. Updated Demand'!A:Z,22,FALSE))</f>
        <v>0.14000000000000001</v>
      </c>
      <c r="AF2360" s="16">
        <f>IF(ISERROR(VLOOKUP($A2360,'13. Updated Demand'!A:Z,23,FALSE)),0,VLOOKUP($A2360,'13. Updated Demand'!A:Z,23,FALSE))</f>
        <v>0.13</v>
      </c>
      <c r="AG2360" s="16">
        <f>IF(ISERROR(VLOOKUP($A2360,'13. Updated Demand'!A:Z,24,FALSE)),0,VLOOKUP($A2360,'13. Updated Demand'!A:Z,24,FALSE))</f>
        <v>0.13</v>
      </c>
      <c r="AH2360" s="16">
        <f>IF(ISERROR(VLOOKUP($A2360,'13. Updated Demand'!A:Z,25,FALSE)),0,VLOOKUP($A2360,'13. Updated Demand'!A:Z,25,FALSE))</f>
        <v>0.13</v>
      </c>
      <c r="AI2360" s="16">
        <f>IF(ISERROR(VLOOKUP($A2360,'13. Updated Demand'!A:Z,26,FALSE)),0,VLOOKUP($A2360,'13. Updated Demand'!A:Z,26,FALSE))</f>
        <v>0.02</v>
      </c>
      <c r="AJ2360" s="16">
        <f t="shared" si="445"/>
        <v>1.4699999999999998</v>
      </c>
      <c r="AK2360" s="19">
        <v>0.7</v>
      </c>
      <c r="AL2360" s="16">
        <f t="shared" si="443"/>
        <v>2.3218202625068561E-3</v>
      </c>
      <c r="AM2360" s="26">
        <v>2.590339558573854</v>
      </c>
      <c r="AN2360" s="19">
        <v>0.58899999999999997</v>
      </c>
      <c r="AO2360" s="19" t="s">
        <v>1758</v>
      </c>
      <c r="AP2360" s="19">
        <v>0</v>
      </c>
      <c r="AQ2360" s="19" t="s">
        <v>307</v>
      </c>
      <c r="AR2360" s="9" t="s">
        <v>331</v>
      </c>
      <c r="AS2360" s="12">
        <v>3.4039024194010059E-4</v>
      </c>
      <c r="AT2360" s="19">
        <v>39.119399999999999</v>
      </c>
      <c r="AU2360" s="19">
        <v>-123.11966</v>
      </c>
      <c r="AV2360" s="19" t="s">
        <v>406</v>
      </c>
    </row>
    <row r="2361" spans="1:48" x14ac:dyDescent="0.25">
      <c r="A2361" s="18" t="s">
        <v>2838</v>
      </c>
      <c r="B2361" s="10">
        <v>10000000</v>
      </c>
      <c r="C2361" s="9">
        <v>4</v>
      </c>
      <c r="D2361" s="8" t="str">
        <f t="shared" si="434"/>
        <v>Y</v>
      </c>
      <c r="E2361" s="8" t="str">
        <f t="shared" si="435"/>
        <v>N</v>
      </c>
      <c r="F2361" s="8" t="str">
        <f t="shared" si="436"/>
        <v>Y</v>
      </c>
      <c r="G2361" s="8" t="str">
        <f t="shared" si="437"/>
        <v>Y</v>
      </c>
      <c r="H2361" s="8" t="str">
        <f t="shared" si="438"/>
        <v>Upper</v>
      </c>
      <c r="I2361" s="8" t="str">
        <f t="shared" si="439"/>
        <v>West Fork and Below Lake</v>
      </c>
      <c r="J2361" s="8" t="str">
        <f t="shared" si="440"/>
        <v>Mendocino (d/s of lake)</v>
      </c>
      <c r="K2361" s="8" t="str">
        <f t="shared" si="441"/>
        <v>Riparian</v>
      </c>
      <c r="L2361" s="8">
        <f t="shared" si="442"/>
        <v>1000</v>
      </c>
      <c r="M2361" s="8" t="str">
        <f t="shared" si="444"/>
        <v>-</v>
      </c>
      <c r="N2361" s="10" t="s">
        <v>242</v>
      </c>
      <c r="O2361" s="10" t="s">
        <v>241</v>
      </c>
      <c r="P2361" s="10" t="s">
        <v>242</v>
      </c>
      <c r="Q2361" s="10" t="s">
        <v>242</v>
      </c>
      <c r="R2361" s="10" t="s">
        <v>242</v>
      </c>
      <c r="S2361" s="10" t="s">
        <v>241</v>
      </c>
      <c r="T2361" s="10" t="s">
        <v>242</v>
      </c>
      <c r="U2361" s="10" t="s">
        <v>242</v>
      </c>
      <c r="V2361" s="10" t="s">
        <v>242</v>
      </c>
      <c r="W2361" s="10" t="s">
        <v>242</v>
      </c>
      <c r="X2361" s="15">
        <f>IF(ISERROR(VLOOKUP($A2361,'13. Updated Demand'!A:Z,15,FALSE)),0,VLOOKUP($A2361,'13. Updated Demand'!A:Z,15,FALSE))</f>
        <v>0.01</v>
      </c>
      <c r="Y2361" s="16">
        <f>IF(ISERROR(VLOOKUP($A2361,'13. Updated Demand'!A:Z,16,FALSE)),0,VLOOKUP($A2361,'13. Updated Demand'!A:Z,16,FALSE))</f>
        <v>0</v>
      </c>
      <c r="Z2361" s="16">
        <f>IF(ISERROR(VLOOKUP($A2361,'13. Updated Demand'!A:Z,17,FALSE)),0,VLOOKUP($A2361,'13. Updated Demand'!A:Z,17,FALSE))</f>
        <v>0</v>
      </c>
      <c r="AA2361" s="16">
        <f>IF(ISERROR(VLOOKUP($A2361,'13. Updated Demand'!A:Z,18,FALSE)),0,VLOOKUP($A2361,'13. Updated Demand'!A:Z,18,FALSE))</f>
        <v>0.01</v>
      </c>
      <c r="AB2361" s="16">
        <f>IF(ISERROR(VLOOKUP($A2361,'13. Updated Demand'!A:Z,19,FALSE)),0,VLOOKUP($A2361,'13. Updated Demand'!A:Z,19,FALSE))</f>
        <v>0.02</v>
      </c>
      <c r="AC2361" s="16">
        <f>IF(ISERROR(VLOOKUP($A2361,'13. Updated Demand'!A:Z,20,FALSE)),0,VLOOKUP($A2361,'13. Updated Demand'!A:Z,20,FALSE))</f>
        <v>0.02</v>
      </c>
      <c r="AD2361" s="16">
        <f>IF(ISERROR(VLOOKUP($A2361,'13. Updated Demand'!A:Z,21,FALSE)),0,VLOOKUP($A2361,'13. Updated Demand'!A:Z,21,FALSE))</f>
        <v>0.03</v>
      </c>
      <c r="AE2361" s="16">
        <f>IF(ISERROR(VLOOKUP($A2361,'13. Updated Demand'!A:Z,22,FALSE)),0,VLOOKUP($A2361,'13. Updated Demand'!A:Z,22,FALSE))</f>
        <v>0.03</v>
      </c>
      <c r="AF2361" s="16">
        <f>IF(ISERROR(VLOOKUP($A2361,'13. Updated Demand'!A:Z,23,FALSE)),0,VLOOKUP($A2361,'13. Updated Demand'!A:Z,23,FALSE))</f>
        <v>0.02</v>
      </c>
      <c r="AG2361" s="16">
        <f>IF(ISERROR(VLOOKUP($A2361,'13. Updated Demand'!A:Z,24,FALSE)),0,VLOOKUP($A2361,'13. Updated Demand'!A:Z,24,FALSE))</f>
        <v>0.01</v>
      </c>
      <c r="AH2361" s="16">
        <f>IF(ISERROR(VLOOKUP($A2361,'13. Updated Demand'!A:Z,25,FALSE)),0,VLOOKUP($A2361,'13. Updated Demand'!A:Z,25,FALSE))</f>
        <v>0</v>
      </c>
      <c r="AI2361" s="16">
        <f>IF(ISERROR(VLOOKUP($A2361,'13. Updated Demand'!A:Z,26,FALSE)),0,VLOOKUP($A2361,'13. Updated Demand'!A:Z,26,FALSE))</f>
        <v>0</v>
      </c>
      <c r="AJ2361" s="16">
        <f t="shared" si="445"/>
        <v>0.15</v>
      </c>
      <c r="AK2361" s="19">
        <v>0.14000000000000001</v>
      </c>
      <c r="AL2361" s="16">
        <f t="shared" si="443"/>
        <v>4.6436405250137129E-4</v>
      </c>
      <c r="AM2361" s="26">
        <v>7.9900407424173842E-2</v>
      </c>
      <c r="AN2361" s="19">
        <v>2.2090000000000001</v>
      </c>
      <c r="AO2361" s="19" t="s">
        <v>1758</v>
      </c>
      <c r="AP2361" s="19">
        <v>0</v>
      </c>
      <c r="AQ2361" s="19" t="s">
        <v>307</v>
      </c>
      <c r="AR2361" s="9" t="s">
        <v>331</v>
      </c>
      <c r="AS2361" s="12">
        <v>0</v>
      </c>
      <c r="AT2361" s="19">
        <v>39.120552000000004</v>
      </c>
      <c r="AU2361" s="19">
        <v>-123.118605</v>
      </c>
      <c r="AV2361" s="19" t="s">
        <v>2839</v>
      </c>
    </row>
    <row r="2362" spans="1:48" x14ac:dyDescent="0.25">
      <c r="A2362" s="18" t="s">
        <v>2840</v>
      </c>
      <c r="B2362" s="10">
        <v>10000000</v>
      </c>
      <c r="C2362" s="9">
        <v>23</v>
      </c>
      <c r="D2362" s="8" t="str">
        <f t="shared" si="434"/>
        <v>N</v>
      </c>
      <c r="E2362" s="8" t="str">
        <f t="shared" si="435"/>
        <v>N</v>
      </c>
      <c r="F2362" s="8" t="str">
        <f t="shared" si="436"/>
        <v>N</v>
      </c>
      <c r="G2362" s="8" t="str">
        <f t="shared" si="437"/>
        <v>N</v>
      </c>
      <c r="H2362" s="8" t="str">
        <f t="shared" si="438"/>
        <v>Lower</v>
      </c>
      <c r="I2362" s="8" t="str">
        <f t="shared" si="439"/>
        <v>Outside</v>
      </c>
      <c r="J2362" s="8" t="str">
        <f t="shared" si="440"/>
        <v>Outside</v>
      </c>
      <c r="K2362" s="8" t="str">
        <f t="shared" si="441"/>
        <v>Riparian</v>
      </c>
      <c r="L2362" s="8">
        <f t="shared" si="442"/>
        <v>1000</v>
      </c>
      <c r="M2362" s="8" t="str">
        <f t="shared" si="444"/>
        <v>-</v>
      </c>
      <c r="N2362" s="10" t="s">
        <v>242</v>
      </c>
      <c r="O2362" s="10" t="s">
        <v>242</v>
      </c>
      <c r="P2362" s="10" t="s">
        <v>242</v>
      </c>
      <c r="Q2362" s="10" t="s">
        <v>242</v>
      </c>
      <c r="R2362" s="10" t="s">
        <v>242</v>
      </c>
      <c r="S2362" s="10" t="s">
        <v>241</v>
      </c>
      <c r="T2362" s="10" t="s">
        <v>242</v>
      </c>
      <c r="U2362" s="10" t="s">
        <v>242</v>
      </c>
      <c r="V2362" s="10" t="s">
        <v>242</v>
      </c>
      <c r="W2362" s="10" t="s">
        <v>242</v>
      </c>
      <c r="X2362" s="15">
        <f>IF(ISERROR(VLOOKUP($A2362,'13. Updated Demand'!A:Z,15,FALSE)),0,VLOOKUP($A2362,'13. Updated Demand'!A:Z,15,FALSE))</f>
        <v>6.1380000000000002E-3</v>
      </c>
      <c r="Y2362" s="16">
        <f>IF(ISERROR(VLOOKUP($A2362,'13. Updated Demand'!A:Z,16,FALSE)),0,VLOOKUP($A2362,'13. Updated Demand'!A:Z,16,FALSE))</f>
        <v>6.1380000000000002E-3</v>
      </c>
      <c r="Z2362" s="16">
        <f>IF(ISERROR(VLOOKUP($A2362,'13. Updated Demand'!A:Z,17,FALSE)),0,VLOOKUP($A2362,'13. Updated Demand'!A:Z,17,FALSE))</f>
        <v>6.1380000000000002E-3</v>
      </c>
      <c r="AA2362" s="16">
        <f>IF(ISERROR(VLOOKUP($A2362,'13. Updated Demand'!A:Z,18,FALSE)),0,VLOOKUP($A2362,'13. Updated Demand'!A:Z,18,FALSE))</f>
        <v>6.1380000000000002E-3</v>
      </c>
      <c r="AB2362" s="16">
        <f>IF(ISERROR(VLOOKUP($A2362,'13. Updated Demand'!A:Z,19,FALSE)),0,VLOOKUP($A2362,'13. Updated Demand'!A:Z,19,FALSE))</f>
        <v>6.1380000000000002E-3</v>
      </c>
      <c r="AC2362" s="16">
        <f>IF(ISERROR(VLOOKUP($A2362,'13. Updated Demand'!A:Z,20,FALSE)),0,VLOOKUP($A2362,'13. Updated Demand'!A:Z,20,FALSE))</f>
        <v>6.9049999999999997E-3</v>
      </c>
      <c r="AD2362" s="16">
        <f>IF(ISERROR(VLOOKUP($A2362,'13. Updated Demand'!A:Z,21,FALSE)),0,VLOOKUP($A2362,'13. Updated Demand'!A:Z,21,FALSE))</f>
        <v>6.9049999999999997E-3</v>
      </c>
      <c r="AE2362" s="16">
        <f>IF(ISERROR(VLOOKUP($A2362,'13. Updated Demand'!A:Z,22,FALSE)),0,VLOOKUP($A2362,'13. Updated Demand'!A:Z,22,FALSE))</f>
        <v>6.9049999999999997E-3</v>
      </c>
      <c r="AF2362" s="16">
        <f>IF(ISERROR(VLOOKUP($A2362,'13. Updated Demand'!A:Z,23,FALSE)),0,VLOOKUP($A2362,'13. Updated Demand'!A:Z,23,FALSE))</f>
        <v>6.9049999999999997E-3</v>
      </c>
      <c r="AG2362" s="16">
        <f>IF(ISERROR(VLOOKUP($A2362,'13. Updated Demand'!A:Z,24,FALSE)),0,VLOOKUP($A2362,'13. Updated Demand'!A:Z,24,FALSE))</f>
        <v>6.1380000000000002E-3</v>
      </c>
      <c r="AH2362" s="16">
        <f>IF(ISERROR(VLOOKUP($A2362,'13. Updated Demand'!A:Z,25,FALSE)),0,VLOOKUP($A2362,'13. Updated Demand'!A:Z,25,FALSE))</f>
        <v>6.1380000000000002E-3</v>
      </c>
      <c r="AI2362" s="16">
        <f>IF(ISERROR(VLOOKUP($A2362,'13. Updated Demand'!A:Z,26,FALSE)),0,VLOOKUP($A2362,'13. Updated Demand'!A:Z,26,FALSE))</f>
        <v>6.1380000000000002E-3</v>
      </c>
      <c r="AJ2362" s="16">
        <f t="shared" si="445"/>
        <v>7.6724000000000014E-2</v>
      </c>
      <c r="AK2362" s="19">
        <v>3.3758000000000003E-2</v>
      </c>
      <c r="AL2362" s="16">
        <f t="shared" si="443"/>
        <v>1.119714406024378E-4</v>
      </c>
      <c r="AM2362" s="26">
        <v>1.0003129074315515</v>
      </c>
      <c r="AN2362" s="19">
        <v>7.6700000000000004E-2</v>
      </c>
      <c r="AO2362" s="19" t="s">
        <v>1758</v>
      </c>
      <c r="AP2362" s="19">
        <v>0</v>
      </c>
      <c r="AQ2362" s="19" t="s">
        <v>307</v>
      </c>
      <c r="AR2362" s="9" t="s">
        <v>323</v>
      </c>
      <c r="AS2362" s="12">
        <v>3.4039024194010059E-4</v>
      </c>
      <c r="AT2362" s="19">
        <v>38.518749999999997</v>
      </c>
      <c r="AU2362" s="19">
        <v>-122.61055555999999</v>
      </c>
      <c r="AV2362" s="19" t="s">
        <v>395</v>
      </c>
    </row>
    <row r="2363" spans="1:48" x14ac:dyDescent="0.25">
      <c r="A2363" s="18" t="s">
        <v>2841</v>
      </c>
      <c r="B2363" s="10">
        <v>10000000</v>
      </c>
      <c r="C2363" s="9">
        <v>18</v>
      </c>
      <c r="D2363" s="8" t="str">
        <f t="shared" si="434"/>
        <v>N</v>
      </c>
      <c r="E2363" s="8" t="str">
        <f t="shared" si="435"/>
        <v>N</v>
      </c>
      <c r="F2363" s="8" t="str">
        <f t="shared" si="436"/>
        <v>N</v>
      </c>
      <c r="G2363" s="8" t="str">
        <f t="shared" si="437"/>
        <v>N</v>
      </c>
      <c r="H2363" s="8" t="str">
        <f t="shared" si="438"/>
        <v>Lower</v>
      </c>
      <c r="I2363" s="8" t="str">
        <f t="shared" si="439"/>
        <v>Outside</v>
      </c>
      <c r="J2363" s="8" t="str">
        <f t="shared" si="440"/>
        <v>Outside</v>
      </c>
      <c r="K2363" s="8" t="str">
        <f t="shared" si="441"/>
        <v>Riparian</v>
      </c>
      <c r="L2363" s="8">
        <f t="shared" si="442"/>
        <v>1000</v>
      </c>
      <c r="M2363" s="8" t="str">
        <f t="shared" si="444"/>
        <v>-</v>
      </c>
      <c r="N2363" s="10" t="s">
        <v>242</v>
      </c>
      <c r="O2363" s="10" t="s">
        <v>242</v>
      </c>
      <c r="P2363" s="10" t="s">
        <v>242</v>
      </c>
      <c r="Q2363" s="10" t="s">
        <v>242</v>
      </c>
      <c r="R2363" s="10" t="s">
        <v>242</v>
      </c>
      <c r="S2363" s="10" t="s">
        <v>241</v>
      </c>
      <c r="T2363" s="10" t="s">
        <v>242</v>
      </c>
      <c r="U2363" s="10" t="s">
        <v>242</v>
      </c>
      <c r="V2363" s="10" t="s">
        <v>242</v>
      </c>
      <c r="W2363" s="10" t="s">
        <v>242</v>
      </c>
      <c r="X2363" s="15">
        <f>IF(ISERROR(VLOOKUP($A2363,'13. Updated Demand'!A:Z,15,FALSE)),0,VLOOKUP($A2363,'13. Updated Demand'!A:Z,15,FALSE))</f>
        <v>0.5</v>
      </c>
      <c r="Y2363" s="16">
        <f>IF(ISERROR(VLOOKUP($A2363,'13. Updated Demand'!A:Z,16,FALSE)),0,VLOOKUP($A2363,'13. Updated Demand'!A:Z,16,FALSE))</f>
        <v>0.5</v>
      </c>
      <c r="Z2363" s="16">
        <f>IF(ISERROR(VLOOKUP($A2363,'13. Updated Demand'!A:Z,17,FALSE)),0,VLOOKUP($A2363,'13. Updated Demand'!A:Z,17,FALSE))</f>
        <v>0.16666666699999999</v>
      </c>
      <c r="AA2363" s="16">
        <f>IF(ISERROR(VLOOKUP($A2363,'13. Updated Demand'!A:Z,18,FALSE)),0,VLOOKUP($A2363,'13. Updated Demand'!A:Z,18,FALSE))</f>
        <v>0</v>
      </c>
      <c r="AB2363" s="16">
        <f>IF(ISERROR(VLOOKUP($A2363,'13. Updated Demand'!A:Z,19,FALSE)),0,VLOOKUP($A2363,'13. Updated Demand'!A:Z,19,FALSE))</f>
        <v>8.3333332999999996E-2</v>
      </c>
      <c r="AC2363" s="16">
        <f>IF(ISERROR(VLOOKUP($A2363,'13. Updated Demand'!A:Z,20,FALSE)),0,VLOOKUP($A2363,'13. Updated Demand'!A:Z,20,FALSE))</f>
        <v>0</v>
      </c>
      <c r="AD2363" s="16">
        <f>IF(ISERROR(VLOOKUP($A2363,'13. Updated Demand'!A:Z,21,FALSE)),0,VLOOKUP($A2363,'13. Updated Demand'!A:Z,21,FALSE))</f>
        <v>0</v>
      </c>
      <c r="AE2363" s="16">
        <f>IF(ISERROR(VLOOKUP($A2363,'13. Updated Demand'!A:Z,22,FALSE)),0,VLOOKUP($A2363,'13. Updated Demand'!A:Z,22,FALSE))</f>
        <v>0</v>
      </c>
      <c r="AF2363" s="16">
        <f>IF(ISERROR(VLOOKUP($A2363,'13. Updated Demand'!A:Z,23,FALSE)),0,VLOOKUP($A2363,'13. Updated Demand'!A:Z,23,FALSE))</f>
        <v>0</v>
      </c>
      <c r="AG2363" s="16">
        <f>IF(ISERROR(VLOOKUP($A2363,'13. Updated Demand'!A:Z,24,FALSE)),0,VLOOKUP($A2363,'13. Updated Demand'!A:Z,24,FALSE))</f>
        <v>0</v>
      </c>
      <c r="AH2363" s="16">
        <f>IF(ISERROR(VLOOKUP($A2363,'13. Updated Demand'!A:Z,25,FALSE)),0,VLOOKUP($A2363,'13. Updated Demand'!A:Z,25,FALSE))</f>
        <v>0</v>
      </c>
      <c r="AI2363" s="16">
        <f>IF(ISERROR(VLOOKUP($A2363,'13. Updated Demand'!A:Z,26,FALSE)),0,VLOOKUP($A2363,'13. Updated Demand'!A:Z,26,FALSE))</f>
        <v>0</v>
      </c>
      <c r="AJ2363" s="16">
        <f t="shared" si="445"/>
        <v>1.2499999999999998</v>
      </c>
      <c r="AK2363" s="19">
        <v>8.3333332999999996E-2</v>
      </c>
      <c r="AL2363" s="16">
        <f t="shared" si="443"/>
        <v>2.764071730023304E-4</v>
      </c>
      <c r="AM2363" s="26">
        <v>0.62499999999999989</v>
      </c>
      <c r="AN2363" s="19">
        <v>2</v>
      </c>
      <c r="AO2363" s="19" t="s">
        <v>1758</v>
      </c>
      <c r="AP2363" s="19">
        <v>0</v>
      </c>
      <c r="AQ2363" s="19" t="s">
        <v>307</v>
      </c>
      <c r="AR2363" s="9" t="s">
        <v>352</v>
      </c>
      <c r="AS2363" s="12">
        <v>0</v>
      </c>
      <c r="AT2363" s="19">
        <v>38.427779999999998</v>
      </c>
      <c r="AU2363" s="19">
        <v>-122.89386</v>
      </c>
      <c r="AV2363" s="19" t="s">
        <v>411</v>
      </c>
    </row>
    <row r="2364" spans="1:48" x14ac:dyDescent="0.25">
      <c r="A2364" s="18" t="s">
        <v>2842</v>
      </c>
      <c r="B2364" s="10">
        <v>10000000</v>
      </c>
      <c r="C2364" s="9">
        <v>18</v>
      </c>
      <c r="D2364" s="8" t="str">
        <f t="shared" si="434"/>
        <v>N</v>
      </c>
      <c r="E2364" s="8" t="str">
        <f t="shared" si="435"/>
        <v>N</v>
      </c>
      <c r="F2364" s="8" t="str">
        <f t="shared" si="436"/>
        <v>N</v>
      </c>
      <c r="G2364" s="8" t="str">
        <f t="shared" si="437"/>
        <v>N</v>
      </c>
      <c r="H2364" s="8" t="str">
        <f t="shared" si="438"/>
        <v>Lower</v>
      </c>
      <c r="I2364" s="8" t="str">
        <f t="shared" si="439"/>
        <v>Outside</v>
      </c>
      <c r="J2364" s="8" t="str">
        <f t="shared" si="440"/>
        <v>Outside</v>
      </c>
      <c r="K2364" s="8" t="str">
        <f t="shared" si="441"/>
        <v>Riparian</v>
      </c>
      <c r="L2364" s="8">
        <f t="shared" si="442"/>
        <v>1000</v>
      </c>
      <c r="M2364" s="8" t="str">
        <f t="shared" si="444"/>
        <v>-</v>
      </c>
      <c r="N2364" s="10" t="s">
        <v>242</v>
      </c>
      <c r="O2364" s="10" t="s">
        <v>242</v>
      </c>
      <c r="P2364" s="10" t="s">
        <v>242</v>
      </c>
      <c r="Q2364" s="10" t="s">
        <v>242</v>
      </c>
      <c r="R2364" s="10" t="s">
        <v>242</v>
      </c>
      <c r="S2364" s="10" t="s">
        <v>241</v>
      </c>
      <c r="T2364" s="10" t="s">
        <v>242</v>
      </c>
      <c r="U2364" s="10" t="s">
        <v>242</v>
      </c>
      <c r="V2364" s="10" t="s">
        <v>241</v>
      </c>
      <c r="W2364" s="10" t="s">
        <v>242</v>
      </c>
      <c r="X2364" s="15">
        <f>IF(ISERROR(VLOOKUP($A2364,'13. Updated Demand'!A:Z,15,FALSE)),0,VLOOKUP($A2364,'13. Updated Demand'!A:Z,15,FALSE))</f>
        <v>0.41666666699999999</v>
      </c>
      <c r="Y2364" s="16">
        <f>IF(ISERROR(VLOOKUP($A2364,'13. Updated Demand'!A:Z,16,FALSE)),0,VLOOKUP($A2364,'13. Updated Demand'!A:Z,16,FALSE))</f>
        <v>0.75</v>
      </c>
      <c r="Z2364" s="16">
        <f>IF(ISERROR(VLOOKUP($A2364,'13. Updated Demand'!A:Z,17,FALSE)),0,VLOOKUP($A2364,'13. Updated Demand'!A:Z,17,FALSE))</f>
        <v>0.33700000000000002</v>
      </c>
      <c r="AA2364" s="16">
        <f>IF(ISERROR(VLOOKUP($A2364,'13. Updated Demand'!A:Z,18,FALSE)),0,VLOOKUP($A2364,'13. Updated Demand'!A:Z,18,FALSE))</f>
        <v>0</v>
      </c>
      <c r="AB2364" s="16">
        <f>IF(ISERROR(VLOOKUP($A2364,'13. Updated Demand'!A:Z,19,FALSE)),0,VLOOKUP($A2364,'13. Updated Demand'!A:Z,19,FALSE))</f>
        <v>0</v>
      </c>
      <c r="AC2364" s="16">
        <f>IF(ISERROR(VLOOKUP($A2364,'13. Updated Demand'!A:Z,20,FALSE)),0,VLOOKUP($A2364,'13. Updated Demand'!A:Z,20,FALSE))</f>
        <v>0</v>
      </c>
      <c r="AD2364" s="16">
        <f>IF(ISERROR(VLOOKUP($A2364,'13. Updated Demand'!A:Z,21,FALSE)),0,VLOOKUP($A2364,'13. Updated Demand'!A:Z,21,FALSE))</f>
        <v>0</v>
      </c>
      <c r="AE2364" s="16">
        <f>IF(ISERROR(VLOOKUP($A2364,'13. Updated Demand'!A:Z,22,FALSE)),0,VLOOKUP($A2364,'13. Updated Demand'!A:Z,22,FALSE))</f>
        <v>0</v>
      </c>
      <c r="AF2364" s="16">
        <f>IF(ISERROR(VLOOKUP($A2364,'13. Updated Demand'!A:Z,23,FALSE)),0,VLOOKUP($A2364,'13. Updated Demand'!A:Z,23,FALSE))</f>
        <v>0</v>
      </c>
      <c r="AG2364" s="16">
        <f>IF(ISERROR(VLOOKUP($A2364,'13. Updated Demand'!A:Z,24,FALSE)),0,VLOOKUP($A2364,'13. Updated Demand'!A:Z,24,FALSE))</f>
        <v>0</v>
      </c>
      <c r="AH2364" s="16">
        <f>IF(ISERROR(VLOOKUP($A2364,'13. Updated Demand'!A:Z,25,FALSE)),0,VLOOKUP($A2364,'13. Updated Demand'!A:Z,25,FALSE))</f>
        <v>0</v>
      </c>
      <c r="AI2364" s="16">
        <f>IF(ISERROR(VLOOKUP($A2364,'13. Updated Demand'!A:Z,26,FALSE)),0,VLOOKUP($A2364,'13. Updated Demand'!A:Z,26,FALSE))</f>
        <v>0</v>
      </c>
      <c r="AJ2364" s="16">
        <f t="shared" si="445"/>
        <v>1.5036666669999998</v>
      </c>
      <c r="AK2364" s="19">
        <v>0</v>
      </c>
      <c r="AL2364" s="16">
        <f t="shared" si="443"/>
        <v>0</v>
      </c>
      <c r="AM2364" s="26">
        <v>0.30073333339999997</v>
      </c>
      <c r="AN2364" s="19">
        <v>5</v>
      </c>
      <c r="AO2364" s="19" t="s">
        <v>1758</v>
      </c>
      <c r="AP2364" s="19">
        <v>0</v>
      </c>
      <c r="AQ2364" s="19" t="s">
        <v>307</v>
      </c>
      <c r="AR2364" s="9" t="s">
        <v>352</v>
      </c>
      <c r="AS2364" s="12">
        <v>0</v>
      </c>
      <c r="AT2364" s="19">
        <v>38.429969999999997</v>
      </c>
      <c r="AU2364" s="19">
        <v>-122.90472</v>
      </c>
      <c r="AV2364" s="19" t="s">
        <v>1031</v>
      </c>
    </row>
    <row r="2365" spans="1:48" x14ac:dyDescent="0.25">
      <c r="A2365" s="18" t="s">
        <v>2843</v>
      </c>
      <c r="B2365" s="10">
        <v>10000000</v>
      </c>
      <c r="C2365" s="9">
        <v>6</v>
      </c>
      <c r="D2365" s="8" t="str">
        <f t="shared" si="434"/>
        <v>Y</v>
      </c>
      <c r="E2365" s="8" t="str">
        <f t="shared" si="435"/>
        <v>N</v>
      </c>
      <c r="F2365" s="8" t="str">
        <f t="shared" si="436"/>
        <v>Y</v>
      </c>
      <c r="G2365" s="8" t="str">
        <f t="shared" si="437"/>
        <v>Y</v>
      </c>
      <c r="H2365" s="8" t="str">
        <f t="shared" si="438"/>
        <v>Upper</v>
      </c>
      <c r="I2365" s="8" t="str">
        <f t="shared" si="439"/>
        <v>West Fork and Below Lake</v>
      </c>
      <c r="J2365" s="8" t="str">
        <f t="shared" si="440"/>
        <v>Mendocino (d/s of lake)</v>
      </c>
      <c r="K2365" s="8" t="str">
        <f t="shared" si="441"/>
        <v>Riparian</v>
      </c>
      <c r="L2365" s="8">
        <f t="shared" si="442"/>
        <v>1000</v>
      </c>
      <c r="M2365" s="8" t="str">
        <f t="shared" si="444"/>
        <v>-</v>
      </c>
      <c r="N2365" s="10" t="s">
        <v>242</v>
      </c>
      <c r="O2365" s="10" t="s">
        <v>241</v>
      </c>
      <c r="P2365" s="10" t="s">
        <v>242</v>
      </c>
      <c r="Q2365" s="10" t="s">
        <v>242</v>
      </c>
      <c r="R2365" s="10" t="s">
        <v>242</v>
      </c>
      <c r="S2365" s="10" t="s">
        <v>241</v>
      </c>
      <c r="T2365" s="10" t="s">
        <v>241</v>
      </c>
      <c r="U2365" s="10" t="s">
        <v>241</v>
      </c>
      <c r="V2365" s="10" t="s">
        <v>241</v>
      </c>
      <c r="W2365" s="10" t="s">
        <v>242</v>
      </c>
      <c r="X2365" s="15">
        <f>IF(ISERROR(VLOOKUP($A2365,'13. Updated Demand'!A:Z,15,FALSE)),0,VLOOKUP($A2365,'13. Updated Demand'!A:Z,15,FALSE))</f>
        <v>0</v>
      </c>
      <c r="Y2365" s="16">
        <f>IF(ISERROR(VLOOKUP($A2365,'13. Updated Demand'!A:Z,16,FALSE)),0,VLOOKUP($A2365,'13. Updated Demand'!A:Z,16,FALSE))</f>
        <v>0</v>
      </c>
      <c r="Z2365" s="16">
        <f>IF(ISERROR(VLOOKUP($A2365,'13. Updated Demand'!A:Z,17,FALSE)),0,VLOOKUP($A2365,'13. Updated Demand'!A:Z,17,FALSE))</f>
        <v>0</v>
      </c>
      <c r="AA2365" s="16">
        <f>IF(ISERROR(VLOOKUP($A2365,'13. Updated Demand'!A:Z,18,FALSE)),0,VLOOKUP($A2365,'13. Updated Demand'!A:Z,18,FALSE))</f>
        <v>0</v>
      </c>
      <c r="AB2365" s="16">
        <f>IF(ISERROR(VLOOKUP($A2365,'13. Updated Demand'!A:Z,19,FALSE)),0,VLOOKUP($A2365,'13. Updated Demand'!A:Z,19,FALSE))</f>
        <v>0</v>
      </c>
      <c r="AC2365" s="16">
        <f>IF(ISERROR(VLOOKUP($A2365,'13. Updated Demand'!A:Z,20,FALSE)),0,VLOOKUP($A2365,'13. Updated Demand'!A:Z,20,FALSE))</f>
        <v>0</v>
      </c>
      <c r="AD2365" s="16">
        <f>IF(ISERROR(VLOOKUP($A2365,'13. Updated Demand'!A:Z,21,FALSE)),0,VLOOKUP($A2365,'13. Updated Demand'!A:Z,21,FALSE))</f>
        <v>0</v>
      </c>
      <c r="AE2365" s="16">
        <f>IF(ISERROR(VLOOKUP($A2365,'13. Updated Demand'!A:Z,22,FALSE)),0,VLOOKUP($A2365,'13. Updated Demand'!A:Z,22,FALSE))</f>
        <v>0</v>
      </c>
      <c r="AF2365" s="16">
        <f>IF(ISERROR(VLOOKUP($A2365,'13. Updated Demand'!A:Z,23,FALSE)),0,VLOOKUP($A2365,'13. Updated Demand'!A:Z,23,FALSE))</f>
        <v>0</v>
      </c>
      <c r="AG2365" s="16">
        <f>IF(ISERROR(VLOOKUP($A2365,'13. Updated Demand'!A:Z,24,FALSE)),0,VLOOKUP($A2365,'13. Updated Demand'!A:Z,24,FALSE))</f>
        <v>0</v>
      </c>
      <c r="AH2365" s="16">
        <f>IF(ISERROR(VLOOKUP($A2365,'13. Updated Demand'!A:Z,25,FALSE)),0,VLOOKUP($A2365,'13. Updated Demand'!A:Z,25,FALSE))</f>
        <v>0</v>
      </c>
      <c r="AI2365" s="16">
        <f>IF(ISERROR(VLOOKUP($A2365,'13. Updated Demand'!A:Z,26,FALSE)),0,VLOOKUP($A2365,'13. Updated Demand'!A:Z,26,FALSE))</f>
        <v>0</v>
      </c>
      <c r="AJ2365" s="16">
        <f t="shared" si="445"/>
        <v>0</v>
      </c>
      <c r="AK2365" s="19">
        <v>0</v>
      </c>
      <c r="AL2365" s="16">
        <f t="shared" si="443"/>
        <v>0</v>
      </c>
      <c r="AM2365" s="26">
        <v>0</v>
      </c>
      <c r="AN2365" s="19"/>
      <c r="AO2365" s="19"/>
      <c r="AP2365" s="19">
        <v>0</v>
      </c>
      <c r="AQ2365" s="19" t="s">
        <v>307</v>
      </c>
      <c r="AR2365" s="9" t="s">
        <v>319</v>
      </c>
      <c r="AS2365" s="12">
        <v>3.4039024194010059E-4</v>
      </c>
      <c r="AT2365" s="19">
        <v>38.949083999999999</v>
      </c>
      <c r="AU2365" s="19">
        <v>-123.121568</v>
      </c>
      <c r="AV2365" s="19" t="s">
        <v>2844</v>
      </c>
    </row>
    <row r="2366" spans="1:48" x14ac:dyDescent="0.25">
      <c r="A2366" s="18" t="s">
        <v>2845</v>
      </c>
      <c r="B2366" s="10">
        <v>10000000</v>
      </c>
      <c r="C2366" s="9">
        <v>4</v>
      </c>
      <c r="D2366" s="8" t="str">
        <f t="shared" si="434"/>
        <v>Y</v>
      </c>
      <c r="E2366" s="8" t="str">
        <f t="shared" si="435"/>
        <v>N</v>
      </c>
      <c r="F2366" s="8" t="str">
        <f t="shared" si="436"/>
        <v>Y</v>
      </c>
      <c r="G2366" s="8" t="str">
        <f t="shared" si="437"/>
        <v>Y</v>
      </c>
      <c r="H2366" s="8" t="str">
        <f t="shared" si="438"/>
        <v>Upper</v>
      </c>
      <c r="I2366" s="8" t="str">
        <f t="shared" si="439"/>
        <v>West Fork and Below Lake</v>
      </c>
      <c r="J2366" s="8" t="str">
        <f t="shared" si="440"/>
        <v>Mendocino (d/s of lake)</v>
      </c>
      <c r="K2366" s="8" t="str">
        <f t="shared" si="441"/>
        <v>Riparian</v>
      </c>
      <c r="L2366" s="8">
        <f t="shared" si="442"/>
        <v>1000</v>
      </c>
      <c r="M2366" s="8" t="str">
        <f t="shared" si="444"/>
        <v>-</v>
      </c>
      <c r="N2366" s="10" t="s">
        <v>242</v>
      </c>
      <c r="O2366" s="10" t="s">
        <v>241</v>
      </c>
      <c r="P2366" s="10" t="s">
        <v>242</v>
      </c>
      <c r="Q2366" s="10" t="s">
        <v>242</v>
      </c>
      <c r="R2366" s="10" t="s">
        <v>242</v>
      </c>
      <c r="S2366" s="10" t="s">
        <v>241</v>
      </c>
      <c r="T2366" s="10" t="s">
        <v>242</v>
      </c>
      <c r="U2366" s="10" t="s">
        <v>242</v>
      </c>
      <c r="V2366" s="10" t="s">
        <v>242</v>
      </c>
      <c r="W2366" s="10" t="s">
        <v>242</v>
      </c>
      <c r="X2366" s="15">
        <f>IF(ISERROR(VLOOKUP($A2366,'13. Updated Demand'!A:Z,15,FALSE)),0,VLOOKUP($A2366,'13. Updated Demand'!A:Z,15,FALSE))</f>
        <v>0.01</v>
      </c>
      <c r="Y2366" s="16">
        <f>IF(ISERROR(VLOOKUP($A2366,'13. Updated Demand'!A:Z,16,FALSE)),0,VLOOKUP($A2366,'13. Updated Demand'!A:Z,16,FALSE))</f>
        <v>0</v>
      </c>
      <c r="Z2366" s="16">
        <f>IF(ISERROR(VLOOKUP($A2366,'13. Updated Demand'!A:Z,17,FALSE)),0,VLOOKUP($A2366,'13. Updated Demand'!A:Z,17,FALSE))</f>
        <v>0</v>
      </c>
      <c r="AA2366" s="16">
        <f>IF(ISERROR(VLOOKUP($A2366,'13. Updated Demand'!A:Z,18,FALSE)),0,VLOOKUP($A2366,'13. Updated Demand'!A:Z,18,FALSE))</f>
        <v>0.01</v>
      </c>
      <c r="AB2366" s="16">
        <f>IF(ISERROR(VLOOKUP($A2366,'13. Updated Demand'!A:Z,19,FALSE)),0,VLOOKUP($A2366,'13. Updated Demand'!A:Z,19,FALSE))</f>
        <v>0.02</v>
      </c>
      <c r="AC2366" s="16">
        <f>IF(ISERROR(VLOOKUP($A2366,'13. Updated Demand'!A:Z,20,FALSE)),0,VLOOKUP($A2366,'13. Updated Demand'!A:Z,20,FALSE))</f>
        <v>0.02</v>
      </c>
      <c r="AD2366" s="16">
        <f>IF(ISERROR(VLOOKUP($A2366,'13. Updated Demand'!A:Z,21,FALSE)),0,VLOOKUP($A2366,'13. Updated Demand'!A:Z,21,FALSE))</f>
        <v>0.03</v>
      </c>
      <c r="AE2366" s="16">
        <f>IF(ISERROR(VLOOKUP($A2366,'13. Updated Demand'!A:Z,22,FALSE)),0,VLOOKUP($A2366,'13. Updated Demand'!A:Z,22,FALSE))</f>
        <v>0.03</v>
      </c>
      <c r="AF2366" s="16">
        <f>IF(ISERROR(VLOOKUP($A2366,'13. Updated Demand'!A:Z,23,FALSE)),0,VLOOKUP($A2366,'13. Updated Demand'!A:Z,23,FALSE))</f>
        <v>0.02</v>
      </c>
      <c r="AG2366" s="16">
        <f>IF(ISERROR(VLOOKUP($A2366,'13. Updated Demand'!A:Z,24,FALSE)),0,VLOOKUP($A2366,'13. Updated Demand'!A:Z,24,FALSE))</f>
        <v>0.01</v>
      </c>
      <c r="AH2366" s="16">
        <f>IF(ISERROR(VLOOKUP($A2366,'13. Updated Demand'!A:Z,25,FALSE)),0,VLOOKUP($A2366,'13. Updated Demand'!A:Z,25,FALSE))</f>
        <v>0</v>
      </c>
      <c r="AI2366" s="16">
        <f>IF(ISERROR(VLOOKUP($A2366,'13. Updated Demand'!A:Z,26,FALSE)),0,VLOOKUP($A2366,'13. Updated Demand'!A:Z,26,FALSE))</f>
        <v>0</v>
      </c>
      <c r="AJ2366" s="16">
        <f t="shared" si="445"/>
        <v>0.15</v>
      </c>
      <c r="AK2366" s="19">
        <v>0.14000000000000001</v>
      </c>
      <c r="AL2366" s="16">
        <f t="shared" si="443"/>
        <v>4.6436405250137129E-4</v>
      </c>
      <c r="AM2366" s="26">
        <v>0</v>
      </c>
      <c r="AN2366" s="19"/>
      <c r="AO2366" s="19"/>
      <c r="AP2366" s="19">
        <v>0</v>
      </c>
      <c r="AQ2366" s="19" t="s">
        <v>307</v>
      </c>
      <c r="AR2366" s="9" t="s">
        <v>331</v>
      </c>
      <c r="AS2366" s="12">
        <v>0</v>
      </c>
      <c r="AT2366" s="19">
        <v>39.119419999999998</v>
      </c>
      <c r="AU2366" s="19">
        <v>-123.11993</v>
      </c>
      <c r="AV2366" s="19" t="s">
        <v>2846</v>
      </c>
    </row>
    <row r="2367" spans="1:48" x14ac:dyDescent="0.25">
      <c r="A2367" s="18" t="s">
        <v>2847</v>
      </c>
      <c r="B2367" s="10">
        <v>10000000</v>
      </c>
      <c r="C2367" s="9">
        <v>1</v>
      </c>
      <c r="D2367" s="8" t="str">
        <f t="shared" si="434"/>
        <v>N</v>
      </c>
      <c r="E2367" s="8" t="str">
        <f t="shared" si="435"/>
        <v>N</v>
      </c>
      <c r="F2367" s="8" t="str">
        <f t="shared" si="436"/>
        <v>Y</v>
      </c>
      <c r="G2367" s="8" t="str">
        <f t="shared" si="437"/>
        <v>Y</v>
      </c>
      <c r="H2367" s="8" t="str">
        <f t="shared" si="438"/>
        <v>Upper</v>
      </c>
      <c r="I2367" s="8" t="str">
        <f t="shared" si="439"/>
        <v>West Fork and Below Lake</v>
      </c>
      <c r="J2367" s="8" t="str">
        <f t="shared" si="440"/>
        <v>Outside</v>
      </c>
      <c r="K2367" s="8" t="str">
        <f t="shared" si="441"/>
        <v>Riparian</v>
      </c>
      <c r="L2367" s="8">
        <f t="shared" si="442"/>
        <v>1000</v>
      </c>
      <c r="M2367" s="8" t="str">
        <f t="shared" si="444"/>
        <v>-</v>
      </c>
      <c r="N2367" s="10" t="s">
        <v>242</v>
      </c>
      <c r="O2367" s="10" t="s">
        <v>241</v>
      </c>
      <c r="P2367" s="10" t="s">
        <v>242</v>
      </c>
      <c r="Q2367" s="10" t="s">
        <v>242</v>
      </c>
      <c r="R2367" s="10" t="s">
        <v>242</v>
      </c>
      <c r="S2367" s="10" t="s">
        <v>241</v>
      </c>
      <c r="T2367" s="10" t="s">
        <v>242</v>
      </c>
      <c r="U2367" s="10" t="s">
        <v>242</v>
      </c>
      <c r="V2367" s="10" t="s">
        <v>242</v>
      </c>
      <c r="W2367" s="10" t="s">
        <v>242</v>
      </c>
      <c r="X2367" s="15">
        <f>IF(ISERROR(VLOOKUP($A2367,'13. Updated Demand'!A:Z,15,FALSE)),0,VLOOKUP($A2367,'13. Updated Demand'!A:Z,15,FALSE))</f>
        <v>0.05</v>
      </c>
      <c r="Y2367" s="16">
        <f>IF(ISERROR(VLOOKUP($A2367,'13. Updated Demand'!A:Z,16,FALSE)),0,VLOOKUP($A2367,'13. Updated Demand'!A:Z,16,FALSE))</f>
        <v>0.05</v>
      </c>
      <c r="Z2367" s="16">
        <f>IF(ISERROR(VLOOKUP($A2367,'13. Updated Demand'!A:Z,17,FALSE)),0,VLOOKUP($A2367,'13. Updated Demand'!A:Z,17,FALSE))</f>
        <v>0.05</v>
      </c>
      <c r="AA2367" s="16">
        <f>IF(ISERROR(VLOOKUP($A2367,'13. Updated Demand'!A:Z,18,FALSE)),0,VLOOKUP($A2367,'13. Updated Demand'!A:Z,18,FALSE))</f>
        <v>0.09</v>
      </c>
      <c r="AB2367" s="16">
        <f>IF(ISERROR(VLOOKUP($A2367,'13. Updated Demand'!A:Z,19,FALSE)),0,VLOOKUP($A2367,'13. Updated Demand'!A:Z,19,FALSE))</f>
        <v>0.09</v>
      </c>
      <c r="AC2367" s="16">
        <f>IF(ISERROR(VLOOKUP($A2367,'13. Updated Demand'!A:Z,20,FALSE)),0,VLOOKUP($A2367,'13. Updated Demand'!A:Z,20,FALSE))</f>
        <v>0.13</v>
      </c>
      <c r="AD2367" s="16">
        <f>IF(ISERROR(VLOOKUP($A2367,'13. Updated Demand'!A:Z,21,FALSE)),0,VLOOKUP($A2367,'13. Updated Demand'!A:Z,21,FALSE))</f>
        <v>0.13</v>
      </c>
      <c r="AE2367" s="16">
        <f>IF(ISERROR(VLOOKUP($A2367,'13. Updated Demand'!A:Z,22,FALSE)),0,VLOOKUP($A2367,'13. Updated Demand'!A:Z,22,FALSE))</f>
        <v>0.13</v>
      </c>
      <c r="AF2367" s="16">
        <f>IF(ISERROR(VLOOKUP($A2367,'13. Updated Demand'!A:Z,23,FALSE)),0,VLOOKUP($A2367,'13. Updated Demand'!A:Z,23,FALSE))</f>
        <v>0.13</v>
      </c>
      <c r="AG2367" s="16">
        <f>IF(ISERROR(VLOOKUP($A2367,'13. Updated Demand'!A:Z,24,FALSE)),0,VLOOKUP($A2367,'13. Updated Demand'!A:Z,24,FALSE))</f>
        <v>0.13</v>
      </c>
      <c r="AH2367" s="16">
        <f>IF(ISERROR(VLOOKUP($A2367,'13. Updated Demand'!A:Z,25,FALSE)),0,VLOOKUP($A2367,'13. Updated Demand'!A:Z,25,FALSE))</f>
        <v>0.09</v>
      </c>
      <c r="AI2367" s="16">
        <f>IF(ISERROR(VLOOKUP($A2367,'13. Updated Demand'!A:Z,26,FALSE)),0,VLOOKUP($A2367,'13. Updated Demand'!A:Z,26,FALSE))</f>
        <v>0.05</v>
      </c>
      <c r="AJ2367" s="16">
        <f t="shared" si="445"/>
        <v>1.1200000000000001</v>
      </c>
      <c r="AK2367" s="19">
        <v>0.61</v>
      </c>
      <c r="AL2367" s="16">
        <f t="shared" si="443"/>
        <v>2.0233005144702602E-3</v>
      </c>
      <c r="AM2367" s="26">
        <v>1.7377812257564005</v>
      </c>
      <c r="AN2367" s="19">
        <v>0.64449999999999996</v>
      </c>
      <c r="AO2367" s="19" t="s">
        <v>1758</v>
      </c>
      <c r="AP2367" s="19">
        <v>0</v>
      </c>
      <c r="AQ2367" s="19" t="s">
        <v>307</v>
      </c>
      <c r="AR2367" s="9" t="s">
        <v>317</v>
      </c>
      <c r="AS2367" s="12">
        <v>0</v>
      </c>
      <c r="AT2367" s="19">
        <v>39.252035999999997</v>
      </c>
      <c r="AU2367" s="19">
        <v>-123.287156</v>
      </c>
      <c r="AV2367" s="19" t="s">
        <v>414</v>
      </c>
    </row>
    <row r="2368" spans="1:48" x14ac:dyDescent="0.25">
      <c r="A2368" s="18" t="s">
        <v>2848</v>
      </c>
      <c r="B2368" s="10">
        <v>10000000</v>
      </c>
      <c r="C2368" s="9">
        <v>4</v>
      </c>
      <c r="D2368" s="8" t="str">
        <f t="shared" si="434"/>
        <v>Y</v>
      </c>
      <c r="E2368" s="8" t="str">
        <f t="shared" si="435"/>
        <v>N</v>
      </c>
      <c r="F2368" s="8" t="str">
        <f t="shared" si="436"/>
        <v>Y</v>
      </c>
      <c r="G2368" s="8" t="str">
        <f t="shared" si="437"/>
        <v>Y</v>
      </c>
      <c r="H2368" s="8" t="str">
        <f t="shared" si="438"/>
        <v>Upper</v>
      </c>
      <c r="I2368" s="8" t="str">
        <f t="shared" si="439"/>
        <v>West Fork and Below Lake</v>
      </c>
      <c r="J2368" s="8" t="str">
        <f t="shared" si="440"/>
        <v>Mendocino (d/s of lake)</v>
      </c>
      <c r="K2368" s="8" t="str">
        <f t="shared" si="441"/>
        <v>Riparian</v>
      </c>
      <c r="L2368" s="8">
        <f t="shared" si="442"/>
        <v>1000</v>
      </c>
      <c r="M2368" s="8" t="str">
        <f t="shared" si="444"/>
        <v>-</v>
      </c>
      <c r="N2368" s="10" t="s">
        <v>242</v>
      </c>
      <c r="O2368" s="10" t="s">
        <v>241</v>
      </c>
      <c r="P2368" s="10" t="s">
        <v>242</v>
      </c>
      <c r="Q2368" s="10" t="s">
        <v>242</v>
      </c>
      <c r="R2368" s="10" t="s">
        <v>242</v>
      </c>
      <c r="S2368" s="10" t="s">
        <v>241</v>
      </c>
      <c r="T2368" s="10" t="s">
        <v>242</v>
      </c>
      <c r="U2368" s="10" t="s">
        <v>242</v>
      </c>
      <c r="V2368" s="10" t="s">
        <v>242</v>
      </c>
      <c r="W2368" s="10" t="s">
        <v>242</v>
      </c>
      <c r="X2368" s="15">
        <f>IF(ISERROR(VLOOKUP($A2368,'13. Updated Demand'!A:Z,15,FALSE)),0,VLOOKUP($A2368,'13. Updated Demand'!A:Z,15,FALSE))</f>
        <v>9.206667E-3</v>
      </c>
      <c r="Y2368" s="16">
        <f>IF(ISERROR(VLOOKUP($A2368,'13. Updated Demand'!A:Z,16,FALSE)),0,VLOOKUP($A2368,'13. Updated Demand'!A:Z,16,FALSE))</f>
        <v>9.206667E-3</v>
      </c>
      <c r="Z2368" s="16">
        <f>IF(ISERROR(VLOOKUP($A2368,'13. Updated Demand'!A:Z,17,FALSE)),0,VLOOKUP($A2368,'13. Updated Demand'!A:Z,17,FALSE))</f>
        <v>9.2743329999999992E-3</v>
      </c>
      <c r="AA2368" s="16">
        <f>IF(ISERROR(VLOOKUP($A2368,'13. Updated Demand'!A:Z,18,FALSE)),0,VLOOKUP($A2368,'13. Updated Demand'!A:Z,18,FALSE))</f>
        <v>9.2743329999999992E-3</v>
      </c>
      <c r="AB2368" s="16">
        <f>IF(ISERROR(VLOOKUP($A2368,'13. Updated Demand'!A:Z,19,FALSE)),0,VLOOKUP($A2368,'13. Updated Demand'!A:Z,19,FALSE))</f>
        <v>9.2743329999999992E-3</v>
      </c>
      <c r="AC2368" s="16">
        <f>IF(ISERROR(VLOOKUP($A2368,'13. Updated Demand'!A:Z,20,FALSE)),0,VLOOKUP($A2368,'13. Updated Demand'!A:Z,20,FALSE))</f>
        <v>9.2743329999999992E-3</v>
      </c>
      <c r="AD2368" s="16">
        <f>IF(ISERROR(VLOOKUP($A2368,'13. Updated Demand'!A:Z,21,FALSE)),0,VLOOKUP($A2368,'13. Updated Demand'!A:Z,21,FALSE))</f>
        <v>9.8203330000000005E-3</v>
      </c>
      <c r="AE2368" s="16">
        <f>IF(ISERROR(VLOOKUP($A2368,'13. Updated Demand'!A:Z,22,FALSE)),0,VLOOKUP($A2368,'13. Updated Demand'!A:Z,22,FALSE))</f>
        <v>9.8203330000000005E-3</v>
      </c>
      <c r="AF2368" s="16">
        <f>IF(ISERROR(VLOOKUP($A2368,'13. Updated Demand'!A:Z,23,FALSE)),0,VLOOKUP($A2368,'13. Updated Demand'!A:Z,23,FALSE))</f>
        <v>9.8203330000000005E-3</v>
      </c>
      <c r="AG2368" s="16">
        <f>IF(ISERROR(VLOOKUP($A2368,'13. Updated Demand'!A:Z,24,FALSE)),0,VLOOKUP($A2368,'13. Updated Demand'!A:Z,24,FALSE))</f>
        <v>9.2743329999999992E-3</v>
      </c>
      <c r="AH2368" s="16">
        <f>IF(ISERROR(VLOOKUP($A2368,'13. Updated Demand'!A:Z,25,FALSE)),0,VLOOKUP($A2368,'13. Updated Demand'!A:Z,25,FALSE))</f>
        <v>9.206667E-3</v>
      </c>
      <c r="AI2368" s="16">
        <f>IF(ISERROR(VLOOKUP($A2368,'13. Updated Demand'!A:Z,26,FALSE)),0,VLOOKUP($A2368,'13. Updated Demand'!A:Z,26,FALSE))</f>
        <v>9.206667E-3</v>
      </c>
      <c r="AJ2368" s="16">
        <f t="shared" si="445"/>
        <v>0.11265933199999999</v>
      </c>
      <c r="AK2368" s="19">
        <v>4.8009665E-2</v>
      </c>
      <c r="AL2368" s="16">
        <f t="shared" si="443"/>
        <v>1.5924258999023747E-4</v>
      </c>
      <c r="AM2368" s="26">
        <v>0.12835744787512815</v>
      </c>
      <c r="AN2368" s="19">
        <v>0.87770000000000004</v>
      </c>
      <c r="AO2368" s="19" t="s">
        <v>1758</v>
      </c>
      <c r="AP2368" s="19">
        <v>0</v>
      </c>
      <c r="AQ2368" s="19" t="s">
        <v>307</v>
      </c>
      <c r="AR2368" s="9" t="s">
        <v>331</v>
      </c>
      <c r="AS2368" s="12">
        <v>3.4039024194010059E-4</v>
      </c>
      <c r="AT2368" s="19">
        <v>39.167430000000003</v>
      </c>
      <c r="AU2368" s="19">
        <v>-123.24187000000001</v>
      </c>
      <c r="AV2368" s="19" t="s">
        <v>1882</v>
      </c>
    </row>
    <row r="2369" spans="1:48" x14ac:dyDescent="0.25">
      <c r="A2369" s="18" t="s">
        <v>2849</v>
      </c>
      <c r="B2369" s="10">
        <v>10000000</v>
      </c>
      <c r="C2369" s="9">
        <v>23</v>
      </c>
      <c r="D2369" s="8" t="str">
        <f t="shared" si="434"/>
        <v>N</v>
      </c>
      <c r="E2369" s="8" t="str">
        <f t="shared" si="435"/>
        <v>N</v>
      </c>
      <c r="F2369" s="8" t="str">
        <f t="shared" si="436"/>
        <v>N</v>
      </c>
      <c r="G2369" s="8" t="str">
        <f t="shared" si="437"/>
        <v>N</v>
      </c>
      <c r="H2369" s="8" t="str">
        <f t="shared" si="438"/>
        <v>Lower</v>
      </c>
      <c r="I2369" s="8" t="str">
        <f t="shared" si="439"/>
        <v>Outside</v>
      </c>
      <c r="J2369" s="8" t="str">
        <f t="shared" si="440"/>
        <v>Outside</v>
      </c>
      <c r="K2369" s="8" t="str">
        <f t="shared" si="441"/>
        <v>Riparian</v>
      </c>
      <c r="L2369" s="8">
        <f t="shared" si="442"/>
        <v>1000</v>
      </c>
      <c r="M2369" s="8" t="str">
        <f t="shared" si="444"/>
        <v>-</v>
      </c>
      <c r="N2369" s="10" t="s">
        <v>242</v>
      </c>
      <c r="O2369" s="10" t="s">
        <v>242</v>
      </c>
      <c r="P2369" s="10" t="s">
        <v>242</v>
      </c>
      <c r="Q2369" s="10" t="s">
        <v>242</v>
      </c>
      <c r="R2369" s="10" t="s">
        <v>242</v>
      </c>
      <c r="S2369" s="10" t="s">
        <v>241</v>
      </c>
      <c r="T2369" s="10" t="s">
        <v>242</v>
      </c>
      <c r="U2369" s="10" t="s">
        <v>241</v>
      </c>
      <c r="V2369" s="10" t="s">
        <v>241</v>
      </c>
      <c r="W2369" s="10" t="s">
        <v>242</v>
      </c>
      <c r="X2369" s="15">
        <f>IF(ISERROR(VLOOKUP($A2369,'13. Updated Demand'!A:Z,15,FALSE)),0,VLOOKUP($A2369,'13. Updated Demand'!A:Z,15,FALSE))</f>
        <v>0</v>
      </c>
      <c r="Y2369" s="16">
        <f>IF(ISERROR(VLOOKUP($A2369,'13. Updated Demand'!A:Z,16,FALSE)),0,VLOOKUP($A2369,'13. Updated Demand'!A:Z,16,FALSE))</f>
        <v>0</v>
      </c>
      <c r="Z2369" s="16">
        <f>IF(ISERROR(VLOOKUP($A2369,'13. Updated Demand'!A:Z,17,FALSE)),0,VLOOKUP($A2369,'13. Updated Demand'!A:Z,17,FALSE))</f>
        <v>0</v>
      </c>
      <c r="AA2369" s="16">
        <f>IF(ISERROR(VLOOKUP($A2369,'13. Updated Demand'!A:Z,18,FALSE)),0,VLOOKUP($A2369,'13. Updated Demand'!A:Z,18,FALSE))</f>
        <v>0</v>
      </c>
      <c r="AB2369" s="16">
        <f>IF(ISERROR(VLOOKUP($A2369,'13. Updated Demand'!A:Z,19,FALSE)),0,VLOOKUP($A2369,'13. Updated Demand'!A:Z,19,FALSE))</f>
        <v>0</v>
      </c>
      <c r="AC2369" s="16">
        <f>IF(ISERROR(VLOOKUP($A2369,'13. Updated Demand'!A:Z,20,FALSE)),0,VLOOKUP($A2369,'13. Updated Demand'!A:Z,20,FALSE))</f>
        <v>0</v>
      </c>
      <c r="AD2369" s="16">
        <f>IF(ISERROR(VLOOKUP($A2369,'13. Updated Demand'!A:Z,21,FALSE)),0,VLOOKUP($A2369,'13. Updated Demand'!A:Z,21,FALSE))</f>
        <v>0</v>
      </c>
      <c r="AE2369" s="16">
        <f>IF(ISERROR(VLOOKUP($A2369,'13. Updated Demand'!A:Z,22,FALSE)),0,VLOOKUP($A2369,'13. Updated Demand'!A:Z,22,FALSE))</f>
        <v>0</v>
      </c>
      <c r="AF2369" s="16">
        <f>IF(ISERROR(VLOOKUP($A2369,'13. Updated Demand'!A:Z,23,FALSE)),0,VLOOKUP($A2369,'13. Updated Demand'!A:Z,23,FALSE))</f>
        <v>0</v>
      </c>
      <c r="AG2369" s="16">
        <f>IF(ISERROR(VLOOKUP($A2369,'13. Updated Demand'!A:Z,24,FALSE)),0,VLOOKUP($A2369,'13. Updated Demand'!A:Z,24,FALSE))</f>
        <v>0</v>
      </c>
      <c r="AH2369" s="16">
        <f>IF(ISERROR(VLOOKUP($A2369,'13. Updated Demand'!A:Z,25,FALSE)),0,VLOOKUP($A2369,'13. Updated Demand'!A:Z,25,FALSE))</f>
        <v>0</v>
      </c>
      <c r="AI2369" s="16">
        <f>IF(ISERROR(VLOOKUP($A2369,'13. Updated Demand'!A:Z,26,FALSE)),0,VLOOKUP($A2369,'13. Updated Demand'!A:Z,26,FALSE))</f>
        <v>0</v>
      </c>
      <c r="AJ2369" s="16">
        <f t="shared" si="445"/>
        <v>0</v>
      </c>
      <c r="AK2369" s="19">
        <v>0</v>
      </c>
      <c r="AL2369" s="16">
        <f t="shared" si="443"/>
        <v>0</v>
      </c>
      <c r="AM2369" s="26">
        <v>0</v>
      </c>
      <c r="AN2369" s="19">
        <v>9.1999999999999998E-3</v>
      </c>
      <c r="AO2369" s="19" t="s">
        <v>1758</v>
      </c>
      <c r="AP2369" s="19">
        <v>0</v>
      </c>
      <c r="AQ2369" s="19" t="s">
        <v>307</v>
      </c>
      <c r="AR2369" s="9" t="s">
        <v>378</v>
      </c>
      <c r="AS2369" s="12">
        <v>3.4039024194010059E-4</v>
      </c>
      <c r="AT2369" s="19">
        <v>38.375222219999998</v>
      </c>
      <c r="AU2369" s="19">
        <v>-122.60011111</v>
      </c>
      <c r="AV2369" s="19" t="s">
        <v>2782</v>
      </c>
    </row>
    <row r="2370" spans="1:48" x14ac:dyDescent="0.25">
      <c r="A2370" s="18" t="s">
        <v>2850</v>
      </c>
      <c r="B2370" s="10">
        <v>10000000</v>
      </c>
      <c r="C2370" s="9">
        <v>2</v>
      </c>
      <c r="D2370" s="8" t="str">
        <f t="shared" ref="D2370:D2413" si="446">IF(OR(C2370=4,C2370=5,C2370=6),"Y","N")</f>
        <v>N</v>
      </c>
      <c r="E2370" s="8" t="str">
        <f t="shared" ref="E2370:E2413" si="447">IF(AND(C2370&gt;6,C2370&lt;14),"Y","N")</f>
        <v>N</v>
      </c>
      <c r="F2370" s="8" t="str">
        <f t="shared" ref="F2370:F2413" si="448">IF(C2370&lt;14,"Y","N")</f>
        <v>Y</v>
      </c>
      <c r="G2370" s="8" t="str">
        <f t="shared" ref="G2370:G2413" si="449">IF(OR(C2370=1,AND(C2370&gt;3,C2370&lt;14)),"Y","N")</f>
        <v>N</v>
      </c>
      <c r="H2370" s="8" t="str">
        <f t="shared" ref="H2370:H2413" si="450">IF(C2370&lt;14,"Upper","Lower")</f>
        <v>Upper</v>
      </c>
      <c r="I2370" s="8" t="str">
        <f t="shared" ref="I2370:I2413" si="451">IF(G2370="Y","West Fork and Below Lake","Outside")</f>
        <v>Outside</v>
      </c>
      <c r="J2370" s="8" t="str">
        <f t="shared" ref="J2370:J2413" si="452">IF(D2370="Y", "Mendocino (d/s of lake)", IF(E2370="Y", "Sonoma (d/s of Clov. Gage)","Outside"))</f>
        <v>Outside</v>
      </c>
      <c r="K2370" s="8" t="str">
        <f t="shared" ref="K2370:K2413" si="453">IF(P2370="Y","pre-1914",IF(Q2370="Y","Pre-1949",IF(R2370="Y","Post-1949",IF(S2370="Y","Riparian","Unknown"))))</f>
        <v>Riparian</v>
      </c>
      <c r="L2370" s="8">
        <f t="shared" ref="L2370:L2413" si="454">_xlfn.NUMBERVALUE(LEFT(B2370,4))</f>
        <v>1000</v>
      </c>
      <c r="M2370" s="8" t="str">
        <f t="shared" si="444"/>
        <v>-</v>
      </c>
      <c r="N2370" s="10" t="s">
        <v>242</v>
      </c>
      <c r="O2370" s="10" t="s">
        <v>241</v>
      </c>
      <c r="P2370" s="10" t="s">
        <v>242</v>
      </c>
      <c r="Q2370" s="10" t="s">
        <v>242</v>
      </c>
      <c r="R2370" s="10" t="s">
        <v>242</v>
      </c>
      <c r="S2370" s="10" t="s">
        <v>241</v>
      </c>
      <c r="T2370" s="10" t="s">
        <v>241</v>
      </c>
      <c r="U2370" s="10" t="s">
        <v>241</v>
      </c>
      <c r="V2370" s="10" t="s">
        <v>241</v>
      </c>
      <c r="W2370" s="10" t="s">
        <v>242</v>
      </c>
      <c r="X2370" s="15">
        <f>IF(ISERROR(VLOOKUP($A2370,'13. Updated Demand'!A:Z,15,FALSE)),0,VLOOKUP($A2370,'13. Updated Demand'!A:Z,15,FALSE))</f>
        <v>0</v>
      </c>
      <c r="Y2370" s="16">
        <f>IF(ISERROR(VLOOKUP($A2370,'13. Updated Demand'!A:Z,16,FALSE)),0,VLOOKUP($A2370,'13. Updated Demand'!A:Z,16,FALSE))</f>
        <v>0</v>
      </c>
      <c r="Z2370" s="16">
        <f>IF(ISERROR(VLOOKUP($A2370,'13. Updated Demand'!A:Z,17,FALSE)),0,VLOOKUP($A2370,'13. Updated Demand'!A:Z,17,FALSE))</f>
        <v>0</v>
      </c>
      <c r="AA2370" s="16">
        <f>IF(ISERROR(VLOOKUP($A2370,'13. Updated Demand'!A:Z,18,FALSE)),0,VLOOKUP($A2370,'13. Updated Demand'!A:Z,18,FALSE))</f>
        <v>0</v>
      </c>
      <c r="AB2370" s="16">
        <f>IF(ISERROR(VLOOKUP($A2370,'13. Updated Demand'!A:Z,19,FALSE)),0,VLOOKUP($A2370,'13. Updated Demand'!A:Z,19,FALSE))</f>
        <v>0</v>
      </c>
      <c r="AC2370" s="16">
        <f>IF(ISERROR(VLOOKUP($A2370,'13. Updated Demand'!A:Z,20,FALSE)),0,VLOOKUP($A2370,'13. Updated Demand'!A:Z,20,FALSE))</f>
        <v>0</v>
      </c>
      <c r="AD2370" s="16">
        <f>IF(ISERROR(VLOOKUP($A2370,'13. Updated Demand'!A:Z,21,FALSE)),0,VLOOKUP($A2370,'13. Updated Demand'!A:Z,21,FALSE))</f>
        <v>0</v>
      </c>
      <c r="AE2370" s="16">
        <f>IF(ISERROR(VLOOKUP($A2370,'13. Updated Demand'!A:Z,22,FALSE)),0,VLOOKUP($A2370,'13. Updated Demand'!A:Z,22,FALSE))</f>
        <v>0</v>
      </c>
      <c r="AF2370" s="16">
        <f>IF(ISERROR(VLOOKUP($A2370,'13. Updated Demand'!A:Z,23,FALSE)),0,VLOOKUP($A2370,'13. Updated Demand'!A:Z,23,FALSE))</f>
        <v>0</v>
      </c>
      <c r="AG2370" s="16">
        <f>IF(ISERROR(VLOOKUP($A2370,'13. Updated Demand'!A:Z,24,FALSE)),0,VLOOKUP($A2370,'13. Updated Demand'!A:Z,24,FALSE))</f>
        <v>0</v>
      </c>
      <c r="AH2370" s="16">
        <f>IF(ISERROR(VLOOKUP($A2370,'13. Updated Demand'!A:Z,25,FALSE)),0,VLOOKUP($A2370,'13. Updated Demand'!A:Z,25,FALSE))</f>
        <v>0</v>
      </c>
      <c r="AI2370" s="16">
        <f>IF(ISERROR(VLOOKUP($A2370,'13. Updated Demand'!A:Z,26,FALSE)),0,VLOOKUP($A2370,'13. Updated Demand'!A:Z,26,FALSE))</f>
        <v>0</v>
      </c>
      <c r="AJ2370" s="16">
        <f t="shared" si="445"/>
        <v>0</v>
      </c>
      <c r="AK2370" s="19">
        <v>0</v>
      </c>
      <c r="AL2370" s="16">
        <f t="shared" ref="AL2370:AL2409" si="455">AK2370/152/1.983471</f>
        <v>0</v>
      </c>
      <c r="AM2370" s="26">
        <v>0</v>
      </c>
      <c r="AN2370" s="19">
        <v>0</v>
      </c>
      <c r="AO2370" s="19" t="s">
        <v>1758</v>
      </c>
      <c r="AP2370" s="19">
        <v>0</v>
      </c>
      <c r="AQ2370" s="19" t="s">
        <v>307</v>
      </c>
      <c r="AR2370" s="9" t="s">
        <v>348</v>
      </c>
      <c r="AS2370" s="12">
        <v>0</v>
      </c>
      <c r="AT2370" s="19">
        <v>39.213101999999999</v>
      </c>
      <c r="AU2370" s="19">
        <v>-123.082155</v>
      </c>
      <c r="AV2370" s="19" t="s">
        <v>320</v>
      </c>
    </row>
    <row r="2371" spans="1:48" x14ac:dyDescent="0.25">
      <c r="A2371" s="18" t="s">
        <v>2851</v>
      </c>
      <c r="B2371" s="10">
        <v>10000000</v>
      </c>
      <c r="C2371" s="9">
        <v>11</v>
      </c>
      <c r="D2371" s="8" t="str">
        <f t="shared" si="446"/>
        <v>N</v>
      </c>
      <c r="E2371" s="8" t="str">
        <f t="shared" si="447"/>
        <v>Y</v>
      </c>
      <c r="F2371" s="8" t="str">
        <f t="shared" si="448"/>
        <v>Y</v>
      </c>
      <c r="G2371" s="8" t="str">
        <f t="shared" si="449"/>
        <v>Y</v>
      </c>
      <c r="H2371" s="8" t="str">
        <f t="shared" si="450"/>
        <v>Upper</v>
      </c>
      <c r="I2371" s="8" t="str">
        <f t="shared" si="451"/>
        <v>West Fork and Below Lake</v>
      </c>
      <c r="J2371" s="8" t="str">
        <f t="shared" si="452"/>
        <v>Sonoma (d/s of Clov. Gage)</v>
      </c>
      <c r="K2371" s="8" t="str">
        <f t="shared" si="453"/>
        <v>Riparian</v>
      </c>
      <c r="L2371" s="8">
        <f t="shared" si="454"/>
        <v>1000</v>
      </c>
      <c r="M2371" s="8" t="str">
        <f t="shared" ref="M2371:M2413" si="456">IF(L2371=1949,"1949",IF(AND(L2371&gt;1949,L2371&lt;1953),"1950-1952",IF(AND(L2371&gt;1952,L2371&lt;1955),"1953-1954",IF(AND(L2371&gt;1954,L2371&lt;1957),"1955-1956",IF(AND(L2371&gt;1956,L2371&lt;1960),"1957-1959",IF(AND(L2371&gt;1959,L2371&lt;1971),"1960-1970",IF(AND(L2371&gt;1970,L2371&lt;1991),"1971-1990",IF(L2371&gt;1990,"1991-present","-"))))))))</f>
        <v>-</v>
      </c>
      <c r="N2371" s="10" t="s">
        <v>242</v>
      </c>
      <c r="O2371" s="10" t="s">
        <v>241</v>
      </c>
      <c r="P2371" s="10" t="s">
        <v>242</v>
      </c>
      <c r="Q2371" s="10" t="s">
        <v>242</v>
      </c>
      <c r="R2371" s="10" t="s">
        <v>242</v>
      </c>
      <c r="S2371" s="10" t="s">
        <v>241</v>
      </c>
      <c r="T2371" s="10" t="s">
        <v>242</v>
      </c>
      <c r="U2371" s="10" t="s">
        <v>242</v>
      </c>
      <c r="V2371" s="10" t="s">
        <v>242</v>
      </c>
      <c r="W2371" s="10" t="s">
        <v>242</v>
      </c>
      <c r="X2371" s="15">
        <f>IF(ISERROR(VLOOKUP($A2371,'13. Updated Demand'!A:Z,15,FALSE)),0,VLOOKUP($A2371,'13. Updated Demand'!A:Z,15,FALSE))</f>
        <v>0</v>
      </c>
      <c r="Y2371" s="16">
        <f>IF(ISERROR(VLOOKUP($A2371,'13. Updated Demand'!A:Z,16,FALSE)),0,VLOOKUP($A2371,'13. Updated Demand'!A:Z,16,FALSE))</f>
        <v>0</v>
      </c>
      <c r="Z2371" s="16">
        <f>IF(ISERROR(VLOOKUP($A2371,'13. Updated Demand'!A:Z,17,FALSE)),0,VLOOKUP($A2371,'13. Updated Demand'!A:Z,17,FALSE))</f>
        <v>6.6666670000000003E-3</v>
      </c>
      <c r="AA2371" s="16">
        <f>IF(ISERROR(VLOOKUP($A2371,'13. Updated Demand'!A:Z,18,FALSE)),0,VLOOKUP($A2371,'13. Updated Demand'!A:Z,18,FALSE))</f>
        <v>0.02</v>
      </c>
      <c r="AB2371" s="16">
        <f>IF(ISERROR(VLOOKUP($A2371,'13. Updated Demand'!A:Z,19,FALSE)),0,VLOOKUP($A2371,'13. Updated Demand'!A:Z,19,FALSE))</f>
        <v>0.05</v>
      </c>
      <c r="AC2371" s="16">
        <f>IF(ISERROR(VLOOKUP($A2371,'13. Updated Demand'!A:Z,20,FALSE)),0,VLOOKUP($A2371,'13. Updated Demand'!A:Z,20,FALSE))</f>
        <v>0.1</v>
      </c>
      <c r="AD2371" s="16">
        <f>IF(ISERROR(VLOOKUP($A2371,'13. Updated Demand'!A:Z,21,FALSE)),0,VLOOKUP($A2371,'13. Updated Demand'!A:Z,21,FALSE))</f>
        <v>0.11</v>
      </c>
      <c r="AE2371" s="16">
        <f>IF(ISERROR(VLOOKUP($A2371,'13. Updated Demand'!A:Z,22,FALSE)),0,VLOOKUP($A2371,'13. Updated Demand'!A:Z,22,FALSE))</f>
        <v>0.12</v>
      </c>
      <c r="AF2371" s="16">
        <f>IF(ISERROR(VLOOKUP($A2371,'13. Updated Demand'!A:Z,23,FALSE)),0,VLOOKUP($A2371,'13. Updated Demand'!A:Z,23,FALSE))</f>
        <v>7.0000000000000007E-2</v>
      </c>
      <c r="AG2371" s="16">
        <f>IF(ISERROR(VLOOKUP($A2371,'13. Updated Demand'!A:Z,24,FALSE)),0,VLOOKUP($A2371,'13. Updated Demand'!A:Z,24,FALSE))</f>
        <v>0.01</v>
      </c>
      <c r="AH2371" s="16">
        <f>IF(ISERROR(VLOOKUP($A2371,'13. Updated Demand'!A:Z,25,FALSE)),0,VLOOKUP($A2371,'13. Updated Demand'!A:Z,25,FALSE))</f>
        <v>0</v>
      </c>
      <c r="AI2371" s="16">
        <f>IF(ISERROR(VLOOKUP($A2371,'13. Updated Demand'!A:Z,26,FALSE)),0,VLOOKUP($A2371,'13. Updated Demand'!A:Z,26,FALSE))</f>
        <v>0</v>
      </c>
      <c r="AJ2371" s="16">
        <f t="shared" si="445"/>
        <v>0.486666667</v>
      </c>
      <c r="AK2371" s="19">
        <v>0.47333333400000005</v>
      </c>
      <c r="AL2371" s="16">
        <f t="shared" si="455"/>
        <v>1.5699927511444651E-3</v>
      </c>
      <c r="AM2371" s="26">
        <v>0.22962963022222224</v>
      </c>
      <c r="AN2371" s="19">
        <v>2.25</v>
      </c>
      <c r="AO2371" s="19" t="s">
        <v>1758</v>
      </c>
      <c r="AP2371" s="19">
        <v>0</v>
      </c>
      <c r="AQ2371" s="19" t="s">
        <v>307</v>
      </c>
      <c r="AR2371" s="9" t="s">
        <v>308</v>
      </c>
      <c r="AS2371" s="12">
        <v>0</v>
      </c>
      <c r="AT2371" s="19">
        <v>38.662049490000001</v>
      </c>
      <c r="AU2371" s="19">
        <v>-122.75614984000001</v>
      </c>
      <c r="AV2371" s="19" t="s">
        <v>385</v>
      </c>
    </row>
    <row r="2372" spans="1:48" x14ac:dyDescent="0.25">
      <c r="A2372" s="18" t="s">
        <v>2852</v>
      </c>
      <c r="B2372" s="10">
        <v>10000000</v>
      </c>
      <c r="C2372" s="9">
        <v>18</v>
      </c>
      <c r="D2372" s="8" t="str">
        <f t="shared" si="446"/>
        <v>N</v>
      </c>
      <c r="E2372" s="8" t="str">
        <f t="shared" si="447"/>
        <v>N</v>
      </c>
      <c r="F2372" s="8" t="str">
        <f t="shared" si="448"/>
        <v>N</v>
      </c>
      <c r="G2372" s="8" t="str">
        <f t="shared" si="449"/>
        <v>N</v>
      </c>
      <c r="H2372" s="8" t="str">
        <f t="shared" si="450"/>
        <v>Lower</v>
      </c>
      <c r="I2372" s="8" t="str">
        <f t="shared" si="451"/>
        <v>Outside</v>
      </c>
      <c r="J2372" s="8" t="str">
        <f t="shared" si="452"/>
        <v>Outside</v>
      </c>
      <c r="K2372" s="8" t="str">
        <f t="shared" si="453"/>
        <v>Riparian</v>
      </c>
      <c r="L2372" s="8">
        <f t="shared" si="454"/>
        <v>1000</v>
      </c>
      <c r="M2372" s="8" t="str">
        <f t="shared" si="456"/>
        <v>-</v>
      </c>
      <c r="N2372" s="10" t="s">
        <v>242</v>
      </c>
      <c r="O2372" s="10" t="s">
        <v>242</v>
      </c>
      <c r="P2372" s="10" t="s">
        <v>242</v>
      </c>
      <c r="Q2372" s="10" t="s">
        <v>242</v>
      </c>
      <c r="R2372" s="10" t="s">
        <v>242</v>
      </c>
      <c r="S2372" s="10" t="s">
        <v>241</v>
      </c>
      <c r="T2372" s="10" t="s">
        <v>242</v>
      </c>
      <c r="U2372" s="10" t="s">
        <v>242</v>
      </c>
      <c r="V2372" s="10" t="s">
        <v>242</v>
      </c>
      <c r="W2372" s="10" t="s">
        <v>242</v>
      </c>
      <c r="X2372" s="15">
        <f>IF(ISERROR(VLOOKUP($A2372,'13. Updated Demand'!A:Z,15,FALSE)),0,VLOOKUP($A2372,'13. Updated Demand'!A:Z,15,FALSE))</f>
        <v>4.8630000000000001E-3</v>
      </c>
      <c r="Y2372" s="16">
        <f>IF(ISERROR(VLOOKUP($A2372,'13. Updated Demand'!A:Z,16,FALSE)),0,VLOOKUP($A2372,'13. Updated Demand'!A:Z,16,FALSE))</f>
        <v>9.3803329999999994E-3</v>
      </c>
      <c r="Z2372" s="16">
        <f>IF(ISERROR(VLOOKUP($A2372,'13. Updated Demand'!A:Z,17,FALSE)),0,VLOOKUP($A2372,'13. Updated Demand'!A:Z,17,FALSE))</f>
        <v>1.1362000000000001E-2</v>
      </c>
      <c r="AA2372" s="16">
        <f>IF(ISERROR(VLOOKUP($A2372,'13. Updated Demand'!A:Z,18,FALSE)),0,VLOOKUP($A2372,'13. Updated Demand'!A:Z,18,FALSE))</f>
        <v>2.7400332999999999E-2</v>
      </c>
      <c r="AB2372" s="16">
        <f>IF(ISERROR(VLOOKUP($A2372,'13. Updated Demand'!A:Z,19,FALSE)),0,VLOOKUP($A2372,'13. Updated Demand'!A:Z,19,FALSE))</f>
        <v>3.9353332999999997E-2</v>
      </c>
      <c r="AC2372" s="16">
        <f>IF(ISERROR(VLOOKUP($A2372,'13. Updated Demand'!A:Z,20,FALSE)),0,VLOOKUP($A2372,'13. Updated Demand'!A:Z,20,FALSE))</f>
        <v>5.4626000000000001E-2</v>
      </c>
      <c r="AD2372" s="16">
        <f>IF(ISERROR(VLOOKUP($A2372,'13. Updated Demand'!A:Z,21,FALSE)),0,VLOOKUP($A2372,'13. Updated Demand'!A:Z,21,FALSE))</f>
        <v>4.8825667000000003E-2</v>
      </c>
      <c r="AE2372" s="16">
        <f>IF(ISERROR(VLOOKUP($A2372,'13. Updated Demand'!A:Z,22,FALSE)),0,VLOOKUP($A2372,'13. Updated Demand'!A:Z,22,FALSE))</f>
        <v>5.2026000000000003E-2</v>
      </c>
      <c r="AF2372" s="16">
        <f>IF(ISERROR(VLOOKUP($A2372,'13. Updated Demand'!A:Z,23,FALSE)),0,VLOOKUP($A2372,'13. Updated Demand'!A:Z,23,FALSE))</f>
        <v>5.1496E-2</v>
      </c>
      <c r="AG2372" s="16">
        <f>IF(ISERROR(VLOOKUP($A2372,'13. Updated Demand'!A:Z,24,FALSE)),0,VLOOKUP($A2372,'13. Updated Demand'!A:Z,24,FALSE))</f>
        <v>3.653E-2</v>
      </c>
      <c r="AH2372" s="16">
        <f>IF(ISERROR(VLOOKUP($A2372,'13. Updated Demand'!A:Z,25,FALSE)),0,VLOOKUP($A2372,'13. Updated Demand'!A:Z,25,FALSE))</f>
        <v>1.0014667E-2</v>
      </c>
      <c r="AI2372" s="16">
        <f>IF(ISERROR(VLOOKUP($A2372,'13. Updated Demand'!A:Z,26,FALSE)),0,VLOOKUP($A2372,'13. Updated Demand'!A:Z,26,FALSE))</f>
        <v>1.1978667E-2</v>
      </c>
      <c r="AJ2372" s="16">
        <f t="shared" si="445"/>
        <v>0.35785600000000001</v>
      </c>
      <c r="AK2372" s="19">
        <v>0.24632700000000002</v>
      </c>
      <c r="AL2372" s="16">
        <f t="shared" si="455"/>
        <v>8.1703859971789499E-4</v>
      </c>
      <c r="AM2372" s="26">
        <v>1.3940631086871835</v>
      </c>
      <c r="AN2372" s="19">
        <v>0.25669999999999998</v>
      </c>
      <c r="AO2372" s="19" t="s">
        <v>1758</v>
      </c>
      <c r="AP2372" s="19">
        <v>0</v>
      </c>
      <c r="AQ2372" s="19" t="s">
        <v>307</v>
      </c>
      <c r="AR2372" s="9" t="s">
        <v>352</v>
      </c>
      <c r="AS2372" s="12">
        <v>3.4039024194010059E-4</v>
      </c>
      <c r="AT2372" s="19">
        <v>38.392222220000001</v>
      </c>
      <c r="AU2372" s="19">
        <v>-122.8875</v>
      </c>
      <c r="AV2372" s="19" t="s">
        <v>469</v>
      </c>
    </row>
    <row r="2373" spans="1:48" x14ac:dyDescent="0.25">
      <c r="A2373" s="18" t="s">
        <v>2853</v>
      </c>
      <c r="B2373" s="10">
        <v>10000000</v>
      </c>
      <c r="C2373" s="9">
        <v>20</v>
      </c>
      <c r="D2373" s="8" t="str">
        <f t="shared" si="446"/>
        <v>N</v>
      </c>
      <c r="E2373" s="8" t="str">
        <f t="shared" si="447"/>
        <v>N</v>
      </c>
      <c r="F2373" s="8" t="str">
        <f t="shared" si="448"/>
        <v>N</v>
      </c>
      <c r="G2373" s="8" t="str">
        <f t="shared" si="449"/>
        <v>N</v>
      </c>
      <c r="H2373" s="8" t="str">
        <f t="shared" si="450"/>
        <v>Lower</v>
      </c>
      <c r="I2373" s="8" t="str">
        <f t="shared" si="451"/>
        <v>Outside</v>
      </c>
      <c r="J2373" s="8" t="str">
        <f t="shared" si="452"/>
        <v>Outside</v>
      </c>
      <c r="K2373" s="8" t="str">
        <f t="shared" si="453"/>
        <v>Riparian</v>
      </c>
      <c r="L2373" s="8">
        <f t="shared" si="454"/>
        <v>1000</v>
      </c>
      <c r="M2373" s="8" t="str">
        <f t="shared" si="456"/>
        <v>-</v>
      </c>
      <c r="N2373" s="10" t="s">
        <v>242</v>
      </c>
      <c r="O2373" s="10" t="s">
        <v>242</v>
      </c>
      <c r="P2373" s="10" t="s">
        <v>242</v>
      </c>
      <c r="Q2373" s="10" t="s">
        <v>242</v>
      </c>
      <c r="R2373" s="10" t="s">
        <v>242</v>
      </c>
      <c r="S2373" s="10" t="s">
        <v>241</v>
      </c>
      <c r="T2373" s="10" t="s">
        <v>242</v>
      </c>
      <c r="U2373" s="10" t="s">
        <v>242</v>
      </c>
      <c r="V2373" s="10" t="s">
        <v>242</v>
      </c>
      <c r="W2373" s="10" t="s">
        <v>242</v>
      </c>
      <c r="X2373" s="15">
        <f>IF(ISERROR(VLOOKUP($A2373,'13. Updated Demand'!A:Z,15,FALSE)),0,VLOOKUP($A2373,'13. Updated Demand'!A:Z,15,FALSE))</f>
        <v>2.5000000000000001E-3</v>
      </c>
      <c r="Y2373" s="16">
        <f>IF(ISERROR(VLOOKUP($A2373,'13. Updated Demand'!A:Z,16,FALSE)),0,VLOOKUP($A2373,'13. Updated Demand'!A:Z,16,FALSE))</f>
        <v>2.5000000000000001E-3</v>
      </c>
      <c r="Z2373" s="16">
        <f>IF(ISERROR(VLOOKUP($A2373,'13. Updated Demand'!A:Z,17,FALSE)),0,VLOOKUP($A2373,'13. Updated Demand'!A:Z,17,FALSE))</f>
        <v>2.5000000000000001E-3</v>
      </c>
      <c r="AA2373" s="16">
        <f>IF(ISERROR(VLOOKUP($A2373,'13. Updated Demand'!A:Z,18,FALSE)),0,VLOOKUP($A2373,'13. Updated Demand'!A:Z,18,FALSE))</f>
        <v>2.5000000000000001E-3</v>
      </c>
      <c r="AB2373" s="16">
        <f>IF(ISERROR(VLOOKUP($A2373,'13. Updated Demand'!A:Z,19,FALSE)),0,VLOOKUP($A2373,'13. Updated Demand'!A:Z,19,FALSE))</f>
        <v>2.5000000000000001E-3</v>
      </c>
      <c r="AC2373" s="16">
        <f>IF(ISERROR(VLOOKUP($A2373,'13. Updated Demand'!A:Z,20,FALSE)),0,VLOOKUP($A2373,'13. Updated Demand'!A:Z,20,FALSE))</f>
        <v>2.5000000000000001E-3</v>
      </c>
      <c r="AD2373" s="16">
        <f>IF(ISERROR(VLOOKUP($A2373,'13. Updated Demand'!A:Z,21,FALSE)),0,VLOOKUP($A2373,'13. Updated Demand'!A:Z,21,FALSE))</f>
        <v>2.5000000000000001E-3</v>
      </c>
      <c r="AE2373" s="16">
        <f>IF(ISERROR(VLOOKUP($A2373,'13. Updated Demand'!A:Z,22,FALSE)),0,VLOOKUP($A2373,'13. Updated Demand'!A:Z,22,FALSE))</f>
        <v>2.5000000000000001E-3</v>
      </c>
      <c r="AF2373" s="16">
        <f>IF(ISERROR(VLOOKUP($A2373,'13. Updated Demand'!A:Z,23,FALSE)),0,VLOOKUP($A2373,'13. Updated Demand'!A:Z,23,FALSE))</f>
        <v>2.5000000000000001E-3</v>
      </c>
      <c r="AG2373" s="16">
        <f>IF(ISERROR(VLOOKUP($A2373,'13. Updated Demand'!A:Z,24,FALSE)),0,VLOOKUP($A2373,'13. Updated Demand'!A:Z,24,FALSE))</f>
        <v>2.5000000000000001E-3</v>
      </c>
      <c r="AH2373" s="16">
        <f>IF(ISERROR(VLOOKUP($A2373,'13. Updated Demand'!A:Z,25,FALSE)),0,VLOOKUP($A2373,'13. Updated Demand'!A:Z,25,FALSE))</f>
        <v>2.5000000000000001E-3</v>
      </c>
      <c r="AI2373" s="16">
        <f>IF(ISERROR(VLOOKUP($A2373,'13. Updated Demand'!A:Z,26,FALSE)),0,VLOOKUP($A2373,'13. Updated Demand'!A:Z,26,FALSE))</f>
        <v>2.5000000000000001E-3</v>
      </c>
      <c r="AJ2373" s="16">
        <f t="shared" si="445"/>
        <v>2.9999999999999995E-2</v>
      </c>
      <c r="AK2373" s="19">
        <v>1.2500000000000001E-2</v>
      </c>
      <c r="AL2373" s="16">
        <f t="shared" si="455"/>
        <v>4.1461076116193862E-5</v>
      </c>
      <c r="AM2373" s="26">
        <v>5.9055118110236213E-2</v>
      </c>
      <c r="AN2373" s="19">
        <v>0.50800000000000001</v>
      </c>
      <c r="AO2373" s="19" t="s">
        <v>1758</v>
      </c>
      <c r="AP2373" s="19">
        <v>0</v>
      </c>
      <c r="AQ2373" s="19" t="s">
        <v>307</v>
      </c>
      <c r="AR2373" s="9" t="s">
        <v>329</v>
      </c>
      <c r="AS2373" s="12">
        <v>3.4039024194010059E-4</v>
      </c>
      <c r="AT2373" s="19">
        <v>38.535122999999999</v>
      </c>
      <c r="AU2373" s="19">
        <v>-123.14657</v>
      </c>
      <c r="AV2373" s="19" t="s">
        <v>2303</v>
      </c>
    </row>
    <row r="2374" spans="1:48" x14ac:dyDescent="0.25">
      <c r="A2374" s="18" t="s">
        <v>2854</v>
      </c>
      <c r="B2374" s="10">
        <v>10000000</v>
      </c>
      <c r="C2374" s="9">
        <v>23</v>
      </c>
      <c r="D2374" s="8" t="str">
        <f t="shared" si="446"/>
        <v>N</v>
      </c>
      <c r="E2374" s="8" t="str">
        <f t="shared" si="447"/>
        <v>N</v>
      </c>
      <c r="F2374" s="8" t="str">
        <f t="shared" si="448"/>
        <v>N</v>
      </c>
      <c r="G2374" s="8" t="str">
        <f t="shared" si="449"/>
        <v>N</v>
      </c>
      <c r="H2374" s="8" t="str">
        <f t="shared" si="450"/>
        <v>Lower</v>
      </c>
      <c r="I2374" s="8" t="str">
        <f t="shared" si="451"/>
        <v>Outside</v>
      </c>
      <c r="J2374" s="8" t="str">
        <f t="shared" si="452"/>
        <v>Outside</v>
      </c>
      <c r="K2374" s="8" t="str">
        <f t="shared" si="453"/>
        <v>Riparian</v>
      </c>
      <c r="L2374" s="8">
        <f t="shared" si="454"/>
        <v>1000</v>
      </c>
      <c r="M2374" s="8" t="str">
        <f t="shared" si="456"/>
        <v>-</v>
      </c>
      <c r="N2374" s="10" t="s">
        <v>242</v>
      </c>
      <c r="O2374" s="10" t="s">
        <v>242</v>
      </c>
      <c r="P2374" s="10" t="s">
        <v>242</v>
      </c>
      <c r="Q2374" s="10" t="s">
        <v>242</v>
      </c>
      <c r="R2374" s="10" t="s">
        <v>242</v>
      </c>
      <c r="S2374" s="10" t="s">
        <v>241</v>
      </c>
      <c r="T2374" s="10" t="s">
        <v>242</v>
      </c>
      <c r="U2374" s="10" t="s">
        <v>242</v>
      </c>
      <c r="V2374" s="10" t="s">
        <v>242</v>
      </c>
      <c r="W2374" s="10" t="s">
        <v>242</v>
      </c>
      <c r="X2374" s="15">
        <f>IF(ISERROR(VLOOKUP($A2374,'13. Updated Demand'!A:Z,15,FALSE)),0,VLOOKUP($A2374,'13. Updated Demand'!A:Z,15,FALSE))</f>
        <v>1.6367333000000001E-2</v>
      </c>
      <c r="Y2374" s="16">
        <f>IF(ISERROR(VLOOKUP($A2374,'13. Updated Demand'!A:Z,16,FALSE)),0,VLOOKUP($A2374,'13. Updated Demand'!A:Z,16,FALSE))</f>
        <v>1.6367333000000001E-2</v>
      </c>
      <c r="Z2374" s="16">
        <f>IF(ISERROR(VLOOKUP($A2374,'13. Updated Demand'!A:Z,17,FALSE)),0,VLOOKUP($A2374,'13. Updated Demand'!A:Z,17,FALSE))</f>
        <v>1.6367333000000001E-2</v>
      </c>
      <c r="AA2374" s="16">
        <f>IF(ISERROR(VLOOKUP($A2374,'13. Updated Demand'!A:Z,18,FALSE)),0,VLOOKUP($A2374,'13. Updated Demand'!A:Z,18,FALSE))</f>
        <v>1.6367333000000001E-2</v>
      </c>
      <c r="AB2374" s="16">
        <f>IF(ISERROR(VLOOKUP($A2374,'13. Updated Demand'!A:Z,19,FALSE)),0,VLOOKUP($A2374,'13. Updated Demand'!A:Z,19,FALSE))</f>
        <v>2.1482000000000001E-2</v>
      </c>
      <c r="AC2374" s="16">
        <f>IF(ISERROR(VLOOKUP($A2374,'13. Updated Demand'!A:Z,20,FALSE)),0,VLOOKUP($A2374,'13. Updated Demand'!A:Z,20,FALSE))</f>
        <v>2.2505000000000001E-2</v>
      </c>
      <c r="AD2374" s="16">
        <f>IF(ISERROR(VLOOKUP($A2374,'13. Updated Demand'!A:Z,21,FALSE)),0,VLOOKUP($A2374,'13. Updated Demand'!A:Z,21,FALSE))</f>
        <v>2.2505000000000001E-2</v>
      </c>
      <c r="AE2374" s="16">
        <f>IF(ISERROR(VLOOKUP($A2374,'13. Updated Demand'!A:Z,22,FALSE)),0,VLOOKUP($A2374,'13. Updated Demand'!A:Z,22,FALSE))</f>
        <v>2.2505000000000001E-2</v>
      </c>
      <c r="AF2374" s="16">
        <f>IF(ISERROR(VLOOKUP($A2374,'13. Updated Demand'!A:Z,23,FALSE)),0,VLOOKUP($A2374,'13. Updated Demand'!A:Z,23,FALSE))</f>
        <v>2.0459000000000001E-2</v>
      </c>
      <c r="AG2374" s="16">
        <f>IF(ISERROR(VLOOKUP($A2374,'13. Updated Demand'!A:Z,24,FALSE)),0,VLOOKUP($A2374,'13. Updated Demand'!A:Z,24,FALSE))</f>
        <v>1.8924666999999999E-2</v>
      </c>
      <c r="AH2374" s="16">
        <f>IF(ISERROR(VLOOKUP($A2374,'13. Updated Demand'!A:Z,25,FALSE)),0,VLOOKUP($A2374,'13. Updated Demand'!A:Z,25,FALSE))</f>
        <v>1.6367333000000001E-2</v>
      </c>
      <c r="AI2374" s="16">
        <f>IF(ISERROR(VLOOKUP($A2374,'13. Updated Demand'!A:Z,26,FALSE)),0,VLOOKUP($A2374,'13. Updated Demand'!A:Z,26,FALSE))</f>
        <v>1.6367333000000001E-2</v>
      </c>
      <c r="AJ2374" s="16">
        <f t="shared" si="445"/>
        <v>0.22658466500000005</v>
      </c>
      <c r="AK2374" s="19">
        <v>0.109456</v>
      </c>
      <c r="AL2374" s="16">
        <f t="shared" si="455"/>
        <v>3.6305308378992927E-4</v>
      </c>
      <c r="AM2374" s="26">
        <v>2.5176073888888895</v>
      </c>
      <c r="AN2374" s="19">
        <v>0.09</v>
      </c>
      <c r="AO2374" s="19" t="s">
        <v>1758</v>
      </c>
      <c r="AP2374" s="19">
        <v>0</v>
      </c>
      <c r="AQ2374" s="19" t="s">
        <v>307</v>
      </c>
      <c r="AR2374" s="9" t="s">
        <v>323</v>
      </c>
      <c r="AS2374" s="12">
        <v>3.4039024194010059E-4</v>
      </c>
      <c r="AT2374" s="19">
        <v>38.490250000000003</v>
      </c>
      <c r="AU2374" s="19">
        <v>-122.63553333</v>
      </c>
      <c r="AV2374" s="19" t="s">
        <v>395</v>
      </c>
    </row>
    <row r="2375" spans="1:48" x14ac:dyDescent="0.25">
      <c r="A2375" s="18" t="s">
        <v>2855</v>
      </c>
      <c r="B2375" s="10">
        <v>10000000</v>
      </c>
      <c r="C2375" s="9">
        <v>4</v>
      </c>
      <c r="D2375" s="8" t="str">
        <f t="shared" si="446"/>
        <v>Y</v>
      </c>
      <c r="E2375" s="8" t="str">
        <f t="shared" si="447"/>
        <v>N</v>
      </c>
      <c r="F2375" s="8" t="str">
        <f t="shared" si="448"/>
        <v>Y</v>
      </c>
      <c r="G2375" s="8" t="str">
        <f t="shared" si="449"/>
        <v>Y</v>
      </c>
      <c r="H2375" s="8" t="str">
        <f t="shared" si="450"/>
        <v>Upper</v>
      </c>
      <c r="I2375" s="8" t="str">
        <f t="shared" si="451"/>
        <v>West Fork and Below Lake</v>
      </c>
      <c r="J2375" s="8" t="str">
        <f t="shared" si="452"/>
        <v>Mendocino (d/s of lake)</v>
      </c>
      <c r="K2375" s="8" t="str">
        <f t="shared" si="453"/>
        <v>Riparian</v>
      </c>
      <c r="L2375" s="8">
        <f t="shared" si="454"/>
        <v>1000</v>
      </c>
      <c r="M2375" s="8" t="str">
        <f t="shared" si="456"/>
        <v>-</v>
      </c>
      <c r="N2375" s="10" t="s">
        <v>242</v>
      </c>
      <c r="O2375" s="10" t="s">
        <v>241</v>
      </c>
      <c r="P2375" s="10" t="s">
        <v>242</v>
      </c>
      <c r="Q2375" s="10" t="s">
        <v>242</v>
      </c>
      <c r="R2375" s="10" t="s">
        <v>242</v>
      </c>
      <c r="S2375" s="10" t="s">
        <v>241</v>
      </c>
      <c r="T2375" s="10" t="s">
        <v>242</v>
      </c>
      <c r="U2375" s="10" t="s">
        <v>242</v>
      </c>
      <c r="V2375" s="10" t="s">
        <v>242</v>
      </c>
      <c r="W2375" s="10" t="s">
        <v>242</v>
      </c>
      <c r="X2375" s="15">
        <f>IF(ISERROR(VLOOKUP($A2375,'13. Updated Demand'!A:Z,15,FALSE)),0,VLOOKUP($A2375,'13. Updated Demand'!A:Z,15,FALSE))</f>
        <v>0.02</v>
      </c>
      <c r="Y2375" s="16">
        <f>IF(ISERROR(VLOOKUP($A2375,'13. Updated Demand'!A:Z,16,FALSE)),0,VLOOKUP($A2375,'13. Updated Demand'!A:Z,16,FALSE))</f>
        <v>0.02</v>
      </c>
      <c r="Z2375" s="16">
        <f>IF(ISERROR(VLOOKUP($A2375,'13. Updated Demand'!A:Z,17,FALSE)),0,VLOOKUP($A2375,'13. Updated Demand'!A:Z,17,FALSE))</f>
        <v>0.02</v>
      </c>
      <c r="AA2375" s="16">
        <f>IF(ISERROR(VLOOKUP($A2375,'13. Updated Demand'!A:Z,18,FALSE)),0,VLOOKUP($A2375,'13. Updated Demand'!A:Z,18,FALSE))</f>
        <v>0.02</v>
      </c>
      <c r="AB2375" s="16">
        <f>IF(ISERROR(VLOOKUP($A2375,'13. Updated Demand'!A:Z,19,FALSE)),0,VLOOKUP($A2375,'13. Updated Demand'!A:Z,19,FALSE))</f>
        <v>0.02</v>
      </c>
      <c r="AC2375" s="16">
        <f>IF(ISERROR(VLOOKUP($A2375,'13. Updated Demand'!A:Z,20,FALSE)),0,VLOOKUP($A2375,'13. Updated Demand'!A:Z,20,FALSE))</f>
        <v>0.02</v>
      </c>
      <c r="AD2375" s="16">
        <f>IF(ISERROR(VLOOKUP($A2375,'13. Updated Demand'!A:Z,21,FALSE)),0,VLOOKUP($A2375,'13. Updated Demand'!A:Z,21,FALSE))</f>
        <v>0.02</v>
      </c>
      <c r="AE2375" s="16">
        <f>IF(ISERROR(VLOOKUP($A2375,'13. Updated Demand'!A:Z,22,FALSE)),0,VLOOKUP($A2375,'13. Updated Demand'!A:Z,22,FALSE))</f>
        <v>0.02</v>
      </c>
      <c r="AF2375" s="16">
        <f>IF(ISERROR(VLOOKUP($A2375,'13. Updated Demand'!A:Z,23,FALSE)),0,VLOOKUP($A2375,'13. Updated Demand'!A:Z,23,FALSE))</f>
        <v>0.02</v>
      </c>
      <c r="AG2375" s="16">
        <f>IF(ISERROR(VLOOKUP($A2375,'13. Updated Demand'!A:Z,24,FALSE)),0,VLOOKUP($A2375,'13. Updated Demand'!A:Z,24,FALSE))</f>
        <v>0.02</v>
      </c>
      <c r="AH2375" s="16">
        <f>IF(ISERROR(VLOOKUP($A2375,'13. Updated Demand'!A:Z,25,FALSE)),0,VLOOKUP($A2375,'13. Updated Demand'!A:Z,25,FALSE))</f>
        <v>0.02</v>
      </c>
      <c r="AI2375" s="16">
        <f>IF(ISERROR(VLOOKUP($A2375,'13. Updated Demand'!A:Z,26,FALSE)),0,VLOOKUP($A2375,'13. Updated Demand'!A:Z,26,FALSE))</f>
        <v>0.02</v>
      </c>
      <c r="AJ2375" s="16">
        <f t="shared" si="445"/>
        <v>0.23999999999999996</v>
      </c>
      <c r="AK2375" s="19">
        <v>0.123333335</v>
      </c>
      <c r="AL2375" s="16">
        <f t="shared" si="455"/>
        <v>4.0908262320792294E-4</v>
      </c>
      <c r="AM2375" s="26">
        <v>5.5272727999999987</v>
      </c>
      <c r="AN2375" s="19">
        <v>5.5E-2</v>
      </c>
      <c r="AO2375" s="19" t="s">
        <v>1758</v>
      </c>
      <c r="AP2375" s="19">
        <v>0</v>
      </c>
      <c r="AQ2375" s="19" t="s">
        <v>307</v>
      </c>
      <c r="AR2375" s="9" t="s">
        <v>331</v>
      </c>
      <c r="AS2375" s="12">
        <v>3.4039024194010059E-4</v>
      </c>
      <c r="AT2375" s="19">
        <v>39.192619999999998</v>
      </c>
      <c r="AU2375" s="19">
        <v>-123.13776</v>
      </c>
      <c r="AV2375" s="19" t="s">
        <v>2856</v>
      </c>
    </row>
    <row r="2376" spans="1:48" x14ac:dyDescent="0.25">
      <c r="A2376" s="18" t="s">
        <v>2857</v>
      </c>
      <c r="B2376" s="10">
        <v>10000000</v>
      </c>
      <c r="C2376" s="9">
        <v>20</v>
      </c>
      <c r="D2376" s="8" t="str">
        <f t="shared" si="446"/>
        <v>N</v>
      </c>
      <c r="E2376" s="8" t="str">
        <f t="shared" si="447"/>
        <v>N</v>
      </c>
      <c r="F2376" s="8" t="str">
        <f t="shared" si="448"/>
        <v>N</v>
      </c>
      <c r="G2376" s="8" t="str">
        <f t="shared" si="449"/>
        <v>N</v>
      </c>
      <c r="H2376" s="8" t="str">
        <f t="shared" si="450"/>
        <v>Lower</v>
      </c>
      <c r="I2376" s="8" t="str">
        <f t="shared" si="451"/>
        <v>Outside</v>
      </c>
      <c r="J2376" s="8" t="str">
        <f t="shared" si="452"/>
        <v>Outside</v>
      </c>
      <c r="K2376" s="8" t="str">
        <f t="shared" si="453"/>
        <v>Riparian</v>
      </c>
      <c r="L2376" s="8">
        <f t="shared" si="454"/>
        <v>1000</v>
      </c>
      <c r="M2376" s="8" t="str">
        <f t="shared" si="456"/>
        <v>-</v>
      </c>
      <c r="N2376" s="10" t="s">
        <v>242</v>
      </c>
      <c r="O2376" s="10" t="s">
        <v>242</v>
      </c>
      <c r="P2376" s="10" t="s">
        <v>242</v>
      </c>
      <c r="Q2376" s="10" t="s">
        <v>242</v>
      </c>
      <c r="R2376" s="10" t="s">
        <v>242</v>
      </c>
      <c r="S2376" s="10" t="s">
        <v>241</v>
      </c>
      <c r="T2376" s="10" t="s">
        <v>242</v>
      </c>
      <c r="U2376" s="10" t="s">
        <v>242</v>
      </c>
      <c r="V2376" s="10" t="s">
        <v>242</v>
      </c>
      <c r="W2376" s="10" t="s">
        <v>242</v>
      </c>
      <c r="X2376" s="15">
        <f>IF(ISERROR(VLOOKUP($A2376,'13. Updated Demand'!A:Z,15,FALSE)),0,VLOOKUP($A2376,'13. Updated Demand'!A:Z,15,FALSE))</f>
        <v>1.53444E-3</v>
      </c>
      <c r="Y2376" s="16">
        <f>IF(ISERROR(VLOOKUP($A2376,'13. Updated Demand'!A:Z,16,FALSE)),0,VLOOKUP($A2376,'13. Updated Demand'!A:Z,16,FALSE))</f>
        <v>3.0688899999999999E-3</v>
      </c>
      <c r="Z2376" s="16">
        <f>IF(ISERROR(VLOOKUP($A2376,'13. Updated Demand'!A:Z,17,FALSE)),0,VLOOKUP($A2376,'13. Updated Demand'!A:Z,17,FALSE))</f>
        <v>4.6033317999999997E-2</v>
      </c>
      <c r="AA2376" s="16">
        <f>IF(ISERROR(VLOOKUP($A2376,'13. Updated Demand'!A:Z,18,FALSE)),0,VLOOKUP($A2376,'13. Updated Demand'!A:Z,18,FALSE))</f>
        <v>4.7567762E-2</v>
      </c>
      <c r="AB2376" s="16">
        <f>IF(ISERROR(VLOOKUP($A2376,'13. Updated Demand'!A:Z,19,FALSE)),0,VLOOKUP($A2376,'13. Updated Demand'!A:Z,19,FALSE))</f>
        <v>7.3653308000000001E-2</v>
      </c>
      <c r="AC2376" s="16">
        <f>IF(ISERROR(VLOOKUP($A2376,'13. Updated Demand'!A:Z,20,FALSE)),0,VLOOKUP($A2376,'13. Updated Demand'!A:Z,20,FALSE))</f>
        <v>8.5928859999999996E-2</v>
      </c>
      <c r="AD2376" s="16">
        <f>IF(ISERROR(VLOOKUP($A2376,'13. Updated Demand'!A:Z,21,FALSE)),0,VLOOKUP($A2376,'13. Updated Demand'!A:Z,21,FALSE))</f>
        <v>8.8997748000000002E-2</v>
      </c>
      <c r="AE2376" s="16">
        <f>IF(ISERROR(VLOOKUP($A2376,'13. Updated Demand'!A:Z,22,FALSE)),0,VLOOKUP($A2376,'13. Updated Demand'!A:Z,22,FALSE))</f>
        <v>8.8997748000000002E-2</v>
      </c>
      <c r="AF2376" s="16">
        <f>IF(ISERROR(VLOOKUP($A2376,'13. Updated Demand'!A:Z,23,FALSE)),0,VLOOKUP($A2376,'13. Updated Demand'!A:Z,23,FALSE))</f>
        <v>7.6722196000000006E-2</v>
      </c>
      <c r="AG2376" s="16">
        <f>IF(ISERROR(VLOOKUP($A2376,'13. Updated Demand'!A:Z,24,FALSE)),0,VLOOKUP($A2376,'13. Updated Demand'!A:Z,24,FALSE))</f>
        <v>6.1377756999999998E-2</v>
      </c>
      <c r="AH2376" s="16">
        <f>IF(ISERROR(VLOOKUP($A2376,'13. Updated Demand'!A:Z,25,FALSE)),0,VLOOKUP($A2376,'13. Updated Demand'!A:Z,25,FALSE))</f>
        <v>3.0688880000000002E-2</v>
      </c>
      <c r="AI2376" s="16">
        <f>IF(ISERROR(VLOOKUP($A2376,'13. Updated Demand'!A:Z,26,FALSE)),0,VLOOKUP($A2376,'13. Updated Demand'!A:Z,26,FALSE))</f>
        <v>3.0688899999999999E-3</v>
      </c>
      <c r="AJ2376" s="16">
        <f t="shared" si="445"/>
        <v>0.60763979700000004</v>
      </c>
      <c r="AK2376" s="19">
        <v>0.41429986000000002</v>
      </c>
      <c r="AL2376" s="16">
        <f t="shared" si="455"/>
        <v>1.374185442431077E-3</v>
      </c>
      <c r="AM2376" s="26">
        <v>5.4643866636690657</v>
      </c>
      <c r="AN2376" s="19">
        <v>0.11119999999999999</v>
      </c>
      <c r="AO2376" s="19" t="s">
        <v>1758</v>
      </c>
      <c r="AP2376" s="19">
        <v>0</v>
      </c>
      <c r="AQ2376" s="19" t="s">
        <v>307</v>
      </c>
      <c r="AR2376" s="9" t="s">
        <v>329</v>
      </c>
      <c r="AS2376" s="12">
        <v>0</v>
      </c>
      <c r="AT2376" s="19">
        <v>38.528201000000003</v>
      </c>
      <c r="AU2376" s="19">
        <v>-123.127084</v>
      </c>
      <c r="AV2376" s="19" t="s">
        <v>2858</v>
      </c>
    </row>
    <row r="2377" spans="1:48" x14ac:dyDescent="0.25">
      <c r="A2377" s="18" t="s">
        <v>2859</v>
      </c>
      <c r="B2377" s="10">
        <v>10000000</v>
      </c>
      <c r="C2377" s="9">
        <v>1</v>
      </c>
      <c r="D2377" s="8" t="str">
        <f t="shared" si="446"/>
        <v>N</v>
      </c>
      <c r="E2377" s="8" t="str">
        <f t="shared" si="447"/>
        <v>N</v>
      </c>
      <c r="F2377" s="8" t="str">
        <f t="shared" si="448"/>
        <v>Y</v>
      </c>
      <c r="G2377" s="8" t="str">
        <f t="shared" si="449"/>
        <v>Y</v>
      </c>
      <c r="H2377" s="8" t="str">
        <f t="shared" si="450"/>
        <v>Upper</v>
      </c>
      <c r="I2377" s="8" t="str">
        <f t="shared" si="451"/>
        <v>West Fork and Below Lake</v>
      </c>
      <c r="J2377" s="8" t="str">
        <f t="shared" si="452"/>
        <v>Outside</v>
      </c>
      <c r="K2377" s="8" t="str">
        <f t="shared" si="453"/>
        <v>Riparian</v>
      </c>
      <c r="L2377" s="8">
        <f t="shared" si="454"/>
        <v>1000</v>
      </c>
      <c r="M2377" s="8" t="str">
        <f t="shared" si="456"/>
        <v>-</v>
      </c>
      <c r="N2377" s="10" t="s">
        <v>242</v>
      </c>
      <c r="O2377" s="10" t="s">
        <v>241</v>
      </c>
      <c r="P2377" s="10" t="s">
        <v>242</v>
      </c>
      <c r="Q2377" s="10" t="s">
        <v>242</v>
      </c>
      <c r="R2377" s="10" t="s">
        <v>242</v>
      </c>
      <c r="S2377" s="10" t="s">
        <v>241</v>
      </c>
      <c r="T2377" s="10" t="s">
        <v>241</v>
      </c>
      <c r="U2377" s="10" t="s">
        <v>241</v>
      </c>
      <c r="V2377" s="10" t="s">
        <v>241</v>
      </c>
      <c r="W2377" s="10" t="s">
        <v>242</v>
      </c>
      <c r="X2377" s="15">
        <f>IF(ISERROR(VLOOKUP($A2377,'13. Updated Demand'!A:Z,15,FALSE)),0,VLOOKUP($A2377,'13. Updated Demand'!A:Z,15,FALSE))</f>
        <v>0</v>
      </c>
      <c r="Y2377" s="16">
        <f>IF(ISERROR(VLOOKUP($A2377,'13. Updated Demand'!A:Z,16,FALSE)),0,VLOOKUP($A2377,'13. Updated Demand'!A:Z,16,FALSE))</f>
        <v>0</v>
      </c>
      <c r="Z2377" s="16">
        <f>IF(ISERROR(VLOOKUP($A2377,'13. Updated Demand'!A:Z,17,FALSE)),0,VLOOKUP($A2377,'13. Updated Demand'!A:Z,17,FALSE))</f>
        <v>0</v>
      </c>
      <c r="AA2377" s="16">
        <f>IF(ISERROR(VLOOKUP($A2377,'13. Updated Demand'!A:Z,18,FALSE)),0,VLOOKUP($A2377,'13. Updated Demand'!A:Z,18,FALSE))</f>
        <v>0</v>
      </c>
      <c r="AB2377" s="16">
        <f>IF(ISERROR(VLOOKUP($A2377,'13. Updated Demand'!A:Z,19,FALSE)),0,VLOOKUP($A2377,'13. Updated Demand'!A:Z,19,FALSE))</f>
        <v>0</v>
      </c>
      <c r="AC2377" s="16">
        <f>IF(ISERROR(VLOOKUP($A2377,'13. Updated Demand'!A:Z,20,FALSE)),0,VLOOKUP($A2377,'13. Updated Demand'!A:Z,20,FALSE))</f>
        <v>0</v>
      </c>
      <c r="AD2377" s="16">
        <f>IF(ISERROR(VLOOKUP($A2377,'13. Updated Demand'!A:Z,21,FALSE)),0,VLOOKUP($A2377,'13. Updated Demand'!A:Z,21,FALSE))</f>
        <v>0</v>
      </c>
      <c r="AE2377" s="16">
        <f>IF(ISERROR(VLOOKUP($A2377,'13. Updated Demand'!A:Z,22,FALSE)),0,VLOOKUP($A2377,'13. Updated Demand'!A:Z,22,FALSE))</f>
        <v>0</v>
      </c>
      <c r="AF2377" s="16">
        <f>IF(ISERROR(VLOOKUP($A2377,'13. Updated Demand'!A:Z,23,FALSE)),0,VLOOKUP($A2377,'13. Updated Demand'!A:Z,23,FALSE))</f>
        <v>0</v>
      </c>
      <c r="AG2377" s="16">
        <f>IF(ISERROR(VLOOKUP($A2377,'13. Updated Demand'!A:Z,24,FALSE)),0,VLOOKUP($A2377,'13. Updated Demand'!A:Z,24,FALSE))</f>
        <v>0</v>
      </c>
      <c r="AH2377" s="16">
        <f>IF(ISERROR(VLOOKUP($A2377,'13. Updated Demand'!A:Z,25,FALSE)),0,VLOOKUP($A2377,'13. Updated Demand'!A:Z,25,FALSE))</f>
        <v>0</v>
      </c>
      <c r="AI2377" s="16">
        <f>IF(ISERROR(VLOOKUP($A2377,'13. Updated Demand'!A:Z,26,FALSE)),0,VLOOKUP($A2377,'13. Updated Demand'!A:Z,26,FALSE))</f>
        <v>0</v>
      </c>
      <c r="AJ2377" s="16">
        <f t="shared" si="445"/>
        <v>0</v>
      </c>
      <c r="AK2377" s="19">
        <v>0</v>
      </c>
      <c r="AL2377" s="16">
        <f t="shared" si="455"/>
        <v>0</v>
      </c>
      <c r="AM2377" s="26">
        <v>0</v>
      </c>
      <c r="AN2377" s="19"/>
      <c r="AO2377" s="19"/>
      <c r="AP2377" s="19">
        <v>0</v>
      </c>
      <c r="AQ2377" s="19" t="s">
        <v>307</v>
      </c>
      <c r="AR2377" s="9" t="s">
        <v>317</v>
      </c>
      <c r="AS2377" s="12">
        <v>3.4039024194010059E-4</v>
      </c>
      <c r="AT2377" s="19">
        <v>39.246724999999998</v>
      </c>
      <c r="AU2377" s="19">
        <v>-123.326274</v>
      </c>
      <c r="AV2377" s="19" t="s">
        <v>2860</v>
      </c>
    </row>
    <row r="2378" spans="1:48" x14ac:dyDescent="0.25">
      <c r="A2378" s="18" t="s">
        <v>2861</v>
      </c>
      <c r="B2378" s="10">
        <v>10000000</v>
      </c>
      <c r="C2378" s="9">
        <v>5</v>
      </c>
      <c r="D2378" s="8" t="str">
        <f t="shared" si="446"/>
        <v>Y</v>
      </c>
      <c r="E2378" s="8" t="str">
        <f t="shared" si="447"/>
        <v>N</v>
      </c>
      <c r="F2378" s="8" t="str">
        <f t="shared" si="448"/>
        <v>Y</v>
      </c>
      <c r="G2378" s="8" t="str">
        <f t="shared" si="449"/>
        <v>Y</v>
      </c>
      <c r="H2378" s="8" t="str">
        <f t="shared" si="450"/>
        <v>Upper</v>
      </c>
      <c r="I2378" s="8" t="str">
        <f t="shared" si="451"/>
        <v>West Fork and Below Lake</v>
      </c>
      <c r="J2378" s="8" t="str">
        <f t="shared" si="452"/>
        <v>Mendocino (d/s of lake)</v>
      </c>
      <c r="K2378" s="8" t="str">
        <f t="shared" si="453"/>
        <v>Riparian</v>
      </c>
      <c r="L2378" s="8">
        <f t="shared" si="454"/>
        <v>1000</v>
      </c>
      <c r="M2378" s="8" t="str">
        <f t="shared" si="456"/>
        <v>-</v>
      </c>
      <c r="N2378" s="10" t="s">
        <v>242</v>
      </c>
      <c r="O2378" s="10" t="s">
        <v>241</v>
      </c>
      <c r="P2378" s="10" t="s">
        <v>242</v>
      </c>
      <c r="Q2378" s="10" t="s">
        <v>242</v>
      </c>
      <c r="R2378" s="10" t="s">
        <v>242</v>
      </c>
      <c r="S2378" s="10" t="s">
        <v>241</v>
      </c>
      <c r="T2378" s="10" t="s">
        <v>242</v>
      </c>
      <c r="U2378" s="10" t="s">
        <v>241</v>
      </c>
      <c r="V2378" s="10" t="s">
        <v>241</v>
      </c>
      <c r="W2378" s="10" t="s">
        <v>242</v>
      </c>
      <c r="X2378" s="15">
        <f>IF(ISERROR(VLOOKUP($A2378,'13. Updated Demand'!A:Z,15,FALSE)),0,VLOOKUP($A2378,'13. Updated Demand'!A:Z,15,FALSE))</f>
        <v>0</v>
      </c>
      <c r="Y2378" s="16">
        <f>IF(ISERROR(VLOOKUP($A2378,'13. Updated Demand'!A:Z,16,FALSE)),0,VLOOKUP($A2378,'13. Updated Demand'!A:Z,16,FALSE))</f>
        <v>0</v>
      </c>
      <c r="Z2378" s="16">
        <f>IF(ISERROR(VLOOKUP($A2378,'13. Updated Demand'!A:Z,17,FALSE)),0,VLOOKUP($A2378,'13. Updated Demand'!A:Z,17,FALSE))</f>
        <v>0</v>
      </c>
      <c r="AA2378" s="16">
        <f>IF(ISERROR(VLOOKUP($A2378,'13. Updated Demand'!A:Z,18,FALSE)),0,VLOOKUP($A2378,'13. Updated Demand'!A:Z,18,FALSE))</f>
        <v>0</v>
      </c>
      <c r="AB2378" s="16">
        <f>IF(ISERROR(VLOOKUP($A2378,'13. Updated Demand'!A:Z,19,FALSE)),0,VLOOKUP($A2378,'13. Updated Demand'!A:Z,19,FALSE))</f>
        <v>0</v>
      </c>
      <c r="AC2378" s="16">
        <f>IF(ISERROR(VLOOKUP($A2378,'13. Updated Demand'!A:Z,20,FALSE)),0,VLOOKUP($A2378,'13. Updated Demand'!A:Z,20,FALSE))</f>
        <v>0</v>
      </c>
      <c r="AD2378" s="16">
        <f>IF(ISERROR(VLOOKUP($A2378,'13. Updated Demand'!A:Z,21,FALSE)),0,VLOOKUP($A2378,'13. Updated Demand'!A:Z,21,FALSE))</f>
        <v>0</v>
      </c>
      <c r="AE2378" s="16">
        <f>IF(ISERROR(VLOOKUP($A2378,'13. Updated Demand'!A:Z,22,FALSE)),0,VLOOKUP($A2378,'13. Updated Demand'!A:Z,22,FALSE))</f>
        <v>0</v>
      </c>
      <c r="AF2378" s="16">
        <f>IF(ISERROR(VLOOKUP($A2378,'13. Updated Demand'!A:Z,23,FALSE)),0,VLOOKUP($A2378,'13. Updated Demand'!A:Z,23,FALSE))</f>
        <v>0</v>
      </c>
      <c r="AG2378" s="16">
        <f>IF(ISERROR(VLOOKUP($A2378,'13. Updated Demand'!A:Z,24,FALSE)),0,VLOOKUP($A2378,'13. Updated Demand'!A:Z,24,FALSE))</f>
        <v>0</v>
      </c>
      <c r="AH2378" s="16">
        <f>IF(ISERROR(VLOOKUP($A2378,'13. Updated Demand'!A:Z,25,FALSE)),0,VLOOKUP($A2378,'13. Updated Demand'!A:Z,25,FALSE))</f>
        <v>0</v>
      </c>
      <c r="AI2378" s="16">
        <f>IF(ISERROR(VLOOKUP($A2378,'13. Updated Demand'!A:Z,26,FALSE)),0,VLOOKUP($A2378,'13. Updated Demand'!A:Z,26,FALSE))</f>
        <v>0</v>
      </c>
      <c r="AJ2378" s="16">
        <f t="shared" si="445"/>
        <v>0</v>
      </c>
      <c r="AK2378" s="19">
        <v>0</v>
      </c>
      <c r="AL2378" s="16">
        <f t="shared" si="455"/>
        <v>0</v>
      </c>
      <c r="AM2378" s="26">
        <v>0</v>
      </c>
      <c r="AN2378" s="19">
        <v>1.4E-2</v>
      </c>
      <c r="AO2378" s="19" t="s">
        <v>1758</v>
      </c>
      <c r="AP2378" s="19">
        <v>0</v>
      </c>
      <c r="AQ2378" s="19" t="s">
        <v>307</v>
      </c>
      <c r="AR2378" s="9" t="s">
        <v>333</v>
      </c>
      <c r="AS2378" s="12">
        <v>0</v>
      </c>
      <c r="AT2378" s="19">
        <v>39.082505560000001</v>
      </c>
      <c r="AU2378" s="19">
        <v>-123.18689166999999</v>
      </c>
      <c r="AV2378" s="19" t="s">
        <v>2856</v>
      </c>
    </row>
    <row r="2379" spans="1:48" x14ac:dyDescent="0.25">
      <c r="A2379" s="18" t="s">
        <v>2862</v>
      </c>
      <c r="B2379" s="10">
        <v>10000000</v>
      </c>
      <c r="C2379" s="9">
        <v>5</v>
      </c>
      <c r="D2379" s="8" t="str">
        <f t="shared" si="446"/>
        <v>Y</v>
      </c>
      <c r="E2379" s="8" t="str">
        <f t="shared" si="447"/>
        <v>N</v>
      </c>
      <c r="F2379" s="8" t="str">
        <f t="shared" si="448"/>
        <v>Y</v>
      </c>
      <c r="G2379" s="8" t="str">
        <f t="shared" si="449"/>
        <v>Y</v>
      </c>
      <c r="H2379" s="8" t="str">
        <f t="shared" si="450"/>
        <v>Upper</v>
      </c>
      <c r="I2379" s="8" t="str">
        <f t="shared" si="451"/>
        <v>West Fork and Below Lake</v>
      </c>
      <c r="J2379" s="8" t="str">
        <f t="shared" si="452"/>
        <v>Mendocino (d/s of lake)</v>
      </c>
      <c r="K2379" s="8" t="str">
        <f t="shared" si="453"/>
        <v>Riparian</v>
      </c>
      <c r="L2379" s="8">
        <f t="shared" si="454"/>
        <v>1000</v>
      </c>
      <c r="M2379" s="8" t="str">
        <f t="shared" si="456"/>
        <v>-</v>
      </c>
      <c r="N2379" s="10" t="s">
        <v>242</v>
      </c>
      <c r="O2379" s="10" t="s">
        <v>241</v>
      </c>
      <c r="P2379" s="10" t="s">
        <v>242</v>
      </c>
      <c r="Q2379" s="10" t="s">
        <v>242</v>
      </c>
      <c r="R2379" s="10" t="s">
        <v>242</v>
      </c>
      <c r="S2379" s="10" t="s">
        <v>241</v>
      </c>
      <c r="T2379" s="10" t="s">
        <v>242</v>
      </c>
      <c r="U2379" s="10" t="s">
        <v>242</v>
      </c>
      <c r="V2379" s="10" t="s">
        <v>242</v>
      </c>
      <c r="W2379" s="10" t="s">
        <v>242</v>
      </c>
      <c r="X2379" s="15">
        <f>IF(ISERROR(VLOOKUP($A2379,'13. Updated Demand'!A:Z,15,FALSE)),0,VLOOKUP($A2379,'13. Updated Demand'!A:Z,15,FALSE))</f>
        <v>0.01</v>
      </c>
      <c r="Y2379" s="16">
        <f>IF(ISERROR(VLOOKUP($A2379,'13. Updated Demand'!A:Z,16,FALSE)),0,VLOOKUP($A2379,'13. Updated Demand'!A:Z,16,FALSE))</f>
        <v>0.01</v>
      </c>
      <c r="Z2379" s="16">
        <f>IF(ISERROR(VLOOKUP($A2379,'13. Updated Demand'!A:Z,17,FALSE)),0,VLOOKUP($A2379,'13. Updated Demand'!A:Z,17,FALSE))</f>
        <v>0.01</v>
      </c>
      <c r="AA2379" s="16">
        <f>IF(ISERROR(VLOOKUP($A2379,'13. Updated Demand'!A:Z,18,FALSE)),0,VLOOKUP($A2379,'13. Updated Demand'!A:Z,18,FALSE))</f>
        <v>0.01</v>
      </c>
      <c r="AB2379" s="16">
        <f>IF(ISERROR(VLOOKUP($A2379,'13. Updated Demand'!A:Z,19,FALSE)),0,VLOOKUP($A2379,'13. Updated Demand'!A:Z,19,FALSE))</f>
        <v>0.01</v>
      </c>
      <c r="AC2379" s="16">
        <f>IF(ISERROR(VLOOKUP($A2379,'13. Updated Demand'!A:Z,20,FALSE)),0,VLOOKUP($A2379,'13. Updated Demand'!A:Z,20,FALSE))</f>
        <v>0.01</v>
      </c>
      <c r="AD2379" s="16">
        <f>IF(ISERROR(VLOOKUP($A2379,'13. Updated Demand'!A:Z,21,FALSE)),0,VLOOKUP($A2379,'13. Updated Demand'!A:Z,21,FALSE))</f>
        <v>0.01</v>
      </c>
      <c r="AE2379" s="16">
        <f>IF(ISERROR(VLOOKUP($A2379,'13. Updated Demand'!A:Z,22,FALSE)),0,VLOOKUP($A2379,'13. Updated Demand'!A:Z,22,FALSE))</f>
        <v>0.01</v>
      </c>
      <c r="AF2379" s="16">
        <f>IF(ISERROR(VLOOKUP($A2379,'13. Updated Demand'!A:Z,23,FALSE)),0,VLOOKUP($A2379,'13. Updated Demand'!A:Z,23,FALSE))</f>
        <v>0.01</v>
      </c>
      <c r="AG2379" s="16">
        <f>IF(ISERROR(VLOOKUP($A2379,'13. Updated Demand'!A:Z,24,FALSE)),0,VLOOKUP($A2379,'13. Updated Demand'!A:Z,24,FALSE))</f>
        <v>0.01</v>
      </c>
      <c r="AH2379" s="16">
        <f>IF(ISERROR(VLOOKUP($A2379,'13. Updated Demand'!A:Z,25,FALSE)),0,VLOOKUP($A2379,'13. Updated Demand'!A:Z,25,FALSE))</f>
        <v>0.01</v>
      </c>
      <c r="AI2379" s="16">
        <f>IF(ISERROR(VLOOKUP($A2379,'13. Updated Demand'!A:Z,26,FALSE)),0,VLOOKUP($A2379,'13. Updated Demand'!A:Z,26,FALSE))</f>
        <v>0.01</v>
      </c>
      <c r="AJ2379" s="16">
        <f t="shared" si="445"/>
        <v>0.11999999999999998</v>
      </c>
      <c r="AK2379" s="19">
        <v>6.8000000000000005E-2</v>
      </c>
      <c r="AL2379" s="16">
        <f t="shared" si="455"/>
        <v>2.2554825407209464E-4</v>
      </c>
      <c r="AM2379" s="26">
        <v>1.5288461538461542</v>
      </c>
      <c r="AN2379" s="19">
        <v>0.104</v>
      </c>
      <c r="AO2379" s="19" t="s">
        <v>1758</v>
      </c>
      <c r="AP2379" s="19">
        <v>0</v>
      </c>
      <c r="AQ2379" s="19" t="s">
        <v>307</v>
      </c>
      <c r="AR2379" s="9" t="s">
        <v>333</v>
      </c>
      <c r="AS2379" s="12">
        <v>0</v>
      </c>
      <c r="AT2379" s="19">
        <v>39.08396389</v>
      </c>
      <c r="AU2379" s="19">
        <v>-123.18689166999999</v>
      </c>
      <c r="AV2379" s="19" t="s">
        <v>2863</v>
      </c>
    </row>
    <row r="2380" spans="1:48" x14ac:dyDescent="0.25">
      <c r="A2380" s="18" t="s">
        <v>2864</v>
      </c>
      <c r="B2380" s="10">
        <v>10000000</v>
      </c>
      <c r="C2380" s="9">
        <v>6</v>
      </c>
      <c r="D2380" s="8" t="str">
        <f t="shared" si="446"/>
        <v>Y</v>
      </c>
      <c r="E2380" s="8" t="str">
        <f t="shared" si="447"/>
        <v>N</v>
      </c>
      <c r="F2380" s="8" t="str">
        <f t="shared" si="448"/>
        <v>Y</v>
      </c>
      <c r="G2380" s="8" t="str">
        <f t="shared" si="449"/>
        <v>Y</v>
      </c>
      <c r="H2380" s="8" t="str">
        <f t="shared" si="450"/>
        <v>Upper</v>
      </c>
      <c r="I2380" s="8" t="str">
        <f t="shared" si="451"/>
        <v>West Fork and Below Lake</v>
      </c>
      <c r="J2380" s="8" t="str">
        <f t="shared" si="452"/>
        <v>Mendocino (d/s of lake)</v>
      </c>
      <c r="K2380" s="8" t="str">
        <f t="shared" si="453"/>
        <v>Riparian</v>
      </c>
      <c r="L2380" s="8">
        <f t="shared" si="454"/>
        <v>1000</v>
      </c>
      <c r="M2380" s="8" t="str">
        <f t="shared" si="456"/>
        <v>-</v>
      </c>
      <c r="N2380" s="10" t="s">
        <v>242</v>
      </c>
      <c r="O2380" s="10" t="s">
        <v>241</v>
      </c>
      <c r="P2380" s="10" t="s">
        <v>242</v>
      </c>
      <c r="Q2380" s="10" t="s">
        <v>242</v>
      </c>
      <c r="R2380" s="10" t="s">
        <v>242</v>
      </c>
      <c r="S2380" s="10" t="s">
        <v>241</v>
      </c>
      <c r="T2380" s="10" t="s">
        <v>242</v>
      </c>
      <c r="U2380" s="10" t="s">
        <v>242</v>
      </c>
      <c r="V2380" s="10" t="s">
        <v>242</v>
      </c>
      <c r="W2380" s="10" t="s">
        <v>242</v>
      </c>
      <c r="X2380" s="15">
        <f>IF(ISERROR(VLOOKUP($A2380,'13. Updated Demand'!A:Z,15,FALSE)),0,VLOOKUP($A2380,'13. Updated Demand'!A:Z,15,FALSE))</f>
        <v>4.4999999999999997E-3</v>
      </c>
      <c r="Y2380" s="16">
        <f>IF(ISERROR(VLOOKUP($A2380,'13. Updated Demand'!A:Z,16,FALSE)),0,VLOOKUP($A2380,'13. Updated Demand'!A:Z,16,FALSE))</f>
        <v>5.0000000000000001E-3</v>
      </c>
      <c r="Z2380" s="16">
        <f>IF(ISERROR(VLOOKUP($A2380,'13. Updated Demand'!A:Z,17,FALSE)),0,VLOOKUP($A2380,'13. Updated Demand'!A:Z,17,FALSE))</f>
        <v>5.0000000000000001E-3</v>
      </c>
      <c r="AA2380" s="16">
        <f>IF(ISERROR(VLOOKUP($A2380,'13. Updated Demand'!A:Z,18,FALSE)),0,VLOOKUP($A2380,'13. Updated Demand'!A:Z,18,FALSE))</f>
        <v>5.0000000000000001E-3</v>
      </c>
      <c r="AB2380" s="16">
        <f>IF(ISERROR(VLOOKUP($A2380,'13. Updated Demand'!A:Z,19,FALSE)),0,VLOOKUP($A2380,'13. Updated Demand'!A:Z,19,FALSE))</f>
        <v>5.0000000000000001E-3</v>
      </c>
      <c r="AC2380" s="16">
        <f>IF(ISERROR(VLOOKUP($A2380,'13. Updated Demand'!A:Z,20,FALSE)),0,VLOOKUP($A2380,'13. Updated Demand'!A:Z,20,FALSE))</f>
        <v>6.0000000000000001E-3</v>
      </c>
      <c r="AD2380" s="16">
        <f>IF(ISERROR(VLOOKUP($A2380,'13. Updated Demand'!A:Z,21,FALSE)),0,VLOOKUP($A2380,'13. Updated Demand'!A:Z,21,FALSE))</f>
        <v>0.01</v>
      </c>
      <c r="AE2380" s="16">
        <f>IF(ISERROR(VLOOKUP($A2380,'13. Updated Demand'!A:Z,22,FALSE)),0,VLOOKUP($A2380,'13. Updated Demand'!A:Z,22,FALSE))</f>
        <v>0.01</v>
      </c>
      <c r="AF2380" s="16">
        <f>IF(ISERROR(VLOOKUP($A2380,'13. Updated Demand'!A:Z,23,FALSE)),0,VLOOKUP($A2380,'13. Updated Demand'!A:Z,23,FALSE))</f>
        <v>0.01</v>
      </c>
      <c r="AG2380" s="16">
        <f>IF(ISERROR(VLOOKUP($A2380,'13. Updated Demand'!A:Z,24,FALSE)),0,VLOOKUP($A2380,'13. Updated Demand'!A:Z,24,FALSE))</f>
        <v>4.4999999999999997E-3</v>
      </c>
      <c r="AH2380" s="16">
        <f>IF(ISERROR(VLOOKUP($A2380,'13. Updated Demand'!A:Z,25,FALSE)),0,VLOOKUP($A2380,'13. Updated Demand'!A:Z,25,FALSE))</f>
        <v>4.4999999999999997E-3</v>
      </c>
      <c r="AI2380" s="16">
        <f>IF(ISERROR(VLOOKUP($A2380,'13. Updated Demand'!A:Z,26,FALSE)),0,VLOOKUP($A2380,'13. Updated Demand'!A:Z,26,FALSE))</f>
        <v>4.4999999999999997E-3</v>
      </c>
      <c r="AJ2380" s="16">
        <f t="shared" si="445"/>
        <v>7.400000000000001E-2</v>
      </c>
      <c r="AK2380" s="19">
        <v>5.4499999999999993E-2</v>
      </c>
      <c r="AL2380" s="16">
        <f t="shared" si="455"/>
        <v>1.8077029186660523E-4</v>
      </c>
      <c r="AM2380" s="26">
        <v>1.286764705882353</v>
      </c>
      <c r="AN2380" s="19">
        <v>6.8000000000000005E-2</v>
      </c>
      <c r="AO2380" s="19" t="s">
        <v>1758</v>
      </c>
      <c r="AP2380" s="19">
        <v>0</v>
      </c>
      <c r="AQ2380" s="19" t="s">
        <v>307</v>
      </c>
      <c r="AR2380" s="9" t="s">
        <v>319</v>
      </c>
      <c r="AS2380" s="12">
        <v>0</v>
      </c>
      <c r="AT2380" s="19">
        <v>38.874229999999997</v>
      </c>
      <c r="AU2380" s="19">
        <v>-123.10799</v>
      </c>
      <c r="AV2380" s="19" t="s">
        <v>395</v>
      </c>
    </row>
    <row r="2381" spans="1:48" x14ac:dyDescent="0.25">
      <c r="A2381" s="18" t="s">
        <v>2865</v>
      </c>
      <c r="B2381" s="10">
        <v>10000000</v>
      </c>
      <c r="C2381" s="9">
        <v>12</v>
      </c>
      <c r="D2381" s="8" t="str">
        <f t="shared" si="446"/>
        <v>N</v>
      </c>
      <c r="E2381" s="8" t="str">
        <f t="shared" si="447"/>
        <v>Y</v>
      </c>
      <c r="F2381" s="8" t="str">
        <f t="shared" si="448"/>
        <v>Y</v>
      </c>
      <c r="G2381" s="8" t="str">
        <f t="shared" si="449"/>
        <v>Y</v>
      </c>
      <c r="H2381" s="8" t="str">
        <f t="shared" si="450"/>
        <v>Upper</v>
      </c>
      <c r="I2381" s="8" t="str">
        <f t="shared" si="451"/>
        <v>West Fork and Below Lake</v>
      </c>
      <c r="J2381" s="8" t="str">
        <f t="shared" si="452"/>
        <v>Sonoma (d/s of Clov. Gage)</v>
      </c>
      <c r="K2381" s="8" t="str">
        <f t="shared" si="453"/>
        <v>Riparian</v>
      </c>
      <c r="L2381" s="8">
        <f t="shared" si="454"/>
        <v>1000</v>
      </c>
      <c r="M2381" s="8" t="str">
        <f t="shared" si="456"/>
        <v>-</v>
      </c>
      <c r="N2381" s="10" t="s">
        <v>242</v>
      </c>
      <c r="O2381" s="10" t="s">
        <v>241</v>
      </c>
      <c r="P2381" s="10" t="s">
        <v>242</v>
      </c>
      <c r="Q2381" s="10" t="s">
        <v>242</v>
      </c>
      <c r="R2381" s="10" t="s">
        <v>242</v>
      </c>
      <c r="S2381" s="10" t="s">
        <v>241</v>
      </c>
      <c r="T2381" s="10" t="s">
        <v>242</v>
      </c>
      <c r="U2381" s="10" t="s">
        <v>242</v>
      </c>
      <c r="V2381" s="10" t="s">
        <v>241</v>
      </c>
      <c r="W2381" s="10" t="s">
        <v>242</v>
      </c>
      <c r="X2381" s="15">
        <f>IF(ISERROR(VLOOKUP($A2381,'13. Updated Demand'!A:Z,15,FALSE)),0,VLOOKUP($A2381,'13. Updated Demand'!A:Z,15,FALSE))</f>
        <v>0</v>
      </c>
      <c r="Y2381" s="16">
        <f>IF(ISERROR(VLOOKUP($A2381,'13. Updated Demand'!A:Z,16,FALSE)),0,VLOOKUP($A2381,'13. Updated Demand'!A:Z,16,FALSE))</f>
        <v>0</v>
      </c>
      <c r="Z2381" s="16">
        <f>IF(ISERROR(VLOOKUP($A2381,'13. Updated Demand'!A:Z,17,FALSE)),0,VLOOKUP($A2381,'13. Updated Demand'!A:Z,17,FALSE))</f>
        <v>0</v>
      </c>
      <c r="AA2381" s="16">
        <f>IF(ISERROR(VLOOKUP($A2381,'13. Updated Demand'!A:Z,18,FALSE)),0,VLOOKUP($A2381,'13. Updated Demand'!A:Z,18,FALSE))</f>
        <v>0</v>
      </c>
      <c r="AB2381" s="16">
        <f>IF(ISERROR(VLOOKUP($A2381,'13. Updated Demand'!A:Z,19,FALSE)),0,VLOOKUP($A2381,'13. Updated Demand'!A:Z,19,FALSE))</f>
        <v>0</v>
      </c>
      <c r="AC2381" s="16">
        <f>IF(ISERROR(VLOOKUP($A2381,'13. Updated Demand'!A:Z,20,FALSE)),0,VLOOKUP($A2381,'13. Updated Demand'!A:Z,20,FALSE))</f>
        <v>0</v>
      </c>
      <c r="AD2381" s="16">
        <f>IF(ISERROR(VLOOKUP($A2381,'13. Updated Demand'!A:Z,21,FALSE)),0,VLOOKUP($A2381,'13. Updated Demand'!A:Z,21,FALSE))</f>
        <v>0</v>
      </c>
      <c r="AE2381" s="16">
        <f>IF(ISERROR(VLOOKUP($A2381,'13. Updated Demand'!A:Z,22,FALSE)),0,VLOOKUP($A2381,'13. Updated Demand'!A:Z,22,FALSE))</f>
        <v>0</v>
      </c>
      <c r="AF2381" s="16">
        <f>IF(ISERROR(VLOOKUP($A2381,'13. Updated Demand'!A:Z,23,FALSE)),0,VLOOKUP($A2381,'13. Updated Demand'!A:Z,23,FALSE))</f>
        <v>0</v>
      </c>
      <c r="AG2381" s="16">
        <f>IF(ISERROR(VLOOKUP($A2381,'13. Updated Demand'!A:Z,24,FALSE)),0,VLOOKUP($A2381,'13. Updated Demand'!A:Z,24,FALSE))</f>
        <v>0</v>
      </c>
      <c r="AH2381" s="16">
        <f>IF(ISERROR(VLOOKUP($A2381,'13. Updated Demand'!A:Z,25,FALSE)),0,VLOOKUP($A2381,'13. Updated Demand'!A:Z,25,FALSE))</f>
        <v>2.73</v>
      </c>
      <c r="AI2381" s="16">
        <f>IF(ISERROR(VLOOKUP($A2381,'13. Updated Demand'!A:Z,26,FALSE)),0,VLOOKUP($A2381,'13. Updated Demand'!A:Z,26,FALSE))</f>
        <v>3.06</v>
      </c>
      <c r="AJ2381" s="16">
        <f t="shared" si="445"/>
        <v>5.79</v>
      </c>
      <c r="AK2381" s="19">
        <v>0</v>
      </c>
      <c r="AL2381" s="16">
        <f t="shared" si="455"/>
        <v>0</v>
      </c>
      <c r="AM2381" s="26">
        <v>0.99656357388316141</v>
      </c>
      <c r="AN2381" s="19">
        <v>5.82</v>
      </c>
      <c r="AO2381" s="19" t="s">
        <v>1758</v>
      </c>
      <c r="AP2381" s="19">
        <v>0</v>
      </c>
      <c r="AQ2381" s="19" t="s">
        <v>307</v>
      </c>
      <c r="AR2381" s="9" t="s">
        <v>311</v>
      </c>
      <c r="AS2381" s="12">
        <v>0</v>
      </c>
      <c r="AT2381" s="19">
        <v>38.59877315</v>
      </c>
      <c r="AU2381" s="19">
        <v>-122.7585277</v>
      </c>
      <c r="AV2381" s="19" t="s">
        <v>385</v>
      </c>
    </row>
    <row r="2382" spans="1:48" x14ac:dyDescent="0.25">
      <c r="A2382" s="18" t="s">
        <v>2866</v>
      </c>
      <c r="B2382" s="10">
        <v>10000000</v>
      </c>
      <c r="C2382" s="9">
        <v>5</v>
      </c>
      <c r="D2382" s="8" t="str">
        <f t="shared" si="446"/>
        <v>Y</v>
      </c>
      <c r="E2382" s="8" t="str">
        <f t="shared" si="447"/>
        <v>N</v>
      </c>
      <c r="F2382" s="8" t="str">
        <f t="shared" si="448"/>
        <v>Y</v>
      </c>
      <c r="G2382" s="8" t="str">
        <f t="shared" si="449"/>
        <v>Y</v>
      </c>
      <c r="H2382" s="8" t="str">
        <f t="shared" si="450"/>
        <v>Upper</v>
      </c>
      <c r="I2382" s="8" t="str">
        <f t="shared" si="451"/>
        <v>West Fork and Below Lake</v>
      </c>
      <c r="J2382" s="8" t="str">
        <f t="shared" si="452"/>
        <v>Mendocino (d/s of lake)</v>
      </c>
      <c r="K2382" s="8" t="str">
        <f t="shared" si="453"/>
        <v>Riparian</v>
      </c>
      <c r="L2382" s="8">
        <f t="shared" si="454"/>
        <v>1000</v>
      </c>
      <c r="M2382" s="8" t="str">
        <f t="shared" si="456"/>
        <v>-</v>
      </c>
      <c r="N2382" s="10" t="s">
        <v>242</v>
      </c>
      <c r="O2382" s="10" t="s">
        <v>241</v>
      </c>
      <c r="P2382" s="10" t="s">
        <v>242</v>
      </c>
      <c r="Q2382" s="10" t="s">
        <v>242</v>
      </c>
      <c r="R2382" s="10" t="s">
        <v>242</v>
      </c>
      <c r="S2382" s="10" t="s">
        <v>241</v>
      </c>
      <c r="T2382" s="10" t="s">
        <v>242</v>
      </c>
      <c r="U2382" s="10" t="s">
        <v>242</v>
      </c>
      <c r="V2382" s="10" t="s">
        <v>241</v>
      </c>
      <c r="W2382" s="10" t="s">
        <v>242</v>
      </c>
      <c r="X2382" s="15">
        <f>IF(ISERROR(VLOOKUP($A2382,'13. Updated Demand'!A:Z,15,FALSE)),0,VLOOKUP($A2382,'13. Updated Demand'!A:Z,15,FALSE))</f>
        <v>1.66</v>
      </c>
      <c r="Y2382" s="16">
        <f>IF(ISERROR(VLOOKUP($A2382,'13. Updated Demand'!A:Z,16,FALSE)),0,VLOOKUP($A2382,'13. Updated Demand'!A:Z,16,FALSE))</f>
        <v>1</v>
      </c>
      <c r="Z2382" s="16">
        <f>IF(ISERROR(VLOOKUP($A2382,'13. Updated Demand'!A:Z,17,FALSE)),0,VLOOKUP($A2382,'13. Updated Demand'!A:Z,17,FALSE))</f>
        <v>0.33</v>
      </c>
      <c r="AA2382" s="16">
        <f>IF(ISERROR(VLOOKUP($A2382,'13. Updated Demand'!A:Z,18,FALSE)),0,VLOOKUP($A2382,'13. Updated Demand'!A:Z,18,FALSE))</f>
        <v>0.16</v>
      </c>
      <c r="AB2382" s="16">
        <f>IF(ISERROR(VLOOKUP($A2382,'13. Updated Demand'!A:Z,19,FALSE)),0,VLOOKUP($A2382,'13. Updated Demand'!A:Z,19,FALSE))</f>
        <v>0</v>
      </c>
      <c r="AC2382" s="16">
        <f>IF(ISERROR(VLOOKUP($A2382,'13. Updated Demand'!A:Z,20,FALSE)),0,VLOOKUP($A2382,'13. Updated Demand'!A:Z,20,FALSE))</f>
        <v>0</v>
      </c>
      <c r="AD2382" s="16">
        <f>IF(ISERROR(VLOOKUP($A2382,'13. Updated Demand'!A:Z,21,FALSE)),0,VLOOKUP($A2382,'13. Updated Demand'!A:Z,21,FALSE))</f>
        <v>0</v>
      </c>
      <c r="AE2382" s="16">
        <f>IF(ISERROR(VLOOKUP($A2382,'13. Updated Demand'!A:Z,22,FALSE)),0,VLOOKUP($A2382,'13. Updated Demand'!A:Z,22,FALSE))</f>
        <v>0</v>
      </c>
      <c r="AF2382" s="16">
        <f>IF(ISERROR(VLOOKUP($A2382,'13. Updated Demand'!A:Z,23,FALSE)),0,VLOOKUP($A2382,'13. Updated Demand'!A:Z,23,FALSE))</f>
        <v>0</v>
      </c>
      <c r="AG2382" s="16">
        <f>IF(ISERROR(VLOOKUP($A2382,'13. Updated Demand'!A:Z,24,FALSE)),0,VLOOKUP($A2382,'13. Updated Demand'!A:Z,24,FALSE))</f>
        <v>0</v>
      </c>
      <c r="AH2382" s="16">
        <f>IF(ISERROR(VLOOKUP($A2382,'13. Updated Demand'!A:Z,25,FALSE)),0,VLOOKUP($A2382,'13. Updated Demand'!A:Z,25,FALSE))</f>
        <v>0</v>
      </c>
      <c r="AI2382" s="16">
        <f>IF(ISERROR(VLOOKUP($A2382,'13. Updated Demand'!A:Z,26,FALSE)),0,VLOOKUP($A2382,'13. Updated Demand'!A:Z,26,FALSE))</f>
        <v>0.16</v>
      </c>
      <c r="AJ2382" s="16">
        <f t="shared" si="445"/>
        <v>3.3100000000000005</v>
      </c>
      <c r="AK2382" s="19">
        <v>0</v>
      </c>
      <c r="AL2382" s="16">
        <f t="shared" si="455"/>
        <v>0</v>
      </c>
      <c r="AM2382" s="26">
        <v>1.6666666670000001</v>
      </c>
      <c r="AN2382" s="19">
        <v>2</v>
      </c>
      <c r="AO2382" s="19" t="s">
        <v>1758</v>
      </c>
      <c r="AP2382" s="19">
        <v>0</v>
      </c>
      <c r="AQ2382" s="19" t="s">
        <v>307</v>
      </c>
      <c r="AR2382" s="9" t="s">
        <v>333</v>
      </c>
      <c r="AS2382" s="12">
        <v>0</v>
      </c>
      <c r="AT2382" s="19">
        <v>39.03</v>
      </c>
      <c r="AU2382" s="19">
        <v>-123.116</v>
      </c>
      <c r="AV2382" s="19" t="s">
        <v>1826</v>
      </c>
    </row>
    <row r="2383" spans="1:48" x14ac:dyDescent="0.25">
      <c r="A2383" s="18" t="s">
        <v>2867</v>
      </c>
      <c r="B2383" s="10">
        <v>10000000</v>
      </c>
      <c r="C2383" s="9">
        <v>6</v>
      </c>
      <c r="D2383" s="8" t="str">
        <f t="shared" si="446"/>
        <v>Y</v>
      </c>
      <c r="E2383" s="8" t="str">
        <f t="shared" si="447"/>
        <v>N</v>
      </c>
      <c r="F2383" s="8" t="str">
        <f t="shared" si="448"/>
        <v>Y</v>
      </c>
      <c r="G2383" s="8" t="str">
        <f t="shared" si="449"/>
        <v>Y</v>
      </c>
      <c r="H2383" s="8" t="str">
        <f t="shared" si="450"/>
        <v>Upper</v>
      </c>
      <c r="I2383" s="8" t="str">
        <f t="shared" si="451"/>
        <v>West Fork and Below Lake</v>
      </c>
      <c r="J2383" s="8" t="str">
        <f t="shared" si="452"/>
        <v>Mendocino (d/s of lake)</v>
      </c>
      <c r="K2383" s="8" t="str">
        <f t="shared" si="453"/>
        <v>Riparian</v>
      </c>
      <c r="L2383" s="8">
        <f t="shared" si="454"/>
        <v>1000</v>
      </c>
      <c r="M2383" s="8" t="str">
        <f t="shared" si="456"/>
        <v>-</v>
      </c>
      <c r="N2383" s="10" t="s">
        <v>242</v>
      </c>
      <c r="O2383" s="10" t="s">
        <v>241</v>
      </c>
      <c r="P2383" s="10" t="s">
        <v>242</v>
      </c>
      <c r="Q2383" s="10" t="s">
        <v>242</v>
      </c>
      <c r="R2383" s="10" t="s">
        <v>242</v>
      </c>
      <c r="S2383" s="10" t="s">
        <v>241</v>
      </c>
      <c r="T2383" s="10" t="s">
        <v>242</v>
      </c>
      <c r="U2383" s="10" t="s">
        <v>242</v>
      </c>
      <c r="V2383" s="10" t="s">
        <v>242</v>
      </c>
      <c r="W2383" s="10" t="s">
        <v>242</v>
      </c>
      <c r="X2383" s="15">
        <f>IF(ISERROR(VLOOKUP($A2383,'13. Updated Demand'!A:Z,15,FALSE)),0,VLOOKUP($A2383,'13. Updated Demand'!A:Z,15,FALSE))</f>
        <v>0</v>
      </c>
      <c r="Y2383" s="16">
        <f>IF(ISERROR(VLOOKUP($A2383,'13. Updated Demand'!A:Z,16,FALSE)),0,VLOOKUP($A2383,'13. Updated Demand'!A:Z,16,FALSE))</f>
        <v>0</v>
      </c>
      <c r="Z2383" s="16">
        <f>IF(ISERROR(VLOOKUP($A2383,'13. Updated Demand'!A:Z,17,FALSE)),0,VLOOKUP($A2383,'13. Updated Demand'!A:Z,17,FALSE))</f>
        <v>0</v>
      </c>
      <c r="AA2383" s="16">
        <f>IF(ISERROR(VLOOKUP($A2383,'13. Updated Demand'!A:Z,18,FALSE)),0,VLOOKUP($A2383,'13. Updated Demand'!A:Z,18,FALSE))</f>
        <v>0.01</v>
      </c>
      <c r="AB2383" s="16">
        <f>IF(ISERROR(VLOOKUP($A2383,'13. Updated Demand'!A:Z,19,FALSE)),0,VLOOKUP($A2383,'13. Updated Demand'!A:Z,19,FALSE))</f>
        <v>0.01</v>
      </c>
      <c r="AC2383" s="16">
        <f>IF(ISERROR(VLOOKUP($A2383,'13. Updated Demand'!A:Z,20,FALSE)),0,VLOOKUP($A2383,'13. Updated Demand'!A:Z,20,FALSE))</f>
        <v>0.01</v>
      </c>
      <c r="AD2383" s="16">
        <f>IF(ISERROR(VLOOKUP($A2383,'13. Updated Demand'!A:Z,21,FALSE)),0,VLOOKUP($A2383,'13. Updated Demand'!A:Z,21,FALSE))</f>
        <v>0.02</v>
      </c>
      <c r="AE2383" s="16">
        <f>IF(ISERROR(VLOOKUP($A2383,'13. Updated Demand'!A:Z,22,FALSE)),0,VLOOKUP($A2383,'13. Updated Demand'!A:Z,22,FALSE))</f>
        <v>0.02</v>
      </c>
      <c r="AF2383" s="16">
        <f>IF(ISERROR(VLOOKUP($A2383,'13. Updated Demand'!A:Z,23,FALSE)),0,VLOOKUP($A2383,'13. Updated Demand'!A:Z,23,FALSE))</f>
        <v>0.01</v>
      </c>
      <c r="AG2383" s="16">
        <f>IF(ISERROR(VLOOKUP($A2383,'13. Updated Demand'!A:Z,24,FALSE)),0,VLOOKUP($A2383,'13. Updated Demand'!A:Z,24,FALSE))</f>
        <v>0.01</v>
      </c>
      <c r="AH2383" s="16">
        <f>IF(ISERROR(VLOOKUP($A2383,'13. Updated Demand'!A:Z,25,FALSE)),0,VLOOKUP($A2383,'13. Updated Demand'!A:Z,25,FALSE))</f>
        <v>0</v>
      </c>
      <c r="AI2383" s="16">
        <f>IF(ISERROR(VLOOKUP($A2383,'13. Updated Demand'!A:Z,26,FALSE)),0,VLOOKUP($A2383,'13. Updated Demand'!A:Z,26,FALSE))</f>
        <v>0</v>
      </c>
      <c r="AJ2383" s="16">
        <f t="shared" si="445"/>
        <v>0.09</v>
      </c>
      <c r="AK2383" s="19">
        <v>9.0225E-2</v>
      </c>
      <c r="AL2383" s="16">
        <f t="shared" si="455"/>
        <v>2.9926604740668732E-4</v>
      </c>
      <c r="AM2383" s="26">
        <v>1.0000258620689655</v>
      </c>
      <c r="AN2383" s="19">
        <v>0.11600000000000001</v>
      </c>
      <c r="AO2383" s="19" t="s">
        <v>1758</v>
      </c>
      <c r="AP2383" s="19">
        <v>0</v>
      </c>
      <c r="AQ2383" s="19" t="s">
        <v>307</v>
      </c>
      <c r="AR2383" s="9" t="s">
        <v>319</v>
      </c>
      <c r="AS2383" s="12">
        <v>0</v>
      </c>
      <c r="AT2383" s="19">
        <v>38.971260000000001</v>
      </c>
      <c r="AU2383" s="19">
        <v>-123.183604</v>
      </c>
      <c r="AV2383" s="19" t="s">
        <v>315</v>
      </c>
    </row>
    <row r="2384" spans="1:48" x14ac:dyDescent="0.25">
      <c r="A2384" s="18" t="s">
        <v>2868</v>
      </c>
      <c r="B2384" s="10">
        <v>10000000</v>
      </c>
      <c r="C2384" s="9">
        <v>20</v>
      </c>
      <c r="D2384" s="8" t="str">
        <f t="shared" si="446"/>
        <v>N</v>
      </c>
      <c r="E2384" s="8" t="str">
        <f t="shared" si="447"/>
        <v>N</v>
      </c>
      <c r="F2384" s="8" t="str">
        <f t="shared" si="448"/>
        <v>N</v>
      </c>
      <c r="G2384" s="8" t="str">
        <f t="shared" si="449"/>
        <v>N</v>
      </c>
      <c r="H2384" s="8" t="str">
        <f t="shared" si="450"/>
        <v>Lower</v>
      </c>
      <c r="I2384" s="8" t="str">
        <f t="shared" si="451"/>
        <v>Outside</v>
      </c>
      <c r="J2384" s="8" t="str">
        <f t="shared" si="452"/>
        <v>Outside</v>
      </c>
      <c r="K2384" s="8" t="str">
        <f t="shared" si="453"/>
        <v>Riparian</v>
      </c>
      <c r="L2384" s="8">
        <f t="shared" si="454"/>
        <v>1000</v>
      </c>
      <c r="M2384" s="8" t="str">
        <f t="shared" si="456"/>
        <v>-</v>
      </c>
      <c r="N2384" s="10" t="s">
        <v>242</v>
      </c>
      <c r="O2384" s="10" t="s">
        <v>242</v>
      </c>
      <c r="P2384" s="10" t="s">
        <v>242</v>
      </c>
      <c r="Q2384" s="10" t="s">
        <v>242</v>
      </c>
      <c r="R2384" s="10" t="s">
        <v>242</v>
      </c>
      <c r="S2384" s="10" t="s">
        <v>241</v>
      </c>
      <c r="T2384" s="10" t="s">
        <v>242</v>
      </c>
      <c r="U2384" s="10" t="s">
        <v>242</v>
      </c>
      <c r="V2384" s="10" t="s">
        <v>242</v>
      </c>
      <c r="W2384" s="10" t="s">
        <v>242</v>
      </c>
      <c r="X2384" s="15">
        <f>IF(ISERROR(VLOOKUP($A2384,'13. Updated Demand'!A:Z,15,FALSE)),0,VLOOKUP($A2384,'13. Updated Demand'!A:Z,15,FALSE))</f>
        <v>0</v>
      </c>
      <c r="Y2384" s="16">
        <f>IF(ISERROR(VLOOKUP($A2384,'13. Updated Demand'!A:Z,16,FALSE)),0,VLOOKUP($A2384,'13. Updated Demand'!A:Z,16,FALSE))</f>
        <v>0</v>
      </c>
      <c r="Z2384" s="16">
        <f>IF(ISERROR(VLOOKUP($A2384,'13. Updated Demand'!A:Z,17,FALSE)),0,VLOOKUP($A2384,'13. Updated Demand'!A:Z,17,FALSE))</f>
        <v>0</v>
      </c>
      <c r="AA2384" s="16">
        <f>IF(ISERROR(VLOOKUP($A2384,'13. Updated Demand'!A:Z,18,FALSE)),0,VLOOKUP($A2384,'13. Updated Demand'!A:Z,18,FALSE))</f>
        <v>1.534444E-3</v>
      </c>
      <c r="AB2384" s="16">
        <f>IF(ISERROR(VLOOKUP($A2384,'13. Updated Demand'!A:Z,19,FALSE)),0,VLOOKUP($A2384,'13. Updated Demand'!A:Z,19,FALSE))</f>
        <v>7.6722179999999997E-3</v>
      </c>
      <c r="AC2384" s="16">
        <f>IF(ISERROR(VLOOKUP($A2384,'13. Updated Demand'!A:Z,20,FALSE)),0,VLOOKUP($A2384,'13. Updated Demand'!A:Z,20,FALSE))</f>
        <v>1.5344437000000001E-2</v>
      </c>
      <c r="AD2384" s="16">
        <f>IF(ISERROR(VLOOKUP($A2384,'13. Updated Demand'!A:Z,21,FALSE)),0,VLOOKUP($A2384,'13. Updated Demand'!A:Z,21,FALSE))</f>
        <v>3.3757759999999998E-2</v>
      </c>
      <c r="AE2384" s="16">
        <f>IF(ISERROR(VLOOKUP($A2384,'13. Updated Demand'!A:Z,22,FALSE)),0,VLOOKUP($A2384,'13. Updated Demand'!A:Z,22,FALSE))</f>
        <v>3.3757759999999998E-2</v>
      </c>
      <c r="AF2384" s="16">
        <f>IF(ISERROR(VLOOKUP($A2384,'13. Updated Demand'!A:Z,23,FALSE)),0,VLOOKUP($A2384,'13. Updated Demand'!A:Z,23,FALSE))</f>
        <v>3.3757759999999998E-2</v>
      </c>
      <c r="AG2384" s="16">
        <f>IF(ISERROR(VLOOKUP($A2384,'13. Updated Demand'!A:Z,24,FALSE)),0,VLOOKUP($A2384,'13. Updated Demand'!A:Z,24,FALSE))</f>
        <v>3.3757759999999998E-2</v>
      </c>
      <c r="AH2384" s="16">
        <f>IF(ISERROR(VLOOKUP($A2384,'13. Updated Demand'!A:Z,25,FALSE)),0,VLOOKUP($A2384,'13. Updated Demand'!A:Z,25,FALSE))</f>
        <v>0</v>
      </c>
      <c r="AI2384" s="16">
        <f>IF(ISERROR(VLOOKUP($A2384,'13. Updated Demand'!A:Z,26,FALSE)),0,VLOOKUP($A2384,'13. Updated Demand'!A:Z,26,FALSE))</f>
        <v>0</v>
      </c>
      <c r="AJ2384" s="16">
        <f t="shared" ref="AJ2384:AJ2413" si="457">SUM(X2384:AI2384)</f>
        <v>0.15958213899999998</v>
      </c>
      <c r="AK2384" s="19">
        <v>0.12428993619783284</v>
      </c>
      <c r="AL2384" s="16">
        <f t="shared" si="455"/>
        <v>4.1225556041401808E-4</v>
      </c>
      <c r="AM2384" s="26">
        <v>39.895535075847576</v>
      </c>
      <c r="AN2384" s="19">
        <v>4.0000000000000001E-3</v>
      </c>
      <c r="AO2384" s="19" t="s">
        <v>1758</v>
      </c>
      <c r="AP2384" s="19">
        <v>0</v>
      </c>
      <c r="AQ2384" s="19" t="s">
        <v>307</v>
      </c>
      <c r="AR2384" s="9" t="s">
        <v>329</v>
      </c>
      <c r="AS2384" s="12">
        <v>3.4039024194010059E-4</v>
      </c>
      <c r="AT2384" s="19">
        <v>38.519841999999997</v>
      </c>
      <c r="AU2384" s="19">
        <v>-123.129936</v>
      </c>
      <c r="AV2384" s="19" t="s">
        <v>428</v>
      </c>
    </row>
    <row r="2385" spans="1:48" x14ac:dyDescent="0.25">
      <c r="A2385" s="18" t="s">
        <v>2869</v>
      </c>
      <c r="B2385" s="10">
        <v>10000000</v>
      </c>
      <c r="C2385" s="9">
        <v>6</v>
      </c>
      <c r="D2385" s="8" t="str">
        <f t="shared" si="446"/>
        <v>Y</v>
      </c>
      <c r="E2385" s="8" t="str">
        <f t="shared" si="447"/>
        <v>N</v>
      </c>
      <c r="F2385" s="8" t="str">
        <f t="shared" si="448"/>
        <v>Y</v>
      </c>
      <c r="G2385" s="8" t="str">
        <f t="shared" si="449"/>
        <v>Y</v>
      </c>
      <c r="H2385" s="8" t="str">
        <f t="shared" si="450"/>
        <v>Upper</v>
      </c>
      <c r="I2385" s="8" t="str">
        <f t="shared" si="451"/>
        <v>West Fork and Below Lake</v>
      </c>
      <c r="J2385" s="8" t="str">
        <f t="shared" si="452"/>
        <v>Mendocino (d/s of lake)</v>
      </c>
      <c r="K2385" s="8" t="str">
        <f t="shared" si="453"/>
        <v>Riparian</v>
      </c>
      <c r="L2385" s="8">
        <f t="shared" si="454"/>
        <v>1000</v>
      </c>
      <c r="M2385" s="8" t="str">
        <f t="shared" si="456"/>
        <v>-</v>
      </c>
      <c r="N2385" s="10" t="s">
        <v>242</v>
      </c>
      <c r="O2385" s="10" t="s">
        <v>241</v>
      </c>
      <c r="P2385" s="10" t="s">
        <v>242</v>
      </c>
      <c r="Q2385" s="10" t="s">
        <v>242</v>
      </c>
      <c r="R2385" s="10" t="s">
        <v>242</v>
      </c>
      <c r="S2385" s="10" t="s">
        <v>241</v>
      </c>
      <c r="T2385" s="10" t="s">
        <v>242</v>
      </c>
      <c r="U2385" s="10" t="s">
        <v>242</v>
      </c>
      <c r="V2385" s="10" t="s">
        <v>242</v>
      </c>
      <c r="W2385" s="10" t="s">
        <v>242</v>
      </c>
      <c r="X2385" s="15">
        <f>IF(ISERROR(VLOOKUP($A2385,'13. Updated Demand'!A:Z,15,FALSE)),0,VLOOKUP($A2385,'13. Updated Demand'!A:Z,15,FALSE))</f>
        <v>0</v>
      </c>
      <c r="Y2385" s="16">
        <f>IF(ISERROR(VLOOKUP($A2385,'13. Updated Demand'!A:Z,16,FALSE)),0,VLOOKUP($A2385,'13. Updated Demand'!A:Z,16,FALSE))</f>
        <v>0</v>
      </c>
      <c r="Z2385" s="16">
        <f>IF(ISERROR(VLOOKUP($A2385,'13. Updated Demand'!A:Z,17,FALSE)),0,VLOOKUP($A2385,'13. Updated Demand'!A:Z,17,FALSE))</f>
        <v>0</v>
      </c>
      <c r="AA2385" s="16">
        <f>IF(ISERROR(VLOOKUP($A2385,'13. Updated Demand'!A:Z,18,FALSE)),0,VLOOKUP($A2385,'13. Updated Demand'!A:Z,18,FALSE))</f>
        <v>1E-3</v>
      </c>
      <c r="AB2385" s="16">
        <f>IF(ISERROR(VLOOKUP($A2385,'13. Updated Demand'!A:Z,19,FALSE)),0,VLOOKUP($A2385,'13. Updated Demand'!A:Z,19,FALSE))</f>
        <v>1E-3</v>
      </c>
      <c r="AC2385" s="16">
        <f>IF(ISERROR(VLOOKUP($A2385,'13. Updated Demand'!A:Z,20,FALSE)),0,VLOOKUP($A2385,'13. Updated Demand'!A:Z,20,FALSE))</f>
        <v>3.0000000000000001E-3</v>
      </c>
      <c r="AD2385" s="16">
        <f>IF(ISERROR(VLOOKUP($A2385,'13. Updated Demand'!A:Z,21,FALSE)),0,VLOOKUP($A2385,'13. Updated Demand'!A:Z,21,FALSE))</f>
        <v>4.0000000000000001E-3</v>
      </c>
      <c r="AE2385" s="16">
        <f>IF(ISERROR(VLOOKUP($A2385,'13. Updated Demand'!A:Z,22,FALSE)),0,VLOOKUP($A2385,'13. Updated Demand'!A:Z,22,FALSE))</f>
        <v>4.0000000000000001E-3</v>
      </c>
      <c r="AF2385" s="16">
        <f>IF(ISERROR(VLOOKUP($A2385,'13. Updated Demand'!A:Z,23,FALSE)),0,VLOOKUP($A2385,'13. Updated Demand'!A:Z,23,FALSE))</f>
        <v>4.0000000000000001E-3</v>
      </c>
      <c r="AG2385" s="16">
        <f>IF(ISERROR(VLOOKUP($A2385,'13. Updated Demand'!A:Z,24,FALSE)),0,VLOOKUP($A2385,'13. Updated Demand'!A:Z,24,FALSE))</f>
        <v>3.0000000000000001E-3</v>
      </c>
      <c r="AH2385" s="16">
        <f>IF(ISERROR(VLOOKUP($A2385,'13. Updated Demand'!A:Z,25,FALSE)),0,VLOOKUP($A2385,'13. Updated Demand'!A:Z,25,FALSE))</f>
        <v>3.0000000000000001E-3</v>
      </c>
      <c r="AI2385" s="16">
        <f>IF(ISERROR(VLOOKUP($A2385,'13. Updated Demand'!A:Z,26,FALSE)),0,VLOOKUP($A2385,'13. Updated Demand'!A:Z,26,FALSE))</f>
        <v>0</v>
      </c>
      <c r="AJ2385" s="16">
        <f t="shared" si="457"/>
        <v>2.3E-2</v>
      </c>
      <c r="AK2385" s="19">
        <v>1.6E-2</v>
      </c>
      <c r="AL2385" s="16">
        <f t="shared" si="455"/>
        <v>5.3070177428728148E-5</v>
      </c>
      <c r="AM2385" s="26">
        <v>9.9913119026933103E-2</v>
      </c>
      <c r="AN2385" s="19">
        <v>0.23019999999999999</v>
      </c>
      <c r="AO2385" s="19" t="s">
        <v>1758</v>
      </c>
      <c r="AP2385" s="19">
        <v>0</v>
      </c>
      <c r="AQ2385" s="19" t="s">
        <v>307</v>
      </c>
      <c r="AR2385" s="9" t="s">
        <v>319</v>
      </c>
      <c r="AS2385" s="12">
        <v>3.4039024194010059E-4</v>
      </c>
      <c r="AT2385" s="19">
        <v>38.972954199999997</v>
      </c>
      <c r="AU2385" s="19">
        <v>-123.1163918</v>
      </c>
      <c r="AV2385" s="19" t="s">
        <v>2870</v>
      </c>
    </row>
    <row r="2386" spans="1:48" x14ac:dyDescent="0.25">
      <c r="A2386" s="18" t="s">
        <v>2871</v>
      </c>
      <c r="B2386" s="10">
        <v>10000000</v>
      </c>
      <c r="C2386" s="9">
        <v>9</v>
      </c>
      <c r="D2386" s="8" t="str">
        <f t="shared" si="446"/>
        <v>N</v>
      </c>
      <c r="E2386" s="8" t="str">
        <f t="shared" si="447"/>
        <v>Y</v>
      </c>
      <c r="F2386" s="8" t="str">
        <f t="shared" si="448"/>
        <v>Y</v>
      </c>
      <c r="G2386" s="8" t="str">
        <f t="shared" si="449"/>
        <v>Y</v>
      </c>
      <c r="H2386" s="8" t="str">
        <f t="shared" si="450"/>
        <v>Upper</v>
      </c>
      <c r="I2386" s="8" t="str">
        <f t="shared" si="451"/>
        <v>West Fork and Below Lake</v>
      </c>
      <c r="J2386" s="8" t="str">
        <f t="shared" si="452"/>
        <v>Sonoma (d/s of Clov. Gage)</v>
      </c>
      <c r="K2386" s="8" t="str">
        <f t="shared" si="453"/>
        <v>Riparian</v>
      </c>
      <c r="L2386" s="8">
        <f t="shared" si="454"/>
        <v>1000</v>
      </c>
      <c r="M2386" s="8" t="str">
        <f t="shared" si="456"/>
        <v>-</v>
      </c>
      <c r="N2386" s="10" t="s">
        <v>241</v>
      </c>
      <c r="O2386" s="10" t="s">
        <v>241</v>
      </c>
      <c r="P2386" s="10" t="s">
        <v>242</v>
      </c>
      <c r="Q2386" s="10" t="s">
        <v>242</v>
      </c>
      <c r="R2386" s="10" t="s">
        <v>242</v>
      </c>
      <c r="S2386" s="10" t="s">
        <v>241</v>
      </c>
      <c r="T2386" s="10" t="s">
        <v>242</v>
      </c>
      <c r="U2386" s="10" t="s">
        <v>242</v>
      </c>
      <c r="V2386" s="10" t="s">
        <v>242</v>
      </c>
      <c r="W2386" s="10" t="s">
        <v>242</v>
      </c>
      <c r="X2386" s="15">
        <f>IF(ISERROR(VLOOKUP($A2386,'13. Updated Demand'!A:Z,15,FALSE)),0,VLOOKUP($A2386,'13. Updated Demand'!A:Z,15,FALSE))</f>
        <v>0</v>
      </c>
      <c r="Y2386" s="16">
        <f>IF(ISERROR(VLOOKUP($A2386,'13. Updated Demand'!A:Z,16,FALSE)),0,VLOOKUP($A2386,'13. Updated Demand'!A:Z,16,FALSE))</f>
        <v>0</v>
      </c>
      <c r="Z2386" s="16">
        <f>IF(ISERROR(VLOOKUP($A2386,'13. Updated Demand'!A:Z,17,FALSE)),0,VLOOKUP($A2386,'13. Updated Demand'!A:Z,17,FALSE))</f>
        <v>0</v>
      </c>
      <c r="AA2386" s="16">
        <f>IF(ISERROR(VLOOKUP($A2386,'13. Updated Demand'!A:Z,18,FALSE)),0,VLOOKUP($A2386,'13. Updated Demand'!A:Z,18,FALSE))</f>
        <v>0</v>
      </c>
      <c r="AB2386" s="16">
        <f>IF(ISERROR(VLOOKUP($A2386,'13. Updated Demand'!A:Z,19,FALSE)),0,VLOOKUP($A2386,'13. Updated Demand'!A:Z,19,FALSE))</f>
        <v>0</v>
      </c>
      <c r="AC2386" s="16">
        <f>IF(ISERROR(VLOOKUP($A2386,'13. Updated Demand'!A:Z,20,FALSE)),0,VLOOKUP($A2386,'13. Updated Demand'!A:Z,20,FALSE))</f>
        <v>0</v>
      </c>
      <c r="AD2386" s="16">
        <f>IF(ISERROR(VLOOKUP($A2386,'13. Updated Demand'!A:Z,21,FALSE)),0,VLOOKUP($A2386,'13. Updated Demand'!A:Z,21,FALSE))</f>
        <v>0</v>
      </c>
      <c r="AE2386" s="16">
        <f>IF(ISERROR(VLOOKUP($A2386,'13. Updated Demand'!A:Z,22,FALSE)),0,VLOOKUP($A2386,'13. Updated Demand'!A:Z,22,FALSE))</f>
        <v>0</v>
      </c>
      <c r="AF2386" s="16">
        <f>IF(ISERROR(VLOOKUP($A2386,'13. Updated Demand'!A:Z,23,FALSE)),0,VLOOKUP($A2386,'13. Updated Demand'!A:Z,23,FALSE))</f>
        <v>0</v>
      </c>
      <c r="AG2386" s="16">
        <f>IF(ISERROR(VLOOKUP($A2386,'13. Updated Demand'!A:Z,24,FALSE)),0,VLOOKUP($A2386,'13. Updated Demand'!A:Z,24,FALSE))</f>
        <v>0</v>
      </c>
      <c r="AH2386" s="16">
        <f>IF(ISERROR(VLOOKUP($A2386,'13. Updated Demand'!A:Z,25,FALSE)),0,VLOOKUP($A2386,'13. Updated Demand'!A:Z,25,FALSE))</f>
        <v>0</v>
      </c>
      <c r="AI2386" s="16">
        <f>IF(ISERROR(VLOOKUP($A2386,'13. Updated Demand'!A:Z,26,FALSE)),0,VLOOKUP($A2386,'13. Updated Demand'!A:Z,26,FALSE))</f>
        <v>0</v>
      </c>
      <c r="AJ2386" s="16">
        <f t="shared" si="457"/>
        <v>0</v>
      </c>
      <c r="AK2386" s="19">
        <v>19.350000000000001</v>
      </c>
      <c r="AL2386" s="16">
        <f t="shared" si="455"/>
        <v>6.4181745827868106E-2</v>
      </c>
      <c r="AM2386" s="26">
        <v>1.7086956521739129</v>
      </c>
      <c r="AN2386" s="19">
        <v>11.5</v>
      </c>
      <c r="AO2386" s="19" t="s">
        <v>1758</v>
      </c>
      <c r="AP2386" s="19">
        <v>0</v>
      </c>
      <c r="AQ2386" s="19" t="s">
        <v>307</v>
      </c>
      <c r="AR2386" s="9" t="s">
        <v>354</v>
      </c>
      <c r="AS2386" s="12">
        <v>0</v>
      </c>
      <c r="AT2386" s="19">
        <v>38.771627760000001</v>
      </c>
      <c r="AU2386" s="19">
        <v>-122.98803281000001</v>
      </c>
      <c r="AV2386" s="19" t="s">
        <v>2872</v>
      </c>
    </row>
    <row r="2387" spans="1:48" x14ac:dyDescent="0.25">
      <c r="A2387" s="18" t="s">
        <v>2873</v>
      </c>
      <c r="B2387" s="10">
        <v>10000000</v>
      </c>
      <c r="C2387" s="9">
        <v>23</v>
      </c>
      <c r="D2387" s="8" t="str">
        <f t="shared" si="446"/>
        <v>N</v>
      </c>
      <c r="E2387" s="8" t="str">
        <f t="shared" si="447"/>
        <v>N</v>
      </c>
      <c r="F2387" s="8" t="str">
        <f t="shared" si="448"/>
        <v>N</v>
      </c>
      <c r="G2387" s="8" t="str">
        <f t="shared" si="449"/>
        <v>N</v>
      </c>
      <c r="H2387" s="8" t="str">
        <f t="shared" si="450"/>
        <v>Lower</v>
      </c>
      <c r="I2387" s="8" t="str">
        <f t="shared" si="451"/>
        <v>Outside</v>
      </c>
      <c r="J2387" s="8" t="str">
        <f t="shared" si="452"/>
        <v>Outside</v>
      </c>
      <c r="K2387" s="8" t="str">
        <f t="shared" si="453"/>
        <v>Riparian</v>
      </c>
      <c r="L2387" s="8">
        <f t="shared" si="454"/>
        <v>1000</v>
      </c>
      <c r="M2387" s="8" t="str">
        <f t="shared" si="456"/>
        <v>-</v>
      </c>
      <c r="N2387" s="10" t="s">
        <v>242</v>
      </c>
      <c r="O2387" s="10" t="s">
        <v>242</v>
      </c>
      <c r="P2387" s="10" t="s">
        <v>242</v>
      </c>
      <c r="Q2387" s="10" t="s">
        <v>242</v>
      </c>
      <c r="R2387" s="10" t="s">
        <v>242</v>
      </c>
      <c r="S2387" s="10" t="s">
        <v>241</v>
      </c>
      <c r="T2387" s="10" t="s">
        <v>241</v>
      </c>
      <c r="U2387" s="10" t="s">
        <v>241</v>
      </c>
      <c r="V2387" s="10" t="s">
        <v>241</v>
      </c>
      <c r="W2387" s="10" t="s">
        <v>242</v>
      </c>
      <c r="X2387" s="15">
        <f>IF(ISERROR(VLOOKUP($A2387,'13. Updated Demand'!A:Z,15,FALSE)),0,VLOOKUP($A2387,'13. Updated Demand'!A:Z,15,FALSE))</f>
        <v>0</v>
      </c>
      <c r="Y2387" s="16">
        <f>IF(ISERROR(VLOOKUP($A2387,'13. Updated Demand'!A:Z,16,FALSE)),0,VLOOKUP($A2387,'13. Updated Demand'!A:Z,16,FALSE))</f>
        <v>0</v>
      </c>
      <c r="Z2387" s="16">
        <f>IF(ISERROR(VLOOKUP($A2387,'13. Updated Demand'!A:Z,17,FALSE)),0,VLOOKUP($A2387,'13. Updated Demand'!A:Z,17,FALSE))</f>
        <v>0</v>
      </c>
      <c r="AA2387" s="16">
        <f>IF(ISERROR(VLOOKUP($A2387,'13. Updated Demand'!A:Z,18,FALSE)),0,VLOOKUP($A2387,'13. Updated Demand'!A:Z,18,FALSE))</f>
        <v>0</v>
      </c>
      <c r="AB2387" s="16">
        <f>IF(ISERROR(VLOOKUP($A2387,'13. Updated Demand'!A:Z,19,FALSE)),0,VLOOKUP($A2387,'13. Updated Demand'!A:Z,19,FALSE))</f>
        <v>0</v>
      </c>
      <c r="AC2387" s="16">
        <f>IF(ISERROR(VLOOKUP($A2387,'13. Updated Demand'!A:Z,20,FALSE)),0,VLOOKUP($A2387,'13. Updated Demand'!A:Z,20,FALSE))</f>
        <v>0</v>
      </c>
      <c r="AD2387" s="16">
        <f>IF(ISERROR(VLOOKUP($A2387,'13. Updated Demand'!A:Z,21,FALSE)),0,VLOOKUP($A2387,'13. Updated Demand'!A:Z,21,FALSE))</f>
        <v>0</v>
      </c>
      <c r="AE2387" s="16">
        <f>IF(ISERROR(VLOOKUP($A2387,'13. Updated Demand'!A:Z,22,FALSE)),0,VLOOKUP($A2387,'13. Updated Demand'!A:Z,22,FALSE))</f>
        <v>0</v>
      </c>
      <c r="AF2387" s="16">
        <f>IF(ISERROR(VLOOKUP($A2387,'13. Updated Demand'!A:Z,23,FALSE)),0,VLOOKUP($A2387,'13. Updated Demand'!A:Z,23,FALSE))</f>
        <v>0</v>
      </c>
      <c r="AG2387" s="16">
        <f>IF(ISERROR(VLOOKUP($A2387,'13. Updated Demand'!A:Z,24,FALSE)),0,VLOOKUP($A2387,'13. Updated Demand'!A:Z,24,FALSE))</f>
        <v>0</v>
      </c>
      <c r="AH2387" s="16">
        <f>IF(ISERROR(VLOOKUP($A2387,'13. Updated Demand'!A:Z,25,FALSE)),0,VLOOKUP($A2387,'13. Updated Demand'!A:Z,25,FALSE))</f>
        <v>0</v>
      </c>
      <c r="AI2387" s="16">
        <f>IF(ISERROR(VLOOKUP($A2387,'13. Updated Demand'!A:Z,26,FALSE)),0,VLOOKUP($A2387,'13. Updated Demand'!A:Z,26,FALSE))</f>
        <v>0</v>
      </c>
      <c r="AJ2387" s="16">
        <f t="shared" si="457"/>
        <v>0</v>
      </c>
      <c r="AK2387" s="19">
        <v>0</v>
      </c>
      <c r="AL2387" s="16">
        <f t="shared" si="455"/>
        <v>0</v>
      </c>
      <c r="AM2387" s="26">
        <v>0</v>
      </c>
      <c r="AN2387" s="19">
        <v>1.84E-2</v>
      </c>
      <c r="AO2387" s="19" t="s">
        <v>1758</v>
      </c>
      <c r="AP2387" s="19">
        <v>0</v>
      </c>
      <c r="AQ2387" s="19" t="s">
        <v>307</v>
      </c>
      <c r="AR2387" s="9" t="s">
        <v>323</v>
      </c>
      <c r="AS2387" s="12">
        <v>0</v>
      </c>
      <c r="AT2387" s="19">
        <v>38.533357780000003</v>
      </c>
      <c r="AU2387" s="19">
        <v>-122.59175944</v>
      </c>
      <c r="AV2387" s="19" t="s">
        <v>2874</v>
      </c>
    </row>
    <row r="2388" spans="1:48" x14ac:dyDescent="0.25">
      <c r="A2388" s="18" t="s">
        <v>2875</v>
      </c>
      <c r="B2388" s="10">
        <v>10000000</v>
      </c>
      <c r="C2388" s="9">
        <v>16</v>
      </c>
      <c r="D2388" s="8" t="str">
        <f t="shared" si="446"/>
        <v>N</v>
      </c>
      <c r="E2388" s="8" t="str">
        <f t="shared" si="447"/>
        <v>N</v>
      </c>
      <c r="F2388" s="8" t="str">
        <f t="shared" si="448"/>
        <v>N</v>
      </c>
      <c r="G2388" s="8" t="str">
        <f t="shared" si="449"/>
        <v>N</v>
      </c>
      <c r="H2388" s="8" t="str">
        <f t="shared" si="450"/>
        <v>Lower</v>
      </c>
      <c r="I2388" s="8" t="str">
        <f t="shared" si="451"/>
        <v>Outside</v>
      </c>
      <c r="J2388" s="8" t="str">
        <f t="shared" si="452"/>
        <v>Outside</v>
      </c>
      <c r="K2388" s="8" t="str">
        <f t="shared" si="453"/>
        <v>Riparian</v>
      </c>
      <c r="L2388" s="8">
        <f t="shared" si="454"/>
        <v>1000</v>
      </c>
      <c r="M2388" s="8" t="str">
        <f t="shared" si="456"/>
        <v>-</v>
      </c>
      <c r="N2388" s="10" t="s">
        <v>242</v>
      </c>
      <c r="O2388" s="10" t="s">
        <v>242</v>
      </c>
      <c r="P2388" s="10" t="s">
        <v>242</v>
      </c>
      <c r="Q2388" s="10" t="s">
        <v>242</v>
      </c>
      <c r="R2388" s="10" t="s">
        <v>242</v>
      </c>
      <c r="S2388" s="10" t="s">
        <v>241</v>
      </c>
      <c r="T2388" s="10" t="s">
        <v>241</v>
      </c>
      <c r="U2388" s="10" t="s">
        <v>241</v>
      </c>
      <c r="V2388" s="10" t="s">
        <v>241</v>
      </c>
      <c r="W2388" s="10" t="s">
        <v>242</v>
      </c>
      <c r="X2388" s="15">
        <f>IF(ISERROR(VLOOKUP($A2388,'13. Updated Demand'!A:Z,15,FALSE)),0,VLOOKUP($A2388,'13. Updated Demand'!A:Z,15,FALSE))</f>
        <v>0</v>
      </c>
      <c r="Y2388" s="16">
        <f>IF(ISERROR(VLOOKUP($A2388,'13. Updated Demand'!A:Z,16,FALSE)),0,VLOOKUP($A2388,'13. Updated Demand'!A:Z,16,FALSE))</f>
        <v>0</v>
      </c>
      <c r="Z2388" s="16">
        <f>IF(ISERROR(VLOOKUP($A2388,'13. Updated Demand'!A:Z,17,FALSE)),0,VLOOKUP($A2388,'13. Updated Demand'!A:Z,17,FALSE))</f>
        <v>0</v>
      </c>
      <c r="AA2388" s="16">
        <f>IF(ISERROR(VLOOKUP($A2388,'13. Updated Demand'!A:Z,18,FALSE)),0,VLOOKUP($A2388,'13. Updated Demand'!A:Z,18,FALSE))</f>
        <v>0</v>
      </c>
      <c r="AB2388" s="16">
        <f>IF(ISERROR(VLOOKUP($A2388,'13. Updated Demand'!A:Z,19,FALSE)),0,VLOOKUP($A2388,'13. Updated Demand'!A:Z,19,FALSE))</f>
        <v>0</v>
      </c>
      <c r="AC2388" s="16">
        <f>IF(ISERROR(VLOOKUP($A2388,'13. Updated Demand'!A:Z,20,FALSE)),0,VLOOKUP($A2388,'13. Updated Demand'!A:Z,20,FALSE))</f>
        <v>0</v>
      </c>
      <c r="AD2388" s="16">
        <f>IF(ISERROR(VLOOKUP($A2388,'13. Updated Demand'!A:Z,21,FALSE)),0,VLOOKUP($A2388,'13. Updated Demand'!A:Z,21,FALSE))</f>
        <v>0</v>
      </c>
      <c r="AE2388" s="16">
        <f>IF(ISERROR(VLOOKUP($A2388,'13. Updated Demand'!A:Z,22,FALSE)),0,VLOOKUP($A2388,'13. Updated Demand'!A:Z,22,FALSE))</f>
        <v>0</v>
      </c>
      <c r="AF2388" s="16">
        <f>IF(ISERROR(VLOOKUP($A2388,'13. Updated Demand'!A:Z,23,FALSE)),0,VLOOKUP($A2388,'13. Updated Demand'!A:Z,23,FALSE))</f>
        <v>0</v>
      </c>
      <c r="AG2388" s="16">
        <f>IF(ISERROR(VLOOKUP($A2388,'13. Updated Demand'!A:Z,24,FALSE)),0,VLOOKUP($A2388,'13. Updated Demand'!A:Z,24,FALSE))</f>
        <v>0</v>
      </c>
      <c r="AH2388" s="16">
        <f>IF(ISERROR(VLOOKUP($A2388,'13. Updated Demand'!A:Z,25,FALSE)),0,VLOOKUP($A2388,'13. Updated Demand'!A:Z,25,FALSE))</f>
        <v>0</v>
      </c>
      <c r="AI2388" s="16">
        <f>IF(ISERROR(VLOOKUP($A2388,'13. Updated Demand'!A:Z,26,FALSE)),0,VLOOKUP($A2388,'13. Updated Demand'!A:Z,26,FALSE))</f>
        <v>0</v>
      </c>
      <c r="AJ2388" s="16">
        <f t="shared" si="457"/>
        <v>0</v>
      </c>
      <c r="AK2388" s="19">
        <v>0</v>
      </c>
      <c r="AL2388" s="16">
        <f t="shared" si="455"/>
        <v>0</v>
      </c>
      <c r="AM2388" s="26">
        <v>0</v>
      </c>
      <c r="AN2388" s="19">
        <v>1.4E-2</v>
      </c>
      <c r="AO2388" s="19" t="s">
        <v>1758</v>
      </c>
      <c r="AP2388" s="19">
        <v>0</v>
      </c>
      <c r="AQ2388" s="19" t="s">
        <v>307</v>
      </c>
      <c r="AR2388" s="9" t="s">
        <v>394</v>
      </c>
      <c r="AS2388" s="12">
        <v>3.4039024194010059E-4</v>
      </c>
      <c r="AT2388" s="19">
        <v>38.592199999999998</v>
      </c>
      <c r="AU2388" s="19">
        <v>-122.91970000000001</v>
      </c>
      <c r="AV2388" s="19" t="s">
        <v>406</v>
      </c>
    </row>
    <row r="2389" spans="1:48" x14ac:dyDescent="0.25">
      <c r="A2389" s="18" t="s">
        <v>2876</v>
      </c>
      <c r="B2389" s="10">
        <v>10000000</v>
      </c>
      <c r="C2389" s="9">
        <v>12</v>
      </c>
      <c r="D2389" s="8" t="str">
        <f t="shared" si="446"/>
        <v>N</v>
      </c>
      <c r="E2389" s="8" t="str">
        <f t="shared" si="447"/>
        <v>Y</v>
      </c>
      <c r="F2389" s="8" t="str">
        <f t="shared" si="448"/>
        <v>Y</v>
      </c>
      <c r="G2389" s="8" t="str">
        <f t="shared" si="449"/>
        <v>Y</v>
      </c>
      <c r="H2389" s="8" t="str">
        <f t="shared" si="450"/>
        <v>Upper</v>
      </c>
      <c r="I2389" s="8" t="str">
        <f t="shared" si="451"/>
        <v>West Fork and Below Lake</v>
      </c>
      <c r="J2389" s="8" t="str">
        <f t="shared" si="452"/>
        <v>Sonoma (d/s of Clov. Gage)</v>
      </c>
      <c r="K2389" s="8" t="str">
        <f t="shared" si="453"/>
        <v>Riparian</v>
      </c>
      <c r="L2389" s="8">
        <f t="shared" si="454"/>
        <v>1000</v>
      </c>
      <c r="M2389" s="8" t="str">
        <f t="shared" si="456"/>
        <v>-</v>
      </c>
      <c r="N2389" s="10" t="s">
        <v>242</v>
      </c>
      <c r="O2389" s="10" t="s">
        <v>241</v>
      </c>
      <c r="P2389" s="10" t="s">
        <v>242</v>
      </c>
      <c r="Q2389" s="10" t="s">
        <v>242</v>
      </c>
      <c r="R2389" s="10" t="s">
        <v>242</v>
      </c>
      <c r="S2389" s="10" t="s">
        <v>241</v>
      </c>
      <c r="T2389" s="10" t="s">
        <v>242</v>
      </c>
      <c r="U2389" s="10" t="s">
        <v>242</v>
      </c>
      <c r="V2389" s="10" t="s">
        <v>242</v>
      </c>
      <c r="W2389" s="10" t="s">
        <v>242</v>
      </c>
      <c r="X2389" s="15">
        <f>IF(ISERROR(VLOOKUP($A2389,'13. Updated Demand'!A:Z,15,FALSE)),0,VLOOKUP($A2389,'13. Updated Demand'!A:Z,15,FALSE))</f>
        <v>0</v>
      </c>
      <c r="Y2389" s="16">
        <f>IF(ISERROR(VLOOKUP($A2389,'13. Updated Demand'!A:Z,16,FALSE)),0,VLOOKUP($A2389,'13. Updated Demand'!A:Z,16,FALSE))</f>
        <v>0.02</v>
      </c>
      <c r="Z2389" s="16">
        <f>IF(ISERROR(VLOOKUP($A2389,'13. Updated Demand'!A:Z,17,FALSE)),0,VLOOKUP($A2389,'13. Updated Demand'!A:Z,17,FALSE))</f>
        <v>0.01</v>
      </c>
      <c r="AA2389" s="16">
        <f>IF(ISERROR(VLOOKUP($A2389,'13. Updated Demand'!A:Z,18,FALSE)),0,VLOOKUP($A2389,'13. Updated Demand'!A:Z,18,FALSE))</f>
        <v>0.06</v>
      </c>
      <c r="AB2389" s="16">
        <f>IF(ISERROR(VLOOKUP($A2389,'13. Updated Demand'!A:Z,19,FALSE)),0,VLOOKUP($A2389,'13. Updated Demand'!A:Z,19,FALSE))</f>
        <v>0</v>
      </c>
      <c r="AC2389" s="16">
        <f>IF(ISERROR(VLOOKUP($A2389,'13. Updated Demand'!A:Z,20,FALSE)),0,VLOOKUP($A2389,'13. Updated Demand'!A:Z,20,FALSE))</f>
        <v>0.25</v>
      </c>
      <c r="AD2389" s="16">
        <f>IF(ISERROR(VLOOKUP($A2389,'13. Updated Demand'!A:Z,21,FALSE)),0,VLOOKUP($A2389,'13. Updated Demand'!A:Z,21,FALSE))</f>
        <v>0.33</v>
      </c>
      <c r="AE2389" s="16">
        <f>IF(ISERROR(VLOOKUP($A2389,'13. Updated Demand'!A:Z,22,FALSE)),0,VLOOKUP($A2389,'13. Updated Demand'!A:Z,22,FALSE))</f>
        <v>0.42</v>
      </c>
      <c r="AF2389" s="16">
        <f>IF(ISERROR(VLOOKUP($A2389,'13. Updated Demand'!A:Z,23,FALSE)),0,VLOOKUP($A2389,'13. Updated Demand'!A:Z,23,FALSE))</f>
        <v>0.69</v>
      </c>
      <c r="AG2389" s="16">
        <f>IF(ISERROR(VLOOKUP($A2389,'13. Updated Demand'!A:Z,24,FALSE)),0,VLOOKUP($A2389,'13. Updated Demand'!A:Z,24,FALSE))</f>
        <v>0.31</v>
      </c>
      <c r="AH2389" s="16">
        <f>IF(ISERROR(VLOOKUP($A2389,'13. Updated Demand'!A:Z,25,FALSE)),0,VLOOKUP($A2389,'13. Updated Demand'!A:Z,25,FALSE))</f>
        <v>0.35</v>
      </c>
      <c r="AI2389" s="16">
        <f>IF(ISERROR(VLOOKUP($A2389,'13. Updated Demand'!A:Z,26,FALSE)),0,VLOOKUP($A2389,'13. Updated Demand'!A:Z,26,FALSE))</f>
        <v>0</v>
      </c>
      <c r="AJ2389" s="16">
        <f t="shared" si="457"/>
        <v>2.44</v>
      </c>
      <c r="AK2389" s="19">
        <v>1.7000000000000002</v>
      </c>
      <c r="AL2389" s="16">
        <f t="shared" si="455"/>
        <v>5.6387063518023662E-3</v>
      </c>
      <c r="AM2389" s="26">
        <v>0.70170454545454541</v>
      </c>
      <c r="AN2389" s="19">
        <v>3.52</v>
      </c>
      <c r="AO2389" s="19" t="s">
        <v>1758</v>
      </c>
      <c r="AP2389" s="19">
        <v>0</v>
      </c>
      <c r="AQ2389" s="19" t="s">
        <v>307</v>
      </c>
      <c r="AR2389" s="9" t="s">
        <v>311</v>
      </c>
      <c r="AS2389" s="12">
        <v>0</v>
      </c>
      <c r="AT2389" s="19">
        <v>38.653766740000002</v>
      </c>
      <c r="AU2389" s="19">
        <v>-122.80970845</v>
      </c>
      <c r="AV2389" s="19" t="s">
        <v>2877</v>
      </c>
    </row>
    <row r="2390" spans="1:48" x14ac:dyDescent="0.25">
      <c r="A2390" s="18" t="s">
        <v>2878</v>
      </c>
      <c r="B2390" s="10">
        <v>10000000</v>
      </c>
      <c r="C2390" s="9">
        <v>6</v>
      </c>
      <c r="D2390" s="8" t="str">
        <f t="shared" si="446"/>
        <v>Y</v>
      </c>
      <c r="E2390" s="8" t="str">
        <f t="shared" si="447"/>
        <v>N</v>
      </c>
      <c r="F2390" s="8" t="str">
        <f t="shared" si="448"/>
        <v>Y</v>
      </c>
      <c r="G2390" s="8" t="str">
        <f t="shared" si="449"/>
        <v>Y</v>
      </c>
      <c r="H2390" s="8" t="str">
        <f t="shared" si="450"/>
        <v>Upper</v>
      </c>
      <c r="I2390" s="8" t="str">
        <f t="shared" si="451"/>
        <v>West Fork and Below Lake</v>
      </c>
      <c r="J2390" s="8" t="str">
        <f t="shared" si="452"/>
        <v>Mendocino (d/s of lake)</v>
      </c>
      <c r="K2390" s="8" t="str">
        <f t="shared" si="453"/>
        <v>Riparian</v>
      </c>
      <c r="L2390" s="8">
        <f t="shared" si="454"/>
        <v>1000</v>
      </c>
      <c r="M2390" s="8" t="str">
        <f t="shared" si="456"/>
        <v>-</v>
      </c>
      <c r="N2390" s="10" t="s">
        <v>242</v>
      </c>
      <c r="O2390" s="10" t="s">
        <v>241</v>
      </c>
      <c r="P2390" s="10" t="s">
        <v>242</v>
      </c>
      <c r="Q2390" s="10" t="s">
        <v>242</v>
      </c>
      <c r="R2390" s="10" t="s">
        <v>242</v>
      </c>
      <c r="S2390" s="10" t="s">
        <v>241</v>
      </c>
      <c r="T2390" s="10" t="s">
        <v>242</v>
      </c>
      <c r="U2390" s="10" t="s">
        <v>241</v>
      </c>
      <c r="V2390" s="10" t="s">
        <v>241</v>
      </c>
      <c r="W2390" s="10" t="s">
        <v>242</v>
      </c>
      <c r="X2390" s="15">
        <f>IF(ISERROR(VLOOKUP($A2390,'13. Updated Demand'!A:Z,15,FALSE)),0,VLOOKUP($A2390,'13. Updated Demand'!A:Z,15,FALSE))</f>
        <v>0</v>
      </c>
      <c r="Y2390" s="16">
        <f>IF(ISERROR(VLOOKUP($A2390,'13. Updated Demand'!A:Z,16,FALSE)),0,VLOOKUP($A2390,'13. Updated Demand'!A:Z,16,FALSE))</f>
        <v>0</v>
      </c>
      <c r="Z2390" s="16">
        <f>IF(ISERROR(VLOOKUP($A2390,'13. Updated Demand'!A:Z,17,FALSE)),0,VLOOKUP($A2390,'13. Updated Demand'!A:Z,17,FALSE))</f>
        <v>0</v>
      </c>
      <c r="AA2390" s="16">
        <f>IF(ISERROR(VLOOKUP($A2390,'13. Updated Demand'!A:Z,18,FALSE)),0,VLOOKUP($A2390,'13. Updated Demand'!A:Z,18,FALSE))</f>
        <v>0</v>
      </c>
      <c r="AB2390" s="16">
        <f>IF(ISERROR(VLOOKUP($A2390,'13. Updated Demand'!A:Z,19,FALSE)),0,VLOOKUP($A2390,'13. Updated Demand'!A:Z,19,FALSE))</f>
        <v>0</v>
      </c>
      <c r="AC2390" s="16">
        <f>IF(ISERROR(VLOOKUP($A2390,'13. Updated Demand'!A:Z,20,FALSE)),0,VLOOKUP($A2390,'13. Updated Demand'!A:Z,20,FALSE))</f>
        <v>0</v>
      </c>
      <c r="AD2390" s="16">
        <f>IF(ISERROR(VLOOKUP($A2390,'13. Updated Demand'!A:Z,21,FALSE)),0,VLOOKUP($A2390,'13. Updated Demand'!A:Z,21,FALSE))</f>
        <v>0</v>
      </c>
      <c r="AE2390" s="16">
        <f>IF(ISERROR(VLOOKUP($A2390,'13. Updated Demand'!A:Z,22,FALSE)),0,VLOOKUP($A2390,'13. Updated Demand'!A:Z,22,FALSE))</f>
        <v>0</v>
      </c>
      <c r="AF2390" s="16">
        <f>IF(ISERROR(VLOOKUP($A2390,'13. Updated Demand'!A:Z,23,FALSE)),0,VLOOKUP($A2390,'13. Updated Demand'!A:Z,23,FALSE))</f>
        <v>0</v>
      </c>
      <c r="AG2390" s="16">
        <f>IF(ISERROR(VLOOKUP($A2390,'13. Updated Demand'!A:Z,24,FALSE)),0,VLOOKUP($A2390,'13. Updated Demand'!A:Z,24,FALSE))</f>
        <v>0</v>
      </c>
      <c r="AH2390" s="16">
        <f>IF(ISERROR(VLOOKUP($A2390,'13. Updated Demand'!A:Z,25,FALSE)),0,VLOOKUP($A2390,'13. Updated Demand'!A:Z,25,FALSE))</f>
        <v>0</v>
      </c>
      <c r="AI2390" s="16">
        <f>IF(ISERROR(VLOOKUP($A2390,'13. Updated Demand'!A:Z,26,FALSE)),0,VLOOKUP($A2390,'13. Updated Demand'!A:Z,26,FALSE))</f>
        <v>0</v>
      </c>
      <c r="AJ2390" s="16">
        <f t="shared" si="457"/>
        <v>0</v>
      </c>
      <c r="AK2390" s="19">
        <v>0</v>
      </c>
      <c r="AL2390" s="16">
        <f t="shared" si="455"/>
        <v>0</v>
      </c>
      <c r="AM2390" s="26">
        <v>0</v>
      </c>
      <c r="AN2390" s="19"/>
      <c r="AO2390" s="19"/>
      <c r="AP2390" s="19">
        <v>0</v>
      </c>
      <c r="AQ2390" s="19" t="s">
        <v>307</v>
      </c>
      <c r="AR2390" s="9" t="s">
        <v>319</v>
      </c>
      <c r="AS2390" s="12">
        <v>0</v>
      </c>
      <c r="AT2390" s="19">
        <v>38.881888969999999</v>
      </c>
      <c r="AU2390" s="19">
        <v>-122.91519205</v>
      </c>
      <c r="AV2390" s="19" t="s">
        <v>2879</v>
      </c>
    </row>
    <row r="2391" spans="1:48" x14ac:dyDescent="0.25">
      <c r="A2391" s="18" t="s">
        <v>2880</v>
      </c>
      <c r="B2391" s="10">
        <v>10000000</v>
      </c>
      <c r="C2391" s="9">
        <v>18</v>
      </c>
      <c r="D2391" s="8" t="str">
        <f t="shared" si="446"/>
        <v>N</v>
      </c>
      <c r="E2391" s="8" t="str">
        <f t="shared" si="447"/>
        <v>N</v>
      </c>
      <c r="F2391" s="8" t="str">
        <f t="shared" si="448"/>
        <v>N</v>
      </c>
      <c r="G2391" s="8" t="str">
        <f t="shared" si="449"/>
        <v>N</v>
      </c>
      <c r="H2391" s="8" t="str">
        <f t="shared" si="450"/>
        <v>Lower</v>
      </c>
      <c r="I2391" s="8" t="str">
        <f t="shared" si="451"/>
        <v>Outside</v>
      </c>
      <c r="J2391" s="8" t="str">
        <f t="shared" si="452"/>
        <v>Outside</v>
      </c>
      <c r="K2391" s="8" t="str">
        <f t="shared" si="453"/>
        <v>Riparian</v>
      </c>
      <c r="L2391" s="8">
        <f t="shared" si="454"/>
        <v>1000</v>
      </c>
      <c r="M2391" s="8" t="str">
        <f t="shared" si="456"/>
        <v>-</v>
      </c>
      <c r="N2391" s="10" t="s">
        <v>242</v>
      </c>
      <c r="O2391" s="10" t="s">
        <v>242</v>
      </c>
      <c r="P2391" s="10" t="s">
        <v>242</v>
      </c>
      <c r="Q2391" s="10" t="s">
        <v>242</v>
      </c>
      <c r="R2391" s="10" t="s">
        <v>242</v>
      </c>
      <c r="S2391" s="10" t="s">
        <v>241</v>
      </c>
      <c r="T2391" s="10" t="s">
        <v>241</v>
      </c>
      <c r="U2391" s="10" t="s">
        <v>241</v>
      </c>
      <c r="V2391" s="10" t="s">
        <v>241</v>
      </c>
      <c r="W2391" s="10" t="s">
        <v>242</v>
      </c>
      <c r="X2391" s="15">
        <f>IF(ISERROR(VLOOKUP($A2391,'13. Updated Demand'!A:Z,15,FALSE)),0,VLOOKUP($A2391,'13. Updated Demand'!A:Z,15,FALSE))</f>
        <v>0</v>
      </c>
      <c r="Y2391" s="16">
        <f>IF(ISERROR(VLOOKUP($A2391,'13. Updated Demand'!A:Z,16,FALSE)),0,VLOOKUP($A2391,'13. Updated Demand'!A:Z,16,FALSE))</f>
        <v>0</v>
      </c>
      <c r="Z2391" s="16">
        <f>IF(ISERROR(VLOOKUP($A2391,'13. Updated Demand'!A:Z,17,FALSE)),0,VLOOKUP($A2391,'13. Updated Demand'!A:Z,17,FALSE))</f>
        <v>0</v>
      </c>
      <c r="AA2391" s="16">
        <f>IF(ISERROR(VLOOKUP($A2391,'13. Updated Demand'!A:Z,18,FALSE)),0,VLOOKUP($A2391,'13. Updated Demand'!A:Z,18,FALSE))</f>
        <v>0</v>
      </c>
      <c r="AB2391" s="16">
        <f>IF(ISERROR(VLOOKUP($A2391,'13. Updated Demand'!A:Z,19,FALSE)),0,VLOOKUP($A2391,'13. Updated Demand'!A:Z,19,FALSE))</f>
        <v>0</v>
      </c>
      <c r="AC2391" s="16">
        <f>IF(ISERROR(VLOOKUP($A2391,'13. Updated Demand'!A:Z,20,FALSE)),0,VLOOKUP($A2391,'13. Updated Demand'!A:Z,20,FALSE))</f>
        <v>0</v>
      </c>
      <c r="AD2391" s="16">
        <f>IF(ISERROR(VLOOKUP($A2391,'13. Updated Demand'!A:Z,21,FALSE)),0,VLOOKUP($A2391,'13. Updated Demand'!A:Z,21,FALSE))</f>
        <v>0</v>
      </c>
      <c r="AE2391" s="16">
        <f>IF(ISERROR(VLOOKUP($A2391,'13. Updated Demand'!A:Z,22,FALSE)),0,VLOOKUP($A2391,'13. Updated Demand'!A:Z,22,FALSE))</f>
        <v>0</v>
      </c>
      <c r="AF2391" s="16">
        <f>IF(ISERROR(VLOOKUP($A2391,'13. Updated Demand'!A:Z,23,FALSE)),0,VLOOKUP($A2391,'13. Updated Demand'!A:Z,23,FALSE))</f>
        <v>0</v>
      </c>
      <c r="AG2391" s="16">
        <f>IF(ISERROR(VLOOKUP($A2391,'13. Updated Demand'!A:Z,24,FALSE)),0,VLOOKUP($A2391,'13. Updated Demand'!A:Z,24,FALSE))</f>
        <v>0</v>
      </c>
      <c r="AH2391" s="16">
        <f>IF(ISERROR(VLOOKUP($A2391,'13. Updated Demand'!A:Z,25,FALSE)),0,VLOOKUP($A2391,'13. Updated Demand'!A:Z,25,FALSE))</f>
        <v>0</v>
      </c>
      <c r="AI2391" s="16">
        <f>IF(ISERROR(VLOOKUP($A2391,'13. Updated Demand'!A:Z,26,FALSE)),0,VLOOKUP($A2391,'13. Updated Demand'!A:Z,26,FALSE))</f>
        <v>0</v>
      </c>
      <c r="AJ2391" s="16">
        <f t="shared" si="457"/>
        <v>0</v>
      </c>
      <c r="AK2391" s="19">
        <v>0</v>
      </c>
      <c r="AL2391" s="16">
        <f t="shared" si="455"/>
        <v>0</v>
      </c>
      <c r="AM2391" s="26">
        <v>0</v>
      </c>
      <c r="AN2391" s="19">
        <v>0.33139999999999997</v>
      </c>
      <c r="AO2391" s="19" t="s">
        <v>1758</v>
      </c>
      <c r="AP2391" s="19">
        <v>0</v>
      </c>
      <c r="AQ2391" s="19" t="s">
        <v>307</v>
      </c>
      <c r="AR2391" s="9" t="s">
        <v>352</v>
      </c>
      <c r="AS2391" s="12">
        <v>0</v>
      </c>
      <c r="AT2391" s="19">
        <v>38.546711000000002</v>
      </c>
      <c r="AU2391" s="19">
        <v>-122.9599</v>
      </c>
      <c r="AV2391" s="19" t="s">
        <v>2881</v>
      </c>
    </row>
    <row r="2392" spans="1:48" x14ac:dyDescent="0.25">
      <c r="A2392" s="18" t="s">
        <v>2882</v>
      </c>
      <c r="B2392" s="10">
        <v>10000000</v>
      </c>
      <c r="C2392" s="9">
        <v>16</v>
      </c>
      <c r="D2392" s="8" t="str">
        <f t="shared" si="446"/>
        <v>N</v>
      </c>
      <c r="E2392" s="8" t="str">
        <f t="shared" si="447"/>
        <v>N</v>
      </c>
      <c r="F2392" s="8" t="str">
        <f t="shared" si="448"/>
        <v>N</v>
      </c>
      <c r="G2392" s="8" t="str">
        <f t="shared" si="449"/>
        <v>N</v>
      </c>
      <c r="H2392" s="8" t="str">
        <f t="shared" si="450"/>
        <v>Lower</v>
      </c>
      <c r="I2392" s="8" t="str">
        <f t="shared" si="451"/>
        <v>Outside</v>
      </c>
      <c r="J2392" s="8" t="str">
        <f t="shared" si="452"/>
        <v>Outside</v>
      </c>
      <c r="K2392" s="8" t="str">
        <f t="shared" si="453"/>
        <v>Riparian</v>
      </c>
      <c r="L2392" s="8">
        <f t="shared" si="454"/>
        <v>1000</v>
      </c>
      <c r="M2392" s="8" t="str">
        <f t="shared" si="456"/>
        <v>-</v>
      </c>
      <c r="N2392" s="10" t="s">
        <v>242</v>
      </c>
      <c r="O2392" s="10" t="s">
        <v>242</v>
      </c>
      <c r="P2392" s="10" t="s">
        <v>242</v>
      </c>
      <c r="Q2392" s="10" t="s">
        <v>242</v>
      </c>
      <c r="R2392" s="10" t="s">
        <v>242</v>
      </c>
      <c r="S2392" s="10" t="s">
        <v>241</v>
      </c>
      <c r="T2392" s="10" t="s">
        <v>241</v>
      </c>
      <c r="U2392" s="10" t="s">
        <v>241</v>
      </c>
      <c r="V2392" s="10" t="s">
        <v>241</v>
      </c>
      <c r="W2392" s="10" t="s">
        <v>242</v>
      </c>
      <c r="X2392" s="15">
        <f>IF(ISERROR(VLOOKUP($A2392,'13. Updated Demand'!A:Z,15,FALSE)),0,VLOOKUP($A2392,'13. Updated Demand'!A:Z,15,FALSE))</f>
        <v>0</v>
      </c>
      <c r="Y2392" s="16">
        <f>IF(ISERROR(VLOOKUP($A2392,'13. Updated Demand'!A:Z,16,FALSE)),0,VLOOKUP($A2392,'13. Updated Demand'!A:Z,16,FALSE))</f>
        <v>0</v>
      </c>
      <c r="Z2392" s="16">
        <f>IF(ISERROR(VLOOKUP($A2392,'13. Updated Demand'!A:Z,17,FALSE)),0,VLOOKUP($A2392,'13. Updated Demand'!A:Z,17,FALSE))</f>
        <v>0</v>
      </c>
      <c r="AA2392" s="16">
        <f>IF(ISERROR(VLOOKUP($A2392,'13. Updated Demand'!A:Z,18,FALSE)),0,VLOOKUP($A2392,'13. Updated Demand'!A:Z,18,FALSE))</f>
        <v>0</v>
      </c>
      <c r="AB2392" s="16">
        <f>IF(ISERROR(VLOOKUP($A2392,'13. Updated Demand'!A:Z,19,FALSE)),0,VLOOKUP($A2392,'13. Updated Demand'!A:Z,19,FALSE))</f>
        <v>0</v>
      </c>
      <c r="AC2392" s="16">
        <f>IF(ISERROR(VLOOKUP($A2392,'13. Updated Demand'!A:Z,20,FALSE)),0,VLOOKUP($A2392,'13. Updated Demand'!A:Z,20,FALSE))</f>
        <v>0</v>
      </c>
      <c r="AD2392" s="16">
        <f>IF(ISERROR(VLOOKUP($A2392,'13. Updated Demand'!A:Z,21,FALSE)),0,VLOOKUP($A2392,'13. Updated Demand'!A:Z,21,FALSE))</f>
        <v>0</v>
      </c>
      <c r="AE2392" s="16">
        <f>IF(ISERROR(VLOOKUP($A2392,'13. Updated Demand'!A:Z,22,FALSE)),0,VLOOKUP($A2392,'13. Updated Demand'!A:Z,22,FALSE))</f>
        <v>0</v>
      </c>
      <c r="AF2392" s="16">
        <f>IF(ISERROR(VLOOKUP($A2392,'13. Updated Demand'!A:Z,23,FALSE)),0,VLOOKUP($A2392,'13. Updated Demand'!A:Z,23,FALSE))</f>
        <v>0</v>
      </c>
      <c r="AG2392" s="16">
        <f>IF(ISERROR(VLOOKUP($A2392,'13. Updated Demand'!A:Z,24,FALSE)),0,VLOOKUP($A2392,'13. Updated Demand'!A:Z,24,FALSE))</f>
        <v>0</v>
      </c>
      <c r="AH2392" s="16">
        <f>IF(ISERROR(VLOOKUP($A2392,'13. Updated Demand'!A:Z,25,FALSE)),0,VLOOKUP($A2392,'13. Updated Demand'!A:Z,25,FALSE))</f>
        <v>0</v>
      </c>
      <c r="AI2392" s="16">
        <f>IF(ISERROR(VLOOKUP($A2392,'13. Updated Demand'!A:Z,26,FALSE)),0,VLOOKUP($A2392,'13. Updated Demand'!A:Z,26,FALSE))</f>
        <v>0</v>
      </c>
      <c r="AJ2392" s="16">
        <f t="shared" si="457"/>
        <v>0</v>
      </c>
      <c r="AK2392" s="19">
        <v>0</v>
      </c>
      <c r="AL2392" s="16">
        <f t="shared" si="455"/>
        <v>0</v>
      </c>
      <c r="AM2392" s="26">
        <v>0</v>
      </c>
      <c r="AN2392" s="19">
        <v>5.5199999999999999E-2</v>
      </c>
      <c r="AO2392" s="19" t="s">
        <v>1758</v>
      </c>
      <c r="AP2392" s="19">
        <v>0</v>
      </c>
      <c r="AQ2392" s="19" t="s">
        <v>307</v>
      </c>
      <c r="AR2392" s="9" t="s">
        <v>394</v>
      </c>
      <c r="AS2392" s="12">
        <v>3.4039024194010059E-4</v>
      </c>
      <c r="AT2392" s="19">
        <v>38.567248399999997</v>
      </c>
      <c r="AU2392" s="19">
        <v>-122.96417415000001</v>
      </c>
      <c r="AV2392" s="19" t="s">
        <v>315</v>
      </c>
    </row>
    <row r="2393" spans="1:48" x14ac:dyDescent="0.25">
      <c r="A2393" s="18" t="s">
        <v>2883</v>
      </c>
      <c r="B2393" s="10">
        <v>10000000</v>
      </c>
      <c r="C2393" s="9">
        <v>5</v>
      </c>
      <c r="D2393" s="8" t="str">
        <f t="shared" si="446"/>
        <v>Y</v>
      </c>
      <c r="E2393" s="8" t="str">
        <f t="shared" si="447"/>
        <v>N</v>
      </c>
      <c r="F2393" s="8" t="str">
        <f t="shared" si="448"/>
        <v>Y</v>
      </c>
      <c r="G2393" s="8" t="str">
        <f t="shared" si="449"/>
        <v>Y</v>
      </c>
      <c r="H2393" s="8" t="str">
        <f t="shared" si="450"/>
        <v>Upper</v>
      </c>
      <c r="I2393" s="8" t="str">
        <f t="shared" si="451"/>
        <v>West Fork and Below Lake</v>
      </c>
      <c r="J2393" s="8" t="str">
        <f t="shared" si="452"/>
        <v>Mendocino (d/s of lake)</v>
      </c>
      <c r="K2393" s="8" t="str">
        <f t="shared" si="453"/>
        <v>Riparian</v>
      </c>
      <c r="L2393" s="8">
        <f t="shared" si="454"/>
        <v>1000</v>
      </c>
      <c r="M2393" s="8" t="str">
        <f t="shared" si="456"/>
        <v>-</v>
      </c>
      <c r="N2393" s="10" t="s">
        <v>242</v>
      </c>
      <c r="O2393" s="10" t="s">
        <v>241</v>
      </c>
      <c r="P2393" s="10" t="s">
        <v>242</v>
      </c>
      <c r="Q2393" s="10" t="s">
        <v>242</v>
      </c>
      <c r="R2393" s="10" t="s">
        <v>242</v>
      </c>
      <c r="S2393" s="10" t="s">
        <v>241</v>
      </c>
      <c r="T2393" s="10" t="s">
        <v>242</v>
      </c>
      <c r="U2393" s="10" t="s">
        <v>242</v>
      </c>
      <c r="V2393" s="10" t="s">
        <v>242</v>
      </c>
      <c r="W2393" s="10" t="s">
        <v>242</v>
      </c>
      <c r="X2393" s="15">
        <f>IF(ISERROR(VLOOKUP($A2393,'13. Updated Demand'!A:Z,15,FALSE)),0,VLOOKUP($A2393,'13. Updated Demand'!A:Z,15,FALSE))</f>
        <v>0</v>
      </c>
      <c r="Y2393" s="16">
        <f>IF(ISERROR(VLOOKUP($A2393,'13. Updated Demand'!A:Z,16,FALSE)),0,VLOOKUP($A2393,'13. Updated Demand'!A:Z,16,FALSE))</f>
        <v>0</v>
      </c>
      <c r="Z2393" s="16">
        <f>IF(ISERROR(VLOOKUP($A2393,'13. Updated Demand'!A:Z,17,FALSE)),0,VLOOKUP($A2393,'13. Updated Demand'!A:Z,17,FALSE))</f>
        <v>0</v>
      </c>
      <c r="AA2393" s="16">
        <f>IF(ISERROR(VLOOKUP($A2393,'13. Updated Demand'!A:Z,18,FALSE)),0,VLOOKUP($A2393,'13. Updated Demand'!A:Z,18,FALSE))</f>
        <v>0</v>
      </c>
      <c r="AB2393" s="16">
        <f>IF(ISERROR(VLOOKUP($A2393,'13. Updated Demand'!A:Z,19,FALSE)),0,VLOOKUP($A2393,'13. Updated Demand'!A:Z,19,FALSE))</f>
        <v>0</v>
      </c>
      <c r="AC2393" s="16">
        <f>IF(ISERROR(VLOOKUP($A2393,'13. Updated Demand'!A:Z,20,FALSE)),0,VLOOKUP($A2393,'13. Updated Demand'!A:Z,20,FALSE))</f>
        <v>0</v>
      </c>
      <c r="AD2393" s="16">
        <f>IF(ISERROR(VLOOKUP($A2393,'13. Updated Demand'!A:Z,21,FALSE)),0,VLOOKUP($A2393,'13. Updated Demand'!A:Z,21,FALSE))</f>
        <v>0</v>
      </c>
      <c r="AE2393" s="16">
        <f>IF(ISERROR(VLOOKUP($A2393,'13. Updated Demand'!A:Z,22,FALSE)),0,VLOOKUP($A2393,'13. Updated Demand'!A:Z,22,FALSE))</f>
        <v>0</v>
      </c>
      <c r="AF2393" s="16">
        <f>IF(ISERROR(VLOOKUP($A2393,'13. Updated Demand'!A:Z,23,FALSE)),0,VLOOKUP($A2393,'13. Updated Demand'!A:Z,23,FALSE))</f>
        <v>0</v>
      </c>
      <c r="AG2393" s="16">
        <f>IF(ISERROR(VLOOKUP($A2393,'13. Updated Demand'!A:Z,24,FALSE)),0,VLOOKUP($A2393,'13. Updated Demand'!A:Z,24,FALSE))</f>
        <v>0</v>
      </c>
      <c r="AH2393" s="16">
        <f>IF(ISERROR(VLOOKUP($A2393,'13. Updated Demand'!A:Z,25,FALSE)),0,VLOOKUP($A2393,'13. Updated Demand'!A:Z,25,FALSE))</f>
        <v>0</v>
      </c>
      <c r="AI2393" s="16">
        <f>IF(ISERROR(VLOOKUP($A2393,'13. Updated Demand'!A:Z,26,FALSE)),0,VLOOKUP($A2393,'13. Updated Demand'!A:Z,26,FALSE))</f>
        <v>0</v>
      </c>
      <c r="AJ2393" s="16">
        <f t="shared" si="457"/>
        <v>0</v>
      </c>
      <c r="AK2393" s="19">
        <v>8.7150000000000005E-2</v>
      </c>
      <c r="AL2393" s="16">
        <f t="shared" si="455"/>
        <v>2.8906662268210362E-4</v>
      </c>
      <c r="AM2393" s="26">
        <v>1.9918478260869568</v>
      </c>
      <c r="AN2393" s="19">
        <v>5.5199999999999999E-2</v>
      </c>
      <c r="AO2393" s="19" t="s">
        <v>1758</v>
      </c>
      <c r="AP2393" s="19">
        <v>0</v>
      </c>
      <c r="AQ2393" s="19" t="s">
        <v>307</v>
      </c>
      <c r="AR2393" s="9" t="s">
        <v>333</v>
      </c>
      <c r="AS2393" s="12">
        <v>3.4039024194010059E-4</v>
      </c>
      <c r="AT2393" s="19">
        <v>39.055999999999997</v>
      </c>
      <c r="AU2393" s="19">
        <v>-123.1917</v>
      </c>
      <c r="AV2393" s="19" t="s">
        <v>2881</v>
      </c>
    </row>
    <row r="2394" spans="1:48" x14ac:dyDescent="0.25">
      <c r="A2394" s="18" t="s">
        <v>2884</v>
      </c>
      <c r="B2394" s="10">
        <v>10000000</v>
      </c>
      <c r="C2394" s="9">
        <v>5</v>
      </c>
      <c r="D2394" s="8" t="str">
        <f t="shared" si="446"/>
        <v>Y</v>
      </c>
      <c r="E2394" s="8" t="str">
        <f t="shared" si="447"/>
        <v>N</v>
      </c>
      <c r="F2394" s="8" t="str">
        <f t="shared" si="448"/>
        <v>Y</v>
      </c>
      <c r="G2394" s="8" t="str">
        <f t="shared" si="449"/>
        <v>Y</v>
      </c>
      <c r="H2394" s="8" t="str">
        <f t="shared" si="450"/>
        <v>Upper</v>
      </c>
      <c r="I2394" s="8" t="str">
        <f t="shared" si="451"/>
        <v>West Fork and Below Lake</v>
      </c>
      <c r="J2394" s="8" t="str">
        <f t="shared" si="452"/>
        <v>Mendocino (d/s of lake)</v>
      </c>
      <c r="K2394" s="8" t="str">
        <f t="shared" si="453"/>
        <v>Riparian</v>
      </c>
      <c r="L2394" s="8">
        <f t="shared" si="454"/>
        <v>1000</v>
      </c>
      <c r="M2394" s="8" t="str">
        <f t="shared" si="456"/>
        <v>-</v>
      </c>
      <c r="N2394" s="10" t="s">
        <v>242</v>
      </c>
      <c r="O2394" s="10" t="s">
        <v>241</v>
      </c>
      <c r="P2394" s="10" t="s">
        <v>242</v>
      </c>
      <c r="Q2394" s="10" t="s">
        <v>242</v>
      </c>
      <c r="R2394" s="10" t="s">
        <v>242</v>
      </c>
      <c r="S2394" s="10" t="s">
        <v>241</v>
      </c>
      <c r="T2394" s="10" t="s">
        <v>242</v>
      </c>
      <c r="U2394" s="10" t="s">
        <v>242</v>
      </c>
      <c r="V2394" s="10" t="s">
        <v>242</v>
      </c>
      <c r="W2394" s="10" t="s">
        <v>242</v>
      </c>
      <c r="X2394" s="15">
        <f>IF(ISERROR(VLOOKUP($A2394,'13. Updated Demand'!A:Z,15,FALSE)),0,VLOOKUP($A2394,'13. Updated Demand'!A:Z,15,FALSE))</f>
        <v>0</v>
      </c>
      <c r="Y2394" s="16">
        <f>IF(ISERROR(VLOOKUP($A2394,'13. Updated Demand'!A:Z,16,FALSE)),0,VLOOKUP($A2394,'13. Updated Demand'!A:Z,16,FALSE))</f>
        <v>0</v>
      </c>
      <c r="Z2394" s="16">
        <f>IF(ISERROR(VLOOKUP($A2394,'13. Updated Demand'!A:Z,17,FALSE)),0,VLOOKUP($A2394,'13. Updated Demand'!A:Z,17,FALSE))</f>
        <v>0</v>
      </c>
      <c r="AA2394" s="16">
        <f>IF(ISERROR(VLOOKUP($A2394,'13. Updated Demand'!A:Z,18,FALSE)),0,VLOOKUP($A2394,'13. Updated Demand'!A:Z,18,FALSE))</f>
        <v>0</v>
      </c>
      <c r="AB2394" s="16">
        <f>IF(ISERROR(VLOOKUP($A2394,'13. Updated Demand'!A:Z,19,FALSE)),0,VLOOKUP($A2394,'13. Updated Demand'!A:Z,19,FALSE))</f>
        <v>0</v>
      </c>
      <c r="AC2394" s="16">
        <f>IF(ISERROR(VLOOKUP($A2394,'13. Updated Demand'!A:Z,20,FALSE)),0,VLOOKUP($A2394,'13. Updated Demand'!A:Z,20,FALSE))</f>
        <v>0</v>
      </c>
      <c r="AD2394" s="16">
        <f>IF(ISERROR(VLOOKUP($A2394,'13. Updated Demand'!A:Z,21,FALSE)),0,VLOOKUP($A2394,'13. Updated Demand'!A:Z,21,FALSE))</f>
        <v>0</v>
      </c>
      <c r="AE2394" s="16">
        <f>IF(ISERROR(VLOOKUP($A2394,'13. Updated Demand'!A:Z,22,FALSE)),0,VLOOKUP($A2394,'13. Updated Demand'!A:Z,22,FALSE))</f>
        <v>0</v>
      </c>
      <c r="AF2394" s="16">
        <f>IF(ISERROR(VLOOKUP($A2394,'13. Updated Demand'!A:Z,23,FALSE)),0,VLOOKUP($A2394,'13. Updated Demand'!A:Z,23,FALSE))</f>
        <v>0</v>
      </c>
      <c r="AG2394" s="16">
        <f>IF(ISERROR(VLOOKUP($A2394,'13. Updated Demand'!A:Z,24,FALSE)),0,VLOOKUP($A2394,'13. Updated Demand'!A:Z,24,FALSE))</f>
        <v>0</v>
      </c>
      <c r="AH2394" s="16">
        <f>IF(ISERROR(VLOOKUP($A2394,'13. Updated Demand'!A:Z,25,FALSE)),0,VLOOKUP($A2394,'13. Updated Demand'!A:Z,25,FALSE))</f>
        <v>0</v>
      </c>
      <c r="AI2394" s="16">
        <f>IF(ISERROR(VLOOKUP($A2394,'13. Updated Demand'!A:Z,26,FALSE)),0,VLOOKUP($A2394,'13. Updated Demand'!A:Z,26,FALSE))</f>
        <v>0</v>
      </c>
      <c r="AJ2394" s="16">
        <f t="shared" si="457"/>
        <v>0</v>
      </c>
      <c r="AK2394" s="19">
        <v>0.16750000000000001</v>
      </c>
      <c r="AL2394" s="16">
        <f t="shared" si="455"/>
        <v>5.5557841995699782E-4</v>
      </c>
      <c r="AM2394" s="26">
        <v>4.470468431771895</v>
      </c>
      <c r="AN2394" s="19">
        <v>4.9099999999999998E-2</v>
      </c>
      <c r="AO2394" s="19" t="s">
        <v>1758</v>
      </c>
      <c r="AP2394" s="19">
        <v>0</v>
      </c>
      <c r="AQ2394" s="19" t="s">
        <v>307</v>
      </c>
      <c r="AR2394" s="9" t="s">
        <v>333</v>
      </c>
      <c r="AS2394" s="12">
        <v>3.4039024194010059E-4</v>
      </c>
      <c r="AT2394" s="19">
        <v>39.053800000000003</v>
      </c>
      <c r="AU2394" s="19">
        <v>-123.1866</v>
      </c>
      <c r="AV2394" s="19" t="s">
        <v>2881</v>
      </c>
    </row>
    <row r="2395" spans="1:48" x14ac:dyDescent="0.25">
      <c r="A2395" s="18" t="s">
        <v>2885</v>
      </c>
      <c r="B2395" s="10">
        <v>10000000</v>
      </c>
      <c r="C2395" s="9">
        <v>5</v>
      </c>
      <c r="D2395" s="8" t="str">
        <f t="shared" si="446"/>
        <v>Y</v>
      </c>
      <c r="E2395" s="8" t="str">
        <f t="shared" si="447"/>
        <v>N</v>
      </c>
      <c r="F2395" s="8" t="str">
        <f t="shared" si="448"/>
        <v>Y</v>
      </c>
      <c r="G2395" s="8" t="str">
        <f t="shared" si="449"/>
        <v>Y</v>
      </c>
      <c r="H2395" s="8" t="str">
        <f t="shared" si="450"/>
        <v>Upper</v>
      </c>
      <c r="I2395" s="8" t="str">
        <f t="shared" si="451"/>
        <v>West Fork and Below Lake</v>
      </c>
      <c r="J2395" s="8" t="str">
        <f t="shared" si="452"/>
        <v>Mendocino (d/s of lake)</v>
      </c>
      <c r="K2395" s="8" t="str">
        <f t="shared" si="453"/>
        <v>Riparian</v>
      </c>
      <c r="L2395" s="8">
        <f t="shared" si="454"/>
        <v>1000</v>
      </c>
      <c r="M2395" s="8" t="str">
        <f t="shared" si="456"/>
        <v>-</v>
      </c>
      <c r="N2395" s="10" t="s">
        <v>242</v>
      </c>
      <c r="O2395" s="10" t="s">
        <v>241</v>
      </c>
      <c r="P2395" s="10" t="s">
        <v>242</v>
      </c>
      <c r="Q2395" s="10" t="s">
        <v>242</v>
      </c>
      <c r="R2395" s="10" t="s">
        <v>242</v>
      </c>
      <c r="S2395" s="10" t="s">
        <v>241</v>
      </c>
      <c r="T2395" s="10" t="s">
        <v>242</v>
      </c>
      <c r="U2395" s="10" t="s">
        <v>241</v>
      </c>
      <c r="V2395" s="10" t="s">
        <v>241</v>
      </c>
      <c r="W2395" s="10" t="s">
        <v>242</v>
      </c>
      <c r="X2395" s="15">
        <f>IF(ISERROR(VLOOKUP($A2395,'13. Updated Demand'!A:Z,15,FALSE)),0,VLOOKUP($A2395,'13. Updated Demand'!A:Z,15,FALSE))</f>
        <v>0</v>
      </c>
      <c r="Y2395" s="16">
        <f>IF(ISERROR(VLOOKUP($A2395,'13. Updated Demand'!A:Z,16,FALSE)),0,VLOOKUP($A2395,'13. Updated Demand'!A:Z,16,FALSE))</f>
        <v>0</v>
      </c>
      <c r="Z2395" s="16">
        <f>IF(ISERROR(VLOOKUP($A2395,'13. Updated Demand'!A:Z,17,FALSE)),0,VLOOKUP($A2395,'13. Updated Demand'!A:Z,17,FALSE))</f>
        <v>0</v>
      </c>
      <c r="AA2395" s="16">
        <f>IF(ISERROR(VLOOKUP($A2395,'13. Updated Demand'!A:Z,18,FALSE)),0,VLOOKUP($A2395,'13. Updated Demand'!A:Z,18,FALSE))</f>
        <v>0</v>
      </c>
      <c r="AB2395" s="16">
        <f>IF(ISERROR(VLOOKUP($A2395,'13. Updated Demand'!A:Z,19,FALSE)),0,VLOOKUP($A2395,'13. Updated Demand'!A:Z,19,FALSE))</f>
        <v>0</v>
      </c>
      <c r="AC2395" s="16">
        <f>IF(ISERROR(VLOOKUP($A2395,'13. Updated Demand'!A:Z,20,FALSE)),0,VLOOKUP($A2395,'13. Updated Demand'!A:Z,20,FALSE))</f>
        <v>0</v>
      </c>
      <c r="AD2395" s="16">
        <f>IF(ISERROR(VLOOKUP($A2395,'13. Updated Demand'!A:Z,21,FALSE)),0,VLOOKUP($A2395,'13. Updated Demand'!A:Z,21,FALSE))</f>
        <v>0</v>
      </c>
      <c r="AE2395" s="16">
        <f>IF(ISERROR(VLOOKUP($A2395,'13. Updated Demand'!A:Z,22,FALSE)),0,VLOOKUP($A2395,'13. Updated Demand'!A:Z,22,FALSE))</f>
        <v>0</v>
      </c>
      <c r="AF2395" s="16">
        <f>IF(ISERROR(VLOOKUP($A2395,'13. Updated Demand'!A:Z,23,FALSE)),0,VLOOKUP($A2395,'13. Updated Demand'!A:Z,23,FALSE))</f>
        <v>0</v>
      </c>
      <c r="AG2395" s="16">
        <f>IF(ISERROR(VLOOKUP($A2395,'13. Updated Demand'!A:Z,24,FALSE)),0,VLOOKUP($A2395,'13. Updated Demand'!A:Z,24,FALSE))</f>
        <v>0</v>
      </c>
      <c r="AH2395" s="16">
        <f>IF(ISERROR(VLOOKUP($A2395,'13. Updated Demand'!A:Z,25,FALSE)),0,VLOOKUP($A2395,'13. Updated Demand'!A:Z,25,FALSE))</f>
        <v>0</v>
      </c>
      <c r="AI2395" s="16">
        <f>IF(ISERROR(VLOOKUP($A2395,'13. Updated Demand'!A:Z,26,FALSE)),0,VLOOKUP($A2395,'13. Updated Demand'!A:Z,26,FALSE))</f>
        <v>0</v>
      </c>
      <c r="AJ2395" s="16">
        <f t="shared" si="457"/>
        <v>0</v>
      </c>
      <c r="AK2395" s="19">
        <v>0</v>
      </c>
      <c r="AL2395" s="16">
        <f t="shared" si="455"/>
        <v>0</v>
      </c>
      <c r="AM2395" s="26">
        <v>0</v>
      </c>
      <c r="AN2395" s="19">
        <v>8.1299999999999997E-2</v>
      </c>
      <c r="AO2395" s="19" t="s">
        <v>1758</v>
      </c>
      <c r="AP2395" s="19">
        <v>0</v>
      </c>
      <c r="AQ2395" s="19" t="s">
        <v>307</v>
      </c>
      <c r="AR2395" s="9" t="s">
        <v>333</v>
      </c>
      <c r="AS2395" s="12">
        <v>0</v>
      </c>
      <c r="AT2395" s="19">
        <v>39.054499999999997</v>
      </c>
      <c r="AU2395" s="19">
        <v>-123.1949</v>
      </c>
      <c r="AV2395" s="19" t="s">
        <v>2881</v>
      </c>
    </row>
    <row r="2396" spans="1:48" x14ac:dyDescent="0.25">
      <c r="A2396" s="18" t="s">
        <v>2886</v>
      </c>
      <c r="B2396" s="10">
        <v>10000000</v>
      </c>
      <c r="C2396" s="9">
        <v>5</v>
      </c>
      <c r="D2396" s="8" t="str">
        <f t="shared" si="446"/>
        <v>Y</v>
      </c>
      <c r="E2396" s="8" t="str">
        <f t="shared" si="447"/>
        <v>N</v>
      </c>
      <c r="F2396" s="8" t="str">
        <f t="shared" si="448"/>
        <v>Y</v>
      </c>
      <c r="G2396" s="8" t="str">
        <f t="shared" si="449"/>
        <v>Y</v>
      </c>
      <c r="H2396" s="8" t="str">
        <f t="shared" si="450"/>
        <v>Upper</v>
      </c>
      <c r="I2396" s="8" t="str">
        <f t="shared" si="451"/>
        <v>West Fork and Below Lake</v>
      </c>
      <c r="J2396" s="8" t="str">
        <f t="shared" si="452"/>
        <v>Mendocino (d/s of lake)</v>
      </c>
      <c r="K2396" s="8" t="str">
        <f t="shared" si="453"/>
        <v>Riparian</v>
      </c>
      <c r="L2396" s="8">
        <f t="shared" si="454"/>
        <v>1000</v>
      </c>
      <c r="M2396" s="8" t="str">
        <f t="shared" si="456"/>
        <v>-</v>
      </c>
      <c r="N2396" s="10" t="s">
        <v>242</v>
      </c>
      <c r="O2396" s="10" t="s">
        <v>241</v>
      </c>
      <c r="P2396" s="10" t="s">
        <v>242</v>
      </c>
      <c r="Q2396" s="10" t="s">
        <v>242</v>
      </c>
      <c r="R2396" s="10" t="s">
        <v>242</v>
      </c>
      <c r="S2396" s="10" t="s">
        <v>241</v>
      </c>
      <c r="T2396" s="10" t="s">
        <v>242</v>
      </c>
      <c r="U2396" s="10" t="s">
        <v>242</v>
      </c>
      <c r="V2396" s="10" t="s">
        <v>242</v>
      </c>
      <c r="W2396" s="10" t="s">
        <v>242</v>
      </c>
      <c r="X2396" s="15">
        <f>IF(ISERROR(VLOOKUP($A2396,'13. Updated Demand'!A:Z,15,FALSE)),0,VLOOKUP($A2396,'13. Updated Demand'!A:Z,15,FALSE))</f>
        <v>0</v>
      </c>
      <c r="Y2396" s="16">
        <f>IF(ISERROR(VLOOKUP($A2396,'13. Updated Demand'!A:Z,16,FALSE)),0,VLOOKUP($A2396,'13. Updated Demand'!A:Z,16,FALSE))</f>
        <v>0</v>
      </c>
      <c r="Z2396" s="16">
        <f>IF(ISERROR(VLOOKUP($A2396,'13. Updated Demand'!A:Z,17,FALSE)),0,VLOOKUP($A2396,'13. Updated Demand'!A:Z,17,FALSE))</f>
        <v>0</v>
      </c>
      <c r="AA2396" s="16">
        <f>IF(ISERROR(VLOOKUP($A2396,'13. Updated Demand'!A:Z,18,FALSE)),0,VLOOKUP($A2396,'13. Updated Demand'!A:Z,18,FALSE))</f>
        <v>0</v>
      </c>
      <c r="AB2396" s="16">
        <f>IF(ISERROR(VLOOKUP($A2396,'13. Updated Demand'!A:Z,19,FALSE)),0,VLOOKUP($A2396,'13. Updated Demand'!A:Z,19,FALSE))</f>
        <v>0</v>
      </c>
      <c r="AC2396" s="16">
        <f>IF(ISERROR(VLOOKUP($A2396,'13. Updated Demand'!A:Z,20,FALSE)),0,VLOOKUP($A2396,'13. Updated Demand'!A:Z,20,FALSE))</f>
        <v>0</v>
      </c>
      <c r="AD2396" s="16">
        <f>IF(ISERROR(VLOOKUP($A2396,'13. Updated Demand'!A:Z,21,FALSE)),0,VLOOKUP($A2396,'13. Updated Demand'!A:Z,21,FALSE))</f>
        <v>0</v>
      </c>
      <c r="AE2396" s="16">
        <f>IF(ISERROR(VLOOKUP($A2396,'13. Updated Demand'!A:Z,22,FALSE)),0,VLOOKUP($A2396,'13. Updated Demand'!A:Z,22,FALSE))</f>
        <v>0</v>
      </c>
      <c r="AF2396" s="16">
        <f>IF(ISERROR(VLOOKUP($A2396,'13. Updated Demand'!A:Z,23,FALSE)),0,VLOOKUP($A2396,'13. Updated Demand'!A:Z,23,FALSE))</f>
        <v>0</v>
      </c>
      <c r="AG2396" s="16">
        <f>IF(ISERROR(VLOOKUP($A2396,'13. Updated Demand'!A:Z,24,FALSE)),0,VLOOKUP($A2396,'13. Updated Demand'!A:Z,24,FALSE))</f>
        <v>0</v>
      </c>
      <c r="AH2396" s="16">
        <f>IF(ISERROR(VLOOKUP($A2396,'13. Updated Demand'!A:Z,25,FALSE)),0,VLOOKUP($A2396,'13. Updated Demand'!A:Z,25,FALSE))</f>
        <v>0</v>
      </c>
      <c r="AI2396" s="16">
        <f>IF(ISERROR(VLOOKUP($A2396,'13. Updated Demand'!A:Z,26,FALSE)),0,VLOOKUP($A2396,'13. Updated Demand'!A:Z,26,FALSE))</f>
        <v>0</v>
      </c>
      <c r="AJ2396" s="16">
        <f t="shared" si="457"/>
        <v>0</v>
      </c>
      <c r="AK2396" s="19">
        <v>0.11899999999999999</v>
      </c>
      <c r="AL2396" s="16">
        <f t="shared" si="455"/>
        <v>3.9470944462616556E-4</v>
      </c>
      <c r="AM2396" s="26">
        <v>1.8982712765957444</v>
      </c>
      <c r="AN2396" s="19">
        <v>0.15040000000000001</v>
      </c>
      <c r="AO2396" s="19" t="s">
        <v>1758</v>
      </c>
      <c r="AP2396" s="19">
        <v>0</v>
      </c>
      <c r="AQ2396" s="19" t="s">
        <v>307</v>
      </c>
      <c r="AR2396" s="9" t="s">
        <v>333</v>
      </c>
      <c r="AS2396" s="12">
        <v>3.4039024194010059E-4</v>
      </c>
      <c r="AT2396" s="19">
        <v>39.055700000000002</v>
      </c>
      <c r="AU2396" s="19">
        <v>-123.188</v>
      </c>
      <c r="AV2396" s="19" t="s">
        <v>2881</v>
      </c>
    </row>
    <row r="2397" spans="1:48" x14ac:dyDescent="0.25">
      <c r="A2397" s="18" t="s">
        <v>2887</v>
      </c>
      <c r="B2397" s="10">
        <v>10000000</v>
      </c>
      <c r="C2397" s="9">
        <v>23</v>
      </c>
      <c r="D2397" s="8" t="str">
        <f t="shared" si="446"/>
        <v>N</v>
      </c>
      <c r="E2397" s="8" t="str">
        <f t="shared" si="447"/>
        <v>N</v>
      </c>
      <c r="F2397" s="8" t="str">
        <f t="shared" si="448"/>
        <v>N</v>
      </c>
      <c r="G2397" s="8" t="str">
        <f t="shared" si="449"/>
        <v>N</v>
      </c>
      <c r="H2397" s="8" t="str">
        <f t="shared" si="450"/>
        <v>Lower</v>
      </c>
      <c r="I2397" s="8" t="str">
        <f t="shared" si="451"/>
        <v>Outside</v>
      </c>
      <c r="J2397" s="8" t="str">
        <f t="shared" si="452"/>
        <v>Outside</v>
      </c>
      <c r="K2397" s="8" t="str">
        <f t="shared" si="453"/>
        <v>Riparian</v>
      </c>
      <c r="L2397" s="8">
        <f t="shared" si="454"/>
        <v>1000</v>
      </c>
      <c r="M2397" s="8" t="str">
        <f t="shared" si="456"/>
        <v>-</v>
      </c>
      <c r="N2397" s="10" t="s">
        <v>242</v>
      </c>
      <c r="O2397" s="10" t="s">
        <v>242</v>
      </c>
      <c r="P2397" s="10" t="s">
        <v>242</v>
      </c>
      <c r="Q2397" s="10" t="s">
        <v>242</v>
      </c>
      <c r="R2397" s="10" t="s">
        <v>242</v>
      </c>
      <c r="S2397" s="10" t="s">
        <v>241</v>
      </c>
      <c r="T2397" s="10" t="s">
        <v>242</v>
      </c>
      <c r="U2397" s="10" t="s">
        <v>242</v>
      </c>
      <c r="V2397" s="10" t="s">
        <v>242</v>
      </c>
      <c r="W2397" s="10" t="s">
        <v>242</v>
      </c>
      <c r="X2397" s="15">
        <f>IF(ISERROR(VLOOKUP($A2397,'13. Updated Demand'!A:Z,15,FALSE)),0,VLOOKUP($A2397,'13. Updated Demand'!A:Z,15,FALSE))</f>
        <v>1.6525000000000001E-3</v>
      </c>
      <c r="Y2397" s="16">
        <f>IF(ISERROR(VLOOKUP($A2397,'13. Updated Demand'!A:Z,16,FALSE)),0,VLOOKUP($A2397,'13. Updated Demand'!A:Z,16,FALSE))</f>
        <v>1.6525000000000001E-3</v>
      </c>
      <c r="Z2397" s="16">
        <f>IF(ISERROR(VLOOKUP($A2397,'13. Updated Demand'!A:Z,17,FALSE)),0,VLOOKUP($A2397,'13. Updated Demand'!A:Z,17,FALSE))</f>
        <v>1.6525000000000001E-3</v>
      </c>
      <c r="AA2397" s="16">
        <f>IF(ISERROR(VLOOKUP($A2397,'13. Updated Demand'!A:Z,18,FALSE)),0,VLOOKUP($A2397,'13. Updated Demand'!A:Z,18,FALSE))</f>
        <v>2.9025000000000001E-3</v>
      </c>
      <c r="AB2397" s="16">
        <f>IF(ISERROR(VLOOKUP($A2397,'13. Updated Demand'!A:Z,19,FALSE)),0,VLOOKUP($A2397,'13. Updated Demand'!A:Z,19,FALSE))</f>
        <v>2.9025000000000001E-3</v>
      </c>
      <c r="AC2397" s="16">
        <f>IF(ISERROR(VLOOKUP($A2397,'13. Updated Demand'!A:Z,20,FALSE)),0,VLOOKUP($A2397,'13. Updated Demand'!A:Z,20,FALSE))</f>
        <v>2.9025000000000001E-3</v>
      </c>
      <c r="AD2397" s="16">
        <f>IF(ISERROR(VLOOKUP($A2397,'13. Updated Demand'!A:Z,21,FALSE)),0,VLOOKUP($A2397,'13. Updated Demand'!A:Z,21,FALSE))</f>
        <v>2.9025000000000001E-3</v>
      </c>
      <c r="AE2397" s="16">
        <f>IF(ISERROR(VLOOKUP($A2397,'13. Updated Demand'!A:Z,22,FALSE)),0,VLOOKUP($A2397,'13. Updated Demand'!A:Z,22,FALSE))</f>
        <v>2.9025000000000001E-3</v>
      </c>
      <c r="AF2397" s="16">
        <f>IF(ISERROR(VLOOKUP($A2397,'13. Updated Demand'!A:Z,23,FALSE)),0,VLOOKUP($A2397,'13. Updated Demand'!A:Z,23,FALSE))</f>
        <v>2.9025000000000001E-3</v>
      </c>
      <c r="AG2397" s="16">
        <f>IF(ISERROR(VLOOKUP($A2397,'13. Updated Demand'!A:Z,24,FALSE)),0,VLOOKUP($A2397,'13. Updated Demand'!A:Z,24,FALSE))</f>
        <v>2.9025000000000001E-3</v>
      </c>
      <c r="AH2397" s="16">
        <f>IF(ISERROR(VLOOKUP($A2397,'13. Updated Demand'!A:Z,25,FALSE)),0,VLOOKUP($A2397,'13. Updated Demand'!A:Z,25,FALSE))</f>
        <v>2.9025000000000001E-3</v>
      </c>
      <c r="AI2397" s="16">
        <f>IF(ISERROR(VLOOKUP($A2397,'13. Updated Demand'!A:Z,26,FALSE)),0,VLOOKUP($A2397,'13. Updated Demand'!A:Z,26,FALSE))</f>
        <v>2.9025000000000001E-3</v>
      </c>
      <c r="AJ2397" s="16">
        <f t="shared" si="457"/>
        <v>3.1079999999999997E-2</v>
      </c>
      <c r="AK2397" s="19">
        <v>1.4512500000000001E-2</v>
      </c>
      <c r="AL2397" s="16">
        <f t="shared" si="455"/>
        <v>4.8136309370901077E-5</v>
      </c>
      <c r="AM2397" s="26">
        <v>3.2715789473684209</v>
      </c>
      <c r="AN2397" s="19">
        <v>9.4999999999999998E-3</v>
      </c>
      <c r="AO2397" s="19" t="s">
        <v>1758</v>
      </c>
      <c r="AP2397" s="19">
        <v>0</v>
      </c>
      <c r="AQ2397" s="19" t="s">
        <v>307</v>
      </c>
      <c r="AR2397" s="9" t="s">
        <v>323</v>
      </c>
      <c r="AS2397" s="12">
        <v>3.4039024194010059E-4</v>
      </c>
      <c r="AT2397" s="19">
        <v>38.540100000000002</v>
      </c>
      <c r="AU2397" s="19">
        <v>-122.6388</v>
      </c>
      <c r="AV2397" s="19" t="s">
        <v>2888</v>
      </c>
    </row>
    <row r="2398" spans="1:48" x14ac:dyDescent="0.25">
      <c r="A2398" s="18" t="s">
        <v>2889</v>
      </c>
      <c r="B2398" s="10">
        <v>10000000</v>
      </c>
      <c r="C2398" s="9">
        <v>17</v>
      </c>
      <c r="D2398" s="8" t="str">
        <f t="shared" si="446"/>
        <v>N</v>
      </c>
      <c r="E2398" s="8" t="str">
        <f t="shared" si="447"/>
        <v>N</v>
      </c>
      <c r="F2398" s="8" t="str">
        <f t="shared" si="448"/>
        <v>N</v>
      </c>
      <c r="G2398" s="8" t="str">
        <f t="shared" si="449"/>
        <v>N</v>
      </c>
      <c r="H2398" s="8" t="str">
        <f t="shared" si="450"/>
        <v>Lower</v>
      </c>
      <c r="I2398" s="8" t="str">
        <f t="shared" si="451"/>
        <v>Outside</v>
      </c>
      <c r="J2398" s="8" t="str">
        <f t="shared" si="452"/>
        <v>Outside</v>
      </c>
      <c r="K2398" s="8" t="str">
        <f t="shared" si="453"/>
        <v>Riparian</v>
      </c>
      <c r="L2398" s="8">
        <f t="shared" si="454"/>
        <v>1000</v>
      </c>
      <c r="M2398" s="8" t="str">
        <f t="shared" si="456"/>
        <v>-</v>
      </c>
      <c r="N2398" s="10" t="s">
        <v>241</v>
      </c>
      <c r="O2398" s="10" t="s">
        <v>242</v>
      </c>
      <c r="P2398" s="10" t="s">
        <v>242</v>
      </c>
      <c r="Q2398" s="10" t="s">
        <v>242</v>
      </c>
      <c r="R2398" s="10" t="s">
        <v>242</v>
      </c>
      <c r="S2398" s="10" t="s">
        <v>241</v>
      </c>
      <c r="T2398" s="10" t="s">
        <v>242</v>
      </c>
      <c r="U2398" s="10" t="s">
        <v>242</v>
      </c>
      <c r="V2398" s="10" t="s">
        <v>242</v>
      </c>
      <c r="W2398" s="10" t="s">
        <v>242</v>
      </c>
      <c r="X2398" s="15">
        <f>IF(ISERROR(VLOOKUP($A2398,'13. Updated Demand'!A:Z,15,FALSE)),0,VLOOKUP($A2398,'13. Updated Demand'!A:Z,15,FALSE))</f>
        <v>0</v>
      </c>
      <c r="Y2398" s="16">
        <f>IF(ISERROR(VLOOKUP($A2398,'13. Updated Demand'!A:Z,16,FALSE)),0,VLOOKUP($A2398,'13. Updated Demand'!A:Z,16,FALSE))</f>
        <v>0</v>
      </c>
      <c r="Z2398" s="16">
        <f>IF(ISERROR(VLOOKUP($A2398,'13. Updated Demand'!A:Z,17,FALSE)),0,VLOOKUP($A2398,'13. Updated Demand'!A:Z,17,FALSE))</f>
        <v>0</v>
      </c>
      <c r="AA2398" s="16">
        <f>IF(ISERROR(VLOOKUP($A2398,'13. Updated Demand'!A:Z,18,FALSE)),0,VLOOKUP($A2398,'13. Updated Demand'!A:Z,18,FALSE))</f>
        <v>0.35</v>
      </c>
      <c r="AB2398" s="16">
        <f>IF(ISERROR(VLOOKUP($A2398,'13. Updated Demand'!A:Z,19,FALSE)),0,VLOOKUP($A2398,'13. Updated Demand'!A:Z,19,FALSE))</f>
        <v>1.2090000000000001</v>
      </c>
      <c r="AC2398" s="16">
        <f>IF(ISERROR(VLOOKUP($A2398,'13. Updated Demand'!A:Z,20,FALSE)),0,VLOOKUP($A2398,'13. Updated Demand'!A:Z,20,FALSE))</f>
        <v>2.2189999999999999</v>
      </c>
      <c r="AD2398" s="16">
        <f>IF(ISERROR(VLOOKUP($A2398,'13. Updated Demand'!A:Z,21,FALSE)),0,VLOOKUP($A2398,'13. Updated Demand'!A:Z,21,FALSE))</f>
        <v>3.8650000000000002</v>
      </c>
      <c r="AE2398" s="16">
        <f>IF(ISERROR(VLOOKUP($A2398,'13. Updated Demand'!A:Z,22,FALSE)),0,VLOOKUP($A2398,'13. Updated Demand'!A:Z,22,FALSE))</f>
        <v>1.7124999999999999</v>
      </c>
      <c r="AF2398" s="16">
        <f>IF(ISERROR(VLOOKUP($A2398,'13. Updated Demand'!A:Z,23,FALSE)),0,VLOOKUP($A2398,'13. Updated Demand'!A:Z,23,FALSE))</f>
        <v>4.2</v>
      </c>
      <c r="AG2398" s="16">
        <f>IF(ISERROR(VLOOKUP($A2398,'13. Updated Demand'!A:Z,24,FALSE)),0,VLOOKUP($A2398,'13. Updated Demand'!A:Z,24,FALSE))</f>
        <v>5.75</v>
      </c>
      <c r="AH2398" s="16">
        <f>IF(ISERROR(VLOOKUP($A2398,'13. Updated Demand'!A:Z,25,FALSE)),0,VLOOKUP($A2398,'13. Updated Demand'!A:Z,25,FALSE))</f>
        <v>0.55000000000000004</v>
      </c>
      <c r="AI2398" s="16">
        <f>IF(ISERROR(VLOOKUP($A2398,'13. Updated Demand'!A:Z,26,FALSE)),0,VLOOKUP($A2398,'13. Updated Demand'!A:Z,26,FALSE))</f>
        <v>0</v>
      </c>
      <c r="AJ2398" s="16">
        <f t="shared" si="457"/>
        <v>19.855500000000003</v>
      </c>
      <c r="AK2398" s="19">
        <v>13.205500000000001</v>
      </c>
      <c r="AL2398" s="16">
        <f t="shared" si="455"/>
        <v>4.3801139252191847E-2</v>
      </c>
      <c r="AM2398" s="26">
        <v>0.90252272727272742</v>
      </c>
      <c r="AN2398" s="19">
        <v>22</v>
      </c>
      <c r="AO2398" s="19" t="s">
        <v>1758</v>
      </c>
      <c r="AP2398" s="19">
        <v>0</v>
      </c>
      <c r="AQ2398" s="19" t="s">
        <v>307</v>
      </c>
      <c r="AR2398" s="9" t="s">
        <v>486</v>
      </c>
      <c r="AS2398" s="12">
        <v>0</v>
      </c>
      <c r="AT2398" s="19">
        <v>38.549444440000002</v>
      </c>
      <c r="AU2398" s="19">
        <v>-122.86138889</v>
      </c>
      <c r="AV2398" s="19" t="s">
        <v>766</v>
      </c>
    </row>
    <row r="2399" spans="1:48" x14ac:dyDescent="0.25">
      <c r="A2399" s="18" t="s">
        <v>2890</v>
      </c>
      <c r="B2399" s="10">
        <v>10000000</v>
      </c>
      <c r="C2399" s="9">
        <v>12</v>
      </c>
      <c r="D2399" s="8" t="str">
        <f t="shared" si="446"/>
        <v>N</v>
      </c>
      <c r="E2399" s="8" t="str">
        <f t="shared" si="447"/>
        <v>Y</v>
      </c>
      <c r="F2399" s="8" t="str">
        <f t="shared" si="448"/>
        <v>Y</v>
      </c>
      <c r="G2399" s="8" t="str">
        <f t="shared" si="449"/>
        <v>Y</v>
      </c>
      <c r="H2399" s="8" t="str">
        <f t="shared" si="450"/>
        <v>Upper</v>
      </c>
      <c r="I2399" s="8" t="str">
        <f t="shared" si="451"/>
        <v>West Fork and Below Lake</v>
      </c>
      <c r="J2399" s="8" t="str">
        <f t="shared" si="452"/>
        <v>Sonoma (d/s of Clov. Gage)</v>
      </c>
      <c r="K2399" s="8" t="str">
        <f t="shared" si="453"/>
        <v>Riparian</v>
      </c>
      <c r="L2399" s="8">
        <f t="shared" si="454"/>
        <v>1000</v>
      </c>
      <c r="M2399" s="8" t="str">
        <f t="shared" si="456"/>
        <v>-</v>
      </c>
      <c r="N2399" s="10" t="s">
        <v>241</v>
      </c>
      <c r="O2399" s="10" t="s">
        <v>241</v>
      </c>
      <c r="P2399" s="10" t="s">
        <v>242</v>
      </c>
      <c r="Q2399" s="10" t="s">
        <v>242</v>
      </c>
      <c r="R2399" s="10" t="s">
        <v>242</v>
      </c>
      <c r="S2399" s="10" t="s">
        <v>241</v>
      </c>
      <c r="T2399" s="10" t="s">
        <v>242</v>
      </c>
      <c r="U2399" s="10" t="s">
        <v>242</v>
      </c>
      <c r="V2399" s="10" t="s">
        <v>242</v>
      </c>
      <c r="W2399" s="10" t="s">
        <v>242</v>
      </c>
      <c r="X2399" s="15">
        <f>IF(ISERROR(VLOOKUP($A2399,'13. Updated Demand'!A:Z,15,FALSE)),0,VLOOKUP($A2399,'13. Updated Demand'!A:Z,15,FALSE))</f>
        <v>0.2</v>
      </c>
      <c r="Y2399" s="16">
        <f>IF(ISERROR(VLOOKUP($A2399,'13. Updated Demand'!A:Z,16,FALSE)),0,VLOOKUP($A2399,'13. Updated Demand'!A:Z,16,FALSE))</f>
        <v>0.2</v>
      </c>
      <c r="Z2399" s="16">
        <f>IF(ISERROR(VLOOKUP($A2399,'13. Updated Demand'!A:Z,17,FALSE)),0,VLOOKUP($A2399,'13. Updated Demand'!A:Z,17,FALSE))</f>
        <v>0.25</v>
      </c>
      <c r="AA2399" s="16">
        <f>IF(ISERROR(VLOOKUP($A2399,'13. Updated Demand'!A:Z,18,FALSE)),0,VLOOKUP($A2399,'13. Updated Demand'!A:Z,18,FALSE))</f>
        <v>0.3</v>
      </c>
      <c r="AB2399" s="16">
        <f>IF(ISERROR(VLOOKUP($A2399,'13. Updated Demand'!A:Z,19,FALSE)),0,VLOOKUP($A2399,'13. Updated Demand'!A:Z,19,FALSE))</f>
        <v>1.97</v>
      </c>
      <c r="AC2399" s="16">
        <f>IF(ISERROR(VLOOKUP($A2399,'13. Updated Demand'!A:Z,20,FALSE)),0,VLOOKUP($A2399,'13. Updated Demand'!A:Z,20,FALSE))</f>
        <v>3.14</v>
      </c>
      <c r="AD2399" s="16">
        <f>IF(ISERROR(VLOOKUP($A2399,'13. Updated Demand'!A:Z,21,FALSE)),0,VLOOKUP($A2399,'13. Updated Demand'!A:Z,21,FALSE))</f>
        <v>3.7</v>
      </c>
      <c r="AE2399" s="16">
        <f>IF(ISERROR(VLOOKUP($A2399,'13. Updated Demand'!A:Z,22,FALSE)),0,VLOOKUP($A2399,'13. Updated Demand'!A:Z,22,FALSE))</f>
        <v>3.42</v>
      </c>
      <c r="AF2399" s="16">
        <f>IF(ISERROR(VLOOKUP($A2399,'13. Updated Demand'!A:Z,23,FALSE)),0,VLOOKUP($A2399,'13. Updated Demand'!A:Z,23,FALSE))</f>
        <v>2.96</v>
      </c>
      <c r="AG2399" s="16">
        <f>IF(ISERROR(VLOOKUP($A2399,'13. Updated Demand'!A:Z,24,FALSE)),0,VLOOKUP($A2399,'13. Updated Demand'!A:Z,24,FALSE))</f>
        <v>2.73</v>
      </c>
      <c r="AH2399" s="16">
        <f>IF(ISERROR(VLOOKUP($A2399,'13. Updated Demand'!A:Z,25,FALSE)),0,VLOOKUP($A2399,'13. Updated Demand'!A:Z,25,FALSE))</f>
        <v>1.41</v>
      </c>
      <c r="AI2399" s="16">
        <f>IF(ISERROR(VLOOKUP($A2399,'13. Updated Demand'!A:Z,26,FALSE)),0,VLOOKUP($A2399,'13. Updated Demand'!A:Z,26,FALSE))</f>
        <v>1.2</v>
      </c>
      <c r="AJ2399" s="16">
        <f t="shared" si="457"/>
        <v>21.48</v>
      </c>
      <c r="AK2399" s="19">
        <v>15.215</v>
      </c>
      <c r="AL2399" s="16">
        <f t="shared" si="455"/>
        <v>5.046642184863117E-2</v>
      </c>
      <c r="AM2399" s="26">
        <v>0.40089418777943359</v>
      </c>
      <c r="AN2399" s="19">
        <v>53.68</v>
      </c>
      <c r="AO2399" s="19" t="s">
        <v>1758</v>
      </c>
      <c r="AP2399" s="19">
        <v>0</v>
      </c>
      <c r="AQ2399" s="19" t="s">
        <v>307</v>
      </c>
      <c r="AR2399" s="9" t="s">
        <v>311</v>
      </c>
      <c r="AS2399" s="12">
        <v>3.4039024194010059E-4</v>
      </c>
      <c r="AT2399" s="19">
        <v>38.634124900000003</v>
      </c>
      <c r="AU2399" s="19">
        <v>-122.78977507</v>
      </c>
      <c r="AV2399" s="19" t="s">
        <v>766</v>
      </c>
    </row>
    <row r="2400" spans="1:48" x14ac:dyDescent="0.25">
      <c r="A2400" s="9" t="s">
        <v>2891</v>
      </c>
      <c r="B2400" s="10">
        <v>10000000</v>
      </c>
      <c r="C2400" s="9">
        <v>18</v>
      </c>
      <c r="D2400" s="8" t="str">
        <f t="shared" si="446"/>
        <v>N</v>
      </c>
      <c r="E2400" s="8" t="str">
        <f t="shared" si="447"/>
        <v>N</v>
      </c>
      <c r="F2400" s="8" t="str">
        <f t="shared" si="448"/>
        <v>N</v>
      </c>
      <c r="G2400" s="8" t="str">
        <f t="shared" si="449"/>
        <v>N</v>
      </c>
      <c r="H2400" s="8" t="str">
        <f t="shared" si="450"/>
        <v>Lower</v>
      </c>
      <c r="I2400" s="8" t="str">
        <f t="shared" si="451"/>
        <v>Outside</v>
      </c>
      <c r="J2400" s="8" t="str">
        <f t="shared" si="452"/>
        <v>Outside</v>
      </c>
      <c r="K2400" s="8" t="str">
        <f t="shared" si="453"/>
        <v>Riparian</v>
      </c>
      <c r="L2400" s="8">
        <f t="shared" si="454"/>
        <v>1000</v>
      </c>
      <c r="M2400" s="8" t="str">
        <f t="shared" si="456"/>
        <v>-</v>
      </c>
      <c r="N2400" s="10" t="s">
        <v>242</v>
      </c>
      <c r="O2400" s="10" t="s">
        <v>242</v>
      </c>
      <c r="P2400" s="10" t="s">
        <v>242</v>
      </c>
      <c r="Q2400" s="10" t="s">
        <v>242</v>
      </c>
      <c r="R2400" s="10" t="s">
        <v>242</v>
      </c>
      <c r="S2400" s="10" t="s">
        <v>241</v>
      </c>
      <c r="T2400" s="10" t="s">
        <v>242</v>
      </c>
      <c r="U2400" s="10" t="s">
        <v>241</v>
      </c>
      <c r="V2400" s="10" t="s">
        <v>241</v>
      </c>
      <c r="W2400" s="10" t="s">
        <v>242</v>
      </c>
      <c r="X2400" s="15">
        <f>IF(ISERROR(VLOOKUP($A2400,'13. Updated Demand'!A:Z,15,FALSE)),0,VLOOKUP($A2400,'13. Updated Demand'!A:Z,15,FALSE))</f>
        <v>0</v>
      </c>
      <c r="Y2400" s="16">
        <f>IF(ISERROR(VLOOKUP($A2400,'13. Updated Demand'!A:Z,16,FALSE)),0,VLOOKUP($A2400,'13. Updated Demand'!A:Z,16,FALSE))</f>
        <v>0</v>
      </c>
      <c r="Z2400" s="16">
        <f>IF(ISERROR(VLOOKUP($A2400,'13. Updated Demand'!A:Z,17,FALSE)),0,VLOOKUP($A2400,'13. Updated Demand'!A:Z,17,FALSE))</f>
        <v>0</v>
      </c>
      <c r="AA2400" s="16">
        <f>IF(ISERROR(VLOOKUP($A2400,'13. Updated Demand'!A:Z,18,FALSE)),0,VLOOKUP($A2400,'13. Updated Demand'!A:Z,18,FALSE))</f>
        <v>0</v>
      </c>
      <c r="AB2400" s="16">
        <f>IF(ISERROR(VLOOKUP($A2400,'13. Updated Demand'!A:Z,19,FALSE)),0,VLOOKUP($A2400,'13. Updated Demand'!A:Z,19,FALSE))</f>
        <v>0</v>
      </c>
      <c r="AC2400" s="16">
        <f>IF(ISERROR(VLOOKUP($A2400,'13. Updated Demand'!A:Z,20,FALSE)),0,VLOOKUP($A2400,'13. Updated Demand'!A:Z,20,FALSE))</f>
        <v>0</v>
      </c>
      <c r="AD2400" s="16">
        <f>IF(ISERROR(VLOOKUP($A2400,'13. Updated Demand'!A:Z,21,FALSE)),0,VLOOKUP($A2400,'13. Updated Demand'!A:Z,21,FALSE))</f>
        <v>0</v>
      </c>
      <c r="AE2400" s="16">
        <f>IF(ISERROR(VLOOKUP($A2400,'13. Updated Demand'!A:Z,22,FALSE)),0,VLOOKUP($A2400,'13. Updated Demand'!A:Z,22,FALSE))</f>
        <v>0</v>
      </c>
      <c r="AF2400" s="16">
        <f>IF(ISERROR(VLOOKUP($A2400,'13. Updated Demand'!A:Z,23,FALSE)),0,VLOOKUP($A2400,'13. Updated Demand'!A:Z,23,FALSE))</f>
        <v>0</v>
      </c>
      <c r="AG2400" s="16">
        <f>IF(ISERROR(VLOOKUP($A2400,'13. Updated Demand'!A:Z,24,FALSE)),0,VLOOKUP($A2400,'13. Updated Demand'!A:Z,24,FALSE))</f>
        <v>0</v>
      </c>
      <c r="AH2400" s="16">
        <f>IF(ISERROR(VLOOKUP($A2400,'13. Updated Demand'!A:Z,25,FALSE)),0,VLOOKUP($A2400,'13. Updated Demand'!A:Z,25,FALSE))</f>
        <v>0</v>
      </c>
      <c r="AI2400" s="16">
        <f>IF(ISERROR(VLOOKUP($A2400,'13. Updated Demand'!A:Z,26,FALSE)),0,VLOOKUP($A2400,'13. Updated Demand'!A:Z,26,FALSE))</f>
        <v>0</v>
      </c>
      <c r="AJ2400" s="16">
        <f t="shared" si="457"/>
        <v>0</v>
      </c>
      <c r="AK2400" s="19">
        <v>0</v>
      </c>
      <c r="AL2400" s="16">
        <f t="shared" si="455"/>
        <v>0</v>
      </c>
      <c r="AM2400" s="26">
        <v>0</v>
      </c>
      <c r="AN2400" s="19">
        <v>9.84</v>
      </c>
      <c r="AO2400" s="19" t="s">
        <v>1758</v>
      </c>
      <c r="AP2400" s="19">
        <v>0</v>
      </c>
      <c r="AQ2400" s="19" t="s">
        <v>307</v>
      </c>
      <c r="AR2400" s="9" t="s">
        <v>352</v>
      </c>
      <c r="AS2400" s="12">
        <v>0</v>
      </c>
      <c r="AT2400" s="19">
        <v>38.463563999999998</v>
      </c>
      <c r="AU2400" s="19">
        <v>-122.923787</v>
      </c>
      <c r="AV2400" s="19" t="s">
        <v>2892</v>
      </c>
    </row>
    <row r="2401" spans="1:48" x14ac:dyDescent="0.25">
      <c r="A2401" s="9" t="s">
        <v>2893</v>
      </c>
      <c r="B2401" s="10">
        <v>10000000</v>
      </c>
      <c r="C2401" s="9">
        <v>6</v>
      </c>
      <c r="D2401" s="8" t="str">
        <f t="shared" si="446"/>
        <v>Y</v>
      </c>
      <c r="E2401" s="8" t="str">
        <f t="shared" si="447"/>
        <v>N</v>
      </c>
      <c r="F2401" s="8" t="str">
        <f t="shared" si="448"/>
        <v>Y</v>
      </c>
      <c r="G2401" s="8" t="str">
        <f t="shared" si="449"/>
        <v>Y</v>
      </c>
      <c r="H2401" s="8" t="str">
        <f t="shared" si="450"/>
        <v>Upper</v>
      </c>
      <c r="I2401" s="8" t="str">
        <f t="shared" si="451"/>
        <v>West Fork and Below Lake</v>
      </c>
      <c r="J2401" s="8" t="str">
        <f t="shared" si="452"/>
        <v>Mendocino (d/s of lake)</v>
      </c>
      <c r="K2401" s="8" t="str">
        <f t="shared" si="453"/>
        <v>Riparian</v>
      </c>
      <c r="L2401" s="8">
        <f t="shared" si="454"/>
        <v>1000</v>
      </c>
      <c r="M2401" s="8" t="str">
        <f t="shared" si="456"/>
        <v>-</v>
      </c>
      <c r="N2401" s="10" t="s">
        <v>242</v>
      </c>
      <c r="O2401" s="10" t="s">
        <v>241</v>
      </c>
      <c r="P2401" s="10" t="s">
        <v>242</v>
      </c>
      <c r="Q2401" s="10" t="s">
        <v>242</v>
      </c>
      <c r="R2401" s="10" t="s">
        <v>242</v>
      </c>
      <c r="S2401" s="10" t="s">
        <v>241</v>
      </c>
      <c r="T2401" s="10" t="s">
        <v>242</v>
      </c>
      <c r="U2401" s="10" t="s">
        <v>242</v>
      </c>
      <c r="V2401" s="10" t="s">
        <v>242</v>
      </c>
      <c r="W2401" s="10" t="s">
        <v>242</v>
      </c>
      <c r="X2401" s="15">
        <f>IF(ISERROR(VLOOKUP($A2401,'13. Updated Demand'!A:Z,15,FALSE)),0,VLOOKUP($A2401,'13. Updated Demand'!A:Z,15,FALSE))</f>
        <v>0</v>
      </c>
      <c r="Y2401" s="16">
        <f>IF(ISERROR(VLOOKUP($A2401,'13. Updated Demand'!A:Z,16,FALSE)),0,VLOOKUP($A2401,'13. Updated Demand'!A:Z,16,FALSE))</f>
        <v>0</v>
      </c>
      <c r="Z2401" s="16">
        <f>IF(ISERROR(VLOOKUP($A2401,'13. Updated Demand'!A:Z,17,FALSE)),0,VLOOKUP($A2401,'13. Updated Demand'!A:Z,17,FALSE))</f>
        <v>0</v>
      </c>
      <c r="AA2401" s="16">
        <f>IF(ISERROR(VLOOKUP($A2401,'13. Updated Demand'!A:Z,18,FALSE)),0,VLOOKUP($A2401,'13. Updated Demand'!A:Z,18,FALSE))</f>
        <v>0</v>
      </c>
      <c r="AB2401" s="16">
        <f>IF(ISERROR(VLOOKUP($A2401,'13. Updated Demand'!A:Z,19,FALSE)),0,VLOOKUP($A2401,'13. Updated Demand'!A:Z,19,FALSE))</f>
        <v>0</v>
      </c>
      <c r="AC2401" s="16">
        <f>IF(ISERROR(VLOOKUP($A2401,'13. Updated Demand'!A:Z,20,FALSE)),0,VLOOKUP($A2401,'13. Updated Demand'!A:Z,20,FALSE))</f>
        <v>0</v>
      </c>
      <c r="AD2401" s="16">
        <f>IF(ISERROR(VLOOKUP($A2401,'13. Updated Demand'!A:Z,21,FALSE)),0,VLOOKUP($A2401,'13. Updated Demand'!A:Z,21,FALSE))</f>
        <v>0</v>
      </c>
      <c r="AE2401" s="16">
        <f>IF(ISERROR(VLOOKUP($A2401,'13. Updated Demand'!A:Z,22,FALSE)),0,VLOOKUP($A2401,'13. Updated Demand'!A:Z,22,FALSE))</f>
        <v>0</v>
      </c>
      <c r="AF2401" s="16">
        <f>IF(ISERROR(VLOOKUP($A2401,'13. Updated Demand'!A:Z,23,FALSE)),0,VLOOKUP($A2401,'13. Updated Demand'!A:Z,23,FALSE))</f>
        <v>0</v>
      </c>
      <c r="AG2401" s="16">
        <f>IF(ISERROR(VLOOKUP($A2401,'13. Updated Demand'!A:Z,24,FALSE)),0,VLOOKUP($A2401,'13. Updated Demand'!A:Z,24,FALSE))</f>
        <v>0</v>
      </c>
      <c r="AH2401" s="16">
        <f>IF(ISERROR(VLOOKUP($A2401,'13. Updated Demand'!A:Z,25,FALSE)),0,VLOOKUP($A2401,'13. Updated Demand'!A:Z,25,FALSE))</f>
        <v>0</v>
      </c>
      <c r="AI2401" s="16">
        <f>IF(ISERROR(VLOOKUP($A2401,'13. Updated Demand'!A:Z,26,FALSE)),0,VLOOKUP($A2401,'13. Updated Demand'!A:Z,26,FALSE))</f>
        <v>0</v>
      </c>
      <c r="AJ2401" s="16">
        <f t="shared" si="457"/>
        <v>0</v>
      </c>
      <c r="AK2401" s="19">
        <v>0.13500000000000001</v>
      </c>
      <c r="AL2401" s="16">
        <f t="shared" si="455"/>
        <v>4.4777962205489374E-4</v>
      </c>
      <c r="AM2401" s="26">
        <v>0.5449438202247191</v>
      </c>
      <c r="AN2401" s="19">
        <v>0.53400000000000003</v>
      </c>
      <c r="AO2401" s="19" t="s">
        <v>1758</v>
      </c>
      <c r="AP2401" s="19">
        <v>0</v>
      </c>
      <c r="AQ2401" s="19" t="s">
        <v>307</v>
      </c>
      <c r="AR2401" s="9" t="s">
        <v>319</v>
      </c>
      <c r="AS2401" s="12">
        <v>3.4039024194010059E-4</v>
      </c>
      <c r="AT2401" s="19">
        <v>38.981400000000001</v>
      </c>
      <c r="AU2401" s="19">
        <v>-122.9931</v>
      </c>
      <c r="AV2401" s="19" t="s">
        <v>2894</v>
      </c>
    </row>
    <row r="2402" spans="1:48" x14ac:dyDescent="0.25">
      <c r="A2402" s="9" t="s">
        <v>2895</v>
      </c>
      <c r="B2402" s="10">
        <v>10000000</v>
      </c>
      <c r="C2402" s="9">
        <v>1</v>
      </c>
      <c r="D2402" s="8" t="str">
        <f t="shared" si="446"/>
        <v>N</v>
      </c>
      <c r="E2402" s="8" t="str">
        <f t="shared" si="447"/>
        <v>N</v>
      </c>
      <c r="F2402" s="8" t="str">
        <f t="shared" si="448"/>
        <v>Y</v>
      </c>
      <c r="G2402" s="8" t="str">
        <f t="shared" si="449"/>
        <v>Y</v>
      </c>
      <c r="H2402" s="8" t="str">
        <f t="shared" si="450"/>
        <v>Upper</v>
      </c>
      <c r="I2402" s="8" t="str">
        <f t="shared" si="451"/>
        <v>West Fork and Below Lake</v>
      </c>
      <c r="J2402" s="8" t="str">
        <f t="shared" si="452"/>
        <v>Outside</v>
      </c>
      <c r="K2402" s="8" t="str">
        <f t="shared" si="453"/>
        <v>Riparian</v>
      </c>
      <c r="L2402" s="8">
        <f t="shared" si="454"/>
        <v>1000</v>
      </c>
      <c r="M2402" s="8" t="str">
        <f t="shared" si="456"/>
        <v>-</v>
      </c>
      <c r="N2402" s="10" t="s">
        <v>242</v>
      </c>
      <c r="O2402" s="10" t="s">
        <v>241</v>
      </c>
      <c r="P2402" s="10" t="s">
        <v>242</v>
      </c>
      <c r="Q2402" s="10" t="s">
        <v>242</v>
      </c>
      <c r="R2402" s="10" t="s">
        <v>242</v>
      </c>
      <c r="S2402" s="10" t="s">
        <v>241</v>
      </c>
      <c r="T2402" s="10" t="s">
        <v>242</v>
      </c>
      <c r="U2402" s="10" t="s">
        <v>242</v>
      </c>
      <c r="V2402" s="10" t="s">
        <v>242</v>
      </c>
      <c r="W2402" s="10" t="s">
        <v>242</v>
      </c>
      <c r="X2402" s="15">
        <f>IF(ISERROR(VLOOKUP($A2402,'13. Updated Demand'!A:Z,15,FALSE)),0,VLOOKUP($A2402,'13. Updated Demand'!A:Z,15,FALSE))</f>
        <v>0.5</v>
      </c>
      <c r="Y2402" s="16">
        <f>IF(ISERROR(VLOOKUP($A2402,'13. Updated Demand'!A:Z,16,FALSE)),0,VLOOKUP($A2402,'13. Updated Demand'!A:Z,16,FALSE))</f>
        <v>0.8</v>
      </c>
      <c r="Z2402" s="16">
        <f>IF(ISERROR(VLOOKUP($A2402,'13. Updated Demand'!A:Z,17,FALSE)),0,VLOOKUP($A2402,'13. Updated Demand'!A:Z,17,FALSE))</f>
        <v>0.5</v>
      </c>
      <c r="AA2402" s="16">
        <f>IF(ISERROR(VLOOKUP($A2402,'13. Updated Demand'!A:Z,18,FALSE)),0,VLOOKUP($A2402,'13. Updated Demand'!A:Z,18,FALSE))</f>
        <v>0.27</v>
      </c>
      <c r="AB2402" s="16">
        <f>IF(ISERROR(VLOOKUP($A2402,'13. Updated Demand'!A:Z,19,FALSE)),0,VLOOKUP($A2402,'13. Updated Demand'!A:Z,19,FALSE))</f>
        <v>7.0000000000000007E-2</v>
      </c>
      <c r="AC2402" s="16">
        <f>IF(ISERROR(VLOOKUP($A2402,'13. Updated Demand'!A:Z,20,FALSE)),0,VLOOKUP($A2402,'13. Updated Demand'!A:Z,20,FALSE))</f>
        <v>0</v>
      </c>
      <c r="AD2402" s="16">
        <f>IF(ISERROR(VLOOKUP($A2402,'13. Updated Demand'!A:Z,21,FALSE)),0,VLOOKUP($A2402,'13. Updated Demand'!A:Z,21,FALSE))</f>
        <v>0</v>
      </c>
      <c r="AE2402" s="16">
        <f>IF(ISERROR(VLOOKUP($A2402,'13. Updated Demand'!A:Z,22,FALSE)),0,VLOOKUP($A2402,'13. Updated Demand'!A:Z,22,FALSE))</f>
        <v>0</v>
      </c>
      <c r="AF2402" s="16">
        <f>IF(ISERROR(VLOOKUP($A2402,'13. Updated Demand'!A:Z,23,FALSE)),0,VLOOKUP($A2402,'13. Updated Demand'!A:Z,23,FALSE))</f>
        <v>0</v>
      </c>
      <c r="AG2402" s="16">
        <f>IF(ISERROR(VLOOKUP($A2402,'13. Updated Demand'!A:Z,24,FALSE)),0,VLOOKUP($A2402,'13. Updated Demand'!A:Z,24,FALSE))</f>
        <v>0</v>
      </c>
      <c r="AH2402" s="16">
        <f>IF(ISERROR(VLOOKUP($A2402,'13. Updated Demand'!A:Z,25,FALSE)),0,VLOOKUP($A2402,'13. Updated Demand'!A:Z,25,FALSE))</f>
        <v>7.0000000000000007E-2</v>
      </c>
      <c r="AI2402" s="16">
        <f>IF(ISERROR(VLOOKUP($A2402,'13. Updated Demand'!A:Z,26,FALSE)),0,VLOOKUP($A2402,'13. Updated Demand'!A:Z,26,FALSE))</f>
        <v>0.27</v>
      </c>
      <c r="AJ2402" s="16">
        <f t="shared" si="457"/>
        <v>2.48</v>
      </c>
      <c r="AK2402" s="19">
        <v>7.0000000000000007E-2</v>
      </c>
      <c r="AL2402" s="16">
        <f t="shared" si="455"/>
        <v>2.3218202625068565E-4</v>
      </c>
      <c r="AM2402" s="26">
        <v>1</v>
      </c>
      <c r="AN2402" s="19">
        <v>2.48</v>
      </c>
      <c r="AO2402" s="19" t="s">
        <v>1758</v>
      </c>
      <c r="AP2402" s="19">
        <v>0</v>
      </c>
      <c r="AQ2402" s="19" t="s">
        <v>307</v>
      </c>
      <c r="AR2402" s="9" t="s">
        <v>317</v>
      </c>
      <c r="AS2402" s="12">
        <v>0</v>
      </c>
      <c r="AT2402" s="19">
        <v>39.27807</v>
      </c>
      <c r="AU2402" s="19">
        <v>-123.17764</v>
      </c>
      <c r="AV2402" s="19" t="s">
        <v>2896</v>
      </c>
    </row>
    <row r="2403" spans="1:48" x14ac:dyDescent="0.25">
      <c r="A2403" s="9" t="s">
        <v>2897</v>
      </c>
      <c r="B2403" s="10">
        <v>10000000</v>
      </c>
      <c r="C2403" s="9">
        <v>18</v>
      </c>
      <c r="D2403" s="8" t="str">
        <f t="shared" si="446"/>
        <v>N</v>
      </c>
      <c r="E2403" s="8" t="str">
        <f t="shared" si="447"/>
        <v>N</v>
      </c>
      <c r="F2403" s="8" t="str">
        <f t="shared" si="448"/>
        <v>N</v>
      </c>
      <c r="G2403" s="8" t="str">
        <f t="shared" si="449"/>
        <v>N</v>
      </c>
      <c r="H2403" s="8" t="str">
        <f t="shared" si="450"/>
        <v>Lower</v>
      </c>
      <c r="I2403" s="8" t="str">
        <f t="shared" si="451"/>
        <v>Outside</v>
      </c>
      <c r="J2403" s="8" t="str">
        <f t="shared" si="452"/>
        <v>Outside</v>
      </c>
      <c r="K2403" s="8" t="str">
        <f t="shared" si="453"/>
        <v>Riparian</v>
      </c>
      <c r="L2403" s="8">
        <f t="shared" si="454"/>
        <v>1000</v>
      </c>
      <c r="M2403" s="8" t="str">
        <f t="shared" si="456"/>
        <v>-</v>
      </c>
      <c r="N2403" s="10" t="s">
        <v>241</v>
      </c>
      <c r="O2403" s="10" t="s">
        <v>242</v>
      </c>
      <c r="P2403" s="10" t="s">
        <v>242</v>
      </c>
      <c r="Q2403" s="10" t="s">
        <v>242</v>
      </c>
      <c r="R2403" s="10" t="s">
        <v>242</v>
      </c>
      <c r="S2403" s="10" t="s">
        <v>241</v>
      </c>
      <c r="T2403" s="10" t="s">
        <v>242</v>
      </c>
      <c r="U2403" s="10" t="s">
        <v>242</v>
      </c>
      <c r="V2403" s="10" t="s">
        <v>241</v>
      </c>
      <c r="W2403" s="10" t="s">
        <v>242</v>
      </c>
      <c r="X2403" s="15">
        <f>IF(ISERROR(VLOOKUP($A2403,'13. Updated Demand'!A:Z,15,FALSE)),0,VLOOKUP($A2403,'13. Updated Demand'!A:Z,15,FALSE))</f>
        <v>0</v>
      </c>
      <c r="Y2403" s="16">
        <f>IF(ISERROR(VLOOKUP($A2403,'13. Updated Demand'!A:Z,16,FALSE)),0,VLOOKUP($A2403,'13. Updated Demand'!A:Z,16,FALSE))</f>
        <v>0</v>
      </c>
      <c r="Z2403" s="16">
        <f>IF(ISERROR(VLOOKUP($A2403,'13. Updated Demand'!A:Z,17,FALSE)),0,VLOOKUP($A2403,'13. Updated Demand'!A:Z,17,FALSE))</f>
        <v>0</v>
      </c>
      <c r="AA2403" s="16">
        <f>IF(ISERROR(VLOOKUP($A2403,'13. Updated Demand'!A:Z,18,FALSE)),0,VLOOKUP($A2403,'13. Updated Demand'!A:Z,18,FALSE))</f>
        <v>0</v>
      </c>
      <c r="AB2403" s="16">
        <f>IF(ISERROR(VLOOKUP($A2403,'13. Updated Demand'!A:Z,19,FALSE)),0,VLOOKUP($A2403,'13. Updated Demand'!A:Z,19,FALSE))</f>
        <v>0</v>
      </c>
      <c r="AC2403" s="16">
        <f>IF(ISERROR(VLOOKUP($A2403,'13. Updated Demand'!A:Z,20,FALSE)),0,VLOOKUP($A2403,'13. Updated Demand'!A:Z,20,FALSE))</f>
        <v>0</v>
      </c>
      <c r="AD2403" s="16">
        <f>IF(ISERROR(VLOOKUP($A2403,'13. Updated Demand'!A:Z,21,FALSE)),0,VLOOKUP($A2403,'13. Updated Demand'!A:Z,21,FALSE))</f>
        <v>0</v>
      </c>
      <c r="AE2403" s="16">
        <f>IF(ISERROR(VLOOKUP($A2403,'13. Updated Demand'!A:Z,22,FALSE)),0,VLOOKUP($A2403,'13. Updated Demand'!A:Z,22,FALSE))</f>
        <v>0</v>
      </c>
      <c r="AF2403" s="16">
        <f>IF(ISERROR(VLOOKUP($A2403,'13. Updated Demand'!A:Z,23,FALSE)),0,VLOOKUP($A2403,'13. Updated Demand'!A:Z,23,FALSE))</f>
        <v>0</v>
      </c>
      <c r="AG2403" s="16">
        <f>IF(ISERROR(VLOOKUP($A2403,'13. Updated Demand'!A:Z,24,FALSE)),0,VLOOKUP($A2403,'13. Updated Demand'!A:Z,24,FALSE))</f>
        <v>0.26</v>
      </c>
      <c r="AH2403" s="16">
        <f>IF(ISERROR(VLOOKUP($A2403,'13. Updated Demand'!A:Z,25,FALSE)),0,VLOOKUP($A2403,'13. Updated Demand'!A:Z,25,FALSE))</f>
        <v>0</v>
      </c>
      <c r="AI2403" s="16">
        <f>IF(ISERROR(VLOOKUP($A2403,'13. Updated Demand'!A:Z,26,FALSE)),0,VLOOKUP($A2403,'13. Updated Demand'!A:Z,26,FALSE))</f>
        <v>0</v>
      </c>
      <c r="AJ2403" s="16">
        <f t="shared" si="457"/>
        <v>0.26</v>
      </c>
      <c r="AK2403" s="19">
        <v>0</v>
      </c>
      <c r="AL2403" s="16">
        <f t="shared" si="455"/>
        <v>0</v>
      </c>
      <c r="AM2403" s="26">
        <v>0.19356759976176297</v>
      </c>
      <c r="AN2403" s="19">
        <v>1.3431999999999999</v>
      </c>
      <c r="AO2403" s="19" t="s">
        <v>1758</v>
      </c>
      <c r="AP2403" s="19">
        <v>0</v>
      </c>
      <c r="AQ2403" s="19" t="s">
        <v>307</v>
      </c>
      <c r="AR2403" s="9" t="s">
        <v>352</v>
      </c>
      <c r="AS2403" s="12">
        <v>0</v>
      </c>
      <c r="AT2403" s="19">
        <v>38.502130000000001</v>
      </c>
      <c r="AU2403" s="19">
        <v>-122.8964</v>
      </c>
      <c r="AV2403" s="19" t="s">
        <v>2898</v>
      </c>
    </row>
    <row r="2404" spans="1:48" x14ac:dyDescent="0.25">
      <c r="A2404" s="9" t="s">
        <v>2899</v>
      </c>
      <c r="B2404" s="10">
        <v>10000000</v>
      </c>
      <c r="C2404" s="9">
        <v>6</v>
      </c>
      <c r="D2404" s="8" t="str">
        <f t="shared" si="446"/>
        <v>Y</v>
      </c>
      <c r="E2404" s="8" t="str">
        <f t="shared" si="447"/>
        <v>N</v>
      </c>
      <c r="F2404" s="8" t="str">
        <f t="shared" si="448"/>
        <v>Y</v>
      </c>
      <c r="G2404" s="8" t="str">
        <f t="shared" si="449"/>
        <v>Y</v>
      </c>
      <c r="H2404" s="8" t="str">
        <f t="shared" si="450"/>
        <v>Upper</v>
      </c>
      <c r="I2404" s="8" t="str">
        <f t="shared" si="451"/>
        <v>West Fork and Below Lake</v>
      </c>
      <c r="J2404" s="8" t="str">
        <f t="shared" si="452"/>
        <v>Mendocino (d/s of lake)</v>
      </c>
      <c r="K2404" s="8" t="str">
        <f t="shared" si="453"/>
        <v>Riparian</v>
      </c>
      <c r="L2404" s="8">
        <f t="shared" si="454"/>
        <v>1000</v>
      </c>
      <c r="M2404" s="8" t="str">
        <f t="shared" si="456"/>
        <v>-</v>
      </c>
      <c r="N2404" s="10" t="s">
        <v>242</v>
      </c>
      <c r="O2404" s="10" t="s">
        <v>241</v>
      </c>
      <c r="P2404" s="10" t="s">
        <v>242</v>
      </c>
      <c r="Q2404" s="10" t="s">
        <v>242</v>
      </c>
      <c r="R2404" s="10" t="s">
        <v>242</v>
      </c>
      <c r="S2404" s="10" t="s">
        <v>241</v>
      </c>
      <c r="T2404" s="10" t="s">
        <v>241</v>
      </c>
      <c r="U2404" s="10" t="s">
        <v>241</v>
      </c>
      <c r="V2404" s="10" t="s">
        <v>241</v>
      </c>
      <c r="W2404" s="10" t="s">
        <v>242</v>
      </c>
      <c r="X2404" s="15">
        <f>IF(ISERROR(VLOOKUP($A2404,'13. Updated Demand'!A:Z,15,FALSE)),0,VLOOKUP($A2404,'13. Updated Demand'!A:Z,15,FALSE))</f>
        <v>0</v>
      </c>
      <c r="Y2404" s="16">
        <f>IF(ISERROR(VLOOKUP($A2404,'13. Updated Demand'!A:Z,16,FALSE)),0,VLOOKUP($A2404,'13. Updated Demand'!A:Z,16,FALSE))</f>
        <v>0</v>
      </c>
      <c r="Z2404" s="16">
        <f>IF(ISERROR(VLOOKUP($A2404,'13. Updated Demand'!A:Z,17,FALSE)),0,VLOOKUP($A2404,'13. Updated Demand'!A:Z,17,FALSE))</f>
        <v>0</v>
      </c>
      <c r="AA2404" s="16">
        <f>IF(ISERROR(VLOOKUP($A2404,'13. Updated Demand'!A:Z,18,FALSE)),0,VLOOKUP($A2404,'13. Updated Demand'!A:Z,18,FALSE))</f>
        <v>0</v>
      </c>
      <c r="AB2404" s="16">
        <f>IF(ISERROR(VLOOKUP($A2404,'13. Updated Demand'!A:Z,19,FALSE)),0,VLOOKUP($A2404,'13. Updated Demand'!A:Z,19,FALSE))</f>
        <v>0</v>
      </c>
      <c r="AC2404" s="16">
        <f>IF(ISERROR(VLOOKUP($A2404,'13. Updated Demand'!A:Z,20,FALSE)),0,VLOOKUP($A2404,'13. Updated Demand'!A:Z,20,FALSE))</f>
        <v>0</v>
      </c>
      <c r="AD2404" s="16">
        <f>IF(ISERROR(VLOOKUP($A2404,'13. Updated Demand'!A:Z,21,FALSE)),0,VLOOKUP($A2404,'13. Updated Demand'!A:Z,21,FALSE))</f>
        <v>0</v>
      </c>
      <c r="AE2404" s="16">
        <f>IF(ISERROR(VLOOKUP($A2404,'13. Updated Demand'!A:Z,22,FALSE)),0,VLOOKUP($A2404,'13. Updated Demand'!A:Z,22,FALSE))</f>
        <v>0</v>
      </c>
      <c r="AF2404" s="16">
        <f>IF(ISERROR(VLOOKUP($A2404,'13. Updated Demand'!A:Z,23,FALSE)),0,VLOOKUP($A2404,'13. Updated Demand'!A:Z,23,FALSE))</f>
        <v>0</v>
      </c>
      <c r="AG2404" s="16">
        <f>IF(ISERROR(VLOOKUP($A2404,'13. Updated Demand'!A:Z,24,FALSE)),0,VLOOKUP($A2404,'13. Updated Demand'!A:Z,24,FALSE))</f>
        <v>0</v>
      </c>
      <c r="AH2404" s="16">
        <f>IF(ISERROR(VLOOKUP($A2404,'13. Updated Demand'!A:Z,25,FALSE)),0,VLOOKUP($A2404,'13. Updated Demand'!A:Z,25,FALSE))</f>
        <v>0</v>
      </c>
      <c r="AI2404" s="16">
        <f>IF(ISERROR(VLOOKUP($A2404,'13. Updated Demand'!A:Z,26,FALSE)),0,VLOOKUP($A2404,'13. Updated Demand'!A:Z,26,FALSE))</f>
        <v>0</v>
      </c>
      <c r="AJ2404" s="16">
        <f t="shared" si="457"/>
        <v>0</v>
      </c>
      <c r="AK2404" s="19">
        <v>0</v>
      </c>
      <c r="AL2404" s="16">
        <f t="shared" si="455"/>
        <v>0</v>
      </c>
      <c r="AM2404" s="26">
        <v>0</v>
      </c>
      <c r="AN2404" s="19">
        <v>0.44840000000000002</v>
      </c>
      <c r="AO2404" s="19" t="s">
        <v>1758</v>
      </c>
      <c r="AP2404" s="19">
        <v>0</v>
      </c>
      <c r="AQ2404" s="19" t="s">
        <v>307</v>
      </c>
      <c r="AR2404" s="9" t="s">
        <v>319</v>
      </c>
      <c r="AS2404" s="12">
        <v>0</v>
      </c>
      <c r="AT2404" s="19">
        <v>38.97531</v>
      </c>
      <c r="AU2404" s="19">
        <v>-123.20565000000001</v>
      </c>
      <c r="AV2404" s="19" t="s">
        <v>2896</v>
      </c>
    </row>
    <row r="2405" spans="1:48" x14ac:dyDescent="0.25">
      <c r="A2405" s="9" t="s">
        <v>2900</v>
      </c>
      <c r="B2405" s="10">
        <v>10000000</v>
      </c>
      <c r="C2405" s="9">
        <v>6</v>
      </c>
      <c r="D2405" s="8" t="str">
        <f t="shared" si="446"/>
        <v>Y</v>
      </c>
      <c r="E2405" s="8" t="str">
        <f t="shared" si="447"/>
        <v>N</v>
      </c>
      <c r="F2405" s="8" t="str">
        <f t="shared" si="448"/>
        <v>Y</v>
      </c>
      <c r="G2405" s="8" t="str">
        <f t="shared" si="449"/>
        <v>Y</v>
      </c>
      <c r="H2405" s="8" t="str">
        <f t="shared" si="450"/>
        <v>Upper</v>
      </c>
      <c r="I2405" s="8" t="str">
        <f t="shared" si="451"/>
        <v>West Fork and Below Lake</v>
      </c>
      <c r="J2405" s="8" t="str">
        <f t="shared" si="452"/>
        <v>Mendocino (d/s of lake)</v>
      </c>
      <c r="K2405" s="8" t="str">
        <f t="shared" si="453"/>
        <v>Riparian</v>
      </c>
      <c r="L2405" s="8">
        <f t="shared" si="454"/>
        <v>1000</v>
      </c>
      <c r="M2405" s="8" t="str">
        <f t="shared" si="456"/>
        <v>-</v>
      </c>
      <c r="N2405" s="10" t="s">
        <v>242</v>
      </c>
      <c r="O2405" s="10" t="s">
        <v>241</v>
      </c>
      <c r="P2405" s="10" t="s">
        <v>242</v>
      </c>
      <c r="Q2405" s="10" t="s">
        <v>242</v>
      </c>
      <c r="R2405" s="10" t="s">
        <v>242</v>
      </c>
      <c r="S2405" s="10" t="s">
        <v>241</v>
      </c>
      <c r="T2405" s="10" t="s">
        <v>241</v>
      </c>
      <c r="U2405" s="10" t="s">
        <v>241</v>
      </c>
      <c r="V2405" s="10" t="s">
        <v>241</v>
      </c>
      <c r="W2405" s="10" t="s">
        <v>242</v>
      </c>
      <c r="X2405" s="15">
        <f>IF(ISERROR(VLOOKUP($A2405,'13. Updated Demand'!A:Z,15,FALSE)),0,VLOOKUP($A2405,'13. Updated Demand'!A:Z,15,FALSE))</f>
        <v>0</v>
      </c>
      <c r="Y2405" s="16">
        <f>IF(ISERROR(VLOOKUP($A2405,'13. Updated Demand'!A:Z,16,FALSE)),0,VLOOKUP($A2405,'13. Updated Demand'!A:Z,16,FALSE))</f>
        <v>0</v>
      </c>
      <c r="Z2405" s="16">
        <f>IF(ISERROR(VLOOKUP($A2405,'13. Updated Demand'!A:Z,17,FALSE)),0,VLOOKUP($A2405,'13. Updated Demand'!A:Z,17,FALSE))</f>
        <v>0</v>
      </c>
      <c r="AA2405" s="16">
        <f>IF(ISERROR(VLOOKUP($A2405,'13. Updated Demand'!A:Z,18,FALSE)),0,VLOOKUP($A2405,'13. Updated Demand'!A:Z,18,FALSE))</f>
        <v>0</v>
      </c>
      <c r="AB2405" s="16">
        <f>IF(ISERROR(VLOOKUP($A2405,'13. Updated Demand'!A:Z,19,FALSE)),0,VLOOKUP($A2405,'13. Updated Demand'!A:Z,19,FALSE))</f>
        <v>0</v>
      </c>
      <c r="AC2405" s="16">
        <f>IF(ISERROR(VLOOKUP($A2405,'13. Updated Demand'!A:Z,20,FALSE)),0,VLOOKUP($A2405,'13. Updated Demand'!A:Z,20,FALSE))</f>
        <v>0</v>
      </c>
      <c r="AD2405" s="16">
        <f>IF(ISERROR(VLOOKUP($A2405,'13. Updated Demand'!A:Z,21,FALSE)),0,VLOOKUP($A2405,'13. Updated Demand'!A:Z,21,FALSE))</f>
        <v>0</v>
      </c>
      <c r="AE2405" s="16">
        <f>IF(ISERROR(VLOOKUP($A2405,'13. Updated Demand'!A:Z,22,FALSE)),0,VLOOKUP($A2405,'13. Updated Demand'!A:Z,22,FALSE))</f>
        <v>0</v>
      </c>
      <c r="AF2405" s="16">
        <f>IF(ISERROR(VLOOKUP($A2405,'13. Updated Demand'!A:Z,23,FALSE)),0,VLOOKUP($A2405,'13. Updated Demand'!A:Z,23,FALSE))</f>
        <v>0</v>
      </c>
      <c r="AG2405" s="16">
        <f>IF(ISERROR(VLOOKUP($A2405,'13. Updated Demand'!A:Z,24,FALSE)),0,VLOOKUP($A2405,'13. Updated Demand'!A:Z,24,FALSE))</f>
        <v>0</v>
      </c>
      <c r="AH2405" s="16">
        <f>IF(ISERROR(VLOOKUP($A2405,'13. Updated Demand'!A:Z,25,FALSE)),0,VLOOKUP($A2405,'13. Updated Demand'!A:Z,25,FALSE))</f>
        <v>0</v>
      </c>
      <c r="AI2405" s="16">
        <f>IF(ISERROR(VLOOKUP($A2405,'13. Updated Demand'!A:Z,26,FALSE)),0,VLOOKUP($A2405,'13. Updated Demand'!A:Z,26,FALSE))</f>
        <v>0</v>
      </c>
      <c r="AJ2405" s="16">
        <f t="shared" si="457"/>
        <v>0</v>
      </c>
      <c r="AK2405" s="19">
        <v>0</v>
      </c>
      <c r="AL2405" s="16">
        <f t="shared" si="455"/>
        <v>0</v>
      </c>
      <c r="AM2405" s="26">
        <v>0</v>
      </c>
      <c r="AN2405" s="19">
        <v>5.0000000000000001E-4</v>
      </c>
      <c r="AO2405" s="19" t="s">
        <v>1758</v>
      </c>
      <c r="AP2405" s="19">
        <v>0</v>
      </c>
      <c r="AQ2405" s="19" t="s">
        <v>307</v>
      </c>
      <c r="AR2405" s="9" t="s">
        <v>319</v>
      </c>
      <c r="AS2405" s="12">
        <v>0</v>
      </c>
      <c r="AT2405" s="19">
        <v>38.972729999999999</v>
      </c>
      <c r="AU2405" s="19">
        <v>-123.20762000000001</v>
      </c>
      <c r="AV2405" s="19" t="s">
        <v>2896</v>
      </c>
    </row>
    <row r="2406" spans="1:48" x14ac:dyDescent="0.25">
      <c r="A2406" s="9" t="s">
        <v>2901</v>
      </c>
      <c r="B2406" s="10">
        <v>10000000</v>
      </c>
      <c r="C2406" s="9">
        <v>6</v>
      </c>
      <c r="D2406" s="8" t="str">
        <f t="shared" si="446"/>
        <v>Y</v>
      </c>
      <c r="E2406" s="8" t="str">
        <f t="shared" si="447"/>
        <v>N</v>
      </c>
      <c r="F2406" s="8" t="str">
        <f t="shared" si="448"/>
        <v>Y</v>
      </c>
      <c r="G2406" s="8" t="str">
        <f t="shared" si="449"/>
        <v>Y</v>
      </c>
      <c r="H2406" s="8" t="str">
        <f t="shared" si="450"/>
        <v>Upper</v>
      </c>
      <c r="I2406" s="8" t="str">
        <f t="shared" si="451"/>
        <v>West Fork and Below Lake</v>
      </c>
      <c r="J2406" s="8" t="str">
        <f t="shared" si="452"/>
        <v>Mendocino (d/s of lake)</v>
      </c>
      <c r="K2406" s="8" t="str">
        <f t="shared" si="453"/>
        <v>Riparian</v>
      </c>
      <c r="L2406" s="8">
        <f t="shared" si="454"/>
        <v>1000</v>
      </c>
      <c r="M2406" s="8" t="str">
        <f t="shared" si="456"/>
        <v>-</v>
      </c>
      <c r="N2406" s="10" t="s">
        <v>242</v>
      </c>
      <c r="O2406" s="10" t="s">
        <v>241</v>
      </c>
      <c r="P2406" s="10" t="s">
        <v>242</v>
      </c>
      <c r="Q2406" s="10" t="s">
        <v>242</v>
      </c>
      <c r="R2406" s="10" t="s">
        <v>242</v>
      </c>
      <c r="S2406" s="10" t="s">
        <v>241</v>
      </c>
      <c r="T2406" s="10" t="s">
        <v>242</v>
      </c>
      <c r="U2406" s="10" t="s">
        <v>242</v>
      </c>
      <c r="V2406" s="10" t="s">
        <v>242</v>
      </c>
      <c r="W2406" s="10" t="s">
        <v>242</v>
      </c>
      <c r="X2406" s="15">
        <f>IF(ISERROR(VLOOKUP($A2406,'13. Updated Demand'!A:Z,15,FALSE)),0,VLOOKUP($A2406,'13. Updated Demand'!A:Z,15,FALSE))</f>
        <v>0</v>
      </c>
      <c r="Y2406" s="16">
        <f>IF(ISERROR(VLOOKUP($A2406,'13. Updated Demand'!A:Z,16,FALSE)),0,VLOOKUP($A2406,'13. Updated Demand'!A:Z,16,FALSE))</f>
        <v>0</v>
      </c>
      <c r="Z2406" s="16">
        <f>IF(ISERROR(VLOOKUP($A2406,'13. Updated Demand'!A:Z,17,FALSE)),0,VLOOKUP($A2406,'13. Updated Demand'!A:Z,17,FALSE))</f>
        <v>0</v>
      </c>
      <c r="AA2406" s="16">
        <f>IF(ISERROR(VLOOKUP($A2406,'13. Updated Demand'!A:Z,18,FALSE)),0,VLOOKUP($A2406,'13. Updated Demand'!A:Z,18,FALSE))</f>
        <v>0.21</v>
      </c>
      <c r="AB2406" s="16">
        <f>IF(ISERROR(VLOOKUP($A2406,'13. Updated Demand'!A:Z,19,FALSE)),0,VLOOKUP($A2406,'13. Updated Demand'!A:Z,19,FALSE))</f>
        <v>0.21</v>
      </c>
      <c r="AC2406" s="16">
        <f>IF(ISERROR(VLOOKUP($A2406,'13. Updated Demand'!A:Z,20,FALSE)),0,VLOOKUP($A2406,'13. Updated Demand'!A:Z,20,FALSE))</f>
        <v>0.21</v>
      </c>
      <c r="AD2406" s="16">
        <f>IF(ISERROR(VLOOKUP($A2406,'13. Updated Demand'!A:Z,21,FALSE)),0,VLOOKUP($A2406,'13. Updated Demand'!A:Z,21,FALSE))</f>
        <v>0.21</v>
      </c>
      <c r="AE2406" s="16">
        <f>IF(ISERROR(VLOOKUP($A2406,'13. Updated Demand'!A:Z,22,FALSE)),0,VLOOKUP($A2406,'13. Updated Demand'!A:Z,22,FALSE))</f>
        <v>0.21</v>
      </c>
      <c r="AF2406" s="16">
        <f>IF(ISERROR(VLOOKUP($A2406,'13. Updated Demand'!A:Z,23,FALSE)),0,VLOOKUP($A2406,'13. Updated Demand'!A:Z,23,FALSE))</f>
        <v>0.21</v>
      </c>
      <c r="AG2406" s="16">
        <f>IF(ISERROR(VLOOKUP($A2406,'13. Updated Demand'!A:Z,24,FALSE)),0,VLOOKUP($A2406,'13. Updated Demand'!A:Z,24,FALSE))</f>
        <v>0.21</v>
      </c>
      <c r="AH2406" s="16">
        <f>IF(ISERROR(VLOOKUP($A2406,'13. Updated Demand'!A:Z,25,FALSE)),0,VLOOKUP($A2406,'13. Updated Demand'!A:Z,25,FALSE))</f>
        <v>0</v>
      </c>
      <c r="AI2406" s="16">
        <f>IF(ISERROR(VLOOKUP($A2406,'13. Updated Demand'!A:Z,26,FALSE)),0,VLOOKUP($A2406,'13. Updated Demand'!A:Z,26,FALSE))</f>
        <v>0</v>
      </c>
      <c r="AJ2406" s="16">
        <f t="shared" si="457"/>
        <v>1.47</v>
      </c>
      <c r="AK2406" s="19">
        <v>1.05</v>
      </c>
      <c r="AL2406" s="16">
        <f t="shared" si="455"/>
        <v>3.4827303937602846E-3</v>
      </c>
      <c r="AM2406" s="26">
        <v>1.0219688542825363</v>
      </c>
      <c r="AN2406" s="19">
        <v>1.4383999999999999</v>
      </c>
      <c r="AO2406" s="19" t="s">
        <v>1758</v>
      </c>
      <c r="AP2406" s="19">
        <v>0</v>
      </c>
      <c r="AQ2406" s="19" t="s">
        <v>307</v>
      </c>
      <c r="AR2406" s="9" t="s">
        <v>319</v>
      </c>
      <c r="AS2406" s="12">
        <v>0</v>
      </c>
      <c r="AT2406" s="19">
        <v>38.971769999999999</v>
      </c>
      <c r="AU2406" s="19">
        <v>-123.21290999999999</v>
      </c>
      <c r="AV2406" s="19" t="s">
        <v>315</v>
      </c>
    </row>
    <row r="2407" spans="1:48" x14ac:dyDescent="0.25">
      <c r="A2407" s="9" t="s">
        <v>2902</v>
      </c>
      <c r="B2407" s="10">
        <v>10000000</v>
      </c>
      <c r="C2407" s="9">
        <v>18</v>
      </c>
      <c r="D2407" s="8" t="str">
        <f t="shared" si="446"/>
        <v>N</v>
      </c>
      <c r="E2407" s="8" t="str">
        <f t="shared" si="447"/>
        <v>N</v>
      </c>
      <c r="F2407" s="8" t="str">
        <f t="shared" si="448"/>
        <v>N</v>
      </c>
      <c r="G2407" s="8" t="str">
        <f t="shared" si="449"/>
        <v>N</v>
      </c>
      <c r="H2407" s="8" t="str">
        <f t="shared" si="450"/>
        <v>Lower</v>
      </c>
      <c r="I2407" s="8" t="str">
        <f t="shared" si="451"/>
        <v>Outside</v>
      </c>
      <c r="J2407" s="8" t="str">
        <f t="shared" si="452"/>
        <v>Outside</v>
      </c>
      <c r="K2407" s="8" t="str">
        <f t="shared" si="453"/>
        <v>Riparian</v>
      </c>
      <c r="L2407" s="8">
        <f t="shared" si="454"/>
        <v>1000</v>
      </c>
      <c r="M2407" s="8" t="str">
        <f t="shared" si="456"/>
        <v>-</v>
      </c>
      <c r="N2407" s="10" t="s">
        <v>242</v>
      </c>
      <c r="O2407" s="10" t="s">
        <v>242</v>
      </c>
      <c r="P2407" s="10" t="s">
        <v>242</v>
      </c>
      <c r="Q2407" s="10" t="s">
        <v>242</v>
      </c>
      <c r="R2407" s="10" t="s">
        <v>242</v>
      </c>
      <c r="S2407" s="10" t="s">
        <v>241</v>
      </c>
      <c r="T2407" s="10" t="s">
        <v>242</v>
      </c>
      <c r="U2407" s="10" t="s">
        <v>241</v>
      </c>
      <c r="V2407" s="10" t="s">
        <v>241</v>
      </c>
      <c r="W2407" s="10" t="s">
        <v>242</v>
      </c>
      <c r="X2407" s="15">
        <f>IF(ISERROR(VLOOKUP($A2407,'13. Updated Demand'!A:Z,15,FALSE)),0,VLOOKUP($A2407,'13. Updated Demand'!A:Z,15,FALSE))</f>
        <v>0</v>
      </c>
      <c r="Y2407" s="16">
        <f>IF(ISERROR(VLOOKUP($A2407,'13. Updated Demand'!A:Z,16,FALSE)),0,VLOOKUP($A2407,'13. Updated Demand'!A:Z,16,FALSE))</f>
        <v>0</v>
      </c>
      <c r="Z2407" s="16">
        <f>IF(ISERROR(VLOOKUP($A2407,'13. Updated Demand'!A:Z,17,FALSE)),0,VLOOKUP($A2407,'13. Updated Demand'!A:Z,17,FALSE))</f>
        <v>0</v>
      </c>
      <c r="AA2407" s="16">
        <f>IF(ISERROR(VLOOKUP($A2407,'13. Updated Demand'!A:Z,18,FALSE)),0,VLOOKUP($A2407,'13. Updated Demand'!A:Z,18,FALSE))</f>
        <v>0</v>
      </c>
      <c r="AB2407" s="16">
        <f>IF(ISERROR(VLOOKUP($A2407,'13. Updated Demand'!A:Z,19,FALSE)),0,VLOOKUP($A2407,'13. Updated Demand'!A:Z,19,FALSE))</f>
        <v>0</v>
      </c>
      <c r="AC2407" s="16">
        <f>IF(ISERROR(VLOOKUP($A2407,'13. Updated Demand'!A:Z,20,FALSE)),0,VLOOKUP($A2407,'13. Updated Demand'!A:Z,20,FALSE))</f>
        <v>0</v>
      </c>
      <c r="AD2407" s="16">
        <f>IF(ISERROR(VLOOKUP($A2407,'13. Updated Demand'!A:Z,21,FALSE)),0,VLOOKUP($A2407,'13. Updated Demand'!A:Z,21,FALSE))</f>
        <v>0</v>
      </c>
      <c r="AE2407" s="16">
        <f>IF(ISERROR(VLOOKUP($A2407,'13. Updated Demand'!A:Z,22,FALSE)),0,VLOOKUP($A2407,'13. Updated Demand'!A:Z,22,FALSE))</f>
        <v>0</v>
      </c>
      <c r="AF2407" s="16">
        <f>IF(ISERROR(VLOOKUP($A2407,'13. Updated Demand'!A:Z,23,FALSE)),0,VLOOKUP($A2407,'13. Updated Demand'!A:Z,23,FALSE))</f>
        <v>0</v>
      </c>
      <c r="AG2407" s="16">
        <f>IF(ISERROR(VLOOKUP($A2407,'13. Updated Demand'!A:Z,24,FALSE)),0,VLOOKUP($A2407,'13. Updated Demand'!A:Z,24,FALSE))</f>
        <v>0</v>
      </c>
      <c r="AH2407" s="16">
        <f>IF(ISERROR(VLOOKUP($A2407,'13. Updated Demand'!A:Z,25,FALSE)),0,VLOOKUP($A2407,'13. Updated Demand'!A:Z,25,FALSE))</f>
        <v>0</v>
      </c>
      <c r="AI2407" s="16">
        <f>IF(ISERROR(VLOOKUP($A2407,'13. Updated Demand'!A:Z,26,FALSE)),0,VLOOKUP($A2407,'13. Updated Demand'!A:Z,26,FALSE))</f>
        <v>0</v>
      </c>
      <c r="AJ2407" s="16">
        <f t="shared" si="457"/>
        <v>0</v>
      </c>
      <c r="AK2407" s="19">
        <v>0</v>
      </c>
      <c r="AL2407" s="16">
        <f t="shared" si="455"/>
        <v>0</v>
      </c>
      <c r="AM2407" s="26">
        <v>0</v>
      </c>
      <c r="AN2407" s="19">
        <v>2</v>
      </c>
      <c r="AO2407" s="19" t="s">
        <v>1758</v>
      </c>
      <c r="AP2407" s="19">
        <v>0</v>
      </c>
      <c r="AQ2407" s="19" t="s">
        <v>307</v>
      </c>
      <c r="AR2407" s="9" t="s">
        <v>352</v>
      </c>
      <c r="AS2407" s="12">
        <v>0</v>
      </c>
      <c r="AT2407" s="19">
        <v>38.436826050000001</v>
      </c>
      <c r="AU2407" s="19">
        <v>-122.89684088</v>
      </c>
      <c r="AV2407" s="19" t="s">
        <v>356</v>
      </c>
    </row>
    <row r="2408" spans="1:48" x14ac:dyDescent="0.25">
      <c r="A2408" s="9" t="s">
        <v>2903</v>
      </c>
      <c r="B2408" s="10">
        <v>10000000</v>
      </c>
      <c r="C2408" s="9">
        <v>20</v>
      </c>
      <c r="D2408" s="8" t="str">
        <f t="shared" si="446"/>
        <v>N</v>
      </c>
      <c r="E2408" s="8" t="str">
        <f t="shared" si="447"/>
        <v>N</v>
      </c>
      <c r="F2408" s="8" t="str">
        <f t="shared" si="448"/>
        <v>N</v>
      </c>
      <c r="G2408" s="8" t="str">
        <f t="shared" si="449"/>
        <v>N</v>
      </c>
      <c r="H2408" s="8" t="str">
        <f t="shared" si="450"/>
        <v>Lower</v>
      </c>
      <c r="I2408" s="8" t="str">
        <f t="shared" si="451"/>
        <v>Outside</v>
      </c>
      <c r="J2408" s="8" t="str">
        <f t="shared" si="452"/>
        <v>Outside</v>
      </c>
      <c r="K2408" s="8" t="str">
        <f t="shared" si="453"/>
        <v>Riparian</v>
      </c>
      <c r="L2408" s="8">
        <f t="shared" si="454"/>
        <v>1000</v>
      </c>
      <c r="M2408" s="8" t="str">
        <f t="shared" si="456"/>
        <v>-</v>
      </c>
      <c r="N2408" s="10" t="s">
        <v>242</v>
      </c>
      <c r="O2408" s="10" t="s">
        <v>242</v>
      </c>
      <c r="P2408" s="10" t="s">
        <v>242</v>
      </c>
      <c r="Q2408" s="10" t="s">
        <v>242</v>
      </c>
      <c r="R2408" s="10" t="s">
        <v>242</v>
      </c>
      <c r="S2408" s="10" t="s">
        <v>241</v>
      </c>
      <c r="T2408" s="10" t="s">
        <v>242</v>
      </c>
      <c r="U2408" s="10" t="s">
        <v>242</v>
      </c>
      <c r="V2408" s="10" t="s">
        <v>242</v>
      </c>
      <c r="W2408" s="10" t="s">
        <v>242</v>
      </c>
      <c r="X2408" s="15">
        <f>IF(ISERROR(VLOOKUP($A2408,'13. Updated Demand'!A:Z,15,FALSE)),0,VLOOKUP($A2408,'13. Updated Demand'!A:Z,15,FALSE))</f>
        <v>0</v>
      </c>
      <c r="Y2408" s="16">
        <f>IF(ISERROR(VLOOKUP($A2408,'13. Updated Demand'!A:Z,16,FALSE)),0,VLOOKUP($A2408,'13. Updated Demand'!A:Z,16,FALSE))</f>
        <v>0</v>
      </c>
      <c r="Z2408" s="16">
        <f>IF(ISERROR(VLOOKUP($A2408,'13. Updated Demand'!A:Z,17,FALSE)),0,VLOOKUP($A2408,'13. Updated Demand'!A:Z,17,FALSE))</f>
        <v>0</v>
      </c>
      <c r="AA2408" s="16">
        <f>IF(ISERROR(VLOOKUP($A2408,'13. Updated Demand'!A:Z,18,FALSE)),0,VLOOKUP($A2408,'13. Updated Demand'!A:Z,18,FALSE))</f>
        <v>1.534444E-3</v>
      </c>
      <c r="AB2408" s="16">
        <f>IF(ISERROR(VLOOKUP($A2408,'13. Updated Demand'!A:Z,19,FALSE)),0,VLOOKUP($A2408,'13. Updated Demand'!A:Z,19,FALSE))</f>
        <v>7.6722179999999997E-3</v>
      </c>
      <c r="AC2408" s="16">
        <f>IF(ISERROR(VLOOKUP($A2408,'13. Updated Demand'!A:Z,20,FALSE)),0,VLOOKUP($A2408,'13. Updated Demand'!A:Z,20,FALSE))</f>
        <v>1.5344437000000001E-2</v>
      </c>
      <c r="AD2408" s="16">
        <f>IF(ISERROR(VLOOKUP($A2408,'13. Updated Demand'!A:Z,21,FALSE)),0,VLOOKUP($A2408,'13. Updated Demand'!A:Z,21,FALSE))</f>
        <v>3.3757759999999998E-2</v>
      </c>
      <c r="AE2408" s="16">
        <f>IF(ISERROR(VLOOKUP($A2408,'13. Updated Demand'!A:Z,22,FALSE)),0,VLOOKUP($A2408,'13. Updated Demand'!A:Z,22,FALSE))</f>
        <v>3.3757759999999998E-2</v>
      </c>
      <c r="AF2408" s="16">
        <f>IF(ISERROR(VLOOKUP($A2408,'13. Updated Demand'!A:Z,23,FALSE)),0,VLOOKUP($A2408,'13. Updated Demand'!A:Z,23,FALSE))</f>
        <v>3.3757759999999998E-2</v>
      </c>
      <c r="AG2408" s="16">
        <f>IF(ISERROR(VLOOKUP($A2408,'13. Updated Demand'!A:Z,24,FALSE)),0,VLOOKUP($A2408,'13. Updated Demand'!A:Z,24,FALSE))</f>
        <v>3.3757759999999998E-2</v>
      </c>
      <c r="AH2408" s="16">
        <f>IF(ISERROR(VLOOKUP($A2408,'13. Updated Demand'!A:Z,25,FALSE)),0,VLOOKUP($A2408,'13. Updated Demand'!A:Z,25,FALSE))</f>
        <v>0</v>
      </c>
      <c r="AI2408" s="16">
        <f>IF(ISERROR(VLOOKUP($A2408,'13. Updated Demand'!A:Z,26,FALSE)),0,VLOOKUP($A2408,'13. Updated Demand'!A:Z,26,FALSE))</f>
        <v>0</v>
      </c>
      <c r="AJ2408" s="16">
        <f t="shared" si="457"/>
        <v>0.15958213899999998</v>
      </c>
      <c r="AK2408" s="19">
        <v>0.12428993619783284</v>
      </c>
      <c r="AL2408" s="16">
        <f t="shared" si="455"/>
        <v>4.1225556041401808E-4</v>
      </c>
      <c r="AM2408" s="26">
        <v>1.2766571224271224</v>
      </c>
      <c r="AN2408" s="19">
        <v>0.125</v>
      </c>
      <c r="AO2408" s="19" t="s">
        <v>1758</v>
      </c>
      <c r="AP2408" s="19">
        <v>0</v>
      </c>
      <c r="AQ2408" s="19" t="s">
        <v>307</v>
      </c>
      <c r="AR2408" s="9" t="s">
        <v>329</v>
      </c>
      <c r="AS2408" s="12">
        <v>3.4039024194010059E-4</v>
      </c>
      <c r="AT2408" s="19">
        <v>38.520677999999997</v>
      </c>
      <c r="AU2408" s="19">
        <v>-123.12858</v>
      </c>
      <c r="AV2408" s="19" t="s">
        <v>385</v>
      </c>
    </row>
    <row r="2409" spans="1:48" x14ac:dyDescent="0.25">
      <c r="A2409" s="9" t="s">
        <v>2904</v>
      </c>
      <c r="B2409" s="10">
        <v>10000000</v>
      </c>
      <c r="C2409" s="9">
        <v>3</v>
      </c>
      <c r="D2409" s="8" t="str">
        <f t="shared" si="446"/>
        <v>N</v>
      </c>
      <c r="E2409" s="8" t="str">
        <f t="shared" si="447"/>
        <v>N</v>
      </c>
      <c r="F2409" s="8" t="str">
        <f t="shared" si="448"/>
        <v>Y</v>
      </c>
      <c r="G2409" s="8" t="str">
        <f t="shared" si="449"/>
        <v>N</v>
      </c>
      <c r="H2409" s="8" t="str">
        <f t="shared" si="450"/>
        <v>Upper</v>
      </c>
      <c r="I2409" s="8" t="str">
        <f t="shared" si="451"/>
        <v>Outside</v>
      </c>
      <c r="J2409" s="8" t="str">
        <f t="shared" si="452"/>
        <v>Outside</v>
      </c>
      <c r="K2409" s="8" t="str">
        <f t="shared" si="453"/>
        <v>Riparian</v>
      </c>
      <c r="L2409" s="8">
        <f t="shared" si="454"/>
        <v>1000</v>
      </c>
      <c r="M2409" s="8" t="str">
        <f t="shared" si="456"/>
        <v>-</v>
      </c>
      <c r="N2409" s="10" t="s">
        <v>242</v>
      </c>
      <c r="O2409" s="10" t="s">
        <v>241</v>
      </c>
      <c r="P2409" s="10" t="s">
        <v>242</v>
      </c>
      <c r="Q2409" s="10" t="s">
        <v>242</v>
      </c>
      <c r="R2409" s="10" t="s">
        <v>242</v>
      </c>
      <c r="S2409" s="10" t="s">
        <v>241</v>
      </c>
      <c r="T2409" s="10" t="s">
        <v>241</v>
      </c>
      <c r="U2409" s="10" t="s">
        <v>241</v>
      </c>
      <c r="V2409" s="10" t="s">
        <v>241</v>
      </c>
      <c r="W2409" s="10" t="s">
        <v>242</v>
      </c>
      <c r="X2409" s="15">
        <f>IF(ISERROR(VLOOKUP($A2409,'13. Updated Demand'!A:Z,15,FALSE)),0,VLOOKUP($A2409,'13. Updated Demand'!A:Z,15,FALSE))</f>
        <v>0</v>
      </c>
      <c r="Y2409" s="16">
        <f>IF(ISERROR(VLOOKUP($A2409,'13. Updated Demand'!A:Z,16,FALSE)),0,VLOOKUP($A2409,'13. Updated Demand'!A:Z,16,FALSE))</f>
        <v>0</v>
      </c>
      <c r="Z2409" s="16">
        <f>IF(ISERROR(VLOOKUP($A2409,'13. Updated Demand'!A:Z,17,FALSE)),0,VLOOKUP($A2409,'13. Updated Demand'!A:Z,17,FALSE))</f>
        <v>0</v>
      </c>
      <c r="AA2409" s="16">
        <f>IF(ISERROR(VLOOKUP($A2409,'13. Updated Demand'!A:Z,18,FALSE)),0,VLOOKUP($A2409,'13. Updated Demand'!A:Z,18,FALSE))</f>
        <v>0</v>
      </c>
      <c r="AB2409" s="16">
        <f>IF(ISERROR(VLOOKUP($A2409,'13. Updated Demand'!A:Z,19,FALSE)),0,VLOOKUP($A2409,'13. Updated Demand'!A:Z,19,FALSE))</f>
        <v>0</v>
      </c>
      <c r="AC2409" s="16">
        <f>IF(ISERROR(VLOOKUP($A2409,'13. Updated Demand'!A:Z,20,FALSE)),0,VLOOKUP($A2409,'13. Updated Demand'!A:Z,20,FALSE))</f>
        <v>0</v>
      </c>
      <c r="AD2409" s="16">
        <f>IF(ISERROR(VLOOKUP($A2409,'13. Updated Demand'!A:Z,21,FALSE)),0,VLOOKUP($A2409,'13. Updated Demand'!A:Z,21,FALSE))</f>
        <v>0</v>
      </c>
      <c r="AE2409" s="16">
        <f>IF(ISERROR(VLOOKUP($A2409,'13. Updated Demand'!A:Z,22,FALSE)),0,VLOOKUP($A2409,'13. Updated Demand'!A:Z,22,FALSE))</f>
        <v>0</v>
      </c>
      <c r="AF2409" s="16">
        <f>IF(ISERROR(VLOOKUP($A2409,'13. Updated Demand'!A:Z,23,FALSE)),0,VLOOKUP($A2409,'13. Updated Demand'!A:Z,23,FALSE))</f>
        <v>0</v>
      </c>
      <c r="AG2409" s="16">
        <f>IF(ISERROR(VLOOKUP($A2409,'13. Updated Demand'!A:Z,24,FALSE)),0,VLOOKUP($A2409,'13. Updated Demand'!A:Z,24,FALSE))</f>
        <v>0</v>
      </c>
      <c r="AH2409" s="16">
        <f>IF(ISERROR(VLOOKUP($A2409,'13. Updated Demand'!A:Z,25,FALSE)),0,VLOOKUP($A2409,'13. Updated Demand'!A:Z,25,FALSE))</f>
        <v>0</v>
      </c>
      <c r="AI2409" s="16">
        <f>IF(ISERROR(VLOOKUP($A2409,'13. Updated Demand'!A:Z,26,FALSE)),0,VLOOKUP($A2409,'13. Updated Demand'!A:Z,26,FALSE))</f>
        <v>0</v>
      </c>
      <c r="AJ2409" s="16">
        <f t="shared" si="457"/>
        <v>0</v>
      </c>
      <c r="AK2409" s="19">
        <v>0</v>
      </c>
      <c r="AL2409" s="16">
        <f t="shared" si="455"/>
        <v>0</v>
      </c>
      <c r="AM2409" s="26">
        <v>0</v>
      </c>
      <c r="AN2409" s="19">
        <v>0.1061</v>
      </c>
      <c r="AO2409" s="19" t="s">
        <v>1758</v>
      </c>
      <c r="AP2409" s="19">
        <v>0</v>
      </c>
      <c r="AQ2409" s="19" t="s">
        <v>307</v>
      </c>
      <c r="AR2409" s="9" t="s">
        <v>326</v>
      </c>
      <c r="AS2409" s="12">
        <v>3.4039024194010059E-4</v>
      </c>
      <c r="AT2409" s="19">
        <v>39.250737000000001</v>
      </c>
      <c r="AU2409" s="19">
        <v>-123.14614400000001</v>
      </c>
      <c r="AV2409" s="19" t="s">
        <v>315</v>
      </c>
    </row>
    <row r="2410" spans="1:48" x14ac:dyDescent="0.25">
      <c r="A2410" s="27" t="s">
        <v>2905</v>
      </c>
      <c r="B2410" s="10">
        <v>10000000</v>
      </c>
      <c r="C2410" s="9">
        <v>2</v>
      </c>
      <c r="D2410" s="8" t="str">
        <f t="shared" si="446"/>
        <v>N</v>
      </c>
      <c r="E2410" s="8" t="str">
        <f t="shared" si="447"/>
        <v>N</v>
      </c>
      <c r="F2410" s="8" t="str">
        <f t="shared" si="448"/>
        <v>Y</v>
      </c>
      <c r="G2410" s="8" t="str">
        <f t="shared" si="449"/>
        <v>N</v>
      </c>
      <c r="H2410" s="8" t="str">
        <f t="shared" si="450"/>
        <v>Upper</v>
      </c>
      <c r="I2410" s="8" t="str">
        <f t="shared" si="451"/>
        <v>Outside</v>
      </c>
      <c r="J2410" s="8" t="str">
        <f t="shared" si="452"/>
        <v>Outside</v>
      </c>
      <c r="K2410" s="8" t="str">
        <f t="shared" si="453"/>
        <v>Riparian</v>
      </c>
      <c r="L2410" s="8">
        <f t="shared" si="454"/>
        <v>1000</v>
      </c>
      <c r="M2410" s="8" t="str">
        <f t="shared" si="456"/>
        <v>-</v>
      </c>
      <c r="N2410" s="10" t="s">
        <v>242</v>
      </c>
      <c r="O2410" s="10" t="s">
        <v>241</v>
      </c>
      <c r="P2410" s="10" t="s">
        <v>242</v>
      </c>
      <c r="Q2410" s="10" t="s">
        <v>242</v>
      </c>
      <c r="R2410" s="10" t="s">
        <v>242</v>
      </c>
      <c r="S2410" s="10" t="s">
        <v>241</v>
      </c>
      <c r="T2410" s="10" t="s">
        <v>242</v>
      </c>
      <c r="U2410" s="10" t="s">
        <v>242</v>
      </c>
      <c r="V2410" s="10" t="s">
        <v>242</v>
      </c>
      <c r="W2410" s="10" t="s">
        <v>242</v>
      </c>
      <c r="X2410" s="15"/>
      <c r="Y2410" s="16"/>
      <c r="Z2410" s="16"/>
      <c r="AA2410" s="16"/>
      <c r="AB2410" s="16"/>
      <c r="AC2410" s="16"/>
      <c r="AD2410" s="16"/>
      <c r="AE2410" s="16"/>
      <c r="AF2410" s="16"/>
      <c r="AG2410" s="16"/>
      <c r="AH2410" s="16"/>
      <c r="AI2410" s="16"/>
      <c r="AJ2410" s="16"/>
      <c r="AK2410" s="19"/>
      <c r="AL2410" s="16"/>
      <c r="AM2410" s="26">
        <v>0.17747929320817227</v>
      </c>
      <c r="AN2410" s="19">
        <v>36220</v>
      </c>
      <c r="AO2410" s="19" t="s">
        <v>1758</v>
      </c>
      <c r="AP2410" s="19">
        <v>0</v>
      </c>
      <c r="AQ2410" s="19" t="s">
        <v>307</v>
      </c>
      <c r="AR2410" s="9" t="s">
        <v>348</v>
      </c>
      <c r="AS2410" s="12">
        <v>0</v>
      </c>
      <c r="AT2410" s="19">
        <v>39.361086380000003</v>
      </c>
      <c r="AU2410" s="19">
        <v>-123.12796439</v>
      </c>
      <c r="AV2410" s="19" t="s">
        <v>433</v>
      </c>
    </row>
    <row r="2411" spans="1:48" x14ac:dyDescent="0.25">
      <c r="A2411" s="9" t="s">
        <v>2906</v>
      </c>
      <c r="B2411" s="10">
        <v>10000000</v>
      </c>
      <c r="C2411" s="9">
        <v>4</v>
      </c>
      <c r="D2411" s="8" t="str">
        <f t="shared" si="446"/>
        <v>Y</v>
      </c>
      <c r="E2411" s="8" t="str">
        <f t="shared" si="447"/>
        <v>N</v>
      </c>
      <c r="F2411" s="8" t="str">
        <f t="shared" si="448"/>
        <v>Y</v>
      </c>
      <c r="G2411" s="8" t="str">
        <f t="shared" si="449"/>
        <v>Y</v>
      </c>
      <c r="H2411" s="8" t="str">
        <f t="shared" si="450"/>
        <v>Upper</v>
      </c>
      <c r="I2411" s="8" t="str">
        <f t="shared" si="451"/>
        <v>West Fork and Below Lake</v>
      </c>
      <c r="J2411" s="8" t="str">
        <f t="shared" si="452"/>
        <v>Mendocino (d/s of lake)</v>
      </c>
      <c r="K2411" s="8" t="str">
        <f t="shared" si="453"/>
        <v>Riparian</v>
      </c>
      <c r="L2411" s="8">
        <f t="shared" si="454"/>
        <v>1000</v>
      </c>
      <c r="M2411" s="8" t="str">
        <f t="shared" si="456"/>
        <v>-</v>
      </c>
      <c r="N2411" s="10" t="s">
        <v>241</v>
      </c>
      <c r="O2411" s="10" t="s">
        <v>241</v>
      </c>
      <c r="P2411" s="10" t="s">
        <v>242</v>
      </c>
      <c r="Q2411" s="10" t="s">
        <v>242</v>
      </c>
      <c r="R2411" s="10" t="s">
        <v>242</v>
      </c>
      <c r="S2411" s="10" t="s">
        <v>241</v>
      </c>
      <c r="T2411" s="10" t="s">
        <v>241</v>
      </c>
      <c r="U2411" s="10" t="s">
        <v>241</v>
      </c>
      <c r="V2411" s="10" t="s">
        <v>241</v>
      </c>
      <c r="W2411" s="10" t="s">
        <v>242</v>
      </c>
      <c r="X2411" s="15">
        <f>IF(ISERROR(VLOOKUP($A2411,'13. Updated Demand'!A:Z,15,FALSE)),0,VLOOKUP($A2411,'13. Updated Demand'!A:Z,15,FALSE))</f>
        <v>0</v>
      </c>
      <c r="Y2411" s="16">
        <f>IF(ISERROR(VLOOKUP($A2411,'13. Updated Demand'!A:Z,16,FALSE)),0,VLOOKUP($A2411,'13. Updated Demand'!A:Z,16,FALSE))</f>
        <v>0</v>
      </c>
      <c r="Z2411" s="16">
        <f>IF(ISERROR(VLOOKUP($A2411,'13. Updated Demand'!A:Z,17,FALSE)),0,VLOOKUP($A2411,'13. Updated Demand'!A:Z,17,FALSE))</f>
        <v>0</v>
      </c>
      <c r="AA2411" s="16">
        <f>IF(ISERROR(VLOOKUP($A2411,'13. Updated Demand'!A:Z,18,FALSE)),0,VLOOKUP($A2411,'13. Updated Demand'!A:Z,18,FALSE))</f>
        <v>0</v>
      </c>
      <c r="AB2411" s="16">
        <f>IF(ISERROR(VLOOKUP($A2411,'13. Updated Demand'!A:Z,19,FALSE)),0,VLOOKUP($A2411,'13. Updated Demand'!A:Z,19,FALSE))</f>
        <v>0</v>
      </c>
      <c r="AC2411" s="16">
        <f>IF(ISERROR(VLOOKUP($A2411,'13. Updated Demand'!A:Z,20,FALSE)),0,VLOOKUP($A2411,'13. Updated Demand'!A:Z,20,FALSE))</f>
        <v>0</v>
      </c>
      <c r="AD2411" s="16">
        <f>IF(ISERROR(VLOOKUP($A2411,'13. Updated Demand'!A:Z,21,FALSE)),0,VLOOKUP($A2411,'13. Updated Demand'!A:Z,21,FALSE))</f>
        <v>0</v>
      </c>
      <c r="AE2411" s="16">
        <f>IF(ISERROR(VLOOKUP($A2411,'13. Updated Demand'!A:Z,22,FALSE)),0,VLOOKUP($A2411,'13. Updated Demand'!A:Z,22,FALSE))</f>
        <v>0</v>
      </c>
      <c r="AF2411" s="16">
        <f>IF(ISERROR(VLOOKUP($A2411,'13. Updated Demand'!A:Z,23,FALSE)),0,VLOOKUP($A2411,'13. Updated Demand'!A:Z,23,FALSE))</f>
        <v>0</v>
      </c>
      <c r="AG2411" s="16">
        <f>IF(ISERROR(VLOOKUP($A2411,'13. Updated Demand'!A:Z,24,FALSE)),0,VLOOKUP($A2411,'13. Updated Demand'!A:Z,24,FALSE))</f>
        <v>0</v>
      </c>
      <c r="AH2411" s="16">
        <f>IF(ISERROR(VLOOKUP($A2411,'13. Updated Demand'!A:Z,25,FALSE)),0,VLOOKUP($A2411,'13. Updated Demand'!A:Z,25,FALSE))</f>
        <v>0</v>
      </c>
      <c r="AI2411" s="16">
        <f>IF(ISERROR(VLOOKUP($A2411,'13. Updated Demand'!A:Z,26,FALSE)),0,VLOOKUP($A2411,'13. Updated Demand'!A:Z,26,FALSE))</f>
        <v>0</v>
      </c>
      <c r="AJ2411" s="16">
        <f t="shared" si="457"/>
        <v>0</v>
      </c>
      <c r="AK2411" s="19">
        <v>0</v>
      </c>
      <c r="AL2411" s="16">
        <f>AK2411/152/1.983471</f>
        <v>0</v>
      </c>
      <c r="AM2411" s="26">
        <v>0</v>
      </c>
      <c r="AN2411" s="19">
        <v>57.22</v>
      </c>
      <c r="AO2411" s="19" t="s">
        <v>1758</v>
      </c>
      <c r="AP2411" s="19">
        <v>0</v>
      </c>
      <c r="AQ2411" s="19" t="s">
        <v>307</v>
      </c>
      <c r="AR2411" s="9" t="s">
        <v>331</v>
      </c>
      <c r="AS2411" s="12">
        <v>0</v>
      </c>
      <c r="AT2411" s="19">
        <v>39.121869709999999</v>
      </c>
      <c r="AU2411" s="19">
        <v>-123.19246382</v>
      </c>
      <c r="AV2411" s="19" t="s">
        <v>2872</v>
      </c>
    </row>
    <row r="2412" spans="1:48" x14ac:dyDescent="0.25">
      <c r="A2412" s="9" t="s">
        <v>2907</v>
      </c>
      <c r="B2412" s="10">
        <v>10000000</v>
      </c>
      <c r="C2412" s="9">
        <v>23</v>
      </c>
      <c r="D2412" s="8" t="str">
        <f t="shared" si="446"/>
        <v>N</v>
      </c>
      <c r="E2412" s="8" t="str">
        <f t="shared" si="447"/>
        <v>N</v>
      </c>
      <c r="F2412" s="8" t="str">
        <f t="shared" si="448"/>
        <v>N</v>
      </c>
      <c r="G2412" s="8" t="str">
        <f t="shared" si="449"/>
        <v>N</v>
      </c>
      <c r="H2412" s="8" t="str">
        <f t="shared" si="450"/>
        <v>Lower</v>
      </c>
      <c r="I2412" s="8" t="str">
        <f t="shared" si="451"/>
        <v>Outside</v>
      </c>
      <c r="J2412" s="8" t="str">
        <f t="shared" si="452"/>
        <v>Outside</v>
      </c>
      <c r="K2412" s="8" t="str">
        <f t="shared" si="453"/>
        <v>Riparian</v>
      </c>
      <c r="L2412" s="8">
        <f t="shared" si="454"/>
        <v>1000</v>
      </c>
      <c r="M2412" s="8" t="str">
        <f t="shared" si="456"/>
        <v>-</v>
      </c>
      <c r="N2412" s="10" t="s">
        <v>242</v>
      </c>
      <c r="O2412" s="10" t="s">
        <v>242</v>
      </c>
      <c r="P2412" s="10" t="s">
        <v>242</v>
      </c>
      <c r="Q2412" s="10" t="s">
        <v>242</v>
      </c>
      <c r="R2412" s="10" t="s">
        <v>242</v>
      </c>
      <c r="S2412" s="10" t="s">
        <v>241</v>
      </c>
      <c r="T2412" s="10" t="s">
        <v>242</v>
      </c>
      <c r="U2412" s="10" t="s">
        <v>242</v>
      </c>
      <c r="V2412" s="10" t="s">
        <v>242</v>
      </c>
      <c r="W2412" s="10" t="s">
        <v>242</v>
      </c>
      <c r="X2412" s="15">
        <f>IF(ISERROR(VLOOKUP($A2412,'13. Updated Demand'!A:Z,15,FALSE)),0,VLOOKUP($A2412,'13. Updated Demand'!A:Z,15,FALSE))</f>
        <v>0</v>
      </c>
      <c r="Y2412" s="16">
        <f>IF(ISERROR(VLOOKUP($A2412,'13. Updated Demand'!A:Z,16,FALSE)),0,VLOOKUP($A2412,'13. Updated Demand'!A:Z,16,FALSE))</f>
        <v>0</v>
      </c>
      <c r="Z2412" s="16">
        <f>IF(ISERROR(VLOOKUP($A2412,'13. Updated Demand'!A:Z,17,FALSE)),0,VLOOKUP($A2412,'13. Updated Demand'!A:Z,17,FALSE))</f>
        <v>0</v>
      </c>
      <c r="AA2412" s="16">
        <f>IF(ISERROR(VLOOKUP($A2412,'13. Updated Demand'!A:Z,18,FALSE)),0,VLOOKUP($A2412,'13. Updated Demand'!A:Z,18,FALSE))</f>
        <v>0</v>
      </c>
      <c r="AB2412" s="16">
        <f>IF(ISERROR(VLOOKUP($A2412,'13. Updated Demand'!A:Z,19,FALSE)),0,VLOOKUP($A2412,'13. Updated Demand'!A:Z,19,FALSE))</f>
        <v>0</v>
      </c>
      <c r="AC2412" s="16">
        <f>IF(ISERROR(VLOOKUP($A2412,'13. Updated Demand'!A:Z,20,FALSE)),0,VLOOKUP($A2412,'13. Updated Demand'!A:Z,20,FALSE))</f>
        <v>1.4999999999999999E-2</v>
      </c>
      <c r="AD2412" s="16">
        <f>IF(ISERROR(VLOOKUP($A2412,'13. Updated Demand'!A:Z,21,FALSE)),0,VLOOKUP($A2412,'13. Updated Demand'!A:Z,21,FALSE))</f>
        <v>0.02</v>
      </c>
      <c r="AE2412" s="16">
        <f>IF(ISERROR(VLOOKUP($A2412,'13. Updated Demand'!A:Z,22,FALSE)),0,VLOOKUP($A2412,'13. Updated Demand'!A:Z,22,FALSE))</f>
        <v>2.5000000000000001E-2</v>
      </c>
      <c r="AF2412" s="16">
        <f>IF(ISERROR(VLOOKUP($A2412,'13. Updated Demand'!A:Z,23,FALSE)),0,VLOOKUP($A2412,'13. Updated Demand'!A:Z,23,FALSE))</f>
        <v>2.5000000000000001E-2</v>
      </c>
      <c r="AG2412" s="16">
        <f>IF(ISERROR(VLOOKUP($A2412,'13. Updated Demand'!A:Z,24,FALSE)),0,VLOOKUP($A2412,'13. Updated Demand'!A:Z,24,FALSE))</f>
        <v>0.01</v>
      </c>
      <c r="AH2412" s="16">
        <f>IF(ISERROR(VLOOKUP($A2412,'13. Updated Demand'!A:Z,25,FALSE)),0,VLOOKUP($A2412,'13. Updated Demand'!A:Z,25,FALSE))</f>
        <v>0</v>
      </c>
      <c r="AI2412" s="16">
        <f>IF(ISERROR(VLOOKUP($A2412,'13. Updated Demand'!A:Z,26,FALSE)),0,VLOOKUP($A2412,'13. Updated Demand'!A:Z,26,FALSE))</f>
        <v>0</v>
      </c>
      <c r="AJ2412" s="16">
        <f t="shared" si="457"/>
        <v>9.5000000000000001E-2</v>
      </c>
      <c r="AK2412" s="19">
        <v>8.5000000000000006E-2</v>
      </c>
      <c r="AL2412" s="16">
        <f>AK2412/152/1.983471</f>
        <v>2.819353175901183E-4</v>
      </c>
      <c r="AM2412" s="26">
        <v>1.0674157303370788</v>
      </c>
      <c r="AN2412" s="19">
        <v>8.8999999999999996E-2</v>
      </c>
      <c r="AO2412" s="19" t="s">
        <v>1758</v>
      </c>
      <c r="AP2412" s="19">
        <v>0</v>
      </c>
      <c r="AQ2412" s="19" t="s">
        <v>307</v>
      </c>
      <c r="AR2412" s="9" t="s">
        <v>585</v>
      </c>
      <c r="AS2412" s="12">
        <v>3.4039024194010059E-4</v>
      </c>
      <c r="AT2412" s="19">
        <v>38.353453000000002</v>
      </c>
      <c r="AU2412" s="19">
        <v>-122.825182</v>
      </c>
      <c r="AV2412" s="19" t="s">
        <v>2898</v>
      </c>
    </row>
    <row r="2413" spans="1:48" x14ac:dyDescent="0.25">
      <c r="A2413" s="9" t="s">
        <v>2908</v>
      </c>
      <c r="B2413" s="10">
        <v>10000000</v>
      </c>
      <c r="C2413" s="9">
        <v>1</v>
      </c>
      <c r="D2413" s="8" t="str">
        <f t="shared" si="446"/>
        <v>N</v>
      </c>
      <c r="E2413" s="8" t="str">
        <f t="shared" si="447"/>
        <v>N</v>
      </c>
      <c r="F2413" s="8" t="str">
        <f t="shared" si="448"/>
        <v>Y</v>
      </c>
      <c r="G2413" s="8" t="str">
        <f t="shared" si="449"/>
        <v>Y</v>
      </c>
      <c r="H2413" s="8" t="str">
        <f t="shared" si="450"/>
        <v>Upper</v>
      </c>
      <c r="I2413" s="8" t="str">
        <f t="shared" si="451"/>
        <v>West Fork and Below Lake</v>
      </c>
      <c r="J2413" s="8" t="str">
        <f t="shared" si="452"/>
        <v>Outside</v>
      </c>
      <c r="K2413" s="8" t="str">
        <f t="shared" si="453"/>
        <v>Riparian</v>
      </c>
      <c r="L2413" s="8">
        <f t="shared" si="454"/>
        <v>1000</v>
      </c>
      <c r="M2413" s="8" t="str">
        <f t="shared" si="456"/>
        <v>-</v>
      </c>
      <c r="N2413" s="10" t="s">
        <v>242</v>
      </c>
      <c r="O2413" s="10" t="s">
        <v>241</v>
      </c>
      <c r="P2413" s="10" t="s">
        <v>242</v>
      </c>
      <c r="Q2413" s="10" t="s">
        <v>242</v>
      </c>
      <c r="R2413" s="10" t="s">
        <v>242</v>
      </c>
      <c r="S2413" s="10" t="s">
        <v>241</v>
      </c>
      <c r="T2413" s="10" t="s">
        <v>241</v>
      </c>
      <c r="U2413" s="10" t="s">
        <v>241</v>
      </c>
      <c r="V2413" s="10" t="s">
        <v>241</v>
      </c>
      <c r="W2413" s="10" t="s">
        <v>242</v>
      </c>
      <c r="X2413" s="15">
        <f>IF(ISERROR(VLOOKUP($A2413,'13. Updated Demand'!A:Z,15,FALSE)),0,VLOOKUP($A2413,'13. Updated Demand'!A:Z,15,FALSE))</f>
        <v>0</v>
      </c>
      <c r="Y2413" s="16">
        <f>IF(ISERROR(VLOOKUP($A2413,'13. Updated Demand'!A:Z,16,FALSE)),0,VLOOKUP($A2413,'13. Updated Demand'!A:Z,16,FALSE))</f>
        <v>0</v>
      </c>
      <c r="Z2413" s="16">
        <f>IF(ISERROR(VLOOKUP($A2413,'13. Updated Demand'!A:Z,17,FALSE)),0,VLOOKUP($A2413,'13. Updated Demand'!A:Z,17,FALSE))</f>
        <v>0</v>
      </c>
      <c r="AA2413" s="16">
        <f>IF(ISERROR(VLOOKUP($A2413,'13. Updated Demand'!A:Z,18,FALSE)),0,VLOOKUP($A2413,'13. Updated Demand'!A:Z,18,FALSE))</f>
        <v>0</v>
      </c>
      <c r="AB2413" s="16">
        <f>IF(ISERROR(VLOOKUP($A2413,'13. Updated Demand'!A:Z,19,FALSE)),0,VLOOKUP($A2413,'13. Updated Demand'!A:Z,19,FALSE))</f>
        <v>0</v>
      </c>
      <c r="AC2413" s="16">
        <f>IF(ISERROR(VLOOKUP($A2413,'13. Updated Demand'!A:Z,20,FALSE)),0,VLOOKUP($A2413,'13. Updated Demand'!A:Z,20,FALSE))</f>
        <v>0</v>
      </c>
      <c r="AD2413" s="16">
        <f>IF(ISERROR(VLOOKUP($A2413,'13. Updated Demand'!A:Z,21,FALSE)),0,VLOOKUP($A2413,'13. Updated Demand'!A:Z,21,FALSE))</f>
        <v>0</v>
      </c>
      <c r="AE2413" s="16">
        <f>IF(ISERROR(VLOOKUP($A2413,'13. Updated Demand'!A:Z,22,FALSE)),0,VLOOKUP($A2413,'13. Updated Demand'!A:Z,22,FALSE))</f>
        <v>0</v>
      </c>
      <c r="AF2413" s="16">
        <f>IF(ISERROR(VLOOKUP($A2413,'13. Updated Demand'!A:Z,23,FALSE)),0,VLOOKUP($A2413,'13. Updated Demand'!A:Z,23,FALSE))</f>
        <v>0</v>
      </c>
      <c r="AG2413" s="16">
        <f>IF(ISERROR(VLOOKUP($A2413,'13. Updated Demand'!A:Z,24,FALSE)),0,VLOOKUP($A2413,'13. Updated Demand'!A:Z,24,FALSE))</f>
        <v>0</v>
      </c>
      <c r="AH2413" s="16">
        <f>IF(ISERROR(VLOOKUP($A2413,'13. Updated Demand'!A:Z,25,FALSE)),0,VLOOKUP($A2413,'13. Updated Demand'!A:Z,25,FALSE))</f>
        <v>0</v>
      </c>
      <c r="AI2413" s="16">
        <f>IF(ISERROR(VLOOKUP($A2413,'13. Updated Demand'!A:Z,26,FALSE)),0,VLOOKUP($A2413,'13. Updated Demand'!A:Z,26,FALSE))</f>
        <v>0</v>
      </c>
      <c r="AJ2413" s="16">
        <f t="shared" si="457"/>
        <v>0</v>
      </c>
      <c r="AK2413" s="19">
        <v>0</v>
      </c>
      <c r="AL2413" s="16">
        <f>AK2413/152/1.983471</f>
        <v>0</v>
      </c>
      <c r="AM2413" s="26">
        <v>0</v>
      </c>
      <c r="AN2413" s="19">
        <v>0.1105</v>
      </c>
      <c r="AO2413" s="19" t="s">
        <v>1758</v>
      </c>
      <c r="AP2413" s="19">
        <v>0</v>
      </c>
      <c r="AQ2413" s="19" t="s">
        <v>307</v>
      </c>
      <c r="AR2413" s="9" t="s">
        <v>317</v>
      </c>
      <c r="AS2413" s="12">
        <v>3.4039024194010059E-4</v>
      </c>
      <c r="AT2413" s="19">
        <v>39.25994</v>
      </c>
      <c r="AU2413" s="19">
        <v>-123.30073</v>
      </c>
      <c r="AV2413" s="19" t="s">
        <v>315</v>
      </c>
    </row>
    <row r="2414" spans="1:48" x14ac:dyDescent="0.25">
      <c r="A2414" s="9" t="s">
        <v>98</v>
      </c>
      <c r="K2414" s="8" t="s">
        <v>177</v>
      </c>
      <c r="L2414" s="8">
        <v>1000</v>
      </c>
      <c r="M2414" s="8" t="s">
        <v>178</v>
      </c>
      <c r="N2414" s="9" t="s">
        <v>241</v>
      </c>
      <c r="O2414" s="9">
        <v>10</v>
      </c>
      <c r="X2414" s="15"/>
      <c r="Y2414" s="16"/>
      <c r="Z2414" s="16"/>
      <c r="AA2414" s="16"/>
      <c r="AB2414" s="16"/>
      <c r="AC2414" s="16"/>
      <c r="AD2414" s="16">
        <v>0</v>
      </c>
      <c r="AE2414" s="16">
        <v>0</v>
      </c>
      <c r="AF2414" s="16">
        <v>0</v>
      </c>
      <c r="AG2414" s="16">
        <v>0</v>
      </c>
      <c r="AH2414" s="16"/>
      <c r="AI2414" s="16"/>
    </row>
    <row r="2415" spans="1:48" x14ac:dyDescent="0.25">
      <c r="A2415" s="9" t="s">
        <v>105</v>
      </c>
      <c r="K2415" s="8" t="s">
        <v>177</v>
      </c>
      <c r="L2415" s="8">
        <v>1000</v>
      </c>
      <c r="M2415" s="8" t="s">
        <v>178</v>
      </c>
      <c r="X2415" s="15"/>
      <c r="Y2415" s="16"/>
      <c r="Z2415" s="16"/>
      <c r="AA2415" s="16"/>
      <c r="AB2415" s="16"/>
      <c r="AC2415" s="16"/>
      <c r="AD2415" s="16">
        <v>0</v>
      </c>
      <c r="AE2415" s="16">
        <v>0</v>
      </c>
      <c r="AF2415" s="16">
        <v>0</v>
      </c>
      <c r="AG2415" s="16">
        <v>0</v>
      </c>
      <c r="AH2415" s="16"/>
      <c r="AI2415" s="16"/>
    </row>
    <row r="2416" spans="1:48" x14ac:dyDescent="0.25">
      <c r="A2416" s="9" t="s">
        <v>120</v>
      </c>
      <c r="K2416" s="8" t="s">
        <v>177</v>
      </c>
      <c r="L2416" s="8">
        <v>1000</v>
      </c>
      <c r="M2416" s="8" t="s">
        <v>178</v>
      </c>
      <c r="N2416" s="9" t="s">
        <v>241</v>
      </c>
      <c r="O2416" s="9">
        <v>6</v>
      </c>
      <c r="X2416" s="15"/>
      <c r="Y2416" s="16"/>
      <c r="Z2416" s="16"/>
      <c r="AA2416" s="16"/>
      <c r="AB2416" s="16"/>
      <c r="AC2416" s="16"/>
      <c r="AD2416" s="16">
        <f>AVERAGE(0.06,0.75,3.44)</f>
        <v>1.4166666666666667</v>
      </c>
      <c r="AE2416" s="16">
        <f>AVERAGE(0.06,0.75,1.71)</f>
        <v>0.84</v>
      </c>
      <c r="AF2416" s="16">
        <f>AVERAGE(0.06,0.75,1.29)</f>
        <v>0.70000000000000007</v>
      </c>
      <c r="AG2416" s="16">
        <f>IF(ISERROR(VLOOKUP($A2416,'13. Updated Demand'!A:Z,24,FALSE)),0,VLOOKUP($A2416,'13. Updated Demand'!A:Z,24,FALSE))</f>
        <v>0</v>
      </c>
      <c r="AH2416" s="16"/>
      <c r="AI2416" s="16"/>
    </row>
    <row r="2417" spans="1:35" x14ac:dyDescent="0.25">
      <c r="A2417" s="9" t="s">
        <v>108</v>
      </c>
      <c r="K2417" s="8" t="s">
        <v>177</v>
      </c>
      <c r="L2417" s="8">
        <v>1000</v>
      </c>
      <c r="M2417" s="8" t="s">
        <v>178</v>
      </c>
      <c r="X2417" s="15"/>
      <c r="Y2417" s="16"/>
      <c r="Z2417" s="16"/>
      <c r="AA2417" s="16"/>
      <c r="AB2417" s="16"/>
      <c r="AC2417" s="16"/>
      <c r="AD2417" s="16">
        <v>0</v>
      </c>
      <c r="AE2417" s="16">
        <v>0</v>
      </c>
      <c r="AF2417" s="16">
        <v>0</v>
      </c>
      <c r="AG2417" s="16">
        <v>0</v>
      </c>
      <c r="AH2417" s="16"/>
      <c r="AI2417" s="16"/>
    </row>
    <row r="2418" spans="1:35" x14ac:dyDescent="0.25">
      <c r="A2418" s="9" t="s">
        <v>151</v>
      </c>
      <c r="K2418" s="8" t="s">
        <v>177</v>
      </c>
      <c r="L2418" s="8">
        <v>1000</v>
      </c>
      <c r="M2418" s="8" t="s">
        <v>178</v>
      </c>
      <c r="X2418" s="15"/>
      <c r="Y2418" s="16"/>
      <c r="Z2418" s="16"/>
      <c r="AA2418" s="16"/>
      <c r="AB2418" s="16"/>
      <c r="AC2418" s="16"/>
      <c r="AD2418" s="16">
        <f>AVERAGE(0.04,0.2,0)</f>
        <v>0.08</v>
      </c>
      <c r="AE2418" s="16">
        <f>AVERAGE(0.5,1.4,0)</f>
        <v>0.6333333333333333</v>
      </c>
      <c r="AF2418" s="16">
        <f>AVERAGE(13.1,0.7,0)</f>
        <v>4.5999999999999996</v>
      </c>
      <c r="AG2418" s="16">
        <f>AVERAGE(0,0,6.2)</f>
        <v>2.0666666666666669</v>
      </c>
      <c r="AH2418" s="16"/>
      <c r="AI2418" s="16"/>
    </row>
    <row r="2419" spans="1:35" x14ac:dyDescent="0.25">
      <c r="A2419" s="9" t="s">
        <v>154</v>
      </c>
      <c r="K2419" s="8" t="s">
        <v>177</v>
      </c>
      <c r="L2419" s="8">
        <v>1000</v>
      </c>
      <c r="M2419" s="8" t="s">
        <v>178</v>
      </c>
      <c r="X2419" s="15"/>
      <c r="Y2419" s="16"/>
      <c r="Z2419" s="16"/>
      <c r="AA2419" s="16"/>
      <c r="AB2419" s="16"/>
      <c r="AC2419" s="16"/>
      <c r="AD2419" s="16">
        <v>0</v>
      </c>
      <c r="AE2419" s="16">
        <v>0</v>
      </c>
      <c r="AF2419" s="16">
        <v>0</v>
      </c>
      <c r="AG2419" s="16">
        <v>0</v>
      </c>
      <c r="AH2419" s="16"/>
      <c r="AI2419" s="16"/>
    </row>
  </sheetData>
  <autoFilter ref="A1:AV2413" xr:uid="{C127B630-CECF-49F6-80A8-966F272094F9}">
    <sortState xmlns:xlrd2="http://schemas.microsoft.com/office/spreadsheetml/2017/richdata2" ref="A2:AV2413">
      <sortCondition descending="1" ref="L1:L2413"/>
    </sortState>
  </autoFilter>
  <pageMargins left="0.7" right="0.7" top="0.75" bottom="0.75" header="0.3" footer="0.3"/>
  <pageSetup orientation="portrait" horizontalDpi="4294967293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WSID xmlns="70cca14d-e16b-4b85-801c-50254c6eda1c" xsi:nil="true"/>
    <lcf76f155ced4ddcb4097134ff3c332f xmlns="70cca14d-e16b-4b85-801c-50254c6eda1c">
      <Terms xmlns="http://schemas.microsoft.com/office/infopath/2007/PartnerControls"/>
    </lcf76f155ced4ddcb4097134ff3c332f>
    <TaxCatchAll xmlns="851dfaa3-aae8-4c03-b90c-7dd4a6526d0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81E5901634864EA2EA1DD6E3F5EC81" ma:contentTypeVersion="15" ma:contentTypeDescription="Create a new document." ma:contentTypeScope="" ma:versionID="748e98ef8c54dd7be9a69902a8788073">
  <xsd:schema xmlns:xsd="http://www.w3.org/2001/XMLSchema" xmlns:xs="http://www.w3.org/2001/XMLSchema" xmlns:p="http://schemas.microsoft.com/office/2006/metadata/properties" xmlns:ns2="70cca14d-e16b-4b85-801c-50254c6eda1c" xmlns:ns3="851dfaa3-aae8-4c03-b90c-7dd4a6526d0d" targetNamespace="http://schemas.microsoft.com/office/2006/metadata/properties" ma:root="true" ma:fieldsID="bc75645c079b79f0455fb70619d8d770" ns2:_="" ns3:_="">
    <xsd:import namespace="70cca14d-e16b-4b85-801c-50254c6eda1c"/>
    <xsd:import namespace="851dfaa3-aae8-4c03-b90c-7dd4a6526d0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PWSID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cca14d-e16b-4b85-801c-50254c6eda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PWSID" ma:index="18" nillable="true" ma:displayName="PWSID" ma:description="Water System 9 digit ID&#10;" ma:format="Dropdown" ma:internalName="PWSID">
      <xsd:simpleType>
        <xsd:restriction base="dms:Text">
          <xsd:maxLength value="9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1cfdcae8-6a83-4c52-b891-75b08cbe23e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1dfaa3-aae8-4c03-b90c-7dd4a6526d0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3bde447f-9c6c-4421-af29-e30b317a6074}" ma:internalName="TaxCatchAll" ma:showField="CatchAllData" ma:web="851dfaa3-aae8-4c03-b90c-7dd4a6526d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088AA5-3915-459D-992C-BEEE3D709E4A}">
  <ds:schemaRefs>
    <ds:schemaRef ds:uri="http://schemas.microsoft.com/office/2006/metadata/properties"/>
    <ds:schemaRef ds:uri="http://schemas.microsoft.com/office/infopath/2007/PartnerControls"/>
    <ds:schemaRef ds:uri="70cca14d-e16b-4b85-801c-50254c6eda1c"/>
    <ds:schemaRef ds:uri="851dfaa3-aae8-4c03-b90c-7dd4a6526d0d"/>
  </ds:schemaRefs>
</ds:datastoreItem>
</file>

<file path=customXml/itemProps2.xml><?xml version="1.0" encoding="utf-8"?>
<ds:datastoreItem xmlns:ds="http://schemas.openxmlformats.org/officeDocument/2006/customXml" ds:itemID="{1326130B-CE5A-4610-BD14-305F0B7F0E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0cca14d-e16b-4b85-801c-50254c6eda1c"/>
    <ds:schemaRef ds:uri="851dfaa3-aae8-4c03-b90c-7dd4a6526d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4EB5711-EF50-4CE1-9B5E-2D18ACD479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0. Table of Contents</vt:lpstr>
      <vt:lpstr>1. Sharing Summary</vt:lpstr>
      <vt:lpstr>2. Forbearance thresholds</vt:lpstr>
      <vt:lpstr>3. Supply analysis (Actual)</vt:lpstr>
      <vt:lpstr>4. Supply analysis(WorkingCopy)</vt:lpstr>
      <vt:lpstr>5. Supply (No precip forecast)</vt:lpstr>
      <vt:lpstr>6. ET calcs</vt:lpstr>
      <vt:lpstr>7. Demand type &amp; reach</vt:lpstr>
      <vt:lpstr>8. Demand data categorization</vt:lpstr>
      <vt:lpstr>9. AgreementExport</vt:lpstr>
      <vt:lpstr>10. AgreementTargets</vt:lpstr>
      <vt:lpstr>11. TransferExport</vt:lpstr>
      <vt:lpstr>12. eWRIMS_Export</vt:lpstr>
      <vt:lpstr>13. Updated Demand</vt:lpstr>
      <vt:lpstr>'8. Demand data categorization'!listone</vt:lpstr>
    </vt:vector>
  </TitlesOfParts>
  <Manager/>
  <Company>SWRCB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Boland-Brien, Samuel@Waterboards</dc:creator>
  <cp:keywords/>
  <dc:description/>
  <cp:lastModifiedBy>Walker, Jacob@Waterboards</cp:lastModifiedBy>
  <cp:revision/>
  <dcterms:created xsi:type="dcterms:W3CDTF">2022-01-05T17:36:37Z</dcterms:created>
  <dcterms:modified xsi:type="dcterms:W3CDTF">2022-11-16T21:26:46Z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0x0101008381E5901634864EA2EA1DD6E3F5EC81</vt:lpwstr>
  </property>
  <property fmtid="{D5CDD505-2E9C-101B-9397-08002B2CF9AE}" pid="3" name="MediaServiceImageTags">
    <vt:lpwstr/>
  </property>
</Properties>
</file>